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eus Documentos\Documents\ORCAMENTO 2020\"/>
    </mc:Choice>
  </mc:AlternateContent>
  <bookViews>
    <workbookView xWindow="0" yWindow="0" windowWidth="20730" windowHeight="9735" firstSheet="20" activeTab="28"/>
  </bookViews>
  <sheets>
    <sheet name="MANUAL PLANILHAS" sheetId="14" r:id="rId1"/>
    <sheet name="RV" sheetId="15" r:id="rId2"/>
    <sheet name="CIG" sheetId="1" r:id="rId3"/>
    <sheet name="CATC" sheetId="2" r:id="rId4"/>
    <sheet name="CMA" sheetId="3" r:id="rId5"/>
    <sheet name="CRSUS" sheetId="61" r:id="rId6"/>
    <sheet name="CRC" sheetId="4" r:id="rId7"/>
    <sheet name="CARP" sheetId="5" r:id="rId8"/>
    <sheet name="PUER" sheetId="8" r:id="rId9"/>
    <sheet name="ER" sheetId="7" r:id="rId10"/>
    <sheet name="PNAE" sheetId="11" r:id="rId11"/>
    <sheet name="FUNDEB" sheetId="10" r:id="rId12"/>
    <sheet name="MCR" sheetId="20" r:id="rId13"/>
    <sheet name="RCL" sheetId="24" r:id="rId14"/>
    <sheet name="PASEP" sheetId="21" r:id="rId15"/>
    <sheet name="FOPAG SAUDE" sheetId="44" r:id="rId16"/>
    <sheet name="FOPAG ASSIST" sheetId="47" r:id="rId17"/>
    <sheet name="FOPAG EXEC." sheetId="43" r:id="rId18"/>
    <sheet name="FOPAG ED." sheetId="45" r:id="rId19"/>
    <sheet name="FOPAG FUNDEB" sheetId="46" r:id="rId20"/>
    <sheet name="FOPAGLEG" sheetId="51" r:id="rId21"/>
    <sheet name="MA" sheetId="48" r:id="rId22"/>
    <sheet name="EC 86-2015" sheetId="22" r:id="rId23"/>
    <sheet name="QSE" sheetId="52" r:id="rId24"/>
    <sheet name="PNATE" sheetId="53" r:id="rId25"/>
    <sheet name="BASE TRIENAL DESPESAS" sheetId="58" r:id="rId26"/>
    <sheet name="PUCFD" sheetId="40" r:id="rId27"/>
    <sheet name="DESPORC" sheetId="50" r:id="rId28"/>
    <sheet name="DCPPALDO" sheetId="49" r:id="rId29"/>
    <sheet name="DMDOCC" sheetId="17" r:id="rId30"/>
    <sheet name="DECRR" sheetId="16" r:id="rId31"/>
    <sheet name="DERF" sheetId="19" r:id="rId32"/>
    <sheet name="DCAMF" sheetId="18" r:id="rId33"/>
    <sheet name="DRFDGNOS" sheetId="25" r:id="rId34"/>
    <sheet name="DRFMCA" sheetId="26" r:id="rId35"/>
    <sheet name="DRDFMCA" sheetId="27" r:id="rId36"/>
    <sheet name="DRDFMS" sheetId="28" r:id="rId37"/>
    <sheet name="DRDFMAS" sheetId="30" r:id="rId38"/>
    <sheet name="DRDFMDR" sheetId="31" r:id="rId39"/>
    <sheet name="DRDFMMA" sheetId="32" r:id="rId40"/>
    <sheet name="DRDFMHIS" sheetId="33" r:id="rId41"/>
    <sheet name="Plan2" sheetId="59" r:id="rId42"/>
    <sheet name="Plan3" sheetId="60" r:id="rId43"/>
    <sheet name="DDP" sheetId="35" r:id="rId44"/>
    <sheet name="DPARASPS" sheetId="37" r:id="rId45"/>
    <sheet name="DPARMDE" sheetId="36" r:id="rId46"/>
    <sheet name="DPADFOC" sheetId="38" r:id="rId47"/>
    <sheet name="DLMDPL" sheetId="13" r:id="rId48"/>
    <sheet name="DMPRECAT" sheetId="55" r:id="rId49"/>
    <sheet name="DEMPEAUD" sheetId="56" r:id="rId50"/>
    <sheet name="Plan1" sheetId="57" r:id="rId51"/>
  </sheets>
  <externalReferences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27" hidden="1">DESPORC!$B$1861:$I$2326</definedName>
    <definedName name="_xlnm._FilterDatabase" localSheetId="9" hidden="1">ER!$B$7:$H$647</definedName>
    <definedName name="_xlnm.Print_Area" localSheetId="18">'FOPAG ED.'!$B$134:$N$218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8" i="8" l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27" i="8"/>
  <c r="E1362" i="56"/>
  <c r="E1338" i="56"/>
  <c r="E1279" i="56"/>
  <c r="E1270" i="56"/>
  <c r="E1246" i="56"/>
  <c r="E1207" i="56"/>
  <c r="E1151" i="56"/>
  <c r="E1122" i="56"/>
  <c r="F1024" i="56"/>
  <c r="E1019" i="56"/>
  <c r="E1058" i="56"/>
  <c r="E950" i="56"/>
  <c r="E890" i="56"/>
  <c r="E876" i="56"/>
  <c r="E846" i="56"/>
  <c r="E803" i="56"/>
  <c r="E782" i="56"/>
  <c r="E740" i="56"/>
  <c r="E698" i="56"/>
  <c r="E656" i="56"/>
  <c r="E637" i="56"/>
  <c r="E628" i="56"/>
  <c r="E530" i="56"/>
  <c r="E446" i="56"/>
  <c r="E428" i="56"/>
  <c r="E404" i="56"/>
  <c r="E383" i="56"/>
  <c r="E374" i="56"/>
  <c r="E365" i="56"/>
  <c r="E356" i="56"/>
  <c r="E346" i="56"/>
  <c r="E307" i="56"/>
  <c r="E278" i="56"/>
  <c r="E246" i="56"/>
  <c r="E161" i="56"/>
  <c r="E121" i="56"/>
  <c r="E96" i="56"/>
  <c r="E26" i="56"/>
  <c r="F22" i="56"/>
  <c r="F17" i="56"/>
  <c r="C22" i="56"/>
  <c r="C17" i="56"/>
  <c r="C18" i="31" l="1"/>
  <c r="C11" i="31"/>
  <c r="C28" i="30"/>
  <c r="C18" i="30"/>
  <c r="C23" i="28"/>
  <c r="C11" i="28"/>
  <c r="C19" i="28"/>
  <c r="C15" i="28"/>
  <c r="I1673" i="50"/>
  <c r="I1679" i="50"/>
  <c r="I3037" i="50" l="1"/>
  <c r="I1395" i="50"/>
  <c r="I1353" i="50"/>
  <c r="I1015" i="50"/>
  <c r="I1678" i="50"/>
  <c r="I1674" i="50"/>
  <c r="I681" i="50"/>
  <c r="C33" i="13" l="1"/>
  <c r="C29" i="35"/>
  <c r="C24" i="35"/>
  <c r="F38" i="19"/>
  <c r="F19" i="19"/>
  <c r="F12" i="19"/>
  <c r="F18" i="19"/>
  <c r="F13" i="19"/>
  <c r="F17" i="18"/>
  <c r="G50" i="36" l="1"/>
  <c r="F50" i="36"/>
  <c r="E50" i="36"/>
  <c r="F48" i="36"/>
  <c r="E48" i="36"/>
  <c r="G49" i="36"/>
  <c r="D48" i="36"/>
  <c r="G11" i="36"/>
  <c r="C11" i="36"/>
  <c r="D11" i="36"/>
  <c r="E11" i="36"/>
  <c r="F11" i="36"/>
  <c r="G38" i="36"/>
  <c r="E645" i="7" l="1"/>
  <c r="E598" i="7"/>
  <c r="E649" i="7"/>
  <c r="G650" i="7"/>
  <c r="F650" i="7"/>
  <c r="E650" i="7"/>
  <c r="G595" i="7"/>
  <c r="F595" i="7"/>
  <c r="G515" i="7"/>
  <c r="F515" i="7"/>
  <c r="E515" i="7"/>
  <c r="E516" i="7"/>
  <c r="F516" i="7" s="1"/>
  <c r="G516" i="7" s="1"/>
  <c r="E589" i="7"/>
  <c r="F589" i="7"/>
  <c r="G589" i="7" s="1"/>
  <c r="E400" i="7"/>
  <c r="E401" i="7" s="1"/>
  <c r="E338" i="7"/>
  <c r="E72" i="7"/>
  <c r="E63" i="7"/>
  <c r="E65" i="7" s="1"/>
  <c r="E59" i="7"/>
  <c r="C18" i="36" s="1"/>
  <c r="E55" i="7"/>
  <c r="C17" i="36" s="1"/>
  <c r="E51" i="7"/>
  <c r="C16" i="36" s="1"/>
  <c r="E47" i="7"/>
  <c r="C15" i="36" s="1"/>
  <c r="E35" i="7"/>
  <c r="E29" i="7"/>
  <c r="E25" i="7"/>
  <c r="E26" i="7" s="1"/>
  <c r="E16" i="7"/>
  <c r="E17" i="7" s="1"/>
  <c r="C52" i="37"/>
  <c r="C51" i="37"/>
  <c r="C50" i="37"/>
  <c r="C49" i="37"/>
  <c r="C48" i="37"/>
  <c r="C47" i="37"/>
  <c r="C46" i="37"/>
  <c r="C45" i="37"/>
  <c r="E53" i="37"/>
  <c r="E43" i="37"/>
  <c r="C44" i="37"/>
  <c r="C35" i="25"/>
  <c r="E647" i="7" l="1"/>
  <c r="E54" i="7"/>
  <c r="E64" i="7"/>
  <c r="E48" i="7"/>
  <c r="E53" i="7"/>
  <c r="C43" i="37"/>
  <c r="C53" i="37" s="1"/>
  <c r="B516" i="40"/>
  <c r="B517" i="40" s="1"/>
  <c r="B518" i="40" s="1"/>
  <c r="B519" i="40" s="1"/>
  <c r="B520" i="40" s="1"/>
  <c r="B521" i="40" s="1"/>
  <c r="B522" i="40" s="1"/>
  <c r="B523" i="40" s="1"/>
  <c r="B524" i="40" s="1"/>
  <c r="B525" i="40" s="1"/>
  <c r="B526" i="40" s="1"/>
  <c r="B527" i="40" s="1"/>
  <c r="B528" i="40" s="1"/>
  <c r="B529" i="40" s="1"/>
  <c r="B530" i="40" s="1"/>
  <c r="B531" i="40" s="1"/>
  <c r="B532" i="40" s="1"/>
  <c r="B533" i="40" s="1"/>
  <c r="B534" i="40" s="1"/>
  <c r="B535" i="40" s="1"/>
  <c r="B536" i="40" s="1"/>
  <c r="B537" i="40" s="1"/>
  <c r="B538" i="40" s="1"/>
  <c r="B539" i="40" s="1"/>
  <c r="B540" i="40" s="1"/>
  <c r="B541" i="40" s="1"/>
  <c r="B542" i="40" s="1"/>
  <c r="B543" i="40" s="1"/>
  <c r="B544" i="40" s="1"/>
  <c r="B545" i="40" s="1"/>
  <c r="B546" i="40" s="1"/>
  <c r="B547" i="40" s="1"/>
  <c r="B548" i="40" s="1"/>
  <c r="B549" i="40" s="1"/>
  <c r="B550" i="40" s="1"/>
  <c r="B551" i="40" s="1"/>
  <c r="B552" i="40" s="1"/>
  <c r="B553" i="40" s="1"/>
  <c r="B554" i="40" s="1"/>
  <c r="B555" i="40" s="1"/>
  <c r="B556" i="40" s="1"/>
  <c r="B557" i="40" s="1"/>
  <c r="B558" i="40" s="1"/>
  <c r="B559" i="40" s="1"/>
  <c r="B560" i="40" s="1"/>
  <c r="B561" i="40" s="1"/>
  <c r="B562" i="40" s="1"/>
  <c r="B563" i="40" s="1"/>
  <c r="B564" i="40" s="1"/>
  <c r="B565" i="40" s="1"/>
  <c r="B566" i="40" s="1"/>
  <c r="B567" i="40" s="1"/>
  <c r="B568" i="40" s="1"/>
  <c r="B569" i="40" s="1"/>
  <c r="B570" i="40" s="1"/>
  <c r="B571" i="40" s="1"/>
  <c r="B572" i="40" s="1"/>
  <c r="B573" i="40" s="1"/>
  <c r="B574" i="40" s="1"/>
  <c r="B575" i="40" s="1"/>
  <c r="B576" i="40" s="1"/>
  <c r="B577" i="40" s="1"/>
  <c r="B578" i="40" s="1"/>
  <c r="B579" i="40" s="1"/>
  <c r="B580" i="40" s="1"/>
  <c r="B581" i="40" s="1"/>
  <c r="B582" i="40" s="1"/>
  <c r="B583" i="40" s="1"/>
  <c r="B584" i="40" s="1"/>
  <c r="B585" i="40" s="1"/>
  <c r="B586" i="40" s="1"/>
  <c r="B587" i="40" s="1"/>
  <c r="B588" i="40" s="1"/>
  <c r="B589" i="40" s="1"/>
  <c r="B590" i="40" s="1"/>
  <c r="B591" i="40" s="1"/>
  <c r="B592" i="40" s="1"/>
  <c r="B593" i="40" s="1"/>
  <c r="B594" i="40" s="1"/>
  <c r="B595" i="40" s="1"/>
  <c r="B596" i="40" s="1"/>
  <c r="B597" i="40" s="1"/>
  <c r="B598" i="40" s="1"/>
  <c r="B599" i="40" s="1"/>
  <c r="B600" i="40" s="1"/>
  <c r="B601" i="40" s="1"/>
  <c r="B602" i="40" s="1"/>
  <c r="B603" i="40" s="1"/>
  <c r="B604" i="40" s="1"/>
  <c r="B605" i="40" s="1"/>
  <c r="B606" i="40" s="1"/>
  <c r="B607" i="40" s="1"/>
  <c r="B608" i="40" s="1"/>
  <c r="B609" i="40" s="1"/>
  <c r="B610" i="40" s="1"/>
  <c r="B611" i="40" s="1"/>
  <c r="B612" i="40" s="1"/>
  <c r="B613" i="40" s="1"/>
  <c r="B614" i="40" s="1"/>
  <c r="B615" i="40" s="1"/>
  <c r="B616" i="40" s="1"/>
  <c r="B617" i="40" s="1"/>
  <c r="B618" i="40" s="1"/>
  <c r="B619" i="40" s="1"/>
  <c r="B620" i="40" s="1"/>
  <c r="B621" i="40" s="1"/>
  <c r="B622" i="40" s="1"/>
  <c r="B623" i="40" s="1"/>
  <c r="B624" i="40" s="1"/>
  <c r="B625" i="40" s="1"/>
  <c r="B626" i="40" s="1"/>
  <c r="B627" i="40" s="1"/>
  <c r="B628" i="40" s="1"/>
  <c r="B629" i="40" s="1"/>
  <c r="B630" i="40" s="1"/>
  <c r="B631" i="40" s="1"/>
  <c r="B632" i="40" s="1"/>
  <c r="B633" i="40" s="1"/>
  <c r="B634" i="40" s="1"/>
  <c r="B635" i="40" s="1"/>
  <c r="B636" i="40" s="1"/>
  <c r="B637" i="40" s="1"/>
  <c r="B638" i="40" s="1"/>
  <c r="B639" i="40" s="1"/>
  <c r="B640" i="40" s="1"/>
  <c r="B641" i="40" s="1"/>
  <c r="B642" i="40" s="1"/>
  <c r="B643" i="40" s="1"/>
  <c r="B644" i="40" s="1"/>
  <c r="B645" i="40" s="1"/>
  <c r="B646" i="40" s="1"/>
  <c r="B647" i="40" s="1"/>
  <c r="B648" i="40" s="1"/>
  <c r="B649" i="40" s="1"/>
  <c r="B650" i="40" s="1"/>
  <c r="B651" i="40" s="1"/>
  <c r="B652" i="40" s="1"/>
  <c r="B653" i="40" s="1"/>
  <c r="B654" i="40" s="1"/>
  <c r="B655" i="40" s="1"/>
  <c r="B656" i="40" s="1"/>
  <c r="B657" i="40" s="1"/>
  <c r="B658" i="40" s="1"/>
  <c r="B659" i="40" s="1"/>
  <c r="B660" i="40" s="1"/>
  <c r="B661" i="40" s="1"/>
  <c r="B662" i="40" s="1"/>
  <c r="B663" i="40" s="1"/>
  <c r="B664" i="40" s="1"/>
  <c r="B665" i="40" s="1"/>
  <c r="B666" i="40" s="1"/>
  <c r="B667" i="40" s="1"/>
  <c r="B668" i="40" s="1"/>
  <c r="B669" i="40" s="1"/>
  <c r="B670" i="40" s="1"/>
  <c r="B671" i="40" s="1"/>
  <c r="B672" i="40" s="1"/>
  <c r="B673" i="40" s="1"/>
  <c r="B674" i="40" s="1"/>
  <c r="B675" i="40" s="1"/>
  <c r="B676" i="40" s="1"/>
  <c r="B677" i="40" s="1"/>
  <c r="B678" i="40" s="1"/>
  <c r="B679" i="40" s="1"/>
  <c r="B680" i="40" s="1"/>
  <c r="B681" i="40" s="1"/>
  <c r="B682" i="40" s="1"/>
  <c r="B683" i="40" s="1"/>
  <c r="B684" i="40" s="1"/>
  <c r="B685" i="40" s="1"/>
  <c r="B686" i="40" s="1"/>
  <c r="B687" i="40" s="1"/>
  <c r="B688" i="40" s="1"/>
  <c r="B689" i="40" s="1"/>
  <c r="B690" i="40" s="1"/>
  <c r="B691" i="40" s="1"/>
  <c r="B692" i="40" s="1"/>
  <c r="B693" i="40" s="1"/>
  <c r="B694" i="40" s="1"/>
  <c r="B695" i="40" s="1"/>
  <c r="B696" i="40" s="1"/>
  <c r="B697" i="40" s="1"/>
  <c r="B698" i="40" s="1"/>
  <c r="B699" i="40" s="1"/>
  <c r="B700" i="40" s="1"/>
  <c r="B701" i="40" s="1"/>
  <c r="B702" i="40" s="1"/>
  <c r="B703" i="40" s="1"/>
  <c r="B704" i="40" s="1"/>
  <c r="B705" i="40" s="1"/>
  <c r="B706" i="40" s="1"/>
  <c r="B707" i="40" s="1"/>
  <c r="B708" i="40" s="1"/>
  <c r="B709" i="40" s="1"/>
  <c r="B710" i="40" s="1"/>
  <c r="B711" i="40" s="1"/>
  <c r="B712" i="40" s="1"/>
  <c r="B713" i="40" s="1"/>
  <c r="B714" i="40" s="1"/>
  <c r="B715" i="40" s="1"/>
  <c r="B716" i="40" s="1"/>
  <c r="B717" i="40" s="1"/>
  <c r="B718" i="40" s="1"/>
  <c r="B719" i="40" s="1"/>
  <c r="B720" i="40" s="1"/>
  <c r="B721" i="40" s="1"/>
  <c r="B722" i="40" s="1"/>
  <c r="B723" i="40" s="1"/>
  <c r="B724" i="40" s="1"/>
  <c r="B725" i="40" s="1"/>
  <c r="B726" i="40" s="1"/>
  <c r="B727" i="40" s="1"/>
  <c r="B728" i="40" s="1"/>
  <c r="B729" i="40" s="1"/>
  <c r="B730" i="40" s="1"/>
  <c r="B731" i="40" s="1"/>
  <c r="B732" i="40" s="1"/>
  <c r="B733" i="40" s="1"/>
  <c r="B734" i="40" s="1"/>
  <c r="B735" i="40" s="1"/>
  <c r="B736" i="40" s="1"/>
  <c r="B737" i="40" s="1"/>
  <c r="B738" i="40" s="1"/>
  <c r="B739" i="40" s="1"/>
  <c r="B740" i="40" s="1"/>
  <c r="B741" i="40" s="1"/>
  <c r="B742" i="40" s="1"/>
  <c r="B743" i="40" s="1"/>
  <c r="B744" i="40" s="1"/>
  <c r="B745" i="40" s="1"/>
  <c r="B746" i="40" s="1"/>
  <c r="B747" i="40" s="1"/>
  <c r="B748" i="40" s="1"/>
  <c r="B749" i="40" s="1"/>
  <c r="B750" i="40" s="1"/>
  <c r="B751" i="40" s="1"/>
  <c r="B752" i="40" s="1"/>
  <c r="B753" i="40" s="1"/>
  <c r="B754" i="40" s="1"/>
  <c r="B755" i="40" s="1"/>
  <c r="B756" i="40" s="1"/>
  <c r="B757" i="40" s="1"/>
  <c r="B758" i="40" s="1"/>
  <c r="B759" i="40" s="1"/>
  <c r="B760" i="40" s="1"/>
  <c r="B761" i="40" s="1"/>
  <c r="B762" i="40" s="1"/>
  <c r="B763" i="40" s="1"/>
  <c r="B764" i="40" s="1"/>
  <c r="B765" i="40" s="1"/>
  <c r="B766" i="40" s="1"/>
  <c r="B767" i="40" s="1"/>
  <c r="B768" i="40" s="1"/>
  <c r="B769" i="40" s="1"/>
  <c r="B770" i="40" s="1"/>
  <c r="B771" i="40" s="1"/>
  <c r="B772" i="40" s="1"/>
  <c r="B773" i="40" s="1"/>
  <c r="B774" i="40" s="1"/>
  <c r="B775" i="40" s="1"/>
  <c r="B776" i="40" s="1"/>
  <c r="B777" i="40" s="1"/>
  <c r="B778" i="40" s="1"/>
  <c r="B779" i="40" s="1"/>
  <c r="B780" i="40" s="1"/>
  <c r="B781" i="40" s="1"/>
  <c r="B782" i="40" s="1"/>
  <c r="B783" i="40" s="1"/>
  <c r="B784" i="40" s="1"/>
  <c r="B785" i="40" s="1"/>
  <c r="B786" i="40" s="1"/>
  <c r="B787" i="40" s="1"/>
  <c r="B788" i="40" s="1"/>
  <c r="B789" i="40" s="1"/>
  <c r="B790" i="40" s="1"/>
  <c r="B791" i="40" s="1"/>
  <c r="B792" i="40" s="1"/>
  <c r="B793" i="40" s="1"/>
  <c r="B794" i="40" s="1"/>
  <c r="B795" i="40" s="1"/>
  <c r="B796" i="40" s="1"/>
  <c r="B797" i="40" s="1"/>
  <c r="B798" i="40" s="1"/>
  <c r="B799" i="40" s="1"/>
  <c r="B800" i="40" s="1"/>
  <c r="B801" i="40" s="1"/>
  <c r="B802" i="40" s="1"/>
  <c r="B803" i="40" s="1"/>
  <c r="B804" i="40" s="1"/>
  <c r="B805" i="40" s="1"/>
  <c r="B806" i="40" s="1"/>
  <c r="B807" i="40" s="1"/>
  <c r="B808" i="40" s="1"/>
  <c r="B809" i="40" s="1"/>
  <c r="B810" i="40" s="1"/>
  <c r="B811" i="40" s="1"/>
  <c r="B812" i="40" s="1"/>
  <c r="B813" i="40" s="1"/>
  <c r="B814" i="40" s="1"/>
  <c r="B815" i="40" s="1"/>
  <c r="B816" i="40" s="1"/>
  <c r="B817" i="40" s="1"/>
  <c r="B818" i="40" s="1"/>
  <c r="B819" i="40" s="1"/>
  <c r="B820" i="40" s="1"/>
  <c r="B821" i="40" s="1"/>
  <c r="B822" i="40" s="1"/>
  <c r="B823" i="40" s="1"/>
  <c r="B824" i="40" s="1"/>
  <c r="B825" i="40" s="1"/>
  <c r="B826" i="40" s="1"/>
  <c r="B827" i="40" s="1"/>
  <c r="B828" i="40" s="1"/>
  <c r="B829" i="40" s="1"/>
  <c r="B830" i="40" s="1"/>
  <c r="B831" i="40" s="1"/>
  <c r="B832" i="40" s="1"/>
  <c r="B833" i="40" s="1"/>
  <c r="B834" i="40" s="1"/>
  <c r="B835" i="40" s="1"/>
  <c r="B836" i="40" s="1"/>
  <c r="B837" i="40" s="1"/>
  <c r="B838" i="40" s="1"/>
  <c r="B839" i="40" s="1"/>
  <c r="B840" i="40" s="1"/>
  <c r="B841" i="40" s="1"/>
  <c r="B842" i="40" s="1"/>
  <c r="B843" i="40" s="1"/>
  <c r="B844" i="40" s="1"/>
  <c r="B845" i="40" s="1"/>
  <c r="B846" i="40" s="1"/>
  <c r="B847" i="40" s="1"/>
  <c r="B848" i="40" s="1"/>
  <c r="B849" i="40" s="1"/>
  <c r="B850" i="40" s="1"/>
  <c r="B851" i="40" s="1"/>
  <c r="B852" i="40" s="1"/>
  <c r="B853" i="40" s="1"/>
  <c r="B854" i="40" s="1"/>
  <c r="B855" i="40" s="1"/>
  <c r="B856" i="40" s="1"/>
  <c r="B857" i="40" s="1"/>
  <c r="B858" i="40" s="1"/>
  <c r="B859" i="40" s="1"/>
  <c r="B860" i="40" s="1"/>
  <c r="B861" i="40" s="1"/>
  <c r="B862" i="40" s="1"/>
  <c r="B863" i="40" s="1"/>
  <c r="B864" i="40" s="1"/>
  <c r="B865" i="40" s="1"/>
  <c r="B866" i="40" s="1"/>
  <c r="B867" i="40" s="1"/>
  <c r="B868" i="40" s="1"/>
  <c r="B869" i="40" s="1"/>
  <c r="B870" i="40" s="1"/>
  <c r="B871" i="40" s="1"/>
  <c r="B872" i="40" s="1"/>
  <c r="B873" i="40" s="1"/>
  <c r="B874" i="40" s="1"/>
  <c r="B875" i="40" s="1"/>
  <c r="B876" i="40" s="1"/>
  <c r="B877" i="40" s="1"/>
  <c r="B878" i="40" s="1"/>
  <c r="B879" i="40" s="1"/>
  <c r="B880" i="40" s="1"/>
  <c r="B881" i="40" s="1"/>
  <c r="B882" i="40" s="1"/>
  <c r="B883" i="40" s="1"/>
  <c r="B884" i="40" s="1"/>
  <c r="B885" i="40" s="1"/>
  <c r="B886" i="40" s="1"/>
  <c r="B887" i="40" s="1"/>
  <c r="B888" i="40" s="1"/>
  <c r="B889" i="40" s="1"/>
  <c r="B890" i="40" s="1"/>
  <c r="B891" i="40" s="1"/>
  <c r="B892" i="40" s="1"/>
  <c r="B893" i="40" s="1"/>
  <c r="B894" i="40" s="1"/>
  <c r="B895" i="40" s="1"/>
  <c r="B896" i="40" s="1"/>
  <c r="B897" i="40" s="1"/>
  <c r="B898" i="40" s="1"/>
  <c r="B899" i="40" s="1"/>
  <c r="B900" i="40" s="1"/>
  <c r="B901" i="40" s="1"/>
  <c r="B902" i="40" s="1"/>
  <c r="B903" i="40" s="1"/>
  <c r="B904" i="40" s="1"/>
  <c r="B905" i="40" s="1"/>
  <c r="B906" i="40" s="1"/>
  <c r="B907" i="40" s="1"/>
  <c r="B908" i="40" s="1"/>
  <c r="B909" i="40" s="1"/>
  <c r="B910" i="40" s="1"/>
  <c r="B911" i="40" s="1"/>
  <c r="B912" i="40" s="1"/>
  <c r="B913" i="40" s="1"/>
  <c r="B914" i="40" s="1"/>
  <c r="B915" i="40" s="1"/>
  <c r="B916" i="40" s="1"/>
  <c r="B917" i="40" s="1"/>
  <c r="B918" i="40" s="1"/>
  <c r="B919" i="40" s="1"/>
  <c r="B920" i="40" s="1"/>
  <c r="B921" i="40" s="1"/>
  <c r="B922" i="40" s="1"/>
  <c r="B923" i="40" s="1"/>
  <c r="B924" i="40" s="1"/>
  <c r="B925" i="40" s="1"/>
  <c r="B926" i="40" s="1"/>
  <c r="B927" i="40" s="1"/>
  <c r="B928" i="40" s="1"/>
  <c r="B929" i="40" s="1"/>
  <c r="B930" i="40" s="1"/>
  <c r="B931" i="40" s="1"/>
  <c r="B932" i="40" s="1"/>
  <c r="B933" i="40" s="1"/>
  <c r="B934" i="40" s="1"/>
  <c r="B935" i="40" s="1"/>
  <c r="B936" i="40" s="1"/>
  <c r="B937" i="40" s="1"/>
  <c r="B938" i="40" s="1"/>
  <c r="B939" i="40" s="1"/>
  <c r="B940" i="40" s="1"/>
  <c r="B941" i="40" s="1"/>
  <c r="B942" i="40" s="1"/>
  <c r="B943" i="40" s="1"/>
  <c r="B944" i="40" s="1"/>
  <c r="B945" i="40" s="1"/>
  <c r="B946" i="40" s="1"/>
  <c r="B947" i="40" s="1"/>
  <c r="B948" i="40" s="1"/>
  <c r="B949" i="40" s="1"/>
  <c r="B950" i="40" s="1"/>
  <c r="B951" i="40" s="1"/>
  <c r="B952" i="40" s="1"/>
  <c r="B953" i="40" s="1"/>
  <c r="B954" i="40" s="1"/>
  <c r="B955" i="40" s="1"/>
  <c r="B956" i="40" s="1"/>
  <c r="B957" i="40" s="1"/>
  <c r="B958" i="40" s="1"/>
  <c r="B959" i="40" s="1"/>
  <c r="B960" i="40" s="1"/>
  <c r="B961" i="40" s="1"/>
  <c r="B962" i="40" s="1"/>
  <c r="B963" i="40" s="1"/>
  <c r="B964" i="40" s="1"/>
  <c r="B965" i="40" s="1"/>
  <c r="B966" i="40" s="1"/>
  <c r="B967" i="40" s="1"/>
  <c r="B968" i="40" s="1"/>
  <c r="B969" i="40" s="1"/>
  <c r="B970" i="40" s="1"/>
  <c r="B971" i="40" s="1"/>
  <c r="B972" i="40" s="1"/>
  <c r="B973" i="40" s="1"/>
  <c r="B974" i="40" s="1"/>
  <c r="B975" i="40" s="1"/>
  <c r="B976" i="40" s="1"/>
  <c r="B977" i="40" s="1"/>
  <c r="B978" i="40" s="1"/>
  <c r="B979" i="40" s="1"/>
  <c r="B980" i="40" s="1"/>
  <c r="B981" i="40" s="1"/>
  <c r="B982" i="40" s="1"/>
  <c r="B983" i="40" s="1"/>
  <c r="B984" i="40" s="1"/>
  <c r="B985" i="40" s="1"/>
  <c r="B986" i="40" s="1"/>
  <c r="B987" i="40" s="1"/>
  <c r="B988" i="40" s="1"/>
  <c r="B989" i="40" s="1"/>
  <c r="B990" i="40" s="1"/>
  <c r="B991" i="40" s="1"/>
  <c r="B992" i="40" s="1"/>
  <c r="B993" i="40" s="1"/>
  <c r="B994" i="40" s="1"/>
  <c r="B995" i="40" s="1"/>
  <c r="B996" i="40" s="1"/>
  <c r="B997" i="40" s="1"/>
  <c r="B998" i="40" s="1"/>
  <c r="B999" i="40" s="1"/>
  <c r="B1000" i="40" s="1"/>
  <c r="B1001" i="40" s="1"/>
  <c r="B1002" i="40" s="1"/>
  <c r="B1003" i="40" s="1"/>
  <c r="B1004" i="40" s="1"/>
  <c r="B1005" i="40" s="1"/>
  <c r="B1006" i="40" s="1"/>
  <c r="B1007" i="40" s="1"/>
  <c r="B1008" i="40" s="1"/>
  <c r="B1009" i="40" s="1"/>
  <c r="B1010" i="40" s="1"/>
  <c r="B1011" i="40" s="1"/>
  <c r="B1012" i="40" s="1"/>
  <c r="B1013" i="40" s="1"/>
  <c r="B1014" i="40" s="1"/>
  <c r="B1015" i="40" s="1"/>
  <c r="B1016" i="40" s="1"/>
  <c r="B1017" i="40" s="1"/>
  <c r="B1018" i="40" s="1"/>
  <c r="B1019" i="40" s="1"/>
  <c r="B1020" i="40" s="1"/>
  <c r="B1021" i="40" s="1"/>
  <c r="B1022" i="40" s="1"/>
  <c r="B1023" i="40" s="1"/>
  <c r="B1024" i="40" s="1"/>
  <c r="B1025" i="40" s="1"/>
  <c r="B1026" i="40" s="1"/>
  <c r="B1027" i="40" s="1"/>
  <c r="B1028" i="40" s="1"/>
  <c r="B1029" i="40" s="1"/>
  <c r="B1030" i="40" s="1"/>
  <c r="B1031" i="40" s="1"/>
  <c r="B1032" i="40" s="1"/>
  <c r="B1033" i="40" s="1"/>
  <c r="B1034" i="40" s="1"/>
  <c r="B1035" i="40" s="1"/>
  <c r="B1036" i="40" s="1"/>
  <c r="B1037" i="40" s="1"/>
  <c r="B1038" i="40" s="1"/>
  <c r="B1039" i="40" s="1"/>
  <c r="B1040" i="40" s="1"/>
  <c r="B1041" i="40" s="1"/>
  <c r="B1042" i="40" s="1"/>
  <c r="B1043" i="40" s="1"/>
  <c r="B1044" i="40" s="1"/>
  <c r="B1045" i="40" s="1"/>
  <c r="B1046" i="40" s="1"/>
  <c r="B1047" i="40" s="1"/>
  <c r="B1048" i="40" s="1"/>
  <c r="B1049" i="40" s="1"/>
  <c r="B1050" i="40" s="1"/>
  <c r="B1051" i="40" s="1"/>
  <c r="B1052" i="40" s="1"/>
  <c r="B1053" i="40" s="1"/>
  <c r="B1054" i="40" s="1"/>
  <c r="B1055" i="40" s="1"/>
  <c r="B1056" i="40" s="1"/>
  <c r="B1057" i="40" s="1"/>
  <c r="B1058" i="40" s="1"/>
  <c r="B1059" i="40" s="1"/>
  <c r="B1060" i="40" s="1"/>
  <c r="B1061" i="40" s="1"/>
  <c r="B1062" i="40" s="1"/>
  <c r="B1063" i="40" s="1"/>
  <c r="B1064" i="40" s="1"/>
  <c r="B1065" i="40" s="1"/>
  <c r="B1066" i="40" s="1"/>
  <c r="B1067" i="40" s="1"/>
  <c r="B1068" i="40" s="1"/>
  <c r="B1069" i="40" s="1"/>
  <c r="B1070" i="40" s="1"/>
  <c r="B1071" i="40" s="1"/>
  <c r="B1072" i="40" s="1"/>
  <c r="B1073" i="40" s="1"/>
  <c r="B1074" i="40" s="1"/>
  <c r="B1075" i="40" s="1"/>
  <c r="B1076" i="40" s="1"/>
  <c r="B1077" i="40" s="1"/>
  <c r="B1078" i="40" s="1"/>
  <c r="B1079" i="40" s="1"/>
  <c r="B1080" i="40" s="1"/>
  <c r="B1081" i="40" s="1"/>
  <c r="B1082" i="40" s="1"/>
  <c r="B1083" i="40" s="1"/>
  <c r="B1084" i="40" s="1"/>
  <c r="B1085" i="40" s="1"/>
  <c r="B1086" i="40" s="1"/>
  <c r="B1087" i="40" s="1"/>
  <c r="B1088" i="40" s="1"/>
  <c r="B1089" i="40" s="1"/>
  <c r="B1090" i="40" s="1"/>
  <c r="B1091" i="40" s="1"/>
  <c r="B1092" i="40" s="1"/>
  <c r="B1093" i="40" s="1"/>
  <c r="B1094" i="40" s="1"/>
  <c r="B1095" i="40" s="1"/>
  <c r="B1096" i="40" s="1"/>
  <c r="B1097" i="40" s="1"/>
  <c r="B1098" i="40" s="1"/>
  <c r="B1099" i="40" s="1"/>
  <c r="B1100" i="40" s="1"/>
  <c r="B1101" i="40" s="1"/>
  <c r="B1102" i="40" s="1"/>
  <c r="B1103" i="40" s="1"/>
  <c r="B1104" i="40" s="1"/>
  <c r="B1105" i="40" s="1"/>
  <c r="B1106" i="40" s="1"/>
  <c r="B1107" i="40" s="1"/>
  <c r="B1108" i="40" s="1"/>
  <c r="B1109" i="40" s="1"/>
  <c r="B1110" i="40" s="1"/>
  <c r="B1111" i="40" s="1"/>
  <c r="B1112" i="40" s="1"/>
  <c r="B1113" i="40" s="1"/>
  <c r="B1114" i="40" s="1"/>
  <c r="B1115" i="40" s="1"/>
  <c r="B1116" i="40" s="1"/>
  <c r="B1117" i="40" s="1"/>
  <c r="B1118" i="40" s="1"/>
  <c r="B1119" i="40" s="1"/>
  <c r="B1120" i="40" s="1"/>
  <c r="B1121" i="40" s="1"/>
  <c r="B1122" i="40" s="1"/>
  <c r="B1123" i="40" s="1"/>
  <c r="B1124" i="40" s="1"/>
  <c r="B1125" i="40" s="1"/>
  <c r="B1126" i="40" s="1"/>
  <c r="B1127" i="40" s="1"/>
  <c r="B1128" i="40" s="1"/>
  <c r="B1129" i="40" s="1"/>
  <c r="B1130" i="40" s="1"/>
  <c r="B1131" i="40" s="1"/>
  <c r="B1132" i="40" s="1"/>
  <c r="B1133" i="40" s="1"/>
  <c r="B1134" i="40" s="1"/>
  <c r="B1135" i="40" s="1"/>
  <c r="B1136" i="40" s="1"/>
  <c r="B1137" i="40" s="1"/>
  <c r="B1138" i="40" s="1"/>
  <c r="B1139" i="40" s="1"/>
  <c r="B1140" i="40" s="1"/>
  <c r="B1141" i="40" s="1"/>
  <c r="B1142" i="40" s="1"/>
  <c r="B1143" i="40" s="1"/>
  <c r="B1144" i="40" s="1"/>
  <c r="B1145" i="40" s="1"/>
  <c r="B1146" i="40" s="1"/>
  <c r="B1147" i="40" s="1"/>
  <c r="B1148" i="40" s="1"/>
  <c r="B1149" i="40" s="1"/>
  <c r="B1150" i="40" s="1"/>
  <c r="B1151" i="40" s="1"/>
  <c r="B1152" i="40" s="1"/>
  <c r="B1153" i="40" s="1"/>
  <c r="B1154" i="40" s="1"/>
  <c r="B1155" i="40" s="1"/>
  <c r="B1156" i="40" s="1"/>
  <c r="B1157" i="40" s="1"/>
  <c r="B1158" i="40" s="1"/>
  <c r="B1159" i="40" s="1"/>
  <c r="B1160" i="40" s="1"/>
  <c r="B1161" i="40" s="1"/>
  <c r="B1162" i="40" s="1"/>
  <c r="B1163" i="40" s="1"/>
  <c r="B1164" i="40" s="1"/>
  <c r="B1165" i="40" s="1"/>
  <c r="B1166" i="40" s="1"/>
  <c r="B1167" i="40" s="1"/>
  <c r="B1168" i="40" s="1"/>
  <c r="B1169" i="40" s="1"/>
  <c r="B1170" i="40" s="1"/>
  <c r="B1171" i="40" s="1"/>
  <c r="B1172" i="40" s="1"/>
  <c r="B1173" i="40" s="1"/>
  <c r="B1174" i="40" s="1"/>
  <c r="B1175" i="40" s="1"/>
  <c r="B1176" i="40" s="1"/>
  <c r="B1177" i="40" s="1"/>
  <c r="B1178" i="40" s="1"/>
  <c r="B1179" i="40" s="1"/>
  <c r="B1180" i="40" s="1"/>
  <c r="B1181" i="40" s="1"/>
  <c r="B1182" i="40" s="1"/>
  <c r="B1183" i="40" s="1"/>
  <c r="B1184" i="40" s="1"/>
  <c r="B1185" i="40" s="1"/>
  <c r="B1186" i="40" s="1"/>
  <c r="B1187" i="40" s="1"/>
  <c r="B1188" i="40" s="1"/>
  <c r="B1189" i="40" s="1"/>
  <c r="B1190" i="40" s="1"/>
  <c r="B1191" i="40" s="1"/>
  <c r="B1192" i="40" s="1"/>
  <c r="B1193" i="40" s="1"/>
  <c r="B1194" i="40" s="1"/>
  <c r="B1195" i="40" s="1"/>
  <c r="B1196" i="40" s="1"/>
  <c r="B1197" i="40" s="1"/>
  <c r="B1198" i="40" s="1"/>
  <c r="B1199" i="40" s="1"/>
  <c r="B1200" i="40" s="1"/>
  <c r="B1201" i="40" s="1"/>
  <c r="B1202" i="40" s="1"/>
  <c r="B1203" i="40" s="1"/>
  <c r="B1204" i="40" s="1"/>
  <c r="B1205" i="40" s="1"/>
  <c r="B1206" i="40" s="1"/>
  <c r="B1207" i="40" s="1"/>
  <c r="B1208" i="40" s="1"/>
  <c r="B1209" i="40" s="1"/>
  <c r="B1210" i="40" s="1"/>
  <c r="B1211" i="40" s="1"/>
  <c r="B1212" i="40" s="1"/>
  <c r="B1213" i="40" s="1"/>
  <c r="B1214" i="40" s="1"/>
  <c r="B1215" i="40" s="1"/>
  <c r="B1216" i="40" s="1"/>
  <c r="B1217" i="40" s="1"/>
  <c r="B1218" i="40" s="1"/>
  <c r="B1219" i="40" s="1"/>
  <c r="B1220" i="40" s="1"/>
  <c r="B1221" i="40" s="1"/>
  <c r="B1222" i="40" s="1"/>
  <c r="B1223" i="40" s="1"/>
  <c r="B1224" i="40" s="1"/>
  <c r="B1225" i="40" s="1"/>
  <c r="B1226" i="40" s="1"/>
  <c r="B1227" i="40" s="1"/>
  <c r="B1228" i="40" s="1"/>
  <c r="B1229" i="40" s="1"/>
  <c r="B1230" i="40" s="1"/>
  <c r="B1231" i="40" s="1"/>
  <c r="B1232" i="40" s="1"/>
  <c r="B1233" i="40" s="1"/>
  <c r="B1234" i="40" s="1"/>
  <c r="B1235" i="40" s="1"/>
  <c r="B1236" i="40" s="1"/>
  <c r="B1237" i="40" s="1"/>
  <c r="B1238" i="40" s="1"/>
  <c r="B1239" i="40" s="1"/>
  <c r="B1240" i="40" s="1"/>
  <c r="B1241" i="40" s="1"/>
  <c r="B1242" i="40" s="1"/>
  <c r="B1243" i="40" s="1"/>
  <c r="B1244" i="40" s="1"/>
  <c r="B1245" i="40" s="1"/>
  <c r="B1246" i="40" s="1"/>
  <c r="B1247" i="40" s="1"/>
  <c r="B1248" i="40" s="1"/>
  <c r="B1249" i="40" s="1"/>
  <c r="B1250" i="40" s="1"/>
  <c r="B1251" i="40" s="1"/>
  <c r="B1252" i="40" s="1"/>
  <c r="B1253" i="40" s="1"/>
  <c r="B1254" i="40" s="1"/>
  <c r="B1255" i="40" s="1"/>
  <c r="B1256" i="40" s="1"/>
  <c r="B1257" i="40" s="1"/>
  <c r="B1258" i="40" s="1"/>
  <c r="B1259" i="40" s="1"/>
  <c r="B1260" i="40" s="1"/>
  <c r="B1261" i="40" s="1"/>
  <c r="B1262" i="40" s="1"/>
  <c r="B1263" i="40" s="1"/>
  <c r="B1264" i="40" s="1"/>
  <c r="B1265" i="40" s="1"/>
  <c r="B1266" i="40" s="1"/>
  <c r="B1267" i="40" s="1"/>
  <c r="B1268" i="40" s="1"/>
  <c r="B1269" i="40" s="1"/>
  <c r="B1270" i="40" s="1"/>
  <c r="B1271" i="40" s="1"/>
  <c r="B1272" i="40" s="1"/>
  <c r="B1273" i="40" s="1"/>
  <c r="B1274" i="40" s="1"/>
  <c r="B1275" i="40" s="1"/>
  <c r="B1276" i="40" s="1"/>
  <c r="B1277" i="40" s="1"/>
  <c r="B1278" i="40" s="1"/>
  <c r="B1279" i="40" s="1"/>
  <c r="B1280" i="40" s="1"/>
  <c r="B1281" i="40" s="1"/>
  <c r="B1282" i="40" s="1"/>
  <c r="B1283" i="40" s="1"/>
  <c r="B1284" i="40" s="1"/>
  <c r="B1285" i="40" s="1"/>
  <c r="B1286" i="40" s="1"/>
  <c r="B1287" i="40" s="1"/>
  <c r="B1288" i="40" s="1"/>
  <c r="B1289" i="40" s="1"/>
  <c r="B1290" i="40" s="1"/>
  <c r="B1291" i="40" s="1"/>
  <c r="B1292" i="40" s="1"/>
  <c r="B1293" i="40" s="1"/>
  <c r="B1294" i="40" s="1"/>
  <c r="B1295" i="40" s="1"/>
  <c r="B1296" i="40" s="1"/>
  <c r="B1297" i="40" s="1"/>
  <c r="B1298" i="40" s="1"/>
  <c r="B1299" i="40" s="1"/>
  <c r="B1300" i="40" s="1"/>
  <c r="B1301" i="40" s="1"/>
  <c r="B1302" i="40" s="1"/>
  <c r="B1303" i="40" s="1"/>
  <c r="B1304" i="40" s="1"/>
  <c r="B1305" i="40" s="1"/>
  <c r="B1306" i="40" s="1"/>
  <c r="B1307" i="40" s="1"/>
  <c r="B1308" i="40" s="1"/>
  <c r="B1309" i="40" s="1"/>
  <c r="B1310" i="40" s="1"/>
  <c r="B1311" i="40" s="1"/>
  <c r="B1312" i="40" s="1"/>
  <c r="B1313" i="40" s="1"/>
  <c r="B1314" i="40" s="1"/>
  <c r="B1315" i="40" s="1"/>
  <c r="B1316" i="40" s="1"/>
  <c r="B1317" i="40" s="1"/>
  <c r="B1318" i="40" s="1"/>
  <c r="B1319" i="40" s="1"/>
  <c r="B1320" i="40" s="1"/>
  <c r="B1321" i="40" s="1"/>
  <c r="B1322" i="40" s="1"/>
  <c r="B1323" i="40" s="1"/>
  <c r="B1324" i="40" s="1"/>
  <c r="B1325" i="40" s="1"/>
  <c r="B1326" i="40" s="1"/>
  <c r="B1327" i="40" s="1"/>
  <c r="B1328" i="40" s="1"/>
  <c r="B1329" i="40" s="1"/>
  <c r="B1330" i="40" s="1"/>
  <c r="B1331" i="40" s="1"/>
  <c r="B1332" i="40" s="1"/>
  <c r="B1333" i="40" s="1"/>
  <c r="B1334" i="40" s="1"/>
  <c r="B1335" i="40" s="1"/>
  <c r="B1336" i="40" s="1"/>
  <c r="B1337" i="40" s="1"/>
  <c r="B1338" i="40" s="1"/>
  <c r="B1339" i="40" s="1"/>
  <c r="B1340" i="40" s="1"/>
  <c r="B1341" i="40" s="1"/>
  <c r="B1342" i="40" s="1"/>
  <c r="B1343" i="40" s="1"/>
  <c r="B1344" i="40" s="1"/>
  <c r="B1345" i="40" s="1"/>
  <c r="B1346" i="40" s="1"/>
  <c r="B1347" i="40" s="1"/>
  <c r="B1348" i="40" s="1"/>
  <c r="B1349" i="40" s="1"/>
  <c r="B1350" i="40" s="1"/>
  <c r="B1351" i="40" s="1"/>
  <c r="B1352" i="40" s="1"/>
  <c r="B1353" i="40" s="1"/>
  <c r="B1354" i="40" s="1"/>
  <c r="B1355" i="40" s="1"/>
  <c r="B1356" i="40" s="1"/>
  <c r="B1357" i="40" s="1"/>
  <c r="B1358" i="40" s="1"/>
  <c r="B1359" i="40" s="1"/>
  <c r="B1360" i="40" s="1"/>
  <c r="B1361" i="40" s="1"/>
  <c r="B1362" i="40" s="1"/>
  <c r="B1363" i="40" s="1"/>
  <c r="B1364" i="40" s="1"/>
  <c r="B1365" i="40" s="1"/>
  <c r="B1366" i="40" s="1"/>
  <c r="B1367" i="40" s="1"/>
  <c r="B1368" i="40" s="1"/>
  <c r="B1369" i="40" s="1"/>
  <c r="B1370" i="40" s="1"/>
  <c r="B1371" i="40" s="1"/>
  <c r="B1372" i="40" s="1"/>
  <c r="B1373" i="40" s="1"/>
  <c r="B1374" i="40" s="1"/>
  <c r="B1375" i="40" s="1"/>
  <c r="B1376" i="40" s="1"/>
  <c r="B1377" i="40" s="1"/>
  <c r="B1378" i="40" s="1"/>
  <c r="B1379" i="40" s="1"/>
  <c r="B1380" i="40" s="1"/>
  <c r="B1381" i="40" s="1"/>
  <c r="B1382" i="40" s="1"/>
  <c r="B1383" i="40" s="1"/>
  <c r="B1384" i="40" s="1"/>
  <c r="B1385" i="40" s="1"/>
  <c r="B1386" i="40" s="1"/>
  <c r="B1387" i="40" s="1"/>
  <c r="B1388" i="40" s="1"/>
  <c r="B1389" i="40" s="1"/>
  <c r="B1390" i="40" s="1"/>
  <c r="B1391" i="40" s="1"/>
  <c r="B1392" i="40" s="1"/>
  <c r="B1393" i="40" s="1"/>
  <c r="B1394" i="40" s="1"/>
  <c r="B1395" i="40" s="1"/>
  <c r="B1396" i="40" s="1"/>
  <c r="B1397" i="40" s="1"/>
  <c r="B1398" i="40" s="1"/>
  <c r="B1399" i="40" s="1"/>
  <c r="B1400" i="40" s="1"/>
  <c r="B1401" i="40" s="1"/>
  <c r="B1402" i="40" s="1"/>
  <c r="B1403" i="40" s="1"/>
  <c r="B1404" i="40" s="1"/>
  <c r="B1405" i="40" s="1"/>
  <c r="B1406" i="40" s="1"/>
  <c r="B1407" i="40" s="1"/>
  <c r="B1408" i="40" s="1"/>
  <c r="B1409" i="40" s="1"/>
  <c r="B1410" i="40" s="1"/>
  <c r="B1411" i="40" s="1"/>
  <c r="B1412" i="40" s="1"/>
  <c r="B1413" i="40" s="1"/>
  <c r="B1414" i="40" s="1"/>
  <c r="B1415" i="40" s="1"/>
  <c r="B1416" i="40" s="1"/>
  <c r="B1417" i="40" s="1"/>
  <c r="B1418" i="40" s="1"/>
  <c r="B1419" i="40" s="1"/>
  <c r="B1420" i="40" s="1"/>
  <c r="B1421" i="40" s="1"/>
  <c r="B1422" i="40" s="1"/>
  <c r="B1423" i="40" s="1"/>
  <c r="B1424" i="40" s="1"/>
  <c r="B1425" i="40" s="1"/>
  <c r="B1426" i="40" s="1"/>
  <c r="B1427" i="40" s="1"/>
  <c r="B1428" i="40" s="1"/>
  <c r="B1429" i="40" s="1"/>
  <c r="B1430" i="40" s="1"/>
  <c r="B1431" i="40" s="1"/>
  <c r="B1432" i="40" s="1"/>
  <c r="B1433" i="40" s="1"/>
  <c r="B1434" i="40" s="1"/>
  <c r="B1435" i="40" s="1"/>
  <c r="B1436" i="40" s="1"/>
  <c r="B1437" i="40" s="1"/>
  <c r="B1438" i="40" s="1"/>
  <c r="B1439" i="40" s="1"/>
  <c r="B1440" i="40" s="1"/>
  <c r="B1441" i="40" s="1"/>
  <c r="B1442" i="40" s="1"/>
  <c r="B1443" i="40" s="1"/>
  <c r="B1444" i="40" s="1"/>
  <c r="B1445" i="40" s="1"/>
  <c r="B1446" i="40" s="1"/>
  <c r="B1447" i="40" s="1"/>
  <c r="B1448" i="40" s="1"/>
  <c r="B1449" i="40" s="1"/>
  <c r="B1450" i="40" s="1"/>
  <c r="B1451" i="40" s="1"/>
  <c r="B1452" i="40" s="1"/>
  <c r="B1453" i="40" s="1"/>
  <c r="B1454" i="40" s="1"/>
  <c r="B1455" i="40" s="1"/>
  <c r="B1456" i="40" s="1"/>
  <c r="B1457" i="40" s="1"/>
  <c r="B1458" i="40" s="1"/>
  <c r="B1459" i="40" s="1"/>
  <c r="B1460" i="40" s="1"/>
  <c r="B1461" i="40" s="1"/>
  <c r="B1462" i="40" s="1"/>
  <c r="B1463" i="40" s="1"/>
  <c r="B1464" i="40" s="1"/>
  <c r="B1465" i="40" s="1"/>
  <c r="B1466" i="40" s="1"/>
  <c r="B1467" i="40" s="1"/>
  <c r="B1468" i="40" s="1"/>
  <c r="B1469" i="40" s="1"/>
  <c r="B1470" i="40" s="1"/>
  <c r="B1471" i="40" s="1"/>
  <c r="B1472" i="40" s="1"/>
  <c r="B1473" i="40" s="1"/>
  <c r="B1474" i="40" s="1"/>
  <c r="B1475" i="40" s="1"/>
  <c r="B1476" i="40" s="1"/>
  <c r="B1477" i="40" s="1"/>
  <c r="B1478" i="40" s="1"/>
  <c r="B1479" i="40" s="1"/>
  <c r="B1480" i="40" s="1"/>
  <c r="B1481" i="40" s="1"/>
  <c r="B1482" i="40" s="1"/>
  <c r="B1483" i="40" s="1"/>
  <c r="B1484" i="40" s="1"/>
  <c r="B1485" i="40" s="1"/>
  <c r="B1486" i="40" s="1"/>
  <c r="B1487" i="40" s="1"/>
  <c r="B1488" i="40" s="1"/>
  <c r="B1489" i="40" s="1"/>
  <c r="B1490" i="40" s="1"/>
  <c r="B1491" i="40" s="1"/>
  <c r="B1492" i="40" s="1"/>
  <c r="B1493" i="40" s="1"/>
  <c r="B1494" i="40" s="1"/>
  <c r="B1495" i="40" s="1"/>
  <c r="B1496" i="40" s="1"/>
  <c r="B1497" i="40" s="1"/>
  <c r="B1498" i="40" s="1"/>
  <c r="B1499" i="40" s="1"/>
  <c r="B1500" i="40" s="1"/>
  <c r="B1501" i="40" s="1"/>
  <c r="B1502" i="40" s="1"/>
  <c r="B1503" i="40" s="1"/>
  <c r="B1504" i="40" s="1"/>
  <c r="B1505" i="40" s="1"/>
  <c r="B1506" i="40" s="1"/>
  <c r="B1507" i="40" s="1"/>
  <c r="B1508" i="40" s="1"/>
  <c r="B1509" i="40" s="1"/>
  <c r="B1510" i="40" s="1"/>
  <c r="B1511" i="40" s="1"/>
  <c r="B1512" i="40" s="1"/>
  <c r="B1513" i="40" s="1"/>
  <c r="B1514" i="40" s="1"/>
  <c r="B1515" i="40" s="1"/>
  <c r="B1516" i="40" s="1"/>
  <c r="B1517" i="40" s="1"/>
  <c r="B1518" i="40" s="1"/>
  <c r="B1519" i="40" s="1"/>
  <c r="B1520" i="40" s="1"/>
  <c r="B1521" i="40" s="1"/>
  <c r="B1522" i="40" s="1"/>
  <c r="B1523" i="40" s="1"/>
  <c r="B1524" i="40" s="1"/>
  <c r="B1525" i="40" s="1"/>
  <c r="B1526" i="40" s="1"/>
  <c r="B1527" i="40" s="1"/>
  <c r="B1528" i="40" s="1"/>
  <c r="B1529" i="40" s="1"/>
  <c r="B1530" i="40" s="1"/>
  <c r="B1531" i="40" s="1"/>
  <c r="B1532" i="40" s="1"/>
  <c r="B1533" i="40" s="1"/>
  <c r="B1534" i="40" s="1"/>
  <c r="B1535" i="40" s="1"/>
  <c r="B1536" i="40" s="1"/>
  <c r="B1537" i="40" s="1"/>
  <c r="B1538" i="40" s="1"/>
  <c r="B1539" i="40" s="1"/>
  <c r="B1540" i="40" s="1"/>
  <c r="B1541" i="40" s="1"/>
  <c r="B1542" i="40" s="1"/>
  <c r="B1543" i="40" s="1"/>
  <c r="B1544" i="40" s="1"/>
  <c r="B1545" i="40" s="1"/>
  <c r="B1546" i="40" s="1"/>
  <c r="B1547" i="40" s="1"/>
  <c r="B1548" i="40" s="1"/>
  <c r="B1549" i="40" s="1"/>
  <c r="B1550" i="40" s="1"/>
  <c r="B1551" i="40" s="1"/>
  <c r="B1552" i="40" s="1"/>
  <c r="B1553" i="40" s="1"/>
  <c r="B1554" i="40" s="1"/>
  <c r="B1555" i="40" s="1"/>
  <c r="B1556" i="40" s="1"/>
  <c r="B1557" i="40" s="1"/>
  <c r="B1558" i="40" s="1"/>
  <c r="B1559" i="40" s="1"/>
  <c r="B1560" i="40" s="1"/>
  <c r="B1561" i="40" s="1"/>
  <c r="B1562" i="40" s="1"/>
  <c r="B1563" i="40" s="1"/>
  <c r="B1564" i="40" s="1"/>
  <c r="B1565" i="40" s="1"/>
  <c r="B1566" i="40" s="1"/>
  <c r="B1567" i="40" s="1"/>
  <c r="B1568" i="40" s="1"/>
  <c r="B1569" i="40" s="1"/>
  <c r="B1570" i="40" s="1"/>
  <c r="B1571" i="40" s="1"/>
  <c r="B1572" i="40" s="1"/>
  <c r="B1573" i="40" s="1"/>
  <c r="B1574" i="40" s="1"/>
  <c r="B1575" i="40" s="1"/>
  <c r="B1576" i="40" s="1"/>
  <c r="B1577" i="40" s="1"/>
  <c r="B1578" i="40" s="1"/>
  <c r="B1579" i="40" s="1"/>
  <c r="B1580" i="40" s="1"/>
  <c r="B1581" i="40" s="1"/>
  <c r="B1582" i="40" s="1"/>
  <c r="B1583" i="40" s="1"/>
  <c r="B1584" i="40" s="1"/>
  <c r="B1585" i="40" s="1"/>
  <c r="B1586" i="40" s="1"/>
  <c r="B1587" i="40" s="1"/>
  <c r="B1588" i="40" s="1"/>
  <c r="B1589" i="40" s="1"/>
  <c r="B1590" i="40" s="1"/>
  <c r="B1591" i="40" s="1"/>
  <c r="B1592" i="40" s="1"/>
  <c r="B1593" i="40" s="1"/>
  <c r="B1594" i="40" s="1"/>
  <c r="B1595" i="40" s="1"/>
  <c r="B1596" i="40" s="1"/>
  <c r="B1597" i="40" s="1"/>
  <c r="B1598" i="40" s="1"/>
  <c r="B1599" i="40" s="1"/>
  <c r="B1600" i="40" s="1"/>
  <c r="B1601" i="40" s="1"/>
  <c r="B1602" i="40" s="1"/>
  <c r="B1603" i="40" s="1"/>
  <c r="B1604" i="40" s="1"/>
  <c r="B1605" i="40" s="1"/>
  <c r="B1606" i="40" s="1"/>
  <c r="B1607" i="40" s="1"/>
  <c r="B1608" i="40" s="1"/>
  <c r="B1609" i="40" s="1"/>
  <c r="B1610" i="40" s="1"/>
  <c r="B1611" i="40" s="1"/>
  <c r="B1612" i="40" s="1"/>
  <c r="B1613" i="40" s="1"/>
  <c r="B1614" i="40" s="1"/>
  <c r="B1615" i="40" s="1"/>
  <c r="B1616" i="40" s="1"/>
  <c r="B1617" i="40" s="1"/>
  <c r="B1618" i="40" s="1"/>
  <c r="B1619" i="40" s="1"/>
  <c r="B1620" i="40" s="1"/>
  <c r="B1621" i="40" s="1"/>
  <c r="B1622" i="40" s="1"/>
  <c r="B1623" i="40" s="1"/>
  <c r="B1624" i="40" s="1"/>
  <c r="B1625" i="40" s="1"/>
  <c r="B1626" i="40" s="1"/>
  <c r="B1627" i="40" s="1"/>
  <c r="B1628" i="40" s="1"/>
  <c r="B1629" i="40" s="1"/>
  <c r="B1630" i="40" s="1"/>
  <c r="B1631" i="40" s="1"/>
  <c r="B1632" i="40" s="1"/>
  <c r="B1633" i="40" s="1"/>
  <c r="B1634" i="40" s="1"/>
  <c r="B1635" i="40" s="1"/>
  <c r="B1636" i="40" s="1"/>
  <c r="B1637" i="40" s="1"/>
  <c r="B1638" i="40" s="1"/>
  <c r="B1639" i="40" s="1"/>
  <c r="B1640" i="40" s="1"/>
  <c r="B1641" i="40" s="1"/>
  <c r="B1642" i="40" s="1"/>
  <c r="B1643" i="40" s="1"/>
  <c r="B1644" i="40" s="1"/>
  <c r="B1645" i="40" s="1"/>
  <c r="B1646" i="40" s="1"/>
  <c r="B1647" i="40" s="1"/>
  <c r="B1648" i="40" s="1"/>
  <c r="B1649" i="40" s="1"/>
  <c r="B1650" i="40" s="1"/>
  <c r="B1651" i="40" s="1"/>
  <c r="B1652" i="40" s="1"/>
  <c r="B1653" i="40" s="1"/>
  <c r="B1654" i="40" s="1"/>
  <c r="B1655" i="40" s="1"/>
  <c r="B1656" i="40" s="1"/>
  <c r="B1657" i="40" s="1"/>
  <c r="B1658" i="40" s="1"/>
  <c r="B1659" i="40" s="1"/>
  <c r="B1660" i="40" s="1"/>
  <c r="B1661" i="40" s="1"/>
  <c r="B1662" i="40" s="1"/>
  <c r="B1663" i="40" s="1"/>
  <c r="B1664" i="40" s="1"/>
  <c r="B1665" i="40" s="1"/>
  <c r="B1666" i="40" s="1"/>
  <c r="B1667" i="40" s="1"/>
  <c r="B1668" i="40" s="1"/>
  <c r="B1669" i="40" s="1"/>
  <c r="B1670" i="40" s="1"/>
  <c r="B1671" i="40" s="1"/>
  <c r="B1672" i="40" s="1"/>
  <c r="B1673" i="40" s="1"/>
  <c r="B1674" i="40" s="1"/>
  <c r="B1675" i="40" s="1"/>
  <c r="B1676" i="40" s="1"/>
  <c r="B1677" i="40" s="1"/>
  <c r="B1678" i="40" s="1"/>
  <c r="B1679" i="40" s="1"/>
  <c r="B1680" i="40" s="1"/>
  <c r="B1681" i="40" s="1"/>
  <c r="B1682" i="40" s="1"/>
  <c r="B1683" i="40" s="1"/>
  <c r="B1684" i="40" s="1"/>
  <c r="B1685" i="40" s="1"/>
  <c r="B1686" i="40" s="1"/>
  <c r="B1687" i="40" s="1"/>
  <c r="B1688" i="40" s="1"/>
  <c r="B1689" i="40" s="1"/>
  <c r="B1690" i="40" s="1"/>
  <c r="B1691" i="40" s="1"/>
  <c r="B1692" i="40" s="1"/>
  <c r="B1693" i="40" s="1"/>
  <c r="B1694" i="40" s="1"/>
  <c r="B1695" i="40" s="1"/>
  <c r="B1696" i="40" s="1"/>
  <c r="B1697" i="40" s="1"/>
  <c r="B1698" i="40" s="1"/>
  <c r="B1699" i="40" s="1"/>
  <c r="B1700" i="40" s="1"/>
  <c r="B1701" i="40" s="1"/>
  <c r="B1702" i="40" s="1"/>
  <c r="B1703" i="40" s="1"/>
  <c r="B1704" i="40" s="1"/>
  <c r="B1705" i="40" s="1"/>
  <c r="B1706" i="40" s="1"/>
  <c r="B1707" i="40" s="1"/>
  <c r="B1708" i="40" s="1"/>
  <c r="B1709" i="40" s="1"/>
  <c r="B1710" i="40" s="1"/>
  <c r="B1711" i="40" s="1"/>
  <c r="B1712" i="40" s="1"/>
  <c r="B1713" i="40" s="1"/>
  <c r="B1714" i="40" s="1"/>
  <c r="B1715" i="40" s="1"/>
  <c r="B1716" i="40" s="1"/>
  <c r="B1717" i="40" s="1"/>
  <c r="B1718" i="40" s="1"/>
  <c r="B1719" i="40" s="1"/>
  <c r="B1720" i="40" s="1"/>
  <c r="B1721" i="40" s="1"/>
  <c r="B1722" i="40" s="1"/>
  <c r="B1723" i="40" s="1"/>
  <c r="B1724" i="40" s="1"/>
  <c r="B1725" i="40" s="1"/>
  <c r="B1726" i="40" s="1"/>
  <c r="B1727" i="40" s="1"/>
  <c r="B1728" i="40" s="1"/>
  <c r="B1729" i="40" s="1"/>
  <c r="B1730" i="40" s="1"/>
  <c r="B1731" i="40" s="1"/>
  <c r="B1732" i="40" s="1"/>
  <c r="B1733" i="40" s="1"/>
  <c r="B1734" i="40" s="1"/>
  <c r="B1735" i="40" s="1"/>
  <c r="B1736" i="40" s="1"/>
  <c r="B1737" i="40" s="1"/>
  <c r="B1738" i="40" s="1"/>
  <c r="B1739" i="40" s="1"/>
  <c r="B1740" i="40" s="1"/>
  <c r="B1741" i="40" s="1"/>
  <c r="B1742" i="40" s="1"/>
  <c r="B1743" i="40" s="1"/>
  <c r="B1744" i="40" s="1"/>
  <c r="B1745" i="40" s="1"/>
  <c r="B1746" i="40" s="1"/>
  <c r="B1747" i="40" s="1"/>
  <c r="B1748" i="40" s="1"/>
  <c r="B1749" i="40" s="1"/>
  <c r="B1750" i="40" s="1"/>
  <c r="B1751" i="40" s="1"/>
  <c r="B1752" i="40" s="1"/>
  <c r="B1753" i="40" s="1"/>
  <c r="B1754" i="40" s="1"/>
  <c r="B1755" i="40" s="1"/>
  <c r="B1756" i="40" s="1"/>
  <c r="B1757" i="40" s="1"/>
  <c r="B1758" i="40" s="1"/>
  <c r="B1759" i="40" s="1"/>
  <c r="B1760" i="40" s="1"/>
  <c r="B1761" i="40" s="1"/>
  <c r="B1762" i="40" s="1"/>
  <c r="B1763" i="40" s="1"/>
  <c r="B1764" i="40" s="1"/>
  <c r="B1765" i="40" s="1"/>
  <c r="B1766" i="40" s="1"/>
  <c r="B1767" i="40" s="1"/>
  <c r="B1768" i="40" s="1"/>
  <c r="B1769" i="40" s="1"/>
  <c r="B1770" i="40" s="1"/>
  <c r="B1771" i="40" s="1"/>
  <c r="B1772" i="40" s="1"/>
  <c r="B1773" i="40" s="1"/>
  <c r="B1774" i="40" s="1"/>
  <c r="B1775" i="40" s="1"/>
  <c r="B1776" i="40" s="1"/>
  <c r="B1777" i="40" s="1"/>
  <c r="B1778" i="40" s="1"/>
  <c r="B1779" i="40" s="1"/>
  <c r="B1780" i="40" s="1"/>
  <c r="B1781" i="40" s="1"/>
  <c r="B1782" i="40" s="1"/>
  <c r="B1783" i="40" s="1"/>
  <c r="B1784" i="40" s="1"/>
  <c r="B1785" i="40" s="1"/>
  <c r="B1786" i="40" s="1"/>
  <c r="B1787" i="40" s="1"/>
  <c r="B1788" i="40" s="1"/>
  <c r="B1789" i="40" s="1"/>
  <c r="B1790" i="40" s="1"/>
  <c r="B1791" i="40" s="1"/>
  <c r="B1792" i="40" s="1"/>
  <c r="B1793" i="40" s="1"/>
  <c r="B1794" i="40" s="1"/>
  <c r="B1795" i="40" s="1"/>
  <c r="B1796" i="40" s="1"/>
  <c r="B1797" i="40" s="1"/>
  <c r="B1798" i="40" s="1"/>
  <c r="B1799" i="40" s="1"/>
  <c r="B1800" i="40" s="1"/>
  <c r="B1801" i="40" s="1"/>
  <c r="B1802" i="40" s="1"/>
  <c r="B1803" i="40" s="1"/>
  <c r="B1804" i="40" s="1"/>
  <c r="B1805" i="40" s="1"/>
  <c r="B1806" i="40" s="1"/>
  <c r="B1807" i="40" s="1"/>
  <c r="B1808" i="40" s="1"/>
  <c r="B1809" i="40" s="1"/>
  <c r="B1810" i="40" s="1"/>
  <c r="B1811" i="40" s="1"/>
  <c r="B1812" i="40" s="1"/>
  <c r="B1813" i="40" s="1"/>
  <c r="B1814" i="40" s="1"/>
  <c r="B1815" i="40" s="1"/>
  <c r="B1816" i="40" s="1"/>
  <c r="B1817" i="40" s="1"/>
  <c r="B1818" i="40" s="1"/>
  <c r="B1819" i="40" s="1"/>
  <c r="B1820" i="40" s="1"/>
  <c r="B1821" i="40" s="1"/>
  <c r="B1822" i="40" s="1"/>
  <c r="B1823" i="40" s="1"/>
  <c r="B1824" i="40" s="1"/>
  <c r="B1825" i="40" s="1"/>
  <c r="B1826" i="40" s="1"/>
  <c r="B1827" i="40" s="1"/>
  <c r="B1828" i="40" s="1"/>
  <c r="B1829" i="40" s="1"/>
  <c r="B1830" i="40" s="1"/>
  <c r="B1831" i="40" s="1"/>
  <c r="B1832" i="40" s="1"/>
  <c r="B1833" i="40" s="1"/>
  <c r="B1834" i="40" s="1"/>
  <c r="B1835" i="40" s="1"/>
  <c r="B1836" i="40" s="1"/>
  <c r="B1837" i="40" s="1"/>
  <c r="B1838" i="40" s="1"/>
  <c r="B1839" i="40" s="1"/>
  <c r="B1840" i="40" s="1"/>
  <c r="B1841" i="40" s="1"/>
  <c r="B1842" i="40" s="1"/>
  <c r="B1843" i="40" s="1"/>
  <c r="B1844" i="40" s="1"/>
  <c r="B1845" i="40" s="1"/>
  <c r="B1846" i="40" s="1"/>
  <c r="B1847" i="40" s="1"/>
  <c r="B1848" i="40" s="1"/>
  <c r="B1849" i="40" s="1"/>
  <c r="B1850" i="40" s="1"/>
  <c r="B1851" i="40" s="1"/>
  <c r="B1852" i="40" s="1"/>
  <c r="B1853" i="40" s="1"/>
  <c r="B1854" i="40" s="1"/>
  <c r="B1855" i="40" s="1"/>
  <c r="B1856" i="40" s="1"/>
  <c r="B1857" i="40" s="1"/>
  <c r="B1858" i="40" s="1"/>
  <c r="B1859" i="40" s="1"/>
  <c r="B1860" i="40" s="1"/>
  <c r="B1861" i="40" s="1"/>
  <c r="B1862" i="40" s="1"/>
  <c r="B1863" i="40" s="1"/>
  <c r="B1864" i="40" s="1"/>
  <c r="B1865" i="40" s="1"/>
  <c r="B1866" i="40" s="1"/>
  <c r="B1867" i="40" s="1"/>
  <c r="B1868" i="40" s="1"/>
  <c r="B1869" i="40" s="1"/>
  <c r="B1870" i="40" s="1"/>
  <c r="B1871" i="40" s="1"/>
  <c r="B1872" i="40" s="1"/>
  <c r="B1873" i="40" s="1"/>
  <c r="B1874" i="40" s="1"/>
  <c r="B1875" i="40" s="1"/>
  <c r="B1876" i="40" s="1"/>
  <c r="B1877" i="40" s="1"/>
  <c r="B1878" i="40" s="1"/>
  <c r="B1879" i="40" s="1"/>
  <c r="B1880" i="40" s="1"/>
  <c r="B1881" i="40" s="1"/>
  <c r="B1882" i="40" s="1"/>
  <c r="B1883" i="40" s="1"/>
  <c r="B1884" i="40" s="1"/>
  <c r="B1885" i="40" s="1"/>
  <c r="B1886" i="40" s="1"/>
  <c r="B1887" i="40" s="1"/>
  <c r="B1888" i="40" s="1"/>
  <c r="B1889" i="40" s="1"/>
  <c r="B1890" i="40" s="1"/>
  <c r="B1891" i="40" s="1"/>
  <c r="B1892" i="40" s="1"/>
  <c r="B1893" i="40" s="1"/>
  <c r="B1894" i="40" s="1"/>
  <c r="B1895" i="40" s="1"/>
  <c r="B1896" i="40" s="1"/>
  <c r="B1897" i="40" s="1"/>
  <c r="B1898" i="40" s="1"/>
  <c r="B1899" i="40" s="1"/>
  <c r="B1900" i="40" s="1"/>
  <c r="B1901" i="40" s="1"/>
  <c r="B1902" i="40" s="1"/>
  <c r="B1903" i="40" s="1"/>
  <c r="B1904" i="40" s="1"/>
  <c r="B1905" i="40" s="1"/>
  <c r="B1906" i="40" s="1"/>
  <c r="B1907" i="40" s="1"/>
  <c r="B1908" i="40" s="1"/>
  <c r="B1909" i="40" s="1"/>
  <c r="B1910" i="40" s="1"/>
  <c r="B1911" i="40" s="1"/>
  <c r="B1912" i="40" s="1"/>
  <c r="B1913" i="40" s="1"/>
  <c r="B1914" i="40" s="1"/>
  <c r="B1915" i="40" s="1"/>
  <c r="B1916" i="40" s="1"/>
  <c r="B1917" i="40" s="1"/>
  <c r="B1918" i="40" s="1"/>
  <c r="B1919" i="40" s="1"/>
  <c r="B1920" i="40" s="1"/>
  <c r="B1921" i="40" s="1"/>
  <c r="B1922" i="40" s="1"/>
  <c r="B1923" i="40" s="1"/>
  <c r="B1924" i="40" s="1"/>
  <c r="B1925" i="40" s="1"/>
  <c r="B1926" i="40" s="1"/>
  <c r="B1927" i="40" s="1"/>
  <c r="B1928" i="40" s="1"/>
  <c r="B1929" i="40" s="1"/>
  <c r="B1930" i="40" s="1"/>
  <c r="B1931" i="40" s="1"/>
  <c r="B1932" i="40" s="1"/>
  <c r="B1933" i="40" s="1"/>
  <c r="B1934" i="40" s="1"/>
  <c r="B1935" i="40" s="1"/>
  <c r="B1936" i="40" s="1"/>
  <c r="B1937" i="40" s="1"/>
  <c r="B1938" i="40" s="1"/>
  <c r="B1939" i="40" s="1"/>
  <c r="B1940" i="40" s="1"/>
  <c r="B1941" i="40" s="1"/>
  <c r="B1942" i="40" s="1"/>
  <c r="B1943" i="40" s="1"/>
  <c r="B1944" i="40" s="1"/>
  <c r="B1945" i="40" s="1"/>
  <c r="B1946" i="40" s="1"/>
  <c r="B1947" i="40" s="1"/>
  <c r="B1948" i="40" s="1"/>
  <c r="B1949" i="40" s="1"/>
  <c r="B1950" i="40" s="1"/>
  <c r="B1951" i="40" s="1"/>
  <c r="B1952" i="40" s="1"/>
  <c r="B1953" i="40" s="1"/>
  <c r="B1954" i="40" s="1"/>
  <c r="B1955" i="40" s="1"/>
  <c r="B1956" i="40" s="1"/>
  <c r="B1957" i="40" s="1"/>
  <c r="B1958" i="40" s="1"/>
  <c r="B1959" i="40" s="1"/>
  <c r="B1960" i="40" s="1"/>
  <c r="B1961" i="40" s="1"/>
  <c r="B1962" i="40" s="1"/>
  <c r="B1963" i="40" s="1"/>
  <c r="B1964" i="40" s="1"/>
  <c r="B1965" i="40" s="1"/>
  <c r="B1966" i="40" s="1"/>
  <c r="B1967" i="40" s="1"/>
  <c r="B1968" i="40" s="1"/>
  <c r="B1969" i="40" s="1"/>
  <c r="B1970" i="40" s="1"/>
  <c r="B1971" i="40" s="1"/>
  <c r="B1972" i="40" s="1"/>
  <c r="B1973" i="40" s="1"/>
  <c r="B1974" i="40" s="1"/>
  <c r="B1975" i="40" s="1"/>
  <c r="B1976" i="40" s="1"/>
  <c r="B1977" i="40" s="1"/>
  <c r="B1978" i="40" s="1"/>
  <c r="B1979" i="40" s="1"/>
  <c r="B1980" i="40" s="1"/>
  <c r="B1981" i="40" s="1"/>
  <c r="B1982" i="40" s="1"/>
  <c r="B1983" i="40" s="1"/>
  <c r="B1984" i="40" s="1"/>
  <c r="B1985" i="40" s="1"/>
  <c r="B1986" i="40" s="1"/>
  <c r="B1987" i="40" s="1"/>
  <c r="B1988" i="40" s="1"/>
  <c r="B1989" i="40" s="1"/>
  <c r="B1990" i="40" s="1"/>
  <c r="B1991" i="40" s="1"/>
  <c r="B1992" i="40" s="1"/>
  <c r="B1993" i="40" s="1"/>
  <c r="B1994" i="40" s="1"/>
  <c r="B1995" i="40" s="1"/>
  <c r="B1996" i="40" s="1"/>
  <c r="B1997" i="40" s="1"/>
  <c r="B1998" i="40" s="1"/>
  <c r="B1999" i="40" s="1"/>
  <c r="B2000" i="40" s="1"/>
  <c r="B2001" i="40" s="1"/>
  <c r="B2002" i="40" s="1"/>
  <c r="B2003" i="40" s="1"/>
  <c r="B2004" i="40" s="1"/>
  <c r="B2005" i="40" s="1"/>
  <c r="B2006" i="40" s="1"/>
  <c r="B2007" i="40" s="1"/>
  <c r="B2008" i="40" s="1"/>
  <c r="B2009" i="40" s="1"/>
  <c r="B2010" i="40" s="1"/>
  <c r="B2011" i="40" s="1"/>
  <c r="B2012" i="40" s="1"/>
  <c r="B2013" i="40" s="1"/>
  <c r="B2014" i="40" s="1"/>
  <c r="B2015" i="40" s="1"/>
  <c r="B2016" i="40" s="1"/>
  <c r="B2017" i="40" s="1"/>
  <c r="B2018" i="40" s="1"/>
  <c r="B2019" i="40" s="1"/>
  <c r="B2020" i="40" s="1"/>
  <c r="B2021" i="40" s="1"/>
  <c r="B2022" i="40" s="1"/>
  <c r="B2023" i="40" s="1"/>
  <c r="B2024" i="40" s="1"/>
  <c r="B2025" i="40" s="1"/>
  <c r="B2026" i="40" s="1"/>
  <c r="B2027" i="40" s="1"/>
  <c r="B2028" i="40" s="1"/>
  <c r="B2029" i="40" s="1"/>
  <c r="B2030" i="40" s="1"/>
  <c r="B2031" i="40" s="1"/>
  <c r="B2032" i="40" s="1"/>
  <c r="B2033" i="40" s="1"/>
  <c r="B2034" i="40" s="1"/>
  <c r="B2035" i="40" s="1"/>
  <c r="B2036" i="40" s="1"/>
  <c r="B2037" i="40" s="1"/>
  <c r="B2038" i="40" s="1"/>
  <c r="B2039" i="40" s="1"/>
  <c r="B2040" i="40" s="1"/>
  <c r="B2041" i="40" s="1"/>
  <c r="B2042" i="40" s="1"/>
  <c r="B2043" i="40" s="1"/>
  <c r="B2044" i="40" s="1"/>
  <c r="B2045" i="40" s="1"/>
  <c r="B2046" i="40" s="1"/>
  <c r="B2047" i="40" s="1"/>
  <c r="B2048" i="40" s="1"/>
  <c r="B2049" i="40" s="1"/>
  <c r="B2050" i="40" s="1"/>
  <c r="B2051" i="40" s="1"/>
  <c r="B2052" i="40" s="1"/>
  <c r="B2053" i="40" s="1"/>
  <c r="B2054" i="40" s="1"/>
  <c r="B2055" i="40" s="1"/>
  <c r="B2056" i="40" s="1"/>
  <c r="B2057" i="40" s="1"/>
  <c r="B2058" i="40" s="1"/>
  <c r="B2059" i="40" s="1"/>
  <c r="B2060" i="40" s="1"/>
  <c r="B2061" i="40" s="1"/>
  <c r="B2062" i="40" s="1"/>
  <c r="B2063" i="40" s="1"/>
  <c r="B2064" i="40" s="1"/>
  <c r="B2065" i="40" s="1"/>
  <c r="B2066" i="40" s="1"/>
  <c r="B2067" i="40" s="1"/>
  <c r="B2068" i="40" s="1"/>
  <c r="B2069" i="40" s="1"/>
  <c r="B2070" i="40" s="1"/>
  <c r="B2071" i="40" s="1"/>
  <c r="B2072" i="40" s="1"/>
  <c r="B2073" i="40" s="1"/>
  <c r="B2074" i="40" s="1"/>
  <c r="B2075" i="40" s="1"/>
  <c r="B2076" i="40" s="1"/>
  <c r="B2077" i="40" s="1"/>
  <c r="B2078" i="40" s="1"/>
  <c r="B2079" i="40" s="1"/>
  <c r="B2080" i="40" s="1"/>
  <c r="B2081" i="40" s="1"/>
  <c r="B2082" i="40" s="1"/>
  <c r="B2083" i="40" s="1"/>
  <c r="B2084" i="40" s="1"/>
  <c r="B2085" i="40" s="1"/>
  <c r="B2086" i="40" s="1"/>
  <c r="B2087" i="40" s="1"/>
  <c r="B2088" i="40" s="1"/>
  <c r="B2089" i="40" s="1"/>
  <c r="B2090" i="40" s="1"/>
  <c r="B2091" i="40" s="1"/>
  <c r="B2092" i="40" s="1"/>
  <c r="B2093" i="40" s="1"/>
  <c r="B2094" i="40" s="1"/>
  <c r="B2095" i="40" s="1"/>
  <c r="B2096" i="40" s="1"/>
  <c r="B2097" i="40" s="1"/>
  <c r="B2098" i="40" s="1"/>
  <c r="B2099" i="40" s="1"/>
  <c r="B2100" i="40" s="1"/>
  <c r="B2101" i="40" s="1"/>
  <c r="B2102" i="40" s="1"/>
  <c r="B2103" i="40" s="1"/>
  <c r="B2104" i="40" s="1"/>
  <c r="B2105" i="40" s="1"/>
  <c r="B2106" i="40" s="1"/>
  <c r="B2107" i="40" s="1"/>
  <c r="B2108" i="40" s="1"/>
  <c r="B2109" i="40" s="1"/>
  <c r="B2110" i="40" s="1"/>
  <c r="B2111" i="40" s="1"/>
  <c r="B2112" i="40" s="1"/>
  <c r="B2113" i="40" s="1"/>
  <c r="B2114" i="40" s="1"/>
  <c r="B2115" i="40" s="1"/>
  <c r="B2116" i="40" s="1"/>
  <c r="B2117" i="40" s="1"/>
  <c r="B2118" i="40" s="1"/>
  <c r="B2119" i="40" s="1"/>
  <c r="B2120" i="40" s="1"/>
  <c r="B2121" i="40" s="1"/>
  <c r="B2122" i="40" s="1"/>
  <c r="B2123" i="40" s="1"/>
  <c r="B2124" i="40" s="1"/>
  <c r="B2125" i="40" s="1"/>
  <c r="B2126" i="40" s="1"/>
  <c r="B2127" i="40" s="1"/>
  <c r="B2128" i="40" s="1"/>
  <c r="B2129" i="40" s="1"/>
  <c r="B2130" i="40" s="1"/>
  <c r="B2131" i="40" s="1"/>
  <c r="B2132" i="40" s="1"/>
  <c r="B2133" i="40" s="1"/>
  <c r="B2134" i="40" s="1"/>
  <c r="B2135" i="40" s="1"/>
  <c r="B2136" i="40" s="1"/>
  <c r="B2137" i="40" s="1"/>
  <c r="B2138" i="40" s="1"/>
  <c r="B2139" i="40" s="1"/>
  <c r="B2140" i="40" s="1"/>
  <c r="B2141" i="40" s="1"/>
  <c r="B2142" i="40" s="1"/>
  <c r="B2143" i="40" s="1"/>
  <c r="B2144" i="40" s="1"/>
  <c r="B2145" i="40" s="1"/>
  <c r="B2146" i="40" s="1"/>
  <c r="B2147" i="40" s="1"/>
  <c r="B2148" i="40" s="1"/>
  <c r="B2149" i="40" s="1"/>
  <c r="B2150" i="40" s="1"/>
  <c r="B2151" i="40" s="1"/>
  <c r="B2152" i="40" s="1"/>
  <c r="B2153" i="40" s="1"/>
  <c r="B2154" i="40" s="1"/>
  <c r="B2155" i="40" s="1"/>
  <c r="B2156" i="40" s="1"/>
  <c r="B2157" i="40" s="1"/>
  <c r="B2158" i="40" s="1"/>
  <c r="B2159" i="40" s="1"/>
  <c r="B2160" i="40" s="1"/>
  <c r="B2161" i="40" s="1"/>
  <c r="B2162" i="40" s="1"/>
  <c r="B2163" i="40" s="1"/>
  <c r="B2164" i="40" s="1"/>
  <c r="B2165" i="40" s="1"/>
  <c r="B2166" i="40" s="1"/>
  <c r="B2167" i="40" s="1"/>
  <c r="B2168" i="40" s="1"/>
  <c r="B2169" i="40" s="1"/>
  <c r="B2170" i="40" s="1"/>
  <c r="B2171" i="40" s="1"/>
  <c r="B2172" i="40" s="1"/>
  <c r="B2173" i="40" s="1"/>
  <c r="B2174" i="40" s="1"/>
  <c r="B2175" i="40" s="1"/>
  <c r="B2176" i="40" s="1"/>
  <c r="B2177" i="40" s="1"/>
  <c r="B2178" i="40" s="1"/>
  <c r="B2179" i="40" s="1"/>
  <c r="B2180" i="40" s="1"/>
  <c r="B2181" i="40" s="1"/>
  <c r="B2182" i="40" s="1"/>
  <c r="B2183" i="40" s="1"/>
  <c r="B2184" i="40" s="1"/>
  <c r="B2185" i="40" s="1"/>
  <c r="B2186" i="40" s="1"/>
  <c r="B2187" i="40" s="1"/>
  <c r="B2188" i="40" s="1"/>
  <c r="B2189" i="40" s="1"/>
  <c r="B2190" i="40" s="1"/>
  <c r="B2191" i="40" s="1"/>
  <c r="B2192" i="40" s="1"/>
  <c r="B2193" i="40" s="1"/>
  <c r="B2194" i="40" s="1"/>
  <c r="B2195" i="40" s="1"/>
  <c r="B2196" i="40" s="1"/>
  <c r="B2197" i="40" s="1"/>
  <c r="B2198" i="40" s="1"/>
  <c r="B2199" i="40" s="1"/>
  <c r="B2200" i="40" s="1"/>
  <c r="B2201" i="40" s="1"/>
  <c r="B2202" i="40" s="1"/>
  <c r="B2203" i="40" s="1"/>
  <c r="B2204" i="40" s="1"/>
  <c r="B2205" i="40" s="1"/>
  <c r="B2206" i="40" s="1"/>
  <c r="B2207" i="40" s="1"/>
  <c r="B2208" i="40" s="1"/>
  <c r="B2209" i="40" s="1"/>
  <c r="B2210" i="40" s="1"/>
  <c r="B2211" i="40" s="1"/>
  <c r="B2212" i="40" s="1"/>
  <c r="B2213" i="40" s="1"/>
  <c r="B2214" i="40" s="1"/>
  <c r="B2215" i="40" s="1"/>
  <c r="B2216" i="40" s="1"/>
  <c r="B2217" i="40" s="1"/>
  <c r="B2218" i="40" s="1"/>
  <c r="B2219" i="40" s="1"/>
  <c r="B2220" i="40" s="1"/>
  <c r="B2221" i="40" s="1"/>
  <c r="B2222" i="40" s="1"/>
  <c r="B2223" i="40" s="1"/>
  <c r="B2224" i="40" s="1"/>
  <c r="B2225" i="40" s="1"/>
  <c r="B2226" i="40" s="1"/>
  <c r="B2227" i="40" s="1"/>
  <c r="B2228" i="40" s="1"/>
  <c r="B2229" i="40" s="1"/>
  <c r="B2230" i="40" s="1"/>
  <c r="B2231" i="40" s="1"/>
  <c r="B2232" i="40" s="1"/>
  <c r="B2233" i="40" s="1"/>
  <c r="B2234" i="40" s="1"/>
  <c r="B2235" i="40" s="1"/>
  <c r="B2236" i="40" s="1"/>
  <c r="B2237" i="40" s="1"/>
  <c r="B2238" i="40" s="1"/>
  <c r="B2239" i="40" s="1"/>
  <c r="B2240" i="40" s="1"/>
  <c r="B2241" i="40" s="1"/>
  <c r="B2242" i="40" s="1"/>
  <c r="B2243" i="40" s="1"/>
  <c r="B2244" i="40" s="1"/>
  <c r="B2245" i="40" s="1"/>
  <c r="B2246" i="40" s="1"/>
  <c r="B2247" i="40" s="1"/>
  <c r="B2248" i="40" s="1"/>
  <c r="B2249" i="40" s="1"/>
  <c r="B2250" i="40" s="1"/>
  <c r="B2251" i="40" s="1"/>
  <c r="B2252" i="40" s="1"/>
  <c r="B2253" i="40" s="1"/>
  <c r="B2254" i="40" s="1"/>
  <c r="B2255" i="40" s="1"/>
  <c r="B2256" i="40" s="1"/>
  <c r="B2257" i="40" s="1"/>
  <c r="B2258" i="40" s="1"/>
  <c r="B2259" i="40" s="1"/>
  <c r="B2260" i="40" s="1"/>
  <c r="B2261" i="40" s="1"/>
  <c r="B2262" i="40" s="1"/>
  <c r="B2263" i="40" s="1"/>
  <c r="B2264" i="40" s="1"/>
  <c r="B2265" i="40" s="1"/>
  <c r="B2266" i="40" s="1"/>
  <c r="B2267" i="40" s="1"/>
  <c r="B2268" i="40" s="1"/>
  <c r="B2269" i="40" s="1"/>
  <c r="B2270" i="40" s="1"/>
  <c r="B2271" i="40" s="1"/>
  <c r="B2272" i="40" s="1"/>
  <c r="B2273" i="40" s="1"/>
  <c r="B2274" i="40" s="1"/>
  <c r="B2275" i="40" s="1"/>
  <c r="B2276" i="40" s="1"/>
  <c r="B2277" i="40" s="1"/>
  <c r="B2278" i="40" s="1"/>
  <c r="B2279" i="40" s="1"/>
  <c r="B2280" i="40" s="1"/>
  <c r="B2281" i="40" s="1"/>
  <c r="B2282" i="40" s="1"/>
  <c r="B2283" i="40" s="1"/>
  <c r="B2284" i="40" s="1"/>
  <c r="B2285" i="40" s="1"/>
  <c r="B2286" i="40" s="1"/>
  <c r="B2287" i="40" s="1"/>
  <c r="B2288" i="40" s="1"/>
  <c r="B2289" i="40" s="1"/>
  <c r="B2290" i="40" s="1"/>
  <c r="B2291" i="40" s="1"/>
  <c r="B2292" i="40" s="1"/>
  <c r="B2293" i="40" s="1"/>
  <c r="B2294" i="40" s="1"/>
  <c r="B2295" i="40" s="1"/>
  <c r="B2296" i="40" s="1"/>
  <c r="B2297" i="40" s="1"/>
  <c r="B2298" i="40" s="1"/>
  <c r="B2299" i="40" s="1"/>
  <c r="B2300" i="40" s="1"/>
  <c r="B2301" i="40" s="1"/>
  <c r="B2302" i="40" s="1"/>
  <c r="B2303" i="40" s="1"/>
  <c r="B2304" i="40" s="1"/>
  <c r="B2305" i="40" s="1"/>
  <c r="B2306" i="40" s="1"/>
  <c r="B2307" i="40" s="1"/>
  <c r="B2308" i="40" s="1"/>
  <c r="B2309" i="40" s="1"/>
  <c r="B2310" i="40" s="1"/>
  <c r="B2311" i="40" s="1"/>
  <c r="B2312" i="40" s="1"/>
  <c r="B2313" i="40" s="1"/>
  <c r="B2314" i="40" s="1"/>
  <c r="B2315" i="40" s="1"/>
  <c r="B2316" i="40" s="1"/>
  <c r="B2317" i="40" s="1"/>
  <c r="B2318" i="40" s="1"/>
  <c r="B2319" i="40" s="1"/>
  <c r="B2320" i="40" s="1"/>
  <c r="B2321" i="40" s="1"/>
  <c r="B2322" i="40" s="1"/>
  <c r="B2323" i="40" s="1"/>
  <c r="B2324" i="40" s="1"/>
  <c r="B2325" i="40" s="1"/>
  <c r="B2326" i="40" s="1"/>
  <c r="B2327" i="40" s="1"/>
  <c r="B2328" i="40" s="1"/>
  <c r="B2329" i="40" s="1"/>
  <c r="B2330" i="40" s="1"/>
  <c r="B2331" i="40" s="1"/>
  <c r="B2332" i="40" s="1"/>
  <c r="B2333" i="40" s="1"/>
  <c r="B2334" i="40" s="1"/>
  <c r="B2335" i="40" s="1"/>
  <c r="B2336" i="40" s="1"/>
  <c r="B2337" i="40" s="1"/>
  <c r="B2338" i="40" s="1"/>
  <c r="B2339" i="40" s="1"/>
  <c r="B2340" i="40" s="1"/>
  <c r="B2341" i="40" s="1"/>
  <c r="B2342" i="40" s="1"/>
  <c r="B2343" i="40" s="1"/>
  <c r="B2344" i="40" s="1"/>
  <c r="B2345" i="40" s="1"/>
  <c r="B2346" i="40" s="1"/>
  <c r="B2347" i="40" s="1"/>
  <c r="B2348" i="40" s="1"/>
  <c r="B2349" i="40" s="1"/>
  <c r="B2350" i="40" s="1"/>
  <c r="B2351" i="40" s="1"/>
  <c r="B2352" i="40" s="1"/>
  <c r="B2353" i="40" s="1"/>
  <c r="B2354" i="40" s="1"/>
  <c r="B2355" i="40" s="1"/>
  <c r="B2356" i="40" s="1"/>
  <c r="B2357" i="40" s="1"/>
  <c r="B2358" i="40" s="1"/>
  <c r="B2359" i="40" s="1"/>
  <c r="B2360" i="40" s="1"/>
  <c r="B2361" i="40" s="1"/>
  <c r="B2362" i="40" s="1"/>
  <c r="B2363" i="40" s="1"/>
  <c r="B2364" i="40" s="1"/>
  <c r="B2365" i="40" s="1"/>
  <c r="B2366" i="40" s="1"/>
  <c r="B2367" i="40" s="1"/>
  <c r="B2368" i="40" s="1"/>
  <c r="B2369" i="40" s="1"/>
  <c r="B2370" i="40" s="1"/>
  <c r="B2371" i="40" s="1"/>
  <c r="B2372" i="40" s="1"/>
  <c r="B2373" i="40" s="1"/>
  <c r="B2374" i="40" s="1"/>
  <c r="B2375" i="40" s="1"/>
  <c r="B2376" i="40" s="1"/>
  <c r="B2377" i="40" s="1"/>
  <c r="B2378" i="40" s="1"/>
  <c r="B2379" i="40" s="1"/>
  <c r="B2380" i="40" s="1"/>
  <c r="B2381" i="40" s="1"/>
  <c r="B2382" i="40" s="1"/>
  <c r="B2383" i="40" s="1"/>
  <c r="B2384" i="40" s="1"/>
  <c r="B2385" i="40" s="1"/>
  <c r="B2386" i="40" s="1"/>
  <c r="B2387" i="40" s="1"/>
  <c r="B2388" i="40" s="1"/>
  <c r="B2389" i="40" s="1"/>
  <c r="B2390" i="40" s="1"/>
  <c r="B2391" i="40" s="1"/>
  <c r="B2392" i="40" s="1"/>
  <c r="B2393" i="40" s="1"/>
  <c r="B2394" i="40" s="1"/>
  <c r="B2395" i="40" s="1"/>
  <c r="B2396" i="40" s="1"/>
  <c r="B2397" i="40" s="1"/>
  <c r="B2398" i="40" s="1"/>
  <c r="B2399" i="40" s="1"/>
  <c r="B2400" i="40" s="1"/>
  <c r="B2401" i="40" s="1"/>
  <c r="B2402" i="40" s="1"/>
  <c r="B2403" i="40" s="1"/>
  <c r="B2404" i="40" s="1"/>
  <c r="B2405" i="40" s="1"/>
  <c r="B2406" i="40" s="1"/>
  <c r="B2407" i="40" s="1"/>
  <c r="B2408" i="40" s="1"/>
  <c r="B2409" i="40" s="1"/>
  <c r="B2410" i="40" s="1"/>
  <c r="B2411" i="40" s="1"/>
  <c r="B2412" i="40" s="1"/>
  <c r="B2413" i="40" s="1"/>
  <c r="B2414" i="40" s="1"/>
  <c r="B2415" i="40" s="1"/>
  <c r="B2416" i="40" s="1"/>
  <c r="B2417" i="40" s="1"/>
  <c r="B2418" i="40" s="1"/>
  <c r="B2419" i="40" s="1"/>
  <c r="B2420" i="40" s="1"/>
  <c r="B2421" i="40" s="1"/>
  <c r="B2422" i="40" s="1"/>
  <c r="B2423" i="40" s="1"/>
  <c r="B2424" i="40" s="1"/>
  <c r="B2425" i="40" s="1"/>
  <c r="B2426" i="40" s="1"/>
  <c r="B2427" i="40" s="1"/>
  <c r="B2428" i="40" s="1"/>
  <c r="B2429" i="40" s="1"/>
  <c r="B2430" i="40" s="1"/>
  <c r="B2431" i="40" s="1"/>
  <c r="B2432" i="40" s="1"/>
  <c r="B2433" i="40" s="1"/>
  <c r="B2434" i="40" s="1"/>
  <c r="B2435" i="40" s="1"/>
  <c r="B2436" i="40" s="1"/>
  <c r="B2437" i="40" s="1"/>
  <c r="B2438" i="40" s="1"/>
  <c r="B2439" i="40" s="1"/>
  <c r="B2440" i="40" s="1"/>
  <c r="B2441" i="40" s="1"/>
  <c r="B2442" i="40" s="1"/>
  <c r="B2443" i="40" s="1"/>
  <c r="B2444" i="40" s="1"/>
  <c r="B2445" i="40" s="1"/>
  <c r="B2446" i="40" s="1"/>
  <c r="B2447" i="40" s="1"/>
  <c r="B2448" i="40" s="1"/>
  <c r="B2449" i="40" s="1"/>
  <c r="B2450" i="40" s="1"/>
  <c r="B2451" i="40" s="1"/>
  <c r="B2452" i="40" s="1"/>
  <c r="B2453" i="40" s="1"/>
  <c r="B2454" i="40" s="1"/>
  <c r="B2455" i="40" s="1"/>
  <c r="B2456" i="40" s="1"/>
  <c r="B2457" i="40" s="1"/>
  <c r="B2458" i="40" s="1"/>
  <c r="B2459" i="40" s="1"/>
  <c r="B2460" i="40" s="1"/>
  <c r="B2461" i="40" s="1"/>
  <c r="B2462" i="40" s="1"/>
  <c r="B2463" i="40" s="1"/>
  <c r="B2464" i="40" s="1"/>
  <c r="B2465" i="40" s="1"/>
  <c r="B2466" i="40" s="1"/>
  <c r="B2467" i="40" s="1"/>
  <c r="B2468" i="40" s="1"/>
  <c r="B2469" i="40" s="1"/>
  <c r="B2470" i="40" s="1"/>
  <c r="B2471" i="40" s="1"/>
  <c r="B2472" i="40" s="1"/>
  <c r="B2473" i="40" s="1"/>
  <c r="B2474" i="40" s="1"/>
  <c r="B2475" i="40" s="1"/>
  <c r="B2476" i="40" s="1"/>
  <c r="B2477" i="40" s="1"/>
  <c r="B2478" i="40" s="1"/>
  <c r="B2479" i="40" s="1"/>
  <c r="B2480" i="40" s="1"/>
  <c r="B2481" i="40" s="1"/>
  <c r="B2482" i="40" s="1"/>
  <c r="B2483" i="40" s="1"/>
  <c r="B2484" i="40" s="1"/>
  <c r="B2485" i="40" s="1"/>
  <c r="B2486" i="40" s="1"/>
  <c r="B2487" i="40" s="1"/>
  <c r="B2488" i="40" s="1"/>
  <c r="B2489" i="40" s="1"/>
  <c r="B2490" i="40" s="1"/>
  <c r="B2491" i="40" s="1"/>
  <c r="B2492" i="40" s="1"/>
  <c r="B2493" i="40" s="1"/>
  <c r="B2494" i="40" s="1"/>
  <c r="B2495" i="40" s="1"/>
  <c r="B2496" i="40" s="1"/>
  <c r="B2497" i="40" s="1"/>
  <c r="B2498" i="40" s="1"/>
  <c r="B2499" i="40" s="1"/>
  <c r="B2500" i="40" s="1"/>
  <c r="B2501" i="40" s="1"/>
  <c r="B2502" i="40" s="1"/>
  <c r="B2503" i="40" s="1"/>
  <c r="B2504" i="40" s="1"/>
  <c r="B2505" i="40" s="1"/>
  <c r="B2506" i="40" s="1"/>
  <c r="B2507" i="40" s="1"/>
  <c r="B2508" i="40" s="1"/>
  <c r="B2509" i="40" s="1"/>
  <c r="B2510" i="40" s="1"/>
  <c r="B2511" i="40" s="1"/>
  <c r="B2512" i="40" s="1"/>
  <c r="B2513" i="40" s="1"/>
  <c r="B2514" i="40" s="1"/>
  <c r="B2515" i="40" s="1"/>
  <c r="B2516" i="40" s="1"/>
  <c r="B2517" i="40" s="1"/>
  <c r="B2518" i="40" s="1"/>
  <c r="B2519" i="40" s="1"/>
  <c r="B2520" i="40" s="1"/>
  <c r="B2521" i="40" s="1"/>
  <c r="B2522" i="40" s="1"/>
  <c r="B2523" i="40" s="1"/>
  <c r="B2524" i="40" s="1"/>
  <c r="B2525" i="40" s="1"/>
  <c r="B2526" i="40" s="1"/>
  <c r="B2527" i="40" s="1"/>
  <c r="B2528" i="40" s="1"/>
  <c r="B2529" i="40" s="1"/>
  <c r="B2530" i="40" s="1"/>
  <c r="B2531" i="40" s="1"/>
  <c r="B2532" i="40" s="1"/>
  <c r="B2533" i="40" s="1"/>
  <c r="B2534" i="40" s="1"/>
  <c r="B2535" i="40" s="1"/>
  <c r="B2536" i="40" s="1"/>
  <c r="B2537" i="40" s="1"/>
  <c r="B2538" i="40" s="1"/>
  <c r="B2539" i="40" s="1"/>
  <c r="B2540" i="40" s="1"/>
  <c r="B2541" i="40" s="1"/>
  <c r="B2542" i="40" s="1"/>
  <c r="B2543" i="40" s="1"/>
  <c r="B2544" i="40" s="1"/>
  <c r="B2545" i="40" s="1"/>
  <c r="B2546" i="40" s="1"/>
  <c r="B2547" i="40" s="1"/>
  <c r="B2548" i="40" s="1"/>
  <c r="B2549" i="40" s="1"/>
  <c r="B2550" i="40" s="1"/>
  <c r="B2551" i="40" s="1"/>
  <c r="B2552" i="40" s="1"/>
  <c r="B2553" i="40" s="1"/>
  <c r="B2554" i="40" s="1"/>
  <c r="B2555" i="40" s="1"/>
  <c r="B2556" i="40" s="1"/>
  <c r="B2557" i="40" s="1"/>
  <c r="B2558" i="40" s="1"/>
  <c r="B2559" i="40" s="1"/>
  <c r="B2560" i="40" s="1"/>
  <c r="B2561" i="40" s="1"/>
  <c r="B2562" i="40" s="1"/>
  <c r="B2563" i="40" s="1"/>
  <c r="B2564" i="40" s="1"/>
  <c r="B2565" i="40" s="1"/>
  <c r="B2566" i="40" s="1"/>
  <c r="B2567" i="40" s="1"/>
  <c r="B2568" i="40" s="1"/>
  <c r="B2569" i="40" s="1"/>
  <c r="B2570" i="40" s="1"/>
  <c r="B2571" i="40" s="1"/>
  <c r="B2572" i="40" s="1"/>
  <c r="B2573" i="40" s="1"/>
  <c r="B2574" i="40" s="1"/>
  <c r="B2575" i="40" s="1"/>
  <c r="B2576" i="40" s="1"/>
  <c r="B2577" i="40" s="1"/>
  <c r="B2578" i="40" s="1"/>
  <c r="B2579" i="40" s="1"/>
  <c r="B2580" i="40" s="1"/>
  <c r="B2581" i="40" s="1"/>
  <c r="B2582" i="40" s="1"/>
  <c r="B2583" i="40" s="1"/>
  <c r="B2584" i="40" s="1"/>
  <c r="B2585" i="40" s="1"/>
  <c r="B2586" i="40" s="1"/>
  <c r="B2587" i="40" s="1"/>
  <c r="B2588" i="40" s="1"/>
  <c r="B2589" i="40" s="1"/>
  <c r="B2590" i="40" s="1"/>
  <c r="B2591" i="40" s="1"/>
  <c r="B2592" i="40" s="1"/>
  <c r="B2593" i="40" s="1"/>
  <c r="B2594" i="40" s="1"/>
  <c r="B2595" i="40" s="1"/>
  <c r="B2596" i="40" s="1"/>
  <c r="B2597" i="40" s="1"/>
  <c r="B2598" i="40" s="1"/>
  <c r="B2599" i="40" s="1"/>
  <c r="B2600" i="40" s="1"/>
  <c r="B2601" i="40" s="1"/>
  <c r="B2602" i="40" s="1"/>
  <c r="B2603" i="40" s="1"/>
  <c r="B2604" i="40" s="1"/>
  <c r="B2605" i="40" s="1"/>
  <c r="B2606" i="40" s="1"/>
  <c r="B2607" i="40" s="1"/>
  <c r="B2608" i="40" s="1"/>
  <c r="B2609" i="40" s="1"/>
  <c r="B2610" i="40" s="1"/>
  <c r="B2611" i="40" s="1"/>
  <c r="B2612" i="40" s="1"/>
  <c r="B2613" i="40" s="1"/>
  <c r="B2614" i="40" s="1"/>
  <c r="B2615" i="40" s="1"/>
  <c r="B2616" i="40" s="1"/>
  <c r="B2617" i="40" s="1"/>
  <c r="B2618" i="40" s="1"/>
  <c r="B2619" i="40" s="1"/>
  <c r="B2620" i="40" s="1"/>
  <c r="B2621" i="40" s="1"/>
  <c r="B2622" i="40" s="1"/>
  <c r="B2623" i="40" s="1"/>
  <c r="B2624" i="40" s="1"/>
  <c r="B2625" i="40" s="1"/>
  <c r="B2626" i="40" s="1"/>
  <c r="B2627" i="40" s="1"/>
  <c r="B2628" i="40" s="1"/>
  <c r="B2629" i="40" s="1"/>
  <c r="B2630" i="40" s="1"/>
  <c r="B2631" i="40" s="1"/>
  <c r="B2632" i="40" s="1"/>
  <c r="B2633" i="40" s="1"/>
  <c r="B2634" i="40" s="1"/>
  <c r="B2635" i="40" s="1"/>
  <c r="B2636" i="40" s="1"/>
  <c r="B2637" i="40" s="1"/>
  <c r="B2638" i="40" s="1"/>
  <c r="B2639" i="40" s="1"/>
  <c r="B2640" i="40" s="1"/>
  <c r="B2641" i="40" s="1"/>
  <c r="B2642" i="40" s="1"/>
  <c r="B2643" i="40" s="1"/>
  <c r="B2644" i="40" s="1"/>
  <c r="B2645" i="40" s="1"/>
  <c r="B2646" i="40" s="1"/>
  <c r="B2647" i="40" s="1"/>
  <c r="B2648" i="40" s="1"/>
  <c r="B2649" i="40" s="1"/>
  <c r="B2650" i="40" s="1"/>
  <c r="B2651" i="40" s="1"/>
  <c r="B2652" i="40" s="1"/>
  <c r="B2653" i="40" s="1"/>
  <c r="B2654" i="40" s="1"/>
  <c r="B2655" i="40" s="1"/>
  <c r="B2656" i="40" s="1"/>
  <c r="B2657" i="40" s="1"/>
  <c r="B2658" i="40" s="1"/>
  <c r="B2659" i="40" s="1"/>
  <c r="B2660" i="40" s="1"/>
  <c r="B2661" i="40" s="1"/>
  <c r="B2662" i="40" s="1"/>
  <c r="B2663" i="40" s="1"/>
  <c r="B2664" i="40" s="1"/>
  <c r="B2665" i="40" s="1"/>
  <c r="B2666" i="40" s="1"/>
  <c r="B2667" i="40" s="1"/>
  <c r="B2668" i="40" s="1"/>
  <c r="B2669" i="40" s="1"/>
  <c r="B2670" i="40" s="1"/>
  <c r="B2671" i="40" s="1"/>
  <c r="B2672" i="40" s="1"/>
  <c r="B2673" i="40" s="1"/>
  <c r="B2674" i="40" s="1"/>
  <c r="B2675" i="40" s="1"/>
  <c r="B2676" i="40" s="1"/>
  <c r="B2677" i="40" s="1"/>
  <c r="B2678" i="40" s="1"/>
  <c r="B2679" i="40" s="1"/>
  <c r="B2680" i="40" s="1"/>
  <c r="B2681" i="40" s="1"/>
  <c r="B2682" i="40" s="1"/>
  <c r="B2683" i="40" s="1"/>
  <c r="B2684" i="40" s="1"/>
  <c r="B2685" i="40" s="1"/>
  <c r="B2686" i="40" s="1"/>
  <c r="B2687" i="40" s="1"/>
  <c r="B2688" i="40" s="1"/>
  <c r="B2689" i="40" s="1"/>
  <c r="B2690" i="40" s="1"/>
  <c r="B2691" i="40" s="1"/>
  <c r="B2692" i="40" s="1"/>
  <c r="B2693" i="40" s="1"/>
  <c r="B2694" i="40" s="1"/>
  <c r="B2695" i="40" s="1"/>
  <c r="B2696" i="40" s="1"/>
  <c r="B2697" i="40" s="1"/>
  <c r="B2698" i="40" s="1"/>
  <c r="B2699" i="40" s="1"/>
  <c r="B2700" i="40" s="1"/>
  <c r="B2701" i="40" s="1"/>
  <c r="B2702" i="40" s="1"/>
  <c r="B2703" i="40" s="1"/>
  <c r="B2704" i="40" s="1"/>
  <c r="B2705" i="40" s="1"/>
  <c r="B2706" i="40" s="1"/>
  <c r="B2707" i="40" s="1"/>
  <c r="B2708" i="40" s="1"/>
  <c r="B2709" i="40" s="1"/>
  <c r="B2710" i="40" s="1"/>
  <c r="B2711" i="40" s="1"/>
  <c r="B2712" i="40" s="1"/>
  <c r="B2713" i="40" s="1"/>
  <c r="B2714" i="40" s="1"/>
  <c r="B2715" i="40" s="1"/>
  <c r="B2716" i="40" s="1"/>
  <c r="B2717" i="40" s="1"/>
  <c r="B2718" i="40" s="1"/>
  <c r="B2719" i="40" s="1"/>
  <c r="B2720" i="40" s="1"/>
  <c r="B2721" i="40" s="1"/>
  <c r="B2722" i="40" s="1"/>
  <c r="B2723" i="40" s="1"/>
  <c r="B2724" i="40" s="1"/>
  <c r="B2725" i="40" s="1"/>
  <c r="B2726" i="40" s="1"/>
  <c r="B2727" i="40" s="1"/>
  <c r="B2728" i="40" s="1"/>
  <c r="B2729" i="40" s="1"/>
  <c r="B2730" i="40" s="1"/>
  <c r="B2731" i="40" s="1"/>
  <c r="B2732" i="40" s="1"/>
  <c r="B2733" i="40" s="1"/>
  <c r="B2734" i="40" s="1"/>
  <c r="B2735" i="40" s="1"/>
  <c r="B2736" i="40" s="1"/>
  <c r="B2737" i="40" s="1"/>
  <c r="B2738" i="40" s="1"/>
  <c r="B2739" i="40" s="1"/>
  <c r="B2740" i="40" s="1"/>
  <c r="B2741" i="40" s="1"/>
  <c r="B2742" i="40" s="1"/>
  <c r="B2743" i="40" s="1"/>
  <c r="B2744" i="40" s="1"/>
  <c r="B2745" i="40" s="1"/>
  <c r="B2746" i="40" s="1"/>
  <c r="B2747" i="40" s="1"/>
  <c r="B2748" i="40" s="1"/>
  <c r="B2749" i="40" s="1"/>
  <c r="B2750" i="40" s="1"/>
  <c r="B2751" i="40" s="1"/>
  <c r="B2752" i="40" s="1"/>
  <c r="B2753" i="40" s="1"/>
  <c r="B2754" i="40" s="1"/>
  <c r="B2755" i="40" s="1"/>
  <c r="B2756" i="40" s="1"/>
  <c r="B2757" i="40" s="1"/>
  <c r="B2758" i="40" s="1"/>
  <c r="B2759" i="40" s="1"/>
  <c r="B2760" i="40" s="1"/>
  <c r="B2761" i="40" s="1"/>
  <c r="B2762" i="40" s="1"/>
  <c r="B2763" i="40" s="1"/>
  <c r="B2764" i="40" s="1"/>
  <c r="B2765" i="40" s="1"/>
  <c r="B2766" i="40" s="1"/>
  <c r="B2767" i="40" s="1"/>
  <c r="B2768" i="40" s="1"/>
  <c r="B2769" i="40" s="1"/>
  <c r="B2770" i="40" s="1"/>
  <c r="B2771" i="40" s="1"/>
  <c r="B2772" i="40" s="1"/>
  <c r="B2773" i="40" s="1"/>
  <c r="B2774" i="40" s="1"/>
  <c r="B2775" i="40" s="1"/>
  <c r="B2776" i="40" s="1"/>
  <c r="B2777" i="40" s="1"/>
  <c r="B2778" i="40" s="1"/>
  <c r="B2779" i="40" s="1"/>
  <c r="B2780" i="40" s="1"/>
  <c r="B2781" i="40" s="1"/>
  <c r="B2782" i="40" s="1"/>
  <c r="B2783" i="40" s="1"/>
  <c r="B2784" i="40" s="1"/>
  <c r="B2785" i="40" s="1"/>
  <c r="B2786" i="40" s="1"/>
  <c r="B2787" i="40" s="1"/>
  <c r="B2788" i="40" s="1"/>
  <c r="B2789" i="40" s="1"/>
  <c r="B2790" i="40" s="1"/>
  <c r="B2791" i="40" s="1"/>
  <c r="B2792" i="40" s="1"/>
  <c r="B2793" i="40" s="1"/>
  <c r="B2794" i="40" s="1"/>
  <c r="B2795" i="40" s="1"/>
  <c r="B2796" i="40" s="1"/>
  <c r="B2797" i="40" s="1"/>
  <c r="B2798" i="40" s="1"/>
  <c r="B2799" i="40" s="1"/>
  <c r="B2800" i="40" s="1"/>
  <c r="B2801" i="40" s="1"/>
  <c r="B2802" i="40" s="1"/>
  <c r="B2803" i="40" s="1"/>
  <c r="B2804" i="40" s="1"/>
  <c r="B2805" i="40" s="1"/>
  <c r="B2806" i="40" s="1"/>
  <c r="B2807" i="40" s="1"/>
  <c r="B2808" i="40" s="1"/>
  <c r="B2809" i="40" s="1"/>
  <c r="B2810" i="40" s="1"/>
  <c r="B2811" i="40" s="1"/>
  <c r="B2812" i="40" s="1"/>
  <c r="B2813" i="40" s="1"/>
  <c r="B2814" i="40" s="1"/>
  <c r="B2815" i="40" s="1"/>
  <c r="B2816" i="40" s="1"/>
  <c r="B2817" i="40" s="1"/>
  <c r="B2818" i="40" s="1"/>
  <c r="B2819" i="40" s="1"/>
  <c r="B2820" i="40" s="1"/>
  <c r="B2821" i="40" s="1"/>
  <c r="B2822" i="40" s="1"/>
  <c r="B2823" i="40" s="1"/>
  <c r="B2824" i="40" s="1"/>
  <c r="B2825" i="40" s="1"/>
  <c r="B2826" i="40" s="1"/>
  <c r="B2827" i="40" s="1"/>
  <c r="B2828" i="40" s="1"/>
  <c r="B2829" i="40" s="1"/>
  <c r="B2830" i="40" s="1"/>
  <c r="B2831" i="40" s="1"/>
  <c r="B2832" i="40" s="1"/>
  <c r="B2833" i="40" s="1"/>
  <c r="B2834" i="40" s="1"/>
  <c r="B2835" i="40" s="1"/>
  <c r="B2836" i="40" s="1"/>
  <c r="B2837" i="40" s="1"/>
  <c r="B2838" i="40" s="1"/>
  <c r="B2839" i="40" s="1"/>
  <c r="B2840" i="40" s="1"/>
  <c r="B2841" i="40" s="1"/>
  <c r="B2842" i="40" s="1"/>
  <c r="B2843" i="40" s="1"/>
  <c r="B2844" i="40" s="1"/>
  <c r="B2845" i="40" s="1"/>
  <c r="B2846" i="40" s="1"/>
  <c r="B2847" i="40" s="1"/>
  <c r="B2848" i="40" s="1"/>
  <c r="B2849" i="40" s="1"/>
  <c r="B2850" i="40" s="1"/>
  <c r="B2851" i="40" s="1"/>
  <c r="B2852" i="40" s="1"/>
  <c r="B2853" i="40" s="1"/>
  <c r="B2854" i="40" s="1"/>
  <c r="B2855" i="40" s="1"/>
  <c r="B2856" i="40" s="1"/>
  <c r="B2857" i="40" s="1"/>
  <c r="B2858" i="40" s="1"/>
  <c r="B2859" i="40" s="1"/>
  <c r="B2860" i="40" s="1"/>
  <c r="B2861" i="40" s="1"/>
  <c r="B2862" i="40" s="1"/>
  <c r="B2863" i="40" s="1"/>
  <c r="B2864" i="40" s="1"/>
  <c r="B2865" i="40" s="1"/>
  <c r="B2866" i="40" s="1"/>
  <c r="B2867" i="40" s="1"/>
  <c r="B2868" i="40" s="1"/>
  <c r="B2869" i="40" s="1"/>
  <c r="B2870" i="40" s="1"/>
  <c r="B2871" i="40" s="1"/>
  <c r="B2872" i="40" s="1"/>
  <c r="B2873" i="40" s="1"/>
  <c r="B2874" i="40" s="1"/>
  <c r="B2875" i="40" s="1"/>
  <c r="B2876" i="40" s="1"/>
  <c r="B2877" i="40" s="1"/>
  <c r="B2878" i="40" s="1"/>
  <c r="B2879" i="40" s="1"/>
  <c r="B2880" i="40" s="1"/>
  <c r="B2881" i="40" s="1"/>
  <c r="B2882" i="40" s="1"/>
  <c r="B2883" i="40" s="1"/>
  <c r="B2884" i="40" s="1"/>
  <c r="B2885" i="40" s="1"/>
  <c r="B2886" i="40" s="1"/>
  <c r="B2887" i="40" s="1"/>
  <c r="B2888" i="40" s="1"/>
  <c r="B2889" i="40" s="1"/>
  <c r="B2890" i="40" s="1"/>
  <c r="B2891" i="40" s="1"/>
  <c r="B2892" i="40" s="1"/>
  <c r="B2893" i="40" s="1"/>
  <c r="B2894" i="40" s="1"/>
  <c r="B2895" i="40" s="1"/>
  <c r="B2896" i="40" s="1"/>
  <c r="B2897" i="40" s="1"/>
  <c r="B2898" i="40" s="1"/>
  <c r="B2899" i="40" s="1"/>
  <c r="B2900" i="40" s="1"/>
  <c r="B2901" i="40" s="1"/>
  <c r="B2902" i="40" s="1"/>
  <c r="B2903" i="40" s="1"/>
  <c r="B2904" i="40" s="1"/>
  <c r="B2905" i="40" s="1"/>
  <c r="B2906" i="40" s="1"/>
  <c r="B2907" i="40" s="1"/>
  <c r="B2908" i="40" s="1"/>
  <c r="B2909" i="40" s="1"/>
  <c r="B2910" i="40" s="1"/>
  <c r="B2911" i="40" s="1"/>
  <c r="B2912" i="40" s="1"/>
  <c r="B2913" i="40" s="1"/>
  <c r="B2914" i="40" s="1"/>
  <c r="B2915" i="40" s="1"/>
  <c r="B2916" i="40" s="1"/>
  <c r="B2917" i="40" s="1"/>
  <c r="B2918" i="40" s="1"/>
  <c r="B2919" i="40" s="1"/>
  <c r="B2920" i="40" s="1"/>
  <c r="B2921" i="40" s="1"/>
  <c r="B2922" i="40" s="1"/>
  <c r="B2923" i="40" s="1"/>
  <c r="B2924" i="40" s="1"/>
  <c r="B2925" i="40" s="1"/>
  <c r="B2926" i="40" s="1"/>
  <c r="B2927" i="40" s="1"/>
  <c r="B2928" i="40" s="1"/>
  <c r="B2929" i="40" s="1"/>
  <c r="B2930" i="40" s="1"/>
  <c r="B2931" i="40" s="1"/>
  <c r="B2932" i="40" s="1"/>
  <c r="B2933" i="40" s="1"/>
  <c r="B2934" i="40" s="1"/>
  <c r="B2935" i="40" s="1"/>
  <c r="B2936" i="40" s="1"/>
  <c r="B2937" i="40" s="1"/>
  <c r="B2938" i="40" s="1"/>
  <c r="B2939" i="40" s="1"/>
  <c r="B2940" i="40" s="1"/>
  <c r="B2941" i="40" s="1"/>
  <c r="B2942" i="40" s="1"/>
  <c r="B2943" i="40" s="1"/>
  <c r="B2944" i="40" s="1"/>
  <c r="B2945" i="40" s="1"/>
  <c r="B2946" i="40" s="1"/>
  <c r="B2947" i="40" s="1"/>
  <c r="B2948" i="40" s="1"/>
  <c r="B2949" i="40" s="1"/>
  <c r="B2950" i="40" s="1"/>
  <c r="B2951" i="40" s="1"/>
  <c r="B2952" i="40" s="1"/>
  <c r="B2953" i="40" s="1"/>
  <c r="B2954" i="40" s="1"/>
  <c r="B2955" i="40" s="1"/>
  <c r="B2956" i="40" s="1"/>
  <c r="B2957" i="40" s="1"/>
  <c r="B2958" i="40" s="1"/>
  <c r="B2959" i="40" s="1"/>
  <c r="B2960" i="40" s="1"/>
  <c r="B2961" i="40" s="1"/>
  <c r="B2962" i="40" s="1"/>
  <c r="B2963" i="40" s="1"/>
  <c r="B2964" i="40" s="1"/>
  <c r="B2965" i="40" s="1"/>
  <c r="B2966" i="40" s="1"/>
  <c r="B2967" i="40" s="1"/>
  <c r="B2968" i="40" s="1"/>
  <c r="B2969" i="40" s="1"/>
  <c r="B2970" i="40" s="1"/>
  <c r="B2971" i="40" s="1"/>
  <c r="B2972" i="40" s="1"/>
  <c r="B2973" i="40" s="1"/>
  <c r="B2974" i="40" s="1"/>
  <c r="B2975" i="40" s="1"/>
  <c r="B2976" i="40" s="1"/>
  <c r="B2977" i="40" s="1"/>
  <c r="B2978" i="40" s="1"/>
  <c r="B2979" i="40" s="1"/>
  <c r="B2980" i="40" s="1"/>
  <c r="B2981" i="40" s="1"/>
  <c r="B2982" i="40" s="1"/>
  <c r="B2983" i="40" s="1"/>
  <c r="B2984" i="40" s="1"/>
  <c r="B2985" i="40" s="1"/>
  <c r="B2986" i="40" s="1"/>
  <c r="B2987" i="40" s="1"/>
  <c r="B2988" i="40" s="1"/>
  <c r="B2989" i="40" s="1"/>
  <c r="B2990" i="40" s="1"/>
  <c r="B2991" i="40" s="1"/>
  <c r="B2992" i="40" s="1"/>
  <c r="B2993" i="40" s="1"/>
  <c r="B2994" i="40" s="1"/>
  <c r="B2995" i="40" s="1"/>
  <c r="B2996" i="40" s="1"/>
  <c r="B2997" i="40" s="1"/>
  <c r="B2998" i="40" s="1"/>
  <c r="B2999" i="40" s="1"/>
  <c r="B3000" i="40" s="1"/>
  <c r="B3001" i="40" s="1"/>
  <c r="B3002" i="40" s="1"/>
  <c r="B3003" i="40" s="1"/>
  <c r="B3004" i="40" s="1"/>
  <c r="B3005" i="40" s="1"/>
  <c r="B3006" i="40" s="1"/>
  <c r="B3007" i="40" s="1"/>
  <c r="B3008" i="40" s="1"/>
  <c r="B3009" i="40" s="1"/>
  <c r="B3010" i="40" s="1"/>
  <c r="B3011" i="40" s="1"/>
  <c r="B3012" i="40" s="1"/>
  <c r="B3013" i="40" s="1"/>
  <c r="B3014" i="40" s="1"/>
  <c r="B3015" i="40" s="1"/>
  <c r="B3016" i="40" s="1"/>
  <c r="B3017" i="40" s="1"/>
  <c r="B3018" i="40" s="1"/>
  <c r="B3019" i="40" s="1"/>
  <c r="B3020" i="40" s="1"/>
  <c r="B3021" i="40" s="1"/>
  <c r="B3022" i="40" s="1"/>
  <c r="B3023" i="40" s="1"/>
  <c r="B3024" i="40" s="1"/>
  <c r="B3025" i="40" s="1"/>
  <c r="B3026" i="40" s="1"/>
  <c r="B3027" i="40" s="1"/>
  <c r="B3028" i="40" s="1"/>
  <c r="B3029" i="40" s="1"/>
  <c r="B3030" i="40" s="1"/>
  <c r="B3031" i="40" s="1"/>
  <c r="B3032" i="40" s="1"/>
  <c r="B3033" i="40" s="1"/>
  <c r="B3034" i="40" s="1"/>
  <c r="B3035" i="40" s="1"/>
  <c r="B3036" i="40" s="1"/>
  <c r="B3037" i="40" s="1"/>
  <c r="B3038" i="40" s="1"/>
  <c r="B3039" i="40" s="1"/>
  <c r="B3040" i="40" s="1"/>
  <c r="B3041" i="40" s="1"/>
  <c r="B3042" i="40" s="1"/>
  <c r="B3043" i="40" s="1"/>
  <c r="B3044" i="40" s="1"/>
  <c r="B3045" i="40" s="1"/>
  <c r="B3046" i="40" s="1"/>
  <c r="B3047" i="40" s="1"/>
  <c r="B3048" i="40" s="1"/>
  <c r="B3049" i="40" s="1"/>
  <c r="B3050" i="40" s="1"/>
  <c r="B3051" i="40" s="1"/>
  <c r="B3052" i="40" s="1"/>
  <c r="B3053" i="40" s="1"/>
  <c r="B3054" i="40" s="1"/>
  <c r="B3055" i="40" s="1"/>
  <c r="B3056" i="40" s="1"/>
  <c r="B3057" i="40" s="1"/>
  <c r="B3058" i="40" s="1"/>
  <c r="B3059" i="40" s="1"/>
  <c r="B3060" i="40" s="1"/>
  <c r="B3061" i="40" s="1"/>
  <c r="B3062" i="40" s="1"/>
  <c r="B3063" i="40" s="1"/>
  <c r="B3064" i="40" s="1"/>
  <c r="B3065" i="40" s="1"/>
  <c r="B3066" i="40" s="1"/>
  <c r="B3067" i="40" s="1"/>
  <c r="B3068" i="40" s="1"/>
  <c r="B3069" i="40" s="1"/>
  <c r="B3070" i="40" s="1"/>
  <c r="B3071" i="40" s="1"/>
  <c r="B3072" i="40" s="1"/>
  <c r="B3073" i="40" s="1"/>
  <c r="B3074" i="40" s="1"/>
  <c r="B3075" i="40" s="1"/>
  <c r="B3076" i="40" s="1"/>
  <c r="B3077" i="40" s="1"/>
  <c r="B3078" i="40" s="1"/>
  <c r="B3079" i="40" s="1"/>
  <c r="B3080" i="40" s="1"/>
  <c r="B3081" i="40" s="1"/>
  <c r="B3082" i="40" s="1"/>
  <c r="B3083" i="40" s="1"/>
  <c r="B3084" i="40" s="1"/>
  <c r="B3085" i="40" s="1"/>
  <c r="B3086" i="40" s="1"/>
  <c r="B3087" i="40" s="1"/>
  <c r="B3088" i="40" s="1"/>
  <c r="B3089" i="40" s="1"/>
  <c r="B3090" i="40" s="1"/>
  <c r="B3091" i="40" s="1"/>
  <c r="B3092" i="40" s="1"/>
  <c r="B3093" i="40" s="1"/>
  <c r="B3094" i="40" s="1"/>
  <c r="B3095" i="40" s="1"/>
  <c r="B3096" i="40" s="1"/>
  <c r="B3097" i="40" s="1"/>
  <c r="B3098" i="40" s="1"/>
  <c r="B3099" i="40" s="1"/>
  <c r="B3100" i="40" s="1"/>
  <c r="B3101" i="40" s="1"/>
  <c r="B3102" i="40" s="1"/>
  <c r="B3103" i="40" s="1"/>
  <c r="B3104" i="40" s="1"/>
  <c r="B3105" i="40" s="1"/>
  <c r="B3106" i="40" s="1"/>
  <c r="B3107" i="40" s="1"/>
  <c r="B3108" i="40" s="1"/>
  <c r="B3109" i="40" s="1"/>
  <c r="B3110" i="40" s="1"/>
  <c r="B3111" i="40" s="1"/>
  <c r="B3112" i="40" s="1"/>
  <c r="B3113" i="40" s="1"/>
  <c r="B3114" i="40" s="1"/>
  <c r="B3115" i="40" s="1"/>
  <c r="B3116" i="40" s="1"/>
  <c r="B3117" i="40" s="1"/>
  <c r="B3118" i="40" s="1"/>
  <c r="B3119" i="40" s="1"/>
  <c r="B3120" i="40" s="1"/>
  <c r="B3121" i="40" s="1"/>
  <c r="B3122" i="40" s="1"/>
  <c r="B3123" i="40" s="1"/>
  <c r="B3124" i="40" s="1"/>
  <c r="B3125" i="40" s="1"/>
  <c r="B3126" i="40" s="1"/>
  <c r="B3127" i="40" s="1"/>
  <c r="B3128" i="40" s="1"/>
  <c r="B3129" i="40" s="1"/>
  <c r="B3130" i="40" s="1"/>
  <c r="B3131" i="40" s="1"/>
  <c r="B3132" i="40" s="1"/>
  <c r="B3133" i="40" s="1"/>
  <c r="B3134" i="40" s="1"/>
  <c r="B3135" i="40" s="1"/>
  <c r="B3136" i="40" s="1"/>
  <c r="B3137" i="40" s="1"/>
  <c r="B3138" i="40" s="1"/>
  <c r="B3139" i="40" s="1"/>
  <c r="B3140" i="40" s="1"/>
  <c r="B3141" i="40" s="1"/>
  <c r="B3142" i="40" s="1"/>
  <c r="B3143" i="40" s="1"/>
  <c r="B3144" i="40" s="1"/>
  <c r="B3145" i="40" s="1"/>
  <c r="B3146" i="40" s="1"/>
  <c r="B3147" i="40" s="1"/>
  <c r="B3148" i="40" s="1"/>
  <c r="B3149" i="40" s="1"/>
  <c r="B3150" i="40" s="1"/>
  <c r="B3151" i="40" s="1"/>
  <c r="B3152" i="40" s="1"/>
  <c r="B3153" i="40" s="1"/>
  <c r="B3154" i="40" s="1"/>
  <c r="B3155" i="40" s="1"/>
  <c r="B3156" i="40" s="1"/>
  <c r="B3157" i="40" s="1"/>
  <c r="B3158" i="40" s="1"/>
  <c r="B3159" i="40" s="1"/>
  <c r="B3160" i="40" s="1"/>
  <c r="B3161" i="40" s="1"/>
  <c r="B3162" i="40" s="1"/>
  <c r="B3163" i="40" s="1"/>
  <c r="B3164" i="40" s="1"/>
  <c r="B3165" i="40" s="1"/>
  <c r="B3166" i="40" s="1"/>
  <c r="B3167" i="40" s="1"/>
  <c r="B3168" i="40" s="1"/>
  <c r="B3169" i="40" s="1"/>
  <c r="B3170" i="40" s="1"/>
  <c r="B3171" i="40" s="1"/>
  <c r="B3172" i="40" s="1"/>
  <c r="B3173" i="40" s="1"/>
  <c r="B3174" i="40" s="1"/>
  <c r="B3175" i="40" s="1"/>
  <c r="B3176" i="40" s="1"/>
  <c r="B3177" i="40" s="1"/>
  <c r="B3178" i="40" s="1"/>
  <c r="B3179" i="40" s="1"/>
  <c r="B3180" i="40" s="1"/>
  <c r="B3181" i="40" s="1"/>
  <c r="B3182" i="40" s="1"/>
  <c r="B3183" i="40" s="1"/>
  <c r="B3184" i="40" s="1"/>
  <c r="B3185" i="40" s="1"/>
  <c r="B3186" i="40" s="1"/>
  <c r="B3187" i="40" s="1"/>
  <c r="B3188" i="40" s="1"/>
  <c r="B3189" i="40" s="1"/>
  <c r="B3190" i="40" s="1"/>
  <c r="B3191" i="40" s="1"/>
  <c r="B3192" i="40" s="1"/>
  <c r="B3193" i="40" s="1"/>
  <c r="B3194" i="40" s="1"/>
  <c r="B3195" i="40" s="1"/>
  <c r="B3196" i="40" s="1"/>
  <c r="B3197" i="40" s="1"/>
  <c r="B3198" i="40" s="1"/>
  <c r="B3199" i="40" s="1"/>
  <c r="B3200" i="40" s="1"/>
  <c r="B3201" i="40" s="1"/>
  <c r="B3202" i="40" s="1"/>
  <c r="B3203" i="40" s="1"/>
  <c r="B3204" i="40" s="1"/>
  <c r="B3205" i="40" s="1"/>
  <c r="B3206" i="40" s="1"/>
  <c r="B3207" i="40" s="1"/>
  <c r="B3208" i="40" s="1"/>
  <c r="B3209" i="40" s="1"/>
  <c r="B3210" i="40" s="1"/>
  <c r="B3211" i="40" s="1"/>
  <c r="B3212" i="40" s="1"/>
  <c r="B3213" i="40" s="1"/>
  <c r="B3214" i="40" s="1"/>
  <c r="B3215" i="40" s="1"/>
  <c r="B3216" i="40" s="1"/>
  <c r="B3217" i="40" s="1"/>
  <c r="B3218" i="40" s="1"/>
  <c r="B3219" i="40" s="1"/>
  <c r="B3220" i="40" s="1"/>
  <c r="B3221" i="40" s="1"/>
  <c r="B3222" i="40" s="1"/>
  <c r="B3223" i="40" s="1"/>
  <c r="B3224" i="40" s="1"/>
  <c r="B3225" i="40" s="1"/>
  <c r="B3226" i="40" s="1"/>
  <c r="B3227" i="40" s="1"/>
  <c r="B3228" i="40" s="1"/>
  <c r="B3229" i="40" s="1"/>
  <c r="B3230" i="40" s="1"/>
  <c r="B3231" i="40" s="1"/>
  <c r="B3232" i="40" s="1"/>
  <c r="B3233" i="40" s="1"/>
  <c r="B3234" i="40" s="1"/>
  <c r="B3235" i="40" s="1"/>
  <c r="B3236" i="40" s="1"/>
  <c r="B3237" i="40" s="1"/>
  <c r="B3238" i="40" s="1"/>
  <c r="B3239" i="40" s="1"/>
  <c r="B3240" i="40" s="1"/>
  <c r="B3241" i="40" s="1"/>
  <c r="B3242" i="40" s="1"/>
  <c r="B3243" i="40" s="1"/>
  <c r="B3244" i="40" s="1"/>
  <c r="B3245" i="40" s="1"/>
  <c r="B3246" i="40" s="1"/>
  <c r="B3247" i="40" s="1"/>
  <c r="B3248" i="40" s="1"/>
  <c r="B3249" i="40" s="1"/>
  <c r="B3250" i="40" s="1"/>
  <c r="B3251" i="40" s="1"/>
  <c r="B3252" i="40" s="1"/>
  <c r="B3253" i="40" s="1"/>
  <c r="B3254" i="40" s="1"/>
  <c r="B3255" i="40" s="1"/>
  <c r="B3256" i="40" s="1"/>
  <c r="B3257" i="40" s="1"/>
  <c r="B3258" i="40" s="1"/>
  <c r="B3259" i="40" s="1"/>
  <c r="B3260" i="40" s="1"/>
  <c r="B3261" i="40" s="1"/>
  <c r="B3262" i="40" s="1"/>
  <c r="B3263" i="40" s="1"/>
  <c r="B3264" i="40" s="1"/>
  <c r="B3265" i="40" s="1"/>
  <c r="B3266" i="40" s="1"/>
  <c r="B3267" i="40" s="1"/>
  <c r="B3268" i="40" s="1"/>
  <c r="B3269" i="40" s="1"/>
  <c r="B3270" i="40" s="1"/>
  <c r="B3271" i="40" s="1"/>
  <c r="B3272" i="40" s="1"/>
  <c r="B3273" i="40" s="1"/>
  <c r="B3274" i="40" s="1"/>
  <c r="B3275" i="40" s="1"/>
  <c r="B3276" i="40" s="1"/>
  <c r="B3277" i="40" s="1"/>
  <c r="B3278" i="40" s="1"/>
  <c r="B3279" i="40" s="1"/>
  <c r="B3280" i="40" s="1"/>
  <c r="B3281" i="40" s="1"/>
  <c r="B3282" i="40" s="1"/>
  <c r="B3283" i="40" s="1"/>
  <c r="B3284" i="40" s="1"/>
  <c r="B3285" i="40" s="1"/>
  <c r="B3286" i="40" s="1"/>
  <c r="B3287" i="40" s="1"/>
  <c r="B3288" i="40" s="1"/>
  <c r="B3289" i="40" s="1"/>
  <c r="B3290" i="40" s="1"/>
  <c r="B3291" i="40" s="1"/>
  <c r="B3292" i="40" s="1"/>
  <c r="B3293" i="40" s="1"/>
  <c r="B3294" i="40" s="1"/>
  <c r="B3295" i="40" s="1"/>
  <c r="B3296" i="40" s="1"/>
  <c r="B3297" i="40" s="1"/>
  <c r="B3298" i="40" s="1"/>
  <c r="B3299" i="40" s="1"/>
  <c r="B3300" i="40" s="1"/>
  <c r="B3301" i="40" s="1"/>
  <c r="B3302" i="40" s="1"/>
  <c r="B3303" i="40" s="1"/>
  <c r="B3304" i="40" s="1"/>
  <c r="B3305" i="40" s="1"/>
  <c r="B3306" i="40" s="1"/>
  <c r="B3307" i="40" s="1"/>
  <c r="B3308" i="40" s="1"/>
  <c r="B3309" i="40" s="1"/>
  <c r="B3310" i="40" s="1"/>
  <c r="B3311" i="40" s="1"/>
  <c r="B3312" i="40" s="1"/>
  <c r="B3313" i="40" s="1"/>
  <c r="B3314" i="40" s="1"/>
  <c r="B3315" i="40" s="1"/>
  <c r="B3316" i="40" s="1"/>
  <c r="B3317" i="40" s="1"/>
  <c r="B3318" i="40" s="1"/>
  <c r="B3319" i="40" s="1"/>
  <c r="B3320" i="40" s="1"/>
  <c r="B3321" i="40" s="1"/>
  <c r="B3322" i="40" s="1"/>
  <c r="B3323" i="40" s="1"/>
  <c r="B3324" i="40" s="1"/>
  <c r="B3325" i="40" s="1"/>
  <c r="B3326" i="40" s="1"/>
  <c r="B3327" i="40" s="1"/>
  <c r="B3328" i="40" s="1"/>
  <c r="B3329" i="40" s="1"/>
  <c r="B3330" i="40" s="1"/>
  <c r="B3331" i="40" s="1"/>
  <c r="B3332" i="40" s="1"/>
  <c r="B3333" i="40" s="1"/>
  <c r="B3334" i="40" s="1"/>
  <c r="B3335" i="40" s="1"/>
  <c r="B3336" i="40" s="1"/>
  <c r="B3337" i="40" s="1"/>
  <c r="B3338" i="40" s="1"/>
  <c r="B3339" i="40" s="1"/>
  <c r="B3340" i="40" s="1"/>
  <c r="B3341" i="40" s="1"/>
  <c r="B3342" i="40" s="1"/>
  <c r="B3343" i="40" s="1"/>
  <c r="B3344" i="40" s="1"/>
  <c r="B3345" i="40" s="1"/>
  <c r="B3346" i="40" s="1"/>
  <c r="B3347" i="40" s="1"/>
  <c r="B3348" i="40" s="1"/>
  <c r="B3349" i="40" s="1"/>
  <c r="B3350" i="40" s="1"/>
  <c r="B3351" i="40" s="1"/>
  <c r="B3352" i="40" s="1"/>
  <c r="B3353" i="40" s="1"/>
  <c r="B3354" i="40" s="1"/>
  <c r="B3355" i="40" s="1"/>
  <c r="B3356" i="40" s="1"/>
  <c r="B3357" i="40" s="1"/>
  <c r="B3358" i="40" s="1"/>
  <c r="B3359" i="40" s="1"/>
  <c r="B3360" i="40" s="1"/>
  <c r="B3361" i="40" s="1"/>
  <c r="B3362" i="40" s="1"/>
  <c r="B3363" i="40" s="1"/>
  <c r="B3364" i="40" s="1"/>
  <c r="B3365" i="40" s="1"/>
  <c r="B3366" i="40" s="1"/>
  <c r="B3367" i="40" s="1"/>
  <c r="B3368" i="40" s="1"/>
  <c r="B3369" i="40" s="1"/>
  <c r="B3370" i="40" s="1"/>
  <c r="B3371" i="40" s="1"/>
  <c r="B3372" i="40" s="1"/>
  <c r="B3373" i="40" s="1"/>
  <c r="B3374" i="40" s="1"/>
  <c r="B3375" i="40" s="1"/>
  <c r="B3376" i="40" s="1"/>
  <c r="B3377" i="40" s="1"/>
  <c r="B3378" i="40" s="1"/>
  <c r="B3379" i="40" s="1"/>
  <c r="B3380" i="40" s="1"/>
  <c r="B3381" i="40" s="1"/>
  <c r="B3382" i="40" s="1"/>
  <c r="B3383" i="40" s="1"/>
  <c r="B3384" i="40" s="1"/>
  <c r="B3385" i="40" s="1"/>
  <c r="B3386" i="40" s="1"/>
  <c r="B3387" i="40" s="1"/>
  <c r="B3388" i="40" s="1"/>
  <c r="B3389" i="40" s="1"/>
  <c r="B3390" i="40" s="1"/>
  <c r="B3391" i="40" s="1"/>
  <c r="B3392" i="40" s="1"/>
  <c r="B3393" i="40" s="1"/>
  <c r="B3394" i="40" s="1"/>
  <c r="B3395" i="40" s="1"/>
  <c r="B3396" i="40" s="1"/>
  <c r="B3397" i="40" s="1"/>
  <c r="B3398" i="40" s="1"/>
  <c r="B3399" i="40" s="1"/>
  <c r="B3400" i="40" s="1"/>
  <c r="B3401" i="40" s="1"/>
  <c r="B3402" i="40" s="1"/>
  <c r="B3403" i="40" s="1"/>
  <c r="B3404" i="40" s="1"/>
  <c r="B3405" i="40" s="1"/>
  <c r="B3406" i="40" s="1"/>
  <c r="B3407" i="40" s="1"/>
  <c r="B3408" i="40" s="1"/>
  <c r="B3409" i="40" s="1"/>
  <c r="B3410" i="40" s="1"/>
  <c r="B3411" i="40" s="1"/>
  <c r="B3412" i="40" s="1"/>
  <c r="B3413" i="40" s="1"/>
  <c r="B3414" i="40" s="1"/>
  <c r="B3415" i="40" s="1"/>
  <c r="B3416" i="40" s="1"/>
  <c r="B3417" i="40" s="1"/>
  <c r="B3418" i="40" s="1"/>
  <c r="B3419" i="40" s="1"/>
  <c r="B3420" i="40" s="1"/>
  <c r="B3421" i="40" s="1"/>
  <c r="B3422" i="40" s="1"/>
  <c r="B3423" i="40" s="1"/>
  <c r="B3424" i="40" s="1"/>
  <c r="B3425" i="40" s="1"/>
  <c r="B3426" i="40" s="1"/>
  <c r="B3427" i="40" s="1"/>
  <c r="B3428" i="40" s="1"/>
  <c r="B3429" i="40" s="1"/>
  <c r="B3430" i="40" s="1"/>
  <c r="B3431" i="40" s="1"/>
  <c r="B3432" i="40" s="1"/>
  <c r="B3433" i="40" s="1"/>
  <c r="B3434" i="40" s="1"/>
  <c r="B3435" i="40" s="1"/>
  <c r="B3436" i="40" s="1"/>
  <c r="B3437" i="40" s="1"/>
  <c r="B3438" i="40" s="1"/>
  <c r="B3439" i="40" s="1"/>
  <c r="B3440" i="40" s="1"/>
  <c r="B3441" i="40" s="1"/>
  <c r="B3442" i="40" s="1"/>
  <c r="B3443" i="40" s="1"/>
  <c r="B3444" i="40" s="1"/>
  <c r="B3445" i="40" s="1"/>
  <c r="B3446" i="40" s="1"/>
  <c r="B3447" i="40" s="1"/>
  <c r="B3448" i="40" s="1"/>
  <c r="B3449" i="40" s="1"/>
  <c r="B3450" i="40" s="1"/>
  <c r="B3451" i="40" s="1"/>
  <c r="B3452" i="40" s="1"/>
  <c r="B3453" i="40" s="1"/>
  <c r="B3454" i="40" s="1"/>
  <c r="B3455" i="40" s="1"/>
  <c r="B3456" i="40" s="1"/>
  <c r="B3457" i="40" s="1"/>
  <c r="B3458" i="40" s="1"/>
  <c r="B3459" i="40" s="1"/>
  <c r="B3460" i="40" s="1"/>
  <c r="B3461" i="40" s="1"/>
  <c r="B3462" i="40" s="1"/>
  <c r="B3463" i="40" s="1"/>
  <c r="B3464" i="40" s="1"/>
  <c r="B3465" i="40" s="1"/>
  <c r="B3466" i="40" s="1"/>
  <c r="B3467" i="40" s="1"/>
  <c r="B3468" i="40" s="1"/>
  <c r="B3469" i="40" s="1"/>
  <c r="B3470" i="40" s="1"/>
  <c r="B3471" i="40" s="1"/>
  <c r="B3472" i="40" s="1"/>
  <c r="B3473" i="40" s="1"/>
  <c r="B3474" i="40" s="1"/>
  <c r="B3475" i="40" s="1"/>
  <c r="B3476" i="40" s="1"/>
  <c r="B3477" i="40" s="1"/>
  <c r="B3478" i="40" s="1"/>
  <c r="B3479" i="40" s="1"/>
  <c r="B3480" i="40" s="1"/>
  <c r="B3481" i="40" s="1"/>
  <c r="B3482" i="40" s="1"/>
  <c r="B3483" i="40" s="1"/>
  <c r="B3484" i="40" s="1"/>
  <c r="B3485" i="40" s="1"/>
  <c r="B3486" i="40" s="1"/>
  <c r="B3487" i="40" s="1"/>
  <c r="B3488" i="40" s="1"/>
  <c r="B3489" i="40" s="1"/>
  <c r="B3490" i="40" s="1"/>
  <c r="B3491" i="40" s="1"/>
  <c r="B3492" i="40" s="1"/>
  <c r="B3493" i="40" s="1"/>
  <c r="B3494" i="40" s="1"/>
  <c r="B3495" i="40" s="1"/>
  <c r="B3496" i="40" s="1"/>
  <c r="B3497" i="40" s="1"/>
  <c r="B3498" i="40" s="1"/>
  <c r="B3499" i="40" s="1"/>
  <c r="B3500" i="40" s="1"/>
  <c r="B515" i="40"/>
  <c r="B50" i="40"/>
  <c r="J53" i="20"/>
  <c r="I53" i="20"/>
  <c r="H53" i="20"/>
  <c r="J52" i="20"/>
  <c r="I52" i="20"/>
  <c r="H52" i="20"/>
  <c r="J51" i="20"/>
  <c r="I51" i="20"/>
  <c r="H51" i="20"/>
  <c r="J50" i="20"/>
  <c r="I50" i="20"/>
  <c r="H50" i="20"/>
  <c r="J49" i="20"/>
  <c r="I49" i="20"/>
  <c r="H49" i="20"/>
  <c r="J48" i="20"/>
  <c r="I48" i="20"/>
  <c r="H48" i="20"/>
  <c r="J47" i="20"/>
  <c r="I47" i="20"/>
  <c r="H47" i="20"/>
  <c r="J46" i="20"/>
  <c r="I46" i="20"/>
  <c r="H46" i="20"/>
  <c r="J45" i="20"/>
  <c r="I45" i="20"/>
  <c r="H45" i="20"/>
  <c r="J44" i="20"/>
  <c r="I44" i="20"/>
  <c r="H44" i="20"/>
  <c r="J43" i="20"/>
  <c r="I43" i="20"/>
  <c r="H43" i="20"/>
  <c r="J42" i="20"/>
  <c r="I42" i="20"/>
  <c r="H42" i="20"/>
  <c r="J41" i="20"/>
  <c r="I41" i="20"/>
  <c r="H41" i="20"/>
  <c r="J40" i="20"/>
  <c r="I40" i="20"/>
  <c r="H40" i="20"/>
  <c r="J39" i="20"/>
  <c r="I39" i="20"/>
  <c r="H39" i="20"/>
  <c r="J38" i="20"/>
  <c r="I38" i="20"/>
  <c r="H38" i="20"/>
  <c r="J37" i="20"/>
  <c r="I37" i="20"/>
  <c r="H37" i="20"/>
  <c r="J36" i="20"/>
  <c r="I36" i="20"/>
  <c r="H36" i="20"/>
  <c r="J35" i="20"/>
  <c r="I35" i="20"/>
  <c r="H35" i="20"/>
  <c r="J34" i="20"/>
  <c r="I34" i="20"/>
  <c r="H3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E544" i="7" l="1"/>
  <c r="I3624" i="50"/>
  <c r="I3599" i="50"/>
  <c r="I3463" i="50"/>
  <c r="I1265" i="50"/>
  <c r="I4017" i="50"/>
  <c r="I4006" i="50"/>
  <c r="I3872" i="50"/>
  <c r="E1810" i="40" l="1"/>
  <c r="E1794" i="40"/>
  <c r="E2603" i="40"/>
  <c r="I2941" i="50" s="1"/>
  <c r="E2599" i="40"/>
  <c r="I2937" i="50" s="1"/>
  <c r="E75" i="40" l="1"/>
  <c r="I85" i="50" s="1"/>
  <c r="E23" i="40"/>
  <c r="I48" i="50" s="1"/>
  <c r="Q24" i="51"/>
  <c r="D37" i="51"/>
  <c r="E35" i="40"/>
  <c r="D446" i="8" l="1"/>
  <c r="E391" i="7"/>
  <c r="E502" i="7"/>
  <c r="E499" i="7"/>
  <c r="E498" i="7"/>
  <c r="E497" i="7"/>
  <c r="E375" i="7"/>
  <c r="F31" i="61"/>
  <c r="D31" i="61"/>
  <c r="C31" i="61"/>
  <c r="E23" i="61"/>
  <c r="E19" i="61"/>
  <c r="F29" i="61"/>
  <c r="F28" i="61"/>
  <c r="F27" i="61"/>
  <c r="F26" i="61"/>
  <c r="F25" i="61"/>
  <c r="F24" i="61"/>
  <c r="F23" i="61"/>
  <c r="F22" i="61"/>
  <c r="F21" i="61"/>
  <c r="F20" i="61"/>
  <c r="F19" i="61"/>
  <c r="D29" i="61"/>
  <c r="D28" i="61"/>
  <c r="G28" i="61" s="1"/>
  <c r="D27" i="61"/>
  <c r="D26" i="61"/>
  <c r="G26" i="61" s="1"/>
  <c r="D25" i="61"/>
  <c r="G25" i="61" s="1"/>
  <c r="D24" i="61"/>
  <c r="D23" i="61"/>
  <c r="G23" i="61" s="1"/>
  <c r="D22" i="61"/>
  <c r="G22" i="61" s="1"/>
  <c r="D21" i="61"/>
  <c r="G21" i="61" s="1"/>
  <c r="D20" i="61"/>
  <c r="G20" i="61" s="1"/>
  <c r="D19" i="61"/>
  <c r="G19" i="61" s="1"/>
  <c r="H19" i="61" s="1"/>
  <c r="C29" i="61"/>
  <c r="C28" i="61"/>
  <c r="E28" i="61" s="1"/>
  <c r="C27" i="61"/>
  <c r="C26" i="61"/>
  <c r="C25" i="61"/>
  <c r="C24" i="61"/>
  <c r="E24" i="61" s="1"/>
  <c r="C23" i="61"/>
  <c r="C22" i="61"/>
  <c r="C21" i="61"/>
  <c r="E21" i="61" s="1"/>
  <c r="C20" i="61"/>
  <c r="E20" i="61" s="1"/>
  <c r="C19" i="61"/>
  <c r="F17" i="61"/>
  <c r="F16" i="61"/>
  <c r="F15" i="61"/>
  <c r="F14" i="61"/>
  <c r="F13" i="61"/>
  <c r="F12" i="61"/>
  <c r="D17" i="61"/>
  <c r="G17" i="61" s="1"/>
  <c r="D16" i="61"/>
  <c r="G16" i="61" s="1"/>
  <c r="D15" i="61"/>
  <c r="G15" i="61" s="1"/>
  <c r="D14" i="61"/>
  <c r="D13" i="61"/>
  <c r="D12" i="61"/>
  <c r="C17" i="61"/>
  <c r="E17" i="61" s="1"/>
  <c r="C16" i="61"/>
  <c r="E16" i="61" s="1"/>
  <c r="C15" i="61"/>
  <c r="C14" i="61"/>
  <c r="C13" i="61"/>
  <c r="C12" i="61"/>
  <c r="F30" i="61"/>
  <c r="D30" i="61"/>
  <c r="C30" i="61"/>
  <c r="E30" i="61" s="1"/>
  <c r="D10" i="61"/>
  <c r="F10" i="61" s="1"/>
  <c r="B5" i="61"/>
  <c r="B3" i="61"/>
  <c r="B1" i="61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E496" i="7" s="1"/>
  <c r="D31" i="8"/>
  <c r="E366" i="7" s="1"/>
  <c r="D30" i="8"/>
  <c r="D29" i="8"/>
  <c r="D28" i="8"/>
  <c r="D27" i="8"/>
  <c r="H22" i="61" l="1"/>
  <c r="H26" i="61"/>
  <c r="E22" i="61"/>
  <c r="E26" i="61"/>
  <c r="H23" i="61"/>
  <c r="G27" i="61"/>
  <c r="H20" i="61"/>
  <c r="G24" i="61"/>
  <c r="H24" i="61" s="1"/>
  <c r="H28" i="61"/>
  <c r="E25" i="61"/>
  <c r="H25" i="61" s="1"/>
  <c r="E27" i="61"/>
  <c r="H27" i="61" s="1"/>
  <c r="H21" i="61"/>
  <c r="C18" i="61"/>
  <c r="E14" i="61"/>
  <c r="F18" i="61"/>
  <c r="G12" i="61"/>
  <c r="G14" i="61"/>
  <c r="E12" i="61"/>
  <c r="G30" i="61"/>
  <c r="H30" i="61" s="1"/>
  <c r="D18" i="61"/>
  <c r="G18" i="61" s="1"/>
  <c r="G31" i="61"/>
  <c r="H17" i="61"/>
  <c r="H16" i="61"/>
  <c r="E13" i="61"/>
  <c r="G13" i="61"/>
  <c r="G29" i="61"/>
  <c r="E15" i="61"/>
  <c r="H15" i="61" s="1"/>
  <c r="E29" i="61"/>
  <c r="H29" i="61" s="1"/>
  <c r="E31" i="61"/>
  <c r="H31" i="61" s="1"/>
  <c r="I3244" i="50"/>
  <c r="I3110" i="50"/>
  <c r="H14" i="61" l="1"/>
  <c r="H12" i="61"/>
  <c r="E18" i="61"/>
  <c r="H18" i="61" s="1"/>
  <c r="H13" i="61"/>
  <c r="I3830" i="50"/>
  <c r="I3828" i="50"/>
  <c r="I3827" i="50"/>
  <c r="I3826" i="50"/>
  <c r="I3802" i="50"/>
  <c r="I3800" i="50"/>
  <c r="I3788" i="50"/>
  <c r="I3786" i="50"/>
  <c r="I3785" i="50"/>
  <c r="I3055" i="50"/>
  <c r="I3049" i="50"/>
  <c r="I3043" i="50"/>
  <c r="I2668" i="50"/>
  <c r="I2623" i="50"/>
  <c r="I2575" i="50"/>
  <c r="I2573" i="50"/>
  <c r="I2570" i="50"/>
  <c r="I2568" i="50"/>
  <c r="I2474" i="50"/>
  <c r="I2476" i="50"/>
  <c r="I2184" i="50"/>
  <c r="I2179" i="50"/>
  <c r="I221" i="50"/>
  <c r="I216" i="50"/>
  <c r="I3301" i="50" l="1"/>
  <c r="I3300" i="50"/>
  <c r="I2561" i="50" l="1"/>
  <c r="I1896" i="50" l="1"/>
  <c r="I1741" i="50"/>
  <c r="I1637" i="50"/>
  <c r="I1636" i="50"/>
  <c r="I1115" i="50"/>
  <c r="E87" i="40"/>
  <c r="E25" i="40"/>
  <c r="I1341" i="50" l="1"/>
  <c r="I3724" i="50"/>
  <c r="I529" i="50"/>
  <c r="I527" i="50"/>
  <c r="I809" i="50"/>
  <c r="I1114" i="50"/>
  <c r="I1333" i="50"/>
  <c r="I1342" i="50"/>
  <c r="I916" i="50"/>
  <c r="I1111" i="50"/>
  <c r="I1116" i="50"/>
  <c r="I1334" i="50"/>
  <c r="I1112" i="50"/>
  <c r="I1340" i="50"/>
  <c r="I393" i="50"/>
  <c r="I808" i="50"/>
  <c r="I1332" i="50"/>
  <c r="E2562" i="40"/>
  <c r="E2561" i="40"/>
  <c r="I2856" i="50" s="1"/>
  <c r="E2550" i="40"/>
  <c r="I2847" i="50" s="1"/>
  <c r="E2515" i="40"/>
  <c r="E2508" i="40"/>
  <c r="E2516" i="40"/>
  <c r="E377" i="46"/>
  <c r="E2502" i="40"/>
  <c r="E2498" i="40"/>
  <c r="E368" i="46"/>
  <c r="E2495" i="40"/>
  <c r="E371" i="46"/>
  <c r="E2457" i="40"/>
  <c r="E2463" i="40"/>
  <c r="I310" i="45"/>
  <c r="E2410" i="40"/>
  <c r="E2335" i="40"/>
  <c r="I294" i="45"/>
  <c r="E2215" i="40"/>
  <c r="E2292" i="40"/>
  <c r="E292" i="45"/>
  <c r="I2475" i="50"/>
  <c r="I278" i="45"/>
  <c r="E2100" i="40"/>
  <c r="E2090" i="40"/>
  <c r="E2089" i="40"/>
  <c r="E2081" i="40"/>
  <c r="E275" i="45"/>
  <c r="E2086" i="40" s="1"/>
  <c r="E2053" i="40"/>
  <c r="E2030" i="40"/>
  <c r="E351" i="46"/>
  <c r="E2037" i="40" s="1"/>
  <c r="E345" i="46"/>
  <c r="E2033" i="40" s="1"/>
  <c r="E342" i="46"/>
  <c r="E316" i="46"/>
  <c r="E325" i="46"/>
  <c r="E1988" i="40" s="1"/>
  <c r="E1981" i="40"/>
  <c r="E2002" i="40"/>
  <c r="E1950" i="40" l="1"/>
  <c r="E1922" i="40"/>
  <c r="I300" i="46"/>
  <c r="E1935" i="40" s="1"/>
  <c r="I294" i="46"/>
  <c r="E1931" i="40" s="1"/>
  <c r="E1882" i="40"/>
  <c r="E1892" i="40"/>
  <c r="E300" i="46"/>
  <c r="E1868" i="40" s="1"/>
  <c r="E296" i="46"/>
  <c r="AD116" i="46"/>
  <c r="I260" i="45"/>
  <c r="E1628" i="40"/>
  <c r="E1622" i="40"/>
  <c r="E1613" i="40"/>
  <c r="I1945" i="50" s="1"/>
  <c r="E1612" i="40"/>
  <c r="E1608" i="40"/>
  <c r="I1940" i="50" s="1"/>
  <c r="E1601" i="40"/>
  <c r="I235" i="45"/>
  <c r="E1591" i="40" s="1"/>
  <c r="E1561" i="40"/>
  <c r="E1559" i="40"/>
  <c r="E1558" i="40"/>
  <c r="I1900" i="50" s="1"/>
  <c r="E1556" i="40"/>
  <c r="E1551" i="40"/>
  <c r="I1895" i="50" s="1"/>
  <c r="E1548" i="40"/>
  <c r="I1892" i="50" s="1"/>
  <c r="E1544" i="40"/>
  <c r="E262" i="45"/>
  <c r="E235" i="45"/>
  <c r="E1470" i="40" l="1"/>
  <c r="E1450" i="40"/>
  <c r="E1425" i="40"/>
  <c r="E1427" i="40"/>
  <c r="E1430" i="40"/>
  <c r="E3483" i="40"/>
  <c r="E3473" i="40"/>
  <c r="E3465" i="40"/>
  <c r="E3369" i="40" l="1"/>
  <c r="I3812" i="50"/>
  <c r="I3813" i="50"/>
  <c r="I3814" i="50"/>
  <c r="I3815" i="50"/>
  <c r="I3816" i="50"/>
  <c r="I3817" i="50"/>
  <c r="I3818" i="50"/>
  <c r="I3819" i="50"/>
  <c r="I3820" i="50"/>
  <c r="I3825" i="50"/>
  <c r="E3282" i="40"/>
  <c r="E3256" i="40"/>
  <c r="E3254" i="40"/>
  <c r="E3243" i="40"/>
  <c r="E3210" i="40"/>
  <c r="E3209" i="40"/>
  <c r="I3707" i="50" s="1"/>
  <c r="E3208" i="40"/>
  <c r="E3205" i="40"/>
  <c r="I3703" i="50" s="1"/>
  <c r="E3204" i="40"/>
  <c r="E3201" i="40"/>
  <c r="I3699" i="50" s="1"/>
  <c r="E3197" i="40"/>
  <c r="E3196" i="40"/>
  <c r="E3195" i="40"/>
  <c r="D64" i="47"/>
  <c r="E3131" i="40"/>
  <c r="I3600" i="50"/>
  <c r="E3030" i="40"/>
  <c r="I3454" i="50" s="1"/>
  <c r="E2908" i="40"/>
  <c r="I3311" i="50" s="1"/>
  <c r="E2907" i="40"/>
  <c r="I3310" i="50" s="1"/>
  <c r="E2906" i="40"/>
  <c r="I3309" i="50" s="1"/>
  <c r="E2943" i="40" l="1"/>
  <c r="E2913" i="40"/>
  <c r="E2912" i="40"/>
  <c r="E2903" i="40"/>
  <c r="I3306" i="50" s="1"/>
  <c r="D325" i="44"/>
  <c r="D320" i="44"/>
  <c r="D319" i="44"/>
  <c r="E2876" i="40"/>
  <c r="E2855" i="40"/>
  <c r="E2846" i="40"/>
  <c r="I3258" i="50"/>
  <c r="E2824" i="40"/>
  <c r="D273" i="44"/>
  <c r="E2829" i="40" s="1"/>
  <c r="D268" i="44"/>
  <c r="D267" i="44"/>
  <c r="D2823" i="40"/>
  <c r="D299" i="44"/>
  <c r="E2860" i="40" s="1"/>
  <c r="D294" i="44"/>
  <c r="D293" i="44"/>
  <c r="E2815" i="40"/>
  <c r="E2814" i="40"/>
  <c r="I3236" i="50" s="1"/>
  <c r="E85" i="40"/>
  <c r="E2809" i="40"/>
  <c r="E2808" i="40"/>
  <c r="E2806" i="40"/>
  <c r="I3228" i="50" s="1"/>
  <c r="E2805" i="40"/>
  <c r="I3227" i="50" s="1"/>
  <c r="E2803" i="40"/>
  <c r="E2802" i="40"/>
  <c r="E2801" i="40"/>
  <c r="D241" i="44"/>
  <c r="E2776" i="40"/>
  <c r="E2729" i="40"/>
  <c r="E2724" i="40"/>
  <c r="E2720" i="40"/>
  <c r="E2718" i="40"/>
  <c r="I3115" i="50" s="1"/>
  <c r="E2714" i="40"/>
  <c r="E2710" i="40"/>
  <c r="I3107" i="50" s="1"/>
  <c r="E17" i="40" l="1"/>
  <c r="E1457" i="40"/>
  <c r="E1456" i="40"/>
  <c r="E1359" i="40"/>
  <c r="E438" i="43"/>
  <c r="I1461" i="50"/>
  <c r="E1281" i="40" l="1"/>
  <c r="E1258" i="40"/>
  <c r="E1216" i="40"/>
  <c r="E1153" i="40"/>
  <c r="I1285" i="50" s="1"/>
  <c r="I1269" i="50"/>
  <c r="E1085" i="40" l="1"/>
  <c r="E1084" i="40"/>
  <c r="E1062" i="40"/>
  <c r="E1057" i="40"/>
  <c r="I1168" i="50" s="1"/>
  <c r="E1024" i="40"/>
  <c r="E359" i="43"/>
  <c r="E1015" i="40" s="1"/>
  <c r="E358" i="43"/>
  <c r="E1012" i="40" s="1"/>
  <c r="E842" i="40"/>
  <c r="E961" i="40"/>
  <c r="E960" i="40"/>
  <c r="E925" i="40"/>
  <c r="E848" i="40"/>
  <c r="E837" i="40"/>
  <c r="I927" i="50" s="1"/>
  <c r="E836" i="40"/>
  <c r="I926" i="50" s="1"/>
  <c r="E819" i="40"/>
  <c r="E787" i="40"/>
  <c r="E783" i="40"/>
  <c r="E781" i="40"/>
  <c r="E779" i="40"/>
  <c r="E770" i="40"/>
  <c r="E768" i="40"/>
  <c r="E769" i="40"/>
  <c r="E752" i="40"/>
  <c r="E720" i="40"/>
  <c r="I794" i="50" s="1"/>
  <c r="E310" i="43"/>
  <c r="I925" i="50" l="1"/>
  <c r="E357" i="43"/>
  <c r="E355" i="43"/>
  <c r="E700" i="40"/>
  <c r="E699" i="40"/>
  <c r="E692" i="40"/>
  <c r="E691" i="40"/>
  <c r="E689" i="40"/>
  <c r="E688" i="40"/>
  <c r="E668" i="40"/>
  <c r="E670" i="40"/>
  <c r="E669" i="40"/>
  <c r="D574" i="40"/>
  <c r="D566" i="40"/>
  <c r="D578" i="40"/>
  <c r="D577" i="40"/>
  <c r="I703" i="50"/>
  <c r="D634" i="40"/>
  <c r="I698" i="50"/>
  <c r="D624" i="40"/>
  <c r="I710" i="50"/>
  <c r="D643" i="40"/>
  <c r="D642" i="40"/>
  <c r="D640" i="40"/>
  <c r="E595" i="40" l="1"/>
  <c r="E590" i="40"/>
  <c r="E571" i="40"/>
  <c r="E514" i="40"/>
  <c r="E513" i="40"/>
  <c r="E510" i="40"/>
  <c r="E508" i="40"/>
  <c r="E506" i="40"/>
  <c r="E505" i="40"/>
  <c r="E492" i="40"/>
  <c r="I542" i="50" s="1"/>
  <c r="E280" i="43" l="1"/>
  <c r="AK216" i="43"/>
  <c r="AK214" i="43"/>
  <c r="AK210" i="43"/>
  <c r="AK206" i="43"/>
  <c r="AK204" i="43"/>
  <c r="AK201" i="43"/>
  <c r="AK199" i="43"/>
  <c r="AK197" i="43"/>
  <c r="AK195" i="43"/>
  <c r="AK185" i="43"/>
  <c r="AK179" i="43"/>
  <c r="AK174" i="43"/>
  <c r="AK168" i="43"/>
  <c r="AK166" i="43"/>
  <c r="AK164" i="43"/>
  <c r="AK145" i="43"/>
  <c r="AK143" i="43"/>
  <c r="AK135" i="43"/>
  <c r="AK133" i="43"/>
  <c r="AK125" i="43"/>
  <c r="AK123" i="43"/>
  <c r="AK110" i="43"/>
  <c r="AK108" i="43"/>
  <c r="AK104" i="43"/>
  <c r="AK100" i="43"/>
  <c r="AK98" i="43"/>
  <c r="AK95" i="43"/>
  <c r="AK93" i="43"/>
  <c r="AK91" i="43"/>
  <c r="AK89" i="43"/>
  <c r="AK79" i="43"/>
  <c r="AK73" i="43"/>
  <c r="AK68" i="43"/>
  <c r="AK62" i="43"/>
  <c r="AK60" i="43"/>
  <c r="AK58" i="43"/>
  <c r="AK39" i="43"/>
  <c r="AK37" i="43"/>
  <c r="AK29" i="43"/>
  <c r="AK27" i="43"/>
  <c r="AK19" i="43"/>
  <c r="AK17" i="43"/>
  <c r="E401" i="40"/>
  <c r="E435" i="40"/>
  <c r="E425" i="40"/>
  <c r="E422" i="40"/>
  <c r="E407" i="40"/>
  <c r="E406" i="40"/>
  <c r="E403" i="40"/>
  <c r="H177" i="58"/>
  <c r="H174" i="58"/>
  <c r="H175" i="58"/>
  <c r="H172" i="58"/>
  <c r="H171" i="58"/>
  <c r="H169" i="58"/>
  <c r="H168" i="58"/>
  <c r="H166" i="58"/>
  <c r="H165" i="58"/>
  <c r="H164" i="58"/>
  <c r="H163" i="58"/>
  <c r="H159" i="58"/>
  <c r="H158" i="58"/>
  <c r="H157" i="58"/>
  <c r="E385" i="40"/>
  <c r="E340" i="40"/>
  <c r="E311" i="40"/>
  <c r="E305" i="40"/>
  <c r="E303" i="40"/>
  <c r="E296" i="40"/>
  <c r="E293" i="40"/>
  <c r="E283" i="40"/>
  <c r="E267" i="40"/>
  <c r="E261" i="40"/>
  <c r="E259" i="40"/>
  <c r="E243" i="40"/>
  <c r="E238" i="40"/>
  <c r="I255" i="50" s="1"/>
  <c r="E193" i="40"/>
  <c r="E182" i="40"/>
  <c r="E181" i="40"/>
  <c r="E180" i="40"/>
  <c r="E177" i="40"/>
  <c r="E165" i="40"/>
  <c r="E160" i="40"/>
  <c r="H136" i="58"/>
  <c r="H135" i="58"/>
  <c r="H134" i="58"/>
  <c r="H132" i="58"/>
  <c r="H131" i="58"/>
  <c r="H127" i="58"/>
  <c r="H125" i="58"/>
  <c r="H122" i="58"/>
  <c r="H121" i="58"/>
  <c r="H115" i="58"/>
  <c r="H106" i="58"/>
  <c r="H100" i="58"/>
  <c r="H99" i="58"/>
  <c r="H98" i="58"/>
  <c r="H97" i="58"/>
  <c r="H90" i="58"/>
  <c r="H85" i="58"/>
  <c r="H74" i="58"/>
  <c r="H65" i="58"/>
  <c r="H63" i="58"/>
  <c r="H62" i="58"/>
  <c r="I59" i="58"/>
  <c r="H43" i="58"/>
  <c r="J65" i="58" l="1"/>
  <c r="J62" i="58"/>
  <c r="H44" i="58"/>
  <c r="I44" i="58" s="1"/>
  <c r="J59" i="58"/>
  <c r="H84" i="58"/>
  <c r="J84" i="58"/>
  <c r="H87" i="58"/>
  <c r="I87" i="58" s="1"/>
  <c r="H86" i="58"/>
  <c r="I86" i="58" s="1"/>
  <c r="H82" i="58"/>
  <c r="H73" i="58"/>
  <c r="H70" i="58"/>
  <c r="H69" i="58"/>
  <c r="I69" i="58" s="1"/>
  <c r="I65" i="58"/>
  <c r="J63" i="58"/>
  <c r="I70" i="58"/>
  <c r="G2" i="58"/>
  <c r="H2" i="58" s="1"/>
  <c r="H3" i="58"/>
  <c r="I4" i="58"/>
  <c r="J4" i="58"/>
  <c r="I5" i="58"/>
  <c r="J5" i="58"/>
  <c r="I6" i="58"/>
  <c r="J6" i="58"/>
  <c r="I7" i="58"/>
  <c r="J7" i="58"/>
  <c r="I8" i="58"/>
  <c r="J8" i="58"/>
  <c r="F9" i="58"/>
  <c r="F3" i="58" s="1"/>
  <c r="G9" i="58"/>
  <c r="I9" i="58" s="1"/>
  <c r="I10" i="58"/>
  <c r="J10" i="58"/>
  <c r="G11" i="58"/>
  <c r="H11" i="58"/>
  <c r="I12" i="58"/>
  <c r="J12" i="58"/>
  <c r="I13" i="58"/>
  <c r="J13" i="58"/>
  <c r="I14" i="58"/>
  <c r="J14" i="58"/>
  <c r="I15" i="58"/>
  <c r="J15" i="58"/>
  <c r="I16" i="58"/>
  <c r="J16" i="58"/>
  <c r="I17" i="58"/>
  <c r="J17" i="58"/>
  <c r="I18" i="58"/>
  <c r="J18" i="58"/>
  <c r="I19" i="58"/>
  <c r="J19" i="58"/>
  <c r="I20" i="58"/>
  <c r="J20" i="58"/>
  <c r="I21" i="58"/>
  <c r="J21" i="58"/>
  <c r="I22" i="58"/>
  <c r="J22" i="58"/>
  <c r="F23" i="58"/>
  <c r="F11" i="58" s="1"/>
  <c r="I23" i="58"/>
  <c r="J23" i="58"/>
  <c r="F24" i="58"/>
  <c r="G24" i="58"/>
  <c r="I24" i="58"/>
  <c r="J24" i="58"/>
  <c r="I25" i="58"/>
  <c r="J25" i="58"/>
  <c r="I26" i="58"/>
  <c r="J26" i="58"/>
  <c r="I27" i="58"/>
  <c r="J27" i="58"/>
  <c r="F28" i="58"/>
  <c r="I28" i="58" s="1"/>
  <c r="I29" i="58"/>
  <c r="J29" i="58"/>
  <c r="I30" i="58"/>
  <c r="J30" i="58"/>
  <c r="H31" i="58"/>
  <c r="G36" i="58"/>
  <c r="H36" i="58" s="1"/>
  <c r="F37" i="58"/>
  <c r="G37" i="58"/>
  <c r="H37" i="58"/>
  <c r="I37" i="58" s="1"/>
  <c r="I38" i="58"/>
  <c r="J38" i="58"/>
  <c r="I39" i="58"/>
  <c r="J39" i="58"/>
  <c r="I40" i="58"/>
  <c r="J40" i="58"/>
  <c r="I41" i="58"/>
  <c r="J41" i="58"/>
  <c r="I42" i="58"/>
  <c r="J42" i="58"/>
  <c r="I43" i="58"/>
  <c r="J43" i="58"/>
  <c r="F44" i="58"/>
  <c r="G44" i="58"/>
  <c r="I45" i="58"/>
  <c r="J45" i="58"/>
  <c r="I46" i="58"/>
  <c r="J46" i="58"/>
  <c r="I47" i="58"/>
  <c r="J47" i="58"/>
  <c r="I48" i="58"/>
  <c r="J48" i="58"/>
  <c r="I49" i="58"/>
  <c r="J49" i="58"/>
  <c r="I50" i="58"/>
  <c r="J50" i="58"/>
  <c r="I51" i="58"/>
  <c r="J51" i="58"/>
  <c r="I52" i="58"/>
  <c r="J52" i="58"/>
  <c r="I53" i="58"/>
  <c r="J53" i="58"/>
  <c r="I54" i="58"/>
  <c r="J54" i="58"/>
  <c r="I55" i="58"/>
  <c r="J55" i="58"/>
  <c r="I56" i="58"/>
  <c r="J56" i="58"/>
  <c r="I57" i="58"/>
  <c r="J57" i="58"/>
  <c r="G58" i="58"/>
  <c r="I60" i="58"/>
  <c r="J60" i="58"/>
  <c r="I61" i="58"/>
  <c r="J61" i="58"/>
  <c r="I62" i="58"/>
  <c r="F63" i="58"/>
  <c r="F58" i="58" s="1"/>
  <c r="G63" i="58"/>
  <c r="I64" i="58"/>
  <c r="I66" i="58"/>
  <c r="J66" i="58"/>
  <c r="I67" i="58"/>
  <c r="J67" i="58"/>
  <c r="I68" i="58"/>
  <c r="J68" i="58"/>
  <c r="J69" i="58"/>
  <c r="J70" i="58"/>
  <c r="I71" i="58"/>
  <c r="J71" i="58"/>
  <c r="I72" i="58"/>
  <c r="J72" i="58"/>
  <c r="I73" i="58"/>
  <c r="J73" i="58"/>
  <c r="I74" i="58"/>
  <c r="J74" i="58"/>
  <c r="I75" i="58"/>
  <c r="J75" i="58"/>
  <c r="I76" i="58"/>
  <c r="J76" i="58"/>
  <c r="I77" i="58"/>
  <c r="J77" i="58"/>
  <c r="I78" i="58"/>
  <c r="J78" i="58"/>
  <c r="I79" i="58"/>
  <c r="J79" i="58"/>
  <c r="I80" i="58"/>
  <c r="J80" i="58"/>
  <c r="I81" i="58"/>
  <c r="J81" i="58"/>
  <c r="I82" i="58"/>
  <c r="J82" i="58"/>
  <c r="I83" i="58"/>
  <c r="J83" i="58"/>
  <c r="I84" i="58"/>
  <c r="I85" i="58"/>
  <c r="J85" i="58"/>
  <c r="J87" i="58"/>
  <c r="I88" i="58"/>
  <c r="J88" i="58"/>
  <c r="I89" i="58"/>
  <c r="J89" i="58"/>
  <c r="I90" i="58"/>
  <c r="J90" i="58"/>
  <c r="I91" i="58"/>
  <c r="J91" i="58"/>
  <c r="I92" i="58"/>
  <c r="J92" i="58"/>
  <c r="I93" i="58"/>
  <c r="J93" i="58"/>
  <c r="I94" i="58"/>
  <c r="J94" i="58"/>
  <c r="I95" i="58"/>
  <c r="J95" i="58"/>
  <c r="F96" i="58"/>
  <c r="G96" i="58"/>
  <c r="H96" i="58"/>
  <c r="I96" i="58" s="1"/>
  <c r="I97" i="58"/>
  <c r="J97" i="58"/>
  <c r="I98" i="58"/>
  <c r="J98" i="58"/>
  <c r="I99" i="58"/>
  <c r="J99" i="58"/>
  <c r="I100" i="58"/>
  <c r="J100" i="58"/>
  <c r="I101" i="58"/>
  <c r="J101" i="58"/>
  <c r="I102" i="58"/>
  <c r="J102" i="58"/>
  <c r="I103" i="58"/>
  <c r="J103" i="58"/>
  <c r="F104" i="58"/>
  <c r="G104" i="58"/>
  <c r="H104" i="58"/>
  <c r="I104" i="58" s="1"/>
  <c r="I105" i="58"/>
  <c r="J105" i="58"/>
  <c r="I106" i="58"/>
  <c r="J106" i="58"/>
  <c r="I107" i="58"/>
  <c r="J107" i="58"/>
  <c r="I108" i="58"/>
  <c r="J108" i="58"/>
  <c r="I109" i="58"/>
  <c r="J109" i="58"/>
  <c r="I110" i="58"/>
  <c r="J110" i="58"/>
  <c r="I111" i="58"/>
  <c r="J111" i="58"/>
  <c r="I112" i="58"/>
  <c r="J112" i="58"/>
  <c r="I113" i="58"/>
  <c r="J113" i="58"/>
  <c r="I114" i="58"/>
  <c r="J114" i="58"/>
  <c r="I115" i="58"/>
  <c r="J115" i="58"/>
  <c r="I116" i="58"/>
  <c r="J116" i="58"/>
  <c r="I117" i="58"/>
  <c r="J117" i="58"/>
  <c r="F118" i="58"/>
  <c r="G118" i="58"/>
  <c r="H118" i="58"/>
  <c r="J118" i="58" s="1"/>
  <c r="I119" i="58"/>
  <c r="J119" i="58"/>
  <c r="I120" i="58"/>
  <c r="J120" i="58"/>
  <c r="I121" i="58"/>
  <c r="J121" i="58"/>
  <c r="I122" i="58"/>
  <c r="J122" i="58"/>
  <c r="I123" i="58"/>
  <c r="J123" i="58"/>
  <c r="I124" i="58"/>
  <c r="J124" i="58"/>
  <c r="I125" i="58"/>
  <c r="J125" i="58"/>
  <c r="I126" i="58"/>
  <c r="J126" i="58"/>
  <c r="I127" i="58"/>
  <c r="J127" i="58"/>
  <c r="I128" i="58"/>
  <c r="J128" i="58"/>
  <c r="I129" i="58"/>
  <c r="J129" i="58"/>
  <c r="I130" i="58"/>
  <c r="J130" i="58"/>
  <c r="I131" i="58"/>
  <c r="J131" i="58"/>
  <c r="I132" i="58"/>
  <c r="J132" i="58"/>
  <c r="I133" i="58"/>
  <c r="J133" i="58"/>
  <c r="I134" i="58"/>
  <c r="J134" i="58"/>
  <c r="I135" i="58"/>
  <c r="J135" i="58"/>
  <c r="I136" i="58"/>
  <c r="J136" i="58"/>
  <c r="I137" i="58"/>
  <c r="J137" i="58"/>
  <c r="I138" i="58"/>
  <c r="J138" i="58"/>
  <c r="I139" i="58"/>
  <c r="J139" i="58"/>
  <c r="I140" i="58"/>
  <c r="J140" i="58"/>
  <c r="I141" i="58"/>
  <c r="J141" i="58"/>
  <c r="I142" i="58"/>
  <c r="J142" i="58"/>
  <c r="G143" i="58"/>
  <c r="G146" i="58"/>
  <c r="H146" i="58" s="1"/>
  <c r="F147" i="58"/>
  <c r="G147" i="58"/>
  <c r="H147" i="58"/>
  <c r="I148" i="58"/>
  <c r="J148" i="58"/>
  <c r="I149" i="58"/>
  <c r="J149" i="58"/>
  <c r="I150" i="58"/>
  <c r="J150" i="58"/>
  <c r="I151" i="58"/>
  <c r="J151" i="58"/>
  <c r="I152" i="58"/>
  <c r="J152" i="58"/>
  <c r="I153" i="58"/>
  <c r="J153" i="58"/>
  <c r="I154" i="58"/>
  <c r="J154" i="58"/>
  <c r="G155" i="58"/>
  <c r="H155" i="58"/>
  <c r="I156" i="58"/>
  <c r="J156" i="58"/>
  <c r="F157" i="58"/>
  <c r="I157" i="58" s="1"/>
  <c r="G157" i="58"/>
  <c r="J157" i="58" s="1"/>
  <c r="I158" i="58"/>
  <c r="J158" i="58"/>
  <c r="I159" i="58"/>
  <c r="J159" i="58"/>
  <c r="I160" i="58"/>
  <c r="J160" i="58"/>
  <c r="I161" i="58"/>
  <c r="J161" i="58"/>
  <c r="I162" i="58"/>
  <c r="J162" i="58"/>
  <c r="I163" i="58"/>
  <c r="J163" i="58"/>
  <c r="I164" i="58"/>
  <c r="J164" i="58"/>
  <c r="I165" i="58"/>
  <c r="J165" i="58"/>
  <c r="I166" i="58"/>
  <c r="J166" i="58"/>
  <c r="I167" i="58"/>
  <c r="J167" i="58"/>
  <c r="I168" i="58"/>
  <c r="J168" i="58"/>
  <c r="I169" i="58"/>
  <c r="J169" i="58"/>
  <c r="I170" i="58"/>
  <c r="J170" i="58"/>
  <c r="F171" i="58"/>
  <c r="I171" i="58" s="1"/>
  <c r="G171" i="58"/>
  <c r="J171" i="58" s="1"/>
  <c r="I172" i="58"/>
  <c r="J172" i="58"/>
  <c r="F173" i="58"/>
  <c r="I173" i="58" s="1"/>
  <c r="G173" i="58"/>
  <c r="J173" i="58" s="1"/>
  <c r="I174" i="58"/>
  <c r="J174" i="58"/>
  <c r="I175" i="58"/>
  <c r="J175" i="58"/>
  <c r="I176" i="58"/>
  <c r="J176" i="58"/>
  <c r="I177" i="58"/>
  <c r="J177" i="58"/>
  <c r="I178" i="58"/>
  <c r="J178" i="58"/>
  <c r="I179" i="58"/>
  <c r="J179" i="58"/>
  <c r="I180" i="58"/>
  <c r="J180" i="58"/>
  <c r="I181" i="58"/>
  <c r="J181" i="58"/>
  <c r="I182" i="58"/>
  <c r="J182" i="58"/>
  <c r="I183" i="58"/>
  <c r="J183" i="58"/>
  <c r="G184" i="58"/>
  <c r="G187" i="58"/>
  <c r="H187" i="58" s="1"/>
  <c r="F188" i="58"/>
  <c r="G188" i="58"/>
  <c r="J188" i="58" s="1"/>
  <c r="I189" i="58"/>
  <c r="I188" i="58" s="1"/>
  <c r="J189" i="58"/>
  <c r="I190" i="58"/>
  <c r="J190" i="58"/>
  <c r="I191" i="58"/>
  <c r="J191" i="58"/>
  <c r="I192" i="58"/>
  <c r="J192" i="58"/>
  <c r="I193" i="58"/>
  <c r="J193" i="58"/>
  <c r="I194" i="58"/>
  <c r="J194" i="58"/>
  <c r="I196" i="58"/>
  <c r="J196" i="58"/>
  <c r="I197" i="58"/>
  <c r="J197" i="58"/>
  <c r="F198" i="58"/>
  <c r="F195" i="58" s="1"/>
  <c r="I199" i="58"/>
  <c r="J199" i="58"/>
  <c r="I200" i="58"/>
  <c r="J200" i="58"/>
  <c r="I201" i="58"/>
  <c r="J201" i="58"/>
  <c r="I202" i="58"/>
  <c r="J202" i="58"/>
  <c r="I203" i="58"/>
  <c r="J203" i="58"/>
  <c r="I204" i="58"/>
  <c r="J204" i="58"/>
  <c r="I205" i="58"/>
  <c r="J205" i="58"/>
  <c r="I206" i="58"/>
  <c r="J206" i="58"/>
  <c r="I207" i="58"/>
  <c r="J207" i="58"/>
  <c r="I208" i="58"/>
  <c r="J208" i="58"/>
  <c r="I209" i="58"/>
  <c r="J209" i="58"/>
  <c r="I210" i="58"/>
  <c r="J210" i="58"/>
  <c r="F211" i="58"/>
  <c r="I211" i="58" s="1"/>
  <c r="G211" i="58"/>
  <c r="G195" i="58" s="1"/>
  <c r="J211" i="58"/>
  <c r="I212" i="58"/>
  <c r="J212" i="58"/>
  <c r="F213" i="58"/>
  <c r="I213" i="58" s="1"/>
  <c r="G213" i="58"/>
  <c r="J213" i="58"/>
  <c r="I214" i="58"/>
  <c r="J214" i="58"/>
  <c r="I215" i="58"/>
  <c r="J215" i="58"/>
  <c r="I216" i="58"/>
  <c r="J216" i="58"/>
  <c r="I217" i="58"/>
  <c r="J217" i="58"/>
  <c r="I218" i="58"/>
  <c r="J218" i="58"/>
  <c r="I219" i="58"/>
  <c r="J219" i="58"/>
  <c r="I220" i="58"/>
  <c r="J220" i="58"/>
  <c r="I221" i="58"/>
  <c r="J221" i="58"/>
  <c r="I222" i="58"/>
  <c r="J222" i="58"/>
  <c r="F223" i="58"/>
  <c r="H223" i="58"/>
  <c r="I224" i="58"/>
  <c r="J224" i="58"/>
  <c r="I225" i="58"/>
  <c r="J225" i="58"/>
  <c r="I226" i="58"/>
  <c r="J226" i="58"/>
  <c r="I227" i="58"/>
  <c r="J227" i="58"/>
  <c r="I228" i="58"/>
  <c r="J228" i="58"/>
  <c r="I229" i="58"/>
  <c r="J229" i="58"/>
  <c r="I230" i="58"/>
  <c r="J230" i="58"/>
  <c r="I231" i="58"/>
  <c r="J231" i="58"/>
  <c r="I232" i="58"/>
  <c r="J232" i="58"/>
  <c r="I233" i="58"/>
  <c r="J233" i="58"/>
  <c r="G234" i="58"/>
  <c r="G223" i="58" s="1"/>
  <c r="J223" i="58" s="1"/>
  <c r="I235" i="58"/>
  <c r="J235" i="58"/>
  <c r="I236" i="58"/>
  <c r="J236" i="58"/>
  <c r="I237" i="58"/>
  <c r="J237" i="58"/>
  <c r="I238" i="58"/>
  <c r="J238" i="58"/>
  <c r="I239" i="58"/>
  <c r="J239" i="58"/>
  <c r="I240" i="58"/>
  <c r="J240" i="58"/>
  <c r="I241" i="58"/>
  <c r="J241" i="58"/>
  <c r="F242" i="58"/>
  <c r="H242" i="58"/>
  <c r="G245" i="58"/>
  <c r="H245" i="58"/>
  <c r="F246" i="58"/>
  <c r="G246" i="58"/>
  <c r="H246" i="58"/>
  <c r="J246" i="58" s="1"/>
  <c r="I246" i="58"/>
  <c r="I247" i="58"/>
  <c r="J247" i="58"/>
  <c r="I248" i="58"/>
  <c r="J248" i="58"/>
  <c r="I249" i="58"/>
  <c r="J249" i="58"/>
  <c r="I250" i="58"/>
  <c r="J250" i="58"/>
  <c r="I251" i="58"/>
  <c r="J251" i="58"/>
  <c r="I252" i="58"/>
  <c r="J252" i="58"/>
  <c r="I253" i="58"/>
  <c r="J253" i="58"/>
  <c r="F254" i="58"/>
  <c r="G254" i="58"/>
  <c r="H254" i="58"/>
  <c r="J254" i="58"/>
  <c r="I255" i="58"/>
  <c r="J255" i="58"/>
  <c r="I256" i="58"/>
  <c r="J256" i="58"/>
  <c r="I257" i="58"/>
  <c r="J257" i="58"/>
  <c r="I258" i="58"/>
  <c r="J258" i="58"/>
  <c r="I259" i="58"/>
  <c r="J259" i="58"/>
  <c r="I260" i="58"/>
  <c r="J260" i="58"/>
  <c r="I261" i="58"/>
  <c r="J261" i="58"/>
  <c r="I262" i="58"/>
  <c r="J262" i="58"/>
  <c r="I263" i="58"/>
  <c r="J263" i="58"/>
  <c r="I264" i="58"/>
  <c r="J264" i="58"/>
  <c r="I265" i="58"/>
  <c r="J265" i="58"/>
  <c r="I266" i="58"/>
  <c r="J266" i="58"/>
  <c r="I267" i="58"/>
  <c r="J267" i="58"/>
  <c r="I268" i="58"/>
  <c r="J268" i="58"/>
  <c r="I269" i="58"/>
  <c r="J269" i="58"/>
  <c r="I270" i="58"/>
  <c r="J270" i="58"/>
  <c r="I271" i="58"/>
  <c r="J271" i="58"/>
  <c r="I272" i="58"/>
  <c r="J272" i="58"/>
  <c r="I273" i="58"/>
  <c r="J273" i="58"/>
  <c r="I274" i="58"/>
  <c r="J274" i="58"/>
  <c r="I275" i="58"/>
  <c r="J275" i="58"/>
  <c r="I276" i="58"/>
  <c r="J276" i="58"/>
  <c r="I277" i="58"/>
  <c r="J277" i="58"/>
  <c r="I278" i="58"/>
  <c r="J278" i="58"/>
  <c r="I279" i="58"/>
  <c r="J279" i="58"/>
  <c r="I280" i="58"/>
  <c r="J280" i="58"/>
  <c r="F281" i="58"/>
  <c r="G281" i="58"/>
  <c r="J281" i="58" s="1"/>
  <c r="H281" i="58"/>
  <c r="I282" i="58"/>
  <c r="J282" i="58"/>
  <c r="I283" i="58"/>
  <c r="J283" i="58"/>
  <c r="I284" i="58"/>
  <c r="J284" i="58"/>
  <c r="I285" i="58"/>
  <c r="J285" i="58"/>
  <c r="I286" i="58"/>
  <c r="J286" i="58"/>
  <c r="I287" i="58"/>
  <c r="J287" i="58"/>
  <c r="I288" i="58"/>
  <c r="J288" i="58"/>
  <c r="I289" i="58"/>
  <c r="J289" i="58"/>
  <c r="I290" i="58"/>
  <c r="J290" i="58"/>
  <c r="I291" i="58"/>
  <c r="J291" i="58"/>
  <c r="I292" i="58"/>
  <c r="J292" i="58"/>
  <c r="I293" i="58"/>
  <c r="J293" i="58"/>
  <c r="I294" i="58"/>
  <c r="J294" i="58"/>
  <c r="I295" i="58"/>
  <c r="J295" i="58"/>
  <c r="I296" i="58"/>
  <c r="J296" i="58"/>
  <c r="I297" i="58"/>
  <c r="J297" i="58"/>
  <c r="I298" i="58"/>
  <c r="J298" i="58"/>
  <c r="I299" i="58"/>
  <c r="J299" i="58"/>
  <c r="I300" i="58"/>
  <c r="J300" i="58"/>
  <c r="I301" i="58"/>
  <c r="J301" i="58"/>
  <c r="I302" i="58"/>
  <c r="J302" i="58"/>
  <c r="I303" i="58"/>
  <c r="J303" i="58"/>
  <c r="I304" i="58"/>
  <c r="J304" i="58"/>
  <c r="I305" i="58"/>
  <c r="J305" i="58"/>
  <c r="I306" i="58"/>
  <c r="J306" i="58"/>
  <c r="I307" i="58"/>
  <c r="J307" i="58"/>
  <c r="I308" i="58"/>
  <c r="J308" i="58"/>
  <c r="F309" i="58"/>
  <c r="H309" i="58"/>
  <c r="I310" i="58"/>
  <c r="J310" i="58"/>
  <c r="I311" i="58"/>
  <c r="J311" i="58"/>
  <c r="I312" i="58"/>
  <c r="J312" i="58"/>
  <c r="I313" i="58"/>
  <c r="J313" i="58"/>
  <c r="I314" i="58"/>
  <c r="J314" i="58"/>
  <c r="I315" i="58"/>
  <c r="J315" i="58"/>
  <c r="I316" i="58"/>
  <c r="J316" i="58"/>
  <c r="I317" i="58"/>
  <c r="J317" i="58"/>
  <c r="I318" i="58"/>
  <c r="J318" i="58"/>
  <c r="I319" i="58"/>
  <c r="J319" i="58"/>
  <c r="I320" i="58"/>
  <c r="J320" i="58"/>
  <c r="I321" i="58"/>
  <c r="J321" i="58"/>
  <c r="I322" i="58"/>
  <c r="J322" i="58"/>
  <c r="I323" i="58"/>
  <c r="J323" i="58"/>
  <c r="I324" i="58"/>
  <c r="J324" i="58"/>
  <c r="I325" i="58"/>
  <c r="J325" i="58"/>
  <c r="I326" i="58"/>
  <c r="J326" i="58"/>
  <c r="I327" i="58"/>
  <c r="J327" i="58"/>
  <c r="I328" i="58"/>
  <c r="J328" i="58"/>
  <c r="I329" i="58"/>
  <c r="J329" i="58"/>
  <c r="I330" i="58"/>
  <c r="J330" i="58"/>
  <c r="I331" i="58"/>
  <c r="J331" i="58"/>
  <c r="I332" i="58"/>
  <c r="J332" i="58"/>
  <c r="I333" i="58"/>
  <c r="J333" i="58"/>
  <c r="I334" i="58"/>
  <c r="J334" i="58"/>
  <c r="I335" i="58"/>
  <c r="J335" i="58"/>
  <c r="I336" i="58"/>
  <c r="J336" i="58"/>
  <c r="G337" i="58"/>
  <c r="I337" i="58"/>
  <c r="I338" i="58"/>
  <c r="J338" i="58"/>
  <c r="I339" i="58"/>
  <c r="J339" i="58"/>
  <c r="I340" i="58"/>
  <c r="J340" i="58"/>
  <c r="I341" i="58"/>
  <c r="J341" i="58"/>
  <c r="I342" i="58"/>
  <c r="J342" i="58"/>
  <c r="I343" i="58"/>
  <c r="J343" i="58"/>
  <c r="I344" i="58"/>
  <c r="J344" i="58"/>
  <c r="I345" i="58"/>
  <c r="J345" i="58"/>
  <c r="I346" i="58"/>
  <c r="J346" i="58"/>
  <c r="I347" i="58"/>
  <c r="J347" i="58"/>
  <c r="I348" i="58"/>
  <c r="J348" i="58"/>
  <c r="I349" i="58"/>
  <c r="J349" i="58"/>
  <c r="I350" i="58"/>
  <c r="J350" i="58"/>
  <c r="I351" i="58"/>
  <c r="J351" i="58"/>
  <c r="I352" i="58"/>
  <c r="J352" i="58"/>
  <c r="I353" i="58"/>
  <c r="J353" i="58"/>
  <c r="I354" i="58"/>
  <c r="J354" i="58"/>
  <c r="I355" i="58"/>
  <c r="J355" i="58"/>
  <c r="I356" i="58"/>
  <c r="J356" i="58"/>
  <c r="I357" i="58"/>
  <c r="J357" i="58"/>
  <c r="I358" i="58"/>
  <c r="J358" i="58"/>
  <c r="I359" i="58"/>
  <c r="J359" i="58"/>
  <c r="I360" i="58"/>
  <c r="J360" i="58"/>
  <c r="G361" i="58"/>
  <c r="G362" i="58"/>
  <c r="I363" i="58"/>
  <c r="J363" i="58"/>
  <c r="I364" i="58"/>
  <c r="J364" i="58"/>
  <c r="I365" i="58"/>
  <c r="J365" i="58"/>
  <c r="I366" i="58"/>
  <c r="J366" i="58"/>
  <c r="I367" i="58"/>
  <c r="J367" i="58"/>
  <c r="I368" i="58"/>
  <c r="J368" i="58"/>
  <c r="I369" i="58"/>
  <c r="J369" i="58"/>
  <c r="I370" i="58"/>
  <c r="J370" i="58"/>
  <c r="I371" i="58"/>
  <c r="J371" i="58"/>
  <c r="I372" i="58"/>
  <c r="J372" i="58"/>
  <c r="I373" i="58"/>
  <c r="J373" i="58"/>
  <c r="I374" i="58"/>
  <c r="J374" i="58"/>
  <c r="I375" i="58"/>
  <c r="J375" i="58"/>
  <c r="I376" i="58"/>
  <c r="J376" i="58"/>
  <c r="I377" i="58"/>
  <c r="J377" i="58"/>
  <c r="I378" i="58"/>
  <c r="J378" i="58"/>
  <c r="I379" i="58"/>
  <c r="J379" i="58"/>
  <c r="I380" i="58"/>
  <c r="J380" i="58"/>
  <c r="I381" i="58"/>
  <c r="J381" i="58"/>
  <c r="F382" i="58"/>
  <c r="G382" i="58"/>
  <c r="J382" i="58" s="1"/>
  <c r="H382" i="58"/>
  <c r="I383" i="58"/>
  <c r="J383" i="58"/>
  <c r="I384" i="58"/>
  <c r="J384" i="58"/>
  <c r="I385" i="58"/>
  <c r="J385" i="58"/>
  <c r="I386" i="58"/>
  <c r="I382" i="58" s="1"/>
  <c r="J386" i="58"/>
  <c r="I387" i="58"/>
  <c r="J387" i="58"/>
  <c r="I388" i="58"/>
  <c r="J388" i="58"/>
  <c r="I389" i="58"/>
  <c r="J389" i="58"/>
  <c r="F390" i="58"/>
  <c r="G390" i="58"/>
  <c r="H390" i="58"/>
  <c r="H582" i="58" s="1"/>
  <c r="I391" i="58"/>
  <c r="J391" i="58"/>
  <c r="I392" i="58"/>
  <c r="J392" i="58"/>
  <c r="I393" i="58"/>
  <c r="J393" i="58"/>
  <c r="I394" i="58"/>
  <c r="J394" i="58"/>
  <c r="I395" i="58"/>
  <c r="J395" i="58"/>
  <c r="I396" i="58"/>
  <c r="J396" i="58"/>
  <c r="I397" i="58"/>
  <c r="J397" i="58"/>
  <c r="I398" i="58"/>
  <c r="J398" i="58"/>
  <c r="I399" i="58"/>
  <c r="J399" i="58"/>
  <c r="I400" i="58"/>
  <c r="J400" i="58"/>
  <c r="I401" i="58"/>
  <c r="J401" i="58"/>
  <c r="I402" i="58"/>
  <c r="J402" i="58"/>
  <c r="I403" i="58"/>
  <c r="J403" i="58"/>
  <c r="I404" i="58"/>
  <c r="J404" i="58"/>
  <c r="I405" i="58"/>
  <c r="J405" i="58"/>
  <c r="I406" i="58"/>
  <c r="J406" i="58"/>
  <c r="I407" i="58"/>
  <c r="J407" i="58"/>
  <c r="I408" i="58"/>
  <c r="J408" i="58"/>
  <c r="I409" i="58"/>
  <c r="J409" i="58"/>
  <c r="I410" i="58"/>
  <c r="J410" i="58"/>
  <c r="I411" i="58"/>
  <c r="J411" i="58"/>
  <c r="I412" i="58"/>
  <c r="J412" i="58"/>
  <c r="I413" i="58"/>
  <c r="J413" i="58"/>
  <c r="F414" i="58"/>
  <c r="G414" i="58"/>
  <c r="J414" i="58" s="1"/>
  <c r="H414" i="58"/>
  <c r="I415" i="58"/>
  <c r="J415" i="58"/>
  <c r="I416" i="58"/>
  <c r="J416" i="58"/>
  <c r="I417" i="58"/>
  <c r="J417" i="58"/>
  <c r="I418" i="58"/>
  <c r="J418" i="58"/>
  <c r="I419" i="58"/>
  <c r="J419" i="58"/>
  <c r="I420" i="58"/>
  <c r="J420" i="58"/>
  <c r="I421" i="58"/>
  <c r="J421" i="58"/>
  <c r="F422" i="58"/>
  <c r="J422" i="58" s="1"/>
  <c r="G422" i="58"/>
  <c r="H422" i="58"/>
  <c r="I423" i="58"/>
  <c r="J423" i="58"/>
  <c r="I424" i="58"/>
  <c r="J424" i="58"/>
  <c r="I425" i="58"/>
  <c r="J425" i="58"/>
  <c r="I426" i="58"/>
  <c r="J426" i="58"/>
  <c r="I427" i="58"/>
  <c r="J427" i="58"/>
  <c r="I428" i="58"/>
  <c r="J428" i="58"/>
  <c r="I429" i="58"/>
  <c r="J429" i="58"/>
  <c r="I430" i="58"/>
  <c r="J430" i="58"/>
  <c r="I431" i="58"/>
  <c r="J431" i="58"/>
  <c r="I432" i="58"/>
  <c r="J432" i="58"/>
  <c r="I433" i="58"/>
  <c r="J433" i="58"/>
  <c r="I434" i="58"/>
  <c r="J434" i="58"/>
  <c r="I435" i="58"/>
  <c r="J435" i="58"/>
  <c r="I436" i="58"/>
  <c r="J436" i="58"/>
  <c r="I437" i="58"/>
  <c r="J437" i="58"/>
  <c r="I438" i="58"/>
  <c r="J438" i="58"/>
  <c r="I439" i="58"/>
  <c r="J439" i="58"/>
  <c r="I440" i="58"/>
  <c r="J440" i="58"/>
  <c r="I441" i="58"/>
  <c r="J441" i="58"/>
  <c r="I442" i="58"/>
  <c r="J442" i="58"/>
  <c r="I443" i="58"/>
  <c r="J443" i="58"/>
  <c r="I444" i="58"/>
  <c r="J444" i="58"/>
  <c r="I445" i="58"/>
  <c r="J445" i="58"/>
  <c r="I446" i="58"/>
  <c r="J446" i="58"/>
  <c r="I447" i="58"/>
  <c r="J447" i="58"/>
  <c r="I448" i="58"/>
  <c r="J448" i="58"/>
  <c r="F449" i="58"/>
  <c r="G449" i="58"/>
  <c r="H449" i="58"/>
  <c r="J449" i="58"/>
  <c r="I450" i="58"/>
  <c r="J450" i="58"/>
  <c r="I451" i="58"/>
  <c r="J451" i="58"/>
  <c r="I452" i="58"/>
  <c r="J452" i="58"/>
  <c r="I453" i="58"/>
  <c r="J453" i="58"/>
  <c r="I454" i="58"/>
  <c r="J454" i="58"/>
  <c r="I455" i="58"/>
  <c r="J455" i="58"/>
  <c r="I456" i="58"/>
  <c r="J456" i="58"/>
  <c r="I457" i="58"/>
  <c r="J457" i="58"/>
  <c r="I458" i="58"/>
  <c r="J458" i="58"/>
  <c r="I459" i="58"/>
  <c r="J459" i="58"/>
  <c r="I460" i="58"/>
  <c r="J460" i="58"/>
  <c r="I461" i="58"/>
  <c r="J461" i="58"/>
  <c r="I462" i="58"/>
  <c r="J462" i="58"/>
  <c r="I463" i="58"/>
  <c r="J463" i="58"/>
  <c r="I464" i="58"/>
  <c r="J464" i="58"/>
  <c r="I465" i="58"/>
  <c r="J465" i="58"/>
  <c r="I466" i="58"/>
  <c r="J466" i="58"/>
  <c r="I467" i="58"/>
  <c r="J467" i="58"/>
  <c r="I468" i="58"/>
  <c r="J468" i="58"/>
  <c r="I469" i="58"/>
  <c r="J469" i="58"/>
  <c r="I470" i="58"/>
  <c r="J470" i="58"/>
  <c r="I471" i="58"/>
  <c r="J471" i="58"/>
  <c r="I472" i="58"/>
  <c r="J472" i="58"/>
  <c r="I473" i="58"/>
  <c r="J473" i="58"/>
  <c r="I474" i="58"/>
  <c r="J474" i="58"/>
  <c r="I475" i="58"/>
  <c r="J475" i="58"/>
  <c r="I476" i="58"/>
  <c r="J476" i="58"/>
  <c r="G477" i="58"/>
  <c r="H477" i="58"/>
  <c r="I478" i="58"/>
  <c r="J478" i="58"/>
  <c r="I479" i="58"/>
  <c r="J479" i="58"/>
  <c r="I480" i="58"/>
  <c r="J480" i="58"/>
  <c r="I481" i="58"/>
  <c r="J481" i="58"/>
  <c r="I482" i="58"/>
  <c r="J482" i="58"/>
  <c r="I483" i="58"/>
  <c r="J483" i="58"/>
  <c r="I484" i="58"/>
  <c r="J484" i="58"/>
  <c r="I485" i="58"/>
  <c r="J485" i="58"/>
  <c r="I486" i="58"/>
  <c r="J486" i="58"/>
  <c r="I487" i="58"/>
  <c r="J487" i="58"/>
  <c r="I488" i="58"/>
  <c r="J488" i="58"/>
  <c r="I489" i="58"/>
  <c r="J489" i="58"/>
  <c r="I490" i="58"/>
  <c r="J490" i="58"/>
  <c r="I491" i="58"/>
  <c r="J491" i="58"/>
  <c r="I492" i="58"/>
  <c r="J492" i="58"/>
  <c r="I493" i="58"/>
  <c r="J493" i="58"/>
  <c r="I494" i="58"/>
  <c r="J494" i="58"/>
  <c r="I495" i="58"/>
  <c r="J495" i="58"/>
  <c r="I496" i="58"/>
  <c r="J496" i="58"/>
  <c r="I497" i="58"/>
  <c r="J497" i="58"/>
  <c r="I498" i="58"/>
  <c r="J498" i="58"/>
  <c r="I499" i="58"/>
  <c r="J499" i="58"/>
  <c r="I500" i="58"/>
  <c r="J500" i="58"/>
  <c r="I501" i="58"/>
  <c r="J501" i="58"/>
  <c r="I502" i="58"/>
  <c r="J502" i="58"/>
  <c r="I503" i="58"/>
  <c r="J503" i="58"/>
  <c r="I504" i="58"/>
  <c r="J504" i="58"/>
  <c r="F505" i="58"/>
  <c r="J505" i="58" s="1"/>
  <c r="I506" i="58"/>
  <c r="J506" i="58"/>
  <c r="I507" i="58"/>
  <c r="J507" i="58"/>
  <c r="I508" i="58"/>
  <c r="J508" i="58"/>
  <c r="I509" i="58"/>
  <c r="J509" i="58"/>
  <c r="I510" i="58"/>
  <c r="J510" i="58"/>
  <c r="I511" i="58"/>
  <c r="J511" i="58"/>
  <c r="I512" i="58"/>
  <c r="J512" i="58"/>
  <c r="I513" i="58"/>
  <c r="J513" i="58"/>
  <c r="I514" i="58"/>
  <c r="J514" i="58"/>
  <c r="I515" i="58"/>
  <c r="J515" i="58"/>
  <c r="I516" i="58"/>
  <c r="J516" i="58"/>
  <c r="I517" i="58"/>
  <c r="J517" i="58"/>
  <c r="I518" i="58"/>
  <c r="J518" i="58"/>
  <c r="I519" i="58"/>
  <c r="J519" i="58"/>
  <c r="I520" i="58"/>
  <c r="J520" i="58"/>
  <c r="I521" i="58"/>
  <c r="J521" i="58"/>
  <c r="I522" i="58"/>
  <c r="J522" i="58"/>
  <c r="I523" i="58"/>
  <c r="J523" i="58"/>
  <c r="I524" i="58"/>
  <c r="J524" i="58"/>
  <c r="I525" i="58"/>
  <c r="J525" i="58"/>
  <c r="I526" i="58"/>
  <c r="J526" i="58"/>
  <c r="I527" i="58"/>
  <c r="J527" i="58"/>
  <c r="I528" i="58"/>
  <c r="J528" i="58"/>
  <c r="F529" i="58"/>
  <c r="I530" i="58"/>
  <c r="J530" i="58"/>
  <c r="I531" i="58"/>
  <c r="J531" i="58"/>
  <c r="I532" i="58"/>
  <c r="J532" i="58"/>
  <c r="I533" i="58"/>
  <c r="J533" i="58"/>
  <c r="I534" i="58"/>
  <c r="J534" i="58"/>
  <c r="I535" i="58"/>
  <c r="J535" i="58"/>
  <c r="I536" i="58"/>
  <c r="J536" i="58"/>
  <c r="I537" i="58"/>
  <c r="J537" i="58"/>
  <c r="I538" i="58"/>
  <c r="J538" i="58"/>
  <c r="I539" i="58"/>
  <c r="J539" i="58"/>
  <c r="I540" i="58"/>
  <c r="J540" i="58"/>
  <c r="I541" i="58"/>
  <c r="J541" i="58"/>
  <c r="I542" i="58"/>
  <c r="J542" i="58"/>
  <c r="I543" i="58"/>
  <c r="J543" i="58"/>
  <c r="I544" i="58"/>
  <c r="J544" i="58"/>
  <c r="I545" i="58"/>
  <c r="J545" i="58"/>
  <c r="I546" i="58"/>
  <c r="J546" i="58"/>
  <c r="I547" i="58"/>
  <c r="J547" i="58"/>
  <c r="I548" i="58"/>
  <c r="J548" i="58"/>
  <c r="I549" i="58"/>
  <c r="J549" i="58"/>
  <c r="F550" i="58"/>
  <c r="G550" i="58"/>
  <c r="H550" i="58"/>
  <c r="I551" i="58"/>
  <c r="I550" i="58" s="1"/>
  <c r="J551" i="58"/>
  <c r="I552" i="58"/>
  <c r="J552" i="58"/>
  <c r="I553" i="58"/>
  <c r="J553" i="58"/>
  <c r="I554" i="58"/>
  <c r="J554" i="58"/>
  <c r="I555" i="58"/>
  <c r="J555" i="58"/>
  <c r="I556" i="58"/>
  <c r="J556" i="58"/>
  <c r="I557" i="58"/>
  <c r="J557" i="58"/>
  <c r="F558" i="58"/>
  <c r="G558" i="58"/>
  <c r="H558" i="58"/>
  <c r="I559" i="58"/>
  <c r="J559" i="58"/>
  <c r="I560" i="58"/>
  <c r="J560" i="58"/>
  <c r="I561" i="58"/>
  <c r="J561" i="58"/>
  <c r="I562" i="58"/>
  <c r="J562" i="58"/>
  <c r="I563" i="58"/>
  <c r="J563" i="58"/>
  <c r="I564" i="58"/>
  <c r="J564" i="58"/>
  <c r="I565" i="58"/>
  <c r="J565" i="58"/>
  <c r="I566" i="58"/>
  <c r="J566" i="58"/>
  <c r="I567" i="58"/>
  <c r="J567" i="58"/>
  <c r="I568" i="58"/>
  <c r="J568" i="58"/>
  <c r="I569" i="58"/>
  <c r="J569" i="58"/>
  <c r="I570" i="58"/>
  <c r="J570" i="58"/>
  <c r="I571" i="58"/>
  <c r="J571" i="58"/>
  <c r="I572" i="58"/>
  <c r="J572" i="58"/>
  <c r="I573" i="58"/>
  <c r="J573" i="58"/>
  <c r="I574" i="58"/>
  <c r="J574" i="58"/>
  <c r="I575" i="58"/>
  <c r="J575" i="58"/>
  <c r="I576" i="58"/>
  <c r="J576" i="58"/>
  <c r="I577" i="58"/>
  <c r="J577" i="58"/>
  <c r="I578" i="58"/>
  <c r="J578" i="58"/>
  <c r="I579" i="58"/>
  <c r="J579" i="58"/>
  <c r="I580" i="58"/>
  <c r="J580" i="58"/>
  <c r="I581" i="58"/>
  <c r="J581" i="58"/>
  <c r="G586" i="58"/>
  <c r="H586" i="58" s="1"/>
  <c r="F587" i="58"/>
  <c r="F622" i="58" s="1"/>
  <c r="G587" i="58"/>
  <c r="H587" i="58"/>
  <c r="I588" i="58"/>
  <c r="J588" i="58"/>
  <c r="I589" i="58"/>
  <c r="J589" i="58"/>
  <c r="I590" i="58"/>
  <c r="J590" i="58"/>
  <c r="I591" i="58"/>
  <c r="J591" i="58"/>
  <c r="I592" i="58"/>
  <c r="J592" i="58"/>
  <c r="I593" i="58"/>
  <c r="J593" i="58"/>
  <c r="F594" i="58"/>
  <c r="G594" i="58"/>
  <c r="H594" i="58"/>
  <c r="J594" i="58" s="1"/>
  <c r="I595" i="58"/>
  <c r="J595" i="58"/>
  <c r="I596" i="58"/>
  <c r="J596" i="58"/>
  <c r="I597" i="58"/>
  <c r="J597" i="58"/>
  <c r="I598" i="58"/>
  <c r="J598" i="58"/>
  <c r="I599" i="58"/>
  <c r="J599" i="58"/>
  <c r="I600" i="58"/>
  <c r="J600" i="58"/>
  <c r="I601" i="58"/>
  <c r="J601" i="58"/>
  <c r="I602" i="58"/>
  <c r="J602" i="58"/>
  <c r="I603" i="58"/>
  <c r="J603" i="58"/>
  <c r="I604" i="58"/>
  <c r="J604" i="58"/>
  <c r="I605" i="58"/>
  <c r="J605" i="58"/>
  <c r="I606" i="58"/>
  <c r="J606" i="58"/>
  <c r="I607" i="58"/>
  <c r="J607" i="58"/>
  <c r="I608" i="58"/>
  <c r="J608" i="58"/>
  <c r="I609" i="58"/>
  <c r="J609" i="58"/>
  <c r="I610" i="58"/>
  <c r="J610" i="58"/>
  <c r="I611" i="58"/>
  <c r="J611" i="58"/>
  <c r="I612" i="58"/>
  <c r="J612" i="58"/>
  <c r="I613" i="58"/>
  <c r="J613" i="58"/>
  <c r="I614" i="58"/>
  <c r="J614" i="58"/>
  <c r="I615" i="58"/>
  <c r="J615" i="58"/>
  <c r="I616" i="58"/>
  <c r="J616" i="58"/>
  <c r="I617" i="58"/>
  <c r="J617" i="58"/>
  <c r="I618" i="58"/>
  <c r="J618" i="58"/>
  <c r="I619" i="58"/>
  <c r="J619" i="58"/>
  <c r="I620" i="58"/>
  <c r="J620" i="58"/>
  <c r="I621" i="58"/>
  <c r="J621" i="58"/>
  <c r="G622" i="58"/>
  <c r="G625" i="58"/>
  <c r="H625" i="58"/>
  <c r="F626" i="58"/>
  <c r="G626" i="58"/>
  <c r="J626" i="58" s="1"/>
  <c r="H626" i="58"/>
  <c r="I627" i="58"/>
  <c r="J627" i="58"/>
  <c r="I628" i="58"/>
  <c r="J628" i="58"/>
  <c r="I629" i="58"/>
  <c r="J629" i="58"/>
  <c r="I630" i="58"/>
  <c r="J630" i="58"/>
  <c r="I631" i="58"/>
  <c r="J631" i="58"/>
  <c r="I632" i="58"/>
  <c r="J632" i="58"/>
  <c r="F633" i="58"/>
  <c r="G633" i="58"/>
  <c r="H633" i="58"/>
  <c r="I634" i="58"/>
  <c r="J634" i="58"/>
  <c r="I635" i="58"/>
  <c r="J635" i="58"/>
  <c r="I636" i="58"/>
  <c r="J636" i="58"/>
  <c r="I637" i="58"/>
  <c r="J637" i="58"/>
  <c r="I638" i="58"/>
  <c r="J638" i="58"/>
  <c r="I639" i="58"/>
  <c r="J639" i="58"/>
  <c r="I640" i="58"/>
  <c r="J640" i="58"/>
  <c r="I641" i="58"/>
  <c r="J641" i="58"/>
  <c r="I642" i="58"/>
  <c r="J642" i="58"/>
  <c r="I643" i="58"/>
  <c r="J643" i="58"/>
  <c r="I644" i="58"/>
  <c r="J644" i="58"/>
  <c r="I645" i="58"/>
  <c r="J645" i="58"/>
  <c r="I646" i="58"/>
  <c r="J646" i="58"/>
  <c r="I647" i="58"/>
  <c r="J647" i="58"/>
  <c r="I648" i="58"/>
  <c r="J648" i="58"/>
  <c r="I649" i="58"/>
  <c r="J649" i="58"/>
  <c r="I650" i="58"/>
  <c r="J650" i="58"/>
  <c r="I651" i="58"/>
  <c r="J651" i="58"/>
  <c r="I652" i="58"/>
  <c r="J652" i="58"/>
  <c r="I653" i="58"/>
  <c r="J653" i="58"/>
  <c r="I654" i="58"/>
  <c r="J654" i="58"/>
  <c r="I655" i="58"/>
  <c r="J655" i="58"/>
  <c r="I656" i="58"/>
  <c r="J656" i="58"/>
  <c r="I657" i="58"/>
  <c r="J657" i="58"/>
  <c r="I658" i="58"/>
  <c r="J658" i="58"/>
  <c r="I659" i="58"/>
  <c r="J659" i="58"/>
  <c r="I660" i="58"/>
  <c r="J660" i="58"/>
  <c r="I661" i="58"/>
  <c r="J661" i="58"/>
  <c r="I662" i="58"/>
  <c r="J662" i="58"/>
  <c r="F663" i="58"/>
  <c r="G663" i="58"/>
  <c r="H663" i="58"/>
  <c r="I664" i="58"/>
  <c r="J664" i="58"/>
  <c r="I665" i="58"/>
  <c r="J665" i="58"/>
  <c r="I666" i="58"/>
  <c r="J666" i="58"/>
  <c r="I667" i="58"/>
  <c r="J667" i="58"/>
  <c r="I668" i="58"/>
  <c r="J668" i="58"/>
  <c r="I669" i="58"/>
  <c r="J669" i="58"/>
  <c r="I670" i="58"/>
  <c r="J670" i="58"/>
  <c r="I671" i="58"/>
  <c r="J671" i="58"/>
  <c r="I672" i="58"/>
  <c r="J672" i="58"/>
  <c r="I673" i="58"/>
  <c r="J673" i="58"/>
  <c r="F674" i="58"/>
  <c r="I674" i="58" s="1"/>
  <c r="J674" i="58"/>
  <c r="I675" i="58"/>
  <c r="J675" i="58"/>
  <c r="I676" i="58"/>
  <c r="J676" i="58"/>
  <c r="I677" i="58"/>
  <c r="J677" i="58"/>
  <c r="I678" i="58"/>
  <c r="J678" i="58"/>
  <c r="I679" i="58"/>
  <c r="J679" i="58"/>
  <c r="I680" i="58"/>
  <c r="J680" i="58"/>
  <c r="I681" i="58"/>
  <c r="J681" i="58"/>
  <c r="F682" i="58"/>
  <c r="J682" i="58" s="1"/>
  <c r="I682" i="58"/>
  <c r="I683" i="58"/>
  <c r="J683" i="58"/>
  <c r="I684" i="58"/>
  <c r="J684" i="58"/>
  <c r="I685" i="58"/>
  <c r="J685" i="58"/>
  <c r="I686" i="58"/>
  <c r="J686" i="58"/>
  <c r="I687" i="58"/>
  <c r="J687" i="58"/>
  <c r="I688" i="58"/>
  <c r="J688" i="58"/>
  <c r="I689" i="58"/>
  <c r="J689" i="58"/>
  <c r="I690" i="58"/>
  <c r="J690" i="58"/>
  <c r="I691" i="58"/>
  <c r="J691" i="58"/>
  <c r="I692" i="58"/>
  <c r="J692" i="58"/>
  <c r="I693" i="58"/>
  <c r="J693" i="58"/>
  <c r="H694" i="58"/>
  <c r="G697" i="58"/>
  <c r="H697" i="58" s="1"/>
  <c r="F698" i="58"/>
  <c r="G698" i="58"/>
  <c r="H698" i="58"/>
  <c r="J698" i="58"/>
  <c r="I699" i="58"/>
  <c r="J699" i="58"/>
  <c r="I700" i="58"/>
  <c r="J700" i="58"/>
  <c r="I701" i="58"/>
  <c r="J701" i="58"/>
  <c r="I702" i="58"/>
  <c r="J702" i="58"/>
  <c r="I703" i="58"/>
  <c r="J703" i="58"/>
  <c r="I704" i="58"/>
  <c r="J704" i="58"/>
  <c r="I705" i="58"/>
  <c r="J705" i="58"/>
  <c r="F706" i="58"/>
  <c r="G706" i="58"/>
  <c r="H706" i="58"/>
  <c r="I706" i="58"/>
  <c r="I707" i="58"/>
  <c r="J707" i="58"/>
  <c r="I708" i="58"/>
  <c r="J708" i="58"/>
  <c r="I709" i="58"/>
  <c r="J709" i="58"/>
  <c r="I710" i="58"/>
  <c r="J710" i="58"/>
  <c r="I711" i="58"/>
  <c r="J711" i="58"/>
  <c r="I712" i="58"/>
  <c r="J712" i="58"/>
  <c r="I713" i="58"/>
  <c r="J713" i="58"/>
  <c r="I714" i="58"/>
  <c r="J714" i="58"/>
  <c r="I715" i="58"/>
  <c r="J715" i="58"/>
  <c r="I716" i="58"/>
  <c r="J716" i="58"/>
  <c r="I717" i="58"/>
  <c r="J717" i="58"/>
  <c r="I718" i="58"/>
  <c r="J718" i="58"/>
  <c r="I719" i="58"/>
  <c r="J719" i="58"/>
  <c r="I720" i="58"/>
  <c r="J720" i="58"/>
  <c r="I721" i="58"/>
  <c r="J721" i="58"/>
  <c r="I722" i="58"/>
  <c r="J722" i="58"/>
  <c r="I723" i="58"/>
  <c r="J723" i="58"/>
  <c r="I724" i="58"/>
  <c r="J724" i="58"/>
  <c r="I725" i="58"/>
  <c r="J725" i="58"/>
  <c r="I726" i="58"/>
  <c r="J726" i="58"/>
  <c r="I727" i="58"/>
  <c r="J727" i="58"/>
  <c r="I728" i="58"/>
  <c r="J728" i="58"/>
  <c r="I729" i="58"/>
  <c r="J729" i="58"/>
  <c r="I730" i="58"/>
  <c r="J730" i="58"/>
  <c r="I731" i="58"/>
  <c r="J731" i="58"/>
  <c r="I732" i="58"/>
  <c r="J732" i="58"/>
  <c r="I733" i="58"/>
  <c r="J733" i="58"/>
  <c r="F734" i="58"/>
  <c r="G734" i="58"/>
  <c r="H734" i="58"/>
  <c r="J734" i="58"/>
  <c r="I735" i="58"/>
  <c r="J735" i="58"/>
  <c r="I736" i="58"/>
  <c r="J736" i="58"/>
  <c r="I737" i="58"/>
  <c r="J737" i="58"/>
  <c r="I738" i="58"/>
  <c r="J738" i="58"/>
  <c r="I739" i="58"/>
  <c r="J739" i="58"/>
  <c r="I740" i="58"/>
  <c r="J740" i="58"/>
  <c r="I741" i="58"/>
  <c r="J741" i="58"/>
  <c r="I742" i="58"/>
  <c r="J742" i="58"/>
  <c r="I743" i="58"/>
  <c r="J743" i="58"/>
  <c r="I744" i="58"/>
  <c r="J744" i="58"/>
  <c r="I745" i="58"/>
  <c r="J745" i="58"/>
  <c r="I746" i="58"/>
  <c r="J746" i="58"/>
  <c r="I747" i="58"/>
  <c r="J747" i="58"/>
  <c r="I748" i="58"/>
  <c r="J748" i="58"/>
  <c r="I749" i="58"/>
  <c r="J749" i="58"/>
  <c r="I750" i="58"/>
  <c r="J750" i="58"/>
  <c r="I751" i="58"/>
  <c r="J751" i="58"/>
  <c r="I752" i="58"/>
  <c r="J752" i="58"/>
  <c r="I753" i="58"/>
  <c r="J753" i="58"/>
  <c r="I754" i="58"/>
  <c r="J754" i="58"/>
  <c r="F755" i="58"/>
  <c r="H755" i="58"/>
  <c r="G759" i="58"/>
  <c r="H759" i="58" s="1"/>
  <c r="F760" i="58"/>
  <c r="F768" i="58" s="1"/>
  <c r="I768" i="58" s="1"/>
  <c r="K767" i="58" s="1"/>
  <c r="G760" i="58"/>
  <c r="H760" i="58"/>
  <c r="H768" i="58" s="1"/>
  <c r="I761" i="58"/>
  <c r="J761" i="58"/>
  <c r="I762" i="58"/>
  <c r="J762" i="58"/>
  <c r="I763" i="58"/>
  <c r="J763" i="58"/>
  <c r="I764" i="58"/>
  <c r="J764" i="58"/>
  <c r="I765" i="58"/>
  <c r="J765" i="58"/>
  <c r="I766" i="58"/>
  <c r="J766" i="58"/>
  <c r="I767" i="58"/>
  <c r="J767" i="58"/>
  <c r="G768" i="58"/>
  <c r="G771" i="58"/>
  <c r="H771" i="58"/>
  <c r="F772" i="58"/>
  <c r="G772" i="58"/>
  <c r="H772" i="58"/>
  <c r="I773" i="58"/>
  <c r="J773" i="58"/>
  <c r="I774" i="58"/>
  <c r="I772" i="58" s="1"/>
  <c r="J774" i="58"/>
  <c r="I775" i="58"/>
  <c r="J775" i="58"/>
  <c r="I776" i="58"/>
  <c r="J776" i="58"/>
  <c r="I777" i="58"/>
  <c r="J777" i="58"/>
  <c r="I778" i="58"/>
  <c r="J778" i="58"/>
  <c r="I779" i="58"/>
  <c r="J779" i="58"/>
  <c r="F780" i="58"/>
  <c r="H780" i="58"/>
  <c r="G784" i="58"/>
  <c r="H784" i="58" s="1"/>
  <c r="F785" i="58"/>
  <c r="G785" i="58"/>
  <c r="H785" i="58"/>
  <c r="I786" i="58"/>
  <c r="J786" i="58"/>
  <c r="I787" i="58"/>
  <c r="J787" i="58"/>
  <c r="I788" i="58"/>
  <c r="J788" i="58"/>
  <c r="I789" i="58"/>
  <c r="J789" i="58"/>
  <c r="I790" i="58"/>
  <c r="J790" i="58"/>
  <c r="I791" i="58"/>
  <c r="J791" i="58"/>
  <c r="I792" i="58"/>
  <c r="J792" i="58"/>
  <c r="I793" i="58"/>
  <c r="J793" i="58"/>
  <c r="I794" i="58"/>
  <c r="J794" i="58"/>
  <c r="I795" i="58"/>
  <c r="J795" i="58"/>
  <c r="I796" i="58"/>
  <c r="J796" i="58"/>
  <c r="I797" i="58"/>
  <c r="J797" i="58"/>
  <c r="I798" i="58"/>
  <c r="J798" i="58"/>
  <c r="I799" i="58"/>
  <c r="J799" i="58"/>
  <c r="I800" i="58"/>
  <c r="J800" i="58"/>
  <c r="G801" i="58"/>
  <c r="H801" i="58"/>
  <c r="G807" i="58"/>
  <c r="H807" i="58"/>
  <c r="F808" i="58"/>
  <c r="G808" i="58"/>
  <c r="J808" i="58" s="1"/>
  <c r="H808" i="58"/>
  <c r="I809" i="58"/>
  <c r="J809" i="58"/>
  <c r="I810" i="58"/>
  <c r="J810" i="58"/>
  <c r="I811" i="58"/>
  <c r="J811" i="58"/>
  <c r="I812" i="58"/>
  <c r="J812" i="58"/>
  <c r="I813" i="58"/>
  <c r="J813" i="58"/>
  <c r="F814" i="58"/>
  <c r="G814" i="58"/>
  <c r="H814" i="58"/>
  <c r="G817" i="58"/>
  <c r="H817" i="58" s="1"/>
  <c r="F818" i="58"/>
  <c r="G818" i="58"/>
  <c r="H818" i="58"/>
  <c r="I819" i="58"/>
  <c r="J819" i="58"/>
  <c r="F820" i="58"/>
  <c r="G820" i="58"/>
  <c r="J820" i="58" s="1"/>
  <c r="H820" i="58"/>
  <c r="I820" i="58"/>
  <c r="K820" i="58"/>
  <c r="G823" i="58"/>
  <c r="H823" i="58"/>
  <c r="F824" i="58"/>
  <c r="G824" i="58"/>
  <c r="J824" i="58" s="1"/>
  <c r="H824" i="58"/>
  <c r="I825" i="58"/>
  <c r="J825" i="58"/>
  <c r="I826" i="58"/>
  <c r="J826" i="58"/>
  <c r="I827" i="58"/>
  <c r="J827" i="58"/>
  <c r="I828" i="58"/>
  <c r="J828" i="58"/>
  <c r="I829" i="58"/>
  <c r="J829" i="58"/>
  <c r="I830" i="58"/>
  <c r="J830" i="58"/>
  <c r="F831" i="58"/>
  <c r="G831" i="58"/>
  <c r="H831" i="58"/>
  <c r="I832" i="58"/>
  <c r="J832" i="58"/>
  <c r="I833" i="58"/>
  <c r="J833" i="58"/>
  <c r="I834" i="58"/>
  <c r="J834" i="58"/>
  <c r="I835" i="58"/>
  <c r="J835" i="58"/>
  <c r="I836" i="58"/>
  <c r="J836" i="58"/>
  <c r="I837" i="58"/>
  <c r="J837" i="58"/>
  <c r="I838" i="58"/>
  <c r="J838" i="58"/>
  <c r="I839" i="58"/>
  <c r="J839" i="58"/>
  <c r="I840" i="58"/>
  <c r="J840" i="58"/>
  <c r="I841" i="58"/>
  <c r="J841" i="58"/>
  <c r="I842" i="58"/>
  <c r="J842" i="58"/>
  <c r="I843" i="58"/>
  <c r="J843" i="58"/>
  <c r="I844" i="58"/>
  <c r="J844" i="58"/>
  <c r="I845" i="58"/>
  <c r="J845" i="58"/>
  <c r="I846" i="58"/>
  <c r="J846" i="58"/>
  <c r="I847" i="58"/>
  <c r="J847" i="58"/>
  <c r="I848" i="58"/>
  <c r="J848" i="58"/>
  <c r="I849" i="58"/>
  <c r="J849" i="58"/>
  <c r="I850" i="58"/>
  <c r="J850" i="58"/>
  <c r="F851" i="58"/>
  <c r="H851" i="58"/>
  <c r="G854" i="58"/>
  <c r="H854" i="58" s="1"/>
  <c r="G859" i="58"/>
  <c r="H859" i="58"/>
  <c r="F860" i="58"/>
  <c r="J860" i="58" s="1"/>
  <c r="G860" i="58"/>
  <c r="H860" i="58"/>
  <c r="I861" i="58"/>
  <c r="J861" i="58"/>
  <c r="I862" i="58"/>
  <c r="J862" i="58"/>
  <c r="I863" i="58"/>
  <c r="J863" i="58"/>
  <c r="I864" i="58"/>
  <c r="J864" i="58"/>
  <c r="I865" i="58"/>
  <c r="J865" i="58"/>
  <c r="I866" i="58"/>
  <c r="J866" i="58"/>
  <c r="I867" i="58"/>
  <c r="J867" i="58"/>
  <c r="I868" i="58"/>
  <c r="J868" i="58"/>
  <c r="I869" i="58"/>
  <c r="J869" i="58"/>
  <c r="I870" i="58"/>
  <c r="J870" i="58"/>
  <c r="I871" i="58"/>
  <c r="J871" i="58"/>
  <c r="I872" i="58"/>
  <c r="J872" i="58"/>
  <c r="I873" i="58"/>
  <c r="J873" i="58"/>
  <c r="H874" i="58"/>
  <c r="I875" i="58"/>
  <c r="J875" i="58"/>
  <c r="G876" i="58"/>
  <c r="G874" i="58" s="1"/>
  <c r="I876" i="58"/>
  <c r="J876" i="58"/>
  <c r="I877" i="58"/>
  <c r="J877" i="58"/>
  <c r="I878" i="58"/>
  <c r="J878" i="58"/>
  <c r="I879" i="58"/>
  <c r="J879" i="58"/>
  <c r="I880" i="58"/>
  <c r="J880" i="58"/>
  <c r="I881" i="58"/>
  <c r="J881" i="58"/>
  <c r="I882" i="58"/>
  <c r="J882" i="58"/>
  <c r="I883" i="58"/>
  <c r="J883" i="58"/>
  <c r="I884" i="58"/>
  <c r="J884" i="58"/>
  <c r="I885" i="58"/>
  <c r="J885" i="58"/>
  <c r="I886" i="58"/>
  <c r="J886" i="58"/>
  <c r="I887" i="58"/>
  <c r="J887" i="58"/>
  <c r="I888" i="58"/>
  <c r="J888" i="58"/>
  <c r="I889" i="58"/>
  <c r="J889" i="58"/>
  <c r="F890" i="58"/>
  <c r="G890" i="58"/>
  <c r="I890" i="58"/>
  <c r="J890" i="58"/>
  <c r="I891" i="58"/>
  <c r="J891" i="58"/>
  <c r="I892" i="58"/>
  <c r="J892" i="58"/>
  <c r="F893" i="58"/>
  <c r="G893" i="58"/>
  <c r="I894" i="58"/>
  <c r="J894" i="58"/>
  <c r="I895" i="58"/>
  <c r="J895" i="58"/>
  <c r="I896" i="58"/>
  <c r="J896" i="58"/>
  <c r="I897" i="58"/>
  <c r="J897" i="58"/>
  <c r="I898" i="58"/>
  <c r="J898" i="58"/>
  <c r="I899" i="58"/>
  <c r="J899" i="58"/>
  <c r="I900" i="58"/>
  <c r="J900" i="58"/>
  <c r="I901" i="58"/>
  <c r="J901" i="58"/>
  <c r="F902" i="58"/>
  <c r="G902" i="58"/>
  <c r="J902" i="58" s="1"/>
  <c r="H902" i="58"/>
  <c r="I903" i="58"/>
  <c r="J903" i="58"/>
  <c r="I904" i="58"/>
  <c r="J904" i="58"/>
  <c r="I905" i="58"/>
  <c r="J905" i="58"/>
  <c r="I906" i="58"/>
  <c r="J906" i="58"/>
  <c r="I907" i="58"/>
  <c r="J907" i="58"/>
  <c r="I908" i="58"/>
  <c r="J908" i="58"/>
  <c r="I909" i="58"/>
  <c r="J909" i="58"/>
  <c r="I910" i="58"/>
  <c r="J910" i="58"/>
  <c r="I911" i="58"/>
  <c r="J911" i="58"/>
  <c r="I912" i="58"/>
  <c r="J912" i="58"/>
  <c r="I913" i="58"/>
  <c r="J913" i="58"/>
  <c r="I914" i="58"/>
  <c r="J914" i="58"/>
  <c r="I915" i="58"/>
  <c r="J915" i="58"/>
  <c r="I916" i="58"/>
  <c r="J916" i="58"/>
  <c r="I917" i="58"/>
  <c r="J917" i="58"/>
  <c r="I918" i="58"/>
  <c r="J918" i="58"/>
  <c r="I919" i="58"/>
  <c r="J919" i="58"/>
  <c r="I920" i="58"/>
  <c r="J920" i="58"/>
  <c r="I921" i="58"/>
  <c r="J921" i="58"/>
  <c r="I922" i="58"/>
  <c r="J922" i="58"/>
  <c r="I923" i="58"/>
  <c r="J923" i="58"/>
  <c r="I924" i="58"/>
  <c r="J924" i="58"/>
  <c r="I925" i="58"/>
  <c r="J925" i="58"/>
  <c r="I926" i="58"/>
  <c r="J926" i="58"/>
  <c r="I927" i="58"/>
  <c r="J927" i="58"/>
  <c r="I928" i="58"/>
  <c r="J928" i="58"/>
  <c r="I929" i="58"/>
  <c r="J929" i="58"/>
  <c r="I930" i="58"/>
  <c r="J930" i="58"/>
  <c r="F931" i="58"/>
  <c r="G931" i="58"/>
  <c r="J931" i="58" s="1"/>
  <c r="H931" i="58"/>
  <c r="I932" i="58"/>
  <c r="J932" i="58"/>
  <c r="I933" i="58"/>
  <c r="J933" i="58"/>
  <c r="I934" i="58"/>
  <c r="J934" i="58"/>
  <c r="I935" i="58"/>
  <c r="J935" i="58"/>
  <c r="I936" i="58"/>
  <c r="J936" i="58"/>
  <c r="I937" i="58"/>
  <c r="J937" i="58"/>
  <c r="I938" i="58"/>
  <c r="J938" i="58"/>
  <c r="I939" i="58"/>
  <c r="J939" i="58"/>
  <c r="I940" i="58"/>
  <c r="J940" i="58"/>
  <c r="I941" i="58"/>
  <c r="J941" i="58"/>
  <c r="I942" i="58"/>
  <c r="J942" i="58"/>
  <c r="I943" i="58"/>
  <c r="J943" i="58"/>
  <c r="I944" i="58"/>
  <c r="J944" i="58"/>
  <c r="I945" i="58"/>
  <c r="J945" i="58"/>
  <c r="I946" i="58"/>
  <c r="J946" i="58"/>
  <c r="I947" i="58"/>
  <c r="J947" i="58"/>
  <c r="I948" i="58"/>
  <c r="J948" i="58"/>
  <c r="I949" i="58"/>
  <c r="J949" i="58"/>
  <c r="I950" i="58"/>
  <c r="J950" i="58"/>
  <c r="I951" i="58"/>
  <c r="J951" i="58"/>
  <c r="I952" i="58"/>
  <c r="J952" i="58"/>
  <c r="I953" i="58"/>
  <c r="J953" i="58"/>
  <c r="I954" i="58"/>
  <c r="J954" i="58"/>
  <c r="I955" i="58"/>
  <c r="J955" i="58"/>
  <c r="I956" i="58"/>
  <c r="J956" i="58"/>
  <c r="I957" i="58"/>
  <c r="J957" i="58"/>
  <c r="I958" i="58"/>
  <c r="J958" i="58"/>
  <c r="I959" i="58"/>
  <c r="J959" i="58"/>
  <c r="F960" i="58"/>
  <c r="H960" i="58"/>
  <c r="I961" i="58"/>
  <c r="J961" i="58"/>
  <c r="G962" i="58"/>
  <c r="G960" i="58" s="1"/>
  <c r="J960" i="58" s="1"/>
  <c r="I962" i="58"/>
  <c r="J962" i="58"/>
  <c r="I963" i="58"/>
  <c r="J963" i="58"/>
  <c r="I964" i="58"/>
  <c r="J964" i="58"/>
  <c r="I965" i="58"/>
  <c r="J965" i="58"/>
  <c r="I966" i="58"/>
  <c r="J966" i="58"/>
  <c r="I967" i="58"/>
  <c r="J967" i="58"/>
  <c r="I968" i="58"/>
  <c r="J968" i="58"/>
  <c r="I969" i="58"/>
  <c r="J969" i="58"/>
  <c r="I970" i="58"/>
  <c r="J970" i="58"/>
  <c r="I971" i="58"/>
  <c r="J971" i="58"/>
  <c r="I972" i="58"/>
  <c r="J972" i="58"/>
  <c r="I973" i="58"/>
  <c r="J973" i="58"/>
  <c r="I974" i="58"/>
  <c r="J974" i="58"/>
  <c r="I975" i="58"/>
  <c r="J975" i="58"/>
  <c r="I976" i="58"/>
  <c r="J976" i="58"/>
  <c r="I977" i="58"/>
  <c r="J977" i="58"/>
  <c r="I978" i="58"/>
  <c r="J978" i="58"/>
  <c r="I979" i="58"/>
  <c r="J979" i="58"/>
  <c r="I980" i="58"/>
  <c r="J980" i="58"/>
  <c r="I981" i="58"/>
  <c r="J981" i="58"/>
  <c r="I982" i="58"/>
  <c r="J982" i="58"/>
  <c r="I983" i="58"/>
  <c r="J983" i="58"/>
  <c r="I984" i="58"/>
  <c r="J984" i="58"/>
  <c r="I985" i="58"/>
  <c r="J985" i="58"/>
  <c r="I986" i="58"/>
  <c r="J986" i="58"/>
  <c r="I987" i="58"/>
  <c r="J987" i="58"/>
  <c r="I988" i="58"/>
  <c r="J988" i="58"/>
  <c r="F989" i="58"/>
  <c r="G989" i="58"/>
  <c r="H989" i="58"/>
  <c r="J989" i="58" s="1"/>
  <c r="I990" i="58"/>
  <c r="J990" i="58"/>
  <c r="I991" i="58"/>
  <c r="J991" i="58"/>
  <c r="I992" i="58"/>
  <c r="J992" i="58"/>
  <c r="I993" i="58"/>
  <c r="J993" i="58"/>
  <c r="I994" i="58"/>
  <c r="J994" i="58"/>
  <c r="I995" i="58"/>
  <c r="J995" i="58"/>
  <c r="I996" i="58"/>
  <c r="J996" i="58"/>
  <c r="I997" i="58"/>
  <c r="J997" i="58"/>
  <c r="H998" i="58"/>
  <c r="G1001" i="58"/>
  <c r="H1001" i="58" s="1"/>
  <c r="F1002" i="58"/>
  <c r="G1002" i="58"/>
  <c r="H1002" i="58"/>
  <c r="I1003" i="58"/>
  <c r="J1003" i="58"/>
  <c r="I1004" i="58"/>
  <c r="J1004" i="58"/>
  <c r="I1005" i="58"/>
  <c r="J1005" i="58"/>
  <c r="I1006" i="58"/>
  <c r="J1006" i="58"/>
  <c r="I1007" i="58"/>
  <c r="J1007" i="58"/>
  <c r="I1008" i="58"/>
  <c r="J1008" i="58"/>
  <c r="I1009" i="58"/>
  <c r="J1009" i="58"/>
  <c r="I1010" i="58"/>
  <c r="J1010" i="58"/>
  <c r="I1011" i="58"/>
  <c r="J1011" i="58"/>
  <c r="I1012" i="58"/>
  <c r="J1012" i="58"/>
  <c r="I1013" i="58"/>
  <c r="J1013" i="58"/>
  <c r="I1014" i="58"/>
  <c r="J1014" i="58"/>
  <c r="I1015" i="58"/>
  <c r="J1015" i="58"/>
  <c r="I1016" i="58"/>
  <c r="J1016" i="58"/>
  <c r="I1017" i="58"/>
  <c r="J1017" i="58"/>
  <c r="I1018" i="58"/>
  <c r="J1018" i="58"/>
  <c r="I1019" i="58"/>
  <c r="J1019" i="58"/>
  <c r="I1020" i="58"/>
  <c r="J1020" i="58"/>
  <c r="I1021" i="58"/>
  <c r="J1021" i="58"/>
  <c r="I1022" i="58"/>
  <c r="J1022" i="58"/>
  <c r="I1023" i="58"/>
  <c r="J1023" i="58"/>
  <c r="G1024" i="58"/>
  <c r="H1024" i="58"/>
  <c r="I1025" i="58"/>
  <c r="J1025" i="58"/>
  <c r="F1026" i="58"/>
  <c r="G1026" i="58"/>
  <c r="I1027" i="58"/>
  <c r="J1027" i="58"/>
  <c r="I1028" i="58"/>
  <c r="J1028" i="58"/>
  <c r="I1029" i="58"/>
  <c r="J1029" i="58"/>
  <c r="I1030" i="58"/>
  <c r="J1030" i="58"/>
  <c r="I1031" i="58"/>
  <c r="J1031" i="58"/>
  <c r="I1032" i="58"/>
  <c r="J1032" i="58"/>
  <c r="I1033" i="58"/>
  <c r="J1033" i="58"/>
  <c r="I1034" i="58"/>
  <c r="J1034" i="58"/>
  <c r="I1035" i="58"/>
  <c r="J1035" i="58"/>
  <c r="I1036" i="58"/>
  <c r="J1036" i="58"/>
  <c r="I1037" i="58"/>
  <c r="J1037" i="58"/>
  <c r="I1038" i="58"/>
  <c r="J1038" i="58"/>
  <c r="I1039" i="58"/>
  <c r="J1039" i="58"/>
  <c r="I1040" i="58"/>
  <c r="J1040" i="58"/>
  <c r="I1041" i="58"/>
  <c r="J1041" i="58"/>
  <c r="G1042" i="58"/>
  <c r="I1042" i="58" s="1"/>
  <c r="J1042" i="58"/>
  <c r="G1043" i="58"/>
  <c r="J1043" i="58" s="1"/>
  <c r="I1043" i="58"/>
  <c r="I1044" i="58"/>
  <c r="J1044" i="58"/>
  <c r="I1045" i="58"/>
  <c r="J1045" i="58"/>
  <c r="I1046" i="58"/>
  <c r="J1046" i="58"/>
  <c r="I1047" i="58"/>
  <c r="J1047" i="58"/>
  <c r="I1048" i="58"/>
  <c r="J1048" i="58"/>
  <c r="I1049" i="58"/>
  <c r="J1049" i="58"/>
  <c r="I1050" i="58"/>
  <c r="J1050" i="58"/>
  <c r="I1051" i="58"/>
  <c r="J1051" i="58"/>
  <c r="G1052" i="58"/>
  <c r="I1052" i="58" s="1"/>
  <c r="J1052" i="58"/>
  <c r="I1053" i="58"/>
  <c r="J1053" i="58"/>
  <c r="G1054" i="58"/>
  <c r="H1054" i="58"/>
  <c r="I1055" i="58"/>
  <c r="J1055" i="58"/>
  <c r="I1056" i="58"/>
  <c r="J1056" i="58"/>
  <c r="F1057" i="58"/>
  <c r="I1057" i="58"/>
  <c r="J1057" i="58"/>
  <c r="F1058" i="58"/>
  <c r="I1058" i="58"/>
  <c r="J1058" i="58"/>
  <c r="I1059" i="58"/>
  <c r="J1059" i="58"/>
  <c r="I1060" i="58"/>
  <c r="J1060" i="58"/>
  <c r="I1061" i="58"/>
  <c r="J1061" i="58"/>
  <c r="I1062" i="58"/>
  <c r="J1062" i="58"/>
  <c r="I1063" i="58"/>
  <c r="J1063" i="58"/>
  <c r="I1064" i="58"/>
  <c r="J1064" i="58"/>
  <c r="I1065" i="58"/>
  <c r="J1065" i="58"/>
  <c r="I1066" i="58"/>
  <c r="J1066" i="58"/>
  <c r="I1067" i="58"/>
  <c r="J1067" i="58"/>
  <c r="I1068" i="58"/>
  <c r="J1068" i="58"/>
  <c r="I1069" i="58"/>
  <c r="J1069" i="58"/>
  <c r="I1070" i="58"/>
  <c r="J1070" i="58"/>
  <c r="I1071" i="58"/>
  <c r="J1071" i="58"/>
  <c r="I1072" i="58"/>
  <c r="J1072" i="58"/>
  <c r="I1073" i="58"/>
  <c r="J1073" i="58"/>
  <c r="I1074" i="58"/>
  <c r="J1074" i="58"/>
  <c r="I1075" i="58"/>
  <c r="J1075" i="58"/>
  <c r="I1076" i="58"/>
  <c r="J1076" i="58"/>
  <c r="F1077" i="58"/>
  <c r="J1077" i="58" s="1"/>
  <c r="I1077" i="58"/>
  <c r="I1078" i="58"/>
  <c r="J1078" i="58"/>
  <c r="I1079" i="58"/>
  <c r="J1079" i="58"/>
  <c r="I1080" i="58"/>
  <c r="J1080" i="58"/>
  <c r="I1081" i="58"/>
  <c r="J1081" i="58"/>
  <c r="I1082" i="58"/>
  <c r="J1082" i="58"/>
  <c r="F1083" i="58"/>
  <c r="G1083" i="58"/>
  <c r="J1083" i="58" s="1"/>
  <c r="H1083" i="58"/>
  <c r="I1084" i="58"/>
  <c r="J1084" i="58"/>
  <c r="I1085" i="58"/>
  <c r="J1085" i="58"/>
  <c r="I1086" i="58"/>
  <c r="J1086" i="58"/>
  <c r="I1087" i="58"/>
  <c r="J1087" i="58"/>
  <c r="I1088" i="58"/>
  <c r="J1088" i="58"/>
  <c r="I1089" i="58"/>
  <c r="J1089" i="58"/>
  <c r="I1090" i="58"/>
  <c r="J1090" i="58"/>
  <c r="I1091" i="58"/>
  <c r="J1091" i="58"/>
  <c r="I1092" i="58"/>
  <c r="J1092" i="58"/>
  <c r="I1093" i="58"/>
  <c r="J1093" i="58"/>
  <c r="I1094" i="58"/>
  <c r="J1094" i="58"/>
  <c r="I1095" i="58"/>
  <c r="J1095" i="58"/>
  <c r="I1096" i="58"/>
  <c r="J1096" i="58"/>
  <c r="I1097" i="58"/>
  <c r="J1097" i="58"/>
  <c r="I1098" i="58"/>
  <c r="J1098" i="58"/>
  <c r="I1099" i="58"/>
  <c r="J1099" i="58"/>
  <c r="I1100" i="58"/>
  <c r="J1100" i="58"/>
  <c r="I1101" i="58"/>
  <c r="J1101" i="58"/>
  <c r="I1102" i="58"/>
  <c r="J1102" i="58"/>
  <c r="I1103" i="58"/>
  <c r="J1103" i="58"/>
  <c r="I1104" i="58"/>
  <c r="J1104" i="58"/>
  <c r="I1105" i="58"/>
  <c r="J1105" i="58"/>
  <c r="I1106" i="58"/>
  <c r="J1106" i="58"/>
  <c r="I1107" i="58"/>
  <c r="J1107" i="58"/>
  <c r="I1108" i="58"/>
  <c r="J1108" i="58"/>
  <c r="I1109" i="58"/>
  <c r="J1109" i="58"/>
  <c r="I1110" i="58"/>
  <c r="J1110" i="58"/>
  <c r="I1111" i="58"/>
  <c r="J1111" i="58"/>
  <c r="F1112" i="58"/>
  <c r="G1112" i="58"/>
  <c r="H1112" i="58"/>
  <c r="I1112" i="58"/>
  <c r="J1112" i="58"/>
  <c r="I1113" i="58"/>
  <c r="J1113" i="58"/>
  <c r="I1114" i="58"/>
  <c r="J1114" i="58"/>
  <c r="I1115" i="58"/>
  <c r="J1115" i="58"/>
  <c r="I1116" i="58"/>
  <c r="J1116" i="58"/>
  <c r="I1117" i="58"/>
  <c r="J1117" i="58"/>
  <c r="I1118" i="58"/>
  <c r="J1118" i="58"/>
  <c r="I1119" i="58"/>
  <c r="J1119" i="58"/>
  <c r="I1120" i="58"/>
  <c r="J1120" i="58"/>
  <c r="I1121" i="58"/>
  <c r="J1121" i="58"/>
  <c r="I1122" i="58"/>
  <c r="J1122" i="58"/>
  <c r="I1123" i="58"/>
  <c r="J1123" i="58"/>
  <c r="I1124" i="58"/>
  <c r="J1124" i="58"/>
  <c r="I1125" i="58"/>
  <c r="J1125" i="58"/>
  <c r="I1126" i="58"/>
  <c r="J1126" i="58"/>
  <c r="I1127" i="58"/>
  <c r="J1127" i="58"/>
  <c r="I1128" i="58"/>
  <c r="J1128" i="58"/>
  <c r="I1129" i="58"/>
  <c r="J1129" i="58"/>
  <c r="I1130" i="58"/>
  <c r="J1130" i="58"/>
  <c r="I1131" i="58"/>
  <c r="J1131" i="58"/>
  <c r="I1132" i="58"/>
  <c r="J1132" i="58"/>
  <c r="I1133" i="58"/>
  <c r="J1133" i="58"/>
  <c r="I1134" i="58"/>
  <c r="J1134" i="58"/>
  <c r="I1135" i="58"/>
  <c r="J1135" i="58"/>
  <c r="I1136" i="58"/>
  <c r="J1136" i="58"/>
  <c r="I1137" i="58"/>
  <c r="J1137" i="58"/>
  <c r="I1138" i="58"/>
  <c r="J1138" i="58"/>
  <c r="I1139" i="58"/>
  <c r="J1139" i="58"/>
  <c r="I1140" i="58"/>
  <c r="J1140" i="58"/>
  <c r="F1141" i="58"/>
  <c r="G1141" i="58"/>
  <c r="J1141" i="58" s="1"/>
  <c r="H1141" i="58"/>
  <c r="I1142" i="58"/>
  <c r="J1142" i="58"/>
  <c r="I1143" i="58"/>
  <c r="J1143" i="58"/>
  <c r="I1144" i="58"/>
  <c r="J1144" i="58"/>
  <c r="I1145" i="58"/>
  <c r="J1145" i="58"/>
  <c r="I1146" i="58"/>
  <c r="J1146" i="58"/>
  <c r="I1147" i="58"/>
  <c r="J1147" i="58"/>
  <c r="I1148" i="58"/>
  <c r="J1148" i="58"/>
  <c r="I1149" i="58"/>
  <c r="J1149" i="58"/>
  <c r="I1150" i="58"/>
  <c r="J1150" i="58"/>
  <c r="I1151" i="58"/>
  <c r="J1151" i="58"/>
  <c r="I1152" i="58"/>
  <c r="J1152" i="58"/>
  <c r="I1153" i="58"/>
  <c r="J1153" i="58"/>
  <c r="I1154" i="58"/>
  <c r="J1154" i="58"/>
  <c r="I1155" i="58"/>
  <c r="J1155" i="58"/>
  <c r="I1156" i="58"/>
  <c r="J1156" i="58"/>
  <c r="I1157" i="58"/>
  <c r="J1157" i="58"/>
  <c r="I1158" i="58"/>
  <c r="J1158" i="58"/>
  <c r="I1159" i="58"/>
  <c r="J1159" i="58"/>
  <c r="I1160" i="58"/>
  <c r="J1160" i="58"/>
  <c r="I1161" i="58"/>
  <c r="J1161" i="58"/>
  <c r="I1162" i="58"/>
  <c r="J1162" i="58"/>
  <c r="I1163" i="58"/>
  <c r="J1163" i="58"/>
  <c r="I1164" i="58"/>
  <c r="J1164" i="58"/>
  <c r="I1165" i="58"/>
  <c r="J1165" i="58"/>
  <c r="I1166" i="58"/>
  <c r="J1166" i="58"/>
  <c r="I1167" i="58"/>
  <c r="J1167" i="58"/>
  <c r="I1168" i="58"/>
  <c r="J1168" i="58"/>
  <c r="I1169" i="58"/>
  <c r="J1169" i="58"/>
  <c r="H1170" i="58"/>
  <c r="G1176" i="58"/>
  <c r="H1176" i="58"/>
  <c r="F1177" i="58"/>
  <c r="G1177" i="58"/>
  <c r="J1177" i="58" s="1"/>
  <c r="H1177" i="58"/>
  <c r="I1178" i="58"/>
  <c r="J1178" i="58"/>
  <c r="I1179" i="58"/>
  <c r="J1179" i="58"/>
  <c r="I1180" i="58"/>
  <c r="J1180" i="58"/>
  <c r="I1181" i="58"/>
  <c r="J1181" i="58"/>
  <c r="I1182" i="58"/>
  <c r="J1182" i="58"/>
  <c r="I1183" i="58"/>
  <c r="J1183" i="58"/>
  <c r="I1184" i="58"/>
  <c r="J1184" i="58"/>
  <c r="I1185" i="58"/>
  <c r="J1185" i="58"/>
  <c r="I1186" i="58"/>
  <c r="J1186" i="58"/>
  <c r="I1187" i="58"/>
  <c r="J1187" i="58"/>
  <c r="I1188" i="58"/>
  <c r="J1188" i="58"/>
  <c r="I1189" i="58"/>
  <c r="J1189" i="58"/>
  <c r="I1190" i="58"/>
  <c r="J1190" i="58"/>
  <c r="I1191" i="58"/>
  <c r="J1191" i="58"/>
  <c r="I1192" i="58"/>
  <c r="J1192" i="58"/>
  <c r="I1193" i="58"/>
  <c r="J1193" i="58"/>
  <c r="I1194" i="58"/>
  <c r="J1194" i="58"/>
  <c r="I1195" i="58"/>
  <c r="J1195" i="58"/>
  <c r="I1196" i="58"/>
  <c r="J1196" i="58"/>
  <c r="I1197" i="58"/>
  <c r="J1197" i="58"/>
  <c r="I1198" i="58"/>
  <c r="J1198" i="58"/>
  <c r="I1199" i="58"/>
  <c r="J1199" i="58"/>
  <c r="I1200" i="58"/>
  <c r="J1200" i="58"/>
  <c r="I1201" i="58"/>
  <c r="J1201" i="58"/>
  <c r="I1202" i="58"/>
  <c r="J1202" i="58"/>
  <c r="I1203" i="58"/>
  <c r="J1203" i="58"/>
  <c r="I1204" i="58"/>
  <c r="J1204" i="58"/>
  <c r="I1205" i="58"/>
  <c r="J1205" i="58"/>
  <c r="I1206" i="58"/>
  <c r="J1206" i="58"/>
  <c r="F1207" i="58"/>
  <c r="G1207" i="58"/>
  <c r="H1207" i="58"/>
  <c r="J1207" i="58"/>
  <c r="G1211" i="58"/>
  <c r="H1211" i="58" s="1"/>
  <c r="F1212" i="58"/>
  <c r="J1212" i="58" s="1"/>
  <c r="G1212" i="58"/>
  <c r="H1212" i="58"/>
  <c r="I1213" i="58"/>
  <c r="I1212" i="58" s="1"/>
  <c r="J1213" i="58"/>
  <c r="I1214" i="58"/>
  <c r="J1214" i="58"/>
  <c r="I1215" i="58"/>
  <c r="J1215" i="58"/>
  <c r="I1216" i="58"/>
  <c r="J1216" i="58"/>
  <c r="I1217" i="58"/>
  <c r="J1217" i="58"/>
  <c r="I1218" i="58"/>
  <c r="J1218" i="58"/>
  <c r="F1219" i="58"/>
  <c r="G1219" i="58"/>
  <c r="H1219" i="58"/>
  <c r="I1220" i="58"/>
  <c r="J1220" i="58"/>
  <c r="I1221" i="58"/>
  <c r="J1221" i="58"/>
  <c r="I1222" i="58"/>
  <c r="K1222" i="58" s="1"/>
  <c r="J1222" i="58"/>
  <c r="I1223" i="58"/>
  <c r="J1223" i="58"/>
  <c r="I1224" i="58"/>
  <c r="J1224" i="58"/>
  <c r="I1225" i="58"/>
  <c r="J1225" i="58"/>
  <c r="I1226" i="58"/>
  <c r="J1226" i="58"/>
  <c r="I1227" i="58"/>
  <c r="J1227" i="58"/>
  <c r="I1228" i="58"/>
  <c r="J1228" i="58"/>
  <c r="F1229" i="58"/>
  <c r="J1229" i="58" s="1"/>
  <c r="I1229" i="58"/>
  <c r="I1230" i="58"/>
  <c r="J1230" i="58"/>
  <c r="I1231" i="58"/>
  <c r="J1231" i="58"/>
  <c r="I1232" i="58"/>
  <c r="J1232" i="58"/>
  <c r="I1233" i="58"/>
  <c r="J1233" i="58"/>
  <c r="I1234" i="58"/>
  <c r="J1234" i="58"/>
  <c r="I1235" i="58"/>
  <c r="J1235" i="58"/>
  <c r="I1236" i="58"/>
  <c r="J1236" i="58"/>
  <c r="I1237" i="58"/>
  <c r="J1237" i="58"/>
  <c r="I1238" i="58"/>
  <c r="J1238" i="58"/>
  <c r="I1239" i="58"/>
  <c r="J1239" i="58"/>
  <c r="I1240" i="58"/>
  <c r="J1240" i="58"/>
  <c r="I1241" i="58"/>
  <c r="J1241" i="58"/>
  <c r="I1242" i="58"/>
  <c r="J1242" i="58"/>
  <c r="G1243" i="58"/>
  <c r="H1243" i="58"/>
  <c r="G1246" i="58"/>
  <c r="H1246" i="58" s="1"/>
  <c r="F1247" i="58"/>
  <c r="J1247" i="58" s="1"/>
  <c r="G1247" i="58"/>
  <c r="H1247" i="58"/>
  <c r="I1248" i="58"/>
  <c r="J1248" i="58"/>
  <c r="I1249" i="58"/>
  <c r="J1249" i="58"/>
  <c r="I1250" i="58"/>
  <c r="J1250" i="58"/>
  <c r="I1251" i="58"/>
  <c r="J1251" i="58"/>
  <c r="I1252" i="58"/>
  <c r="J1252" i="58"/>
  <c r="I1253" i="58"/>
  <c r="J1253" i="58"/>
  <c r="I1254" i="58"/>
  <c r="J1254" i="58"/>
  <c r="I1255" i="58"/>
  <c r="J1255" i="58"/>
  <c r="I1256" i="58"/>
  <c r="J1256" i="58"/>
  <c r="I1257" i="58"/>
  <c r="J1257" i="58"/>
  <c r="I1258" i="58"/>
  <c r="J1258" i="58"/>
  <c r="I1259" i="58"/>
  <c r="J1259" i="58"/>
  <c r="F1260" i="58"/>
  <c r="G1260" i="58"/>
  <c r="H1260" i="58"/>
  <c r="J1260" i="58"/>
  <c r="I1261" i="58"/>
  <c r="J1261" i="58"/>
  <c r="I1262" i="58"/>
  <c r="J1262" i="58"/>
  <c r="I1263" i="58"/>
  <c r="J1263" i="58"/>
  <c r="I1264" i="58"/>
  <c r="J1264" i="58"/>
  <c r="I1265" i="58"/>
  <c r="J1265" i="58"/>
  <c r="I1266" i="58"/>
  <c r="J1266" i="58"/>
  <c r="I1267" i="58"/>
  <c r="J1267" i="58"/>
  <c r="I1268" i="58"/>
  <c r="J1268" i="58"/>
  <c r="I1269" i="58"/>
  <c r="J1269" i="58"/>
  <c r="I1270" i="58"/>
  <c r="J1270" i="58"/>
  <c r="I1271" i="58"/>
  <c r="J1271" i="58"/>
  <c r="I1272" i="58"/>
  <c r="J1272" i="58"/>
  <c r="I1273" i="58"/>
  <c r="J1273" i="58"/>
  <c r="I1274" i="58"/>
  <c r="J1274" i="58"/>
  <c r="I1275" i="58"/>
  <c r="J1275" i="58"/>
  <c r="I1276" i="58"/>
  <c r="J1276" i="58"/>
  <c r="I1277" i="58"/>
  <c r="J1277" i="58"/>
  <c r="I1278" i="58"/>
  <c r="J1278" i="58"/>
  <c r="I1279" i="58"/>
  <c r="J1279" i="58"/>
  <c r="I1280" i="58"/>
  <c r="J1280" i="58"/>
  <c r="I1281" i="58"/>
  <c r="J1281" i="58"/>
  <c r="I1282" i="58"/>
  <c r="J1282" i="58"/>
  <c r="I1283" i="58"/>
  <c r="J1283" i="58"/>
  <c r="I1284" i="58"/>
  <c r="J1284" i="58"/>
  <c r="I1285" i="58"/>
  <c r="J1285" i="58"/>
  <c r="I1286" i="58"/>
  <c r="J1286" i="58"/>
  <c r="I1287" i="58"/>
  <c r="J1287" i="58"/>
  <c r="I1288" i="58"/>
  <c r="J1288" i="58"/>
  <c r="I1289" i="58"/>
  <c r="J1289" i="58"/>
  <c r="I1290" i="58"/>
  <c r="J1290" i="58"/>
  <c r="I1291" i="58"/>
  <c r="J1291" i="58"/>
  <c r="I1292" i="58"/>
  <c r="J1292" i="58"/>
  <c r="I1293" i="58"/>
  <c r="J1293" i="58"/>
  <c r="I1294" i="58"/>
  <c r="J1294" i="58"/>
  <c r="I1295" i="58"/>
  <c r="J1295" i="58"/>
  <c r="I1296" i="58"/>
  <c r="J1296" i="58"/>
  <c r="I1297" i="58"/>
  <c r="J1297" i="58"/>
  <c r="I1298" i="58"/>
  <c r="J1298" i="58"/>
  <c r="I1299" i="58"/>
  <c r="J1299" i="58"/>
  <c r="I1300" i="58"/>
  <c r="J1300" i="58"/>
  <c r="I1301" i="58"/>
  <c r="J1301" i="58"/>
  <c r="I1302" i="58"/>
  <c r="J1302" i="58"/>
  <c r="I1303" i="58"/>
  <c r="J1303" i="58"/>
  <c r="I1304" i="58"/>
  <c r="J1304" i="58"/>
  <c r="I1305" i="58"/>
  <c r="J1305" i="58"/>
  <c r="I1306" i="58"/>
  <c r="J1306" i="58"/>
  <c r="I1307" i="58"/>
  <c r="J1307" i="58"/>
  <c r="I1308" i="58"/>
  <c r="J1308" i="58"/>
  <c r="I1309" i="58"/>
  <c r="J1309" i="58"/>
  <c r="I1310" i="58"/>
  <c r="J1310" i="58"/>
  <c r="F1311" i="58"/>
  <c r="G1311" i="58"/>
  <c r="H1311" i="58"/>
  <c r="G1315" i="58"/>
  <c r="H1315" i="58" s="1"/>
  <c r="F1316" i="58"/>
  <c r="G1316" i="58"/>
  <c r="H1316" i="58"/>
  <c r="J1316" i="58"/>
  <c r="I1317" i="58"/>
  <c r="J1317" i="58"/>
  <c r="I1318" i="58"/>
  <c r="J1318" i="58"/>
  <c r="I1319" i="58"/>
  <c r="J1319" i="58"/>
  <c r="I1320" i="58"/>
  <c r="J1320" i="58"/>
  <c r="I1321" i="58"/>
  <c r="J1321" i="58"/>
  <c r="I1322" i="58"/>
  <c r="J1322" i="58"/>
  <c r="I1323" i="58"/>
  <c r="J1323" i="58"/>
  <c r="I1324" i="58"/>
  <c r="J1324" i="58"/>
  <c r="I1325" i="58"/>
  <c r="J1325" i="58"/>
  <c r="I1326" i="58"/>
  <c r="J1326" i="58"/>
  <c r="I1327" i="58"/>
  <c r="J1327" i="58"/>
  <c r="I1328" i="58"/>
  <c r="J1328" i="58"/>
  <c r="F1329" i="58"/>
  <c r="G1329" i="58"/>
  <c r="H1329" i="58"/>
  <c r="J1329" i="58"/>
  <c r="I1330" i="58"/>
  <c r="J1330" i="58"/>
  <c r="I1331" i="58"/>
  <c r="J1331" i="58"/>
  <c r="I1332" i="58"/>
  <c r="J1332" i="58"/>
  <c r="I1333" i="58"/>
  <c r="J1333" i="58"/>
  <c r="I1334" i="58"/>
  <c r="J1334" i="58"/>
  <c r="I1335" i="58"/>
  <c r="J1335" i="58"/>
  <c r="I1336" i="58"/>
  <c r="J1336" i="58"/>
  <c r="I1337" i="58"/>
  <c r="J1337" i="58"/>
  <c r="I1338" i="58"/>
  <c r="J1338" i="58"/>
  <c r="I1339" i="58"/>
  <c r="J1339" i="58"/>
  <c r="I1340" i="58"/>
  <c r="J1340" i="58"/>
  <c r="I1341" i="58"/>
  <c r="J1341" i="58"/>
  <c r="I1342" i="58"/>
  <c r="J1342" i="58"/>
  <c r="I1343" i="58"/>
  <c r="J1343" i="58"/>
  <c r="I1344" i="58"/>
  <c r="J1344" i="58"/>
  <c r="I1345" i="58"/>
  <c r="J1345" i="58"/>
  <c r="I1346" i="58"/>
  <c r="J1346" i="58"/>
  <c r="I1347" i="58"/>
  <c r="J1347" i="58"/>
  <c r="I1348" i="58"/>
  <c r="J1348" i="58"/>
  <c r="I1349" i="58"/>
  <c r="J1349" i="58"/>
  <c r="I1350" i="58"/>
  <c r="J1350" i="58"/>
  <c r="I1351" i="58"/>
  <c r="J1351" i="58"/>
  <c r="I1352" i="58"/>
  <c r="J1352" i="58"/>
  <c r="I1353" i="58"/>
  <c r="J1353" i="58"/>
  <c r="I1354" i="58"/>
  <c r="J1354" i="58"/>
  <c r="I1355" i="58"/>
  <c r="J1355" i="58"/>
  <c r="I1356" i="58"/>
  <c r="J1356" i="58"/>
  <c r="I1357" i="58"/>
  <c r="J1357" i="58"/>
  <c r="I1358" i="58"/>
  <c r="J1358" i="58"/>
  <c r="I1359" i="58"/>
  <c r="J1359" i="58"/>
  <c r="I1360" i="58"/>
  <c r="J1360" i="58"/>
  <c r="I1361" i="58"/>
  <c r="J1361" i="58"/>
  <c r="I1362" i="58"/>
  <c r="J1362" i="58"/>
  <c r="I1363" i="58"/>
  <c r="J1363" i="58"/>
  <c r="I1364" i="58"/>
  <c r="J1364" i="58"/>
  <c r="I1365" i="58"/>
  <c r="J1365" i="58"/>
  <c r="I1366" i="58"/>
  <c r="J1366" i="58"/>
  <c r="I1367" i="58"/>
  <c r="J1367" i="58"/>
  <c r="I1368" i="58"/>
  <c r="J1368" i="58"/>
  <c r="I1369" i="58"/>
  <c r="J1369" i="58"/>
  <c r="I1370" i="58"/>
  <c r="J1370" i="58"/>
  <c r="I1371" i="58"/>
  <c r="J1371" i="58"/>
  <c r="I1372" i="58"/>
  <c r="J1372" i="58"/>
  <c r="I1373" i="58"/>
  <c r="J1373" i="58"/>
  <c r="I1374" i="58"/>
  <c r="J1374" i="58"/>
  <c r="I1375" i="58"/>
  <c r="J1375" i="58"/>
  <c r="I1376" i="58"/>
  <c r="J1376" i="58"/>
  <c r="I1377" i="58"/>
  <c r="J1377" i="58"/>
  <c r="I1378" i="58"/>
  <c r="J1378" i="58"/>
  <c r="I1379" i="58"/>
  <c r="J1379" i="58"/>
  <c r="F1380" i="58"/>
  <c r="G1380" i="58"/>
  <c r="H1380" i="58"/>
  <c r="J1380" i="58" s="1"/>
  <c r="G1383" i="58"/>
  <c r="H1383" i="58" s="1"/>
  <c r="F1384" i="58"/>
  <c r="F1405" i="58" s="1"/>
  <c r="G1384" i="58"/>
  <c r="H1384" i="58"/>
  <c r="I1385" i="58"/>
  <c r="J1385" i="58"/>
  <c r="I1386" i="58"/>
  <c r="J1386" i="58"/>
  <c r="I1387" i="58"/>
  <c r="J1387" i="58"/>
  <c r="I1388" i="58"/>
  <c r="J1388" i="58"/>
  <c r="I1389" i="58"/>
  <c r="J1389" i="58"/>
  <c r="I1390" i="58"/>
  <c r="J1390" i="58"/>
  <c r="F1391" i="58"/>
  <c r="G1391" i="58"/>
  <c r="H1391" i="58"/>
  <c r="J1391" i="58" s="1"/>
  <c r="I1392" i="58"/>
  <c r="J1392" i="58"/>
  <c r="I1393" i="58"/>
  <c r="J1393" i="58"/>
  <c r="I1394" i="58"/>
  <c r="J1394" i="58"/>
  <c r="I1395" i="58"/>
  <c r="J1395" i="58"/>
  <c r="I1396" i="58"/>
  <c r="J1396" i="58"/>
  <c r="I1397" i="58"/>
  <c r="J1397" i="58"/>
  <c r="I1398" i="58"/>
  <c r="J1398" i="58"/>
  <c r="I1399" i="58"/>
  <c r="J1399" i="58"/>
  <c r="I1400" i="58"/>
  <c r="J1400" i="58"/>
  <c r="I1401" i="58"/>
  <c r="J1401" i="58"/>
  <c r="I1402" i="58"/>
  <c r="J1402" i="58"/>
  <c r="I1403" i="58"/>
  <c r="J1403" i="58"/>
  <c r="I1404" i="58"/>
  <c r="J1404" i="58"/>
  <c r="G1405" i="58"/>
  <c r="G1410" i="58"/>
  <c r="H1410" i="58"/>
  <c r="F1411" i="58"/>
  <c r="G1411" i="58"/>
  <c r="J1411" i="58" s="1"/>
  <c r="H1411" i="58"/>
  <c r="I1412" i="58"/>
  <c r="J1412" i="58"/>
  <c r="I1413" i="58"/>
  <c r="J1413" i="58"/>
  <c r="I1414" i="58"/>
  <c r="K1414" i="58" s="1"/>
  <c r="J1414" i="58"/>
  <c r="I1415" i="58"/>
  <c r="J1415" i="58"/>
  <c r="K1415" i="58"/>
  <c r="I1416" i="58"/>
  <c r="J1416" i="58"/>
  <c r="I1417" i="58"/>
  <c r="J1417" i="58"/>
  <c r="F1418" i="58"/>
  <c r="G1418" i="58"/>
  <c r="J1418" i="58" s="1"/>
  <c r="H1418" i="58"/>
  <c r="I1419" i="58"/>
  <c r="J1419" i="58"/>
  <c r="I1420" i="58"/>
  <c r="J1420" i="58"/>
  <c r="I1421" i="58"/>
  <c r="K1421" i="58" s="1"/>
  <c r="J1421" i="58"/>
  <c r="I1422" i="58"/>
  <c r="J1422" i="58"/>
  <c r="K1422" i="58"/>
  <c r="I1423" i="58"/>
  <c r="J1423" i="58"/>
  <c r="I1424" i="58"/>
  <c r="K1424" i="58" s="1"/>
  <c r="J1424" i="58"/>
  <c r="I1425" i="58"/>
  <c r="K1425" i="58" s="1"/>
  <c r="J1425" i="58"/>
  <c r="I1426" i="58"/>
  <c r="J1426" i="58"/>
  <c r="K1426" i="58"/>
  <c r="I1427" i="58"/>
  <c r="J1427" i="58"/>
  <c r="I1428" i="58"/>
  <c r="K1428" i="58" s="1"/>
  <c r="J1428" i="58"/>
  <c r="I1429" i="58"/>
  <c r="J1429" i="58"/>
  <c r="I1430" i="58"/>
  <c r="J1430" i="58"/>
  <c r="I1431" i="58"/>
  <c r="J1431" i="58"/>
  <c r="I1432" i="58"/>
  <c r="K1432" i="58" s="1"/>
  <c r="J1432" i="58"/>
  <c r="I1433" i="58"/>
  <c r="K1433" i="58" s="1"/>
  <c r="J1433" i="58"/>
  <c r="I1434" i="58"/>
  <c r="J1434" i="58"/>
  <c r="K1434" i="58"/>
  <c r="I1435" i="58"/>
  <c r="J1435" i="58"/>
  <c r="I1436" i="58"/>
  <c r="J1436" i="58"/>
  <c r="I1437" i="58"/>
  <c r="K1437" i="58" s="1"/>
  <c r="J1437" i="58"/>
  <c r="I1438" i="58"/>
  <c r="J1438" i="58"/>
  <c r="K1438" i="58"/>
  <c r="I1439" i="58"/>
  <c r="J1439" i="58"/>
  <c r="I1440" i="58"/>
  <c r="K1440" i="58" s="1"/>
  <c r="J1440" i="58"/>
  <c r="I1441" i="58"/>
  <c r="K1441" i="58" s="1"/>
  <c r="J1441" i="58"/>
  <c r="I1442" i="58"/>
  <c r="J1442" i="58"/>
  <c r="K1442" i="58"/>
  <c r="I1443" i="58"/>
  <c r="J1443" i="58"/>
  <c r="I1444" i="58"/>
  <c r="K1444" i="58" s="1"/>
  <c r="J1444" i="58"/>
  <c r="I1445" i="58"/>
  <c r="K1445" i="58" s="1"/>
  <c r="J1445" i="58"/>
  <c r="H1446" i="58"/>
  <c r="H1477" i="58" s="1"/>
  <c r="F1447" i="58"/>
  <c r="I1448" i="58"/>
  <c r="K1448" i="58" s="1"/>
  <c r="J1448" i="58"/>
  <c r="I1449" i="58"/>
  <c r="K1449" i="58" s="1"/>
  <c r="J1449" i="58"/>
  <c r="I1450" i="58"/>
  <c r="J1450" i="58"/>
  <c r="K1450" i="58"/>
  <c r="I1451" i="58"/>
  <c r="J1451" i="58"/>
  <c r="I1452" i="58"/>
  <c r="K1452" i="58" s="1"/>
  <c r="J1452" i="58"/>
  <c r="I1453" i="58"/>
  <c r="K1453" i="58" s="1"/>
  <c r="J1453" i="58"/>
  <c r="I1454" i="58"/>
  <c r="J1454" i="58"/>
  <c r="K1454" i="58"/>
  <c r="I1455" i="58"/>
  <c r="J1455" i="58"/>
  <c r="I1456" i="58"/>
  <c r="K1456" i="58" s="1"/>
  <c r="J1456" i="58"/>
  <c r="I1457" i="58"/>
  <c r="K1457" i="58" s="1"/>
  <c r="J1457" i="58"/>
  <c r="I1458" i="58"/>
  <c r="J1458" i="58"/>
  <c r="K1458" i="58"/>
  <c r="I1459" i="58"/>
  <c r="J1459" i="58"/>
  <c r="I1460" i="58"/>
  <c r="K1460" i="58" s="1"/>
  <c r="J1460" i="58"/>
  <c r="I1461" i="58"/>
  <c r="K1461" i="58" s="1"/>
  <c r="J1461" i="58"/>
  <c r="I1462" i="58"/>
  <c r="J1462" i="58"/>
  <c r="K1462" i="58"/>
  <c r="I1463" i="58"/>
  <c r="J1463" i="58"/>
  <c r="I1464" i="58"/>
  <c r="K1464" i="58" s="1"/>
  <c r="J1464" i="58"/>
  <c r="G1465" i="58"/>
  <c r="G1446" i="58" s="1"/>
  <c r="I1465" i="58"/>
  <c r="K1465" i="58" s="1"/>
  <c r="I1466" i="58"/>
  <c r="K1466" i="58" s="1"/>
  <c r="J1466" i="58"/>
  <c r="I1467" i="58"/>
  <c r="J1467" i="58"/>
  <c r="K1467" i="58"/>
  <c r="I1468" i="58"/>
  <c r="J1468" i="58"/>
  <c r="I1469" i="58"/>
  <c r="K1469" i="58" s="1"/>
  <c r="J1469" i="58"/>
  <c r="I1470" i="58"/>
  <c r="K1470" i="58" s="1"/>
  <c r="J1470" i="58"/>
  <c r="I1471" i="58"/>
  <c r="J1471" i="58"/>
  <c r="K1471" i="58"/>
  <c r="I1472" i="58"/>
  <c r="J1472" i="58"/>
  <c r="I1473" i="58"/>
  <c r="K1473" i="58" s="1"/>
  <c r="J1473" i="58"/>
  <c r="I1474" i="58"/>
  <c r="K1474" i="58" s="1"/>
  <c r="J1474" i="58"/>
  <c r="I1475" i="58"/>
  <c r="J1475" i="58"/>
  <c r="K1475" i="58"/>
  <c r="I1476" i="58"/>
  <c r="J1476" i="58"/>
  <c r="G1480" i="58"/>
  <c r="H1480" i="58" s="1"/>
  <c r="F1481" i="58"/>
  <c r="G1481" i="58"/>
  <c r="H1481" i="58"/>
  <c r="J1481" i="58"/>
  <c r="I1482" i="58"/>
  <c r="J1482" i="58"/>
  <c r="I1483" i="58"/>
  <c r="J1483" i="58"/>
  <c r="I1484" i="58"/>
  <c r="J1484" i="58"/>
  <c r="I1485" i="58"/>
  <c r="J1485" i="58"/>
  <c r="I1486" i="58"/>
  <c r="J1486" i="58"/>
  <c r="I1487" i="58"/>
  <c r="J1487" i="58"/>
  <c r="F1488" i="58"/>
  <c r="J1488" i="58" s="1"/>
  <c r="G1488" i="58"/>
  <c r="H1488" i="58"/>
  <c r="I1489" i="58"/>
  <c r="J1489" i="58"/>
  <c r="I1490" i="58"/>
  <c r="J1490" i="58"/>
  <c r="I1491" i="58"/>
  <c r="J1491" i="58"/>
  <c r="I1492" i="58"/>
  <c r="J1492" i="58"/>
  <c r="I1493" i="58"/>
  <c r="J1493" i="58"/>
  <c r="I1494" i="58"/>
  <c r="J1494" i="58"/>
  <c r="I1495" i="58"/>
  <c r="J1495" i="58"/>
  <c r="I1496" i="58"/>
  <c r="J1496" i="58"/>
  <c r="I1497" i="58"/>
  <c r="J1497" i="58"/>
  <c r="I1498" i="58"/>
  <c r="J1498" i="58"/>
  <c r="I1499" i="58"/>
  <c r="J1499" i="58"/>
  <c r="I1500" i="58"/>
  <c r="J1500" i="58"/>
  <c r="I1501" i="58"/>
  <c r="J1501" i="58"/>
  <c r="I1502" i="58"/>
  <c r="J1502" i="58"/>
  <c r="I1503" i="58"/>
  <c r="J1503" i="58"/>
  <c r="I1504" i="58"/>
  <c r="J1504" i="58"/>
  <c r="I1505" i="58"/>
  <c r="J1505" i="58"/>
  <c r="I1506" i="58"/>
  <c r="J1506" i="58"/>
  <c r="I1507" i="58"/>
  <c r="J1507" i="58"/>
  <c r="I1508" i="58"/>
  <c r="J1508" i="58"/>
  <c r="I1509" i="58"/>
  <c r="J1509" i="58"/>
  <c r="I1510" i="58"/>
  <c r="J1510" i="58"/>
  <c r="I1511" i="58"/>
  <c r="J1511" i="58"/>
  <c r="I1512" i="58"/>
  <c r="J1512" i="58"/>
  <c r="I1513" i="58"/>
  <c r="J1513" i="58"/>
  <c r="I1514" i="58"/>
  <c r="J1514" i="58"/>
  <c r="I1515" i="58"/>
  <c r="J1515" i="58"/>
  <c r="I1516" i="58"/>
  <c r="J1516" i="58"/>
  <c r="G1517" i="58"/>
  <c r="H1517" i="58"/>
  <c r="G1521" i="58"/>
  <c r="H1521" i="58" s="1"/>
  <c r="F1522" i="58"/>
  <c r="H1522" i="58"/>
  <c r="G1523" i="58"/>
  <c r="G1524" i="58"/>
  <c r="F1525" i="58"/>
  <c r="F1528" i="58" s="1"/>
  <c r="H1525" i="58"/>
  <c r="G1526" i="58"/>
  <c r="I1526" i="58" s="1"/>
  <c r="J1526" i="58"/>
  <c r="G1527" i="58"/>
  <c r="I1527" i="58" s="1"/>
  <c r="J1527" i="58"/>
  <c r="H1528" i="58"/>
  <c r="G1531" i="58"/>
  <c r="H1531" i="58" s="1"/>
  <c r="F1532" i="58"/>
  <c r="G1532" i="58"/>
  <c r="H1532" i="58"/>
  <c r="I1533" i="58"/>
  <c r="J1533" i="58"/>
  <c r="I1534" i="58"/>
  <c r="J1534" i="58"/>
  <c r="F1535" i="58"/>
  <c r="G1535" i="58"/>
  <c r="H1535" i="58"/>
  <c r="J1535" i="58" s="1"/>
  <c r="I1536" i="58"/>
  <c r="J1536" i="58"/>
  <c r="I1537" i="58"/>
  <c r="J1537" i="58"/>
  <c r="F1538" i="58"/>
  <c r="G1538" i="58"/>
  <c r="H1538" i="58"/>
  <c r="J1538" i="58" s="1"/>
  <c r="I1539" i="58"/>
  <c r="J1539" i="58"/>
  <c r="I1540" i="58"/>
  <c r="J1540" i="58"/>
  <c r="F1541" i="58"/>
  <c r="G1541" i="58"/>
  <c r="H1541" i="58"/>
  <c r="J1541" i="58" s="1"/>
  <c r="I1542" i="58"/>
  <c r="J1542" i="58"/>
  <c r="I1543" i="58"/>
  <c r="J1543" i="58"/>
  <c r="F1544" i="58"/>
  <c r="H1544" i="58"/>
  <c r="I1545" i="58"/>
  <c r="J1545" i="58"/>
  <c r="I1546" i="58"/>
  <c r="J1546" i="58"/>
  <c r="I1547" i="58"/>
  <c r="J1547" i="58"/>
  <c r="I1548" i="58"/>
  <c r="J1548" i="58"/>
  <c r="I1549" i="58"/>
  <c r="J1549" i="58"/>
  <c r="I1550" i="58"/>
  <c r="J1550" i="58"/>
  <c r="I1551" i="58"/>
  <c r="J1551" i="58"/>
  <c r="I1552" i="58"/>
  <c r="J1552" i="58"/>
  <c r="G1553" i="58"/>
  <c r="G1554" i="58"/>
  <c r="F1556" i="58"/>
  <c r="H1556" i="58"/>
  <c r="I1557" i="58"/>
  <c r="J1557" i="58"/>
  <c r="I1558" i="58"/>
  <c r="J1558" i="58"/>
  <c r="I1559" i="58"/>
  <c r="J1559" i="58"/>
  <c r="I1560" i="58"/>
  <c r="J1560" i="58"/>
  <c r="G1561" i="58"/>
  <c r="I1561" i="58" s="1"/>
  <c r="J1561" i="58"/>
  <c r="G1562" i="58"/>
  <c r="I1562" i="58" s="1"/>
  <c r="J1562" i="58"/>
  <c r="F1563" i="58"/>
  <c r="G1563" i="58"/>
  <c r="H1563" i="58"/>
  <c r="J1563" i="58" s="1"/>
  <c r="I1564" i="58"/>
  <c r="J1564" i="58"/>
  <c r="I1565" i="58"/>
  <c r="J1565" i="58"/>
  <c r="I1566" i="58"/>
  <c r="J1566" i="58"/>
  <c r="I1567" i="58"/>
  <c r="J1567" i="58"/>
  <c r="F1568" i="58"/>
  <c r="J1568" i="58" s="1"/>
  <c r="G1568" i="58"/>
  <c r="H1568" i="58"/>
  <c r="I1569" i="58"/>
  <c r="I1568" i="58" s="1"/>
  <c r="J1569" i="58"/>
  <c r="I1570" i="58"/>
  <c r="J1570" i="58"/>
  <c r="I1571" i="58"/>
  <c r="J1571" i="58"/>
  <c r="I1572" i="58"/>
  <c r="J1572" i="58"/>
  <c r="F1573" i="58"/>
  <c r="H1573" i="58"/>
  <c r="I1574" i="58"/>
  <c r="J1574" i="58"/>
  <c r="G1575" i="58"/>
  <c r="G1573" i="58" s="1"/>
  <c r="I1575" i="58"/>
  <c r="G1579" i="58"/>
  <c r="H1579" i="58"/>
  <c r="F1580" i="58"/>
  <c r="G1580" i="58"/>
  <c r="H1580" i="58"/>
  <c r="I1581" i="58"/>
  <c r="J1581" i="58"/>
  <c r="I1582" i="58"/>
  <c r="J1582" i="58"/>
  <c r="I1583" i="58"/>
  <c r="J1583" i="58"/>
  <c r="F1584" i="58"/>
  <c r="G1584" i="58"/>
  <c r="H1584" i="58"/>
  <c r="I1585" i="58"/>
  <c r="J1585" i="58"/>
  <c r="I1586" i="58"/>
  <c r="J1586" i="58"/>
  <c r="I1587" i="58"/>
  <c r="J1587" i="58"/>
  <c r="F1588" i="58"/>
  <c r="G1588" i="58"/>
  <c r="J1588" i="58" s="1"/>
  <c r="H1588" i="58"/>
  <c r="I1588" i="58"/>
  <c r="I1589" i="58"/>
  <c r="J1589" i="58"/>
  <c r="I1590" i="58"/>
  <c r="J1590" i="58"/>
  <c r="I1591" i="58"/>
  <c r="J1591" i="58"/>
  <c r="F1592" i="58"/>
  <c r="J1592" i="58" s="1"/>
  <c r="G1592" i="58"/>
  <c r="H1592" i="58"/>
  <c r="I1593" i="58"/>
  <c r="J1593" i="58"/>
  <c r="I1594" i="58"/>
  <c r="J1594" i="58"/>
  <c r="I1595" i="58"/>
  <c r="J1595" i="58"/>
  <c r="F1596" i="58"/>
  <c r="G1596" i="58"/>
  <c r="J1596" i="58" s="1"/>
  <c r="H1596" i="58"/>
  <c r="I1597" i="58"/>
  <c r="J1597" i="58"/>
  <c r="I1598" i="58"/>
  <c r="J1598" i="58"/>
  <c r="I1599" i="58"/>
  <c r="J1599" i="58"/>
  <c r="I1600" i="58"/>
  <c r="J1600" i="58"/>
  <c r="I1601" i="58"/>
  <c r="J1601" i="58"/>
  <c r="F1602" i="58"/>
  <c r="J1602" i="58" s="1"/>
  <c r="G1602" i="58"/>
  <c r="H1602" i="58"/>
  <c r="I1603" i="58"/>
  <c r="I1602" i="58" s="1"/>
  <c r="J1603" i="58"/>
  <c r="I1604" i="58"/>
  <c r="J1604" i="58"/>
  <c r="I1605" i="58"/>
  <c r="J1605" i="58"/>
  <c r="I1606" i="58"/>
  <c r="J1606" i="58"/>
  <c r="F1607" i="58"/>
  <c r="G1607" i="58"/>
  <c r="H1607" i="58"/>
  <c r="J1607" i="58" s="1"/>
  <c r="I1608" i="58"/>
  <c r="J1608" i="58"/>
  <c r="I1609" i="58"/>
  <c r="J1609" i="58"/>
  <c r="I1610" i="58"/>
  <c r="J1610" i="58"/>
  <c r="I1611" i="58"/>
  <c r="J1611" i="58"/>
  <c r="F1612" i="58"/>
  <c r="G1612" i="58"/>
  <c r="H1612" i="58"/>
  <c r="J1612" i="58"/>
  <c r="I1613" i="58"/>
  <c r="J1613" i="58"/>
  <c r="I1614" i="58"/>
  <c r="J1614" i="58"/>
  <c r="I1615" i="58"/>
  <c r="J1615" i="58"/>
  <c r="I1616" i="58"/>
  <c r="J1616" i="58"/>
  <c r="F1617" i="58"/>
  <c r="H1617" i="58"/>
  <c r="I1618" i="58"/>
  <c r="J1618" i="58"/>
  <c r="G1619" i="58"/>
  <c r="G1617" i="58" s="1"/>
  <c r="I1619" i="58"/>
  <c r="F1620" i="58"/>
  <c r="G1620" i="58"/>
  <c r="J1620" i="58" s="1"/>
  <c r="H1620" i="58"/>
  <c r="I1621" i="58"/>
  <c r="J1621" i="58"/>
  <c r="I1622" i="58"/>
  <c r="J1622" i="58"/>
  <c r="F1623" i="58"/>
  <c r="G1623" i="58"/>
  <c r="J1623" i="58" s="1"/>
  <c r="H1623" i="58"/>
  <c r="I1624" i="58"/>
  <c r="J1624" i="58"/>
  <c r="I1625" i="58"/>
  <c r="J1625" i="58"/>
  <c r="F1626" i="58"/>
  <c r="G1626" i="58"/>
  <c r="J1626" i="58" s="1"/>
  <c r="H1626" i="58"/>
  <c r="I1627" i="58"/>
  <c r="J1627" i="58"/>
  <c r="I1628" i="58"/>
  <c r="I1626" i="58" s="1"/>
  <c r="J1628" i="58"/>
  <c r="F1629" i="58"/>
  <c r="G1629" i="58"/>
  <c r="J1629" i="58" s="1"/>
  <c r="H1629" i="58"/>
  <c r="I1630" i="58"/>
  <c r="J1630" i="58"/>
  <c r="I1631" i="58"/>
  <c r="I1629" i="58" s="1"/>
  <c r="J1631" i="58"/>
  <c r="I1632" i="58"/>
  <c r="J1632" i="58"/>
  <c r="I1633" i="58"/>
  <c r="J1633" i="58"/>
  <c r="G1637" i="58"/>
  <c r="H1637" i="58"/>
  <c r="F1638" i="58"/>
  <c r="G1638" i="58"/>
  <c r="H1638" i="58"/>
  <c r="I1639" i="58"/>
  <c r="J1639" i="58"/>
  <c r="I1640" i="58"/>
  <c r="I1638" i="58" s="1"/>
  <c r="J1640" i="58"/>
  <c r="I1641" i="58"/>
  <c r="J1641" i="58"/>
  <c r="I1642" i="58"/>
  <c r="J1642" i="58"/>
  <c r="I1643" i="58"/>
  <c r="J1643" i="58"/>
  <c r="I1644" i="58"/>
  <c r="J1644" i="58"/>
  <c r="F1645" i="58"/>
  <c r="G1645" i="58"/>
  <c r="J1645" i="58" s="1"/>
  <c r="H1645" i="58"/>
  <c r="I1646" i="58"/>
  <c r="J1646" i="58"/>
  <c r="I1647" i="58"/>
  <c r="I1645" i="58" s="1"/>
  <c r="J1647" i="58"/>
  <c r="I1648" i="58"/>
  <c r="J1648" i="58"/>
  <c r="I1649" i="58"/>
  <c r="J1649" i="58"/>
  <c r="I1650" i="58"/>
  <c r="J1650" i="58"/>
  <c r="I1651" i="58"/>
  <c r="J1651" i="58"/>
  <c r="I1652" i="58"/>
  <c r="J1652" i="58"/>
  <c r="I1653" i="58"/>
  <c r="J1653" i="58"/>
  <c r="I1654" i="58"/>
  <c r="J1654" i="58"/>
  <c r="I1655" i="58"/>
  <c r="J1655" i="58"/>
  <c r="I1656" i="58"/>
  <c r="J1656" i="58"/>
  <c r="I1657" i="58"/>
  <c r="J1657" i="58"/>
  <c r="I1658" i="58"/>
  <c r="J1658" i="58"/>
  <c r="I1659" i="58"/>
  <c r="J1659" i="58"/>
  <c r="I1660" i="58"/>
  <c r="J1660" i="58"/>
  <c r="I1661" i="58"/>
  <c r="J1661" i="58"/>
  <c r="I1662" i="58"/>
  <c r="J1662" i="58"/>
  <c r="I1663" i="58"/>
  <c r="J1663" i="58"/>
  <c r="I1664" i="58"/>
  <c r="J1664" i="58"/>
  <c r="I1665" i="58"/>
  <c r="J1665" i="58"/>
  <c r="I1666" i="58"/>
  <c r="J1666" i="58"/>
  <c r="I1667" i="58"/>
  <c r="J1667" i="58"/>
  <c r="I1668" i="58"/>
  <c r="J1668" i="58"/>
  <c r="I1669" i="58"/>
  <c r="J1669" i="58"/>
  <c r="I1670" i="58"/>
  <c r="J1670" i="58"/>
  <c r="I1671" i="58"/>
  <c r="J1671" i="58"/>
  <c r="I1672" i="58"/>
  <c r="J1672" i="58"/>
  <c r="F1673" i="58"/>
  <c r="J1673" i="58" s="1"/>
  <c r="G1673" i="58"/>
  <c r="H1673" i="58"/>
  <c r="I1674" i="58"/>
  <c r="J1674" i="58"/>
  <c r="I1675" i="58"/>
  <c r="J1675" i="58"/>
  <c r="I1676" i="58"/>
  <c r="J1676" i="58"/>
  <c r="I1677" i="58"/>
  <c r="J1677" i="58"/>
  <c r="I1678" i="58"/>
  <c r="J1678" i="58"/>
  <c r="I1679" i="58"/>
  <c r="J1679" i="58"/>
  <c r="I1680" i="58"/>
  <c r="J1680" i="58"/>
  <c r="I1681" i="58"/>
  <c r="J1681" i="58"/>
  <c r="I1682" i="58"/>
  <c r="J1682" i="58"/>
  <c r="I1683" i="58"/>
  <c r="J1683" i="58"/>
  <c r="I1684" i="58"/>
  <c r="J1684" i="58"/>
  <c r="I1685" i="58"/>
  <c r="J1685" i="58"/>
  <c r="I1686" i="58"/>
  <c r="J1686" i="58"/>
  <c r="I1687" i="58"/>
  <c r="J1687" i="58"/>
  <c r="I1688" i="58"/>
  <c r="J1688" i="58"/>
  <c r="I1689" i="58"/>
  <c r="J1689" i="58"/>
  <c r="F1690" i="58"/>
  <c r="H1690" i="58"/>
  <c r="G1693" i="58"/>
  <c r="H1693" i="58" s="1"/>
  <c r="F1694" i="58"/>
  <c r="J1694" i="58" s="1"/>
  <c r="G1694" i="58"/>
  <c r="H1694" i="58"/>
  <c r="H1880" i="58" s="1"/>
  <c r="I1695" i="58"/>
  <c r="J1695" i="58"/>
  <c r="I1696" i="58"/>
  <c r="J1696" i="58"/>
  <c r="I1697" i="58"/>
  <c r="J1697" i="58"/>
  <c r="I1698" i="58"/>
  <c r="J1698" i="58"/>
  <c r="I1699" i="58"/>
  <c r="J1699" i="58"/>
  <c r="I1700" i="58"/>
  <c r="J1700" i="58"/>
  <c r="F1701" i="58"/>
  <c r="G1701" i="58"/>
  <c r="H1701" i="58"/>
  <c r="J1701" i="58"/>
  <c r="I1702" i="58"/>
  <c r="J1702" i="58"/>
  <c r="I1703" i="58"/>
  <c r="J1703" i="58"/>
  <c r="I1704" i="58"/>
  <c r="J1704" i="58"/>
  <c r="I1705" i="58"/>
  <c r="J1705" i="58"/>
  <c r="I1706" i="58"/>
  <c r="J1706" i="58"/>
  <c r="I1707" i="58"/>
  <c r="J1707" i="58"/>
  <c r="F1708" i="58"/>
  <c r="J1708" i="58" s="1"/>
  <c r="G1708" i="58"/>
  <c r="H1708" i="58"/>
  <c r="I1709" i="58"/>
  <c r="J1709" i="58"/>
  <c r="I1710" i="58"/>
  <c r="J1710" i="58"/>
  <c r="I1711" i="58"/>
  <c r="J1711" i="58"/>
  <c r="I1712" i="58"/>
  <c r="J1712" i="58"/>
  <c r="I1713" i="58"/>
  <c r="J1713" i="58"/>
  <c r="I1714" i="58"/>
  <c r="J1714" i="58"/>
  <c r="H1715" i="58"/>
  <c r="F1716" i="58"/>
  <c r="I1716" i="58" s="1"/>
  <c r="J1716" i="58"/>
  <c r="I1717" i="58"/>
  <c r="J1717" i="58"/>
  <c r="I1718" i="58"/>
  <c r="J1718" i="58"/>
  <c r="I1719" i="58"/>
  <c r="J1719" i="58"/>
  <c r="I1720" i="58"/>
  <c r="J1720" i="58"/>
  <c r="I1721" i="58"/>
  <c r="J1721" i="58"/>
  <c r="F1722" i="58"/>
  <c r="J1722" i="58" s="1"/>
  <c r="I1722" i="58"/>
  <c r="I1723" i="58"/>
  <c r="J1723" i="58"/>
  <c r="I1724" i="58"/>
  <c r="J1724" i="58"/>
  <c r="I1725" i="58"/>
  <c r="J1725" i="58"/>
  <c r="I1726" i="58"/>
  <c r="J1726" i="58"/>
  <c r="I1727" i="58"/>
  <c r="J1727" i="58"/>
  <c r="F1728" i="58"/>
  <c r="I1729" i="58"/>
  <c r="J1729" i="58"/>
  <c r="I1730" i="58"/>
  <c r="J1730" i="58"/>
  <c r="I1731" i="58"/>
  <c r="J1731" i="58"/>
  <c r="I1732" i="58"/>
  <c r="J1732" i="58"/>
  <c r="I1733" i="58"/>
  <c r="J1733" i="58"/>
  <c r="I1734" i="58"/>
  <c r="J1734" i="58"/>
  <c r="I1735" i="58"/>
  <c r="J1735" i="58"/>
  <c r="I1736" i="58"/>
  <c r="J1736" i="58"/>
  <c r="I1737" i="58"/>
  <c r="J1737" i="58"/>
  <c r="F1738" i="58"/>
  <c r="I1738" i="58"/>
  <c r="J1738" i="58"/>
  <c r="I1739" i="58"/>
  <c r="J1739" i="58"/>
  <c r="I1740" i="58"/>
  <c r="J1740" i="58"/>
  <c r="F1741" i="58"/>
  <c r="J1741" i="58" s="1"/>
  <c r="I1741" i="58"/>
  <c r="I1742" i="58"/>
  <c r="J1742" i="58"/>
  <c r="I1743" i="58"/>
  <c r="J1743" i="58"/>
  <c r="I1744" i="58"/>
  <c r="J1744" i="58"/>
  <c r="I1745" i="58"/>
  <c r="J1745" i="58"/>
  <c r="I1746" i="58"/>
  <c r="J1746" i="58"/>
  <c r="I1747" i="58"/>
  <c r="J1747" i="58"/>
  <c r="I1748" i="58"/>
  <c r="J1748" i="58"/>
  <c r="I1749" i="58"/>
  <c r="J1749" i="58"/>
  <c r="I1750" i="58"/>
  <c r="J1750" i="58"/>
  <c r="I1751" i="58"/>
  <c r="J1751" i="58"/>
  <c r="I1752" i="58"/>
  <c r="J1752" i="58"/>
  <c r="I1753" i="58"/>
  <c r="J1753" i="58"/>
  <c r="I1754" i="58"/>
  <c r="J1754" i="58"/>
  <c r="I1755" i="58"/>
  <c r="J1755" i="58"/>
  <c r="F1756" i="58"/>
  <c r="G1756" i="58"/>
  <c r="J1756" i="58"/>
  <c r="I1757" i="58"/>
  <c r="J1757" i="58"/>
  <c r="I1758" i="58"/>
  <c r="J1758" i="58"/>
  <c r="F1759" i="58"/>
  <c r="I1760" i="58"/>
  <c r="J1760" i="58"/>
  <c r="I1761" i="58"/>
  <c r="J1761" i="58"/>
  <c r="I1762" i="58"/>
  <c r="J1762" i="58"/>
  <c r="I1763" i="58"/>
  <c r="J1763" i="58"/>
  <c r="F1764" i="58"/>
  <c r="I1765" i="58"/>
  <c r="J1765" i="58"/>
  <c r="I1766" i="58"/>
  <c r="J1766" i="58"/>
  <c r="F1767" i="58"/>
  <c r="I1767" i="58" s="1"/>
  <c r="J1767" i="58"/>
  <c r="I1768" i="58"/>
  <c r="J1768" i="58"/>
  <c r="I1769" i="58"/>
  <c r="J1769" i="58"/>
  <c r="I1770" i="58"/>
  <c r="J1770" i="58"/>
  <c r="I1771" i="58"/>
  <c r="J1771" i="58"/>
  <c r="I1772" i="58"/>
  <c r="J1772" i="58"/>
  <c r="F1773" i="58"/>
  <c r="I1773" i="58"/>
  <c r="J1773" i="58"/>
  <c r="I1774" i="58"/>
  <c r="J1774" i="58"/>
  <c r="I1775" i="58"/>
  <c r="J1775" i="58"/>
  <c r="I1776" i="58"/>
  <c r="J1776" i="58"/>
  <c r="I1777" i="58"/>
  <c r="J1777" i="58"/>
  <c r="I1778" i="58"/>
  <c r="J1778" i="58"/>
  <c r="I1779" i="58"/>
  <c r="J1779" i="58"/>
  <c r="I1780" i="58"/>
  <c r="J1780" i="58"/>
  <c r="I1781" i="58"/>
  <c r="J1781" i="58"/>
  <c r="I1782" i="58"/>
  <c r="J1782" i="58"/>
  <c r="I1783" i="58"/>
  <c r="J1783" i="58"/>
  <c r="I1784" i="58"/>
  <c r="J1784" i="58"/>
  <c r="F1785" i="58"/>
  <c r="G1785" i="58"/>
  <c r="H1785" i="58"/>
  <c r="J1785" i="58"/>
  <c r="I1786" i="58"/>
  <c r="J1786" i="58"/>
  <c r="I1787" i="58"/>
  <c r="J1787" i="58"/>
  <c r="I1788" i="58"/>
  <c r="J1788" i="58"/>
  <c r="I1789" i="58"/>
  <c r="J1789" i="58"/>
  <c r="I1790" i="58"/>
  <c r="J1790" i="58"/>
  <c r="I1791" i="58"/>
  <c r="J1791" i="58"/>
  <c r="I1792" i="58"/>
  <c r="J1792" i="58"/>
  <c r="I1793" i="58"/>
  <c r="J1793" i="58"/>
  <c r="I1794" i="58"/>
  <c r="J1794" i="58"/>
  <c r="I1795" i="58"/>
  <c r="J1795" i="58"/>
  <c r="I1796" i="58"/>
  <c r="J1796" i="58"/>
  <c r="I1797" i="58"/>
  <c r="J1797" i="58"/>
  <c r="I1798" i="58"/>
  <c r="J1798" i="58"/>
  <c r="I1799" i="58"/>
  <c r="J1799" i="58"/>
  <c r="I1800" i="58"/>
  <c r="J1800" i="58"/>
  <c r="I1801" i="58"/>
  <c r="J1801" i="58"/>
  <c r="I1802" i="58"/>
  <c r="J1802" i="58"/>
  <c r="I1803" i="58"/>
  <c r="J1803" i="58"/>
  <c r="I1804" i="58"/>
  <c r="J1804" i="58"/>
  <c r="I1805" i="58"/>
  <c r="J1805" i="58"/>
  <c r="I1806" i="58"/>
  <c r="J1806" i="58"/>
  <c r="I1807" i="58"/>
  <c r="J1807" i="58"/>
  <c r="I1808" i="58"/>
  <c r="J1808" i="58"/>
  <c r="I1809" i="58"/>
  <c r="J1809" i="58"/>
  <c r="I1810" i="58"/>
  <c r="J1810" i="58"/>
  <c r="I1811" i="58"/>
  <c r="J1811" i="58"/>
  <c r="F1812" i="58"/>
  <c r="G1812" i="58"/>
  <c r="H1812" i="58"/>
  <c r="J1812" i="58"/>
  <c r="I1813" i="58"/>
  <c r="J1813" i="58"/>
  <c r="I1814" i="58"/>
  <c r="J1814" i="58"/>
  <c r="I1815" i="58"/>
  <c r="J1815" i="58"/>
  <c r="I1816" i="58"/>
  <c r="J1816" i="58"/>
  <c r="I1817" i="58"/>
  <c r="J1817" i="58"/>
  <c r="I1818" i="58"/>
  <c r="J1818" i="58"/>
  <c r="I1819" i="58"/>
  <c r="J1819" i="58"/>
  <c r="I1820" i="58"/>
  <c r="J1820" i="58"/>
  <c r="I1821" i="58"/>
  <c r="J1821" i="58"/>
  <c r="I1822" i="58"/>
  <c r="J1822" i="58"/>
  <c r="I1823" i="58"/>
  <c r="J1823" i="58"/>
  <c r="I1824" i="58"/>
  <c r="J1824" i="58"/>
  <c r="I1825" i="58"/>
  <c r="J1825" i="58"/>
  <c r="I1826" i="58"/>
  <c r="J1826" i="58"/>
  <c r="I1827" i="58"/>
  <c r="J1827" i="58"/>
  <c r="I1828" i="58"/>
  <c r="J1828" i="58"/>
  <c r="I1829" i="58"/>
  <c r="J1829" i="58"/>
  <c r="I1830" i="58"/>
  <c r="J1830" i="58"/>
  <c r="I1831" i="58"/>
  <c r="J1831" i="58"/>
  <c r="I1832" i="58"/>
  <c r="J1832" i="58"/>
  <c r="I1833" i="58"/>
  <c r="J1833" i="58"/>
  <c r="I1834" i="58"/>
  <c r="J1834" i="58"/>
  <c r="F1835" i="58"/>
  <c r="G1835" i="58"/>
  <c r="J1835" i="58" s="1"/>
  <c r="H1835" i="58"/>
  <c r="I1836" i="58"/>
  <c r="J1836" i="58"/>
  <c r="I1837" i="58"/>
  <c r="J1837" i="58"/>
  <c r="I1838" i="58"/>
  <c r="J1838" i="58"/>
  <c r="I1839" i="58"/>
  <c r="J1839" i="58"/>
  <c r="I1840" i="58"/>
  <c r="J1840" i="58"/>
  <c r="I1841" i="58"/>
  <c r="J1841" i="58"/>
  <c r="I1842" i="58"/>
  <c r="J1842" i="58"/>
  <c r="I1843" i="58"/>
  <c r="J1843" i="58"/>
  <c r="I1844" i="58"/>
  <c r="J1844" i="58"/>
  <c r="I1845" i="58"/>
  <c r="J1845" i="58"/>
  <c r="I1846" i="58"/>
  <c r="J1846" i="58"/>
  <c r="I1847" i="58"/>
  <c r="J1847" i="58"/>
  <c r="I1848" i="58"/>
  <c r="J1848" i="58"/>
  <c r="I1849" i="58"/>
  <c r="J1849" i="58"/>
  <c r="I1850" i="58"/>
  <c r="J1850" i="58"/>
  <c r="I1851" i="58"/>
  <c r="J1851" i="58"/>
  <c r="I1852" i="58"/>
  <c r="J1852" i="58"/>
  <c r="I1853" i="58"/>
  <c r="J1853" i="58"/>
  <c r="I1854" i="58"/>
  <c r="J1854" i="58"/>
  <c r="I1855" i="58"/>
  <c r="J1855" i="58"/>
  <c r="I1856" i="58"/>
  <c r="J1856" i="58"/>
  <c r="I1857" i="58"/>
  <c r="J1857" i="58"/>
  <c r="I1858" i="58"/>
  <c r="J1858" i="58"/>
  <c r="I1859" i="58"/>
  <c r="J1859" i="58"/>
  <c r="I1860" i="58"/>
  <c r="J1860" i="58"/>
  <c r="I1861" i="58"/>
  <c r="J1861" i="58"/>
  <c r="I1862" i="58"/>
  <c r="J1862" i="58"/>
  <c r="I1863" i="58"/>
  <c r="J1863" i="58"/>
  <c r="I1864" i="58"/>
  <c r="J1864" i="58"/>
  <c r="I1865" i="58"/>
  <c r="J1865" i="58"/>
  <c r="I1866" i="58"/>
  <c r="J1866" i="58"/>
  <c r="I1867" i="58"/>
  <c r="J1867" i="58"/>
  <c r="I1868" i="58"/>
  <c r="J1868" i="58"/>
  <c r="I1869" i="58"/>
  <c r="J1869" i="58"/>
  <c r="I1870" i="58"/>
  <c r="J1870" i="58"/>
  <c r="I1871" i="58"/>
  <c r="J1871" i="58"/>
  <c r="I1872" i="58"/>
  <c r="J1872" i="58"/>
  <c r="I1873" i="58"/>
  <c r="J1873" i="58"/>
  <c r="I1874" i="58"/>
  <c r="J1874" i="58"/>
  <c r="I1875" i="58"/>
  <c r="J1875" i="58"/>
  <c r="I1876" i="58"/>
  <c r="J1876" i="58"/>
  <c r="I1877" i="58"/>
  <c r="J1877" i="58"/>
  <c r="I1878" i="58"/>
  <c r="J1878" i="58"/>
  <c r="I1879" i="58"/>
  <c r="J1879" i="58"/>
  <c r="G1883" i="58"/>
  <c r="H1883" i="58"/>
  <c r="F1884" i="58"/>
  <c r="G1884" i="58"/>
  <c r="J1884" i="58" s="1"/>
  <c r="H1884" i="58"/>
  <c r="I1885" i="58"/>
  <c r="J1885" i="58"/>
  <c r="I1886" i="58"/>
  <c r="J1886" i="58"/>
  <c r="I1887" i="58"/>
  <c r="J1887" i="58"/>
  <c r="I1888" i="58"/>
  <c r="J1888" i="58"/>
  <c r="I1889" i="58"/>
  <c r="J1889" i="58"/>
  <c r="I1890" i="58"/>
  <c r="J1890" i="58"/>
  <c r="I1891" i="58"/>
  <c r="J1891" i="58"/>
  <c r="I1892" i="58"/>
  <c r="J1892" i="58"/>
  <c r="I1893" i="58"/>
  <c r="J1893" i="58"/>
  <c r="I1894" i="58"/>
  <c r="J1894" i="58"/>
  <c r="I1895" i="58"/>
  <c r="J1895" i="58"/>
  <c r="I1896" i="58"/>
  <c r="J1896" i="58"/>
  <c r="I1897" i="58"/>
  <c r="J1897" i="58"/>
  <c r="F1898" i="58"/>
  <c r="G1898" i="58"/>
  <c r="H1898" i="58"/>
  <c r="I1899" i="58"/>
  <c r="J1899" i="58"/>
  <c r="I1900" i="58"/>
  <c r="J1900" i="58"/>
  <c r="I1901" i="58"/>
  <c r="J1901" i="58"/>
  <c r="I1902" i="58"/>
  <c r="J1902" i="58"/>
  <c r="I1903" i="58"/>
  <c r="J1903" i="58"/>
  <c r="I1904" i="58"/>
  <c r="J1904" i="58"/>
  <c r="I1905" i="58"/>
  <c r="J1905" i="58"/>
  <c r="I1906" i="58"/>
  <c r="J1906" i="58"/>
  <c r="I1907" i="58"/>
  <c r="J1907" i="58"/>
  <c r="I1908" i="58"/>
  <c r="J1908" i="58"/>
  <c r="I1909" i="58"/>
  <c r="J1909" i="58"/>
  <c r="I1910" i="58"/>
  <c r="J1910" i="58"/>
  <c r="I1911" i="58"/>
  <c r="J1911" i="58"/>
  <c r="I1912" i="58"/>
  <c r="J1912" i="58"/>
  <c r="I1913" i="58"/>
  <c r="J1913" i="58"/>
  <c r="I1914" i="58"/>
  <c r="J1914" i="58"/>
  <c r="I1915" i="58"/>
  <c r="J1915" i="58"/>
  <c r="I1916" i="58"/>
  <c r="J1916" i="58"/>
  <c r="I1917" i="58"/>
  <c r="J1917" i="58"/>
  <c r="I1918" i="58"/>
  <c r="J1918" i="58"/>
  <c r="I1919" i="58"/>
  <c r="J1919" i="58"/>
  <c r="I1920" i="58"/>
  <c r="J1920" i="58"/>
  <c r="I1921" i="58"/>
  <c r="J1921" i="58"/>
  <c r="F1922" i="58"/>
  <c r="G1922" i="58"/>
  <c r="J1922" i="58" s="1"/>
  <c r="H1922" i="58"/>
  <c r="I1923" i="58"/>
  <c r="J1923" i="58"/>
  <c r="I1924" i="58"/>
  <c r="J1924" i="58"/>
  <c r="I1925" i="58"/>
  <c r="J1925" i="58"/>
  <c r="I1926" i="58"/>
  <c r="J1926" i="58"/>
  <c r="I1927" i="58"/>
  <c r="J1927" i="58"/>
  <c r="I1928" i="58"/>
  <c r="J1928" i="58"/>
  <c r="I1929" i="58"/>
  <c r="J1929" i="58"/>
  <c r="I1930" i="58"/>
  <c r="J1930" i="58"/>
  <c r="I1931" i="58"/>
  <c r="J1931" i="58"/>
  <c r="I1932" i="58"/>
  <c r="J1932" i="58"/>
  <c r="I1933" i="58"/>
  <c r="J1933" i="58"/>
  <c r="I1934" i="58"/>
  <c r="J1934" i="58"/>
  <c r="I1935" i="58"/>
  <c r="J1935" i="58"/>
  <c r="I1936" i="58"/>
  <c r="J1936" i="58"/>
  <c r="I1937" i="58"/>
  <c r="J1937" i="58"/>
  <c r="I1938" i="58"/>
  <c r="J1938" i="58"/>
  <c r="F1939" i="58"/>
  <c r="G1939" i="58"/>
  <c r="J1939" i="58" s="1"/>
  <c r="H1939" i="58"/>
  <c r="I1940" i="58"/>
  <c r="J1940" i="58"/>
  <c r="I1941" i="58"/>
  <c r="J1941" i="58"/>
  <c r="I1942" i="58"/>
  <c r="J1942" i="58"/>
  <c r="I1943" i="58"/>
  <c r="J1943" i="58"/>
  <c r="F1944" i="58"/>
  <c r="G1944" i="58"/>
  <c r="J1944" i="58" s="1"/>
  <c r="H1944" i="58"/>
  <c r="I1945" i="58"/>
  <c r="J1945" i="58"/>
  <c r="I1946" i="58"/>
  <c r="J1946" i="58"/>
  <c r="I1947" i="58"/>
  <c r="J1947" i="58"/>
  <c r="I1948" i="58"/>
  <c r="I1944" i="58" s="1"/>
  <c r="J1948" i="58"/>
  <c r="I1949" i="58"/>
  <c r="J1949" i="58"/>
  <c r="I1950" i="58"/>
  <c r="J1950" i="58"/>
  <c r="I1951" i="58"/>
  <c r="J1951" i="58"/>
  <c r="F1952" i="58"/>
  <c r="G1955" i="58"/>
  <c r="H1955" i="58"/>
  <c r="F1956" i="58"/>
  <c r="G1956" i="58"/>
  <c r="H1956" i="58"/>
  <c r="H2053" i="58" s="1"/>
  <c r="J1956" i="58"/>
  <c r="I1957" i="58"/>
  <c r="J1957" i="58"/>
  <c r="I1958" i="58"/>
  <c r="J1958" i="58"/>
  <c r="I1959" i="58"/>
  <c r="J1959" i="58"/>
  <c r="I1960" i="58"/>
  <c r="J1960" i="58"/>
  <c r="I1961" i="58"/>
  <c r="J1961" i="58"/>
  <c r="I1962" i="58"/>
  <c r="J1962" i="58"/>
  <c r="I1963" i="58"/>
  <c r="J1963" i="58"/>
  <c r="I1964" i="58"/>
  <c r="J1964" i="58"/>
  <c r="I1965" i="58"/>
  <c r="J1965" i="58"/>
  <c r="I1966" i="58"/>
  <c r="J1966" i="58"/>
  <c r="I1967" i="58"/>
  <c r="J1967" i="58"/>
  <c r="I1968" i="58"/>
  <c r="J1968" i="58"/>
  <c r="I1969" i="58"/>
  <c r="J1969" i="58"/>
  <c r="I1970" i="58"/>
  <c r="J1970" i="58"/>
  <c r="I1971" i="58"/>
  <c r="J1971" i="58"/>
  <c r="I1972" i="58"/>
  <c r="J1972" i="58"/>
  <c r="I1973" i="58"/>
  <c r="J1973" i="58"/>
  <c r="I1974" i="58"/>
  <c r="J1974" i="58"/>
  <c r="I1975" i="58"/>
  <c r="J1975" i="58"/>
  <c r="I1976" i="58"/>
  <c r="J1976" i="58"/>
  <c r="I1977" i="58"/>
  <c r="J1977" i="58"/>
  <c r="I1978" i="58"/>
  <c r="J1978" i="58"/>
  <c r="I1979" i="58"/>
  <c r="J1979" i="58"/>
  <c r="I1980" i="58"/>
  <c r="J1980" i="58"/>
  <c r="I1981" i="58"/>
  <c r="J1981" i="58"/>
  <c r="I1982" i="58"/>
  <c r="J1982" i="58"/>
  <c r="I1983" i="58"/>
  <c r="J1983" i="58"/>
  <c r="I1984" i="58"/>
  <c r="J1984" i="58"/>
  <c r="I1985" i="58"/>
  <c r="J1985" i="58"/>
  <c r="F1986" i="58"/>
  <c r="G1986" i="58"/>
  <c r="J1986" i="58" s="1"/>
  <c r="H1986" i="58"/>
  <c r="I1987" i="58"/>
  <c r="J1987" i="58"/>
  <c r="I1988" i="58"/>
  <c r="J1988" i="58"/>
  <c r="I1989" i="58"/>
  <c r="J1989" i="58"/>
  <c r="I1990" i="58"/>
  <c r="I1986" i="58" s="1"/>
  <c r="J1990" i="58"/>
  <c r="I1991" i="58"/>
  <c r="J1991" i="58"/>
  <c r="I1992" i="58"/>
  <c r="J1992" i="58"/>
  <c r="F1993" i="58"/>
  <c r="G1993" i="58"/>
  <c r="J1993" i="58" s="1"/>
  <c r="H1993" i="58"/>
  <c r="I1994" i="58"/>
  <c r="J1994" i="58"/>
  <c r="I1995" i="58"/>
  <c r="J1995" i="58"/>
  <c r="I1996" i="58"/>
  <c r="J1996" i="58"/>
  <c r="I1997" i="58"/>
  <c r="J1997" i="58"/>
  <c r="I1998" i="58"/>
  <c r="J1998" i="58"/>
  <c r="I1999" i="58"/>
  <c r="J1999" i="58"/>
  <c r="F2000" i="58"/>
  <c r="G2000" i="58"/>
  <c r="J2000" i="58" s="1"/>
  <c r="H2000" i="58"/>
  <c r="I2001" i="58"/>
  <c r="J2001" i="58"/>
  <c r="I2002" i="58"/>
  <c r="J2002" i="58"/>
  <c r="I2003" i="58"/>
  <c r="J2003" i="58"/>
  <c r="I2004" i="58"/>
  <c r="J2004" i="58"/>
  <c r="I2005" i="58"/>
  <c r="J2005" i="58"/>
  <c r="I2006" i="58"/>
  <c r="J2006" i="58"/>
  <c r="I2007" i="58"/>
  <c r="J2007" i="58"/>
  <c r="I2008" i="58"/>
  <c r="J2008" i="58"/>
  <c r="F2009" i="58"/>
  <c r="G2009" i="58"/>
  <c r="J2009" i="58" s="1"/>
  <c r="H2009" i="58"/>
  <c r="I2010" i="58"/>
  <c r="J2010" i="58"/>
  <c r="I2011" i="58"/>
  <c r="J2011" i="58"/>
  <c r="I2012" i="58"/>
  <c r="J2012" i="58"/>
  <c r="I2013" i="58"/>
  <c r="J2013" i="58"/>
  <c r="I2014" i="58"/>
  <c r="J2014" i="58"/>
  <c r="I2015" i="58"/>
  <c r="J2015" i="58"/>
  <c r="I2016" i="58"/>
  <c r="J2016" i="58"/>
  <c r="I2017" i="58"/>
  <c r="J2017" i="58"/>
  <c r="I2018" i="58"/>
  <c r="J2018" i="58"/>
  <c r="F2019" i="58"/>
  <c r="G2019" i="58"/>
  <c r="H2019" i="58"/>
  <c r="I2019" i="58"/>
  <c r="J2019" i="58"/>
  <c r="I2020" i="58"/>
  <c r="J2020" i="58"/>
  <c r="I2021" i="58"/>
  <c r="J2021" i="58"/>
  <c r="F2022" i="58"/>
  <c r="J2022" i="58" s="1"/>
  <c r="G2022" i="58"/>
  <c r="H2022" i="58"/>
  <c r="I2023" i="58"/>
  <c r="J2023" i="58"/>
  <c r="I2024" i="58"/>
  <c r="J2024" i="58"/>
  <c r="I2025" i="58"/>
  <c r="J2025" i="58"/>
  <c r="I2026" i="58"/>
  <c r="J2026" i="58"/>
  <c r="I2027" i="58"/>
  <c r="J2027" i="58"/>
  <c r="I2028" i="58"/>
  <c r="J2028" i="58"/>
  <c r="I2029" i="58"/>
  <c r="J2029" i="58"/>
  <c r="F2030" i="58"/>
  <c r="G2030" i="58"/>
  <c r="J2030" i="58" s="1"/>
  <c r="H2030" i="58"/>
  <c r="I2031" i="58"/>
  <c r="J2031" i="58"/>
  <c r="I2032" i="58"/>
  <c r="J2032" i="58"/>
  <c r="I2033" i="58"/>
  <c r="J2033" i="58"/>
  <c r="I2034" i="58"/>
  <c r="J2034" i="58"/>
  <c r="I2035" i="58"/>
  <c r="J2035" i="58"/>
  <c r="I2036" i="58"/>
  <c r="J2036" i="58"/>
  <c r="I2037" i="58"/>
  <c r="J2037" i="58"/>
  <c r="I2038" i="58"/>
  <c r="J2038" i="58"/>
  <c r="I2039" i="58"/>
  <c r="J2039" i="58"/>
  <c r="I2040" i="58"/>
  <c r="J2040" i="58"/>
  <c r="I2041" i="58"/>
  <c r="J2041" i="58"/>
  <c r="I2042" i="58"/>
  <c r="J2042" i="58"/>
  <c r="I2043" i="58"/>
  <c r="J2043" i="58"/>
  <c r="I2044" i="58"/>
  <c r="J2044" i="58"/>
  <c r="I2045" i="58"/>
  <c r="J2045" i="58"/>
  <c r="I2046" i="58"/>
  <c r="J2046" i="58"/>
  <c r="I2047" i="58"/>
  <c r="J2047" i="58"/>
  <c r="I2048" i="58"/>
  <c r="J2048" i="58"/>
  <c r="I2049" i="58"/>
  <c r="J2049" i="58"/>
  <c r="I2050" i="58"/>
  <c r="J2050" i="58"/>
  <c r="I2051" i="58"/>
  <c r="J2051" i="58"/>
  <c r="I2052" i="58"/>
  <c r="J2052" i="58"/>
  <c r="G2053" i="58"/>
  <c r="G2057" i="58"/>
  <c r="H2057" i="58"/>
  <c r="F2058" i="58"/>
  <c r="G2058" i="58"/>
  <c r="H2058" i="58"/>
  <c r="I2059" i="58"/>
  <c r="J2059" i="58"/>
  <c r="I2060" i="58"/>
  <c r="J2060" i="58"/>
  <c r="I2061" i="58"/>
  <c r="J2061" i="58"/>
  <c r="I2062" i="58"/>
  <c r="J2062" i="58"/>
  <c r="I2063" i="58"/>
  <c r="J2063" i="58"/>
  <c r="I2064" i="58"/>
  <c r="J2064" i="58"/>
  <c r="I2065" i="58"/>
  <c r="J2065" i="58"/>
  <c r="I2066" i="58"/>
  <c r="J2066" i="58"/>
  <c r="I2067" i="58"/>
  <c r="J2067" i="58"/>
  <c r="I2068" i="58"/>
  <c r="J2068" i="58"/>
  <c r="I2069" i="58"/>
  <c r="J2069" i="58"/>
  <c r="I2070" i="58"/>
  <c r="J2070" i="58"/>
  <c r="F2071" i="58"/>
  <c r="G2071" i="58"/>
  <c r="J2071" i="58" s="1"/>
  <c r="H2071" i="58"/>
  <c r="I2072" i="58"/>
  <c r="J2072" i="58"/>
  <c r="I2073" i="58"/>
  <c r="J2073" i="58"/>
  <c r="I2074" i="58"/>
  <c r="J2074" i="58"/>
  <c r="I2075" i="58"/>
  <c r="J2075" i="58"/>
  <c r="I2076" i="58"/>
  <c r="J2076" i="58"/>
  <c r="I2077" i="58"/>
  <c r="J2077" i="58"/>
  <c r="I2078" i="58"/>
  <c r="J2078" i="58"/>
  <c r="I2079" i="58"/>
  <c r="J2079" i="58"/>
  <c r="I2080" i="58"/>
  <c r="J2080" i="58"/>
  <c r="I2081" i="58"/>
  <c r="J2081" i="58"/>
  <c r="I2082" i="58"/>
  <c r="J2082" i="58"/>
  <c r="I2083" i="58"/>
  <c r="J2083" i="58"/>
  <c r="I2084" i="58"/>
  <c r="J2084" i="58"/>
  <c r="I2085" i="58"/>
  <c r="J2085" i="58"/>
  <c r="I2086" i="58"/>
  <c r="J2086" i="58"/>
  <c r="I2087" i="58"/>
  <c r="J2087" i="58"/>
  <c r="I2088" i="58"/>
  <c r="J2088" i="58"/>
  <c r="I2089" i="58"/>
  <c r="J2089" i="58"/>
  <c r="I2090" i="58"/>
  <c r="J2090" i="58"/>
  <c r="I2091" i="58"/>
  <c r="J2091" i="58"/>
  <c r="I2092" i="58"/>
  <c r="J2092" i="58"/>
  <c r="I2093" i="58"/>
  <c r="J2093" i="58"/>
  <c r="I2094" i="58"/>
  <c r="J2094" i="58"/>
  <c r="I2095" i="58"/>
  <c r="J2095" i="58"/>
  <c r="I2096" i="58"/>
  <c r="J2096" i="58"/>
  <c r="I2097" i="58"/>
  <c r="J2097" i="58"/>
  <c r="I2098" i="58"/>
  <c r="J2098" i="58"/>
  <c r="F2099" i="58"/>
  <c r="J2099" i="58" s="1"/>
  <c r="G2099" i="58"/>
  <c r="H2099" i="58"/>
  <c r="I2100" i="58"/>
  <c r="J2100" i="58"/>
  <c r="I2101" i="58"/>
  <c r="J2101" i="58"/>
  <c r="I2102" i="58"/>
  <c r="J2102" i="58"/>
  <c r="I2103" i="58"/>
  <c r="J2103" i="58"/>
  <c r="I2104" i="58"/>
  <c r="J2104" i="58"/>
  <c r="I2105" i="58"/>
  <c r="J2105" i="58"/>
  <c r="I2106" i="58"/>
  <c r="J2106" i="58"/>
  <c r="I2107" i="58"/>
  <c r="J2107" i="58"/>
  <c r="I2108" i="58"/>
  <c r="J2108" i="58"/>
  <c r="I2109" i="58"/>
  <c r="J2109" i="58"/>
  <c r="I2110" i="58"/>
  <c r="J2110" i="58"/>
  <c r="I2111" i="58"/>
  <c r="J2111" i="58"/>
  <c r="I2112" i="58"/>
  <c r="J2112" i="58"/>
  <c r="I2113" i="58"/>
  <c r="J2113" i="58"/>
  <c r="I2114" i="58"/>
  <c r="J2114" i="58"/>
  <c r="I2115" i="58"/>
  <c r="J2115" i="58"/>
  <c r="I2116" i="58"/>
  <c r="J2116" i="58"/>
  <c r="I2117" i="58"/>
  <c r="J2117" i="58"/>
  <c r="I2118" i="58"/>
  <c r="J2118" i="58"/>
  <c r="I2119" i="58"/>
  <c r="J2119" i="58"/>
  <c r="I2120" i="58"/>
  <c r="J2120" i="58"/>
  <c r="I2121" i="58"/>
  <c r="J2121" i="58"/>
  <c r="I2122" i="58"/>
  <c r="J2122" i="58"/>
  <c r="I2123" i="58"/>
  <c r="J2123" i="58"/>
  <c r="I2124" i="58"/>
  <c r="J2124" i="58"/>
  <c r="I2125" i="58"/>
  <c r="J2125" i="58"/>
  <c r="I2126" i="58"/>
  <c r="J2126" i="58"/>
  <c r="I2127" i="58"/>
  <c r="J2127" i="58"/>
  <c r="I2128" i="58"/>
  <c r="J2128" i="58"/>
  <c r="H2129" i="58"/>
  <c r="G2132" i="58"/>
  <c r="H2132" i="58"/>
  <c r="F2133" i="58"/>
  <c r="G2133" i="58"/>
  <c r="J2133" i="58" s="1"/>
  <c r="H2133" i="58"/>
  <c r="I2134" i="58"/>
  <c r="J2134" i="58"/>
  <c r="I2135" i="58"/>
  <c r="J2135" i="58"/>
  <c r="I2136" i="58"/>
  <c r="J2136" i="58"/>
  <c r="I2137" i="58"/>
  <c r="J2137" i="58"/>
  <c r="I2138" i="58"/>
  <c r="J2138" i="58"/>
  <c r="I2139" i="58"/>
  <c r="J2139" i="58"/>
  <c r="I2140" i="58"/>
  <c r="J2140" i="58"/>
  <c r="I2141" i="58"/>
  <c r="J2141" i="58"/>
  <c r="I2142" i="58"/>
  <c r="J2142" i="58"/>
  <c r="I2143" i="58"/>
  <c r="I2185" i="58" s="1"/>
  <c r="J2143" i="58"/>
  <c r="I2144" i="58"/>
  <c r="J2144" i="58"/>
  <c r="I2145" i="58"/>
  <c r="J2145" i="58"/>
  <c r="I2146" i="58"/>
  <c r="J2146" i="58"/>
  <c r="I2147" i="58"/>
  <c r="J2147" i="58"/>
  <c r="I2148" i="58"/>
  <c r="J2148" i="58"/>
  <c r="I2149" i="58"/>
  <c r="J2149" i="58"/>
  <c r="I2150" i="58"/>
  <c r="J2150" i="58"/>
  <c r="I2151" i="58"/>
  <c r="J2151" i="58"/>
  <c r="I2152" i="58"/>
  <c r="J2152" i="58"/>
  <c r="I2153" i="58"/>
  <c r="J2153" i="58"/>
  <c r="I2154" i="58"/>
  <c r="J2154" i="58"/>
  <c r="I2155" i="58"/>
  <c r="J2155" i="58"/>
  <c r="I2156" i="58"/>
  <c r="J2156" i="58"/>
  <c r="I2157" i="58"/>
  <c r="J2157" i="58"/>
  <c r="I2158" i="58"/>
  <c r="J2158" i="58"/>
  <c r="I2159" i="58"/>
  <c r="J2159" i="58"/>
  <c r="I2160" i="58"/>
  <c r="J2160" i="58"/>
  <c r="I2161" i="58"/>
  <c r="J2161" i="58"/>
  <c r="I2162" i="58"/>
  <c r="J2162" i="58"/>
  <c r="I2163" i="58"/>
  <c r="J2163" i="58"/>
  <c r="F2164" i="58"/>
  <c r="G2164" i="58"/>
  <c r="J2164" i="58" s="1"/>
  <c r="H2164" i="58"/>
  <c r="I2165" i="58"/>
  <c r="J2165" i="58"/>
  <c r="I2166" i="58"/>
  <c r="J2166" i="58"/>
  <c r="I2167" i="58"/>
  <c r="J2167" i="58"/>
  <c r="I2168" i="58"/>
  <c r="J2168" i="58"/>
  <c r="I2169" i="58"/>
  <c r="J2169" i="58"/>
  <c r="I2170" i="58"/>
  <c r="J2170" i="58"/>
  <c r="I2171" i="58"/>
  <c r="J2171" i="58"/>
  <c r="I2172" i="58"/>
  <c r="J2172" i="58"/>
  <c r="I2173" i="58"/>
  <c r="J2173" i="58"/>
  <c r="I2174" i="58"/>
  <c r="J2174" i="58"/>
  <c r="F2175" i="58"/>
  <c r="G2175" i="58"/>
  <c r="J2175" i="58" s="1"/>
  <c r="H2175" i="58"/>
  <c r="G2178" i="58"/>
  <c r="H2178" i="58"/>
  <c r="F2179" i="58"/>
  <c r="G2179" i="58"/>
  <c r="J2179" i="58" s="1"/>
  <c r="H2179" i="58"/>
  <c r="I2180" i="58"/>
  <c r="K2180" i="58" s="1"/>
  <c r="J2180" i="58"/>
  <c r="I2181" i="58"/>
  <c r="J2181" i="58"/>
  <c r="K2181" i="58"/>
  <c r="I2182" i="58"/>
  <c r="J2182" i="58"/>
  <c r="I2183" i="58"/>
  <c r="K2183" i="58" s="1"/>
  <c r="J2183" i="58"/>
  <c r="I2184" i="58"/>
  <c r="K2184" i="58" s="1"/>
  <c r="J2184" i="58"/>
  <c r="F2185" i="58"/>
  <c r="G2185" i="58"/>
  <c r="H2185" i="58"/>
  <c r="G2188" i="58"/>
  <c r="H2188" i="58" s="1"/>
  <c r="F2189" i="58"/>
  <c r="F2310" i="58" s="1"/>
  <c r="G2189" i="58"/>
  <c r="G2310" i="58" s="1"/>
  <c r="H2189" i="58"/>
  <c r="I2190" i="58"/>
  <c r="J2190" i="58"/>
  <c r="I2191" i="58"/>
  <c r="J2191" i="58"/>
  <c r="I2192" i="58"/>
  <c r="J2192" i="58"/>
  <c r="I2193" i="58"/>
  <c r="J2193" i="58"/>
  <c r="I2194" i="58"/>
  <c r="J2194" i="58"/>
  <c r="I2195" i="58"/>
  <c r="J2195" i="58"/>
  <c r="I2196" i="58"/>
  <c r="J2196" i="58"/>
  <c r="I2197" i="58"/>
  <c r="J2197" i="58"/>
  <c r="I2198" i="58"/>
  <c r="J2198" i="58"/>
  <c r="I2199" i="58"/>
  <c r="J2199" i="58"/>
  <c r="I2200" i="58"/>
  <c r="J2200" i="58"/>
  <c r="I2201" i="58"/>
  <c r="J2201" i="58"/>
  <c r="I2202" i="58"/>
  <c r="J2202" i="58"/>
  <c r="I2203" i="58"/>
  <c r="J2203" i="58"/>
  <c r="I2204" i="58"/>
  <c r="J2204" i="58"/>
  <c r="I2205" i="58"/>
  <c r="J2205" i="58"/>
  <c r="I2206" i="58"/>
  <c r="J2206" i="58"/>
  <c r="I2207" i="58"/>
  <c r="J2207" i="58"/>
  <c r="I2208" i="58"/>
  <c r="J2208" i="58"/>
  <c r="I2209" i="58"/>
  <c r="J2209" i="58"/>
  <c r="I2210" i="58"/>
  <c r="J2210" i="58"/>
  <c r="I2211" i="58"/>
  <c r="J2211" i="58"/>
  <c r="I2212" i="58"/>
  <c r="J2212" i="58"/>
  <c r="I2213" i="58"/>
  <c r="J2213" i="58"/>
  <c r="I2214" i="58"/>
  <c r="J2214" i="58"/>
  <c r="I2215" i="58"/>
  <c r="J2215" i="58"/>
  <c r="I2216" i="58"/>
  <c r="J2216" i="58"/>
  <c r="I2217" i="58"/>
  <c r="J2217" i="58"/>
  <c r="I2218" i="58"/>
  <c r="J2218" i="58"/>
  <c r="I2219" i="58"/>
  <c r="J2219" i="58"/>
  <c r="I2220" i="58"/>
  <c r="J2220" i="58"/>
  <c r="I2221" i="58"/>
  <c r="J2221" i="58"/>
  <c r="I2222" i="58"/>
  <c r="J2222" i="58"/>
  <c r="I2223" i="58"/>
  <c r="J2223" i="58"/>
  <c r="I2224" i="58"/>
  <c r="J2224" i="58"/>
  <c r="I2225" i="58"/>
  <c r="J2225" i="58"/>
  <c r="I2226" i="58"/>
  <c r="J2226" i="58"/>
  <c r="I2227" i="58"/>
  <c r="J2227" i="58"/>
  <c r="I2228" i="58"/>
  <c r="J2228" i="58"/>
  <c r="I2229" i="58"/>
  <c r="J2229" i="58"/>
  <c r="I2230" i="58"/>
  <c r="J2230" i="58"/>
  <c r="I2231" i="58"/>
  <c r="J2231" i="58"/>
  <c r="I2232" i="58"/>
  <c r="J2232" i="58"/>
  <c r="I2233" i="58"/>
  <c r="J2233" i="58"/>
  <c r="I2234" i="58"/>
  <c r="J2234" i="58"/>
  <c r="I2235" i="58"/>
  <c r="J2235" i="58"/>
  <c r="I2236" i="58"/>
  <c r="J2236" i="58"/>
  <c r="I2237" i="58"/>
  <c r="J2237" i="58"/>
  <c r="I2238" i="58"/>
  <c r="J2238" i="58"/>
  <c r="I2239" i="58"/>
  <c r="J2239" i="58"/>
  <c r="I2240" i="58"/>
  <c r="J2240" i="58"/>
  <c r="F2241" i="58"/>
  <c r="G2241" i="58"/>
  <c r="J2241" i="58" s="1"/>
  <c r="H2241" i="58"/>
  <c r="I2242" i="58"/>
  <c r="J2242" i="58"/>
  <c r="I2243" i="58"/>
  <c r="J2243" i="58"/>
  <c r="I2244" i="58"/>
  <c r="J2244" i="58"/>
  <c r="I2245" i="58"/>
  <c r="I2241" i="58" s="1"/>
  <c r="J2245" i="58"/>
  <c r="I2246" i="58"/>
  <c r="J2246" i="58"/>
  <c r="I2247" i="58"/>
  <c r="J2247" i="58"/>
  <c r="I2248" i="58"/>
  <c r="J2248" i="58"/>
  <c r="I2249" i="58"/>
  <c r="J2249" i="58"/>
  <c r="I2250" i="58"/>
  <c r="J2250" i="58"/>
  <c r="I2251" i="58"/>
  <c r="J2251" i="58"/>
  <c r="I2252" i="58"/>
  <c r="J2252" i="58"/>
  <c r="I2253" i="58"/>
  <c r="J2253" i="58"/>
  <c r="I2254" i="58"/>
  <c r="J2254" i="58"/>
  <c r="I2255" i="58"/>
  <c r="J2255" i="58"/>
  <c r="I2256" i="58"/>
  <c r="J2256" i="58"/>
  <c r="I2257" i="58"/>
  <c r="J2257" i="58"/>
  <c r="I2258" i="58"/>
  <c r="J2258" i="58"/>
  <c r="I2259" i="58"/>
  <c r="J2259" i="58"/>
  <c r="I2260" i="58"/>
  <c r="J2260" i="58"/>
  <c r="I2261" i="58"/>
  <c r="J2261" i="58"/>
  <c r="I2262" i="58"/>
  <c r="J2262" i="58"/>
  <c r="I2263" i="58"/>
  <c r="J2263" i="58"/>
  <c r="I2264" i="58"/>
  <c r="J2264" i="58"/>
  <c r="I2265" i="58"/>
  <c r="J2265" i="58"/>
  <c r="I2266" i="58"/>
  <c r="J2266" i="58"/>
  <c r="I2267" i="58"/>
  <c r="J2267" i="58"/>
  <c r="I2268" i="58"/>
  <c r="J2268" i="58"/>
  <c r="I2269" i="58"/>
  <c r="J2269" i="58"/>
  <c r="I2270" i="58"/>
  <c r="J2270" i="58"/>
  <c r="I2271" i="58"/>
  <c r="J2271" i="58"/>
  <c r="I2272" i="58"/>
  <c r="J2272" i="58"/>
  <c r="I2273" i="58"/>
  <c r="J2273" i="58"/>
  <c r="I2274" i="58"/>
  <c r="J2274" i="58"/>
  <c r="I2275" i="58"/>
  <c r="J2275" i="58"/>
  <c r="I2276" i="58"/>
  <c r="J2276" i="58"/>
  <c r="I2277" i="58"/>
  <c r="J2277" i="58"/>
  <c r="I2278" i="58"/>
  <c r="J2278" i="58"/>
  <c r="I2279" i="58"/>
  <c r="J2279" i="58"/>
  <c r="I2280" i="58"/>
  <c r="J2280" i="58"/>
  <c r="I2281" i="58"/>
  <c r="J2281" i="58"/>
  <c r="I2282" i="58"/>
  <c r="J2282" i="58"/>
  <c r="I2283" i="58"/>
  <c r="J2283" i="58"/>
  <c r="I2284" i="58"/>
  <c r="J2284" i="58"/>
  <c r="I2285" i="58"/>
  <c r="J2285" i="58"/>
  <c r="I2286" i="58"/>
  <c r="J2286" i="58"/>
  <c r="I2287" i="58"/>
  <c r="J2287" i="58"/>
  <c r="I2288" i="58"/>
  <c r="J2288" i="58"/>
  <c r="I2289" i="58"/>
  <c r="J2289" i="58"/>
  <c r="I2290" i="58"/>
  <c r="J2290" i="58"/>
  <c r="F2291" i="58"/>
  <c r="G2291" i="58"/>
  <c r="H2291" i="58"/>
  <c r="I2292" i="58"/>
  <c r="J2292" i="58"/>
  <c r="I2293" i="58"/>
  <c r="J2293" i="58"/>
  <c r="I2294" i="58"/>
  <c r="J2294" i="58"/>
  <c r="I2295" i="58"/>
  <c r="J2295" i="58"/>
  <c r="I2296" i="58"/>
  <c r="J2296" i="58"/>
  <c r="I2297" i="58"/>
  <c r="J2297" i="58"/>
  <c r="I2298" i="58"/>
  <c r="J2298" i="58"/>
  <c r="F2299" i="58"/>
  <c r="G2299" i="58"/>
  <c r="J2299" i="58" s="1"/>
  <c r="H2299" i="58"/>
  <c r="I2300" i="58"/>
  <c r="J2300" i="58"/>
  <c r="I2301" i="58"/>
  <c r="J2301" i="58"/>
  <c r="I2302" i="58"/>
  <c r="J2302" i="58"/>
  <c r="I2303" i="58"/>
  <c r="J2303" i="58"/>
  <c r="I2304" i="58"/>
  <c r="J2304" i="58"/>
  <c r="I2305" i="58"/>
  <c r="J2305" i="58"/>
  <c r="I2306" i="58"/>
  <c r="J2306" i="58"/>
  <c r="I2307" i="58"/>
  <c r="J2307" i="58"/>
  <c r="I2308" i="58"/>
  <c r="J2308" i="58"/>
  <c r="I2309" i="58"/>
  <c r="J2309" i="58"/>
  <c r="G2313" i="58"/>
  <c r="H2313" i="58"/>
  <c r="F2314" i="58"/>
  <c r="G2314" i="58"/>
  <c r="J2314" i="58" s="1"/>
  <c r="H2314" i="58"/>
  <c r="I2315" i="58"/>
  <c r="J2315" i="58"/>
  <c r="I2316" i="58"/>
  <c r="J2316" i="58"/>
  <c r="I2317" i="58"/>
  <c r="J2317" i="58"/>
  <c r="I2318" i="58"/>
  <c r="J2318" i="58"/>
  <c r="I2319" i="58"/>
  <c r="J2319" i="58"/>
  <c r="I2320" i="58"/>
  <c r="J2320" i="58"/>
  <c r="I2321" i="58"/>
  <c r="J2321" i="58"/>
  <c r="I2322" i="58"/>
  <c r="J2322" i="58"/>
  <c r="F2323" i="58"/>
  <c r="G2323" i="58"/>
  <c r="H2323" i="58"/>
  <c r="I2324" i="58"/>
  <c r="J2324" i="58"/>
  <c r="I2325" i="58"/>
  <c r="J2325" i="58"/>
  <c r="I2326" i="58"/>
  <c r="J2326" i="58"/>
  <c r="I2327" i="58"/>
  <c r="J2327" i="58"/>
  <c r="I2328" i="58"/>
  <c r="J2328" i="58"/>
  <c r="I2329" i="58"/>
  <c r="J2329" i="58"/>
  <c r="F2330" i="58"/>
  <c r="G2330" i="58"/>
  <c r="J2330" i="58" s="1"/>
  <c r="H2330" i="58"/>
  <c r="I2331" i="58"/>
  <c r="J2331" i="58"/>
  <c r="I2332" i="58"/>
  <c r="J2332" i="58"/>
  <c r="I2333" i="58"/>
  <c r="J2333" i="58"/>
  <c r="I2334" i="58"/>
  <c r="J2334" i="58"/>
  <c r="I2335" i="58"/>
  <c r="J2335" i="58"/>
  <c r="I2336" i="58"/>
  <c r="J2336" i="58"/>
  <c r="I2337" i="58"/>
  <c r="J2337" i="58"/>
  <c r="I2338" i="58"/>
  <c r="J2338" i="58"/>
  <c r="I2339" i="58"/>
  <c r="J2339" i="58"/>
  <c r="F2340" i="58"/>
  <c r="J2340" i="58" s="1"/>
  <c r="G2340" i="58"/>
  <c r="H2340" i="58"/>
  <c r="I2341" i="58"/>
  <c r="J2341" i="58"/>
  <c r="I2342" i="58"/>
  <c r="J2342" i="58"/>
  <c r="I2343" i="58"/>
  <c r="J2343" i="58"/>
  <c r="I2344" i="58"/>
  <c r="J2344" i="58"/>
  <c r="I2345" i="58"/>
  <c r="J2345" i="58"/>
  <c r="I2346" i="58"/>
  <c r="J2346" i="58"/>
  <c r="I2347" i="58"/>
  <c r="J2347" i="58"/>
  <c r="I2348" i="58"/>
  <c r="J2348" i="58"/>
  <c r="I2349" i="58"/>
  <c r="J2349" i="58"/>
  <c r="H2350" i="58"/>
  <c r="G2353" i="58"/>
  <c r="H2353" i="58"/>
  <c r="F2354" i="58"/>
  <c r="G2354" i="58"/>
  <c r="J2354" i="58" s="1"/>
  <c r="H2354" i="58"/>
  <c r="H2363" i="58" s="1"/>
  <c r="I2355" i="58"/>
  <c r="J2355" i="58"/>
  <c r="I2356" i="58"/>
  <c r="J2356" i="58"/>
  <c r="I2357" i="58"/>
  <c r="J2357" i="58"/>
  <c r="I2358" i="58"/>
  <c r="J2358" i="58"/>
  <c r="I2359" i="58"/>
  <c r="J2359" i="58"/>
  <c r="I2360" i="58"/>
  <c r="J2360" i="58"/>
  <c r="I2361" i="58"/>
  <c r="J2361" i="58"/>
  <c r="I2362" i="58"/>
  <c r="J2362" i="58"/>
  <c r="F2363" i="58"/>
  <c r="G2363" i="58"/>
  <c r="I155" i="58" l="1"/>
  <c r="H184" i="58"/>
  <c r="I147" i="58"/>
  <c r="J147" i="58"/>
  <c r="I118" i="58"/>
  <c r="J104" i="58"/>
  <c r="J44" i="58"/>
  <c r="J37" i="58"/>
  <c r="J86" i="58"/>
  <c r="H58" i="58"/>
  <c r="H143" i="58" s="1"/>
  <c r="J64" i="58"/>
  <c r="I2330" i="58"/>
  <c r="H2310" i="58"/>
  <c r="I1759" i="58"/>
  <c r="J1759" i="58"/>
  <c r="K1645" i="58"/>
  <c r="J1580" i="58"/>
  <c r="G1634" i="58"/>
  <c r="K1194" i="58"/>
  <c r="I2340" i="58"/>
  <c r="J2185" i="58"/>
  <c r="I2354" i="58"/>
  <c r="J2323" i="58"/>
  <c r="G2350" i="58"/>
  <c r="I2314" i="58"/>
  <c r="I2179" i="58"/>
  <c r="K2179" i="58" s="1"/>
  <c r="K2182" i="58"/>
  <c r="K2185" i="58"/>
  <c r="I2071" i="58"/>
  <c r="I1956" i="58"/>
  <c r="F2350" i="58"/>
  <c r="I2291" i="58"/>
  <c r="I2189" i="58"/>
  <c r="I2164" i="58"/>
  <c r="I2133" i="58"/>
  <c r="I2099" i="58"/>
  <c r="G2129" i="58"/>
  <c r="J2058" i="58"/>
  <c r="I2030" i="58"/>
  <c r="F2053" i="58"/>
  <c r="J2053" i="58" s="1"/>
  <c r="K1681" i="58"/>
  <c r="K1653" i="58"/>
  <c r="I1607" i="58"/>
  <c r="J1524" i="58"/>
  <c r="I1524" i="58"/>
  <c r="I1411" i="58"/>
  <c r="K1411" i="58" s="1"/>
  <c r="K1413" i="58"/>
  <c r="I2299" i="58"/>
  <c r="I1993" i="58"/>
  <c r="I1728" i="58"/>
  <c r="F1715" i="58"/>
  <c r="F1880" i="58" s="1"/>
  <c r="J1728" i="58"/>
  <c r="I1690" i="58"/>
  <c r="I1535" i="58"/>
  <c r="I1525" i="58"/>
  <c r="J2291" i="58"/>
  <c r="J2310" i="58"/>
  <c r="I2009" i="58"/>
  <c r="I1922" i="58"/>
  <c r="I1884" i="58"/>
  <c r="K1678" i="58"/>
  <c r="K1676" i="58"/>
  <c r="K1667" i="58"/>
  <c r="I1617" i="58"/>
  <c r="I1584" i="58"/>
  <c r="F1446" i="58"/>
  <c r="F1477" i="58" s="1"/>
  <c r="J1447" i="58"/>
  <c r="I1447" i="58"/>
  <c r="J1219" i="58"/>
  <c r="F1243" i="58"/>
  <c r="J1243" i="58" s="1"/>
  <c r="F2129" i="58"/>
  <c r="I2022" i="58"/>
  <c r="I1898" i="58"/>
  <c r="I1835" i="58"/>
  <c r="I1708" i="58"/>
  <c r="K1684" i="58"/>
  <c r="J1532" i="58"/>
  <c r="H1576" i="58"/>
  <c r="I2323" i="58"/>
  <c r="J2363" i="58"/>
  <c r="I2058" i="58"/>
  <c r="I2000" i="58"/>
  <c r="I1939" i="58"/>
  <c r="J1898" i="58"/>
  <c r="H1952" i="58"/>
  <c r="I1764" i="58"/>
  <c r="J1764" i="58"/>
  <c r="K1689" i="58"/>
  <c r="K1661" i="58"/>
  <c r="K1659" i="58"/>
  <c r="J1384" i="58"/>
  <c r="H1405" i="58"/>
  <c r="J2189" i="58"/>
  <c r="G1952" i="58"/>
  <c r="J1952" i="58" s="1"/>
  <c r="I1785" i="58"/>
  <c r="G1715" i="58"/>
  <c r="I1756" i="58"/>
  <c r="I1701" i="58"/>
  <c r="K1666" i="58"/>
  <c r="K1658" i="58"/>
  <c r="K1650" i="58"/>
  <c r="K1643" i="58"/>
  <c r="I1612" i="58"/>
  <c r="F1634" i="58"/>
  <c r="I1580" i="58"/>
  <c r="J1573" i="58"/>
  <c r="I1532" i="58"/>
  <c r="I1481" i="58"/>
  <c r="F1517" i="58"/>
  <c r="J1517" i="58" s="1"/>
  <c r="K1436" i="58"/>
  <c r="K1412" i="58"/>
  <c r="K1416" i="58"/>
  <c r="K1419" i="58"/>
  <c r="K1423" i="58"/>
  <c r="K1427" i="58"/>
  <c r="K1431" i="58"/>
  <c r="K1435" i="58"/>
  <c r="K1439" i="58"/>
  <c r="K1443" i="58"/>
  <c r="K1451" i="58"/>
  <c r="K1455" i="58"/>
  <c r="K1459" i="58"/>
  <c r="K1463" i="58"/>
  <c r="K1468" i="58"/>
  <c r="K1472" i="58"/>
  <c r="K1476" i="58"/>
  <c r="K1430" i="58"/>
  <c r="K1429" i="58"/>
  <c r="I1418" i="58"/>
  <c r="K1418" i="58" s="1"/>
  <c r="K1420" i="58"/>
  <c r="K1417" i="58"/>
  <c r="I1391" i="58"/>
  <c r="I1384" i="58"/>
  <c r="J1311" i="58"/>
  <c r="K621" i="58"/>
  <c r="F143" i="58"/>
  <c r="K1670" i="58"/>
  <c r="K1662" i="58"/>
  <c r="K1654" i="58"/>
  <c r="K1646" i="58"/>
  <c r="K1639" i="58"/>
  <c r="G1690" i="58"/>
  <c r="J1690" i="58" s="1"/>
  <c r="J1638" i="58"/>
  <c r="I1596" i="58"/>
  <c r="J1584" i="58"/>
  <c r="H1634" i="58"/>
  <c r="I1573" i="58"/>
  <c r="I1563" i="58"/>
  <c r="I1556" i="58"/>
  <c r="J1554" i="58"/>
  <c r="I1554" i="58"/>
  <c r="I1538" i="58"/>
  <c r="J1523" i="58"/>
  <c r="G1522" i="58"/>
  <c r="I1523" i="58"/>
  <c r="I1488" i="58"/>
  <c r="J1446" i="58"/>
  <c r="G1477" i="58"/>
  <c r="J1477" i="58" s="1"/>
  <c r="I1219" i="58"/>
  <c r="K1178" i="58"/>
  <c r="I1083" i="58"/>
  <c r="G1170" i="58"/>
  <c r="I1812" i="58"/>
  <c r="I1715" i="58"/>
  <c r="I1694" i="58"/>
  <c r="K1685" i="58"/>
  <c r="K1677" i="58"/>
  <c r="I1673" i="58"/>
  <c r="K1673" i="58" s="1"/>
  <c r="I1623" i="58"/>
  <c r="I1620" i="58"/>
  <c r="J1617" i="58"/>
  <c r="I1592" i="58"/>
  <c r="J1553" i="58"/>
  <c r="G1544" i="58"/>
  <c r="I1553" i="58"/>
  <c r="I1541" i="58"/>
  <c r="F1576" i="58"/>
  <c r="J1405" i="58"/>
  <c r="I1207" i="58"/>
  <c r="K1187" i="58" s="1"/>
  <c r="I1054" i="58"/>
  <c r="G998" i="58"/>
  <c r="J998" i="58" s="1"/>
  <c r="J1619" i="58"/>
  <c r="J1575" i="58"/>
  <c r="G1556" i="58"/>
  <c r="J1556" i="58" s="1"/>
  <c r="G1525" i="58"/>
  <c r="J1525" i="58" s="1"/>
  <c r="J1465" i="58"/>
  <c r="I1329" i="58"/>
  <c r="I1260" i="58"/>
  <c r="K1198" i="58"/>
  <c r="K1191" i="58"/>
  <c r="I1026" i="58"/>
  <c r="F1024" i="58"/>
  <c r="J1024" i="58" s="1"/>
  <c r="J1026" i="58"/>
  <c r="J831" i="58"/>
  <c r="G851" i="58"/>
  <c r="J851" i="58" s="1"/>
  <c r="J785" i="58"/>
  <c r="F801" i="58"/>
  <c r="I1316" i="58"/>
  <c r="K1206" i="58"/>
  <c r="K1199" i="58"/>
  <c r="I1141" i="58"/>
  <c r="J1002" i="58"/>
  <c r="I931" i="58"/>
  <c r="I874" i="58"/>
  <c r="I1247" i="58"/>
  <c r="K1186" i="58"/>
  <c r="I1177" i="58"/>
  <c r="K1177" i="58" s="1"/>
  <c r="J1054" i="58"/>
  <c r="I989" i="58"/>
  <c r="I824" i="58"/>
  <c r="F1054" i="58"/>
  <c r="I1002" i="58"/>
  <c r="F874" i="58"/>
  <c r="F998" i="58" s="1"/>
  <c r="I831" i="58"/>
  <c r="K819" i="58"/>
  <c r="I818" i="58"/>
  <c r="K818" i="58" s="1"/>
  <c r="I780" i="58"/>
  <c r="K775" i="58" s="1"/>
  <c r="K763" i="58"/>
  <c r="K761" i="58"/>
  <c r="I414" i="58"/>
  <c r="I281" i="58"/>
  <c r="I860" i="58"/>
  <c r="J818" i="58"/>
  <c r="J814" i="58"/>
  <c r="J663" i="58"/>
  <c r="F694" i="58"/>
  <c r="I633" i="58"/>
  <c r="J633" i="58"/>
  <c r="G694" i="58"/>
  <c r="J694" i="58" s="1"/>
  <c r="I626" i="58"/>
  <c r="I587" i="58"/>
  <c r="K587" i="58" s="1"/>
  <c r="J550" i="58"/>
  <c r="I960" i="58"/>
  <c r="I902" i="58"/>
  <c r="I893" i="58"/>
  <c r="J893" i="58"/>
  <c r="I808" i="58"/>
  <c r="J801" i="58"/>
  <c r="K762" i="58"/>
  <c r="K766" i="58"/>
  <c r="K765" i="58"/>
  <c r="K768" i="58"/>
  <c r="I663" i="58"/>
  <c r="K595" i="58"/>
  <c r="I594" i="58"/>
  <c r="I785" i="58"/>
  <c r="J768" i="58"/>
  <c r="I734" i="58"/>
  <c r="K620" i="58"/>
  <c r="K615" i="58"/>
  <c r="K608" i="58"/>
  <c r="K592" i="58"/>
  <c r="J558" i="58"/>
  <c r="G582" i="58"/>
  <c r="J772" i="58"/>
  <c r="G780" i="58"/>
  <c r="J780" i="58" s="1"/>
  <c r="K764" i="58"/>
  <c r="I760" i="58"/>
  <c r="K760" i="58" s="1"/>
  <c r="I698" i="58"/>
  <c r="K616" i="58"/>
  <c r="K600" i="58"/>
  <c r="K591" i="58"/>
  <c r="J587" i="58"/>
  <c r="H622" i="58"/>
  <c r="I622" i="58" s="1"/>
  <c r="K611" i="58" s="1"/>
  <c r="J760" i="58"/>
  <c r="J706" i="58"/>
  <c r="G755" i="58"/>
  <c r="J755" i="58" s="1"/>
  <c r="J622" i="58"/>
  <c r="K612" i="58"/>
  <c r="K603" i="58"/>
  <c r="K596" i="58"/>
  <c r="I558" i="58"/>
  <c r="J529" i="58"/>
  <c r="I529" i="58"/>
  <c r="J390" i="58"/>
  <c r="J361" i="58"/>
  <c r="I361" i="58"/>
  <c r="J362" i="58"/>
  <c r="I362" i="58"/>
  <c r="I254" i="58"/>
  <c r="I449" i="58"/>
  <c r="F477" i="58"/>
  <c r="I505" i="58"/>
  <c r="I422" i="58"/>
  <c r="I390" i="58"/>
  <c r="G309" i="58"/>
  <c r="J309" i="58" s="1"/>
  <c r="J337" i="58"/>
  <c r="J195" i="58"/>
  <c r="I11" i="58"/>
  <c r="F31" i="58"/>
  <c r="I31" i="58" s="1"/>
  <c r="J11" i="58"/>
  <c r="I3" i="58"/>
  <c r="G242" i="58"/>
  <c r="J242" i="58" s="1"/>
  <c r="J234" i="58"/>
  <c r="J198" i="58"/>
  <c r="F155" i="58"/>
  <c r="F184" i="58" s="1"/>
  <c r="I63" i="58"/>
  <c r="G31" i="58"/>
  <c r="G3" i="58"/>
  <c r="J3" i="58" s="1"/>
  <c r="I234" i="58"/>
  <c r="I198" i="58"/>
  <c r="J96" i="58"/>
  <c r="J28" i="58"/>
  <c r="J9" i="58"/>
  <c r="E153" i="40"/>
  <c r="I162" i="50" s="1"/>
  <c r="E21" i="40"/>
  <c r="E20" i="40"/>
  <c r="E19" i="40"/>
  <c r="E18" i="40"/>
  <c r="I938" i="50" l="1"/>
  <c r="I3232" i="50"/>
  <c r="I3231" i="50"/>
  <c r="I184" i="58"/>
  <c r="K163" i="58" s="1"/>
  <c r="J184" i="58"/>
  <c r="J58" i="58"/>
  <c r="I58" i="58"/>
  <c r="I143" i="58" s="1"/>
  <c r="K81" i="58" s="1"/>
  <c r="H2365" i="58"/>
  <c r="I309" i="58"/>
  <c r="J477" i="58"/>
  <c r="F582" i="58"/>
  <c r="I1380" i="58"/>
  <c r="K1316" i="58" s="1"/>
  <c r="K6" i="58"/>
  <c r="K15" i="58"/>
  <c r="K19" i="58"/>
  <c r="K26" i="58"/>
  <c r="K5" i="58"/>
  <c r="K14" i="58"/>
  <c r="K18" i="58"/>
  <c r="K22" i="58"/>
  <c r="K23" i="58"/>
  <c r="K25" i="58"/>
  <c r="K30" i="58"/>
  <c r="K31" i="58"/>
  <c r="K4" i="58"/>
  <c r="K29" i="58"/>
  <c r="K10" i="58"/>
  <c r="K27" i="58"/>
  <c r="K24" i="58"/>
  <c r="K17" i="58"/>
  <c r="K7" i="58"/>
  <c r="K9" i="58"/>
  <c r="K20" i="58"/>
  <c r="K8" i="58"/>
  <c r="K16" i="58"/>
  <c r="K12" i="58"/>
  <c r="K28" i="58"/>
  <c r="K21" i="58"/>
  <c r="K13" i="58"/>
  <c r="K626" i="58"/>
  <c r="J582" i="58"/>
  <c r="K663" i="58"/>
  <c r="I694" i="58"/>
  <c r="I814" i="58"/>
  <c r="K773" i="58"/>
  <c r="K777" i="58"/>
  <c r="K780" i="58"/>
  <c r="K774" i="58"/>
  <c r="K776" i="58"/>
  <c r="K772" i="58"/>
  <c r="K778" i="58"/>
  <c r="K779" i="58"/>
  <c r="I195" i="58"/>
  <c r="K1447" i="58"/>
  <c r="I1446" i="58"/>
  <c r="J31" i="58"/>
  <c r="K3" i="58"/>
  <c r="I755" i="58"/>
  <c r="K698" i="58"/>
  <c r="K734" i="58"/>
  <c r="K633" i="58"/>
  <c r="I851" i="58"/>
  <c r="K831" i="58"/>
  <c r="F1170" i="58"/>
  <c r="F2365" i="58" s="1"/>
  <c r="K1179" i="58"/>
  <c r="K1202" i="58"/>
  <c r="K1190" i="58"/>
  <c r="K1182" i="58"/>
  <c r="J1544" i="58"/>
  <c r="G1576" i="58"/>
  <c r="J1576" i="58" s="1"/>
  <c r="K1715" i="58"/>
  <c r="J143" i="58"/>
  <c r="I1405" i="58"/>
  <c r="K1384" i="58"/>
  <c r="I1517" i="58"/>
  <c r="K1488" i="58" s="1"/>
  <c r="I1634" i="58"/>
  <c r="K1607" i="58" s="1"/>
  <c r="G1880" i="58"/>
  <c r="J1880" i="58" s="1"/>
  <c r="J1715" i="58"/>
  <c r="K1835" i="58"/>
  <c r="K1641" i="58"/>
  <c r="K1648" i="58"/>
  <c r="K1652" i="58"/>
  <c r="K1656" i="58"/>
  <c r="K1660" i="58"/>
  <c r="K1664" i="58"/>
  <c r="K1668" i="58"/>
  <c r="K1672" i="58"/>
  <c r="K1675" i="58"/>
  <c r="K1679" i="58"/>
  <c r="K1683" i="58"/>
  <c r="K1687" i="58"/>
  <c r="K1690" i="58"/>
  <c r="K1640" i="58"/>
  <c r="K1647" i="58"/>
  <c r="K1655" i="58"/>
  <c r="K1663" i="58"/>
  <c r="K1671" i="58"/>
  <c r="K1680" i="58"/>
  <c r="K1688" i="58"/>
  <c r="K1642" i="58"/>
  <c r="K1649" i="58"/>
  <c r="K1665" i="58"/>
  <c r="K1657" i="58"/>
  <c r="K1674" i="58"/>
  <c r="K1682" i="58"/>
  <c r="K1651" i="58"/>
  <c r="K2340" i="58"/>
  <c r="K161" i="58"/>
  <c r="J1634" i="58"/>
  <c r="K1759" i="58"/>
  <c r="K1922" i="58"/>
  <c r="J2129" i="58"/>
  <c r="I2350" i="58"/>
  <c r="I1544" i="58"/>
  <c r="I582" i="58"/>
  <c r="K390" i="58" s="1"/>
  <c r="K824" i="58"/>
  <c r="K1247" i="58"/>
  <c r="I1311" i="58"/>
  <c r="K1180" i="58"/>
  <c r="K1184" i="58"/>
  <c r="K1188" i="58"/>
  <c r="K1192" i="58"/>
  <c r="K1196" i="58"/>
  <c r="K1200" i="58"/>
  <c r="K1204" i="58"/>
  <c r="K1207" i="58"/>
  <c r="K1189" i="58"/>
  <c r="K1205" i="58"/>
  <c r="K1193" i="58"/>
  <c r="K1185" i="58"/>
  <c r="K1201" i="58"/>
  <c r="K1181" i="58"/>
  <c r="K1197" i="58"/>
  <c r="K1694" i="58"/>
  <c r="I1880" i="58"/>
  <c r="K1812" i="58"/>
  <c r="K1203" i="58"/>
  <c r="I1522" i="58"/>
  <c r="K1391" i="58"/>
  <c r="K1939" i="58"/>
  <c r="I2129" i="58"/>
  <c r="K2071" i="58" s="1"/>
  <c r="I2053" i="58"/>
  <c r="I2363" i="58"/>
  <c r="K2354" i="58" s="1"/>
  <c r="K1785" i="58"/>
  <c r="K2323" i="58"/>
  <c r="K2022" i="58"/>
  <c r="I223" i="58"/>
  <c r="K11" i="58"/>
  <c r="J155" i="58"/>
  <c r="I801" i="58"/>
  <c r="I477" i="58"/>
  <c r="K598" i="58"/>
  <c r="K602" i="58"/>
  <c r="K606" i="58"/>
  <c r="K610" i="58"/>
  <c r="K614" i="58"/>
  <c r="K618" i="58"/>
  <c r="K589" i="58"/>
  <c r="K593" i="58"/>
  <c r="K590" i="58"/>
  <c r="K597" i="58"/>
  <c r="K613" i="58"/>
  <c r="K601" i="58"/>
  <c r="K617" i="58"/>
  <c r="K609" i="58"/>
  <c r="K622" i="58"/>
  <c r="K619" i="58"/>
  <c r="K605" i="58"/>
  <c r="K607" i="58"/>
  <c r="K599" i="58"/>
  <c r="K594" i="58"/>
  <c r="K588" i="58"/>
  <c r="I998" i="58"/>
  <c r="K1195" i="58"/>
  <c r="K1183" i="58"/>
  <c r="K604" i="58"/>
  <c r="I1024" i="58"/>
  <c r="I1170" i="58" s="1"/>
  <c r="K1260" i="58"/>
  <c r="J874" i="58"/>
  <c r="I1243" i="58"/>
  <c r="K1219" i="58"/>
  <c r="J1522" i="58"/>
  <c r="G1528" i="58"/>
  <c r="J1528" i="58" s="1"/>
  <c r="K1596" i="58"/>
  <c r="K1701" i="58"/>
  <c r="K1756" i="58"/>
  <c r="K1764" i="58"/>
  <c r="K1898" i="58"/>
  <c r="K1669" i="58"/>
  <c r="K1884" i="58"/>
  <c r="I1952" i="58"/>
  <c r="K1638" i="58"/>
  <c r="K1728" i="58"/>
  <c r="K1644" i="58"/>
  <c r="I2175" i="58"/>
  <c r="I2310" i="58"/>
  <c r="K2299" i="58" s="1"/>
  <c r="J2350" i="58"/>
  <c r="K1686" i="58"/>
  <c r="K2330" i="58"/>
  <c r="I9" i="22"/>
  <c r="I10" i="22" s="1"/>
  <c r="K158" i="58" l="1"/>
  <c r="K154" i="58"/>
  <c r="K176" i="58"/>
  <c r="K155" i="58"/>
  <c r="K181" i="58"/>
  <c r="K173" i="58"/>
  <c r="K169" i="58"/>
  <c r="K178" i="58"/>
  <c r="K153" i="58"/>
  <c r="K164" i="58"/>
  <c r="K174" i="58"/>
  <c r="K149" i="58"/>
  <c r="K182" i="58"/>
  <c r="K151" i="58"/>
  <c r="K148" i="58"/>
  <c r="K172" i="58"/>
  <c r="K171" i="58"/>
  <c r="K170" i="58"/>
  <c r="K180" i="58"/>
  <c r="K160" i="58"/>
  <c r="K177" i="58"/>
  <c r="K152" i="58"/>
  <c r="K147" i="58"/>
  <c r="K162" i="58"/>
  <c r="K166" i="58"/>
  <c r="K157" i="58"/>
  <c r="K156" i="58"/>
  <c r="K175" i="58"/>
  <c r="K150" i="58"/>
  <c r="K168" i="58"/>
  <c r="K184" i="58"/>
  <c r="K165" i="58"/>
  <c r="K167" i="58"/>
  <c r="K159" i="58"/>
  <c r="K183" i="58"/>
  <c r="K179" i="58"/>
  <c r="K45" i="58"/>
  <c r="K75" i="58"/>
  <c r="K110" i="58"/>
  <c r="K132" i="58"/>
  <c r="K68" i="58"/>
  <c r="K49" i="58"/>
  <c r="K91" i="58"/>
  <c r="K62" i="58"/>
  <c r="K136" i="58"/>
  <c r="K137" i="58"/>
  <c r="K85" i="58"/>
  <c r="K117" i="58"/>
  <c r="K50" i="58"/>
  <c r="K106" i="58"/>
  <c r="K40" i="58"/>
  <c r="K86" i="58"/>
  <c r="K82" i="58"/>
  <c r="K98" i="58"/>
  <c r="K46" i="58"/>
  <c r="K88" i="58"/>
  <c r="K70" i="58"/>
  <c r="K65" i="58"/>
  <c r="K93" i="58"/>
  <c r="K100" i="58"/>
  <c r="K113" i="58"/>
  <c r="K71" i="58"/>
  <c r="K129" i="58"/>
  <c r="K84" i="58"/>
  <c r="K89" i="58"/>
  <c r="K37" i="58"/>
  <c r="K63" i="58"/>
  <c r="K41" i="58"/>
  <c r="K111" i="58"/>
  <c r="K66" i="58"/>
  <c r="K112" i="58"/>
  <c r="K126" i="58"/>
  <c r="K44" i="58"/>
  <c r="K90" i="58"/>
  <c r="K74" i="58"/>
  <c r="K127" i="58"/>
  <c r="K122" i="58"/>
  <c r="K58" i="58"/>
  <c r="K143" i="58"/>
  <c r="K120" i="58"/>
  <c r="K102" i="58"/>
  <c r="K83" i="58"/>
  <c r="K54" i="58"/>
  <c r="K141" i="58"/>
  <c r="K121" i="58"/>
  <c r="K92" i="58"/>
  <c r="K72" i="58"/>
  <c r="K51" i="58"/>
  <c r="K108" i="58"/>
  <c r="K118" i="58"/>
  <c r="K56" i="58"/>
  <c r="K96" i="58"/>
  <c r="K48" i="58"/>
  <c r="K77" i="58"/>
  <c r="K42" i="58"/>
  <c r="K116" i="58"/>
  <c r="K134" i="58"/>
  <c r="K130" i="58"/>
  <c r="K53" i="58"/>
  <c r="K128" i="58"/>
  <c r="K105" i="58"/>
  <c r="K87" i="58"/>
  <c r="K67" i="58"/>
  <c r="K39" i="58"/>
  <c r="K125" i="58"/>
  <c r="K103" i="58"/>
  <c r="K76" i="58"/>
  <c r="K55" i="58"/>
  <c r="K73" i="58"/>
  <c r="K119" i="58"/>
  <c r="K69" i="58"/>
  <c r="K131" i="58"/>
  <c r="K59" i="58"/>
  <c r="K97" i="58"/>
  <c r="K139" i="58"/>
  <c r="K52" i="58"/>
  <c r="K78" i="58"/>
  <c r="K138" i="58"/>
  <c r="K140" i="58"/>
  <c r="K124" i="58"/>
  <c r="K109" i="58"/>
  <c r="K95" i="58"/>
  <c r="K79" i="58"/>
  <c r="K61" i="58"/>
  <c r="K43" i="58"/>
  <c r="K133" i="58"/>
  <c r="K114" i="58"/>
  <c r="K99" i="58"/>
  <c r="K80" i="58"/>
  <c r="K64" i="58"/>
  <c r="K47" i="58"/>
  <c r="K38" i="58"/>
  <c r="K135" i="58"/>
  <c r="K107" i="58"/>
  <c r="K104" i="58"/>
  <c r="K101" i="58"/>
  <c r="K142" i="58"/>
  <c r="K94" i="58"/>
  <c r="K57" i="58"/>
  <c r="K115" i="58"/>
  <c r="K123" i="58"/>
  <c r="K60" i="58"/>
  <c r="K1010" i="58"/>
  <c r="K1031" i="58"/>
  <c r="K1063" i="58"/>
  <c r="K1087" i="58"/>
  <c r="K1103" i="58"/>
  <c r="K1118" i="58"/>
  <c r="K1006" i="58"/>
  <c r="K1022" i="58"/>
  <c r="K1025" i="58"/>
  <c r="K1027" i="58"/>
  <c r="K1059" i="58"/>
  <c r="K1075" i="58"/>
  <c r="K1099" i="58"/>
  <c r="K1114" i="58"/>
  <c r="K1130" i="58"/>
  <c r="K1011" i="58"/>
  <c r="K1014" i="58"/>
  <c r="K1017" i="58"/>
  <c r="K1032" i="58"/>
  <c r="K1035" i="58"/>
  <c r="K1038" i="58"/>
  <c r="K1045" i="58"/>
  <c r="K1048" i="58"/>
  <c r="K1064" i="58"/>
  <c r="K1067" i="58"/>
  <c r="K1070" i="58"/>
  <c r="K1080" i="58"/>
  <c r="K1088" i="58"/>
  <c r="K1091" i="58"/>
  <c r="K1094" i="58"/>
  <c r="K1104" i="58"/>
  <c r="K1107" i="58"/>
  <c r="K1110" i="58"/>
  <c r="K1119" i="58"/>
  <c r="K1122" i="58"/>
  <c r="K1125" i="58"/>
  <c r="K1135" i="58"/>
  <c r="K1139" i="58"/>
  <c r="K1142" i="58"/>
  <c r="K1146" i="58"/>
  <c r="K1150" i="58"/>
  <c r="K1154" i="58"/>
  <c r="K1158" i="58"/>
  <c r="K1162" i="58"/>
  <c r="K1166" i="58"/>
  <c r="K1046" i="58"/>
  <c r="K1081" i="58"/>
  <c r="K1092" i="58"/>
  <c r="K1136" i="58"/>
  <c r="K1151" i="58"/>
  <c r="K1167" i="58"/>
  <c r="K1021" i="58"/>
  <c r="K1039" i="58"/>
  <c r="K1074" i="58"/>
  <c r="K1129" i="58"/>
  <c r="K1140" i="58"/>
  <c r="K1155" i="58"/>
  <c r="K1015" i="58"/>
  <c r="K1049" i="58"/>
  <c r="K1068" i="58"/>
  <c r="K1095" i="58"/>
  <c r="K1108" i="58"/>
  <c r="K1123" i="58"/>
  <c r="K1147" i="58"/>
  <c r="K1163" i="58"/>
  <c r="K1170" i="58"/>
  <c r="K1056" i="58"/>
  <c r="K1057" i="58"/>
  <c r="K1058" i="58"/>
  <c r="K1126" i="58"/>
  <c r="K1143" i="58"/>
  <c r="K1005" i="58"/>
  <c r="K1036" i="58"/>
  <c r="K1071" i="58"/>
  <c r="K1098" i="58"/>
  <c r="K1111" i="58"/>
  <c r="K1113" i="58"/>
  <c r="K1018" i="58"/>
  <c r="K1159" i="58"/>
  <c r="K1156" i="58"/>
  <c r="K1112" i="58"/>
  <c r="K1042" i="58"/>
  <c r="K1097" i="58"/>
  <c r="K1090" i="58"/>
  <c r="K1149" i="58"/>
  <c r="K1169" i="58"/>
  <c r="K1138" i="58"/>
  <c r="K1145" i="58"/>
  <c r="K1121" i="58"/>
  <c r="K1102" i="58"/>
  <c r="K1062" i="58"/>
  <c r="K1009" i="58"/>
  <c r="K1164" i="58"/>
  <c r="K1131" i="58"/>
  <c r="K1052" i="58"/>
  <c r="K1030" i="58"/>
  <c r="K1109" i="58"/>
  <c r="K1116" i="58"/>
  <c r="K1029" i="58"/>
  <c r="K1078" i="58"/>
  <c r="K1012" i="58"/>
  <c r="K1120" i="58"/>
  <c r="K1051" i="58"/>
  <c r="K1077" i="58"/>
  <c r="K1079" i="58"/>
  <c r="K1004" i="58"/>
  <c r="K1086" i="58"/>
  <c r="K1053" i="58"/>
  <c r="K1160" i="58"/>
  <c r="K1127" i="58"/>
  <c r="K1168" i="58"/>
  <c r="K1117" i="58"/>
  <c r="K1100" i="58"/>
  <c r="K1060" i="58"/>
  <c r="K1007" i="58"/>
  <c r="K1157" i="58"/>
  <c r="K1096" i="58"/>
  <c r="K1050" i="58"/>
  <c r="K1028" i="58"/>
  <c r="K1093" i="58"/>
  <c r="K1047" i="58"/>
  <c r="K1101" i="58"/>
  <c r="K1008" i="58"/>
  <c r="K1065" i="58"/>
  <c r="K1044" i="58"/>
  <c r="K1134" i="58"/>
  <c r="K1040" i="58"/>
  <c r="K1165" i="58"/>
  <c r="K1084" i="58"/>
  <c r="K1055" i="58"/>
  <c r="K1144" i="58"/>
  <c r="K1072" i="58"/>
  <c r="K1019" i="58"/>
  <c r="K1152" i="58"/>
  <c r="K1128" i="58"/>
  <c r="K1106" i="58"/>
  <c r="K1066" i="58"/>
  <c r="K1013" i="58"/>
  <c r="K1133" i="58"/>
  <c r="K1034" i="58"/>
  <c r="K1124" i="58"/>
  <c r="K1069" i="58"/>
  <c r="K1016" i="58"/>
  <c r="K1132" i="58"/>
  <c r="K1061" i="58"/>
  <c r="K1089" i="58"/>
  <c r="K1033" i="58"/>
  <c r="K1153" i="58"/>
  <c r="K1020" i="58"/>
  <c r="K1041" i="58"/>
  <c r="K1082" i="58"/>
  <c r="K1003" i="58"/>
  <c r="K1043" i="58"/>
  <c r="K1137" i="58"/>
  <c r="K1148" i="58"/>
  <c r="K1023" i="58"/>
  <c r="K1115" i="58"/>
  <c r="K1076" i="58"/>
  <c r="K1037" i="58"/>
  <c r="K1161" i="58"/>
  <c r="K1073" i="58"/>
  <c r="K1085" i="58"/>
  <c r="K1105" i="58"/>
  <c r="K1026" i="58"/>
  <c r="K1141" i="58"/>
  <c r="K1002" i="58"/>
  <c r="K1083" i="58"/>
  <c r="K1054" i="58"/>
  <c r="K862" i="58"/>
  <c r="K866" i="58"/>
  <c r="K870" i="58"/>
  <c r="K878" i="58"/>
  <c r="K882" i="58"/>
  <c r="K886" i="58"/>
  <c r="K892" i="58"/>
  <c r="K894" i="58"/>
  <c r="K898" i="58"/>
  <c r="K905" i="58"/>
  <c r="K909" i="58"/>
  <c r="K913" i="58"/>
  <c r="K917" i="58"/>
  <c r="K921" i="58"/>
  <c r="K925" i="58"/>
  <c r="K929" i="58"/>
  <c r="K932" i="58"/>
  <c r="K936" i="58"/>
  <c r="K940" i="58"/>
  <c r="K944" i="58"/>
  <c r="K869" i="58"/>
  <c r="K881" i="58"/>
  <c r="K901" i="58"/>
  <c r="K916" i="58"/>
  <c r="K935" i="58"/>
  <c r="K952" i="58"/>
  <c r="K963" i="58"/>
  <c r="K972" i="58"/>
  <c r="K988" i="58"/>
  <c r="K998" i="58"/>
  <c r="K873" i="58"/>
  <c r="K885" i="58"/>
  <c r="K891" i="58"/>
  <c r="K904" i="58"/>
  <c r="K920" i="58"/>
  <c r="K939" i="58"/>
  <c r="K951" i="58"/>
  <c r="K959" i="58"/>
  <c r="K968" i="58"/>
  <c r="K984" i="58"/>
  <c r="K865" i="58"/>
  <c r="K877" i="58"/>
  <c r="K897" i="58"/>
  <c r="K912" i="58"/>
  <c r="K928" i="58"/>
  <c r="K947" i="58"/>
  <c r="K955" i="58"/>
  <c r="K964" i="58"/>
  <c r="K973" i="58"/>
  <c r="K976" i="58"/>
  <c r="K979" i="58"/>
  <c r="K991" i="58"/>
  <c r="K994" i="58"/>
  <c r="K977" i="58"/>
  <c r="K995" i="58"/>
  <c r="K889" i="58"/>
  <c r="K924" i="58"/>
  <c r="K943" i="58"/>
  <c r="K956" i="58"/>
  <c r="K967" i="58"/>
  <c r="K980" i="58"/>
  <c r="K861" i="58"/>
  <c r="K948" i="58"/>
  <c r="K983" i="58"/>
  <c r="K992" i="58"/>
  <c r="K908" i="58"/>
  <c r="K969" i="58"/>
  <c r="K966" i="58"/>
  <c r="K985" i="58"/>
  <c r="K899" i="58"/>
  <c r="K997" i="58"/>
  <c r="K954" i="58"/>
  <c r="K927" i="58"/>
  <c r="K864" i="58"/>
  <c r="K970" i="58"/>
  <c r="K950" i="58"/>
  <c r="K919" i="58"/>
  <c r="K890" i="58"/>
  <c r="K915" i="58"/>
  <c r="K875" i="58"/>
  <c r="K961" i="58"/>
  <c r="K910" i="58"/>
  <c r="K974" i="58"/>
  <c r="K941" i="58"/>
  <c r="K975" i="58"/>
  <c r="K930" i="58"/>
  <c r="K907" i="58"/>
  <c r="K942" i="58"/>
  <c r="K879" i="58"/>
  <c r="K993" i="58"/>
  <c r="K949" i="58"/>
  <c r="K918" i="58"/>
  <c r="K883" i="58"/>
  <c r="K945" i="58"/>
  <c r="K884" i="58"/>
  <c r="K906" i="58"/>
  <c r="K868" i="58"/>
  <c r="K982" i="58"/>
  <c r="K971" i="58"/>
  <c r="K996" i="58"/>
  <c r="K888" i="58"/>
  <c r="K987" i="58"/>
  <c r="K914" i="58"/>
  <c r="K867" i="58"/>
  <c r="K981" i="58"/>
  <c r="K957" i="58"/>
  <c r="K937" i="58"/>
  <c r="K896" i="58"/>
  <c r="K871" i="58"/>
  <c r="K986" i="58"/>
  <c r="K953" i="58"/>
  <c r="K926" i="58"/>
  <c r="K895" i="58"/>
  <c r="K863" i="58"/>
  <c r="K962" i="58"/>
  <c r="K922" i="58"/>
  <c r="K900" i="58"/>
  <c r="K880" i="58"/>
  <c r="K978" i="58"/>
  <c r="K876" i="58"/>
  <c r="K872" i="58"/>
  <c r="K923" i="58"/>
  <c r="K946" i="58"/>
  <c r="K958" i="58"/>
  <c r="K965" i="58"/>
  <c r="K938" i="58"/>
  <c r="K933" i="58"/>
  <c r="K990" i="58"/>
  <c r="K903" i="58"/>
  <c r="K934" i="58"/>
  <c r="K887" i="58"/>
  <c r="K911" i="58"/>
  <c r="K1958" i="58"/>
  <c r="K1962" i="58"/>
  <c r="K1966" i="58"/>
  <c r="K1970" i="58"/>
  <c r="K1974" i="58"/>
  <c r="K1978" i="58"/>
  <c r="K1982" i="58"/>
  <c r="K1989" i="58"/>
  <c r="K1996" i="58"/>
  <c r="K2003" i="58"/>
  <c r="K2007" i="58"/>
  <c r="K2010" i="58"/>
  <c r="K2014" i="58"/>
  <c r="K2018" i="58"/>
  <c r="K2021" i="58"/>
  <c r="K2024" i="58"/>
  <c r="K2028" i="58"/>
  <c r="K2031" i="58"/>
  <c r="K2035" i="58"/>
  <c r="K2039" i="58"/>
  <c r="K2043" i="58"/>
  <c r="K2047" i="58"/>
  <c r="K2051" i="58"/>
  <c r="K2027" i="58"/>
  <c r="K1961" i="58"/>
  <c r="K1992" i="58"/>
  <c r="K1957" i="58"/>
  <c r="K1973" i="58"/>
  <c r="K1988" i="58"/>
  <c r="K2002" i="58"/>
  <c r="K2034" i="58"/>
  <c r="K2050" i="58"/>
  <c r="K1977" i="58"/>
  <c r="K2020" i="58"/>
  <c r="K1965" i="58"/>
  <c r="K1981" i="58"/>
  <c r="K1995" i="58"/>
  <c r="K2013" i="58"/>
  <c r="K2023" i="58"/>
  <c r="K2042" i="58"/>
  <c r="K2053" i="58"/>
  <c r="K1969" i="58"/>
  <c r="K1985" i="58"/>
  <c r="K1999" i="58"/>
  <c r="K2017" i="58"/>
  <c r="K2046" i="58"/>
  <c r="K2006" i="58"/>
  <c r="K2038" i="58"/>
  <c r="K1986" i="58"/>
  <c r="K2015" i="58"/>
  <c r="K2004" i="58"/>
  <c r="K1959" i="58"/>
  <c r="K2048" i="58"/>
  <c r="K2029" i="58"/>
  <c r="K1971" i="58"/>
  <c r="K2005" i="58"/>
  <c r="K1987" i="58"/>
  <c r="K2037" i="58"/>
  <c r="K1983" i="58"/>
  <c r="K2036" i="58"/>
  <c r="K1984" i="58"/>
  <c r="K1975" i="58"/>
  <c r="K1994" i="58"/>
  <c r="K1997" i="58"/>
  <c r="K1998" i="58"/>
  <c r="K2041" i="58"/>
  <c r="K2012" i="58"/>
  <c r="K1964" i="58"/>
  <c r="K2049" i="58"/>
  <c r="K2011" i="58"/>
  <c r="K1979" i="58"/>
  <c r="K2025" i="58"/>
  <c r="K2016" i="58"/>
  <c r="K1991" i="58"/>
  <c r="K2052" i="58"/>
  <c r="K2008" i="58"/>
  <c r="K1967" i="58"/>
  <c r="K2026" i="58"/>
  <c r="K1968" i="58"/>
  <c r="K2032" i="58"/>
  <c r="K1980" i="58"/>
  <c r="K1960" i="58"/>
  <c r="K2033" i="58"/>
  <c r="K2001" i="58"/>
  <c r="K1963" i="58"/>
  <c r="K2044" i="58"/>
  <c r="K2019" i="58"/>
  <c r="K2045" i="58"/>
  <c r="K1990" i="58"/>
  <c r="K1976" i="58"/>
  <c r="K2040" i="58"/>
  <c r="K1972" i="58"/>
  <c r="K2030" i="58"/>
  <c r="K281" i="58"/>
  <c r="K2189" i="58"/>
  <c r="K477" i="58"/>
  <c r="K2099" i="58"/>
  <c r="J1170" i="58"/>
  <c r="K1617" i="58"/>
  <c r="K1580" i="58"/>
  <c r="K811" i="58"/>
  <c r="K814" i="58"/>
  <c r="K810" i="58"/>
  <c r="K812" i="58"/>
  <c r="K813" i="58"/>
  <c r="K809" i="58"/>
  <c r="K2136" i="58"/>
  <c r="K2140" i="58"/>
  <c r="K2144" i="58"/>
  <c r="K2148" i="58"/>
  <c r="K2152" i="58"/>
  <c r="K2156" i="58"/>
  <c r="K2160" i="58"/>
  <c r="K2167" i="58"/>
  <c r="K2171" i="58"/>
  <c r="K2175" i="58"/>
  <c r="K2135" i="58"/>
  <c r="K2170" i="58"/>
  <c r="K2143" i="58"/>
  <c r="K2159" i="58"/>
  <c r="K2174" i="58"/>
  <c r="K2147" i="58"/>
  <c r="K2163" i="58"/>
  <c r="K2151" i="58"/>
  <c r="K2166" i="58"/>
  <c r="K2139" i="58"/>
  <c r="K2155" i="58"/>
  <c r="K2173" i="58"/>
  <c r="K2150" i="58"/>
  <c r="K2134" i="58"/>
  <c r="K2162" i="58"/>
  <c r="K2158" i="58"/>
  <c r="K2138" i="58"/>
  <c r="K2161" i="58"/>
  <c r="K2168" i="58"/>
  <c r="K2169" i="58"/>
  <c r="K2172" i="58"/>
  <c r="K2153" i="58"/>
  <c r="K2142" i="58"/>
  <c r="K2149" i="58"/>
  <c r="K2146" i="58"/>
  <c r="K2154" i="58"/>
  <c r="K2157" i="58"/>
  <c r="K2141" i="58"/>
  <c r="K2137" i="58"/>
  <c r="K2145" i="58"/>
  <c r="K2165" i="58"/>
  <c r="K1216" i="58"/>
  <c r="K1223" i="58"/>
  <c r="K1227" i="58"/>
  <c r="K1232" i="58"/>
  <c r="K1236" i="58"/>
  <c r="K1240" i="58"/>
  <c r="K1243" i="58"/>
  <c r="K1220" i="58"/>
  <c r="K1241" i="58"/>
  <c r="K1224" i="58"/>
  <c r="K1229" i="58"/>
  <c r="K1217" i="58"/>
  <c r="K1237" i="58"/>
  <c r="K1213" i="58"/>
  <c r="K1228" i="58"/>
  <c r="K1233" i="58"/>
  <c r="K1230" i="58"/>
  <c r="K1214" i="58"/>
  <c r="K1215" i="58"/>
  <c r="K1226" i="58"/>
  <c r="K1242" i="58"/>
  <c r="K1218" i="58"/>
  <c r="K1225" i="58"/>
  <c r="K1239" i="58"/>
  <c r="K1234" i="58"/>
  <c r="K1221" i="58"/>
  <c r="K1231" i="58"/>
  <c r="K1235" i="58"/>
  <c r="K1238" i="58"/>
  <c r="K1212" i="58"/>
  <c r="K254" i="58"/>
  <c r="K1993" i="58"/>
  <c r="K931" i="58"/>
  <c r="K2350" i="58"/>
  <c r="K2321" i="58"/>
  <c r="K2331" i="58"/>
  <c r="K2346" i="58"/>
  <c r="K2335" i="58"/>
  <c r="K2339" i="58"/>
  <c r="K2317" i="58"/>
  <c r="K2324" i="58"/>
  <c r="K2328" i="58"/>
  <c r="K2342" i="58"/>
  <c r="K2338" i="58"/>
  <c r="K2320" i="58"/>
  <c r="K2316" i="58"/>
  <c r="K2341" i="58"/>
  <c r="K2327" i="58"/>
  <c r="K2345" i="58"/>
  <c r="K2334" i="58"/>
  <c r="K2349" i="58"/>
  <c r="K2322" i="58"/>
  <c r="K2344" i="58"/>
  <c r="K2348" i="58"/>
  <c r="K2319" i="58"/>
  <c r="K2332" i="58"/>
  <c r="K2315" i="58"/>
  <c r="K2318" i="58"/>
  <c r="K2336" i="58"/>
  <c r="K2329" i="58"/>
  <c r="K2337" i="58"/>
  <c r="K2343" i="58"/>
  <c r="K2333" i="58"/>
  <c r="K2347" i="58"/>
  <c r="K2325" i="58"/>
  <c r="K2326" i="58"/>
  <c r="K2133" i="58"/>
  <c r="K1887" i="58"/>
  <c r="K1891" i="58"/>
  <c r="K1895" i="58"/>
  <c r="K1902" i="58"/>
  <c r="K1906" i="58"/>
  <c r="K1910" i="58"/>
  <c r="K1914" i="58"/>
  <c r="K1918" i="58"/>
  <c r="K1925" i="58"/>
  <c r="K1929" i="58"/>
  <c r="K1933" i="58"/>
  <c r="K1937" i="58"/>
  <c r="K1940" i="58"/>
  <c r="K1947" i="58"/>
  <c r="K1951" i="58"/>
  <c r="K1952" i="58"/>
  <c r="K1917" i="58"/>
  <c r="K1886" i="58"/>
  <c r="K1909" i="58"/>
  <c r="K1924" i="58"/>
  <c r="K1943" i="58"/>
  <c r="K1905" i="58"/>
  <c r="K1921" i="58"/>
  <c r="K1936" i="58"/>
  <c r="K1890" i="58"/>
  <c r="K1913" i="58"/>
  <c r="K1928" i="58"/>
  <c r="K1946" i="58"/>
  <c r="K1894" i="58"/>
  <c r="K1901" i="58"/>
  <c r="K1932" i="58"/>
  <c r="K1950" i="58"/>
  <c r="K1942" i="58"/>
  <c r="K1931" i="58"/>
  <c r="K1934" i="58"/>
  <c r="K1903" i="58"/>
  <c r="K1930" i="58"/>
  <c r="K1935" i="58"/>
  <c r="K1911" i="58"/>
  <c r="K1893" i="58"/>
  <c r="K1897" i="58"/>
  <c r="K1941" i="58"/>
  <c r="K1944" i="58"/>
  <c r="K1885" i="58"/>
  <c r="K1916" i="58"/>
  <c r="K1927" i="58"/>
  <c r="K1896" i="58"/>
  <c r="K1915" i="58"/>
  <c r="K1926" i="58"/>
  <c r="K1904" i="58"/>
  <c r="K1948" i="58"/>
  <c r="K1907" i="58"/>
  <c r="K1919" i="58"/>
  <c r="K1908" i="58"/>
  <c r="K1938" i="58"/>
  <c r="K1900" i="58"/>
  <c r="K1945" i="58"/>
  <c r="K1912" i="58"/>
  <c r="K1892" i="58"/>
  <c r="K1920" i="58"/>
  <c r="K1888" i="58"/>
  <c r="K1899" i="58"/>
  <c r="K1949" i="58"/>
  <c r="K1889" i="58"/>
  <c r="K1923" i="58"/>
  <c r="K1592" i="58"/>
  <c r="K414" i="58"/>
  <c r="K960" i="58"/>
  <c r="K422" i="58"/>
  <c r="K1584" i="58"/>
  <c r="K1956" i="58"/>
  <c r="K1698" i="58"/>
  <c r="K1705" i="58"/>
  <c r="K1712" i="58"/>
  <c r="K1720" i="58"/>
  <c r="K1725" i="58"/>
  <c r="K1730" i="58"/>
  <c r="K1734" i="58"/>
  <c r="K1739" i="58"/>
  <c r="K1744" i="58"/>
  <c r="K1748" i="58"/>
  <c r="K1752" i="58"/>
  <c r="K1758" i="58"/>
  <c r="K1763" i="58"/>
  <c r="K1769" i="58"/>
  <c r="K1774" i="58"/>
  <c r="K1778" i="58"/>
  <c r="K1782" i="58"/>
  <c r="K1789" i="58"/>
  <c r="K1793" i="58"/>
  <c r="K1797" i="58"/>
  <c r="K1880" i="58"/>
  <c r="K1702" i="58"/>
  <c r="K1711" i="58"/>
  <c r="K1719" i="58"/>
  <c r="K1722" i="58"/>
  <c r="K1735" i="58"/>
  <c r="K1747" i="58"/>
  <c r="K1755" i="58"/>
  <c r="K1768" i="58"/>
  <c r="K1777" i="58"/>
  <c r="K1786" i="58"/>
  <c r="K1794" i="58"/>
  <c r="K1806" i="58"/>
  <c r="K1809" i="58"/>
  <c r="K1817" i="58"/>
  <c r="K1821" i="58"/>
  <c r="K1825" i="58"/>
  <c r="K1829" i="58"/>
  <c r="K1833" i="58"/>
  <c r="K1836" i="58"/>
  <c r="K1840" i="58"/>
  <c r="K1844" i="58"/>
  <c r="K1848" i="58"/>
  <c r="K1852" i="58"/>
  <c r="K1856" i="58"/>
  <c r="K1860" i="58"/>
  <c r="K1864" i="58"/>
  <c r="K1868" i="58"/>
  <c r="K1872" i="58"/>
  <c r="K1876" i="58"/>
  <c r="K1801" i="58"/>
  <c r="K1704" i="58"/>
  <c r="K1713" i="58"/>
  <c r="K1721" i="58"/>
  <c r="K1796" i="58"/>
  <c r="K1805" i="58"/>
  <c r="K1813" i="58"/>
  <c r="K1820" i="58"/>
  <c r="K1839" i="58"/>
  <c r="K1855" i="58"/>
  <c r="K1871" i="58"/>
  <c r="K1737" i="58"/>
  <c r="K1770" i="58"/>
  <c r="K1828" i="58"/>
  <c r="K1847" i="58"/>
  <c r="K1863" i="58"/>
  <c r="K1729" i="58"/>
  <c r="K1741" i="58"/>
  <c r="K1760" i="58"/>
  <c r="K1802" i="58"/>
  <c r="K1824" i="58"/>
  <c r="K1843" i="58"/>
  <c r="K1859" i="58"/>
  <c r="K1875" i="58"/>
  <c r="K1738" i="58"/>
  <c r="K1749" i="58"/>
  <c r="K1779" i="58"/>
  <c r="K1879" i="58"/>
  <c r="K1695" i="58"/>
  <c r="K1724" i="58"/>
  <c r="K1765" i="58"/>
  <c r="K1788" i="58"/>
  <c r="K1808" i="58"/>
  <c r="K1816" i="58"/>
  <c r="K1832" i="58"/>
  <c r="K1851" i="58"/>
  <c r="K1867" i="58"/>
  <c r="K1827" i="58"/>
  <c r="K1877" i="58"/>
  <c r="K1866" i="58"/>
  <c r="K1831" i="58"/>
  <c r="K1800" i="58"/>
  <c r="K1706" i="58"/>
  <c r="K1869" i="58"/>
  <c r="K1849" i="58"/>
  <c r="K1783" i="58"/>
  <c r="K1751" i="58"/>
  <c r="K1837" i="58"/>
  <c r="K1709" i="58"/>
  <c r="K1845" i="58"/>
  <c r="K1804" i="58"/>
  <c r="K1743" i="58"/>
  <c r="K1814" i="58"/>
  <c r="K1771" i="58"/>
  <c r="K1776" i="58"/>
  <c r="K1718" i="58"/>
  <c r="K1732" i="58"/>
  <c r="K1707" i="58"/>
  <c r="K1787" i="58"/>
  <c r="K1830" i="58"/>
  <c r="K1826" i="58"/>
  <c r="K1762" i="58"/>
  <c r="K1754" i="58"/>
  <c r="K1818" i="58"/>
  <c r="K1736" i="58"/>
  <c r="K1870" i="58"/>
  <c r="K1857" i="58"/>
  <c r="K1822" i="58"/>
  <c r="K1798" i="58"/>
  <c r="K1853" i="58"/>
  <c r="K1874" i="58"/>
  <c r="K1842" i="58"/>
  <c r="K1781" i="58"/>
  <c r="K1740" i="58"/>
  <c r="K1878" i="58"/>
  <c r="K1757" i="58"/>
  <c r="K1697" i="58"/>
  <c r="K1838" i="58"/>
  <c r="K1795" i="58"/>
  <c r="K1733" i="58"/>
  <c r="K1803" i="58"/>
  <c r="K1766" i="58"/>
  <c r="K1750" i="58"/>
  <c r="K1696" i="58"/>
  <c r="K1767" i="58"/>
  <c r="K1710" i="58"/>
  <c r="K1727" i="58"/>
  <c r="K1846" i="58"/>
  <c r="K1792" i="58"/>
  <c r="K1717" i="58"/>
  <c r="K1850" i="58"/>
  <c r="K1862" i="58"/>
  <c r="K1861" i="58"/>
  <c r="K1731" i="58"/>
  <c r="K1761" i="58"/>
  <c r="K1742" i="58"/>
  <c r="K1716" i="58"/>
  <c r="K1834" i="58"/>
  <c r="K1699" i="58"/>
  <c r="K1873" i="58"/>
  <c r="K1841" i="58"/>
  <c r="K1807" i="58"/>
  <c r="K1723" i="58"/>
  <c r="K1790" i="58"/>
  <c r="K1858" i="58"/>
  <c r="K1823" i="58"/>
  <c r="K1753" i="58"/>
  <c r="K1854" i="58"/>
  <c r="K1819" i="58"/>
  <c r="K1773" i="58"/>
  <c r="K1745" i="58"/>
  <c r="K1703" i="58"/>
  <c r="K1780" i="58"/>
  <c r="K1714" i="58"/>
  <c r="K1784" i="58"/>
  <c r="K1746" i="58"/>
  <c r="K1791" i="58"/>
  <c r="K1815" i="58"/>
  <c r="K1810" i="58"/>
  <c r="K1865" i="58"/>
  <c r="K1772" i="58"/>
  <c r="K1726" i="58"/>
  <c r="K1775" i="58"/>
  <c r="K1811" i="58"/>
  <c r="K1700" i="58"/>
  <c r="K1799" i="58"/>
  <c r="K1264" i="58"/>
  <c r="K1268" i="58"/>
  <c r="K1272" i="58"/>
  <c r="K1276" i="58"/>
  <c r="K1280" i="58"/>
  <c r="K1284" i="58"/>
  <c r="K1288" i="58"/>
  <c r="K1292" i="58"/>
  <c r="K1296" i="58"/>
  <c r="K1300" i="58"/>
  <c r="K1304" i="58"/>
  <c r="K1308" i="58"/>
  <c r="K1311" i="58"/>
  <c r="K1251" i="58"/>
  <c r="K1255" i="58"/>
  <c r="K1259" i="58"/>
  <c r="K1256" i="58"/>
  <c r="K1261" i="58"/>
  <c r="K1269" i="58"/>
  <c r="K1277" i="58"/>
  <c r="K1285" i="58"/>
  <c r="K1293" i="58"/>
  <c r="K1301" i="58"/>
  <c r="K1309" i="58"/>
  <c r="K1252" i="58"/>
  <c r="K1271" i="58"/>
  <c r="K1303" i="58"/>
  <c r="K1279" i="58"/>
  <c r="K1263" i="58"/>
  <c r="K1295" i="58"/>
  <c r="K1287" i="58"/>
  <c r="K1248" i="58"/>
  <c r="K1265" i="58"/>
  <c r="K1275" i="58"/>
  <c r="K1289" i="58"/>
  <c r="K1283" i="58"/>
  <c r="K1250" i="58"/>
  <c r="K1290" i="58"/>
  <c r="K1253" i="58"/>
  <c r="K1254" i="58"/>
  <c r="K1249" i="58"/>
  <c r="K1307" i="58"/>
  <c r="K1273" i="58"/>
  <c r="K1278" i="58"/>
  <c r="K1281" i="58"/>
  <c r="K1258" i="58"/>
  <c r="K1282" i="58"/>
  <c r="K1299" i="58"/>
  <c r="K1262" i="58"/>
  <c r="K1310" i="58"/>
  <c r="K1297" i="58"/>
  <c r="K1267" i="58"/>
  <c r="K1286" i="58"/>
  <c r="K1294" i="58"/>
  <c r="K1291" i="58"/>
  <c r="K1302" i="58"/>
  <c r="K1257" i="58"/>
  <c r="K1298" i="58"/>
  <c r="K1266" i="58"/>
  <c r="K1305" i="58"/>
  <c r="K1270" i="58"/>
  <c r="K1274" i="58"/>
  <c r="K1306" i="58"/>
  <c r="K558" i="58"/>
  <c r="K2314" i="58"/>
  <c r="K2164" i="58"/>
  <c r="K1708" i="58"/>
  <c r="K1612" i="58"/>
  <c r="I1576" i="58"/>
  <c r="I2365" i="58" s="1"/>
  <c r="K2365" i="58" s="1"/>
  <c r="K1388" i="58"/>
  <c r="K1395" i="58"/>
  <c r="K1399" i="58"/>
  <c r="K1403" i="58"/>
  <c r="K1387" i="58"/>
  <c r="K1394" i="58"/>
  <c r="K1405" i="58"/>
  <c r="K1402" i="58"/>
  <c r="K1398" i="58"/>
  <c r="K1397" i="58"/>
  <c r="K1390" i="58"/>
  <c r="K1392" i="58"/>
  <c r="K1400" i="58"/>
  <c r="K1385" i="58"/>
  <c r="K1386" i="58"/>
  <c r="K1393" i="58"/>
  <c r="K1396" i="58"/>
  <c r="K1389" i="58"/>
  <c r="K1404" i="58"/>
  <c r="K1401" i="58"/>
  <c r="K1620" i="58"/>
  <c r="K1329" i="58"/>
  <c r="K449" i="58"/>
  <c r="K629" i="58"/>
  <c r="K636" i="58"/>
  <c r="K640" i="58"/>
  <c r="K644" i="58"/>
  <c r="K648" i="58"/>
  <c r="K652" i="58"/>
  <c r="K656" i="58"/>
  <c r="K660" i="58"/>
  <c r="K667" i="58"/>
  <c r="K671" i="58"/>
  <c r="K676" i="58"/>
  <c r="K680" i="58"/>
  <c r="K685" i="58"/>
  <c r="K689" i="58"/>
  <c r="K693" i="58"/>
  <c r="K694" i="58"/>
  <c r="K641" i="58"/>
  <c r="K649" i="58"/>
  <c r="K657" i="58"/>
  <c r="K666" i="58"/>
  <c r="K679" i="58"/>
  <c r="K682" i="58"/>
  <c r="K690" i="58"/>
  <c r="K643" i="58"/>
  <c r="K684" i="58"/>
  <c r="K651" i="58"/>
  <c r="K681" i="58"/>
  <c r="K692" i="58"/>
  <c r="K628" i="58"/>
  <c r="K635" i="58"/>
  <c r="K659" i="58"/>
  <c r="K668" i="58"/>
  <c r="K675" i="58"/>
  <c r="K627" i="58"/>
  <c r="K691" i="58"/>
  <c r="K655" i="58"/>
  <c r="K669" i="58"/>
  <c r="K678" i="58"/>
  <c r="K646" i="58"/>
  <c r="K672" i="58"/>
  <c r="K661" i="58"/>
  <c r="K653" i="58"/>
  <c r="K638" i="58"/>
  <c r="K632" i="58"/>
  <c r="K688" i="58"/>
  <c r="K647" i="58"/>
  <c r="K683" i="58"/>
  <c r="K637" i="58"/>
  <c r="K658" i="58"/>
  <c r="K677" i="58"/>
  <c r="K634" i="58"/>
  <c r="K664" i="58"/>
  <c r="K674" i="58"/>
  <c r="K654" i="58"/>
  <c r="K673" i="58"/>
  <c r="K687" i="58"/>
  <c r="K645" i="58"/>
  <c r="K642" i="58"/>
  <c r="K631" i="58"/>
  <c r="K686" i="58"/>
  <c r="K665" i="58"/>
  <c r="K662" i="58"/>
  <c r="K639" i="58"/>
  <c r="K670" i="58"/>
  <c r="K630" i="58"/>
  <c r="K650" i="58"/>
  <c r="K2209" i="58"/>
  <c r="K2213" i="58"/>
  <c r="K2217" i="58"/>
  <c r="K2248" i="58"/>
  <c r="K2256" i="58"/>
  <c r="K2302" i="58"/>
  <c r="K2193" i="58"/>
  <c r="K2197" i="58"/>
  <c r="K2201" i="58"/>
  <c r="K2205" i="58"/>
  <c r="K2225" i="58"/>
  <c r="K2229" i="58"/>
  <c r="K2233" i="58"/>
  <c r="K2244" i="58"/>
  <c r="K2264" i="58"/>
  <c r="K2272" i="58"/>
  <c r="K2276" i="58"/>
  <c r="K2280" i="58"/>
  <c r="K2284" i="58"/>
  <c r="K2288" i="58"/>
  <c r="K2295" i="58"/>
  <c r="K2310" i="58"/>
  <c r="K2221" i="58"/>
  <c r="K2237" i="58"/>
  <c r="K2252" i="58"/>
  <c r="K2260" i="58"/>
  <c r="K2268" i="58"/>
  <c r="K2306" i="58"/>
  <c r="K2240" i="58"/>
  <c r="K2255" i="58"/>
  <c r="K2271" i="58"/>
  <c r="K2294" i="58"/>
  <c r="K2196" i="58"/>
  <c r="K2212" i="58"/>
  <c r="K2243" i="58"/>
  <c r="K2275" i="58"/>
  <c r="K2208" i="58"/>
  <c r="K2309" i="58"/>
  <c r="K2259" i="58"/>
  <c r="K2200" i="58"/>
  <c r="K2216" i="58"/>
  <c r="K2232" i="58"/>
  <c r="K2247" i="58"/>
  <c r="K2263" i="58"/>
  <c r="K2279" i="58"/>
  <c r="K2301" i="58"/>
  <c r="K2204" i="58"/>
  <c r="K2220" i="58"/>
  <c r="K2236" i="58"/>
  <c r="K2251" i="58"/>
  <c r="K2267" i="58"/>
  <c r="K2283" i="58"/>
  <c r="K2305" i="58"/>
  <c r="K2192" i="58"/>
  <c r="K2224" i="58"/>
  <c r="K2287" i="58"/>
  <c r="K2228" i="58"/>
  <c r="K2298" i="58"/>
  <c r="K2265" i="58"/>
  <c r="K2289" i="58"/>
  <c r="K2257" i="58"/>
  <c r="K2219" i="58"/>
  <c r="K2307" i="58"/>
  <c r="K2285" i="58"/>
  <c r="K2253" i="58"/>
  <c r="K2222" i="58"/>
  <c r="K2281" i="58"/>
  <c r="K2254" i="58"/>
  <c r="K2274" i="58"/>
  <c r="K2218" i="58"/>
  <c r="K2308" i="58"/>
  <c r="K2223" i="58"/>
  <c r="K2191" i="58"/>
  <c r="K2241" i="58"/>
  <c r="K2235" i="58"/>
  <c r="K2269" i="58"/>
  <c r="K2242" i="58"/>
  <c r="K2282" i="58"/>
  <c r="K2250" i="58"/>
  <c r="K2210" i="58"/>
  <c r="K2300" i="58"/>
  <c r="K2278" i="58"/>
  <c r="K2246" i="58"/>
  <c r="K2215" i="58"/>
  <c r="K2190" i="58"/>
  <c r="K2211" i="58"/>
  <c r="K2230" i="58"/>
  <c r="K2258" i="58"/>
  <c r="K2261" i="58"/>
  <c r="K2214" i="58"/>
  <c r="K2296" i="58"/>
  <c r="K2227" i="58"/>
  <c r="K2203" i="58"/>
  <c r="K2292" i="58"/>
  <c r="K2206" i="58"/>
  <c r="K2202" i="58"/>
  <c r="K2286" i="58"/>
  <c r="K2245" i="58"/>
  <c r="K2297" i="58"/>
  <c r="K2277" i="58"/>
  <c r="K2304" i="58"/>
  <c r="K2266" i="58"/>
  <c r="K2226" i="58"/>
  <c r="K2194" i="58"/>
  <c r="K2262" i="58"/>
  <c r="K2231" i="58"/>
  <c r="K2199" i="58"/>
  <c r="K2195" i="58"/>
  <c r="K2270" i="58"/>
  <c r="K2290" i="58"/>
  <c r="K2234" i="58"/>
  <c r="K2239" i="58"/>
  <c r="K2198" i="58"/>
  <c r="K2303" i="58"/>
  <c r="K2293" i="58"/>
  <c r="K2273" i="58"/>
  <c r="K2238" i="58"/>
  <c r="K2249" i="58"/>
  <c r="K2207" i="58"/>
  <c r="K801" i="58"/>
  <c r="K786" i="58"/>
  <c r="K789" i="58"/>
  <c r="K793" i="58"/>
  <c r="K797" i="58"/>
  <c r="K788" i="58"/>
  <c r="K792" i="58"/>
  <c r="K800" i="58"/>
  <c r="K796" i="58"/>
  <c r="K799" i="58"/>
  <c r="K791" i="58"/>
  <c r="K794" i="58"/>
  <c r="K790" i="58"/>
  <c r="K787" i="58"/>
  <c r="K795" i="58"/>
  <c r="K798" i="58"/>
  <c r="K2129" i="58"/>
  <c r="K2059" i="58"/>
  <c r="K2063" i="58"/>
  <c r="K2067" i="58"/>
  <c r="K2074" i="58"/>
  <c r="K2078" i="58"/>
  <c r="K2082" i="58"/>
  <c r="K2086" i="58"/>
  <c r="K2090" i="58"/>
  <c r="K2094" i="58"/>
  <c r="K2098" i="58"/>
  <c r="K2101" i="58"/>
  <c r="K2105" i="58"/>
  <c r="K2109" i="58"/>
  <c r="K2113" i="58"/>
  <c r="K2117" i="58"/>
  <c r="K2121" i="58"/>
  <c r="K2125" i="58"/>
  <c r="K2070" i="58"/>
  <c r="K2085" i="58"/>
  <c r="K2062" i="58"/>
  <c r="K2124" i="58"/>
  <c r="K2073" i="58"/>
  <c r="K2089" i="58"/>
  <c r="K2104" i="58"/>
  <c r="K2120" i="58"/>
  <c r="K2108" i="58"/>
  <c r="K2066" i="58"/>
  <c r="K2081" i="58"/>
  <c r="K2097" i="58"/>
  <c r="K2112" i="58"/>
  <c r="K2128" i="58"/>
  <c r="K2100" i="58"/>
  <c r="K2116" i="58"/>
  <c r="K2077" i="58"/>
  <c r="K2093" i="58"/>
  <c r="K2102" i="58"/>
  <c r="K2080" i="58"/>
  <c r="K2092" i="58"/>
  <c r="K2095" i="58"/>
  <c r="K2064" i="58"/>
  <c r="K2106" i="58"/>
  <c r="K2096" i="58"/>
  <c r="K2114" i="58"/>
  <c r="K2060" i="58"/>
  <c r="K2123" i="58"/>
  <c r="K2091" i="58"/>
  <c r="K2069" i="58"/>
  <c r="K2127" i="58"/>
  <c r="K2065" i="58"/>
  <c r="K2076" i="58"/>
  <c r="K2126" i="58"/>
  <c r="K2088" i="58"/>
  <c r="K2119" i="58"/>
  <c r="K2083" i="58"/>
  <c r="K2068" i="58"/>
  <c r="K2079" i="58"/>
  <c r="K2075" i="58"/>
  <c r="K2111" i="58"/>
  <c r="K2087" i="58"/>
  <c r="K2107" i="58"/>
  <c r="K2061" i="58"/>
  <c r="K2103" i="58"/>
  <c r="K2072" i="58"/>
  <c r="K2115" i="58"/>
  <c r="K2084" i="58"/>
  <c r="K2118" i="58"/>
  <c r="K2110" i="58"/>
  <c r="K2122" i="58"/>
  <c r="K252" i="58"/>
  <c r="K255" i="58"/>
  <c r="K248" i="58"/>
  <c r="K251" i="58"/>
  <c r="K261" i="58"/>
  <c r="K265" i="58"/>
  <c r="K269" i="58"/>
  <c r="K273" i="58"/>
  <c r="K277" i="58"/>
  <c r="K284" i="58"/>
  <c r="K288" i="58"/>
  <c r="K292" i="58"/>
  <c r="K296" i="58"/>
  <c r="K300" i="58"/>
  <c r="K304" i="58"/>
  <c r="K308" i="58"/>
  <c r="K311" i="58"/>
  <c r="K315" i="58"/>
  <c r="K319" i="58"/>
  <c r="K323" i="58"/>
  <c r="K327" i="58"/>
  <c r="K331" i="58"/>
  <c r="K335" i="58"/>
  <c r="K340" i="58"/>
  <c r="K344" i="58"/>
  <c r="K348" i="58"/>
  <c r="K352" i="58"/>
  <c r="K356" i="58"/>
  <c r="K360" i="58"/>
  <c r="K366" i="58"/>
  <c r="K370" i="58"/>
  <c r="K374" i="58"/>
  <c r="K378" i="58"/>
  <c r="K385" i="58"/>
  <c r="K389" i="58"/>
  <c r="K392" i="58"/>
  <c r="K396" i="58"/>
  <c r="K400" i="58"/>
  <c r="K404" i="58"/>
  <c r="K408" i="58"/>
  <c r="K412" i="58"/>
  <c r="K415" i="58"/>
  <c r="K419" i="58"/>
  <c r="K426" i="58"/>
  <c r="K430" i="58"/>
  <c r="K434" i="58"/>
  <c r="K438" i="58"/>
  <c r="K442" i="58"/>
  <c r="K446" i="58"/>
  <c r="K453" i="58"/>
  <c r="K247" i="58"/>
  <c r="K272" i="58"/>
  <c r="K287" i="58"/>
  <c r="K303" i="58"/>
  <c r="K322" i="58"/>
  <c r="K347" i="58"/>
  <c r="K373" i="58"/>
  <c r="K461" i="58"/>
  <c r="K484" i="58"/>
  <c r="K500" i="58"/>
  <c r="K260" i="58"/>
  <c r="K276" i="58"/>
  <c r="K291" i="58"/>
  <c r="K307" i="58"/>
  <c r="K310" i="58"/>
  <c r="K326" i="58"/>
  <c r="K351" i="58"/>
  <c r="K377" i="58"/>
  <c r="K457" i="58"/>
  <c r="K473" i="58"/>
  <c r="K480" i="58"/>
  <c r="K496" i="58"/>
  <c r="K509" i="58"/>
  <c r="K582" i="58"/>
  <c r="K268" i="58"/>
  <c r="K283" i="58"/>
  <c r="K299" i="58"/>
  <c r="K318" i="58"/>
  <c r="K334" i="58"/>
  <c r="K343" i="58"/>
  <c r="K359" i="58"/>
  <c r="K369" i="58"/>
  <c r="K384" i="58"/>
  <c r="K393" i="58"/>
  <c r="K401" i="58"/>
  <c r="K409" i="58"/>
  <c r="K416" i="58"/>
  <c r="K425" i="58"/>
  <c r="K433" i="58"/>
  <c r="K441" i="58"/>
  <c r="K450" i="58"/>
  <c r="K462" i="58"/>
  <c r="K465" i="58"/>
  <c r="K468" i="58"/>
  <c r="K485" i="58"/>
  <c r="K488" i="58"/>
  <c r="K491" i="58"/>
  <c r="K501" i="58"/>
  <c r="K504" i="58"/>
  <c r="K514" i="58"/>
  <c r="K518" i="58"/>
  <c r="K522" i="58"/>
  <c r="K526" i="58"/>
  <c r="K531" i="58"/>
  <c r="K535" i="58"/>
  <c r="K539" i="58"/>
  <c r="K543" i="58"/>
  <c r="K547" i="58"/>
  <c r="K554" i="58"/>
  <c r="K561" i="58"/>
  <c r="K565" i="58"/>
  <c r="K569" i="58"/>
  <c r="K573" i="58"/>
  <c r="K577" i="58"/>
  <c r="K581" i="58"/>
  <c r="K295" i="58"/>
  <c r="K314" i="58"/>
  <c r="K339" i="58"/>
  <c r="K365" i="58"/>
  <c r="K431" i="58"/>
  <c r="K466" i="58"/>
  <c r="K495" i="58"/>
  <c r="K523" i="58"/>
  <c r="K536" i="58"/>
  <c r="K551" i="58"/>
  <c r="K570" i="58"/>
  <c r="K330" i="58"/>
  <c r="K355" i="58"/>
  <c r="K381" i="58"/>
  <c r="K391" i="58"/>
  <c r="K439" i="58"/>
  <c r="K479" i="58"/>
  <c r="K492" i="58"/>
  <c r="K527" i="58"/>
  <c r="K540" i="58"/>
  <c r="K555" i="58"/>
  <c r="K574" i="58"/>
  <c r="K280" i="58"/>
  <c r="K407" i="58"/>
  <c r="K423" i="58"/>
  <c r="K456" i="58"/>
  <c r="K469" i="58"/>
  <c r="K508" i="58"/>
  <c r="K519" i="58"/>
  <c r="K532" i="58"/>
  <c r="K548" i="58"/>
  <c r="K566" i="58"/>
  <c r="K447" i="58"/>
  <c r="K489" i="58"/>
  <c r="K515" i="58"/>
  <c r="K264" i="58"/>
  <c r="K399" i="58"/>
  <c r="K472" i="58"/>
  <c r="K562" i="58"/>
  <c r="K544" i="58"/>
  <c r="K578" i="58"/>
  <c r="K541" i="58"/>
  <c r="K460" i="58"/>
  <c r="K263" i="58"/>
  <c r="K512" i="58"/>
  <c r="K382" i="58"/>
  <c r="K563" i="58"/>
  <c r="K545" i="58"/>
  <c r="K507" i="58"/>
  <c r="K406" i="58"/>
  <c r="K301" i="58"/>
  <c r="K552" i="58"/>
  <c r="K524" i="58"/>
  <c r="K452" i="58"/>
  <c r="K354" i="58"/>
  <c r="K567" i="58"/>
  <c r="K549" i="58"/>
  <c r="K487" i="58"/>
  <c r="K445" i="58"/>
  <c r="K395" i="58"/>
  <c r="K364" i="58"/>
  <c r="K336" i="58"/>
  <c r="K490" i="58"/>
  <c r="K432" i="58"/>
  <c r="K368" i="58"/>
  <c r="K349" i="58"/>
  <c r="K317" i="58"/>
  <c r="K289" i="58"/>
  <c r="K258" i="58"/>
  <c r="K482" i="58"/>
  <c r="K444" i="58"/>
  <c r="K376" i="58"/>
  <c r="K341" i="58"/>
  <c r="K316" i="58"/>
  <c r="K275" i="58"/>
  <c r="K502" i="58"/>
  <c r="K394" i="58"/>
  <c r="K363" i="58"/>
  <c r="K328" i="58"/>
  <c r="K293" i="58"/>
  <c r="K262" i="58"/>
  <c r="K285" i="58"/>
  <c r="K528" i="58"/>
  <c r="K568" i="58"/>
  <c r="K371" i="58"/>
  <c r="K580" i="58"/>
  <c r="K476" i="58"/>
  <c r="K542" i="58"/>
  <c r="K483" i="58"/>
  <c r="K443" i="58"/>
  <c r="K306" i="58"/>
  <c r="K417" i="58"/>
  <c r="K353" i="58"/>
  <c r="K286" i="58"/>
  <c r="K250" i="58"/>
  <c r="K575" i="58"/>
  <c r="K429" i="58"/>
  <c r="K521" i="58"/>
  <c r="K458" i="58"/>
  <c r="K510" i="58"/>
  <c r="K538" i="58"/>
  <c r="K503" i="58"/>
  <c r="K279" i="58"/>
  <c r="K405" i="58"/>
  <c r="K313" i="58"/>
  <c r="K321" i="58"/>
  <c r="K556" i="58"/>
  <c r="K464" i="58"/>
  <c r="K418" i="58"/>
  <c r="K398" i="58"/>
  <c r="K534" i="58"/>
  <c r="K411" i="58"/>
  <c r="K572" i="58"/>
  <c r="K553" i="58"/>
  <c r="K516" i="58"/>
  <c r="K497" i="58"/>
  <c r="K435" i="58"/>
  <c r="K320" i="58"/>
  <c r="K564" i="58"/>
  <c r="K530" i="58"/>
  <c r="K478" i="58"/>
  <c r="K454" i="58"/>
  <c r="K380" i="58"/>
  <c r="K576" i="58"/>
  <c r="K557" i="58"/>
  <c r="K494" i="58"/>
  <c r="K470" i="58"/>
  <c r="K397" i="58"/>
  <c r="K386" i="58"/>
  <c r="K338" i="58"/>
  <c r="K440" i="58"/>
  <c r="K375" i="58"/>
  <c r="K358" i="58"/>
  <c r="K324" i="58"/>
  <c r="K298" i="58"/>
  <c r="K267" i="58"/>
  <c r="K249" i="58"/>
  <c r="K498" i="58"/>
  <c r="K387" i="58"/>
  <c r="K350" i="58"/>
  <c r="K325" i="58"/>
  <c r="K290" i="58"/>
  <c r="K246" i="58"/>
  <c r="K451" i="58"/>
  <c r="K402" i="58"/>
  <c r="K372" i="58"/>
  <c r="K302" i="58"/>
  <c r="K271" i="58"/>
  <c r="K455" i="58"/>
  <c r="K546" i="58"/>
  <c r="K517" i="58"/>
  <c r="K329" i="58"/>
  <c r="K520" i="58"/>
  <c r="K467" i="58"/>
  <c r="K424" i="58"/>
  <c r="K342" i="58"/>
  <c r="K282" i="58"/>
  <c r="K475" i="58"/>
  <c r="K436" i="58"/>
  <c r="K367" i="58"/>
  <c r="K337" i="58"/>
  <c r="K266" i="58"/>
  <c r="K486" i="58"/>
  <c r="K420" i="58"/>
  <c r="K559" i="58"/>
  <c r="K437" i="58"/>
  <c r="K537" i="58"/>
  <c r="K270" i="58"/>
  <c r="K560" i="58"/>
  <c r="K513" i="58"/>
  <c r="K388" i="58"/>
  <c r="K448" i="58"/>
  <c r="K333" i="58"/>
  <c r="K253" i="58"/>
  <c r="K428" i="58"/>
  <c r="K259" i="58"/>
  <c r="K346" i="58"/>
  <c r="K481" i="58"/>
  <c r="K357" i="58"/>
  <c r="K256" i="58"/>
  <c r="K474" i="58"/>
  <c r="K274" i="58"/>
  <c r="K332" i="58"/>
  <c r="K550" i="58"/>
  <c r="K506" i="58"/>
  <c r="K305" i="58"/>
  <c r="K410" i="58"/>
  <c r="K413" i="58"/>
  <c r="K525" i="58"/>
  <c r="K421" i="58"/>
  <c r="K459" i="58"/>
  <c r="K312" i="58"/>
  <c r="K427" i="58"/>
  <c r="K493" i="58"/>
  <c r="K579" i="58"/>
  <c r="K499" i="58"/>
  <c r="K571" i="58"/>
  <c r="K403" i="58"/>
  <c r="K294" i="58"/>
  <c r="K297" i="58"/>
  <c r="K463" i="58"/>
  <c r="K379" i="58"/>
  <c r="K278" i="58"/>
  <c r="K257" i="58"/>
  <c r="K345" i="58"/>
  <c r="K533" i="58"/>
  <c r="K383" i="58"/>
  <c r="K511" i="58"/>
  <c r="K471" i="58"/>
  <c r="K1483" i="58"/>
  <c r="K1487" i="58"/>
  <c r="K1490" i="58"/>
  <c r="K1494" i="58"/>
  <c r="K1498" i="58"/>
  <c r="K1502" i="58"/>
  <c r="K1506" i="58"/>
  <c r="K1510" i="58"/>
  <c r="K1514" i="58"/>
  <c r="K1517" i="58"/>
  <c r="K1493" i="58"/>
  <c r="K1509" i="58"/>
  <c r="K1482" i="58"/>
  <c r="K1497" i="58"/>
  <c r="K1513" i="58"/>
  <c r="K1489" i="58"/>
  <c r="K1505" i="58"/>
  <c r="K1501" i="58"/>
  <c r="K1486" i="58"/>
  <c r="K1511" i="58"/>
  <c r="K1496" i="58"/>
  <c r="K1508" i="58"/>
  <c r="K1491" i="58"/>
  <c r="K1495" i="58"/>
  <c r="K1512" i="58"/>
  <c r="K1516" i="58"/>
  <c r="K1504" i="58"/>
  <c r="K1499" i="58"/>
  <c r="K1500" i="58"/>
  <c r="K1485" i="58"/>
  <c r="K1507" i="58"/>
  <c r="K1503" i="58"/>
  <c r="K1515" i="58"/>
  <c r="K1484" i="58"/>
  <c r="K1492" i="58"/>
  <c r="K505" i="58"/>
  <c r="K2000" i="58"/>
  <c r="K785" i="58"/>
  <c r="K1522" i="58"/>
  <c r="I1528" i="58"/>
  <c r="K1481" i="58"/>
  <c r="K874" i="58"/>
  <c r="K309" i="58"/>
  <c r="K893" i="58"/>
  <c r="K1581" i="58"/>
  <c r="K1591" i="58"/>
  <c r="K1594" i="58"/>
  <c r="K1597" i="58"/>
  <c r="K1601" i="58"/>
  <c r="K1604" i="58"/>
  <c r="K1611" i="58"/>
  <c r="K1614" i="58"/>
  <c r="K1621" i="58"/>
  <c r="K1624" i="58"/>
  <c r="K1627" i="58"/>
  <c r="K1630" i="58"/>
  <c r="K1587" i="58"/>
  <c r="K1603" i="58"/>
  <c r="K1610" i="58"/>
  <c r="K1590" i="58"/>
  <c r="K1613" i="58"/>
  <c r="K1631" i="58"/>
  <c r="K1634" i="58"/>
  <c r="K1600" i="58"/>
  <c r="K1633" i="58"/>
  <c r="K1593" i="58"/>
  <c r="K1626" i="58"/>
  <c r="K1616" i="58"/>
  <c r="K1602" i="58"/>
  <c r="K1605" i="58"/>
  <c r="K1582" i="58"/>
  <c r="K1622" i="58"/>
  <c r="K1628" i="58"/>
  <c r="K1619" i="58"/>
  <c r="K1586" i="58"/>
  <c r="K1608" i="58"/>
  <c r="K1632" i="58"/>
  <c r="K1585" i="58"/>
  <c r="K1599" i="58"/>
  <c r="K1598" i="58"/>
  <c r="K1588" i="58"/>
  <c r="K1625" i="58"/>
  <c r="K1629" i="58"/>
  <c r="K1606" i="58"/>
  <c r="K1589" i="58"/>
  <c r="K1609" i="58"/>
  <c r="K1618" i="58"/>
  <c r="K1595" i="58"/>
  <c r="K1583" i="58"/>
  <c r="K1615" i="58"/>
  <c r="K195" i="58"/>
  <c r="I242" i="58"/>
  <c r="K362" i="58"/>
  <c r="K1024" i="58"/>
  <c r="K860" i="58"/>
  <c r="K223" i="58"/>
  <c r="K2361" i="58"/>
  <c r="K2357" i="58"/>
  <c r="K2363" i="58"/>
  <c r="K2356" i="58"/>
  <c r="K2360" i="58"/>
  <c r="K2358" i="58"/>
  <c r="K2355" i="58"/>
  <c r="K2362" i="58"/>
  <c r="K2359" i="58"/>
  <c r="K2058" i="58"/>
  <c r="K1623" i="58"/>
  <c r="K989" i="58"/>
  <c r="K2009" i="58"/>
  <c r="K529" i="58"/>
  <c r="G2365" i="58"/>
  <c r="J2365" i="58" s="1"/>
  <c r="K2291" i="58"/>
  <c r="K825" i="58"/>
  <c r="K829" i="58"/>
  <c r="K832" i="58"/>
  <c r="K836" i="58"/>
  <c r="K840" i="58"/>
  <c r="K844" i="58"/>
  <c r="K848" i="58"/>
  <c r="K851" i="58"/>
  <c r="K828" i="58"/>
  <c r="K847" i="58"/>
  <c r="K835" i="58"/>
  <c r="K843" i="58"/>
  <c r="K839" i="58"/>
  <c r="K838" i="58"/>
  <c r="K845" i="58"/>
  <c r="K833" i="58"/>
  <c r="K827" i="58"/>
  <c r="K850" i="58"/>
  <c r="K849" i="58"/>
  <c r="K830" i="58"/>
  <c r="K834" i="58"/>
  <c r="K837" i="58"/>
  <c r="K846" i="58"/>
  <c r="K826" i="58"/>
  <c r="K842" i="58"/>
  <c r="K841" i="58"/>
  <c r="K700" i="58"/>
  <c r="K704" i="58"/>
  <c r="K707" i="58"/>
  <c r="K711" i="58"/>
  <c r="K715" i="58"/>
  <c r="K719" i="58"/>
  <c r="K723" i="58"/>
  <c r="K727" i="58"/>
  <c r="K731" i="58"/>
  <c r="K738" i="58"/>
  <c r="K742" i="58"/>
  <c r="K746" i="58"/>
  <c r="K750" i="58"/>
  <c r="K754" i="58"/>
  <c r="K755" i="58"/>
  <c r="K703" i="58"/>
  <c r="K710" i="58"/>
  <c r="K718" i="58"/>
  <c r="K726" i="58"/>
  <c r="K735" i="58"/>
  <c r="K743" i="58"/>
  <c r="K751" i="58"/>
  <c r="K705" i="58"/>
  <c r="K737" i="58"/>
  <c r="K712" i="58"/>
  <c r="K745" i="58"/>
  <c r="K728" i="58"/>
  <c r="K720" i="58"/>
  <c r="K753" i="58"/>
  <c r="K699" i="58"/>
  <c r="K732" i="58"/>
  <c r="K708" i="58"/>
  <c r="K747" i="58"/>
  <c r="K706" i="58"/>
  <c r="K729" i="58"/>
  <c r="K717" i="58"/>
  <c r="K744" i="58"/>
  <c r="K736" i="58"/>
  <c r="K748" i="58"/>
  <c r="K730" i="58"/>
  <c r="K721" i="58"/>
  <c r="K701" i="58"/>
  <c r="K739" i="58"/>
  <c r="K722" i="58"/>
  <c r="K749" i="58"/>
  <c r="K714" i="58"/>
  <c r="K725" i="58"/>
  <c r="K709" i="58"/>
  <c r="K741" i="58"/>
  <c r="K716" i="58"/>
  <c r="K733" i="58"/>
  <c r="K752" i="58"/>
  <c r="K724" i="58"/>
  <c r="K740" i="58"/>
  <c r="K702" i="58"/>
  <c r="K713" i="58"/>
  <c r="K1446" i="58"/>
  <c r="I1477" i="58"/>
  <c r="K1477" i="58" s="1"/>
  <c r="K902" i="58"/>
  <c r="K808" i="58"/>
  <c r="K1320" i="58"/>
  <c r="K1324" i="58"/>
  <c r="K1328" i="58"/>
  <c r="K1321" i="58"/>
  <c r="K1330" i="58"/>
  <c r="K1333" i="58"/>
  <c r="K1337" i="58"/>
  <c r="K1341" i="58"/>
  <c r="K1345" i="58"/>
  <c r="K1349" i="58"/>
  <c r="K1353" i="58"/>
  <c r="K1357" i="58"/>
  <c r="K1361" i="58"/>
  <c r="K1365" i="58"/>
  <c r="K1369" i="58"/>
  <c r="K1373" i="58"/>
  <c r="K1377" i="58"/>
  <c r="K1380" i="58"/>
  <c r="K1340" i="58"/>
  <c r="K1356" i="58"/>
  <c r="K1372" i="58"/>
  <c r="K1323" i="58"/>
  <c r="K1344" i="58"/>
  <c r="K1360" i="58"/>
  <c r="K1376" i="58"/>
  <c r="K1336" i="58"/>
  <c r="K1352" i="58"/>
  <c r="K1368" i="58"/>
  <c r="K1332" i="58"/>
  <c r="K1348" i="58"/>
  <c r="K1364" i="58"/>
  <c r="K1354" i="58"/>
  <c r="K1374" i="58"/>
  <c r="K1342" i="58"/>
  <c r="K1366" i="58"/>
  <c r="K1334" i="58"/>
  <c r="K1371" i="58"/>
  <c r="K1339" i="58"/>
  <c r="K1326" i="58"/>
  <c r="K1319" i="58"/>
  <c r="K1325" i="58"/>
  <c r="K1370" i="58"/>
  <c r="K1363" i="58"/>
  <c r="K1331" i="58"/>
  <c r="K1379" i="58"/>
  <c r="K1367" i="58"/>
  <c r="K1335" i="58"/>
  <c r="K1359" i="58"/>
  <c r="K1322" i="58"/>
  <c r="K1362" i="58"/>
  <c r="K1327" i="58"/>
  <c r="K1318" i="58"/>
  <c r="K1338" i="58"/>
  <c r="K1358" i="58"/>
  <c r="K1351" i="58"/>
  <c r="K1317" i="58"/>
  <c r="K1375" i="58"/>
  <c r="K1343" i="58"/>
  <c r="K1378" i="58"/>
  <c r="K1346" i="58"/>
  <c r="K1347" i="58"/>
  <c r="K1350" i="58"/>
  <c r="K1355" i="58"/>
  <c r="K361" i="58"/>
  <c r="D372" i="8"/>
  <c r="E493" i="7" s="1"/>
  <c r="D371" i="8"/>
  <c r="E492" i="7" s="1"/>
  <c r="G370" i="1"/>
  <c r="D359" i="8" s="1"/>
  <c r="E476" i="7" s="1"/>
  <c r="K1544" i="58" l="1"/>
  <c r="K191" i="58"/>
  <c r="K190" i="58"/>
  <c r="K194" i="58"/>
  <c r="K196" i="58"/>
  <c r="K201" i="58"/>
  <c r="K205" i="58"/>
  <c r="K209" i="58"/>
  <c r="K217" i="58"/>
  <c r="K221" i="58"/>
  <c r="K224" i="58"/>
  <c r="K228" i="58"/>
  <c r="K232" i="58"/>
  <c r="K237" i="58"/>
  <c r="K242" i="58"/>
  <c r="K197" i="58"/>
  <c r="K206" i="58"/>
  <c r="K229" i="58"/>
  <c r="K238" i="58"/>
  <c r="K241" i="58"/>
  <c r="K210" i="58"/>
  <c r="K214" i="58"/>
  <c r="K233" i="58"/>
  <c r="K240" i="58"/>
  <c r="K202" i="58"/>
  <c r="K212" i="58"/>
  <c r="K222" i="58"/>
  <c r="K225" i="58"/>
  <c r="K218" i="58"/>
  <c r="K215" i="58"/>
  <c r="K227" i="58"/>
  <c r="K219" i="58"/>
  <c r="K193" i="58"/>
  <c r="K220" i="58"/>
  <c r="K226" i="58"/>
  <c r="K211" i="58"/>
  <c r="K188" i="58"/>
  <c r="K236" i="58"/>
  <c r="K231" i="58"/>
  <c r="K199" i="58"/>
  <c r="K230" i="58"/>
  <c r="K192" i="58"/>
  <c r="K235" i="58"/>
  <c r="K203" i="58"/>
  <c r="K189" i="58"/>
  <c r="K204" i="58"/>
  <c r="K207" i="58"/>
  <c r="K216" i="58"/>
  <c r="K239" i="58"/>
  <c r="K208" i="58"/>
  <c r="K200" i="58"/>
  <c r="K213" i="58"/>
  <c r="K198" i="58"/>
  <c r="K234" i="58"/>
  <c r="K1528" i="58"/>
  <c r="K1527" i="58"/>
  <c r="K1526" i="58"/>
  <c r="K1523" i="58"/>
  <c r="K1524" i="58"/>
  <c r="K1525" i="58"/>
  <c r="K1548" i="58"/>
  <c r="K1552" i="58"/>
  <c r="K1558" i="58"/>
  <c r="K1567" i="58"/>
  <c r="K1570" i="58"/>
  <c r="K1547" i="58"/>
  <c r="K1569" i="58"/>
  <c r="K1551" i="58"/>
  <c r="K1557" i="58"/>
  <c r="K1566" i="58"/>
  <c r="K1576" i="58"/>
  <c r="K1559" i="58"/>
  <c r="K1549" i="58"/>
  <c r="K1539" i="58"/>
  <c r="K1562" i="58"/>
  <c r="K1537" i="58"/>
  <c r="K1564" i="58"/>
  <c r="K1545" i="58"/>
  <c r="K1568" i="58"/>
  <c r="K1540" i="58"/>
  <c r="K1572" i="58"/>
  <c r="K1560" i="58"/>
  <c r="K1546" i="58"/>
  <c r="K1561" i="58"/>
  <c r="K1571" i="58"/>
  <c r="K1533" i="58"/>
  <c r="K1536" i="58"/>
  <c r="K1543" i="58"/>
  <c r="K1565" i="58"/>
  <c r="K1574" i="58"/>
  <c r="K1550" i="58"/>
  <c r="K1575" i="58"/>
  <c r="K1534" i="58"/>
  <c r="K1542" i="58"/>
  <c r="K1541" i="58"/>
  <c r="K1532" i="58"/>
  <c r="K1563" i="58"/>
  <c r="K1538" i="58"/>
  <c r="K1553" i="58"/>
  <c r="K1554" i="58"/>
  <c r="K1556" i="58"/>
  <c r="K1573" i="58"/>
  <c r="K1535" i="58"/>
  <c r="E586" i="7"/>
  <c r="E585" i="7"/>
  <c r="E584" i="7"/>
  <c r="E583" i="7"/>
  <c r="E582" i="7"/>
  <c r="E536" i="7"/>
  <c r="E535" i="7"/>
  <c r="E534" i="7"/>
  <c r="E2196" i="40" s="1"/>
  <c r="I2514" i="50" s="1"/>
  <c r="I2586" i="50" s="1"/>
  <c r="E578" i="40" l="1"/>
  <c r="I663" i="50" s="1"/>
  <c r="E643" i="40"/>
  <c r="I711" i="50" s="1"/>
  <c r="D413" i="8"/>
  <c r="G332" i="1" l="1"/>
  <c r="D27" i="13" l="1"/>
  <c r="D26" i="13"/>
  <c r="D25" i="13"/>
  <c r="D24" i="13"/>
  <c r="D23" i="13"/>
  <c r="D22" i="13"/>
  <c r="D21" i="13"/>
  <c r="D20" i="13"/>
  <c r="D19" i="13"/>
  <c r="D18" i="13"/>
  <c r="D16" i="13"/>
  <c r="D15" i="13"/>
  <c r="D14" i="13"/>
  <c r="P105" i="46" l="1"/>
  <c r="AB218" i="46"/>
  <c r="AB220" i="46" s="1"/>
  <c r="W218" i="46"/>
  <c r="W220" i="46" s="1"/>
  <c r="U218" i="46"/>
  <c r="U220" i="46" s="1"/>
  <c r="AB205" i="46"/>
  <c r="W205" i="46"/>
  <c r="U205" i="46"/>
  <c r="AB202" i="46"/>
  <c r="W202" i="46"/>
  <c r="U202" i="46"/>
  <c r="AB199" i="46"/>
  <c r="W199" i="46"/>
  <c r="AB178" i="46"/>
  <c r="W178" i="46"/>
  <c r="U178" i="46"/>
  <c r="W167" i="46"/>
  <c r="AB160" i="46"/>
  <c r="W160" i="46"/>
  <c r="U160" i="46"/>
  <c r="AB157" i="46"/>
  <c r="W157" i="46"/>
  <c r="U157" i="46"/>
  <c r="AB150" i="46"/>
  <c r="W150" i="46"/>
  <c r="AB122" i="46"/>
  <c r="W122" i="46"/>
  <c r="V122" i="46"/>
  <c r="U122" i="46"/>
  <c r="Q122" i="46"/>
  <c r="AD119" i="46"/>
  <c r="U83" i="46"/>
  <c r="U81" i="46"/>
  <c r="U72" i="46"/>
  <c r="O65" i="46"/>
  <c r="U58" i="46"/>
  <c r="O109" i="46"/>
  <c r="O108" i="46"/>
  <c r="O107" i="46"/>
  <c r="O106" i="46"/>
  <c r="O105" i="46"/>
  <c r="O104" i="46"/>
  <c r="O96" i="46"/>
  <c r="O93" i="46"/>
  <c r="O89" i="46"/>
  <c r="O88" i="46"/>
  <c r="O87" i="46"/>
  <c r="O86" i="46"/>
  <c r="V86" i="46" s="1"/>
  <c r="O85" i="46"/>
  <c r="O83" i="46"/>
  <c r="O81" i="46"/>
  <c r="O80" i="46"/>
  <c r="O79" i="46"/>
  <c r="O78" i="46"/>
  <c r="O77" i="46"/>
  <c r="O76" i="46"/>
  <c r="O74" i="46"/>
  <c r="O73" i="46"/>
  <c r="O72" i="46"/>
  <c r="O69" i="46"/>
  <c r="O68" i="46"/>
  <c r="O67" i="46"/>
  <c r="O66" i="46"/>
  <c r="O58" i="46"/>
  <c r="O57" i="46"/>
  <c r="V57" i="46" s="1"/>
  <c r="O56" i="46"/>
  <c r="V56" i="46" s="1"/>
  <c r="O55" i="46"/>
  <c r="V55" i="46" s="1"/>
  <c r="O54" i="46"/>
  <c r="V54" i="46" s="1"/>
  <c r="O51" i="46"/>
  <c r="O48" i="46"/>
  <c r="O47" i="46"/>
  <c r="O46" i="46"/>
  <c r="O45" i="46"/>
  <c r="O44" i="46"/>
  <c r="O40" i="46"/>
  <c r="O39" i="46"/>
  <c r="O38" i="46"/>
  <c r="O37" i="46"/>
  <c r="O36" i="46"/>
  <c r="O34" i="46"/>
  <c r="O33" i="46"/>
  <c r="V33" i="46" s="1"/>
  <c r="O32" i="46"/>
  <c r="V32" i="46" s="1"/>
  <c r="O31" i="46"/>
  <c r="V31" i="46" s="1"/>
  <c r="O30" i="46"/>
  <c r="O29" i="46"/>
  <c r="O28" i="46"/>
  <c r="O27" i="46"/>
  <c r="O26" i="46"/>
  <c r="O25" i="46"/>
  <c r="O23" i="46"/>
  <c r="O22" i="46"/>
  <c r="V22" i="46" s="1"/>
  <c r="O21" i="46"/>
  <c r="O20" i="46"/>
  <c r="O19" i="46"/>
  <c r="O18" i="46"/>
  <c r="O17" i="46"/>
  <c r="O16" i="46"/>
  <c r="O13" i="46"/>
  <c r="N36" i="46"/>
  <c r="X36" i="46" s="1"/>
  <c r="V30" i="46"/>
  <c r="U22" i="46"/>
  <c r="W207" i="46" l="1"/>
  <c r="W169" i="46"/>
  <c r="AB207" i="46"/>
  <c r="O70" i="46"/>
  <c r="W222" i="46" l="1"/>
  <c r="H243" i="46"/>
  <c r="N17" i="46"/>
  <c r="X17" i="46" s="1"/>
  <c r="P109" i="46"/>
  <c r="P108" i="46"/>
  <c r="P107" i="46"/>
  <c r="P106" i="46"/>
  <c r="P104" i="46"/>
  <c r="P96" i="46"/>
  <c r="P93" i="46"/>
  <c r="P90" i="46"/>
  <c r="P89" i="46"/>
  <c r="P88" i="46"/>
  <c r="P87" i="46"/>
  <c r="P31" i="46"/>
  <c r="P86" i="46"/>
  <c r="P85" i="46"/>
  <c r="P84" i="46"/>
  <c r="P83" i="46"/>
  <c r="P82" i="46"/>
  <c r="P81" i="46"/>
  <c r="P80" i="46"/>
  <c r="P79" i="46"/>
  <c r="P78" i="46"/>
  <c r="P77" i="46"/>
  <c r="P76" i="46"/>
  <c r="P75" i="46"/>
  <c r="P74" i="46"/>
  <c r="P73" i="46"/>
  <c r="P72" i="46"/>
  <c r="P69" i="46"/>
  <c r="P68" i="46"/>
  <c r="P67" i="46"/>
  <c r="P66" i="46"/>
  <c r="P65" i="46"/>
  <c r="P58" i="46"/>
  <c r="P57" i="46"/>
  <c r="P56" i="46"/>
  <c r="P55" i="46"/>
  <c r="P54" i="46"/>
  <c r="P51" i="46"/>
  <c r="P48" i="46"/>
  <c r="P47" i="46"/>
  <c r="P46" i="46"/>
  <c r="P45" i="46"/>
  <c r="P44" i="46"/>
  <c r="P41" i="46"/>
  <c r="P40" i="46"/>
  <c r="P39" i="46"/>
  <c r="P38" i="46"/>
  <c r="P37" i="46"/>
  <c r="P36" i="46"/>
  <c r="P35" i="46"/>
  <c r="P34" i="46"/>
  <c r="P33" i="46"/>
  <c r="P32" i="46"/>
  <c r="P30" i="46"/>
  <c r="P29" i="46"/>
  <c r="P28" i="46"/>
  <c r="P27" i="46"/>
  <c r="P26" i="46"/>
  <c r="P25" i="46"/>
  <c r="P24" i="46"/>
  <c r="P23" i="46"/>
  <c r="P22" i="46"/>
  <c r="P21" i="46"/>
  <c r="P20" i="46"/>
  <c r="P19" i="46"/>
  <c r="P18" i="46"/>
  <c r="P17" i="46"/>
  <c r="P16" i="46"/>
  <c r="P13" i="46"/>
  <c r="N16" i="46"/>
  <c r="I269" i="46"/>
  <c r="I270" i="46"/>
  <c r="I271" i="46"/>
  <c r="N31" i="46"/>
  <c r="X31" i="46" s="1"/>
  <c r="N68" i="46"/>
  <c r="X68" i="46" s="1"/>
  <c r="N57" i="46"/>
  <c r="X57" i="46" s="1"/>
  <c r="N55" i="46"/>
  <c r="X55" i="46" s="1"/>
  <c r="N48" i="46"/>
  <c r="N45" i="46"/>
  <c r="X45" i="46" s="1"/>
  <c r="N44" i="46"/>
  <c r="N39" i="46"/>
  <c r="X39" i="46" s="1"/>
  <c r="N37" i="46"/>
  <c r="X37" i="46" s="1"/>
  <c r="N35" i="46"/>
  <c r="X35" i="46" s="1"/>
  <c r="N30" i="46"/>
  <c r="X30" i="46" s="1"/>
  <c r="N29" i="46"/>
  <c r="X29" i="46" s="1"/>
  <c r="N28" i="46"/>
  <c r="X28" i="46" s="1"/>
  <c r="N27" i="46"/>
  <c r="X27" i="46" s="1"/>
  <c r="N26" i="46"/>
  <c r="N25" i="46"/>
  <c r="N24" i="46"/>
  <c r="X24" i="46" s="1"/>
  <c r="N23" i="46"/>
  <c r="X23" i="46" s="1"/>
  <c r="N22" i="46"/>
  <c r="N21" i="46"/>
  <c r="X21" i="46" s="1"/>
  <c r="N20" i="46"/>
  <c r="X20" i="46" s="1"/>
  <c r="N19" i="46"/>
  <c r="X19" i="46" s="1"/>
  <c r="N13" i="46"/>
  <c r="G235" i="46"/>
  <c r="J234" i="46"/>
  <c r="M235" i="46" l="1"/>
  <c r="O189" i="46"/>
  <c r="O124" i="46"/>
  <c r="O215" i="46"/>
  <c r="O147" i="46"/>
  <c r="O188" i="46"/>
  <c r="J235" i="46"/>
  <c r="O84" i="46"/>
  <c r="O41" i="46"/>
  <c r="O75" i="46"/>
  <c r="O24" i="46"/>
  <c r="O90" i="46"/>
  <c r="O82" i="46"/>
  <c r="O35" i="46"/>
  <c r="H235" i="46"/>
  <c r="X13" i="46"/>
  <c r="N14" i="46"/>
  <c r="X26" i="46"/>
  <c r="V26" i="46"/>
  <c r="X48" i="46"/>
  <c r="V48" i="46"/>
  <c r="X16" i="46"/>
  <c r="X44" i="46"/>
  <c r="V44" i="46"/>
  <c r="C142" i="45"/>
  <c r="C36" i="45"/>
  <c r="AD11" i="46"/>
  <c r="AC193" i="44"/>
  <c r="AB193" i="44"/>
  <c r="AA193" i="44"/>
  <c r="Z193" i="44"/>
  <c r="Y193" i="44"/>
  <c r="X193" i="44"/>
  <c r="W193" i="44"/>
  <c r="V193" i="44"/>
  <c r="R193" i="44"/>
  <c r="Q193" i="44"/>
  <c r="AC189" i="44"/>
  <c r="AB189" i="44"/>
  <c r="AA189" i="44"/>
  <c r="Z189" i="44"/>
  <c r="Y189" i="44"/>
  <c r="X189" i="44"/>
  <c r="W189" i="44"/>
  <c r="V189" i="44"/>
  <c r="R189" i="44"/>
  <c r="Q189" i="44"/>
  <c r="M186" i="44"/>
  <c r="AC179" i="44"/>
  <c r="AB179" i="44"/>
  <c r="AA179" i="44"/>
  <c r="Z179" i="44"/>
  <c r="Y179" i="44"/>
  <c r="X179" i="44"/>
  <c r="W179" i="44"/>
  <c r="V179" i="44"/>
  <c r="R179" i="44"/>
  <c r="Q179" i="44"/>
  <c r="M178" i="44"/>
  <c r="C178" i="44"/>
  <c r="AC176" i="44"/>
  <c r="AB176" i="44"/>
  <c r="AA176" i="44"/>
  <c r="Z176" i="44"/>
  <c r="Y176" i="44"/>
  <c r="X176" i="44"/>
  <c r="W176" i="44"/>
  <c r="V176" i="44"/>
  <c r="R176" i="44"/>
  <c r="Q176" i="44"/>
  <c r="C175" i="44"/>
  <c r="AC172" i="44"/>
  <c r="AB172" i="44"/>
  <c r="AA172" i="44"/>
  <c r="Z172" i="44"/>
  <c r="Y172" i="44"/>
  <c r="X172" i="44"/>
  <c r="W172" i="44"/>
  <c r="V172" i="44"/>
  <c r="R172" i="44"/>
  <c r="Q172" i="44"/>
  <c r="C171" i="44"/>
  <c r="C170" i="44"/>
  <c r="AC168" i="44"/>
  <c r="AB168" i="44"/>
  <c r="AA168" i="44"/>
  <c r="Z168" i="44"/>
  <c r="Y168" i="44"/>
  <c r="X168" i="44"/>
  <c r="W168" i="44"/>
  <c r="R168" i="44"/>
  <c r="C163" i="44"/>
  <c r="C161" i="44"/>
  <c r="C160" i="44"/>
  <c r="C159" i="44"/>
  <c r="C158" i="44"/>
  <c r="C157" i="44"/>
  <c r="C155" i="44"/>
  <c r="M149" i="44"/>
  <c r="C147" i="44"/>
  <c r="M146" i="44"/>
  <c r="C146" i="44"/>
  <c r="M142" i="44"/>
  <c r="AC140" i="44"/>
  <c r="AB140" i="44"/>
  <c r="AA140" i="44"/>
  <c r="Z140" i="44"/>
  <c r="Y140" i="44"/>
  <c r="X140" i="44"/>
  <c r="W140" i="44"/>
  <c r="V140" i="44"/>
  <c r="R140" i="44"/>
  <c r="Q140" i="44"/>
  <c r="C137" i="44"/>
  <c r="C136" i="44"/>
  <c r="C134" i="44"/>
  <c r="AC127" i="44"/>
  <c r="AB127" i="44"/>
  <c r="AA127" i="44"/>
  <c r="Z127" i="44"/>
  <c r="Y127" i="44"/>
  <c r="X127" i="44"/>
  <c r="W127" i="44"/>
  <c r="V127" i="44"/>
  <c r="R127" i="44"/>
  <c r="Q127" i="44"/>
  <c r="M126" i="44"/>
  <c r="C126" i="44"/>
  <c r="AC124" i="44"/>
  <c r="AB124" i="44"/>
  <c r="AA124" i="44"/>
  <c r="Z124" i="44"/>
  <c r="Y124" i="44"/>
  <c r="X124" i="44"/>
  <c r="W124" i="44"/>
  <c r="V124" i="44"/>
  <c r="R124" i="44"/>
  <c r="Q124" i="44"/>
  <c r="AC121" i="44"/>
  <c r="AB121" i="44"/>
  <c r="AA121" i="44"/>
  <c r="Z121" i="44"/>
  <c r="Y121" i="44"/>
  <c r="X121" i="44"/>
  <c r="V121" i="44"/>
  <c r="R121" i="44"/>
  <c r="C120" i="44"/>
  <c r="C119" i="44"/>
  <c r="C118" i="44"/>
  <c r="C117" i="44"/>
  <c r="C114" i="44"/>
  <c r="AC112" i="44"/>
  <c r="AB112" i="44"/>
  <c r="AA112" i="44"/>
  <c r="Z112" i="44"/>
  <c r="Y112" i="44"/>
  <c r="X112" i="44"/>
  <c r="W112" i="44"/>
  <c r="V112" i="44"/>
  <c r="R112" i="44"/>
  <c r="Q112" i="44"/>
  <c r="AC97" i="44"/>
  <c r="AB97" i="44"/>
  <c r="AA97" i="44"/>
  <c r="Z97" i="44"/>
  <c r="Y97" i="44"/>
  <c r="X97" i="44"/>
  <c r="W97" i="44"/>
  <c r="V97" i="44"/>
  <c r="R97" i="44"/>
  <c r="Q97" i="44"/>
  <c r="N95" i="44"/>
  <c r="S95" i="44" s="1"/>
  <c r="C82" i="44"/>
  <c r="AC93" i="44"/>
  <c r="AB93" i="44"/>
  <c r="AA93" i="44"/>
  <c r="Z93" i="44"/>
  <c r="Y93" i="44"/>
  <c r="X93" i="44"/>
  <c r="W93" i="44"/>
  <c r="V93" i="44"/>
  <c r="R93" i="44"/>
  <c r="Q93" i="44"/>
  <c r="M90" i="44"/>
  <c r="N90" i="44" s="1"/>
  <c r="U90" i="44" s="1"/>
  <c r="N89" i="44"/>
  <c r="U89" i="44" s="1"/>
  <c r="M82" i="44"/>
  <c r="N82" i="44" s="1"/>
  <c r="S82" i="44" s="1"/>
  <c r="C79" i="44"/>
  <c r="C75" i="44"/>
  <c r="C74" i="44"/>
  <c r="C67" i="44"/>
  <c r="C65" i="44"/>
  <c r="C64" i="44"/>
  <c r="C63" i="44"/>
  <c r="C62" i="44"/>
  <c r="C61" i="44"/>
  <c r="C59" i="44"/>
  <c r="N54" i="44"/>
  <c r="AF54" i="44" s="1"/>
  <c r="AG54" i="44" s="1"/>
  <c r="M53" i="44"/>
  <c r="N53" i="44" s="1"/>
  <c r="S53" i="44" s="1"/>
  <c r="C51" i="44"/>
  <c r="M50" i="44"/>
  <c r="N50" i="44" s="1"/>
  <c r="S50" i="44" s="1"/>
  <c r="C50" i="44"/>
  <c r="M46" i="44"/>
  <c r="N46" i="44" s="1"/>
  <c r="N72" i="44" s="1"/>
  <c r="AC44" i="44"/>
  <c r="AB44" i="44"/>
  <c r="AA44" i="44"/>
  <c r="Z44" i="44"/>
  <c r="Y44" i="44"/>
  <c r="X44" i="44"/>
  <c r="W44" i="44"/>
  <c r="V44" i="44"/>
  <c r="R44" i="44"/>
  <c r="Q44" i="44"/>
  <c r="N43" i="44"/>
  <c r="P43" i="44" s="1"/>
  <c r="N42" i="44"/>
  <c r="P42" i="44" s="1"/>
  <c r="N40" i="44"/>
  <c r="U40" i="44" s="1"/>
  <c r="C40" i="44"/>
  <c r="C41" i="44"/>
  <c r="N39" i="44"/>
  <c r="U39" i="44" s="1"/>
  <c r="C38" i="44"/>
  <c r="N37" i="44"/>
  <c r="U37" i="44" s="1"/>
  <c r="N27" i="44"/>
  <c r="N28" i="44" s="1"/>
  <c r="AC28" i="44"/>
  <c r="AB28" i="44"/>
  <c r="AA28" i="44"/>
  <c r="Z28" i="44"/>
  <c r="Y28" i="44"/>
  <c r="X28" i="44"/>
  <c r="W28" i="44"/>
  <c r="V28" i="44"/>
  <c r="R28" i="44"/>
  <c r="Q28" i="44"/>
  <c r="M30" i="44"/>
  <c r="C30" i="44"/>
  <c r="AC25" i="44"/>
  <c r="AB25" i="44"/>
  <c r="AA25" i="44"/>
  <c r="Z25" i="44"/>
  <c r="Y25" i="44"/>
  <c r="X25" i="44"/>
  <c r="V25" i="44"/>
  <c r="R25" i="44"/>
  <c r="Q24" i="44"/>
  <c r="N24" i="44"/>
  <c r="C24" i="44"/>
  <c r="N79" i="44"/>
  <c r="S79" i="44" s="1"/>
  <c r="N78" i="44"/>
  <c r="N75" i="44"/>
  <c r="N74" i="44"/>
  <c r="N71" i="44"/>
  <c r="U71" i="44" s="1"/>
  <c r="N70" i="44"/>
  <c r="N69" i="44"/>
  <c r="N68" i="44"/>
  <c r="N67" i="44"/>
  <c r="S67" i="44" s="1"/>
  <c r="N66" i="44"/>
  <c r="U66" i="44" s="1"/>
  <c r="N65" i="44"/>
  <c r="S65" i="44" s="1"/>
  <c r="N64" i="44"/>
  <c r="U64" i="44" s="1"/>
  <c r="N63" i="44"/>
  <c r="V63" i="44" s="1"/>
  <c r="N61" i="44"/>
  <c r="S61" i="44" s="1"/>
  <c r="N60" i="44"/>
  <c r="U60" i="44" s="1"/>
  <c r="N59" i="44"/>
  <c r="V59" i="44" s="1"/>
  <c r="N58" i="44"/>
  <c r="U58" i="44" s="1"/>
  <c r="N57" i="44"/>
  <c r="S57" i="44" s="1"/>
  <c r="N56" i="44"/>
  <c r="U56" i="44" s="1"/>
  <c r="N55" i="44"/>
  <c r="S55" i="44" s="1"/>
  <c r="N52" i="44"/>
  <c r="S52" i="44" s="1"/>
  <c r="N51" i="44"/>
  <c r="U51" i="44" s="1"/>
  <c r="N49" i="44"/>
  <c r="S49" i="44" s="1"/>
  <c r="N48" i="44"/>
  <c r="S48" i="44" s="1"/>
  <c r="N47" i="44"/>
  <c r="U47" i="44" s="1"/>
  <c r="N41" i="44"/>
  <c r="U41" i="44" s="1"/>
  <c r="N96" i="44"/>
  <c r="S96" i="44" s="1"/>
  <c r="N38" i="44"/>
  <c r="U38" i="44" s="1"/>
  <c r="N92" i="44"/>
  <c r="S92" i="44" s="1"/>
  <c r="N91" i="44"/>
  <c r="U91" i="44" s="1"/>
  <c r="N62" i="44"/>
  <c r="N23" i="44"/>
  <c r="AF23" i="44" s="1"/>
  <c r="AG23" i="44" s="1"/>
  <c r="N22" i="44"/>
  <c r="AF22" i="44" s="1"/>
  <c r="AG22" i="44" s="1"/>
  <c r="N21" i="44"/>
  <c r="S21" i="44" s="1"/>
  <c r="N20" i="44"/>
  <c r="N19" i="44"/>
  <c r="U19" i="44" s="1"/>
  <c r="N18" i="44"/>
  <c r="N15" i="44"/>
  <c r="S15" i="44" s="1"/>
  <c r="C152" i="45"/>
  <c r="C23" i="44"/>
  <c r="C22" i="44"/>
  <c r="W21" i="44"/>
  <c r="W25" i="44" s="1"/>
  <c r="C21" i="44"/>
  <c r="C18" i="44"/>
  <c r="AJ215" i="45"/>
  <c r="AI215" i="45"/>
  <c r="AH215" i="45"/>
  <c r="AG215" i="45"/>
  <c r="AF215" i="45"/>
  <c r="AE215" i="45"/>
  <c r="U215" i="45"/>
  <c r="T215" i="45"/>
  <c r="Q215" i="45"/>
  <c r="P215" i="45"/>
  <c r="O215" i="45"/>
  <c r="AD214" i="45"/>
  <c r="AD213" i="45"/>
  <c r="AD215" i="45" s="1"/>
  <c r="AJ211" i="45"/>
  <c r="AI211" i="45"/>
  <c r="AH211" i="45"/>
  <c r="AG211" i="45"/>
  <c r="AF211" i="45"/>
  <c r="AE211" i="45"/>
  <c r="U211" i="45"/>
  <c r="T211" i="45"/>
  <c r="Q211" i="45"/>
  <c r="P211" i="45"/>
  <c r="O211" i="45"/>
  <c r="AD210" i="45"/>
  <c r="AD211" i="45" s="1"/>
  <c r="AJ208" i="45"/>
  <c r="AI208" i="45"/>
  <c r="AH208" i="45"/>
  <c r="AG208" i="45"/>
  <c r="AF208" i="45"/>
  <c r="AE208" i="45"/>
  <c r="U208" i="45"/>
  <c r="T208" i="45"/>
  <c r="Q208" i="45"/>
  <c r="P208" i="45"/>
  <c r="O208" i="45"/>
  <c r="AD207" i="45"/>
  <c r="AD208" i="45" s="1"/>
  <c r="C206" i="45"/>
  <c r="C205" i="45"/>
  <c r="AD204" i="45"/>
  <c r="AJ202" i="45"/>
  <c r="AI202" i="45"/>
  <c r="AH202" i="45"/>
  <c r="AG202" i="45"/>
  <c r="AF202" i="45"/>
  <c r="AE202" i="45"/>
  <c r="U202" i="45"/>
  <c r="T202" i="45"/>
  <c r="Q202" i="45"/>
  <c r="P202" i="45"/>
  <c r="O202" i="45"/>
  <c r="AD201" i="45"/>
  <c r="AD202" i="45" s="1"/>
  <c r="AJ199" i="45"/>
  <c r="AI199" i="45"/>
  <c r="AH199" i="45"/>
  <c r="AG199" i="45"/>
  <c r="AF199" i="45"/>
  <c r="AE199" i="45"/>
  <c r="U199" i="45"/>
  <c r="T199" i="45"/>
  <c r="Q199" i="45"/>
  <c r="P199" i="45"/>
  <c r="O199" i="45"/>
  <c r="AD198" i="45"/>
  <c r="AD197" i="45"/>
  <c r="AD199" i="45" s="1"/>
  <c r="C197" i="45"/>
  <c r="AJ195" i="45"/>
  <c r="AI195" i="45"/>
  <c r="AH195" i="45"/>
  <c r="AG195" i="45"/>
  <c r="AF195" i="45"/>
  <c r="AE195" i="45"/>
  <c r="U195" i="45"/>
  <c r="T195" i="45"/>
  <c r="Q195" i="45"/>
  <c r="P195" i="45"/>
  <c r="O195" i="45"/>
  <c r="AD194" i="45"/>
  <c r="AD195" i="45" s="1"/>
  <c r="M194" i="45"/>
  <c r="AJ192" i="45"/>
  <c r="AI192" i="45"/>
  <c r="AH192" i="45"/>
  <c r="AG192" i="45"/>
  <c r="AF192" i="45"/>
  <c r="AE192" i="45"/>
  <c r="U192" i="45"/>
  <c r="T192" i="45"/>
  <c r="Q192" i="45"/>
  <c r="P192" i="45"/>
  <c r="O192" i="45"/>
  <c r="AD191" i="45"/>
  <c r="C191" i="45"/>
  <c r="AD190" i="45"/>
  <c r="C190" i="45"/>
  <c r="AD189" i="45"/>
  <c r="AD192" i="45" s="1"/>
  <c r="C189" i="45"/>
  <c r="AJ187" i="45"/>
  <c r="AI187" i="45"/>
  <c r="AH187" i="45"/>
  <c r="AG187" i="45"/>
  <c r="AF187" i="45"/>
  <c r="AE187" i="45"/>
  <c r="U187" i="45"/>
  <c r="T187" i="45"/>
  <c r="Q187" i="45"/>
  <c r="P187" i="45"/>
  <c r="O187" i="45"/>
  <c r="AD186" i="45"/>
  <c r="AD185" i="45"/>
  <c r="AD184" i="45"/>
  <c r="AC184" i="45"/>
  <c r="AD183" i="45"/>
  <c r="AC183" i="45"/>
  <c r="AD182" i="45"/>
  <c r="AD181" i="45"/>
  <c r="AC181" i="45"/>
  <c r="AD180" i="45"/>
  <c r="AC180" i="45"/>
  <c r="AD179" i="45"/>
  <c r="AJ177" i="45"/>
  <c r="AI177" i="45"/>
  <c r="AH177" i="45"/>
  <c r="AG177" i="45"/>
  <c r="AF177" i="45"/>
  <c r="AE177" i="45"/>
  <c r="U177" i="45"/>
  <c r="T177" i="45"/>
  <c r="Q177" i="45"/>
  <c r="P177" i="45"/>
  <c r="O177" i="45"/>
  <c r="AD176" i="45"/>
  <c r="AD177" i="45" s="1"/>
  <c r="AD175" i="45"/>
  <c r="AD174" i="45"/>
  <c r="AD173" i="45"/>
  <c r="AJ171" i="45"/>
  <c r="AI171" i="45"/>
  <c r="AH171" i="45"/>
  <c r="AG171" i="45"/>
  <c r="AF171" i="45"/>
  <c r="AE171" i="45"/>
  <c r="U171" i="45"/>
  <c r="T171" i="45"/>
  <c r="Q171" i="45"/>
  <c r="P171" i="45"/>
  <c r="O171" i="45"/>
  <c r="AD170" i="45"/>
  <c r="M170" i="45"/>
  <c r="AD169" i="45"/>
  <c r="C169" i="45"/>
  <c r="AD168" i="45"/>
  <c r="AD167" i="45"/>
  <c r="M167" i="45"/>
  <c r="AD166" i="45"/>
  <c r="AD165" i="45"/>
  <c r="AD164" i="45"/>
  <c r="AD163" i="45"/>
  <c r="AD162" i="45"/>
  <c r="M162" i="45"/>
  <c r="AJ160" i="45"/>
  <c r="AI160" i="45"/>
  <c r="AH160" i="45"/>
  <c r="AG160" i="45"/>
  <c r="AF160" i="45"/>
  <c r="AE160" i="45"/>
  <c r="U160" i="45"/>
  <c r="T160" i="45"/>
  <c r="Q160" i="45"/>
  <c r="P160" i="45"/>
  <c r="O160" i="45"/>
  <c r="AD159" i="45"/>
  <c r="C159" i="45"/>
  <c r="AD158" i="45"/>
  <c r="AD157" i="45"/>
  <c r="C157" i="45"/>
  <c r="AD156" i="45"/>
  <c r="M156" i="45"/>
  <c r="AD155" i="45"/>
  <c r="AD154" i="45"/>
  <c r="AD153" i="45"/>
  <c r="C153" i="45"/>
  <c r="AD152" i="45"/>
  <c r="AD151" i="45"/>
  <c r="AD150" i="45"/>
  <c r="C150" i="45"/>
  <c r="AD149" i="45"/>
  <c r="C149" i="45"/>
  <c r="AD148" i="45"/>
  <c r="C148" i="45"/>
  <c r="AD147" i="45"/>
  <c r="C147" i="45"/>
  <c r="AD146" i="45"/>
  <c r="AJ143" i="45"/>
  <c r="AI143" i="45"/>
  <c r="AH143" i="45"/>
  <c r="AG143" i="45"/>
  <c r="AF143" i="45"/>
  <c r="AE143" i="45"/>
  <c r="AD143" i="45"/>
  <c r="U143" i="45"/>
  <c r="T143" i="45"/>
  <c r="Q143" i="45"/>
  <c r="P143" i="45"/>
  <c r="O143" i="45"/>
  <c r="AD142" i="45"/>
  <c r="AJ140" i="45"/>
  <c r="AI140" i="45"/>
  <c r="AH140" i="45"/>
  <c r="AG140" i="45"/>
  <c r="AF140" i="45"/>
  <c r="AE140" i="45"/>
  <c r="AD140" i="45"/>
  <c r="AC140" i="45"/>
  <c r="AB140" i="45"/>
  <c r="AA140" i="45"/>
  <c r="Y140" i="45"/>
  <c r="U140" i="45"/>
  <c r="T140" i="45"/>
  <c r="Q140" i="45"/>
  <c r="P140" i="45"/>
  <c r="O140" i="45"/>
  <c r="M139" i="45"/>
  <c r="AJ137" i="45"/>
  <c r="AI137" i="45"/>
  <c r="AH137" i="45"/>
  <c r="AG137" i="45"/>
  <c r="AF137" i="45"/>
  <c r="AE137" i="45"/>
  <c r="AD137" i="45"/>
  <c r="AC137" i="45"/>
  <c r="AB137" i="45"/>
  <c r="AA137" i="45"/>
  <c r="Y137" i="45"/>
  <c r="U137" i="45"/>
  <c r="T137" i="45"/>
  <c r="Q137" i="45"/>
  <c r="P137" i="45"/>
  <c r="O137" i="45"/>
  <c r="M136" i="45"/>
  <c r="C136" i="45"/>
  <c r="C135" i="45"/>
  <c r="AJ132" i="45"/>
  <c r="AI132" i="45"/>
  <c r="AH132" i="45"/>
  <c r="AG132" i="45"/>
  <c r="AF132" i="45"/>
  <c r="AE132" i="45"/>
  <c r="AD132" i="45"/>
  <c r="AC132" i="45"/>
  <c r="U132" i="45"/>
  <c r="T132" i="45"/>
  <c r="Q132" i="45"/>
  <c r="P132" i="45"/>
  <c r="O132" i="45"/>
  <c r="AJ129" i="45"/>
  <c r="AI129" i="45"/>
  <c r="AG129" i="45"/>
  <c r="AF129" i="45"/>
  <c r="AE129" i="45"/>
  <c r="U129" i="45"/>
  <c r="T129" i="45"/>
  <c r="Q129" i="45"/>
  <c r="P129" i="45"/>
  <c r="O129" i="45"/>
  <c r="AD128" i="45"/>
  <c r="C128" i="45"/>
  <c r="AD127" i="45"/>
  <c r="C127" i="45"/>
  <c r="AD125" i="45"/>
  <c r="C125" i="45"/>
  <c r="AD124" i="45"/>
  <c r="C124" i="45"/>
  <c r="AD123" i="45"/>
  <c r="C123" i="45"/>
  <c r="AD122" i="45"/>
  <c r="C122" i="45"/>
  <c r="AD121" i="45"/>
  <c r="AD129" i="45" s="1"/>
  <c r="X107" i="45"/>
  <c r="N108" i="45"/>
  <c r="X108" i="45" s="1"/>
  <c r="N107" i="45"/>
  <c r="N109" i="45" s="1"/>
  <c r="AJ144" i="45" l="1"/>
  <c r="R181" i="44"/>
  <c r="AA181" i="44"/>
  <c r="R195" i="44"/>
  <c r="Y195" i="44"/>
  <c r="AC195" i="44"/>
  <c r="X129" i="44"/>
  <c r="AB129" i="44"/>
  <c r="Y181" i="44"/>
  <c r="AC181" i="44"/>
  <c r="V195" i="44"/>
  <c r="Z195" i="44"/>
  <c r="W195" i="44"/>
  <c r="AA195" i="44"/>
  <c r="V129" i="44"/>
  <c r="Z129" i="44"/>
  <c r="W181" i="44"/>
  <c r="Q195" i="44"/>
  <c r="X195" i="44"/>
  <c r="AB195" i="44"/>
  <c r="Q99" i="44"/>
  <c r="X99" i="44"/>
  <c r="AB99" i="44"/>
  <c r="Y99" i="44"/>
  <c r="AC99" i="44"/>
  <c r="U95" i="44"/>
  <c r="V99" i="44"/>
  <c r="Z99" i="44"/>
  <c r="R99" i="44"/>
  <c r="N97" i="44"/>
  <c r="W99" i="44"/>
  <c r="AA99" i="44"/>
  <c r="T188" i="46"/>
  <c r="T189" i="46"/>
  <c r="T147" i="46"/>
  <c r="O216" i="46"/>
  <c r="O212" i="46"/>
  <c r="O197" i="46"/>
  <c r="O193" i="46"/>
  <c r="O162" i="46"/>
  <c r="O154" i="46"/>
  <c r="O140" i="46"/>
  <c r="O186" i="46"/>
  <c r="O182" i="46"/>
  <c r="O196" i="46"/>
  <c r="O175" i="46"/>
  <c r="O165" i="46"/>
  <c r="O159" i="46"/>
  <c r="O153" i="46"/>
  <c r="O144" i="46"/>
  <c r="O214" i="46"/>
  <c r="O204" i="46"/>
  <c r="O185" i="46"/>
  <c r="O195" i="46"/>
  <c r="O191" i="46"/>
  <c r="O187" i="46"/>
  <c r="O156" i="46"/>
  <c r="O152" i="46"/>
  <c r="O142" i="46"/>
  <c r="O130" i="46"/>
  <c r="O127" i="46"/>
  <c r="O217" i="46"/>
  <c r="O213" i="46"/>
  <c r="O201" i="46"/>
  <c r="O184" i="46"/>
  <c r="O180" i="46"/>
  <c r="O163" i="46"/>
  <c r="O155" i="46"/>
  <c r="O146" i="46"/>
  <c r="O141" i="46"/>
  <c r="O137" i="46"/>
  <c r="O133" i="46"/>
  <c r="O129" i="46"/>
  <c r="O126" i="46"/>
  <c r="T215" i="46"/>
  <c r="O148" i="46"/>
  <c r="O176" i="46"/>
  <c r="O166" i="46"/>
  <c r="O145" i="46"/>
  <c r="O136" i="46"/>
  <c r="O128" i="46"/>
  <c r="O139" i="46"/>
  <c r="O135" i="46"/>
  <c r="O131" i="46"/>
  <c r="O125" i="46"/>
  <c r="O121" i="46"/>
  <c r="O181" i="46"/>
  <c r="O174" i="46"/>
  <c r="O164" i="46"/>
  <c r="O138" i="46"/>
  <c r="O134" i="46"/>
  <c r="O194" i="46"/>
  <c r="O177" i="46"/>
  <c r="O173" i="46"/>
  <c r="O198" i="46"/>
  <c r="O183" i="46"/>
  <c r="O132" i="46"/>
  <c r="O192" i="46"/>
  <c r="O143" i="46"/>
  <c r="O149" i="46"/>
  <c r="O190" i="46"/>
  <c r="T124" i="46"/>
  <c r="Y129" i="44"/>
  <c r="AC129" i="44"/>
  <c r="R129" i="44"/>
  <c r="AA129" i="44"/>
  <c r="Z181" i="44"/>
  <c r="X181" i="44"/>
  <c r="AB181" i="44"/>
  <c r="U96" i="44"/>
  <c r="U97" i="44" s="1"/>
  <c r="N93" i="44"/>
  <c r="P95" i="44"/>
  <c r="AD95" i="44"/>
  <c r="T95" i="44"/>
  <c r="AF95" i="44"/>
  <c r="S89" i="44"/>
  <c r="S91" i="44"/>
  <c r="P89" i="44"/>
  <c r="AD89" i="44"/>
  <c r="T89" i="44"/>
  <c r="AF89" i="44"/>
  <c r="N76" i="44"/>
  <c r="N80" i="44"/>
  <c r="U50" i="44"/>
  <c r="S78" i="44"/>
  <c r="U15" i="44"/>
  <c r="N25" i="44"/>
  <c r="U49" i="44"/>
  <c r="S54" i="44"/>
  <c r="T54" i="44" s="1"/>
  <c r="S60" i="44"/>
  <c r="U55" i="44"/>
  <c r="S40" i="44"/>
  <c r="T40" i="44" s="1"/>
  <c r="U53" i="44"/>
  <c r="S47" i="44"/>
  <c r="U52" i="44"/>
  <c r="V57" i="44"/>
  <c r="S59" i="44"/>
  <c r="S64" i="44"/>
  <c r="S66" i="44"/>
  <c r="S71" i="44"/>
  <c r="U57" i="44"/>
  <c r="S51" i="44"/>
  <c r="S58" i="44"/>
  <c r="U59" i="44"/>
  <c r="S63" i="44"/>
  <c r="U43" i="44"/>
  <c r="AD43" i="44" s="1"/>
  <c r="AE43" i="44" s="1"/>
  <c r="U46" i="44"/>
  <c r="U54" i="44"/>
  <c r="AD54" i="44" s="1"/>
  <c r="AE54" i="44" s="1"/>
  <c r="P54" i="44"/>
  <c r="N44" i="44"/>
  <c r="S42" i="44"/>
  <c r="T42" i="44" s="1"/>
  <c r="U42" i="44"/>
  <c r="AD42" i="44" s="1"/>
  <c r="AE42" i="44" s="1"/>
  <c r="S41" i="44"/>
  <c r="S43" i="44"/>
  <c r="T43" i="44" s="1"/>
  <c r="AF43" i="44"/>
  <c r="AG43" i="44" s="1"/>
  <c r="AF42" i="44"/>
  <c r="AG42" i="44" s="1"/>
  <c r="AD40" i="44"/>
  <c r="AE40" i="44" s="1"/>
  <c r="S37" i="44"/>
  <c r="T37" i="44" s="1"/>
  <c r="N16" i="44"/>
  <c r="S39" i="44"/>
  <c r="P40" i="44"/>
  <c r="AF40" i="44"/>
  <c r="AG40" i="44" s="1"/>
  <c r="P39" i="44"/>
  <c r="T39" i="44"/>
  <c r="AD39" i="44"/>
  <c r="AE39" i="44" s="1"/>
  <c r="AF39" i="44"/>
  <c r="AG39" i="44" s="1"/>
  <c r="P37" i="44"/>
  <c r="AD37" i="44"/>
  <c r="AF37" i="44"/>
  <c r="P23" i="44"/>
  <c r="S18" i="44"/>
  <c r="U22" i="44"/>
  <c r="AD22" i="44" s="1"/>
  <c r="AE22" i="44" s="1"/>
  <c r="S23" i="44"/>
  <c r="T23" i="44" s="1"/>
  <c r="AD27" i="44"/>
  <c r="P27" i="44"/>
  <c r="P28" i="44" s="1"/>
  <c r="AF27" i="44"/>
  <c r="S27" i="44"/>
  <c r="T27" i="44" s="1"/>
  <c r="T28" i="44" s="1"/>
  <c r="U27" i="44"/>
  <c r="U28" i="44" s="1"/>
  <c r="U23" i="44"/>
  <c r="AD23" i="44" s="1"/>
  <c r="AE23" i="44" s="1"/>
  <c r="U24" i="44"/>
  <c r="AD24" i="44" s="1"/>
  <c r="AE24" i="44" s="1"/>
  <c r="AF24" i="44"/>
  <c r="P24" i="44"/>
  <c r="S24" i="44"/>
  <c r="T24" i="44" s="1"/>
  <c r="S19" i="44"/>
  <c r="P22" i="44"/>
  <c r="S22" i="44"/>
  <c r="T22" i="44" s="1"/>
  <c r="AE144" i="45"/>
  <c r="AE217" i="45"/>
  <c r="Q144" i="45"/>
  <c r="P144" i="45"/>
  <c r="AG217" i="45"/>
  <c r="AF144" i="45"/>
  <c r="O217" i="45"/>
  <c r="P217" i="45"/>
  <c r="AD144" i="45"/>
  <c r="AI217" i="45"/>
  <c r="AG144" i="45"/>
  <c r="T144" i="45"/>
  <c r="AI144" i="45"/>
  <c r="O144" i="45"/>
  <c r="U144" i="45"/>
  <c r="AD171" i="45"/>
  <c r="T217" i="45"/>
  <c r="AJ217" i="45"/>
  <c r="U217" i="45"/>
  <c r="AF217" i="45"/>
  <c r="AD160" i="45"/>
  <c r="AD187" i="45"/>
  <c r="Q217" i="45"/>
  <c r="Y197" i="44" l="1"/>
  <c r="AB197" i="44"/>
  <c r="Z197" i="44"/>
  <c r="R197" i="44"/>
  <c r="AC197" i="44"/>
  <c r="AA197" i="44"/>
  <c r="X197" i="44"/>
  <c r="N99" i="44"/>
  <c r="T190" i="46"/>
  <c r="T132" i="46"/>
  <c r="T177" i="46"/>
  <c r="T164" i="46"/>
  <c r="V164" i="46"/>
  <c r="T125" i="46"/>
  <c r="V128" i="46"/>
  <c r="T128" i="46"/>
  <c r="T176" i="46"/>
  <c r="T137" i="46"/>
  <c r="V163" i="46"/>
  <c r="T163" i="46"/>
  <c r="T213" i="46"/>
  <c r="T142" i="46"/>
  <c r="T191" i="46"/>
  <c r="T214" i="46"/>
  <c r="T165" i="46"/>
  <c r="V165" i="46"/>
  <c r="T186" i="46"/>
  <c r="T193" i="46"/>
  <c r="T149" i="46"/>
  <c r="T183" i="46"/>
  <c r="V194" i="46"/>
  <c r="T194" i="46"/>
  <c r="T174" i="46"/>
  <c r="T131" i="46"/>
  <c r="T136" i="46"/>
  <c r="T148" i="46"/>
  <c r="T126" i="46"/>
  <c r="T141" i="46"/>
  <c r="V141" i="46"/>
  <c r="O199" i="46"/>
  <c r="T180" i="46"/>
  <c r="T217" i="46"/>
  <c r="T152" i="46"/>
  <c r="O157" i="46"/>
  <c r="T195" i="46"/>
  <c r="T144" i="46"/>
  <c r="T175" i="46"/>
  <c r="V140" i="46"/>
  <c r="T140" i="46"/>
  <c r="T197" i="46"/>
  <c r="O150" i="46"/>
  <c r="T143" i="46"/>
  <c r="T198" i="46"/>
  <c r="T134" i="46"/>
  <c r="T181" i="46"/>
  <c r="T135" i="46"/>
  <c r="T145" i="46"/>
  <c r="T129" i="46"/>
  <c r="T146" i="46"/>
  <c r="T184" i="46"/>
  <c r="T127" i="46"/>
  <c r="T156" i="46"/>
  <c r="T185" i="46"/>
  <c r="T153" i="46"/>
  <c r="T196" i="46"/>
  <c r="T154" i="46"/>
  <c r="O218" i="46"/>
  <c r="O220" i="46" s="1"/>
  <c r="T212" i="46"/>
  <c r="T192" i="46"/>
  <c r="O178" i="46"/>
  <c r="T173" i="46"/>
  <c r="T138" i="46"/>
  <c r="V138" i="46"/>
  <c r="V139" i="46"/>
  <c r="T139" i="46"/>
  <c r="T166" i="46"/>
  <c r="T133" i="46"/>
  <c r="T155" i="46"/>
  <c r="O202" i="46"/>
  <c r="T201" i="46"/>
  <c r="T202" i="46" s="1"/>
  <c r="V130" i="46"/>
  <c r="T130" i="46"/>
  <c r="T187" i="46"/>
  <c r="T204" i="46"/>
  <c r="T205" i="46" s="1"/>
  <c r="O205" i="46"/>
  <c r="O160" i="46"/>
  <c r="T159" i="46"/>
  <c r="T160" i="46" s="1"/>
  <c r="T182" i="46"/>
  <c r="O167" i="46"/>
  <c r="T162" i="46"/>
  <c r="V162" i="46"/>
  <c r="T216" i="46"/>
  <c r="AG95" i="44"/>
  <c r="AE95" i="44"/>
  <c r="AG89" i="44"/>
  <c r="AE89" i="44"/>
  <c r="AG37" i="44"/>
  <c r="U44" i="44"/>
  <c r="AE37" i="44"/>
  <c r="AF28" i="44"/>
  <c r="AG27" i="44"/>
  <c r="AG28" i="44" s="1"/>
  <c r="AD28" i="44"/>
  <c r="AE27" i="44"/>
  <c r="AE28" i="44" s="1"/>
  <c r="AG24" i="44"/>
  <c r="AD217" i="45"/>
  <c r="I291" i="46" l="1"/>
  <c r="E1928" i="40" s="1"/>
  <c r="E291" i="46"/>
  <c r="E1861" i="40" s="1"/>
  <c r="T178" i="46"/>
  <c r="T167" i="46"/>
  <c r="T150" i="46"/>
  <c r="T199" i="46"/>
  <c r="O169" i="46"/>
  <c r="T218" i="46"/>
  <c r="T220" i="46" s="1"/>
  <c r="O207" i="46"/>
  <c r="T157" i="46"/>
  <c r="T207" i="46" l="1"/>
  <c r="O222" i="46"/>
  <c r="AJ109" i="45"/>
  <c r="AI109" i="45"/>
  <c r="AH109" i="45"/>
  <c r="AG109" i="45"/>
  <c r="AF109" i="45"/>
  <c r="AE109" i="45"/>
  <c r="U109" i="45"/>
  <c r="T109" i="45"/>
  <c r="Q109" i="45"/>
  <c r="P109" i="45"/>
  <c r="O109" i="45"/>
  <c r="AD108" i="45"/>
  <c r="AD107" i="45"/>
  <c r="C100" i="45"/>
  <c r="C99" i="45"/>
  <c r="C91" i="45"/>
  <c r="C85" i="45"/>
  <c r="C84" i="45"/>
  <c r="C83" i="45"/>
  <c r="AD109" i="45" l="1"/>
  <c r="M88" i="45"/>
  <c r="N88" i="45" s="1"/>
  <c r="AB88" i="45" s="1"/>
  <c r="AB89" i="45" s="1"/>
  <c r="AC79" i="45"/>
  <c r="N79" i="45"/>
  <c r="AB79" i="45" s="1"/>
  <c r="AD79" i="45"/>
  <c r="N78" i="45"/>
  <c r="X78" i="45" s="1"/>
  <c r="N77" i="45"/>
  <c r="Z77" i="45" s="1"/>
  <c r="AD77" i="45"/>
  <c r="AC77" i="45"/>
  <c r="AD78" i="45"/>
  <c r="AC78" i="45"/>
  <c r="N75" i="45"/>
  <c r="AB75" i="45" s="1"/>
  <c r="AD75" i="45"/>
  <c r="AC75" i="45"/>
  <c r="N74" i="45"/>
  <c r="AB74" i="45" s="1"/>
  <c r="AD74" i="45"/>
  <c r="AC74" i="45"/>
  <c r="N73" i="45"/>
  <c r="X73" i="45" s="1"/>
  <c r="AD73" i="45"/>
  <c r="AC73" i="45"/>
  <c r="N69" i="45"/>
  <c r="AK69" i="45" s="1"/>
  <c r="AL69" i="45" s="1"/>
  <c r="N68" i="45"/>
  <c r="X68" i="45" s="1"/>
  <c r="N67" i="45"/>
  <c r="S67" i="45" s="1"/>
  <c r="AD69" i="45"/>
  <c r="AD68" i="45"/>
  <c r="AD67" i="45"/>
  <c r="M64" i="45"/>
  <c r="N64" i="45" s="1"/>
  <c r="AB64" i="45" s="1"/>
  <c r="C63" i="45"/>
  <c r="M61" i="45"/>
  <c r="N61" i="45" s="1"/>
  <c r="W61" i="45" s="1"/>
  <c r="M56" i="45"/>
  <c r="N56" i="45" s="1"/>
  <c r="AB56" i="45" s="1"/>
  <c r="AC104" i="45"/>
  <c r="AC105" i="45" s="1"/>
  <c r="N104" i="45"/>
  <c r="X104" i="45" s="1"/>
  <c r="Y104" i="45" s="1"/>
  <c r="Y105" i="45" s="1"/>
  <c r="AC101" i="45"/>
  <c r="N101" i="45"/>
  <c r="N100" i="45"/>
  <c r="AM100" i="45" s="1"/>
  <c r="AN100" i="45" s="1"/>
  <c r="N99" i="45"/>
  <c r="W99" i="45" s="1"/>
  <c r="AC98" i="45"/>
  <c r="N98" i="45"/>
  <c r="Z98" i="45" s="1"/>
  <c r="AA98" i="45" s="1"/>
  <c r="AC95" i="45"/>
  <c r="AC96" i="45" s="1"/>
  <c r="N95" i="45"/>
  <c r="AC92" i="45"/>
  <c r="N92" i="45"/>
  <c r="X92" i="45" s="1"/>
  <c r="AC91" i="45"/>
  <c r="N91" i="45"/>
  <c r="AC88" i="45"/>
  <c r="AC85" i="45"/>
  <c r="N85" i="45"/>
  <c r="W85" i="45" s="1"/>
  <c r="AC84" i="45"/>
  <c r="N84" i="45"/>
  <c r="Z84" i="45" s="1"/>
  <c r="AC83" i="45"/>
  <c r="N83" i="45"/>
  <c r="W83" i="45" s="1"/>
  <c r="AC80" i="45"/>
  <c r="N80" i="45"/>
  <c r="AB80" i="45" s="1"/>
  <c r="AC76" i="45"/>
  <c r="N76" i="45"/>
  <c r="W76" i="45" s="1"/>
  <c r="AC70" i="45"/>
  <c r="AC71" i="45" s="1"/>
  <c r="N70" i="45"/>
  <c r="S70" i="45" s="1"/>
  <c r="S71" i="45" s="1"/>
  <c r="AC64" i="45"/>
  <c r="AC63" i="45"/>
  <c r="AC62" i="45"/>
  <c r="AC61" i="45"/>
  <c r="AC60" i="45"/>
  <c r="AC59" i="45"/>
  <c r="AC58" i="45"/>
  <c r="AC57" i="45"/>
  <c r="AC56" i="45"/>
  <c r="AC53" i="45"/>
  <c r="AC52" i="45"/>
  <c r="AC51" i="45"/>
  <c r="AC50" i="45"/>
  <c r="AC49" i="45"/>
  <c r="AC48" i="45"/>
  <c r="AC47" i="45"/>
  <c r="AC46" i="45"/>
  <c r="AC45" i="45"/>
  <c r="AC44" i="45"/>
  <c r="AC43" i="45"/>
  <c r="AC42" i="45"/>
  <c r="AC41" i="45"/>
  <c r="AC40" i="45"/>
  <c r="AC36" i="45"/>
  <c r="AC37" i="45" s="1"/>
  <c r="AC22" i="45"/>
  <c r="AC21" i="45"/>
  <c r="AC19" i="45"/>
  <c r="AC18" i="45"/>
  <c r="AC17" i="45"/>
  <c r="AC16" i="45"/>
  <c r="AC15" i="45"/>
  <c r="N63" i="45"/>
  <c r="Z63" i="45" s="1"/>
  <c r="N62" i="45"/>
  <c r="W62" i="45" s="1"/>
  <c r="N60" i="45"/>
  <c r="W60" i="45" s="1"/>
  <c r="N59" i="45"/>
  <c r="X59" i="45" s="1"/>
  <c r="N58" i="45"/>
  <c r="Z58" i="45" s="1"/>
  <c r="N57" i="45"/>
  <c r="X57" i="45" s="1"/>
  <c r="N51" i="45"/>
  <c r="X51" i="45" s="1"/>
  <c r="M50" i="45"/>
  <c r="N50" i="45" s="1"/>
  <c r="W50" i="45" s="1"/>
  <c r="C53" i="45"/>
  <c r="C51" i="45"/>
  <c r="C47" i="45"/>
  <c r="C46" i="45"/>
  <c r="C44" i="45"/>
  <c r="C43" i="45"/>
  <c r="C42" i="45"/>
  <c r="C41" i="45"/>
  <c r="N36" i="45"/>
  <c r="W36" i="45" s="1"/>
  <c r="W37" i="45" s="1"/>
  <c r="N53" i="45"/>
  <c r="X53" i="45" s="1"/>
  <c r="N52" i="45"/>
  <c r="AK52" i="45" s="1"/>
  <c r="AL52" i="45" s="1"/>
  <c r="N49" i="45"/>
  <c r="X49" i="45" s="1"/>
  <c r="N48" i="45"/>
  <c r="X48" i="45" s="1"/>
  <c r="Y48" i="45" s="1"/>
  <c r="N47" i="45"/>
  <c r="N46" i="45"/>
  <c r="X46" i="45" s="1"/>
  <c r="Y46" i="45" s="1"/>
  <c r="N45" i="45"/>
  <c r="AB45" i="45" s="1"/>
  <c r="N44" i="45"/>
  <c r="X44" i="45" s="1"/>
  <c r="Y44" i="45" s="1"/>
  <c r="N43" i="45"/>
  <c r="X43" i="45" s="1"/>
  <c r="N42" i="45"/>
  <c r="X42" i="45" s="1"/>
  <c r="N41" i="45"/>
  <c r="X41" i="45" s="1"/>
  <c r="N40" i="45"/>
  <c r="X40" i="45" s="1"/>
  <c r="Y40" i="45" s="1"/>
  <c r="M33" i="45"/>
  <c r="N33" i="45" s="1"/>
  <c r="M30" i="45"/>
  <c r="N30" i="45" s="1"/>
  <c r="AK30" i="45" s="1"/>
  <c r="AL30" i="45" s="1"/>
  <c r="C30" i="45"/>
  <c r="C29" i="45"/>
  <c r="C22" i="45"/>
  <c r="C21" i="45"/>
  <c r="N29" i="45"/>
  <c r="W29" i="45" s="1"/>
  <c r="N28" i="45"/>
  <c r="AK28" i="45" s="1"/>
  <c r="AL28" i="45" s="1"/>
  <c r="N25" i="45"/>
  <c r="AA25" i="45" s="1"/>
  <c r="AA26" i="45" s="1"/>
  <c r="N21" i="45"/>
  <c r="X21" i="45" s="1"/>
  <c r="N22" i="45"/>
  <c r="AB22" i="45" s="1"/>
  <c r="N20" i="45"/>
  <c r="X20" i="45" s="1"/>
  <c r="N19" i="45"/>
  <c r="X19" i="45" s="1"/>
  <c r="C19" i="45"/>
  <c r="N18" i="45"/>
  <c r="W18" i="45" s="1"/>
  <c r="C18" i="45"/>
  <c r="N17" i="45"/>
  <c r="X17" i="45" s="1"/>
  <c r="C17" i="45"/>
  <c r="N16" i="45"/>
  <c r="X16" i="45" s="1"/>
  <c r="C16" i="45"/>
  <c r="N15" i="45"/>
  <c r="W15" i="45" s="1"/>
  <c r="AD15" i="45"/>
  <c r="AD16" i="45"/>
  <c r="AD17" i="45"/>
  <c r="AD18" i="45"/>
  <c r="AD19" i="45"/>
  <c r="AD21" i="45"/>
  <c r="AH21" i="45"/>
  <c r="AH23" i="45" s="1"/>
  <c r="AD22" i="45"/>
  <c r="O23" i="45"/>
  <c r="P23" i="45"/>
  <c r="Q23" i="45"/>
  <c r="T23" i="45"/>
  <c r="U23" i="45"/>
  <c r="AE23" i="45"/>
  <c r="AF23" i="45"/>
  <c r="AG23" i="45"/>
  <c r="AI23" i="45"/>
  <c r="AJ23" i="45"/>
  <c r="O26" i="45"/>
  <c r="P26" i="45"/>
  <c r="Q26" i="45"/>
  <c r="T26" i="45"/>
  <c r="U26" i="45"/>
  <c r="AC26" i="45"/>
  <c r="AD26" i="45"/>
  <c r="AE26" i="45"/>
  <c r="AF26" i="45"/>
  <c r="AG26" i="45"/>
  <c r="AH26" i="45"/>
  <c r="AI26" i="45"/>
  <c r="AJ26" i="45"/>
  <c r="O31" i="45"/>
  <c r="P31" i="45"/>
  <c r="Q31" i="45"/>
  <c r="T31" i="45"/>
  <c r="U31" i="45"/>
  <c r="Y31" i="45"/>
  <c r="AA31" i="45"/>
  <c r="AB31" i="45"/>
  <c r="AC31" i="45"/>
  <c r="AD31" i="45"/>
  <c r="AE31" i="45"/>
  <c r="AF31" i="45"/>
  <c r="AG31" i="45"/>
  <c r="AH31" i="45"/>
  <c r="AI31" i="45"/>
  <c r="AJ31" i="45"/>
  <c r="O34" i="45"/>
  <c r="P34" i="45"/>
  <c r="Q34" i="45"/>
  <c r="T34" i="45"/>
  <c r="U34" i="45"/>
  <c r="Y34" i="45"/>
  <c r="AA34" i="45"/>
  <c r="AB34" i="45"/>
  <c r="AC34" i="45"/>
  <c r="AD34" i="45"/>
  <c r="AE34" i="45"/>
  <c r="AF34" i="45"/>
  <c r="AG34" i="45"/>
  <c r="AH34" i="45"/>
  <c r="AI34" i="45"/>
  <c r="AJ34" i="45"/>
  <c r="AD36" i="45"/>
  <c r="AD37" i="45" s="1"/>
  <c r="O37" i="45"/>
  <c r="P37" i="45"/>
  <c r="Q37" i="45"/>
  <c r="T37" i="45"/>
  <c r="U37" i="45"/>
  <c r="AE37" i="45"/>
  <c r="AF37" i="45"/>
  <c r="AF38" i="45" s="1"/>
  <c r="AG37" i="45"/>
  <c r="AH37" i="45"/>
  <c r="AI37" i="45"/>
  <c r="AJ37" i="45"/>
  <c r="AD40" i="45"/>
  <c r="AD41" i="45"/>
  <c r="AD42" i="45"/>
  <c r="AD43" i="45"/>
  <c r="AD44" i="45"/>
  <c r="AD45" i="45"/>
  <c r="AD46" i="45"/>
  <c r="AD47" i="45"/>
  <c r="AD48" i="45"/>
  <c r="AD49" i="45"/>
  <c r="AD50" i="45"/>
  <c r="AD51" i="45"/>
  <c r="AD52" i="45"/>
  <c r="AD53" i="45"/>
  <c r="O54" i="45"/>
  <c r="P54" i="45"/>
  <c r="Q54" i="45"/>
  <c r="T54" i="45"/>
  <c r="U54" i="45"/>
  <c r="AE54" i="45"/>
  <c r="AF54" i="45"/>
  <c r="AG54" i="45"/>
  <c r="AH54" i="45"/>
  <c r="AI54" i="45"/>
  <c r="AJ54" i="45"/>
  <c r="AD56" i="45"/>
  <c r="AD57" i="45"/>
  <c r="AD58" i="45"/>
  <c r="AD59" i="45"/>
  <c r="AD60" i="45"/>
  <c r="AD61" i="45"/>
  <c r="AD62" i="45"/>
  <c r="AD63" i="45"/>
  <c r="AD64" i="45"/>
  <c r="O65" i="45"/>
  <c r="P65" i="45"/>
  <c r="Q65" i="45"/>
  <c r="T65" i="45"/>
  <c r="U65" i="45"/>
  <c r="AE65" i="45"/>
  <c r="AF65" i="45"/>
  <c r="AG65" i="45"/>
  <c r="AH65" i="45"/>
  <c r="AI65" i="45"/>
  <c r="AJ65" i="45"/>
  <c r="AD70" i="45"/>
  <c r="AD71" i="45" s="1"/>
  <c r="O71" i="45"/>
  <c r="P71" i="45"/>
  <c r="Q71" i="45"/>
  <c r="T71" i="45"/>
  <c r="U71" i="45"/>
  <c r="AE71" i="45"/>
  <c r="AF71" i="45"/>
  <c r="AG71" i="45"/>
  <c r="AH71" i="45"/>
  <c r="AI71" i="45"/>
  <c r="AJ71" i="45"/>
  <c r="AD76" i="45"/>
  <c r="W80" i="45"/>
  <c r="AD80" i="45"/>
  <c r="O81" i="45"/>
  <c r="P81" i="45"/>
  <c r="Q81" i="45"/>
  <c r="T81" i="45"/>
  <c r="U81" i="45"/>
  <c r="AE81" i="45"/>
  <c r="AF81" i="45"/>
  <c r="AG81" i="45"/>
  <c r="AH81" i="45"/>
  <c r="AI81" i="45"/>
  <c r="AJ81" i="45"/>
  <c r="AD83" i="45"/>
  <c r="AD84" i="45"/>
  <c r="AD85" i="45"/>
  <c r="O86" i="45"/>
  <c r="P86" i="45"/>
  <c r="Q86" i="45"/>
  <c r="T86" i="45"/>
  <c r="U86" i="45"/>
  <c r="AE86" i="45"/>
  <c r="AF86" i="45"/>
  <c r="AG86" i="45"/>
  <c r="AH86" i="45"/>
  <c r="AI86" i="45"/>
  <c r="AJ86" i="45"/>
  <c r="AC89" i="45"/>
  <c r="AD88" i="45"/>
  <c r="AD89" i="45" s="1"/>
  <c r="O89" i="45"/>
  <c r="P89" i="45"/>
  <c r="Q89" i="45"/>
  <c r="T89" i="45"/>
  <c r="U89" i="45"/>
  <c r="AE89" i="45"/>
  <c r="AF89" i="45"/>
  <c r="AG89" i="45"/>
  <c r="AH89" i="45"/>
  <c r="AI89" i="45"/>
  <c r="AJ89" i="45"/>
  <c r="AD91" i="45"/>
  <c r="AD92" i="45"/>
  <c r="O93" i="45"/>
  <c r="P93" i="45"/>
  <c r="Q93" i="45"/>
  <c r="T93" i="45"/>
  <c r="U93" i="45"/>
  <c r="AE93" i="45"/>
  <c r="AF93" i="45"/>
  <c r="AG93" i="45"/>
  <c r="AH93" i="45"/>
  <c r="AI93" i="45"/>
  <c r="AJ93" i="45"/>
  <c r="AD95" i="45"/>
  <c r="AD96" i="45" s="1"/>
  <c r="O96" i="45"/>
  <c r="P96" i="45"/>
  <c r="Q96" i="45"/>
  <c r="T96" i="45"/>
  <c r="U96" i="45"/>
  <c r="AE96" i="45"/>
  <c r="AF96" i="45"/>
  <c r="AG96" i="45"/>
  <c r="AH96" i="45"/>
  <c r="AI96" i="45"/>
  <c r="AJ96" i="45"/>
  <c r="AD98" i="45"/>
  <c r="AD101" i="45"/>
  <c r="O102" i="45"/>
  <c r="P102" i="45"/>
  <c r="Q102" i="45"/>
  <c r="T102" i="45"/>
  <c r="U102" i="45"/>
  <c r="AE102" i="45"/>
  <c r="AF102" i="45"/>
  <c r="AG102" i="45"/>
  <c r="AH102" i="45"/>
  <c r="AI102" i="45"/>
  <c r="AJ102" i="45"/>
  <c r="AD104" i="45"/>
  <c r="AD105" i="45" s="1"/>
  <c r="O105" i="45"/>
  <c r="P105" i="45"/>
  <c r="P111" i="45" s="1"/>
  <c r="Q105" i="45"/>
  <c r="T105" i="45"/>
  <c r="U105" i="45"/>
  <c r="AE105" i="45"/>
  <c r="AE111" i="45" s="1"/>
  <c r="AF105" i="45"/>
  <c r="AG105" i="45"/>
  <c r="AH105" i="45"/>
  <c r="AI105" i="45"/>
  <c r="AI111" i="45" s="1"/>
  <c r="AJ105" i="45"/>
  <c r="N29" i="47"/>
  <c r="P29" i="47"/>
  <c r="T29" i="47"/>
  <c r="U29" i="47"/>
  <c r="V29" i="47" s="1"/>
  <c r="X29" i="47"/>
  <c r="AH29" i="47"/>
  <c r="AI29" i="47"/>
  <c r="AJ29" i="47"/>
  <c r="AK29" i="47"/>
  <c r="C20" i="47"/>
  <c r="N20" i="47"/>
  <c r="T20" i="47" s="1"/>
  <c r="P20" i="47"/>
  <c r="X20" i="47"/>
  <c r="AJ20" i="47"/>
  <c r="AK20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R57" i="47"/>
  <c r="Q57" i="47"/>
  <c r="AG56" i="47"/>
  <c r="AF56" i="47"/>
  <c r="AE56" i="47"/>
  <c r="AD56" i="47"/>
  <c r="AC56" i="47"/>
  <c r="AB56" i="47"/>
  <c r="AA56" i="47"/>
  <c r="Z56" i="47"/>
  <c r="Y56" i="47"/>
  <c r="R56" i="47"/>
  <c r="Q56" i="47"/>
  <c r="AG54" i="47"/>
  <c r="AF54" i="47"/>
  <c r="AE54" i="47"/>
  <c r="AD54" i="47"/>
  <c r="AC54" i="47"/>
  <c r="AB54" i="47"/>
  <c r="AA54" i="47"/>
  <c r="Z54" i="47"/>
  <c r="Y54" i="47"/>
  <c r="R54" i="47"/>
  <c r="Q54" i="47"/>
  <c r="M53" i="47"/>
  <c r="C53" i="47"/>
  <c r="AG52" i="47"/>
  <c r="AF52" i="47"/>
  <c r="AE52" i="47"/>
  <c r="AD52" i="47"/>
  <c r="AC52" i="47"/>
  <c r="AB52" i="47"/>
  <c r="AA52" i="47"/>
  <c r="Z52" i="47"/>
  <c r="Y52" i="47"/>
  <c r="R52" i="47"/>
  <c r="Q52" i="47"/>
  <c r="C51" i="47"/>
  <c r="C50" i="47"/>
  <c r="AG49" i="47"/>
  <c r="AF49" i="47"/>
  <c r="AE49" i="47"/>
  <c r="AD49" i="47"/>
  <c r="AC49" i="47"/>
  <c r="AB49" i="47"/>
  <c r="AA49" i="47"/>
  <c r="Z49" i="47"/>
  <c r="Y49" i="47"/>
  <c r="R49" i="47"/>
  <c r="Q49" i="47"/>
  <c r="C48" i="47"/>
  <c r="C47" i="47"/>
  <c r="C46" i="47"/>
  <c r="M45" i="47"/>
  <c r="C45" i="47"/>
  <c r="AG44" i="47"/>
  <c r="AF44" i="47"/>
  <c r="AE44" i="47"/>
  <c r="AD44" i="47"/>
  <c r="AC44" i="47"/>
  <c r="AB44" i="47"/>
  <c r="AA44" i="47"/>
  <c r="Z44" i="47"/>
  <c r="Y44" i="47"/>
  <c r="R44" i="47"/>
  <c r="Q44" i="47"/>
  <c r="M27" i="47"/>
  <c r="N27" i="47" s="1"/>
  <c r="N25" i="47"/>
  <c r="N24" i="47"/>
  <c r="N22" i="47"/>
  <c r="U22" i="47" s="1"/>
  <c r="N21" i="47"/>
  <c r="U21" i="47" s="1"/>
  <c r="M19" i="47"/>
  <c r="N19" i="47" s="1"/>
  <c r="U19" i="47" s="1"/>
  <c r="N17" i="47"/>
  <c r="N16" i="47"/>
  <c r="N15" i="47"/>
  <c r="C27" i="47"/>
  <c r="C25" i="47"/>
  <c r="C24" i="47"/>
  <c r="C22" i="47"/>
  <c r="C21" i="47"/>
  <c r="C19" i="47"/>
  <c r="N109" i="43"/>
  <c r="N107" i="43"/>
  <c r="N106" i="43"/>
  <c r="X106" i="43" s="1"/>
  <c r="N105" i="43"/>
  <c r="N103" i="43"/>
  <c r="N102" i="43"/>
  <c r="N101" i="43"/>
  <c r="N97" i="43"/>
  <c r="AK97" i="43" s="1"/>
  <c r="AL97" i="43" s="1"/>
  <c r="N96" i="43"/>
  <c r="N92" i="43"/>
  <c r="AC88" i="43"/>
  <c r="N88" i="43"/>
  <c r="AC87" i="43"/>
  <c r="T87" i="43"/>
  <c r="N87" i="43"/>
  <c r="AC86" i="43"/>
  <c r="N86" i="43"/>
  <c r="N85" i="43"/>
  <c r="N84" i="43"/>
  <c r="N83" i="43"/>
  <c r="N82" i="43"/>
  <c r="N81" i="43"/>
  <c r="N80" i="43"/>
  <c r="N78" i="43"/>
  <c r="N77" i="43"/>
  <c r="X77" i="43" s="1"/>
  <c r="N76" i="43"/>
  <c r="N75" i="43"/>
  <c r="N74" i="43"/>
  <c r="N72" i="43"/>
  <c r="N71" i="43"/>
  <c r="AM71" i="43" s="1"/>
  <c r="AN71" i="43" s="1"/>
  <c r="N70" i="43"/>
  <c r="N69" i="43"/>
  <c r="AC67" i="43"/>
  <c r="N67" i="43"/>
  <c r="AC66" i="43"/>
  <c r="N66" i="43"/>
  <c r="AC65" i="43"/>
  <c r="N65" i="43"/>
  <c r="N64" i="43"/>
  <c r="N63" i="43"/>
  <c r="N61" i="43"/>
  <c r="N57" i="43"/>
  <c r="N56" i="43"/>
  <c r="N54" i="43"/>
  <c r="N53" i="43"/>
  <c r="N52" i="43"/>
  <c r="AJ51" i="43"/>
  <c r="AC51" i="43"/>
  <c r="N51" i="43"/>
  <c r="AM51" i="43" s="1"/>
  <c r="AN51" i="43" s="1"/>
  <c r="N50" i="43"/>
  <c r="N49" i="43"/>
  <c r="N48" i="43"/>
  <c r="N47" i="43"/>
  <c r="N46" i="43"/>
  <c r="AJ45" i="43"/>
  <c r="N45" i="43"/>
  <c r="AH44" i="43"/>
  <c r="N44" i="43"/>
  <c r="N43" i="43"/>
  <c r="N42" i="43"/>
  <c r="N41" i="43"/>
  <c r="N40" i="43"/>
  <c r="AF34" i="43"/>
  <c r="N34" i="43"/>
  <c r="T33" i="43"/>
  <c r="N31" i="43"/>
  <c r="AJ30" i="43"/>
  <c r="AK35" i="43" s="1"/>
  <c r="N30" i="43"/>
  <c r="AJ216" i="43"/>
  <c r="AI216" i="43"/>
  <c r="AH216" i="43"/>
  <c r="AG216" i="43"/>
  <c r="AF216" i="43"/>
  <c r="AD216" i="43"/>
  <c r="AC216" i="43"/>
  <c r="AB216" i="43"/>
  <c r="U216" i="43"/>
  <c r="T216" i="43"/>
  <c r="Q216" i="43"/>
  <c r="P216" i="43"/>
  <c r="O216" i="43"/>
  <c r="C215" i="43"/>
  <c r="AJ214" i="43"/>
  <c r="AI214" i="43"/>
  <c r="AH214" i="43"/>
  <c r="AG214" i="43"/>
  <c r="AF214" i="43"/>
  <c r="AD214" i="43"/>
  <c r="AC214" i="43"/>
  <c r="AB214" i="43"/>
  <c r="U214" i="43"/>
  <c r="T214" i="43"/>
  <c r="Q214" i="43"/>
  <c r="P214" i="43"/>
  <c r="O214" i="43"/>
  <c r="C211" i="43"/>
  <c r="AJ210" i="43"/>
  <c r="AI210" i="43"/>
  <c r="AH210" i="43"/>
  <c r="AG210" i="43"/>
  <c r="AF210" i="43"/>
  <c r="AD210" i="43"/>
  <c r="AC210" i="43"/>
  <c r="AB210" i="43"/>
  <c r="U210" i="43"/>
  <c r="T210" i="43"/>
  <c r="Q210" i="43"/>
  <c r="P210" i="43"/>
  <c r="O210" i="43"/>
  <c r="AJ206" i="43"/>
  <c r="AI206" i="43"/>
  <c r="AH206" i="43"/>
  <c r="AG206" i="43"/>
  <c r="AF206" i="43"/>
  <c r="AE206" i="43"/>
  <c r="AD206" i="43"/>
  <c r="AC206" i="43"/>
  <c r="AB206" i="43"/>
  <c r="AA206" i="43"/>
  <c r="Y206" i="43"/>
  <c r="U206" i="43"/>
  <c r="T206" i="43"/>
  <c r="Q206" i="43"/>
  <c r="P206" i="43"/>
  <c r="O206" i="43"/>
  <c r="M205" i="43"/>
  <c r="C205" i="43"/>
  <c r="AJ204" i="43"/>
  <c r="AI204" i="43"/>
  <c r="AH204" i="43"/>
  <c r="AG204" i="43"/>
  <c r="AF204" i="43"/>
  <c r="AE204" i="43"/>
  <c r="AD204" i="43"/>
  <c r="AC204" i="43"/>
  <c r="AB204" i="43"/>
  <c r="AA204" i="43"/>
  <c r="U204" i="43"/>
  <c r="T204" i="43"/>
  <c r="Q204" i="43"/>
  <c r="P204" i="43"/>
  <c r="O204" i="43"/>
  <c r="AJ201" i="43"/>
  <c r="AI201" i="43"/>
  <c r="AH201" i="43"/>
  <c r="AG201" i="43"/>
  <c r="AF201" i="43"/>
  <c r="AE201" i="43"/>
  <c r="AD201" i="43"/>
  <c r="AC201" i="43"/>
  <c r="AB201" i="43"/>
  <c r="AA201" i="43"/>
  <c r="Z201" i="43"/>
  <c r="U201" i="43"/>
  <c r="T201" i="43"/>
  <c r="Q201" i="43"/>
  <c r="P201" i="43"/>
  <c r="O201" i="43"/>
  <c r="M200" i="43"/>
  <c r="AJ199" i="43"/>
  <c r="AI199" i="43"/>
  <c r="AH199" i="43"/>
  <c r="AF199" i="43"/>
  <c r="AE199" i="43"/>
  <c r="AD199" i="43"/>
  <c r="AC199" i="43"/>
  <c r="AB199" i="43"/>
  <c r="AA199" i="43"/>
  <c r="Z199" i="43"/>
  <c r="U199" i="43"/>
  <c r="T199" i="43"/>
  <c r="Q199" i="43"/>
  <c r="P199" i="43"/>
  <c r="O199" i="43"/>
  <c r="C198" i="43"/>
  <c r="AJ197" i="43"/>
  <c r="AI197" i="43"/>
  <c r="AH197" i="43"/>
  <c r="AG197" i="43"/>
  <c r="AF197" i="43"/>
  <c r="AE197" i="43"/>
  <c r="AD197" i="43"/>
  <c r="AC197" i="43"/>
  <c r="AB197" i="43"/>
  <c r="AA197" i="43"/>
  <c r="Y197" i="43"/>
  <c r="U197" i="43"/>
  <c r="T197" i="43"/>
  <c r="Q197" i="43"/>
  <c r="P197" i="43"/>
  <c r="O197" i="43"/>
  <c r="M196" i="43"/>
  <c r="AJ195" i="43"/>
  <c r="AI195" i="43"/>
  <c r="AH195" i="43"/>
  <c r="AG195" i="43"/>
  <c r="AF195" i="43"/>
  <c r="U195" i="43"/>
  <c r="Q195" i="43"/>
  <c r="P195" i="43"/>
  <c r="O195" i="43"/>
  <c r="AD194" i="43"/>
  <c r="AD193" i="43"/>
  <c r="AD192" i="43"/>
  <c r="AJ185" i="43"/>
  <c r="AI185" i="43"/>
  <c r="AH185" i="43"/>
  <c r="AG185" i="43"/>
  <c r="AF185" i="43"/>
  <c r="AD185" i="43"/>
  <c r="AC185" i="43"/>
  <c r="U185" i="43"/>
  <c r="T185" i="43"/>
  <c r="Q185" i="43"/>
  <c r="P185" i="43"/>
  <c r="O185" i="43"/>
  <c r="C183" i="43"/>
  <c r="AJ179" i="43"/>
  <c r="AI179" i="43"/>
  <c r="AH179" i="43"/>
  <c r="AG179" i="43"/>
  <c r="AF179" i="43"/>
  <c r="AE179" i="43"/>
  <c r="AD179" i="43"/>
  <c r="AC179" i="43"/>
  <c r="AB179" i="43"/>
  <c r="AA179" i="43"/>
  <c r="Y179" i="43"/>
  <c r="U179" i="43"/>
  <c r="T179" i="43"/>
  <c r="Q179" i="43"/>
  <c r="P179" i="43"/>
  <c r="O179" i="43"/>
  <c r="AJ174" i="43"/>
  <c r="AI174" i="43"/>
  <c r="AH174" i="43"/>
  <c r="AG174" i="43"/>
  <c r="AF174" i="43"/>
  <c r="AE174" i="43"/>
  <c r="U174" i="43"/>
  <c r="T174" i="43"/>
  <c r="Q174" i="43"/>
  <c r="P174" i="43"/>
  <c r="O174" i="43"/>
  <c r="AD173" i="43"/>
  <c r="AD172" i="43"/>
  <c r="AD171" i="43"/>
  <c r="AD170" i="43"/>
  <c r="AD169" i="43"/>
  <c r="AJ168" i="43"/>
  <c r="AI168" i="43"/>
  <c r="AH168" i="43"/>
  <c r="AG168" i="43"/>
  <c r="AF168" i="43"/>
  <c r="AE168" i="43"/>
  <c r="AD168" i="43"/>
  <c r="AC168" i="43"/>
  <c r="AB168" i="43"/>
  <c r="U168" i="43"/>
  <c r="T168" i="43"/>
  <c r="Q168" i="43"/>
  <c r="P168" i="43"/>
  <c r="O168" i="43"/>
  <c r="X167" i="43"/>
  <c r="AJ166" i="43"/>
  <c r="AI166" i="43"/>
  <c r="AH166" i="43"/>
  <c r="AG166" i="43"/>
  <c r="AF166" i="43"/>
  <c r="AE166" i="43"/>
  <c r="AD166" i="43"/>
  <c r="AC166" i="43"/>
  <c r="AB166" i="43"/>
  <c r="AA166" i="43"/>
  <c r="Y166" i="43"/>
  <c r="U166" i="43"/>
  <c r="T166" i="43"/>
  <c r="Q166" i="43"/>
  <c r="P166" i="43"/>
  <c r="O166" i="43"/>
  <c r="M165" i="43"/>
  <c r="AJ164" i="43"/>
  <c r="AI164" i="43"/>
  <c r="AH164" i="43"/>
  <c r="AG164" i="43"/>
  <c r="AF164" i="43"/>
  <c r="AE164" i="43"/>
  <c r="AD164" i="43"/>
  <c r="AC164" i="43"/>
  <c r="AB164" i="43"/>
  <c r="AA164" i="43"/>
  <c r="Y164" i="43"/>
  <c r="U164" i="43"/>
  <c r="T164" i="43"/>
  <c r="Q164" i="43"/>
  <c r="P164" i="43"/>
  <c r="O164" i="43"/>
  <c r="AF161" i="43"/>
  <c r="AE161" i="43"/>
  <c r="AB161" i="43"/>
  <c r="U161" i="43"/>
  <c r="Q161" i="43"/>
  <c r="P161" i="43"/>
  <c r="O161" i="43"/>
  <c r="AD157" i="43"/>
  <c r="AD161" i="43" s="1"/>
  <c r="V152" i="43"/>
  <c r="AI150" i="43"/>
  <c r="AJ145" i="43"/>
  <c r="AI145" i="43"/>
  <c r="AH145" i="43"/>
  <c r="AG145" i="43"/>
  <c r="AF145" i="43"/>
  <c r="AE145" i="43"/>
  <c r="AD145" i="43"/>
  <c r="AC145" i="43"/>
  <c r="AB145" i="43"/>
  <c r="U145" i="43"/>
  <c r="T145" i="43"/>
  <c r="Q145" i="43"/>
  <c r="P145" i="43"/>
  <c r="O145" i="43"/>
  <c r="M144" i="43"/>
  <c r="AJ143" i="43"/>
  <c r="AI143" i="43"/>
  <c r="AH143" i="43"/>
  <c r="AG143" i="43"/>
  <c r="AF143" i="43"/>
  <c r="AE143" i="43"/>
  <c r="AD143" i="43"/>
  <c r="AC143" i="43"/>
  <c r="AB143" i="43"/>
  <c r="U143" i="43"/>
  <c r="T143" i="43"/>
  <c r="Q143" i="43"/>
  <c r="P143" i="43"/>
  <c r="O143" i="43"/>
  <c r="M142" i="43"/>
  <c r="AI141" i="43"/>
  <c r="AH141" i="43"/>
  <c r="AG141" i="43"/>
  <c r="AE141" i="43"/>
  <c r="AD141" i="43"/>
  <c r="AB141" i="43"/>
  <c r="U141" i="43"/>
  <c r="Q141" i="43"/>
  <c r="P141" i="43"/>
  <c r="O141" i="43"/>
  <c r="AC140" i="43"/>
  <c r="AC141" i="43" s="1"/>
  <c r="M139" i="43"/>
  <c r="M138" i="43"/>
  <c r="AJ135" i="43"/>
  <c r="AI135" i="43"/>
  <c r="AH135" i="43"/>
  <c r="AG135" i="43"/>
  <c r="AF135" i="43"/>
  <c r="AE135" i="43"/>
  <c r="AD135" i="43"/>
  <c r="AC135" i="43"/>
  <c r="AB135" i="43"/>
  <c r="AA135" i="43"/>
  <c r="Y135" i="43"/>
  <c r="U135" i="43"/>
  <c r="T135" i="43"/>
  <c r="Q135" i="43"/>
  <c r="P135" i="43"/>
  <c r="O135" i="43"/>
  <c r="M134" i="43"/>
  <c r="AJ133" i="43"/>
  <c r="AI133" i="43"/>
  <c r="AH133" i="43"/>
  <c r="AG133" i="43"/>
  <c r="AF133" i="43"/>
  <c r="AE133" i="43"/>
  <c r="AD133" i="43"/>
  <c r="AC133" i="43"/>
  <c r="AB133" i="43"/>
  <c r="AA133" i="43"/>
  <c r="Y133" i="43"/>
  <c r="U133" i="43"/>
  <c r="T133" i="43"/>
  <c r="Q133" i="43"/>
  <c r="P133" i="43"/>
  <c r="O133" i="43"/>
  <c r="M132" i="43"/>
  <c r="M131" i="43"/>
  <c r="M130" i="43"/>
  <c r="M129" i="43"/>
  <c r="M128" i="43"/>
  <c r="M127" i="43"/>
  <c r="M126" i="43"/>
  <c r="AJ125" i="43"/>
  <c r="AI125" i="43"/>
  <c r="AH125" i="43"/>
  <c r="AG125" i="43"/>
  <c r="AF125" i="43"/>
  <c r="AE125" i="43"/>
  <c r="AD125" i="43"/>
  <c r="AC125" i="43"/>
  <c r="AB125" i="43"/>
  <c r="AA125" i="43"/>
  <c r="Y125" i="43"/>
  <c r="U125" i="43"/>
  <c r="T125" i="43"/>
  <c r="Q125" i="43"/>
  <c r="P125" i="43"/>
  <c r="O125" i="43"/>
  <c r="M124" i="43"/>
  <c r="AJ123" i="43"/>
  <c r="AI123" i="43"/>
  <c r="AH123" i="43"/>
  <c r="AG123" i="43"/>
  <c r="AF123" i="43"/>
  <c r="AE123" i="43"/>
  <c r="AD123" i="43"/>
  <c r="AC123" i="43"/>
  <c r="AB123" i="43"/>
  <c r="AA123" i="43"/>
  <c r="Y123" i="43"/>
  <c r="U123" i="43"/>
  <c r="T123" i="43"/>
  <c r="Q123" i="43"/>
  <c r="P123" i="43"/>
  <c r="O123" i="43"/>
  <c r="M122" i="43"/>
  <c r="M121" i="43"/>
  <c r="AJ98" i="43"/>
  <c r="AI98" i="43"/>
  <c r="AH98" i="43"/>
  <c r="AG98" i="43"/>
  <c r="AF98" i="43"/>
  <c r="AE98" i="43"/>
  <c r="AD98" i="43"/>
  <c r="AC98" i="43"/>
  <c r="AB98" i="43"/>
  <c r="AA98" i="43"/>
  <c r="U98" i="43"/>
  <c r="T98" i="43"/>
  <c r="Q98" i="43"/>
  <c r="P98" i="43"/>
  <c r="O98" i="43"/>
  <c r="AG92" i="43"/>
  <c r="M99" i="43"/>
  <c r="N99" i="43" s="1"/>
  <c r="C99" i="43"/>
  <c r="M94" i="43"/>
  <c r="N94" i="43" s="1"/>
  <c r="T83" i="43"/>
  <c r="C77" i="43"/>
  <c r="M90" i="43"/>
  <c r="N90" i="43" s="1"/>
  <c r="C109" i="43"/>
  <c r="C105" i="43"/>
  <c r="C92" i="43"/>
  <c r="X61" i="43"/>
  <c r="AJ50" i="43"/>
  <c r="T49" i="43"/>
  <c r="T48" i="43"/>
  <c r="T51" i="43"/>
  <c r="AG47" i="43"/>
  <c r="T41" i="43"/>
  <c r="AD51" i="43"/>
  <c r="X41" i="43"/>
  <c r="M36" i="43"/>
  <c r="N36" i="43" s="1"/>
  <c r="AJ37" i="43"/>
  <c r="AI37" i="43"/>
  <c r="AH37" i="43"/>
  <c r="AG37" i="43"/>
  <c r="AF37" i="43"/>
  <c r="AE37" i="43"/>
  <c r="AD37" i="43"/>
  <c r="AC37" i="43"/>
  <c r="AB37" i="43"/>
  <c r="U37" i="43"/>
  <c r="T37" i="43"/>
  <c r="Q37" i="43"/>
  <c r="P37" i="43"/>
  <c r="O37" i="43"/>
  <c r="AK55" i="43" l="1"/>
  <c r="X79" i="45"/>
  <c r="Y79" i="45" s="1"/>
  <c r="X84" i="45"/>
  <c r="Y84" i="45" s="1"/>
  <c r="W69" i="45"/>
  <c r="U111" i="45"/>
  <c r="T111" i="45"/>
  <c r="AJ111" i="45"/>
  <c r="AF111" i="45"/>
  <c r="Q111" i="45"/>
  <c r="AH111" i="45"/>
  <c r="O111" i="45"/>
  <c r="AG111" i="45"/>
  <c r="U218" i="43"/>
  <c r="P218" i="43"/>
  <c r="W92" i="45"/>
  <c r="W63" i="45"/>
  <c r="AB68" i="45"/>
  <c r="AA75" i="45"/>
  <c r="X70" i="45"/>
  <c r="Y70" i="45" s="1"/>
  <c r="Y71" i="45" s="1"/>
  <c r="Z74" i="45"/>
  <c r="AA74" i="45" s="1"/>
  <c r="X74" i="45"/>
  <c r="W16" i="45"/>
  <c r="Z57" i="45"/>
  <c r="X60" i="45"/>
  <c r="AM75" i="45"/>
  <c r="AN75" i="45" s="1"/>
  <c r="X75" i="45"/>
  <c r="Z83" i="45"/>
  <c r="S75" i="45"/>
  <c r="X76" i="45"/>
  <c r="Y76" i="45" s="1"/>
  <c r="Z85" i="45"/>
  <c r="AA85" i="45" s="1"/>
  <c r="S91" i="45"/>
  <c r="X91" i="45"/>
  <c r="W95" i="45"/>
  <c r="W96" i="45" s="1"/>
  <c r="X95" i="45"/>
  <c r="Y95" i="45" s="1"/>
  <c r="Y96" i="45" s="1"/>
  <c r="AM57" i="45"/>
  <c r="AN57" i="45" s="1"/>
  <c r="X56" i="45"/>
  <c r="X61" i="45"/>
  <c r="Y61" i="45" s="1"/>
  <c r="X69" i="45"/>
  <c r="Y69" i="45" s="1"/>
  <c r="W75" i="45"/>
  <c r="AK75" i="45"/>
  <c r="AL75" i="45" s="1"/>
  <c r="X80" i="45"/>
  <c r="Y80" i="45" s="1"/>
  <c r="W79" i="45"/>
  <c r="X58" i="45"/>
  <c r="Z61" i="45"/>
  <c r="AA61" i="45" s="1"/>
  <c r="AM67" i="45"/>
  <c r="AN67" i="45" s="1"/>
  <c r="AB69" i="45"/>
  <c r="Z69" i="45"/>
  <c r="AA69" i="45" s="1"/>
  <c r="AB76" i="45"/>
  <c r="AB78" i="45"/>
  <c r="X85" i="45"/>
  <c r="Y85" i="45" s="1"/>
  <c r="W64" i="45"/>
  <c r="W67" i="45"/>
  <c r="AK67" i="45"/>
  <c r="AL67" i="45" s="1"/>
  <c r="N81" i="45"/>
  <c r="X63" i="45"/>
  <c r="Z67" i="45"/>
  <c r="AA67" i="45" s="1"/>
  <c r="S69" i="45"/>
  <c r="X67" i="45"/>
  <c r="Y67" i="45" s="1"/>
  <c r="Z70" i="45"/>
  <c r="X83" i="45"/>
  <c r="Y83" i="45" s="1"/>
  <c r="S79" i="45"/>
  <c r="AA79" i="45"/>
  <c r="AK79" i="45"/>
  <c r="AL79" i="45" s="1"/>
  <c r="AM79" i="45"/>
  <c r="AN79" i="45" s="1"/>
  <c r="AB77" i="45"/>
  <c r="X77" i="45"/>
  <c r="Y77" i="45" s="1"/>
  <c r="AM77" i="45"/>
  <c r="AN77" i="45" s="1"/>
  <c r="W77" i="45"/>
  <c r="AA77" i="45"/>
  <c r="AK77" i="45"/>
  <c r="AL77" i="45" s="1"/>
  <c r="S77" i="45"/>
  <c r="W78" i="45"/>
  <c r="AA78" i="45"/>
  <c r="AK78" i="45"/>
  <c r="AL78" i="45" s="1"/>
  <c r="Y78" i="45"/>
  <c r="AM78" i="45"/>
  <c r="AN78" i="45" s="1"/>
  <c r="S78" i="45"/>
  <c r="Y75" i="45"/>
  <c r="W74" i="45"/>
  <c r="AK74" i="45"/>
  <c r="AL74" i="45" s="1"/>
  <c r="Y74" i="45"/>
  <c r="AM74" i="45"/>
  <c r="AN74" i="45" s="1"/>
  <c r="S74" i="45"/>
  <c r="AM73" i="45"/>
  <c r="AN73" i="45" s="1"/>
  <c r="AB73" i="45"/>
  <c r="S73" i="45"/>
  <c r="AA73" i="45"/>
  <c r="W73" i="45"/>
  <c r="AK73" i="45"/>
  <c r="AL73" i="45" s="1"/>
  <c r="Y73" i="45"/>
  <c r="AM69" i="45"/>
  <c r="AN69" i="45" s="1"/>
  <c r="W68" i="45"/>
  <c r="AA68" i="45"/>
  <c r="AK68" i="45"/>
  <c r="AL68" i="45" s="1"/>
  <c r="Y68" i="45"/>
  <c r="AM68" i="45"/>
  <c r="AN68" i="45" s="1"/>
  <c r="S68" i="45"/>
  <c r="AB67" i="45"/>
  <c r="P38" i="45"/>
  <c r="Y56" i="45"/>
  <c r="Z59" i="45"/>
  <c r="AA59" i="45" s="1"/>
  <c r="Z62" i="45"/>
  <c r="X50" i="45"/>
  <c r="Y50" i="45" s="1"/>
  <c r="N54" i="45"/>
  <c r="Z60" i="45"/>
  <c r="AA60" i="45" s="1"/>
  <c r="Z64" i="45"/>
  <c r="X64" i="45"/>
  <c r="Y64" i="45" s="1"/>
  <c r="AJ38" i="45"/>
  <c r="Q38" i="45"/>
  <c r="Y53" i="45"/>
  <c r="Y51" i="45"/>
  <c r="Z56" i="45"/>
  <c r="AA56" i="45" s="1"/>
  <c r="X62" i="45"/>
  <c r="Y62" i="45" s="1"/>
  <c r="Y58" i="45"/>
  <c r="Y49" i="45"/>
  <c r="W41" i="45"/>
  <c r="AE38" i="45"/>
  <c r="X52" i="45"/>
  <c r="Y52" i="45" s="1"/>
  <c r="AI38" i="45"/>
  <c r="AK41" i="45"/>
  <c r="AL41" i="45" s="1"/>
  <c r="AH38" i="45"/>
  <c r="U38" i="45"/>
  <c r="O38" i="45"/>
  <c r="AG38" i="45"/>
  <c r="T38" i="45"/>
  <c r="S104" i="45"/>
  <c r="S105" i="45" s="1"/>
  <c r="AD102" i="45"/>
  <c r="AK19" i="45"/>
  <c r="AL19" i="45" s="1"/>
  <c r="X45" i="45"/>
  <c r="Y45" i="45" s="1"/>
  <c r="W43" i="45"/>
  <c r="X47" i="45"/>
  <c r="Y47" i="45" s="1"/>
  <c r="Y42" i="45"/>
  <c r="Z41" i="45"/>
  <c r="AA41" i="45" s="1"/>
  <c r="W21" i="45"/>
  <c r="W17" i="45"/>
  <c r="Z52" i="45"/>
  <c r="AA52" i="45" s="1"/>
  <c r="S36" i="45"/>
  <c r="S37" i="45" s="1"/>
  <c r="X15" i="45"/>
  <c r="Y15" i="45" s="1"/>
  <c r="X18" i="45"/>
  <c r="Y18" i="45" s="1"/>
  <c r="AM104" i="45"/>
  <c r="AN104" i="45" s="1"/>
  <c r="AN105" i="45" s="1"/>
  <c r="AB41" i="45"/>
  <c r="Z18" i="45"/>
  <c r="AA18" i="45" s="1"/>
  <c r="N102" i="45"/>
  <c r="W100" i="45"/>
  <c r="AK100" i="45"/>
  <c r="AL100" i="45" s="1"/>
  <c r="S100" i="45"/>
  <c r="AK99" i="45"/>
  <c r="AL99" i="45" s="1"/>
  <c r="S99" i="45"/>
  <c r="AM99" i="45"/>
  <c r="AN99" i="45" s="1"/>
  <c r="AK70" i="45"/>
  <c r="AL70" i="45" s="1"/>
  <c r="AL71" i="45" s="1"/>
  <c r="S46" i="45"/>
  <c r="Z45" i="45"/>
  <c r="AA45" i="45" s="1"/>
  <c r="N105" i="45"/>
  <c r="AB104" i="45"/>
  <c r="AB105" i="45" s="1"/>
  <c r="AB52" i="45"/>
  <c r="AK48" i="45"/>
  <c r="AL48" i="45" s="1"/>
  <c r="W48" i="45"/>
  <c r="AM40" i="45"/>
  <c r="AN40" i="45" s="1"/>
  <c r="AM84" i="45"/>
  <c r="AN84" i="45" s="1"/>
  <c r="Z48" i="45"/>
  <c r="AA48" i="45" s="1"/>
  <c r="AM22" i="45"/>
  <c r="AN22" i="45" s="1"/>
  <c r="AK18" i="45"/>
  <c r="AL18" i="45" s="1"/>
  <c r="AK17" i="45"/>
  <c r="AL17" i="45" s="1"/>
  <c r="S49" i="45"/>
  <c r="S28" i="45"/>
  <c r="AA17" i="45"/>
  <c r="AM49" i="45"/>
  <c r="AN49" i="45" s="1"/>
  <c r="AA91" i="45"/>
  <c r="S40" i="45"/>
  <c r="S22" i="45"/>
  <c r="S84" i="45"/>
  <c r="AB83" i="45"/>
  <c r="S30" i="45"/>
  <c r="W25" i="45"/>
  <c r="W26" i="45" s="1"/>
  <c r="AK80" i="45"/>
  <c r="AL80" i="45" s="1"/>
  <c r="AK76" i="45"/>
  <c r="AL76" i="45" s="1"/>
  <c r="AK43" i="45"/>
  <c r="AL43" i="45" s="1"/>
  <c r="AK104" i="45"/>
  <c r="AK105" i="45" s="1"/>
  <c r="Z104" i="45"/>
  <c r="AA104" i="45" s="1"/>
  <c r="AA105" i="45" s="1"/>
  <c r="N96" i="45"/>
  <c r="W104" i="45"/>
  <c r="W105" i="45" s="1"/>
  <c r="S85" i="45"/>
  <c r="AC86" i="45"/>
  <c r="N71" i="45"/>
  <c r="AA70" i="45"/>
  <c r="AA71" i="45" s="1"/>
  <c r="AK50" i="45"/>
  <c r="AL50" i="45" s="1"/>
  <c r="AB48" i="45"/>
  <c r="AM30" i="45"/>
  <c r="AN30" i="45" s="1"/>
  <c r="AK20" i="45"/>
  <c r="AL20" i="45" s="1"/>
  <c r="S18" i="45"/>
  <c r="AK91" i="45"/>
  <c r="AL91" i="45" s="1"/>
  <c r="S95" i="45"/>
  <c r="S96" i="45" s="1"/>
  <c r="AB92" i="45"/>
  <c r="AB85" i="45"/>
  <c r="S83" i="45"/>
  <c r="S53" i="45"/>
  <c r="S52" i="45"/>
  <c r="Z50" i="45"/>
  <c r="AA50" i="45" s="1"/>
  <c r="AM48" i="45"/>
  <c r="AN48" i="45" s="1"/>
  <c r="S48" i="45"/>
  <c r="AK45" i="45"/>
  <c r="AL45" i="45" s="1"/>
  <c r="S45" i="45"/>
  <c r="Z43" i="45"/>
  <c r="AA43" i="45" s="1"/>
  <c r="S42" i="45"/>
  <c r="S41" i="45"/>
  <c r="AK15" i="45"/>
  <c r="AL15" i="45" s="1"/>
  <c r="S15" i="45"/>
  <c r="N37" i="45"/>
  <c r="N93" i="45"/>
  <c r="S92" i="45"/>
  <c r="S93" i="45" s="1"/>
  <c r="AD65" i="45"/>
  <c r="Z49" i="45"/>
  <c r="AA49" i="45" s="1"/>
  <c r="Z40" i="45"/>
  <c r="AA40" i="45" s="1"/>
  <c r="AM28" i="45"/>
  <c r="AN28" i="45" s="1"/>
  <c r="AM25" i="45"/>
  <c r="AN25" i="45" s="1"/>
  <c r="Z22" i="45"/>
  <c r="AA22" i="45" s="1"/>
  <c r="AC54" i="45"/>
  <c r="AC102" i="45"/>
  <c r="AD81" i="45"/>
  <c r="W98" i="45"/>
  <c r="AK84" i="45"/>
  <c r="AL84" i="45" s="1"/>
  <c r="AA84" i="45"/>
  <c r="AM83" i="45"/>
  <c r="AN83" i="45" s="1"/>
  <c r="AA83" i="45"/>
  <c r="Z47" i="45"/>
  <c r="AA47" i="45" s="1"/>
  <c r="AB42" i="45"/>
  <c r="Y41" i="45"/>
  <c r="AK25" i="45"/>
  <c r="Y21" i="45"/>
  <c r="W20" i="45"/>
  <c r="AB16" i="45"/>
  <c r="AM98" i="45"/>
  <c r="AN98" i="45" s="1"/>
  <c r="S98" i="45"/>
  <c r="W84" i="45"/>
  <c r="W86" i="45" s="1"/>
  <c r="AM56" i="45"/>
  <c r="AN56" i="45" s="1"/>
  <c r="W56" i="45"/>
  <c r="AB49" i="45"/>
  <c r="AM47" i="45"/>
  <c r="AN47" i="45" s="1"/>
  <c r="S47" i="45"/>
  <c r="AM42" i="45"/>
  <c r="AN42" i="45" s="1"/>
  <c r="Z42" i="45"/>
  <c r="AA42" i="45" s="1"/>
  <c r="AM41" i="45"/>
  <c r="AN41" i="45" s="1"/>
  <c r="Y25" i="45"/>
  <c r="Y26" i="45" s="1"/>
  <c r="AK21" i="45"/>
  <c r="AL21" i="45" s="1"/>
  <c r="AB21" i="45"/>
  <c r="AM20" i="45"/>
  <c r="AN20" i="45" s="1"/>
  <c r="AC68" i="45" s="1"/>
  <c r="S20" i="45"/>
  <c r="AM16" i="45"/>
  <c r="AN16" i="45" s="1"/>
  <c r="AK56" i="45"/>
  <c r="AL56" i="45" s="1"/>
  <c r="AB84" i="45"/>
  <c r="AA20" i="45"/>
  <c r="W33" i="45"/>
  <c r="W34" i="45" s="1"/>
  <c r="AK33" i="45"/>
  <c r="AK34" i="45" s="1"/>
  <c r="AM58" i="45"/>
  <c r="AN58" i="45" s="1"/>
  <c r="W58" i="45"/>
  <c r="AC65" i="45"/>
  <c r="AM53" i="45"/>
  <c r="AN53" i="45" s="1"/>
  <c r="Z53" i="45"/>
  <c r="AA53" i="45" s="1"/>
  <c r="AM52" i="45"/>
  <c r="AN52" i="45" s="1"/>
  <c r="W52" i="45"/>
  <c r="S51" i="45"/>
  <c r="AB50" i="45"/>
  <c r="S50" i="45"/>
  <c r="AB47" i="45"/>
  <c r="AM46" i="45"/>
  <c r="AN46" i="45" s="1"/>
  <c r="Z46" i="45"/>
  <c r="AA46" i="45" s="1"/>
  <c r="AM45" i="45"/>
  <c r="AN45" i="45" s="1"/>
  <c r="W45" i="45"/>
  <c r="S44" i="45"/>
  <c r="AB43" i="45"/>
  <c r="S43" i="45"/>
  <c r="AB40" i="45"/>
  <c r="AK36" i="45"/>
  <c r="Z36" i="45"/>
  <c r="AA36" i="45" s="1"/>
  <c r="AA37" i="45" s="1"/>
  <c r="W30" i="45"/>
  <c r="AK29" i="45"/>
  <c r="AL29" i="45" s="1"/>
  <c r="AL31" i="45" s="1"/>
  <c r="W28" i="45"/>
  <c r="N26" i="45"/>
  <c r="X22" i="45"/>
  <c r="Y22" i="45" s="1"/>
  <c r="Y20" i="45"/>
  <c r="AM18" i="45"/>
  <c r="AN18" i="45" s="1"/>
  <c r="AM17" i="45"/>
  <c r="AN17" i="45" s="1"/>
  <c r="AB17" i="45"/>
  <c r="S17" i="45"/>
  <c r="AM15" i="45"/>
  <c r="AN15" i="45" s="1"/>
  <c r="AA15" i="45"/>
  <c r="AB95" i="45"/>
  <c r="AB96" i="45" s="1"/>
  <c r="Y91" i="45"/>
  <c r="AK58" i="45"/>
  <c r="AL58" i="45" s="1"/>
  <c r="AK95" i="45"/>
  <c r="AA95" i="45"/>
  <c r="AA96" i="45" s="1"/>
  <c r="AK92" i="45"/>
  <c r="AL92" i="45" s="1"/>
  <c r="AA92" i="45"/>
  <c r="AM91" i="45"/>
  <c r="AN91" i="45" s="1"/>
  <c r="AC93" i="45"/>
  <c r="W91" i="45"/>
  <c r="AM70" i="45"/>
  <c r="W70" i="45"/>
  <c r="W71" i="45" s="1"/>
  <c r="AB51" i="45"/>
  <c r="AB44" i="45"/>
  <c r="Y43" i="45"/>
  <c r="Y17" i="45"/>
  <c r="AK98" i="45"/>
  <c r="AL98" i="45" s="1"/>
  <c r="AD93" i="45"/>
  <c r="AB91" i="45"/>
  <c r="AM85" i="45"/>
  <c r="AN85" i="45" s="1"/>
  <c r="AB70" i="45"/>
  <c r="AB71" i="45" s="1"/>
  <c r="AB53" i="45"/>
  <c r="AM51" i="45"/>
  <c r="AN51" i="45" s="1"/>
  <c r="Z51" i="45"/>
  <c r="AA51" i="45" s="1"/>
  <c r="AM50" i="45"/>
  <c r="AN50" i="45" s="1"/>
  <c r="AB46" i="45"/>
  <c r="AM44" i="45"/>
  <c r="AN44" i="45" s="1"/>
  <c r="Z44" i="45"/>
  <c r="AA44" i="45" s="1"/>
  <c r="AM43" i="45"/>
  <c r="AN43" i="45" s="1"/>
  <c r="AM36" i="45"/>
  <c r="AM37" i="45" s="1"/>
  <c r="AM29" i="45"/>
  <c r="AN29" i="45" s="1"/>
  <c r="AC23" i="45"/>
  <c r="AC38" i="45" s="1"/>
  <c r="S101" i="45"/>
  <c r="Z101" i="45"/>
  <c r="AA101" i="45" s="1"/>
  <c r="AA102" i="45" s="1"/>
  <c r="X101" i="45"/>
  <c r="Y101" i="45" s="1"/>
  <c r="AM101" i="45"/>
  <c r="AN101" i="45" s="1"/>
  <c r="W101" i="45"/>
  <c r="AB101" i="45"/>
  <c r="X88" i="45"/>
  <c r="Y88" i="45" s="1"/>
  <c r="Y89" i="45" s="1"/>
  <c r="S88" i="45"/>
  <c r="S89" i="45" s="1"/>
  <c r="Z88" i="45"/>
  <c r="AA88" i="45" s="1"/>
  <c r="AA89" i="45" s="1"/>
  <c r="AK88" i="45"/>
  <c r="W88" i="45"/>
  <c r="W89" i="45" s="1"/>
  <c r="AM88" i="45"/>
  <c r="N89" i="45"/>
  <c r="S57" i="45"/>
  <c r="AA57" i="45"/>
  <c r="W57" i="45"/>
  <c r="AK57" i="45"/>
  <c r="AL57" i="45" s="1"/>
  <c r="Y57" i="45"/>
  <c r="AB57" i="45"/>
  <c r="N65" i="45"/>
  <c r="AK101" i="45"/>
  <c r="AL101" i="45" s="1"/>
  <c r="S59" i="45"/>
  <c r="W59" i="45"/>
  <c r="Y59" i="45"/>
  <c r="AB59" i="45"/>
  <c r="AK59" i="45"/>
  <c r="AL59" i="45" s="1"/>
  <c r="AM59" i="45"/>
  <c r="AN59" i="45" s="1"/>
  <c r="AD86" i="45"/>
  <c r="S80" i="45"/>
  <c r="AA80" i="45"/>
  <c r="S76" i="45"/>
  <c r="Z76" i="45"/>
  <c r="AA76" i="45" s="1"/>
  <c r="AC81" i="45"/>
  <c r="AM64" i="45"/>
  <c r="AN64" i="45" s="1"/>
  <c r="AM63" i="45"/>
  <c r="AN63" i="45" s="1"/>
  <c r="AM61" i="45"/>
  <c r="AN61" i="45" s="1"/>
  <c r="AM60" i="45"/>
  <c r="AN60" i="45" s="1"/>
  <c r="AD54" i="45"/>
  <c r="X98" i="45"/>
  <c r="Y98" i="45" s="1"/>
  <c r="AB98" i="45"/>
  <c r="AM95" i="45"/>
  <c r="Y92" i="45"/>
  <c r="AM92" i="45"/>
  <c r="AM80" i="45"/>
  <c r="AN80" i="45" s="1"/>
  <c r="AM76" i="45"/>
  <c r="AN76" i="45" s="1"/>
  <c r="AK64" i="45"/>
  <c r="AL64" i="45" s="1"/>
  <c r="AK63" i="45"/>
  <c r="AL63" i="45" s="1"/>
  <c r="AK62" i="45"/>
  <c r="AL62" i="45" s="1"/>
  <c r="AK61" i="45"/>
  <c r="AL61" i="45" s="1"/>
  <c r="AK60" i="45"/>
  <c r="AL60" i="45" s="1"/>
  <c r="S64" i="45"/>
  <c r="AA64" i="45"/>
  <c r="S63" i="45"/>
  <c r="AA63" i="45"/>
  <c r="Y63" i="45"/>
  <c r="AB63" i="45"/>
  <c r="AB62" i="45"/>
  <c r="S62" i="45"/>
  <c r="AA62" i="45"/>
  <c r="S61" i="45"/>
  <c r="AB61" i="45"/>
  <c r="Y60" i="45"/>
  <c r="AB60" i="45"/>
  <c r="S60" i="45"/>
  <c r="S19" i="45"/>
  <c r="Z19" i="45"/>
  <c r="AA19" i="45" s="1"/>
  <c r="W19" i="45"/>
  <c r="AB19" i="45"/>
  <c r="Y19" i="45"/>
  <c r="AM19" i="45"/>
  <c r="AN19" i="45" s="1"/>
  <c r="AC67" i="45" s="1"/>
  <c r="AM62" i="45"/>
  <c r="AN62" i="45" s="1"/>
  <c r="N86" i="45"/>
  <c r="AK85" i="45"/>
  <c r="AL85" i="45" s="1"/>
  <c r="AK83" i="45"/>
  <c r="AA58" i="45"/>
  <c r="S58" i="45"/>
  <c r="S56" i="45"/>
  <c r="N34" i="45"/>
  <c r="N31" i="45"/>
  <c r="S29" i="45"/>
  <c r="S25" i="45"/>
  <c r="S26" i="45" s="1"/>
  <c r="AB25" i="45"/>
  <c r="AB26" i="45" s="1"/>
  <c r="W22" i="45"/>
  <c r="AK22" i="45"/>
  <c r="AL22" i="45" s="1"/>
  <c r="S21" i="45"/>
  <c r="Z21" i="45"/>
  <c r="AA21" i="45" s="1"/>
  <c r="AM21" i="45"/>
  <c r="AN21" i="45" s="1"/>
  <c r="AC69" i="45" s="1"/>
  <c r="S33" i="45"/>
  <c r="S34" i="45" s="1"/>
  <c r="AM33" i="45"/>
  <c r="AD23" i="45"/>
  <c r="AD38" i="45" s="1"/>
  <c r="AB58" i="45"/>
  <c r="W53" i="45"/>
  <c r="AK53" i="45"/>
  <c r="AL53" i="45" s="1"/>
  <c r="W51" i="45"/>
  <c r="AK51" i="45"/>
  <c r="AL51" i="45" s="1"/>
  <c r="W49" i="45"/>
  <c r="AK49" i="45"/>
  <c r="AL49" i="45" s="1"/>
  <c r="W47" i="45"/>
  <c r="AK47" i="45"/>
  <c r="AL47" i="45" s="1"/>
  <c r="W46" i="45"/>
  <c r="AK46" i="45"/>
  <c r="AL46" i="45" s="1"/>
  <c r="W44" i="45"/>
  <c r="AK44" i="45"/>
  <c r="AL44" i="45" s="1"/>
  <c r="W42" i="45"/>
  <c r="AK42" i="45"/>
  <c r="AL42" i="45" s="1"/>
  <c r="W40" i="45"/>
  <c r="AK40" i="45"/>
  <c r="X36" i="45"/>
  <c r="Y36" i="45" s="1"/>
  <c r="Y37" i="45" s="1"/>
  <c r="AB36" i="45"/>
  <c r="AB37" i="45" s="1"/>
  <c r="AB18" i="45"/>
  <c r="Y16" i="45"/>
  <c r="S16" i="45"/>
  <c r="AA16" i="45"/>
  <c r="AK16" i="45"/>
  <c r="N23" i="45"/>
  <c r="AB15" i="45"/>
  <c r="U20" i="47"/>
  <c r="V20" i="47" s="1"/>
  <c r="AH20" i="47"/>
  <c r="AI20" i="47" s="1"/>
  <c r="AA58" i="47"/>
  <c r="AE58" i="47"/>
  <c r="Y58" i="47"/>
  <c r="AC58" i="47"/>
  <c r="AG58" i="47"/>
  <c r="Z58" i="47"/>
  <c r="AD58" i="47"/>
  <c r="Q58" i="47"/>
  <c r="R58" i="47"/>
  <c r="AB58" i="47"/>
  <c r="AF58" i="47"/>
  <c r="N108" i="43"/>
  <c r="O218" i="43"/>
  <c r="AD174" i="43"/>
  <c r="Q218" i="43"/>
  <c r="AM97" i="43"/>
  <c r="AN97" i="43" s="1"/>
  <c r="X97" i="43"/>
  <c r="Y97" i="43" s="1"/>
  <c r="W97" i="43"/>
  <c r="S97" i="43"/>
  <c r="AE77" i="43"/>
  <c r="AE106" i="43"/>
  <c r="AK106" i="43"/>
  <c r="AL106" i="43" s="1"/>
  <c r="Y106" i="43"/>
  <c r="S106" i="43"/>
  <c r="AA106" i="43"/>
  <c r="AM106" i="43"/>
  <c r="AN106" i="43" s="1"/>
  <c r="W106" i="43"/>
  <c r="S77" i="43"/>
  <c r="AA77" i="43"/>
  <c r="AM77" i="43"/>
  <c r="AN77" i="43" s="1"/>
  <c r="Y77" i="43"/>
  <c r="AK77" i="43"/>
  <c r="AL77" i="43" s="1"/>
  <c r="W77" i="43"/>
  <c r="N73" i="43"/>
  <c r="AK71" i="43"/>
  <c r="AL71" i="43" s="1"/>
  <c r="X51" i="43"/>
  <c r="Y51" i="43" s="1"/>
  <c r="W71" i="43"/>
  <c r="S71" i="43"/>
  <c r="W51" i="43"/>
  <c r="S51" i="43"/>
  <c r="AA51" i="43"/>
  <c r="AK51" i="43"/>
  <c r="AL51" i="43" s="1"/>
  <c r="AA36" i="43"/>
  <c r="AA37" i="43" s="1"/>
  <c r="AM36" i="43"/>
  <c r="Y36" i="43"/>
  <c r="Y37" i="43" s="1"/>
  <c r="W36" i="43"/>
  <c r="W37" i="43" s="1"/>
  <c r="N37" i="43"/>
  <c r="AK36" i="43"/>
  <c r="AL36" i="43" s="1"/>
  <c r="S36" i="43"/>
  <c r="S37" i="43" s="1"/>
  <c r="AD111" i="45" l="1"/>
  <c r="N111" i="45"/>
  <c r="AN26" i="45"/>
  <c r="AC108" i="45"/>
  <c r="AC107" i="45"/>
  <c r="W93" i="45"/>
  <c r="W81" i="45"/>
  <c r="AK71" i="45"/>
  <c r="S86" i="45"/>
  <c r="N38" i="45"/>
  <c r="AM105" i="45"/>
  <c r="AL104" i="45"/>
  <c r="AL105" i="45" s="1"/>
  <c r="W102" i="45"/>
  <c r="S102" i="45"/>
  <c r="AL102" i="45"/>
  <c r="AA93" i="45"/>
  <c r="Y86" i="45"/>
  <c r="AB86" i="45"/>
  <c r="AL93" i="45"/>
  <c r="AK81" i="45"/>
  <c r="AL33" i="45"/>
  <c r="AL34" i="45" s="1"/>
  <c r="AL81" i="45"/>
  <c r="AB93" i="45"/>
  <c r="S31" i="45"/>
  <c r="AK93" i="45"/>
  <c r="S54" i="45"/>
  <c r="AM26" i="45"/>
  <c r="AN102" i="45"/>
  <c r="AL65" i="45"/>
  <c r="AN54" i="45"/>
  <c r="Y54" i="45"/>
  <c r="AK31" i="45"/>
  <c r="Y81" i="45"/>
  <c r="W65" i="45"/>
  <c r="AN86" i="45"/>
  <c r="AA23" i="45"/>
  <c r="AA38" i="45" s="1"/>
  <c r="AB65" i="45"/>
  <c r="AB102" i="45"/>
  <c r="AA86" i="45"/>
  <c r="W23" i="45"/>
  <c r="Y93" i="45"/>
  <c r="W31" i="45"/>
  <c r="AK26" i="45"/>
  <c r="AL25" i="45"/>
  <c r="AL26" i="45" s="1"/>
  <c r="AM86" i="45"/>
  <c r="AL36" i="45"/>
  <c r="AL37" i="45" s="1"/>
  <c r="AK37" i="45"/>
  <c r="AN36" i="45"/>
  <c r="AN37" i="45" s="1"/>
  <c r="AK102" i="45"/>
  <c r="AK96" i="45"/>
  <c r="AL95" i="45"/>
  <c r="AL96" i="45" s="1"/>
  <c r="AB54" i="45"/>
  <c r="Y23" i="45"/>
  <c r="Y38" i="45" s="1"/>
  <c r="S65" i="45"/>
  <c r="AN70" i="45"/>
  <c r="AN71" i="45" s="1"/>
  <c r="AM71" i="45"/>
  <c r="AB23" i="45"/>
  <c r="AB38" i="45" s="1"/>
  <c r="S23" i="45"/>
  <c r="AN31" i="45"/>
  <c r="AK65" i="45"/>
  <c r="AM102" i="45"/>
  <c r="AM54" i="45"/>
  <c r="AL40" i="45"/>
  <c r="AL54" i="45" s="1"/>
  <c r="AK54" i="45"/>
  <c r="AN33" i="45"/>
  <c r="AN34" i="45" s="1"/>
  <c r="AM34" i="45"/>
  <c r="AN65" i="45"/>
  <c r="AM65" i="45"/>
  <c r="AM23" i="45"/>
  <c r="Y65" i="45"/>
  <c r="AL16" i="45"/>
  <c r="AL23" i="45" s="1"/>
  <c r="AK23" i="45"/>
  <c r="AA54" i="45"/>
  <c r="AM31" i="45"/>
  <c r="AN23" i="45"/>
  <c r="AN81" i="45"/>
  <c r="AM81" i="45"/>
  <c r="Y102" i="45"/>
  <c r="W54" i="45"/>
  <c r="AN95" i="45"/>
  <c r="AN96" i="45" s="1"/>
  <c r="AM96" i="45"/>
  <c r="S81" i="45"/>
  <c r="AN88" i="45"/>
  <c r="AN89" i="45" s="1"/>
  <c r="AM89" i="45"/>
  <c r="AA65" i="45"/>
  <c r="AB81" i="45"/>
  <c r="AK86" i="45"/>
  <c r="AL83" i="45"/>
  <c r="AL86" i="45" s="1"/>
  <c r="AA81" i="45"/>
  <c r="AN92" i="45"/>
  <c r="AN93" i="45" s="1"/>
  <c r="AM93" i="45"/>
  <c r="AK89" i="45"/>
  <c r="AL88" i="45"/>
  <c r="AL89" i="45" s="1"/>
  <c r="AL37" i="43"/>
  <c r="AN36" i="43"/>
  <c r="AN37" i="43" s="1"/>
  <c r="AM37" i="43"/>
  <c r="AC109" i="45" l="1"/>
  <c r="AC111" i="45" s="1"/>
  <c r="Y107" i="45"/>
  <c r="AM107" i="45"/>
  <c r="AA107" i="45"/>
  <c r="AB107" i="45"/>
  <c r="S107" i="45"/>
  <c r="W107" i="45"/>
  <c r="AK107" i="45"/>
  <c r="AK108" i="45"/>
  <c r="AL108" i="45" s="1"/>
  <c r="AB108" i="45"/>
  <c r="AM108" i="45"/>
  <c r="AN108" i="45" s="1"/>
  <c r="Y108" i="45"/>
  <c r="W108" i="45"/>
  <c r="S108" i="45"/>
  <c r="AA108" i="45"/>
  <c r="W38" i="45"/>
  <c r="AM38" i="45"/>
  <c r="AL38" i="45"/>
  <c r="S38" i="45"/>
  <c r="AN38" i="45"/>
  <c r="AK38" i="45"/>
  <c r="G398" i="1"/>
  <c r="G391" i="1"/>
  <c r="F388" i="1"/>
  <c r="F381" i="1"/>
  <c r="G349" i="1"/>
  <c r="G329" i="1"/>
  <c r="F304" i="1"/>
  <c r="G304" i="1" s="1"/>
  <c r="G142" i="1"/>
  <c r="Y109" i="45" l="1"/>
  <c r="Y111" i="45" s="1"/>
  <c r="S109" i="45"/>
  <c r="S111" i="45" s="1"/>
  <c r="AB109" i="45"/>
  <c r="AB111" i="45" s="1"/>
  <c r="AL107" i="45"/>
  <c r="AL109" i="45" s="1"/>
  <c r="AL111" i="45" s="1"/>
  <c r="AK109" i="45"/>
  <c r="AK111" i="45" s="1"/>
  <c r="AA109" i="45"/>
  <c r="AA111" i="45" s="1"/>
  <c r="W109" i="45"/>
  <c r="W111" i="45" s="1"/>
  <c r="AN107" i="45"/>
  <c r="AN109" i="45" s="1"/>
  <c r="AM109" i="45"/>
  <c r="AM111" i="45" s="1"/>
  <c r="G416" i="1"/>
  <c r="G415" i="1"/>
  <c r="G414" i="1"/>
  <c r="G413" i="1"/>
  <c r="G412" i="1"/>
  <c r="G411" i="1"/>
  <c r="G409" i="1"/>
  <c r="G408" i="1"/>
  <c r="G404" i="1"/>
  <c r="G403" i="1"/>
  <c r="G402" i="1"/>
  <c r="G401" i="1"/>
  <c r="G400" i="1"/>
  <c r="G399" i="1"/>
  <c r="G397" i="1"/>
  <c r="G396" i="1"/>
  <c r="G395" i="1"/>
  <c r="G394" i="1"/>
  <c r="G393" i="1"/>
  <c r="G392" i="1"/>
  <c r="G389" i="1"/>
  <c r="G388" i="1"/>
  <c r="G385" i="1"/>
  <c r="D374" i="8" s="1"/>
  <c r="E495" i="7" s="1"/>
  <c r="G381" i="1"/>
  <c r="G378" i="1"/>
  <c r="G377" i="1"/>
  <c r="G373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8" i="1"/>
  <c r="G347" i="1"/>
  <c r="G346" i="1"/>
  <c r="G345" i="1"/>
  <c r="F23" i="2" s="1"/>
  <c r="G344" i="1"/>
  <c r="G343" i="1"/>
  <c r="G342" i="1"/>
  <c r="G341" i="1"/>
  <c r="G340" i="1"/>
  <c r="G339" i="1"/>
  <c r="G338" i="1"/>
  <c r="G337" i="1"/>
  <c r="G336" i="1"/>
  <c r="G335" i="1"/>
  <c r="D325" i="8" s="1"/>
  <c r="E427" i="7" s="1"/>
  <c r="G334" i="1"/>
  <c r="D324" i="8" s="1"/>
  <c r="E426" i="7" s="1"/>
  <c r="G333" i="1"/>
  <c r="G331" i="1"/>
  <c r="D321" i="8" s="1"/>
  <c r="E420" i="7" s="1"/>
  <c r="G330" i="1"/>
  <c r="D320" i="8" s="1"/>
  <c r="E419" i="7" s="1"/>
  <c r="G328" i="1"/>
  <c r="G327" i="1"/>
  <c r="G326" i="1"/>
  <c r="F21" i="2" s="1"/>
  <c r="G325" i="1"/>
  <c r="F20" i="2" s="1"/>
  <c r="G324" i="1"/>
  <c r="G323" i="1"/>
  <c r="F18" i="2" s="1"/>
  <c r="G322" i="1"/>
  <c r="F22" i="2" s="1"/>
  <c r="G321" i="1"/>
  <c r="F17" i="2" s="1"/>
  <c r="G320" i="1"/>
  <c r="G319" i="1"/>
  <c r="G318" i="1"/>
  <c r="G317" i="1"/>
  <c r="G316" i="1"/>
  <c r="G315" i="1"/>
  <c r="G314" i="1"/>
  <c r="G313" i="1"/>
  <c r="G312" i="1"/>
  <c r="G311" i="1"/>
  <c r="G310" i="1"/>
  <c r="D278" i="8" s="1"/>
  <c r="E369" i="7" s="1"/>
  <c r="G308" i="1"/>
  <c r="G307" i="1"/>
  <c r="G306" i="1"/>
  <c r="G305" i="1"/>
  <c r="G303" i="1"/>
  <c r="F14" i="2" s="1"/>
  <c r="G302" i="1"/>
  <c r="F15" i="2" s="1"/>
  <c r="G301" i="1"/>
  <c r="F13" i="2" s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D214" i="8" s="1"/>
  <c r="G245" i="1"/>
  <c r="D213" i="8" s="1"/>
  <c r="G244" i="1"/>
  <c r="D212" i="8" s="1"/>
  <c r="G243" i="1"/>
  <c r="D211" i="8" s="1"/>
  <c r="G242" i="1"/>
  <c r="G241" i="1"/>
  <c r="G240" i="1"/>
  <c r="G239" i="1"/>
  <c r="G238" i="1"/>
  <c r="G237" i="1"/>
  <c r="G236" i="1"/>
  <c r="G235" i="1"/>
  <c r="G234" i="1"/>
  <c r="D202" i="8" s="1"/>
  <c r="G233" i="1"/>
  <c r="D201" i="8" s="1"/>
  <c r="G232" i="1"/>
  <c r="D200" i="8" s="1"/>
  <c r="G231" i="1"/>
  <c r="D199" i="8" s="1"/>
  <c r="G230" i="1"/>
  <c r="G229" i="1"/>
  <c r="G228" i="1"/>
  <c r="G227" i="1"/>
  <c r="G226" i="1"/>
  <c r="D194" i="8" s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D118" i="8" s="1"/>
  <c r="G149" i="1"/>
  <c r="G148" i="1"/>
  <c r="G147" i="1"/>
  <c r="G146" i="1"/>
  <c r="G145" i="1"/>
  <c r="G144" i="1"/>
  <c r="G143" i="1"/>
  <c r="D111" i="8" s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28" i="1"/>
  <c r="F13" i="1"/>
  <c r="G32" i="1"/>
  <c r="G31" i="1"/>
  <c r="G30" i="1"/>
  <c r="G27" i="1"/>
  <c r="G26" i="1"/>
  <c r="G25" i="1"/>
  <c r="G24" i="1"/>
  <c r="G23" i="1"/>
  <c r="G21" i="1"/>
  <c r="G20" i="1"/>
  <c r="G19" i="1"/>
  <c r="G18" i="1"/>
  <c r="G17" i="1"/>
  <c r="G16" i="1"/>
  <c r="G15" i="1"/>
  <c r="G14" i="1"/>
  <c r="AC179" i="45" l="1"/>
  <c r="AN111" i="45"/>
  <c r="D312" i="8"/>
  <c r="F19" i="2"/>
  <c r="D35" i="48"/>
  <c r="E34" i="48"/>
  <c r="F424" i="1" l="1"/>
  <c r="F8" i="7"/>
  <c r="G8" i="7" s="1"/>
  <c r="E388" i="1"/>
  <c r="E417" i="1" s="1"/>
  <c r="E63" i="1" l="1"/>
  <c r="D13" i="1"/>
  <c r="E14" i="1"/>
  <c r="E13" i="1" s="1"/>
  <c r="H11" i="19"/>
  <c r="G11" i="19"/>
  <c r="F11" i="19"/>
  <c r="E11" i="19"/>
  <c r="D11" i="19"/>
  <c r="I11" i="24"/>
  <c r="E9" i="8"/>
  <c r="F9" i="8" s="1"/>
  <c r="F10" i="5"/>
  <c r="D10" i="5"/>
  <c r="F10" i="4"/>
  <c r="D10" i="4"/>
  <c r="D388" i="1"/>
  <c r="D381" i="8" s="1"/>
  <c r="E503" i="7" s="1"/>
  <c r="D230" i="1"/>
  <c r="D198" i="8" s="1"/>
  <c r="D134" i="1"/>
  <c r="D81" i="1"/>
  <c r="D79" i="1"/>
  <c r="D63" i="1"/>
  <c r="D52" i="1"/>
  <c r="D49" i="1"/>
  <c r="D45" i="1"/>
  <c r="D43" i="1"/>
  <c r="D40" i="1"/>
  <c r="D29" i="1"/>
  <c r="D22" i="1"/>
  <c r="D48" i="1" l="1"/>
  <c r="D33" i="1"/>
  <c r="D39" i="1"/>
  <c r="D417" i="1"/>
  <c r="I1777" i="50" l="1"/>
  <c r="I1805" i="50"/>
  <c r="I1813" i="50"/>
  <c r="I1847" i="50"/>
  <c r="I1836" i="50"/>
  <c r="I1835" i="50" s="1"/>
  <c r="I1824" i="50"/>
  <c r="I1822" i="50" s="1"/>
  <c r="I1821" i="50" s="1"/>
  <c r="I1854" i="50" l="1"/>
  <c r="I1855" i="50" s="1"/>
  <c r="I1857" i="50" s="1"/>
  <c r="I1823" i="50"/>
  <c r="D240" i="56"/>
  <c r="G240" i="56" s="1"/>
  <c r="J241" i="56" s="1"/>
  <c r="C240" i="56"/>
  <c r="F240" i="56" s="1"/>
  <c r="I241" i="56" s="1"/>
  <c r="J239" i="56"/>
  <c r="I239" i="56"/>
  <c r="J238" i="56"/>
  <c r="I238" i="56"/>
  <c r="D238" i="56"/>
  <c r="G238" i="56" s="1"/>
  <c r="J240" i="56" s="1"/>
  <c r="C238" i="56"/>
  <c r="F238" i="56" s="1"/>
  <c r="I240" i="56" s="1"/>
  <c r="D235" i="56"/>
  <c r="G235" i="56" s="1"/>
  <c r="J236" i="56" s="1"/>
  <c r="C235" i="56"/>
  <c r="F235" i="56" s="1"/>
  <c r="I236" i="56" s="1"/>
  <c r="J234" i="56"/>
  <c r="I234" i="56"/>
  <c r="J233" i="56"/>
  <c r="I233" i="56"/>
  <c r="D233" i="56"/>
  <c r="G233" i="56" s="1"/>
  <c r="J235" i="56" s="1"/>
  <c r="C233" i="56"/>
  <c r="F233" i="56" s="1"/>
  <c r="I235" i="56" s="1"/>
  <c r="D230" i="56"/>
  <c r="G230" i="56" s="1"/>
  <c r="J231" i="56" s="1"/>
  <c r="C230" i="56"/>
  <c r="F230" i="56" s="1"/>
  <c r="I231" i="56" s="1"/>
  <c r="J229" i="56"/>
  <c r="I229" i="56"/>
  <c r="J228" i="56"/>
  <c r="I228" i="56"/>
  <c r="D228" i="56"/>
  <c r="G228" i="56" s="1"/>
  <c r="J230" i="56" s="1"/>
  <c r="C228" i="56"/>
  <c r="F228" i="56" s="1"/>
  <c r="I230" i="56" s="1"/>
  <c r="D154" i="56"/>
  <c r="G154" i="56" s="1"/>
  <c r="J155" i="56" s="1"/>
  <c r="C154" i="56"/>
  <c r="F154" i="56" s="1"/>
  <c r="I155" i="56" s="1"/>
  <c r="J153" i="56"/>
  <c r="I153" i="56"/>
  <c r="J152" i="56"/>
  <c r="I152" i="56"/>
  <c r="D152" i="56"/>
  <c r="G152" i="56" s="1"/>
  <c r="J154" i="56" s="1"/>
  <c r="C152" i="56"/>
  <c r="F152" i="56" s="1"/>
  <c r="I154" i="56" s="1"/>
  <c r="D149" i="56"/>
  <c r="G149" i="56" s="1"/>
  <c r="J150" i="56" s="1"/>
  <c r="C149" i="56"/>
  <c r="F149" i="56" s="1"/>
  <c r="I150" i="56" s="1"/>
  <c r="J148" i="56"/>
  <c r="I148" i="56"/>
  <c r="J147" i="56"/>
  <c r="I147" i="56"/>
  <c r="D147" i="56"/>
  <c r="G147" i="56" s="1"/>
  <c r="J149" i="56" s="1"/>
  <c r="C147" i="56"/>
  <c r="F147" i="56" s="1"/>
  <c r="I149" i="56" s="1"/>
  <c r="D144" i="56"/>
  <c r="G144" i="56" s="1"/>
  <c r="J145" i="56" s="1"/>
  <c r="C144" i="56"/>
  <c r="F144" i="56" s="1"/>
  <c r="I145" i="56" s="1"/>
  <c r="J143" i="56"/>
  <c r="I143" i="56"/>
  <c r="J142" i="56"/>
  <c r="I142" i="56"/>
  <c r="D142" i="56"/>
  <c r="G142" i="56" s="1"/>
  <c r="J144" i="56" s="1"/>
  <c r="C142" i="56"/>
  <c r="F142" i="56" s="1"/>
  <c r="I144" i="56" s="1"/>
  <c r="J245" i="49"/>
  <c r="I245" i="49"/>
  <c r="J244" i="49"/>
  <c r="I244" i="49"/>
  <c r="F248" i="49"/>
  <c r="C248" i="49"/>
  <c r="D246" i="49"/>
  <c r="G246" i="49" s="1"/>
  <c r="J247" i="49" s="1"/>
  <c r="C246" i="49"/>
  <c r="F246" i="49" s="1"/>
  <c r="I247" i="49" s="1"/>
  <c r="D244" i="49"/>
  <c r="G244" i="49" s="1"/>
  <c r="J246" i="49" s="1"/>
  <c r="C244" i="49"/>
  <c r="F244" i="49" s="1"/>
  <c r="I246" i="49" s="1"/>
  <c r="F243" i="49"/>
  <c r="C243" i="49"/>
  <c r="D241" i="49"/>
  <c r="G241" i="49" s="1"/>
  <c r="J242" i="49" s="1"/>
  <c r="C241" i="49"/>
  <c r="F241" i="49" s="1"/>
  <c r="I242" i="49" s="1"/>
  <c r="J240" i="49"/>
  <c r="I240" i="49"/>
  <c r="J239" i="49"/>
  <c r="I239" i="49"/>
  <c r="D239" i="49"/>
  <c r="G239" i="49" s="1"/>
  <c r="J241" i="49" s="1"/>
  <c r="C239" i="49"/>
  <c r="F239" i="49" s="1"/>
  <c r="I241" i="49" s="1"/>
  <c r="J235" i="49"/>
  <c r="I235" i="49"/>
  <c r="J234" i="49"/>
  <c r="I234" i="49"/>
  <c r="F238" i="49"/>
  <c r="C238" i="49"/>
  <c r="D236" i="49"/>
  <c r="G236" i="49" s="1"/>
  <c r="J237" i="49" s="1"/>
  <c r="C236" i="49"/>
  <c r="F236" i="49" s="1"/>
  <c r="I237" i="49" s="1"/>
  <c r="D234" i="49"/>
  <c r="G234" i="49" s="1"/>
  <c r="J236" i="49" s="1"/>
  <c r="C234" i="49"/>
  <c r="F234" i="49" s="1"/>
  <c r="I236" i="49" s="1"/>
  <c r="B1109" i="50"/>
  <c r="B1110" i="50" s="1"/>
  <c r="B1111" i="50" s="1"/>
  <c r="B1112" i="50" s="1"/>
  <c r="B1113" i="50" s="1"/>
  <c r="B1114" i="50" s="1"/>
  <c r="B1115" i="50" s="1"/>
  <c r="B1116" i="50" s="1"/>
  <c r="B1117" i="50" s="1"/>
  <c r="B1118" i="50" s="1"/>
  <c r="B1119" i="50" s="1"/>
  <c r="B1120" i="50" s="1"/>
  <c r="B1121" i="50" s="1"/>
  <c r="B1122" i="50" s="1"/>
  <c r="B1123" i="50" s="1"/>
  <c r="I1093" i="50"/>
  <c r="I1092" i="50" s="1"/>
  <c r="I238" i="49" s="1"/>
  <c r="I1102" i="50"/>
  <c r="I1101" i="50"/>
  <c r="I1100" i="50"/>
  <c r="I237" i="56" s="1"/>
  <c r="I1099" i="50"/>
  <c r="I1098" i="50"/>
  <c r="I1123" i="50"/>
  <c r="I1122" i="50"/>
  <c r="I1120" i="50"/>
  <c r="I1118" i="50"/>
  <c r="I1117" i="50"/>
  <c r="I1119" i="50"/>
  <c r="D1004" i="40"/>
  <c r="D998" i="40"/>
  <c r="D996" i="40"/>
  <c r="F163" i="49"/>
  <c r="C163" i="49"/>
  <c r="D161" i="49"/>
  <c r="G161" i="49" s="1"/>
  <c r="J162" i="49" s="1"/>
  <c r="C161" i="49"/>
  <c r="F161" i="49" s="1"/>
  <c r="I162" i="49" s="1"/>
  <c r="J160" i="49"/>
  <c r="I160" i="49"/>
  <c r="J159" i="49"/>
  <c r="I159" i="49"/>
  <c r="D159" i="49"/>
  <c r="G159" i="49" s="1"/>
  <c r="J161" i="49" s="1"/>
  <c r="C159" i="49"/>
  <c r="F159" i="49" s="1"/>
  <c r="I161" i="49" s="1"/>
  <c r="J155" i="49"/>
  <c r="I155" i="49"/>
  <c r="J154" i="49"/>
  <c r="I154" i="49"/>
  <c r="F158" i="49"/>
  <c r="C158" i="49"/>
  <c r="D156" i="49"/>
  <c r="G156" i="49" s="1"/>
  <c r="J157" i="49" s="1"/>
  <c r="C156" i="49"/>
  <c r="F156" i="49" s="1"/>
  <c r="I157" i="49" s="1"/>
  <c r="D154" i="49"/>
  <c r="G154" i="49" s="1"/>
  <c r="J156" i="49" s="1"/>
  <c r="C154" i="49"/>
  <c r="F154" i="49" s="1"/>
  <c r="I156" i="49" s="1"/>
  <c r="J150" i="49"/>
  <c r="I150" i="49"/>
  <c r="J149" i="49"/>
  <c r="I149" i="49"/>
  <c r="F153" i="49"/>
  <c r="C153" i="49"/>
  <c r="D151" i="49"/>
  <c r="G151" i="49" s="1"/>
  <c r="J152" i="49" s="1"/>
  <c r="C151" i="49"/>
  <c r="F151" i="49" s="1"/>
  <c r="I152" i="49" s="1"/>
  <c r="C149" i="49"/>
  <c r="F149" i="49" s="1"/>
  <c r="I151" i="49" s="1"/>
  <c r="D149" i="49"/>
  <c r="G149" i="49" s="1"/>
  <c r="J151" i="49" s="1"/>
  <c r="I617" i="50"/>
  <c r="I631" i="50"/>
  <c r="I630" i="50" s="1"/>
  <c r="I158" i="49" s="1"/>
  <c r="I637" i="50"/>
  <c r="I156" i="56" s="1"/>
  <c r="I638" i="50"/>
  <c r="I639" i="50"/>
  <c r="I640" i="50"/>
  <c r="I636" i="50"/>
  <c r="D556" i="40"/>
  <c r="D554" i="40"/>
  <c r="I626" i="50"/>
  <c r="I625" i="50"/>
  <c r="I624" i="50"/>
  <c r="I623" i="50"/>
  <c r="I622" i="50"/>
  <c r="I621" i="50"/>
  <c r="I620" i="50"/>
  <c r="I618" i="50"/>
  <c r="I619" i="50"/>
  <c r="I615" i="50"/>
  <c r="I146" i="56" s="1"/>
  <c r="I614" i="50"/>
  <c r="D540" i="40"/>
  <c r="I1097" i="50" l="1"/>
  <c r="I243" i="49" s="1"/>
  <c r="I635" i="50"/>
  <c r="I163" i="49" s="1"/>
  <c r="D1365" i="56" l="1"/>
  <c r="G1365" i="56" s="1"/>
  <c r="J1366" i="56" s="1"/>
  <c r="C1365" i="56"/>
  <c r="F1365" i="56" s="1"/>
  <c r="I1366" i="56" s="1"/>
  <c r="J1364" i="56"/>
  <c r="I1364" i="56"/>
  <c r="J1363" i="56"/>
  <c r="I1363" i="56"/>
  <c r="D1363" i="56"/>
  <c r="G1363" i="56" s="1"/>
  <c r="J1365" i="56" s="1"/>
  <c r="C1363" i="56"/>
  <c r="F1363" i="56" s="1"/>
  <c r="I1365" i="56" s="1"/>
  <c r="D1361" i="56"/>
  <c r="D1360" i="56"/>
  <c r="D1356" i="56"/>
  <c r="G1356" i="56" s="1"/>
  <c r="J1357" i="56" s="1"/>
  <c r="C1356" i="56"/>
  <c r="F1356" i="56" s="1"/>
  <c r="I1357" i="56" s="1"/>
  <c r="J1355" i="56"/>
  <c r="I1355" i="56"/>
  <c r="J1354" i="56"/>
  <c r="I1354" i="56"/>
  <c r="D1354" i="56"/>
  <c r="G1354" i="56" s="1"/>
  <c r="J1356" i="56" s="1"/>
  <c r="C1354" i="56"/>
  <c r="F1354" i="56" s="1"/>
  <c r="I1356" i="56" s="1"/>
  <c r="D1351" i="56"/>
  <c r="G1351" i="56" s="1"/>
  <c r="J1352" i="56" s="1"/>
  <c r="C1351" i="56"/>
  <c r="F1351" i="56" s="1"/>
  <c r="I1352" i="56" s="1"/>
  <c r="J1350" i="56"/>
  <c r="I1350" i="56"/>
  <c r="J1349" i="56"/>
  <c r="I1349" i="56"/>
  <c r="D1349" i="56"/>
  <c r="G1349" i="56" s="1"/>
  <c r="J1351" i="56" s="1"/>
  <c r="C1349" i="56"/>
  <c r="F1349" i="56" s="1"/>
  <c r="I1351" i="56" s="1"/>
  <c r="D1346" i="56"/>
  <c r="G1346" i="56" s="1"/>
  <c r="J1347" i="56" s="1"/>
  <c r="C1346" i="56"/>
  <c r="F1346" i="56" s="1"/>
  <c r="I1347" i="56" s="1"/>
  <c r="J1345" i="56"/>
  <c r="I1345" i="56"/>
  <c r="J1344" i="56"/>
  <c r="I1344" i="56"/>
  <c r="D1344" i="56"/>
  <c r="G1344" i="56" s="1"/>
  <c r="J1346" i="56" s="1"/>
  <c r="C1344" i="56"/>
  <c r="F1344" i="56" s="1"/>
  <c r="I1346" i="56" s="1"/>
  <c r="D1341" i="56"/>
  <c r="G1341" i="56" s="1"/>
  <c r="J1342" i="56" s="1"/>
  <c r="C1341" i="56"/>
  <c r="F1341" i="56" s="1"/>
  <c r="I1342" i="56" s="1"/>
  <c r="J1340" i="56"/>
  <c r="I1340" i="56"/>
  <c r="J1339" i="56"/>
  <c r="I1339" i="56"/>
  <c r="D1339" i="56"/>
  <c r="G1339" i="56" s="1"/>
  <c r="J1341" i="56" s="1"/>
  <c r="C1339" i="56"/>
  <c r="F1339" i="56" s="1"/>
  <c r="I1341" i="56" s="1"/>
  <c r="D1337" i="56"/>
  <c r="D1336" i="56"/>
  <c r="D1332" i="56"/>
  <c r="G1332" i="56" s="1"/>
  <c r="J1333" i="56" s="1"/>
  <c r="C1332" i="56"/>
  <c r="F1332" i="56" s="1"/>
  <c r="I1333" i="56" s="1"/>
  <c r="J1331" i="56"/>
  <c r="I1331" i="56"/>
  <c r="J1330" i="56"/>
  <c r="I1330" i="56"/>
  <c r="D1330" i="56"/>
  <c r="G1330" i="56" s="1"/>
  <c r="J1332" i="56" s="1"/>
  <c r="C1330" i="56"/>
  <c r="F1330" i="56" s="1"/>
  <c r="I1332" i="56" s="1"/>
  <c r="D1327" i="56"/>
  <c r="G1327" i="56" s="1"/>
  <c r="J1328" i="56" s="1"/>
  <c r="C1327" i="56"/>
  <c r="F1327" i="56" s="1"/>
  <c r="I1328" i="56" s="1"/>
  <c r="J1326" i="56"/>
  <c r="I1326" i="56"/>
  <c r="J1325" i="56"/>
  <c r="I1325" i="56"/>
  <c r="D1325" i="56"/>
  <c r="G1325" i="56" s="1"/>
  <c r="J1327" i="56" s="1"/>
  <c r="C1325" i="56"/>
  <c r="F1325" i="56" s="1"/>
  <c r="I1327" i="56" s="1"/>
  <c r="D1322" i="56"/>
  <c r="G1322" i="56" s="1"/>
  <c r="J1323" i="56" s="1"/>
  <c r="C1322" i="56"/>
  <c r="F1322" i="56" s="1"/>
  <c r="I1323" i="56" s="1"/>
  <c r="J1321" i="56"/>
  <c r="I1321" i="56"/>
  <c r="J1320" i="56"/>
  <c r="I1320" i="56"/>
  <c r="D1320" i="56"/>
  <c r="G1320" i="56" s="1"/>
  <c r="J1322" i="56" s="1"/>
  <c r="C1320" i="56"/>
  <c r="F1320" i="56" s="1"/>
  <c r="I1322" i="56" s="1"/>
  <c r="D1317" i="56"/>
  <c r="G1317" i="56" s="1"/>
  <c r="J1318" i="56" s="1"/>
  <c r="C1317" i="56"/>
  <c r="F1317" i="56" s="1"/>
  <c r="I1318" i="56" s="1"/>
  <c r="J1316" i="56"/>
  <c r="I1316" i="56"/>
  <c r="J1315" i="56"/>
  <c r="I1315" i="56"/>
  <c r="D1315" i="56"/>
  <c r="G1315" i="56" s="1"/>
  <c r="J1317" i="56" s="1"/>
  <c r="C1315" i="56"/>
  <c r="F1315" i="56" s="1"/>
  <c r="I1317" i="56" s="1"/>
  <c r="D1312" i="56"/>
  <c r="G1312" i="56" s="1"/>
  <c r="J1313" i="56" s="1"/>
  <c r="C1312" i="56"/>
  <c r="F1312" i="56" s="1"/>
  <c r="I1313" i="56" s="1"/>
  <c r="J1311" i="56"/>
  <c r="I1311" i="56"/>
  <c r="J1310" i="56"/>
  <c r="I1310" i="56"/>
  <c r="D1310" i="56"/>
  <c r="G1310" i="56" s="1"/>
  <c r="J1312" i="56" s="1"/>
  <c r="C1310" i="56"/>
  <c r="F1310" i="56" s="1"/>
  <c r="I1312" i="56" s="1"/>
  <c r="D1307" i="56"/>
  <c r="G1307" i="56" s="1"/>
  <c r="J1308" i="56" s="1"/>
  <c r="C1307" i="56"/>
  <c r="F1307" i="56" s="1"/>
  <c r="I1308" i="56" s="1"/>
  <c r="J1306" i="56"/>
  <c r="I1306" i="56"/>
  <c r="J1305" i="56"/>
  <c r="I1305" i="56"/>
  <c r="D1305" i="56"/>
  <c r="G1305" i="56" s="1"/>
  <c r="J1307" i="56" s="1"/>
  <c r="C1305" i="56"/>
  <c r="F1305" i="56" s="1"/>
  <c r="I1307" i="56" s="1"/>
  <c r="D1302" i="56"/>
  <c r="G1302" i="56" s="1"/>
  <c r="J1303" i="56" s="1"/>
  <c r="C1302" i="56"/>
  <c r="F1302" i="56" s="1"/>
  <c r="I1303" i="56" s="1"/>
  <c r="J1301" i="56"/>
  <c r="I1301" i="56"/>
  <c r="J1300" i="56"/>
  <c r="I1300" i="56"/>
  <c r="D1300" i="56"/>
  <c r="G1300" i="56" s="1"/>
  <c r="J1302" i="56" s="1"/>
  <c r="C1300" i="56"/>
  <c r="F1300" i="56" s="1"/>
  <c r="I1302" i="56" s="1"/>
  <c r="D1297" i="56"/>
  <c r="G1297" i="56" s="1"/>
  <c r="J1298" i="56" s="1"/>
  <c r="C1297" i="56"/>
  <c r="F1297" i="56" s="1"/>
  <c r="I1298" i="56" s="1"/>
  <c r="J1296" i="56"/>
  <c r="I1296" i="56"/>
  <c r="J1295" i="56"/>
  <c r="I1295" i="56"/>
  <c r="D1295" i="56"/>
  <c r="G1295" i="56" s="1"/>
  <c r="J1297" i="56" s="1"/>
  <c r="C1295" i="56"/>
  <c r="F1295" i="56" s="1"/>
  <c r="I1297" i="56" s="1"/>
  <c r="D1292" i="56"/>
  <c r="G1292" i="56" s="1"/>
  <c r="J1293" i="56" s="1"/>
  <c r="C1292" i="56"/>
  <c r="F1292" i="56" s="1"/>
  <c r="I1293" i="56" s="1"/>
  <c r="J1291" i="56"/>
  <c r="I1291" i="56"/>
  <c r="J1290" i="56"/>
  <c r="I1290" i="56"/>
  <c r="D1290" i="56"/>
  <c r="G1290" i="56" s="1"/>
  <c r="J1292" i="56" s="1"/>
  <c r="C1290" i="56"/>
  <c r="F1290" i="56" s="1"/>
  <c r="I1292" i="56" s="1"/>
  <c r="D1287" i="56"/>
  <c r="G1287" i="56" s="1"/>
  <c r="J1288" i="56" s="1"/>
  <c r="C1287" i="56"/>
  <c r="F1287" i="56" s="1"/>
  <c r="I1288" i="56" s="1"/>
  <c r="J1286" i="56"/>
  <c r="I1286" i="56"/>
  <c r="J1285" i="56"/>
  <c r="I1285" i="56"/>
  <c r="D1285" i="56"/>
  <c r="G1285" i="56" s="1"/>
  <c r="J1287" i="56" s="1"/>
  <c r="C1285" i="56"/>
  <c r="F1285" i="56" s="1"/>
  <c r="I1287" i="56" s="1"/>
  <c r="D1282" i="56"/>
  <c r="G1282" i="56" s="1"/>
  <c r="J1283" i="56" s="1"/>
  <c r="C1282" i="56"/>
  <c r="F1282" i="56" s="1"/>
  <c r="I1283" i="56" s="1"/>
  <c r="J1281" i="56"/>
  <c r="I1281" i="56"/>
  <c r="J1280" i="56"/>
  <c r="I1280" i="56"/>
  <c r="D1280" i="56"/>
  <c r="G1280" i="56" s="1"/>
  <c r="J1282" i="56" s="1"/>
  <c r="C1280" i="56"/>
  <c r="F1280" i="56" s="1"/>
  <c r="I1282" i="56" s="1"/>
  <c r="D1278" i="56"/>
  <c r="D1277" i="56"/>
  <c r="D1273" i="56"/>
  <c r="G1273" i="56" s="1"/>
  <c r="J1274" i="56" s="1"/>
  <c r="C1273" i="56"/>
  <c r="F1273" i="56" s="1"/>
  <c r="I1274" i="56" s="1"/>
  <c r="J1272" i="56"/>
  <c r="I1272" i="56"/>
  <c r="J1271" i="56"/>
  <c r="I1271" i="56"/>
  <c r="D1271" i="56"/>
  <c r="G1271" i="56" s="1"/>
  <c r="J1273" i="56" s="1"/>
  <c r="C1271" i="56"/>
  <c r="F1271" i="56" s="1"/>
  <c r="I1273" i="56" s="1"/>
  <c r="D1269" i="56"/>
  <c r="D1268" i="56"/>
  <c r="D1264" i="56"/>
  <c r="G1264" i="56" s="1"/>
  <c r="J1265" i="56" s="1"/>
  <c r="C1264" i="56"/>
  <c r="F1264" i="56" s="1"/>
  <c r="I1265" i="56" s="1"/>
  <c r="J1263" i="56"/>
  <c r="I1263" i="56"/>
  <c r="J1262" i="56"/>
  <c r="I1262" i="56"/>
  <c r="D1262" i="56"/>
  <c r="G1262" i="56" s="1"/>
  <c r="J1264" i="56" s="1"/>
  <c r="C1262" i="56"/>
  <c r="F1262" i="56" s="1"/>
  <c r="I1264" i="56" s="1"/>
  <c r="D1259" i="56"/>
  <c r="G1259" i="56" s="1"/>
  <c r="J1260" i="56" s="1"/>
  <c r="C1259" i="56"/>
  <c r="F1259" i="56" s="1"/>
  <c r="I1260" i="56" s="1"/>
  <c r="J1258" i="56"/>
  <c r="I1258" i="56"/>
  <c r="J1257" i="56"/>
  <c r="I1257" i="56"/>
  <c r="D1257" i="56"/>
  <c r="G1257" i="56" s="1"/>
  <c r="J1259" i="56" s="1"/>
  <c r="C1257" i="56"/>
  <c r="F1257" i="56" s="1"/>
  <c r="I1259" i="56" s="1"/>
  <c r="D1254" i="56"/>
  <c r="G1254" i="56" s="1"/>
  <c r="J1255" i="56" s="1"/>
  <c r="C1254" i="56"/>
  <c r="F1254" i="56" s="1"/>
  <c r="I1255" i="56" s="1"/>
  <c r="J1253" i="56"/>
  <c r="I1253" i="56"/>
  <c r="J1252" i="56"/>
  <c r="I1252" i="56"/>
  <c r="D1252" i="56"/>
  <c r="G1252" i="56" s="1"/>
  <c r="J1254" i="56" s="1"/>
  <c r="C1252" i="56"/>
  <c r="F1252" i="56" s="1"/>
  <c r="I1254" i="56" s="1"/>
  <c r="D1249" i="56"/>
  <c r="G1249" i="56" s="1"/>
  <c r="J1250" i="56" s="1"/>
  <c r="C1249" i="56"/>
  <c r="F1249" i="56" s="1"/>
  <c r="I1250" i="56" s="1"/>
  <c r="J1248" i="56"/>
  <c r="I1248" i="56"/>
  <c r="J1247" i="56"/>
  <c r="I1247" i="56"/>
  <c r="D1247" i="56"/>
  <c r="G1247" i="56" s="1"/>
  <c r="J1249" i="56" s="1"/>
  <c r="C1247" i="56"/>
  <c r="F1247" i="56" s="1"/>
  <c r="I1249" i="56" s="1"/>
  <c r="D1245" i="56"/>
  <c r="D1244" i="56"/>
  <c r="D1240" i="56"/>
  <c r="G1240" i="56" s="1"/>
  <c r="J1241" i="56" s="1"/>
  <c r="C1240" i="56"/>
  <c r="F1240" i="56" s="1"/>
  <c r="I1241" i="56" s="1"/>
  <c r="J1239" i="56"/>
  <c r="I1239" i="56"/>
  <c r="J1238" i="56"/>
  <c r="I1238" i="56"/>
  <c r="D1238" i="56"/>
  <c r="G1238" i="56" s="1"/>
  <c r="J1240" i="56" s="1"/>
  <c r="C1238" i="56"/>
  <c r="F1238" i="56" s="1"/>
  <c r="I1240" i="56" s="1"/>
  <c r="D1235" i="56"/>
  <c r="G1235" i="56" s="1"/>
  <c r="J1236" i="56" s="1"/>
  <c r="C1235" i="56"/>
  <c r="F1235" i="56" s="1"/>
  <c r="I1236" i="56" s="1"/>
  <c r="J1234" i="56"/>
  <c r="I1234" i="56"/>
  <c r="J1233" i="56"/>
  <c r="I1233" i="56"/>
  <c r="D1233" i="56"/>
  <c r="G1233" i="56" s="1"/>
  <c r="J1235" i="56" s="1"/>
  <c r="C1233" i="56"/>
  <c r="F1233" i="56" s="1"/>
  <c r="I1235" i="56" s="1"/>
  <c r="D1230" i="56"/>
  <c r="G1230" i="56" s="1"/>
  <c r="J1231" i="56" s="1"/>
  <c r="C1230" i="56"/>
  <c r="F1230" i="56" s="1"/>
  <c r="I1231" i="56" s="1"/>
  <c r="J1229" i="56"/>
  <c r="I1229" i="56"/>
  <c r="J1228" i="56"/>
  <c r="I1228" i="56"/>
  <c r="D1228" i="56"/>
  <c r="G1228" i="56" s="1"/>
  <c r="J1230" i="56" s="1"/>
  <c r="C1228" i="56"/>
  <c r="F1228" i="56" s="1"/>
  <c r="I1230" i="56" s="1"/>
  <c r="D1225" i="56"/>
  <c r="G1225" i="56" s="1"/>
  <c r="J1226" i="56" s="1"/>
  <c r="C1225" i="56"/>
  <c r="F1225" i="56" s="1"/>
  <c r="I1226" i="56" s="1"/>
  <c r="J1224" i="56"/>
  <c r="I1224" i="56"/>
  <c r="J1223" i="56"/>
  <c r="I1223" i="56"/>
  <c r="D1223" i="56"/>
  <c r="G1223" i="56" s="1"/>
  <c r="J1225" i="56" s="1"/>
  <c r="C1223" i="56"/>
  <c r="F1223" i="56" s="1"/>
  <c r="I1225" i="56" s="1"/>
  <c r="D1220" i="56"/>
  <c r="G1220" i="56" s="1"/>
  <c r="J1221" i="56" s="1"/>
  <c r="C1220" i="56"/>
  <c r="F1220" i="56" s="1"/>
  <c r="I1221" i="56" s="1"/>
  <c r="J1219" i="56"/>
  <c r="I1219" i="56"/>
  <c r="J1218" i="56"/>
  <c r="I1218" i="56"/>
  <c r="D1218" i="56"/>
  <c r="G1218" i="56" s="1"/>
  <c r="J1220" i="56" s="1"/>
  <c r="C1218" i="56"/>
  <c r="F1218" i="56" s="1"/>
  <c r="I1220" i="56" s="1"/>
  <c r="D1215" i="56"/>
  <c r="G1215" i="56" s="1"/>
  <c r="J1216" i="56" s="1"/>
  <c r="C1215" i="56"/>
  <c r="F1215" i="56" s="1"/>
  <c r="I1216" i="56" s="1"/>
  <c r="J1214" i="56"/>
  <c r="I1214" i="56"/>
  <c r="J1213" i="56"/>
  <c r="I1213" i="56"/>
  <c r="D1213" i="56"/>
  <c r="G1213" i="56" s="1"/>
  <c r="J1215" i="56" s="1"/>
  <c r="C1213" i="56"/>
  <c r="F1213" i="56" s="1"/>
  <c r="I1215" i="56" s="1"/>
  <c r="D1210" i="56"/>
  <c r="G1210" i="56" s="1"/>
  <c r="J1211" i="56" s="1"/>
  <c r="C1210" i="56"/>
  <c r="F1210" i="56" s="1"/>
  <c r="I1211" i="56" s="1"/>
  <c r="J1209" i="56"/>
  <c r="I1209" i="56"/>
  <c r="J1208" i="56"/>
  <c r="I1208" i="56"/>
  <c r="D1208" i="56"/>
  <c r="G1208" i="56" s="1"/>
  <c r="J1210" i="56" s="1"/>
  <c r="C1208" i="56"/>
  <c r="F1208" i="56" s="1"/>
  <c r="I1210" i="56" s="1"/>
  <c r="D1206" i="56"/>
  <c r="D1205" i="56"/>
  <c r="D1201" i="56"/>
  <c r="G1201" i="56" s="1"/>
  <c r="J1202" i="56" s="1"/>
  <c r="C1201" i="56"/>
  <c r="F1201" i="56" s="1"/>
  <c r="I1202" i="56" s="1"/>
  <c r="J1200" i="56"/>
  <c r="I1200" i="56"/>
  <c r="J1199" i="56"/>
  <c r="I1199" i="56"/>
  <c r="D1199" i="56"/>
  <c r="G1199" i="56" s="1"/>
  <c r="J1201" i="56" s="1"/>
  <c r="C1199" i="56"/>
  <c r="F1199" i="56" s="1"/>
  <c r="I1201" i="56" s="1"/>
  <c r="D1196" i="56"/>
  <c r="G1196" i="56" s="1"/>
  <c r="J1197" i="56" s="1"/>
  <c r="C1196" i="56"/>
  <c r="F1196" i="56" s="1"/>
  <c r="I1197" i="56" s="1"/>
  <c r="J1195" i="56"/>
  <c r="I1195" i="56"/>
  <c r="J1194" i="56"/>
  <c r="I1194" i="56"/>
  <c r="D1194" i="56"/>
  <c r="G1194" i="56" s="1"/>
  <c r="J1196" i="56" s="1"/>
  <c r="C1194" i="56"/>
  <c r="F1194" i="56" s="1"/>
  <c r="I1196" i="56" s="1"/>
  <c r="D1191" i="56"/>
  <c r="G1191" i="56" s="1"/>
  <c r="J1192" i="56" s="1"/>
  <c r="C1191" i="56"/>
  <c r="F1191" i="56" s="1"/>
  <c r="I1192" i="56" s="1"/>
  <c r="J1190" i="56"/>
  <c r="I1190" i="56"/>
  <c r="J1189" i="56"/>
  <c r="I1189" i="56"/>
  <c r="D1189" i="56"/>
  <c r="G1189" i="56" s="1"/>
  <c r="J1191" i="56" s="1"/>
  <c r="C1189" i="56"/>
  <c r="F1189" i="56" s="1"/>
  <c r="I1191" i="56" s="1"/>
  <c r="D1186" i="56"/>
  <c r="G1186" i="56" s="1"/>
  <c r="J1187" i="56" s="1"/>
  <c r="C1186" i="56"/>
  <c r="F1186" i="56" s="1"/>
  <c r="I1187" i="56" s="1"/>
  <c r="J1185" i="56"/>
  <c r="I1185" i="56"/>
  <c r="J1184" i="56"/>
  <c r="I1184" i="56"/>
  <c r="D1184" i="56"/>
  <c r="G1184" i="56" s="1"/>
  <c r="J1186" i="56" s="1"/>
  <c r="C1184" i="56"/>
  <c r="F1184" i="56" s="1"/>
  <c r="I1186" i="56" s="1"/>
  <c r="D1181" i="56"/>
  <c r="G1181" i="56" s="1"/>
  <c r="J1182" i="56" s="1"/>
  <c r="C1181" i="56"/>
  <c r="F1181" i="56" s="1"/>
  <c r="I1182" i="56" s="1"/>
  <c r="J1180" i="56"/>
  <c r="I1180" i="56"/>
  <c r="J1179" i="56"/>
  <c r="I1179" i="56"/>
  <c r="D1179" i="56"/>
  <c r="G1179" i="56" s="1"/>
  <c r="J1181" i="56" s="1"/>
  <c r="C1179" i="56"/>
  <c r="F1179" i="56" s="1"/>
  <c r="I1181" i="56" s="1"/>
  <c r="D1174" i="56"/>
  <c r="G1174" i="56" s="1"/>
  <c r="J1175" i="56" s="1"/>
  <c r="C1174" i="56"/>
  <c r="F1174" i="56" s="1"/>
  <c r="I1175" i="56" s="1"/>
  <c r="J1173" i="56"/>
  <c r="I1173" i="56"/>
  <c r="J1172" i="56"/>
  <c r="I1172" i="56"/>
  <c r="D1172" i="56"/>
  <c r="G1172" i="56" s="1"/>
  <c r="J1174" i="56" s="1"/>
  <c r="C1172" i="56"/>
  <c r="F1172" i="56" s="1"/>
  <c r="I1174" i="56" s="1"/>
  <c r="D1169" i="56"/>
  <c r="G1169" i="56" s="1"/>
  <c r="J1170" i="56" s="1"/>
  <c r="C1169" i="56"/>
  <c r="F1169" i="56" s="1"/>
  <c r="I1170" i="56" s="1"/>
  <c r="J1168" i="56"/>
  <c r="I1168" i="56"/>
  <c r="J1167" i="56"/>
  <c r="I1167" i="56"/>
  <c r="D1167" i="56"/>
  <c r="G1167" i="56" s="1"/>
  <c r="J1169" i="56" s="1"/>
  <c r="C1167" i="56"/>
  <c r="F1167" i="56" s="1"/>
  <c r="I1169" i="56" s="1"/>
  <c r="D1164" i="56"/>
  <c r="G1164" i="56" s="1"/>
  <c r="J1165" i="56" s="1"/>
  <c r="C1164" i="56"/>
  <c r="F1164" i="56" s="1"/>
  <c r="I1165" i="56" s="1"/>
  <c r="J1163" i="56"/>
  <c r="I1163" i="56"/>
  <c r="J1162" i="56"/>
  <c r="I1162" i="56"/>
  <c r="D1162" i="56"/>
  <c r="G1162" i="56" s="1"/>
  <c r="J1164" i="56" s="1"/>
  <c r="C1162" i="56"/>
  <c r="F1162" i="56" s="1"/>
  <c r="I1164" i="56" s="1"/>
  <c r="D1159" i="56"/>
  <c r="G1159" i="56" s="1"/>
  <c r="J1160" i="56" s="1"/>
  <c r="C1159" i="56"/>
  <c r="F1159" i="56" s="1"/>
  <c r="I1160" i="56" s="1"/>
  <c r="J1158" i="56"/>
  <c r="I1158" i="56"/>
  <c r="J1157" i="56"/>
  <c r="I1157" i="56"/>
  <c r="D1157" i="56"/>
  <c r="G1157" i="56" s="1"/>
  <c r="J1159" i="56" s="1"/>
  <c r="C1157" i="56"/>
  <c r="F1157" i="56" s="1"/>
  <c r="I1159" i="56" s="1"/>
  <c r="D1154" i="56"/>
  <c r="G1154" i="56" s="1"/>
  <c r="J1155" i="56" s="1"/>
  <c r="C1154" i="56"/>
  <c r="F1154" i="56" s="1"/>
  <c r="I1155" i="56" s="1"/>
  <c r="J1153" i="56"/>
  <c r="I1153" i="56"/>
  <c r="J1152" i="56"/>
  <c r="I1152" i="56"/>
  <c r="D1152" i="56"/>
  <c r="G1152" i="56" s="1"/>
  <c r="J1154" i="56" s="1"/>
  <c r="C1152" i="56"/>
  <c r="F1152" i="56" s="1"/>
  <c r="I1154" i="56" s="1"/>
  <c r="D1150" i="56"/>
  <c r="D1149" i="56"/>
  <c r="D1145" i="56"/>
  <c r="G1145" i="56" s="1"/>
  <c r="J1146" i="56" s="1"/>
  <c r="C1145" i="56"/>
  <c r="F1145" i="56" s="1"/>
  <c r="I1146" i="56" s="1"/>
  <c r="J1144" i="56"/>
  <c r="I1144" i="56"/>
  <c r="J1143" i="56"/>
  <c r="I1143" i="56"/>
  <c r="D1143" i="56"/>
  <c r="G1143" i="56" s="1"/>
  <c r="J1145" i="56" s="1"/>
  <c r="C1143" i="56"/>
  <c r="F1143" i="56" s="1"/>
  <c r="I1145" i="56" s="1"/>
  <c r="D1140" i="56"/>
  <c r="G1140" i="56" s="1"/>
  <c r="J1141" i="56" s="1"/>
  <c r="C1140" i="56"/>
  <c r="F1140" i="56" s="1"/>
  <c r="I1141" i="56" s="1"/>
  <c r="J1139" i="56"/>
  <c r="I1139" i="56"/>
  <c r="J1138" i="56"/>
  <c r="I1138" i="56"/>
  <c r="D1138" i="56"/>
  <c r="G1138" i="56" s="1"/>
  <c r="J1140" i="56" s="1"/>
  <c r="C1138" i="56"/>
  <c r="F1138" i="56" s="1"/>
  <c r="I1140" i="56" s="1"/>
  <c r="D1135" i="56"/>
  <c r="G1135" i="56" s="1"/>
  <c r="J1136" i="56" s="1"/>
  <c r="C1135" i="56"/>
  <c r="F1135" i="56" s="1"/>
  <c r="I1136" i="56" s="1"/>
  <c r="J1134" i="56"/>
  <c r="I1134" i="56"/>
  <c r="J1133" i="56"/>
  <c r="I1133" i="56"/>
  <c r="D1133" i="56"/>
  <c r="G1133" i="56" s="1"/>
  <c r="J1135" i="56" s="1"/>
  <c r="C1133" i="56"/>
  <c r="F1133" i="56" s="1"/>
  <c r="I1135" i="56" s="1"/>
  <c r="D1130" i="56"/>
  <c r="G1130" i="56" s="1"/>
  <c r="J1131" i="56" s="1"/>
  <c r="C1130" i="56"/>
  <c r="F1130" i="56" s="1"/>
  <c r="I1131" i="56" s="1"/>
  <c r="J1129" i="56"/>
  <c r="I1129" i="56"/>
  <c r="J1128" i="56"/>
  <c r="I1128" i="56"/>
  <c r="D1128" i="56"/>
  <c r="G1128" i="56" s="1"/>
  <c r="J1130" i="56" s="1"/>
  <c r="C1128" i="56"/>
  <c r="F1128" i="56" s="1"/>
  <c r="I1130" i="56" s="1"/>
  <c r="D1125" i="56"/>
  <c r="G1125" i="56" s="1"/>
  <c r="J1126" i="56" s="1"/>
  <c r="C1125" i="56"/>
  <c r="F1125" i="56" s="1"/>
  <c r="I1126" i="56" s="1"/>
  <c r="J1124" i="56"/>
  <c r="I1124" i="56"/>
  <c r="J1123" i="56"/>
  <c r="I1123" i="56"/>
  <c r="D1123" i="56"/>
  <c r="G1123" i="56" s="1"/>
  <c r="J1125" i="56" s="1"/>
  <c r="C1123" i="56"/>
  <c r="F1123" i="56" s="1"/>
  <c r="I1125" i="56" s="1"/>
  <c r="D1121" i="56"/>
  <c r="D1120" i="56"/>
  <c r="D1116" i="56"/>
  <c r="G1116" i="56" s="1"/>
  <c r="J1117" i="56" s="1"/>
  <c r="C1116" i="56"/>
  <c r="F1116" i="56" s="1"/>
  <c r="I1117" i="56" s="1"/>
  <c r="J1115" i="56"/>
  <c r="I1115" i="56"/>
  <c r="J1114" i="56"/>
  <c r="I1114" i="56"/>
  <c r="D1114" i="56"/>
  <c r="G1114" i="56" s="1"/>
  <c r="J1116" i="56" s="1"/>
  <c r="C1114" i="56"/>
  <c r="F1114" i="56" s="1"/>
  <c r="I1116" i="56" s="1"/>
  <c r="D1111" i="56"/>
  <c r="G1111" i="56" s="1"/>
  <c r="J1112" i="56" s="1"/>
  <c r="C1111" i="56"/>
  <c r="F1111" i="56" s="1"/>
  <c r="I1112" i="56" s="1"/>
  <c r="J1110" i="56"/>
  <c r="I1110" i="56"/>
  <c r="J1109" i="56"/>
  <c r="I1109" i="56"/>
  <c r="D1109" i="56"/>
  <c r="G1109" i="56" s="1"/>
  <c r="J1111" i="56" s="1"/>
  <c r="C1109" i="56"/>
  <c r="F1109" i="56" s="1"/>
  <c r="I1111" i="56" s="1"/>
  <c r="D1106" i="56"/>
  <c r="G1106" i="56" s="1"/>
  <c r="J1107" i="56" s="1"/>
  <c r="C1106" i="56"/>
  <c r="F1106" i="56" s="1"/>
  <c r="I1107" i="56" s="1"/>
  <c r="J1105" i="56"/>
  <c r="I1105" i="56"/>
  <c r="J1104" i="56"/>
  <c r="I1104" i="56"/>
  <c r="D1104" i="56"/>
  <c r="G1104" i="56" s="1"/>
  <c r="J1106" i="56" s="1"/>
  <c r="C1104" i="56"/>
  <c r="F1104" i="56" s="1"/>
  <c r="I1106" i="56" s="1"/>
  <c r="D1101" i="56"/>
  <c r="G1101" i="56" s="1"/>
  <c r="J1102" i="56" s="1"/>
  <c r="C1101" i="56"/>
  <c r="F1101" i="56" s="1"/>
  <c r="I1102" i="56" s="1"/>
  <c r="J1100" i="56"/>
  <c r="I1100" i="56"/>
  <c r="J1099" i="56"/>
  <c r="I1099" i="56"/>
  <c r="D1099" i="56"/>
  <c r="G1099" i="56" s="1"/>
  <c r="J1101" i="56" s="1"/>
  <c r="C1099" i="56"/>
  <c r="F1099" i="56" s="1"/>
  <c r="I1101" i="56" s="1"/>
  <c r="D1096" i="56"/>
  <c r="G1096" i="56" s="1"/>
  <c r="J1097" i="56" s="1"/>
  <c r="C1096" i="56"/>
  <c r="F1096" i="56" s="1"/>
  <c r="I1097" i="56" s="1"/>
  <c r="J1095" i="56"/>
  <c r="I1095" i="56"/>
  <c r="J1094" i="56"/>
  <c r="I1094" i="56"/>
  <c r="D1094" i="56"/>
  <c r="G1094" i="56" s="1"/>
  <c r="J1096" i="56" s="1"/>
  <c r="C1094" i="56"/>
  <c r="F1094" i="56" s="1"/>
  <c r="I1096" i="56" s="1"/>
  <c r="D1091" i="56"/>
  <c r="G1091" i="56" s="1"/>
  <c r="J1092" i="56" s="1"/>
  <c r="C1091" i="56"/>
  <c r="F1091" i="56" s="1"/>
  <c r="I1092" i="56" s="1"/>
  <c r="J1090" i="56"/>
  <c r="I1090" i="56"/>
  <c r="J1089" i="56"/>
  <c r="I1089" i="56"/>
  <c r="D1089" i="56"/>
  <c r="G1089" i="56" s="1"/>
  <c r="J1091" i="56" s="1"/>
  <c r="C1089" i="56"/>
  <c r="F1089" i="56" s="1"/>
  <c r="I1091" i="56" s="1"/>
  <c r="D1086" i="56"/>
  <c r="G1086" i="56" s="1"/>
  <c r="J1087" i="56" s="1"/>
  <c r="C1086" i="56"/>
  <c r="F1086" i="56" s="1"/>
  <c r="I1087" i="56" s="1"/>
  <c r="J1085" i="56"/>
  <c r="I1085" i="56"/>
  <c r="J1084" i="56"/>
  <c r="I1084" i="56"/>
  <c r="D1084" i="56"/>
  <c r="G1084" i="56" s="1"/>
  <c r="J1086" i="56" s="1"/>
  <c r="C1084" i="56"/>
  <c r="F1084" i="56" s="1"/>
  <c r="I1086" i="56" s="1"/>
  <c r="D1081" i="56"/>
  <c r="G1081" i="56" s="1"/>
  <c r="J1082" i="56" s="1"/>
  <c r="C1081" i="56"/>
  <c r="F1081" i="56" s="1"/>
  <c r="I1082" i="56" s="1"/>
  <c r="J1080" i="56"/>
  <c r="I1080" i="56"/>
  <c r="J1079" i="56"/>
  <c r="I1079" i="56"/>
  <c r="D1079" i="56"/>
  <c r="G1079" i="56" s="1"/>
  <c r="J1081" i="56" s="1"/>
  <c r="C1079" i="56"/>
  <c r="F1079" i="56" s="1"/>
  <c r="I1081" i="56" s="1"/>
  <c r="D1076" i="56"/>
  <c r="G1076" i="56" s="1"/>
  <c r="J1077" i="56" s="1"/>
  <c r="C1076" i="56"/>
  <c r="F1076" i="56" s="1"/>
  <c r="I1077" i="56" s="1"/>
  <c r="J1075" i="56"/>
  <c r="I1075" i="56"/>
  <c r="J1074" i="56"/>
  <c r="I1074" i="56"/>
  <c r="D1074" i="56"/>
  <c r="G1074" i="56" s="1"/>
  <c r="J1076" i="56" s="1"/>
  <c r="C1074" i="56"/>
  <c r="F1074" i="56" s="1"/>
  <c r="I1076" i="56" s="1"/>
  <c r="D1071" i="56"/>
  <c r="G1071" i="56" s="1"/>
  <c r="J1072" i="56" s="1"/>
  <c r="C1071" i="56"/>
  <c r="F1071" i="56" s="1"/>
  <c r="I1072" i="56" s="1"/>
  <c r="J1070" i="56"/>
  <c r="I1070" i="56"/>
  <c r="J1069" i="56"/>
  <c r="I1069" i="56"/>
  <c r="D1069" i="56"/>
  <c r="G1069" i="56" s="1"/>
  <c r="J1071" i="56" s="1"/>
  <c r="C1069" i="56"/>
  <c r="F1069" i="56" s="1"/>
  <c r="I1071" i="56" s="1"/>
  <c r="D1066" i="56"/>
  <c r="G1066" i="56" s="1"/>
  <c r="J1067" i="56" s="1"/>
  <c r="C1066" i="56"/>
  <c r="F1066" i="56" s="1"/>
  <c r="I1067" i="56" s="1"/>
  <c r="J1065" i="56"/>
  <c r="I1065" i="56"/>
  <c r="J1064" i="56"/>
  <c r="I1064" i="56"/>
  <c r="D1064" i="56"/>
  <c r="G1064" i="56" s="1"/>
  <c r="J1066" i="56" s="1"/>
  <c r="C1064" i="56"/>
  <c r="F1064" i="56" s="1"/>
  <c r="I1066" i="56" s="1"/>
  <c r="D1061" i="56"/>
  <c r="G1061" i="56" s="1"/>
  <c r="J1062" i="56" s="1"/>
  <c r="C1061" i="56"/>
  <c r="F1061" i="56" s="1"/>
  <c r="I1062" i="56" s="1"/>
  <c r="J1060" i="56"/>
  <c r="I1060" i="56"/>
  <c r="J1059" i="56"/>
  <c r="I1059" i="56"/>
  <c r="D1059" i="56"/>
  <c r="G1059" i="56" s="1"/>
  <c r="J1061" i="56" s="1"/>
  <c r="C1059" i="56"/>
  <c r="F1059" i="56" s="1"/>
  <c r="I1061" i="56" s="1"/>
  <c r="D1057" i="56"/>
  <c r="D1056" i="56"/>
  <c r="D1052" i="56"/>
  <c r="G1052" i="56" s="1"/>
  <c r="J1053" i="56" s="1"/>
  <c r="C1052" i="56"/>
  <c r="F1052" i="56" s="1"/>
  <c r="I1053" i="56" s="1"/>
  <c r="J1051" i="56"/>
  <c r="I1051" i="56"/>
  <c r="J1050" i="56"/>
  <c r="I1050" i="56"/>
  <c r="D1050" i="56"/>
  <c r="G1050" i="56" s="1"/>
  <c r="J1052" i="56" s="1"/>
  <c r="C1050" i="56"/>
  <c r="F1050" i="56" s="1"/>
  <c r="I1052" i="56" s="1"/>
  <c r="D1047" i="56"/>
  <c r="G1047" i="56" s="1"/>
  <c r="J1048" i="56" s="1"/>
  <c r="C1047" i="56"/>
  <c r="F1047" i="56" s="1"/>
  <c r="I1048" i="56" s="1"/>
  <c r="J1046" i="56"/>
  <c r="I1046" i="56"/>
  <c r="J1045" i="56"/>
  <c r="I1045" i="56"/>
  <c r="D1045" i="56"/>
  <c r="G1045" i="56" s="1"/>
  <c r="J1047" i="56" s="1"/>
  <c r="C1045" i="56"/>
  <c r="F1045" i="56" s="1"/>
  <c r="I1047" i="56" s="1"/>
  <c r="D1042" i="56"/>
  <c r="G1042" i="56" s="1"/>
  <c r="J1043" i="56" s="1"/>
  <c r="C1042" i="56"/>
  <c r="F1042" i="56" s="1"/>
  <c r="I1043" i="56" s="1"/>
  <c r="J1041" i="56"/>
  <c r="I1041" i="56"/>
  <c r="J1040" i="56"/>
  <c r="I1040" i="56"/>
  <c r="D1040" i="56"/>
  <c r="G1040" i="56" s="1"/>
  <c r="J1042" i="56" s="1"/>
  <c r="C1040" i="56"/>
  <c r="F1040" i="56" s="1"/>
  <c r="I1042" i="56" s="1"/>
  <c r="D1037" i="56"/>
  <c r="G1037" i="56" s="1"/>
  <c r="J1038" i="56" s="1"/>
  <c r="C1037" i="56"/>
  <c r="F1037" i="56" s="1"/>
  <c r="I1038" i="56" s="1"/>
  <c r="J1036" i="56"/>
  <c r="I1036" i="56"/>
  <c r="J1035" i="56"/>
  <c r="I1035" i="56"/>
  <c r="D1035" i="56"/>
  <c r="G1035" i="56" s="1"/>
  <c r="J1037" i="56" s="1"/>
  <c r="C1035" i="56"/>
  <c r="F1035" i="56" s="1"/>
  <c r="I1037" i="56" s="1"/>
  <c r="D1032" i="56"/>
  <c r="G1032" i="56" s="1"/>
  <c r="J1033" i="56" s="1"/>
  <c r="C1032" i="56"/>
  <c r="F1032" i="56" s="1"/>
  <c r="I1033" i="56" s="1"/>
  <c r="J1031" i="56"/>
  <c r="I1031" i="56"/>
  <c r="J1030" i="56"/>
  <c r="I1030" i="56"/>
  <c r="D1030" i="56"/>
  <c r="G1030" i="56" s="1"/>
  <c r="J1032" i="56" s="1"/>
  <c r="C1030" i="56"/>
  <c r="F1030" i="56" s="1"/>
  <c r="I1032" i="56" s="1"/>
  <c r="D1027" i="56"/>
  <c r="G1027" i="56" s="1"/>
  <c r="J1028" i="56" s="1"/>
  <c r="C1027" i="56"/>
  <c r="F1027" i="56" s="1"/>
  <c r="I1028" i="56" s="1"/>
  <c r="J1026" i="56"/>
  <c r="I1026" i="56"/>
  <c r="J1025" i="56"/>
  <c r="I1025" i="56"/>
  <c r="D1025" i="56"/>
  <c r="G1025" i="56" s="1"/>
  <c r="J1027" i="56" s="1"/>
  <c r="C1025" i="56"/>
  <c r="F1025" i="56" s="1"/>
  <c r="I1027" i="56" s="1"/>
  <c r="D1022" i="56"/>
  <c r="G1022" i="56" s="1"/>
  <c r="J1023" i="56" s="1"/>
  <c r="C1022" i="56"/>
  <c r="F1022" i="56" s="1"/>
  <c r="I1023" i="56" s="1"/>
  <c r="J1021" i="56"/>
  <c r="I1021" i="56"/>
  <c r="J1020" i="56"/>
  <c r="I1020" i="56"/>
  <c r="D1020" i="56"/>
  <c r="G1020" i="56" s="1"/>
  <c r="J1022" i="56" s="1"/>
  <c r="C1020" i="56"/>
  <c r="F1020" i="56" s="1"/>
  <c r="I1022" i="56" s="1"/>
  <c r="D1018" i="56"/>
  <c r="D1017" i="56"/>
  <c r="D1013" i="56"/>
  <c r="G1013" i="56" s="1"/>
  <c r="J1014" i="56" s="1"/>
  <c r="C1013" i="56"/>
  <c r="F1013" i="56" s="1"/>
  <c r="I1014" i="56" s="1"/>
  <c r="J1012" i="56"/>
  <c r="I1012" i="56"/>
  <c r="J1011" i="56"/>
  <c r="I1011" i="56"/>
  <c r="D1011" i="56"/>
  <c r="G1011" i="56" s="1"/>
  <c r="J1013" i="56" s="1"/>
  <c r="C1011" i="56"/>
  <c r="F1011" i="56" s="1"/>
  <c r="I1013" i="56" s="1"/>
  <c r="D1008" i="56"/>
  <c r="G1008" i="56" s="1"/>
  <c r="J1009" i="56" s="1"/>
  <c r="C1008" i="56"/>
  <c r="F1008" i="56" s="1"/>
  <c r="I1009" i="56" s="1"/>
  <c r="J1007" i="56"/>
  <c r="I1007" i="56"/>
  <c r="J1006" i="56"/>
  <c r="I1006" i="56"/>
  <c r="D1006" i="56"/>
  <c r="G1006" i="56" s="1"/>
  <c r="J1008" i="56" s="1"/>
  <c r="C1006" i="56"/>
  <c r="F1006" i="56" s="1"/>
  <c r="I1008" i="56" s="1"/>
  <c r="D1003" i="56"/>
  <c r="G1003" i="56" s="1"/>
  <c r="J1004" i="56" s="1"/>
  <c r="C1003" i="56"/>
  <c r="F1003" i="56" s="1"/>
  <c r="I1004" i="56" s="1"/>
  <c r="J1002" i="56"/>
  <c r="I1002" i="56"/>
  <c r="J1001" i="56"/>
  <c r="I1001" i="56"/>
  <c r="D1001" i="56"/>
  <c r="G1001" i="56" s="1"/>
  <c r="J1003" i="56" s="1"/>
  <c r="C1001" i="56"/>
  <c r="F1001" i="56" s="1"/>
  <c r="I1003" i="56" s="1"/>
  <c r="D998" i="56"/>
  <c r="G998" i="56" s="1"/>
  <c r="J999" i="56" s="1"/>
  <c r="C998" i="56"/>
  <c r="F998" i="56" s="1"/>
  <c r="I999" i="56" s="1"/>
  <c r="J997" i="56"/>
  <c r="I997" i="56"/>
  <c r="J996" i="56"/>
  <c r="I996" i="56"/>
  <c r="D996" i="56"/>
  <c r="G996" i="56" s="1"/>
  <c r="J998" i="56" s="1"/>
  <c r="C996" i="56"/>
  <c r="F996" i="56" s="1"/>
  <c r="I998" i="56" s="1"/>
  <c r="D993" i="56"/>
  <c r="G993" i="56" s="1"/>
  <c r="J994" i="56" s="1"/>
  <c r="C993" i="56"/>
  <c r="F993" i="56" s="1"/>
  <c r="I994" i="56" s="1"/>
  <c r="J992" i="56"/>
  <c r="I992" i="56"/>
  <c r="J991" i="56"/>
  <c r="I991" i="56"/>
  <c r="D991" i="56"/>
  <c r="G991" i="56" s="1"/>
  <c r="J993" i="56" s="1"/>
  <c r="C991" i="56"/>
  <c r="F991" i="56" s="1"/>
  <c r="I993" i="56" s="1"/>
  <c r="D988" i="56"/>
  <c r="G988" i="56" s="1"/>
  <c r="J989" i="56" s="1"/>
  <c r="C988" i="56"/>
  <c r="F988" i="56" s="1"/>
  <c r="I989" i="56" s="1"/>
  <c r="J987" i="56"/>
  <c r="I987" i="56"/>
  <c r="J986" i="56"/>
  <c r="I986" i="56"/>
  <c r="D986" i="56"/>
  <c r="G986" i="56" s="1"/>
  <c r="J988" i="56" s="1"/>
  <c r="C986" i="56"/>
  <c r="F986" i="56" s="1"/>
  <c r="I988" i="56" s="1"/>
  <c r="D983" i="56"/>
  <c r="G983" i="56" s="1"/>
  <c r="J984" i="56" s="1"/>
  <c r="C983" i="56"/>
  <c r="F983" i="56" s="1"/>
  <c r="I984" i="56" s="1"/>
  <c r="J982" i="56"/>
  <c r="I982" i="56"/>
  <c r="J981" i="56"/>
  <c r="I981" i="56"/>
  <c r="D981" i="56"/>
  <c r="G981" i="56" s="1"/>
  <c r="J983" i="56" s="1"/>
  <c r="C981" i="56"/>
  <c r="F981" i="56" s="1"/>
  <c r="I983" i="56" s="1"/>
  <c r="D978" i="56"/>
  <c r="G978" i="56" s="1"/>
  <c r="J979" i="56" s="1"/>
  <c r="C978" i="56"/>
  <c r="F978" i="56" s="1"/>
  <c r="I979" i="56" s="1"/>
  <c r="J977" i="56"/>
  <c r="I977" i="56"/>
  <c r="J976" i="56"/>
  <c r="I976" i="56"/>
  <c r="D976" i="56"/>
  <c r="G976" i="56" s="1"/>
  <c r="J978" i="56" s="1"/>
  <c r="C976" i="56"/>
  <c r="F976" i="56" s="1"/>
  <c r="I978" i="56" s="1"/>
  <c r="D973" i="56"/>
  <c r="G973" i="56" s="1"/>
  <c r="J974" i="56" s="1"/>
  <c r="C973" i="56"/>
  <c r="F973" i="56" s="1"/>
  <c r="I974" i="56" s="1"/>
  <c r="J972" i="56"/>
  <c r="I972" i="56"/>
  <c r="J971" i="56"/>
  <c r="I971" i="56"/>
  <c r="D971" i="56"/>
  <c r="G971" i="56" s="1"/>
  <c r="J973" i="56" s="1"/>
  <c r="C971" i="56"/>
  <c r="F971" i="56" s="1"/>
  <c r="I973" i="56" s="1"/>
  <c r="D968" i="56"/>
  <c r="G968" i="56" s="1"/>
  <c r="J969" i="56" s="1"/>
  <c r="C968" i="56"/>
  <c r="F968" i="56" s="1"/>
  <c r="I969" i="56" s="1"/>
  <c r="J967" i="56"/>
  <c r="I967" i="56"/>
  <c r="J966" i="56"/>
  <c r="I966" i="56"/>
  <c r="D966" i="56"/>
  <c r="G966" i="56" s="1"/>
  <c r="J968" i="56" s="1"/>
  <c r="C966" i="56"/>
  <c r="F966" i="56" s="1"/>
  <c r="I968" i="56" s="1"/>
  <c r="D963" i="56"/>
  <c r="G963" i="56" s="1"/>
  <c r="J964" i="56" s="1"/>
  <c r="C963" i="56"/>
  <c r="F963" i="56" s="1"/>
  <c r="I964" i="56" s="1"/>
  <c r="J962" i="56"/>
  <c r="I962" i="56"/>
  <c r="J961" i="56"/>
  <c r="I961" i="56"/>
  <c r="D961" i="56"/>
  <c r="G961" i="56" s="1"/>
  <c r="J963" i="56" s="1"/>
  <c r="C961" i="56"/>
  <c r="F961" i="56" s="1"/>
  <c r="I963" i="56" s="1"/>
  <c r="D958" i="56"/>
  <c r="G958" i="56" s="1"/>
  <c r="J959" i="56" s="1"/>
  <c r="C958" i="56"/>
  <c r="F958" i="56" s="1"/>
  <c r="I959" i="56" s="1"/>
  <c r="J957" i="56"/>
  <c r="I957" i="56"/>
  <c r="J956" i="56"/>
  <c r="I956" i="56"/>
  <c r="D956" i="56"/>
  <c r="G956" i="56" s="1"/>
  <c r="J958" i="56" s="1"/>
  <c r="C956" i="56"/>
  <c r="F956" i="56" s="1"/>
  <c r="I958" i="56" s="1"/>
  <c r="D953" i="56"/>
  <c r="G953" i="56" s="1"/>
  <c r="J954" i="56" s="1"/>
  <c r="C953" i="56"/>
  <c r="F953" i="56" s="1"/>
  <c r="I954" i="56" s="1"/>
  <c r="J952" i="56"/>
  <c r="I952" i="56"/>
  <c r="J951" i="56"/>
  <c r="I951" i="56"/>
  <c r="D951" i="56"/>
  <c r="G951" i="56" s="1"/>
  <c r="J953" i="56" s="1"/>
  <c r="C951" i="56"/>
  <c r="F951" i="56" s="1"/>
  <c r="I953" i="56" s="1"/>
  <c r="D949" i="56"/>
  <c r="D948" i="56"/>
  <c r="D934" i="56"/>
  <c r="G934" i="56" s="1"/>
  <c r="J935" i="56" s="1"/>
  <c r="C934" i="56"/>
  <c r="F934" i="56" s="1"/>
  <c r="I935" i="56" s="1"/>
  <c r="J933" i="56"/>
  <c r="I933" i="56"/>
  <c r="J932" i="56"/>
  <c r="I932" i="56"/>
  <c r="D932" i="56"/>
  <c r="G932" i="56" s="1"/>
  <c r="J934" i="56" s="1"/>
  <c r="C932" i="56"/>
  <c r="F932" i="56" s="1"/>
  <c r="I934" i="56" s="1"/>
  <c r="D929" i="56"/>
  <c r="G929" i="56" s="1"/>
  <c r="J930" i="56" s="1"/>
  <c r="C929" i="56"/>
  <c r="F929" i="56" s="1"/>
  <c r="I930" i="56" s="1"/>
  <c r="J928" i="56"/>
  <c r="I928" i="56"/>
  <c r="J927" i="56"/>
  <c r="I927" i="56"/>
  <c r="D927" i="56"/>
  <c r="G927" i="56" s="1"/>
  <c r="J929" i="56" s="1"/>
  <c r="C927" i="56"/>
  <c r="F927" i="56" s="1"/>
  <c r="I929" i="56" s="1"/>
  <c r="D924" i="56"/>
  <c r="G924" i="56" s="1"/>
  <c r="J925" i="56" s="1"/>
  <c r="C924" i="56"/>
  <c r="F924" i="56" s="1"/>
  <c r="I925" i="56" s="1"/>
  <c r="J923" i="56"/>
  <c r="I923" i="56"/>
  <c r="J922" i="56"/>
  <c r="I922" i="56"/>
  <c r="D922" i="56"/>
  <c r="G922" i="56" s="1"/>
  <c r="J924" i="56" s="1"/>
  <c r="C922" i="56"/>
  <c r="F922" i="56" s="1"/>
  <c r="I924" i="56" s="1"/>
  <c r="D919" i="56"/>
  <c r="G919" i="56" s="1"/>
  <c r="J920" i="56" s="1"/>
  <c r="C919" i="56"/>
  <c r="F919" i="56" s="1"/>
  <c r="I920" i="56" s="1"/>
  <c r="J918" i="56"/>
  <c r="I918" i="56"/>
  <c r="J917" i="56"/>
  <c r="I917" i="56"/>
  <c r="D917" i="56"/>
  <c r="G917" i="56" s="1"/>
  <c r="J919" i="56" s="1"/>
  <c r="C917" i="56"/>
  <c r="F917" i="56" s="1"/>
  <c r="I919" i="56" s="1"/>
  <c r="D914" i="56"/>
  <c r="G914" i="56" s="1"/>
  <c r="J915" i="56" s="1"/>
  <c r="C914" i="56"/>
  <c r="F914" i="56" s="1"/>
  <c r="I915" i="56" s="1"/>
  <c r="J913" i="56"/>
  <c r="I913" i="56"/>
  <c r="J912" i="56"/>
  <c r="I912" i="56"/>
  <c r="D912" i="56"/>
  <c r="G912" i="56" s="1"/>
  <c r="J914" i="56" s="1"/>
  <c r="C912" i="56"/>
  <c r="F912" i="56" s="1"/>
  <c r="I914" i="56" s="1"/>
  <c r="D908" i="56"/>
  <c r="G908" i="56" s="1"/>
  <c r="J909" i="56" s="1"/>
  <c r="C908" i="56"/>
  <c r="F908" i="56" s="1"/>
  <c r="I909" i="56" s="1"/>
  <c r="J907" i="56"/>
  <c r="I907" i="56"/>
  <c r="J906" i="56"/>
  <c r="I906" i="56"/>
  <c r="D906" i="56"/>
  <c r="G906" i="56" s="1"/>
  <c r="J908" i="56" s="1"/>
  <c r="C906" i="56"/>
  <c r="F906" i="56" s="1"/>
  <c r="I908" i="56" s="1"/>
  <c r="D903" i="56"/>
  <c r="G903" i="56" s="1"/>
  <c r="J904" i="56" s="1"/>
  <c r="C903" i="56"/>
  <c r="F903" i="56" s="1"/>
  <c r="I904" i="56" s="1"/>
  <c r="J902" i="56"/>
  <c r="I902" i="56"/>
  <c r="J901" i="56"/>
  <c r="I901" i="56"/>
  <c r="D901" i="56"/>
  <c r="G901" i="56" s="1"/>
  <c r="J903" i="56" s="1"/>
  <c r="C901" i="56"/>
  <c r="F901" i="56" s="1"/>
  <c r="I903" i="56" s="1"/>
  <c r="D898" i="56"/>
  <c r="G898" i="56" s="1"/>
  <c r="J899" i="56" s="1"/>
  <c r="C898" i="56"/>
  <c r="F898" i="56" s="1"/>
  <c r="I899" i="56" s="1"/>
  <c r="J897" i="56"/>
  <c r="I897" i="56"/>
  <c r="J896" i="56"/>
  <c r="I896" i="56"/>
  <c r="D896" i="56"/>
  <c r="G896" i="56" s="1"/>
  <c r="J898" i="56" s="1"/>
  <c r="C896" i="56"/>
  <c r="F896" i="56" s="1"/>
  <c r="I898" i="56" s="1"/>
  <c r="D893" i="56"/>
  <c r="G893" i="56" s="1"/>
  <c r="J894" i="56" s="1"/>
  <c r="C893" i="56"/>
  <c r="F893" i="56" s="1"/>
  <c r="I894" i="56" s="1"/>
  <c r="J892" i="56"/>
  <c r="I892" i="56"/>
  <c r="J891" i="56"/>
  <c r="I891" i="56"/>
  <c r="D891" i="56"/>
  <c r="G891" i="56" s="1"/>
  <c r="J893" i="56" s="1"/>
  <c r="C891" i="56"/>
  <c r="F891" i="56" s="1"/>
  <c r="I893" i="56" s="1"/>
  <c r="D889" i="56"/>
  <c r="D888" i="56"/>
  <c r="D884" i="56"/>
  <c r="G884" i="56" s="1"/>
  <c r="J885" i="56" s="1"/>
  <c r="C884" i="56"/>
  <c r="F884" i="56" s="1"/>
  <c r="I885" i="56" s="1"/>
  <c r="J883" i="56"/>
  <c r="I883" i="56"/>
  <c r="J882" i="56"/>
  <c r="I882" i="56"/>
  <c r="D882" i="56"/>
  <c r="G882" i="56" s="1"/>
  <c r="J884" i="56" s="1"/>
  <c r="C882" i="56"/>
  <c r="F882" i="56" s="1"/>
  <c r="I884" i="56" s="1"/>
  <c r="D879" i="56"/>
  <c r="G879" i="56" s="1"/>
  <c r="J880" i="56" s="1"/>
  <c r="C879" i="56"/>
  <c r="F879" i="56" s="1"/>
  <c r="I880" i="56" s="1"/>
  <c r="J878" i="56"/>
  <c r="I878" i="56"/>
  <c r="J877" i="56"/>
  <c r="I877" i="56"/>
  <c r="D877" i="56"/>
  <c r="G877" i="56" s="1"/>
  <c r="J879" i="56" s="1"/>
  <c r="C877" i="56"/>
  <c r="F877" i="56" s="1"/>
  <c r="I879" i="56" s="1"/>
  <c r="D875" i="56"/>
  <c r="D874" i="56"/>
  <c r="D864" i="56"/>
  <c r="G864" i="56" s="1"/>
  <c r="J865" i="56" s="1"/>
  <c r="C864" i="56"/>
  <c r="F864" i="56" s="1"/>
  <c r="I865" i="56" s="1"/>
  <c r="J863" i="56"/>
  <c r="I863" i="56"/>
  <c r="J862" i="56"/>
  <c r="I862" i="56"/>
  <c r="D862" i="56"/>
  <c r="G862" i="56" s="1"/>
  <c r="J864" i="56" s="1"/>
  <c r="C862" i="56"/>
  <c r="F862" i="56" s="1"/>
  <c r="I864" i="56" s="1"/>
  <c r="D859" i="56"/>
  <c r="G859" i="56" s="1"/>
  <c r="J860" i="56" s="1"/>
  <c r="C859" i="56"/>
  <c r="F859" i="56" s="1"/>
  <c r="I860" i="56" s="1"/>
  <c r="J858" i="56"/>
  <c r="I858" i="56"/>
  <c r="J857" i="56"/>
  <c r="I857" i="56"/>
  <c r="D857" i="56"/>
  <c r="G857" i="56" s="1"/>
  <c r="J859" i="56" s="1"/>
  <c r="C857" i="56"/>
  <c r="F857" i="56" s="1"/>
  <c r="I859" i="56" s="1"/>
  <c r="D854" i="56"/>
  <c r="G854" i="56" s="1"/>
  <c r="J855" i="56" s="1"/>
  <c r="C854" i="56"/>
  <c r="F854" i="56" s="1"/>
  <c r="I855" i="56" s="1"/>
  <c r="J853" i="56"/>
  <c r="I853" i="56"/>
  <c r="J852" i="56"/>
  <c r="I852" i="56"/>
  <c r="D852" i="56"/>
  <c r="G852" i="56" s="1"/>
  <c r="J854" i="56" s="1"/>
  <c r="C852" i="56"/>
  <c r="F852" i="56" s="1"/>
  <c r="I854" i="56" s="1"/>
  <c r="D849" i="56"/>
  <c r="G849" i="56" s="1"/>
  <c r="J850" i="56" s="1"/>
  <c r="C849" i="56"/>
  <c r="F849" i="56" s="1"/>
  <c r="I850" i="56" s="1"/>
  <c r="J848" i="56"/>
  <c r="I848" i="56"/>
  <c r="J847" i="56"/>
  <c r="I847" i="56"/>
  <c r="D847" i="56"/>
  <c r="G847" i="56" s="1"/>
  <c r="J849" i="56" s="1"/>
  <c r="C847" i="56"/>
  <c r="F847" i="56" s="1"/>
  <c r="I849" i="56" s="1"/>
  <c r="D845" i="56"/>
  <c r="D844" i="56"/>
  <c r="D840" i="56"/>
  <c r="G840" i="56" s="1"/>
  <c r="J841" i="56" s="1"/>
  <c r="C840" i="56"/>
  <c r="F840" i="56" s="1"/>
  <c r="I841" i="56" s="1"/>
  <c r="J839" i="56"/>
  <c r="I839" i="56"/>
  <c r="J838" i="56"/>
  <c r="I838" i="56"/>
  <c r="D838" i="56"/>
  <c r="G838" i="56" s="1"/>
  <c r="J840" i="56" s="1"/>
  <c r="C838" i="56"/>
  <c r="F838" i="56" s="1"/>
  <c r="I840" i="56" s="1"/>
  <c r="D835" i="56"/>
  <c r="G835" i="56" s="1"/>
  <c r="J836" i="56" s="1"/>
  <c r="C835" i="56"/>
  <c r="F835" i="56" s="1"/>
  <c r="I836" i="56" s="1"/>
  <c r="J834" i="56"/>
  <c r="I834" i="56"/>
  <c r="J833" i="56"/>
  <c r="I833" i="56"/>
  <c r="D833" i="56"/>
  <c r="G833" i="56" s="1"/>
  <c r="J835" i="56" s="1"/>
  <c r="C833" i="56"/>
  <c r="F833" i="56" s="1"/>
  <c r="I835" i="56" s="1"/>
  <c r="D830" i="56"/>
  <c r="G830" i="56" s="1"/>
  <c r="J831" i="56" s="1"/>
  <c r="C830" i="56"/>
  <c r="F830" i="56" s="1"/>
  <c r="I831" i="56" s="1"/>
  <c r="J829" i="56"/>
  <c r="I829" i="56"/>
  <c r="J828" i="56"/>
  <c r="I828" i="56"/>
  <c r="D828" i="56"/>
  <c r="G828" i="56" s="1"/>
  <c r="J830" i="56" s="1"/>
  <c r="C828" i="56"/>
  <c r="F828" i="56" s="1"/>
  <c r="I830" i="56" s="1"/>
  <c r="D821" i="56"/>
  <c r="G821" i="56" s="1"/>
  <c r="J822" i="56" s="1"/>
  <c r="C821" i="56"/>
  <c r="F821" i="56" s="1"/>
  <c r="I822" i="56" s="1"/>
  <c r="J820" i="56"/>
  <c r="I820" i="56"/>
  <c r="J819" i="56"/>
  <c r="I819" i="56"/>
  <c r="D819" i="56"/>
  <c r="G819" i="56" s="1"/>
  <c r="J821" i="56" s="1"/>
  <c r="C819" i="56"/>
  <c r="F819" i="56" s="1"/>
  <c r="I821" i="56" s="1"/>
  <c r="D816" i="56"/>
  <c r="G816" i="56" s="1"/>
  <c r="J817" i="56" s="1"/>
  <c r="C816" i="56"/>
  <c r="F816" i="56" s="1"/>
  <c r="I817" i="56" s="1"/>
  <c r="J815" i="56"/>
  <c r="I815" i="56"/>
  <c r="J814" i="56"/>
  <c r="I814" i="56"/>
  <c r="D814" i="56"/>
  <c r="G814" i="56" s="1"/>
  <c r="J816" i="56" s="1"/>
  <c r="C814" i="56"/>
  <c r="F814" i="56" s="1"/>
  <c r="I816" i="56" s="1"/>
  <c r="D811" i="56"/>
  <c r="G811" i="56" s="1"/>
  <c r="J812" i="56" s="1"/>
  <c r="C811" i="56"/>
  <c r="F811" i="56" s="1"/>
  <c r="I812" i="56" s="1"/>
  <c r="J810" i="56"/>
  <c r="I810" i="56"/>
  <c r="J809" i="56"/>
  <c r="I809" i="56"/>
  <c r="D809" i="56"/>
  <c r="G809" i="56" s="1"/>
  <c r="J811" i="56" s="1"/>
  <c r="C809" i="56"/>
  <c r="F809" i="56" s="1"/>
  <c r="I811" i="56" s="1"/>
  <c r="D806" i="56"/>
  <c r="G806" i="56" s="1"/>
  <c r="J807" i="56" s="1"/>
  <c r="C806" i="56"/>
  <c r="F806" i="56" s="1"/>
  <c r="I807" i="56" s="1"/>
  <c r="J805" i="56"/>
  <c r="I805" i="56"/>
  <c r="J804" i="56"/>
  <c r="I804" i="56"/>
  <c r="D804" i="56"/>
  <c r="G804" i="56" s="1"/>
  <c r="J806" i="56" s="1"/>
  <c r="C804" i="56"/>
  <c r="F804" i="56" s="1"/>
  <c r="I806" i="56" s="1"/>
  <c r="D802" i="56"/>
  <c r="D801" i="56"/>
  <c r="D795" i="56"/>
  <c r="G795" i="56" s="1"/>
  <c r="J796" i="56" s="1"/>
  <c r="C795" i="56"/>
  <c r="F795" i="56" s="1"/>
  <c r="I796" i="56" s="1"/>
  <c r="J794" i="56"/>
  <c r="I794" i="56"/>
  <c r="J793" i="56"/>
  <c r="I793" i="56"/>
  <c r="D793" i="56"/>
  <c r="G793" i="56" s="1"/>
  <c r="J795" i="56" s="1"/>
  <c r="C793" i="56"/>
  <c r="F793" i="56" s="1"/>
  <c r="I795" i="56" s="1"/>
  <c r="D790" i="56"/>
  <c r="G790" i="56" s="1"/>
  <c r="J791" i="56" s="1"/>
  <c r="C790" i="56"/>
  <c r="F790" i="56" s="1"/>
  <c r="I791" i="56" s="1"/>
  <c r="J789" i="56"/>
  <c r="I789" i="56"/>
  <c r="J788" i="56"/>
  <c r="I788" i="56"/>
  <c r="D788" i="56"/>
  <c r="G788" i="56" s="1"/>
  <c r="J790" i="56" s="1"/>
  <c r="C788" i="56"/>
  <c r="F788" i="56" s="1"/>
  <c r="I790" i="56" s="1"/>
  <c r="D785" i="56"/>
  <c r="G785" i="56" s="1"/>
  <c r="J786" i="56" s="1"/>
  <c r="C785" i="56"/>
  <c r="F785" i="56" s="1"/>
  <c r="I786" i="56" s="1"/>
  <c r="J784" i="56"/>
  <c r="I784" i="56"/>
  <c r="J783" i="56"/>
  <c r="I783" i="56"/>
  <c r="D783" i="56"/>
  <c r="G783" i="56" s="1"/>
  <c r="J785" i="56" s="1"/>
  <c r="C783" i="56"/>
  <c r="F783" i="56" s="1"/>
  <c r="I785" i="56" s="1"/>
  <c r="D781" i="56"/>
  <c r="D780" i="56"/>
  <c r="D768" i="56"/>
  <c r="G768" i="56" s="1"/>
  <c r="J769" i="56" s="1"/>
  <c r="C768" i="56"/>
  <c r="F768" i="56" s="1"/>
  <c r="I769" i="56" s="1"/>
  <c r="J767" i="56"/>
  <c r="I767" i="56"/>
  <c r="J766" i="56"/>
  <c r="I766" i="56"/>
  <c r="D766" i="56"/>
  <c r="G766" i="56" s="1"/>
  <c r="J768" i="56" s="1"/>
  <c r="C766" i="56"/>
  <c r="F766" i="56" s="1"/>
  <c r="I768" i="56" s="1"/>
  <c r="D763" i="56"/>
  <c r="G763" i="56" s="1"/>
  <c r="J764" i="56" s="1"/>
  <c r="C763" i="56"/>
  <c r="F763" i="56" s="1"/>
  <c r="I764" i="56" s="1"/>
  <c r="J762" i="56"/>
  <c r="I762" i="56"/>
  <c r="J761" i="56"/>
  <c r="I761" i="56"/>
  <c r="D761" i="56"/>
  <c r="G761" i="56" s="1"/>
  <c r="J763" i="56" s="1"/>
  <c r="C761" i="56"/>
  <c r="F761" i="56" s="1"/>
  <c r="I763" i="56" s="1"/>
  <c r="D758" i="56"/>
  <c r="G758" i="56" s="1"/>
  <c r="J759" i="56" s="1"/>
  <c r="C758" i="56"/>
  <c r="F758" i="56" s="1"/>
  <c r="I759" i="56" s="1"/>
  <c r="J757" i="56"/>
  <c r="I757" i="56"/>
  <c r="J756" i="56"/>
  <c r="I756" i="56"/>
  <c r="D756" i="56"/>
  <c r="G756" i="56" s="1"/>
  <c r="J758" i="56" s="1"/>
  <c r="C756" i="56"/>
  <c r="F756" i="56" s="1"/>
  <c r="I758" i="56" s="1"/>
  <c r="D753" i="56"/>
  <c r="G753" i="56" s="1"/>
  <c r="J754" i="56" s="1"/>
  <c r="C753" i="56"/>
  <c r="F753" i="56" s="1"/>
  <c r="I754" i="56" s="1"/>
  <c r="J752" i="56"/>
  <c r="I752" i="56"/>
  <c r="J751" i="56"/>
  <c r="I751" i="56"/>
  <c r="D751" i="56"/>
  <c r="G751" i="56" s="1"/>
  <c r="J753" i="56" s="1"/>
  <c r="C751" i="56"/>
  <c r="F751" i="56" s="1"/>
  <c r="I753" i="56" s="1"/>
  <c r="D748" i="56"/>
  <c r="G748" i="56" s="1"/>
  <c r="J749" i="56" s="1"/>
  <c r="C748" i="56"/>
  <c r="F748" i="56" s="1"/>
  <c r="I749" i="56" s="1"/>
  <c r="J747" i="56"/>
  <c r="I747" i="56"/>
  <c r="J746" i="56"/>
  <c r="I746" i="56"/>
  <c r="D746" i="56"/>
  <c r="G746" i="56" s="1"/>
  <c r="J748" i="56" s="1"/>
  <c r="C746" i="56"/>
  <c r="F746" i="56" s="1"/>
  <c r="I748" i="56" s="1"/>
  <c r="D743" i="56"/>
  <c r="G743" i="56" s="1"/>
  <c r="J744" i="56" s="1"/>
  <c r="C743" i="56"/>
  <c r="F743" i="56" s="1"/>
  <c r="I744" i="56" s="1"/>
  <c r="J742" i="56"/>
  <c r="I742" i="56"/>
  <c r="J741" i="56"/>
  <c r="I741" i="56"/>
  <c r="D741" i="56"/>
  <c r="G741" i="56" s="1"/>
  <c r="J743" i="56" s="1"/>
  <c r="C741" i="56"/>
  <c r="F741" i="56" s="1"/>
  <c r="I743" i="56" s="1"/>
  <c r="D739" i="56"/>
  <c r="D738" i="56"/>
  <c r="D726" i="56"/>
  <c r="G726" i="56" s="1"/>
  <c r="J727" i="56" s="1"/>
  <c r="C726" i="56"/>
  <c r="F726" i="56" s="1"/>
  <c r="I727" i="56" s="1"/>
  <c r="J725" i="56"/>
  <c r="I725" i="56"/>
  <c r="J724" i="56"/>
  <c r="I724" i="56"/>
  <c r="D724" i="56"/>
  <c r="G724" i="56" s="1"/>
  <c r="J726" i="56" s="1"/>
  <c r="C724" i="56"/>
  <c r="F724" i="56" s="1"/>
  <c r="I726" i="56" s="1"/>
  <c r="D721" i="56"/>
  <c r="G721" i="56" s="1"/>
  <c r="J722" i="56" s="1"/>
  <c r="C721" i="56"/>
  <c r="F721" i="56" s="1"/>
  <c r="I722" i="56" s="1"/>
  <c r="J720" i="56"/>
  <c r="I720" i="56"/>
  <c r="J719" i="56"/>
  <c r="I719" i="56"/>
  <c r="D719" i="56"/>
  <c r="G719" i="56" s="1"/>
  <c r="J721" i="56" s="1"/>
  <c r="C719" i="56"/>
  <c r="F719" i="56" s="1"/>
  <c r="I721" i="56" s="1"/>
  <c r="D716" i="56"/>
  <c r="G716" i="56" s="1"/>
  <c r="J717" i="56" s="1"/>
  <c r="C716" i="56"/>
  <c r="F716" i="56" s="1"/>
  <c r="I717" i="56" s="1"/>
  <c r="J715" i="56"/>
  <c r="I715" i="56"/>
  <c r="J714" i="56"/>
  <c r="I714" i="56"/>
  <c r="D714" i="56"/>
  <c r="G714" i="56" s="1"/>
  <c r="J716" i="56" s="1"/>
  <c r="C714" i="56"/>
  <c r="F714" i="56" s="1"/>
  <c r="I716" i="56" s="1"/>
  <c r="D711" i="56"/>
  <c r="G711" i="56" s="1"/>
  <c r="J712" i="56" s="1"/>
  <c r="C711" i="56"/>
  <c r="F711" i="56" s="1"/>
  <c r="I712" i="56" s="1"/>
  <c r="J710" i="56"/>
  <c r="I710" i="56"/>
  <c r="J709" i="56"/>
  <c r="I709" i="56"/>
  <c r="D709" i="56"/>
  <c r="G709" i="56" s="1"/>
  <c r="J711" i="56" s="1"/>
  <c r="C709" i="56"/>
  <c r="F709" i="56" s="1"/>
  <c r="I711" i="56" s="1"/>
  <c r="D706" i="56"/>
  <c r="G706" i="56" s="1"/>
  <c r="J707" i="56" s="1"/>
  <c r="C706" i="56"/>
  <c r="F706" i="56" s="1"/>
  <c r="I707" i="56" s="1"/>
  <c r="J705" i="56"/>
  <c r="I705" i="56"/>
  <c r="J704" i="56"/>
  <c r="I704" i="56"/>
  <c r="D704" i="56"/>
  <c r="G704" i="56" s="1"/>
  <c r="J706" i="56" s="1"/>
  <c r="C704" i="56"/>
  <c r="F704" i="56" s="1"/>
  <c r="I706" i="56" s="1"/>
  <c r="D701" i="56"/>
  <c r="G701" i="56" s="1"/>
  <c r="J702" i="56" s="1"/>
  <c r="C701" i="56"/>
  <c r="F701" i="56" s="1"/>
  <c r="I702" i="56" s="1"/>
  <c r="J700" i="56"/>
  <c r="I700" i="56"/>
  <c r="J699" i="56"/>
  <c r="I699" i="56"/>
  <c r="D699" i="56"/>
  <c r="G699" i="56" s="1"/>
  <c r="J701" i="56" s="1"/>
  <c r="C699" i="56"/>
  <c r="F699" i="56" s="1"/>
  <c r="I701" i="56" s="1"/>
  <c r="D697" i="56"/>
  <c r="D696" i="56"/>
  <c r="D684" i="56"/>
  <c r="G684" i="56" s="1"/>
  <c r="J685" i="56" s="1"/>
  <c r="C684" i="56"/>
  <c r="F684" i="56" s="1"/>
  <c r="I685" i="56" s="1"/>
  <c r="J683" i="56"/>
  <c r="I683" i="56"/>
  <c r="J682" i="56"/>
  <c r="I682" i="56"/>
  <c r="D682" i="56"/>
  <c r="G682" i="56" s="1"/>
  <c r="J684" i="56" s="1"/>
  <c r="C682" i="56"/>
  <c r="F682" i="56" s="1"/>
  <c r="I684" i="56" s="1"/>
  <c r="D679" i="56"/>
  <c r="G679" i="56" s="1"/>
  <c r="J680" i="56" s="1"/>
  <c r="C679" i="56"/>
  <c r="F679" i="56" s="1"/>
  <c r="I680" i="56" s="1"/>
  <c r="J678" i="56"/>
  <c r="I678" i="56"/>
  <c r="J677" i="56"/>
  <c r="I677" i="56"/>
  <c r="D677" i="56"/>
  <c r="G677" i="56" s="1"/>
  <c r="J679" i="56" s="1"/>
  <c r="C677" i="56"/>
  <c r="F677" i="56" s="1"/>
  <c r="I679" i="56" s="1"/>
  <c r="D674" i="56"/>
  <c r="G674" i="56" s="1"/>
  <c r="J675" i="56" s="1"/>
  <c r="C674" i="56"/>
  <c r="F674" i="56" s="1"/>
  <c r="I675" i="56" s="1"/>
  <c r="J673" i="56"/>
  <c r="I673" i="56"/>
  <c r="J672" i="56"/>
  <c r="I672" i="56"/>
  <c r="D672" i="56"/>
  <c r="G672" i="56" s="1"/>
  <c r="J674" i="56" s="1"/>
  <c r="C672" i="56"/>
  <c r="F672" i="56" s="1"/>
  <c r="I674" i="56" s="1"/>
  <c r="D669" i="56"/>
  <c r="G669" i="56" s="1"/>
  <c r="J670" i="56" s="1"/>
  <c r="C669" i="56"/>
  <c r="F669" i="56" s="1"/>
  <c r="I670" i="56" s="1"/>
  <c r="J668" i="56"/>
  <c r="I668" i="56"/>
  <c r="J667" i="56"/>
  <c r="I667" i="56"/>
  <c r="D667" i="56"/>
  <c r="G667" i="56" s="1"/>
  <c r="J669" i="56" s="1"/>
  <c r="C667" i="56"/>
  <c r="F667" i="56" s="1"/>
  <c r="I669" i="56" s="1"/>
  <c r="D664" i="56"/>
  <c r="G664" i="56" s="1"/>
  <c r="J665" i="56" s="1"/>
  <c r="C664" i="56"/>
  <c r="F664" i="56" s="1"/>
  <c r="I665" i="56" s="1"/>
  <c r="J663" i="56"/>
  <c r="I663" i="56"/>
  <c r="J662" i="56"/>
  <c r="I662" i="56"/>
  <c r="D662" i="56"/>
  <c r="G662" i="56" s="1"/>
  <c r="J664" i="56" s="1"/>
  <c r="C662" i="56"/>
  <c r="F662" i="56" s="1"/>
  <c r="I664" i="56" s="1"/>
  <c r="D659" i="56"/>
  <c r="G659" i="56" s="1"/>
  <c r="J660" i="56" s="1"/>
  <c r="C659" i="56"/>
  <c r="F659" i="56" s="1"/>
  <c r="I660" i="56" s="1"/>
  <c r="J658" i="56"/>
  <c r="I658" i="56"/>
  <c r="J657" i="56"/>
  <c r="I657" i="56"/>
  <c r="D657" i="56"/>
  <c r="G657" i="56" s="1"/>
  <c r="J659" i="56" s="1"/>
  <c r="C657" i="56"/>
  <c r="F657" i="56" s="1"/>
  <c r="I659" i="56" s="1"/>
  <c r="D655" i="56"/>
  <c r="D654" i="56"/>
  <c r="D650" i="56"/>
  <c r="G650" i="56" s="1"/>
  <c r="J651" i="56" s="1"/>
  <c r="C650" i="56"/>
  <c r="F650" i="56" s="1"/>
  <c r="I651" i="56" s="1"/>
  <c r="J649" i="56"/>
  <c r="I649" i="56"/>
  <c r="J648" i="56"/>
  <c r="I648" i="56"/>
  <c r="D648" i="56"/>
  <c r="G648" i="56" s="1"/>
  <c r="J650" i="56" s="1"/>
  <c r="C648" i="56"/>
  <c r="F648" i="56" s="1"/>
  <c r="I650" i="56" s="1"/>
  <c r="D645" i="56"/>
  <c r="G645" i="56" s="1"/>
  <c r="J646" i="56" s="1"/>
  <c r="C645" i="56"/>
  <c r="F645" i="56" s="1"/>
  <c r="I646" i="56" s="1"/>
  <c r="J644" i="56"/>
  <c r="I644" i="56"/>
  <c r="J643" i="56"/>
  <c r="I643" i="56"/>
  <c r="D643" i="56"/>
  <c r="G643" i="56" s="1"/>
  <c r="J645" i="56" s="1"/>
  <c r="C643" i="56"/>
  <c r="F643" i="56" s="1"/>
  <c r="I645" i="56" s="1"/>
  <c r="D640" i="56"/>
  <c r="G640" i="56" s="1"/>
  <c r="J641" i="56" s="1"/>
  <c r="C640" i="56"/>
  <c r="F640" i="56" s="1"/>
  <c r="I641" i="56" s="1"/>
  <c r="J639" i="56"/>
  <c r="I639" i="56"/>
  <c r="J638" i="56"/>
  <c r="I638" i="56"/>
  <c r="D638" i="56"/>
  <c r="G638" i="56" s="1"/>
  <c r="J640" i="56" s="1"/>
  <c r="C638" i="56"/>
  <c r="F638" i="56" s="1"/>
  <c r="I640" i="56" s="1"/>
  <c r="D636" i="56"/>
  <c r="D635" i="56"/>
  <c r="D631" i="56"/>
  <c r="G631" i="56" s="1"/>
  <c r="J632" i="56" s="1"/>
  <c r="C631" i="56"/>
  <c r="F631" i="56" s="1"/>
  <c r="I632" i="56" s="1"/>
  <c r="J630" i="56"/>
  <c r="I630" i="56"/>
  <c r="J629" i="56"/>
  <c r="I629" i="56"/>
  <c r="D629" i="56"/>
  <c r="G629" i="56" s="1"/>
  <c r="J631" i="56" s="1"/>
  <c r="C629" i="56"/>
  <c r="F629" i="56" s="1"/>
  <c r="I631" i="56" s="1"/>
  <c r="D627" i="56"/>
  <c r="D626" i="56"/>
  <c r="D622" i="56"/>
  <c r="G622" i="56" s="1"/>
  <c r="J623" i="56" s="1"/>
  <c r="C622" i="56"/>
  <c r="F622" i="56" s="1"/>
  <c r="I623" i="56" s="1"/>
  <c r="J621" i="56"/>
  <c r="I621" i="56"/>
  <c r="J620" i="56"/>
  <c r="I620" i="56"/>
  <c r="D620" i="56"/>
  <c r="G620" i="56" s="1"/>
  <c r="J622" i="56" s="1"/>
  <c r="C620" i="56"/>
  <c r="F620" i="56" s="1"/>
  <c r="I622" i="56" s="1"/>
  <c r="D617" i="56"/>
  <c r="G617" i="56" s="1"/>
  <c r="J618" i="56" s="1"/>
  <c r="C617" i="56"/>
  <c r="F617" i="56" s="1"/>
  <c r="I618" i="56" s="1"/>
  <c r="J616" i="56"/>
  <c r="I616" i="56"/>
  <c r="J615" i="56"/>
  <c r="I615" i="56"/>
  <c r="D615" i="56"/>
  <c r="G615" i="56" s="1"/>
  <c r="J617" i="56" s="1"/>
  <c r="C615" i="56"/>
  <c r="F615" i="56" s="1"/>
  <c r="I617" i="56" s="1"/>
  <c r="D612" i="56"/>
  <c r="G612" i="56" s="1"/>
  <c r="J613" i="56" s="1"/>
  <c r="C612" i="56"/>
  <c r="F612" i="56" s="1"/>
  <c r="I613" i="56" s="1"/>
  <c r="J611" i="56"/>
  <c r="I611" i="56"/>
  <c r="J610" i="56"/>
  <c r="I610" i="56"/>
  <c r="D610" i="56"/>
  <c r="G610" i="56" s="1"/>
  <c r="J612" i="56" s="1"/>
  <c r="C610" i="56"/>
  <c r="F610" i="56" s="1"/>
  <c r="I612" i="56" s="1"/>
  <c r="D607" i="56"/>
  <c r="G607" i="56" s="1"/>
  <c r="J608" i="56" s="1"/>
  <c r="C607" i="56"/>
  <c r="F607" i="56" s="1"/>
  <c r="I608" i="56" s="1"/>
  <c r="J606" i="56"/>
  <c r="I606" i="56"/>
  <c r="J605" i="56"/>
  <c r="I605" i="56"/>
  <c r="D605" i="56"/>
  <c r="G605" i="56" s="1"/>
  <c r="J607" i="56" s="1"/>
  <c r="C605" i="56"/>
  <c r="F605" i="56" s="1"/>
  <c r="I607" i="56" s="1"/>
  <c r="D602" i="56"/>
  <c r="G602" i="56" s="1"/>
  <c r="J603" i="56" s="1"/>
  <c r="C602" i="56"/>
  <c r="F602" i="56" s="1"/>
  <c r="I603" i="56" s="1"/>
  <c r="J601" i="56"/>
  <c r="I601" i="56"/>
  <c r="J600" i="56"/>
  <c r="I600" i="56"/>
  <c r="D600" i="56"/>
  <c r="G600" i="56" s="1"/>
  <c r="J602" i="56" s="1"/>
  <c r="C600" i="56"/>
  <c r="F600" i="56" s="1"/>
  <c r="I602" i="56" s="1"/>
  <c r="D597" i="56"/>
  <c r="G597" i="56" s="1"/>
  <c r="J598" i="56" s="1"/>
  <c r="C597" i="56"/>
  <c r="F597" i="56" s="1"/>
  <c r="I598" i="56" s="1"/>
  <c r="J596" i="56"/>
  <c r="I596" i="56"/>
  <c r="J595" i="56"/>
  <c r="I595" i="56"/>
  <c r="D595" i="56"/>
  <c r="G595" i="56" s="1"/>
  <c r="J597" i="56" s="1"/>
  <c r="C595" i="56"/>
  <c r="F595" i="56" s="1"/>
  <c r="I597" i="56" s="1"/>
  <c r="D592" i="56"/>
  <c r="G592" i="56" s="1"/>
  <c r="J593" i="56" s="1"/>
  <c r="C592" i="56"/>
  <c r="F592" i="56" s="1"/>
  <c r="I593" i="56" s="1"/>
  <c r="J591" i="56"/>
  <c r="I591" i="56"/>
  <c r="J590" i="56"/>
  <c r="I590" i="56"/>
  <c r="D590" i="56"/>
  <c r="G590" i="56" s="1"/>
  <c r="J592" i="56" s="1"/>
  <c r="C590" i="56"/>
  <c r="F590" i="56" s="1"/>
  <c r="I592" i="56" s="1"/>
  <c r="D587" i="56"/>
  <c r="G587" i="56" s="1"/>
  <c r="J588" i="56" s="1"/>
  <c r="C587" i="56"/>
  <c r="F587" i="56" s="1"/>
  <c r="I588" i="56" s="1"/>
  <c r="J586" i="56"/>
  <c r="I586" i="56"/>
  <c r="J585" i="56"/>
  <c r="I585" i="56"/>
  <c r="D585" i="56"/>
  <c r="G585" i="56" s="1"/>
  <c r="J587" i="56" s="1"/>
  <c r="C585" i="56"/>
  <c r="F585" i="56" s="1"/>
  <c r="I587" i="56" s="1"/>
  <c r="D582" i="56"/>
  <c r="G582" i="56" s="1"/>
  <c r="J583" i="56" s="1"/>
  <c r="C582" i="56"/>
  <c r="F582" i="56" s="1"/>
  <c r="I583" i="56" s="1"/>
  <c r="J581" i="56"/>
  <c r="I581" i="56"/>
  <c r="J580" i="56"/>
  <c r="I580" i="56"/>
  <c r="D580" i="56"/>
  <c r="G580" i="56" s="1"/>
  <c r="J582" i="56" s="1"/>
  <c r="C580" i="56"/>
  <c r="F580" i="56" s="1"/>
  <c r="I582" i="56" s="1"/>
  <c r="D577" i="56"/>
  <c r="G577" i="56" s="1"/>
  <c r="J578" i="56" s="1"/>
  <c r="C577" i="56"/>
  <c r="F577" i="56" s="1"/>
  <c r="I578" i="56" s="1"/>
  <c r="J576" i="56"/>
  <c r="I576" i="56"/>
  <c r="J575" i="56"/>
  <c r="I575" i="56"/>
  <c r="D575" i="56"/>
  <c r="G575" i="56" s="1"/>
  <c r="J577" i="56" s="1"/>
  <c r="C575" i="56"/>
  <c r="F575" i="56" s="1"/>
  <c r="I577" i="56" s="1"/>
  <c r="D568" i="56"/>
  <c r="G568" i="56" s="1"/>
  <c r="J569" i="56" s="1"/>
  <c r="C568" i="56"/>
  <c r="F568" i="56" s="1"/>
  <c r="I569" i="56" s="1"/>
  <c r="J567" i="56"/>
  <c r="I567" i="56"/>
  <c r="J566" i="56"/>
  <c r="I566" i="56"/>
  <c r="D566" i="56"/>
  <c r="G566" i="56" s="1"/>
  <c r="J568" i="56" s="1"/>
  <c r="C566" i="56"/>
  <c r="F566" i="56" s="1"/>
  <c r="I568" i="56" s="1"/>
  <c r="D563" i="56"/>
  <c r="G563" i="56" s="1"/>
  <c r="J564" i="56" s="1"/>
  <c r="C563" i="56"/>
  <c r="F563" i="56" s="1"/>
  <c r="I564" i="56" s="1"/>
  <c r="J562" i="56"/>
  <c r="I562" i="56"/>
  <c r="J561" i="56"/>
  <c r="I561" i="56"/>
  <c r="D561" i="56"/>
  <c r="G561" i="56" s="1"/>
  <c r="J563" i="56" s="1"/>
  <c r="C561" i="56"/>
  <c r="F561" i="56" s="1"/>
  <c r="I563" i="56" s="1"/>
  <c r="D558" i="56"/>
  <c r="G558" i="56" s="1"/>
  <c r="J559" i="56" s="1"/>
  <c r="C558" i="56"/>
  <c r="F558" i="56" s="1"/>
  <c r="I559" i="56" s="1"/>
  <c r="J557" i="56"/>
  <c r="I557" i="56"/>
  <c r="J556" i="56"/>
  <c r="I556" i="56"/>
  <c r="D556" i="56"/>
  <c r="G556" i="56" s="1"/>
  <c r="J558" i="56" s="1"/>
  <c r="C556" i="56"/>
  <c r="F556" i="56" s="1"/>
  <c r="I558" i="56" s="1"/>
  <c r="D553" i="56"/>
  <c r="G553" i="56" s="1"/>
  <c r="J554" i="56" s="1"/>
  <c r="C553" i="56"/>
  <c r="F553" i="56" s="1"/>
  <c r="I554" i="56" s="1"/>
  <c r="J552" i="56"/>
  <c r="I552" i="56"/>
  <c r="J551" i="56"/>
  <c r="I551" i="56"/>
  <c r="D551" i="56"/>
  <c r="G551" i="56" s="1"/>
  <c r="J553" i="56" s="1"/>
  <c r="C551" i="56"/>
  <c r="F551" i="56" s="1"/>
  <c r="I553" i="56" s="1"/>
  <c r="D548" i="56"/>
  <c r="G548" i="56" s="1"/>
  <c r="J549" i="56" s="1"/>
  <c r="C548" i="56"/>
  <c r="F548" i="56" s="1"/>
  <c r="I549" i="56" s="1"/>
  <c r="J547" i="56"/>
  <c r="I547" i="56"/>
  <c r="J546" i="56"/>
  <c r="I546" i="56"/>
  <c r="D546" i="56"/>
  <c r="G546" i="56" s="1"/>
  <c r="J548" i="56" s="1"/>
  <c r="C546" i="56"/>
  <c r="F546" i="56" s="1"/>
  <c r="I548" i="56" s="1"/>
  <c r="D543" i="56"/>
  <c r="G543" i="56" s="1"/>
  <c r="J544" i="56" s="1"/>
  <c r="C543" i="56"/>
  <c r="F543" i="56" s="1"/>
  <c r="I544" i="56" s="1"/>
  <c r="J542" i="56"/>
  <c r="I542" i="56"/>
  <c r="J541" i="56"/>
  <c r="I541" i="56"/>
  <c r="D541" i="56"/>
  <c r="G541" i="56" s="1"/>
  <c r="J543" i="56" s="1"/>
  <c r="C541" i="56"/>
  <c r="F541" i="56" s="1"/>
  <c r="I543" i="56" s="1"/>
  <c r="D538" i="56"/>
  <c r="G538" i="56" s="1"/>
  <c r="J539" i="56" s="1"/>
  <c r="C538" i="56"/>
  <c r="F538" i="56" s="1"/>
  <c r="I539" i="56" s="1"/>
  <c r="J537" i="56"/>
  <c r="I537" i="56"/>
  <c r="J536" i="56"/>
  <c r="I536" i="56"/>
  <c r="D536" i="56"/>
  <c r="G536" i="56" s="1"/>
  <c r="J538" i="56" s="1"/>
  <c r="C536" i="56"/>
  <c r="F536" i="56" s="1"/>
  <c r="I538" i="56" s="1"/>
  <c r="D533" i="56"/>
  <c r="G533" i="56" s="1"/>
  <c r="J534" i="56" s="1"/>
  <c r="C533" i="56"/>
  <c r="F533" i="56" s="1"/>
  <c r="I534" i="56" s="1"/>
  <c r="J532" i="56"/>
  <c r="I532" i="56"/>
  <c r="J531" i="56"/>
  <c r="I531" i="56"/>
  <c r="D531" i="56"/>
  <c r="G531" i="56" s="1"/>
  <c r="J533" i="56" s="1"/>
  <c r="C531" i="56"/>
  <c r="F531" i="56" s="1"/>
  <c r="I533" i="56" s="1"/>
  <c r="D529" i="56"/>
  <c r="D528" i="56"/>
  <c r="D519" i="56"/>
  <c r="G519" i="56" s="1"/>
  <c r="J520" i="56" s="1"/>
  <c r="C519" i="56"/>
  <c r="F519" i="56" s="1"/>
  <c r="I520" i="56" s="1"/>
  <c r="J518" i="56"/>
  <c r="I518" i="56"/>
  <c r="J517" i="56"/>
  <c r="I517" i="56"/>
  <c r="D517" i="56"/>
  <c r="G517" i="56" s="1"/>
  <c r="J519" i="56" s="1"/>
  <c r="C517" i="56"/>
  <c r="F517" i="56" s="1"/>
  <c r="I519" i="56" s="1"/>
  <c r="D514" i="56"/>
  <c r="G514" i="56" s="1"/>
  <c r="J515" i="56" s="1"/>
  <c r="C514" i="56"/>
  <c r="F514" i="56" s="1"/>
  <c r="I515" i="56" s="1"/>
  <c r="J513" i="56"/>
  <c r="I513" i="56"/>
  <c r="J512" i="56"/>
  <c r="I512" i="56"/>
  <c r="D512" i="56"/>
  <c r="G512" i="56" s="1"/>
  <c r="J514" i="56" s="1"/>
  <c r="C512" i="56"/>
  <c r="F512" i="56" s="1"/>
  <c r="I514" i="56" s="1"/>
  <c r="D509" i="56"/>
  <c r="G509" i="56" s="1"/>
  <c r="J510" i="56" s="1"/>
  <c r="C509" i="56"/>
  <c r="F509" i="56" s="1"/>
  <c r="I510" i="56" s="1"/>
  <c r="J508" i="56"/>
  <c r="I508" i="56"/>
  <c r="J507" i="56"/>
  <c r="I507" i="56"/>
  <c r="D507" i="56"/>
  <c r="G507" i="56" s="1"/>
  <c r="J509" i="56" s="1"/>
  <c r="C507" i="56"/>
  <c r="F507" i="56" s="1"/>
  <c r="I509" i="56" s="1"/>
  <c r="D504" i="56"/>
  <c r="G504" i="56" s="1"/>
  <c r="J505" i="56" s="1"/>
  <c r="C504" i="56"/>
  <c r="F504" i="56" s="1"/>
  <c r="I505" i="56" s="1"/>
  <c r="J503" i="56"/>
  <c r="I503" i="56"/>
  <c r="J502" i="56"/>
  <c r="I502" i="56"/>
  <c r="D502" i="56"/>
  <c r="G502" i="56" s="1"/>
  <c r="J504" i="56" s="1"/>
  <c r="C502" i="56"/>
  <c r="F502" i="56" s="1"/>
  <c r="I504" i="56" s="1"/>
  <c r="D499" i="56"/>
  <c r="G499" i="56" s="1"/>
  <c r="J500" i="56" s="1"/>
  <c r="C499" i="56"/>
  <c r="F499" i="56" s="1"/>
  <c r="I500" i="56" s="1"/>
  <c r="J498" i="56"/>
  <c r="I498" i="56"/>
  <c r="J497" i="56"/>
  <c r="I497" i="56"/>
  <c r="D497" i="56"/>
  <c r="G497" i="56" s="1"/>
  <c r="J499" i="56" s="1"/>
  <c r="C497" i="56"/>
  <c r="F497" i="56" s="1"/>
  <c r="I499" i="56" s="1"/>
  <c r="D494" i="56"/>
  <c r="G494" i="56" s="1"/>
  <c r="J495" i="56" s="1"/>
  <c r="C494" i="56"/>
  <c r="F494" i="56" s="1"/>
  <c r="I495" i="56" s="1"/>
  <c r="J493" i="56"/>
  <c r="I493" i="56"/>
  <c r="J492" i="56"/>
  <c r="I492" i="56"/>
  <c r="D492" i="56"/>
  <c r="G492" i="56" s="1"/>
  <c r="J494" i="56" s="1"/>
  <c r="C492" i="56"/>
  <c r="F492" i="56" s="1"/>
  <c r="I494" i="56" s="1"/>
  <c r="D484" i="56"/>
  <c r="G484" i="56" s="1"/>
  <c r="J485" i="56" s="1"/>
  <c r="C484" i="56"/>
  <c r="F484" i="56" s="1"/>
  <c r="I485" i="56" s="1"/>
  <c r="J483" i="56"/>
  <c r="I483" i="56"/>
  <c r="J482" i="56"/>
  <c r="I482" i="56"/>
  <c r="D482" i="56"/>
  <c r="G482" i="56" s="1"/>
  <c r="J484" i="56" s="1"/>
  <c r="C482" i="56"/>
  <c r="F482" i="56" s="1"/>
  <c r="I484" i="56" s="1"/>
  <c r="D479" i="56"/>
  <c r="G479" i="56" s="1"/>
  <c r="J480" i="56" s="1"/>
  <c r="C479" i="56"/>
  <c r="F479" i="56" s="1"/>
  <c r="I480" i="56" s="1"/>
  <c r="J478" i="56"/>
  <c r="I478" i="56"/>
  <c r="J477" i="56"/>
  <c r="I477" i="56"/>
  <c r="D477" i="56"/>
  <c r="G477" i="56" s="1"/>
  <c r="J479" i="56" s="1"/>
  <c r="C477" i="56"/>
  <c r="F477" i="56" s="1"/>
  <c r="I479" i="56" s="1"/>
  <c r="D474" i="56"/>
  <c r="G474" i="56" s="1"/>
  <c r="J475" i="56" s="1"/>
  <c r="C474" i="56"/>
  <c r="F474" i="56" s="1"/>
  <c r="I475" i="56" s="1"/>
  <c r="J473" i="56"/>
  <c r="I473" i="56"/>
  <c r="J472" i="56"/>
  <c r="I472" i="56"/>
  <c r="D472" i="56"/>
  <c r="G472" i="56" s="1"/>
  <c r="J474" i="56" s="1"/>
  <c r="C472" i="56"/>
  <c r="F472" i="56" s="1"/>
  <c r="I474" i="56" s="1"/>
  <c r="D469" i="56"/>
  <c r="G469" i="56" s="1"/>
  <c r="J470" i="56" s="1"/>
  <c r="C469" i="56"/>
  <c r="F469" i="56" s="1"/>
  <c r="I470" i="56" s="1"/>
  <c r="J468" i="56"/>
  <c r="I468" i="56"/>
  <c r="J467" i="56"/>
  <c r="I467" i="56"/>
  <c r="D467" i="56"/>
  <c r="G467" i="56" s="1"/>
  <c r="J469" i="56" s="1"/>
  <c r="C467" i="56"/>
  <c r="F467" i="56" s="1"/>
  <c r="I469" i="56" s="1"/>
  <c r="D464" i="56"/>
  <c r="G464" i="56" s="1"/>
  <c r="J465" i="56" s="1"/>
  <c r="C464" i="56"/>
  <c r="F464" i="56" s="1"/>
  <c r="I465" i="56" s="1"/>
  <c r="J463" i="56"/>
  <c r="I463" i="56"/>
  <c r="J462" i="56"/>
  <c r="I462" i="56"/>
  <c r="D462" i="56"/>
  <c r="G462" i="56" s="1"/>
  <c r="J464" i="56" s="1"/>
  <c r="C462" i="56"/>
  <c r="F462" i="56" s="1"/>
  <c r="I464" i="56" s="1"/>
  <c r="D459" i="56"/>
  <c r="G459" i="56" s="1"/>
  <c r="J460" i="56" s="1"/>
  <c r="C459" i="56"/>
  <c r="F459" i="56" s="1"/>
  <c r="I460" i="56" s="1"/>
  <c r="J458" i="56"/>
  <c r="I458" i="56"/>
  <c r="J457" i="56"/>
  <c r="I457" i="56"/>
  <c r="D457" i="56"/>
  <c r="G457" i="56" s="1"/>
  <c r="J459" i="56" s="1"/>
  <c r="C457" i="56"/>
  <c r="F457" i="56" s="1"/>
  <c r="I459" i="56" s="1"/>
  <c r="D454" i="56"/>
  <c r="G454" i="56" s="1"/>
  <c r="J455" i="56" s="1"/>
  <c r="C454" i="56"/>
  <c r="F454" i="56" s="1"/>
  <c r="I455" i="56" s="1"/>
  <c r="J453" i="56"/>
  <c r="I453" i="56"/>
  <c r="J452" i="56"/>
  <c r="I452" i="56"/>
  <c r="D452" i="56"/>
  <c r="G452" i="56" s="1"/>
  <c r="J454" i="56" s="1"/>
  <c r="C452" i="56"/>
  <c r="F452" i="56" s="1"/>
  <c r="I454" i="56" s="1"/>
  <c r="C451" i="56"/>
  <c r="D449" i="56"/>
  <c r="G449" i="56" s="1"/>
  <c r="J450" i="56" s="1"/>
  <c r="C449" i="56"/>
  <c r="F449" i="56" s="1"/>
  <c r="I450" i="56" s="1"/>
  <c r="J448" i="56"/>
  <c r="I448" i="56"/>
  <c r="J447" i="56"/>
  <c r="I447" i="56"/>
  <c r="D447" i="56"/>
  <c r="G447" i="56" s="1"/>
  <c r="J449" i="56" s="1"/>
  <c r="C447" i="56"/>
  <c r="F447" i="56" s="1"/>
  <c r="I449" i="56" s="1"/>
  <c r="D445" i="56"/>
  <c r="D444" i="56"/>
  <c r="D431" i="56"/>
  <c r="G431" i="56" s="1"/>
  <c r="J432" i="56" s="1"/>
  <c r="C431" i="56"/>
  <c r="F431" i="56" s="1"/>
  <c r="I432" i="56" s="1"/>
  <c r="D429" i="56"/>
  <c r="G429" i="56" s="1"/>
  <c r="J431" i="56" s="1"/>
  <c r="C429" i="56"/>
  <c r="F429" i="56" s="1"/>
  <c r="I431" i="56" s="1"/>
  <c r="D427" i="56"/>
  <c r="D426" i="56"/>
  <c r="D422" i="56"/>
  <c r="G422" i="56" s="1"/>
  <c r="J423" i="56" s="1"/>
  <c r="C422" i="56"/>
  <c r="F422" i="56" s="1"/>
  <c r="I423" i="56" s="1"/>
  <c r="J421" i="56"/>
  <c r="I421" i="56"/>
  <c r="J420" i="56"/>
  <c r="I420" i="56"/>
  <c r="D420" i="56"/>
  <c r="G420" i="56" s="1"/>
  <c r="J422" i="56" s="1"/>
  <c r="C420" i="56"/>
  <c r="F420" i="56" s="1"/>
  <c r="I422" i="56" s="1"/>
  <c r="D417" i="56"/>
  <c r="G417" i="56" s="1"/>
  <c r="J418" i="56" s="1"/>
  <c r="C417" i="56"/>
  <c r="F417" i="56" s="1"/>
  <c r="I418" i="56" s="1"/>
  <c r="J416" i="56"/>
  <c r="I416" i="56"/>
  <c r="J415" i="56"/>
  <c r="I415" i="56"/>
  <c r="D415" i="56"/>
  <c r="G415" i="56" s="1"/>
  <c r="J417" i="56" s="1"/>
  <c r="C415" i="56"/>
  <c r="F415" i="56" s="1"/>
  <c r="I417" i="56" s="1"/>
  <c r="D412" i="56"/>
  <c r="G412" i="56" s="1"/>
  <c r="J413" i="56" s="1"/>
  <c r="C412" i="56"/>
  <c r="F412" i="56" s="1"/>
  <c r="I413" i="56" s="1"/>
  <c r="J411" i="56"/>
  <c r="I411" i="56"/>
  <c r="J410" i="56"/>
  <c r="I410" i="56"/>
  <c r="D410" i="56"/>
  <c r="G410" i="56" s="1"/>
  <c r="J412" i="56" s="1"/>
  <c r="C410" i="56"/>
  <c r="F410" i="56" s="1"/>
  <c r="I412" i="56" s="1"/>
  <c r="D407" i="56"/>
  <c r="G407" i="56" s="1"/>
  <c r="J408" i="56" s="1"/>
  <c r="C407" i="56"/>
  <c r="F407" i="56" s="1"/>
  <c r="I408" i="56" s="1"/>
  <c r="J406" i="56"/>
  <c r="I406" i="56"/>
  <c r="J405" i="56"/>
  <c r="I405" i="56"/>
  <c r="D405" i="56"/>
  <c r="G405" i="56" s="1"/>
  <c r="J407" i="56" s="1"/>
  <c r="C405" i="56"/>
  <c r="F405" i="56" s="1"/>
  <c r="I407" i="56" s="1"/>
  <c r="D403" i="56"/>
  <c r="D402" i="56"/>
  <c r="D386" i="56"/>
  <c r="G386" i="56" s="1"/>
  <c r="J387" i="56" s="1"/>
  <c r="C386" i="56"/>
  <c r="F386" i="56" s="1"/>
  <c r="I387" i="56" s="1"/>
  <c r="J385" i="56"/>
  <c r="I385" i="56"/>
  <c r="J384" i="56"/>
  <c r="I384" i="56"/>
  <c r="D384" i="56"/>
  <c r="G384" i="56" s="1"/>
  <c r="J386" i="56" s="1"/>
  <c r="C384" i="56"/>
  <c r="F384" i="56" s="1"/>
  <c r="I386" i="56" s="1"/>
  <c r="D382" i="56"/>
  <c r="D381" i="56"/>
  <c r="D377" i="56"/>
  <c r="G377" i="56" s="1"/>
  <c r="J378" i="56" s="1"/>
  <c r="C377" i="56"/>
  <c r="F377" i="56" s="1"/>
  <c r="I378" i="56" s="1"/>
  <c r="J376" i="56"/>
  <c r="I376" i="56"/>
  <c r="J375" i="56"/>
  <c r="I375" i="56"/>
  <c r="D375" i="56"/>
  <c r="G375" i="56" s="1"/>
  <c r="J377" i="56" s="1"/>
  <c r="C375" i="56"/>
  <c r="F375" i="56" s="1"/>
  <c r="I377" i="56" s="1"/>
  <c r="D373" i="56"/>
  <c r="D372" i="56"/>
  <c r="D368" i="56"/>
  <c r="G368" i="56" s="1"/>
  <c r="J369" i="56" s="1"/>
  <c r="C368" i="56"/>
  <c r="F368" i="56" s="1"/>
  <c r="I369" i="56" s="1"/>
  <c r="J367" i="56"/>
  <c r="I367" i="56"/>
  <c r="J366" i="56"/>
  <c r="I366" i="56"/>
  <c r="D366" i="56"/>
  <c r="G366" i="56" s="1"/>
  <c r="J368" i="56" s="1"/>
  <c r="C366" i="56"/>
  <c r="F366" i="56" s="1"/>
  <c r="I368" i="56" s="1"/>
  <c r="D364" i="56"/>
  <c r="D363" i="56"/>
  <c r="D359" i="56"/>
  <c r="G359" i="56" s="1"/>
  <c r="J360" i="56" s="1"/>
  <c r="C359" i="56"/>
  <c r="F359" i="56" s="1"/>
  <c r="I360" i="56" s="1"/>
  <c r="J358" i="56"/>
  <c r="I358" i="56"/>
  <c r="J357" i="56"/>
  <c r="I357" i="56"/>
  <c r="D357" i="56"/>
  <c r="G357" i="56" s="1"/>
  <c r="J359" i="56" s="1"/>
  <c r="C357" i="56"/>
  <c r="F357" i="56" s="1"/>
  <c r="I359" i="56" s="1"/>
  <c r="D355" i="56"/>
  <c r="D354" i="56"/>
  <c r="D349" i="56"/>
  <c r="G349" i="56" s="1"/>
  <c r="J350" i="56" s="1"/>
  <c r="C349" i="56"/>
  <c r="F349" i="56" s="1"/>
  <c r="I350" i="56" s="1"/>
  <c r="J348" i="56"/>
  <c r="I348" i="56"/>
  <c r="J347" i="56"/>
  <c r="I347" i="56"/>
  <c r="D347" i="56"/>
  <c r="G347" i="56" s="1"/>
  <c r="J349" i="56" s="1"/>
  <c r="C347" i="56"/>
  <c r="F347" i="56" s="1"/>
  <c r="I349" i="56" s="1"/>
  <c r="D345" i="56"/>
  <c r="D344" i="56"/>
  <c r="D340" i="56"/>
  <c r="G340" i="56" s="1"/>
  <c r="J341" i="56" s="1"/>
  <c r="C340" i="56"/>
  <c r="F340" i="56" s="1"/>
  <c r="I341" i="56" s="1"/>
  <c r="J339" i="56"/>
  <c r="I339" i="56"/>
  <c r="J338" i="56"/>
  <c r="I338" i="56"/>
  <c r="D338" i="56"/>
  <c r="G338" i="56" s="1"/>
  <c r="J340" i="56" s="1"/>
  <c r="C338" i="56"/>
  <c r="F338" i="56" s="1"/>
  <c r="I340" i="56" s="1"/>
  <c r="D335" i="56"/>
  <c r="G335" i="56" s="1"/>
  <c r="J336" i="56" s="1"/>
  <c r="C335" i="56"/>
  <c r="F335" i="56" s="1"/>
  <c r="I336" i="56" s="1"/>
  <c r="J334" i="56"/>
  <c r="I334" i="56"/>
  <c r="J333" i="56"/>
  <c r="I333" i="56"/>
  <c r="D333" i="56"/>
  <c r="G333" i="56" s="1"/>
  <c r="J335" i="56" s="1"/>
  <c r="C333" i="56"/>
  <c r="F333" i="56" s="1"/>
  <c r="I335" i="56" s="1"/>
  <c r="D330" i="56"/>
  <c r="G330" i="56" s="1"/>
  <c r="J331" i="56" s="1"/>
  <c r="C330" i="56"/>
  <c r="F330" i="56" s="1"/>
  <c r="I331" i="56" s="1"/>
  <c r="J329" i="56"/>
  <c r="I329" i="56"/>
  <c r="J328" i="56"/>
  <c r="I328" i="56"/>
  <c r="D328" i="56"/>
  <c r="G328" i="56" s="1"/>
  <c r="J330" i="56" s="1"/>
  <c r="C328" i="56"/>
  <c r="F328" i="56" s="1"/>
  <c r="I330" i="56" s="1"/>
  <c r="D325" i="56"/>
  <c r="G325" i="56" s="1"/>
  <c r="J326" i="56" s="1"/>
  <c r="C325" i="56"/>
  <c r="F325" i="56" s="1"/>
  <c r="I326" i="56" s="1"/>
  <c r="J324" i="56"/>
  <c r="I324" i="56"/>
  <c r="J323" i="56"/>
  <c r="I323" i="56"/>
  <c r="D323" i="56"/>
  <c r="G323" i="56" s="1"/>
  <c r="J325" i="56" s="1"/>
  <c r="C323" i="56"/>
  <c r="F323" i="56" s="1"/>
  <c r="I325" i="56" s="1"/>
  <c r="D320" i="56"/>
  <c r="G320" i="56" s="1"/>
  <c r="J321" i="56" s="1"/>
  <c r="C320" i="56"/>
  <c r="F320" i="56" s="1"/>
  <c r="I321" i="56" s="1"/>
  <c r="J319" i="56"/>
  <c r="I319" i="56"/>
  <c r="J318" i="56"/>
  <c r="I318" i="56"/>
  <c r="D318" i="56"/>
  <c r="G318" i="56" s="1"/>
  <c r="J320" i="56" s="1"/>
  <c r="C318" i="56"/>
  <c r="F318" i="56" s="1"/>
  <c r="I320" i="56" s="1"/>
  <c r="D315" i="56"/>
  <c r="G315" i="56" s="1"/>
  <c r="J316" i="56" s="1"/>
  <c r="C315" i="56"/>
  <c r="F315" i="56" s="1"/>
  <c r="I316" i="56" s="1"/>
  <c r="J314" i="56"/>
  <c r="I314" i="56"/>
  <c r="J313" i="56"/>
  <c r="I313" i="56"/>
  <c r="D313" i="56"/>
  <c r="G313" i="56" s="1"/>
  <c r="J315" i="56" s="1"/>
  <c r="C313" i="56"/>
  <c r="F313" i="56" s="1"/>
  <c r="I315" i="56" s="1"/>
  <c r="D310" i="56"/>
  <c r="G310" i="56" s="1"/>
  <c r="J311" i="56" s="1"/>
  <c r="C310" i="56"/>
  <c r="F310" i="56" s="1"/>
  <c r="I311" i="56" s="1"/>
  <c r="J309" i="56"/>
  <c r="I309" i="56"/>
  <c r="J308" i="56"/>
  <c r="I308" i="56"/>
  <c r="D308" i="56"/>
  <c r="G308" i="56" s="1"/>
  <c r="J310" i="56" s="1"/>
  <c r="C308" i="56"/>
  <c r="F308" i="56" s="1"/>
  <c r="I310" i="56" s="1"/>
  <c r="D306" i="56"/>
  <c r="D305" i="56"/>
  <c r="D301" i="56"/>
  <c r="G301" i="56" s="1"/>
  <c r="J302" i="56" s="1"/>
  <c r="C301" i="56"/>
  <c r="F301" i="56" s="1"/>
  <c r="I302" i="56" s="1"/>
  <c r="J300" i="56"/>
  <c r="I300" i="56"/>
  <c r="J299" i="56"/>
  <c r="I299" i="56"/>
  <c r="D299" i="56"/>
  <c r="G299" i="56" s="1"/>
  <c r="J301" i="56" s="1"/>
  <c r="C299" i="56"/>
  <c r="F299" i="56" s="1"/>
  <c r="I301" i="56" s="1"/>
  <c r="D296" i="56"/>
  <c r="G296" i="56" s="1"/>
  <c r="J297" i="56" s="1"/>
  <c r="C296" i="56"/>
  <c r="F296" i="56" s="1"/>
  <c r="I297" i="56" s="1"/>
  <c r="J295" i="56"/>
  <c r="I295" i="56"/>
  <c r="J294" i="56"/>
  <c r="I294" i="56"/>
  <c r="D294" i="56"/>
  <c r="G294" i="56" s="1"/>
  <c r="J296" i="56" s="1"/>
  <c r="C294" i="56"/>
  <c r="F294" i="56" s="1"/>
  <c r="I296" i="56" s="1"/>
  <c r="D291" i="56"/>
  <c r="G291" i="56" s="1"/>
  <c r="J292" i="56" s="1"/>
  <c r="C291" i="56"/>
  <c r="F291" i="56" s="1"/>
  <c r="I292" i="56" s="1"/>
  <c r="J290" i="56"/>
  <c r="I290" i="56"/>
  <c r="J289" i="56"/>
  <c r="I289" i="56"/>
  <c r="D289" i="56"/>
  <c r="G289" i="56" s="1"/>
  <c r="J291" i="56" s="1"/>
  <c r="C289" i="56"/>
  <c r="F289" i="56" s="1"/>
  <c r="I291" i="56" s="1"/>
  <c r="D286" i="56"/>
  <c r="G286" i="56" s="1"/>
  <c r="J287" i="56" s="1"/>
  <c r="C286" i="56"/>
  <c r="F286" i="56" s="1"/>
  <c r="I287" i="56" s="1"/>
  <c r="J285" i="56"/>
  <c r="I285" i="56"/>
  <c r="J284" i="56"/>
  <c r="I284" i="56"/>
  <c r="D284" i="56"/>
  <c r="G284" i="56" s="1"/>
  <c r="J286" i="56" s="1"/>
  <c r="C284" i="56"/>
  <c r="F284" i="56" s="1"/>
  <c r="I286" i="56" s="1"/>
  <c r="D281" i="56"/>
  <c r="G281" i="56" s="1"/>
  <c r="J282" i="56" s="1"/>
  <c r="C281" i="56"/>
  <c r="F281" i="56" s="1"/>
  <c r="I282" i="56" s="1"/>
  <c r="J280" i="56"/>
  <c r="I280" i="56"/>
  <c r="J279" i="56"/>
  <c r="I279" i="56"/>
  <c r="D279" i="56"/>
  <c r="G279" i="56" s="1"/>
  <c r="J281" i="56" s="1"/>
  <c r="C279" i="56"/>
  <c r="F279" i="56" s="1"/>
  <c r="I281" i="56" s="1"/>
  <c r="D277" i="56"/>
  <c r="D276" i="56"/>
  <c r="D264" i="56"/>
  <c r="G264" i="56" s="1"/>
  <c r="J265" i="56" s="1"/>
  <c r="C264" i="56"/>
  <c r="F264" i="56" s="1"/>
  <c r="I265" i="56" s="1"/>
  <c r="J263" i="56"/>
  <c r="I263" i="56"/>
  <c r="J262" i="56"/>
  <c r="I262" i="56"/>
  <c r="D262" i="56"/>
  <c r="G262" i="56" s="1"/>
  <c r="J264" i="56" s="1"/>
  <c r="C262" i="56"/>
  <c r="F262" i="56" s="1"/>
  <c r="I264" i="56" s="1"/>
  <c r="D259" i="56"/>
  <c r="G259" i="56" s="1"/>
  <c r="J260" i="56" s="1"/>
  <c r="C259" i="56"/>
  <c r="F259" i="56" s="1"/>
  <c r="I260" i="56" s="1"/>
  <c r="J258" i="56"/>
  <c r="I258" i="56"/>
  <c r="J257" i="56"/>
  <c r="I257" i="56"/>
  <c r="D257" i="56"/>
  <c r="G257" i="56" s="1"/>
  <c r="J259" i="56" s="1"/>
  <c r="C257" i="56"/>
  <c r="F257" i="56" s="1"/>
  <c r="I259" i="56" s="1"/>
  <c r="D254" i="56"/>
  <c r="G254" i="56" s="1"/>
  <c r="J255" i="56" s="1"/>
  <c r="C254" i="56"/>
  <c r="F254" i="56" s="1"/>
  <c r="I255" i="56" s="1"/>
  <c r="J253" i="56"/>
  <c r="I253" i="56"/>
  <c r="J252" i="56"/>
  <c r="I252" i="56"/>
  <c r="D252" i="56"/>
  <c r="G252" i="56" s="1"/>
  <c r="J254" i="56" s="1"/>
  <c r="C252" i="56"/>
  <c r="F252" i="56" s="1"/>
  <c r="I254" i="56" s="1"/>
  <c r="D249" i="56"/>
  <c r="G249" i="56" s="1"/>
  <c r="J250" i="56" s="1"/>
  <c r="C249" i="56"/>
  <c r="F249" i="56" s="1"/>
  <c r="I250" i="56" s="1"/>
  <c r="J248" i="56"/>
  <c r="I248" i="56"/>
  <c r="J247" i="56"/>
  <c r="I247" i="56"/>
  <c r="D247" i="56"/>
  <c r="G247" i="56" s="1"/>
  <c r="J249" i="56" s="1"/>
  <c r="C247" i="56"/>
  <c r="F247" i="56" s="1"/>
  <c r="I249" i="56" s="1"/>
  <c r="D245" i="56"/>
  <c r="D244" i="56"/>
  <c r="D225" i="56"/>
  <c r="G225" i="56" s="1"/>
  <c r="J226" i="56" s="1"/>
  <c r="C225" i="56"/>
  <c r="F225" i="56" s="1"/>
  <c r="I226" i="56" s="1"/>
  <c r="J224" i="56"/>
  <c r="I224" i="56"/>
  <c r="J223" i="56"/>
  <c r="I223" i="56"/>
  <c r="D223" i="56"/>
  <c r="G223" i="56" s="1"/>
  <c r="J225" i="56" s="1"/>
  <c r="C223" i="56"/>
  <c r="F223" i="56" s="1"/>
  <c r="I225" i="56" s="1"/>
  <c r="D220" i="56"/>
  <c r="G220" i="56" s="1"/>
  <c r="J221" i="56" s="1"/>
  <c r="C220" i="56"/>
  <c r="F220" i="56" s="1"/>
  <c r="I221" i="56" s="1"/>
  <c r="J219" i="56"/>
  <c r="I219" i="56"/>
  <c r="J218" i="56"/>
  <c r="I218" i="56"/>
  <c r="D218" i="56"/>
  <c r="G218" i="56" s="1"/>
  <c r="J220" i="56" s="1"/>
  <c r="C218" i="56"/>
  <c r="F218" i="56" s="1"/>
  <c r="I220" i="56" s="1"/>
  <c r="D214" i="56"/>
  <c r="G214" i="56" s="1"/>
  <c r="J215" i="56" s="1"/>
  <c r="C214" i="56"/>
  <c r="F214" i="56" s="1"/>
  <c r="I215" i="56" s="1"/>
  <c r="J213" i="56"/>
  <c r="I213" i="56"/>
  <c r="J212" i="56"/>
  <c r="I212" i="56"/>
  <c r="D212" i="56"/>
  <c r="G212" i="56" s="1"/>
  <c r="J214" i="56" s="1"/>
  <c r="C212" i="56"/>
  <c r="F212" i="56" s="1"/>
  <c r="I214" i="56" s="1"/>
  <c r="D209" i="56"/>
  <c r="G209" i="56" s="1"/>
  <c r="J210" i="56" s="1"/>
  <c r="C209" i="56"/>
  <c r="F209" i="56" s="1"/>
  <c r="I210" i="56" s="1"/>
  <c r="J208" i="56"/>
  <c r="I208" i="56"/>
  <c r="J207" i="56"/>
  <c r="I207" i="56"/>
  <c r="D207" i="56"/>
  <c r="G207" i="56" s="1"/>
  <c r="J209" i="56" s="1"/>
  <c r="C207" i="56"/>
  <c r="F207" i="56" s="1"/>
  <c r="I209" i="56" s="1"/>
  <c r="D204" i="56"/>
  <c r="G204" i="56" s="1"/>
  <c r="J205" i="56" s="1"/>
  <c r="C204" i="56"/>
  <c r="F204" i="56" s="1"/>
  <c r="I205" i="56" s="1"/>
  <c r="J203" i="56"/>
  <c r="I203" i="56"/>
  <c r="J202" i="56"/>
  <c r="I202" i="56"/>
  <c r="D202" i="56"/>
  <c r="G202" i="56" s="1"/>
  <c r="J204" i="56" s="1"/>
  <c r="C202" i="56"/>
  <c r="F202" i="56" s="1"/>
  <c r="I204" i="56" s="1"/>
  <c r="D199" i="56"/>
  <c r="G199" i="56" s="1"/>
  <c r="J200" i="56" s="1"/>
  <c r="C199" i="56"/>
  <c r="F199" i="56" s="1"/>
  <c r="I200" i="56" s="1"/>
  <c r="J198" i="56"/>
  <c r="I198" i="56"/>
  <c r="J197" i="56"/>
  <c r="I197" i="56"/>
  <c r="D197" i="56"/>
  <c r="G197" i="56" s="1"/>
  <c r="J199" i="56" s="1"/>
  <c r="C197" i="56"/>
  <c r="F197" i="56" s="1"/>
  <c r="I199" i="56" s="1"/>
  <c r="D194" i="56"/>
  <c r="G194" i="56" s="1"/>
  <c r="J195" i="56" s="1"/>
  <c r="C194" i="56"/>
  <c r="F194" i="56" s="1"/>
  <c r="I195" i="56" s="1"/>
  <c r="J193" i="56"/>
  <c r="I193" i="56"/>
  <c r="J192" i="56"/>
  <c r="I192" i="56"/>
  <c r="D192" i="56"/>
  <c r="G192" i="56" s="1"/>
  <c r="J194" i="56" s="1"/>
  <c r="C192" i="56"/>
  <c r="F192" i="56" s="1"/>
  <c r="I194" i="56" s="1"/>
  <c r="D189" i="56"/>
  <c r="G189" i="56" s="1"/>
  <c r="J190" i="56" s="1"/>
  <c r="C189" i="56"/>
  <c r="F189" i="56" s="1"/>
  <c r="I190" i="56" s="1"/>
  <c r="J188" i="56"/>
  <c r="I188" i="56"/>
  <c r="J187" i="56"/>
  <c r="I187" i="56"/>
  <c r="D187" i="56"/>
  <c r="G187" i="56" s="1"/>
  <c r="J189" i="56" s="1"/>
  <c r="C187" i="56"/>
  <c r="F187" i="56" s="1"/>
  <c r="I189" i="56" s="1"/>
  <c r="D184" i="56"/>
  <c r="G184" i="56" s="1"/>
  <c r="J185" i="56" s="1"/>
  <c r="C184" i="56"/>
  <c r="F184" i="56" s="1"/>
  <c r="I185" i="56" s="1"/>
  <c r="J183" i="56"/>
  <c r="I183" i="56"/>
  <c r="J182" i="56"/>
  <c r="I182" i="56"/>
  <c r="D182" i="56"/>
  <c r="G182" i="56" s="1"/>
  <c r="J184" i="56" s="1"/>
  <c r="C182" i="56"/>
  <c r="F182" i="56" s="1"/>
  <c r="I184" i="56" s="1"/>
  <c r="D179" i="56"/>
  <c r="G179" i="56" s="1"/>
  <c r="J180" i="56" s="1"/>
  <c r="C179" i="56"/>
  <c r="F179" i="56" s="1"/>
  <c r="I180" i="56" s="1"/>
  <c r="J178" i="56"/>
  <c r="I178" i="56"/>
  <c r="J177" i="56"/>
  <c r="I177" i="56"/>
  <c r="D177" i="56"/>
  <c r="G177" i="56" s="1"/>
  <c r="J179" i="56" s="1"/>
  <c r="C177" i="56"/>
  <c r="F177" i="56" s="1"/>
  <c r="I179" i="56" s="1"/>
  <c r="D174" i="56"/>
  <c r="G174" i="56" s="1"/>
  <c r="J175" i="56" s="1"/>
  <c r="C174" i="56"/>
  <c r="F174" i="56" s="1"/>
  <c r="I175" i="56" s="1"/>
  <c r="J173" i="56"/>
  <c r="I173" i="56"/>
  <c r="J172" i="56"/>
  <c r="I172" i="56"/>
  <c r="D172" i="56"/>
  <c r="G172" i="56" s="1"/>
  <c r="J174" i="56" s="1"/>
  <c r="C172" i="56"/>
  <c r="F172" i="56" s="1"/>
  <c r="I174" i="56" s="1"/>
  <c r="D169" i="56"/>
  <c r="G169" i="56" s="1"/>
  <c r="J170" i="56" s="1"/>
  <c r="C169" i="56"/>
  <c r="F169" i="56" s="1"/>
  <c r="I170" i="56" s="1"/>
  <c r="J168" i="56"/>
  <c r="I168" i="56"/>
  <c r="J167" i="56"/>
  <c r="I167" i="56"/>
  <c r="D167" i="56"/>
  <c r="G167" i="56" s="1"/>
  <c r="J169" i="56" s="1"/>
  <c r="C167" i="56"/>
  <c r="F167" i="56" s="1"/>
  <c r="I169" i="56" s="1"/>
  <c r="D164" i="56"/>
  <c r="G164" i="56" s="1"/>
  <c r="J165" i="56" s="1"/>
  <c r="C164" i="56"/>
  <c r="F164" i="56" s="1"/>
  <c r="I165" i="56" s="1"/>
  <c r="J163" i="56"/>
  <c r="I163" i="56"/>
  <c r="J162" i="56"/>
  <c r="I162" i="56"/>
  <c r="D162" i="56"/>
  <c r="G162" i="56" s="1"/>
  <c r="J164" i="56" s="1"/>
  <c r="C162" i="56"/>
  <c r="F162" i="56" s="1"/>
  <c r="I164" i="56" s="1"/>
  <c r="D160" i="56"/>
  <c r="D159" i="56"/>
  <c r="D139" i="56"/>
  <c r="G139" i="56" s="1"/>
  <c r="J140" i="56" s="1"/>
  <c r="C139" i="56"/>
  <c r="F139" i="56" s="1"/>
  <c r="I140" i="56" s="1"/>
  <c r="J138" i="56"/>
  <c r="I138" i="56"/>
  <c r="J137" i="56"/>
  <c r="I137" i="56"/>
  <c r="D137" i="56"/>
  <c r="G137" i="56" s="1"/>
  <c r="J139" i="56" s="1"/>
  <c r="C137" i="56"/>
  <c r="F137" i="56" s="1"/>
  <c r="I139" i="56" s="1"/>
  <c r="D134" i="56"/>
  <c r="G134" i="56" s="1"/>
  <c r="J135" i="56" s="1"/>
  <c r="C134" i="56"/>
  <c r="F134" i="56" s="1"/>
  <c r="I135" i="56" s="1"/>
  <c r="J133" i="56"/>
  <c r="I133" i="56"/>
  <c r="J132" i="56"/>
  <c r="I132" i="56"/>
  <c r="D132" i="56"/>
  <c r="G132" i="56" s="1"/>
  <c r="J134" i="56" s="1"/>
  <c r="C132" i="56"/>
  <c r="F132" i="56" s="1"/>
  <c r="I134" i="56" s="1"/>
  <c r="D129" i="56"/>
  <c r="G129" i="56" s="1"/>
  <c r="J130" i="56" s="1"/>
  <c r="C129" i="56"/>
  <c r="F129" i="56" s="1"/>
  <c r="I130" i="56" s="1"/>
  <c r="J128" i="56"/>
  <c r="I128" i="56"/>
  <c r="J127" i="56"/>
  <c r="I127" i="56"/>
  <c r="D127" i="56"/>
  <c r="G127" i="56" s="1"/>
  <c r="J129" i="56" s="1"/>
  <c r="C127" i="56"/>
  <c r="F127" i="56" s="1"/>
  <c r="I129" i="56" s="1"/>
  <c r="D124" i="56"/>
  <c r="G124" i="56" s="1"/>
  <c r="J125" i="56" s="1"/>
  <c r="C124" i="56"/>
  <c r="F124" i="56" s="1"/>
  <c r="I125" i="56" s="1"/>
  <c r="J123" i="56"/>
  <c r="I123" i="56"/>
  <c r="J122" i="56"/>
  <c r="I122" i="56"/>
  <c r="D122" i="56"/>
  <c r="G122" i="56" s="1"/>
  <c r="J124" i="56" s="1"/>
  <c r="C122" i="56"/>
  <c r="F122" i="56" s="1"/>
  <c r="I124" i="56" s="1"/>
  <c r="D120" i="56"/>
  <c r="D119" i="56"/>
  <c r="D114" i="56"/>
  <c r="G114" i="56" s="1"/>
  <c r="J115" i="56" s="1"/>
  <c r="C114" i="56"/>
  <c r="F114" i="56" s="1"/>
  <c r="I115" i="56" s="1"/>
  <c r="J113" i="56"/>
  <c r="I113" i="56"/>
  <c r="J112" i="56"/>
  <c r="I112" i="56"/>
  <c r="D112" i="56"/>
  <c r="G112" i="56" s="1"/>
  <c r="J114" i="56" s="1"/>
  <c r="C112" i="56"/>
  <c r="F112" i="56" s="1"/>
  <c r="I114" i="56" s="1"/>
  <c r="D109" i="56"/>
  <c r="G109" i="56" s="1"/>
  <c r="J110" i="56" s="1"/>
  <c r="C109" i="56"/>
  <c r="F109" i="56" s="1"/>
  <c r="I110" i="56" s="1"/>
  <c r="J108" i="56"/>
  <c r="I108" i="56"/>
  <c r="J107" i="56"/>
  <c r="I107" i="56"/>
  <c r="D107" i="56"/>
  <c r="G107" i="56" s="1"/>
  <c r="J109" i="56" s="1"/>
  <c r="C107" i="56"/>
  <c r="F107" i="56" s="1"/>
  <c r="I109" i="56" s="1"/>
  <c r="D104" i="56"/>
  <c r="G104" i="56" s="1"/>
  <c r="J105" i="56" s="1"/>
  <c r="C104" i="56"/>
  <c r="F104" i="56" s="1"/>
  <c r="I105" i="56" s="1"/>
  <c r="J103" i="56"/>
  <c r="I103" i="56"/>
  <c r="J102" i="56"/>
  <c r="I102" i="56"/>
  <c r="D102" i="56"/>
  <c r="G102" i="56" s="1"/>
  <c r="J104" i="56" s="1"/>
  <c r="C102" i="56"/>
  <c r="F102" i="56" s="1"/>
  <c r="I104" i="56" s="1"/>
  <c r="D99" i="56"/>
  <c r="G99" i="56" s="1"/>
  <c r="J100" i="56" s="1"/>
  <c r="C99" i="56"/>
  <c r="F99" i="56" s="1"/>
  <c r="I100" i="56" s="1"/>
  <c r="J98" i="56"/>
  <c r="I98" i="56"/>
  <c r="J97" i="56"/>
  <c r="I97" i="56"/>
  <c r="D97" i="56"/>
  <c r="G97" i="56" s="1"/>
  <c r="J99" i="56" s="1"/>
  <c r="C97" i="56"/>
  <c r="F97" i="56" s="1"/>
  <c r="I99" i="56" s="1"/>
  <c r="D95" i="56"/>
  <c r="D94" i="56"/>
  <c r="D90" i="56"/>
  <c r="G90" i="56" s="1"/>
  <c r="J91" i="56" s="1"/>
  <c r="C90" i="56"/>
  <c r="F90" i="56" s="1"/>
  <c r="I91" i="56" s="1"/>
  <c r="J89" i="56"/>
  <c r="I89" i="56"/>
  <c r="J88" i="56"/>
  <c r="I88" i="56"/>
  <c r="D88" i="56"/>
  <c r="G88" i="56" s="1"/>
  <c r="J90" i="56" s="1"/>
  <c r="C88" i="56"/>
  <c r="F88" i="56" s="1"/>
  <c r="I90" i="56" s="1"/>
  <c r="D85" i="56"/>
  <c r="G85" i="56" s="1"/>
  <c r="J86" i="56" s="1"/>
  <c r="C85" i="56"/>
  <c r="F85" i="56" s="1"/>
  <c r="I86" i="56" s="1"/>
  <c r="J84" i="56"/>
  <c r="I84" i="56"/>
  <c r="J83" i="56"/>
  <c r="I83" i="56"/>
  <c r="D83" i="56"/>
  <c r="G83" i="56" s="1"/>
  <c r="J85" i="56" s="1"/>
  <c r="C83" i="56"/>
  <c r="F83" i="56" s="1"/>
  <c r="I85" i="56" s="1"/>
  <c r="D79" i="56"/>
  <c r="G79" i="56" s="1"/>
  <c r="J80" i="56" s="1"/>
  <c r="C79" i="56"/>
  <c r="F79" i="56" s="1"/>
  <c r="I80" i="56" s="1"/>
  <c r="J78" i="56"/>
  <c r="I78" i="56"/>
  <c r="J77" i="56"/>
  <c r="I77" i="56"/>
  <c r="D77" i="56"/>
  <c r="G77" i="56" s="1"/>
  <c r="J79" i="56" s="1"/>
  <c r="C77" i="56"/>
  <c r="F77" i="56" s="1"/>
  <c r="I79" i="56" s="1"/>
  <c r="D74" i="56"/>
  <c r="G74" i="56" s="1"/>
  <c r="J75" i="56" s="1"/>
  <c r="C74" i="56"/>
  <c r="F74" i="56" s="1"/>
  <c r="I75" i="56" s="1"/>
  <c r="J73" i="56"/>
  <c r="I73" i="56"/>
  <c r="J72" i="56"/>
  <c r="I72" i="56"/>
  <c r="D72" i="56"/>
  <c r="G72" i="56" s="1"/>
  <c r="J74" i="56" s="1"/>
  <c r="C72" i="56"/>
  <c r="F72" i="56" s="1"/>
  <c r="I74" i="56" s="1"/>
  <c r="D69" i="56"/>
  <c r="G69" i="56" s="1"/>
  <c r="J70" i="56" s="1"/>
  <c r="C69" i="56"/>
  <c r="F69" i="56" s="1"/>
  <c r="I70" i="56" s="1"/>
  <c r="J68" i="56"/>
  <c r="I68" i="56"/>
  <c r="J67" i="56"/>
  <c r="I67" i="56"/>
  <c r="D67" i="56"/>
  <c r="G67" i="56" s="1"/>
  <c r="J69" i="56" s="1"/>
  <c r="C67" i="56"/>
  <c r="F67" i="56" s="1"/>
  <c r="I69" i="56" s="1"/>
  <c r="D64" i="56"/>
  <c r="G64" i="56" s="1"/>
  <c r="J65" i="56" s="1"/>
  <c r="C64" i="56"/>
  <c r="F64" i="56" s="1"/>
  <c r="I65" i="56" s="1"/>
  <c r="J63" i="56"/>
  <c r="I63" i="56"/>
  <c r="J62" i="56"/>
  <c r="I62" i="56"/>
  <c r="D62" i="56"/>
  <c r="G62" i="56" s="1"/>
  <c r="J64" i="56" s="1"/>
  <c r="C62" i="56"/>
  <c r="F62" i="56" s="1"/>
  <c r="I64" i="56" s="1"/>
  <c r="D59" i="56"/>
  <c r="G59" i="56" s="1"/>
  <c r="J60" i="56" s="1"/>
  <c r="C59" i="56"/>
  <c r="F59" i="56" s="1"/>
  <c r="I60" i="56" s="1"/>
  <c r="J58" i="56"/>
  <c r="I58" i="56"/>
  <c r="J57" i="56"/>
  <c r="I57" i="56"/>
  <c r="D57" i="56"/>
  <c r="G57" i="56" s="1"/>
  <c r="J59" i="56" s="1"/>
  <c r="C57" i="56"/>
  <c r="F57" i="56" s="1"/>
  <c r="I59" i="56" s="1"/>
  <c r="F56" i="56"/>
  <c r="C56" i="56"/>
  <c r="D54" i="56"/>
  <c r="G54" i="56" s="1"/>
  <c r="J55" i="56" s="1"/>
  <c r="C54" i="56"/>
  <c r="F54" i="56" s="1"/>
  <c r="I55" i="56" s="1"/>
  <c r="J53" i="56"/>
  <c r="I53" i="56"/>
  <c r="J52" i="56"/>
  <c r="I52" i="56"/>
  <c r="D52" i="56"/>
  <c r="G52" i="56" s="1"/>
  <c r="J54" i="56" s="1"/>
  <c r="C52" i="56"/>
  <c r="F52" i="56" s="1"/>
  <c r="I54" i="56" s="1"/>
  <c r="D49" i="56"/>
  <c r="G49" i="56" s="1"/>
  <c r="J50" i="56" s="1"/>
  <c r="C49" i="56"/>
  <c r="F49" i="56" s="1"/>
  <c r="I50" i="56" s="1"/>
  <c r="J48" i="56"/>
  <c r="I48" i="56"/>
  <c r="J47" i="56"/>
  <c r="I47" i="56"/>
  <c r="D47" i="56"/>
  <c r="G47" i="56" s="1"/>
  <c r="J49" i="56" s="1"/>
  <c r="C47" i="56"/>
  <c r="F47" i="56" s="1"/>
  <c r="I49" i="56" s="1"/>
  <c r="D44" i="56"/>
  <c r="G44" i="56" s="1"/>
  <c r="J45" i="56" s="1"/>
  <c r="C44" i="56"/>
  <c r="F44" i="56" s="1"/>
  <c r="I45" i="56" s="1"/>
  <c r="J43" i="56"/>
  <c r="I43" i="56"/>
  <c r="J42" i="56"/>
  <c r="I42" i="56"/>
  <c r="D42" i="56"/>
  <c r="G42" i="56" s="1"/>
  <c r="J44" i="56" s="1"/>
  <c r="C42" i="56"/>
  <c r="F42" i="56" s="1"/>
  <c r="I44" i="56" s="1"/>
  <c r="D39" i="56"/>
  <c r="G39" i="56" s="1"/>
  <c r="J40" i="56" s="1"/>
  <c r="C39" i="56"/>
  <c r="F39" i="56" s="1"/>
  <c r="I40" i="56" s="1"/>
  <c r="J38" i="56"/>
  <c r="I38" i="56"/>
  <c r="J37" i="56"/>
  <c r="I37" i="56"/>
  <c r="D37" i="56"/>
  <c r="G37" i="56" s="1"/>
  <c r="J39" i="56" s="1"/>
  <c r="C37" i="56"/>
  <c r="F37" i="56" s="1"/>
  <c r="I39" i="56" s="1"/>
  <c r="D34" i="56"/>
  <c r="G34" i="56" s="1"/>
  <c r="J35" i="56" s="1"/>
  <c r="C34" i="56"/>
  <c r="F34" i="56" s="1"/>
  <c r="I35" i="56" s="1"/>
  <c r="J33" i="56"/>
  <c r="I33" i="56"/>
  <c r="J32" i="56"/>
  <c r="I32" i="56"/>
  <c r="D32" i="56"/>
  <c r="G32" i="56" s="1"/>
  <c r="J34" i="56" s="1"/>
  <c r="C32" i="56"/>
  <c r="F32" i="56" s="1"/>
  <c r="I34" i="56" s="1"/>
  <c r="D29" i="56"/>
  <c r="G29" i="56" s="1"/>
  <c r="J30" i="56" s="1"/>
  <c r="C29" i="56"/>
  <c r="F29" i="56" s="1"/>
  <c r="I30" i="56" s="1"/>
  <c r="J28" i="56"/>
  <c r="I28" i="56"/>
  <c r="J27" i="56"/>
  <c r="I27" i="56"/>
  <c r="D27" i="56"/>
  <c r="G27" i="56" s="1"/>
  <c r="J29" i="56" s="1"/>
  <c r="C27" i="56"/>
  <c r="F27" i="56" s="1"/>
  <c r="I29" i="56" s="1"/>
  <c r="D25" i="56"/>
  <c r="D24" i="56"/>
  <c r="J20" i="56"/>
  <c r="I20" i="56"/>
  <c r="D20" i="56"/>
  <c r="G20" i="56" s="1"/>
  <c r="J21" i="56" s="1"/>
  <c r="C20" i="56"/>
  <c r="F20" i="56" s="1"/>
  <c r="I21" i="56" s="1"/>
  <c r="J19" i="56"/>
  <c r="I19" i="56"/>
  <c r="J18" i="56"/>
  <c r="I18" i="56"/>
  <c r="D18" i="56"/>
  <c r="G18" i="56" s="1"/>
  <c r="C18" i="56"/>
  <c r="F18" i="56" s="1"/>
  <c r="D15" i="56"/>
  <c r="G15" i="56" s="1"/>
  <c r="J16" i="56" s="1"/>
  <c r="C15" i="56"/>
  <c r="F15" i="56" s="1"/>
  <c r="I16" i="56" s="1"/>
  <c r="J14" i="56"/>
  <c r="I14" i="56"/>
  <c r="J13" i="56"/>
  <c r="I13" i="56"/>
  <c r="D13" i="56"/>
  <c r="G13" i="56" s="1"/>
  <c r="J15" i="56" s="1"/>
  <c r="C13" i="56"/>
  <c r="F13" i="56" s="1"/>
  <c r="I15" i="56" s="1"/>
  <c r="D11" i="56"/>
  <c r="D10" i="56"/>
  <c r="B5" i="56"/>
  <c r="B3" i="56"/>
  <c r="B1" i="56"/>
  <c r="D17" i="55"/>
  <c r="A5" i="55"/>
  <c r="A3" i="55"/>
  <c r="A1" i="55"/>
  <c r="B51" i="40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l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B192" i="40" s="1"/>
  <c r="B193" i="40" s="1"/>
  <c r="B194" i="40" s="1"/>
  <c r="B195" i="40" s="1"/>
  <c r="B196" i="40" s="1"/>
  <c r="B197" i="40" s="1"/>
  <c r="B198" i="40" s="1"/>
  <c r="B199" i="40" s="1"/>
  <c r="B200" i="40" s="1"/>
  <c r="B201" i="40" s="1"/>
  <c r="B202" i="40" s="1"/>
  <c r="B203" i="40" s="1"/>
  <c r="B204" i="40" s="1"/>
  <c r="B205" i="40" s="1"/>
  <c r="B206" i="40" s="1"/>
  <c r="B207" i="40" s="1"/>
  <c r="B208" i="40" s="1"/>
  <c r="B209" i="40" s="1"/>
  <c r="B210" i="40" s="1"/>
  <c r="B211" i="40" s="1"/>
  <c r="B212" i="40" s="1"/>
  <c r="B213" i="40" s="1"/>
  <c r="B214" i="40" s="1"/>
  <c r="B215" i="40" s="1"/>
  <c r="B216" i="40" s="1"/>
  <c r="B217" i="40" s="1"/>
  <c r="B218" i="40" s="1"/>
  <c r="B219" i="40" s="1"/>
  <c r="B220" i="40" s="1"/>
  <c r="B221" i="40" s="1"/>
  <c r="B222" i="40" s="1"/>
  <c r="B223" i="40" s="1"/>
  <c r="B224" i="40" s="1"/>
  <c r="B225" i="40" s="1"/>
  <c r="B226" i="40" s="1"/>
  <c r="B227" i="40" s="1"/>
  <c r="B228" i="40" s="1"/>
  <c r="B229" i="40" s="1"/>
  <c r="B230" i="40" s="1"/>
  <c r="B231" i="40" s="1"/>
  <c r="B232" i="40" s="1"/>
  <c r="B233" i="40" s="1"/>
  <c r="B234" i="40" s="1"/>
  <c r="B235" i="40" s="1"/>
  <c r="B236" i="40" s="1"/>
  <c r="B237" i="40" s="1"/>
  <c r="B238" i="40" s="1"/>
  <c r="B239" i="40" s="1"/>
  <c r="B240" i="40" s="1"/>
  <c r="B241" i="40" s="1"/>
  <c r="B242" i="40" s="1"/>
  <c r="B243" i="40" s="1"/>
  <c r="B244" i="40" s="1"/>
  <c r="B245" i="40" s="1"/>
  <c r="B246" i="40" s="1"/>
  <c r="B247" i="40" s="1"/>
  <c r="B248" i="40" s="1"/>
  <c r="B249" i="40" s="1"/>
  <c r="B250" i="40" s="1"/>
  <c r="B251" i="40" s="1"/>
  <c r="B252" i="40" s="1"/>
  <c r="B253" i="40" s="1"/>
  <c r="B254" i="40" s="1"/>
  <c r="B255" i="40" s="1"/>
  <c r="B256" i="40" s="1"/>
  <c r="B257" i="40" s="1"/>
  <c r="B258" i="40" s="1"/>
  <c r="B259" i="40" s="1"/>
  <c r="B260" i="40" s="1"/>
  <c r="B261" i="40" s="1"/>
  <c r="B262" i="40" s="1"/>
  <c r="B263" i="40" s="1"/>
  <c r="B264" i="40" s="1"/>
  <c r="B265" i="40" s="1"/>
  <c r="B266" i="40" s="1"/>
  <c r="B267" i="40" s="1"/>
  <c r="B268" i="40" s="1"/>
  <c r="B269" i="40" s="1"/>
  <c r="B270" i="40" s="1"/>
  <c r="B271" i="40" s="1"/>
  <c r="B272" i="40" s="1"/>
  <c r="B273" i="40" s="1"/>
  <c r="B274" i="40" s="1"/>
  <c r="B275" i="40" s="1"/>
  <c r="B276" i="40" s="1"/>
  <c r="B277" i="40" s="1"/>
  <c r="B278" i="40" s="1"/>
  <c r="B279" i="40" s="1"/>
  <c r="B280" i="40" s="1"/>
  <c r="B281" i="40" s="1"/>
  <c r="B282" i="40" s="1"/>
  <c r="B283" i="40" s="1"/>
  <c r="B284" i="40" s="1"/>
  <c r="B285" i="40" s="1"/>
  <c r="B286" i="40" s="1"/>
  <c r="B287" i="40" s="1"/>
  <c r="B288" i="40" s="1"/>
  <c r="B289" i="40" s="1"/>
  <c r="B290" i="40" s="1"/>
  <c r="B291" i="40" s="1"/>
  <c r="B292" i="40" s="1"/>
  <c r="B293" i="40" s="1"/>
  <c r="B294" i="40" s="1"/>
  <c r="B295" i="40" s="1"/>
  <c r="B296" i="40" s="1"/>
  <c r="B297" i="40" s="1"/>
  <c r="B298" i="40" s="1"/>
  <c r="B299" i="40" s="1"/>
  <c r="B300" i="40" s="1"/>
  <c r="B301" i="40" s="1"/>
  <c r="B302" i="40" s="1"/>
  <c r="B303" i="40" s="1"/>
  <c r="B304" i="40" s="1"/>
  <c r="B305" i="40" s="1"/>
  <c r="B306" i="40" s="1"/>
  <c r="B307" i="40" s="1"/>
  <c r="B308" i="40" s="1"/>
  <c r="B309" i="40" s="1"/>
  <c r="B310" i="40" s="1"/>
  <c r="B311" i="40" s="1"/>
  <c r="B312" i="40" s="1"/>
  <c r="B313" i="40" s="1"/>
  <c r="B314" i="40" s="1"/>
  <c r="B315" i="40" s="1"/>
  <c r="B316" i="40" s="1"/>
  <c r="B317" i="40" s="1"/>
  <c r="B318" i="40" s="1"/>
  <c r="B319" i="40" s="1"/>
  <c r="B320" i="40" s="1"/>
  <c r="B321" i="40" s="1"/>
  <c r="B322" i="40" s="1"/>
  <c r="B323" i="40" s="1"/>
  <c r="B324" i="40" s="1"/>
  <c r="B325" i="40" s="1"/>
  <c r="B326" i="40" s="1"/>
  <c r="B327" i="40" s="1"/>
  <c r="B328" i="40" s="1"/>
  <c r="B329" i="40" s="1"/>
  <c r="B330" i="40" s="1"/>
  <c r="B331" i="40" s="1"/>
  <c r="B332" i="40" s="1"/>
  <c r="B333" i="40" s="1"/>
  <c r="B334" i="40" s="1"/>
  <c r="B335" i="40" s="1"/>
  <c r="B336" i="40" s="1"/>
  <c r="B337" i="40" s="1"/>
  <c r="B338" i="40" s="1"/>
  <c r="B339" i="40" s="1"/>
  <c r="B340" i="40" s="1"/>
  <c r="B341" i="40" s="1"/>
  <c r="B342" i="40" s="1"/>
  <c r="B343" i="40" s="1"/>
  <c r="B344" i="40" s="1"/>
  <c r="B345" i="40" s="1"/>
  <c r="B346" i="40" s="1"/>
  <c r="B347" i="40" s="1"/>
  <c r="B348" i="40" s="1"/>
  <c r="B349" i="40" s="1"/>
  <c r="B350" i="40" s="1"/>
  <c r="B351" i="40" s="1"/>
  <c r="B352" i="40" s="1"/>
  <c r="B353" i="40" s="1"/>
  <c r="B354" i="40" s="1"/>
  <c r="B355" i="40" s="1"/>
  <c r="B356" i="40" s="1"/>
  <c r="B358" i="40" s="1"/>
  <c r="B359" i="40" s="1"/>
  <c r="B360" i="40" s="1"/>
  <c r="B361" i="40" s="1"/>
  <c r="B362" i="40" s="1"/>
  <c r="B363" i="40" s="1"/>
  <c r="B364" i="40" s="1"/>
  <c r="B365" i="40" s="1"/>
  <c r="B366" i="40" s="1"/>
  <c r="B367" i="40" s="1"/>
  <c r="B368" i="40" s="1"/>
  <c r="B369" i="40" s="1"/>
  <c r="B370" i="40" s="1"/>
  <c r="B371" i="40" s="1"/>
  <c r="B372" i="40" s="1"/>
  <c r="B373" i="40" s="1"/>
  <c r="B374" i="40" s="1"/>
  <c r="B375" i="40" s="1"/>
  <c r="B376" i="40" s="1"/>
  <c r="B377" i="40" s="1"/>
  <c r="B378" i="40" s="1"/>
  <c r="B379" i="40" s="1"/>
  <c r="B380" i="40" s="1"/>
  <c r="B381" i="40" s="1"/>
  <c r="B382" i="40" s="1"/>
  <c r="B383" i="40" s="1"/>
  <c r="B384" i="40" s="1"/>
  <c r="B385" i="40" s="1"/>
  <c r="B386" i="40" s="1"/>
  <c r="B387" i="40" s="1"/>
  <c r="B388" i="40" s="1"/>
  <c r="B389" i="40" s="1"/>
  <c r="B390" i="40" s="1"/>
  <c r="B391" i="40" s="1"/>
  <c r="B392" i="40" s="1"/>
  <c r="B393" i="40" s="1"/>
  <c r="B394" i="40" s="1"/>
  <c r="B395" i="40" s="1"/>
  <c r="B396" i="40" s="1"/>
  <c r="B397" i="40" s="1"/>
  <c r="B398" i="40" s="1"/>
  <c r="B399" i="40" s="1"/>
  <c r="B400" i="40" s="1"/>
  <c r="B401" i="40" s="1"/>
  <c r="B402" i="40" s="1"/>
  <c r="B403" i="40" s="1"/>
  <c r="B404" i="40" s="1"/>
  <c r="B405" i="40" s="1"/>
  <c r="B406" i="40" s="1"/>
  <c r="B407" i="40" s="1"/>
  <c r="B408" i="40" s="1"/>
  <c r="B409" i="40" s="1"/>
  <c r="B410" i="40" s="1"/>
  <c r="B411" i="40" s="1"/>
  <c r="B412" i="40" s="1"/>
  <c r="B413" i="40" s="1"/>
  <c r="B414" i="40" s="1"/>
  <c r="B415" i="40" s="1"/>
  <c r="B416" i="40" s="1"/>
  <c r="B417" i="40" s="1"/>
  <c r="B418" i="40" s="1"/>
  <c r="B419" i="40" s="1"/>
  <c r="B420" i="40" s="1"/>
  <c r="B421" i="40" s="1"/>
  <c r="B422" i="40" s="1"/>
  <c r="B423" i="40" s="1"/>
  <c r="B424" i="40" s="1"/>
  <c r="B425" i="40" s="1"/>
  <c r="B426" i="40" s="1"/>
  <c r="B427" i="40" s="1"/>
  <c r="B428" i="40" s="1"/>
  <c r="B429" i="40" s="1"/>
  <c r="B430" i="40" s="1"/>
  <c r="B431" i="40" s="1"/>
  <c r="B432" i="40" s="1"/>
  <c r="B433" i="40" s="1"/>
  <c r="B434" i="40" s="1"/>
  <c r="B435" i="40" s="1"/>
  <c r="B436" i="40" s="1"/>
  <c r="B437" i="40" s="1"/>
  <c r="B438" i="40" s="1"/>
  <c r="B439" i="40" s="1"/>
  <c r="B440" i="40" s="1"/>
  <c r="B441" i="40" s="1"/>
  <c r="B442" i="40" s="1"/>
  <c r="B443" i="40" s="1"/>
  <c r="B444" i="40" s="1"/>
  <c r="B445" i="40" s="1"/>
  <c r="B446" i="40" s="1"/>
  <c r="B447" i="40" s="1"/>
  <c r="B448" i="40" s="1"/>
  <c r="B449" i="40" s="1"/>
  <c r="B450" i="40" s="1"/>
  <c r="B451" i="40" s="1"/>
  <c r="B452" i="40" s="1"/>
  <c r="B453" i="40" s="1"/>
  <c r="B454" i="40" s="1"/>
  <c r="B455" i="40" s="1"/>
  <c r="B456" i="40" s="1"/>
  <c r="B457" i="40" s="1"/>
  <c r="B458" i="40" s="1"/>
  <c r="B459" i="40" s="1"/>
  <c r="B460" i="40" s="1"/>
  <c r="B461" i="40" s="1"/>
  <c r="B462" i="40" s="1"/>
  <c r="B463" i="40" s="1"/>
  <c r="B464" i="40" s="1"/>
  <c r="B465" i="40" s="1"/>
  <c r="B466" i="40" s="1"/>
  <c r="B467" i="40" s="1"/>
  <c r="B468" i="40" s="1"/>
  <c r="B469" i="40" s="1"/>
  <c r="B470" i="40" s="1"/>
  <c r="B471" i="40" s="1"/>
  <c r="B472" i="40" s="1"/>
  <c r="B473" i="40" s="1"/>
  <c r="B474" i="40" s="1"/>
  <c r="B475" i="40" s="1"/>
  <c r="B476" i="40" s="1"/>
  <c r="B477" i="40" s="1"/>
  <c r="B478" i="40" s="1"/>
  <c r="B479" i="40" s="1"/>
  <c r="B481" i="40" s="1"/>
  <c r="B482" i="40" s="1"/>
  <c r="B483" i="40" s="1"/>
  <c r="B484" i="40" s="1"/>
  <c r="B485" i="40" s="1"/>
  <c r="B486" i="40" s="1"/>
  <c r="B490" i="40" s="1"/>
  <c r="B491" i="40" s="1"/>
  <c r="B492" i="40" s="1"/>
  <c r="B493" i="40" s="1"/>
  <c r="B494" i="40" s="1"/>
  <c r="B495" i="40" s="1"/>
  <c r="B496" i="40" s="1"/>
  <c r="B497" i="40" s="1"/>
  <c r="B498" i="40" s="1"/>
  <c r="B499" i="40" s="1"/>
  <c r="B500" i="40" s="1"/>
  <c r="B501" i="40" s="1"/>
  <c r="B502" i="40" s="1"/>
  <c r="B503" i="40" s="1"/>
  <c r="B504" i="40" s="1"/>
  <c r="B505" i="40" s="1"/>
  <c r="B506" i="40" s="1"/>
  <c r="B507" i="40" s="1"/>
  <c r="B508" i="40" s="1"/>
  <c r="B510" i="40" s="1"/>
  <c r="B511" i="40" s="1"/>
  <c r="B512" i="40" s="1"/>
  <c r="B513" i="40" s="1"/>
  <c r="J1451" i="49"/>
  <c r="J1450" i="49"/>
  <c r="I1451" i="49"/>
  <c r="I1450" i="49"/>
  <c r="F1454" i="49"/>
  <c r="C1454" i="49"/>
  <c r="D1452" i="49"/>
  <c r="G1452" i="49" s="1"/>
  <c r="J1453" i="49" s="1"/>
  <c r="C1452" i="49"/>
  <c r="F1452" i="49" s="1"/>
  <c r="I1453" i="49" s="1"/>
  <c r="D1448" i="49"/>
  <c r="D1447" i="49"/>
  <c r="D1450" i="49"/>
  <c r="G1450" i="49" s="1"/>
  <c r="J1452" i="49" s="1"/>
  <c r="C1450" i="49"/>
  <c r="F1450" i="49" s="1"/>
  <c r="I1452" i="49" s="1"/>
  <c r="H1449" i="49"/>
  <c r="E1449" i="49"/>
  <c r="B1449" i="49"/>
  <c r="J1440" i="49"/>
  <c r="J1439" i="49"/>
  <c r="I1440" i="49"/>
  <c r="I1439" i="49"/>
  <c r="F1443" i="49"/>
  <c r="C1443" i="49"/>
  <c r="D1441" i="49"/>
  <c r="G1441" i="49" s="1"/>
  <c r="J1442" i="49" s="1"/>
  <c r="C1441" i="49"/>
  <c r="F1441" i="49" s="1"/>
  <c r="I1442" i="49" s="1"/>
  <c r="D1439" i="49"/>
  <c r="G1439" i="49" s="1"/>
  <c r="J1441" i="49" s="1"/>
  <c r="C1439" i="49"/>
  <c r="F1439" i="49" s="1"/>
  <c r="I1441" i="49" s="1"/>
  <c r="J1434" i="49"/>
  <c r="J1435" i="49"/>
  <c r="I1435" i="49"/>
  <c r="I1434" i="49"/>
  <c r="F1438" i="49"/>
  <c r="C1438" i="49"/>
  <c r="D1436" i="49"/>
  <c r="G1436" i="49" s="1"/>
  <c r="J1437" i="49" s="1"/>
  <c r="C1436" i="49"/>
  <c r="F1436" i="49" s="1"/>
  <c r="I1437" i="49" s="1"/>
  <c r="D1434" i="49"/>
  <c r="G1434" i="49" s="1"/>
  <c r="J1436" i="49" s="1"/>
  <c r="C1434" i="49"/>
  <c r="F1434" i="49" s="1"/>
  <c r="I1436" i="49" s="1"/>
  <c r="J1430" i="49"/>
  <c r="J1429" i="49"/>
  <c r="I1430" i="49"/>
  <c r="I1429" i="49"/>
  <c r="F1433" i="49"/>
  <c r="C1433" i="49"/>
  <c r="D1431" i="49"/>
  <c r="G1431" i="49" s="1"/>
  <c r="J1432" i="49" s="1"/>
  <c r="C1431" i="49"/>
  <c r="F1431" i="49" s="1"/>
  <c r="I1432" i="49" s="1"/>
  <c r="D1429" i="49"/>
  <c r="G1429" i="49" s="1"/>
  <c r="J1431" i="49" s="1"/>
  <c r="C1429" i="49"/>
  <c r="F1429" i="49" s="1"/>
  <c r="I1431" i="49" s="1"/>
  <c r="J1425" i="49"/>
  <c r="I1425" i="49"/>
  <c r="J1424" i="49"/>
  <c r="I1424" i="49"/>
  <c r="F1428" i="49"/>
  <c r="C1428" i="49"/>
  <c r="D1426" i="49"/>
  <c r="G1426" i="49" s="1"/>
  <c r="J1427" i="49" s="1"/>
  <c r="C1426" i="49"/>
  <c r="F1426" i="49" s="1"/>
  <c r="I1427" i="49" s="1"/>
  <c r="D1424" i="49"/>
  <c r="G1424" i="49" s="1"/>
  <c r="J1426" i="49" s="1"/>
  <c r="C1424" i="49"/>
  <c r="F1424" i="49" s="1"/>
  <c r="I1426" i="49" s="1"/>
  <c r="D1422" i="49"/>
  <c r="D1421" i="49"/>
  <c r="H1423" i="49"/>
  <c r="E1423" i="49"/>
  <c r="B1423" i="49"/>
  <c r="J1416" i="49"/>
  <c r="J1415" i="49"/>
  <c r="I1416" i="49"/>
  <c r="I1415" i="49"/>
  <c r="F1419" i="49"/>
  <c r="C1419" i="49"/>
  <c r="D1417" i="49"/>
  <c r="G1417" i="49" s="1"/>
  <c r="J1418" i="49" s="1"/>
  <c r="C1417" i="49"/>
  <c r="F1417" i="49" s="1"/>
  <c r="I1418" i="49" s="1"/>
  <c r="D1415" i="49"/>
  <c r="G1415" i="49" s="1"/>
  <c r="J1417" i="49" s="1"/>
  <c r="C1415" i="49"/>
  <c r="F1415" i="49" s="1"/>
  <c r="I1417" i="49" s="1"/>
  <c r="I1411" i="49"/>
  <c r="J1411" i="49"/>
  <c r="J1410" i="49"/>
  <c r="I1406" i="49"/>
  <c r="I1405" i="49"/>
  <c r="I1410" i="49"/>
  <c r="F1414" i="49"/>
  <c r="C1414" i="49"/>
  <c r="D1412" i="49"/>
  <c r="G1412" i="49" s="1"/>
  <c r="J1413" i="49" s="1"/>
  <c r="C1412" i="49"/>
  <c r="F1412" i="49" s="1"/>
  <c r="I1413" i="49" s="1"/>
  <c r="D1410" i="49"/>
  <c r="G1410" i="49" s="1"/>
  <c r="J1412" i="49" s="1"/>
  <c r="C1410" i="49"/>
  <c r="F1410" i="49" s="1"/>
  <c r="I1412" i="49" s="1"/>
  <c r="J1405" i="49"/>
  <c r="J1406" i="49"/>
  <c r="F1409" i="49"/>
  <c r="C1409" i="49"/>
  <c r="D1407" i="49"/>
  <c r="G1407" i="49" s="1"/>
  <c r="J1408" i="49" s="1"/>
  <c r="C1407" i="49"/>
  <c r="F1407" i="49" s="1"/>
  <c r="I1408" i="49" s="1"/>
  <c r="D1405" i="49"/>
  <c r="G1405" i="49" s="1"/>
  <c r="J1407" i="49" s="1"/>
  <c r="C1405" i="49"/>
  <c r="F1405" i="49" s="1"/>
  <c r="I1407" i="49" s="1"/>
  <c r="J1401" i="49"/>
  <c r="J1400" i="49"/>
  <c r="I1401" i="49"/>
  <c r="I1400" i="49"/>
  <c r="F1404" i="49"/>
  <c r="C1404" i="49"/>
  <c r="D1402" i="49"/>
  <c r="G1402" i="49" s="1"/>
  <c r="J1403" i="49" s="1"/>
  <c r="C1402" i="49"/>
  <c r="F1402" i="49" s="1"/>
  <c r="I1403" i="49" s="1"/>
  <c r="D1400" i="49"/>
  <c r="G1400" i="49" s="1"/>
  <c r="J1402" i="49" s="1"/>
  <c r="C1400" i="49"/>
  <c r="F1400" i="49" s="1"/>
  <c r="I1402" i="49" s="1"/>
  <c r="J1396" i="49"/>
  <c r="J1395" i="49"/>
  <c r="I1396" i="49"/>
  <c r="I1395" i="49"/>
  <c r="F1399" i="49"/>
  <c r="C1399" i="49"/>
  <c r="D1397" i="49"/>
  <c r="G1397" i="49" s="1"/>
  <c r="J1398" i="49" s="1"/>
  <c r="C1397" i="49"/>
  <c r="F1397" i="49" s="1"/>
  <c r="I1398" i="49" s="1"/>
  <c r="D1395" i="49"/>
  <c r="G1395" i="49" s="1"/>
  <c r="J1397" i="49" s="1"/>
  <c r="C1395" i="49"/>
  <c r="F1395" i="49" s="1"/>
  <c r="I1397" i="49" s="1"/>
  <c r="J1391" i="49"/>
  <c r="J1390" i="49"/>
  <c r="I1391" i="49"/>
  <c r="I1390" i="49"/>
  <c r="F1394" i="49"/>
  <c r="C1394" i="49"/>
  <c r="D1392" i="49"/>
  <c r="G1392" i="49" s="1"/>
  <c r="J1393" i="49" s="1"/>
  <c r="C1392" i="49"/>
  <c r="F1392" i="49" s="1"/>
  <c r="I1393" i="49" s="1"/>
  <c r="D1390" i="49"/>
  <c r="G1390" i="49" s="1"/>
  <c r="J1392" i="49" s="1"/>
  <c r="C1390" i="49"/>
  <c r="F1390" i="49" s="1"/>
  <c r="I1392" i="49" s="1"/>
  <c r="J1386" i="49"/>
  <c r="J1385" i="49"/>
  <c r="I1386" i="49"/>
  <c r="I1385" i="49"/>
  <c r="F1389" i="49"/>
  <c r="C1389" i="49"/>
  <c r="D1387" i="49"/>
  <c r="G1387" i="49" s="1"/>
  <c r="J1388" i="49" s="1"/>
  <c r="C1387" i="49"/>
  <c r="F1387" i="49" s="1"/>
  <c r="I1388" i="49" s="1"/>
  <c r="D1385" i="49"/>
  <c r="G1385" i="49" s="1"/>
  <c r="J1387" i="49" s="1"/>
  <c r="C1385" i="49"/>
  <c r="F1385" i="49" s="1"/>
  <c r="I1387" i="49" s="1"/>
  <c r="J1381" i="49"/>
  <c r="J1380" i="49"/>
  <c r="I1381" i="49"/>
  <c r="I1380" i="49"/>
  <c r="F1384" i="49"/>
  <c r="C1384" i="49"/>
  <c r="D1382" i="49"/>
  <c r="G1382" i="49" s="1"/>
  <c r="J1383" i="49" s="1"/>
  <c r="C1382" i="49"/>
  <c r="F1382" i="49" s="1"/>
  <c r="I1383" i="49" s="1"/>
  <c r="D1380" i="49"/>
  <c r="G1380" i="49" s="1"/>
  <c r="J1382" i="49" s="1"/>
  <c r="C1380" i="49"/>
  <c r="F1380" i="49" s="1"/>
  <c r="I1382" i="49" s="1"/>
  <c r="J1376" i="49"/>
  <c r="J1375" i="49"/>
  <c r="I1376" i="49"/>
  <c r="I1375" i="49"/>
  <c r="F1379" i="49"/>
  <c r="C1379" i="49"/>
  <c r="D1377" i="49"/>
  <c r="G1377" i="49" s="1"/>
  <c r="J1378" i="49" s="1"/>
  <c r="C1377" i="49"/>
  <c r="F1377" i="49" s="1"/>
  <c r="I1378" i="49" s="1"/>
  <c r="D1375" i="49"/>
  <c r="G1375" i="49" s="1"/>
  <c r="J1377" i="49" s="1"/>
  <c r="C1375" i="49"/>
  <c r="F1375" i="49" s="1"/>
  <c r="I1377" i="49" s="1"/>
  <c r="I1371" i="49"/>
  <c r="J1371" i="49"/>
  <c r="J1370" i="49"/>
  <c r="I1370" i="49"/>
  <c r="F1374" i="49"/>
  <c r="C1374" i="49"/>
  <c r="D1372" i="49"/>
  <c r="G1372" i="49" s="1"/>
  <c r="J1373" i="49" s="1"/>
  <c r="C1372" i="49"/>
  <c r="F1372" i="49" s="1"/>
  <c r="I1373" i="49" s="1"/>
  <c r="D1370" i="49"/>
  <c r="G1370" i="49" s="1"/>
  <c r="J1372" i="49" s="1"/>
  <c r="C1370" i="49"/>
  <c r="F1370" i="49" s="1"/>
  <c r="I1372" i="49" s="1"/>
  <c r="I1366" i="49"/>
  <c r="J1366" i="49"/>
  <c r="J1365" i="49"/>
  <c r="I1365" i="49"/>
  <c r="D1363" i="49"/>
  <c r="D1362" i="49"/>
  <c r="F1369" i="49"/>
  <c r="C1369" i="49"/>
  <c r="D1367" i="49"/>
  <c r="G1367" i="49" s="1"/>
  <c r="J1368" i="49" s="1"/>
  <c r="C1367" i="49"/>
  <c r="F1367" i="49" s="1"/>
  <c r="I1368" i="49" s="1"/>
  <c r="D1365" i="49"/>
  <c r="G1365" i="49" s="1"/>
  <c r="J1367" i="49" s="1"/>
  <c r="C1365" i="49"/>
  <c r="F1365" i="49" s="1"/>
  <c r="I1367" i="49" s="1"/>
  <c r="H1364" i="49"/>
  <c r="E1364" i="49"/>
  <c r="B1364" i="49"/>
  <c r="I1357" i="49"/>
  <c r="J1357" i="49"/>
  <c r="J1356" i="49"/>
  <c r="I1356" i="49"/>
  <c r="D1354" i="49"/>
  <c r="D1353" i="49"/>
  <c r="F1360" i="49"/>
  <c r="C1360" i="49"/>
  <c r="D1358" i="49"/>
  <c r="G1358" i="49" s="1"/>
  <c r="J1359" i="49" s="1"/>
  <c r="C1358" i="49"/>
  <c r="F1358" i="49" s="1"/>
  <c r="I1359" i="49" s="1"/>
  <c r="D1356" i="49"/>
  <c r="G1356" i="49" s="1"/>
  <c r="J1358" i="49" s="1"/>
  <c r="C1356" i="49"/>
  <c r="F1356" i="49" s="1"/>
  <c r="I1358" i="49" s="1"/>
  <c r="H1355" i="49"/>
  <c r="E1355" i="49"/>
  <c r="B1355" i="49"/>
  <c r="J1344" i="49"/>
  <c r="I1344" i="49"/>
  <c r="J1343" i="49"/>
  <c r="I1343" i="49"/>
  <c r="F1347" i="49"/>
  <c r="C1347" i="49"/>
  <c r="D1345" i="49"/>
  <c r="G1345" i="49" s="1"/>
  <c r="J1346" i="49" s="1"/>
  <c r="C1345" i="49"/>
  <c r="F1345" i="49" s="1"/>
  <c r="I1346" i="49" s="1"/>
  <c r="C1343" i="49"/>
  <c r="F1343" i="49" s="1"/>
  <c r="I1345" i="49" s="1"/>
  <c r="D1343" i="49"/>
  <c r="G1343" i="49" s="1"/>
  <c r="J1345" i="49" s="1"/>
  <c r="J1339" i="49"/>
  <c r="I1339" i="49"/>
  <c r="J1338" i="49"/>
  <c r="I1338" i="49"/>
  <c r="F1342" i="49"/>
  <c r="C1342" i="49"/>
  <c r="D1340" i="49"/>
  <c r="G1340" i="49" s="1"/>
  <c r="J1341" i="49" s="1"/>
  <c r="C1340" i="49"/>
  <c r="F1340" i="49" s="1"/>
  <c r="I1341" i="49" s="1"/>
  <c r="D1338" i="49"/>
  <c r="G1338" i="49" s="1"/>
  <c r="J1340" i="49" s="1"/>
  <c r="C1338" i="49"/>
  <c r="F1338" i="49" s="1"/>
  <c r="I1340" i="49" s="1"/>
  <c r="I1334" i="49"/>
  <c r="J1334" i="49"/>
  <c r="J1333" i="49"/>
  <c r="I1333" i="49"/>
  <c r="F1337" i="49"/>
  <c r="C1337" i="49"/>
  <c r="D1335" i="49"/>
  <c r="G1335" i="49" s="1"/>
  <c r="J1336" i="49" s="1"/>
  <c r="C1335" i="49"/>
  <c r="F1335" i="49" s="1"/>
  <c r="I1336" i="49" s="1"/>
  <c r="D1333" i="49"/>
  <c r="G1333" i="49" s="1"/>
  <c r="J1335" i="49" s="1"/>
  <c r="C1333" i="49"/>
  <c r="F1333" i="49" s="1"/>
  <c r="I1335" i="49" s="1"/>
  <c r="J1329" i="49"/>
  <c r="I1329" i="49"/>
  <c r="J1328" i="49"/>
  <c r="I1328" i="49"/>
  <c r="F1332" i="49"/>
  <c r="C1332" i="49"/>
  <c r="D1330" i="49"/>
  <c r="G1330" i="49" s="1"/>
  <c r="J1331" i="49" s="1"/>
  <c r="C1330" i="49"/>
  <c r="F1330" i="49" s="1"/>
  <c r="I1331" i="49" s="1"/>
  <c r="D1328" i="49"/>
  <c r="G1328" i="49" s="1"/>
  <c r="J1330" i="49" s="1"/>
  <c r="C1328" i="49"/>
  <c r="F1328" i="49" s="1"/>
  <c r="I1330" i="49" s="1"/>
  <c r="D1326" i="49"/>
  <c r="D1325" i="49"/>
  <c r="H1327" i="49"/>
  <c r="E1327" i="49"/>
  <c r="B1327" i="49"/>
  <c r="J1320" i="49"/>
  <c r="I1320" i="49"/>
  <c r="J1319" i="49"/>
  <c r="I1319" i="49"/>
  <c r="F1323" i="49"/>
  <c r="C1323" i="49"/>
  <c r="D1321" i="49"/>
  <c r="G1321" i="49" s="1"/>
  <c r="J1322" i="49" s="1"/>
  <c r="C1321" i="49"/>
  <c r="F1321" i="49" s="1"/>
  <c r="I1322" i="49" s="1"/>
  <c r="D1319" i="49"/>
  <c r="G1319" i="49" s="1"/>
  <c r="J1321" i="49" s="1"/>
  <c r="C1319" i="49"/>
  <c r="F1319" i="49" s="1"/>
  <c r="I1321" i="49" s="1"/>
  <c r="F1318" i="49"/>
  <c r="C1318" i="49"/>
  <c r="D1316" i="49"/>
  <c r="G1316" i="49" s="1"/>
  <c r="J1317" i="49" s="1"/>
  <c r="C1316" i="49"/>
  <c r="F1316" i="49" s="1"/>
  <c r="I1317" i="49" s="1"/>
  <c r="J1315" i="49"/>
  <c r="I1315" i="49"/>
  <c r="J1314" i="49"/>
  <c r="I1314" i="49"/>
  <c r="D1314" i="49"/>
  <c r="G1314" i="49" s="1"/>
  <c r="J1316" i="49" s="1"/>
  <c r="C1314" i="49"/>
  <c r="F1314" i="49" s="1"/>
  <c r="I1316" i="49" s="1"/>
  <c r="J1310" i="49"/>
  <c r="I1310" i="49"/>
  <c r="J1309" i="49"/>
  <c r="I1309" i="49"/>
  <c r="F1313" i="49"/>
  <c r="C1313" i="49"/>
  <c r="D1311" i="49"/>
  <c r="G1311" i="49" s="1"/>
  <c r="J1312" i="49" s="1"/>
  <c r="C1311" i="49"/>
  <c r="F1311" i="49" s="1"/>
  <c r="I1312" i="49" s="1"/>
  <c r="D1309" i="49"/>
  <c r="G1309" i="49" s="1"/>
  <c r="J1311" i="49" s="1"/>
  <c r="C1309" i="49"/>
  <c r="F1309" i="49" s="1"/>
  <c r="I1311" i="49" s="1"/>
  <c r="J1305" i="49"/>
  <c r="I1305" i="49"/>
  <c r="J1304" i="49"/>
  <c r="I1304" i="49"/>
  <c r="F1308" i="49"/>
  <c r="C1308" i="49"/>
  <c r="D1306" i="49"/>
  <c r="G1306" i="49" s="1"/>
  <c r="J1307" i="49" s="1"/>
  <c r="C1306" i="49"/>
  <c r="F1306" i="49" s="1"/>
  <c r="I1307" i="49" s="1"/>
  <c r="D1304" i="49"/>
  <c r="G1304" i="49" s="1"/>
  <c r="J1306" i="49" s="1"/>
  <c r="C1304" i="49"/>
  <c r="F1304" i="49" s="1"/>
  <c r="I1306" i="49" s="1"/>
  <c r="J1296" i="49"/>
  <c r="I1296" i="49"/>
  <c r="J1295" i="49"/>
  <c r="I1295" i="49"/>
  <c r="F1299" i="49"/>
  <c r="C1299" i="49"/>
  <c r="D1297" i="49"/>
  <c r="G1297" i="49" s="1"/>
  <c r="J1298" i="49" s="1"/>
  <c r="C1297" i="49"/>
  <c r="F1297" i="49" s="1"/>
  <c r="I1298" i="49" s="1"/>
  <c r="D1295" i="49"/>
  <c r="G1295" i="49" s="1"/>
  <c r="J1297" i="49" s="1"/>
  <c r="C1295" i="49"/>
  <c r="F1295" i="49" s="1"/>
  <c r="I1297" i="49" s="1"/>
  <c r="J1291" i="49"/>
  <c r="I1291" i="49"/>
  <c r="J1290" i="49"/>
  <c r="I1290" i="49"/>
  <c r="F1294" i="49"/>
  <c r="C1294" i="49"/>
  <c r="D1292" i="49"/>
  <c r="G1292" i="49" s="1"/>
  <c r="J1293" i="49" s="1"/>
  <c r="C1292" i="49"/>
  <c r="F1292" i="49" s="1"/>
  <c r="I1293" i="49" s="1"/>
  <c r="D1290" i="49"/>
  <c r="G1290" i="49" s="1"/>
  <c r="J1292" i="49" s="1"/>
  <c r="C1290" i="49"/>
  <c r="F1290" i="49" s="1"/>
  <c r="I1292" i="49" s="1"/>
  <c r="J1286" i="49"/>
  <c r="I1286" i="49"/>
  <c r="J1285" i="49"/>
  <c r="I1285" i="49"/>
  <c r="F1289" i="49"/>
  <c r="C1289" i="49"/>
  <c r="D1287" i="49"/>
  <c r="G1287" i="49" s="1"/>
  <c r="J1288" i="49" s="1"/>
  <c r="C1287" i="49"/>
  <c r="F1287" i="49" s="1"/>
  <c r="I1288" i="49" s="1"/>
  <c r="D1285" i="49"/>
  <c r="G1285" i="49" s="1"/>
  <c r="J1287" i="49" s="1"/>
  <c r="C1285" i="49"/>
  <c r="F1285" i="49" s="1"/>
  <c r="I1287" i="49" s="1"/>
  <c r="D1283" i="49"/>
  <c r="D1282" i="49"/>
  <c r="H1284" i="49"/>
  <c r="E1284" i="49"/>
  <c r="B1284" i="49"/>
  <c r="I1277" i="49"/>
  <c r="J1277" i="49"/>
  <c r="J1276" i="49"/>
  <c r="I1276" i="49"/>
  <c r="F1280" i="49"/>
  <c r="C1280" i="49"/>
  <c r="D1278" i="49"/>
  <c r="G1278" i="49" s="1"/>
  <c r="J1279" i="49" s="1"/>
  <c r="C1278" i="49"/>
  <c r="F1278" i="49" s="1"/>
  <c r="I1279" i="49" s="1"/>
  <c r="D1276" i="49"/>
  <c r="G1276" i="49" s="1"/>
  <c r="J1278" i="49" s="1"/>
  <c r="C1276" i="49"/>
  <c r="F1276" i="49" s="1"/>
  <c r="I1278" i="49" s="1"/>
  <c r="I1272" i="49"/>
  <c r="J1272" i="49"/>
  <c r="J1271" i="49"/>
  <c r="I1271" i="49"/>
  <c r="F1275" i="49"/>
  <c r="C1275" i="49"/>
  <c r="D1273" i="49"/>
  <c r="G1273" i="49" s="1"/>
  <c r="J1274" i="49" s="1"/>
  <c r="C1273" i="49"/>
  <c r="F1273" i="49" s="1"/>
  <c r="I1274" i="49" s="1"/>
  <c r="D1271" i="49"/>
  <c r="G1271" i="49" s="1"/>
  <c r="J1273" i="49" s="1"/>
  <c r="C1271" i="49"/>
  <c r="F1271" i="49" s="1"/>
  <c r="I1273" i="49" s="1"/>
  <c r="J1267" i="49"/>
  <c r="I1267" i="49"/>
  <c r="J1266" i="49"/>
  <c r="I1266" i="49"/>
  <c r="F1270" i="49"/>
  <c r="C1270" i="49"/>
  <c r="D1268" i="49"/>
  <c r="G1268" i="49" s="1"/>
  <c r="J1269" i="49" s="1"/>
  <c r="C1268" i="49"/>
  <c r="F1268" i="49" s="1"/>
  <c r="I1269" i="49" s="1"/>
  <c r="D1266" i="49"/>
  <c r="G1266" i="49" s="1"/>
  <c r="J1268" i="49" s="1"/>
  <c r="C1266" i="49"/>
  <c r="F1266" i="49" s="1"/>
  <c r="I1268" i="49" s="1"/>
  <c r="J1262" i="49"/>
  <c r="I1262" i="49"/>
  <c r="J1261" i="49"/>
  <c r="I1261" i="49"/>
  <c r="F1265" i="49"/>
  <c r="C1265" i="49"/>
  <c r="D1263" i="49"/>
  <c r="G1263" i="49" s="1"/>
  <c r="J1264" i="49" s="1"/>
  <c r="C1263" i="49"/>
  <c r="F1263" i="49" s="1"/>
  <c r="I1264" i="49" s="1"/>
  <c r="D1261" i="49"/>
  <c r="G1261" i="49" s="1"/>
  <c r="J1263" i="49" s="1"/>
  <c r="C1261" i="49"/>
  <c r="F1261" i="49" s="1"/>
  <c r="I1263" i="49" s="1"/>
  <c r="J1257" i="49"/>
  <c r="I1257" i="49"/>
  <c r="J1256" i="49"/>
  <c r="I1256" i="49"/>
  <c r="F1260" i="49"/>
  <c r="C1260" i="49"/>
  <c r="D1258" i="49"/>
  <c r="G1258" i="49" s="1"/>
  <c r="J1259" i="49" s="1"/>
  <c r="C1258" i="49"/>
  <c r="F1258" i="49" s="1"/>
  <c r="I1259" i="49" s="1"/>
  <c r="D1256" i="49"/>
  <c r="G1256" i="49" s="1"/>
  <c r="J1258" i="49" s="1"/>
  <c r="C1256" i="49"/>
  <c r="F1256" i="49" s="1"/>
  <c r="I1258" i="49" s="1"/>
  <c r="J1249" i="49"/>
  <c r="I1249" i="49"/>
  <c r="J1248" i="49"/>
  <c r="I1248" i="49"/>
  <c r="F1252" i="49"/>
  <c r="C1252" i="49"/>
  <c r="D1250" i="49"/>
  <c r="G1250" i="49" s="1"/>
  <c r="J1251" i="49" s="1"/>
  <c r="C1250" i="49"/>
  <c r="F1250" i="49" s="1"/>
  <c r="I1251" i="49" s="1"/>
  <c r="D1248" i="49"/>
  <c r="G1248" i="49" s="1"/>
  <c r="J1250" i="49" s="1"/>
  <c r="C1248" i="49"/>
  <c r="F1248" i="49" s="1"/>
  <c r="I1250" i="49" s="1"/>
  <c r="J1244" i="49"/>
  <c r="J1243" i="49"/>
  <c r="I1244" i="49"/>
  <c r="I1243" i="49"/>
  <c r="F1247" i="49"/>
  <c r="C1247" i="49"/>
  <c r="D1240" i="49"/>
  <c r="G1240" i="49" s="1"/>
  <c r="J1241" i="49" s="1"/>
  <c r="D1235" i="49"/>
  <c r="G1235" i="49" s="1"/>
  <c r="J1236" i="49" s="1"/>
  <c r="D1230" i="49"/>
  <c r="G1230" i="49" s="1"/>
  <c r="J1231" i="49" s="1"/>
  <c r="D1245" i="49"/>
  <c r="G1245" i="49" s="1"/>
  <c r="J1246" i="49" s="1"/>
  <c r="C1245" i="49"/>
  <c r="F1245" i="49" s="1"/>
  <c r="I1246" i="49" s="1"/>
  <c r="D1243" i="49"/>
  <c r="G1243" i="49" s="1"/>
  <c r="J1245" i="49" s="1"/>
  <c r="C1243" i="49"/>
  <c r="F1243" i="49" s="1"/>
  <c r="I1245" i="49" s="1"/>
  <c r="J1239" i="49"/>
  <c r="J1238" i="49"/>
  <c r="I1239" i="49"/>
  <c r="I1238" i="49"/>
  <c r="F1242" i="49"/>
  <c r="C1242" i="49"/>
  <c r="C1240" i="49"/>
  <c r="F1240" i="49" s="1"/>
  <c r="I1241" i="49" s="1"/>
  <c r="D1238" i="49"/>
  <c r="G1238" i="49" s="1"/>
  <c r="J1240" i="49" s="1"/>
  <c r="C1238" i="49"/>
  <c r="F1238" i="49" s="1"/>
  <c r="I1240" i="49" s="1"/>
  <c r="J1234" i="49"/>
  <c r="I1234" i="49"/>
  <c r="J1233" i="49"/>
  <c r="I1233" i="49"/>
  <c r="F1237" i="49"/>
  <c r="C1237" i="49"/>
  <c r="C1235" i="49"/>
  <c r="F1235" i="49" s="1"/>
  <c r="I1236" i="49" s="1"/>
  <c r="D1233" i="49"/>
  <c r="G1233" i="49" s="1"/>
  <c r="J1235" i="49" s="1"/>
  <c r="C1233" i="49"/>
  <c r="F1233" i="49" s="1"/>
  <c r="I1235" i="49" s="1"/>
  <c r="J1229" i="49"/>
  <c r="I1229" i="49"/>
  <c r="J1228" i="49"/>
  <c r="I1228" i="49"/>
  <c r="D1226" i="49"/>
  <c r="D1225" i="49"/>
  <c r="F1232" i="49"/>
  <c r="C1232" i="49"/>
  <c r="C1230" i="49"/>
  <c r="F1230" i="49" s="1"/>
  <c r="I1231" i="49" s="1"/>
  <c r="D1228" i="49"/>
  <c r="G1228" i="49" s="1"/>
  <c r="J1230" i="49" s="1"/>
  <c r="C1228" i="49"/>
  <c r="F1228" i="49" s="1"/>
  <c r="I1230" i="49" s="1"/>
  <c r="H1227" i="49"/>
  <c r="E1227" i="49"/>
  <c r="B1227" i="49"/>
  <c r="J1220" i="49"/>
  <c r="I1220" i="49"/>
  <c r="J1219" i="49"/>
  <c r="I1219" i="49"/>
  <c r="F1223" i="49"/>
  <c r="C1223" i="49"/>
  <c r="D1221" i="49"/>
  <c r="G1221" i="49" s="1"/>
  <c r="J1222" i="49" s="1"/>
  <c r="C1221" i="49"/>
  <c r="F1221" i="49" s="1"/>
  <c r="I1222" i="49" s="1"/>
  <c r="D1219" i="49"/>
  <c r="G1219" i="49" s="1"/>
  <c r="J1221" i="49" s="1"/>
  <c r="C1219" i="49"/>
  <c r="F1219" i="49" s="1"/>
  <c r="I1221" i="49" s="1"/>
  <c r="J1214" i="49"/>
  <c r="J1215" i="49"/>
  <c r="I1215" i="49"/>
  <c r="I1214" i="49"/>
  <c r="F1218" i="49"/>
  <c r="C1218" i="49"/>
  <c r="C1216" i="49"/>
  <c r="F1216" i="49" s="1"/>
  <c r="I1217" i="49" s="1"/>
  <c r="D1216" i="49"/>
  <c r="G1216" i="49" s="1"/>
  <c r="J1217" i="49" s="1"/>
  <c r="D1214" i="49"/>
  <c r="G1214" i="49" s="1"/>
  <c r="J1216" i="49" s="1"/>
  <c r="C1214" i="49"/>
  <c r="F1214" i="49" s="1"/>
  <c r="I1216" i="49" s="1"/>
  <c r="J1204" i="49"/>
  <c r="I1204" i="49"/>
  <c r="J1203" i="49"/>
  <c r="I1203" i="49"/>
  <c r="F1207" i="49"/>
  <c r="C1207" i="49"/>
  <c r="D1205" i="49"/>
  <c r="G1205" i="49" s="1"/>
  <c r="J1206" i="49" s="1"/>
  <c r="C1205" i="49"/>
  <c r="F1205" i="49" s="1"/>
  <c r="I1206" i="49" s="1"/>
  <c r="D1203" i="49"/>
  <c r="G1203" i="49" s="1"/>
  <c r="J1205" i="49" s="1"/>
  <c r="C1203" i="49"/>
  <c r="F1203" i="49" s="1"/>
  <c r="I1205" i="49" s="1"/>
  <c r="J1199" i="49"/>
  <c r="I1199" i="49"/>
  <c r="J1198" i="49"/>
  <c r="I1198" i="49"/>
  <c r="F1202" i="49"/>
  <c r="C1202" i="49"/>
  <c r="D1200" i="49"/>
  <c r="G1200" i="49" s="1"/>
  <c r="J1201" i="49" s="1"/>
  <c r="C1200" i="49"/>
  <c r="F1200" i="49" s="1"/>
  <c r="I1201" i="49" s="1"/>
  <c r="D1198" i="49"/>
  <c r="G1198" i="49" s="1"/>
  <c r="J1200" i="49" s="1"/>
  <c r="C1198" i="49"/>
  <c r="F1198" i="49" s="1"/>
  <c r="I1200" i="49" s="1"/>
  <c r="J1194" i="49"/>
  <c r="I1194" i="49"/>
  <c r="J1193" i="49"/>
  <c r="I1193" i="49"/>
  <c r="C1197" i="49"/>
  <c r="D1191" i="49"/>
  <c r="D1190" i="49"/>
  <c r="F1197" i="49"/>
  <c r="D1195" i="49"/>
  <c r="G1195" i="49" s="1"/>
  <c r="J1196" i="49" s="1"/>
  <c r="C1195" i="49"/>
  <c r="F1195" i="49" s="1"/>
  <c r="I1196" i="49" s="1"/>
  <c r="D1193" i="49"/>
  <c r="G1193" i="49" s="1"/>
  <c r="J1195" i="49" s="1"/>
  <c r="C1193" i="49"/>
  <c r="F1193" i="49" s="1"/>
  <c r="I1195" i="49" s="1"/>
  <c r="H1192" i="49"/>
  <c r="E1192" i="49"/>
  <c r="B1192" i="49"/>
  <c r="J1185" i="49"/>
  <c r="J1184" i="49"/>
  <c r="I1185" i="49"/>
  <c r="I1184" i="49"/>
  <c r="F1188" i="49"/>
  <c r="C1188" i="49"/>
  <c r="D1186" i="49"/>
  <c r="G1186" i="49" s="1"/>
  <c r="J1187" i="49" s="1"/>
  <c r="C1186" i="49"/>
  <c r="F1186" i="49" s="1"/>
  <c r="I1187" i="49" s="1"/>
  <c r="D1184" i="49"/>
  <c r="G1184" i="49" s="1"/>
  <c r="J1186" i="49" s="1"/>
  <c r="C1184" i="49"/>
  <c r="F1184" i="49" s="1"/>
  <c r="I1186" i="49" s="1"/>
  <c r="I1180" i="49"/>
  <c r="J1180" i="49"/>
  <c r="J1179" i="49"/>
  <c r="I1179" i="49"/>
  <c r="F1183" i="49"/>
  <c r="C1183" i="49"/>
  <c r="D1181" i="49"/>
  <c r="G1181" i="49" s="1"/>
  <c r="J1182" i="49" s="1"/>
  <c r="C1181" i="49"/>
  <c r="F1181" i="49" s="1"/>
  <c r="I1182" i="49" s="1"/>
  <c r="D1179" i="49"/>
  <c r="G1179" i="49" s="1"/>
  <c r="J1181" i="49" s="1"/>
  <c r="C1179" i="49"/>
  <c r="F1179" i="49" s="1"/>
  <c r="I1181" i="49" s="1"/>
  <c r="J1175" i="49"/>
  <c r="I1175" i="49"/>
  <c r="J1174" i="49"/>
  <c r="I1174" i="49"/>
  <c r="F1173" i="49"/>
  <c r="F1178" i="49"/>
  <c r="C1178" i="49"/>
  <c r="D1176" i="49"/>
  <c r="G1176" i="49" s="1"/>
  <c r="J1177" i="49" s="1"/>
  <c r="C1176" i="49"/>
  <c r="F1176" i="49" s="1"/>
  <c r="I1177" i="49" s="1"/>
  <c r="D1174" i="49"/>
  <c r="G1174" i="49" s="1"/>
  <c r="J1176" i="49" s="1"/>
  <c r="C1174" i="49"/>
  <c r="F1174" i="49" s="1"/>
  <c r="I1176" i="49" s="1"/>
  <c r="J1170" i="49"/>
  <c r="I1170" i="49"/>
  <c r="J1169" i="49"/>
  <c r="I1169" i="49"/>
  <c r="C1173" i="49"/>
  <c r="D1171" i="49"/>
  <c r="G1171" i="49" s="1"/>
  <c r="J1172" i="49" s="1"/>
  <c r="C1171" i="49"/>
  <c r="F1171" i="49" s="1"/>
  <c r="I1172" i="49" s="1"/>
  <c r="D1169" i="49"/>
  <c r="G1169" i="49" s="1"/>
  <c r="J1171" i="49" s="1"/>
  <c r="C1169" i="49"/>
  <c r="F1169" i="49" s="1"/>
  <c r="I1171" i="49" s="1"/>
  <c r="J1163" i="49"/>
  <c r="I1163" i="49"/>
  <c r="J1162" i="49"/>
  <c r="I1162" i="49"/>
  <c r="F1166" i="49"/>
  <c r="C1166" i="49"/>
  <c r="D1164" i="49"/>
  <c r="G1164" i="49" s="1"/>
  <c r="J1165" i="49" s="1"/>
  <c r="C1164" i="49"/>
  <c r="F1164" i="49" s="1"/>
  <c r="I1165" i="49" s="1"/>
  <c r="D1162" i="49"/>
  <c r="G1162" i="49" s="1"/>
  <c r="J1164" i="49" s="1"/>
  <c r="C1162" i="49"/>
  <c r="F1162" i="49" s="1"/>
  <c r="I1164" i="49" s="1"/>
  <c r="J1158" i="49"/>
  <c r="I1158" i="49"/>
  <c r="J1157" i="49"/>
  <c r="I1157" i="49"/>
  <c r="F1161" i="49"/>
  <c r="C1161" i="49"/>
  <c r="D1159" i="49"/>
  <c r="G1159" i="49" s="1"/>
  <c r="J1160" i="49" s="1"/>
  <c r="C1159" i="49"/>
  <c r="F1159" i="49" s="1"/>
  <c r="I1160" i="49" s="1"/>
  <c r="D1157" i="49"/>
  <c r="G1157" i="49" s="1"/>
  <c r="J1159" i="49" s="1"/>
  <c r="C1157" i="49"/>
  <c r="F1157" i="49" s="1"/>
  <c r="I1159" i="49" s="1"/>
  <c r="J1153" i="49"/>
  <c r="I1153" i="49"/>
  <c r="J1152" i="49"/>
  <c r="I1152" i="49"/>
  <c r="F1156" i="49"/>
  <c r="C1156" i="49"/>
  <c r="D1154" i="49"/>
  <c r="G1154" i="49" s="1"/>
  <c r="J1155" i="49" s="1"/>
  <c r="C1154" i="49"/>
  <c r="F1154" i="49" s="1"/>
  <c r="I1155" i="49" s="1"/>
  <c r="D1152" i="49"/>
  <c r="G1152" i="49" s="1"/>
  <c r="J1154" i="49" s="1"/>
  <c r="C1152" i="49"/>
  <c r="F1152" i="49" s="1"/>
  <c r="I1154" i="49" s="1"/>
  <c r="F1151" i="49"/>
  <c r="C1151" i="49"/>
  <c r="D1149" i="49"/>
  <c r="G1149" i="49" s="1"/>
  <c r="J1150" i="49" s="1"/>
  <c r="C1149" i="49"/>
  <c r="F1149" i="49" s="1"/>
  <c r="I1150" i="49" s="1"/>
  <c r="J1148" i="49"/>
  <c r="I1148" i="49"/>
  <c r="J1147" i="49"/>
  <c r="I1147" i="49"/>
  <c r="D1147" i="49"/>
  <c r="G1147" i="49" s="1"/>
  <c r="J1149" i="49" s="1"/>
  <c r="C1147" i="49"/>
  <c r="F1147" i="49" s="1"/>
  <c r="I1149" i="49" s="1"/>
  <c r="J1143" i="49"/>
  <c r="J1142" i="49"/>
  <c r="I1143" i="49"/>
  <c r="I1142" i="49"/>
  <c r="F1146" i="49"/>
  <c r="C1146" i="49"/>
  <c r="D1144" i="49"/>
  <c r="G1144" i="49" s="1"/>
  <c r="J1145" i="49" s="1"/>
  <c r="C1144" i="49"/>
  <c r="F1144" i="49" s="1"/>
  <c r="I1145" i="49" s="1"/>
  <c r="D1142" i="49"/>
  <c r="G1142" i="49" s="1"/>
  <c r="J1144" i="49" s="1"/>
  <c r="C1142" i="49"/>
  <c r="F1142" i="49" s="1"/>
  <c r="I1144" i="49" s="1"/>
  <c r="J1138" i="49"/>
  <c r="I1138" i="49"/>
  <c r="J1137" i="49"/>
  <c r="I1137" i="49"/>
  <c r="F1141" i="49"/>
  <c r="C1141" i="49"/>
  <c r="D1139" i="49"/>
  <c r="G1139" i="49" s="1"/>
  <c r="J1140" i="49" s="1"/>
  <c r="C1139" i="49"/>
  <c r="F1139" i="49" s="1"/>
  <c r="I1140" i="49" s="1"/>
  <c r="D1137" i="49"/>
  <c r="G1137" i="49" s="1"/>
  <c r="J1139" i="49" s="1"/>
  <c r="C1137" i="49"/>
  <c r="F1137" i="49" s="1"/>
  <c r="I1139" i="49" s="1"/>
  <c r="J1133" i="49"/>
  <c r="I1133" i="49"/>
  <c r="J1132" i="49"/>
  <c r="I1132" i="49"/>
  <c r="F1136" i="49"/>
  <c r="C1136" i="49"/>
  <c r="D1134" i="49"/>
  <c r="G1134" i="49" s="1"/>
  <c r="J1135" i="49" s="1"/>
  <c r="C1134" i="49"/>
  <c r="F1134" i="49" s="1"/>
  <c r="I1135" i="49" s="1"/>
  <c r="D1132" i="49"/>
  <c r="G1132" i="49" s="1"/>
  <c r="J1134" i="49" s="1"/>
  <c r="C1132" i="49"/>
  <c r="F1132" i="49" s="1"/>
  <c r="I1134" i="49" s="1"/>
  <c r="F1131" i="49"/>
  <c r="C1131" i="49"/>
  <c r="C1129" i="49"/>
  <c r="F1129" i="49" s="1"/>
  <c r="I1130" i="49" s="1"/>
  <c r="J1128" i="49"/>
  <c r="I1128" i="49"/>
  <c r="J1127" i="49"/>
  <c r="I1127" i="49"/>
  <c r="D1129" i="49"/>
  <c r="G1129" i="49" s="1"/>
  <c r="J1130" i="49" s="1"/>
  <c r="D1125" i="49"/>
  <c r="D1124" i="49"/>
  <c r="D1127" i="49"/>
  <c r="G1127" i="49" s="1"/>
  <c r="J1129" i="49" s="1"/>
  <c r="C1127" i="49"/>
  <c r="F1127" i="49" s="1"/>
  <c r="I1129" i="49" s="1"/>
  <c r="H1126" i="49"/>
  <c r="E1126" i="49"/>
  <c r="B1126" i="49"/>
  <c r="F1115" i="49"/>
  <c r="C1115" i="49"/>
  <c r="D1113" i="49"/>
  <c r="G1113" i="49" s="1"/>
  <c r="J1114" i="49" s="1"/>
  <c r="C1113" i="49"/>
  <c r="F1113" i="49" s="1"/>
  <c r="I1114" i="49" s="1"/>
  <c r="J1112" i="49"/>
  <c r="I1112" i="49"/>
  <c r="J1111" i="49"/>
  <c r="I1111" i="49"/>
  <c r="D1111" i="49"/>
  <c r="G1111" i="49" s="1"/>
  <c r="J1113" i="49" s="1"/>
  <c r="C1111" i="49"/>
  <c r="F1111" i="49" s="1"/>
  <c r="I1113" i="49" s="1"/>
  <c r="C1110" i="49"/>
  <c r="F1110" i="49"/>
  <c r="F1105" i="49"/>
  <c r="C1105" i="49"/>
  <c r="D1103" i="49"/>
  <c r="G1103" i="49" s="1"/>
  <c r="J1104" i="49" s="1"/>
  <c r="C1103" i="49"/>
  <c r="F1103" i="49" s="1"/>
  <c r="I1104" i="49" s="1"/>
  <c r="D1108" i="49"/>
  <c r="G1108" i="49" s="1"/>
  <c r="J1109" i="49" s="1"/>
  <c r="C1108" i="49"/>
  <c r="F1108" i="49" s="1"/>
  <c r="I1109" i="49" s="1"/>
  <c r="J1107" i="49"/>
  <c r="J1106" i="49"/>
  <c r="I1107" i="49"/>
  <c r="I1106" i="49"/>
  <c r="D1106" i="49"/>
  <c r="G1106" i="49" s="1"/>
  <c r="J1108" i="49" s="1"/>
  <c r="C1106" i="49"/>
  <c r="F1106" i="49" s="1"/>
  <c r="I1108" i="49" s="1"/>
  <c r="J1102" i="49"/>
  <c r="J1101" i="49"/>
  <c r="I1102" i="49"/>
  <c r="I1101" i="49"/>
  <c r="D1101" i="49"/>
  <c r="G1101" i="49" s="1"/>
  <c r="J1103" i="49" s="1"/>
  <c r="C1101" i="49"/>
  <c r="F1101" i="49" s="1"/>
  <c r="I1103" i="49" s="1"/>
  <c r="F1100" i="49"/>
  <c r="C1100" i="49"/>
  <c r="D1098" i="49"/>
  <c r="G1098" i="49" s="1"/>
  <c r="J1099" i="49" s="1"/>
  <c r="C1098" i="49"/>
  <c r="F1098" i="49" s="1"/>
  <c r="I1099" i="49" s="1"/>
  <c r="J1097" i="49"/>
  <c r="I1097" i="49"/>
  <c r="J1096" i="49"/>
  <c r="I1096" i="49"/>
  <c r="D1096" i="49"/>
  <c r="G1096" i="49" s="1"/>
  <c r="J1098" i="49" s="1"/>
  <c r="C1096" i="49"/>
  <c r="F1096" i="49" s="1"/>
  <c r="I1098" i="49" s="1"/>
  <c r="J1092" i="49"/>
  <c r="J1091" i="49"/>
  <c r="I1092" i="49"/>
  <c r="I1091" i="49"/>
  <c r="F1095" i="49"/>
  <c r="C1095" i="49"/>
  <c r="D1093" i="49"/>
  <c r="G1093" i="49" s="1"/>
  <c r="J1094" i="49" s="1"/>
  <c r="C1093" i="49"/>
  <c r="F1093" i="49" s="1"/>
  <c r="I1094" i="49" s="1"/>
  <c r="D1091" i="49"/>
  <c r="G1091" i="49" s="1"/>
  <c r="J1093" i="49" s="1"/>
  <c r="C1091" i="49"/>
  <c r="F1091" i="49" s="1"/>
  <c r="I1093" i="49" s="1"/>
  <c r="I1087" i="49"/>
  <c r="J1087" i="49"/>
  <c r="J1086" i="49"/>
  <c r="I1086" i="49"/>
  <c r="F1090" i="49"/>
  <c r="C1090" i="49"/>
  <c r="D1088" i="49"/>
  <c r="G1088" i="49" s="1"/>
  <c r="J1089" i="49" s="1"/>
  <c r="C1088" i="49"/>
  <c r="F1088" i="49" s="1"/>
  <c r="I1089" i="49" s="1"/>
  <c r="D1086" i="49"/>
  <c r="G1086" i="49" s="1"/>
  <c r="J1088" i="49" s="1"/>
  <c r="C1086" i="49"/>
  <c r="F1086" i="49" s="1"/>
  <c r="I1088" i="49" s="1"/>
  <c r="J1082" i="49"/>
  <c r="I1082" i="49"/>
  <c r="J1081" i="49"/>
  <c r="I1081" i="49"/>
  <c r="F1085" i="49"/>
  <c r="C1085" i="49"/>
  <c r="D1083" i="49"/>
  <c r="G1083" i="49" s="1"/>
  <c r="J1084" i="49" s="1"/>
  <c r="C1083" i="49"/>
  <c r="F1083" i="49" s="1"/>
  <c r="I1084" i="49" s="1"/>
  <c r="D1081" i="49"/>
  <c r="G1081" i="49" s="1"/>
  <c r="J1083" i="49" s="1"/>
  <c r="C1081" i="49"/>
  <c r="F1081" i="49" s="1"/>
  <c r="I1083" i="49" s="1"/>
  <c r="D1079" i="49"/>
  <c r="D1078" i="49"/>
  <c r="H1080" i="49"/>
  <c r="E1080" i="49"/>
  <c r="B1080" i="49"/>
  <c r="I1070" i="49" l="1"/>
  <c r="J1070" i="49"/>
  <c r="J1069" i="49"/>
  <c r="I1069" i="49"/>
  <c r="I1065" i="49"/>
  <c r="J1065" i="49"/>
  <c r="J1064" i="49"/>
  <c r="I1064" i="49"/>
  <c r="F1073" i="49"/>
  <c r="C1073" i="49"/>
  <c r="D1071" i="49"/>
  <c r="G1071" i="49" s="1"/>
  <c r="J1072" i="49" s="1"/>
  <c r="C1071" i="49"/>
  <c r="F1071" i="49" s="1"/>
  <c r="I1072" i="49" s="1"/>
  <c r="D1069" i="49"/>
  <c r="G1069" i="49" s="1"/>
  <c r="J1071" i="49" s="1"/>
  <c r="C1069" i="49"/>
  <c r="F1069" i="49" s="1"/>
  <c r="I1071" i="49" s="1"/>
  <c r="F1068" i="49"/>
  <c r="C1068" i="49"/>
  <c r="D1066" i="49"/>
  <c r="G1066" i="49" s="1"/>
  <c r="J1067" i="49" s="1"/>
  <c r="C1066" i="49"/>
  <c r="F1066" i="49" s="1"/>
  <c r="I1067" i="49" s="1"/>
  <c r="D1064" i="49"/>
  <c r="G1064" i="49" s="1"/>
  <c r="J1066" i="49" s="1"/>
  <c r="C1064" i="49"/>
  <c r="F1064" i="49" s="1"/>
  <c r="I1066" i="49" s="1"/>
  <c r="I1060" i="49"/>
  <c r="J1060" i="49"/>
  <c r="J1059" i="49"/>
  <c r="I1059" i="49"/>
  <c r="F1063" i="49"/>
  <c r="C1063" i="49"/>
  <c r="D1061" i="49"/>
  <c r="G1061" i="49" s="1"/>
  <c r="J1062" i="49" s="1"/>
  <c r="C1061" i="49"/>
  <c r="F1061" i="49" s="1"/>
  <c r="I1062" i="49" s="1"/>
  <c r="D1059" i="49"/>
  <c r="G1059" i="49" s="1"/>
  <c r="J1061" i="49" s="1"/>
  <c r="C1059" i="49"/>
  <c r="F1059" i="49" s="1"/>
  <c r="I1061" i="49" s="1"/>
  <c r="F1058" i="49"/>
  <c r="C1058" i="49"/>
  <c r="D1056" i="49"/>
  <c r="G1056" i="49" s="1"/>
  <c r="J1057" i="49" s="1"/>
  <c r="C1056" i="49"/>
  <c r="F1056" i="49" s="1"/>
  <c r="I1057" i="49" s="1"/>
  <c r="D1054" i="49"/>
  <c r="G1054" i="49" s="1"/>
  <c r="J1056" i="49" s="1"/>
  <c r="C1054" i="49"/>
  <c r="F1054" i="49" s="1"/>
  <c r="I1056" i="49" s="1"/>
  <c r="I1055" i="49"/>
  <c r="J1055" i="49"/>
  <c r="J1054" i="49"/>
  <c r="I1054" i="49"/>
  <c r="I1050" i="49"/>
  <c r="J1050" i="49"/>
  <c r="J1049" i="49"/>
  <c r="I1049" i="49"/>
  <c r="F1053" i="49"/>
  <c r="C1053" i="49"/>
  <c r="D1051" i="49"/>
  <c r="G1051" i="49" s="1"/>
  <c r="J1052" i="49" s="1"/>
  <c r="C1051" i="49"/>
  <c r="F1051" i="49" s="1"/>
  <c r="I1052" i="49" s="1"/>
  <c r="D1049" i="49"/>
  <c r="G1049" i="49" s="1"/>
  <c r="J1051" i="49" s="1"/>
  <c r="C1049" i="49"/>
  <c r="F1049" i="49" s="1"/>
  <c r="I1051" i="49" s="1"/>
  <c r="I1045" i="49"/>
  <c r="J1045" i="49"/>
  <c r="J1044" i="49"/>
  <c r="I1044" i="49"/>
  <c r="F1048" i="49"/>
  <c r="C1048" i="49"/>
  <c r="D1046" i="49"/>
  <c r="G1046" i="49" s="1"/>
  <c r="J1047" i="49" s="1"/>
  <c r="C1046" i="49"/>
  <c r="F1046" i="49" s="1"/>
  <c r="I1047" i="49" s="1"/>
  <c r="D1044" i="49"/>
  <c r="G1044" i="49" s="1"/>
  <c r="J1046" i="49" s="1"/>
  <c r="C1044" i="49"/>
  <c r="F1044" i="49" s="1"/>
  <c r="I1046" i="49" s="1"/>
  <c r="I1040" i="49"/>
  <c r="J1040" i="49"/>
  <c r="J1039" i="49"/>
  <c r="I1039" i="49"/>
  <c r="F1043" i="49"/>
  <c r="C1043" i="49"/>
  <c r="D1041" i="49"/>
  <c r="G1041" i="49" s="1"/>
  <c r="J1042" i="49" s="1"/>
  <c r="C1041" i="49"/>
  <c r="F1041" i="49" s="1"/>
  <c r="I1042" i="49" s="1"/>
  <c r="D1039" i="49"/>
  <c r="G1039" i="49" s="1"/>
  <c r="J1041" i="49" s="1"/>
  <c r="C1039" i="49"/>
  <c r="F1039" i="49" s="1"/>
  <c r="I1041" i="49" s="1"/>
  <c r="J1030" i="49"/>
  <c r="I1030" i="49"/>
  <c r="J1029" i="49"/>
  <c r="I1029" i="49"/>
  <c r="F1033" i="49"/>
  <c r="C1033" i="49"/>
  <c r="D1031" i="49"/>
  <c r="G1031" i="49" s="1"/>
  <c r="J1032" i="49" s="1"/>
  <c r="C1031" i="49"/>
  <c r="F1031" i="49" s="1"/>
  <c r="I1032" i="49" s="1"/>
  <c r="D1029" i="49"/>
  <c r="G1029" i="49" s="1"/>
  <c r="J1031" i="49" s="1"/>
  <c r="C1029" i="49"/>
  <c r="F1029" i="49" s="1"/>
  <c r="I1031" i="49" s="1"/>
  <c r="I1025" i="49"/>
  <c r="J1025" i="49"/>
  <c r="J1024" i="49"/>
  <c r="I1024" i="49"/>
  <c r="C1028" i="49"/>
  <c r="D1026" i="49"/>
  <c r="G1026" i="49" s="1"/>
  <c r="J1027" i="49" s="1"/>
  <c r="C1026" i="49"/>
  <c r="F1026" i="49" s="1"/>
  <c r="I1027" i="49" s="1"/>
  <c r="D1024" i="49"/>
  <c r="G1024" i="49" s="1"/>
  <c r="J1026" i="49" s="1"/>
  <c r="C1024" i="49"/>
  <c r="F1024" i="49" s="1"/>
  <c r="I1026" i="49" s="1"/>
  <c r="F1028" i="49"/>
  <c r="I1020" i="49"/>
  <c r="J1020" i="49"/>
  <c r="J1019" i="49"/>
  <c r="I1019" i="49"/>
  <c r="F1023" i="49"/>
  <c r="C1023" i="49"/>
  <c r="D1021" i="49"/>
  <c r="G1021" i="49" s="1"/>
  <c r="J1022" i="49" s="1"/>
  <c r="C1021" i="49"/>
  <c r="F1021" i="49" s="1"/>
  <c r="I1022" i="49" s="1"/>
  <c r="D1019" i="49"/>
  <c r="G1019" i="49" s="1"/>
  <c r="J1021" i="49" s="1"/>
  <c r="C1019" i="49"/>
  <c r="F1019" i="49" s="1"/>
  <c r="I1021" i="49" s="1"/>
  <c r="I1015" i="49"/>
  <c r="J1015" i="49"/>
  <c r="J1014" i="49"/>
  <c r="I1014" i="49"/>
  <c r="F1018" i="49"/>
  <c r="C1018" i="49"/>
  <c r="D1016" i="49"/>
  <c r="G1016" i="49" s="1"/>
  <c r="J1017" i="49" s="1"/>
  <c r="C1016" i="49"/>
  <c r="F1016" i="49" s="1"/>
  <c r="I1017" i="49" s="1"/>
  <c r="D1014" i="49"/>
  <c r="G1014" i="49" s="1"/>
  <c r="J1016" i="49" s="1"/>
  <c r="C1014" i="49"/>
  <c r="F1014" i="49" s="1"/>
  <c r="I1016" i="49" s="1"/>
  <c r="J1010" i="49"/>
  <c r="I1010" i="49"/>
  <c r="J1009" i="49"/>
  <c r="I1009" i="49"/>
  <c r="F1013" i="49"/>
  <c r="C1013" i="49"/>
  <c r="D1011" i="49"/>
  <c r="G1011" i="49" s="1"/>
  <c r="J1012" i="49" s="1"/>
  <c r="C1011" i="49"/>
  <c r="F1011" i="49" s="1"/>
  <c r="I1012" i="49" s="1"/>
  <c r="D1009" i="49"/>
  <c r="G1009" i="49" s="1"/>
  <c r="J1011" i="49" s="1"/>
  <c r="C1009" i="49"/>
  <c r="F1009" i="49" s="1"/>
  <c r="I1011" i="49" s="1"/>
  <c r="I1005" i="49"/>
  <c r="J1005" i="49"/>
  <c r="J1004" i="49"/>
  <c r="I1004" i="49"/>
  <c r="D1002" i="49"/>
  <c r="D1001" i="49"/>
  <c r="F1008" i="49"/>
  <c r="C1008" i="49"/>
  <c r="D1006" i="49"/>
  <c r="G1006" i="49" s="1"/>
  <c r="J1007" i="49" s="1"/>
  <c r="C1006" i="49"/>
  <c r="F1006" i="49" s="1"/>
  <c r="I1007" i="49" s="1"/>
  <c r="D1004" i="49"/>
  <c r="G1004" i="49" s="1"/>
  <c r="J1006" i="49" s="1"/>
  <c r="C1004" i="49"/>
  <c r="F1004" i="49" s="1"/>
  <c r="I1006" i="49" s="1"/>
  <c r="H1003" i="49"/>
  <c r="E1003" i="49"/>
  <c r="B1003" i="49"/>
  <c r="I980" i="49"/>
  <c r="J980" i="49"/>
  <c r="J979" i="49"/>
  <c r="I979" i="49"/>
  <c r="J975" i="49"/>
  <c r="J974" i="49"/>
  <c r="I975" i="49"/>
  <c r="I974" i="49"/>
  <c r="F978" i="49"/>
  <c r="C978" i="49"/>
  <c r="D976" i="49"/>
  <c r="G976" i="49" s="1"/>
  <c r="J977" i="49" s="1"/>
  <c r="C976" i="49"/>
  <c r="F976" i="49" s="1"/>
  <c r="I977" i="49" s="1"/>
  <c r="F983" i="49"/>
  <c r="C983" i="49"/>
  <c r="D981" i="49"/>
  <c r="G981" i="49" s="1"/>
  <c r="J982" i="49" s="1"/>
  <c r="C981" i="49"/>
  <c r="F981" i="49" s="1"/>
  <c r="I982" i="49" s="1"/>
  <c r="D979" i="49"/>
  <c r="G979" i="49" s="1"/>
  <c r="J981" i="49" s="1"/>
  <c r="C979" i="49"/>
  <c r="F979" i="49" s="1"/>
  <c r="I981" i="49" s="1"/>
  <c r="D974" i="49"/>
  <c r="G974" i="49" s="1"/>
  <c r="J976" i="49" s="1"/>
  <c r="C974" i="49"/>
  <c r="F974" i="49" s="1"/>
  <c r="I976" i="49" s="1"/>
  <c r="J970" i="49"/>
  <c r="I970" i="49"/>
  <c r="J969" i="49"/>
  <c r="I969" i="49"/>
  <c r="F973" i="49"/>
  <c r="C973" i="49"/>
  <c r="D971" i="49"/>
  <c r="G971" i="49" s="1"/>
  <c r="J972" i="49" s="1"/>
  <c r="C971" i="49"/>
  <c r="F971" i="49" s="1"/>
  <c r="I972" i="49" s="1"/>
  <c r="D969" i="49"/>
  <c r="G969" i="49" s="1"/>
  <c r="J971" i="49" s="1"/>
  <c r="C969" i="49"/>
  <c r="F969" i="49" s="1"/>
  <c r="I971" i="49" s="1"/>
  <c r="J965" i="49"/>
  <c r="I965" i="49"/>
  <c r="J964" i="49"/>
  <c r="I964" i="49"/>
  <c r="F968" i="49"/>
  <c r="C968" i="49"/>
  <c r="D966" i="49"/>
  <c r="G966" i="49" s="1"/>
  <c r="J967" i="49" s="1"/>
  <c r="C966" i="49"/>
  <c r="F966" i="49" s="1"/>
  <c r="I967" i="49" s="1"/>
  <c r="D964" i="49"/>
  <c r="G964" i="49" s="1"/>
  <c r="J966" i="49" s="1"/>
  <c r="C964" i="49"/>
  <c r="F964" i="49" s="1"/>
  <c r="I966" i="49" s="1"/>
  <c r="I960" i="49"/>
  <c r="J960" i="49"/>
  <c r="J959" i="49"/>
  <c r="I959" i="49"/>
  <c r="F963" i="49"/>
  <c r="C963" i="49"/>
  <c r="D961" i="49"/>
  <c r="G961" i="49" s="1"/>
  <c r="J962" i="49" s="1"/>
  <c r="C961" i="49"/>
  <c r="F961" i="49" s="1"/>
  <c r="I962" i="49" s="1"/>
  <c r="D959" i="49"/>
  <c r="G959" i="49" s="1"/>
  <c r="J961" i="49" s="1"/>
  <c r="C959" i="49"/>
  <c r="F959" i="49" s="1"/>
  <c r="I961" i="49" s="1"/>
  <c r="J954" i="49"/>
  <c r="I954" i="49"/>
  <c r="J953" i="49"/>
  <c r="I953" i="49"/>
  <c r="F957" i="49"/>
  <c r="C957" i="49"/>
  <c r="D955" i="49"/>
  <c r="G955" i="49" s="1"/>
  <c r="J956" i="49" s="1"/>
  <c r="C955" i="49"/>
  <c r="F955" i="49" s="1"/>
  <c r="I956" i="49" s="1"/>
  <c r="D953" i="49"/>
  <c r="G953" i="49" s="1"/>
  <c r="J955" i="49" s="1"/>
  <c r="C953" i="49"/>
  <c r="F953" i="49" s="1"/>
  <c r="I955" i="49" s="1"/>
  <c r="J949" i="49"/>
  <c r="I949" i="49"/>
  <c r="J948" i="49"/>
  <c r="I948" i="49"/>
  <c r="F952" i="49"/>
  <c r="C952" i="49"/>
  <c r="D950" i="49"/>
  <c r="G950" i="49" s="1"/>
  <c r="J951" i="49" s="1"/>
  <c r="C950" i="49"/>
  <c r="F950" i="49" s="1"/>
  <c r="I951" i="49" s="1"/>
  <c r="D948" i="49"/>
  <c r="G948" i="49" s="1"/>
  <c r="J950" i="49" s="1"/>
  <c r="C948" i="49"/>
  <c r="F948" i="49" s="1"/>
  <c r="I950" i="49" s="1"/>
  <c r="I944" i="49"/>
  <c r="J944" i="49"/>
  <c r="J943" i="49"/>
  <c r="I943" i="49"/>
  <c r="F947" i="49"/>
  <c r="C947" i="49"/>
  <c r="D945" i="49"/>
  <c r="G945" i="49" s="1"/>
  <c r="J946" i="49" s="1"/>
  <c r="C945" i="49"/>
  <c r="F945" i="49" s="1"/>
  <c r="I946" i="49" s="1"/>
  <c r="D943" i="49"/>
  <c r="G943" i="49" s="1"/>
  <c r="J945" i="49" s="1"/>
  <c r="C943" i="49"/>
  <c r="F943" i="49" s="1"/>
  <c r="I945" i="49" s="1"/>
  <c r="J939" i="49"/>
  <c r="I939" i="49"/>
  <c r="J938" i="49"/>
  <c r="I938" i="49"/>
  <c r="F942" i="49"/>
  <c r="C942" i="49"/>
  <c r="D940" i="49"/>
  <c r="G940" i="49" s="1"/>
  <c r="J941" i="49" s="1"/>
  <c r="C940" i="49"/>
  <c r="F940" i="49" s="1"/>
  <c r="I941" i="49" s="1"/>
  <c r="D936" i="49"/>
  <c r="D935" i="49"/>
  <c r="D938" i="49"/>
  <c r="G938" i="49" s="1"/>
  <c r="J940" i="49" s="1"/>
  <c r="C938" i="49"/>
  <c r="F938" i="49" s="1"/>
  <c r="I940" i="49" s="1"/>
  <c r="H937" i="49"/>
  <c r="E937" i="49"/>
  <c r="B937" i="49"/>
  <c r="I930" i="49"/>
  <c r="J930" i="49"/>
  <c r="J929" i="49"/>
  <c r="I929" i="49"/>
  <c r="F933" i="49"/>
  <c r="C933" i="49"/>
  <c r="D931" i="49"/>
  <c r="G931" i="49" s="1"/>
  <c r="J932" i="49" s="1"/>
  <c r="C931" i="49"/>
  <c r="F931" i="49" s="1"/>
  <c r="I932" i="49" s="1"/>
  <c r="D929" i="49"/>
  <c r="G929" i="49" s="1"/>
  <c r="J931" i="49" s="1"/>
  <c r="C929" i="49"/>
  <c r="F929" i="49" s="1"/>
  <c r="I931" i="49" s="1"/>
  <c r="J925" i="49"/>
  <c r="I925" i="49"/>
  <c r="J924" i="49"/>
  <c r="I924" i="49"/>
  <c r="F928" i="49"/>
  <c r="C928" i="49"/>
  <c r="D926" i="49"/>
  <c r="G926" i="49" s="1"/>
  <c r="J927" i="49" s="1"/>
  <c r="C926" i="49"/>
  <c r="F926" i="49" s="1"/>
  <c r="I927" i="49" s="1"/>
  <c r="D924" i="49"/>
  <c r="G924" i="49" s="1"/>
  <c r="J926" i="49" s="1"/>
  <c r="C924" i="49"/>
  <c r="F924" i="49" s="1"/>
  <c r="I926" i="49" s="1"/>
  <c r="D922" i="49"/>
  <c r="D921" i="49"/>
  <c r="H923" i="49"/>
  <c r="E923" i="49"/>
  <c r="B923" i="49"/>
  <c r="F913" i="49"/>
  <c r="C913" i="49"/>
  <c r="D911" i="49"/>
  <c r="G911" i="49" s="1"/>
  <c r="J912" i="49" s="1"/>
  <c r="C911" i="49"/>
  <c r="F911" i="49" s="1"/>
  <c r="I912" i="49" s="1"/>
  <c r="J910" i="49"/>
  <c r="I910" i="49"/>
  <c r="J909" i="49"/>
  <c r="I909" i="49"/>
  <c r="D909" i="49"/>
  <c r="G909" i="49" s="1"/>
  <c r="J911" i="49" s="1"/>
  <c r="C909" i="49"/>
  <c r="F909" i="49" s="1"/>
  <c r="I911" i="49" s="1"/>
  <c r="I905" i="49"/>
  <c r="J905" i="49"/>
  <c r="J904" i="49"/>
  <c r="I904" i="49"/>
  <c r="F908" i="49"/>
  <c r="C908" i="49"/>
  <c r="D906" i="49"/>
  <c r="G906" i="49" s="1"/>
  <c r="J907" i="49" s="1"/>
  <c r="C906" i="49"/>
  <c r="F906" i="49" s="1"/>
  <c r="I907" i="49" s="1"/>
  <c r="D904" i="49"/>
  <c r="G904" i="49" s="1"/>
  <c r="J906" i="49" s="1"/>
  <c r="C904" i="49"/>
  <c r="F904" i="49" s="1"/>
  <c r="I906" i="49" s="1"/>
  <c r="J900" i="49"/>
  <c r="I900" i="49"/>
  <c r="J899" i="49"/>
  <c r="I899" i="49"/>
  <c r="F903" i="49"/>
  <c r="C903" i="49"/>
  <c r="D901" i="49"/>
  <c r="G901" i="49" s="1"/>
  <c r="J902" i="49" s="1"/>
  <c r="C901" i="49"/>
  <c r="F901" i="49" s="1"/>
  <c r="I902" i="49" s="1"/>
  <c r="D899" i="49"/>
  <c r="G899" i="49" s="1"/>
  <c r="J901" i="49" s="1"/>
  <c r="C899" i="49"/>
  <c r="F899" i="49" s="1"/>
  <c r="I901" i="49" s="1"/>
  <c r="J895" i="49"/>
  <c r="I895" i="49"/>
  <c r="J894" i="49"/>
  <c r="I894" i="49"/>
  <c r="F898" i="49"/>
  <c r="C898" i="49"/>
  <c r="D896" i="49"/>
  <c r="G896" i="49" s="1"/>
  <c r="J897" i="49" s="1"/>
  <c r="C896" i="49"/>
  <c r="F896" i="49" s="1"/>
  <c r="I897" i="49" s="1"/>
  <c r="D892" i="49"/>
  <c r="D891" i="49"/>
  <c r="D894" i="49"/>
  <c r="G894" i="49" s="1"/>
  <c r="J896" i="49" s="1"/>
  <c r="C894" i="49"/>
  <c r="F894" i="49" s="1"/>
  <c r="I896" i="49" s="1"/>
  <c r="H893" i="49"/>
  <c r="E893" i="49"/>
  <c r="B893" i="49"/>
  <c r="J886" i="49"/>
  <c r="I886" i="49"/>
  <c r="J885" i="49"/>
  <c r="I885" i="49"/>
  <c r="F889" i="49"/>
  <c r="C889" i="49"/>
  <c r="D887" i="49"/>
  <c r="G887" i="49" s="1"/>
  <c r="J888" i="49" s="1"/>
  <c r="C887" i="49"/>
  <c r="F887" i="49" s="1"/>
  <c r="I888" i="49" s="1"/>
  <c r="D885" i="49"/>
  <c r="G885" i="49" s="1"/>
  <c r="J887" i="49" s="1"/>
  <c r="C885" i="49"/>
  <c r="F885" i="49" s="1"/>
  <c r="I887" i="49" s="1"/>
  <c r="F884" i="49"/>
  <c r="C884" i="49"/>
  <c r="D882" i="49"/>
  <c r="G882" i="49" s="1"/>
  <c r="J883" i="49" s="1"/>
  <c r="C882" i="49"/>
  <c r="F882" i="49" s="1"/>
  <c r="I883" i="49" s="1"/>
  <c r="J881" i="49"/>
  <c r="I881" i="49"/>
  <c r="J880" i="49"/>
  <c r="I880" i="49"/>
  <c r="D880" i="49"/>
  <c r="G880" i="49" s="1"/>
  <c r="J882" i="49" s="1"/>
  <c r="C880" i="49"/>
  <c r="F880" i="49" s="1"/>
  <c r="I882" i="49" s="1"/>
  <c r="J876" i="49"/>
  <c r="I876" i="49"/>
  <c r="J875" i="49"/>
  <c r="I875" i="49"/>
  <c r="F879" i="49"/>
  <c r="C879" i="49"/>
  <c r="D877" i="49"/>
  <c r="G877" i="49" s="1"/>
  <c r="J878" i="49" s="1"/>
  <c r="C877" i="49"/>
  <c r="F877" i="49" s="1"/>
  <c r="I878" i="49" s="1"/>
  <c r="D875" i="49"/>
  <c r="G875" i="49" s="1"/>
  <c r="J877" i="49" s="1"/>
  <c r="C875" i="49"/>
  <c r="F875" i="49" s="1"/>
  <c r="I877" i="49" s="1"/>
  <c r="F870" i="49"/>
  <c r="C870" i="49"/>
  <c r="D868" i="49"/>
  <c r="G868" i="49" s="1"/>
  <c r="J869" i="49" s="1"/>
  <c r="C868" i="49"/>
  <c r="F868" i="49" s="1"/>
  <c r="I869" i="49" s="1"/>
  <c r="D866" i="49"/>
  <c r="G866" i="49" s="1"/>
  <c r="J868" i="49" s="1"/>
  <c r="C866" i="49"/>
  <c r="F866" i="49" s="1"/>
  <c r="I868" i="49" s="1"/>
  <c r="J867" i="49"/>
  <c r="I867" i="49"/>
  <c r="J866" i="49"/>
  <c r="I866" i="49"/>
  <c r="J862" i="49"/>
  <c r="I862" i="49"/>
  <c r="J861" i="49"/>
  <c r="I861" i="49"/>
  <c r="F865" i="49"/>
  <c r="C865" i="49"/>
  <c r="D863" i="49"/>
  <c r="G863" i="49" s="1"/>
  <c r="J864" i="49" s="1"/>
  <c r="C863" i="49"/>
  <c r="F863" i="49" s="1"/>
  <c r="I864" i="49" s="1"/>
  <c r="D861" i="49"/>
  <c r="G861" i="49" s="1"/>
  <c r="J863" i="49" s="1"/>
  <c r="C861" i="49"/>
  <c r="F861" i="49" s="1"/>
  <c r="I863" i="49" s="1"/>
  <c r="J857" i="49"/>
  <c r="I857" i="49"/>
  <c r="J856" i="49"/>
  <c r="I856" i="49"/>
  <c r="F860" i="49"/>
  <c r="C860" i="49"/>
  <c r="D858" i="49"/>
  <c r="G858" i="49" s="1"/>
  <c r="J859" i="49" s="1"/>
  <c r="C858" i="49"/>
  <c r="F858" i="49" s="1"/>
  <c r="I859" i="49" s="1"/>
  <c r="F855" i="49"/>
  <c r="C855" i="49"/>
  <c r="D853" i="49"/>
  <c r="G853" i="49" s="1"/>
  <c r="J854" i="49" s="1"/>
  <c r="C853" i="49"/>
  <c r="F853" i="49" s="1"/>
  <c r="I854" i="49" s="1"/>
  <c r="D856" i="49"/>
  <c r="G856" i="49" s="1"/>
  <c r="J858" i="49" s="1"/>
  <c r="C856" i="49"/>
  <c r="F856" i="49" s="1"/>
  <c r="I858" i="49" s="1"/>
  <c r="J852" i="49"/>
  <c r="I852" i="49"/>
  <c r="J851" i="49"/>
  <c r="I851" i="49"/>
  <c r="D851" i="49"/>
  <c r="G851" i="49" s="1"/>
  <c r="J853" i="49" s="1"/>
  <c r="C851" i="49"/>
  <c r="F851" i="49" s="1"/>
  <c r="I853" i="49" s="1"/>
  <c r="D849" i="49"/>
  <c r="D848" i="49"/>
  <c r="H850" i="49"/>
  <c r="E850" i="49"/>
  <c r="B850" i="49"/>
  <c r="F846" i="49"/>
  <c r="C846" i="49"/>
  <c r="D844" i="49"/>
  <c r="G844" i="49" s="1"/>
  <c r="J845" i="49" s="1"/>
  <c r="C844" i="49"/>
  <c r="F844" i="49" s="1"/>
  <c r="I845" i="49" s="1"/>
  <c r="J843" i="49"/>
  <c r="I843" i="49"/>
  <c r="J842" i="49"/>
  <c r="I842" i="49"/>
  <c r="D842" i="49"/>
  <c r="G842" i="49" s="1"/>
  <c r="J844" i="49" s="1"/>
  <c r="C842" i="49"/>
  <c r="F842" i="49" s="1"/>
  <c r="I844" i="49" s="1"/>
  <c r="J838" i="49"/>
  <c r="I838" i="49"/>
  <c r="J837" i="49"/>
  <c r="I837" i="49"/>
  <c r="F841" i="49"/>
  <c r="C841" i="49"/>
  <c r="D839" i="49"/>
  <c r="G839" i="49" s="1"/>
  <c r="J840" i="49" s="1"/>
  <c r="C839" i="49"/>
  <c r="F839" i="49" s="1"/>
  <c r="I840" i="49" s="1"/>
  <c r="D837" i="49"/>
  <c r="G837" i="49" s="1"/>
  <c r="J839" i="49" s="1"/>
  <c r="C837" i="49"/>
  <c r="F837" i="49" s="1"/>
  <c r="I839" i="49" s="1"/>
  <c r="J833" i="49"/>
  <c r="I833" i="49"/>
  <c r="J832" i="49"/>
  <c r="I832" i="49"/>
  <c r="F836" i="49"/>
  <c r="C836" i="49"/>
  <c r="D834" i="49"/>
  <c r="G834" i="49" s="1"/>
  <c r="J835" i="49" s="1"/>
  <c r="C834" i="49"/>
  <c r="F834" i="49" s="1"/>
  <c r="I835" i="49" s="1"/>
  <c r="D832" i="49"/>
  <c r="G832" i="49" s="1"/>
  <c r="J834" i="49" s="1"/>
  <c r="C832" i="49"/>
  <c r="F832" i="49" s="1"/>
  <c r="I834" i="49" s="1"/>
  <c r="D830" i="49"/>
  <c r="D829" i="49"/>
  <c r="H831" i="49"/>
  <c r="E831" i="49"/>
  <c r="B831" i="49"/>
  <c r="I815" i="49"/>
  <c r="J815" i="49"/>
  <c r="J814" i="49"/>
  <c r="I814" i="49"/>
  <c r="F818" i="49"/>
  <c r="C818" i="49"/>
  <c r="D816" i="49"/>
  <c r="G816" i="49" s="1"/>
  <c r="J817" i="49" s="1"/>
  <c r="C816" i="49"/>
  <c r="F816" i="49" s="1"/>
  <c r="I817" i="49" s="1"/>
  <c r="D814" i="49"/>
  <c r="G814" i="49" s="1"/>
  <c r="J816" i="49" s="1"/>
  <c r="C814" i="49"/>
  <c r="F814" i="49" s="1"/>
  <c r="I816" i="49" s="1"/>
  <c r="J810" i="49"/>
  <c r="J809" i="49"/>
  <c r="I810" i="49"/>
  <c r="I809" i="49"/>
  <c r="F813" i="49"/>
  <c r="C813" i="49"/>
  <c r="D811" i="49"/>
  <c r="G811" i="49" s="1"/>
  <c r="J812" i="49" s="1"/>
  <c r="C811" i="49"/>
  <c r="F811" i="49" s="1"/>
  <c r="I812" i="49" s="1"/>
  <c r="D809" i="49"/>
  <c r="G809" i="49" s="1"/>
  <c r="J811" i="49" s="1"/>
  <c r="C809" i="49"/>
  <c r="F809" i="49" s="1"/>
  <c r="I811" i="49" s="1"/>
  <c r="J805" i="49"/>
  <c r="J804" i="49"/>
  <c r="I805" i="49"/>
  <c r="I804" i="49"/>
  <c r="F808" i="49"/>
  <c r="C808" i="49"/>
  <c r="D806" i="49"/>
  <c r="G806" i="49" s="1"/>
  <c r="J807" i="49" s="1"/>
  <c r="C806" i="49"/>
  <c r="F806" i="49" s="1"/>
  <c r="I807" i="49" s="1"/>
  <c r="D804" i="49"/>
  <c r="G804" i="49" s="1"/>
  <c r="J806" i="49" s="1"/>
  <c r="C804" i="49"/>
  <c r="F804" i="49" s="1"/>
  <c r="I806" i="49" s="1"/>
  <c r="J800" i="49"/>
  <c r="I800" i="49"/>
  <c r="J799" i="49"/>
  <c r="I799" i="49"/>
  <c r="F803" i="49"/>
  <c r="C803" i="49"/>
  <c r="D801" i="49"/>
  <c r="G801" i="49" s="1"/>
  <c r="J802" i="49" s="1"/>
  <c r="C801" i="49"/>
  <c r="F801" i="49" s="1"/>
  <c r="I802" i="49" s="1"/>
  <c r="D799" i="49"/>
  <c r="G799" i="49" s="1"/>
  <c r="J801" i="49" s="1"/>
  <c r="C799" i="49"/>
  <c r="F799" i="49" s="1"/>
  <c r="I801" i="49" s="1"/>
  <c r="J795" i="49"/>
  <c r="I795" i="49"/>
  <c r="J794" i="49"/>
  <c r="I794" i="49"/>
  <c r="F798" i="49"/>
  <c r="C798" i="49"/>
  <c r="D796" i="49"/>
  <c r="G796" i="49" s="1"/>
  <c r="J797" i="49" s="1"/>
  <c r="C796" i="49"/>
  <c r="F796" i="49" s="1"/>
  <c r="I797" i="49" s="1"/>
  <c r="D794" i="49"/>
  <c r="G794" i="49" s="1"/>
  <c r="J796" i="49" s="1"/>
  <c r="C794" i="49"/>
  <c r="F794" i="49" s="1"/>
  <c r="I796" i="49" s="1"/>
  <c r="J790" i="49"/>
  <c r="I790" i="49"/>
  <c r="J789" i="49"/>
  <c r="I789" i="49"/>
  <c r="F793" i="49"/>
  <c r="C793" i="49"/>
  <c r="D791" i="49"/>
  <c r="G791" i="49" s="1"/>
  <c r="J792" i="49" s="1"/>
  <c r="C791" i="49"/>
  <c r="F791" i="49" s="1"/>
  <c r="I792" i="49" s="1"/>
  <c r="D789" i="49"/>
  <c r="G789" i="49" s="1"/>
  <c r="J791" i="49" s="1"/>
  <c r="C789" i="49"/>
  <c r="F789" i="49" s="1"/>
  <c r="I791" i="49" s="1"/>
  <c r="D787" i="49"/>
  <c r="D786" i="49"/>
  <c r="H788" i="49"/>
  <c r="E788" i="49"/>
  <c r="B788" i="49"/>
  <c r="J770" i="49"/>
  <c r="J769" i="49"/>
  <c r="I770" i="49"/>
  <c r="I769" i="49"/>
  <c r="F773" i="49"/>
  <c r="C773" i="49"/>
  <c r="D771" i="49"/>
  <c r="G771" i="49" s="1"/>
  <c r="J772" i="49" s="1"/>
  <c r="C771" i="49"/>
  <c r="F771" i="49" s="1"/>
  <c r="I772" i="49" s="1"/>
  <c r="D769" i="49"/>
  <c r="G769" i="49" s="1"/>
  <c r="J771" i="49" s="1"/>
  <c r="C769" i="49"/>
  <c r="F769" i="49" s="1"/>
  <c r="I771" i="49" s="1"/>
  <c r="J765" i="49"/>
  <c r="I765" i="49"/>
  <c r="J764" i="49"/>
  <c r="I764" i="49"/>
  <c r="F768" i="49"/>
  <c r="C768" i="49"/>
  <c r="D766" i="49"/>
  <c r="G766" i="49" s="1"/>
  <c r="J767" i="49" s="1"/>
  <c r="C766" i="49"/>
  <c r="F766" i="49" s="1"/>
  <c r="I767" i="49" s="1"/>
  <c r="D764" i="49"/>
  <c r="G764" i="49" s="1"/>
  <c r="J766" i="49" s="1"/>
  <c r="C764" i="49"/>
  <c r="F764" i="49" s="1"/>
  <c r="I766" i="49" s="1"/>
  <c r="J760" i="49"/>
  <c r="I760" i="49"/>
  <c r="J759" i="49"/>
  <c r="I759" i="49"/>
  <c r="F763" i="49"/>
  <c r="C763" i="49"/>
  <c r="D761" i="49"/>
  <c r="G761" i="49" s="1"/>
  <c r="J762" i="49" s="1"/>
  <c r="C761" i="49"/>
  <c r="F761" i="49" s="1"/>
  <c r="I762" i="49" s="1"/>
  <c r="D759" i="49"/>
  <c r="G759" i="49" s="1"/>
  <c r="J761" i="49" s="1"/>
  <c r="C759" i="49"/>
  <c r="F759" i="49" s="1"/>
  <c r="I761" i="49" s="1"/>
  <c r="J755" i="49"/>
  <c r="I755" i="49"/>
  <c r="J754" i="49"/>
  <c r="I754" i="49"/>
  <c r="F758" i="49"/>
  <c r="C758" i="49"/>
  <c r="D746" i="49"/>
  <c r="G746" i="49" s="1"/>
  <c r="J747" i="49" s="1"/>
  <c r="D751" i="49"/>
  <c r="G751" i="49" s="1"/>
  <c r="J752" i="49" s="1"/>
  <c r="D756" i="49"/>
  <c r="G756" i="49" s="1"/>
  <c r="J757" i="49" s="1"/>
  <c r="C756" i="49"/>
  <c r="F756" i="49" s="1"/>
  <c r="I757" i="49" s="1"/>
  <c r="D754" i="49"/>
  <c r="G754" i="49" s="1"/>
  <c r="J756" i="49" s="1"/>
  <c r="C754" i="49"/>
  <c r="F754" i="49" s="1"/>
  <c r="I756" i="49" s="1"/>
  <c r="J750" i="49"/>
  <c r="I750" i="49"/>
  <c r="J749" i="49"/>
  <c r="I749" i="49"/>
  <c r="F753" i="49"/>
  <c r="C753" i="49"/>
  <c r="C751" i="49"/>
  <c r="F751" i="49" s="1"/>
  <c r="I752" i="49" s="1"/>
  <c r="D749" i="49"/>
  <c r="G749" i="49" s="1"/>
  <c r="J751" i="49" s="1"/>
  <c r="C749" i="49"/>
  <c r="F749" i="49" s="1"/>
  <c r="I751" i="49" s="1"/>
  <c r="J745" i="49"/>
  <c r="I745" i="49"/>
  <c r="J744" i="49"/>
  <c r="I744" i="49"/>
  <c r="F748" i="49"/>
  <c r="C748" i="49"/>
  <c r="C746" i="49"/>
  <c r="F746" i="49" s="1"/>
  <c r="I747" i="49" s="1"/>
  <c r="D744" i="49"/>
  <c r="G744" i="49" s="1"/>
  <c r="J746" i="49" s="1"/>
  <c r="C744" i="49"/>
  <c r="F744" i="49" s="1"/>
  <c r="I746" i="49" s="1"/>
  <c r="D742" i="49"/>
  <c r="D741" i="49"/>
  <c r="H743" i="49"/>
  <c r="E743" i="49"/>
  <c r="B743" i="49"/>
  <c r="I725" i="49"/>
  <c r="J725" i="49"/>
  <c r="J724" i="49"/>
  <c r="I724" i="49"/>
  <c r="F728" i="49"/>
  <c r="C728" i="49"/>
  <c r="D726" i="49"/>
  <c r="G726" i="49" s="1"/>
  <c r="J727" i="49" s="1"/>
  <c r="C726" i="49"/>
  <c r="F726" i="49" s="1"/>
  <c r="I727" i="49" s="1"/>
  <c r="D724" i="49"/>
  <c r="G724" i="49" s="1"/>
  <c r="J726" i="49" s="1"/>
  <c r="C724" i="49"/>
  <c r="F724" i="49" s="1"/>
  <c r="I726" i="49" s="1"/>
  <c r="F723" i="49"/>
  <c r="C723" i="49"/>
  <c r="D721" i="49"/>
  <c r="G721" i="49" s="1"/>
  <c r="J722" i="49" s="1"/>
  <c r="C721" i="49"/>
  <c r="F721" i="49" s="1"/>
  <c r="I722" i="49" s="1"/>
  <c r="J720" i="49"/>
  <c r="I720" i="49"/>
  <c r="J719" i="49"/>
  <c r="I719" i="49"/>
  <c r="D719" i="49"/>
  <c r="G719" i="49" s="1"/>
  <c r="J721" i="49" s="1"/>
  <c r="C719" i="49"/>
  <c r="F719" i="49" s="1"/>
  <c r="I721" i="49" s="1"/>
  <c r="J715" i="49"/>
  <c r="I715" i="49"/>
  <c r="J714" i="49"/>
  <c r="I714" i="49"/>
  <c r="F718" i="49"/>
  <c r="C718" i="49"/>
  <c r="D716" i="49"/>
  <c r="G716" i="49" s="1"/>
  <c r="J717" i="49" s="1"/>
  <c r="C716" i="49"/>
  <c r="F716" i="49" s="1"/>
  <c r="I717" i="49" s="1"/>
  <c r="D714" i="49"/>
  <c r="G714" i="49" s="1"/>
  <c r="J716" i="49" s="1"/>
  <c r="C714" i="49"/>
  <c r="F714" i="49" s="1"/>
  <c r="I716" i="49" s="1"/>
  <c r="J710" i="49"/>
  <c r="I710" i="49"/>
  <c r="J709" i="49"/>
  <c r="I709" i="49"/>
  <c r="F713" i="49"/>
  <c r="C713" i="49"/>
  <c r="D711" i="49"/>
  <c r="G711" i="49" s="1"/>
  <c r="J712" i="49" s="1"/>
  <c r="C711" i="49"/>
  <c r="F711" i="49" s="1"/>
  <c r="I712" i="49" s="1"/>
  <c r="D709" i="49"/>
  <c r="G709" i="49" s="1"/>
  <c r="J711" i="49" s="1"/>
  <c r="C709" i="49"/>
  <c r="F709" i="49" s="1"/>
  <c r="I711" i="49" s="1"/>
  <c r="J705" i="49"/>
  <c r="I705" i="49"/>
  <c r="J704" i="49"/>
  <c r="I704" i="49"/>
  <c r="F708" i="49"/>
  <c r="C708" i="49"/>
  <c r="D706" i="49"/>
  <c r="G706" i="49" s="1"/>
  <c r="J707" i="49" s="1"/>
  <c r="C706" i="49"/>
  <c r="F706" i="49" s="1"/>
  <c r="I707" i="49" s="1"/>
  <c r="D704" i="49"/>
  <c r="G704" i="49" s="1"/>
  <c r="J706" i="49" s="1"/>
  <c r="C704" i="49"/>
  <c r="F704" i="49" s="1"/>
  <c r="I706" i="49" s="1"/>
  <c r="J700" i="49"/>
  <c r="I700" i="49"/>
  <c r="J699" i="49"/>
  <c r="I699" i="49"/>
  <c r="D697" i="49"/>
  <c r="D696" i="49"/>
  <c r="F703" i="49"/>
  <c r="C703" i="49"/>
  <c r="D701" i="49"/>
  <c r="G701" i="49" s="1"/>
  <c r="J702" i="49" s="1"/>
  <c r="C701" i="49"/>
  <c r="F701" i="49" s="1"/>
  <c r="I702" i="49" s="1"/>
  <c r="D699" i="49"/>
  <c r="G699" i="49" s="1"/>
  <c r="J701" i="49" s="1"/>
  <c r="C699" i="49"/>
  <c r="F699" i="49" s="1"/>
  <c r="I701" i="49" s="1"/>
  <c r="H698" i="49"/>
  <c r="E698" i="49"/>
  <c r="B698" i="49"/>
  <c r="F679" i="49"/>
  <c r="C679" i="49"/>
  <c r="D677" i="49"/>
  <c r="G677" i="49" s="1"/>
  <c r="J678" i="49" s="1"/>
  <c r="C677" i="49"/>
  <c r="F677" i="49" s="1"/>
  <c r="I678" i="49" s="1"/>
  <c r="J676" i="49"/>
  <c r="I676" i="49"/>
  <c r="J675" i="49"/>
  <c r="I675" i="49"/>
  <c r="D675" i="49"/>
  <c r="G675" i="49" s="1"/>
  <c r="J677" i="49" s="1"/>
  <c r="C675" i="49"/>
  <c r="F675" i="49" s="1"/>
  <c r="I677" i="49" s="1"/>
  <c r="J671" i="49"/>
  <c r="I671" i="49"/>
  <c r="J670" i="49"/>
  <c r="I670" i="49"/>
  <c r="F674" i="49"/>
  <c r="C674" i="49"/>
  <c r="D672" i="49"/>
  <c r="G672" i="49" s="1"/>
  <c r="J673" i="49" s="1"/>
  <c r="C672" i="49"/>
  <c r="F672" i="49" s="1"/>
  <c r="I673" i="49" s="1"/>
  <c r="D670" i="49"/>
  <c r="G670" i="49" s="1"/>
  <c r="J672" i="49" s="1"/>
  <c r="C670" i="49"/>
  <c r="F670" i="49" s="1"/>
  <c r="I672" i="49" s="1"/>
  <c r="J666" i="49"/>
  <c r="I666" i="49"/>
  <c r="J665" i="49"/>
  <c r="I665" i="49"/>
  <c r="D663" i="49"/>
  <c r="D662" i="49"/>
  <c r="F669" i="49"/>
  <c r="C669" i="49"/>
  <c r="D667" i="49"/>
  <c r="G667" i="49" s="1"/>
  <c r="J668" i="49" s="1"/>
  <c r="C667" i="49"/>
  <c r="F667" i="49" s="1"/>
  <c r="I668" i="49" s="1"/>
  <c r="D665" i="49"/>
  <c r="G665" i="49" s="1"/>
  <c r="J667" i="49" s="1"/>
  <c r="C665" i="49"/>
  <c r="F665" i="49" s="1"/>
  <c r="I667" i="49" s="1"/>
  <c r="H664" i="49"/>
  <c r="E664" i="49"/>
  <c r="B664" i="49"/>
  <c r="J657" i="49"/>
  <c r="J656" i="49"/>
  <c r="I657" i="49"/>
  <c r="I656" i="49"/>
  <c r="D654" i="49"/>
  <c r="D653" i="49"/>
  <c r="F660" i="49"/>
  <c r="C660" i="49"/>
  <c r="D658" i="49"/>
  <c r="G658" i="49" s="1"/>
  <c r="J659" i="49" s="1"/>
  <c r="C658" i="49"/>
  <c r="F658" i="49" s="1"/>
  <c r="I659" i="49" s="1"/>
  <c r="D656" i="49"/>
  <c r="G656" i="49" s="1"/>
  <c r="J658" i="49" s="1"/>
  <c r="C656" i="49"/>
  <c r="F656" i="49" s="1"/>
  <c r="I658" i="49" s="1"/>
  <c r="H655" i="49"/>
  <c r="E655" i="49"/>
  <c r="B655" i="49"/>
  <c r="J648" i="49" l="1"/>
  <c r="I648" i="49"/>
  <c r="J647" i="49"/>
  <c r="I647" i="49"/>
  <c r="F651" i="49"/>
  <c r="C651" i="49"/>
  <c r="D649" i="49"/>
  <c r="G649" i="49" s="1"/>
  <c r="J650" i="49" s="1"/>
  <c r="C649" i="49"/>
  <c r="F649" i="49" s="1"/>
  <c r="I650" i="49" s="1"/>
  <c r="D647" i="49"/>
  <c r="G647" i="49" s="1"/>
  <c r="J649" i="49" s="1"/>
  <c r="C647" i="49"/>
  <c r="F647" i="49" s="1"/>
  <c r="I649" i="49" s="1"/>
  <c r="F646" i="49"/>
  <c r="C646" i="49"/>
  <c r="D644" i="49"/>
  <c r="G644" i="49" s="1"/>
  <c r="J645" i="49" s="1"/>
  <c r="C644" i="49"/>
  <c r="F644" i="49" s="1"/>
  <c r="I645" i="49" s="1"/>
  <c r="J643" i="49"/>
  <c r="I643" i="49"/>
  <c r="J642" i="49"/>
  <c r="I642" i="49"/>
  <c r="D642" i="49"/>
  <c r="G642" i="49" s="1"/>
  <c r="J644" i="49" s="1"/>
  <c r="C642" i="49"/>
  <c r="F642" i="49" s="1"/>
  <c r="I644" i="49" s="1"/>
  <c r="J638" i="49"/>
  <c r="I638" i="49"/>
  <c r="J637" i="49"/>
  <c r="I637" i="49"/>
  <c r="F641" i="49"/>
  <c r="C641" i="49"/>
  <c r="D639" i="49"/>
  <c r="G639" i="49" s="1"/>
  <c r="J640" i="49" s="1"/>
  <c r="C639" i="49"/>
  <c r="F639" i="49" s="1"/>
  <c r="I640" i="49" s="1"/>
  <c r="D637" i="49"/>
  <c r="G637" i="49" s="1"/>
  <c r="J639" i="49" s="1"/>
  <c r="C637" i="49"/>
  <c r="F637" i="49" s="1"/>
  <c r="I639" i="49" s="1"/>
  <c r="J633" i="49"/>
  <c r="I633" i="49"/>
  <c r="J632" i="49"/>
  <c r="I632" i="49"/>
  <c r="F636" i="49"/>
  <c r="C636" i="49"/>
  <c r="D634" i="49"/>
  <c r="G634" i="49" s="1"/>
  <c r="J635" i="49" s="1"/>
  <c r="C634" i="49"/>
  <c r="F634" i="49" s="1"/>
  <c r="I635" i="49" s="1"/>
  <c r="D632" i="49"/>
  <c r="G632" i="49" s="1"/>
  <c r="J634" i="49" s="1"/>
  <c r="C632" i="49"/>
  <c r="F632" i="49" s="1"/>
  <c r="I634" i="49" s="1"/>
  <c r="F631" i="49"/>
  <c r="C631" i="49"/>
  <c r="D629" i="49"/>
  <c r="G629" i="49" s="1"/>
  <c r="J630" i="49" s="1"/>
  <c r="C629" i="49"/>
  <c r="F629" i="49" s="1"/>
  <c r="I630" i="49" s="1"/>
  <c r="J628" i="49"/>
  <c r="I628" i="49"/>
  <c r="J627" i="49"/>
  <c r="I627" i="49"/>
  <c r="D627" i="49"/>
  <c r="G627" i="49" s="1"/>
  <c r="J629" i="49" s="1"/>
  <c r="C627" i="49"/>
  <c r="F627" i="49" s="1"/>
  <c r="I629" i="49" s="1"/>
  <c r="F626" i="49"/>
  <c r="C626" i="49"/>
  <c r="D624" i="49"/>
  <c r="G624" i="49" s="1"/>
  <c r="J625" i="49" s="1"/>
  <c r="C624" i="49"/>
  <c r="F624" i="49" s="1"/>
  <c r="I625" i="49" s="1"/>
  <c r="J623" i="49"/>
  <c r="I623" i="49"/>
  <c r="J622" i="49"/>
  <c r="I622" i="49"/>
  <c r="D622" i="49"/>
  <c r="G622" i="49" s="1"/>
  <c r="J624" i="49" s="1"/>
  <c r="C622" i="49"/>
  <c r="F622" i="49" s="1"/>
  <c r="I624" i="49" s="1"/>
  <c r="J618" i="49"/>
  <c r="I618" i="49"/>
  <c r="J617" i="49"/>
  <c r="I617" i="49"/>
  <c r="F621" i="49"/>
  <c r="C621" i="49"/>
  <c r="D619" i="49"/>
  <c r="G619" i="49" s="1"/>
  <c r="J620" i="49" s="1"/>
  <c r="C619" i="49"/>
  <c r="F619" i="49" s="1"/>
  <c r="I620" i="49" s="1"/>
  <c r="D617" i="49"/>
  <c r="G617" i="49" s="1"/>
  <c r="J619" i="49" s="1"/>
  <c r="C617" i="49"/>
  <c r="F617" i="49" s="1"/>
  <c r="I619" i="49" s="1"/>
  <c r="F616" i="49"/>
  <c r="C616" i="49"/>
  <c r="D614" i="49"/>
  <c r="G614" i="49" s="1"/>
  <c r="J615" i="49" s="1"/>
  <c r="C614" i="49"/>
  <c r="F614" i="49" s="1"/>
  <c r="I615" i="49" s="1"/>
  <c r="J613" i="49"/>
  <c r="I613" i="49"/>
  <c r="J612" i="49"/>
  <c r="I612" i="49"/>
  <c r="D612" i="49"/>
  <c r="G612" i="49" s="1"/>
  <c r="J614" i="49" s="1"/>
  <c r="C612" i="49"/>
  <c r="F612" i="49" s="1"/>
  <c r="I614" i="49" s="1"/>
  <c r="J608" i="49"/>
  <c r="I608" i="49"/>
  <c r="J607" i="49"/>
  <c r="I607" i="49"/>
  <c r="F611" i="49"/>
  <c r="C611" i="49"/>
  <c r="D609" i="49"/>
  <c r="G609" i="49" s="1"/>
  <c r="J610" i="49" s="1"/>
  <c r="C609" i="49"/>
  <c r="F609" i="49" s="1"/>
  <c r="I610" i="49" s="1"/>
  <c r="D607" i="49"/>
  <c r="G607" i="49" s="1"/>
  <c r="J609" i="49" s="1"/>
  <c r="C607" i="49"/>
  <c r="F607" i="49" s="1"/>
  <c r="I609" i="49" s="1"/>
  <c r="J603" i="49"/>
  <c r="I603" i="49"/>
  <c r="J602" i="49"/>
  <c r="I602" i="49"/>
  <c r="F606" i="49"/>
  <c r="C606" i="49"/>
  <c r="D604" i="49"/>
  <c r="G604" i="49" s="1"/>
  <c r="J605" i="49" s="1"/>
  <c r="C604" i="49"/>
  <c r="F604" i="49" s="1"/>
  <c r="I605" i="49" s="1"/>
  <c r="D602" i="49"/>
  <c r="G602" i="49" s="1"/>
  <c r="J604" i="49" s="1"/>
  <c r="C602" i="49"/>
  <c r="F602" i="49" s="1"/>
  <c r="I604" i="49" s="1"/>
  <c r="F597" i="49"/>
  <c r="C597" i="49"/>
  <c r="D595" i="49"/>
  <c r="G595" i="49" s="1"/>
  <c r="J596" i="49" s="1"/>
  <c r="C595" i="49"/>
  <c r="F595" i="49" s="1"/>
  <c r="I596" i="49" s="1"/>
  <c r="J594" i="49"/>
  <c r="I594" i="49"/>
  <c r="J593" i="49"/>
  <c r="I593" i="49"/>
  <c r="D593" i="49"/>
  <c r="G593" i="49" s="1"/>
  <c r="J595" i="49" s="1"/>
  <c r="C593" i="49"/>
  <c r="F593" i="49" s="1"/>
  <c r="I595" i="49" s="1"/>
  <c r="J589" i="49"/>
  <c r="I589" i="49"/>
  <c r="J588" i="49"/>
  <c r="I588" i="49"/>
  <c r="F592" i="49"/>
  <c r="C592" i="49"/>
  <c r="D590" i="49"/>
  <c r="G590" i="49" s="1"/>
  <c r="J591" i="49" s="1"/>
  <c r="C590" i="49"/>
  <c r="F590" i="49" s="1"/>
  <c r="I591" i="49" s="1"/>
  <c r="D588" i="49"/>
  <c r="G588" i="49" s="1"/>
  <c r="J590" i="49" s="1"/>
  <c r="C588" i="49"/>
  <c r="F588" i="49" s="1"/>
  <c r="I590" i="49" s="1"/>
  <c r="F587" i="49"/>
  <c r="C587" i="49"/>
  <c r="D585" i="49"/>
  <c r="G585" i="49" s="1"/>
  <c r="J586" i="49" s="1"/>
  <c r="C585" i="49"/>
  <c r="F585" i="49" s="1"/>
  <c r="I586" i="49" s="1"/>
  <c r="J584" i="49"/>
  <c r="I584" i="49"/>
  <c r="J583" i="49"/>
  <c r="I583" i="49"/>
  <c r="D583" i="49"/>
  <c r="G583" i="49" s="1"/>
  <c r="J585" i="49" s="1"/>
  <c r="C583" i="49"/>
  <c r="F583" i="49" s="1"/>
  <c r="I585" i="49" s="1"/>
  <c r="J579" i="49"/>
  <c r="I579" i="49"/>
  <c r="J578" i="49"/>
  <c r="I578" i="49"/>
  <c r="F582" i="49"/>
  <c r="C582" i="49"/>
  <c r="D580" i="49"/>
  <c r="G580" i="49" s="1"/>
  <c r="J581" i="49" s="1"/>
  <c r="C580" i="49"/>
  <c r="F580" i="49" s="1"/>
  <c r="I581" i="49" s="1"/>
  <c r="D578" i="49"/>
  <c r="G578" i="49" s="1"/>
  <c r="J580" i="49" s="1"/>
  <c r="C578" i="49"/>
  <c r="F578" i="49" s="1"/>
  <c r="I580" i="49" s="1"/>
  <c r="J574" i="49"/>
  <c r="I574" i="49"/>
  <c r="J573" i="49"/>
  <c r="I573" i="49"/>
  <c r="F577" i="49"/>
  <c r="C577" i="49"/>
  <c r="D575" i="49"/>
  <c r="G575" i="49" s="1"/>
  <c r="J576" i="49" s="1"/>
  <c r="C575" i="49"/>
  <c r="F575" i="49" s="1"/>
  <c r="I576" i="49" s="1"/>
  <c r="D573" i="49"/>
  <c r="G573" i="49" s="1"/>
  <c r="J575" i="49" s="1"/>
  <c r="C573" i="49"/>
  <c r="F573" i="49" s="1"/>
  <c r="I575" i="49" s="1"/>
  <c r="J569" i="49"/>
  <c r="I569" i="49"/>
  <c r="J568" i="49"/>
  <c r="I568" i="49"/>
  <c r="F572" i="49"/>
  <c r="C572" i="49"/>
  <c r="D570" i="49"/>
  <c r="G570" i="49" s="1"/>
  <c r="J571" i="49" s="1"/>
  <c r="C570" i="49"/>
  <c r="F570" i="49" s="1"/>
  <c r="I571" i="49" s="1"/>
  <c r="D568" i="49"/>
  <c r="G568" i="49" s="1"/>
  <c r="J570" i="49" s="1"/>
  <c r="C568" i="49"/>
  <c r="F568" i="49" s="1"/>
  <c r="I570" i="49" s="1"/>
  <c r="I564" i="49"/>
  <c r="J564" i="49"/>
  <c r="J563" i="49"/>
  <c r="I563" i="49"/>
  <c r="F567" i="49"/>
  <c r="C567" i="49"/>
  <c r="D565" i="49"/>
  <c r="G565" i="49" s="1"/>
  <c r="J566" i="49" s="1"/>
  <c r="C565" i="49"/>
  <c r="F565" i="49" s="1"/>
  <c r="I566" i="49" s="1"/>
  <c r="D563" i="49"/>
  <c r="G563" i="49" s="1"/>
  <c r="J565" i="49" s="1"/>
  <c r="C563" i="49"/>
  <c r="F563" i="49" s="1"/>
  <c r="I565" i="49" s="1"/>
  <c r="J559" i="49"/>
  <c r="I559" i="49"/>
  <c r="J558" i="49"/>
  <c r="I558" i="49"/>
  <c r="D556" i="49"/>
  <c r="D555" i="49"/>
  <c r="F562" i="49"/>
  <c r="C562" i="49"/>
  <c r="D560" i="49"/>
  <c r="G560" i="49" s="1"/>
  <c r="J561" i="49" s="1"/>
  <c r="C560" i="49"/>
  <c r="F560" i="49" s="1"/>
  <c r="I561" i="49" s="1"/>
  <c r="D558" i="49"/>
  <c r="G558" i="49" s="1"/>
  <c r="J560" i="49" s="1"/>
  <c r="C558" i="49"/>
  <c r="F558" i="49" s="1"/>
  <c r="I560" i="49" s="1"/>
  <c r="H557" i="49"/>
  <c r="E557" i="49"/>
  <c r="B557" i="49"/>
  <c r="J535" i="49"/>
  <c r="I535" i="49"/>
  <c r="J534" i="49"/>
  <c r="I534" i="49"/>
  <c r="F538" i="49"/>
  <c r="C538" i="49"/>
  <c r="D536" i="49"/>
  <c r="G536" i="49" s="1"/>
  <c r="J537" i="49" s="1"/>
  <c r="C536" i="49"/>
  <c r="F536" i="49" s="1"/>
  <c r="I537" i="49" s="1"/>
  <c r="D534" i="49"/>
  <c r="G534" i="49" s="1"/>
  <c r="J536" i="49" s="1"/>
  <c r="C534" i="49"/>
  <c r="F534" i="49" s="1"/>
  <c r="I536" i="49" s="1"/>
  <c r="J530" i="49"/>
  <c r="I530" i="49"/>
  <c r="J529" i="49"/>
  <c r="I529" i="49"/>
  <c r="F533" i="49"/>
  <c r="C533" i="49"/>
  <c r="D531" i="49"/>
  <c r="G531" i="49" s="1"/>
  <c r="J532" i="49" s="1"/>
  <c r="C531" i="49"/>
  <c r="F531" i="49" s="1"/>
  <c r="I532" i="49" s="1"/>
  <c r="D529" i="49"/>
  <c r="G529" i="49" s="1"/>
  <c r="J531" i="49" s="1"/>
  <c r="C529" i="49"/>
  <c r="F529" i="49" s="1"/>
  <c r="I531" i="49" s="1"/>
  <c r="F528" i="49"/>
  <c r="C528" i="49"/>
  <c r="D526" i="49"/>
  <c r="G526" i="49" s="1"/>
  <c r="J527" i="49" s="1"/>
  <c r="C526" i="49"/>
  <c r="F526" i="49" s="1"/>
  <c r="I527" i="49" s="1"/>
  <c r="J525" i="49"/>
  <c r="I525" i="49"/>
  <c r="J524" i="49"/>
  <c r="I524" i="49"/>
  <c r="D524" i="49"/>
  <c r="G524" i="49" s="1"/>
  <c r="J526" i="49" s="1"/>
  <c r="C524" i="49"/>
  <c r="F524" i="49" s="1"/>
  <c r="I526" i="49" s="1"/>
  <c r="J520" i="49"/>
  <c r="I520" i="49"/>
  <c r="J519" i="49"/>
  <c r="I519" i="49"/>
  <c r="F523" i="49"/>
  <c r="C523" i="49"/>
  <c r="D521" i="49"/>
  <c r="G521" i="49" s="1"/>
  <c r="J522" i="49" s="1"/>
  <c r="C521" i="49"/>
  <c r="F521" i="49" s="1"/>
  <c r="I522" i="49" s="1"/>
  <c r="D519" i="49"/>
  <c r="G519" i="49" s="1"/>
  <c r="J521" i="49" s="1"/>
  <c r="C519" i="49"/>
  <c r="F519" i="49" s="1"/>
  <c r="I521" i="49" s="1"/>
  <c r="J515" i="49"/>
  <c r="I515" i="49"/>
  <c r="J514" i="49"/>
  <c r="I514" i="49"/>
  <c r="F518" i="49"/>
  <c r="C518" i="49"/>
  <c r="D516" i="49"/>
  <c r="G516" i="49" s="1"/>
  <c r="J517" i="49" s="1"/>
  <c r="C516" i="49"/>
  <c r="F516" i="49" s="1"/>
  <c r="I517" i="49" s="1"/>
  <c r="D514" i="49"/>
  <c r="G514" i="49" s="1"/>
  <c r="J516" i="49" s="1"/>
  <c r="C514" i="49"/>
  <c r="F514" i="49" s="1"/>
  <c r="I516" i="49" s="1"/>
  <c r="F513" i="49"/>
  <c r="C513" i="49"/>
  <c r="D511" i="49"/>
  <c r="G511" i="49" s="1"/>
  <c r="J512" i="49" s="1"/>
  <c r="C511" i="49"/>
  <c r="F511" i="49" s="1"/>
  <c r="I512" i="49" s="1"/>
  <c r="J510" i="49"/>
  <c r="I510" i="49"/>
  <c r="J509" i="49"/>
  <c r="I509" i="49"/>
  <c r="D509" i="49"/>
  <c r="G509" i="49" s="1"/>
  <c r="J511" i="49" s="1"/>
  <c r="C509" i="49"/>
  <c r="F509" i="49" s="1"/>
  <c r="I511" i="49" s="1"/>
  <c r="F503" i="49"/>
  <c r="C503" i="49"/>
  <c r="D501" i="49"/>
  <c r="G501" i="49" s="1"/>
  <c r="J502" i="49" s="1"/>
  <c r="C501" i="49"/>
  <c r="F501" i="49" s="1"/>
  <c r="I502" i="49" s="1"/>
  <c r="J500" i="49"/>
  <c r="I500" i="49"/>
  <c r="J499" i="49"/>
  <c r="I499" i="49"/>
  <c r="D499" i="49"/>
  <c r="G499" i="49" s="1"/>
  <c r="J501" i="49" s="1"/>
  <c r="C499" i="49"/>
  <c r="F499" i="49" s="1"/>
  <c r="I501" i="49" s="1"/>
  <c r="F498" i="49"/>
  <c r="C498" i="49"/>
  <c r="D496" i="49"/>
  <c r="G496" i="49" s="1"/>
  <c r="J497" i="49" s="1"/>
  <c r="C496" i="49"/>
  <c r="F496" i="49" s="1"/>
  <c r="I497" i="49" s="1"/>
  <c r="J495" i="49"/>
  <c r="I495" i="49"/>
  <c r="J494" i="49"/>
  <c r="I494" i="49"/>
  <c r="D494" i="49"/>
  <c r="G494" i="49" s="1"/>
  <c r="J496" i="49" s="1"/>
  <c r="C494" i="49"/>
  <c r="F494" i="49" s="1"/>
  <c r="I496" i="49" s="1"/>
  <c r="J490" i="49"/>
  <c r="I490" i="49"/>
  <c r="J489" i="49"/>
  <c r="I489" i="49"/>
  <c r="F493" i="49"/>
  <c r="C493" i="49"/>
  <c r="D491" i="49"/>
  <c r="G491" i="49" s="1"/>
  <c r="J492" i="49" s="1"/>
  <c r="C491" i="49"/>
  <c r="F491" i="49" s="1"/>
  <c r="I492" i="49" s="1"/>
  <c r="D489" i="49"/>
  <c r="G489" i="49" s="1"/>
  <c r="J491" i="49" s="1"/>
  <c r="C489" i="49"/>
  <c r="F489" i="49" s="1"/>
  <c r="I491" i="49" s="1"/>
  <c r="J485" i="49"/>
  <c r="I485" i="49"/>
  <c r="J484" i="49"/>
  <c r="I484" i="49"/>
  <c r="F488" i="49"/>
  <c r="C488" i="49"/>
  <c r="D486" i="49"/>
  <c r="G486" i="49" s="1"/>
  <c r="J487" i="49" s="1"/>
  <c r="C486" i="49"/>
  <c r="F486" i="49" s="1"/>
  <c r="I487" i="49" s="1"/>
  <c r="D484" i="49"/>
  <c r="G484" i="49" s="1"/>
  <c r="J486" i="49" s="1"/>
  <c r="C484" i="49"/>
  <c r="F484" i="49" s="1"/>
  <c r="I486" i="49" s="1"/>
  <c r="I480" i="49"/>
  <c r="J480" i="49"/>
  <c r="J479" i="49"/>
  <c r="I479" i="49"/>
  <c r="F483" i="49"/>
  <c r="C483" i="49"/>
  <c r="D481" i="49"/>
  <c r="G481" i="49" s="1"/>
  <c r="J482" i="49" s="1"/>
  <c r="C481" i="49"/>
  <c r="F481" i="49" s="1"/>
  <c r="I482" i="49" s="1"/>
  <c r="D479" i="49"/>
  <c r="G479" i="49" s="1"/>
  <c r="J481" i="49" s="1"/>
  <c r="C479" i="49"/>
  <c r="F479" i="49" s="1"/>
  <c r="I481" i="49" s="1"/>
  <c r="J475" i="49"/>
  <c r="I475" i="49"/>
  <c r="J474" i="49"/>
  <c r="I474" i="49"/>
  <c r="F478" i="49" l="1"/>
  <c r="C478" i="49"/>
  <c r="D476" i="49"/>
  <c r="G476" i="49" s="1"/>
  <c r="J477" i="49" s="1"/>
  <c r="C476" i="49"/>
  <c r="F476" i="49" s="1"/>
  <c r="I477" i="49" s="1"/>
  <c r="D474" i="49"/>
  <c r="G474" i="49" s="1"/>
  <c r="J476" i="49" s="1"/>
  <c r="C474" i="49"/>
  <c r="F474" i="49" s="1"/>
  <c r="I476" i="49" s="1"/>
  <c r="J470" i="49"/>
  <c r="I470" i="49"/>
  <c r="J469" i="49"/>
  <c r="I469" i="49"/>
  <c r="F473" i="49"/>
  <c r="C473" i="49"/>
  <c r="D471" i="49"/>
  <c r="G471" i="49" s="1"/>
  <c r="J472" i="49" s="1"/>
  <c r="C471" i="49"/>
  <c r="F471" i="49" s="1"/>
  <c r="I472" i="49" s="1"/>
  <c r="D469" i="49"/>
  <c r="G469" i="49" s="1"/>
  <c r="J471" i="49" s="1"/>
  <c r="C469" i="49"/>
  <c r="F469" i="49" s="1"/>
  <c r="I471" i="49" s="1"/>
  <c r="J465" i="49"/>
  <c r="I465" i="49"/>
  <c r="J464" i="49"/>
  <c r="I464" i="49"/>
  <c r="D466" i="49"/>
  <c r="G466" i="49" s="1"/>
  <c r="J467" i="49" s="1"/>
  <c r="C466" i="49"/>
  <c r="F466" i="49" s="1"/>
  <c r="I467" i="49" s="1"/>
  <c r="F468" i="49"/>
  <c r="C468" i="49"/>
  <c r="D464" i="49"/>
  <c r="G464" i="49" s="1"/>
  <c r="J466" i="49" s="1"/>
  <c r="C464" i="49"/>
  <c r="F464" i="49" s="1"/>
  <c r="I466" i="49" s="1"/>
  <c r="D462" i="49"/>
  <c r="D461" i="49"/>
  <c r="H463" i="49"/>
  <c r="E463" i="49"/>
  <c r="B463" i="49"/>
  <c r="D442" i="49"/>
  <c r="D441" i="49"/>
  <c r="F448" i="49"/>
  <c r="C448" i="49"/>
  <c r="D446" i="49"/>
  <c r="G446" i="49" s="1"/>
  <c r="J447" i="49" s="1"/>
  <c r="C446" i="49"/>
  <c r="F446" i="49" s="1"/>
  <c r="I447" i="49" s="1"/>
  <c r="D444" i="49"/>
  <c r="G444" i="49" s="1"/>
  <c r="J446" i="49" s="1"/>
  <c r="C444" i="49"/>
  <c r="F444" i="49" s="1"/>
  <c r="I446" i="49" s="1"/>
  <c r="H443" i="49"/>
  <c r="E443" i="49"/>
  <c r="B443" i="49"/>
  <c r="J436" i="49"/>
  <c r="I436" i="49"/>
  <c r="J435" i="49"/>
  <c r="I435" i="49"/>
  <c r="F439" i="49"/>
  <c r="C439" i="49"/>
  <c r="D437" i="49"/>
  <c r="G437" i="49" s="1"/>
  <c r="J438" i="49" s="1"/>
  <c r="C437" i="49"/>
  <c r="F437" i="49" s="1"/>
  <c r="I438" i="49" s="1"/>
  <c r="D435" i="49"/>
  <c r="G435" i="49" s="1"/>
  <c r="J437" i="49" s="1"/>
  <c r="C435" i="49"/>
  <c r="F435" i="49" s="1"/>
  <c r="I437" i="49" s="1"/>
  <c r="J431" i="49"/>
  <c r="J430" i="49"/>
  <c r="I431" i="49"/>
  <c r="I430" i="49"/>
  <c r="F434" i="49"/>
  <c r="C434" i="49"/>
  <c r="D432" i="49"/>
  <c r="G432" i="49" s="1"/>
  <c r="J433" i="49" s="1"/>
  <c r="C432" i="49"/>
  <c r="F432" i="49" s="1"/>
  <c r="I433" i="49" s="1"/>
  <c r="D430" i="49"/>
  <c r="G430" i="49" s="1"/>
  <c r="J432" i="49" s="1"/>
  <c r="C430" i="49"/>
  <c r="F430" i="49" s="1"/>
  <c r="I432" i="49" s="1"/>
  <c r="J426" i="49"/>
  <c r="I426" i="49"/>
  <c r="J425" i="49"/>
  <c r="I425" i="49"/>
  <c r="F429" i="49"/>
  <c r="C429" i="49"/>
  <c r="D427" i="49"/>
  <c r="G427" i="49" s="1"/>
  <c r="J428" i="49" s="1"/>
  <c r="C427" i="49"/>
  <c r="F427" i="49" s="1"/>
  <c r="I428" i="49" s="1"/>
  <c r="D425" i="49"/>
  <c r="G425" i="49" s="1"/>
  <c r="J427" i="49" s="1"/>
  <c r="C425" i="49"/>
  <c r="F425" i="49" s="1"/>
  <c r="I427" i="49" s="1"/>
  <c r="J421" i="49"/>
  <c r="I421" i="49"/>
  <c r="J420" i="49"/>
  <c r="I420" i="49"/>
  <c r="F424" i="49"/>
  <c r="C424" i="49"/>
  <c r="D422" i="49"/>
  <c r="G422" i="49" s="1"/>
  <c r="J423" i="49" s="1"/>
  <c r="C422" i="49"/>
  <c r="F422" i="49" s="1"/>
  <c r="I423" i="49" s="1"/>
  <c r="D420" i="49"/>
  <c r="G420" i="49" s="1"/>
  <c r="J422" i="49" s="1"/>
  <c r="C420" i="49"/>
  <c r="F420" i="49" s="1"/>
  <c r="I422" i="49" s="1"/>
  <c r="D418" i="49"/>
  <c r="D417" i="49"/>
  <c r="H419" i="49"/>
  <c r="E419" i="49"/>
  <c r="B419" i="49"/>
  <c r="J400" i="49"/>
  <c r="I400" i="49"/>
  <c r="J399" i="49"/>
  <c r="I399" i="49"/>
  <c r="F403" i="49"/>
  <c r="C403" i="49"/>
  <c r="D401" i="49"/>
  <c r="G401" i="49" s="1"/>
  <c r="J402" i="49" s="1"/>
  <c r="C401" i="49"/>
  <c r="F401" i="49" s="1"/>
  <c r="I402" i="49" s="1"/>
  <c r="D399" i="49"/>
  <c r="G399" i="49" s="1"/>
  <c r="J401" i="49" s="1"/>
  <c r="C399" i="49"/>
  <c r="F399" i="49" s="1"/>
  <c r="I401" i="49" s="1"/>
  <c r="D397" i="49"/>
  <c r="D396" i="49"/>
  <c r="H398" i="49"/>
  <c r="E398" i="49"/>
  <c r="B398" i="49"/>
  <c r="J391" i="49"/>
  <c r="I391" i="49"/>
  <c r="J390" i="49"/>
  <c r="I390" i="49"/>
  <c r="F394" i="49"/>
  <c r="C394" i="49"/>
  <c r="D392" i="49"/>
  <c r="G392" i="49" s="1"/>
  <c r="J393" i="49" s="1"/>
  <c r="C392" i="49"/>
  <c r="F392" i="49" s="1"/>
  <c r="I393" i="49" s="1"/>
  <c r="D390" i="49"/>
  <c r="G390" i="49" s="1"/>
  <c r="J392" i="49" s="1"/>
  <c r="C390" i="49"/>
  <c r="F390" i="49" s="1"/>
  <c r="I392" i="49" s="1"/>
  <c r="D388" i="49"/>
  <c r="D387" i="49"/>
  <c r="H389" i="49"/>
  <c r="E389" i="49"/>
  <c r="B389" i="49"/>
  <c r="I382" i="49"/>
  <c r="J382" i="49"/>
  <c r="J381" i="49"/>
  <c r="I381" i="49"/>
  <c r="F385" i="49"/>
  <c r="C385" i="49"/>
  <c r="D383" i="49"/>
  <c r="G383" i="49" s="1"/>
  <c r="J384" i="49" s="1"/>
  <c r="C383" i="49"/>
  <c r="F383" i="49" s="1"/>
  <c r="I384" i="49" s="1"/>
  <c r="D381" i="49"/>
  <c r="G381" i="49" s="1"/>
  <c r="J383" i="49" s="1"/>
  <c r="C381" i="49"/>
  <c r="F381" i="49" s="1"/>
  <c r="I383" i="49" s="1"/>
  <c r="D379" i="49"/>
  <c r="D378" i="49"/>
  <c r="H380" i="49"/>
  <c r="E380" i="49"/>
  <c r="B380" i="49"/>
  <c r="J373" i="49"/>
  <c r="I373" i="49"/>
  <c r="J372" i="49"/>
  <c r="I372" i="49"/>
  <c r="F376" i="49"/>
  <c r="C376" i="49"/>
  <c r="D374" i="49"/>
  <c r="G374" i="49" s="1"/>
  <c r="J375" i="49" s="1"/>
  <c r="C374" i="49"/>
  <c r="F374" i="49" s="1"/>
  <c r="I375" i="49" s="1"/>
  <c r="D372" i="49"/>
  <c r="G372" i="49" s="1"/>
  <c r="J374" i="49" s="1"/>
  <c r="C372" i="49"/>
  <c r="F372" i="49" s="1"/>
  <c r="I374" i="49" s="1"/>
  <c r="D370" i="49"/>
  <c r="D363" i="49"/>
  <c r="H371" i="49"/>
  <c r="E371" i="49"/>
  <c r="B371" i="49"/>
  <c r="J357" i="49"/>
  <c r="I357" i="49"/>
  <c r="J356" i="49"/>
  <c r="I356" i="49"/>
  <c r="F360" i="49"/>
  <c r="C360" i="49"/>
  <c r="D358" i="49"/>
  <c r="G358" i="49" s="1"/>
  <c r="J359" i="49" s="1"/>
  <c r="C358" i="49"/>
  <c r="F358" i="49" s="1"/>
  <c r="I359" i="49" s="1"/>
  <c r="D356" i="49"/>
  <c r="G356" i="49" s="1"/>
  <c r="J358" i="49" s="1"/>
  <c r="C356" i="49"/>
  <c r="F356" i="49" s="1"/>
  <c r="I358" i="49" s="1"/>
  <c r="D354" i="49"/>
  <c r="D353" i="49"/>
  <c r="H355" i="49"/>
  <c r="E355" i="49"/>
  <c r="B355" i="49"/>
  <c r="I348" i="49"/>
  <c r="J348" i="49"/>
  <c r="J347" i="49"/>
  <c r="I347" i="49"/>
  <c r="F351" i="49"/>
  <c r="C351" i="49"/>
  <c r="D349" i="49"/>
  <c r="G349" i="49" s="1"/>
  <c r="J350" i="49" s="1"/>
  <c r="C349" i="49"/>
  <c r="F349" i="49" s="1"/>
  <c r="I350" i="49" s="1"/>
  <c r="D347" i="49"/>
  <c r="G347" i="49" s="1"/>
  <c r="J349" i="49" s="1"/>
  <c r="C347" i="49"/>
  <c r="F347" i="49" s="1"/>
  <c r="I349" i="49" s="1"/>
  <c r="J343" i="49"/>
  <c r="I343" i="49"/>
  <c r="J342" i="49"/>
  <c r="I342" i="49"/>
  <c r="F346" i="49"/>
  <c r="C346" i="49"/>
  <c r="D344" i="49"/>
  <c r="G344" i="49" s="1"/>
  <c r="J345" i="49" s="1"/>
  <c r="C344" i="49"/>
  <c r="F344" i="49" s="1"/>
  <c r="I345" i="49" s="1"/>
  <c r="D342" i="49"/>
  <c r="G342" i="49" s="1"/>
  <c r="J344" i="49" s="1"/>
  <c r="C342" i="49"/>
  <c r="F342" i="49" s="1"/>
  <c r="I344" i="49" s="1"/>
  <c r="J338" i="49"/>
  <c r="I338" i="49"/>
  <c r="J337" i="49"/>
  <c r="I337" i="49"/>
  <c r="F341" i="49"/>
  <c r="C341" i="49"/>
  <c r="D339" i="49"/>
  <c r="G339" i="49" s="1"/>
  <c r="J340" i="49" s="1"/>
  <c r="C339" i="49"/>
  <c r="F339" i="49" s="1"/>
  <c r="I340" i="49" s="1"/>
  <c r="D337" i="49"/>
  <c r="G337" i="49" s="1"/>
  <c r="J339" i="49" s="1"/>
  <c r="C337" i="49"/>
  <c r="F337" i="49" s="1"/>
  <c r="I339" i="49" s="1"/>
  <c r="I333" i="49"/>
  <c r="J333" i="49"/>
  <c r="J332" i="49"/>
  <c r="I332" i="49"/>
  <c r="F336" i="49"/>
  <c r="C336" i="49"/>
  <c r="D334" i="49"/>
  <c r="G334" i="49" s="1"/>
  <c r="J335" i="49" s="1"/>
  <c r="C334" i="49"/>
  <c r="F334" i="49" s="1"/>
  <c r="I335" i="49" s="1"/>
  <c r="D332" i="49"/>
  <c r="G332" i="49" s="1"/>
  <c r="J334" i="49" s="1"/>
  <c r="C332" i="49"/>
  <c r="F332" i="49" s="1"/>
  <c r="I334" i="49" s="1"/>
  <c r="J328" i="49"/>
  <c r="I328" i="49"/>
  <c r="J327" i="49"/>
  <c r="I327" i="49"/>
  <c r="F331" i="49"/>
  <c r="C331" i="49"/>
  <c r="D329" i="49"/>
  <c r="G329" i="49" s="1"/>
  <c r="J330" i="49" s="1"/>
  <c r="C329" i="49"/>
  <c r="F329" i="49" s="1"/>
  <c r="I330" i="49" s="1"/>
  <c r="D327" i="49"/>
  <c r="G327" i="49" s="1"/>
  <c r="J329" i="49" s="1"/>
  <c r="C327" i="49"/>
  <c r="F327" i="49" s="1"/>
  <c r="I329" i="49" s="1"/>
  <c r="J323" i="49"/>
  <c r="J322" i="49"/>
  <c r="I323" i="49"/>
  <c r="I322" i="49"/>
  <c r="F326" i="49"/>
  <c r="C326" i="49"/>
  <c r="D324" i="49"/>
  <c r="G324" i="49" s="1"/>
  <c r="J325" i="49" s="1"/>
  <c r="C324" i="49"/>
  <c r="F324" i="49" s="1"/>
  <c r="I325" i="49" s="1"/>
  <c r="D322" i="49"/>
  <c r="G322" i="49" s="1"/>
  <c r="J324" i="49" s="1"/>
  <c r="C322" i="49"/>
  <c r="F322" i="49" s="1"/>
  <c r="I324" i="49" s="1"/>
  <c r="J318" i="49"/>
  <c r="J317" i="49"/>
  <c r="I318" i="49"/>
  <c r="I317" i="49"/>
  <c r="F321" i="49"/>
  <c r="C321" i="49"/>
  <c r="D319" i="49"/>
  <c r="G319" i="49" s="1"/>
  <c r="J320" i="49" s="1"/>
  <c r="C319" i="49"/>
  <c r="F319" i="49" s="1"/>
  <c r="I320" i="49" s="1"/>
  <c r="D317" i="49"/>
  <c r="G317" i="49" s="1"/>
  <c r="J319" i="49" s="1"/>
  <c r="C317" i="49"/>
  <c r="F317" i="49" s="1"/>
  <c r="I319" i="49" s="1"/>
  <c r="D315" i="49"/>
  <c r="D314" i="49"/>
  <c r="H316" i="49"/>
  <c r="E316" i="49"/>
  <c r="B316" i="49"/>
  <c r="J309" i="49"/>
  <c r="I309" i="49"/>
  <c r="J308" i="49"/>
  <c r="I308" i="49"/>
  <c r="J304" i="49"/>
  <c r="I304" i="49"/>
  <c r="I303" i="49"/>
  <c r="J303" i="49"/>
  <c r="J299" i="49"/>
  <c r="J298" i="49"/>
  <c r="I299" i="49"/>
  <c r="I298" i="49"/>
  <c r="F312" i="49"/>
  <c r="C312" i="49"/>
  <c r="D310" i="49"/>
  <c r="G310" i="49" s="1"/>
  <c r="J311" i="49" s="1"/>
  <c r="C310" i="49"/>
  <c r="F310" i="49" s="1"/>
  <c r="I311" i="49" s="1"/>
  <c r="D308" i="49"/>
  <c r="G308" i="49" s="1"/>
  <c r="J310" i="49" s="1"/>
  <c r="C308" i="49"/>
  <c r="F308" i="49" s="1"/>
  <c r="I310" i="49" s="1"/>
  <c r="F302" i="49"/>
  <c r="C302" i="49"/>
  <c r="D300" i="49"/>
  <c r="C300" i="49"/>
  <c r="F307" i="49"/>
  <c r="C307" i="49"/>
  <c r="D305" i="49"/>
  <c r="C305" i="49"/>
  <c r="G305" i="49" l="1"/>
  <c r="J306" i="49" s="1"/>
  <c r="F305" i="49"/>
  <c r="I306" i="49" s="1"/>
  <c r="D303" i="49"/>
  <c r="G303" i="49" s="1"/>
  <c r="J305" i="49" s="1"/>
  <c r="C303" i="49"/>
  <c r="F303" i="49" s="1"/>
  <c r="I305" i="49" s="1"/>
  <c r="G300" i="49"/>
  <c r="J301" i="49" s="1"/>
  <c r="F300" i="49"/>
  <c r="I301" i="49" s="1"/>
  <c r="D298" i="49"/>
  <c r="G298" i="49" s="1"/>
  <c r="J300" i="49" s="1"/>
  <c r="C298" i="49"/>
  <c r="F298" i="49" s="1"/>
  <c r="I300" i="49" s="1"/>
  <c r="J294" i="49"/>
  <c r="I294" i="49"/>
  <c r="J293" i="49"/>
  <c r="I293" i="49"/>
  <c r="F297" i="49"/>
  <c r="C297" i="49"/>
  <c r="D295" i="49"/>
  <c r="G295" i="49" s="1"/>
  <c r="J296" i="49" s="1"/>
  <c r="C295" i="49"/>
  <c r="F295" i="49" s="1"/>
  <c r="I296" i="49" s="1"/>
  <c r="D293" i="49"/>
  <c r="G293" i="49" s="1"/>
  <c r="J295" i="49" s="1"/>
  <c r="C293" i="49"/>
  <c r="F293" i="49" s="1"/>
  <c r="I295" i="49" s="1"/>
  <c r="J289" i="49"/>
  <c r="I289" i="49"/>
  <c r="J288" i="49"/>
  <c r="I288" i="49"/>
  <c r="F292" i="49"/>
  <c r="C292" i="49"/>
  <c r="D290" i="49"/>
  <c r="G290" i="49" s="1"/>
  <c r="J291" i="49" s="1"/>
  <c r="C290" i="49"/>
  <c r="F290" i="49" s="1"/>
  <c r="I291" i="49" s="1"/>
  <c r="D288" i="49"/>
  <c r="G288" i="49" s="1"/>
  <c r="J290" i="49" s="1"/>
  <c r="C288" i="49"/>
  <c r="F288" i="49" s="1"/>
  <c r="I290" i="49" s="1"/>
  <c r="D286" i="49"/>
  <c r="D285" i="49"/>
  <c r="H287" i="49"/>
  <c r="E287" i="49"/>
  <c r="B287" i="49"/>
  <c r="J273" i="49"/>
  <c r="I273" i="49"/>
  <c r="J272" i="49"/>
  <c r="I272" i="49"/>
  <c r="F276" i="49"/>
  <c r="C276" i="49"/>
  <c r="D274" i="49"/>
  <c r="G274" i="49" s="1"/>
  <c r="J275" i="49" s="1"/>
  <c r="C274" i="49"/>
  <c r="F274" i="49" s="1"/>
  <c r="I275" i="49" s="1"/>
  <c r="D272" i="49"/>
  <c r="G272" i="49" s="1"/>
  <c r="J274" i="49" s="1"/>
  <c r="C272" i="49"/>
  <c r="F272" i="49" s="1"/>
  <c r="I274" i="49" s="1"/>
  <c r="J268" i="49"/>
  <c r="I268" i="49"/>
  <c r="J267" i="49"/>
  <c r="I267" i="49"/>
  <c r="F271" i="49"/>
  <c r="C271" i="49"/>
  <c r="D269" i="49"/>
  <c r="G269" i="49" s="1"/>
  <c r="J270" i="49" s="1"/>
  <c r="C269" i="49"/>
  <c r="F269" i="49" s="1"/>
  <c r="I270" i="49" s="1"/>
  <c r="D267" i="49"/>
  <c r="G267" i="49" s="1"/>
  <c r="J269" i="49" s="1"/>
  <c r="C267" i="49"/>
  <c r="F267" i="49" s="1"/>
  <c r="I269" i="49" s="1"/>
  <c r="J263" i="49"/>
  <c r="I263" i="49"/>
  <c r="J262" i="49"/>
  <c r="I262" i="49"/>
  <c r="F266" i="49"/>
  <c r="C266" i="49"/>
  <c r="D264" i="49"/>
  <c r="G264" i="49" s="1"/>
  <c r="J265" i="49" s="1"/>
  <c r="C264" i="49"/>
  <c r="F264" i="49" s="1"/>
  <c r="I265" i="49" s="1"/>
  <c r="D262" i="49"/>
  <c r="G262" i="49" s="1"/>
  <c r="J264" i="49" s="1"/>
  <c r="C262" i="49"/>
  <c r="F262" i="49" s="1"/>
  <c r="I264" i="49" s="1"/>
  <c r="I258" i="49"/>
  <c r="J258" i="49"/>
  <c r="J257" i="49"/>
  <c r="I257" i="49"/>
  <c r="F261" i="49"/>
  <c r="C261" i="49"/>
  <c r="D259" i="49"/>
  <c r="G259" i="49" s="1"/>
  <c r="J260" i="49" s="1"/>
  <c r="C259" i="49"/>
  <c r="F259" i="49" s="1"/>
  <c r="I260" i="49" s="1"/>
  <c r="D257" i="49"/>
  <c r="G257" i="49" s="1"/>
  <c r="J259" i="49" s="1"/>
  <c r="C257" i="49"/>
  <c r="F257" i="49" s="1"/>
  <c r="I259" i="49" s="1"/>
  <c r="D255" i="49"/>
  <c r="D254" i="49"/>
  <c r="H256" i="49"/>
  <c r="E256" i="49"/>
  <c r="B256" i="49"/>
  <c r="J230" i="49"/>
  <c r="I230" i="49"/>
  <c r="J229" i="49"/>
  <c r="I229" i="49"/>
  <c r="F233" i="49"/>
  <c r="C233" i="49"/>
  <c r="D231" i="49"/>
  <c r="G231" i="49" s="1"/>
  <c r="J232" i="49" s="1"/>
  <c r="C231" i="49"/>
  <c r="F231" i="49" s="1"/>
  <c r="I232" i="49" s="1"/>
  <c r="D229" i="49"/>
  <c r="G229" i="49" s="1"/>
  <c r="J231" i="49" s="1"/>
  <c r="C229" i="49"/>
  <c r="F229" i="49" s="1"/>
  <c r="I231" i="49" s="1"/>
  <c r="I225" i="49"/>
  <c r="J225" i="49"/>
  <c r="J224" i="49"/>
  <c r="I224" i="49"/>
  <c r="F228" i="49"/>
  <c r="C228" i="49"/>
  <c r="D226" i="49"/>
  <c r="G226" i="49" s="1"/>
  <c r="J227" i="49" s="1"/>
  <c r="C226" i="49"/>
  <c r="F226" i="49" s="1"/>
  <c r="I227" i="49" s="1"/>
  <c r="D224" i="49"/>
  <c r="G224" i="49" s="1"/>
  <c r="J226" i="49" s="1"/>
  <c r="C224" i="49"/>
  <c r="F224" i="49" s="1"/>
  <c r="I226" i="49" s="1"/>
  <c r="J219" i="49"/>
  <c r="I219" i="49"/>
  <c r="J218" i="49"/>
  <c r="I218" i="49"/>
  <c r="F222" i="49"/>
  <c r="C222" i="49"/>
  <c r="D220" i="49"/>
  <c r="G220" i="49" s="1"/>
  <c r="J221" i="49" s="1"/>
  <c r="C220" i="49"/>
  <c r="F220" i="49" s="1"/>
  <c r="I221" i="49" s="1"/>
  <c r="D218" i="49"/>
  <c r="G218" i="49" s="1"/>
  <c r="J220" i="49" s="1"/>
  <c r="C218" i="49"/>
  <c r="F218" i="49" s="1"/>
  <c r="I220" i="49" s="1"/>
  <c r="J214" i="49"/>
  <c r="I214" i="49"/>
  <c r="J213" i="49"/>
  <c r="I213" i="49"/>
  <c r="F217" i="49"/>
  <c r="C217" i="49"/>
  <c r="D215" i="49"/>
  <c r="G215" i="49" s="1"/>
  <c r="J216" i="49" s="1"/>
  <c r="C215" i="49"/>
  <c r="F215" i="49" s="1"/>
  <c r="I216" i="49" s="1"/>
  <c r="D213" i="49"/>
  <c r="G213" i="49" s="1"/>
  <c r="J215" i="49" s="1"/>
  <c r="C213" i="49"/>
  <c r="F213" i="49" s="1"/>
  <c r="I215" i="49" s="1"/>
  <c r="I209" i="49"/>
  <c r="J209" i="49"/>
  <c r="J208" i="49"/>
  <c r="I208" i="49"/>
  <c r="F212" i="49"/>
  <c r="C212" i="49"/>
  <c r="D210" i="49"/>
  <c r="G210" i="49" s="1"/>
  <c r="J211" i="49" s="1"/>
  <c r="C210" i="49"/>
  <c r="F210" i="49" s="1"/>
  <c r="I211" i="49" s="1"/>
  <c r="D208" i="49"/>
  <c r="G208" i="49" s="1"/>
  <c r="J210" i="49" s="1"/>
  <c r="C208" i="49"/>
  <c r="F208" i="49" s="1"/>
  <c r="I210" i="49" s="1"/>
  <c r="J204" i="49"/>
  <c r="I204" i="49"/>
  <c r="J203" i="49"/>
  <c r="I203" i="49"/>
  <c r="F207" i="49"/>
  <c r="C207" i="49"/>
  <c r="D205" i="49"/>
  <c r="G205" i="49" s="1"/>
  <c r="J206" i="49" s="1"/>
  <c r="C205" i="49"/>
  <c r="F205" i="49" s="1"/>
  <c r="I206" i="49" s="1"/>
  <c r="D203" i="49"/>
  <c r="G203" i="49" s="1"/>
  <c r="J205" i="49" s="1"/>
  <c r="C203" i="49"/>
  <c r="F203" i="49" s="1"/>
  <c r="I205" i="49" s="1"/>
  <c r="I199" i="49"/>
  <c r="J199" i="49"/>
  <c r="J198" i="49"/>
  <c r="I198" i="49"/>
  <c r="F202" i="49"/>
  <c r="C202" i="49"/>
  <c r="D200" i="49"/>
  <c r="G200" i="49" s="1"/>
  <c r="J201" i="49" s="1"/>
  <c r="C200" i="49"/>
  <c r="F200" i="49" s="1"/>
  <c r="I201" i="49" s="1"/>
  <c r="D198" i="49"/>
  <c r="G198" i="49" s="1"/>
  <c r="J200" i="49" s="1"/>
  <c r="C198" i="49"/>
  <c r="F198" i="49" s="1"/>
  <c r="I200" i="49" s="1"/>
  <c r="I194" i="49"/>
  <c r="J194" i="49"/>
  <c r="J193" i="49"/>
  <c r="I193" i="49"/>
  <c r="F197" i="49"/>
  <c r="C197" i="49"/>
  <c r="D195" i="49"/>
  <c r="G195" i="49" s="1"/>
  <c r="J196" i="49" s="1"/>
  <c r="C195" i="49"/>
  <c r="F195" i="49" s="1"/>
  <c r="I196" i="49" s="1"/>
  <c r="D193" i="49"/>
  <c r="G193" i="49" s="1"/>
  <c r="J195" i="49" s="1"/>
  <c r="C193" i="49"/>
  <c r="F193" i="49" s="1"/>
  <c r="I195" i="49" s="1"/>
  <c r="J189" i="49"/>
  <c r="I189" i="49"/>
  <c r="J188" i="49"/>
  <c r="I188" i="49"/>
  <c r="F192" i="49"/>
  <c r="C192" i="49"/>
  <c r="D190" i="49"/>
  <c r="G190" i="49" s="1"/>
  <c r="J191" i="49" s="1"/>
  <c r="C190" i="49"/>
  <c r="F190" i="49" s="1"/>
  <c r="I191" i="49" s="1"/>
  <c r="D188" i="49"/>
  <c r="G188" i="49" s="1"/>
  <c r="J190" i="49" s="1"/>
  <c r="C188" i="49"/>
  <c r="F188" i="49" s="1"/>
  <c r="I190" i="49" s="1"/>
  <c r="I184" i="49"/>
  <c r="J184" i="49"/>
  <c r="J183" i="49"/>
  <c r="I183" i="49"/>
  <c r="F187" i="49"/>
  <c r="C187" i="49"/>
  <c r="D185" i="49"/>
  <c r="G185" i="49" s="1"/>
  <c r="J186" i="49" s="1"/>
  <c r="C185" i="49"/>
  <c r="F185" i="49" s="1"/>
  <c r="I186" i="49" s="1"/>
  <c r="D183" i="49"/>
  <c r="G183" i="49" s="1"/>
  <c r="J185" i="49" s="1"/>
  <c r="C183" i="49"/>
  <c r="F183" i="49" s="1"/>
  <c r="I185" i="49" s="1"/>
  <c r="J179" i="49"/>
  <c r="I179" i="49"/>
  <c r="J178" i="49"/>
  <c r="I178" i="49"/>
  <c r="F182" i="49"/>
  <c r="C182" i="49"/>
  <c r="D180" i="49"/>
  <c r="G180" i="49" s="1"/>
  <c r="J181" i="49" s="1"/>
  <c r="C180" i="49"/>
  <c r="F180" i="49" s="1"/>
  <c r="I181" i="49" s="1"/>
  <c r="D178" i="49"/>
  <c r="G178" i="49" s="1"/>
  <c r="J180" i="49" s="1"/>
  <c r="C178" i="49"/>
  <c r="F178" i="49" s="1"/>
  <c r="I180" i="49" s="1"/>
  <c r="I174" i="49"/>
  <c r="J174" i="49"/>
  <c r="J173" i="49"/>
  <c r="I173" i="49"/>
  <c r="F177" i="49"/>
  <c r="C177" i="49"/>
  <c r="D175" i="49"/>
  <c r="G175" i="49" s="1"/>
  <c r="J176" i="49" s="1"/>
  <c r="C175" i="49"/>
  <c r="F175" i="49" s="1"/>
  <c r="I176" i="49" s="1"/>
  <c r="D173" i="49"/>
  <c r="G173" i="49" s="1"/>
  <c r="J175" i="49" s="1"/>
  <c r="C173" i="49"/>
  <c r="F173" i="49" s="1"/>
  <c r="I175" i="49" s="1"/>
  <c r="I169" i="49"/>
  <c r="J169" i="49"/>
  <c r="J168" i="49"/>
  <c r="I168" i="49"/>
  <c r="F172" i="49"/>
  <c r="C172" i="49"/>
  <c r="D170" i="49"/>
  <c r="G170" i="49" s="1"/>
  <c r="J171" i="49" s="1"/>
  <c r="C170" i="49"/>
  <c r="F170" i="49" s="1"/>
  <c r="I171" i="49" s="1"/>
  <c r="D168" i="49"/>
  <c r="G168" i="49" s="1"/>
  <c r="J170" i="49" s="1"/>
  <c r="C168" i="49"/>
  <c r="F168" i="49" s="1"/>
  <c r="I170" i="49" s="1"/>
  <c r="D166" i="49"/>
  <c r="D165" i="49"/>
  <c r="H167" i="49"/>
  <c r="E167" i="49"/>
  <c r="B167" i="49"/>
  <c r="I145" i="49"/>
  <c r="J145" i="49"/>
  <c r="J144" i="49"/>
  <c r="I144" i="49"/>
  <c r="I140" i="49"/>
  <c r="J140" i="49"/>
  <c r="J139" i="49"/>
  <c r="I139" i="49"/>
  <c r="F148" i="49"/>
  <c r="C148" i="49"/>
  <c r="D146" i="49"/>
  <c r="G146" i="49" s="1"/>
  <c r="J147" i="49" s="1"/>
  <c r="C146" i="49"/>
  <c r="F146" i="49" s="1"/>
  <c r="I147" i="49" s="1"/>
  <c r="D144" i="49"/>
  <c r="G144" i="49" s="1"/>
  <c r="J146" i="49" s="1"/>
  <c r="C144" i="49"/>
  <c r="F144" i="49" s="1"/>
  <c r="I146" i="49" s="1"/>
  <c r="F143" i="49"/>
  <c r="C143" i="49"/>
  <c r="D141" i="49"/>
  <c r="G141" i="49" s="1"/>
  <c r="J142" i="49" s="1"/>
  <c r="C141" i="49"/>
  <c r="F141" i="49" s="1"/>
  <c r="I142" i="49" s="1"/>
  <c r="D139" i="49"/>
  <c r="G139" i="49" s="1"/>
  <c r="J141" i="49" s="1"/>
  <c r="C139" i="49"/>
  <c r="F139" i="49" s="1"/>
  <c r="I141" i="49" s="1"/>
  <c r="I135" i="49"/>
  <c r="J135" i="49"/>
  <c r="J134" i="49"/>
  <c r="I134" i="49"/>
  <c r="F138" i="49"/>
  <c r="C138" i="49"/>
  <c r="D136" i="49"/>
  <c r="G136" i="49" s="1"/>
  <c r="J137" i="49" s="1"/>
  <c r="C136" i="49"/>
  <c r="F136" i="49" s="1"/>
  <c r="I137" i="49" s="1"/>
  <c r="D134" i="49"/>
  <c r="G134" i="49" s="1"/>
  <c r="J136" i="49" s="1"/>
  <c r="C134" i="49"/>
  <c r="F134" i="49" s="1"/>
  <c r="I136" i="49" s="1"/>
  <c r="J130" i="49"/>
  <c r="I130" i="49"/>
  <c r="J129" i="49"/>
  <c r="I129" i="49"/>
  <c r="D127" i="49"/>
  <c r="D126" i="49"/>
  <c r="F133" i="49"/>
  <c r="C133" i="49"/>
  <c r="D131" i="49"/>
  <c r="G131" i="49" s="1"/>
  <c r="J132" i="49" s="1"/>
  <c r="C131" i="49"/>
  <c r="F131" i="49" s="1"/>
  <c r="I132" i="49" s="1"/>
  <c r="D129" i="49"/>
  <c r="G129" i="49" s="1"/>
  <c r="J131" i="49" s="1"/>
  <c r="C129" i="49"/>
  <c r="F129" i="49" s="1"/>
  <c r="I131" i="49" s="1"/>
  <c r="H128" i="49"/>
  <c r="E128" i="49"/>
  <c r="B128" i="49"/>
  <c r="J113" i="49"/>
  <c r="I113" i="49"/>
  <c r="J112" i="49"/>
  <c r="I112" i="49"/>
  <c r="C116" i="49"/>
  <c r="F116" i="49"/>
  <c r="D114" i="49"/>
  <c r="G114" i="49" s="1"/>
  <c r="J115" i="49" s="1"/>
  <c r="C114" i="49"/>
  <c r="F114" i="49" s="1"/>
  <c r="I115" i="49" s="1"/>
  <c r="D112" i="49"/>
  <c r="G112" i="49" s="1"/>
  <c r="J114" i="49" s="1"/>
  <c r="C112" i="49"/>
  <c r="F112" i="49" s="1"/>
  <c r="I114" i="49" s="1"/>
  <c r="J108" i="49"/>
  <c r="I108" i="49"/>
  <c r="J107" i="49"/>
  <c r="I107" i="49"/>
  <c r="F111" i="49"/>
  <c r="C111" i="49"/>
  <c r="D109" i="49"/>
  <c r="G109" i="49" s="1"/>
  <c r="J110" i="49" s="1"/>
  <c r="C109" i="49"/>
  <c r="F109" i="49" s="1"/>
  <c r="I110" i="49" s="1"/>
  <c r="D107" i="49"/>
  <c r="G107" i="49" s="1"/>
  <c r="J109" i="49" s="1"/>
  <c r="C107" i="49"/>
  <c r="F107" i="49" s="1"/>
  <c r="I109" i="49" s="1"/>
  <c r="H96" i="49"/>
  <c r="E96" i="49"/>
  <c r="B96" i="49"/>
  <c r="H26" i="49"/>
  <c r="E26" i="49"/>
  <c r="B26" i="49"/>
  <c r="J103" i="49"/>
  <c r="I103" i="49"/>
  <c r="J102" i="49"/>
  <c r="I102" i="49"/>
  <c r="F106" i="49"/>
  <c r="C106" i="49"/>
  <c r="D104" i="49"/>
  <c r="G104" i="49" s="1"/>
  <c r="J105" i="49" s="1"/>
  <c r="C104" i="49"/>
  <c r="F104" i="49" s="1"/>
  <c r="I105" i="49" s="1"/>
  <c r="D102" i="49"/>
  <c r="G102" i="49" s="1"/>
  <c r="J104" i="49" s="1"/>
  <c r="C102" i="49"/>
  <c r="F102" i="49" s="1"/>
  <c r="I104" i="49" s="1"/>
  <c r="I98" i="49"/>
  <c r="J98" i="49"/>
  <c r="J97" i="49"/>
  <c r="I97" i="49"/>
  <c r="D95" i="49"/>
  <c r="D94" i="49"/>
  <c r="F101" i="49"/>
  <c r="C101" i="49"/>
  <c r="D99" i="49"/>
  <c r="G99" i="49" s="1"/>
  <c r="J100" i="49" s="1"/>
  <c r="C99" i="49"/>
  <c r="F99" i="49" s="1"/>
  <c r="I100" i="49" s="1"/>
  <c r="D97" i="49"/>
  <c r="G97" i="49" s="1"/>
  <c r="J99" i="49" s="1"/>
  <c r="C97" i="49"/>
  <c r="F97" i="49" s="1"/>
  <c r="I99" i="49" s="1"/>
  <c r="I89" i="49"/>
  <c r="J89" i="49"/>
  <c r="J88" i="49"/>
  <c r="I88" i="49"/>
  <c r="F92" i="49"/>
  <c r="C92" i="49"/>
  <c r="D90" i="49"/>
  <c r="G90" i="49" s="1"/>
  <c r="J91" i="49" s="1"/>
  <c r="C90" i="49"/>
  <c r="F90" i="49" s="1"/>
  <c r="I91" i="49" s="1"/>
  <c r="D88" i="49"/>
  <c r="G88" i="49" s="1"/>
  <c r="J90" i="49" s="1"/>
  <c r="C88" i="49"/>
  <c r="F88" i="49" s="1"/>
  <c r="I90" i="49" s="1"/>
  <c r="J84" i="49"/>
  <c r="I84" i="49"/>
  <c r="J83" i="49"/>
  <c r="I83" i="49"/>
  <c r="F87" i="49"/>
  <c r="C87" i="49"/>
  <c r="D85" i="49"/>
  <c r="G85" i="49" s="1"/>
  <c r="J86" i="49" s="1"/>
  <c r="C85" i="49"/>
  <c r="F85" i="49" s="1"/>
  <c r="I86" i="49" s="1"/>
  <c r="D83" i="49"/>
  <c r="G83" i="49" s="1"/>
  <c r="J85" i="49" s="1"/>
  <c r="C83" i="49"/>
  <c r="F83" i="49" s="1"/>
  <c r="I85" i="49" s="1"/>
  <c r="I78" i="49"/>
  <c r="J78" i="49"/>
  <c r="J77" i="49"/>
  <c r="I77" i="49"/>
  <c r="F81" i="49"/>
  <c r="C81" i="49"/>
  <c r="D79" i="49"/>
  <c r="G79" i="49" s="1"/>
  <c r="J80" i="49" s="1"/>
  <c r="C79" i="49"/>
  <c r="F79" i="49" s="1"/>
  <c r="I80" i="49" s="1"/>
  <c r="D77" i="49"/>
  <c r="G77" i="49" s="1"/>
  <c r="J79" i="49" s="1"/>
  <c r="C77" i="49"/>
  <c r="F77" i="49" s="1"/>
  <c r="I79" i="49" s="1"/>
  <c r="J73" i="49"/>
  <c r="I73" i="49"/>
  <c r="J72" i="49"/>
  <c r="I72" i="49"/>
  <c r="F76" i="49"/>
  <c r="C76" i="49"/>
  <c r="D74" i="49"/>
  <c r="G74" i="49" s="1"/>
  <c r="J75" i="49" s="1"/>
  <c r="C74" i="49"/>
  <c r="F74" i="49" s="1"/>
  <c r="I75" i="49" s="1"/>
  <c r="D72" i="49"/>
  <c r="G72" i="49" s="1"/>
  <c r="J74" i="49" s="1"/>
  <c r="C72" i="49"/>
  <c r="F72" i="49" s="1"/>
  <c r="I74" i="49" s="1"/>
  <c r="I68" i="49"/>
  <c r="J68" i="49"/>
  <c r="J67" i="49"/>
  <c r="I67" i="49"/>
  <c r="F71" i="49"/>
  <c r="C71" i="49"/>
  <c r="D69" i="49"/>
  <c r="G69" i="49" s="1"/>
  <c r="J70" i="49" s="1"/>
  <c r="C69" i="49"/>
  <c r="F69" i="49" s="1"/>
  <c r="I70" i="49" s="1"/>
  <c r="D67" i="49"/>
  <c r="G67" i="49" s="1"/>
  <c r="J69" i="49" s="1"/>
  <c r="C67" i="49"/>
  <c r="F67" i="49" s="1"/>
  <c r="I69" i="49" s="1"/>
  <c r="J63" i="49"/>
  <c r="I63" i="49"/>
  <c r="J62" i="49"/>
  <c r="I62" i="49"/>
  <c r="F66" i="49"/>
  <c r="C66" i="49"/>
  <c r="D64" i="49"/>
  <c r="G64" i="49" s="1"/>
  <c r="J65" i="49" s="1"/>
  <c r="C64" i="49"/>
  <c r="F64" i="49" s="1"/>
  <c r="I65" i="49" s="1"/>
  <c r="D62" i="49"/>
  <c r="G62" i="49" s="1"/>
  <c r="J64" i="49" s="1"/>
  <c r="C62" i="49"/>
  <c r="F62" i="49" s="1"/>
  <c r="I64" i="49" s="1"/>
  <c r="J58" i="49"/>
  <c r="I58" i="49"/>
  <c r="J57" i="49"/>
  <c r="I57" i="49"/>
  <c r="F61" i="49"/>
  <c r="C61" i="49"/>
  <c r="D59" i="49"/>
  <c r="G59" i="49" s="1"/>
  <c r="J60" i="49" s="1"/>
  <c r="C59" i="49"/>
  <c r="F59" i="49" s="1"/>
  <c r="I60" i="49" s="1"/>
  <c r="D57" i="49"/>
  <c r="G57" i="49" s="1"/>
  <c r="J59" i="49" s="1"/>
  <c r="C57" i="49"/>
  <c r="F57" i="49" s="1"/>
  <c r="I59" i="49" s="1"/>
  <c r="I53" i="49"/>
  <c r="J53" i="49"/>
  <c r="J52" i="49"/>
  <c r="I52" i="49"/>
  <c r="F56" i="49"/>
  <c r="C56" i="49"/>
  <c r="D54" i="49"/>
  <c r="G54" i="49" s="1"/>
  <c r="J55" i="49" s="1"/>
  <c r="C54" i="49"/>
  <c r="F54" i="49" s="1"/>
  <c r="I55" i="49" s="1"/>
  <c r="D52" i="49"/>
  <c r="G52" i="49" s="1"/>
  <c r="J54" i="49" s="1"/>
  <c r="C52" i="49"/>
  <c r="F52" i="49" s="1"/>
  <c r="I54" i="49" s="1"/>
  <c r="J48" i="49"/>
  <c r="J47" i="49"/>
  <c r="I48" i="49"/>
  <c r="I47" i="49"/>
  <c r="F51" i="49"/>
  <c r="C51" i="49"/>
  <c r="D49" i="49"/>
  <c r="G49" i="49" s="1"/>
  <c r="J50" i="49" s="1"/>
  <c r="C49" i="49"/>
  <c r="F49" i="49" s="1"/>
  <c r="I50" i="49" s="1"/>
  <c r="D47" i="49"/>
  <c r="G47" i="49" s="1"/>
  <c r="J49" i="49" s="1"/>
  <c r="C47" i="49"/>
  <c r="F47" i="49" s="1"/>
  <c r="I49" i="49" s="1"/>
  <c r="C46" i="49"/>
  <c r="C41" i="49"/>
  <c r="J43" i="49"/>
  <c r="I43" i="49"/>
  <c r="J42" i="49"/>
  <c r="I42" i="49"/>
  <c r="F46" i="49"/>
  <c r="D44" i="49"/>
  <c r="G44" i="49" s="1"/>
  <c r="J45" i="49" s="1"/>
  <c r="C44" i="49"/>
  <c r="F44" i="49" s="1"/>
  <c r="I45" i="49" s="1"/>
  <c r="D42" i="49"/>
  <c r="G42" i="49" s="1"/>
  <c r="J44" i="49" s="1"/>
  <c r="C42" i="49"/>
  <c r="F42" i="49" s="1"/>
  <c r="I44" i="49" s="1"/>
  <c r="J38" i="49"/>
  <c r="I38" i="49"/>
  <c r="J37" i="49"/>
  <c r="I37" i="49"/>
  <c r="F41" i="49"/>
  <c r="D39" i="49"/>
  <c r="G39" i="49" s="1"/>
  <c r="J40" i="49" s="1"/>
  <c r="C39" i="49"/>
  <c r="F39" i="49" s="1"/>
  <c r="I40" i="49" s="1"/>
  <c r="D37" i="49"/>
  <c r="G37" i="49" s="1"/>
  <c r="J39" i="49" s="1"/>
  <c r="C37" i="49"/>
  <c r="F37" i="49" s="1"/>
  <c r="I39" i="49" s="1"/>
  <c r="J33" i="49"/>
  <c r="J32" i="49"/>
  <c r="I33" i="49"/>
  <c r="I32" i="49"/>
  <c r="F36" i="49"/>
  <c r="C36" i="49"/>
  <c r="D34" i="49"/>
  <c r="G34" i="49" s="1"/>
  <c r="J35" i="49" s="1"/>
  <c r="C34" i="49"/>
  <c r="F34" i="49" s="1"/>
  <c r="I35" i="49" s="1"/>
  <c r="D32" i="49"/>
  <c r="G32" i="49" s="1"/>
  <c r="J34" i="49" s="1"/>
  <c r="C32" i="49"/>
  <c r="F32" i="49" s="1"/>
  <c r="I34" i="49" s="1"/>
  <c r="J28" i="49"/>
  <c r="J27" i="49"/>
  <c r="I28" i="49"/>
  <c r="I27" i="49"/>
  <c r="F31" i="49"/>
  <c r="C31" i="49"/>
  <c r="D29" i="49"/>
  <c r="G29" i="49" s="1"/>
  <c r="J30" i="49" s="1"/>
  <c r="C29" i="49"/>
  <c r="F29" i="49" s="1"/>
  <c r="I30" i="49" s="1"/>
  <c r="D27" i="49"/>
  <c r="G27" i="49" s="1"/>
  <c r="J29" i="49" s="1"/>
  <c r="C27" i="49"/>
  <c r="F27" i="49" s="1"/>
  <c r="I29" i="49" s="1"/>
  <c r="D25" i="49"/>
  <c r="D24" i="49"/>
  <c r="D9" i="49"/>
  <c r="D8" i="49"/>
  <c r="F20" i="49"/>
  <c r="C20" i="49"/>
  <c r="C15" i="49"/>
  <c r="J18" i="49" l="1"/>
  <c r="I18" i="49"/>
  <c r="I17" i="49"/>
  <c r="I16" i="49"/>
  <c r="D18" i="49"/>
  <c r="G18" i="49" s="1"/>
  <c r="J19" i="49" s="1"/>
  <c r="C18" i="49"/>
  <c r="F18" i="49" s="1"/>
  <c r="I19" i="49" s="1"/>
  <c r="C16" i="49"/>
  <c r="F16" i="49" s="1"/>
  <c r="J17" i="49"/>
  <c r="J16" i="49"/>
  <c r="D16" i="49"/>
  <c r="G16" i="49" s="1"/>
  <c r="D11" i="49"/>
  <c r="G11" i="49" s="1"/>
  <c r="J13" i="49" s="1"/>
  <c r="J12" i="49"/>
  <c r="J11" i="49"/>
  <c r="I12" i="49"/>
  <c r="I11" i="49"/>
  <c r="F15" i="49"/>
  <c r="D13" i="49"/>
  <c r="G13" i="49" s="1"/>
  <c r="J14" i="49" s="1"/>
  <c r="C13" i="49"/>
  <c r="F13" i="49" s="1"/>
  <c r="I14" i="49" s="1"/>
  <c r="C11" i="49"/>
  <c r="F11" i="49" s="1"/>
  <c r="I13" i="49" s="1"/>
  <c r="B5" i="49" l="1"/>
  <c r="B3" i="49"/>
  <c r="B1" i="49"/>
  <c r="I2055" i="50" l="1"/>
  <c r="I2056" i="50"/>
  <c r="I2057" i="50"/>
  <c r="I2058" i="50"/>
  <c r="I2059" i="50"/>
  <c r="I2060" i="50"/>
  <c r="I2061" i="50"/>
  <c r="I2054" i="50"/>
  <c r="D1717" i="40"/>
  <c r="G18" i="38" l="1"/>
  <c r="C18" i="38"/>
  <c r="F15" i="38"/>
  <c r="E15" i="38"/>
  <c r="F14" i="38"/>
  <c r="F13" i="38"/>
  <c r="E13" i="38"/>
  <c r="E12" i="38"/>
  <c r="E11" i="38"/>
  <c r="E14" i="38"/>
  <c r="D50" i="36"/>
  <c r="D30" i="35"/>
  <c r="C29" i="33"/>
  <c r="E20" i="33"/>
  <c r="E11" i="33"/>
  <c r="E20" i="32"/>
  <c r="E11" i="32"/>
  <c r="C29" i="31"/>
  <c r="E20" i="31"/>
  <c r="E11" i="31"/>
  <c r="C29" i="30"/>
  <c r="E20" i="30"/>
  <c r="E11" i="30"/>
  <c r="E29" i="32" l="1"/>
  <c r="E29" i="33"/>
  <c r="C29" i="32"/>
  <c r="E29" i="31"/>
  <c r="E29" i="30"/>
  <c r="E11" i="28"/>
  <c r="E29" i="28" s="1"/>
  <c r="E20" i="28"/>
  <c r="E20" i="27"/>
  <c r="E11" i="27"/>
  <c r="C30" i="27"/>
  <c r="C26" i="27"/>
  <c r="C20" i="27"/>
  <c r="C11" i="27"/>
  <c r="D31" i="25"/>
  <c r="C31" i="25"/>
  <c r="D27" i="25"/>
  <c r="C27" i="25"/>
  <c r="D21" i="25"/>
  <c r="C21" i="25"/>
  <c r="D12" i="25"/>
  <c r="C12" i="25"/>
  <c r="E33" i="25"/>
  <c r="E32" i="25"/>
  <c r="E30" i="25"/>
  <c r="E29" i="25"/>
  <c r="E28" i="25"/>
  <c r="E27" i="25"/>
  <c r="E26" i="25"/>
  <c r="E25" i="25"/>
  <c r="E24" i="25"/>
  <c r="E23" i="25"/>
  <c r="E22" i="25"/>
  <c r="E20" i="25"/>
  <c r="E19" i="25"/>
  <c r="E18" i="25"/>
  <c r="E17" i="25"/>
  <c r="E16" i="25"/>
  <c r="E15" i="25"/>
  <c r="E14" i="25"/>
  <c r="E13" i="25"/>
  <c r="E34" i="25"/>
  <c r="E35" i="25"/>
  <c r="E51" i="25"/>
  <c r="D46" i="25"/>
  <c r="C46" i="25"/>
  <c r="E46" i="25" s="1"/>
  <c r="D40" i="25"/>
  <c r="C40" i="25"/>
  <c r="E52" i="25"/>
  <c r="E50" i="25"/>
  <c r="E49" i="25"/>
  <c r="E47" i="25"/>
  <c r="E45" i="25"/>
  <c r="E44" i="25"/>
  <c r="E43" i="25"/>
  <c r="E42" i="25"/>
  <c r="E41" i="25"/>
  <c r="F36" i="18"/>
  <c r="I1676" i="50"/>
  <c r="I1677" i="50"/>
  <c r="E36" i="27" l="1"/>
  <c r="E40" i="25"/>
  <c r="E53" i="25" s="1"/>
  <c r="D53" i="25"/>
  <c r="D36" i="25"/>
  <c r="E31" i="25"/>
  <c r="C36" i="25"/>
  <c r="E12" i="25"/>
  <c r="C53" i="25"/>
  <c r="E21" i="25"/>
  <c r="I2580" i="50"/>
  <c r="I2581" i="50"/>
  <c r="I2572" i="50"/>
  <c r="I2515" i="50"/>
  <c r="I2485" i="50"/>
  <c r="I2484" i="50"/>
  <c r="I2483" i="50"/>
  <c r="I2482" i="50"/>
  <c r="I2481" i="50"/>
  <c r="I2480" i="50"/>
  <c r="E36" i="25" l="1"/>
  <c r="E421" i="7"/>
  <c r="E597" i="7"/>
  <c r="I3849" i="50"/>
  <c r="I3848" i="50"/>
  <c r="I3847" i="50"/>
  <c r="D3315" i="40"/>
  <c r="I3485" i="50"/>
  <c r="I3483" i="50"/>
  <c r="I3482" i="50"/>
  <c r="I3481" i="50"/>
  <c r="D3050" i="40"/>
  <c r="G10" i="36"/>
  <c r="I2022" i="50"/>
  <c r="I2021" i="50"/>
  <c r="I2020" i="50"/>
  <c r="I2019" i="50"/>
  <c r="I1967" i="50"/>
  <c r="I1966" i="50"/>
  <c r="I1965" i="50"/>
  <c r="I1964" i="50"/>
  <c r="I3007" i="50"/>
  <c r="I3014" i="50"/>
  <c r="I3000" i="50" l="1"/>
  <c r="I2151" i="50" l="1"/>
  <c r="I2150" i="50"/>
  <c r="I2149" i="50"/>
  <c r="I2148" i="50"/>
  <c r="I3324" i="50"/>
  <c r="I3325" i="50"/>
  <c r="I1011" i="50"/>
  <c r="E2605" i="40"/>
  <c r="I2943" i="50" s="1"/>
  <c r="I4088" i="50"/>
  <c r="I4089" i="50"/>
  <c r="I4090" i="50"/>
  <c r="I4091" i="50"/>
  <c r="I4092" i="50"/>
  <c r="I4093" i="50"/>
  <c r="I4094" i="50"/>
  <c r="I4095" i="50"/>
  <c r="I4087" i="50"/>
  <c r="D3481" i="40"/>
  <c r="I4075" i="50"/>
  <c r="I4076" i="50"/>
  <c r="I4077" i="50"/>
  <c r="I4078" i="50"/>
  <c r="I4079" i="50"/>
  <c r="I4080" i="50"/>
  <c r="I4081" i="50"/>
  <c r="I4082" i="50"/>
  <c r="I4074" i="50"/>
  <c r="D3471" i="40"/>
  <c r="I4065" i="50"/>
  <c r="I4066" i="50"/>
  <c r="I4067" i="50"/>
  <c r="I4068" i="50"/>
  <c r="I4069" i="50"/>
  <c r="I4064" i="50"/>
  <c r="D3464" i="40"/>
  <c r="I4073" i="50" l="1"/>
  <c r="I4086" i="50"/>
  <c r="I4063" i="50"/>
  <c r="I1433" i="49" l="1"/>
  <c r="I1348" i="56"/>
  <c r="I1443" i="49"/>
  <c r="I1358" i="56"/>
  <c r="I1438" i="49"/>
  <c r="I1353" i="56"/>
  <c r="C10" i="26"/>
  <c r="I4109" i="50"/>
  <c r="I4110" i="50"/>
  <c r="I4111" i="50"/>
  <c r="I4112" i="50"/>
  <c r="I4113" i="50"/>
  <c r="I4114" i="50"/>
  <c r="I4115" i="50"/>
  <c r="I4108" i="50"/>
  <c r="D3492" i="40"/>
  <c r="I4053" i="50"/>
  <c r="I4054" i="50"/>
  <c r="I4055" i="50"/>
  <c r="I4056" i="50"/>
  <c r="I4057" i="50"/>
  <c r="I4058" i="50"/>
  <c r="I4059" i="50"/>
  <c r="I4052" i="50"/>
  <c r="D3455" i="40"/>
  <c r="I4032" i="50"/>
  <c r="I4030" i="50"/>
  <c r="D3450" i="40"/>
  <c r="I4019" i="50"/>
  <c r="I4020" i="50"/>
  <c r="I4021" i="50"/>
  <c r="I4022" i="50"/>
  <c r="I4023" i="50"/>
  <c r="D3442" i="40"/>
  <c r="I4007" i="50"/>
  <c r="I4008" i="50"/>
  <c r="I4010" i="50"/>
  <c r="I4011" i="50"/>
  <c r="I4005" i="50"/>
  <c r="D3434" i="40"/>
  <c r="E3423" i="40"/>
  <c r="I3980" i="50"/>
  <c r="I3981" i="50"/>
  <c r="I3982" i="50"/>
  <c r="I3983" i="50"/>
  <c r="I3984" i="50"/>
  <c r="I3985" i="50"/>
  <c r="I3986" i="50"/>
  <c r="I3987" i="50"/>
  <c r="I3988" i="50"/>
  <c r="I3990" i="50"/>
  <c r="I3991" i="50"/>
  <c r="I3992" i="50"/>
  <c r="I3993" i="50"/>
  <c r="I3994" i="50"/>
  <c r="I3995" i="50"/>
  <c r="I3996" i="50"/>
  <c r="I3997" i="50"/>
  <c r="I3998" i="50"/>
  <c r="I3999" i="50"/>
  <c r="I3979" i="50"/>
  <c r="D3412" i="40"/>
  <c r="I3967" i="50"/>
  <c r="I3968" i="50"/>
  <c r="I3969" i="50"/>
  <c r="I3970" i="50"/>
  <c r="I3971" i="50"/>
  <c r="I3972" i="50"/>
  <c r="I3973" i="50"/>
  <c r="I3974" i="50"/>
  <c r="I3966" i="50"/>
  <c r="D3402" i="40"/>
  <c r="I3953" i="50"/>
  <c r="I3954" i="50"/>
  <c r="I3955" i="50"/>
  <c r="I3956" i="50"/>
  <c r="I3957" i="50"/>
  <c r="I3958" i="50"/>
  <c r="I3959" i="50"/>
  <c r="I3960" i="50"/>
  <c r="I3961" i="50"/>
  <c r="D3392" i="40"/>
  <c r="I3940" i="50"/>
  <c r="I3941" i="50"/>
  <c r="I3943" i="50"/>
  <c r="I3944" i="50"/>
  <c r="I3945" i="50"/>
  <c r="I3946" i="50"/>
  <c r="I3947" i="50"/>
  <c r="I3948" i="50"/>
  <c r="I3939" i="50"/>
  <c r="I3942" i="50"/>
  <c r="D3381" i="40"/>
  <c r="I3912" i="50"/>
  <c r="I3913" i="50"/>
  <c r="I3914" i="50"/>
  <c r="I3915" i="50"/>
  <c r="I3916" i="50"/>
  <c r="I3917" i="50"/>
  <c r="I3918" i="50"/>
  <c r="I3919" i="50"/>
  <c r="I3920" i="50"/>
  <c r="I3921" i="50"/>
  <c r="I3923" i="50"/>
  <c r="I3925" i="50"/>
  <c r="I3926" i="50"/>
  <c r="I3927" i="50"/>
  <c r="I3928" i="50"/>
  <c r="I3930" i="50"/>
  <c r="I3931" i="50"/>
  <c r="I3911" i="50"/>
  <c r="I3932" i="50"/>
  <c r="D3353" i="40"/>
  <c r="I3898" i="50"/>
  <c r="I3899" i="50"/>
  <c r="I3900" i="50"/>
  <c r="I3901" i="50"/>
  <c r="I3902" i="50"/>
  <c r="I3903" i="50"/>
  <c r="I3904" i="50"/>
  <c r="I3905" i="50"/>
  <c r="I3897" i="50"/>
  <c r="I3885" i="50"/>
  <c r="I3886" i="50"/>
  <c r="I3887" i="50"/>
  <c r="I3888" i="50"/>
  <c r="I3889" i="50"/>
  <c r="I3890" i="50"/>
  <c r="I3891" i="50"/>
  <c r="I3892" i="50"/>
  <c r="I3884" i="50"/>
  <c r="D3343" i="40"/>
  <c r="D3333" i="40"/>
  <c r="I3871" i="50"/>
  <c r="I3873" i="50"/>
  <c r="I3874" i="50"/>
  <c r="I3875" i="50"/>
  <c r="I3876" i="50"/>
  <c r="I3877" i="50"/>
  <c r="I3878" i="50"/>
  <c r="I3879" i="50"/>
  <c r="I3870" i="50"/>
  <c r="D3322" i="40"/>
  <c r="D3320" i="40"/>
  <c r="I3829" i="50"/>
  <c r="I3831" i="50"/>
  <c r="I3832" i="50"/>
  <c r="I3833" i="50"/>
  <c r="I3834" i="50"/>
  <c r="D3303" i="40"/>
  <c r="I3811" i="50"/>
  <c r="D3292" i="40"/>
  <c r="I3798" i="50"/>
  <c r="I3799" i="50"/>
  <c r="I3801" i="50"/>
  <c r="I3803" i="50"/>
  <c r="I3804" i="50"/>
  <c r="I3805" i="50"/>
  <c r="I3806" i="50"/>
  <c r="D3281" i="40"/>
  <c r="I3784" i="50"/>
  <c r="I3787" i="50"/>
  <c r="I3789" i="50"/>
  <c r="I3790" i="50"/>
  <c r="I3791" i="50"/>
  <c r="I3792" i="50"/>
  <c r="I3783" i="50"/>
  <c r="D3270" i="40"/>
  <c r="I3770" i="50"/>
  <c r="I3769" i="50"/>
  <c r="I3768" i="50"/>
  <c r="I3767" i="50"/>
  <c r="I3766" i="50"/>
  <c r="D3263" i="40"/>
  <c r="I3761" i="50"/>
  <c r="I3760" i="50"/>
  <c r="I3759" i="50"/>
  <c r="I3758" i="50"/>
  <c r="I3757" i="50"/>
  <c r="D3257" i="40"/>
  <c r="I3752" i="50"/>
  <c r="I3751" i="50" s="1"/>
  <c r="D3255" i="40"/>
  <c r="I3747" i="50"/>
  <c r="I3746" i="50" s="1"/>
  <c r="D3253" i="40"/>
  <c r="I3728" i="50"/>
  <c r="I3729" i="50"/>
  <c r="I3730" i="50"/>
  <c r="I3731" i="50"/>
  <c r="I3732" i="50"/>
  <c r="I3733" i="50"/>
  <c r="I3735" i="50"/>
  <c r="I3737" i="50"/>
  <c r="I3738" i="50"/>
  <c r="I3739" i="50"/>
  <c r="I3740" i="50"/>
  <c r="I3741" i="50"/>
  <c r="I3742" i="50"/>
  <c r="I3727" i="50"/>
  <c r="I3726" i="50"/>
  <c r="I3725" i="50"/>
  <c r="I3630" i="50"/>
  <c r="I3654" i="50" s="1"/>
  <c r="I3631" i="50"/>
  <c r="I3632" i="50"/>
  <c r="I3633" i="50"/>
  <c r="I3634" i="50"/>
  <c r="I3635" i="50"/>
  <c r="I3636" i="50"/>
  <c r="I3638" i="50"/>
  <c r="I3639" i="50"/>
  <c r="I3640" i="50"/>
  <c r="I3641" i="50"/>
  <c r="I3642" i="50"/>
  <c r="I3643" i="50"/>
  <c r="I3644" i="50"/>
  <c r="I3645" i="50"/>
  <c r="I3646" i="50"/>
  <c r="I3647" i="50"/>
  <c r="I3648" i="50"/>
  <c r="I3649" i="50"/>
  <c r="I3650" i="50"/>
  <c r="I3629" i="50"/>
  <c r="I3610" i="50"/>
  <c r="I3611" i="50"/>
  <c r="I3612" i="50"/>
  <c r="I3613" i="50"/>
  <c r="I3614" i="50"/>
  <c r="I3615" i="50"/>
  <c r="I3616" i="50"/>
  <c r="I3609" i="50"/>
  <c r="I3589" i="50"/>
  <c r="I3590" i="50"/>
  <c r="I3591" i="50"/>
  <c r="I3592" i="50"/>
  <c r="I3593" i="50"/>
  <c r="I3580" i="50"/>
  <c r="I3581" i="50"/>
  <c r="I3582" i="50"/>
  <c r="I3583" i="50"/>
  <c r="I3579" i="50"/>
  <c r="D3111" i="40"/>
  <c r="I3571" i="50"/>
  <c r="I3572" i="50"/>
  <c r="I3573" i="50"/>
  <c r="I3574" i="50"/>
  <c r="I3570" i="50"/>
  <c r="I3562" i="50"/>
  <c r="I3563" i="50"/>
  <c r="I3564" i="50"/>
  <c r="I3565" i="50"/>
  <c r="I3561" i="50"/>
  <c r="I3550" i="50"/>
  <c r="I3551" i="50"/>
  <c r="I3552" i="50"/>
  <c r="I3553" i="50"/>
  <c r="I3554" i="50"/>
  <c r="I3555" i="50"/>
  <c r="I3556" i="50"/>
  <c r="I3539" i="50"/>
  <c r="I3540" i="50"/>
  <c r="I3541" i="50"/>
  <c r="I3542" i="50"/>
  <c r="I3543" i="50"/>
  <c r="I3528" i="50"/>
  <c r="I3529" i="50"/>
  <c r="I3530" i="50"/>
  <c r="I3531" i="50"/>
  <c r="I3532" i="50"/>
  <c r="I3527" i="50"/>
  <c r="I3505" i="50"/>
  <c r="I3504" i="50"/>
  <c r="I3503" i="50"/>
  <c r="I3502" i="50"/>
  <c r="I3501" i="50"/>
  <c r="I3499" i="50"/>
  <c r="D3062" i="40"/>
  <c r="I3494" i="50"/>
  <c r="D3059" i="40"/>
  <c r="I3489" i="50"/>
  <c r="D3056" i="40"/>
  <c r="I3477" i="50"/>
  <c r="I3476" i="50"/>
  <c r="I3475" i="50"/>
  <c r="I3474" i="50"/>
  <c r="I3473" i="50"/>
  <c r="I3472" i="50"/>
  <c r="I3470" i="50"/>
  <c r="I3469" i="50"/>
  <c r="I3468" i="50"/>
  <c r="I3467" i="50"/>
  <c r="E3043" i="40"/>
  <c r="I3471" i="50" s="1"/>
  <c r="D3038" i="40"/>
  <c r="I3462" i="50"/>
  <c r="I3461" i="50" s="1"/>
  <c r="I3460" i="50" s="1"/>
  <c r="D3036" i="40"/>
  <c r="I3459" i="50"/>
  <c r="I3458" i="50"/>
  <c r="I3457" i="50"/>
  <c r="I3456" i="50"/>
  <c r="I3455" i="50"/>
  <c r="I3452" i="50"/>
  <c r="I3451" i="50"/>
  <c r="E3029" i="40"/>
  <c r="I3453" i="50" s="1"/>
  <c r="D3026" i="40"/>
  <c r="I3447" i="50"/>
  <c r="I3446" i="50"/>
  <c r="I3445" i="50"/>
  <c r="I3443" i="50"/>
  <c r="I3442" i="50"/>
  <c r="I3441" i="50"/>
  <c r="I3440" i="50"/>
  <c r="I3439" i="50"/>
  <c r="I3438" i="50"/>
  <c r="I3437" i="50"/>
  <c r="I3436" i="50"/>
  <c r="I3509" i="50" s="1"/>
  <c r="I3435" i="50"/>
  <c r="I4037" i="50" l="1"/>
  <c r="I3896" i="50"/>
  <c r="I3869" i="50"/>
  <c r="I3883" i="50"/>
  <c r="I1308" i="49"/>
  <c r="I1227" i="56"/>
  <c r="I1313" i="49"/>
  <c r="I1232" i="56"/>
  <c r="I3952" i="50"/>
  <c r="I4051" i="50"/>
  <c r="I4107" i="50"/>
  <c r="I1367" i="56" s="1"/>
  <c r="I3756" i="50"/>
  <c r="I3824" i="50"/>
  <c r="I3765" i="50"/>
  <c r="I3655" i="50"/>
  <c r="I3514" i="50"/>
  <c r="I3450" i="50"/>
  <c r="I3466" i="50"/>
  <c r="D3012" i="40"/>
  <c r="I3218" i="50"/>
  <c r="I3217" i="50"/>
  <c r="I3216" i="50"/>
  <c r="I3215" i="50"/>
  <c r="I1369" i="49" l="1"/>
  <c r="I1284" i="56"/>
  <c r="I1323" i="49"/>
  <c r="I1242" i="56"/>
  <c r="I1347" i="49"/>
  <c r="I1266" i="56"/>
  <c r="I1318" i="49"/>
  <c r="I1237" i="56"/>
  <c r="I1428" i="49"/>
  <c r="I1343" i="56"/>
  <c r="I1394" i="49"/>
  <c r="I1309" i="56"/>
  <c r="I4116" i="50"/>
  <c r="I4119" i="50" s="1"/>
  <c r="I1454" i="49"/>
  <c r="I4096" i="50"/>
  <c r="C15" i="26"/>
  <c r="I3465" i="50"/>
  <c r="I3464" i="50" s="1"/>
  <c r="I3070" i="50"/>
  <c r="I2875" i="50"/>
  <c r="I2876" i="50"/>
  <c r="I2877" i="50"/>
  <c r="I2878" i="50"/>
  <c r="I2655" i="50"/>
  <c r="I2647" i="50"/>
  <c r="I2648" i="50"/>
  <c r="I2649" i="50"/>
  <c r="I2650" i="50"/>
  <c r="I2532" i="50"/>
  <c r="I2555" i="50"/>
  <c r="I2554" i="50"/>
  <c r="I2553" i="50"/>
  <c r="I2552" i="50"/>
  <c r="I2466" i="50"/>
  <c r="I2467" i="50"/>
  <c r="I2468" i="50"/>
  <c r="I2469" i="50"/>
  <c r="I2402" i="50"/>
  <c r="I2401" i="50"/>
  <c r="I2400" i="50"/>
  <c r="I1764" i="50"/>
  <c r="I1763" i="50"/>
  <c r="I1762" i="50"/>
  <c r="I1761" i="50"/>
  <c r="I1693" i="50"/>
  <c r="I1240" i="50" l="1"/>
  <c r="I1239" i="50"/>
  <c r="I1238" i="50"/>
  <c r="I1237" i="50"/>
  <c r="I1236" i="50"/>
  <c r="I1313" i="50" l="1"/>
  <c r="I1312" i="50"/>
  <c r="I1311" i="50"/>
  <c r="I1310" i="50"/>
  <c r="I747" i="50" l="1"/>
  <c r="I609" i="50" l="1"/>
  <c r="I608" i="50"/>
  <c r="I607" i="50"/>
  <c r="I606" i="50"/>
  <c r="I410" i="50"/>
  <c r="I409" i="50"/>
  <c r="E553" i="7"/>
  <c r="I129" i="50"/>
  <c r="I2787" i="50" l="1"/>
  <c r="I2786" i="50"/>
  <c r="I2785" i="50"/>
  <c r="I2784" i="50"/>
  <c r="I2773" i="50"/>
  <c r="I2772" i="50"/>
  <c r="I2771" i="50"/>
  <c r="I2770" i="50"/>
  <c r="I2292" i="50" l="1"/>
  <c r="I2291" i="50"/>
  <c r="I2290" i="50"/>
  <c r="I2289" i="50"/>
  <c r="I2250" i="50"/>
  <c r="I2249" i="50"/>
  <c r="I2248" i="50"/>
  <c r="I2247" i="50"/>
  <c r="I2208" i="50"/>
  <c r="I2206" i="50"/>
  <c r="I2165" i="50"/>
  <c r="D418" i="40"/>
  <c r="E94" i="40"/>
  <c r="I3965" i="50" l="1"/>
  <c r="I3951" i="50"/>
  <c r="I3950" i="50" s="1"/>
  <c r="I3949" i="50" s="1"/>
  <c r="I3938" i="50"/>
  <c r="I1304" i="56" s="1"/>
  <c r="I1294" i="56"/>
  <c r="I1289" i="56"/>
  <c r="I3868" i="50"/>
  <c r="I3867" i="50" s="1"/>
  <c r="I3866" i="50" s="1"/>
  <c r="I1399" i="49" l="1"/>
  <c r="I1314" i="56"/>
  <c r="I3937" i="50"/>
  <c r="I3936" i="50" s="1"/>
  <c r="I3935" i="50" s="1"/>
  <c r="I1389" i="49"/>
  <c r="I3895" i="50"/>
  <c r="I3894" i="50" s="1"/>
  <c r="I3893" i="50" s="1"/>
  <c r="I1379" i="49"/>
  <c r="I3882" i="50"/>
  <c r="I3881" i="50" s="1"/>
  <c r="I3880" i="50" s="1"/>
  <c r="I1374" i="49"/>
  <c r="I3964" i="50"/>
  <c r="I3963" i="50" s="1"/>
  <c r="I3962" i="50" s="1"/>
  <c r="I3810" i="50" l="1"/>
  <c r="I3782" i="50"/>
  <c r="I1342" i="49" l="1"/>
  <c r="I1261" i="56"/>
  <c r="I1332" i="49"/>
  <c r="I1251" i="56"/>
  <c r="I3164" i="50"/>
  <c r="I3163" i="50"/>
  <c r="I2972" i="50" l="1"/>
  <c r="I2163" i="50" l="1"/>
  <c r="I1981" i="50" l="1"/>
  <c r="I1980" i="50"/>
  <c r="I1979" i="50"/>
  <c r="I1978" i="50"/>
  <c r="I1977" i="50"/>
  <c r="I1972" i="50"/>
  <c r="I1971" i="50" s="1"/>
  <c r="I1926" i="50"/>
  <c r="I1925" i="50"/>
  <c r="I1924" i="50"/>
  <c r="I1923" i="50"/>
  <c r="I503" i="49" l="1"/>
  <c r="I486" i="56"/>
  <c r="I1976" i="50"/>
  <c r="I496" i="56" s="1"/>
  <c r="I1970" i="50"/>
  <c r="I1969" i="50"/>
  <c r="I1968" i="50" s="1"/>
  <c r="I1574" i="50"/>
  <c r="I1573" i="50"/>
  <c r="I1572" i="50"/>
  <c r="I1571" i="50"/>
  <c r="I1570" i="50"/>
  <c r="I1569" i="50"/>
  <c r="D1396" i="40"/>
  <c r="I1975" i="50" l="1"/>
  <c r="I513" i="49"/>
  <c r="I1974" i="50"/>
  <c r="I1973" i="50" s="1"/>
  <c r="I1487" i="50"/>
  <c r="I1486" i="50"/>
  <c r="I1485" i="50"/>
  <c r="I1484" i="50"/>
  <c r="I1483" i="50"/>
  <c r="I1482" i="50" l="1"/>
  <c r="I1088" i="50"/>
  <c r="I1087" i="50"/>
  <c r="I1086" i="50"/>
  <c r="I1085" i="50"/>
  <c r="I1084" i="50"/>
  <c r="I1083" i="50"/>
  <c r="I1082" i="50"/>
  <c r="D988" i="40"/>
  <c r="I331" i="49" l="1"/>
  <c r="I322" i="56"/>
  <c r="I1081" i="50"/>
  <c r="I1130" i="50"/>
  <c r="I883" i="50"/>
  <c r="I882" i="50"/>
  <c r="I881" i="50"/>
  <c r="I880" i="50"/>
  <c r="I879" i="50"/>
  <c r="I493" i="50"/>
  <c r="I492" i="50"/>
  <c r="I491" i="50"/>
  <c r="I490" i="50"/>
  <c r="I475" i="50"/>
  <c r="D440" i="40"/>
  <c r="I233" i="49" l="1"/>
  <c r="I227" i="56"/>
  <c r="I878" i="50"/>
  <c r="I139" i="50"/>
  <c r="I138" i="50"/>
  <c r="I137" i="50"/>
  <c r="I136" i="50"/>
  <c r="I135" i="50"/>
  <c r="I134" i="50"/>
  <c r="D125" i="40"/>
  <c r="D132" i="40"/>
  <c r="D133" i="40"/>
  <c r="D134" i="40"/>
  <c r="I241" i="50"/>
  <c r="I212" i="49" l="1"/>
  <c r="I206" i="56"/>
  <c r="I133" i="50"/>
  <c r="I132" i="50" s="1"/>
  <c r="E2150" i="40" l="1"/>
  <c r="I2194" i="50"/>
  <c r="I2161" i="50"/>
  <c r="I2147" i="50"/>
  <c r="E1829" i="40"/>
  <c r="I2142" i="50" s="1"/>
  <c r="I2141" i="50" s="1"/>
  <c r="I2137" i="50"/>
  <c r="I2136" i="50"/>
  <c r="I2135" i="50"/>
  <c r="I2134" i="50"/>
  <c r="I2133" i="50"/>
  <c r="I2132" i="50"/>
  <c r="I2131" i="50"/>
  <c r="I2127" i="50"/>
  <c r="I2126" i="50"/>
  <c r="I2125" i="50"/>
  <c r="I2124" i="50"/>
  <c r="I2122" i="50"/>
  <c r="I2121" i="50"/>
  <c r="I2119" i="50"/>
  <c r="I2118" i="50"/>
  <c r="I2117" i="50"/>
  <c r="I2114" i="50"/>
  <c r="I2113" i="50"/>
  <c r="I2116" i="50"/>
  <c r="E1605" i="40"/>
  <c r="I1939" i="50" s="1"/>
  <c r="I1931" i="50"/>
  <c r="I582" i="49" l="1"/>
  <c r="I555" i="56"/>
  <c r="I2146" i="50"/>
  <c r="E1600" i="40"/>
  <c r="I1937" i="50" s="1"/>
  <c r="E1597" i="40"/>
  <c r="I1936" i="50" s="1"/>
  <c r="I1907" i="50"/>
  <c r="I1906" i="50"/>
  <c r="I1905" i="50"/>
  <c r="I1904" i="50"/>
  <c r="I1902" i="50"/>
  <c r="I1898" i="50"/>
  <c r="I1897" i="50"/>
  <c r="I1908" i="50"/>
  <c r="E1555" i="40"/>
  <c r="I1899" i="50" s="1"/>
  <c r="I1881" i="50"/>
  <c r="I1880" i="50"/>
  <c r="I1879" i="50"/>
  <c r="I1878" i="50"/>
  <c r="I1877" i="50"/>
  <c r="I1876" i="50"/>
  <c r="I1870" i="50"/>
  <c r="E1533" i="40"/>
  <c r="I1869" i="50"/>
  <c r="I1868" i="50"/>
  <c r="I1867" i="50"/>
  <c r="I1866" i="50"/>
  <c r="I587" i="49" l="1"/>
  <c r="I560" i="56"/>
  <c r="I1871" i="50"/>
  <c r="I1865" i="50" s="1"/>
  <c r="I3715" i="50" l="1"/>
  <c r="I3714" i="50"/>
  <c r="I3713" i="50"/>
  <c r="I3712" i="50"/>
  <c r="I3711" i="50"/>
  <c r="I3709" i="50"/>
  <c r="I3706" i="50"/>
  <c r="I3705" i="50"/>
  <c r="I3704" i="50"/>
  <c r="I3702" i="50"/>
  <c r="I3700" i="50"/>
  <c r="D3219" i="40"/>
  <c r="E3220" i="40" l="1"/>
  <c r="I3720" i="50" s="1"/>
  <c r="I3764" i="50"/>
  <c r="I3763" i="50" s="1"/>
  <c r="I3762" i="50" s="1"/>
  <c r="I3750" i="50"/>
  <c r="I3745" i="50"/>
  <c r="I3744" i="50" s="1"/>
  <c r="I3743" i="50" s="1"/>
  <c r="I3690" i="50"/>
  <c r="I3689" i="50"/>
  <c r="I3688" i="50"/>
  <c r="I3687" i="50"/>
  <c r="I3686" i="50"/>
  <c r="I3685" i="50"/>
  <c r="D3179" i="40"/>
  <c r="I3684" i="50" l="1"/>
  <c r="I3749" i="50"/>
  <c r="I3748" i="50" s="1"/>
  <c r="D3186" i="40"/>
  <c r="I3680" i="50"/>
  <c r="I3679" i="50"/>
  <c r="I3678" i="50"/>
  <c r="I3677" i="50"/>
  <c r="I3676" i="50"/>
  <c r="I3675" i="50"/>
  <c r="D3172" i="40"/>
  <c r="D3148" i="40"/>
  <c r="D3145" i="40"/>
  <c r="D3135" i="40"/>
  <c r="I3601" i="50"/>
  <c r="I3602" i="50"/>
  <c r="I3603" i="50"/>
  <c r="I3604" i="50"/>
  <c r="I3598" i="50"/>
  <c r="D3126" i="40"/>
  <c r="I3588" i="50"/>
  <c r="D3118" i="40"/>
  <c r="D3104" i="40"/>
  <c r="I3549" i="50"/>
  <c r="D3097" i="40"/>
  <c r="D3087" i="40"/>
  <c r="I3538" i="50"/>
  <c r="D3079" i="40"/>
  <c r="D3071" i="40"/>
  <c r="I3674" i="50" l="1"/>
  <c r="I4117" i="50"/>
  <c r="I4085" i="50" s="1"/>
  <c r="I4084" i="50" s="1"/>
  <c r="I4083" i="50" s="1"/>
  <c r="I4106" i="50"/>
  <c r="I4105" i="50" s="1"/>
  <c r="I4104" i="50" s="1"/>
  <c r="I3755" i="50"/>
  <c r="I3754" i="50" s="1"/>
  <c r="I3753" i="50" s="1"/>
  <c r="E543" i="7"/>
  <c r="E701" i="7" s="1"/>
  <c r="E3078" i="40" s="1"/>
  <c r="I3533" i="50" s="1"/>
  <c r="I3526" i="50" s="1"/>
  <c r="E542" i="7"/>
  <c r="E700" i="7" s="1"/>
  <c r="E3086" i="40" s="1"/>
  <c r="I3544" i="50" s="1"/>
  <c r="I3537" i="50" s="1"/>
  <c r="E541" i="7"/>
  <c r="E699" i="7" s="1"/>
  <c r="E3117" i="40" s="1"/>
  <c r="I3584" i="50" s="1"/>
  <c r="I3578" i="50" s="1"/>
  <c r="E540" i="7"/>
  <c r="E698" i="7" s="1"/>
  <c r="E3110" i="40" s="1"/>
  <c r="I3575" i="50" s="1"/>
  <c r="I3569" i="50" s="1"/>
  <c r="I1171" i="56" s="1"/>
  <c r="I1161" i="56" l="1"/>
  <c r="I3664" i="50"/>
  <c r="I1156" i="56"/>
  <c r="I1232" i="49"/>
  <c r="I3665" i="50"/>
  <c r="I1237" i="49"/>
  <c r="I1176" i="56"/>
  <c r="I3663" i="50"/>
  <c r="I1252" i="49"/>
  <c r="I1289" i="49"/>
  <c r="I1212" i="56"/>
  <c r="I3662" i="50"/>
  <c r="I1247" i="49"/>
  <c r="I3577" i="50"/>
  <c r="I3576" i="50" s="1"/>
  <c r="I3525" i="50"/>
  <c r="I3524" i="50" s="1"/>
  <c r="I3523" i="50" s="1"/>
  <c r="I3536" i="50"/>
  <c r="I3535" i="50" s="1"/>
  <c r="I3534" i="50" s="1"/>
  <c r="I3568" i="50"/>
  <c r="I3567" i="50" s="1"/>
  <c r="I3673" i="50"/>
  <c r="I3672" i="50" s="1"/>
  <c r="I3671" i="50" s="1"/>
  <c r="I3823" i="50" l="1"/>
  <c r="I3822" i="50" s="1"/>
  <c r="I3821" i="50" s="1"/>
  <c r="I3809" i="50" s="1"/>
  <c r="I3808" i="50" s="1"/>
  <c r="I3807" i="50" s="1"/>
  <c r="I3781" i="50"/>
  <c r="I3780" i="50" s="1"/>
  <c r="I3779" i="50" s="1"/>
  <c r="I3449" i="50" l="1"/>
  <c r="I3448" i="50" s="1"/>
  <c r="I3426" i="50" l="1"/>
  <c r="D3005" i="40"/>
  <c r="I3431" i="50"/>
  <c r="I3430" i="50"/>
  <c r="I3429" i="50"/>
  <c r="I3428" i="50"/>
  <c r="I3427" i="50"/>
  <c r="I3425" i="50" l="1"/>
  <c r="I3510" i="50" s="1"/>
  <c r="I3036" i="50"/>
  <c r="I3422" i="50"/>
  <c r="I3420" i="50"/>
  <c r="I3419" i="50"/>
  <c r="I3418" i="50"/>
  <c r="I3417" i="50"/>
  <c r="E3003" i="40"/>
  <c r="I3421" i="50" s="1"/>
  <c r="D2998" i="40"/>
  <c r="I3424" i="50" l="1"/>
  <c r="I3423" i="50" s="1"/>
  <c r="I3416" i="50"/>
  <c r="I1127" i="56" s="1"/>
  <c r="I1197" i="49" l="1"/>
  <c r="I3517" i="50"/>
  <c r="I3415" i="50"/>
  <c r="I3414" i="50" s="1"/>
  <c r="I3413" i="50" s="1"/>
  <c r="I3403" i="50"/>
  <c r="I3402" i="50"/>
  <c r="I3401" i="50"/>
  <c r="I3400" i="50"/>
  <c r="I3399" i="50"/>
  <c r="I3398" i="50"/>
  <c r="I3397" i="50"/>
  <c r="I3396" i="50"/>
  <c r="I3395" i="50"/>
  <c r="I3394" i="50"/>
  <c r="I3393" i="50"/>
  <c r="I3392" i="50"/>
  <c r="I3391" i="50"/>
  <c r="I3390" i="50"/>
  <c r="I3389" i="50"/>
  <c r="I3388" i="50"/>
  <c r="I3387" i="50"/>
  <c r="I3386" i="50"/>
  <c r="I3385" i="50"/>
  <c r="I3384" i="50"/>
  <c r="I3383" i="50"/>
  <c r="I3382" i="50"/>
  <c r="I3377" i="50"/>
  <c r="I3376" i="50"/>
  <c r="I3375" i="50"/>
  <c r="I3374" i="50"/>
  <c r="I3373" i="50"/>
  <c r="I3372" i="50"/>
  <c r="I3371" i="50"/>
  <c r="I3370" i="50"/>
  <c r="I3369" i="50"/>
  <c r="I3368" i="50"/>
  <c r="I3367" i="50"/>
  <c r="I3366" i="50"/>
  <c r="I3365" i="50"/>
  <c r="I3364" i="50"/>
  <c r="I3363" i="50"/>
  <c r="I3362" i="50"/>
  <c r="I3361" i="50"/>
  <c r="I3360" i="50"/>
  <c r="I3359" i="50"/>
  <c r="I3358" i="50"/>
  <c r="I3357" i="50"/>
  <c r="I3356" i="50"/>
  <c r="D2974" i="40"/>
  <c r="D2951" i="40"/>
  <c r="I3351" i="50"/>
  <c r="I3350" i="50"/>
  <c r="I3349" i="50"/>
  <c r="I3348" i="50"/>
  <c r="I3347" i="50"/>
  <c r="I3346" i="50"/>
  <c r="I3345" i="50"/>
  <c r="I3343" i="50"/>
  <c r="I3342" i="50"/>
  <c r="I3341" i="50"/>
  <c r="I3340" i="50"/>
  <c r="I3337" i="50"/>
  <c r="I3335" i="50"/>
  <c r="I3334" i="50"/>
  <c r="I3332" i="50"/>
  <c r="D2923" i="40"/>
  <c r="I3323" i="50"/>
  <c r="I3321" i="50"/>
  <c r="I3320" i="50"/>
  <c r="I3319" i="50"/>
  <c r="I3317" i="50"/>
  <c r="I3314" i="50"/>
  <c r="I3313" i="50"/>
  <c r="I3312" i="50"/>
  <c r="I3307" i="50"/>
  <c r="I3322" i="50"/>
  <c r="I3315" i="50"/>
  <c r="I3381" i="50" l="1"/>
  <c r="I1118" i="56" s="1"/>
  <c r="I3355" i="50"/>
  <c r="I1113" i="56" s="1"/>
  <c r="D2884" i="40"/>
  <c r="I3295" i="50"/>
  <c r="I3294" i="50"/>
  <c r="I3293" i="50"/>
  <c r="I3292" i="50"/>
  <c r="I3291" i="50"/>
  <c r="I3289" i="50"/>
  <c r="I3287" i="50"/>
  <c r="I3286" i="50"/>
  <c r="I3285" i="50"/>
  <c r="I3284" i="50"/>
  <c r="I3283" i="50"/>
  <c r="I3282" i="50"/>
  <c r="I3281" i="50"/>
  <c r="I3280" i="50"/>
  <c r="I3279" i="50"/>
  <c r="I3275" i="50"/>
  <c r="D2854" i="40"/>
  <c r="I3270" i="50"/>
  <c r="I3269" i="50"/>
  <c r="I3268" i="50"/>
  <c r="I3267" i="50"/>
  <c r="I3266" i="50"/>
  <c r="I3264" i="50"/>
  <c r="I3262" i="50"/>
  <c r="I3261" i="50"/>
  <c r="I3260" i="50"/>
  <c r="I3259" i="50"/>
  <c r="I3257" i="50"/>
  <c r="I3256" i="50"/>
  <c r="I3255" i="50"/>
  <c r="I3254" i="50"/>
  <c r="I3253" i="50"/>
  <c r="I3249" i="50"/>
  <c r="I3243" i="50"/>
  <c r="I3242" i="50"/>
  <c r="I3241" i="50"/>
  <c r="I3240" i="50"/>
  <c r="I3238" i="50"/>
  <c r="I3235" i="50"/>
  <c r="I3234" i="50"/>
  <c r="I3233" i="50"/>
  <c r="D2783" i="40"/>
  <c r="I3214" i="50"/>
  <c r="D2777" i="40"/>
  <c r="I3209" i="50"/>
  <c r="I3208" i="50" s="1"/>
  <c r="I1078" i="56" s="1"/>
  <c r="D2775" i="40"/>
  <c r="I3204" i="50"/>
  <c r="I3203" i="50"/>
  <c r="I3202" i="50"/>
  <c r="I3201" i="50"/>
  <c r="I3200" i="50"/>
  <c r="I3199" i="50"/>
  <c r="D2768" i="40"/>
  <c r="I3194" i="50"/>
  <c r="I3193" i="50"/>
  <c r="I3192" i="50"/>
  <c r="I3191" i="50"/>
  <c r="I3190" i="50"/>
  <c r="I3189" i="50"/>
  <c r="D2761" i="40"/>
  <c r="I3184" i="50"/>
  <c r="I3183" i="50"/>
  <c r="I3182" i="50"/>
  <c r="I3181" i="50"/>
  <c r="I3180" i="50"/>
  <c r="I3179" i="50"/>
  <c r="D2754" i="40"/>
  <c r="I3165" i="50"/>
  <c r="I3162" i="50"/>
  <c r="I3161" i="50"/>
  <c r="I3156" i="50"/>
  <c r="I3155" i="50" s="1"/>
  <c r="I1049" i="56" s="1"/>
  <c r="I3151" i="50"/>
  <c r="I3150" i="50"/>
  <c r="I3149" i="50"/>
  <c r="I3148" i="50"/>
  <c r="I3147" i="50"/>
  <c r="I3146" i="50"/>
  <c r="I3145" i="50"/>
  <c r="I3144" i="50"/>
  <c r="I3143" i="50"/>
  <c r="I3123" i="50"/>
  <c r="I3122" i="50"/>
  <c r="I3121" i="50"/>
  <c r="I3120" i="50"/>
  <c r="I3119" i="50"/>
  <c r="I3117" i="50"/>
  <c r="I3114" i="50"/>
  <c r="I3113" i="50"/>
  <c r="I3112" i="50"/>
  <c r="I3108" i="50"/>
  <c r="D2749" i="40"/>
  <c r="D2747" i="40"/>
  <c r="D2736" i="40"/>
  <c r="D2730" i="40"/>
  <c r="D2728" i="40"/>
  <c r="E2719" i="40"/>
  <c r="D2689" i="40"/>
  <c r="I3098" i="50"/>
  <c r="I3097" i="50"/>
  <c r="I3096" i="50"/>
  <c r="I3095" i="50"/>
  <c r="I3094" i="50"/>
  <c r="I3093" i="50"/>
  <c r="D2682" i="40"/>
  <c r="I3079" i="50"/>
  <c r="I3078" i="50"/>
  <c r="I3077" i="50"/>
  <c r="I3076" i="50"/>
  <c r="I3071" i="50"/>
  <c r="I3069" i="50"/>
  <c r="I3068" i="50"/>
  <c r="I3063" i="50"/>
  <c r="I3062" i="50"/>
  <c r="I3061" i="50"/>
  <c r="I3060" i="50"/>
  <c r="I3054" i="50"/>
  <c r="I3048" i="50"/>
  <c r="I3042" i="50"/>
  <c r="I3031" i="50"/>
  <c r="I3030" i="50"/>
  <c r="I3029" i="50"/>
  <c r="I3028" i="50"/>
  <c r="I3022" i="50"/>
  <c r="I3021" i="50"/>
  <c r="I3020" i="50"/>
  <c r="I3019" i="50"/>
  <c r="I3013" i="50"/>
  <c r="I3012" i="50"/>
  <c r="I3006" i="50"/>
  <c r="I3005" i="50"/>
  <c r="I2999" i="50"/>
  <c r="I2998" i="50"/>
  <c r="I2992" i="50"/>
  <c r="I2991" i="50"/>
  <c r="D2676" i="40"/>
  <c r="D2671" i="40"/>
  <c r="D2666" i="40"/>
  <c r="D2663" i="40"/>
  <c r="D2660" i="40"/>
  <c r="D2657" i="40"/>
  <c r="D2654" i="40"/>
  <c r="D2649" i="40"/>
  <c r="D2644" i="40"/>
  <c r="D2639" i="40"/>
  <c r="D2635" i="40"/>
  <c r="D2631" i="40"/>
  <c r="D2627" i="40"/>
  <c r="E2615" i="40"/>
  <c r="I2959" i="50" s="1"/>
  <c r="E2608" i="40"/>
  <c r="I2949" i="50" s="1"/>
  <c r="E13" i="53"/>
  <c r="E12" i="53"/>
  <c r="E11" i="53"/>
  <c r="B5" i="53"/>
  <c r="B3" i="53"/>
  <c r="B1" i="53"/>
  <c r="I2974" i="50"/>
  <c r="I2973" i="50"/>
  <c r="I2966" i="50"/>
  <c r="I2965" i="50"/>
  <c r="I2964" i="50"/>
  <c r="I2957" i="50"/>
  <c r="I2956" i="50"/>
  <c r="I2955" i="50"/>
  <c r="I2954" i="50"/>
  <c r="I2948" i="50"/>
  <c r="I2947" i="50" s="1"/>
  <c r="I2939" i="50"/>
  <c r="I2938" i="50"/>
  <c r="I2914" i="50"/>
  <c r="I2913" i="50"/>
  <c r="C63" i="52"/>
  <c r="C38" i="52"/>
  <c r="C32" i="52"/>
  <c r="C26" i="52"/>
  <c r="B5" i="52"/>
  <c r="B3" i="52"/>
  <c r="B1" i="52"/>
  <c r="I968" i="49" l="1"/>
  <c r="I921" i="56"/>
  <c r="I3154" i="50"/>
  <c r="I3153" i="50" s="1"/>
  <c r="I3152" i="50" s="1"/>
  <c r="I1110" i="49"/>
  <c r="I3354" i="50"/>
  <c r="I3353" i="50" s="1"/>
  <c r="I3352" i="50" s="1"/>
  <c r="I1183" i="49"/>
  <c r="I3207" i="50"/>
  <c r="I3206" i="50" s="1"/>
  <c r="I3205" i="50" s="1"/>
  <c r="I1146" i="49"/>
  <c r="I3380" i="50"/>
  <c r="I3379" i="50" s="1"/>
  <c r="I3378" i="50" s="1"/>
  <c r="I1188" i="49"/>
  <c r="I2997" i="50"/>
  <c r="I3011" i="50"/>
  <c r="I3004" i="50"/>
  <c r="I3027" i="50"/>
  <c r="I3075" i="50"/>
  <c r="I3059" i="50"/>
  <c r="I3067" i="50"/>
  <c r="I3160" i="50"/>
  <c r="I3213" i="50"/>
  <c r="I1083" i="56" s="1"/>
  <c r="I3188" i="50"/>
  <c r="I1068" i="56" s="1"/>
  <c r="I3198" i="50"/>
  <c r="I1073" i="56" s="1"/>
  <c r="I3178" i="50"/>
  <c r="I1063" i="56" s="1"/>
  <c r="I3092" i="50"/>
  <c r="I1024" i="56" s="1"/>
  <c r="I3053" i="50"/>
  <c r="I3047" i="50"/>
  <c r="I3084" i="50"/>
  <c r="I2990" i="50"/>
  <c r="I3083" i="50"/>
  <c r="I3041" i="50"/>
  <c r="I3035" i="50"/>
  <c r="I3018" i="50"/>
  <c r="I2981" i="50"/>
  <c r="C14" i="53"/>
  <c r="D2621" i="40"/>
  <c r="D2616" i="40"/>
  <c r="D2609" i="40"/>
  <c r="D2606" i="40"/>
  <c r="D2598" i="40"/>
  <c r="I2932" i="50"/>
  <c r="I2931" i="50"/>
  <c r="D2595" i="40"/>
  <c r="I2926" i="50"/>
  <c r="I2925" i="50"/>
  <c r="D2592" i="40"/>
  <c r="I2920" i="50"/>
  <c r="I2919" i="50"/>
  <c r="D2589" i="40"/>
  <c r="D2586" i="40"/>
  <c r="I1028" i="49" l="1"/>
  <c r="I975" i="56"/>
  <c r="I1008" i="49"/>
  <c r="I955" i="56"/>
  <c r="I1115" i="49"/>
  <c r="I1054" i="56"/>
  <c r="I1033" i="49"/>
  <c r="I980" i="56"/>
  <c r="I1073" i="49"/>
  <c r="I1015" i="56"/>
  <c r="I1043" i="49"/>
  <c r="I985" i="56"/>
  <c r="I1053" i="49"/>
  <c r="I995" i="56"/>
  <c r="I1048" i="49"/>
  <c r="I990" i="56"/>
  <c r="I1068" i="49"/>
  <c r="I1010" i="56"/>
  <c r="I1058" i="49"/>
  <c r="I1000" i="56"/>
  <c r="I1063" i="49"/>
  <c r="I1005" i="56"/>
  <c r="I1018" i="49"/>
  <c r="I965" i="56"/>
  <c r="I1023" i="49"/>
  <c r="I970" i="56"/>
  <c r="I1013" i="49"/>
  <c r="I960" i="56"/>
  <c r="I3187" i="50"/>
  <c r="I3186" i="50" s="1"/>
  <c r="I3185" i="50" s="1"/>
  <c r="I1136" i="49"/>
  <c r="I3212" i="50"/>
  <c r="I3211" i="50" s="1"/>
  <c r="I3210" i="50" s="1"/>
  <c r="I1151" i="49"/>
  <c r="I3177" i="50"/>
  <c r="I3176" i="50" s="1"/>
  <c r="I3175" i="50" s="1"/>
  <c r="I1131" i="49"/>
  <c r="I3091" i="50"/>
  <c r="I3090" i="50" s="1"/>
  <c r="I3089" i="50" s="1"/>
  <c r="I1085" i="49"/>
  <c r="I3197" i="50"/>
  <c r="I3196" i="50" s="1"/>
  <c r="I3195" i="50" s="1"/>
  <c r="I1141" i="49"/>
  <c r="I2979" i="50"/>
  <c r="I2930" i="50"/>
  <c r="I910" i="56" s="1"/>
  <c r="I3159" i="50"/>
  <c r="I3158" i="50"/>
  <c r="I3157" i="50" s="1"/>
  <c r="I3080" i="50"/>
  <c r="D12" i="53"/>
  <c r="D13" i="53"/>
  <c r="D11" i="53"/>
  <c r="D14" i="53" s="1"/>
  <c r="I2912" i="50"/>
  <c r="I2918" i="50"/>
  <c r="I900" i="56" s="1"/>
  <c r="I3026" i="50"/>
  <c r="I3025" i="50" s="1"/>
  <c r="I3024" i="50" s="1"/>
  <c r="I2989" i="50" s="1"/>
  <c r="I2988" i="50" s="1"/>
  <c r="I2987" i="50" s="1"/>
  <c r="I3017" i="50"/>
  <c r="I3016" i="50" s="1"/>
  <c r="I3015" i="50" s="1"/>
  <c r="I2996" i="50"/>
  <c r="I2995" i="50" s="1"/>
  <c r="I2994" i="50" s="1"/>
  <c r="I2924" i="50"/>
  <c r="I905" i="56" s="1"/>
  <c r="I3003" i="50"/>
  <c r="I3002" i="50" s="1"/>
  <c r="I3001" i="50" s="1"/>
  <c r="I3058" i="50"/>
  <c r="I3057" i="50" s="1"/>
  <c r="I3056" i="50" s="1"/>
  <c r="I3034" i="50"/>
  <c r="I3033" i="50" s="1"/>
  <c r="I3032" i="50" s="1"/>
  <c r="I3010" i="50"/>
  <c r="I3009" i="50" s="1"/>
  <c r="I3008" i="50" s="1"/>
  <c r="I3052" i="50"/>
  <c r="I3051" i="50" s="1"/>
  <c r="I3050" i="50" s="1"/>
  <c r="I3066" i="50"/>
  <c r="I3065" i="50" s="1"/>
  <c r="I3064" i="50" s="1"/>
  <c r="I942" i="49" l="1"/>
  <c r="I895" i="56"/>
  <c r="I2929" i="50"/>
  <c r="I2928" i="50" s="1"/>
  <c r="I2927" i="50" s="1"/>
  <c r="I957" i="49"/>
  <c r="I2923" i="50"/>
  <c r="I2922" i="50" s="1"/>
  <c r="I2921" i="50" s="1"/>
  <c r="I952" i="49"/>
  <c r="I2917" i="50"/>
  <c r="I2916" i="50" s="1"/>
  <c r="I2915" i="50" s="1"/>
  <c r="I947" i="49"/>
  <c r="E14" i="53"/>
  <c r="I3081" i="50"/>
  <c r="I3074" i="50"/>
  <c r="I3073" i="50" s="1"/>
  <c r="I3072" i="50" s="1"/>
  <c r="I2288" i="50" l="1"/>
  <c r="I2287" i="50" s="1"/>
  <c r="D2016" i="40"/>
  <c r="I2246" i="50"/>
  <c r="I2245" i="50" s="1"/>
  <c r="D1967" i="40"/>
  <c r="I2207" i="50"/>
  <c r="I2205" i="50"/>
  <c r="I2204" i="50"/>
  <c r="D1914" i="40"/>
  <c r="I2164" i="50"/>
  <c r="I2162" i="50"/>
  <c r="D1848" i="40"/>
  <c r="D1835" i="40"/>
  <c r="I2018" i="50"/>
  <c r="D1675" i="40"/>
  <c r="I1963" i="50"/>
  <c r="I1962" i="50" s="1"/>
  <c r="D1633" i="40"/>
  <c r="I1922" i="50"/>
  <c r="I1921" i="50" s="1"/>
  <c r="D1573" i="40"/>
  <c r="I1760" i="50"/>
  <c r="I1755" i="50"/>
  <c r="I1754" i="50"/>
  <c r="I1753" i="50"/>
  <c r="I1752" i="50"/>
  <c r="D1520" i="40"/>
  <c r="D1515" i="40"/>
  <c r="D1325" i="40"/>
  <c r="I1309" i="50"/>
  <c r="I1308" i="50" s="1"/>
  <c r="D1172" i="40"/>
  <c r="D1118" i="40"/>
  <c r="D810" i="40"/>
  <c r="I896" i="50"/>
  <c r="D798" i="40"/>
  <c r="I225" i="50"/>
  <c r="I224" i="50"/>
  <c r="I223" i="50"/>
  <c r="I222" i="50"/>
  <c r="I220" i="50"/>
  <c r="I219" i="50"/>
  <c r="I218" i="50"/>
  <c r="I217" i="50"/>
  <c r="D204" i="40"/>
  <c r="I605" i="50"/>
  <c r="I604" i="50" s="1"/>
  <c r="D534" i="40"/>
  <c r="I489" i="50"/>
  <c r="I488" i="50" s="1"/>
  <c r="D448" i="40"/>
  <c r="I345" i="50"/>
  <c r="I344" i="50"/>
  <c r="I343" i="50"/>
  <c r="D316" i="40"/>
  <c r="I307" i="50"/>
  <c r="I306" i="50"/>
  <c r="I305" i="50"/>
  <c r="D284" i="40"/>
  <c r="I240" i="50"/>
  <c r="I239" i="50"/>
  <c r="D225" i="40"/>
  <c r="I148" i="49" l="1"/>
  <c r="I141" i="56"/>
  <c r="I222" i="49"/>
  <c r="I216" i="56"/>
  <c r="I307" i="49"/>
  <c r="I298" i="56"/>
  <c r="I498" i="49"/>
  <c r="I481" i="56"/>
  <c r="I631" i="49"/>
  <c r="I604" i="56"/>
  <c r="I116" i="49"/>
  <c r="I116" i="56"/>
  <c r="I483" i="49"/>
  <c r="I466" i="56"/>
  <c r="I646" i="49"/>
  <c r="I619" i="56"/>
  <c r="I2203" i="50"/>
  <c r="I589" i="56" s="1"/>
  <c r="I2160" i="50"/>
  <c r="I1961" i="50"/>
  <c r="I1759" i="50"/>
  <c r="I424" i="56" s="1"/>
  <c r="I1751" i="50"/>
  <c r="I2286" i="50"/>
  <c r="I2243" i="50"/>
  <c r="I2242" i="50" s="1"/>
  <c r="I2017" i="50"/>
  <c r="I511" i="56" s="1"/>
  <c r="I1920" i="50"/>
  <c r="I1481" i="50"/>
  <c r="I1306" i="50"/>
  <c r="I1305" i="50" s="1"/>
  <c r="I895" i="50"/>
  <c r="I342" i="50"/>
  <c r="I87" i="56" s="1"/>
  <c r="I304" i="50"/>
  <c r="I71" i="56" s="1"/>
  <c r="I2399" i="50"/>
  <c r="I2398" i="50"/>
  <c r="D2111" i="40"/>
  <c r="I2465" i="50"/>
  <c r="I2464" i="50" s="1"/>
  <c r="D2162" i="40"/>
  <c r="I2551" i="50"/>
  <c r="I2550" i="50" s="1"/>
  <c r="D2226" i="40"/>
  <c r="I2646" i="50"/>
  <c r="I2645" i="50" s="1"/>
  <c r="D2346" i="40"/>
  <c r="I2769" i="50"/>
  <c r="I2768" i="50" s="1"/>
  <c r="D2474" i="40"/>
  <c r="I2783" i="50"/>
  <c r="I2782" i="50" s="1"/>
  <c r="D2480" i="40"/>
  <c r="I2874" i="50"/>
  <c r="I2873" i="50" s="1"/>
  <c r="D2572" i="40"/>
  <c r="I2869" i="50"/>
  <c r="D2570" i="40"/>
  <c r="I2864" i="50"/>
  <c r="I2863" i="50"/>
  <c r="I2862" i="50"/>
  <c r="I2861" i="50"/>
  <c r="I2860" i="50"/>
  <c r="I2858" i="50"/>
  <c r="I2855" i="50"/>
  <c r="I2854" i="50"/>
  <c r="I2853" i="50"/>
  <c r="I2852" i="50"/>
  <c r="I2851" i="50"/>
  <c r="I2850" i="50"/>
  <c r="I2848" i="50"/>
  <c r="D2532" i="40"/>
  <c r="I2837" i="50"/>
  <c r="I2836" i="50"/>
  <c r="I2835" i="50"/>
  <c r="I2834" i="50"/>
  <c r="I2833" i="50"/>
  <c r="I2832" i="50"/>
  <c r="D2525" i="40"/>
  <c r="I2715" i="50"/>
  <c r="I2714" i="50"/>
  <c r="I2713" i="50"/>
  <c r="I2712" i="50"/>
  <c r="I2711" i="50"/>
  <c r="I2708" i="50"/>
  <c r="I2707" i="50"/>
  <c r="I2704" i="50"/>
  <c r="I2710" i="50"/>
  <c r="I2709" i="50"/>
  <c r="I2706" i="50"/>
  <c r="I2705" i="50"/>
  <c r="D2410" i="40"/>
  <c r="I2699" i="50"/>
  <c r="I2698" i="50" s="1"/>
  <c r="D2408" i="40"/>
  <c r="I2694" i="50"/>
  <c r="I2693" i="50"/>
  <c r="I2692" i="50"/>
  <c r="I2691" i="50"/>
  <c r="I2690" i="50"/>
  <c r="I2689" i="50"/>
  <c r="D2401" i="40"/>
  <c r="I2656" i="50"/>
  <c r="I2610" i="50"/>
  <c r="I2609" i="50"/>
  <c r="I2608" i="50"/>
  <c r="I2607" i="50"/>
  <c r="I2606" i="50"/>
  <c r="I2605" i="50"/>
  <c r="I2676" i="50"/>
  <c r="I2675" i="50"/>
  <c r="I2674" i="50"/>
  <c r="I2673" i="50"/>
  <c r="I2672" i="50"/>
  <c r="I2671" i="50"/>
  <c r="I2670" i="50"/>
  <c r="I2669" i="50"/>
  <c r="I2667" i="50"/>
  <c r="I2666" i="50"/>
  <c r="I2665" i="50"/>
  <c r="I2664" i="50"/>
  <c r="I2663" i="50"/>
  <c r="I2662" i="50"/>
  <c r="I2661" i="50"/>
  <c r="I2660" i="50"/>
  <c r="I2659" i="50"/>
  <c r="I2658" i="50"/>
  <c r="I2657" i="50"/>
  <c r="D2352" i="40"/>
  <c r="I2641" i="50"/>
  <c r="I2640" i="50"/>
  <c r="D2343" i="40"/>
  <c r="I2635" i="50"/>
  <c r="I2634" i="50"/>
  <c r="I2633" i="50"/>
  <c r="I2632" i="50"/>
  <c r="I2631" i="50"/>
  <c r="I2630" i="50"/>
  <c r="I2629" i="50"/>
  <c r="I2627" i="50"/>
  <c r="I2626" i="50"/>
  <c r="I2625" i="50"/>
  <c r="I2624" i="50"/>
  <c r="I2622" i="50"/>
  <c r="I2621" i="50"/>
  <c r="I2620" i="50"/>
  <c r="I2619" i="50"/>
  <c r="I2615" i="50"/>
  <c r="D2315" i="40"/>
  <c r="D2308" i="40"/>
  <c r="I2600" i="50"/>
  <c r="I2599" i="50"/>
  <c r="I2598" i="50"/>
  <c r="I2597" i="50"/>
  <c r="I2596" i="50"/>
  <c r="I2595" i="50"/>
  <c r="D2301" i="40"/>
  <c r="I2579" i="50"/>
  <c r="I2578" i="50"/>
  <c r="I2577" i="50"/>
  <c r="I2576" i="50"/>
  <c r="I2571" i="50"/>
  <c r="I2569" i="50"/>
  <c r="I2567" i="50"/>
  <c r="I2566" i="50"/>
  <c r="I2565" i="50"/>
  <c r="I2564" i="50"/>
  <c r="I2560" i="50"/>
  <c r="D2232" i="40"/>
  <c r="I2546" i="50"/>
  <c r="I2545" i="50"/>
  <c r="D2223" i="40"/>
  <c r="I2521" i="50"/>
  <c r="I2520" i="50"/>
  <c r="I2539" i="50"/>
  <c r="I2540" i="50"/>
  <c r="I2538" i="50"/>
  <c r="I2537" i="50"/>
  <c r="I2536" i="50"/>
  <c r="I2535" i="50"/>
  <c r="I2534" i="50"/>
  <c r="I2531" i="50"/>
  <c r="I2530" i="50"/>
  <c r="I2529" i="50"/>
  <c r="I2528" i="50"/>
  <c r="I2527" i="50"/>
  <c r="I2526" i="50"/>
  <c r="I2525" i="50"/>
  <c r="I2524" i="50"/>
  <c r="D2198" i="40"/>
  <c r="I2513" i="50"/>
  <c r="I2512" i="50"/>
  <c r="I2511" i="50"/>
  <c r="I2510" i="50"/>
  <c r="I2509" i="50"/>
  <c r="D2190" i="40"/>
  <c r="I2504" i="50"/>
  <c r="I2503" i="50"/>
  <c r="I2502" i="50"/>
  <c r="I2501" i="50"/>
  <c r="I2500" i="50"/>
  <c r="I2499" i="50"/>
  <c r="D2183" i="40"/>
  <c r="I2477" i="50"/>
  <c r="D2168" i="40"/>
  <c r="I2455" i="50"/>
  <c r="I2454" i="50"/>
  <c r="I2453" i="50"/>
  <c r="I2452" i="50"/>
  <c r="I2451" i="50"/>
  <c r="I2449" i="50"/>
  <c r="I2447" i="50"/>
  <c r="I2446" i="50"/>
  <c r="I2445" i="50"/>
  <c r="I2444" i="50"/>
  <c r="I2443" i="50"/>
  <c r="I2442" i="50"/>
  <c r="I2441" i="50"/>
  <c r="I2440" i="50"/>
  <c r="I2436" i="50"/>
  <c r="I2460" i="50"/>
  <c r="I2459" i="50" s="1"/>
  <c r="I2458" i="50" s="1"/>
  <c r="I2457" i="50" s="1"/>
  <c r="D2159" i="40"/>
  <c r="D2131" i="40"/>
  <c r="I2431" i="50"/>
  <c r="I2430" i="50"/>
  <c r="I2429" i="50"/>
  <c r="I2428" i="50"/>
  <c r="I2427" i="50"/>
  <c r="I2426" i="50"/>
  <c r="D2124" i="40"/>
  <c r="I2421" i="50"/>
  <c r="I2420" i="50"/>
  <c r="I2419" i="50"/>
  <c r="I2418" i="50"/>
  <c r="I2417" i="50"/>
  <c r="I2416" i="50"/>
  <c r="D2117" i="40"/>
  <c r="I841" i="49" l="1"/>
  <c r="I792" i="56"/>
  <c r="I913" i="49"/>
  <c r="I866" i="56"/>
  <c r="I870" i="49"/>
  <c r="I823" i="56"/>
  <c r="I768" i="49"/>
  <c r="I723" i="56"/>
  <c r="I718" i="49"/>
  <c r="I676" i="56"/>
  <c r="I884" i="49"/>
  <c r="I837" i="56"/>
  <c r="I813" i="49"/>
  <c r="I765" i="56"/>
  <c r="I723" i="49"/>
  <c r="I681" i="56"/>
  <c r="I597" i="49"/>
  <c r="I570" i="56"/>
  <c r="I2016" i="50"/>
  <c r="I528" i="49"/>
  <c r="I2202" i="50"/>
  <c r="I616" i="49"/>
  <c r="I303" i="50"/>
  <c r="I71" i="49"/>
  <c r="I340" i="50"/>
  <c r="I339" i="50" s="1"/>
  <c r="I87" i="49"/>
  <c r="I1757" i="50"/>
  <c r="I1756" i="50" s="1"/>
  <c r="I439" i="49"/>
  <c r="I2703" i="50"/>
  <c r="I797" i="56" s="1"/>
  <c r="I2397" i="50"/>
  <c r="I652" i="56" s="1"/>
  <c r="I2868" i="50"/>
  <c r="I2654" i="50"/>
  <c r="I2831" i="50"/>
  <c r="I851" i="56" s="1"/>
  <c r="I2688" i="50"/>
  <c r="I2544" i="50"/>
  <c r="I2508" i="50"/>
  <c r="I2594" i="50"/>
  <c r="I2604" i="50"/>
  <c r="I2425" i="50"/>
  <c r="I666" i="56" s="1"/>
  <c r="I2244" i="50"/>
  <c r="I2285" i="50"/>
  <c r="I2284" i="50" s="1"/>
  <c r="I2015" i="50"/>
  <c r="I2014" i="50" s="1"/>
  <c r="I2201" i="50"/>
  <c r="I2200" i="50" s="1"/>
  <c r="I1960" i="50"/>
  <c r="I1959" i="50" s="1"/>
  <c r="I1919" i="50"/>
  <c r="I1918" i="50" s="1"/>
  <c r="I1758" i="50"/>
  <c r="I1480" i="50"/>
  <c r="I1479" i="50" s="1"/>
  <c r="I1307" i="50"/>
  <c r="I894" i="50"/>
  <c r="I893" i="50" s="1"/>
  <c r="I341" i="50"/>
  <c r="I302" i="50"/>
  <c r="I301" i="50" s="1"/>
  <c r="I2549" i="50"/>
  <c r="I2548" i="50" s="1"/>
  <c r="I2547" i="50" s="1"/>
  <c r="I2644" i="50"/>
  <c r="I2643" i="50" s="1"/>
  <c r="I2642" i="50" s="1"/>
  <c r="I2781" i="50"/>
  <c r="I2780" i="50" s="1"/>
  <c r="I2779" i="50" s="1"/>
  <c r="I2871" i="50"/>
  <c r="I2870" i="50" s="1"/>
  <c r="I2697" i="50"/>
  <c r="I2696" i="50"/>
  <c r="I2695" i="50" s="1"/>
  <c r="I2639" i="50"/>
  <c r="I760" i="56" s="1"/>
  <c r="I2498" i="50"/>
  <c r="I2415" i="50"/>
  <c r="I661" i="56" s="1"/>
  <c r="I748" i="49" l="1"/>
  <c r="I703" i="56"/>
  <c r="I753" i="49"/>
  <c r="I708" i="56"/>
  <c r="I818" i="49"/>
  <c r="I770" i="56"/>
  <c r="I763" i="49"/>
  <c r="I718" i="56"/>
  <c r="I908" i="49"/>
  <c r="I861" i="56"/>
  <c r="I798" i="49"/>
  <c r="I750" i="56"/>
  <c r="I836" i="49"/>
  <c r="I787" i="56"/>
  <c r="I793" i="49"/>
  <c r="I745" i="56"/>
  <c r="I2414" i="50"/>
  <c r="I2413" i="50" s="1"/>
  <c r="I703" i="49"/>
  <c r="I2829" i="50"/>
  <c r="I2828" i="50" s="1"/>
  <c r="I898" i="49"/>
  <c r="I2424" i="50"/>
  <c r="I2423" i="50" s="1"/>
  <c r="I708" i="49"/>
  <c r="I2701" i="50"/>
  <c r="I2700" i="50" s="1"/>
  <c r="I846" i="49"/>
  <c r="I2396" i="50"/>
  <c r="I2395" i="50" s="1"/>
  <c r="I2394" i="50" s="1"/>
  <c r="I679" i="49"/>
  <c r="I2638" i="50"/>
  <c r="I2637" i="50" s="1"/>
  <c r="I2636" i="50" s="1"/>
  <c r="I808" i="49"/>
  <c r="I2867" i="50"/>
  <c r="I2866" i="50"/>
  <c r="I2865" i="50" s="1"/>
  <c r="I2653" i="50"/>
  <c r="I2652" i="50" s="1"/>
  <c r="I2651" i="50" s="1"/>
  <c r="I2872" i="50"/>
  <c r="I2830" i="50"/>
  <c r="I2702" i="50"/>
  <c r="I2716" i="50"/>
  <c r="I2603" i="50"/>
  <c r="I2602" i="50" s="1"/>
  <c r="I2601" i="50" s="1"/>
  <c r="I2593" i="50"/>
  <c r="I2592" i="50" s="1"/>
  <c r="I2591" i="50" s="1"/>
  <c r="I2412" i="50" l="1"/>
  <c r="I2393" i="50"/>
  <c r="I2392" i="50" s="1"/>
  <c r="D2108" i="40"/>
  <c r="I2388" i="50"/>
  <c r="I2387" i="50"/>
  <c r="I2386" i="50"/>
  <c r="I2385" i="50"/>
  <c r="I2384" i="50"/>
  <c r="I2382" i="50"/>
  <c r="I2381" i="50"/>
  <c r="I2380" i="50"/>
  <c r="I2379" i="50"/>
  <c r="I2378" i="50"/>
  <c r="I2377" i="50"/>
  <c r="I2376" i="50"/>
  <c r="I2375" i="50"/>
  <c r="I2374" i="50"/>
  <c r="I2373" i="50"/>
  <c r="I2369" i="50"/>
  <c r="D2076" i="40"/>
  <c r="I2353" i="50"/>
  <c r="I2358" i="50" s="1"/>
  <c r="I2352" i="50"/>
  <c r="I2351" i="50"/>
  <c r="I2350" i="50"/>
  <c r="I2349" i="50"/>
  <c r="I2348" i="50"/>
  <c r="D2067" i="40"/>
  <c r="I2898" i="50"/>
  <c r="D2582" i="40"/>
  <c r="I2892" i="50"/>
  <c r="D2579" i="40"/>
  <c r="I2013" i="50"/>
  <c r="I2815" i="50"/>
  <c r="I2814" i="50"/>
  <c r="I2813" i="50"/>
  <c r="I2812" i="50"/>
  <c r="I2811" i="50"/>
  <c r="I2809" i="50"/>
  <c r="I2807" i="50"/>
  <c r="I2806" i="50"/>
  <c r="I2805" i="50"/>
  <c r="I2804" i="50"/>
  <c r="I2803" i="50"/>
  <c r="I2800" i="50"/>
  <c r="I2799" i="50"/>
  <c r="I2798" i="50"/>
  <c r="I2797" i="50"/>
  <c r="I2796" i="50"/>
  <c r="I2792" i="50"/>
  <c r="I2739" i="50"/>
  <c r="D2486" i="40"/>
  <c r="D2471" i="40"/>
  <c r="I2759" i="50"/>
  <c r="I2758" i="50"/>
  <c r="I2757" i="50"/>
  <c r="I2756" i="50"/>
  <c r="I2755" i="50"/>
  <c r="I2753" i="50"/>
  <c r="I2750" i="50"/>
  <c r="I2749" i="50"/>
  <c r="I2748" i="50"/>
  <c r="I2747" i="50"/>
  <c r="I2746" i="50"/>
  <c r="I2745" i="50"/>
  <c r="I2744" i="50"/>
  <c r="I2743" i="50"/>
  <c r="D2431" i="40"/>
  <c r="I2734" i="50"/>
  <c r="I2733" i="50"/>
  <c r="I2732" i="50"/>
  <c r="I2731" i="50"/>
  <c r="I2730" i="50"/>
  <c r="I2729" i="50"/>
  <c r="D2424" i="40"/>
  <c r="I2307" i="50"/>
  <c r="I2304" i="50"/>
  <c r="I2303" i="50"/>
  <c r="I2302" i="50"/>
  <c r="I2297" i="50"/>
  <c r="F64" i="10"/>
  <c r="I2265" i="50"/>
  <c r="I2264" i="50"/>
  <c r="I2263" i="50"/>
  <c r="I2262" i="50"/>
  <c r="I2261" i="50"/>
  <c r="I2260" i="50"/>
  <c r="I2255" i="50"/>
  <c r="D1828" i="40"/>
  <c r="D1757" i="40"/>
  <c r="I674" i="49" l="1"/>
  <c r="I647" i="56"/>
  <c r="I2728" i="50"/>
  <c r="I855" i="49" l="1"/>
  <c r="I808" i="56"/>
  <c r="I2727" i="50"/>
  <c r="I2726" i="50"/>
  <c r="I2156" i="50"/>
  <c r="I2001" i="50"/>
  <c r="I2000" i="50"/>
  <c r="I1987" i="50"/>
  <c r="I1958" i="50"/>
  <c r="I1957" i="50" s="1"/>
  <c r="I2176" i="50"/>
  <c r="I2175" i="50"/>
  <c r="I2219" i="50"/>
  <c r="I2218" i="50"/>
  <c r="I493" i="49" l="1"/>
  <c r="I476" i="56"/>
  <c r="I2725" i="50"/>
  <c r="I2456" i="50"/>
  <c r="D2022" i="40"/>
  <c r="D2014" i="40"/>
  <c r="D1973" i="40"/>
  <c r="D1964" i="40"/>
  <c r="D1920" i="40"/>
  <c r="D1908" i="40"/>
  <c r="I3040" i="50" l="1"/>
  <c r="I3039" i="50" s="1"/>
  <c r="I3038" i="50" s="1"/>
  <c r="I2422" i="50"/>
  <c r="D1853" i="40"/>
  <c r="D1843" i="40" s="1"/>
  <c r="I2946" i="50"/>
  <c r="I2945" i="50" s="1"/>
  <c r="I2944" i="50" s="1"/>
  <c r="I1953" i="50"/>
  <c r="I1952" i="50"/>
  <c r="I1951" i="50"/>
  <c r="I1950" i="50"/>
  <c r="I1949" i="50"/>
  <c r="I1947" i="50"/>
  <c r="I1944" i="50"/>
  <c r="I1943" i="50"/>
  <c r="I1942" i="50"/>
  <c r="I1941" i="50"/>
  <c r="I2108" i="50"/>
  <c r="I2107" i="50"/>
  <c r="I2106" i="50"/>
  <c r="I2105" i="50"/>
  <c r="I2104" i="50"/>
  <c r="I2103" i="50"/>
  <c r="D1749" i="40"/>
  <c r="I2098" i="50"/>
  <c r="I2097" i="50"/>
  <c r="I2096" i="50"/>
  <c r="I2095" i="50"/>
  <c r="I2094" i="50"/>
  <c r="I2093" i="50"/>
  <c r="D1742" i="40"/>
  <c r="I2088" i="50"/>
  <c r="I2086" i="50"/>
  <c r="D1739" i="40"/>
  <c r="I2081" i="50"/>
  <c r="I2080" i="50"/>
  <c r="I2079" i="50"/>
  <c r="I2078" i="50"/>
  <c r="I2077" i="50"/>
  <c r="I2076" i="50"/>
  <c r="D1728" i="40"/>
  <c r="I2102" i="50" l="1"/>
  <c r="I2085" i="50"/>
  <c r="I2092" i="50"/>
  <c r="I567" i="49" s="1"/>
  <c r="I2075" i="50"/>
  <c r="I3046" i="50"/>
  <c r="I3045" i="50" s="1"/>
  <c r="I3044" i="50" s="1"/>
  <c r="I2155" i="50"/>
  <c r="I565" i="56" s="1"/>
  <c r="I535" i="56" l="1"/>
  <c r="I540" i="56"/>
  <c r="I562" i="49"/>
  <c r="I2154" i="50"/>
  <c r="I2153" i="50" s="1"/>
  <c r="I2152" i="50" s="1"/>
  <c r="I592" i="49"/>
  <c r="I2140" i="50"/>
  <c r="I2139" i="50"/>
  <c r="I2138" i="50" s="1"/>
  <c r="I2084" i="50" l="1"/>
  <c r="I2101" i="50"/>
  <c r="I2091" i="50"/>
  <c r="I2073" i="50"/>
  <c r="I2072" i="50" s="1"/>
  <c r="I2083" i="50" l="1"/>
  <c r="I2082" i="50" s="1"/>
  <c r="I2100" i="50"/>
  <c r="I2099" i="50" s="1"/>
  <c r="I2090" i="50"/>
  <c r="I2089" i="50" s="1"/>
  <c r="I2074" i="50"/>
  <c r="I2049" i="50"/>
  <c r="I2048" i="50"/>
  <c r="I2047" i="50"/>
  <c r="I2046" i="50"/>
  <c r="I2045" i="50"/>
  <c r="I2044" i="50"/>
  <c r="I2043" i="50"/>
  <c r="I2042" i="50"/>
  <c r="I2041" i="50"/>
  <c r="I2040" i="50"/>
  <c r="I2039" i="50"/>
  <c r="I2038" i="50"/>
  <c r="I2037" i="50"/>
  <c r="I2036" i="50"/>
  <c r="I2035" i="50"/>
  <c r="I2034" i="50"/>
  <c r="I2033" i="50"/>
  <c r="I2032" i="50"/>
  <c r="I2031" i="50"/>
  <c r="I2030" i="50"/>
  <c r="I2028" i="50"/>
  <c r="I2027" i="50"/>
  <c r="D1682" i="40"/>
  <c r="D1668" i="40"/>
  <c r="I2008" i="50"/>
  <c r="I2007" i="50"/>
  <c r="I2006" i="50"/>
  <c r="I2005" i="50"/>
  <c r="I2004" i="50"/>
  <c r="I2003" i="50"/>
  <c r="I2002" i="50"/>
  <c r="I1999" i="50"/>
  <c r="I1998" i="50"/>
  <c r="I1997" i="50"/>
  <c r="I1996" i="50"/>
  <c r="I1995" i="50"/>
  <c r="I1994" i="50"/>
  <c r="I1993" i="50"/>
  <c r="I1992" i="50"/>
  <c r="I1991" i="50"/>
  <c r="I1990" i="50"/>
  <c r="I1989" i="50"/>
  <c r="I1986" i="50"/>
  <c r="D1640" i="40"/>
  <c r="D1626" i="40"/>
  <c r="I2123" i="50"/>
  <c r="D1580" i="40"/>
  <c r="I1893" i="50"/>
  <c r="D1571" i="40"/>
  <c r="D1388" i="40"/>
  <c r="I572" i="49" l="1"/>
  <c r="I545" i="56"/>
  <c r="I1985" i="50"/>
  <c r="I2026" i="50"/>
  <c r="I2012" i="50"/>
  <c r="I533" i="49" l="1"/>
  <c r="I516" i="56"/>
  <c r="I518" i="49"/>
  <c r="I501" i="56"/>
  <c r="I506" i="56"/>
  <c r="I550" i="56"/>
  <c r="I577" i="49"/>
  <c r="I523" i="49"/>
  <c r="I2025" i="50"/>
  <c r="I2024" i="50" s="1"/>
  <c r="I1564" i="50" l="1"/>
  <c r="I1562" i="50"/>
  <c r="I1561" i="50"/>
  <c r="I1560" i="50"/>
  <c r="I1558" i="50"/>
  <c r="I1559" i="50"/>
  <c r="D1318" i="40"/>
  <c r="D1474" i="40"/>
  <c r="E533" i="7"/>
  <c r="E660" i="7" l="1"/>
  <c r="E1394" i="40"/>
  <c r="I1563" i="50" s="1"/>
  <c r="I1557" i="50" s="1"/>
  <c r="I337" i="56" s="1"/>
  <c r="E1046" i="45"/>
  <c r="D1543" i="40"/>
  <c r="D1535" i="40"/>
  <c r="D1527" i="40"/>
  <c r="I1556" i="50" l="1"/>
  <c r="I346" i="49"/>
  <c r="I1579" i="50"/>
  <c r="I1555" i="50"/>
  <c r="I1554" i="50" s="1"/>
  <c r="I1863" i="50"/>
  <c r="I1862" i="50" s="1"/>
  <c r="I2011" i="50"/>
  <c r="I2010" i="50"/>
  <c r="I2009" i="50" s="1"/>
  <c r="I2023" i="50"/>
  <c r="I1956" i="50"/>
  <c r="I1955" i="50"/>
  <c r="I1954" i="50" s="1"/>
  <c r="I1984" i="50"/>
  <c r="I1983" i="50"/>
  <c r="I1982" i="50" s="1"/>
  <c r="I1864" i="50" l="1"/>
  <c r="I1719" i="50"/>
  <c r="I1746" i="50"/>
  <c r="I1745" i="50"/>
  <c r="I1744" i="50"/>
  <c r="I1743" i="50"/>
  <c r="I1742" i="50"/>
  <c r="I1740" i="50"/>
  <c r="I1739" i="50"/>
  <c r="I1738" i="50"/>
  <c r="I1737" i="50" s="1"/>
  <c r="I1736" i="50"/>
  <c r="I1735" i="50"/>
  <c r="I1734" i="50"/>
  <c r="I1733" i="50" s="1"/>
  <c r="I1732" i="50"/>
  <c r="I1731" i="50"/>
  <c r="I1730" i="50"/>
  <c r="I1728" i="50"/>
  <c r="I1727" i="50"/>
  <c r="I1726" i="50"/>
  <c r="I1708" i="50"/>
  <c r="D1485" i="40"/>
  <c r="I1713" i="50"/>
  <c r="I1712" i="50"/>
  <c r="I1711" i="50"/>
  <c r="I1710" i="50"/>
  <c r="I1709" i="50"/>
  <c r="D1478" i="40"/>
  <c r="D1466" i="40"/>
  <c r="D1422" i="40"/>
  <c r="I1729" i="50" l="1"/>
  <c r="I1707" i="50"/>
  <c r="I409" i="56" s="1"/>
  <c r="I1616" i="50"/>
  <c r="I1615" i="50"/>
  <c r="I1614" i="50"/>
  <c r="I1613" i="50"/>
  <c r="I1612" i="50"/>
  <c r="I1611" i="50"/>
  <c r="I1610" i="50"/>
  <c r="D1413" i="40"/>
  <c r="I1595" i="50"/>
  <c r="I1594" i="50"/>
  <c r="I1592" i="50"/>
  <c r="I1591" i="50"/>
  <c r="I1590" i="50"/>
  <c r="I1589" i="50"/>
  <c r="D1404" i="40"/>
  <c r="D1376" i="40"/>
  <c r="D1369" i="40"/>
  <c r="I1508" i="50"/>
  <c r="I1507" i="50"/>
  <c r="I1506" i="50"/>
  <c r="D1332" i="40"/>
  <c r="I1466" i="50"/>
  <c r="I1465" i="50"/>
  <c r="I1464" i="50" s="1"/>
  <c r="I1463" i="50"/>
  <c r="I1462" i="50"/>
  <c r="I1460" i="50"/>
  <c r="D1306" i="40"/>
  <c r="D1166" i="40"/>
  <c r="E1205" i="40"/>
  <c r="E1204" i="40"/>
  <c r="I1235" i="50" s="1"/>
  <c r="D1178" i="40"/>
  <c r="I1294" i="50"/>
  <c r="I1293" i="50"/>
  <c r="I1292" i="50"/>
  <c r="I1290" i="50"/>
  <c r="I1289" i="50"/>
  <c r="I1282" i="50"/>
  <c r="I1281" i="50"/>
  <c r="I1277" i="50"/>
  <c r="I1274" i="50"/>
  <c r="I1273" i="50"/>
  <c r="I1272" i="50"/>
  <c r="I1291" i="50"/>
  <c r="I276" i="49" l="1"/>
  <c r="I266" i="56"/>
  <c r="I1705" i="50"/>
  <c r="I1704" i="50" s="1"/>
  <c r="I424" i="49"/>
  <c r="I1234" i="50"/>
  <c r="I1233" i="50"/>
  <c r="I1232" i="50" s="1"/>
  <c r="I1706" i="50"/>
  <c r="I1609" i="50"/>
  <c r="I361" i="56" s="1"/>
  <c r="I1280" i="50"/>
  <c r="I1288" i="50"/>
  <c r="D1133" i="40"/>
  <c r="E101" i="40"/>
  <c r="D1126" i="40"/>
  <c r="I1617" i="50" l="1"/>
  <c r="I1618" i="50" s="1"/>
  <c r="I376" i="49"/>
  <c r="I1607" i="50"/>
  <c r="I1606" i="50" s="1"/>
  <c r="I1608" i="50"/>
  <c r="D1113" i="40"/>
  <c r="I1170" i="50"/>
  <c r="I1169" i="50"/>
  <c r="I1152" i="50"/>
  <c r="D1040" i="40"/>
  <c r="D1031" i="40"/>
  <c r="D805" i="40"/>
  <c r="I1048" i="50"/>
  <c r="I928" i="50"/>
  <c r="I908" i="50"/>
  <c r="I1620" i="50" l="1"/>
  <c r="D816" i="40"/>
  <c r="D792" i="40"/>
  <c r="I825" i="50"/>
  <c r="I824" i="50"/>
  <c r="I823" i="50"/>
  <c r="I822" i="50"/>
  <c r="I821" i="50"/>
  <c r="I820" i="50"/>
  <c r="I818" i="50"/>
  <c r="I817" i="50"/>
  <c r="I816" i="50"/>
  <c r="I815" i="50"/>
  <c r="I814" i="50"/>
  <c r="I813" i="50"/>
  <c r="I811" i="50"/>
  <c r="I810" i="50" s="1"/>
  <c r="D711" i="40"/>
  <c r="D680" i="40"/>
  <c r="I746" i="50"/>
  <c r="I745" i="50"/>
  <c r="I744" i="50"/>
  <c r="I743" i="50"/>
  <c r="I742" i="50"/>
  <c r="I741" i="50"/>
  <c r="I740" i="50"/>
  <c r="I739" i="50"/>
  <c r="I738" i="50"/>
  <c r="I737" i="50"/>
  <c r="I736" i="50"/>
  <c r="I735" i="50"/>
  <c r="I734" i="50"/>
  <c r="I732" i="50"/>
  <c r="I731" i="50"/>
  <c r="I730" i="50"/>
  <c r="I729" i="50"/>
  <c r="I727" i="50"/>
  <c r="I726" i="50"/>
  <c r="I724" i="50"/>
  <c r="I723" i="50"/>
  <c r="I722" i="50"/>
  <c r="I721" i="50"/>
  <c r="I720" i="50"/>
  <c r="I719" i="50"/>
  <c r="D645" i="40"/>
  <c r="I702" i="50"/>
  <c r="I700" i="50"/>
  <c r="I697" i="50"/>
  <c r="D641" i="40"/>
  <c r="D637" i="40"/>
  <c r="D635" i="40"/>
  <c r="D633" i="40"/>
  <c r="D629" i="40"/>
  <c r="D628" i="40"/>
  <c r="D625" i="40"/>
  <c r="D623" i="40"/>
  <c r="D622" i="40"/>
  <c r="E637" i="40"/>
  <c r="I707" i="50" s="1"/>
  <c r="E635" i="40"/>
  <c r="I704" i="50" s="1"/>
  <c r="E629" i="40"/>
  <c r="I701" i="50" s="1"/>
  <c r="E625" i="40"/>
  <c r="I699" i="50" s="1"/>
  <c r="D621" i="40"/>
  <c r="I673" i="50"/>
  <c r="I671" i="50"/>
  <c r="E586" i="40"/>
  <c r="I670" i="50" s="1"/>
  <c r="I672" i="50"/>
  <c r="D601" i="40"/>
  <c r="D600" i="40"/>
  <c r="G601" i="40"/>
  <c r="G600" i="40" s="1"/>
  <c r="F601" i="40"/>
  <c r="F600" i="40" s="1"/>
  <c r="D597" i="40"/>
  <c r="D595" i="40"/>
  <c r="D594" i="40"/>
  <c r="D590" i="40"/>
  <c r="D589" i="40"/>
  <c r="D586" i="40"/>
  <c r="D585" i="40"/>
  <c r="D584" i="40"/>
  <c r="D583" i="40"/>
  <c r="E597" i="40"/>
  <c r="I674" i="50"/>
  <c r="I718" i="50" l="1"/>
  <c r="I717" i="50" s="1"/>
  <c r="I819" i="50"/>
  <c r="I733" i="50"/>
  <c r="I877" i="50"/>
  <c r="I876" i="50"/>
  <c r="I875" i="50" s="1"/>
  <c r="I675" i="50"/>
  <c r="I807" i="50"/>
  <c r="I812" i="50"/>
  <c r="I669" i="50"/>
  <c r="E648" i="40"/>
  <c r="E646" i="40" s="1"/>
  <c r="I716" i="50" s="1"/>
  <c r="I696" i="50"/>
  <c r="E659" i="40"/>
  <c r="D579" i="40"/>
  <c r="D575" i="40"/>
  <c r="D571" i="40"/>
  <c r="D570" i="40"/>
  <c r="D567" i="40"/>
  <c r="D565" i="40"/>
  <c r="D563" i="40"/>
  <c r="D564" i="40"/>
  <c r="E579" i="40"/>
  <c r="E575" i="40"/>
  <c r="E567" i="40"/>
  <c r="E565" i="40"/>
  <c r="D614" i="40"/>
  <c r="D612" i="40"/>
  <c r="D609" i="40"/>
  <c r="D608" i="40"/>
  <c r="D605" i="40"/>
  <c r="D604" i="40"/>
  <c r="D603" i="40"/>
  <c r="E612" i="40"/>
  <c r="E609" i="40"/>
  <c r="E605" i="40"/>
  <c r="E604" i="40"/>
  <c r="I603" i="50" l="1"/>
  <c r="I602" i="50"/>
  <c r="I601" i="50" s="1"/>
  <c r="I728" i="50"/>
  <c r="I725" i="50" s="1"/>
  <c r="I715" i="50" s="1"/>
  <c r="I248" i="50"/>
  <c r="I247" i="50" s="1"/>
  <c r="I148" i="50"/>
  <c r="I147" i="50" s="1"/>
  <c r="D533" i="40"/>
  <c r="D532" i="40"/>
  <c r="D531" i="40"/>
  <c r="D530" i="40"/>
  <c r="D529" i="40"/>
  <c r="D528" i="40"/>
  <c r="D526" i="40"/>
  <c r="D525" i="40"/>
  <c r="D524" i="40"/>
  <c r="D523" i="40"/>
  <c r="D522" i="40"/>
  <c r="D521" i="40"/>
  <c r="D520" i="40"/>
  <c r="D519" i="40"/>
  <c r="D518" i="40"/>
  <c r="D517" i="40"/>
  <c r="D516" i="40"/>
  <c r="D515" i="40"/>
  <c r="D514" i="40"/>
  <c r="D513" i="40"/>
  <c r="D512" i="40"/>
  <c r="D511" i="40"/>
  <c r="D510" i="40"/>
  <c r="D509" i="40"/>
  <c r="D508" i="40"/>
  <c r="D507" i="40"/>
  <c r="D506" i="40"/>
  <c r="D505" i="40"/>
  <c r="D504" i="40"/>
  <c r="D503" i="40"/>
  <c r="I550" i="50"/>
  <c r="I549" i="50"/>
  <c r="I548" i="50"/>
  <c r="I547" i="50"/>
  <c r="I546" i="50"/>
  <c r="I545" i="50"/>
  <c r="D485" i="40"/>
  <c r="D502" i="40"/>
  <c r="D501" i="40"/>
  <c r="D500" i="40"/>
  <c r="D499" i="40"/>
  <c r="D498" i="40"/>
  <c r="D497" i="40"/>
  <c r="D484" i="40"/>
  <c r="D483" i="40"/>
  <c r="D482" i="40"/>
  <c r="D481" i="40"/>
  <c r="D479" i="40"/>
  <c r="D478" i="40"/>
  <c r="D477" i="40"/>
  <c r="D476" i="40"/>
  <c r="D475" i="40"/>
  <c r="D496" i="40"/>
  <c r="D493" i="40"/>
  <c r="D490" i="40"/>
  <c r="D474" i="40"/>
  <c r="D470" i="40"/>
  <c r="D469" i="40"/>
  <c r="D466" i="40"/>
  <c r="D464" i="40"/>
  <c r="D461" i="40"/>
  <c r="D460" i="40"/>
  <c r="D457" i="40"/>
  <c r="D456" i="40"/>
  <c r="D455" i="40"/>
  <c r="E466" i="40"/>
  <c r="E464" i="40"/>
  <c r="E457" i="40"/>
  <c r="E456" i="40"/>
  <c r="D447" i="40"/>
  <c r="D443" i="40"/>
  <c r="D349" i="40"/>
  <c r="D442" i="40"/>
  <c r="D439" i="40"/>
  <c r="D438" i="40"/>
  <c r="D437" i="40"/>
  <c r="D436" i="40"/>
  <c r="D435" i="40"/>
  <c r="D434" i="40"/>
  <c r="D433" i="40"/>
  <c r="D432" i="40"/>
  <c r="D431" i="40"/>
  <c r="D430" i="40"/>
  <c r="D429" i="40"/>
  <c r="D428" i="40"/>
  <c r="D427" i="40"/>
  <c r="D426" i="40"/>
  <c r="D425" i="40"/>
  <c r="D424" i="40"/>
  <c r="D423" i="40"/>
  <c r="D422" i="40"/>
  <c r="D421" i="40"/>
  <c r="D417" i="40"/>
  <c r="D416" i="40"/>
  <c r="D415" i="40"/>
  <c r="D414" i="40"/>
  <c r="D413" i="40"/>
  <c r="D412" i="40"/>
  <c r="D411" i="40"/>
  <c r="D410" i="40"/>
  <c r="D409" i="40"/>
  <c r="D408" i="40"/>
  <c r="D407" i="40"/>
  <c r="D406" i="40"/>
  <c r="D405" i="40"/>
  <c r="D404" i="40"/>
  <c r="D403" i="40"/>
  <c r="D402" i="40"/>
  <c r="D401" i="40"/>
  <c r="D400" i="40"/>
  <c r="D399" i="40"/>
  <c r="D398" i="40"/>
  <c r="D397" i="40"/>
  <c r="D396" i="40"/>
  <c r="D395" i="40"/>
  <c r="D394" i="40"/>
  <c r="D393" i="40"/>
  <c r="D392" i="40"/>
  <c r="D391" i="40"/>
  <c r="D390" i="40"/>
  <c r="D389" i="40"/>
  <c r="D388" i="40"/>
  <c r="D387" i="40"/>
  <c r="D386" i="40"/>
  <c r="D385" i="40"/>
  <c r="D384" i="40"/>
  <c r="D383" i="40"/>
  <c r="D382" i="40"/>
  <c r="D381" i="40"/>
  <c r="D380" i="40"/>
  <c r="D373" i="40"/>
  <c r="I416" i="50"/>
  <c r="I415" i="50"/>
  <c r="I414" i="50"/>
  <c r="I413" i="50"/>
  <c r="I411" i="50"/>
  <c r="D370" i="40"/>
  <c r="D367" i="40"/>
  <c r="D348" i="40"/>
  <c r="D366" i="40"/>
  <c r="D365" i="40"/>
  <c r="D364" i="40"/>
  <c r="D363" i="40"/>
  <c r="D362" i="40"/>
  <c r="D361" i="40"/>
  <c r="D360" i="40"/>
  <c r="D359" i="40"/>
  <c r="D358" i="40"/>
  <c r="D356" i="40"/>
  <c r="D355" i="40"/>
  <c r="D354" i="40"/>
  <c r="D350" i="40"/>
  <c r="E345" i="40"/>
  <c r="E343" i="40"/>
  <c r="D345" i="40"/>
  <c r="D343" i="40"/>
  <c r="D340" i="40"/>
  <c r="D339" i="40"/>
  <c r="D336" i="40"/>
  <c r="D335" i="40"/>
  <c r="D334" i="40"/>
  <c r="E336" i="40"/>
  <c r="E335" i="40"/>
  <c r="D332" i="40"/>
  <c r="D331" i="40"/>
  <c r="D330" i="40"/>
  <c r="D329" i="40"/>
  <c r="D328" i="40"/>
  <c r="D327" i="40"/>
  <c r="D326" i="40"/>
  <c r="D325" i="40"/>
  <c r="D324" i="40"/>
  <c r="D323" i="40"/>
  <c r="D322" i="40"/>
  <c r="D321" i="40"/>
  <c r="D320" i="40"/>
  <c r="D314" i="40"/>
  <c r="D313" i="40"/>
  <c r="D312" i="40"/>
  <c r="D311" i="40"/>
  <c r="D310" i="40"/>
  <c r="D309" i="40"/>
  <c r="D308" i="40"/>
  <c r="D307" i="40"/>
  <c r="D306" i="40"/>
  <c r="D305" i="40"/>
  <c r="D304" i="40"/>
  <c r="D303" i="40"/>
  <c r="D302" i="40"/>
  <c r="D301" i="40"/>
  <c r="D300" i="40"/>
  <c r="D299" i="40"/>
  <c r="D298" i="40"/>
  <c r="D297" i="40"/>
  <c r="D296" i="40"/>
  <c r="D295" i="40"/>
  <c r="D288" i="40"/>
  <c r="D294" i="40"/>
  <c r="D293" i="40"/>
  <c r="D292" i="40"/>
  <c r="D291" i="40"/>
  <c r="D290" i="40"/>
  <c r="D289" i="40"/>
  <c r="D283" i="40"/>
  <c r="D282" i="40"/>
  <c r="D281" i="40"/>
  <c r="D279" i="40"/>
  <c r="D280" i="40"/>
  <c r="D277" i="40"/>
  <c r="D278" i="40"/>
  <c r="D276" i="40"/>
  <c r="D275" i="40"/>
  <c r="D274" i="40"/>
  <c r="D273" i="40"/>
  <c r="D272" i="40"/>
  <c r="D271" i="40"/>
  <c r="D270" i="40"/>
  <c r="D269" i="40"/>
  <c r="D268" i="40"/>
  <c r="D267" i="40"/>
  <c r="D265" i="40"/>
  <c r="D264" i="40"/>
  <c r="D263" i="40"/>
  <c r="D262" i="40"/>
  <c r="D261" i="40"/>
  <c r="D260" i="40"/>
  <c r="D259" i="40"/>
  <c r="D258" i="40"/>
  <c r="D257" i="40"/>
  <c r="D255" i="40"/>
  <c r="D254" i="40"/>
  <c r="D253" i="40"/>
  <c r="D252" i="40"/>
  <c r="D251" i="40"/>
  <c r="D250" i="40"/>
  <c r="D249" i="40"/>
  <c r="D248" i="40"/>
  <c r="D247" i="40"/>
  <c r="D246" i="40"/>
  <c r="D245" i="40"/>
  <c r="D244" i="40"/>
  <c r="D243" i="40"/>
  <c r="D242" i="40"/>
  <c r="D241" i="40"/>
  <c r="D240" i="40"/>
  <c r="D239" i="40"/>
  <c r="D238" i="40"/>
  <c r="I254" i="50"/>
  <c r="I253" i="50"/>
  <c r="D237" i="40"/>
  <c r="D236" i="40"/>
  <c r="I246" i="50"/>
  <c r="D235" i="40"/>
  <c r="D234" i="40"/>
  <c r="D233" i="40"/>
  <c r="D232" i="40"/>
  <c r="D231" i="40"/>
  <c r="D230" i="40"/>
  <c r="D229" i="40"/>
  <c r="D224" i="40"/>
  <c r="D223" i="40"/>
  <c r="D222" i="40"/>
  <c r="D221" i="40"/>
  <c r="D220" i="40"/>
  <c r="D219" i="40"/>
  <c r="D218" i="40"/>
  <c r="D203" i="40"/>
  <c r="D202" i="40"/>
  <c r="D200" i="40"/>
  <c r="D199" i="40"/>
  <c r="D198" i="40"/>
  <c r="I201" i="50"/>
  <c r="D197" i="40"/>
  <c r="D196" i="40"/>
  <c r="D195" i="40"/>
  <c r="D194" i="40"/>
  <c r="D193" i="40"/>
  <c r="D191" i="40"/>
  <c r="D190" i="40"/>
  <c r="D189" i="40"/>
  <c r="D188" i="40"/>
  <c r="D187" i="40"/>
  <c r="D186" i="40"/>
  <c r="D185" i="40"/>
  <c r="D184" i="40"/>
  <c r="D183" i="40"/>
  <c r="D182" i="40"/>
  <c r="D181" i="40"/>
  <c r="D180" i="40"/>
  <c r="D179" i="40"/>
  <c r="D178" i="40"/>
  <c r="D177" i="40"/>
  <c r="I192" i="49" l="1"/>
  <c r="I186" i="56"/>
  <c r="I714" i="50"/>
  <c r="E472" i="40"/>
  <c r="E473" i="40"/>
  <c r="I544" i="50"/>
  <c r="I412" i="50"/>
  <c r="E352" i="40"/>
  <c r="E350" i="40" s="1"/>
  <c r="I389" i="50" s="1"/>
  <c r="D176" i="40"/>
  <c r="D175" i="40"/>
  <c r="D174" i="40"/>
  <c r="D173" i="40"/>
  <c r="D172" i="40"/>
  <c r="D171" i="40"/>
  <c r="D170" i="40"/>
  <c r="D169" i="40"/>
  <c r="D168" i="40"/>
  <c r="D167" i="40"/>
  <c r="D166" i="40"/>
  <c r="D165" i="40"/>
  <c r="D164" i="40"/>
  <c r="D163" i="40"/>
  <c r="D162" i="40"/>
  <c r="D161" i="40"/>
  <c r="D160" i="40"/>
  <c r="D153" i="40"/>
  <c r="I161" i="50"/>
  <c r="D150" i="40"/>
  <c r="I160" i="50"/>
  <c r="D147" i="40"/>
  <c r="AK31" i="47"/>
  <c r="AJ31" i="47"/>
  <c r="AI31" i="47"/>
  <c r="AH31" i="47"/>
  <c r="AG31" i="47"/>
  <c r="AF31" i="47"/>
  <c r="AE31" i="47"/>
  <c r="AD31" i="47"/>
  <c r="AC31" i="47"/>
  <c r="AB31" i="47"/>
  <c r="AA31" i="47"/>
  <c r="Z31" i="47"/>
  <c r="Y31" i="47"/>
  <c r="R31" i="47"/>
  <c r="Q31" i="47"/>
  <c r="D146" i="40"/>
  <c r="D145" i="40"/>
  <c r="D144" i="40"/>
  <c r="D143" i="40"/>
  <c r="D142" i="40"/>
  <c r="D141" i="40"/>
  <c r="D140" i="40"/>
  <c r="D139" i="40"/>
  <c r="D135" i="40"/>
  <c r="I128" i="50"/>
  <c r="I125" i="50"/>
  <c r="I118" i="50"/>
  <c r="I115" i="50"/>
  <c r="E121" i="40"/>
  <c r="I127" i="50" s="1"/>
  <c r="E118" i="40"/>
  <c r="I126" i="50" s="1"/>
  <c r="E114" i="40"/>
  <c r="I124" i="50" s="1"/>
  <c r="E113" i="40"/>
  <c r="I123" i="50" s="1"/>
  <c r="D114" i="40"/>
  <c r="D123" i="40"/>
  <c r="D121" i="40"/>
  <c r="D118" i="40"/>
  <c r="D117" i="40"/>
  <c r="D113" i="40"/>
  <c r="D112" i="40"/>
  <c r="D111" i="40"/>
  <c r="D109" i="40"/>
  <c r="D106" i="40"/>
  <c r="D105" i="40"/>
  <c r="D102" i="40"/>
  <c r="D101" i="40"/>
  <c r="D100" i="40"/>
  <c r="E102" i="40"/>
  <c r="I114" i="50" s="1"/>
  <c r="E109" i="40"/>
  <c r="I117" i="50" s="1"/>
  <c r="E106" i="40"/>
  <c r="I116" i="50" s="1"/>
  <c r="I113" i="50"/>
  <c r="I122" i="50" l="1"/>
  <c r="E137" i="40"/>
  <c r="E470" i="40"/>
  <c r="I520" i="50" s="1"/>
  <c r="E138" i="40"/>
  <c r="I112" i="50"/>
  <c r="I31" i="56" s="1"/>
  <c r="I713" i="50"/>
  <c r="I712" i="50" s="1"/>
  <c r="I408" i="50"/>
  <c r="I36" i="49" l="1"/>
  <c r="I36" i="56"/>
  <c r="I111" i="50"/>
  <c r="I110" i="50" s="1"/>
  <c r="I109" i="50" s="1"/>
  <c r="I31" i="49"/>
  <c r="E135" i="40"/>
  <c r="M32" i="43"/>
  <c r="N32" i="43" s="1"/>
  <c r="E518" i="7"/>
  <c r="E659" i="7" s="1"/>
  <c r="E517" i="7"/>
  <c r="E596" i="7"/>
  <c r="E595" i="7" s="1"/>
  <c r="E1542" i="40" l="1"/>
  <c r="E2630" i="40"/>
  <c r="E683" i="7"/>
  <c r="W32" i="43"/>
  <c r="E133" i="40"/>
  <c r="I146" i="50"/>
  <c r="I2993" i="50" l="1"/>
  <c r="I3085" i="50" s="1"/>
  <c r="I1882" i="50"/>
  <c r="I2067" i="50" s="1"/>
  <c r="AM32" i="43"/>
  <c r="AN32" i="43" s="1"/>
  <c r="S32" i="43"/>
  <c r="AK32" i="43"/>
  <c r="AL32" i="43" s="1"/>
  <c r="E594" i="7"/>
  <c r="E593" i="7" s="1"/>
  <c r="E592" i="7" s="1"/>
  <c r="E591" i="7" s="1"/>
  <c r="E590" i="7" s="1"/>
  <c r="E643" i="7" s="1"/>
  <c r="F34" i="19" l="1"/>
  <c r="I1875" i="50"/>
  <c r="I121" i="50"/>
  <c r="I120" i="50" s="1"/>
  <c r="I119" i="50" s="1"/>
  <c r="I1873" i="50" l="1"/>
  <c r="I1872" i="50" s="1"/>
  <c r="I451" i="56"/>
  <c r="I468" i="49"/>
  <c r="I1874" i="50"/>
  <c r="I89" i="50"/>
  <c r="I47" i="50"/>
  <c r="I46" i="50"/>
  <c r="B103" i="50"/>
  <c r="E74" i="40"/>
  <c r="E63" i="40"/>
  <c r="E34" i="40"/>
  <c r="Q27" i="51"/>
  <c r="O27" i="51"/>
  <c r="M26" i="51"/>
  <c r="Q26" i="51"/>
  <c r="Q25" i="51"/>
  <c r="M25" i="51"/>
  <c r="N26" i="51"/>
  <c r="N25" i="51"/>
  <c r="M24" i="51"/>
  <c r="Q23" i="51"/>
  <c r="M22" i="51"/>
  <c r="M21" i="51"/>
  <c r="M20" i="51"/>
  <c r="M19" i="51"/>
  <c r="N19" i="51" s="1"/>
  <c r="S19" i="51" s="1"/>
  <c r="M18" i="51"/>
  <c r="M17" i="51"/>
  <c r="M16" i="51"/>
  <c r="Q15" i="51"/>
  <c r="Q16" i="51" s="1"/>
  <c r="Q17" i="51" s="1"/>
  <c r="Q18" i="51" s="1"/>
  <c r="Q19" i="51" s="1"/>
  <c r="Q20" i="51" s="1"/>
  <c r="Q21" i="51" s="1"/>
  <c r="Q22" i="51" s="1"/>
  <c r="M15" i="51"/>
  <c r="Q14" i="51"/>
  <c r="M14" i="51"/>
  <c r="B5" i="51"/>
  <c r="B3" i="51"/>
  <c r="B1" i="51"/>
  <c r="E40" i="40"/>
  <c r="E43" i="40"/>
  <c r="E45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58" i="40"/>
  <c r="D57" i="40"/>
  <c r="D56" i="40"/>
  <c r="D55" i="40"/>
  <c r="D54" i="40"/>
  <c r="D50" i="40"/>
  <c r="D49" i="40"/>
  <c r="D48" i="40"/>
  <c r="D47" i="40"/>
  <c r="D46" i="40"/>
  <c r="D45" i="40"/>
  <c r="D43" i="40"/>
  <c r="D40" i="40"/>
  <c r="D39" i="40"/>
  <c r="D35" i="40"/>
  <c r="D34" i="40"/>
  <c r="D33" i="40"/>
  <c r="E73" i="40" l="1"/>
  <c r="E53" i="40"/>
  <c r="E50" i="40" s="1"/>
  <c r="I28" i="50" s="1"/>
  <c r="S26" i="51"/>
  <c r="R26" i="51"/>
  <c r="S25" i="51"/>
  <c r="R25" i="51"/>
  <c r="N21" i="51"/>
  <c r="N16" i="51"/>
  <c r="N18" i="51"/>
  <c r="N22" i="51"/>
  <c r="N20" i="51"/>
  <c r="S20" i="51" s="1"/>
  <c r="N15" i="51"/>
  <c r="S15" i="51" s="1"/>
  <c r="N17" i="51"/>
  <c r="S17" i="51" s="1"/>
  <c r="S21" i="51"/>
  <c r="N14" i="51"/>
  <c r="N24" i="51"/>
  <c r="B5" i="50"/>
  <c r="B3" i="50"/>
  <c r="B1" i="50"/>
  <c r="B5" i="13"/>
  <c r="B3" i="13"/>
  <c r="B1" i="13"/>
  <c r="B5" i="38"/>
  <c r="B3" i="38"/>
  <c r="B1" i="38"/>
  <c r="B5" i="37"/>
  <c r="B3" i="37"/>
  <c r="B1" i="37"/>
  <c r="B5" i="36"/>
  <c r="B3" i="36"/>
  <c r="B1" i="36"/>
  <c r="B5" i="35"/>
  <c r="B3" i="35"/>
  <c r="B1" i="35"/>
  <c r="B5" i="33"/>
  <c r="B3" i="33"/>
  <c r="B1" i="33"/>
  <c r="B5" i="32"/>
  <c r="B3" i="32"/>
  <c r="B1" i="32"/>
  <c r="B5" i="31"/>
  <c r="B3" i="31"/>
  <c r="B1" i="31"/>
  <c r="B5" i="30"/>
  <c r="B3" i="30"/>
  <c r="B1" i="30"/>
  <c r="B5" i="28"/>
  <c r="B3" i="28"/>
  <c r="B1" i="28"/>
  <c r="B5" i="27"/>
  <c r="B3" i="27"/>
  <c r="B1" i="27"/>
  <c r="B5" i="26"/>
  <c r="B3" i="26"/>
  <c r="B1" i="26"/>
  <c r="B5" i="25"/>
  <c r="B3" i="25"/>
  <c r="B1" i="25"/>
  <c r="B5" i="19"/>
  <c r="B3" i="19"/>
  <c r="B1" i="19"/>
  <c r="B5" i="18"/>
  <c r="B3" i="18"/>
  <c r="B1" i="18"/>
  <c r="B5" i="16"/>
  <c r="B3" i="16"/>
  <c r="B1" i="16"/>
  <c r="B5" i="17"/>
  <c r="B3" i="17"/>
  <c r="B1" i="17"/>
  <c r="B5" i="22"/>
  <c r="B3" i="22"/>
  <c r="B1" i="22"/>
  <c r="B5" i="40"/>
  <c r="B3" i="40"/>
  <c r="B1" i="40"/>
  <c r="B5" i="48"/>
  <c r="B3" i="48"/>
  <c r="B1" i="48"/>
  <c r="B5" i="47"/>
  <c r="B3" i="47"/>
  <c r="B1" i="47"/>
  <c r="B1" i="43"/>
  <c r="B3" i="43"/>
  <c r="B5" i="43"/>
  <c r="B5" i="44"/>
  <c r="B3" i="44"/>
  <c r="B1" i="44"/>
  <c r="B5" i="46"/>
  <c r="B3" i="46"/>
  <c r="B1" i="46"/>
  <c r="S22" i="51" l="1"/>
  <c r="E30" i="40"/>
  <c r="S18" i="51"/>
  <c r="O18" i="51"/>
  <c r="N27" i="51"/>
  <c r="R24" i="51"/>
  <c r="R27" i="51" s="1"/>
  <c r="D35" i="51" s="1"/>
  <c r="E57" i="40" s="1"/>
  <c r="I32" i="50" s="1"/>
  <c r="S16" i="51"/>
  <c r="R23" i="51"/>
  <c r="N23" i="51"/>
  <c r="S24" i="51"/>
  <c r="S27" i="51" s="1"/>
  <c r="D36" i="51" s="1"/>
  <c r="E59" i="40" s="1"/>
  <c r="I34" i="50" s="1"/>
  <c r="S14" i="51"/>
  <c r="S23" i="51" s="1"/>
  <c r="D31" i="51" s="1"/>
  <c r="E60" i="40" s="1"/>
  <c r="I35" i="50" s="1"/>
  <c r="B5" i="45"/>
  <c r="B3" i="45"/>
  <c r="B1" i="45"/>
  <c r="B5" i="21"/>
  <c r="B3" i="21"/>
  <c r="B1" i="21"/>
  <c r="B5" i="24"/>
  <c r="B3" i="24"/>
  <c r="B1" i="24"/>
  <c r="B5" i="20"/>
  <c r="B3" i="20"/>
  <c r="B1" i="20"/>
  <c r="B5" i="7"/>
  <c r="B3" i="7"/>
  <c r="B1" i="7"/>
  <c r="B5" i="11"/>
  <c r="B3" i="11"/>
  <c r="B1" i="11"/>
  <c r="B5" i="10"/>
  <c r="B3" i="10"/>
  <c r="B1" i="10"/>
  <c r="B5" i="8"/>
  <c r="B3" i="8"/>
  <c r="B1" i="8"/>
  <c r="B5" i="5"/>
  <c r="B3" i="5"/>
  <c r="B1" i="5"/>
  <c r="B5" i="4"/>
  <c r="B3" i="4"/>
  <c r="B1" i="4"/>
  <c r="B5" i="3"/>
  <c r="B3" i="3"/>
  <c r="B1" i="3"/>
  <c r="B5" i="2"/>
  <c r="B3" i="2"/>
  <c r="B1" i="2"/>
  <c r="B5" i="1"/>
  <c r="B3" i="1"/>
  <c r="B1" i="1"/>
  <c r="B5" i="15"/>
  <c r="B3" i="15"/>
  <c r="B1" i="15"/>
  <c r="AJ110" i="43"/>
  <c r="AI110" i="43"/>
  <c r="AH110" i="43"/>
  <c r="AG110" i="43"/>
  <c r="AF110" i="43"/>
  <c r="AD110" i="43"/>
  <c r="AC110" i="43"/>
  <c r="AB110" i="43"/>
  <c r="U110" i="43"/>
  <c r="T110" i="43"/>
  <c r="Q110" i="43"/>
  <c r="P110" i="43"/>
  <c r="O110" i="43"/>
  <c r="D29" i="51" l="1"/>
  <c r="E58" i="40" s="1"/>
  <c r="I33" i="50" s="1"/>
  <c r="E61" i="40"/>
  <c r="I43" i="50" s="1"/>
  <c r="D34" i="51"/>
  <c r="E55" i="40" s="1"/>
  <c r="E62" i="40"/>
  <c r="I44" i="50" s="1"/>
  <c r="D30" i="51"/>
  <c r="E56" i="40" s="1"/>
  <c r="I31" i="50" s="1"/>
  <c r="E31" i="40"/>
  <c r="O23" i="51"/>
  <c r="D30" i="48"/>
  <c r="D24" i="48"/>
  <c r="D25" i="48" s="1"/>
  <c r="D26" i="48" s="1"/>
  <c r="AD64" i="43"/>
  <c r="I30" i="50" l="1"/>
  <c r="I29" i="50" s="1"/>
  <c r="E54" i="40"/>
  <c r="AB23" i="47"/>
  <c r="Z23" i="47"/>
  <c r="AF30" i="47"/>
  <c r="AE30" i="47"/>
  <c r="AD30" i="47"/>
  <c r="AC30" i="47"/>
  <c r="AB30" i="47"/>
  <c r="AA30" i="47"/>
  <c r="Z30" i="47"/>
  <c r="Y30" i="47"/>
  <c r="R30" i="47"/>
  <c r="Q30" i="47"/>
  <c r="AF28" i="47"/>
  <c r="AE28" i="47"/>
  <c r="AD28" i="47"/>
  <c r="AC28" i="47"/>
  <c r="AB28" i="47"/>
  <c r="AA28" i="47"/>
  <c r="Z28" i="47"/>
  <c r="Y28" i="47"/>
  <c r="R28" i="47"/>
  <c r="Q28" i="47"/>
  <c r="AF26" i="47"/>
  <c r="AE26" i="47"/>
  <c r="AD26" i="47"/>
  <c r="AC26" i="47"/>
  <c r="AB26" i="47"/>
  <c r="AA26" i="47"/>
  <c r="Z26" i="47"/>
  <c r="Y26" i="47"/>
  <c r="R26" i="47"/>
  <c r="Q26" i="47"/>
  <c r="AF23" i="47"/>
  <c r="AE23" i="47"/>
  <c r="AD23" i="47"/>
  <c r="AC23" i="47"/>
  <c r="AA23" i="47"/>
  <c r="Y23" i="47"/>
  <c r="R23" i="47"/>
  <c r="AF18" i="47"/>
  <c r="AE18" i="47"/>
  <c r="AD18" i="47"/>
  <c r="AC18" i="47"/>
  <c r="AB18" i="47"/>
  <c r="AA18" i="47"/>
  <c r="Z18" i="47"/>
  <c r="Y18" i="47"/>
  <c r="R18" i="47"/>
  <c r="Q18" i="47"/>
  <c r="AJ108" i="43"/>
  <c r="AI108" i="43"/>
  <c r="AH108" i="43"/>
  <c r="AG108" i="43"/>
  <c r="AF108" i="43"/>
  <c r="AD108" i="43"/>
  <c r="AC108" i="43"/>
  <c r="AB108" i="43"/>
  <c r="U108" i="43"/>
  <c r="T108" i="43"/>
  <c r="Q108" i="43"/>
  <c r="P108" i="43"/>
  <c r="O108" i="43"/>
  <c r="P104" i="43"/>
  <c r="AJ104" i="43"/>
  <c r="AI104" i="43"/>
  <c r="AH104" i="43"/>
  <c r="AG104" i="43"/>
  <c r="AF104" i="43"/>
  <c r="AD104" i="43"/>
  <c r="AC104" i="43"/>
  <c r="AB104" i="43"/>
  <c r="U104" i="43"/>
  <c r="T104" i="43"/>
  <c r="Q104" i="43"/>
  <c r="O104" i="43"/>
  <c r="AJ100" i="43"/>
  <c r="AI100" i="43"/>
  <c r="AH100" i="43"/>
  <c r="AG100" i="43"/>
  <c r="AF100" i="43"/>
  <c r="AE100" i="43"/>
  <c r="AD100" i="43"/>
  <c r="AC100" i="43"/>
  <c r="AB100" i="43"/>
  <c r="AA100" i="43"/>
  <c r="Y100" i="43"/>
  <c r="U100" i="43"/>
  <c r="T100" i="43"/>
  <c r="Q100" i="43"/>
  <c r="P100" i="43"/>
  <c r="O100" i="43"/>
  <c r="AJ95" i="43"/>
  <c r="AI95" i="43"/>
  <c r="AH95" i="43"/>
  <c r="AG95" i="43"/>
  <c r="AF95" i="43"/>
  <c r="AE95" i="43"/>
  <c r="AD95" i="43"/>
  <c r="AC95" i="43"/>
  <c r="AB95" i="43"/>
  <c r="AA95" i="43"/>
  <c r="Z95" i="43"/>
  <c r="U95" i="43"/>
  <c r="T95" i="43"/>
  <c r="Q95" i="43"/>
  <c r="P95" i="43"/>
  <c r="O95" i="43"/>
  <c r="AJ93" i="43"/>
  <c r="AI93" i="43"/>
  <c r="AH93" i="43"/>
  <c r="AG93" i="43"/>
  <c r="AF93" i="43"/>
  <c r="AE93" i="43"/>
  <c r="AD93" i="43"/>
  <c r="AC93" i="43"/>
  <c r="AB93" i="43"/>
  <c r="AA93" i="43"/>
  <c r="Z93" i="43"/>
  <c r="U93" i="43"/>
  <c r="T93" i="43"/>
  <c r="Q93" i="43"/>
  <c r="P93" i="43"/>
  <c r="O93" i="43"/>
  <c r="AC83" i="44"/>
  <c r="AB83" i="44"/>
  <c r="AA83" i="44"/>
  <c r="Z83" i="44"/>
  <c r="Y83" i="44"/>
  <c r="X83" i="44"/>
  <c r="W83" i="44"/>
  <c r="V83" i="44"/>
  <c r="R83" i="44"/>
  <c r="Q83" i="44"/>
  <c r="AC80" i="44"/>
  <c r="AB80" i="44"/>
  <c r="AA80" i="44"/>
  <c r="Z80" i="44"/>
  <c r="Y80" i="44"/>
  <c r="X80" i="44"/>
  <c r="W80" i="44"/>
  <c r="V80" i="44"/>
  <c r="R80" i="44"/>
  <c r="Q80" i="44"/>
  <c r="AC76" i="44"/>
  <c r="AB76" i="44"/>
  <c r="AA76" i="44"/>
  <c r="Z76" i="44"/>
  <c r="Y76" i="44"/>
  <c r="X76" i="44"/>
  <c r="W76" i="44"/>
  <c r="V76" i="44"/>
  <c r="R76" i="44"/>
  <c r="Q76" i="44"/>
  <c r="AC72" i="44"/>
  <c r="AB72" i="44"/>
  <c r="AA72" i="44"/>
  <c r="Z72" i="44"/>
  <c r="Y72" i="44"/>
  <c r="X72" i="44"/>
  <c r="W72" i="44"/>
  <c r="R72" i="44"/>
  <c r="W31" i="44"/>
  <c r="Q31" i="44"/>
  <c r="N30" i="44"/>
  <c r="N31" i="44" s="1"/>
  <c r="N33" i="44" s="1"/>
  <c r="AC31" i="44"/>
  <c r="AB31" i="44"/>
  <c r="AA31" i="44"/>
  <c r="Z31" i="44"/>
  <c r="Y31" i="44"/>
  <c r="X31" i="44"/>
  <c r="V31" i="44"/>
  <c r="R31" i="44"/>
  <c r="AC16" i="44"/>
  <c r="AC33" i="44" s="1"/>
  <c r="AB16" i="44"/>
  <c r="AB33" i="44" s="1"/>
  <c r="AA16" i="44"/>
  <c r="AA33" i="44" s="1"/>
  <c r="Z16" i="44"/>
  <c r="Y16" i="44"/>
  <c r="Y33" i="44" s="1"/>
  <c r="X16" i="44"/>
  <c r="X33" i="44" s="1"/>
  <c r="W16" i="44"/>
  <c r="V16" i="44"/>
  <c r="R16" i="44"/>
  <c r="Q16" i="44"/>
  <c r="Z33" i="44" l="1"/>
  <c r="R33" i="44"/>
  <c r="W85" i="44"/>
  <c r="R85" i="44"/>
  <c r="R101" i="44" s="1"/>
  <c r="Y85" i="44"/>
  <c r="Y101" i="44" s="1"/>
  <c r="AC85" i="44"/>
  <c r="AC101" i="44" s="1"/>
  <c r="AA85" i="44"/>
  <c r="AA101" i="44" s="1"/>
  <c r="Z85" i="44"/>
  <c r="Z101" i="44" s="1"/>
  <c r="X85" i="44"/>
  <c r="X101" i="44" s="1"/>
  <c r="AB85" i="44"/>
  <c r="AB101" i="44" s="1"/>
  <c r="V33" i="44"/>
  <c r="W33" i="44"/>
  <c r="AE32" i="47"/>
  <c r="R32" i="47"/>
  <c r="AB32" i="47"/>
  <c r="AF32" i="47"/>
  <c r="Y32" i="47"/>
  <c r="AC32" i="47"/>
  <c r="AA32" i="47"/>
  <c r="Z32" i="47"/>
  <c r="AD32" i="47"/>
  <c r="AB110" i="46"/>
  <c r="AB112" i="46" s="1"/>
  <c r="W110" i="46"/>
  <c r="W112" i="46" s="1"/>
  <c r="U110" i="46"/>
  <c r="U112" i="46" s="1"/>
  <c r="N109" i="46"/>
  <c r="N105" i="46"/>
  <c r="X105" i="46" s="1"/>
  <c r="N104" i="46"/>
  <c r="N96" i="46"/>
  <c r="AB97" i="46"/>
  <c r="W97" i="46"/>
  <c r="U97" i="46"/>
  <c r="AB94" i="46"/>
  <c r="W94" i="46"/>
  <c r="U94" i="46"/>
  <c r="AB91" i="46"/>
  <c r="W91" i="46"/>
  <c r="N88" i="46"/>
  <c r="N86" i="46"/>
  <c r="X86" i="46" s="1"/>
  <c r="N85" i="46"/>
  <c r="X85" i="46" s="1"/>
  <c r="N84" i="46"/>
  <c r="V84" i="46" s="1"/>
  <c r="N80" i="46"/>
  <c r="X80" i="46" s="1"/>
  <c r="N73" i="46"/>
  <c r="AB70" i="46"/>
  <c r="W70" i="46"/>
  <c r="U70" i="46"/>
  <c r="N69" i="46"/>
  <c r="X69" i="46" s="1"/>
  <c r="N67" i="46"/>
  <c r="X67" i="46" s="1"/>
  <c r="N66" i="46"/>
  <c r="X66" i="46" s="1"/>
  <c r="N65" i="46"/>
  <c r="W59" i="46"/>
  <c r="M58" i="46"/>
  <c r="N58" i="46" s="1"/>
  <c r="AB52" i="46"/>
  <c r="AB49" i="46"/>
  <c r="AB42" i="46"/>
  <c r="AB14" i="46"/>
  <c r="W52" i="46"/>
  <c r="U52" i="46"/>
  <c r="M51" i="46"/>
  <c r="N51" i="46" s="1"/>
  <c r="W49" i="46"/>
  <c r="U49" i="46"/>
  <c r="N46" i="46"/>
  <c r="W42" i="46"/>
  <c r="W14" i="46"/>
  <c r="M40" i="46"/>
  <c r="N40" i="46" s="1"/>
  <c r="T87" i="46"/>
  <c r="N34" i="46"/>
  <c r="X34" i="46" s="1"/>
  <c r="W101" i="44" l="1"/>
  <c r="X104" i="46"/>
  <c r="W99" i="46"/>
  <c r="X65" i="46"/>
  <c r="N70" i="46"/>
  <c r="AB99" i="46"/>
  <c r="X109" i="46"/>
  <c r="V109" i="46"/>
  <c r="N97" i="46"/>
  <c r="X96" i="46"/>
  <c r="X88" i="46"/>
  <c r="V88" i="46"/>
  <c r="V58" i="46"/>
  <c r="X58" i="46"/>
  <c r="N52" i="46"/>
  <c r="X51" i="46"/>
  <c r="V51" i="46"/>
  <c r="W61" i="46"/>
  <c r="X40" i="46"/>
  <c r="V40" i="46"/>
  <c r="X46" i="46"/>
  <c r="V46" i="46"/>
  <c r="T72" i="46"/>
  <c r="T67" i="46"/>
  <c r="T75" i="46"/>
  <c r="T37" i="46"/>
  <c r="T84" i="46"/>
  <c r="T109" i="46"/>
  <c r="T69" i="46"/>
  <c r="T74" i="46"/>
  <c r="T108" i="46"/>
  <c r="T85" i="46"/>
  <c r="O94" i="46"/>
  <c r="T105" i="46"/>
  <c r="T65" i="46"/>
  <c r="T77" i="46"/>
  <c r="T93" i="46"/>
  <c r="T94" i="46" s="1"/>
  <c r="T76" i="46"/>
  <c r="T83" i="46"/>
  <c r="T90" i="46"/>
  <c r="T89" i="46"/>
  <c r="T88" i="46"/>
  <c r="T106" i="46"/>
  <c r="AG28" i="47"/>
  <c r="AG30" i="47"/>
  <c r="Q23" i="47"/>
  <c r="Q32" i="47" s="1"/>
  <c r="T68" i="46"/>
  <c r="T78" i="46"/>
  <c r="T82" i="46"/>
  <c r="T79" i="46"/>
  <c r="T56" i="46"/>
  <c r="T40" i="46"/>
  <c r="T46" i="46"/>
  <c r="T58" i="46"/>
  <c r="T54" i="46"/>
  <c r="T35" i="46"/>
  <c r="T41" i="46"/>
  <c r="T45" i="46"/>
  <c r="T47" i="46"/>
  <c r="T48" i="46"/>
  <c r="T32" i="46"/>
  <c r="T38" i="46"/>
  <c r="T33" i="46"/>
  <c r="T34" i="46"/>
  <c r="W114" i="46" l="1"/>
  <c r="T31" i="46"/>
  <c r="T86" i="46"/>
  <c r="T104" i="46"/>
  <c r="T96" i="46"/>
  <c r="T97" i="46" s="1"/>
  <c r="T73" i="46"/>
  <c r="O97" i="46"/>
  <c r="AG26" i="47"/>
  <c r="AG23" i="47"/>
  <c r="AG18" i="47"/>
  <c r="O59" i="46"/>
  <c r="T66" i="46"/>
  <c r="T70" i="46" s="1"/>
  <c r="T55" i="46"/>
  <c r="T57" i="46"/>
  <c r="T51" i="46"/>
  <c r="T52" i="46" s="1"/>
  <c r="O52" i="46"/>
  <c r="T44" i="46"/>
  <c r="T49" i="46" s="1"/>
  <c r="O49" i="46"/>
  <c r="T36" i="46"/>
  <c r="AG32" i="47" l="1"/>
  <c r="T59" i="46"/>
  <c r="T30" i="46" l="1"/>
  <c r="T27" i="46"/>
  <c r="T26" i="46"/>
  <c r="T23" i="46"/>
  <c r="T24" i="46"/>
  <c r="T29" i="46"/>
  <c r="T25" i="46"/>
  <c r="T28" i="46"/>
  <c r="T21" i="46"/>
  <c r="V20" i="46"/>
  <c r="T19" i="46"/>
  <c r="T18" i="46"/>
  <c r="T17" i="46"/>
  <c r="T20" i="46" l="1"/>
  <c r="T22" i="46"/>
  <c r="H262" i="46" l="1"/>
  <c r="I262" i="46" s="1"/>
  <c r="J262" i="46" s="1"/>
  <c r="L262" i="46" s="1"/>
  <c r="M262" i="46" s="1"/>
  <c r="H261" i="46"/>
  <c r="H260" i="46"/>
  <c r="N93" i="46" s="1"/>
  <c r="H259" i="46"/>
  <c r="I259" i="46" s="1"/>
  <c r="J259" i="46" s="1"/>
  <c r="L259" i="46" s="1"/>
  <c r="M259" i="46" s="1"/>
  <c r="J271" i="46"/>
  <c r="L271" i="46" s="1"/>
  <c r="M271" i="46" s="1"/>
  <c r="J269" i="46"/>
  <c r="L269" i="46" s="1"/>
  <c r="M269" i="46" s="1"/>
  <c r="H253" i="46"/>
  <c r="I253" i="46" s="1"/>
  <c r="J253" i="46" s="1"/>
  <c r="L253" i="46" s="1"/>
  <c r="M253" i="46" s="1"/>
  <c r="H252" i="46"/>
  <c r="I252" i="46" s="1"/>
  <c r="H251" i="46"/>
  <c r="I251" i="46" s="1"/>
  <c r="N82" i="46" s="1"/>
  <c r="X82" i="46" s="1"/>
  <c r="H250" i="46"/>
  <c r="I250" i="46" s="1"/>
  <c r="J250" i="46" s="1"/>
  <c r="L250" i="46" s="1"/>
  <c r="M250" i="46" s="1"/>
  <c r="M41" i="46" s="1"/>
  <c r="N41" i="46" s="1"/>
  <c r="X41" i="46" s="1"/>
  <c r="H244" i="46"/>
  <c r="I244" i="46" s="1"/>
  <c r="J244" i="46" s="1"/>
  <c r="L244" i="46" s="1"/>
  <c r="M244" i="46" s="1"/>
  <c r="M56" i="46"/>
  <c r="N56" i="46" s="1"/>
  <c r="X56" i="46" s="1"/>
  <c r="H242" i="46"/>
  <c r="I242" i="46" s="1"/>
  <c r="J242" i="46" s="1"/>
  <c r="L242" i="46" s="1"/>
  <c r="M242" i="46" s="1"/>
  <c r="H241" i="46"/>
  <c r="G233" i="46"/>
  <c r="V14" i="46"/>
  <c r="U14" i="46"/>
  <c r="N94" i="46" l="1"/>
  <c r="X93" i="46"/>
  <c r="N90" i="46"/>
  <c r="X90" i="46" s="1"/>
  <c r="O110" i="46"/>
  <c r="O112" i="46" s="1"/>
  <c r="N76" i="46"/>
  <c r="X76" i="46" s="1"/>
  <c r="N108" i="46"/>
  <c r="N106" i="46"/>
  <c r="T107" i="46"/>
  <c r="T110" i="46" s="1"/>
  <c r="T112" i="46" s="1"/>
  <c r="N75" i="46"/>
  <c r="X75" i="46" s="1"/>
  <c r="T16" i="46"/>
  <c r="N81" i="46"/>
  <c r="X81" i="46" s="1"/>
  <c r="I260" i="46"/>
  <c r="N47" i="46"/>
  <c r="I261" i="46"/>
  <c r="M38" i="46" s="1"/>
  <c r="J251" i="46"/>
  <c r="L251" i="46" s="1"/>
  <c r="M251" i="46" s="1"/>
  <c r="T39" i="46"/>
  <c r="J252" i="46"/>
  <c r="L252" i="46" s="1"/>
  <c r="M252" i="46" s="1"/>
  <c r="I243" i="46"/>
  <c r="J243" i="46" s="1"/>
  <c r="L243" i="46" s="1"/>
  <c r="M243" i="46" s="1"/>
  <c r="I241" i="46"/>
  <c r="J241" i="46" s="1"/>
  <c r="L241" i="46" s="1"/>
  <c r="M241" i="46" s="1"/>
  <c r="X106" i="46" l="1"/>
  <c r="X108" i="46"/>
  <c r="V108" i="46"/>
  <c r="X47" i="46"/>
  <c r="V47" i="46"/>
  <c r="N49" i="46"/>
  <c r="O91" i="46"/>
  <c r="O99" i="46" s="1"/>
  <c r="J270" i="46"/>
  <c r="L270" i="46" s="1"/>
  <c r="M270" i="46" s="1"/>
  <c r="N107" i="46"/>
  <c r="X107" i="46" s="1"/>
  <c r="N54" i="46"/>
  <c r="N89" i="46"/>
  <c r="N87" i="46"/>
  <c r="N77" i="46"/>
  <c r="N78" i="46"/>
  <c r="X78" i="46" s="1"/>
  <c r="N74" i="46"/>
  <c r="N72" i="46"/>
  <c r="T80" i="46"/>
  <c r="J261" i="46"/>
  <c r="T81" i="46"/>
  <c r="N33" i="46"/>
  <c r="O42" i="46"/>
  <c r="J260" i="46"/>
  <c r="N18" i="46" s="1"/>
  <c r="N38" i="46"/>
  <c r="X38" i="46" s="1"/>
  <c r="N110" i="46" l="1"/>
  <c r="N112" i="46" s="1"/>
  <c r="X72" i="46"/>
  <c r="V89" i="46"/>
  <c r="X89" i="46"/>
  <c r="V87" i="46"/>
  <c r="X87" i="46"/>
  <c r="V74" i="46"/>
  <c r="X74" i="46"/>
  <c r="X54" i="46"/>
  <c r="N59" i="46"/>
  <c r="O61" i="46"/>
  <c r="O114" i="46" s="1"/>
  <c r="T91" i="46"/>
  <c r="T99" i="46" s="1"/>
  <c r="L260" i="46"/>
  <c r="M260" i="46" s="1"/>
  <c r="N83" i="46"/>
  <c r="X83" i="46" s="1"/>
  <c r="L261" i="46"/>
  <c r="M261" i="46" s="1"/>
  <c r="N79" i="46"/>
  <c r="N32" i="46"/>
  <c r="X32" i="46" s="1"/>
  <c r="T42" i="46"/>
  <c r="O91" i="43"/>
  <c r="O89" i="43"/>
  <c r="O79" i="43"/>
  <c r="O73" i="43"/>
  <c r="O68" i="43"/>
  <c r="O62" i="43"/>
  <c r="O60" i="43"/>
  <c r="O58" i="43"/>
  <c r="O55" i="43"/>
  <c r="O39" i="43"/>
  <c r="O35" i="43"/>
  <c r="O29" i="43"/>
  <c r="O27" i="43"/>
  <c r="O19" i="43"/>
  <c r="O17" i="43"/>
  <c r="P91" i="43"/>
  <c r="P89" i="43"/>
  <c r="P79" i="43"/>
  <c r="P73" i="43"/>
  <c r="P68" i="43"/>
  <c r="P62" i="43"/>
  <c r="P60" i="43"/>
  <c r="P58" i="43"/>
  <c r="P55" i="43"/>
  <c r="P39" i="43"/>
  <c r="P35" i="43"/>
  <c r="P29" i="43"/>
  <c r="P27" i="43"/>
  <c r="P19" i="43"/>
  <c r="P17" i="43"/>
  <c r="Q91" i="43"/>
  <c r="Q89" i="43"/>
  <c r="Q79" i="43"/>
  <c r="Q73" i="43"/>
  <c r="Q68" i="43"/>
  <c r="Q62" i="43"/>
  <c r="Q60" i="43"/>
  <c r="Q58" i="43"/>
  <c r="Q55" i="43"/>
  <c r="Q39" i="43"/>
  <c r="Q35" i="43"/>
  <c r="Q29" i="43"/>
  <c r="Q27" i="43"/>
  <c r="Q19" i="43"/>
  <c r="Q17" i="43"/>
  <c r="O112" i="43" l="1"/>
  <c r="N91" i="46"/>
  <c r="N99" i="46" s="1"/>
  <c r="N42" i="46"/>
  <c r="N61" i="46" s="1"/>
  <c r="X79" i="46"/>
  <c r="V79" i="46"/>
  <c r="Q112" i="43"/>
  <c r="P112" i="43"/>
  <c r="U91" i="43"/>
  <c r="U89" i="43"/>
  <c r="U79" i="43"/>
  <c r="U73" i="43"/>
  <c r="U68" i="43"/>
  <c r="U62" i="43"/>
  <c r="U60" i="43"/>
  <c r="U58" i="43"/>
  <c r="U55" i="43"/>
  <c r="U39" i="43"/>
  <c r="U35" i="43"/>
  <c r="U29" i="43"/>
  <c r="U27" i="43"/>
  <c r="U19" i="43"/>
  <c r="U17" i="43"/>
  <c r="N114" i="46" l="1"/>
  <c r="U112" i="43"/>
  <c r="AA91" i="43"/>
  <c r="AA73" i="43"/>
  <c r="AA60" i="43"/>
  <c r="AA58" i="43"/>
  <c r="AA29" i="43"/>
  <c r="AA27" i="43"/>
  <c r="AA19" i="43"/>
  <c r="AA17" i="43"/>
  <c r="AJ91" i="43"/>
  <c r="AI91" i="43"/>
  <c r="AH91" i="43"/>
  <c r="AG91" i="43"/>
  <c r="AF91" i="43"/>
  <c r="AE91" i="43"/>
  <c r="AD91" i="43"/>
  <c r="AC91" i="43"/>
  <c r="AB91" i="43"/>
  <c r="Y91" i="43"/>
  <c r="T91" i="43"/>
  <c r="AJ89" i="43"/>
  <c r="AI89" i="43"/>
  <c r="AH89" i="43"/>
  <c r="AG89" i="43"/>
  <c r="AF89" i="43"/>
  <c r="AD88" i="43"/>
  <c r="AD87" i="43"/>
  <c r="AD86" i="43"/>
  <c r="AD79" i="43"/>
  <c r="AD73" i="43"/>
  <c r="AD67" i="43"/>
  <c r="AD66" i="43"/>
  <c r="AD65" i="43"/>
  <c r="AD63" i="43"/>
  <c r="AD62" i="43"/>
  <c r="AD60" i="43"/>
  <c r="AD58" i="43"/>
  <c r="AD55" i="43"/>
  <c r="AD39" i="43"/>
  <c r="AD35" i="43"/>
  <c r="AD29" i="43"/>
  <c r="AD27" i="43"/>
  <c r="AD19" i="43"/>
  <c r="AD17" i="43"/>
  <c r="AJ79" i="43"/>
  <c r="AI79" i="43"/>
  <c r="AH79" i="43"/>
  <c r="AG79" i="43"/>
  <c r="AF79" i="43"/>
  <c r="AC79" i="43"/>
  <c r="T79" i="43"/>
  <c r="AE73" i="43"/>
  <c r="AE68" i="43"/>
  <c r="AE62" i="43"/>
  <c r="AE60" i="43"/>
  <c r="AE58" i="43"/>
  <c r="AE55" i="43"/>
  <c r="AE39" i="43"/>
  <c r="AE35" i="43"/>
  <c r="AE29" i="43"/>
  <c r="AE27" i="43"/>
  <c r="AE19" i="43"/>
  <c r="AE17" i="43"/>
  <c r="AJ73" i="43"/>
  <c r="AI73" i="43"/>
  <c r="AH73" i="43"/>
  <c r="AG73" i="43"/>
  <c r="AF73" i="43"/>
  <c r="AC73" i="43"/>
  <c r="AB73" i="43"/>
  <c r="Y73" i="43"/>
  <c r="T73" i="43"/>
  <c r="T68" i="43"/>
  <c r="AI68" i="43"/>
  <c r="AH68" i="43"/>
  <c r="AG68" i="43"/>
  <c r="AF68" i="43"/>
  <c r="AB62" i="43"/>
  <c r="AB60" i="43"/>
  <c r="AB58" i="43"/>
  <c r="AB55" i="43"/>
  <c r="AB39" i="43"/>
  <c r="AB35" i="43"/>
  <c r="AB29" i="43"/>
  <c r="AB27" i="43"/>
  <c r="AB19" i="43"/>
  <c r="AB17" i="43"/>
  <c r="AC62" i="43"/>
  <c r="AC60" i="43"/>
  <c r="AC58" i="43"/>
  <c r="AC55" i="43"/>
  <c r="AC39" i="43"/>
  <c r="AC34" i="43"/>
  <c r="AC35" i="43" s="1"/>
  <c r="AC29" i="43"/>
  <c r="AC27" i="43"/>
  <c r="AC19" i="43"/>
  <c r="AC17" i="43"/>
  <c r="AJ62" i="43"/>
  <c r="AI62" i="43"/>
  <c r="AH62" i="43"/>
  <c r="AG62" i="43"/>
  <c r="AF62" i="43"/>
  <c r="T62" i="43"/>
  <c r="AJ60" i="43"/>
  <c r="AI60" i="43"/>
  <c r="AH60" i="43"/>
  <c r="AG60" i="43"/>
  <c r="AF60" i="43"/>
  <c r="Y60" i="43"/>
  <c r="T60" i="43"/>
  <c r="M59" i="43"/>
  <c r="N59" i="43" s="1"/>
  <c r="AJ58" i="43"/>
  <c r="AI58" i="43"/>
  <c r="AH58" i="43"/>
  <c r="AG58" i="43"/>
  <c r="AF58" i="43"/>
  <c r="Y58" i="43"/>
  <c r="T58" i="43"/>
  <c r="AF55" i="43"/>
  <c r="T55" i="43"/>
  <c r="V46" i="43"/>
  <c r="AI44" i="43"/>
  <c r="AI39" i="43"/>
  <c r="AI35" i="43"/>
  <c r="AI29" i="43"/>
  <c r="AI27" i="43"/>
  <c r="AI19" i="43"/>
  <c r="AI17" i="43"/>
  <c r="AD68" i="43" l="1"/>
  <c r="AJ39" i="43"/>
  <c r="AH39" i="43"/>
  <c r="AG39" i="43"/>
  <c r="AF39" i="43"/>
  <c r="T39" i="43"/>
  <c r="M38" i="43"/>
  <c r="N38" i="43" s="1"/>
  <c r="AH35" i="43"/>
  <c r="AG35" i="43"/>
  <c r="M33" i="43"/>
  <c r="N33" i="43" s="1"/>
  <c r="AJ29" i="43"/>
  <c r="AH29" i="43"/>
  <c r="AG29" i="43"/>
  <c r="AF29" i="43"/>
  <c r="Y29" i="43"/>
  <c r="AJ27" i="43"/>
  <c r="AH27" i="43"/>
  <c r="AG27" i="43"/>
  <c r="AF27" i="43"/>
  <c r="Y27" i="43"/>
  <c r="T29" i="43"/>
  <c r="T27" i="43"/>
  <c r="AJ19" i="43"/>
  <c r="AH19" i="43"/>
  <c r="AG19" i="43"/>
  <c r="AF19" i="43"/>
  <c r="Y19" i="43"/>
  <c r="T19" i="43"/>
  <c r="AJ17" i="43"/>
  <c r="AH17" i="43"/>
  <c r="AG17" i="43"/>
  <c r="AF17" i="43"/>
  <c r="Y17" i="43"/>
  <c r="T17" i="43"/>
  <c r="AM27" i="43"/>
  <c r="AN26" i="43"/>
  <c r="AN25" i="43"/>
  <c r="AN24" i="43"/>
  <c r="AN23" i="43"/>
  <c r="AN22" i="43"/>
  <c r="AN21" i="43"/>
  <c r="AN20" i="43"/>
  <c r="M28" i="43"/>
  <c r="N28" i="43" s="1"/>
  <c r="M25" i="43"/>
  <c r="N25" i="43" s="1"/>
  <c r="M26" i="43"/>
  <c r="N26" i="43" s="1"/>
  <c r="M24" i="43"/>
  <c r="N24" i="43" s="1"/>
  <c r="M23" i="43"/>
  <c r="N23" i="43" s="1"/>
  <c r="M22" i="43"/>
  <c r="N22" i="43" s="1"/>
  <c r="M21" i="43"/>
  <c r="N21" i="43" s="1"/>
  <c r="M20" i="43"/>
  <c r="N20" i="43" s="1"/>
  <c r="M18" i="43"/>
  <c r="N18" i="43" s="1"/>
  <c r="M16" i="43"/>
  <c r="N16" i="43" s="1"/>
  <c r="M15" i="43"/>
  <c r="N15" i="43" s="1"/>
  <c r="AN27" i="43" l="1"/>
  <c r="E91" i="40" l="1"/>
  <c r="E88" i="40"/>
  <c r="F16" i="40"/>
  <c r="G16" i="40"/>
  <c r="F15" i="40"/>
  <c r="G15" i="40"/>
  <c r="F14" i="40"/>
  <c r="G14" i="40"/>
  <c r="F13" i="40"/>
  <c r="G13" i="40"/>
  <c r="E16" i="40"/>
  <c r="E15" i="40"/>
  <c r="E14" i="40"/>
  <c r="E13" i="40"/>
  <c r="I78" i="50" l="1"/>
  <c r="I52" i="50"/>
  <c r="I63" i="50"/>
  <c r="I60" i="50"/>
  <c r="I66" i="50"/>
  <c r="I84" i="50"/>
  <c r="I93" i="50"/>
  <c r="I83" i="50"/>
  <c r="I94" i="50"/>
  <c r="I22" i="50"/>
  <c r="I19" i="50"/>
  <c r="I18" i="50" s="1"/>
  <c r="I17" i="50"/>
  <c r="I16" i="50"/>
  <c r="I91" i="50"/>
  <c r="I21" i="50"/>
  <c r="I15" i="50"/>
  <c r="I23" i="50"/>
  <c r="I62" i="50"/>
  <c r="I14" i="50"/>
  <c r="E10" i="40"/>
  <c r="I238" i="50"/>
  <c r="G10" i="40"/>
  <c r="G85" i="40" s="1"/>
  <c r="F10" i="40"/>
  <c r="I1633" i="50" l="1"/>
  <c r="I1302" i="50"/>
  <c r="I260" i="50"/>
  <c r="I444" i="50"/>
  <c r="I2185" i="50"/>
  <c r="I826" i="50"/>
  <c r="I556" i="50"/>
  <c r="I1196" i="50"/>
  <c r="I3111" i="50"/>
  <c r="I187" i="50"/>
  <c r="I2628" i="50"/>
  <c r="I170" i="50"/>
  <c r="I1390" i="50"/>
  <c r="I2751" i="50"/>
  <c r="I568" i="50"/>
  <c r="I277" i="50"/>
  <c r="I291" i="50"/>
  <c r="I290" i="50" s="1"/>
  <c r="I422" i="50"/>
  <c r="I844" i="50"/>
  <c r="I3230" i="50"/>
  <c r="E1614" i="40"/>
  <c r="I3316" i="50"/>
  <c r="I3708" i="50"/>
  <c r="I3344" i="50"/>
  <c r="E3244" i="40"/>
  <c r="I3734" i="50" s="1"/>
  <c r="I3237" i="50"/>
  <c r="I3797" i="50"/>
  <c r="I3796" i="50" s="1"/>
  <c r="I3795" i="50" s="1"/>
  <c r="I3794" i="50" s="1"/>
  <c r="I3793" i="50" s="1"/>
  <c r="I1653" i="50"/>
  <c r="E3370" i="40"/>
  <c r="I3922" i="50" s="1"/>
  <c r="I1632" i="50"/>
  <c r="I1650" i="50"/>
  <c r="I1638" i="50"/>
  <c r="I1647" i="50"/>
  <c r="I1648" i="50"/>
  <c r="I1435" i="50"/>
  <c r="I1434" i="50" s="1"/>
  <c r="I1197" i="50"/>
  <c r="I1173" i="50"/>
  <c r="I1051" i="50"/>
  <c r="F566" i="40"/>
  <c r="G566" i="40" s="1"/>
  <c r="F574" i="40"/>
  <c r="G574" i="40" s="1"/>
  <c r="I827" i="50"/>
  <c r="I845" i="50"/>
  <c r="I854" i="50"/>
  <c r="I853" i="50" s="1"/>
  <c r="I660" i="50"/>
  <c r="I656" i="50"/>
  <c r="F577" i="40"/>
  <c r="G577" i="40" s="1"/>
  <c r="F578" i="40"/>
  <c r="G578" i="40" s="1"/>
  <c r="I662" i="50"/>
  <c r="F624" i="40"/>
  <c r="G624" i="40" s="1"/>
  <c r="F634" i="40"/>
  <c r="G634" i="40" s="1"/>
  <c r="I578" i="50"/>
  <c r="I581" i="50"/>
  <c r="I580" i="50" s="1"/>
  <c r="I464" i="50"/>
  <c r="I2778" i="50"/>
  <c r="I199" i="50"/>
  <c r="I183" i="50"/>
  <c r="I330" i="50"/>
  <c r="I327" i="50"/>
  <c r="I275" i="50"/>
  <c r="I202" i="50"/>
  <c r="I171" i="50"/>
  <c r="I320" i="50"/>
  <c r="I182" i="50"/>
  <c r="I329" i="50"/>
  <c r="I145" i="50"/>
  <c r="I144" i="50" s="1"/>
  <c r="I56" i="49"/>
  <c r="I56" i="56"/>
  <c r="I237" i="50"/>
  <c r="I236" i="50"/>
  <c r="I235" i="50" s="1"/>
  <c r="I1631" i="50"/>
  <c r="I1354" i="50"/>
  <c r="I600" i="50"/>
  <c r="I1396" i="50"/>
  <c r="I598" i="50"/>
  <c r="I599" i="50"/>
  <c r="I655" i="50"/>
  <c r="I3137" i="50"/>
  <c r="I3136" i="50"/>
  <c r="I3135" i="50"/>
  <c r="I3134" i="50"/>
  <c r="I2236" i="50"/>
  <c r="F619" i="40"/>
  <c r="G619" i="40" s="1"/>
  <c r="F124" i="40"/>
  <c r="G124" i="40" s="1"/>
  <c r="I445" i="50"/>
  <c r="I455" i="50"/>
  <c r="I1536" i="50"/>
  <c r="I1535" i="50"/>
  <c r="I1537" i="50"/>
  <c r="I1538" i="50"/>
  <c r="F130" i="40"/>
  <c r="G130" i="40" s="1"/>
  <c r="F127" i="40"/>
  <c r="G127" i="40" s="1"/>
  <c r="F122" i="40"/>
  <c r="G122" i="40" s="1"/>
  <c r="F129" i="40"/>
  <c r="G129" i="40" s="1"/>
  <c r="F131" i="40"/>
  <c r="G131" i="40" s="1"/>
  <c r="F128" i="40"/>
  <c r="G128" i="40" s="1"/>
  <c r="F126" i="40"/>
  <c r="G126" i="40" s="1"/>
  <c r="I198" i="50"/>
  <c r="I3128" i="50"/>
  <c r="I3127" i="50" s="1"/>
  <c r="I1034" i="56" s="1"/>
  <c r="I3133" i="50"/>
  <c r="I3142" i="50"/>
  <c r="I3141" i="50" s="1"/>
  <c r="I1750" i="50"/>
  <c r="I419" i="56" s="1"/>
  <c r="I2533" i="50"/>
  <c r="I2574" i="50"/>
  <c r="I2391" i="50"/>
  <c r="I2390" i="50" s="1"/>
  <c r="I2389" i="50" s="1"/>
  <c r="I2310" i="50"/>
  <c r="I2764" i="50"/>
  <c r="I2241" i="50"/>
  <c r="I2283" i="50"/>
  <c r="I2181" i="50"/>
  <c r="I2223" i="50"/>
  <c r="I2180" i="50"/>
  <c r="I2222" i="50"/>
  <c r="I2199" i="50"/>
  <c r="I2187" i="50"/>
  <c r="I2183" i="50"/>
  <c r="I2314" i="50"/>
  <c r="I2306" i="50"/>
  <c r="I2274" i="50"/>
  <c r="I2311" i="50"/>
  <c r="I2320" i="50"/>
  <c r="I2317" i="50"/>
  <c r="I2316" i="50"/>
  <c r="I2319" i="50"/>
  <c r="I2309" i="50"/>
  <c r="I2318" i="50"/>
  <c r="I2308" i="50"/>
  <c r="I2128" i="50"/>
  <c r="I2276" i="50"/>
  <c r="I2275" i="50"/>
  <c r="I2266" i="50"/>
  <c r="I2268" i="50"/>
  <c r="I2267" i="50"/>
  <c r="I2278" i="50"/>
  <c r="I2269" i="50"/>
  <c r="I2272" i="50"/>
  <c r="I2277" i="50"/>
  <c r="I2234" i="50"/>
  <c r="I2225" i="50"/>
  <c r="I2233" i="50"/>
  <c r="I2227" i="50"/>
  <c r="I2232" i="50"/>
  <c r="I2226" i="50"/>
  <c r="I2230" i="50"/>
  <c r="I2224" i="50"/>
  <c r="I2235" i="50"/>
  <c r="I2191" i="50"/>
  <c r="I2182" i="50"/>
  <c r="I2190" i="50"/>
  <c r="I2193" i="50"/>
  <c r="I2192" i="50"/>
  <c r="I2189" i="50"/>
  <c r="I1659" i="50"/>
  <c r="I1655" i="50"/>
  <c r="I1658" i="50"/>
  <c r="I1654" i="50"/>
  <c r="I1657" i="50"/>
  <c r="I1635" i="50"/>
  <c r="I1656" i="50"/>
  <c r="I1652" i="50"/>
  <c r="I1634" i="50"/>
  <c r="I1549" i="50"/>
  <c r="I1544" i="50"/>
  <c r="I1543" i="50" s="1"/>
  <c r="I1528" i="50"/>
  <c r="I1518" i="50"/>
  <c r="I1553" i="50"/>
  <c r="I1548" i="50"/>
  <c r="I1527" i="50"/>
  <c r="I1522" i="50"/>
  <c r="I1515" i="50"/>
  <c r="I1514" i="50" s="1"/>
  <c r="I1552" i="50"/>
  <c r="I1551" i="50" s="1"/>
  <c r="I1547" i="50"/>
  <c r="I1526" i="50"/>
  <c r="I1513" i="50"/>
  <c r="I1550" i="50"/>
  <c r="I1545" i="50"/>
  <c r="I1529" i="50"/>
  <c r="I1525" i="50"/>
  <c r="I1519" i="50"/>
  <c r="I1512" i="50"/>
  <c r="I1477" i="50"/>
  <c r="I1438" i="50"/>
  <c r="I1427" i="50"/>
  <c r="I1423" i="50"/>
  <c r="I1416" i="50"/>
  <c r="I1412" i="50"/>
  <c r="I1408" i="50"/>
  <c r="I1404" i="50"/>
  <c r="I1400" i="50"/>
  <c r="I1301" i="50"/>
  <c r="I1437" i="50"/>
  <c r="I1436" i="50" s="1"/>
  <c r="I1422" i="50"/>
  <c r="I1415" i="50"/>
  <c r="I1407" i="50"/>
  <c r="I1399" i="50"/>
  <c r="I1516" i="50"/>
  <c r="I1303" i="50"/>
  <c r="I1424" i="50"/>
  <c r="I1413" i="50"/>
  <c r="I1397" i="50"/>
  <c r="I1476" i="50"/>
  <c r="I1426" i="50"/>
  <c r="I1411" i="50"/>
  <c r="I1403" i="50"/>
  <c r="I1405" i="50"/>
  <c r="I1475" i="50"/>
  <c r="I1304" i="50"/>
  <c r="I1440" i="50"/>
  <c r="I1429" i="50"/>
  <c r="I1425" i="50"/>
  <c r="I1421" i="50"/>
  <c r="I1414" i="50"/>
  <c r="I1410" i="50"/>
  <c r="I1406" i="50"/>
  <c r="I1402" i="50"/>
  <c r="I1398" i="50"/>
  <c r="I1478" i="50"/>
  <c r="I1439" i="50"/>
  <c r="I1428" i="50"/>
  <c r="I1420" i="50"/>
  <c r="I1409" i="50"/>
  <c r="I1401" i="50"/>
  <c r="I1394" i="50"/>
  <c r="I1358" i="50"/>
  <c r="I1381" i="50"/>
  <c r="I1384" i="50"/>
  <c r="I1378" i="50"/>
  <c r="I1374" i="50"/>
  <c r="I1369" i="50"/>
  <c r="I1365" i="50"/>
  <c r="I1361" i="50"/>
  <c r="I1388" i="50"/>
  <c r="I1373" i="50"/>
  <c r="I1382" i="50"/>
  <c r="I1379" i="50"/>
  <c r="I1375" i="50"/>
  <c r="I1370" i="50"/>
  <c r="I1366" i="50"/>
  <c r="I1362" i="50"/>
  <c r="I1355" i="50"/>
  <c r="I1393" i="50"/>
  <c r="I1359" i="50"/>
  <c r="I1386" i="50"/>
  <c r="I1383" i="50"/>
  <c r="I1377" i="50"/>
  <c r="I1372" i="50"/>
  <c r="I1368" i="50"/>
  <c r="I1364" i="50"/>
  <c r="I1357" i="50"/>
  <c r="I1392" i="50"/>
  <c r="I1389" i="50"/>
  <c r="I1360" i="50"/>
  <c r="I1385" i="50"/>
  <c r="I1380" i="50"/>
  <c r="I1376" i="50"/>
  <c r="I1371" i="50"/>
  <c r="I1367" i="50"/>
  <c r="I1363" i="50"/>
  <c r="I1356" i="50"/>
  <c r="I1258" i="50"/>
  <c r="I1257" i="50"/>
  <c r="I1260" i="50"/>
  <c r="I1256" i="50"/>
  <c r="I1259" i="50"/>
  <c r="I1255" i="50"/>
  <c r="I1231" i="50"/>
  <c r="I1219" i="50"/>
  <c r="I1218" i="50" s="1"/>
  <c r="I1214" i="50"/>
  <c r="I1207" i="50"/>
  <c r="I1203" i="50"/>
  <c r="I1200" i="50"/>
  <c r="I1195" i="50"/>
  <c r="I1229" i="50"/>
  <c r="I1221" i="50"/>
  <c r="I1211" i="50"/>
  <c r="I1210" i="50" s="1"/>
  <c r="I1205" i="50"/>
  <c r="I1209" i="50"/>
  <c r="I1198" i="50"/>
  <c r="I1192" i="50"/>
  <c r="I1230" i="50"/>
  <c r="I1220" i="50"/>
  <c r="I1208" i="50"/>
  <c r="I1201" i="50"/>
  <c r="I1191" i="50"/>
  <c r="I1190" i="50" s="1"/>
  <c r="I1228" i="50"/>
  <c r="I1217" i="50"/>
  <c r="I1206" i="50"/>
  <c r="I1199" i="50"/>
  <c r="I1215" i="50"/>
  <c r="I1204" i="50"/>
  <c r="I1222" i="50"/>
  <c r="I1213" i="50"/>
  <c r="I1202" i="50"/>
  <c r="I1194" i="50"/>
  <c r="I1001" i="50"/>
  <c r="I1140" i="50"/>
  <c r="I1076" i="50"/>
  <c r="I1009" i="50"/>
  <c r="I1146" i="50"/>
  <c r="I998" i="50"/>
  <c r="I996" i="50"/>
  <c r="I1074" i="50"/>
  <c r="I1014" i="50"/>
  <c r="I1008" i="50"/>
  <c r="I1000" i="50"/>
  <c r="I1072" i="50"/>
  <c r="I1006" i="50"/>
  <c r="I1147" i="50"/>
  <c r="I1073" i="50"/>
  <c r="I1013" i="50"/>
  <c r="I1007" i="50"/>
  <c r="I999" i="50"/>
  <c r="I1012" i="50"/>
  <c r="I1144" i="50"/>
  <c r="I1005" i="50"/>
  <c r="I1143" i="50"/>
  <c r="I1004" i="50"/>
  <c r="I1142" i="50"/>
  <c r="I1003" i="50"/>
  <c r="I995" i="50"/>
  <c r="I1141" i="50"/>
  <c r="I1077" i="50"/>
  <c r="I1010" i="50"/>
  <c r="I1002" i="50"/>
  <c r="I994" i="50"/>
  <c r="I997" i="50"/>
  <c r="I865" i="50"/>
  <c r="I850" i="50"/>
  <c r="I842" i="50"/>
  <c r="I832" i="50"/>
  <c r="I757" i="50"/>
  <c r="I776" i="50"/>
  <c r="I863" i="50"/>
  <c r="I848" i="50"/>
  <c r="I829" i="50"/>
  <c r="I759" i="50"/>
  <c r="I874" i="50"/>
  <c r="I837" i="50"/>
  <c r="I828" i="50"/>
  <c r="I767" i="50"/>
  <c r="I862" i="50"/>
  <c r="I861" i="50" s="1"/>
  <c r="I846" i="50"/>
  <c r="I768" i="50"/>
  <c r="I835" i="50"/>
  <c r="I871" i="50"/>
  <c r="I852" i="50"/>
  <c r="I834" i="50"/>
  <c r="I755" i="50"/>
  <c r="I774" i="50"/>
  <c r="I851" i="50"/>
  <c r="I843" i="50"/>
  <c r="I833" i="50"/>
  <c r="I756" i="50"/>
  <c r="I775" i="50"/>
  <c r="I864" i="50"/>
  <c r="I849" i="50"/>
  <c r="I839" i="50"/>
  <c r="I838" i="50" s="1"/>
  <c r="I831" i="50"/>
  <c r="I758" i="50"/>
  <c r="I778" i="50"/>
  <c r="I777" i="50" s="1"/>
  <c r="I856" i="50"/>
  <c r="I855" i="50" s="1"/>
  <c r="I780" i="50"/>
  <c r="I847" i="50"/>
  <c r="I873" i="50"/>
  <c r="I836" i="50"/>
  <c r="I872" i="50"/>
  <c r="I860" i="50"/>
  <c r="I840" i="50"/>
  <c r="I830" i="50"/>
  <c r="I752" i="50"/>
  <c r="I769" i="50"/>
  <c r="I773" i="50"/>
  <c r="I771" i="50"/>
  <c r="I781" i="50"/>
  <c r="I766" i="50"/>
  <c r="I782" i="50"/>
  <c r="I765" i="50"/>
  <c r="I779" i="50"/>
  <c r="I772" i="50"/>
  <c r="I764" i="50"/>
  <c r="F657" i="40"/>
  <c r="G657" i="40" s="1"/>
  <c r="F660" i="40"/>
  <c r="G660" i="40" s="1"/>
  <c r="F665" i="40"/>
  <c r="G665" i="40" s="1"/>
  <c r="F658" i="40"/>
  <c r="G658" i="40" s="1"/>
  <c r="F668" i="40"/>
  <c r="G668" i="40" s="1"/>
  <c r="F666" i="40"/>
  <c r="G666" i="40" s="1"/>
  <c r="F670" i="40"/>
  <c r="G670" i="40" s="1"/>
  <c r="F659" i="40"/>
  <c r="G659" i="40" s="1"/>
  <c r="F669" i="40"/>
  <c r="G669" i="40" s="1"/>
  <c r="F667" i="40"/>
  <c r="G667" i="40" s="1"/>
  <c r="F647" i="40"/>
  <c r="G647" i="40" s="1"/>
  <c r="F649" i="40"/>
  <c r="G649" i="40" s="1"/>
  <c r="F648" i="40"/>
  <c r="G648" i="40" s="1"/>
  <c r="F627" i="40"/>
  <c r="G627" i="40" s="1"/>
  <c r="F589" i="40"/>
  <c r="G589" i="40" s="1"/>
  <c r="F631" i="40"/>
  <c r="G631" i="40" s="1"/>
  <c r="F586" i="40"/>
  <c r="G586" i="40" s="1"/>
  <c r="F593" i="40"/>
  <c r="G593" i="40" s="1"/>
  <c r="F630" i="40"/>
  <c r="G630" i="40" s="1"/>
  <c r="F633" i="40"/>
  <c r="G633" i="40" s="1"/>
  <c r="F626" i="40"/>
  <c r="G626" i="40" s="1"/>
  <c r="F632" i="40"/>
  <c r="G632" i="40" s="1"/>
  <c r="F623" i="40"/>
  <c r="G623" i="40" s="1"/>
  <c r="F638" i="40"/>
  <c r="F636" i="40"/>
  <c r="G636" i="40" s="1"/>
  <c r="F628" i="40"/>
  <c r="G628" i="40" s="1"/>
  <c r="F639" i="40"/>
  <c r="G639" i="40" s="1"/>
  <c r="F629" i="40"/>
  <c r="G629" i="40" s="1"/>
  <c r="F622" i="40"/>
  <c r="G622" i="40" s="1"/>
  <c r="F635" i="40"/>
  <c r="G635" i="40" s="1"/>
  <c r="F625" i="40"/>
  <c r="G625" i="40" s="1"/>
  <c r="F596" i="40"/>
  <c r="G596" i="40" s="1"/>
  <c r="F588" i="40"/>
  <c r="G588" i="40" s="1"/>
  <c r="F599" i="40"/>
  <c r="G599" i="40" s="1"/>
  <c r="F592" i="40"/>
  <c r="G592" i="40" s="1"/>
  <c r="F587" i="40"/>
  <c r="G587" i="40" s="1"/>
  <c r="F598" i="40"/>
  <c r="F590" i="40"/>
  <c r="G590" i="40" s="1"/>
  <c r="F591" i="40"/>
  <c r="G591" i="40" s="1"/>
  <c r="F594" i="40"/>
  <c r="G594" i="40" s="1"/>
  <c r="F616" i="40"/>
  <c r="G616" i="40" s="1"/>
  <c r="F584" i="40"/>
  <c r="G584" i="40" s="1"/>
  <c r="F615" i="40"/>
  <c r="G615" i="40" s="1"/>
  <c r="F585" i="40"/>
  <c r="G585" i="40" s="1"/>
  <c r="F595" i="40"/>
  <c r="G595" i="40" s="1"/>
  <c r="F618" i="40"/>
  <c r="G618" i="40" s="1"/>
  <c r="F617" i="40"/>
  <c r="G617" i="40" s="1"/>
  <c r="I689" i="50"/>
  <c r="I664" i="50"/>
  <c r="I657" i="50"/>
  <c r="I684" i="50"/>
  <c r="I683" i="50" s="1"/>
  <c r="I661" i="50"/>
  <c r="I659" i="50"/>
  <c r="I658" i="50"/>
  <c r="F581" i="40"/>
  <c r="G581" i="40" s="1"/>
  <c r="F572" i="40"/>
  <c r="G572" i="40" s="1"/>
  <c r="F609" i="40"/>
  <c r="G609" i="40" s="1"/>
  <c r="F570" i="40"/>
  <c r="G570" i="40" s="1"/>
  <c r="F613" i="40"/>
  <c r="G613" i="40" s="1"/>
  <c r="F607" i="40"/>
  <c r="G607" i="40" s="1"/>
  <c r="F606" i="40"/>
  <c r="G606" i="40" s="1"/>
  <c r="F569" i="40"/>
  <c r="G569" i="40" s="1"/>
  <c r="F568" i="40"/>
  <c r="G568" i="40" s="1"/>
  <c r="F611" i="40"/>
  <c r="G611" i="40" s="1"/>
  <c r="F610" i="40"/>
  <c r="G610" i="40" s="1"/>
  <c r="F580" i="40"/>
  <c r="F608" i="40"/>
  <c r="G608" i="40" s="1"/>
  <c r="F576" i="40"/>
  <c r="G576" i="40" s="1"/>
  <c r="F573" i="40"/>
  <c r="G573" i="40" s="1"/>
  <c r="F575" i="40"/>
  <c r="G575" i="40" s="1"/>
  <c r="F565" i="40"/>
  <c r="G565" i="40" s="1"/>
  <c r="F571" i="40"/>
  <c r="G571" i="40" s="1"/>
  <c r="F604" i="40"/>
  <c r="G604" i="40" s="1"/>
  <c r="F612" i="40"/>
  <c r="G612" i="40" s="1"/>
  <c r="F605" i="40"/>
  <c r="G605" i="40" s="1"/>
  <c r="F567" i="40"/>
  <c r="G567" i="40" s="1"/>
  <c r="I685" i="50"/>
  <c r="I688" i="50"/>
  <c r="I687" i="50"/>
  <c r="I686" i="50" s="1"/>
  <c r="I682" i="50"/>
  <c r="I588" i="50"/>
  <c r="I587" i="50"/>
  <c r="I567" i="50"/>
  <c r="I616" i="50"/>
  <c r="I613" i="50" s="1"/>
  <c r="I153" i="49" s="1"/>
  <c r="I566" i="50"/>
  <c r="I434" i="50"/>
  <c r="I597" i="50"/>
  <c r="I591" i="50"/>
  <c r="I565" i="50"/>
  <c r="I564" i="50" s="1"/>
  <c r="I590" i="50"/>
  <c r="I586" i="50"/>
  <c r="I585" i="50" s="1"/>
  <c r="I584" i="50"/>
  <c r="F491" i="40"/>
  <c r="G491" i="40" s="1"/>
  <c r="F471" i="40"/>
  <c r="G471" i="40" s="1"/>
  <c r="F492" i="40"/>
  <c r="G492" i="40" s="1"/>
  <c r="F473" i="40"/>
  <c r="G473" i="40" s="1"/>
  <c r="F472" i="40"/>
  <c r="G472" i="40" s="1"/>
  <c r="F481" i="40"/>
  <c r="G481" i="40" s="1"/>
  <c r="F478" i="40"/>
  <c r="G478" i="40" s="1"/>
  <c r="F465" i="40"/>
  <c r="G465" i="40" s="1"/>
  <c r="F458" i="40"/>
  <c r="G458" i="40" s="1"/>
  <c r="F463" i="40"/>
  <c r="G463" i="40" s="1"/>
  <c r="F462" i="40"/>
  <c r="G462" i="40" s="1"/>
  <c r="F460" i="40"/>
  <c r="G460" i="40" s="1"/>
  <c r="F468" i="40"/>
  <c r="G468" i="40" s="1"/>
  <c r="F467" i="40"/>
  <c r="F459" i="40"/>
  <c r="G459" i="40" s="1"/>
  <c r="F461" i="40"/>
  <c r="G461" i="40" s="1"/>
  <c r="F457" i="40"/>
  <c r="G457" i="40" s="1"/>
  <c r="F464" i="40"/>
  <c r="G464" i="40" s="1"/>
  <c r="F456" i="40"/>
  <c r="G456" i="40" s="1"/>
  <c r="I507" i="50"/>
  <c r="I515" i="50"/>
  <c r="I483" i="50"/>
  <c r="I482" i="50"/>
  <c r="I508" i="50"/>
  <c r="I509" i="50"/>
  <c r="I514" i="50"/>
  <c r="I484" i="50"/>
  <c r="I481" i="50"/>
  <c r="I512" i="50"/>
  <c r="I511" i="50"/>
  <c r="I510" i="50" s="1"/>
  <c r="I384" i="50"/>
  <c r="I468" i="50"/>
  <c r="I452" i="50"/>
  <c r="I436" i="50"/>
  <c r="I427" i="50"/>
  <c r="I432" i="50"/>
  <c r="I467" i="50"/>
  <c r="I460" i="50"/>
  <c r="I451" i="50"/>
  <c r="I440" i="50"/>
  <c r="I439" i="50" s="1"/>
  <c r="I435" i="50"/>
  <c r="I426" i="50"/>
  <c r="I466" i="50"/>
  <c r="I463" i="50"/>
  <c r="I459" i="50"/>
  <c r="I450" i="50"/>
  <c r="I433" i="50"/>
  <c r="I425" i="50"/>
  <c r="I449" i="50"/>
  <c r="I424" i="50"/>
  <c r="I453" i="50"/>
  <c r="I474" i="50"/>
  <c r="I473" i="50" s="1"/>
  <c r="I470" i="50"/>
  <c r="I469" i="50" s="1"/>
  <c r="I448" i="50"/>
  <c r="I443" i="50"/>
  <c r="I431" i="50"/>
  <c r="I472" i="50"/>
  <c r="I447" i="50"/>
  <c r="I442" i="50"/>
  <c r="I438" i="50"/>
  <c r="I437" i="50" s="1"/>
  <c r="I430" i="50"/>
  <c r="I471" i="50"/>
  <c r="I454" i="50"/>
  <c r="I429" i="50"/>
  <c r="I428" i="50"/>
  <c r="F369" i="40"/>
  <c r="G369" i="40" s="1"/>
  <c r="F368" i="40"/>
  <c r="G368" i="40" s="1"/>
  <c r="F353" i="40"/>
  <c r="G353" i="40" s="1"/>
  <c r="F351" i="40"/>
  <c r="F355" i="40"/>
  <c r="G355" i="40" s="1"/>
  <c r="F352" i="40"/>
  <c r="G352" i="40" s="1"/>
  <c r="I361" i="50"/>
  <c r="I352" i="50"/>
  <c r="I336" i="50"/>
  <c r="I332" i="50"/>
  <c r="I324" i="50"/>
  <c r="I314" i="50"/>
  <c r="I355" i="50"/>
  <c r="I297" i="50"/>
  <c r="I376" i="50"/>
  <c r="I383" i="50"/>
  <c r="I360" i="50"/>
  <c r="I351" i="50"/>
  <c r="I350" i="50" s="1"/>
  <c r="I335" i="50"/>
  <c r="I331" i="50"/>
  <c r="I323" i="50"/>
  <c r="I313" i="50"/>
  <c r="I321" i="50"/>
  <c r="I354" i="50"/>
  <c r="I353" i="50" s="1"/>
  <c r="I333" i="50"/>
  <c r="I382" i="50"/>
  <c r="I359" i="50"/>
  <c r="I322" i="50"/>
  <c r="I380" i="50"/>
  <c r="I358" i="50"/>
  <c r="I300" i="50"/>
  <c r="I298" i="50"/>
  <c r="I334" i="50"/>
  <c r="I379" i="50"/>
  <c r="I357" i="50"/>
  <c r="I299" i="50"/>
  <c r="I378" i="50"/>
  <c r="I356" i="50"/>
  <c r="I377" i="50"/>
  <c r="I325" i="50"/>
  <c r="I338" i="50"/>
  <c r="I337" i="50" s="1"/>
  <c r="I326" i="50"/>
  <c r="I315" i="50"/>
  <c r="F342" i="40"/>
  <c r="G342" i="40" s="1"/>
  <c r="F347" i="40"/>
  <c r="G347" i="40" s="1"/>
  <c r="F341" i="40"/>
  <c r="G341" i="40" s="1"/>
  <c r="F339" i="40"/>
  <c r="G339" i="40" s="1"/>
  <c r="F344" i="40"/>
  <c r="G344" i="40" s="1"/>
  <c r="F343" i="40"/>
  <c r="G343" i="40" s="1"/>
  <c r="F338" i="40"/>
  <c r="G338" i="40" s="1"/>
  <c r="F337" i="40"/>
  <c r="G337" i="40" s="1"/>
  <c r="F346" i="40"/>
  <c r="F335" i="40"/>
  <c r="G335" i="40" s="1"/>
  <c r="F336" i="40"/>
  <c r="G336" i="40" s="1"/>
  <c r="F340" i="40"/>
  <c r="G340" i="40" s="1"/>
  <c r="I278" i="50"/>
  <c r="I257" i="50"/>
  <c r="I280" i="50"/>
  <c r="I273" i="50"/>
  <c r="I283" i="50"/>
  <c r="I279" i="50"/>
  <c r="I258" i="50"/>
  <c r="I289" i="50"/>
  <c r="I288" i="50"/>
  <c r="I287" i="50"/>
  <c r="I286" i="50"/>
  <c r="I285" i="50"/>
  <c r="I281" i="50"/>
  <c r="I274" i="50"/>
  <c r="I284" i="50"/>
  <c r="I259" i="50"/>
  <c r="I231" i="50"/>
  <c r="I196" i="50"/>
  <c r="I188" i="50"/>
  <c r="I185" i="50"/>
  <c r="I180" i="50"/>
  <c r="I192" i="50"/>
  <c r="I191" i="50"/>
  <c r="I233" i="50"/>
  <c r="I232" i="50"/>
  <c r="I189" i="50"/>
  <c r="I186" i="50"/>
  <c r="I206" i="50"/>
  <c r="I205" i="50" s="1"/>
  <c r="I195" i="50"/>
  <c r="I181" i="50"/>
  <c r="I204" i="50"/>
  <c r="I194" i="50"/>
  <c r="I174" i="50"/>
  <c r="I193" i="50"/>
  <c r="I184" i="50"/>
  <c r="I179" i="50"/>
  <c r="I234" i="50"/>
  <c r="I190" i="50"/>
  <c r="I178" i="50"/>
  <c r="I176" i="50"/>
  <c r="I177" i="50"/>
  <c r="I175" i="50"/>
  <c r="I173" i="50"/>
  <c r="I172" i="50"/>
  <c r="F85" i="40"/>
  <c r="F103" i="40"/>
  <c r="G103" i="40" s="1"/>
  <c r="F109" i="40"/>
  <c r="G109" i="40" s="1"/>
  <c r="F118" i="40"/>
  <c r="G118" i="40" s="1"/>
  <c r="F114" i="40"/>
  <c r="G114" i="40" s="1"/>
  <c r="F107" i="40"/>
  <c r="G107" i="40" s="1"/>
  <c r="F104" i="40"/>
  <c r="G104" i="40" s="1"/>
  <c r="F119" i="40"/>
  <c r="G119" i="40" s="1"/>
  <c r="F123" i="40"/>
  <c r="G123" i="40" s="1"/>
  <c r="F106" i="40"/>
  <c r="G106" i="40" s="1"/>
  <c r="F115" i="40"/>
  <c r="G115" i="40" s="1"/>
  <c r="F121" i="40"/>
  <c r="G121" i="40" s="1"/>
  <c r="F105" i="40"/>
  <c r="G105" i="40" s="1"/>
  <c r="F116" i="40"/>
  <c r="G116" i="40" s="1"/>
  <c r="F102" i="40"/>
  <c r="G102" i="40" s="1"/>
  <c r="F110" i="40"/>
  <c r="G110" i="40" s="1"/>
  <c r="F117" i="40"/>
  <c r="G117" i="40" s="1"/>
  <c r="F108" i="40"/>
  <c r="G108" i="40" s="1"/>
  <c r="F101" i="40"/>
  <c r="G101" i="40" s="1"/>
  <c r="F113" i="40"/>
  <c r="G113" i="40" s="1"/>
  <c r="F120" i="40"/>
  <c r="G120" i="40" s="1"/>
  <c r="F111" i="40"/>
  <c r="G111" i="40" s="1"/>
  <c r="I20" i="50"/>
  <c r="F23" i="40"/>
  <c r="G23" i="40" s="1"/>
  <c r="I457" i="50"/>
  <c r="I456" i="50" s="1"/>
  <c r="I3116" i="50"/>
  <c r="I3288" i="50"/>
  <c r="I2270" i="50"/>
  <c r="F24" i="40"/>
  <c r="G24" i="40" s="1"/>
  <c r="F31" i="40"/>
  <c r="G31" i="40" s="1"/>
  <c r="F88" i="40"/>
  <c r="G88" i="40" s="1"/>
  <c r="F30" i="40"/>
  <c r="G30" i="40" s="1"/>
  <c r="F91" i="40"/>
  <c r="G91" i="40" s="1"/>
  <c r="I1901" i="50"/>
  <c r="I2808" i="50"/>
  <c r="I2767" i="50"/>
  <c r="I2766" i="50" s="1"/>
  <c r="I2765" i="50" s="1"/>
  <c r="I1521" i="50"/>
  <c r="I1520" i="50" s="1"/>
  <c r="I1050" i="50"/>
  <c r="I1049" i="50" s="1"/>
  <c r="I2448" i="50"/>
  <c r="I2228" i="50"/>
  <c r="I3263" i="50"/>
  <c r="I1418" i="50"/>
  <c r="I1417" i="50" s="1"/>
  <c r="I1300" i="50" l="1"/>
  <c r="I763" i="50"/>
  <c r="I1337" i="49"/>
  <c r="I3835" i="50"/>
  <c r="I3836" i="50" s="1"/>
  <c r="I3838" i="50" s="1"/>
  <c r="I1256" i="56"/>
  <c r="I1646" i="50"/>
  <c r="I932" i="50"/>
  <c r="I1350" i="50"/>
  <c r="I1351" i="50"/>
  <c r="I197" i="50"/>
  <c r="I282" i="50"/>
  <c r="C30" i="35"/>
  <c r="I2312" i="50"/>
  <c r="I1946" i="50"/>
  <c r="I2857" i="50"/>
  <c r="I2752" i="50"/>
  <c r="I612" i="50"/>
  <c r="I1105" i="49"/>
  <c r="I1044" i="56"/>
  <c r="I3126" i="50"/>
  <c r="I3125" i="50" s="1"/>
  <c r="I3124" i="50" s="1"/>
  <c r="I1095" i="49"/>
  <c r="I1749" i="50"/>
  <c r="I1748" i="50" s="1"/>
  <c r="I1747" i="50" s="1"/>
  <c r="I434" i="49"/>
  <c r="I596" i="50"/>
  <c r="I1075" i="50"/>
  <c r="I1299" i="50"/>
  <c r="I293" i="56" s="1"/>
  <c r="I1254" i="50"/>
  <c r="I176" i="56"/>
  <c r="I870" i="50"/>
  <c r="I869" i="50" s="1"/>
  <c r="I201" i="56" s="1"/>
  <c r="I888" i="50"/>
  <c r="I887" i="50" s="1"/>
  <c r="I211" i="56" s="1"/>
  <c r="I1145" i="50"/>
  <c r="I1139" i="50" s="1"/>
  <c r="I1387" i="50"/>
  <c r="I1419" i="50"/>
  <c r="I1534" i="50"/>
  <c r="I1533" i="50" s="1"/>
  <c r="I1532" i="50" s="1"/>
  <c r="I1531" i="50" s="1"/>
  <c r="I1530" i="50" s="1"/>
  <c r="I2763" i="50"/>
  <c r="I818" i="56" s="1"/>
  <c r="I381" i="50"/>
  <c r="I375" i="50" s="1"/>
  <c r="I654" i="50"/>
  <c r="I3132" i="50"/>
  <c r="I1039" i="56" s="1"/>
  <c r="I2777" i="50"/>
  <c r="I832" i="56" s="1"/>
  <c r="I1227" i="50"/>
  <c r="I1226" i="50" s="1"/>
  <c r="I261" i="56" s="1"/>
  <c r="I480" i="50"/>
  <c r="I13" i="50"/>
  <c r="I2282" i="50"/>
  <c r="I614" i="56" s="1"/>
  <c r="I2240" i="50"/>
  <c r="I599" i="56" s="1"/>
  <c r="I1913" i="50"/>
  <c r="I1912" i="50" s="1"/>
  <c r="I1568" i="50"/>
  <c r="I342" i="56" s="1"/>
  <c r="I3140" i="50"/>
  <c r="I3139" i="50" s="1"/>
  <c r="I3138" i="50" s="1"/>
  <c r="I230" i="50"/>
  <c r="I229" i="50" s="1"/>
  <c r="I51" i="56" s="1"/>
  <c r="I2198" i="50"/>
  <c r="I1546" i="50"/>
  <c r="I1542" i="50" s="1"/>
  <c r="I332" i="56" s="1"/>
  <c r="I1517" i="50"/>
  <c r="I1474" i="50"/>
  <c r="I1473" i="50" s="1"/>
  <c r="I1212" i="50"/>
  <c r="I1193" i="50"/>
  <c r="I754" i="50"/>
  <c r="I753" i="50" s="1"/>
  <c r="I841" i="50"/>
  <c r="I770" i="50"/>
  <c r="G638" i="40"/>
  <c r="G637" i="40" s="1"/>
  <c r="F637" i="40"/>
  <c r="G598" i="40"/>
  <c r="G597" i="40" s="1"/>
  <c r="F597" i="40"/>
  <c r="G580" i="40"/>
  <c r="G579" i="40" s="1"/>
  <c r="F579" i="40"/>
  <c r="I589" i="50"/>
  <c r="I513" i="50"/>
  <c r="I506" i="50" s="1"/>
  <c r="F466" i="40"/>
  <c r="G467" i="40"/>
  <c r="G466" i="40" s="1"/>
  <c r="I441" i="50"/>
  <c r="I458" i="50"/>
  <c r="G351" i="40"/>
  <c r="G348" i="40" s="1"/>
  <c r="F348" i="40"/>
  <c r="I296" i="50"/>
  <c r="I66" i="56" s="1"/>
  <c r="G346" i="40"/>
  <c r="G345" i="40" s="1"/>
  <c r="F345" i="40"/>
  <c r="I349" i="50"/>
  <c r="I312" i="50"/>
  <c r="I311" i="50" s="1"/>
  <c r="I76" i="56" s="1"/>
  <c r="I17" i="56" l="1"/>
  <c r="AF118" i="46"/>
  <c r="AN116" i="45"/>
  <c r="AG106" i="44"/>
  <c r="AK36" i="47"/>
  <c r="AN116" i="43"/>
  <c r="I611" i="50"/>
  <c r="I610" i="50" s="1"/>
  <c r="I326" i="49"/>
  <c r="I317" i="56"/>
  <c r="I101" i="49"/>
  <c r="I101" i="56"/>
  <c r="I261" i="49"/>
  <c r="I251" i="56"/>
  <c r="I292" i="49"/>
  <c r="I283" i="56"/>
  <c r="I92" i="49"/>
  <c r="I92" i="56"/>
  <c r="I133" i="49"/>
  <c r="I126" i="56"/>
  <c r="I478" i="49"/>
  <c r="I461" i="56"/>
  <c r="I172" i="49"/>
  <c r="I166" i="56"/>
  <c r="I611" i="49"/>
  <c r="I584" i="56"/>
  <c r="I3131" i="50"/>
  <c r="I1100" i="49"/>
  <c r="I2762" i="50"/>
  <c r="I2761" i="50" s="1"/>
  <c r="I2760" i="50" s="1"/>
  <c r="I865" i="49"/>
  <c r="I2281" i="50"/>
  <c r="I2280" i="50" s="1"/>
  <c r="I2279" i="50" s="1"/>
  <c r="I641" i="49"/>
  <c r="I2776" i="50"/>
  <c r="I2775" i="50" s="1"/>
  <c r="I2774" i="50" s="1"/>
  <c r="I879" i="49"/>
  <c r="I2239" i="50"/>
  <c r="I2238" i="50" s="1"/>
  <c r="I2237" i="50" s="1"/>
  <c r="I626" i="49"/>
  <c r="I680" i="50"/>
  <c r="I679" i="50" s="1"/>
  <c r="I678" i="50" s="1"/>
  <c r="I182" i="49"/>
  <c r="I295" i="50"/>
  <c r="I294" i="50" s="1"/>
  <c r="I293" i="50" s="1"/>
  <c r="I292" i="50" s="1"/>
  <c r="I66" i="49"/>
  <c r="I228" i="50"/>
  <c r="I227" i="50" s="1"/>
  <c r="I226" i="50" s="1"/>
  <c r="I51" i="49"/>
  <c r="I1298" i="50"/>
  <c r="I1297" i="50" s="1"/>
  <c r="I1296" i="50" s="1"/>
  <c r="I302" i="49"/>
  <c r="I1567" i="50"/>
  <c r="I1566" i="50" s="1"/>
  <c r="I1565" i="50" s="1"/>
  <c r="I351" i="49"/>
  <c r="I1225" i="50"/>
  <c r="I1224" i="50" s="1"/>
  <c r="I1223" i="50" s="1"/>
  <c r="I271" i="49"/>
  <c r="I310" i="50"/>
  <c r="I309" i="50" s="1"/>
  <c r="I308" i="50" s="1"/>
  <c r="I76" i="49"/>
  <c r="I1541" i="50"/>
  <c r="I1540" i="50" s="1"/>
  <c r="I1539" i="50" s="1"/>
  <c r="I341" i="49"/>
  <c r="I886" i="50"/>
  <c r="I885" i="50" s="1"/>
  <c r="I884" i="50" s="1"/>
  <c r="I217" i="49"/>
  <c r="I868" i="50"/>
  <c r="I867" i="50" s="1"/>
  <c r="I866" i="50" s="1"/>
  <c r="I207" i="49"/>
  <c r="I12" i="50"/>
  <c r="I11" i="50" s="1"/>
  <c r="I10" i="50" s="1"/>
  <c r="I15" i="49"/>
  <c r="I3130" i="50"/>
  <c r="I3129" i="50" s="1"/>
  <c r="I374" i="50"/>
  <c r="I373" i="50" s="1"/>
  <c r="I372" i="50" s="1"/>
  <c r="I1911" i="50"/>
  <c r="I1910" i="50"/>
  <c r="I1909" i="50" s="1"/>
  <c r="I595" i="50"/>
  <c r="I136" i="56" s="1"/>
  <c r="I479" i="50"/>
  <c r="I111" i="56" s="1"/>
  <c r="I348" i="50"/>
  <c r="I347" i="50" s="1"/>
  <c r="I346" i="50" s="1"/>
  <c r="I2196" i="50"/>
  <c r="I2195" i="50" s="1"/>
  <c r="I2197" i="50"/>
  <c r="I1472" i="50"/>
  <c r="I1471" i="50" s="1"/>
  <c r="I1470" i="50" s="1"/>
  <c r="I1253" i="50"/>
  <c r="I1252" i="50" s="1"/>
  <c r="I1251" i="50" s="1"/>
  <c r="I1138" i="50"/>
  <c r="I1137" i="50" s="1"/>
  <c r="I1136" i="50" s="1"/>
  <c r="I653" i="50"/>
  <c r="I652" i="50" s="1"/>
  <c r="I651" i="50" s="1"/>
  <c r="I505" i="50"/>
  <c r="I504" i="50" s="1"/>
  <c r="I503" i="50" s="1"/>
  <c r="I319" i="50"/>
  <c r="B11" i="38"/>
  <c r="F10" i="37"/>
  <c r="E532" i="7"/>
  <c r="E600" i="40" s="1"/>
  <c r="N51" i="47" l="1"/>
  <c r="N48" i="47"/>
  <c r="N47" i="47"/>
  <c r="N43" i="47"/>
  <c r="N42" i="47"/>
  <c r="N45" i="47"/>
  <c r="N50" i="47"/>
  <c r="N53" i="47"/>
  <c r="D87" i="47" s="1"/>
  <c r="N46" i="47"/>
  <c r="N55" i="47"/>
  <c r="N41" i="47"/>
  <c r="N139" i="45"/>
  <c r="E256" i="45" s="1"/>
  <c r="AC210" i="45"/>
  <c r="AC211" i="45" s="1"/>
  <c r="N206" i="45"/>
  <c r="AC201" i="45"/>
  <c r="AC202" i="45" s="1"/>
  <c r="AC198" i="45"/>
  <c r="N197" i="45"/>
  <c r="AC191" i="45"/>
  <c r="AC190" i="45"/>
  <c r="AC189" i="45"/>
  <c r="N186" i="45"/>
  <c r="N182" i="45"/>
  <c r="AC167" i="45"/>
  <c r="AC166" i="45"/>
  <c r="N166" i="45"/>
  <c r="N165" i="45"/>
  <c r="AC157" i="45"/>
  <c r="AC156" i="45"/>
  <c r="N155" i="45"/>
  <c r="AC151" i="45"/>
  <c r="N150" i="45"/>
  <c r="AC148" i="45"/>
  <c r="AC147" i="45"/>
  <c r="N135" i="45"/>
  <c r="N128" i="45"/>
  <c r="AC127" i="45"/>
  <c r="N205" i="45"/>
  <c r="AC194" i="45"/>
  <c r="AC195" i="45" s="1"/>
  <c r="N184" i="45"/>
  <c r="AC176" i="45"/>
  <c r="AC177" i="45" s="1"/>
  <c r="AC170" i="45"/>
  <c r="N168" i="45"/>
  <c r="AC165" i="45"/>
  <c r="AC164" i="45"/>
  <c r="N159" i="45"/>
  <c r="N153" i="45"/>
  <c r="N134" i="45"/>
  <c r="AH127" i="45"/>
  <c r="AH129" i="45" s="1"/>
  <c r="N124" i="45"/>
  <c r="N122" i="45"/>
  <c r="N207" i="45"/>
  <c r="E288" i="45" s="1"/>
  <c r="E2202" i="40" s="1"/>
  <c r="N201" i="45"/>
  <c r="I274" i="45" s="1"/>
  <c r="E2134" i="40" s="1"/>
  <c r="AC186" i="45"/>
  <c r="N181" i="45"/>
  <c r="N174" i="45"/>
  <c r="N164" i="45"/>
  <c r="AC155" i="45"/>
  <c r="AC150" i="45"/>
  <c r="N147" i="45"/>
  <c r="N214" i="45"/>
  <c r="N210" i="45"/>
  <c r="I290" i="45" s="1"/>
  <c r="E2319" i="40" s="1"/>
  <c r="AC204" i="45"/>
  <c r="N198" i="45"/>
  <c r="N191" i="45"/>
  <c r="N190" i="45"/>
  <c r="N189" i="45"/>
  <c r="N183" i="45"/>
  <c r="N179" i="45"/>
  <c r="N175" i="45"/>
  <c r="N173" i="45"/>
  <c r="AC169" i="45"/>
  <c r="AC168" i="45"/>
  <c r="AC163" i="45"/>
  <c r="AC162" i="45"/>
  <c r="AC159" i="45"/>
  <c r="AC158" i="45"/>
  <c r="N157" i="45"/>
  <c r="AC153" i="45"/>
  <c r="AC152" i="45"/>
  <c r="N151" i="45"/>
  <c r="N149" i="45"/>
  <c r="N148" i="45"/>
  <c r="AC142" i="45"/>
  <c r="AC143" i="45" s="1"/>
  <c r="N127" i="45"/>
  <c r="AC125" i="45"/>
  <c r="AC124" i="45"/>
  <c r="AC123" i="45"/>
  <c r="AC122" i="45"/>
  <c r="AC121" i="45"/>
  <c r="AC207" i="45"/>
  <c r="N204" i="45"/>
  <c r="AC185" i="45"/>
  <c r="N180" i="45"/>
  <c r="N169" i="45"/>
  <c r="N163" i="45"/>
  <c r="N158" i="45"/>
  <c r="AC154" i="45"/>
  <c r="N152" i="45"/>
  <c r="AC146" i="45"/>
  <c r="N142" i="45"/>
  <c r="E247" i="45" s="1"/>
  <c r="N131" i="45"/>
  <c r="N125" i="45"/>
  <c r="N123" i="45"/>
  <c r="N121" i="45"/>
  <c r="N213" i="45"/>
  <c r="AC197" i="45"/>
  <c r="N185" i="45"/>
  <c r="AC182" i="45"/>
  <c r="N176" i="45"/>
  <c r="N154" i="45"/>
  <c r="AC149" i="45"/>
  <c r="N146" i="45"/>
  <c r="AC128" i="45"/>
  <c r="N126" i="45"/>
  <c r="N136" i="45"/>
  <c r="N156" i="45"/>
  <c r="N162" i="45"/>
  <c r="N167" i="45"/>
  <c r="N194" i="45"/>
  <c r="I267" i="45" s="1"/>
  <c r="E2539" i="40" s="1"/>
  <c r="N170" i="45"/>
  <c r="N188" i="44"/>
  <c r="N171" i="44"/>
  <c r="N159" i="44"/>
  <c r="N144" i="44"/>
  <c r="Q120" i="44"/>
  <c r="N119" i="44"/>
  <c r="N170" i="44"/>
  <c r="N154" i="44"/>
  <c r="N117" i="44"/>
  <c r="N115" i="44"/>
  <c r="N111" i="44"/>
  <c r="D203" i="44" s="1"/>
  <c r="N157" i="44"/>
  <c r="N123" i="44"/>
  <c r="D222" i="44" s="1"/>
  <c r="N174" i="44"/>
  <c r="N161" i="44"/>
  <c r="N146" i="44"/>
  <c r="N143" i="44"/>
  <c r="N138" i="44"/>
  <c r="N135" i="44"/>
  <c r="N120" i="44"/>
  <c r="Q117" i="44"/>
  <c r="N116" i="44"/>
  <c r="N133" i="44"/>
  <c r="N118" i="44"/>
  <c r="N142" i="44"/>
  <c r="N114" i="44"/>
  <c r="N134" i="44"/>
  <c r="N151" i="44"/>
  <c r="N191" i="44"/>
  <c r="Q154" i="44"/>
  <c r="N163" i="44"/>
  <c r="N160" i="44"/>
  <c r="N186" i="44"/>
  <c r="N145" i="44"/>
  <c r="N152" i="44"/>
  <c r="N175" i="44"/>
  <c r="N155" i="44"/>
  <c r="N164" i="44"/>
  <c r="N136" i="44"/>
  <c r="N147" i="44"/>
  <c r="N162" i="44"/>
  <c r="N156" i="44"/>
  <c r="N187" i="44"/>
  <c r="N153" i="44"/>
  <c r="N192" i="44"/>
  <c r="N126" i="44"/>
  <c r="D227" i="44" s="1"/>
  <c r="E2706" i="40" s="1"/>
  <c r="N185" i="44"/>
  <c r="N167" i="44"/>
  <c r="N158" i="44"/>
  <c r="N139" i="44"/>
  <c r="N165" i="44"/>
  <c r="Q142" i="44"/>
  <c r="N149" i="44"/>
  <c r="N166" i="44"/>
  <c r="N137" i="44"/>
  <c r="N178" i="44"/>
  <c r="D292" i="44" s="1"/>
  <c r="E2858" i="40" s="1"/>
  <c r="N150" i="44"/>
  <c r="N148" i="44"/>
  <c r="AG153" i="43"/>
  <c r="AC193" i="43"/>
  <c r="AC172" i="43"/>
  <c r="AJ151" i="43"/>
  <c r="AJ136" i="43"/>
  <c r="N212" i="43"/>
  <c r="N207" i="43"/>
  <c r="N200" i="43"/>
  <c r="N193" i="43"/>
  <c r="N189" i="43"/>
  <c r="N184" i="43"/>
  <c r="N180" i="43"/>
  <c r="N175" i="43"/>
  <c r="N170" i="43"/>
  <c r="N163" i="43"/>
  <c r="N158" i="43"/>
  <c r="N154" i="43"/>
  <c r="N150" i="43"/>
  <c r="N146" i="43"/>
  <c r="N139" i="43"/>
  <c r="N134" i="43"/>
  <c r="E446" i="43" s="1"/>
  <c r="E1489" i="40" s="1"/>
  <c r="I1723" i="50" s="1"/>
  <c r="N129" i="43"/>
  <c r="AM129" i="43" s="1"/>
  <c r="AN129" i="43" s="1"/>
  <c r="N124" i="43"/>
  <c r="E221" i="43" s="1"/>
  <c r="E140" i="40" s="1"/>
  <c r="I150" i="50" s="1"/>
  <c r="T154" i="43"/>
  <c r="AI152" i="43"/>
  <c r="AJ157" i="43"/>
  <c r="N215" i="43"/>
  <c r="E410" i="43" s="1"/>
  <c r="E1191" i="40" s="1"/>
  <c r="I1328" i="50" s="1"/>
  <c r="N191" i="43"/>
  <c r="N182" i="43"/>
  <c r="N167" i="43"/>
  <c r="E345" i="43" s="1"/>
  <c r="E1006" i="40" s="1"/>
  <c r="N156" i="43"/>
  <c r="N148" i="43"/>
  <c r="N137" i="43"/>
  <c r="N127" i="43"/>
  <c r="AM127" i="43" s="1"/>
  <c r="AN127" i="43" s="1"/>
  <c r="T147" i="43"/>
  <c r="AC194" i="43"/>
  <c r="AC157" i="43"/>
  <c r="AC161" i="43" s="1"/>
  <c r="N213" i="43"/>
  <c r="E390" i="43" s="1"/>
  <c r="E1189" i="40" s="1"/>
  <c r="I1326" i="50" s="1"/>
  <c r="N202" i="43"/>
  <c r="E374" i="43" s="1"/>
  <c r="E1046" i="40" s="1"/>
  <c r="I1160" i="50" s="1"/>
  <c r="N190" i="43"/>
  <c r="N181" i="43"/>
  <c r="N176" i="43"/>
  <c r="E313" i="43" s="1"/>
  <c r="E725" i="40" s="1"/>
  <c r="I799" i="50" s="1"/>
  <c r="N165" i="43"/>
  <c r="E285" i="43" s="1"/>
  <c r="E483" i="40" s="1"/>
  <c r="I531" i="50" s="1"/>
  <c r="N159" i="43"/>
  <c r="N151" i="43"/>
  <c r="N140" i="43"/>
  <c r="N130" i="43"/>
  <c r="AM130" i="43" s="1"/>
  <c r="AN130" i="43" s="1"/>
  <c r="AJ156" i="43"/>
  <c r="AI153" i="43"/>
  <c r="T193" i="43"/>
  <c r="AC171" i="43"/>
  <c r="E311" i="43" s="1"/>
  <c r="E724" i="40" s="1"/>
  <c r="I798" i="50" s="1"/>
  <c r="AH150" i="43"/>
  <c r="N121" i="43"/>
  <c r="N211" i="43"/>
  <c r="E366" i="43" s="1"/>
  <c r="E1045" i="40" s="1"/>
  <c r="I1159" i="50" s="1"/>
  <c r="N205" i="43"/>
  <c r="E378" i="43" s="1"/>
  <c r="E1052" i="40" s="1"/>
  <c r="I1156" i="50" s="1"/>
  <c r="N198" i="43"/>
  <c r="E431" i="43" s="1"/>
  <c r="E1339" i="40" s="1"/>
  <c r="I1500" i="50" s="1"/>
  <c r="N192" i="43"/>
  <c r="N188" i="43"/>
  <c r="N183" i="43"/>
  <c r="N178" i="43"/>
  <c r="N173" i="43"/>
  <c r="N169" i="43"/>
  <c r="N162" i="43"/>
  <c r="E267" i="43" s="1"/>
  <c r="E477" i="40" s="1"/>
  <c r="I526" i="50" s="1"/>
  <c r="N157" i="43"/>
  <c r="N153" i="43"/>
  <c r="N149" i="43"/>
  <c r="N144" i="43"/>
  <c r="N138" i="43"/>
  <c r="N132" i="43"/>
  <c r="AM132" i="43" s="1"/>
  <c r="AN132" i="43" s="1"/>
  <c r="N128" i="43"/>
  <c r="AM128" i="43" s="1"/>
  <c r="AN128" i="43" s="1"/>
  <c r="N122" i="43"/>
  <c r="AG198" i="43"/>
  <c r="AG199" i="43" s="1"/>
  <c r="AC192" i="43"/>
  <c r="AF140" i="43"/>
  <c r="N209" i="43"/>
  <c r="N203" i="43"/>
  <c r="N196" i="43"/>
  <c r="E317" i="43" s="1"/>
  <c r="E719" i="40" s="1"/>
  <c r="I793" i="50" s="1"/>
  <c r="N187" i="43"/>
  <c r="N177" i="43"/>
  <c r="N172" i="43"/>
  <c r="N160" i="43"/>
  <c r="N152" i="43"/>
  <c r="N142" i="43"/>
  <c r="E238" i="43" s="1"/>
  <c r="E358" i="40" s="1"/>
  <c r="I395" i="50" s="1"/>
  <c r="N131" i="43"/>
  <c r="AM131" i="43" s="1"/>
  <c r="AN131" i="43" s="1"/>
  <c r="T189" i="43"/>
  <c r="AC173" i="43"/>
  <c r="T139" i="43"/>
  <c r="N208" i="43"/>
  <c r="E384" i="43" s="1"/>
  <c r="E1181" i="40" s="1"/>
  <c r="I1320" i="50" s="1"/>
  <c r="N194" i="43"/>
  <c r="N186" i="43"/>
  <c r="N171" i="43"/>
  <c r="N155" i="43"/>
  <c r="N147" i="43"/>
  <c r="N136" i="43"/>
  <c r="N126" i="43"/>
  <c r="T157" i="43"/>
  <c r="AK157" i="43" s="1"/>
  <c r="AL157" i="43" s="1"/>
  <c r="T155" i="43"/>
  <c r="P204" i="46"/>
  <c r="P126" i="46"/>
  <c r="P195" i="46"/>
  <c r="N164" i="46"/>
  <c r="N146" i="46"/>
  <c r="N127" i="46"/>
  <c r="P182" i="46"/>
  <c r="N134" i="46"/>
  <c r="P147" i="46"/>
  <c r="P162" i="46"/>
  <c r="N159" i="46"/>
  <c r="P154" i="46"/>
  <c r="P189" i="46"/>
  <c r="N187" i="46"/>
  <c r="U128" i="46"/>
  <c r="P137" i="46"/>
  <c r="N140" i="46"/>
  <c r="N143" i="46"/>
  <c r="P196" i="46"/>
  <c r="P127" i="46"/>
  <c r="P144" i="46"/>
  <c r="P191" i="46"/>
  <c r="P121" i="46"/>
  <c r="P184" i="46"/>
  <c r="N124" i="46"/>
  <c r="P131" i="46"/>
  <c r="P143" i="46"/>
  <c r="P153" i="46"/>
  <c r="N184" i="46"/>
  <c r="N194" i="46"/>
  <c r="U189" i="46"/>
  <c r="P212" i="46"/>
  <c r="U130" i="46"/>
  <c r="P135" i="46"/>
  <c r="P141" i="46"/>
  <c r="N147" i="46"/>
  <c r="N162" i="46"/>
  <c r="N180" i="46"/>
  <c r="N217" i="46"/>
  <c r="N131" i="46"/>
  <c r="N138" i="46"/>
  <c r="N155" i="46"/>
  <c r="P166" i="46"/>
  <c r="N189" i="46"/>
  <c r="P173" i="46"/>
  <c r="N190" i="46"/>
  <c r="N204" i="46"/>
  <c r="N173" i="46"/>
  <c r="N198" i="46"/>
  <c r="N153" i="46"/>
  <c r="P180" i="46"/>
  <c r="N128" i="46"/>
  <c r="P163" i="46"/>
  <c r="P216" i="46"/>
  <c r="N133" i="46"/>
  <c r="N154" i="46"/>
  <c r="N126" i="46"/>
  <c r="P159" i="46"/>
  <c r="U191" i="46"/>
  <c r="P148" i="46"/>
  <c r="P149" i="46"/>
  <c r="P190" i="46"/>
  <c r="P193" i="46"/>
  <c r="P124" i="46"/>
  <c r="P186" i="46"/>
  <c r="P197" i="46"/>
  <c r="P165" i="46"/>
  <c r="N125" i="46"/>
  <c r="P134" i="46"/>
  <c r="N145" i="46"/>
  <c r="P156" i="46"/>
  <c r="N177" i="46"/>
  <c r="N185" i="46"/>
  <c r="P214" i="46"/>
  <c r="N193" i="46"/>
  <c r="N214" i="46"/>
  <c r="N132" i="46"/>
  <c r="N137" i="46"/>
  <c r="P142" i="46"/>
  <c r="N152" i="46"/>
  <c r="N174" i="46"/>
  <c r="N212" i="46"/>
  <c r="P215" i="46"/>
  <c r="P132" i="46"/>
  <c r="N139" i="46"/>
  <c r="N156" i="46"/>
  <c r="P174" i="46"/>
  <c r="N195" i="46"/>
  <c r="N197" i="46"/>
  <c r="N175" i="46"/>
  <c r="N191" i="46"/>
  <c r="N201" i="46"/>
  <c r="P185" i="46"/>
  <c r="P192" i="46"/>
  <c r="P146" i="46"/>
  <c r="P194" i="46"/>
  <c r="P138" i="46"/>
  <c r="N176" i="46"/>
  <c r="N135" i="46"/>
  <c r="P176" i="46"/>
  <c r="P198" i="46"/>
  <c r="U180" i="46"/>
  <c r="P133" i="46"/>
  <c r="P183" i="46"/>
  <c r="P164" i="46"/>
  <c r="P181" i="46"/>
  <c r="N166" i="46"/>
  <c r="P128" i="46"/>
  <c r="P188" i="46"/>
  <c r="P125" i="46"/>
  <c r="N121" i="46"/>
  <c r="P130" i="46"/>
  <c r="N141" i="46"/>
  <c r="N148" i="46"/>
  <c r="AB165" i="46"/>
  <c r="AB167" i="46" s="1"/>
  <c r="AB169" i="46" s="1"/>
  <c r="AB222" i="46" s="1"/>
  <c r="G275" i="46" s="1"/>
  <c r="N183" i="46"/>
  <c r="N192" i="46"/>
  <c r="N196" i="46"/>
  <c r="P139" i="46"/>
  <c r="P145" i="46"/>
  <c r="P155" i="46"/>
  <c r="P177" i="46"/>
  <c r="N215" i="46"/>
  <c r="N129" i="46"/>
  <c r="N136" i="46"/>
  <c r="N142" i="46"/>
  <c r="N163" i="46"/>
  <c r="N186" i="46"/>
  <c r="N216" i="46"/>
  <c r="P201" i="46"/>
  <c r="U166" i="46"/>
  <c r="E319" i="46" s="1"/>
  <c r="N182" i="46"/>
  <c r="P152" i="46"/>
  <c r="P187" i="46"/>
  <c r="N130" i="46"/>
  <c r="P129" i="46"/>
  <c r="P136" i="46"/>
  <c r="N181" i="46"/>
  <c r="N188" i="46"/>
  <c r="P217" i="46"/>
  <c r="N144" i="46"/>
  <c r="P213" i="46"/>
  <c r="P140" i="46"/>
  <c r="N213" i="46"/>
  <c r="P175" i="46"/>
  <c r="N165" i="46"/>
  <c r="N149" i="46"/>
  <c r="I81" i="49"/>
  <c r="I81" i="56"/>
  <c r="I478" i="50"/>
  <c r="I477" i="50" s="1"/>
  <c r="I476" i="50" s="1"/>
  <c r="I111" i="49"/>
  <c r="I594" i="50"/>
  <c r="I593" i="50" s="1"/>
  <c r="I592" i="50" s="1"/>
  <c r="I143" i="49"/>
  <c r="I318" i="50"/>
  <c r="I317" i="50" s="1"/>
  <c r="I316" i="50" s="1"/>
  <c r="I677" i="50"/>
  <c r="I676" i="50"/>
  <c r="I1129" i="50" s="1"/>
  <c r="C17" i="26"/>
  <c r="E365" i="46" l="1"/>
  <c r="E2492" i="40" s="1"/>
  <c r="I249" i="45"/>
  <c r="E2534" i="40" s="1"/>
  <c r="E271" i="45"/>
  <c r="E2080" i="40" s="1"/>
  <c r="I306" i="45"/>
  <c r="E2437" i="40" s="1"/>
  <c r="E305" i="45"/>
  <c r="E2236" i="40" s="1"/>
  <c r="E339" i="46"/>
  <c r="E2027" i="40" s="1"/>
  <c r="E313" i="46"/>
  <c r="E1978" i="40" s="1"/>
  <c r="U167" i="46"/>
  <c r="E1984" i="40"/>
  <c r="I288" i="46"/>
  <c r="E1925" i="40" s="1"/>
  <c r="E294" i="46"/>
  <c r="E1864" i="40" s="1"/>
  <c r="E280" i="46"/>
  <c r="E288" i="46"/>
  <c r="E1858" i="40" s="1"/>
  <c r="I256" i="45"/>
  <c r="E2542" i="40" s="1"/>
  <c r="I231" i="45"/>
  <c r="E1587" i="40" s="1"/>
  <c r="I224" i="45"/>
  <c r="E242" i="45"/>
  <c r="E231" i="45"/>
  <c r="D318" i="44"/>
  <c r="E2895" i="40" s="1"/>
  <c r="D82" i="47"/>
  <c r="E3194" i="40" s="1"/>
  <c r="D100" i="47"/>
  <c r="E3227" i="40" s="1"/>
  <c r="D63" i="47"/>
  <c r="E3188" i="40" s="1"/>
  <c r="D338" i="44"/>
  <c r="E2925" i="40" s="1"/>
  <c r="D311" i="44"/>
  <c r="E2888" i="40" s="1"/>
  <c r="D266" i="44"/>
  <c r="E2827" i="40" s="1"/>
  <c r="D247" i="44"/>
  <c r="E2794" i="40" s="1"/>
  <c r="D240" i="44"/>
  <c r="E2792" i="40" s="1"/>
  <c r="D233" i="44"/>
  <c r="E2785" i="40" s="1"/>
  <c r="AF114" i="44"/>
  <c r="D210" i="44"/>
  <c r="E2697" i="40" s="1"/>
  <c r="E2691" i="40"/>
  <c r="Q121" i="44"/>
  <c r="Q129" i="44" s="1"/>
  <c r="D216" i="44"/>
  <c r="E2698" i="40" s="1"/>
  <c r="E440" i="43"/>
  <c r="E1336" i="40" s="1"/>
  <c r="I1497" i="50" s="1"/>
  <c r="E303" i="43"/>
  <c r="E717" i="40" s="1"/>
  <c r="I791" i="50" s="1"/>
  <c r="E349" i="43"/>
  <c r="E1010" i="40" s="1"/>
  <c r="S169" i="43"/>
  <c r="E338" i="43"/>
  <c r="E828" i="40" s="1"/>
  <c r="I918" i="50" s="1"/>
  <c r="E329" i="43"/>
  <c r="E825" i="40" s="1"/>
  <c r="I915" i="50" s="1"/>
  <c r="E322" i="43"/>
  <c r="E818" i="40" s="1"/>
  <c r="I907" i="50" s="1"/>
  <c r="I909" i="50" s="1"/>
  <c r="E340" i="43"/>
  <c r="E827" i="40" s="1"/>
  <c r="I917" i="50" s="1"/>
  <c r="E254" i="43"/>
  <c r="E364" i="40" s="1"/>
  <c r="I401" i="50" s="1"/>
  <c r="E271" i="43"/>
  <c r="E476" i="40" s="1"/>
  <c r="AH161" i="43"/>
  <c r="AH218" i="43" s="1"/>
  <c r="E227" i="43" s="1"/>
  <c r="E281" i="43"/>
  <c r="E487" i="40" s="1"/>
  <c r="F487" i="40" s="1"/>
  <c r="G487" i="40" s="1"/>
  <c r="AK141" i="43"/>
  <c r="AK161" i="43"/>
  <c r="E279" i="43"/>
  <c r="E277" i="43"/>
  <c r="E242" i="43"/>
  <c r="E361" i="40" s="1"/>
  <c r="I398" i="50" s="1"/>
  <c r="AJ141" i="43"/>
  <c r="E250" i="43"/>
  <c r="AF141" i="43"/>
  <c r="AF218" i="43" s="1"/>
  <c r="E251" i="43"/>
  <c r="T141" i="43"/>
  <c r="E248" i="43"/>
  <c r="E359" i="40" s="1"/>
  <c r="I396" i="50" s="1"/>
  <c r="F358" i="40"/>
  <c r="G358" i="40" s="1"/>
  <c r="AM126" i="43"/>
  <c r="E229" i="43"/>
  <c r="AG161" i="43"/>
  <c r="AG218" i="43" s="1"/>
  <c r="E228" i="43"/>
  <c r="E206" i="40" s="1"/>
  <c r="I214" i="50" s="1"/>
  <c r="E222" i="43"/>
  <c r="E141" i="40" s="1"/>
  <c r="I151" i="50" s="1"/>
  <c r="AC187" i="45"/>
  <c r="Q168" i="44"/>
  <c r="Q181" i="44" s="1"/>
  <c r="T195" i="43"/>
  <c r="AC195" i="43"/>
  <c r="AC199" i="45"/>
  <c r="V213" i="46"/>
  <c r="X213" i="46"/>
  <c r="Y213" i="46" s="1"/>
  <c r="AA213" i="46"/>
  <c r="R213" i="46"/>
  <c r="AA186" i="46"/>
  <c r="V186" i="46"/>
  <c r="X186" i="46"/>
  <c r="Y186" i="46" s="1"/>
  <c r="R186" i="46"/>
  <c r="Q145" i="46"/>
  <c r="X183" i="46"/>
  <c r="Y183" i="46" s="1"/>
  <c r="V183" i="46"/>
  <c r="AA183" i="46"/>
  <c r="R183" i="46"/>
  <c r="Q183" i="46"/>
  <c r="X201" i="46"/>
  <c r="Y201" i="46" s="1"/>
  <c r="Y202" i="46" s="1"/>
  <c r="N202" i="46"/>
  <c r="AA201" i="46"/>
  <c r="AA202" i="46" s="1"/>
  <c r="V201" i="46"/>
  <c r="V202" i="46" s="1"/>
  <c r="R201" i="46"/>
  <c r="R202" i="46" s="1"/>
  <c r="Q132" i="46"/>
  <c r="AA214" i="46"/>
  <c r="V214" i="46"/>
  <c r="X214" i="46"/>
  <c r="Y214" i="46" s="1"/>
  <c r="R214" i="46"/>
  <c r="P150" i="46"/>
  <c r="Q124" i="46"/>
  <c r="V154" i="46"/>
  <c r="X154" i="46"/>
  <c r="Y154" i="46" s="1"/>
  <c r="AA154" i="46"/>
  <c r="R154" i="46"/>
  <c r="AA173" i="46"/>
  <c r="V173" i="46"/>
  <c r="X173" i="46"/>
  <c r="Y173" i="46" s="1"/>
  <c r="N178" i="46"/>
  <c r="R173" i="46"/>
  <c r="X147" i="46"/>
  <c r="Y147" i="46" s="1"/>
  <c r="AA147" i="46"/>
  <c r="V147" i="46"/>
  <c r="R147" i="46"/>
  <c r="Q153" i="46"/>
  <c r="Q127" i="46"/>
  <c r="Z134" i="46"/>
  <c r="AA134" i="46" s="1"/>
  <c r="V134" i="46"/>
  <c r="X134" i="46"/>
  <c r="Y134" i="46" s="1"/>
  <c r="R134" i="46"/>
  <c r="AA215" i="46"/>
  <c r="V215" i="46"/>
  <c r="X215" i="46"/>
  <c r="Y215" i="46" s="1"/>
  <c r="R215" i="46"/>
  <c r="Z166" i="46"/>
  <c r="AA166" i="46" s="1"/>
  <c r="V166" i="46"/>
  <c r="E320" i="46" s="1"/>
  <c r="X166" i="46"/>
  <c r="Y166" i="46" s="1"/>
  <c r="R166" i="46"/>
  <c r="Z165" i="46"/>
  <c r="AA165" i="46" s="1"/>
  <c r="X165" i="46"/>
  <c r="Y165" i="46" s="1"/>
  <c r="R165" i="46"/>
  <c r="Q187" i="46"/>
  <c r="Q175" i="46"/>
  <c r="Z144" i="46"/>
  <c r="AA144" i="46" s="1"/>
  <c r="X144" i="46"/>
  <c r="Y144" i="46" s="1"/>
  <c r="R144" i="46"/>
  <c r="Q136" i="46"/>
  <c r="P157" i="46"/>
  <c r="Q152" i="46"/>
  <c r="AA216" i="46"/>
  <c r="V216" i="46"/>
  <c r="X216" i="46"/>
  <c r="Y216" i="46" s="1"/>
  <c r="R216" i="46"/>
  <c r="X136" i="46"/>
  <c r="Y136" i="46" s="1"/>
  <c r="Z136" i="46"/>
  <c r="AA136" i="46" s="1"/>
  <c r="V136" i="46"/>
  <c r="R136" i="46"/>
  <c r="Q155" i="46"/>
  <c r="V192" i="46"/>
  <c r="Y192" i="46"/>
  <c r="AA192" i="46"/>
  <c r="R192" i="46"/>
  <c r="Z141" i="46"/>
  <c r="AA141" i="46" s="1"/>
  <c r="Y141" i="46"/>
  <c r="R141" i="46"/>
  <c r="Q188" i="46"/>
  <c r="Q164" i="46"/>
  <c r="Q198" i="46"/>
  <c r="Q138" i="46"/>
  <c r="Q185" i="46"/>
  <c r="V197" i="46"/>
  <c r="AA197" i="46"/>
  <c r="X197" i="46"/>
  <c r="Y197" i="46" s="1"/>
  <c r="R197" i="46"/>
  <c r="AA139" i="46"/>
  <c r="X139" i="46"/>
  <c r="Y139" i="46" s="1"/>
  <c r="R139" i="46"/>
  <c r="AA174" i="46"/>
  <c r="V174" i="46"/>
  <c r="X174" i="46"/>
  <c r="Y174" i="46" s="1"/>
  <c r="R174" i="46"/>
  <c r="V132" i="46"/>
  <c r="X132" i="46"/>
  <c r="Y132" i="46" s="1"/>
  <c r="Z132" i="46"/>
  <c r="AA132" i="46" s="1"/>
  <c r="R132" i="46"/>
  <c r="V185" i="46"/>
  <c r="Y185" i="46"/>
  <c r="AA185" i="46"/>
  <c r="R185" i="46"/>
  <c r="Q134" i="46"/>
  <c r="Q186" i="46"/>
  <c r="Q149" i="46"/>
  <c r="Z126" i="46"/>
  <c r="AA126" i="46" s="1"/>
  <c r="X126" i="46"/>
  <c r="Y126" i="46" s="1"/>
  <c r="R126" i="46"/>
  <c r="P167" i="46"/>
  <c r="Q163" i="46"/>
  <c r="V198" i="46"/>
  <c r="AA198" i="46"/>
  <c r="X198" i="46"/>
  <c r="Y198" i="46" s="1"/>
  <c r="R198" i="46"/>
  <c r="P178" i="46"/>
  <c r="Q173" i="46"/>
  <c r="Z138" i="46"/>
  <c r="AA138" i="46" s="1"/>
  <c r="X138" i="46"/>
  <c r="Y138" i="46" s="1"/>
  <c r="R138" i="46"/>
  <c r="Z162" i="46"/>
  <c r="AA162" i="46" s="1"/>
  <c r="X162" i="46"/>
  <c r="Y162" i="46" s="1"/>
  <c r="N167" i="46"/>
  <c r="R162" i="46"/>
  <c r="U150" i="46"/>
  <c r="X184" i="46"/>
  <c r="Y184" i="46" s="1"/>
  <c r="AA184" i="46"/>
  <c r="V184" i="46"/>
  <c r="R184" i="46"/>
  <c r="Z124" i="46"/>
  <c r="AA124" i="46" s="1"/>
  <c r="X124" i="46"/>
  <c r="Y124" i="46" s="1"/>
  <c r="R124" i="46"/>
  <c r="N150" i="46"/>
  <c r="Q144" i="46"/>
  <c r="Z140" i="46"/>
  <c r="AA140" i="46" s="1"/>
  <c r="X140" i="46"/>
  <c r="Y140" i="46" s="1"/>
  <c r="R140" i="46"/>
  <c r="Q189" i="46"/>
  <c r="Q147" i="46"/>
  <c r="V146" i="46"/>
  <c r="AA146" i="46"/>
  <c r="X146" i="46"/>
  <c r="Y146" i="46" s="1"/>
  <c r="R146" i="46"/>
  <c r="P205" i="46"/>
  <c r="Q204" i="46"/>
  <c r="Q205" i="46" s="1"/>
  <c r="X136" i="43"/>
  <c r="Y136" i="43" s="1"/>
  <c r="AA136" i="43"/>
  <c r="S136" i="43"/>
  <c r="W136" i="43"/>
  <c r="AK136" i="43"/>
  <c r="AL136" i="43" s="1"/>
  <c r="AM136" i="43"/>
  <c r="N141" i="43"/>
  <c r="X186" i="43"/>
  <c r="Y186" i="43" s="1"/>
  <c r="AK186" i="43"/>
  <c r="AL186" i="43" s="1"/>
  <c r="W186" i="43"/>
  <c r="AA186" i="43"/>
  <c r="N195" i="43"/>
  <c r="S186" i="43"/>
  <c r="AE186" i="43"/>
  <c r="AM186" i="43"/>
  <c r="AK152" i="43"/>
  <c r="AL152" i="43" s="1"/>
  <c r="AM152" i="43"/>
  <c r="AN152" i="43" s="1"/>
  <c r="AA152" i="43"/>
  <c r="W152" i="43"/>
  <c r="E283" i="43" s="1"/>
  <c r="E489" i="40" s="1"/>
  <c r="F489" i="40" s="1"/>
  <c r="G489" i="40" s="1"/>
  <c r="S152" i="43"/>
  <c r="Y152" i="43"/>
  <c r="AK187" i="43"/>
  <c r="AL187" i="43" s="1"/>
  <c r="S187" i="43"/>
  <c r="X187" i="43"/>
  <c r="Y187" i="43" s="1"/>
  <c r="W187" i="43"/>
  <c r="AA187" i="43"/>
  <c r="AM187" i="43"/>
  <c r="AN187" i="43" s="1"/>
  <c r="AE187" i="43"/>
  <c r="W128" i="43"/>
  <c r="S128" i="43"/>
  <c r="AK128" i="43"/>
  <c r="AL128" i="43" s="1"/>
  <c r="AA149" i="43"/>
  <c r="W149" i="43"/>
  <c r="X149" i="43"/>
  <c r="Y149" i="43" s="1"/>
  <c r="S149" i="43"/>
  <c r="AM149" i="43"/>
  <c r="AN149" i="43" s="1"/>
  <c r="AK149" i="43"/>
  <c r="AL149" i="43" s="1"/>
  <c r="AK169" i="43"/>
  <c r="W169" i="43"/>
  <c r="AA169" i="43"/>
  <c r="X169" i="43"/>
  <c r="Y169" i="43" s="1"/>
  <c r="N174" i="43"/>
  <c r="AM169" i="43"/>
  <c r="AE188" i="43"/>
  <c r="S188" i="43"/>
  <c r="W188" i="43"/>
  <c r="AA188" i="43"/>
  <c r="AK188" i="43"/>
  <c r="AL188" i="43" s="1"/>
  <c r="AM188" i="43"/>
  <c r="AN188" i="43" s="1"/>
  <c r="X188" i="43"/>
  <c r="Y188" i="43" s="1"/>
  <c r="W211" i="43"/>
  <c r="AA211" i="43"/>
  <c r="AE211" i="43"/>
  <c r="S211" i="43"/>
  <c r="E367" i="43" s="1"/>
  <c r="X211" i="43"/>
  <c r="Y211" i="43" s="1"/>
  <c r="E372" i="43" s="1"/>
  <c r="E1105" i="40" s="1"/>
  <c r="I1216" i="50" s="1"/>
  <c r="N214" i="43"/>
  <c r="AM211" i="43"/>
  <c r="E371" i="43" s="1"/>
  <c r="E1050" i="40" s="1"/>
  <c r="I1162" i="50" s="1"/>
  <c r="AK211" i="43"/>
  <c r="AA140" i="43"/>
  <c r="X140" i="43"/>
  <c r="Y140" i="43" s="1"/>
  <c r="AM140" i="43"/>
  <c r="AN140" i="43" s="1"/>
  <c r="AK140" i="43"/>
  <c r="AL140" i="43" s="1"/>
  <c r="S140" i="43"/>
  <c r="W140" i="43"/>
  <c r="AM176" i="43"/>
  <c r="AK176" i="43"/>
  <c r="S176" i="43"/>
  <c r="W176" i="43"/>
  <c r="AK213" i="43"/>
  <c r="W213" i="43"/>
  <c r="X213" i="43"/>
  <c r="Y213" i="43" s="1"/>
  <c r="E396" i="43" s="1"/>
  <c r="E1296" i="40" s="1"/>
  <c r="I1433" i="50" s="1"/>
  <c r="AE213" i="43"/>
  <c r="E397" i="43" s="1"/>
  <c r="S213" i="43"/>
  <c r="E391" i="43" s="1"/>
  <c r="AA213" i="43"/>
  <c r="AM213" i="43"/>
  <c r="W127" i="43"/>
  <c r="S127" i="43"/>
  <c r="AK127" i="43"/>
  <c r="AL127" i="43" s="1"/>
  <c r="AK167" i="43"/>
  <c r="S167" i="43"/>
  <c r="S168" i="43" s="1"/>
  <c r="AA167" i="43"/>
  <c r="AA168" i="43" s="1"/>
  <c r="N168" i="43"/>
  <c r="W167" i="43"/>
  <c r="W168" i="43" s="1"/>
  <c r="AM167" i="43"/>
  <c r="E347" i="43" s="1"/>
  <c r="E1008" i="40" s="1"/>
  <c r="Y167" i="43"/>
  <c r="W129" i="43"/>
  <c r="S129" i="43"/>
  <c r="AK129" i="43"/>
  <c r="AL129" i="43" s="1"/>
  <c r="W150" i="43"/>
  <c r="AA150" i="43"/>
  <c r="AM150" i="43"/>
  <c r="AN150" i="43" s="1"/>
  <c r="S150" i="43"/>
  <c r="X150" i="43"/>
  <c r="Y150" i="43" s="1"/>
  <c r="AK150" i="43"/>
  <c r="AL150" i="43" s="1"/>
  <c r="X170" i="43"/>
  <c r="Y170" i="43" s="1"/>
  <c r="S170" i="43"/>
  <c r="W170" i="43"/>
  <c r="AM170" i="43"/>
  <c r="AN170" i="43" s="1"/>
  <c r="AK170" i="43"/>
  <c r="AL170" i="43" s="1"/>
  <c r="AA170" i="43"/>
  <c r="AB189" i="43"/>
  <c r="S189" i="43"/>
  <c r="AE189" i="43"/>
  <c r="W189" i="43"/>
  <c r="AM189" i="43"/>
  <c r="AN189" i="43" s="1"/>
  <c r="AA189" i="43"/>
  <c r="AK189" i="43"/>
  <c r="AL189" i="43" s="1"/>
  <c r="Y189" i="43"/>
  <c r="X212" i="43"/>
  <c r="Y212" i="43" s="1"/>
  <c r="AE212" i="43"/>
  <c r="AA212" i="43"/>
  <c r="AM212" i="43"/>
  <c r="AN212" i="43" s="1"/>
  <c r="W212" i="43"/>
  <c r="AK212" i="43"/>
  <c r="AL212" i="43" s="1"/>
  <c r="S212" i="43"/>
  <c r="U178" i="44"/>
  <c r="AD178" i="44"/>
  <c r="D300" i="44" s="1"/>
  <c r="E2864" i="40" s="1"/>
  <c r="P178" i="44"/>
  <c r="N179" i="44"/>
  <c r="S178" i="44"/>
  <c r="T178" i="44" s="1"/>
  <c r="AF178" i="44"/>
  <c r="D301" i="44" s="1"/>
  <c r="E2865" i="40" s="1"/>
  <c r="U167" i="44"/>
  <c r="AD167" i="44" s="1"/>
  <c r="AE167" i="44" s="1"/>
  <c r="V167" i="44"/>
  <c r="P167" i="44"/>
  <c r="AF167" i="44"/>
  <c r="AG167" i="44" s="1"/>
  <c r="S167" i="44"/>
  <c r="T167" i="44" s="1"/>
  <c r="U153" i="44"/>
  <c r="AD153" i="44" s="1"/>
  <c r="AF153" i="44"/>
  <c r="S153" i="44"/>
  <c r="T153" i="44" s="1"/>
  <c r="P153" i="44"/>
  <c r="V153" i="44"/>
  <c r="P147" i="44"/>
  <c r="AF147" i="44"/>
  <c r="AG147" i="44" s="1"/>
  <c r="S147" i="44"/>
  <c r="T147" i="44" s="1"/>
  <c r="U147" i="44"/>
  <c r="AD147" i="44" s="1"/>
  <c r="AE147" i="44" s="1"/>
  <c r="AF175" i="44"/>
  <c r="AG175" i="44" s="1"/>
  <c r="AD175" i="44"/>
  <c r="AE175" i="44" s="1"/>
  <c r="P175" i="44"/>
  <c r="U175" i="44"/>
  <c r="S175" i="44"/>
  <c r="T175" i="44" s="1"/>
  <c r="V160" i="44"/>
  <c r="AF160" i="44"/>
  <c r="AG160" i="44" s="1"/>
  <c r="P160" i="44"/>
  <c r="S160" i="44"/>
  <c r="T160" i="44" s="1"/>
  <c r="U160" i="44"/>
  <c r="AD160" i="44" s="1"/>
  <c r="AE160" i="44" s="1"/>
  <c r="S151" i="44"/>
  <c r="T151" i="44" s="1"/>
  <c r="P151" i="44"/>
  <c r="AF151" i="44"/>
  <c r="AG151" i="44" s="1"/>
  <c r="U151" i="44"/>
  <c r="AD151" i="44" s="1"/>
  <c r="AE151" i="44" s="1"/>
  <c r="U118" i="44"/>
  <c r="AD118" i="44" s="1"/>
  <c r="AE118" i="44" s="1"/>
  <c r="AF118" i="44"/>
  <c r="AG118" i="44" s="1"/>
  <c r="S118" i="44"/>
  <c r="T118" i="44" s="1"/>
  <c r="P118" i="44"/>
  <c r="AF120" i="44"/>
  <c r="AG120" i="44" s="1"/>
  <c r="P120" i="44"/>
  <c r="S120" i="44"/>
  <c r="T120" i="44" s="1"/>
  <c r="U120" i="44"/>
  <c r="AD120" i="44" s="1"/>
  <c r="AE120" i="44" s="1"/>
  <c r="U146" i="44"/>
  <c r="AD146" i="44" s="1"/>
  <c r="AE146" i="44" s="1"/>
  <c r="S146" i="44"/>
  <c r="T146" i="44" s="1"/>
  <c r="P146" i="44"/>
  <c r="AF146" i="44"/>
  <c r="AG146" i="44" s="1"/>
  <c r="AF157" i="44"/>
  <c r="AG157" i="44" s="1"/>
  <c r="P157" i="44"/>
  <c r="U157" i="44"/>
  <c r="AD157" i="44" s="1"/>
  <c r="AE157" i="44" s="1"/>
  <c r="S157" i="44"/>
  <c r="T157" i="44" s="1"/>
  <c r="V157" i="44"/>
  <c r="V154" i="44"/>
  <c r="U154" i="44"/>
  <c r="AD154" i="44" s="1"/>
  <c r="AE154" i="44" s="1"/>
  <c r="S154" i="44"/>
  <c r="T154" i="44" s="1"/>
  <c r="AF154" i="44"/>
  <c r="AG154" i="44" s="1"/>
  <c r="P154" i="44"/>
  <c r="U144" i="44"/>
  <c r="P144" i="44"/>
  <c r="AF144" i="44"/>
  <c r="S144" i="44"/>
  <c r="T144" i="44" s="1"/>
  <c r="Z170" i="45"/>
  <c r="AA170" i="45" s="1"/>
  <c r="AK170" i="45"/>
  <c r="AL170" i="45" s="1"/>
  <c r="X170" i="45"/>
  <c r="Y170" i="45" s="1"/>
  <c r="S170" i="45"/>
  <c r="AM170" i="45"/>
  <c r="AN170" i="45" s="1"/>
  <c r="AB170" i="45"/>
  <c r="W170" i="45"/>
  <c r="AB156" i="45"/>
  <c r="X156" i="45"/>
  <c r="Y156" i="45" s="1"/>
  <c r="S156" i="45"/>
  <c r="AK156" i="45"/>
  <c r="AL156" i="45" s="1"/>
  <c r="AM156" i="45"/>
  <c r="AN156" i="45" s="1"/>
  <c r="W156" i="45"/>
  <c r="Z156" i="45"/>
  <c r="AA156" i="45" s="1"/>
  <c r="AK146" i="45"/>
  <c r="AB146" i="45"/>
  <c r="N160" i="45"/>
  <c r="X146" i="45"/>
  <c r="W146" i="45"/>
  <c r="Z146" i="45"/>
  <c r="AA146" i="45" s="1"/>
  <c r="AM146" i="45"/>
  <c r="S146" i="45"/>
  <c r="AA121" i="45"/>
  <c r="S121" i="45"/>
  <c r="AK121" i="45"/>
  <c r="X121" i="45"/>
  <c r="Y121" i="45" s="1"/>
  <c r="AB121" i="45"/>
  <c r="W121" i="45"/>
  <c r="N129" i="45"/>
  <c r="AM121" i="45"/>
  <c r="AB142" i="45"/>
  <c r="AB143" i="45" s="1"/>
  <c r="AK142" i="45"/>
  <c r="E251" i="45" s="1"/>
  <c r="AM142" i="45"/>
  <c r="E252" i="45" s="1"/>
  <c r="Z142" i="45"/>
  <c r="AA142" i="45" s="1"/>
  <c r="AA143" i="45" s="1"/>
  <c r="X142" i="45"/>
  <c r="Y142" i="45" s="1"/>
  <c r="S142" i="45"/>
  <c r="W142" i="45"/>
  <c r="W143" i="45" s="1"/>
  <c r="N143" i="45"/>
  <c r="X158" i="45"/>
  <c r="Y158" i="45" s="1"/>
  <c r="Z158" i="45"/>
  <c r="AA158" i="45" s="1"/>
  <c r="W158" i="45"/>
  <c r="AB158" i="45"/>
  <c r="AK158" i="45"/>
  <c r="AL158" i="45" s="1"/>
  <c r="AM158" i="45"/>
  <c r="AN158" i="45" s="1"/>
  <c r="S158" i="45"/>
  <c r="AM127" i="45"/>
  <c r="AN127" i="45" s="1"/>
  <c r="AC175" i="45" s="1"/>
  <c r="W127" i="45"/>
  <c r="AB127" i="45"/>
  <c r="AK127" i="45"/>
  <c r="AL127" i="45" s="1"/>
  <c r="X127" i="45"/>
  <c r="Y127" i="45" s="1"/>
  <c r="Z127" i="45"/>
  <c r="AA127" i="45" s="1"/>
  <c r="S127" i="45"/>
  <c r="W151" i="45"/>
  <c r="AM151" i="45"/>
  <c r="AN151" i="45" s="1"/>
  <c r="AK151" i="45"/>
  <c r="AL151" i="45" s="1"/>
  <c r="Z151" i="45"/>
  <c r="AA151" i="45" s="1"/>
  <c r="X151" i="45"/>
  <c r="Y151" i="45" s="1"/>
  <c r="S151" i="45"/>
  <c r="AB151" i="45"/>
  <c r="AK179" i="45"/>
  <c r="N187" i="45"/>
  <c r="AM179" i="45"/>
  <c r="AB179" i="45"/>
  <c r="W179" i="45"/>
  <c r="S179" i="45"/>
  <c r="X179" i="45"/>
  <c r="Y179" i="45" s="1"/>
  <c r="AA179" i="45"/>
  <c r="AB191" i="45"/>
  <c r="AM191" i="45"/>
  <c r="AN191" i="45" s="1"/>
  <c r="AK191" i="45"/>
  <c r="AL191" i="45" s="1"/>
  <c r="S191" i="45"/>
  <c r="X191" i="45"/>
  <c r="Y191" i="45" s="1"/>
  <c r="W191" i="45"/>
  <c r="Z191" i="45"/>
  <c r="AA191" i="45" s="1"/>
  <c r="AB214" i="45"/>
  <c r="AA214" i="45"/>
  <c r="X214" i="45"/>
  <c r="Y214" i="45" s="1"/>
  <c r="AK214" i="45"/>
  <c r="AL214" i="45" s="1"/>
  <c r="AM214" i="45"/>
  <c r="AN214" i="45" s="1"/>
  <c r="S214" i="45"/>
  <c r="W214" i="45"/>
  <c r="AM164" i="45"/>
  <c r="AN164" i="45" s="1"/>
  <c r="W164" i="45"/>
  <c r="Z164" i="45"/>
  <c r="AA164" i="45" s="1"/>
  <c r="AB164" i="45"/>
  <c r="AK164" i="45"/>
  <c r="AL164" i="45" s="1"/>
  <c r="S164" i="45"/>
  <c r="X164" i="45"/>
  <c r="Y164" i="45" s="1"/>
  <c r="AM201" i="45"/>
  <c r="I281" i="45" s="1"/>
  <c r="E2139" i="40" s="1"/>
  <c r="W201" i="45"/>
  <c r="W202" i="45" s="1"/>
  <c r="AB201" i="45"/>
  <c r="N202" i="45"/>
  <c r="AK201" i="45"/>
  <c r="I280" i="45" s="1"/>
  <c r="E2138" i="40" s="1"/>
  <c r="AA201" i="45"/>
  <c r="AA202" i="45" s="1"/>
  <c r="X201" i="45"/>
  <c r="Y201" i="45" s="1"/>
  <c r="S201" i="45"/>
  <c r="AH217" i="45"/>
  <c r="E222" i="45" s="1"/>
  <c r="AH144" i="45"/>
  <c r="AC192" i="45"/>
  <c r="W139" i="45"/>
  <c r="W140" i="45" s="1"/>
  <c r="N140" i="45"/>
  <c r="AM139" i="45"/>
  <c r="E261" i="45" s="1"/>
  <c r="AK139" i="45"/>
  <c r="E260" i="45" s="1"/>
  <c r="S139" i="45"/>
  <c r="N54" i="47"/>
  <c r="AJ53" i="47"/>
  <c r="D89" i="47" s="1"/>
  <c r="T53" i="47"/>
  <c r="T54" i="47" s="1"/>
  <c r="X53" i="47"/>
  <c r="X54" i="47" s="1"/>
  <c r="AH53" i="47"/>
  <c r="D88" i="47" s="1"/>
  <c r="U53" i="47"/>
  <c r="V53" i="47" s="1"/>
  <c r="V54" i="47" s="1"/>
  <c r="P53" i="47"/>
  <c r="P54" i="47" s="1"/>
  <c r="U43" i="47"/>
  <c r="V43" i="47" s="1"/>
  <c r="AH43" i="47"/>
  <c r="AI43" i="47" s="1"/>
  <c r="P43" i="47"/>
  <c r="T43" i="47"/>
  <c r="AJ43" i="47"/>
  <c r="AK43" i="47" s="1"/>
  <c r="X43" i="47"/>
  <c r="Q129" i="46"/>
  <c r="Q194" i="46"/>
  <c r="X131" i="46"/>
  <c r="Y131" i="46" s="1"/>
  <c r="V131" i="46"/>
  <c r="Z131" i="46"/>
  <c r="AA131" i="46" s="1"/>
  <c r="R131" i="46"/>
  <c r="Y153" i="43"/>
  <c r="AK153" i="43"/>
  <c r="AL153" i="43" s="1"/>
  <c r="AM153" i="43"/>
  <c r="AN153" i="43" s="1"/>
  <c r="W153" i="43"/>
  <c r="S153" i="43"/>
  <c r="AA153" i="43"/>
  <c r="AM192" i="43"/>
  <c r="AN192" i="43" s="1"/>
  <c r="W192" i="43"/>
  <c r="X192" i="43"/>
  <c r="Y192" i="43" s="1"/>
  <c r="S192" i="43"/>
  <c r="AK192" i="43"/>
  <c r="AL192" i="43" s="1"/>
  <c r="AA192" i="43"/>
  <c r="W121" i="43"/>
  <c r="N123" i="43"/>
  <c r="AM121" i="43"/>
  <c r="S121" i="43"/>
  <c r="AK121" i="43"/>
  <c r="AL121" i="43" s="1"/>
  <c r="AM181" i="43"/>
  <c r="AN181" i="43" s="1"/>
  <c r="AK181" i="43"/>
  <c r="X181" i="43"/>
  <c r="Y181" i="43" s="1"/>
  <c r="S181" i="43"/>
  <c r="AA181" i="43"/>
  <c r="W181" i="43"/>
  <c r="AE181" i="43"/>
  <c r="AA182" i="43"/>
  <c r="AK182" i="43"/>
  <c r="AL182" i="43" s="1"/>
  <c r="AE182" i="43"/>
  <c r="S182" i="43"/>
  <c r="W182" i="43"/>
  <c r="X182" i="43"/>
  <c r="Y182" i="43" s="1"/>
  <c r="AM182" i="43"/>
  <c r="AI161" i="43"/>
  <c r="AI218" i="43" s="1"/>
  <c r="S134" i="43"/>
  <c r="S135" i="43" s="1"/>
  <c r="AK134" i="43"/>
  <c r="AM134" i="43"/>
  <c r="E448" i="43" s="1"/>
  <c r="W134" i="43"/>
  <c r="W135" i="43" s="1"/>
  <c r="N135" i="43"/>
  <c r="X154" i="43"/>
  <c r="Y154" i="43" s="1"/>
  <c r="AA154" i="43"/>
  <c r="AM154" i="43"/>
  <c r="AN154" i="43" s="1"/>
  <c r="AK154" i="43"/>
  <c r="AL154" i="43" s="1"/>
  <c r="W154" i="43"/>
  <c r="S154" i="43"/>
  <c r="S175" i="43"/>
  <c r="N179" i="43"/>
  <c r="AK175" i="43"/>
  <c r="AL175" i="43" s="1"/>
  <c r="W175" i="43"/>
  <c r="AM175" i="43"/>
  <c r="AE193" i="43"/>
  <c r="S193" i="43"/>
  <c r="AK193" i="43"/>
  <c r="AL193" i="43" s="1"/>
  <c r="W193" i="43"/>
  <c r="AA193" i="43"/>
  <c r="X193" i="43"/>
  <c r="Y193" i="43" s="1"/>
  <c r="AM193" i="43"/>
  <c r="AN193" i="43" s="1"/>
  <c r="S137" i="44"/>
  <c r="T137" i="44" s="1"/>
  <c r="U137" i="44"/>
  <c r="AD137" i="44" s="1"/>
  <c r="AE137" i="44" s="1"/>
  <c r="AF137" i="44"/>
  <c r="AG137" i="44" s="1"/>
  <c r="P137" i="44"/>
  <c r="U165" i="44"/>
  <c r="AF165" i="44"/>
  <c r="AG165" i="44" s="1"/>
  <c r="AD165" i="44"/>
  <c r="AE165" i="44" s="1"/>
  <c r="P165" i="44"/>
  <c r="S165" i="44"/>
  <c r="T165" i="44" s="1"/>
  <c r="U185" i="44"/>
  <c r="P185" i="44"/>
  <c r="S185" i="44"/>
  <c r="T185" i="44" s="1"/>
  <c r="N189" i="44"/>
  <c r="AF185" i="44"/>
  <c r="U187" i="44"/>
  <c r="AD187" i="44" s="1"/>
  <c r="AE187" i="44" s="1"/>
  <c r="AF187" i="44"/>
  <c r="AG187" i="44" s="1"/>
  <c r="S187" i="44"/>
  <c r="T187" i="44" s="1"/>
  <c r="P187" i="44"/>
  <c r="P136" i="44"/>
  <c r="S136" i="44"/>
  <c r="T136" i="44" s="1"/>
  <c r="U136" i="44"/>
  <c r="AD136" i="44" s="1"/>
  <c r="AE136" i="44" s="1"/>
  <c r="AF136" i="44"/>
  <c r="AG136" i="44" s="1"/>
  <c r="U152" i="44"/>
  <c r="AF152" i="44"/>
  <c r="P152" i="44"/>
  <c r="V152" i="44"/>
  <c r="S152" i="44"/>
  <c r="T152" i="44" s="1"/>
  <c r="V163" i="44"/>
  <c r="P163" i="44"/>
  <c r="AF163" i="44"/>
  <c r="AG163" i="44" s="1"/>
  <c r="S163" i="44"/>
  <c r="T163" i="44" s="1"/>
  <c r="U163" i="44"/>
  <c r="AD163" i="44" s="1"/>
  <c r="AE163" i="44" s="1"/>
  <c r="U134" i="44"/>
  <c r="AD134" i="44" s="1"/>
  <c r="AE134" i="44" s="1"/>
  <c r="AF134" i="44"/>
  <c r="AG134" i="44" s="1"/>
  <c r="S134" i="44"/>
  <c r="T134" i="44" s="1"/>
  <c r="P134" i="44"/>
  <c r="U133" i="44"/>
  <c r="S133" i="44"/>
  <c r="T133" i="44" s="1"/>
  <c r="P133" i="44"/>
  <c r="AF133" i="44"/>
  <c r="N140" i="44"/>
  <c r="U135" i="44"/>
  <c r="AD135" i="44" s="1"/>
  <c r="AE135" i="44" s="1"/>
  <c r="P135" i="44"/>
  <c r="S135" i="44"/>
  <c r="T135" i="44" s="1"/>
  <c r="AF135" i="44"/>
  <c r="AG135" i="44" s="1"/>
  <c r="V161" i="44"/>
  <c r="P161" i="44"/>
  <c r="AF161" i="44"/>
  <c r="AG161" i="44" s="1"/>
  <c r="U161" i="44"/>
  <c r="AD161" i="44" s="1"/>
  <c r="AE161" i="44" s="1"/>
  <c r="S161" i="44"/>
  <c r="T161" i="44" s="1"/>
  <c r="U111" i="44"/>
  <c r="U112" i="44" s="1"/>
  <c r="D204" i="44" s="1"/>
  <c r="AF111" i="44"/>
  <c r="D206" i="44" s="1"/>
  <c r="S111" i="44"/>
  <c r="T111" i="44" s="1"/>
  <c r="D207" i="44" s="1"/>
  <c r="N112" i="44"/>
  <c r="AD111" i="44"/>
  <c r="D205" i="44" s="1"/>
  <c r="P111" i="44"/>
  <c r="P112" i="44" s="1"/>
  <c r="U170" i="44"/>
  <c r="AF170" i="44"/>
  <c r="AD170" i="44"/>
  <c r="S170" i="44"/>
  <c r="T170" i="44" s="1"/>
  <c r="P170" i="44"/>
  <c r="N172" i="44"/>
  <c r="AF159" i="44"/>
  <c r="AG159" i="44" s="1"/>
  <c r="P159" i="44"/>
  <c r="V159" i="44"/>
  <c r="U159" i="44"/>
  <c r="AD159" i="44" s="1"/>
  <c r="AE159" i="44" s="1"/>
  <c r="S159" i="44"/>
  <c r="T159" i="44" s="1"/>
  <c r="Z194" i="45"/>
  <c r="AA194" i="45" s="1"/>
  <c r="AA195" i="45" s="1"/>
  <c r="W194" i="45"/>
  <c r="W195" i="45" s="1"/>
  <c r="N195" i="45"/>
  <c r="AM194" i="45"/>
  <c r="I269" i="45" s="1"/>
  <c r="E2541" i="40" s="1"/>
  <c r="AK194" i="45"/>
  <c r="I268" i="45" s="1"/>
  <c r="E2540" i="40" s="1"/>
  <c r="AB194" i="45"/>
  <c r="AB195" i="45" s="1"/>
  <c r="X194" i="45"/>
  <c r="Y194" i="45" s="1"/>
  <c r="Y195" i="45" s="1"/>
  <c r="S194" i="45"/>
  <c r="S195" i="45" s="1"/>
  <c r="S136" i="45"/>
  <c r="AM136" i="45"/>
  <c r="AN136" i="45" s="1"/>
  <c r="W136" i="45"/>
  <c r="AK136" i="45"/>
  <c r="AL136" i="45" s="1"/>
  <c r="S185" i="45"/>
  <c r="X185" i="45"/>
  <c r="Y185" i="45" s="1"/>
  <c r="AK185" i="45"/>
  <c r="AL185" i="45" s="1"/>
  <c r="AA185" i="45"/>
  <c r="AM185" i="45"/>
  <c r="AN185" i="45" s="1"/>
  <c r="AB185" i="45"/>
  <c r="W185" i="45"/>
  <c r="AA123" i="45"/>
  <c r="X123" i="45"/>
  <c r="Y123" i="45" s="1"/>
  <c r="AK123" i="45"/>
  <c r="AL123" i="45" s="1"/>
  <c r="AB123" i="45"/>
  <c r="S123" i="45"/>
  <c r="W123" i="45"/>
  <c r="AM123" i="45"/>
  <c r="AN123" i="45" s="1"/>
  <c r="AC160" i="45"/>
  <c r="AM163" i="45"/>
  <c r="AN163" i="45" s="1"/>
  <c r="S163" i="45"/>
  <c r="AB163" i="45"/>
  <c r="X163" i="45"/>
  <c r="Y163" i="45" s="1"/>
  <c r="AK163" i="45"/>
  <c r="AL163" i="45" s="1"/>
  <c r="Z163" i="45"/>
  <c r="AA163" i="45" s="1"/>
  <c r="W163" i="45"/>
  <c r="AM204" i="45"/>
  <c r="W204" i="45"/>
  <c r="X204" i="45"/>
  <c r="Y204" i="45" s="1"/>
  <c r="AB204" i="45"/>
  <c r="Z204" i="45"/>
  <c r="AA204" i="45" s="1"/>
  <c r="AK204" i="45"/>
  <c r="S204" i="45"/>
  <c r="AM183" i="45"/>
  <c r="AN183" i="45" s="1"/>
  <c r="AK183" i="45"/>
  <c r="AL183" i="45" s="1"/>
  <c r="S183" i="45"/>
  <c r="Z183" i="45"/>
  <c r="AA183" i="45" s="1"/>
  <c r="AB183" i="45"/>
  <c r="W183" i="45"/>
  <c r="X183" i="45"/>
  <c r="Y183" i="45" s="1"/>
  <c r="W198" i="45"/>
  <c r="AM198" i="45"/>
  <c r="AN198" i="45" s="1"/>
  <c r="AB198" i="45"/>
  <c r="X198" i="45"/>
  <c r="Y198" i="45" s="1"/>
  <c r="AK198" i="45"/>
  <c r="AL198" i="45" s="1"/>
  <c r="AA198" i="45"/>
  <c r="S198" i="45"/>
  <c r="AM147" i="45"/>
  <c r="AN147" i="45" s="1"/>
  <c r="S147" i="45"/>
  <c r="AB147" i="45"/>
  <c r="AK147" i="45"/>
  <c r="AL147" i="45" s="1"/>
  <c r="W147" i="45"/>
  <c r="Z147" i="45"/>
  <c r="AA147" i="45" s="1"/>
  <c r="X147" i="45"/>
  <c r="Y147" i="45" s="1"/>
  <c r="X174" i="45"/>
  <c r="Y174" i="45" s="1"/>
  <c r="AB174" i="45"/>
  <c r="S174" i="45"/>
  <c r="AM174" i="45"/>
  <c r="AN174" i="45" s="1"/>
  <c r="W174" i="45"/>
  <c r="AA174" i="45"/>
  <c r="AK174" i="45"/>
  <c r="AL174" i="45" s="1"/>
  <c r="N208" i="45"/>
  <c r="W207" i="45"/>
  <c r="S207" i="45"/>
  <c r="E289" i="45" s="1"/>
  <c r="AB207" i="45"/>
  <c r="E293" i="45" s="1"/>
  <c r="Z207" i="45"/>
  <c r="AA207" i="45" s="1"/>
  <c r="AM207" i="45"/>
  <c r="X207" i="45"/>
  <c r="Y207" i="45" s="1"/>
  <c r="E296" i="45" s="1"/>
  <c r="AK207" i="45"/>
  <c r="S134" i="45"/>
  <c r="AK134" i="45"/>
  <c r="N137" i="45"/>
  <c r="W134" i="45"/>
  <c r="AM134" i="45"/>
  <c r="S184" i="45"/>
  <c r="AA184" i="45"/>
  <c r="W184" i="45"/>
  <c r="AK184" i="45"/>
  <c r="AL184" i="45" s="1"/>
  <c r="AB184" i="45"/>
  <c r="AM184" i="45"/>
  <c r="AN184" i="45" s="1"/>
  <c r="X184" i="45"/>
  <c r="Y184" i="45" s="1"/>
  <c r="Z128" i="45"/>
  <c r="AA128" i="45" s="1"/>
  <c r="W128" i="45"/>
  <c r="X128" i="45"/>
  <c r="Y128" i="45" s="1"/>
  <c r="AK128" i="45"/>
  <c r="AL128" i="45" s="1"/>
  <c r="AM128" i="45"/>
  <c r="AN128" i="45" s="1"/>
  <c r="S128" i="45"/>
  <c r="AB128" i="45"/>
  <c r="AK150" i="45"/>
  <c r="AL150" i="45" s="1"/>
  <c r="W150" i="45"/>
  <c r="Z150" i="45"/>
  <c r="AA150" i="45" s="1"/>
  <c r="S150" i="45"/>
  <c r="X150" i="45"/>
  <c r="Y150" i="45" s="1"/>
  <c r="AM150" i="45"/>
  <c r="AN150" i="45" s="1"/>
  <c r="AB150" i="45"/>
  <c r="AH41" i="47"/>
  <c r="AJ41" i="47"/>
  <c r="N44" i="47"/>
  <c r="P41" i="47"/>
  <c r="X41" i="47"/>
  <c r="T41" i="47"/>
  <c r="U41" i="47"/>
  <c r="V41" i="47" s="1"/>
  <c r="U50" i="47"/>
  <c r="V50" i="47" s="1"/>
  <c r="N52" i="47"/>
  <c r="T50" i="47"/>
  <c r="AJ50" i="47"/>
  <c r="P50" i="47"/>
  <c r="AH50" i="47"/>
  <c r="X50" i="47"/>
  <c r="T47" i="47"/>
  <c r="AH47" i="47"/>
  <c r="AI47" i="47" s="1"/>
  <c r="U47" i="47"/>
  <c r="V47" i="47" s="1"/>
  <c r="AJ47" i="47"/>
  <c r="AK47" i="47" s="1"/>
  <c r="P47" i="47"/>
  <c r="X47" i="47"/>
  <c r="Q217" i="46"/>
  <c r="Z129" i="46"/>
  <c r="AA129" i="46" s="1"/>
  <c r="X129" i="46"/>
  <c r="Y129" i="46" s="1"/>
  <c r="R129" i="46"/>
  <c r="Q130" i="46"/>
  <c r="Q176" i="46"/>
  <c r="AA195" i="46"/>
  <c r="V195" i="46"/>
  <c r="X195" i="46"/>
  <c r="Y195" i="46" s="1"/>
  <c r="R195" i="46"/>
  <c r="V152" i="46"/>
  <c r="AA152" i="46"/>
  <c r="X152" i="46"/>
  <c r="Y152" i="46" s="1"/>
  <c r="N157" i="46"/>
  <c r="R152" i="46"/>
  <c r="V177" i="46"/>
  <c r="X177" i="46"/>
  <c r="Y177" i="46" s="1"/>
  <c r="AA177" i="46"/>
  <c r="R177" i="46"/>
  <c r="Q148" i="46"/>
  <c r="X128" i="46"/>
  <c r="Y128" i="46" s="1"/>
  <c r="Z128" i="46"/>
  <c r="AA128" i="46" s="1"/>
  <c r="R128" i="46"/>
  <c r="V189" i="46"/>
  <c r="X189" i="46"/>
  <c r="Y189" i="46" s="1"/>
  <c r="AA189" i="46"/>
  <c r="R189" i="46"/>
  <c r="P218" i="46"/>
  <c r="P220" i="46" s="1"/>
  <c r="Q212" i="46"/>
  <c r="Q184" i="46"/>
  <c r="Q137" i="46"/>
  <c r="Q154" i="46"/>
  <c r="X164" i="46"/>
  <c r="Y164" i="46" s="1"/>
  <c r="Z164" i="46"/>
  <c r="AA164" i="46" s="1"/>
  <c r="R164" i="46"/>
  <c r="AA147" i="43"/>
  <c r="W147" i="43"/>
  <c r="AM147" i="43"/>
  <c r="AN147" i="43" s="1"/>
  <c r="AK147" i="43"/>
  <c r="AL147" i="43" s="1"/>
  <c r="X147" i="43"/>
  <c r="Y147" i="43" s="1"/>
  <c r="S147" i="43"/>
  <c r="AM194" i="43"/>
  <c r="AN194" i="43" s="1"/>
  <c r="X194" i="43"/>
  <c r="Y194" i="43" s="1"/>
  <c r="S194" i="43"/>
  <c r="AA194" i="43"/>
  <c r="W194" i="43"/>
  <c r="AK194" i="43"/>
  <c r="AL194" i="43" s="1"/>
  <c r="AE194" i="43"/>
  <c r="AM160" i="43"/>
  <c r="AN160" i="43" s="1"/>
  <c r="W160" i="43"/>
  <c r="Y160" i="43"/>
  <c r="AK160" i="43"/>
  <c r="AL160" i="43" s="1"/>
  <c r="S160" i="43"/>
  <c r="AA160" i="43"/>
  <c r="AM196" i="43"/>
  <c r="E319" i="43" s="1"/>
  <c r="E726" i="40" s="1"/>
  <c r="I800" i="50" s="1"/>
  <c r="N197" i="43"/>
  <c r="S196" i="43"/>
  <c r="S197" i="43" s="1"/>
  <c r="W196" i="43"/>
  <c r="W197" i="43" s="1"/>
  <c r="AK196" i="43"/>
  <c r="AK132" i="43"/>
  <c r="AL132" i="43" s="1"/>
  <c r="W132" i="43"/>
  <c r="S132" i="43"/>
  <c r="AK173" i="43"/>
  <c r="AL173" i="43" s="1"/>
  <c r="X173" i="43"/>
  <c r="Y173" i="43" s="1"/>
  <c r="AM173" i="43"/>
  <c r="W173" i="43"/>
  <c r="AB173" i="43"/>
  <c r="S173" i="43"/>
  <c r="AA173" i="43"/>
  <c r="AM137" i="43"/>
  <c r="AN137" i="43" s="1"/>
  <c r="AK137" i="43"/>
  <c r="AL137" i="43" s="1"/>
  <c r="W137" i="43"/>
  <c r="AA137" i="43"/>
  <c r="S137" i="43"/>
  <c r="X137" i="43"/>
  <c r="Y137" i="43" s="1"/>
  <c r="X149" i="46"/>
  <c r="Y149" i="46" s="1"/>
  <c r="V149" i="46"/>
  <c r="AA149" i="46"/>
  <c r="R149" i="46"/>
  <c r="Q140" i="46"/>
  <c r="X188" i="46"/>
  <c r="Y188" i="46" s="1"/>
  <c r="V188" i="46"/>
  <c r="AA188" i="46"/>
  <c r="R188" i="46"/>
  <c r="X130" i="46"/>
  <c r="Y130" i="46" s="1"/>
  <c r="Z130" i="46"/>
  <c r="AA130" i="46" s="1"/>
  <c r="R130" i="46"/>
  <c r="Z163" i="46"/>
  <c r="AA163" i="46" s="1"/>
  <c r="X163" i="46"/>
  <c r="Y163" i="46" s="1"/>
  <c r="R163" i="46"/>
  <c r="Q139" i="46"/>
  <c r="X121" i="46"/>
  <c r="Y121" i="46" s="1"/>
  <c r="Z121" i="46"/>
  <c r="AA121" i="46" s="1"/>
  <c r="AA122" i="46" s="1"/>
  <c r="R121" i="46"/>
  <c r="N122" i="46"/>
  <c r="Q133" i="46"/>
  <c r="V135" i="46"/>
  <c r="Z135" i="46"/>
  <c r="AA135" i="46" s="1"/>
  <c r="X135" i="46"/>
  <c r="Y135" i="46" s="1"/>
  <c r="R135" i="46"/>
  <c r="Q146" i="46"/>
  <c r="V191" i="46"/>
  <c r="AA191" i="46"/>
  <c r="X191" i="46"/>
  <c r="Y191" i="46" s="1"/>
  <c r="R191" i="46"/>
  <c r="Q174" i="46"/>
  <c r="Q215" i="46"/>
  <c r="Q142" i="46"/>
  <c r="V193" i="46"/>
  <c r="AA193" i="46"/>
  <c r="X193" i="46"/>
  <c r="Y193" i="46" s="1"/>
  <c r="R193" i="46"/>
  <c r="Q156" i="46"/>
  <c r="Q165" i="46"/>
  <c r="Q193" i="46"/>
  <c r="X133" i="46"/>
  <c r="Y133" i="46" s="1"/>
  <c r="V133" i="46"/>
  <c r="Z133" i="46"/>
  <c r="AA133" i="46" s="1"/>
  <c r="R133" i="46"/>
  <c r="Q180" i="46"/>
  <c r="X204" i="46"/>
  <c r="Y204" i="46" s="1"/>
  <c r="Y205" i="46" s="1"/>
  <c r="V204" i="46"/>
  <c r="V205" i="46" s="1"/>
  <c r="AA204" i="46"/>
  <c r="AA205" i="46" s="1"/>
  <c r="N205" i="46"/>
  <c r="R204" i="46"/>
  <c r="R205" i="46" s="1"/>
  <c r="Q166" i="46"/>
  <c r="V217" i="46"/>
  <c r="X217" i="46"/>
  <c r="Y217" i="46" s="1"/>
  <c r="AA217" i="46"/>
  <c r="R217" i="46"/>
  <c r="Q141" i="46"/>
  <c r="Q143" i="46"/>
  <c r="T121" i="46"/>
  <c r="T122" i="46" s="1"/>
  <c r="T169" i="46" s="1"/>
  <c r="T222" i="46" s="1"/>
  <c r="P122" i="46"/>
  <c r="Q196" i="46"/>
  <c r="N160" i="46"/>
  <c r="X159" i="46"/>
  <c r="Y159" i="46" s="1"/>
  <c r="AA159" i="46"/>
  <c r="AA160" i="46" s="1"/>
  <c r="V159" i="46"/>
  <c r="R159" i="46"/>
  <c r="Q182" i="46"/>
  <c r="Q195" i="46"/>
  <c r="S155" i="43"/>
  <c r="W155" i="43"/>
  <c r="X155" i="43"/>
  <c r="Y155" i="43" s="1"/>
  <c r="AA155" i="43"/>
  <c r="AM155" i="43"/>
  <c r="AN155" i="43" s="1"/>
  <c r="AK155" i="43"/>
  <c r="AL155" i="43" s="1"/>
  <c r="AE208" i="43"/>
  <c r="W208" i="43"/>
  <c r="AK208" i="43"/>
  <c r="AL208" i="43" s="1"/>
  <c r="AA208" i="43"/>
  <c r="X208" i="43"/>
  <c r="Y208" i="43" s="1"/>
  <c r="AM208" i="43"/>
  <c r="AN208" i="43" s="1"/>
  <c r="S208" i="43"/>
  <c r="S131" i="43"/>
  <c r="W131" i="43"/>
  <c r="AK131" i="43"/>
  <c r="AL131" i="43" s="1"/>
  <c r="AM172" i="43"/>
  <c r="X172" i="43"/>
  <c r="Y172" i="43" s="1"/>
  <c r="AA172" i="43"/>
  <c r="AB172" i="43"/>
  <c r="S172" i="43"/>
  <c r="AK172" i="43"/>
  <c r="W172" i="43"/>
  <c r="W203" i="43"/>
  <c r="S203" i="43"/>
  <c r="AM203" i="43"/>
  <c r="AN203" i="43" s="1"/>
  <c r="AK203" i="43"/>
  <c r="AL203" i="43" s="1"/>
  <c r="X203" i="43"/>
  <c r="Y203" i="43" s="1"/>
  <c r="AK138" i="43"/>
  <c r="AL138" i="43" s="1"/>
  <c r="W138" i="43"/>
  <c r="AM138" i="43"/>
  <c r="AN138" i="43" s="1"/>
  <c r="S138" i="43"/>
  <c r="S157" i="43"/>
  <c r="W157" i="43"/>
  <c r="AA157" i="43"/>
  <c r="AM157" i="43"/>
  <c r="AN157" i="43" s="1"/>
  <c r="X157" i="43"/>
  <c r="Y157" i="43" s="1"/>
  <c r="AM178" i="43"/>
  <c r="AN178" i="43" s="1"/>
  <c r="W178" i="43"/>
  <c r="AK178" i="43"/>
  <c r="AL178" i="43" s="1"/>
  <c r="S178" i="43"/>
  <c r="N199" i="43"/>
  <c r="W198" i="43"/>
  <c r="W199" i="43" s="1"/>
  <c r="AM198" i="43"/>
  <c r="E436" i="43" s="1"/>
  <c r="E1335" i="40" s="1"/>
  <c r="I1496" i="50" s="1"/>
  <c r="X198" i="43"/>
  <c r="X199" i="43" s="1"/>
  <c r="AK198" i="43"/>
  <c r="S198" i="43"/>
  <c r="AM159" i="43"/>
  <c r="AN159" i="43" s="1"/>
  <c r="AA159" i="43"/>
  <c r="W159" i="43"/>
  <c r="Y159" i="43"/>
  <c r="AK159" i="43"/>
  <c r="AL159" i="43" s="1"/>
  <c r="S159" i="43"/>
  <c r="AE190" i="43"/>
  <c r="AK190" i="43"/>
  <c r="AL190" i="43" s="1"/>
  <c r="AA190" i="43"/>
  <c r="X190" i="43"/>
  <c r="Y190" i="43" s="1"/>
  <c r="S190" i="43"/>
  <c r="W190" i="43"/>
  <c r="AM190" i="43"/>
  <c r="AN190" i="43" s="1"/>
  <c r="AA148" i="43"/>
  <c r="AM148" i="43"/>
  <c r="W148" i="43"/>
  <c r="X148" i="43"/>
  <c r="Y148" i="43" s="1"/>
  <c r="AK148" i="43"/>
  <c r="AL148" i="43" s="1"/>
  <c r="S148" i="43"/>
  <c r="AE191" i="43"/>
  <c r="W191" i="43"/>
  <c r="AD191" i="43"/>
  <c r="AD195" i="43" s="1"/>
  <c r="AD218" i="43" s="1"/>
  <c r="X191" i="43"/>
  <c r="Y191" i="43" s="1"/>
  <c r="AB191" i="43"/>
  <c r="AK191" i="43"/>
  <c r="AL191" i="43" s="1"/>
  <c r="AM191" i="43"/>
  <c r="AN191" i="43" s="1"/>
  <c r="AA191" i="43"/>
  <c r="S191" i="43"/>
  <c r="AK139" i="43"/>
  <c r="AL139" i="43" s="1"/>
  <c r="S139" i="43"/>
  <c r="AA139" i="43"/>
  <c r="X139" i="43"/>
  <c r="Y139" i="43" s="1"/>
  <c r="W139" i="43"/>
  <c r="AM139" i="43"/>
  <c r="AN139" i="43" s="1"/>
  <c r="S158" i="43"/>
  <c r="AK158" i="43"/>
  <c r="AL158" i="43" s="1"/>
  <c r="Y158" i="43"/>
  <c r="AA158" i="43"/>
  <c r="W158" i="43"/>
  <c r="AM158" i="43"/>
  <c r="AN158" i="43" s="1"/>
  <c r="X180" i="43"/>
  <c r="Y180" i="43" s="1"/>
  <c r="W180" i="43"/>
  <c r="N185" i="43"/>
  <c r="AE180" i="43"/>
  <c r="S180" i="43"/>
  <c r="AB180" i="43"/>
  <c r="AM180" i="43"/>
  <c r="AK180" i="43"/>
  <c r="AA180" i="43"/>
  <c r="W200" i="43"/>
  <c r="W201" i="43" s="1"/>
  <c r="X200" i="43"/>
  <c r="X201" i="43" s="1"/>
  <c r="S200" i="43"/>
  <c r="S201" i="43" s="1"/>
  <c r="AM200" i="43"/>
  <c r="AK200" i="43"/>
  <c r="N201" i="43"/>
  <c r="AJ161" i="43"/>
  <c r="S148" i="44"/>
  <c r="T148" i="44" s="1"/>
  <c r="AF148" i="44"/>
  <c r="AG148" i="44" s="1"/>
  <c r="U148" i="44"/>
  <c r="AD148" i="44" s="1"/>
  <c r="AE148" i="44" s="1"/>
  <c r="P148" i="44"/>
  <c r="U166" i="44"/>
  <c r="AD166" i="44"/>
  <c r="AE166" i="44" s="1"/>
  <c r="AF166" i="44"/>
  <c r="AG166" i="44" s="1"/>
  <c r="S166" i="44"/>
  <c r="T166" i="44" s="1"/>
  <c r="P166" i="44"/>
  <c r="U139" i="44"/>
  <c r="AD139" i="44" s="1"/>
  <c r="AE139" i="44" s="1"/>
  <c r="P139" i="44"/>
  <c r="AF139" i="44"/>
  <c r="AG139" i="44" s="1"/>
  <c r="S139" i="44"/>
  <c r="T139" i="44" s="1"/>
  <c r="U126" i="44"/>
  <c r="U127" i="44" s="1"/>
  <c r="S126" i="44"/>
  <c r="T126" i="44" s="1"/>
  <c r="T127" i="44" s="1"/>
  <c r="P126" i="44"/>
  <c r="P127" i="44" s="1"/>
  <c r="AD126" i="44"/>
  <c r="D228" i="44" s="1"/>
  <c r="E2707" i="40" s="1"/>
  <c r="N127" i="44"/>
  <c r="AF126" i="44"/>
  <c r="D229" i="44" s="1"/>
  <c r="E2708" i="40" s="1"/>
  <c r="U156" i="44"/>
  <c r="AD156" i="44" s="1"/>
  <c r="AE156" i="44" s="1"/>
  <c r="P156" i="44"/>
  <c r="AF156" i="44"/>
  <c r="AG156" i="44" s="1"/>
  <c r="S156" i="44"/>
  <c r="T156" i="44" s="1"/>
  <c r="V156" i="44"/>
  <c r="AD164" i="44"/>
  <c r="AE164" i="44" s="1"/>
  <c r="P164" i="44"/>
  <c r="U164" i="44"/>
  <c r="S164" i="44"/>
  <c r="T164" i="44" s="1"/>
  <c r="AF164" i="44"/>
  <c r="AG164" i="44" s="1"/>
  <c r="U145" i="44"/>
  <c r="AD145" i="44" s="1"/>
  <c r="AE145" i="44" s="1"/>
  <c r="S145" i="44"/>
  <c r="T145" i="44" s="1"/>
  <c r="P145" i="44"/>
  <c r="AF145" i="44"/>
  <c r="AG145" i="44" s="1"/>
  <c r="N121" i="44"/>
  <c r="S114" i="44"/>
  <c r="T114" i="44" s="1"/>
  <c r="U114" i="44"/>
  <c r="P114" i="44"/>
  <c r="U116" i="44"/>
  <c r="AD116" i="44" s="1"/>
  <c r="AE116" i="44" s="1"/>
  <c r="S116" i="44"/>
  <c r="T116" i="44" s="1"/>
  <c r="P116" i="44"/>
  <c r="AF116" i="44"/>
  <c r="AG116" i="44" s="1"/>
  <c r="U138" i="44"/>
  <c r="AD138" i="44" s="1"/>
  <c r="AE138" i="44" s="1"/>
  <c r="AF138" i="44"/>
  <c r="AG138" i="44" s="1"/>
  <c r="S138" i="44"/>
  <c r="T138" i="44" s="1"/>
  <c r="P138" i="44"/>
  <c r="S174" i="44"/>
  <c r="T174" i="44" s="1"/>
  <c r="P174" i="44"/>
  <c r="AF174" i="44"/>
  <c r="D275" i="44" s="1"/>
  <c r="E2834" i="40" s="1"/>
  <c r="N176" i="44"/>
  <c r="U174" i="44"/>
  <c r="AD174" i="44"/>
  <c r="AF115" i="44"/>
  <c r="AG115" i="44" s="1"/>
  <c r="U115" i="44"/>
  <c r="AD115" i="44" s="1"/>
  <c r="AE115" i="44" s="1"/>
  <c r="P115" i="44"/>
  <c r="S115" i="44"/>
  <c r="T115" i="44" s="1"/>
  <c r="U119" i="44"/>
  <c r="AD119" i="44" s="1"/>
  <c r="AE119" i="44" s="1"/>
  <c r="S119" i="44"/>
  <c r="T119" i="44" s="1"/>
  <c r="P119" i="44"/>
  <c r="AF119" i="44"/>
  <c r="AG119" i="44" s="1"/>
  <c r="S171" i="44"/>
  <c r="T171" i="44" s="1"/>
  <c r="P171" i="44"/>
  <c r="AF171" i="44"/>
  <c r="AG171" i="44" s="1"/>
  <c r="U171" i="44"/>
  <c r="AD171" i="44"/>
  <c r="AE171" i="44" s="1"/>
  <c r="W167" i="45"/>
  <c r="Z167" i="45"/>
  <c r="AA167" i="45" s="1"/>
  <c r="AK167" i="45"/>
  <c r="AL167" i="45" s="1"/>
  <c r="S167" i="45"/>
  <c r="AM167" i="45"/>
  <c r="AN167" i="45" s="1"/>
  <c r="X167" i="45"/>
  <c r="Y167" i="45" s="1"/>
  <c r="AB167" i="45"/>
  <c r="AM126" i="45"/>
  <c r="AN126" i="45" s="1"/>
  <c r="AC174" i="45" s="1"/>
  <c r="W126" i="45"/>
  <c r="X126" i="45"/>
  <c r="Y126" i="45" s="1"/>
  <c r="S126" i="45"/>
  <c r="AK126" i="45"/>
  <c r="AL126" i="45" s="1"/>
  <c r="AA126" i="45"/>
  <c r="AB154" i="45"/>
  <c r="S154" i="45"/>
  <c r="X154" i="45"/>
  <c r="Y154" i="45" s="1"/>
  <c r="AK154" i="45"/>
  <c r="AL154" i="45" s="1"/>
  <c r="W154" i="45"/>
  <c r="Z154" i="45"/>
  <c r="AA154" i="45" s="1"/>
  <c r="AM154" i="45"/>
  <c r="AN154" i="45" s="1"/>
  <c r="Z125" i="45"/>
  <c r="AA125" i="45" s="1"/>
  <c r="S125" i="45"/>
  <c r="AB125" i="45"/>
  <c r="AK125" i="45"/>
  <c r="AL125" i="45" s="1"/>
  <c r="AM125" i="45"/>
  <c r="AN125" i="45" s="1"/>
  <c r="AC173" i="45" s="1"/>
  <c r="W125" i="45"/>
  <c r="X125" i="45"/>
  <c r="Y125" i="45" s="1"/>
  <c r="AM152" i="45"/>
  <c r="AN152" i="45" s="1"/>
  <c r="S152" i="45"/>
  <c r="W152" i="45"/>
  <c r="AB152" i="45"/>
  <c r="AK152" i="45"/>
  <c r="AL152" i="45" s="1"/>
  <c r="Z152" i="45"/>
  <c r="AA152" i="45" s="1"/>
  <c r="X152" i="45"/>
  <c r="Y152" i="45" s="1"/>
  <c r="AM169" i="45"/>
  <c r="AN169" i="45" s="1"/>
  <c r="X169" i="45"/>
  <c r="Y169" i="45" s="1"/>
  <c r="W169" i="45"/>
  <c r="Z169" i="45"/>
  <c r="AA169" i="45" s="1"/>
  <c r="S169" i="45"/>
  <c r="AB169" i="45"/>
  <c r="AK169" i="45"/>
  <c r="AL169" i="45" s="1"/>
  <c r="AB148" i="45"/>
  <c r="S148" i="45"/>
  <c r="X148" i="45"/>
  <c r="Y148" i="45" s="1"/>
  <c r="AK148" i="45"/>
  <c r="AL148" i="45" s="1"/>
  <c r="Z148" i="45"/>
  <c r="AA148" i="45" s="1"/>
  <c r="W148" i="45"/>
  <c r="AM148" i="45"/>
  <c r="AN148" i="45" s="1"/>
  <c r="AC171" i="45"/>
  <c r="AM173" i="45"/>
  <c r="AK173" i="45"/>
  <c r="Z173" i="45"/>
  <c r="AA173" i="45" s="1"/>
  <c r="AB173" i="45"/>
  <c r="W173" i="45"/>
  <c r="X173" i="45"/>
  <c r="Y173" i="45" s="1"/>
  <c r="S173" i="45"/>
  <c r="X189" i="45"/>
  <c r="Y189" i="45" s="1"/>
  <c r="W189" i="45"/>
  <c r="N192" i="45"/>
  <c r="Z189" i="45"/>
  <c r="AA189" i="45" s="1"/>
  <c r="AM189" i="45"/>
  <c r="S189" i="45"/>
  <c r="AB189" i="45"/>
  <c r="AK189" i="45"/>
  <c r="AC208" i="45"/>
  <c r="W181" i="45"/>
  <c r="AM181" i="45"/>
  <c r="AN181" i="45" s="1"/>
  <c r="AB181" i="45"/>
  <c r="X181" i="45"/>
  <c r="Y181" i="45" s="1"/>
  <c r="AK181" i="45"/>
  <c r="AL181" i="45" s="1"/>
  <c r="AA181" i="45"/>
  <c r="S181" i="45"/>
  <c r="AK122" i="45"/>
  <c r="AL122" i="45" s="1"/>
  <c r="AB122" i="45"/>
  <c r="W122" i="45"/>
  <c r="X122" i="45"/>
  <c r="Y122" i="45" s="1"/>
  <c r="AA122" i="45"/>
  <c r="AM122" i="45"/>
  <c r="AN122" i="45" s="1"/>
  <c r="S122" i="45"/>
  <c r="Z153" i="45"/>
  <c r="AA153" i="45" s="1"/>
  <c r="W153" i="45"/>
  <c r="AM153" i="45"/>
  <c r="AN153" i="45" s="1"/>
  <c r="S153" i="45"/>
  <c r="X153" i="45"/>
  <c r="Y153" i="45" s="1"/>
  <c r="AB153" i="45"/>
  <c r="AK153" i="45"/>
  <c r="AL153" i="45" s="1"/>
  <c r="AB168" i="45"/>
  <c r="X168" i="45"/>
  <c r="Y168" i="45" s="1"/>
  <c r="Z168" i="45"/>
  <c r="AA168" i="45" s="1"/>
  <c r="AM168" i="45"/>
  <c r="AN168" i="45" s="1"/>
  <c r="AK168" i="45"/>
  <c r="AL168" i="45" s="1"/>
  <c r="S168" i="45"/>
  <c r="W168" i="45"/>
  <c r="AK135" i="45"/>
  <c r="AL135" i="45" s="1"/>
  <c r="W135" i="45"/>
  <c r="S135" i="45"/>
  <c r="AM135" i="45"/>
  <c r="AN135" i="45" s="1"/>
  <c r="X165" i="45"/>
  <c r="Y165" i="45" s="1"/>
  <c r="W165" i="45"/>
  <c r="AB165" i="45"/>
  <c r="AM165" i="45"/>
  <c r="AN165" i="45" s="1"/>
  <c r="S165" i="45"/>
  <c r="Z165" i="45"/>
  <c r="AA165" i="45" s="1"/>
  <c r="AK165" i="45"/>
  <c r="AL165" i="45" s="1"/>
  <c r="AK182" i="45"/>
  <c r="AL182" i="45" s="1"/>
  <c r="S182" i="45"/>
  <c r="AB182" i="45"/>
  <c r="W182" i="45"/>
  <c r="AM182" i="45"/>
  <c r="AN182" i="45" s="1"/>
  <c r="X182" i="45"/>
  <c r="Y182" i="45" s="1"/>
  <c r="Z182" i="45"/>
  <c r="AA182" i="45" s="1"/>
  <c r="AM206" i="45"/>
  <c r="AN206" i="45" s="1"/>
  <c r="AK206" i="45"/>
  <c r="AL206" i="45" s="1"/>
  <c r="W206" i="45"/>
  <c r="S206" i="45"/>
  <c r="P55" i="47"/>
  <c r="P56" i="47" s="1"/>
  <c r="AJ55" i="47"/>
  <c r="N56" i="47"/>
  <c r="AH55" i="47"/>
  <c r="X55" i="47"/>
  <c r="X56" i="47" s="1"/>
  <c r="U55" i="47"/>
  <c r="V55" i="47" s="1"/>
  <c r="V56" i="47" s="1"/>
  <c r="T55" i="47"/>
  <c r="T56" i="47" s="1"/>
  <c r="P45" i="47"/>
  <c r="AH45" i="47"/>
  <c r="AJ45" i="47"/>
  <c r="N49" i="47"/>
  <c r="X45" i="47"/>
  <c r="U45" i="47"/>
  <c r="V45" i="47" s="1"/>
  <c r="T45" i="47"/>
  <c r="AH48" i="47"/>
  <c r="AI48" i="47" s="1"/>
  <c r="P48" i="47"/>
  <c r="T48" i="47"/>
  <c r="AJ48" i="47"/>
  <c r="AK48" i="47" s="1"/>
  <c r="X48" i="47"/>
  <c r="U48" i="47"/>
  <c r="V48" i="47" s="1"/>
  <c r="V182" i="46"/>
  <c r="X182" i="46"/>
  <c r="Y182" i="46" s="1"/>
  <c r="AA182" i="46"/>
  <c r="R182" i="46"/>
  <c r="Q128" i="46"/>
  <c r="Z125" i="46"/>
  <c r="AA125" i="46" s="1"/>
  <c r="X125" i="46"/>
  <c r="Y125" i="46" s="1"/>
  <c r="R125" i="46"/>
  <c r="AK151" i="43"/>
  <c r="AL151" i="43" s="1"/>
  <c r="AA151" i="43"/>
  <c r="AM151" i="43"/>
  <c r="AN151" i="43" s="1"/>
  <c r="W151" i="43"/>
  <c r="X151" i="43"/>
  <c r="Y151" i="43" s="1"/>
  <c r="S151" i="43"/>
  <c r="Q213" i="46"/>
  <c r="V181" i="46"/>
  <c r="AA181" i="46"/>
  <c r="Y181" i="46"/>
  <c r="R181" i="46"/>
  <c r="P202" i="46"/>
  <c r="Q201" i="46"/>
  <c r="X142" i="46"/>
  <c r="Y142" i="46" s="1"/>
  <c r="Z142" i="46"/>
  <c r="AA142" i="46" s="1"/>
  <c r="V142" i="46"/>
  <c r="R142" i="46"/>
  <c r="Q177" i="46"/>
  <c r="X196" i="46"/>
  <c r="Y196" i="46" s="1"/>
  <c r="V196" i="46"/>
  <c r="AA196" i="46"/>
  <c r="R196" i="46"/>
  <c r="X148" i="46"/>
  <c r="Y148" i="46" s="1"/>
  <c r="AA148" i="46"/>
  <c r="V148" i="46"/>
  <c r="R148" i="46"/>
  <c r="Q125" i="46"/>
  <c r="P199" i="46"/>
  <c r="Q181" i="46"/>
  <c r="U199" i="46"/>
  <c r="U207" i="46" s="1"/>
  <c r="X176" i="46"/>
  <c r="Y176" i="46" s="1"/>
  <c r="AA176" i="46"/>
  <c r="V176" i="46"/>
  <c r="R176" i="46"/>
  <c r="Q192" i="46"/>
  <c r="V175" i="46"/>
  <c r="X175" i="46"/>
  <c r="Y175" i="46" s="1"/>
  <c r="AA175" i="46"/>
  <c r="R175" i="46"/>
  <c r="AA156" i="46"/>
  <c r="V156" i="46"/>
  <c r="X156" i="46"/>
  <c r="Y156" i="46" s="1"/>
  <c r="R156" i="46"/>
  <c r="AA212" i="46"/>
  <c r="V212" i="46"/>
  <c r="X212" i="46"/>
  <c r="Y212" i="46" s="1"/>
  <c r="N218" i="46"/>
  <c r="N220" i="46" s="1"/>
  <c r="R212" i="46"/>
  <c r="X137" i="46"/>
  <c r="Y137" i="46" s="1"/>
  <c r="Z137" i="46"/>
  <c r="AA137" i="46" s="1"/>
  <c r="V137" i="46"/>
  <c r="R137" i="46"/>
  <c r="Q214" i="46"/>
  <c r="Z145" i="46"/>
  <c r="AA145" i="46" s="1"/>
  <c r="X145" i="46"/>
  <c r="Y145" i="46" s="1"/>
  <c r="V145" i="46"/>
  <c r="R145" i="46"/>
  <c r="Q197" i="46"/>
  <c r="Q190" i="46"/>
  <c r="P160" i="46"/>
  <c r="Q159" i="46"/>
  <c r="E340" i="46" s="1"/>
  <c r="E2028" i="40" s="1"/>
  <c r="Q216" i="46"/>
  <c r="V153" i="46"/>
  <c r="AA153" i="46"/>
  <c r="X153" i="46"/>
  <c r="Y153" i="46" s="1"/>
  <c r="R153" i="46"/>
  <c r="AA190" i="46"/>
  <c r="X190" i="46"/>
  <c r="Y190" i="46" s="1"/>
  <c r="V190" i="46"/>
  <c r="R190" i="46"/>
  <c r="X155" i="46"/>
  <c r="Y155" i="46" s="1"/>
  <c r="AA155" i="46"/>
  <c r="V155" i="46"/>
  <c r="R155" i="46"/>
  <c r="V180" i="46"/>
  <c r="AA180" i="46"/>
  <c r="N199" i="46"/>
  <c r="X180" i="46"/>
  <c r="Y180" i="46" s="1"/>
  <c r="R180" i="46"/>
  <c r="Q135" i="46"/>
  <c r="X194" i="46"/>
  <c r="Y194" i="46" s="1"/>
  <c r="AA194" i="46"/>
  <c r="R194" i="46"/>
  <c r="Q131" i="46"/>
  <c r="Q191" i="46"/>
  <c r="Z143" i="46"/>
  <c r="AA143" i="46" s="1"/>
  <c r="X143" i="46"/>
  <c r="Y143" i="46" s="1"/>
  <c r="V143" i="46"/>
  <c r="R143" i="46"/>
  <c r="X187" i="46"/>
  <c r="Y187" i="46" s="1"/>
  <c r="AA187" i="46"/>
  <c r="V187" i="46"/>
  <c r="R187" i="46"/>
  <c r="Q162" i="46"/>
  <c r="Z127" i="46"/>
  <c r="AA127" i="46" s="1"/>
  <c r="X127" i="46"/>
  <c r="Y127" i="46" s="1"/>
  <c r="R127" i="46"/>
  <c r="Q126" i="46"/>
  <c r="AK126" i="43"/>
  <c r="AL126" i="43" s="1"/>
  <c r="N133" i="43"/>
  <c r="W126" i="43"/>
  <c r="S126" i="43"/>
  <c r="X171" i="43"/>
  <c r="Y171" i="43" s="1"/>
  <c r="E309" i="43" s="1"/>
  <c r="E784" i="40" s="1"/>
  <c r="AK171" i="43"/>
  <c r="AA171" i="43"/>
  <c r="AM171" i="43"/>
  <c r="E305" i="43" s="1"/>
  <c r="E727" i="40" s="1"/>
  <c r="I801" i="50" s="1"/>
  <c r="S171" i="43"/>
  <c r="E306" i="43" s="1"/>
  <c r="W171" i="43"/>
  <c r="AM142" i="43"/>
  <c r="E240" i="43" s="1"/>
  <c r="E366" i="40" s="1"/>
  <c r="I403" i="50" s="1"/>
  <c r="W142" i="43"/>
  <c r="W143" i="43" s="1"/>
  <c r="AA142" i="43"/>
  <c r="AA143" i="43" s="1"/>
  <c r="S142" i="43"/>
  <c r="S143" i="43" s="1"/>
  <c r="AK142" i="43"/>
  <c r="AL142" i="43" s="1"/>
  <c r="Y142" i="43"/>
  <c r="Y143" i="43" s="1"/>
  <c r="N143" i="43"/>
  <c r="AM177" i="43"/>
  <c r="S177" i="43"/>
  <c r="AK177" i="43"/>
  <c r="AL177" i="43" s="1"/>
  <c r="W177" i="43"/>
  <c r="AA209" i="43"/>
  <c r="W209" i="43"/>
  <c r="AM209" i="43"/>
  <c r="AN209" i="43" s="1"/>
  <c r="X209" i="43"/>
  <c r="Y209" i="43" s="1"/>
  <c r="AK209" i="43"/>
  <c r="AL209" i="43" s="1"/>
  <c r="AE209" i="43"/>
  <c r="S209" i="43"/>
  <c r="S122" i="43"/>
  <c r="W122" i="43"/>
  <c r="AM122" i="43"/>
  <c r="AN122" i="43" s="1"/>
  <c r="AK122" i="43"/>
  <c r="AL122" i="43" s="1"/>
  <c r="AA144" i="43"/>
  <c r="AA145" i="43" s="1"/>
  <c r="N145" i="43"/>
  <c r="AK144" i="43"/>
  <c r="AL144" i="43" s="1"/>
  <c r="E258" i="43" s="1"/>
  <c r="W144" i="43"/>
  <c r="W145" i="43" s="1"/>
  <c r="S144" i="43"/>
  <c r="E257" i="43" s="1"/>
  <c r="AM144" i="43"/>
  <c r="Y144" i="43"/>
  <c r="Y145" i="43" s="1"/>
  <c r="AK162" i="43"/>
  <c r="AL162" i="43" s="1"/>
  <c r="S162" i="43"/>
  <c r="W162" i="43"/>
  <c r="N164" i="43"/>
  <c r="AM162" i="43"/>
  <c r="AE183" i="43"/>
  <c r="S183" i="43"/>
  <c r="X183" i="43"/>
  <c r="Y183" i="43" s="1"/>
  <c r="W183" i="43"/>
  <c r="AK183" i="43"/>
  <c r="AL183" i="43" s="1"/>
  <c r="AM183" i="43"/>
  <c r="AN183" i="43" s="1"/>
  <c r="AA183" i="43"/>
  <c r="AK205" i="43"/>
  <c r="W205" i="43"/>
  <c r="W206" i="43" s="1"/>
  <c r="AM205" i="43"/>
  <c r="E380" i="43" s="1"/>
  <c r="E1053" i="40" s="1"/>
  <c r="I1157" i="50" s="1"/>
  <c r="S205" i="43"/>
  <c r="S206" i="43" s="1"/>
  <c r="N206" i="43"/>
  <c r="AC174" i="43"/>
  <c r="AK130" i="43"/>
  <c r="AL130" i="43" s="1"/>
  <c r="W130" i="43"/>
  <c r="S130" i="43"/>
  <c r="AM165" i="43"/>
  <c r="E287" i="43" s="1"/>
  <c r="E488" i="40" s="1"/>
  <c r="I535" i="50" s="1"/>
  <c r="W165" i="43"/>
  <c r="W166" i="43" s="1"/>
  <c r="S165" i="43"/>
  <c r="E288" i="43" s="1"/>
  <c r="N166" i="43"/>
  <c r="AK165" i="43"/>
  <c r="N204" i="43"/>
  <c r="X202" i="43"/>
  <c r="Y202" i="43" s="1"/>
  <c r="AM202" i="43"/>
  <c r="E376" i="43" s="1"/>
  <c r="E1051" i="40" s="1"/>
  <c r="I1163" i="50" s="1"/>
  <c r="W202" i="43"/>
  <c r="S202" i="43"/>
  <c r="AK202" i="43"/>
  <c r="T161" i="43"/>
  <c r="E282" i="43" s="1"/>
  <c r="E486" i="40" s="1"/>
  <c r="I534" i="50" s="1"/>
  <c r="AA156" i="43"/>
  <c r="AM156" i="43"/>
  <c r="AN156" i="43" s="1"/>
  <c r="AK156" i="43"/>
  <c r="AL156" i="43" s="1"/>
  <c r="W156" i="43"/>
  <c r="S156" i="43"/>
  <c r="X156" i="43"/>
  <c r="Y156" i="43" s="1"/>
  <c r="AM215" i="43"/>
  <c r="E415" i="43" s="1"/>
  <c r="E1194" i="40" s="1"/>
  <c r="I1331" i="50" s="1"/>
  <c r="AA215" i="43"/>
  <c r="AA216" i="43" s="1"/>
  <c r="S215" i="43"/>
  <c r="W215" i="43"/>
  <c r="W216" i="43" s="1"/>
  <c r="X215" i="43"/>
  <c r="Y215" i="43" s="1"/>
  <c r="AK215" i="43"/>
  <c r="AE215" i="43"/>
  <c r="N216" i="43"/>
  <c r="W124" i="43"/>
  <c r="W125" i="43" s="1"/>
  <c r="N125" i="43"/>
  <c r="S124" i="43"/>
  <c r="S125" i="43" s="1"/>
  <c r="AM124" i="43"/>
  <c r="E226" i="43" s="1"/>
  <c r="E142" i="40" s="1"/>
  <c r="I152" i="50" s="1"/>
  <c r="AK124" i="43"/>
  <c r="AL124" i="43" s="1"/>
  <c r="W146" i="43"/>
  <c r="N161" i="43"/>
  <c r="AA146" i="43"/>
  <c r="X146" i="43"/>
  <c r="Y146" i="43" s="1"/>
  <c r="AK146" i="43"/>
  <c r="AL146" i="43" s="1"/>
  <c r="S146" i="43"/>
  <c r="AM146" i="43"/>
  <c r="AK163" i="43"/>
  <c r="AL163" i="43" s="1"/>
  <c r="AM163" i="43"/>
  <c r="AN163" i="43" s="1"/>
  <c r="S163" i="43"/>
  <c r="S164" i="43" s="1"/>
  <c r="W163" i="43"/>
  <c r="S184" i="43"/>
  <c r="AE184" i="43"/>
  <c r="AK184" i="43"/>
  <c r="AL184" i="43" s="1"/>
  <c r="AA184" i="43"/>
  <c r="X184" i="43"/>
  <c r="Y184" i="43" s="1"/>
  <c r="AM184" i="43"/>
  <c r="AN184" i="43" s="1"/>
  <c r="W184" i="43"/>
  <c r="AE207" i="43"/>
  <c r="AA207" i="43"/>
  <c r="AM207" i="43"/>
  <c r="S207" i="43"/>
  <c r="X207" i="43"/>
  <c r="Y207" i="43" s="1"/>
  <c r="W207" i="43"/>
  <c r="N210" i="43"/>
  <c r="AK207" i="43"/>
  <c r="U150" i="44"/>
  <c r="AD150" i="44" s="1"/>
  <c r="AE150" i="44" s="1"/>
  <c r="AF150" i="44"/>
  <c r="AG150" i="44" s="1"/>
  <c r="S150" i="44"/>
  <c r="T150" i="44" s="1"/>
  <c r="P150" i="44"/>
  <c r="P149" i="44"/>
  <c r="AF149" i="44"/>
  <c r="AG149" i="44" s="1"/>
  <c r="U149" i="44"/>
  <c r="AD149" i="44" s="1"/>
  <c r="AE149" i="44" s="1"/>
  <c r="S149" i="44"/>
  <c r="T149" i="44" s="1"/>
  <c r="S158" i="44"/>
  <c r="T158" i="44" s="1"/>
  <c r="U158" i="44"/>
  <c r="AD158" i="44" s="1"/>
  <c r="AE158" i="44" s="1"/>
  <c r="AF158" i="44"/>
  <c r="AG158" i="44" s="1"/>
  <c r="P158" i="44"/>
  <c r="AD192" i="44"/>
  <c r="AE192" i="44" s="1"/>
  <c r="P192" i="44"/>
  <c r="AF192" i="44"/>
  <c r="AG192" i="44" s="1"/>
  <c r="S192" i="44"/>
  <c r="T192" i="44" s="1"/>
  <c r="U192" i="44"/>
  <c r="AF162" i="44"/>
  <c r="AG162" i="44" s="1"/>
  <c r="S162" i="44"/>
  <c r="T162" i="44" s="1"/>
  <c r="P162" i="44"/>
  <c r="V162" i="44"/>
  <c r="U162" i="44"/>
  <c r="AD162" i="44" s="1"/>
  <c r="AE162" i="44" s="1"/>
  <c r="V155" i="44"/>
  <c r="P155" i="44"/>
  <c r="U155" i="44"/>
  <c r="AD155" i="44" s="1"/>
  <c r="AE155" i="44" s="1"/>
  <c r="S155" i="44"/>
  <c r="T155" i="44" s="1"/>
  <c r="AF155" i="44"/>
  <c r="AG155" i="44" s="1"/>
  <c r="P186" i="44"/>
  <c r="U186" i="44"/>
  <c r="AD186" i="44" s="1"/>
  <c r="AE186" i="44" s="1"/>
  <c r="S186" i="44"/>
  <c r="T186" i="44" s="1"/>
  <c r="AF186" i="44"/>
  <c r="AG186" i="44" s="1"/>
  <c r="AF191" i="44"/>
  <c r="AD191" i="44"/>
  <c r="D313" i="44" s="1"/>
  <c r="E2891" i="40" s="1"/>
  <c r="U191" i="44"/>
  <c r="S191" i="44"/>
  <c r="T191" i="44" s="1"/>
  <c r="N193" i="44"/>
  <c r="P191" i="44"/>
  <c r="S142" i="44"/>
  <c r="T142" i="44" s="1"/>
  <c r="U142" i="44"/>
  <c r="N168" i="44"/>
  <c r="P142" i="44"/>
  <c r="AF142" i="44"/>
  <c r="U143" i="44"/>
  <c r="AD143" i="44" s="1"/>
  <c r="AE143" i="44" s="1"/>
  <c r="P143" i="44"/>
  <c r="AF143" i="44"/>
  <c r="AG143" i="44" s="1"/>
  <c r="S143" i="44"/>
  <c r="T143" i="44" s="1"/>
  <c r="U123" i="44"/>
  <c r="U124" i="44" s="1"/>
  <c r="AD123" i="44"/>
  <c r="D223" i="44" s="1"/>
  <c r="N124" i="44"/>
  <c r="AF123" i="44"/>
  <c r="D224" i="44" s="1"/>
  <c r="P123" i="44"/>
  <c r="P124" i="44" s="1"/>
  <c r="S123" i="44"/>
  <c r="T123" i="44" s="1"/>
  <c r="T124" i="44" s="1"/>
  <c r="P117" i="44"/>
  <c r="W117" i="44"/>
  <c r="D211" i="44" s="1"/>
  <c r="S117" i="44"/>
  <c r="T117" i="44" s="1"/>
  <c r="U117" i="44"/>
  <c r="P188" i="44"/>
  <c r="S188" i="44"/>
  <c r="T188" i="44" s="1"/>
  <c r="AF188" i="44"/>
  <c r="AG188" i="44" s="1"/>
  <c r="U188" i="44"/>
  <c r="AD188" i="44" s="1"/>
  <c r="AE188" i="44" s="1"/>
  <c r="AB162" i="45"/>
  <c r="X162" i="45"/>
  <c r="Y162" i="45" s="1"/>
  <c r="S162" i="45"/>
  <c r="AK162" i="45"/>
  <c r="W162" i="45"/>
  <c r="AM162" i="45"/>
  <c r="N171" i="45"/>
  <c r="Z162" i="45"/>
  <c r="AA162" i="45" s="1"/>
  <c r="N177" i="45"/>
  <c r="AB176" i="45"/>
  <c r="AB177" i="45" s="1"/>
  <c r="X176" i="45"/>
  <c r="Y176" i="45" s="1"/>
  <c r="Y177" i="45" s="1"/>
  <c r="S176" i="45"/>
  <c r="S177" i="45" s="1"/>
  <c r="W176" i="45"/>
  <c r="W177" i="45" s="1"/>
  <c r="AK176" i="45"/>
  <c r="AM176" i="45"/>
  <c r="Z176" i="45"/>
  <c r="AA176" i="45" s="1"/>
  <c r="AA177" i="45" s="1"/>
  <c r="AB213" i="45"/>
  <c r="AK213" i="45"/>
  <c r="AA213" i="45"/>
  <c r="X213" i="45"/>
  <c r="Y213" i="45" s="1"/>
  <c r="W213" i="45"/>
  <c r="S213" i="45"/>
  <c r="AM213" i="45"/>
  <c r="N215" i="45"/>
  <c r="AM131" i="45"/>
  <c r="AK131" i="45"/>
  <c r="S131" i="45"/>
  <c r="S132" i="45" s="1"/>
  <c r="Y131" i="45"/>
  <c r="Y132" i="45" s="1"/>
  <c r="W131" i="45"/>
  <c r="W132" i="45" s="1"/>
  <c r="N132" i="45"/>
  <c r="AB131" i="45"/>
  <c r="AB132" i="45" s="1"/>
  <c r="AA131" i="45"/>
  <c r="AA132" i="45" s="1"/>
  <c r="AB180" i="45"/>
  <c r="AM180" i="45"/>
  <c r="AN180" i="45" s="1"/>
  <c r="Z180" i="45"/>
  <c r="AA180" i="45" s="1"/>
  <c r="S180" i="45"/>
  <c r="W180" i="45"/>
  <c r="AK180" i="45"/>
  <c r="AL180" i="45" s="1"/>
  <c r="X180" i="45"/>
  <c r="Y180" i="45" s="1"/>
  <c r="AC129" i="45"/>
  <c r="AC144" i="45" s="1"/>
  <c r="AM149" i="45"/>
  <c r="AN149" i="45" s="1"/>
  <c r="X149" i="45"/>
  <c r="Y149" i="45" s="1"/>
  <c r="AB149" i="45"/>
  <c r="Z149" i="45"/>
  <c r="AA149" i="45" s="1"/>
  <c r="S149" i="45"/>
  <c r="W149" i="45"/>
  <c r="AK149" i="45"/>
  <c r="AL149" i="45" s="1"/>
  <c r="W157" i="45"/>
  <c r="AM157" i="45"/>
  <c r="AN157" i="45" s="1"/>
  <c r="S157" i="45"/>
  <c r="AB157" i="45"/>
  <c r="AK157" i="45"/>
  <c r="AL157" i="45" s="1"/>
  <c r="X157" i="45"/>
  <c r="Y157" i="45" s="1"/>
  <c r="Z157" i="45"/>
  <c r="AA157" i="45" s="1"/>
  <c r="AM175" i="45"/>
  <c r="AN175" i="45" s="1"/>
  <c r="X175" i="45"/>
  <c r="Y175" i="45" s="1"/>
  <c r="AB175" i="45"/>
  <c r="Z175" i="45"/>
  <c r="AA175" i="45" s="1"/>
  <c r="AK175" i="45"/>
  <c r="AL175" i="45" s="1"/>
  <c r="S175" i="45"/>
  <c r="W175" i="45"/>
  <c r="AM190" i="45"/>
  <c r="AN190" i="45" s="1"/>
  <c r="AB190" i="45"/>
  <c r="W190" i="45"/>
  <c r="X190" i="45"/>
  <c r="Y190" i="45" s="1"/>
  <c r="AK190" i="45"/>
  <c r="AL190" i="45" s="1"/>
  <c r="Z190" i="45"/>
  <c r="AA190" i="45" s="1"/>
  <c r="S190" i="45"/>
  <c r="S210" i="45"/>
  <c r="X210" i="45"/>
  <c r="Y210" i="45" s="1"/>
  <c r="AB210" i="45"/>
  <c r="AM210" i="45"/>
  <c r="I297" i="45" s="1"/>
  <c r="E2321" i="40" s="1"/>
  <c r="N211" i="45"/>
  <c r="AK210" i="45"/>
  <c r="I296" i="45" s="1"/>
  <c r="E2320" i="40" s="1"/>
  <c r="W210" i="45"/>
  <c r="W211" i="45" s="1"/>
  <c r="Z210" i="45"/>
  <c r="AA210" i="45" s="1"/>
  <c r="AA211" i="45" s="1"/>
  <c r="Z124" i="45"/>
  <c r="AA124" i="45" s="1"/>
  <c r="W124" i="45"/>
  <c r="AB124" i="45"/>
  <c r="AM124" i="45"/>
  <c r="AN124" i="45" s="1"/>
  <c r="AK124" i="45"/>
  <c r="AL124" i="45" s="1"/>
  <c r="S124" i="45"/>
  <c r="X124" i="45"/>
  <c r="Y124" i="45" s="1"/>
  <c r="X159" i="45"/>
  <c r="Y159" i="45" s="1"/>
  <c r="W159" i="45"/>
  <c r="AK159" i="45"/>
  <c r="AL159" i="45" s="1"/>
  <c r="AM159" i="45"/>
  <c r="AN159" i="45" s="1"/>
  <c r="Z159" i="45"/>
  <c r="AA159" i="45" s="1"/>
  <c r="S159" i="45"/>
  <c r="AB159" i="45"/>
  <c r="W205" i="45"/>
  <c r="AK205" i="45"/>
  <c r="AL205" i="45" s="1"/>
  <c r="AM205" i="45"/>
  <c r="AN205" i="45" s="1"/>
  <c r="S205" i="45"/>
  <c r="AB155" i="45"/>
  <c r="W155" i="45"/>
  <c r="X155" i="45"/>
  <c r="Y155" i="45" s="1"/>
  <c r="AM155" i="45"/>
  <c r="AN155" i="45" s="1"/>
  <c r="Z155" i="45"/>
  <c r="AA155" i="45" s="1"/>
  <c r="S155" i="45"/>
  <c r="AK155" i="45"/>
  <c r="AL155" i="45" s="1"/>
  <c r="AM166" i="45"/>
  <c r="AN166" i="45" s="1"/>
  <c r="S166" i="45"/>
  <c r="X166" i="45"/>
  <c r="Y166" i="45" s="1"/>
  <c r="W166" i="45"/>
  <c r="Z166" i="45"/>
  <c r="AA166" i="45" s="1"/>
  <c r="AB166" i="45"/>
  <c r="AK166" i="45"/>
  <c r="AL166" i="45" s="1"/>
  <c r="AM186" i="45"/>
  <c r="AN186" i="45" s="1"/>
  <c r="AB186" i="45"/>
  <c r="AK186" i="45"/>
  <c r="AL186" i="45" s="1"/>
  <c r="AA186" i="45"/>
  <c r="S186" i="45"/>
  <c r="X186" i="45"/>
  <c r="Y186" i="45" s="1"/>
  <c r="W186" i="45"/>
  <c r="AM197" i="45"/>
  <c r="I313" i="45" s="1"/>
  <c r="E2443" i="40" s="1"/>
  <c r="AK197" i="45"/>
  <c r="X197" i="45"/>
  <c r="Y197" i="45" s="1"/>
  <c r="I314" i="45" s="1"/>
  <c r="E2465" i="40" s="1"/>
  <c r="I2754" i="50" s="1"/>
  <c r="AA197" i="45"/>
  <c r="N199" i="45"/>
  <c r="AB197" i="45"/>
  <c r="I311" i="45" s="1"/>
  <c r="W197" i="45"/>
  <c r="S197" i="45"/>
  <c r="AH46" i="47"/>
  <c r="AI46" i="47" s="1"/>
  <c r="T46" i="47"/>
  <c r="P46" i="47"/>
  <c r="X46" i="47"/>
  <c r="AJ46" i="47"/>
  <c r="AK46" i="47" s="1"/>
  <c r="U46" i="47"/>
  <c r="V46" i="47" s="1"/>
  <c r="U42" i="47"/>
  <c r="V42" i="47" s="1"/>
  <c r="X42" i="47"/>
  <c r="T42" i="47"/>
  <c r="AJ42" i="47"/>
  <c r="AK42" i="47" s="1"/>
  <c r="AH42" i="47"/>
  <c r="AI42" i="47" s="1"/>
  <c r="P42" i="47"/>
  <c r="AH51" i="47"/>
  <c r="AI51" i="47" s="1"/>
  <c r="X51" i="47"/>
  <c r="T51" i="47"/>
  <c r="U51" i="47"/>
  <c r="V51" i="47" s="1"/>
  <c r="AJ51" i="47"/>
  <c r="AK51" i="47" s="1"/>
  <c r="P51" i="47"/>
  <c r="I668" i="50"/>
  <c r="E49" i="21"/>
  <c r="E36" i="21"/>
  <c r="I312" i="45" l="1"/>
  <c r="E2442" i="40" s="1"/>
  <c r="U169" i="46"/>
  <c r="U222" i="46" s="1"/>
  <c r="I2617" i="50"/>
  <c r="E372" i="46"/>
  <c r="E2501" i="40" s="1"/>
  <c r="E367" i="46"/>
  <c r="E2494" i="40" s="1"/>
  <c r="E374" i="46"/>
  <c r="E2518" i="40" s="1"/>
  <c r="E366" i="46"/>
  <c r="E2493" i="40" s="1"/>
  <c r="I525" i="50"/>
  <c r="I307" i="45"/>
  <c r="E2439" i="40" s="1"/>
  <c r="S211" i="45"/>
  <c r="I291" i="45"/>
  <c r="Y211" i="45"/>
  <c r="I298" i="45"/>
  <c r="AB211" i="45"/>
  <c r="I295" i="45"/>
  <c r="AL207" i="45"/>
  <c r="E290" i="45" s="1"/>
  <c r="E294" i="45"/>
  <c r="E2203" i="40" s="1"/>
  <c r="E311" i="45"/>
  <c r="E2237" i="40" s="1"/>
  <c r="E276" i="45"/>
  <c r="D270" i="44"/>
  <c r="E2828" i="40" s="1"/>
  <c r="AN207" i="45"/>
  <c r="E291" i="45" s="1"/>
  <c r="E295" i="45"/>
  <c r="E2204" i="40" s="1"/>
  <c r="E312" i="45"/>
  <c r="E2238" i="40" s="1"/>
  <c r="E315" i="46"/>
  <c r="E1980" i="40" s="1"/>
  <c r="Y202" i="45"/>
  <c r="I282" i="45"/>
  <c r="E2153" i="40" s="1"/>
  <c r="E278" i="45"/>
  <c r="E2088" i="40" s="1"/>
  <c r="S202" i="45"/>
  <c r="I275" i="45"/>
  <c r="E2135" i="40" s="1"/>
  <c r="AB202" i="45"/>
  <c r="I279" i="45"/>
  <c r="E272" i="45"/>
  <c r="E2083" i="40" s="1"/>
  <c r="E277" i="45"/>
  <c r="E2087" i="40" s="1"/>
  <c r="E279" i="45"/>
  <c r="E2102" i="40" s="1"/>
  <c r="V160" i="46"/>
  <c r="E346" i="46"/>
  <c r="E2036" i="40" s="1"/>
  <c r="Y160" i="46"/>
  <c r="E348" i="46"/>
  <c r="E2055" i="40" s="1"/>
  <c r="R160" i="46"/>
  <c r="E341" i="46"/>
  <c r="E2029" i="40" s="1"/>
  <c r="E314" i="46"/>
  <c r="E1979" i="40" s="1"/>
  <c r="E322" i="46"/>
  <c r="E2005" i="40" s="1"/>
  <c r="V167" i="46"/>
  <c r="E1987" i="40"/>
  <c r="I297" i="46"/>
  <c r="E1952" i="40" s="1"/>
  <c r="I290" i="46"/>
  <c r="E1927" i="40" s="1"/>
  <c r="I295" i="46"/>
  <c r="E1934" i="40" s="1"/>
  <c r="I289" i="46"/>
  <c r="E1926" i="40" s="1"/>
  <c r="R122" i="46"/>
  <c r="E282" i="46"/>
  <c r="E281" i="46"/>
  <c r="E289" i="46"/>
  <c r="E1859" i="40" s="1"/>
  <c r="E290" i="46"/>
  <c r="E1860" i="40" s="1"/>
  <c r="E297" i="46"/>
  <c r="E295" i="46"/>
  <c r="E1867" i="40" s="1"/>
  <c r="Y122" i="46"/>
  <c r="E285" i="46"/>
  <c r="I253" i="45"/>
  <c r="E2536" i="40" s="1"/>
  <c r="I263" i="45"/>
  <c r="E2548" i="40" s="1"/>
  <c r="I264" i="45"/>
  <c r="I262" i="45"/>
  <c r="E2547" i="40" s="1"/>
  <c r="I261" i="45"/>
  <c r="E2546" i="40" s="1"/>
  <c r="I257" i="45"/>
  <c r="E2543" i="40" s="1"/>
  <c r="I252" i="45"/>
  <c r="E2564" i="40" s="1"/>
  <c r="I251" i="45"/>
  <c r="E2554" i="40" s="1"/>
  <c r="I250" i="45"/>
  <c r="E2553" i="40" s="1"/>
  <c r="Y146" i="45"/>
  <c r="I239" i="45" s="1"/>
  <c r="I227" i="45"/>
  <c r="I236" i="45"/>
  <c r="E1592" i="40" s="1"/>
  <c r="I237" i="45"/>
  <c r="E1593" i="40" s="1"/>
  <c r="I232" i="45"/>
  <c r="E1588" i="40" s="1"/>
  <c r="I238" i="45"/>
  <c r="E1594" i="40" s="1"/>
  <c r="AN173" i="45"/>
  <c r="I226" i="45"/>
  <c r="AL173" i="45"/>
  <c r="I225" i="45"/>
  <c r="S140" i="45"/>
  <c r="E257" i="45"/>
  <c r="S143" i="45"/>
  <c r="E248" i="45"/>
  <c r="Y143" i="45"/>
  <c r="E253" i="45"/>
  <c r="E243" i="45"/>
  <c r="E244" i="45"/>
  <c r="E237" i="45"/>
  <c r="E236" i="45"/>
  <c r="E238" i="45"/>
  <c r="E239" i="45"/>
  <c r="E232" i="45"/>
  <c r="AL134" i="43"/>
  <c r="AL135" i="43" s="1"/>
  <c r="E447" i="43"/>
  <c r="D341" i="44"/>
  <c r="E2929" i="40" s="1"/>
  <c r="D327" i="44"/>
  <c r="E2899" i="40" s="1"/>
  <c r="D315" i="44"/>
  <c r="D109" i="47"/>
  <c r="E3246" i="40" s="1"/>
  <c r="D107" i="47"/>
  <c r="E3231" i="40" s="1"/>
  <c r="D83" i="47"/>
  <c r="D66" i="47"/>
  <c r="D103" i="47"/>
  <c r="E3228" i="40" s="1"/>
  <c r="D108" i="47"/>
  <c r="E3232" i="40" s="1"/>
  <c r="D65" i="47"/>
  <c r="E3191" i="40"/>
  <c r="D84" i="47"/>
  <c r="D67" i="47"/>
  <c r="E3212" i="40" s="1"/>
  <c r="D312" i="44"/>
  <c r="E2890" i="40" s="1"/>
  <c r="D340" i="44"/>
  <c r="E2928" i="40" s="1"/>
  <c r="D322" i="44"/>
  <c r="E2896" i="40" s="1"/>
  <c r="D314" i="44"/>
  <c r="E2892" i="40" s="1"/>
  <c r="D339" i="44"/>
  <c r="E2927" i="40" s="1"/>
  <c r="D342" i="44"/>
  <c r="AD185" i="44"/>
  <c r="D326" i="44" s="1"/>
  <c r="E2898" i="40" s="1"/>
  <c r="D321" i="44"/>
  <c r="E2897" i="40" s="1"/>
  <c r="D328" i="44"/>
  <c r="D276" i="44"/>
  <c r="E2848" i="40" s="1"/>
  <c r="D274" i="44"/>
  <c r="E2833" i="40" s="1"/>
  <c r="D269" i="44"/>
  <c r="E2830" i="40" s="1"/>
  <c r="AD152" i="44"/>
  <c r="AG152" i="44"/>
  <c r="P179" i="44"/>
  <c r="D296" i="44"/>
  <c r="E2859" i="40" s="1"/>
  <c r="T179" i="44"/>
  <c r="D302" i="44"/>
  <c r="E2878" i="40" s="1"/>
  <c r="U179" i="44"/>
  <c r="D295" i="44"/>
  <c r="E2861" i="40" s="1"/>
  <c r="D242" i="44"/>
  <c r="E2800" i="40" s="1"/>
  <c r="D243" i="44"/>
  <c r="E2795" i="40" s="1"/>
  <c r="D250" i="44"/>
  <c r="D244" i="44"/>
  <c r="E2793" i="40" s="1"/>
  <c r="D234" i="44"/>
  <c r="E2787" i="40" s="1"/>
  <c r="D236" i="44"/>
  <c r="E2789" i="40" s="1"/>
  <c r="D237" i="44"/>
  <c r="Q197" i="44"/>
  <c r="D212" i="44"/>
  <c r="E2702" i="40" s="1"/>
  <c r="AD133" i="44"/>
  <c r="AD140" i="44" s="1"/>
  <c r="E2694" i="40"/>
  <c r="AG144" i="44"/>
  <c r="D249" i="44"/>
  <c r="E2797" i="40" s="1"/>
  <c r="AD144" i="44"/>
  <c r="AG153" i="44"/>
  <c r="AE153" i="44"/>
  <c r="D219" i="44"/>
  <c r="W121" i="44"/>
  <c r="W129" i="44" s="1"/>
  <c r="W197" i="44" s="1"/>
  <c r="E2703" i="40"/>
  <c r="D213" i="44"/>
  <c r="E2699" i="40" s="1"/>
  <c r="T112" i="44"/>
  <c r="E442" i="43"/>
  <c r="AL200" i="43"/>
  <c r="AL201" i="43" s="1"/>
  <c r="E441" i="43"/>
  <c r="S199" i="43"/>
  <c r="E432" i="43"/>
  <c r="AL198" i="43"/>
  <c r="E433" i="43" s="1"/>
  <c r="E435" i="43"/>
  <c r="E1341" i="40" s="1"/>
  <c r="I1502" i="50" s="1"/>
  <c r="E388" i="43"/>
  <c r="E1294" i="40" s="1"/>
  <c r="I1431" i="50" s="1"/>
  <c r="E386" i="43"/>
  <c r="E1183" i="40" s="1"/>
  <c r="AL215" i="43"/>
  <c r="E412" i="43" s="1"/>
  <c r="E414" i="43"/>
  <c r="E1188" i="40" s="1"/>
  <c r="I1325" i="50" s="1"/>
  <c r="AE216" i="43"/>
  <c r="E417" i="43"/>
  <c r="S216" i="43"/>
  <c r="E411" i="43"/>
  <c r="Y216" i="43"/>
  <c r="E416" i="43"/>
  <c r="E1295" i="40" s="1"/>
  <c r="I1432" i="50" s="1"/>
  <c r="E387" i="43"/>
  <c r="AL207" i="43"/>
  <c r="AL210" i="43" s="1"/>
  <c r="E385" i="43"/>
  <c r="E1182" i="40" s="1"/>
  <c r="AN213" i="43"/>
  <c r="E393" i="43" s="1"/>
  <c r="E395" i="43"/>
  <c r="E1187" i="40" s="1"/>
  <c r="I1324" i="50" s="1"/>
  <c r="AL213" i="43"/>
  <c r="E392" i="43" s="1"/>
  <c r="E394" i="43"/>
  <c r="E1193" i="40" s="1"/>
  <c r="I1330" i="50" s="1"/>
  <c r="AL202" i="43"/>
  <c r="E375" i="43"/>
  <c r="E1049" i="40" s="1"/>
  <c r="I1165" i="50" s="1"/>
  <c r="E356" i="43"/>
  <c r="E1026" i="40" s="1"/>
  <c r="AL205" i="43"/>
  <c r="AL206" i="43" s="1"/>
  <c r="E379" i="43"/>
  <c r="E1054" i="40" s="1"/>
  <c r="I1158" i="50" s="1"/>
  <c r="AL211" i="43"/>
  <c r="E368" i="43" s="1"/>
  <c r="E370" i="43"/>
  <c r="E1048" i="40" s="1"/>
  <c r="I1164" i="50" s="1"/>
  <c r="AB185" i="43"/>
  <c r="E327" i="43"/>
  <c r="AL167" i="43"/>
  <c r="AL168" i="43" s="1"/>
  <c r="E346" i="43"/>
  <c r="I1113" i="50" s="1"/>
  <c r="E351" i="43"/>
  <c r="E1014" i="40" s="1"/>
  <c r="E352" i="43"/>
  <c r="AL169" i="43"/>
  <c r="E353" i="43" s="1"/>
  <c r="E350" i="43"/>
  <c r="E1013" i="40" s="1"/>
  <c r="E332" i="43"/>
  <c r="AL196" i="43"/>
  <c r="AL197" i="43" s="1"/>
  <c r="E318" i="43"/>
  <c r="E337" i="43"/>
  <c r="E829" i="40" s="1"/>
  <c r="I919" i="50" s="1"/>
  <c r="E324" i="43"/>
  <c r="E821" i="40" s="1"/>
  <c r="I930" i="50" s="1"/>
  <c r="E336" i="43"/>
  <c r="E978" i="40" s="1"/>
  <c r="E331" i="43"/>
  <c r="E830" i="40" s="1"/>
  <c r="I920" i="50" s="1"/>
  <c r="E326" i="43"/>
  <c r="E979" i="40" s="1"/>
  <c r="I1070" i="50" s="1"/>
  <c r="E335" i="43"/>
  <c r="AL172" i="43"/>
  <c r="E333" i="43" s="1"/>
  <c r="E330" i="43"/>
  <c r="E824" i="40" s="1"/>
  <c r="I914" i="50" s="1"/>
  <c r="AL180" i="43"/>
  <c r="E323" i="43"/>
  <c r="E820" i="40" s="1"/>
  <c r="I931" i="50" s="1"/>
  <c r="E325" i="43"/>
  <c r="AN182" i="43"/>
  <c r="AL181" i="43"/>
  <c r="E341" i="43"/>
  <c r="E831" i="40" s="1"/>
  <c r="I921" i="50" s="1"/>
  <c r="AN177" i="43"/>
  <c r="E275" i="43"/>
  <c r="E286" i="43"/>
  <c r="E485" i="40" s="1"/>
  <c r="I533" i="50" s="1"/>
  <c r="AL165" i="43"/>
  <c r="E289" i="43" s="1"/>
  <c r="E314" i="43"/>
  <c r="E722" i="40" s="1"/>
  <c r="I796" i="50" s="1"/>
  <c r="AL176" i="43"/>
  <c r="AL179" i="43" s="1"/>
  <c r="AN176" i="43"/>
  <c r="E315" i="43"/>
  <c r="E721" i="40" s="1"/>
  <c r="I795" i="50" s="1"/>
  <c r="E304" i="43"/>
  <c r="E723" i="40" s="1"/>
  <c r="I797" i="50" s="1"/>
  <c r="AL171" i="43"/>
  <c r="E307" i="43" s="1"/>
  <c r="AN172" i="43"/>
  <c r="S199" i="45"/>
  <c r="F488" i="40"/>
  <c r="G488" i="40" s="1"/>
  <c r="AK218" i="43"/>
  <c r="E272" i="43"/>
  <c r="E479" i="40" s="1"/>
  <c r="I528" i="50" s="1"/>
  <c r="E268" i="43"/>
  <c r="E480" i="40" s="1"/>
  <c r="I536" i="50" s="1"/>
  <c r="E224" i="43"/>
  <c r="E146" i="40" s="1"/>
  <c r="I156" i="50" s="1"/>
  <c r="E255" i="43"/>
  <c r="E362" i="40" s="1"/>
  <c r="I399" i="50" s="1"/>
  <c r="E239" i="43"/>
  <c r="E357" i="40" s="1"/>
  <c r="F357" i="40" s="1"/>
  <c r="G357" i="40" s="1"/>
  <c r="E273" i="43"/>
  <c r="E484" i="40" s="1"/>
  <c r="I532" i="50" s="1"/>
  <c r="E256" i="43"/>
  <c r="E363" i="40" s="1"/>
  <c r="I400" i="50" s="1"/>
  <c r="E143" i="40"/>
  <c r="I153" i="50" s="1"/>
  <c r="E274" i="43"/>
  <c r="E230" i="43"/>
  <c r="E223" i="43"/>
  <c r="E145" i="40" s="1"/>
  <c r="I155" i="50" s="1"/>
  <c r="E243" i="43"/>
  <c r="E356" i="40" s="1"/>
  <c r="I394" i="50" s="1"/>
  <c r="E278" i="43"/>
  <c r="E269" i="43"/>
  <c r="E475" i="40" s="1"/>
  <c r="I524" i="50" s="1"/>
  <c r="AJ218" i="43"/>
  <c r="AN173" i="43"/>
  <c r="AN171" i="43"/>
  <c r="E308" i="43" s="1"/>
  <c r="S166" i="43"/>
  <c r="Y168" i="43"/>
  <c r="F366" i="40"/>
  <c r="G366" i="40" s="1"/>
  <c r="Y215" i="45"/>
  <c r="S145" i="43"/>
  <c r="E245" i="43"/>
  <c r="E244" i="43"/>
  <c r="E365" i="40" s="1"/>
  <c r="I402" i="50" s="1"/>
  <c r="AN148" i="43"/>
  <c r="E249" i="43"/>
  <c r="E427" i="40" s="1"/>
  <c r="E235" i="40"/>
  <c r="E231" i="43"/>
  <c r="AM133" i="43"/>
  <c r="AN126" i="43"/>
  <c r="AN133" i="43" s="1"/>
  <c r="E225" i="43"/>
  <c r="E144" i="40" s="1"/>
  <c r="I154" i="50" s="1"/>
  <c r="W215" i="45"/>
  <c r="AA199" i="45"/>
  <c r="AC213" i="46"/>
  <c r="AD213" i="46" s="1"/>
  <c r="AC165" i="46"/>
  <c r="AD165" i="46" s="1"/>
  <c r="AE163" i="46"/>
  <c r="AF163" i="46" s="1"/>
  <c r="AE140" i="46"/>
  <c r="AF140" i="46" s="1"/>
  <c r="S215" i="45"/>
  <c r="AE214" i="46"/>
  <c r="AF214" i="46" s="1"/>
  <c r="AC186" i="46"/>
  <c r="AD186" i="46" s="1"/>
  <c r="AC128" i="46"/>
  <c r="AD128" i="46" s="1"/>
  <c r="AE141" i="46"/>
  <c r="AF141" i="46" s="1"/>
  <c r="AE139" i="46"/>
  <c r="AF139" i="46" s="1"/>
  <c r="AE138" i="46"/>
  <c r="AF138" i="46" s="1"/>
  <c r="W199" i="45"/>
  <c r="AC218" i="43"/>
  <c r="AC194" i="46"/>
  <c r="AD194" i="46" s="1"/>
  <c r="AC131" i="46"/>
  <c r="AD131" i="46" s="1"/>
  <c r="P176" i="44"/>
  <c r="AC173" i="46"/>
  <c r="AD173" i="46" s="1"/>
  <c r="AC135" i="46"/>
  <c r="AD135" i="46" s="1"/>
  <c r="AB199" i="45"/>
  <c r="T218" i="43"/>
  <c r="AC126" i="46"/>
  <c r="AD126" i="46" s="1"/>
  <c r="AC216" i="46"/>
  <c r="AD216" i="46" s="1"/>
  <c r="AC197" i="46"/>
  <c r="AD197" i="46" s="1"/>
  <c r="Y218" i="46"/>
  <c r="Y220" i="46" s="1"/>
  <c r="AC192" i="46"/>
  <c r="AD192" i="46" s="1"/>
  <c r="AB174" i="43"/>
  <c r="AE164" i="46"/>
  <c r="AF164" i="46" s="1"/>
  <c r="AC188" i="46"/>
  <c r="AD188" i="46" s="1"/>
  <c r="AE193" i="46"/>
  <c r="AF193" i="46" s="1"/>
  <c r="Y210" i="43"/>
  <c r="AE131" i="46"/>
  <c r="AF131" i="46" s="1"/>
  <c r="AE143" i="46"/>
  <c r="AF143" i="46" s="1"/>
  <c r="AC139" i="46"/>
  <c r="AD139" i="46" s="1"/>
  <c r="AC149" i="46"/>
  <c r="AD149" i="46" s="1"/>
  <c r="AC136" i="46"/>
  <c r="AD136" i="46" s="1"/>
  <c r="AE147" i="46"/>
  <c r="AF147" i="46" s="1"/>
  <c r="AE154" i="46"/>
  <c r="AF154" i="46" s="1"/>
  <c r="AE146" i="46"/>
  <c r="AF146" i="46" s="1"/>
  <c r="N217" i="45"/>
  <c r="AE135" i="46"/>
  <c r="AF135" i="46" s="1"/>
  <c r="AC190" i="46"/>
  <c r="AD190" i="46" s="1"/>
  <c r="AC145" i="46"/>
  <c r="AD145" i="46" s="1"/>
  <c r="AC141" i="46"/>
  <c r="AD141" i="46" s="1"/>
  <c r="W214" i="43"/>
  <c r="AA215" i="45"/>
  <c r="AE216" i="46"/>
  <c r="AF216" i="46" s="1"/>
  <c r="AE128" i="46"/>
  <c r="AF128" i="46" s="1"/>
  <c r="AE165" i="46"/>
  <c r="AF165" i="46" s="1"/>
  <c r="AC215" i="46"/>
  <c r="AD215" i="46" s="1"/>
  <c r="AC133" i="46"/>
  <c r="AD133" i="46" s="1"/>
  <c r="AE189" i="46"/>
  <c r="AF189" i="46" s="1"/>
  <c r="AC174" i="46"/>
  <c r="AD174" i="46" s="1"/>
  <c r="AC191" i="46"/>
  <c r="AD191" i="46" s="1"/>
  <c r="AE177" i="46"/>
  <c r="AF177" i="46" s="1"/>
  <c r="Y204" i="43"/>
  <c r="AC184" i="46"/>
  <c r="AD184" i="46" s="1"/>
  <c r="AC162" i="46"/>
  <c r="AE173" i="46"/>
  <c r="AF173" i="46" s="1"/>
  <c r="AC183" i="46"/>
  <c r="AD183" i="46" s="1"/>
  <c r="AE210" i="43"/>
  <c r="S204" i="43"/>
  <c r="AC201" i="46"/>
  <c r="AD201" i="46" s="1"/>
  <c r="AD202" i="46" s="1"/>
  <c r="AE217" i="46"/>
  <c r="AF217" i="46" s="1"/>
  <c r="AE166" i="46"/>
  <c r="AF166" i="46" s="1"/>
  <c r="AC154" i="46"/>
  <c r="AD154" i="46" s="1"/>
  <c r="AE130" i="46"/>
  <c r="AF130" i="46" s="1"/>
  <c r="AC147" i="46"/>
  <c r="AD147" i="46" s="1"/>
  <c r="AC144" i="46"/>
  <c r="AD144" i="46" s="1"/>
  <c r="Y171" i="45"/>
  <c r="T176" i="44"/>
  <c r="AE188" i="46"/>
  <c r="AF188" i="46" s="1"/>
  <c r="AC124" i="46"/>
  <c r="AB215" i="45"/>
  <c r="W210" i="43"/>
  <c r="AE162" i="46"/>
  <c r="AE192" i="46"/>
  <c r="AF192" i="46" s="1"/>
  <c r="AE125" i="46"/>
  <c r="AF125" i="46" s="1"/>
  <c r="AE182" i="46"/>
  <c r="AF182" i="46" s="1"/>
  <c r="Y200" i="43"/>
  <c r="Y201" i="43" s="1"/>
  <c r="AE121" i="46"/>
  <c r="AE174" i="46"/>
  <c r="AF174" i="46" s="1"/>
  <c r="AC146" i="46"/>
  <c r="AD146" i="46" s="1"/>
  <c r="AE149" i="46"/>
  <c r="AF149" i="46" s="1"/>
  <c r="AE184" i="46"/>
  <c r="AF184" i="46" s="1"/>
  <c r="AC130" i="46"/>
  <c r="AD130" i="46" s="1"/>
  <c r="AC138" i="46"/>
  <c r="AD138" i="46" s="1"/>
  <c r="AE136" i="46"/>
  <c r="AF136" i="46" s="1"/>
  <c r="AE183" i="46"/>
  <c r="AF183" i="46" s="1"/>
  <c r="AA171" i="45"/>
  <c r="AE127" i="46"/>
  <c r="AF127" i="46" s="1"/>
  <c r="AE191" i="46"/>
  <c r="AF191" i="46" s="1"/>
  <c r="AC214" i="46"/>
  <c r="AD214" i="46" s="1"/>
  <c r="V218" i="46"/>
  <c r="V220" i="46" s="1"/>
  <c r="AE156" i="46"/>
  <c r="AF156" i="46" s="1"/>
  <c r="AE148" i="46"/>
  <c r="AF148" i="46" s="1"/>
  <c r="P207" i="46"/>
  <c r="AA192" i="45"/>
  <c r="U172" i="44"/>
  <c r="AB195" i="43"/>
  <c r="AC121" i="46"/>
  <c r="AC180" i="46"/>
  <c r="AD180" i="46" s="1"/>
  <c r="AE215" i="46"/>
  <c r="AF215" i="46" s="1"/>
  <c r="AE194" i="46"/>
  <c r="AF194" i="46" s="1"/>
  <c r="AC189" i="46"/>
  <c r="AD189" i="46" s="1"/>
  <c r="AE186" i="46"/>
  <c r="AF186" i="46" s="1"/>
  <c r="AC198" i="46"/>
  <c r="AD198" i="46" s="1"/>
  <c r="AE132" i="46"/>
  <c r="AF132" i="46" s="1"/>
  <c r="Y199" i="45"/>
  <c r="AC193" i="46"/>
  <c r="AD193" i="46" s="1"/>
  <c r="AA161" i="43"/>
  <c r="N195" i="44"/>
  <c r="S161" i="43"/>
  <c r="W204" i="43"/>
  <c r="AA218" i="46"/>
  <c r="AA220" i="46" s="1"/>
  <c r="AC181" i="46"/>
  <c r="AD181" i="46" s="1"/>
  <c r="AE213" i="46"/>
  <c r="AF213" i="46" s="1"/>
  <c r="W208" i="45"/>
  <c r="AA208" i="45"/>
  <c r="AC129" i="46"/>
  <c r="AD129" i="46" s="1"/>
  <c r="AA167" i="46"/>
  <c r="AE134" i="46"/>
  <c r="AF134" i="46" s="1"/>
  <c r="AC185" i="46"/>
  <c r="AD185" i="46" s="1"/>
  <c r="AC132" i="46"/>
  <c r="AD132" i="46" s="1"/>
  <c r="AE185" i="46"/>
  <c r="AF185" i="46" s="1"/>
  <c r="AE124" i="46"/>
  <c r="AF193" i="44"/>
  <c r="AG191" i="44"/>
  <c r="AG193" i="44" s="1"/>
  <c r="AM125" i="43"/>
  <c r="AN124" i="43"/>
  <c r="AN125" i="43" s="1"/>
  <c r="AL176" i="45"/>
  <c r="AL177" i="45" s="1"/>
  <c r="AK177" i="45"/>
  <c r="T193" i="44"/>
  <c r="AN197" i="45"/>
  <c r="AM199" i="45"/>
  <c r="W171" i="45"/>
  <c r="AB171" i="45"/>
  <c r="P168" i="44"/>
  <c r="P193" i="44"/>
  <c r="AE191" i="44"/>
  <c r="AE193" i="44" s="1"/>
  <c r="AD193" i="44"/>
  <c r="U193" i="44"/>
  <c r="Y161" i="43"/>
  <c r="AL125" i="43"/>
  <c r="AM216" i="43"/>
  <c r="AN215" i="43"/>
  <c r="AL204" i="43"/>
  <c r="AL143" i="43"/>
  <c r="AN142" i="43"/>
  <c r="AN143" i="43" s="1"/>
  <c r="AM143" i="43"/>
  <c r="S133" i="43"/>
  <c r="AE126" i="46"/>
  <c r="AF126" i="46" s="1"/>
  <c r="Y199" i="46"/>
  <c r="Q160" i="46"/>
  <c r="AC159" i="46"/>
  <c r="AE197" i="46"/>
  <c r="AF197" i="46" s="1"/>
  <c r="AE181" i="46"/>
  <c r="AF181" i="46" s="1"/>
  <c r="AC125" i="46"/>
  <c r="AD125" i="46" s="1"/>
  <c r="AC177" i="46"/>
  <c r="AD177" i="46" s="1"/>
  <c r="AC182" i="46"/>
  <c r="AD182" i="46" s="1"/>
  <c r="AE142" i="46"/>
  <c r="AF142" i="46" s="1"/>
  <c r="AE153" i="46"/>
  <c r="AF153" i="46" s="1"/>
  <c r="AL162" i="45"/>
  <c r="AL171" i="45" s="1"/>
  <c r="AK171" i="45"/>
  <c r="AN205" i="43"/>
  <c r="AN206" i="43" s="1"/>
  <c r="AM206" i="43"/>
  <c r="N58" i="47"/>
  <c r="AL189" i="45"/>
  <c r="AK192" i="45"/>
  <c r="AG114" i="44"/>
  <c r="S210" i="43"/>
  <c r="AL213" i="45"/>
  <c r="AK215" i="45"/>
  <c r="AN165" i="43"/>
  <c r="E290" i="43" s="1"/>
  <c r="AM166" i="43"/>
  <c r="AA199" i="46"/>
  <c r="R218" i="46"/>
  <c r="R220" i="46" s="1"/>
  <c r="AE212" i="46"/>
  <c r="AC212" i="46"/>
  <c r="T49" i="47"/>
  <c r="AK45" i="47"/>
  <c r="AJ49" i="47"/>
  <c r="AK55" i="47"/>
  <c r="AK56" i="47" s="1"/>
  <c r="AJ56" i="47"/>
  <c r="AB192" i="45"/>
  <c r="AG174" i="44"/>
  <c r="AF176" i="44"/>
  <c r="T121" i="44"/>
  <c r="S185" i="43"/>
  <c r="Y185" i="43"/>
  <c r="AE175" i="46"/>
  <c r="AF175" i="46" s="1"/>
  <c r="AE145" i="46"/>
  <c r="AF145" i="46" s="1"/>
  <c r="AL210" i="45"/>
  <c r="AK211" i="45"/>
  <c r="AM215" i="45"/>
  <c r="AN213" i="45"/>
  <c r="AN176" i="45"/>
  <c r="AN177" i="45" s="1"/>
  <c r="AM177" i="45"/>
  <c r="AF117" i="44"/>
  <c r="AG117" i="44" s="1"/>
  <c r="AF124" i="44"/>
  <c r="AG123" i="44"/>
  <c r="AG124" i="44" s="1"/>
  <c r="AN146" i="43"/>
  <c r="AM161" i="43"/>
  <c r="AC176" i="46"/>
  <c r="AD176" i="46" s="1"/>
  <c r="AE176" i="46"/>
  <c r="AF176" i="46" s="1"/>
  <c r="AL131" i="45"/>
  <c r="AL132" i="45" s="1"/>
  <c r="AK132" i="45"/>
  <c r="S171" i="45"/>
  <c r="AD117" i="44"/>
  <c r="AE117" i="44" s="1"/>
  <c r="AG142" i="44"/>
  <c r="AF168" i="44"/>
  <c r="AD142" i="44"/>
  <c r="U168" i="44"/>
  <c r="AL197" i="45"/>
  <c r="AK199" i="45"/>
  <c r="AM211" i="45"/>
  <c r="AN210" i="45"/>
  <c r="AM132" i="45"/>
  <c r="AN131" i="45"/>
  <c r="AN162" i="45"/>
  <c r="AN171" i="45" s="1"/>
  <c r="AM171" i="45"/>
  <c r="AE123" i="44"/>
  <c r="AE124" i="44" s="1"/>
  <c r="AD124" i="44"/>
  <c r="T168" i="44"/>
  <c r="AN207" i="43"/>
  <c r="AN210" i="43" s="1"/>
  <c r="AM210" i="43"/>
  <c r="AL161" i="43"/>
  <c r="W161" i="43"/>
  <c r="AN202" i="43"/>
  <c r="AN204" i="43" s="1"/>
  <c r="AM204" i="43"/>
  <c r="AN162" i="43"/>
  <c r="AN164" i="43" s="1"/>
  <c r="AM164" i="43"/>
  <c r="AL164" i="43"/>
  <c r="AL133" i="43"/>
  <c r="AE159" i="46"/>
  <c r="AE190" i="46"/>
  <c r="AF190" i="46" s="1"/>
  <c r="AC175" i="46"/>
  <c r="AD175" i="46" s="1"/>
  <c r="AC196" i="46"/>
  <c r="AD196" i="46" s="1"/>
  <c r="AE196" i="46"/>
  <c r="AF196" i="46" s="1"/>
  <c r="Q202" i="46"/>
  <c r="AE201" i="46"/>
  <c r="V49" i="47"/>
  <c r="AI45" i="47"/>
  <c r="AH49" i="47"/>
  <c r="S192" i="45"/>
  <c r="W192" i="45"/>
  <c r="AE195" i="46"/>
  <c r="AF195" i="46" s="1"/>
  <c r="AC195" i="46"/>
  <c r="AD195" i="46" s="1"/>
  <c r="AC143" i="46"/>
  <c r="AD143" i="46" s="1"/>
  <c r="AC156" i="46"/>
  <c r="AD156" i="46" s="1"/>
  <c r="AE137" i="46"/>
  <c r="AF137" i="46" s="1"/>
  <c r="AC155" i="46"/>
  <c r="AD155" i="46" s="1"/>
  <c r="AE187" i="46"/>
  <c r="AF187" i="46" s="1"/>
  <c r="AC127" i="46"/>
  <c r="AD127" i="46" s="1"/>
  <c r="W164" i="43"/>
  <c r="AN144" i="43"/>
  <c r="E259" i="43" s="1"/>
  <c r="AM145" i="43"/>
  <c r="W133" i="43"/>
  <c r="Q167" i="46"/>
  <c r="R199" i="46"/>
  <c r="V199" i="46"/>
  <c r="X49" i="47"/>
  <c r="P49" i="47"/>
  <c r="AH56" i="47"/>
  <c r="AI55" i="47"/>
  <c r="AI56" i="47" s="1"/>
  <c r="AM192" i="45"/>
  <c r="AN189" i="45"/>
  <c r="Y192" i="45"/>
  <c r="AD114" i="44"/>
  <c r="U121" i="44"/>
  <c r="U129" i="44" s="1"/>
  <c r="AG126" i="44"/>
  <c r="AG127" i="44" s="1"/>
  <c r="AF127" i="44"/>
  <c r="AN200" i="43"/>
  <c r="AN201" i="43" s="1"/>
  <c r="AM201" i="43"/>
  <c r="AA185" i="43"/>
  <c r="W185" i="43"/>
  <c r="Y198" i="43"/>
  <c r="AN198" i="43"/>
  <c r="AM199" i="43"/>
  <c r="AA210" i="43"/>
  <c r="AC166" i="46"/>
  <c r="AD166" i="46" s="1"/>
  <c r="AC142" i="46"/>
  <c r="AD142" i="46" s="1"/>
  <c r="AE133" i="46"/>
  <c r="AF133" i="46" s="1"/>
  <c r="AC140" i="46"/>
  <c r="AD140" i="46" s="1"/>
  <c r="V150" i="46"/>
  <c r="AC137" i="46"/>
  <c r="AD137" i="46" s="1"/>
  <c r="R157" i="46"/>
  <c r="V157" i="46"/>
  <c r="AH52" i="47"/>
  <c r="AI50" i="47"/>
  <c r="AI52" i="47" s="1"/>
  <c r="T44" i="47"/>
  <c r="AK41" i="47"/>
  <c r="AK44" i="47" s="1"/>
  <c r="AJ44" i="47"/>
  <c r="AN134" i="45"/>
  <c r="AN137" i="45" s="1"/>
  <c r="AM137" i="45"/>
  <c r="S137" i="45"/>
  <c r="S208" i="45"/>
  <c r="P172" i="44"/>
  <c r="V168" i="44"/>
  <c r="V181" i="44" s="1"/>
  <c r="V197" i="44" s="1"/>
  <c r="AN175" i="43"/>
  <c r="AM179" i="43"/>
  <c r="E342" i="43" s="1"/>
  <c r="N218" i="43"/>
  <c r="AE129" i="46"/>
  <c r="AF129" i="46" s="1"/>
  <c r="AK140" i="45"/>
  <c r="AL139" i="45"/>
  <c r="S187" i="45"/>
  <c r="AM143" i="45"/>
  <c r="AN142" i="45"/>
  <c r="AL121" i="45"/>
  <c r="AK129" i="45"/>
  <c r="AN146" i="45"/>
  <c r="AM160" i="45"/>
  <c r="N181" i="44"/>
  <c r="AN167" i="43"/>
  <c r="AN168" i="43" s="1"/>
  <c r="AM168" i="43"/>
  <c r="AA214" i="43"/>
  <c r="Y174" i="43"/>
  <c r="Y195" i="43"/>
  <c r="Q178" i="46"/>
  <c r="AC134" i="46"/>
  <c r="AD134" i="46" s="1"/>
  <c r="AE198" i="46"/>
  <c r="AF198" i="46" s="1"/>
  <c r="AE155" i="46"/>
  <c r="AF155" i="46" s="1"/>
  <c r="Q157" i="46"/>
  <c r="AC187" i="46"/>
  <c r="AD187" i="46" s="1"/>
  <c r="AC153" i="46"/>
  <c r="AD153" i="46" s="1"/>
  <c r="Q199" i="46"/>
  <c r="Y150" i="46"/>
  <c r="AC148" i="46"/>
  <c r="AD148" i="46" s="1"/>
  <c r="P52" i="47"/>
  <c r="V52" i="47"/>
  <c r="X44" i="47"/>
  <c r="AI41" i="47"/>
  <c r="AI44" i="47" s="1"/>
  <c r="AH44" i="47"/>
  <c r="W137" i="45"/>
  <c r="AL204" i="45"/>
  <c r="AK208" i="45"/>
  <c r="AL194" i="45"/>
  <c r="AL195" i="45" s="1"/>
  <c r="AK195" i="45"/>
  <c r="T172" i="44"/>
  <c r="AG111" i="44"/>
  <c r="AG112" i="44" s="1"/>
  <c r="AF112" i="44"/>
  <c r="AE133" i="44"/>
  <c r="AE140" i="44" s="1"/>
  <c r="T189" i="44"/>
  <c r="W179" i="43"/>
  <c r="AE185" i="43"/>
  <c r="AL123" i="43"/>
  <c r="W123" i="43"/>
  <c r="AK53" i="47"/>
  <c r="AK54" i="47" s="1"/>
  <c r="AJ54" i="47"/>
  <c r="AN139" i="45"/>
  <c r="AM140" i="45"/>
  <c r="W187" i="45"/>
  <c r="AL179" i="45"/>
  <c r="AL187" i="45" s="1"/>
  <c r="AK187" i="45"/>
  <c r="AK143" i="45"/>
  <c r="AL142" i="45"/>
  <c r="W129" i="45"/>
  <c r="S129" i="45"/>
  <c r="AA160" i="45"/>
  <c r="AB160" i="45"/>
  <c r="S179" i="43"/>
  <c r="Y214" i="43"/>
  <c r="AN169" i="43"/>
  <c r="E354" i="43" s="1"/>
  <c r="AM174" i="43"/>
  <c r="AA174" i="43"/>
  <c r="AN186" i="43"/>
  <c r="AN195" i="43" s="1"/>
  <c r="AM195" i="43"/>
  <c r="AA195" i="43"/>
  <c r="Y141" i="43"/>
  <c r="W141" i="43"/>
  <c r="AE204" i="46"/>
  <c r="N169" i="46"/>
  <c r="Y167" i="46"/>
  <c r="P169" i="46"/>
  <c r="Y178" i="46"/>
  <c r="AE126" i="44"/>
  <c r="AE127" i="44" s="1"/>
  <c r="AD127" i="44"/>
  <c r="AN180" i="43"/>
  <c r="AM185" i="43"/>
  <c r="X204" i="43"/>
  <c r="Y157" i="46"/>
  <c r="AC217" i="46"/>
  <c r="AD217" i="46" s="1"/>
  <c r="AK50" i="47"/>
  <c r="AK52" i="47" s="1"/>
  <c r="AJ52" i="47"/>
  <c r="P44" i="47"/>
  <c r="AN204" i="45"/>
  <c r="AM208" i="45"/>
  <c r="AN194" i="45"/>
  <c r="AN195" i="45" s="1"/>
  <c r="AM195" i="45"/>
  <c r="AD172" i="44"/>
  <c r="AE170" i="44"/>
  <c r="AE172" i="44" s="1"/>
  <c r="AE111" i="44"/>
  <c r="AE112" i="44" s="1"/>
  <c r="AD112" i="44"/>
  <c r="AG133" i="44"/>
  <c r="AG140" i="44" s="1"/>
  <c r="AF140" i="44"/>
  <c r="U140" i="44"/>
  <c r="P189" i="44"/>
  <c r="AM135" i="43"/>
  <c r="AN134" i="43"/>
  <c r="AN135" i="43" s="1"/>
  <c r="S123" i="43"/>
  <c r="AH54" i="47"/>
  <c r="AI53" i="47"/>
  <c r="AI54" i="47" s="1"/>
  <c r="AL201" i="45"/>
  <c r="AK202" i="45"/>
  <c r="AA187" i="45"/>
  <c r="AB187" i="45"/>
  <c r="AB129" i="45"/>
  <c r="AB144" i="45" s="1"/>
  <c r="AA129" i="45"/>
  <c r="AA144" i="45" s="1"/>
  <c r="W160" i="45"/>
  <c r="AL146" i="45"/>
  <c r="AK160" i="45"/>
  <c r="U176" i="44"/>
  <c r="AG178" i="44"/>
  <c r="AF179" i="44"/>
  <c r="AD179" i="44"/>
  <c r="AE178" i="44"/>
  <c r="S214" i="43"/>
  <c r="W174" i="43"/>
  <c r="AE195" i="43"/>
  <c r="W195" i="43"/>
  <c r="S141" i="43"/>
  <c r="AC204" i="46"/>
  <c r="AE144" i="46"/>
  <c r="AF144" i="46" s="1"/>
  <c r="R150" i="46"/>
  <c r="R167" i="46"/>
  <c r="AC163" i="46"/>
  <c r="AD163" i="46" s="1"/>
  <c r="AC164" i="46"/>
  <c r="AD164" i="46" s="1"/>
  <c r="AC152" i="46"/>
  <c r="V178" i="46"/>
  <c r="Q150" i="46"/>
  <c r="AE174" i="44"/>
  <c r="AD176" i="44"/>
  <c r="P121" i="44"/>
  <c r="P129" i="44" s="1"/>
  <c r="N207" i="46"/>
  <c r="AE180" i="46"/>
  <c r="AA150" i="46"/>
  <c r="AN196" i="43"/>
  <c r="AN197" i="43" s="1"/>
  <c r="AM197" i="43"/>
  <c r="Q218" i="46"/>
  <c r="Q220" i="46" s="1"/>
  <c r="AA157" i="46"/>
  <c r="X52" i="47"/>
  <c r="T52" i="47"/>
  <c r="V44" i="47"/>
  <c r="AK137" i="45"/>
  <c r="AL134" i="45"/>
  <c r="AL137" i="45" s="1"/>
  <c r="Y208" i="45"/>
  <c r="AB208" i="45"/>
  <c r="AF172" i="44"/>
  <c r="AG170" i="44"/>
  <c r="AG172" i="44" s="1"/>
  <c r="N129" i="44"/>
  <c r="P140" i="44"/>
  <c r="T140" i="44"/>
  <c r="AG185" i="44"/>
  <c r="AF189" i="44"/>
  <c r="U189" i="44"/>
  <c r="AN121" i="43"/>
  <c r="AN123" i="43" s="1"/>
  <c r="AM123" i="43"/>
  <c r="AM202" i="45"/>
  <c r="AN201" i="45"/>
  <c r="Y187" i="45"/>
  <c r="AM187" i="45"/>
  <c r="AN179" i="45"/>
  <c r="AN187" i="45" s="1"/>
  <c r="N144" i="45"/>
  <c r="AN121" i="45"/>
  <c r="AM129" i="45"/>
  <c r="Y129" i="45"/>
  <c r="S160" i="45"/>
  <c r="AN211" i="43"/>
  <c r="AM214" i="43"/>
  <c r="AE214" i="43"/>
  <c r="S174" i="43"/>
  <c r="S195" i="43"/>
  <c r="AL195" i="43"/>
  <c r="AN136" i="43"/>
  <c r="AM141" i="43"/>
  <c r="AA141" i="43"/>
  <c r="AE152" i="46"/>
  <c r="R178" i="46"/>
  <c r="AA178" i="46"/>
  <c r="I177" i="49"/>
  <c r="I171" i="56"/>
  <c r="I667" i="50"/>
  <c r="I666" i="50" s="1"/>
  <c r="I665" i="50" s="1"/>
  <c r="H289" i="20"/>
  <c r="H290" i="20"/>
  <c r="H291" i="20"/>
  <c r="H292" i="20"/>
  <c r="H293" i="20"/>
  <c r="H294" i="20"/>
  <c r="H300" i="20"/>
  <c r="H299" i="20"/>
  <c r="H298" i="20"/>
  <c r="H297" i="20"/>
  <c r="H296" i="20"/>
  <c r="J420" i="20"/>
  <c r="I420" i="20"/>
  <c r="H420" i="20"/>
  <c r="B420" i="20"/>
  <c r="J419" i="20"/>
  <c r="I419" i="20"/>
  <c r="H419" i="20"/>
  <c r="B419" i="20"/>
  <c r="E588" i="7"/>
  <c r="E587" i="7"/>
  <c r="J424" i="20"/>
  <c r="I424" i="20"/>
  <c r="H424" i="20"/>
  <c r="B424" i="20"/>
  <c r="J423" i="20"/>
  <c r="I423" i="20"/>
  <c r="B423" i="20"/>
  <c r="J422" i="20"/>
  <c r="I422" i="20"/>
  <c r="B422" i="20"/>
  <c r="J421" i="20"/>
  <c r="I421" i="20"/>
  <c r="B421" i="20"/>
  <c r="J418" i="20"/>
  <c r="I418" i="20"/>
  <c r="H418" i="20"/>
  <c r="B418" i="20"/>
  <c r="J417" i="20"/>
  <c r="I417" i="20"/>
  <c r="H417" i="20"/>
  <c r="B417" i="20"/>
  <c r="J416" i="20"/>
  <c r="I416" i="20"/>
  <c r="H416" i="20"/>
  <c r="B416" i="20"/>
  <c r="J415" i="20"/>
  <c r="I415" i="20"/>
  <c r="H415" i="20"/>
  <c r="B415" i="20"/>
  <c r="J414" i="20"/>
  <c r="I414" i="20"/>
  <c r="H414" i="20"/>
  <c r="B414" i="20"/>
  <c r="J413" i="20"/>
  <c r="I413" i="20"/>
  <c r="H413" i="20"/>
  <c r="B413" i="20"/>
  <c r="J412" i="20"/>
  <c r="I412" i="20"/>
  <c r="H412" i="20"/>
  <c r="B412" i="20"/>
  <c r="J411" i="20"/>
  <c r="I411" i="20"/>
  <c r="H411" i="20"/>
  <c r="B411" i="20"/>
  <c r="J410" i="20"/>
  <c r="I410" i="20"/>
  <c r="H410" i="20"/>
  <c r="B410" i="20"/>
  <c r="J409" i="20"/>
  <c r="I409" i="20"/>
  <c r="H409" i="20"/>
  <c r="B409" i="20"/>
  <c r="J408" i="20"/>
  <c r="I408" i="20"/>
  <c r="H408" i="20"/>
  <c r="B408" i="20"/>
  <c r="J407" i="20"/>
  <c r="I407" i="20"/>
  <c r="H407" i="20"/>
  <c r="B407" i="20"/>
  <c r="J406" i="20"/>
  <c r="I406" i="20"/>
  <c r="H406" i="20"/>
  <c r="B406" i="20"/>
  <c r="J405" i="20"/>
  <c r="I405" i="20"/>
  <c r="H405" i="20"/>
  <c r="B405" i="20"/>
  <c r="J404" i="20"/>
  <c r="I404" i="20"/>
  <c r="H404" i="20"/>
  <c r="B404" i="20"/>
  <c r="J403" i="20"/>
  <c r="I403" i="20"/>
  <c r="H403" i="20"/>
  <c r="B403" i="20"/>
  <c r="J402" i="20"/>
  <c r="I402" i="20"/>
  <c r="H402" i="20"/>
  <c r="B402" i="20"/>
  <c r="J401" i="20"/>
  <c r="I401" i="20"/>
  <c r="H401" i="20"/>
  <c r="B401" i="20"/>
  <c r="J400" i="20"/>
  <c r="I400" i="20"/>
  <c r="H400" i="20"/>
  <c r="B400" i="20"/>
  <c r="J399" i="20"/>
  <c r="I399" i="20"/>
  <c r="H399" i="20"/>
  <c r="B399" i="20"/>
  <c r="J398" i="20"/>
  <c r="I398" i="20"/>
  <c r="H398" i="20"/>
  <c r="B398" i="20"/>
  <c r="J397" i="20"/>
  <c r="I397" i="20"/>
  <c r="H397" i="20"/>
  <c r="B397" i="20"/>
  <c r="J396" i="20"/>
  <c r="I396" i="20"/>
  <c r="B396" i="20"/>
  <c r="J395" i="20"/>
  <c r="I395" i="20"/>
  <c r="H395" i="20"/>
  <c r="B395" i="20"/>
  <c r="J394" i="20"/>
  <c r="I394" i="20"/>
  <c r="H394" i="20"/>
  <c r="B394" i="20"/>
  <c r="J393" i="20"/>
  <c r="I393" i="20"/>
  <c r="H393" i="20"/>
  <c r="B393" i="20"/>
  <c r="J392" i="20"/>
  <c r="I392" i="20"/>
  <c r="H392" i="20"/>
  <c r="B392" i="20"/>
  <c r="J391" i="20"/>
  <c r="I391" i="20"/>
  <c r="H391" i="20"/>
  <c r="B391" i="20"/>
  <c r="J390" i="20"/>
  <c r="I390" i="20"/>
  <c r="H390" i="20"/>
  <c r="B390" i="20"/>
  <c r="J389" i="20"/>
  <c r="I389" i="20"/>
  <c r="H389" i="20"/>
  <c r="B389" i="20"/>
  <c r="J388" i="20"/>
  <c r="I388" i="20"/>
  <c r="H388" i="20"/>
  <c r="B388" i="20"/>
  <c r="J387" i="20"/>
  <c r="I387" i="20"/>
  <c r="H387" i="20"/>
  <c r="B387" i="20"/>
  <c r="J386" i="20"/>
  <c r="I386" i="20"/>
  <c r="H386" i="20"/>
  <c r="B386" i="20"/>
  <c r="J385" i="20"/>
  <c r="I385" i="20"/>
  <c r="H385" i="20"/>
  <c r="B385" i="20"/>
  <c r="J384" i="20"/>
  <c r="I384" i="20"/>
  <c r="H384" i="20"/>
  <c r="B384" i="20"/>
  <c r="J383" i="20"/>
  <c r="I383" i="20"/>
  <c r="H383" i="20"/>
  <c r="B383" i="20"/>
  <c r="J382" i="20"/>
  <c r="I382" i="20"/>
  <c r="H382" i="20"/>
  <c r="B382" i="20"/>
  <c r="J381" i="20"/>
  <c r="I381" i="20"/>
  <c r="H381" i="20"/>
  <c r="B381" i="20"/>
  <c r="J380" i="20"/>
  <c r="I380" i="20"/>
  <c r="H380" i="20"/>
  <c r="B380" i="20"/>
  <c r="J379" i="20"/>
  <c r="I379" i="20"/>
  <c r="H379" i="20"/>
  <c r="B379" i="20"/>
  <c r="J378" i="20"/>
  <c r="I378" i="20"/>
  <c r="H378" i="20"/>
  <c r="B378" i="20"/>
  <c r="J377" i="20"/>
  <c r="I377" i="20"/>
  <c r="B377" i="20"/>
  <c r="J376" i="20"/>
  <c r="I376" i="20"/>
  <c r="B376" i="20"/>
  <c r="J375" i="20"/>
  <c r="I375" i="20"/>
  <c r="B375" i="20"/>
  <c r="J374" i="20"/>
  <c r="I374" i="20"/>
  <c r="B374" i="20"/>
  <c r="J373" i="20"/>
  <c r="I373" i="20"/>
  <c r="B373" i="20"/>
  <c r="J372" i="20"/>
  <c r="I372" i="20"/>
  <c r="B372" i="20"/>
  <c r="J371" i="20"/>
  <c r="I371" i="20"/>
  <c r="B371" i="20"/>
  <c r="J370" i="20"/>
  <c r="I370" i="20"/>
  <c r="B370" i="20"/>
  <c r="J369" i="20"/>
  <c r="I369" i="20"/>
  <c r="B369" i="20"/>
  <c r="J368" i="20"/>
  <c r="I368" i="20"/>
  <c r="B368" i="20"/>
  <c r="J367" i="20"/>
  <c r="I367" i="20"/>
  <c r="B367" i="20"/>
  <c r="J366" i="20"/>
  <c r="I366" i="20"/>
  <c r="B366" i="20"/>
  <c r="J365" i="20"/>
  <c r="I365" i="20"/>
  <c r="B365" i="20"/>
  <c r="J364" i="20"/>
  <c r="I364" i="20"/>
  <c r="B364" i="20"/>
  <c r="J363" i="20"/>
  <c r="I363" i="20"/>
  <c r="B363" i="20"/>
  <c r="J362" i="20"/>
  <c r="I362" i="20"/>
  <c r="B362" i="20"/>
  <c r="J361" i="20"/>
  <c r="I361" i="20"/>
  <c r="B361" i="20"/>
  <c r="J360" i="20"/>
  <c r="I360" i="20"/>
  <c r="B360" i="20"/>
  <c r="J359" i="20"/>
  <c r="I359" i="20"/>
  <c r="B359" i="20"/>
  <c r="J358" i="20"/>
  <c r="I358" i="20"/>
  <c r="B358" i="20"/>
  <c r="J357" i="20"/>
  <c r="I357" i="20"/>
  <c r="B357" i="20"/>
  <c r="J356" i="20"/>
  <c r="I356" i="20"/>
  <c r="B356" i="20"/>
  <c r="J355" i="20"/>
  <c r="I355" i="20"/>
  <c r="B355" i="20"/>
  <c r="J354" i="20"/>
  <c r="I354" i="20"/>
  <c r="B354" i="20"/>
  <c r="J353" i="20"/>
  <c r="I353" i="20"/>
  <c r="B353" i="20"/>
  <c r="J352" i="20"/>
  <c r="I352" i="20"/>
  <c r="B352" i="20"/>
  <c r="J351" i="20"/>
  <c r="I351" i="20"/>
  <c r="B351" i="20"/>
  <c r="J350" i="20"/>
  <c r="I350" i="20"/>
  <c r="B350" i="20"/>
  <c r="J349" i="20"/>
  <c r="I349" i="20"/>
  <c r="B349" i="20"/>
  <c r="J348" i="20"/>
  <c r="I348" i="20"/>
  <c r="B348" i="20"/>
  <c r="J347" i="20"/>
  <c r="I347" i="20"/>
  <c r="B347" i="20"/>
  <c r="J346" i="20"/>
  <c r="I346" i="20"/>
  <c r="B346" i="20"/>
  <c r="J345" i="20"/>
  <c r="I345" i="20"/>
  <c r="B345" i="20"/>
  <c r="J344" i="20"/>
  <c r="I344" i="20"/>
  <c r="B344" i="20"/>
  <c r="J343" i="20"/>
  <c r="I343" i="20"/>
  <c r="B343" i="20"/>
  <c r="J342" i="20"/>
  <c r="I342" i="20"/>
  <c r="B342" i="20"/>
  <c r="J341" i="20"/>
  <c r="I341" i="20"/>
  <c r="B341" i="20"/>
  <c r="J340" i="20"/>
  <c r="I340" i="20"/>
  <c r="B340" i="20"/>
  <c r="J339" i="20"/>
  <c r="I339" i="20"/>
  <c r="B339" i="20"/>
  <c r="J338" i="20"/>
  <c r="I338" i="20"/>
  <c r="B338" i="20"/>
  <c r="J337" i="20"/>
  <c r="I337" i="20"/>
  <c r="B337" i="20"/>
  <c r="J336" i="20"/>
  <c r="I336" i="20"/>
  <c r="B336" i="20"/>
  <c r="J335" i="20"/>
  <c r="I335" i="20"/>
  <c r="B335" i="20"/>
  <c r="J334" i="20"/>
  <c r="I334" i="20"/>
  <c r="B334" i="20"/>
  <c r="J333" i="20"/>
  <c r="I333" i="20"/>
  <c r="B333" i="20"/>
  <c r="J332" i="20"/>
  <c r="I332" i="20"/>
  <c r="B332" i="20"/>
  <c r="J331" i="20"/>
  <c r="I331" i="20"/>
  <c r="B331" i="20"/>
  <c r="J330" i="20"/>
  <c r="I330" i="20"/>
  <c r="B330" i="20"/>
  <c r="J329" i="20"/>
  <c r="I329" i="20"/>
  <c r="B329" i="20"/>
  <c r="J328" i="20"/>
  <c r="I328" i="20"/>
  <c r="H328" i="20"/>
  <c r="B328" i="20"/>
  <c r="J327" i="20"/>
  <c r="I327" i="20"/>
  <c r="B327" i="20"/>
  <c r="J326" i="20"/>
  <c r="I326" i="20"/>
  <c r="B326" i="20"/>
  <c r="J325" i="20"/>
  <c r="I325" i="20"/>
  <c r="B325" i="20"/>
  <c r="J324" i="20"/>
  <c r="I324" i="20"/>
  <c r="B324" i="20"/>
  <c r="J323" i="20"/>
  <c r="I323" i="20"/>
  <c r="B323" i="20"/>
  <c r="J322" i="20"/>
  <c r="I322" i="20"/>
  <c r="B322" i="20"/>
  <c r="J321" i="20"/>
  <c r="I321" i="20"/>
  <c r="H321" i="20"/>
  <c r="B321" i="20"/>
  <c r="J320" i="20"/>
  <c r="I320" i="20"/>
  <c r="H320" i="20"/>
  <c r="B320" i="20"/>
  <c r="J319" i="20"/>
  <c r="I319" i="20"/>
  <c r="H319" i="20"/>
  <c r="B319" i="20"/>
  <c r="J318" i="20"/>
  <c r="I318" i="20"/>
  <c r="B318" i="20"/>
  <c r="J317" i="20"/>
  <c r="I317" i="20"/>
  <c r="H317" i="20"/>
  <c r="B317" i="20"/>
  <c r="J316" i="20"/>
  <c r="I316" i="20"/>
  <c r="H316" i="20"/>
  <c r="B316" i="20"/>
  <c r="J315" i="20"/>
  <c r="I315" i="20"/>
  <c r="H315" i="20"/>
  <c r="B315" i="20"/>
  <c r="J314" i="20"/>
  <c r="I314" i="20"/>
  <c r="H314" i="20"/>
  <c r="B314" i="20"/>
  <c r="J313" i="20"/>
  <c r="I313" i="20"/>
  <c r="B313" i="20"/>
  <c r="J312" i="20"/>
  <c r="I312" i="20"/>
  <c r="B312" i="20"/>
  <c r="J311" i="20"/>
  <c r="I311" i="20"/>
  <c r="H311" i="20"/>
  <c r="B311" i="20"/>
  <c r="J310" i="20"/>
  <c r="I310" i="20"/>
  <c r="H310" i="20"/>
  <c r="B310" i="20"/>
  <c r="J309" i="20"/>
  <c r="I309" i="20"/>
  <c r="H309" i="20"/>
  <c r="B309" i="20"/>
  <c r="J308" i="20"/>
  <c r="I308" i="20"/>
  <c r="H308" i="20"/>
  <c r="B308" i="20"/>
  <c r="J307" i="20"/>
  <c r="I307" i="20"/>
  <c r="H307" i="20"/>
  <c r="B307" i="20"/>
  <c r="J306" i="20"/>
  <c r="I306" i="20"/>
  <c r="H306" i="20"/>
  <c r="B306" i="20"/>
  <c r="J305" i="20"/>
  <c r="I305" i="20"/>
  <c r="H305" i="20"/>
  <c r="B305" i="20"/>
  <c r="J304" i="20"/>
  <c r="I304" i="20"/>
  <c r="H304" i="20"/>
  <c r="B304" i="20"/>
  <c r="J303" i="20"/>
  <c r="I303" i="20"/>
  <c r="H303" i="20"/>
  <c r="B303" i="20"/>
  <c r="J302" i="20"/>
  <c r="I302" i="20"/>
  <c r="H302" i="20"/>
  <c r="B302" i="20"/>
  <c r="J301" i="20"/>
  <c r="I301" i="20"/>
  <c r="H301" i="20"/>
  <c r="B301" i="20"/>
  <c r="J300" i="20"/>
  <c r="I300" i="20"/>
  <c r="B300" i="20"/>
  <c r="J299" i="20"/>
  <c r="I299" i="20"/>
  <c r="B299" i="20"/>
  <c r="J298" i="20"/>
  <c r="I298" i="20"/>
  <c r="B298" i="20"/>
  <c r="J297" i="20"/>
  <c r="I297" i="20"/>
  <c r="B297" i="20"/>
  <c r="J296" i="20"/>
  <c r="I296" i="20"/>
  <c r="B296" i="20"/>
  <c r="J295" i="20"/>
  <c r="I295" i="20"/>
  <c r="B295" i="20"/>
  <c r="J294" i="20"/>
  <c r="I294" i="20"/>
  <c r="B294" i="20"/>
  <c r="J293" i="20"/>
  <c r="I293" i="20"/>
  <c r="B293" i="20"/>
  <c r="J292" i="20"/>
  <c r="I292" i="20"/>
  <c r="B292" i="20"/>
  <c r="J291" i="20"/>
  <c r="I291" i="20"/>
  <c r="B291" i="20"/>
  <c r="J290" i="20"/>
  <c r="I290" i="20"/>
  <c r="B290" i="20"/>
  <c r="J289" i="20"/>
  <c r="I289" i="20"/>
  <c r="B289" i="20"/>
  <c r="J288" i="20"/>
  <c r="I288" i="20"/>
  <c r="B288" i="20"/>
  <c r="J287" i="20"/>
  <c r="I287" i="20"/>
  <c r="B287" i="20"/>
  <c r="J286" i="20"/>
  <c r="I286" i="20"/>
  <c r="B286" i="20"/>
  <c r="J285" i="20"/>
  <c r="I285" i="20"/>
  <c r="B285" i="20"/>
  <c r="J284" i="20"/>
  <c r="I284" i="20"/>
  <c r="B284" i="20"/>
  <c r="J283" i="20"/>
  <c r="I283" i="20"/>
  <c r="B283" i="20"/>
  <c r="J282" i="20"/>
  <c r="I282" i="20"/>
  <c r="B282" i="20"/>
  <c r="J281" i="20"/>
  <c r="I281" i="20"/>
  <c r="B281" i="20"/>
  <c r="J280" i="20"/>
  <c r="I280" i="20"/>
  <c r="B280" i="20"/>
  <c r="J279" i="20"/>
  <c r="I279" i="20"/>
  <c r="B279" i="20"/>
  <c r="J278" i="20"/>
  <c r="I278" i="20"/>
  <c r="B278" i="20"/>
  <c r="J277" i="20"/>
  <c r="I277" i="20"/>
  <c r="B277" i="20"/>
  <c r="J276" i="20"/>
  <c r="I276" i="20"/>
  <c r="B276" i="20"/>
  <c r="J275" i="20"/>
  <c r="I275" i="20"/>
  <c r="H275" i="20"/>
  <c r="B275" i="20"/>
  <c r="J274" i="20"/>
  <c r="I274" i="20"/>
  <c r="H274" i="20"/>
  <c r="B274" i="20"/>
  <c r="J273" i="20"/>
  <c r="I273" i="20"/>
  <c r="H273" i="20"/>
  <c r="B273" i="20"/>
  <c r="J272" i="20"/>
  <c r="I272" i="20"/>
  <c r="B272" i="20"/>
  <c r="J271" i="20"/>
  <c r="I271" i="20"/>
  <c r="B271" i="20"/>
  <c r="J270" i="20"/>
  <c r="I270" i="20"/>
  <c r="B270" i="20"/>
  <c r="J269" i="20"/>
  <c r="I269" i="20"/>
  <c r="B269" i="20"/>
  <c r="J268" i="20"/>
  <c r="I268" i="20"/>
  <c r="B268" i="20"/>
  <c r="J267" i="20"/>
  <c r="I267" i="20"/>
  <c r="B267" i="20"/>
  <c r="J266" i="20"/>
  <c r="I266" i="20"/>
  <c r="B266" i="20"/>
  <c r="J265" i="20"/>
  <c r="I265" i="20"/>
  <c r="B265" i="20"/>
  <c r="J264" i="20"/>
  <c r="I264" i="20"/>
  <c r="B264" i="20"/>
  <c r="J263" i="20"/>
  <c r="I263" i="20"/>
  <c r="B263" i="20"/>
  <c r="J262" i="20"/>
  <c r="I262" i="20"/>
  <c r="B262" i="20"/>
  <c r="J261" i="20"/>
  <c r="I261" i="20"/>
  <c r="B261" i="20"/>
  <c r="J260" i="20"/>
  <c r="I260" i="20"/>
  <c r="B260" i="20"/>
  <c r="J259" i="20"/>
  <c r="I259" i="20"/>
  <c r="B259" i="20"/>
  <c r="J258" i="20"/>
  <c r="I258" i="20"/>
  <c r="B258" i="20"/>
  <c r="J257" i="20"/>
  <c r="I257" i="20"/>
  <c r="B257" i="20"/>
  <c r="J256" i="20"/>
  <c r="I256" i="20"/>
  <c r="B256" i="20"/>
  <c r="J255" i="20"/>
  <c r="I255" i="20"/>
  <c r="B255" i="20"/>
  <c r="J254" i="20"/>
  <c r="I254" i="20"/>
  <c r="B254" i="20"/>
  <c r="J253" i="20"/>
  <c r="I253" i="20"/>
  <c r="B253" i="20"/>
  <c r="J252" i="20"/>
  <c r="I252" i="20"/>
  <c r="B252" i="20"/>
  <c r="J251" i="20"/>
  <c r="I251" i="20"/>
  <c r="B251" i="20"/>
  <c r="J250" i="20"/>
  <c r="I250" i="20"/>
  <c r="B250" i="20"/>
  <c r="J249" i="20"/>
  <c r="I249" i="20"/>
  <c r="B249" i="20"/>
  <c r="J248" i="20"/>
  <c r="I248" i="20"/>
  <c r="B248" i="20"/>
  <c r="J247" i="20"/>
  <c r="I247" i="20"/>
  <c r="B247" i="20"/>
  <c r="J246" i="20"/>
  <c r="I246" i="20"/>
  <c r="B246" i="20"/>
  <c r="J245" i="20"/>
  <c r="I245" i="20"/>
  <c r="B245" i="20"/>
  <c r="J244" i="20"/>
  <c r="I244" i="20"/>
  <c r="B244" i="20"/>
  <c r="J243" i="20"/>
  <c r="I243" i="20"/>
  <c r="B243" i="20"/>
  <c r="J242" i="20"/>
  <c r="I242" i="20"/>
  <c r="B242" i="20"/>
  <c r="J241" i="20"/>
  <c r="I241" i="20"/>
  <c r="B241" i="20"/>
  <c r="J240" i="20"/>
  <c r="I240" i="20"/>
  <c r="B240" i="20"/>
  <c r="J239" i="20"/>
  <c r="I239" i="20"/>
  <c r="B239" i="20"/>
  <c r="J238" i="20"/>
  <c r="I238" i="20"/>
  <c r="B238" i="20"/>
  <c r="J237" i="20"/>
  <c r="I237" i="20"/>
  <c r="B237" i="20"/>
  <c r="J236" i="20"/>
  <c r="I236" i="20"/>
  <c r="B236" i="20"/>
  <c r="J235" i="20"/>
  <c r="I235" i="20"/>
  <c r="B235" i="20"/>
  <c r="J234" i="20"/>
  <c r="I234" i="20"/>
  <c r="B234" i="20"/>
  <c r="J233" i="20"/>
  <c r="I233" i="20"/>
  <c r="B233" i="20"/>
  <c r="J232" i="20"/>
  <c r="I232" i="20"/>
  <c r="B232" i="20"/>
  <c r="J231" i="20"/>
  <c r="I231" i="20"/>
  <c r="B231" i="20"/>
  <c r="J230" i="20"/>
  <c r="I230" i="20"/>
  <c r="B230" i="20"/>
  <c r="J229" i="20"/>
  <c r="I229" i="20"/>
  <c r="B229" i="20"/>
  <c r="J228" i="20"/>
  <c r="I228" i="20"/>
  <c r="B228" i="20"/>
  <c r="J227" i="20"/>
  <c r="I227" i="20"/>
  <c r="B227" i="20"/>
  <c r="J226" i="20"/>
  <c r="I226" i="20"/>
  <c r="B226" i="20"/>
  <c r="J225" i="20"/>
  <c r="I225" i="20"/>
  <c r="B225" i="20"/>
  <c r="J224" i="20"/>
  <c r="I224" i="20"/>
  <c r="B224" i="20"/>
  <c r="J223" i="20"/>
  <c r="I223" i="20"/>
  <c r="B223" i="20"/>
  <c r="J222" i="20"/>
  <c r="I222" i="20"/>
  <c r="B222" i="20"/>
  <c r="J221" i="20"/>
  <c r="I221" i="20"/>
  <c r="B221" i="20"/>
  <c r="J220" i="20"/>
  <c r="I220" i="20"/>
  <c r="B220" i="20"/>
  <c r="J219" i="20"/>
  <c r="I219" i="20"/>
  <c r="B219" i="20"/>
  <c r="J218" i="20"/>
  <c r="I218" i="20"/>
  <c r="B218" i="20"/>
  <c r="J217" i="20"/>
  <c r="I217" i="20"/>
  <c r="B217" i="20"/>
  <c r="J216" i="20"/>
  <c r="I216" i="20"/>
  <c r="B216" i="20"/>
  <c r="J215" i="20"/>
  <c r="I215" i="20"/>
  <c r="B215" i="20"/>
  <c r="J214" i="20"/>
  <c r="I214" i="20"/>
  <c r="B214" i="20"/>
  <c r="J213" i="20"/>
  <c r="I213" i="20"/>
  <c r="B213" i="20"/>
  <c r="J212" i="20"/>
  <c r="I212" i="20"/>
  <c r="B212" i="20"/>
  <c r="J211" i="20"/>
  <c r="I211" i="20"/>
  <c r="B211" i="20"/>
  <c r="J210" i="20"/>
  <c r="I210" i="20"/>
  <c r="B210" i="20"/>
  <c r="J209" i="20"/>
  <c r="I209" i="20"/>
  <c r="B209" i="20"/>
  <c r="J208" i="20"/>
  <c r="I208" i="20"/>
  <c r="B208" i="20"/>
  <c r="J207" i="20"/>
  <c r="I207" i="20"/>
  <c r="B207" i="20"/>
  <c r="J206" i="20"/>
  <c r="I206" i="20"/>
  <c r="B206" i="20"/>
  <c r="J205" i="20"/>
  <c r="I205" i="20"/>
  <c r="B205" i="20"/>
  <c r="J204" i="20"/>
  <c r="I204" i="20"/>
  <c r="B204" i="20"/>
  <c r="J203" i="20"/>
  <c r="I203" i="20"/>
  <c r="B203" i="20"/>
  <c r="J202" i="20"/>
  <c r="I202" i="20"/>
  <c r="B202" i="20"/>
  <c r="J201" i="20"/>
  <c r="I201" i="20"/>
  <c r="B201" i="20"/>
  <c r="J200" i="20"/>
  <c r="I200" i="20"/>
  <c r="B200" i="20"/>
  <c r="J199" i="20"/>
  <c r="I199" i="20"/>
  <c r="B199" i="20"/>
  <c r="J198" i="20"/>
  <c r="I198" i="20"/>
  <c r="B198" i="20"/>
  <c r="J197" i="20"/>
  <c r="I197" i="20"/>
  <c r="B197" i="20"/>
  <c r="J196" i="20"/>
  <c r="I196" i="20"/>
  <c r="B196" i="20"/>
  <c r="J195" i="20"/>
  <c r="I195" i="20"/>
  <c r="B195" i="20"/>
  <c r="J194" i="20"/>
  <c r="I194" i="20"/>
  <c r="B194" i="20"/>
  <c r="J193" i="20"/>
  <c r="I193" i="20"/>
  <c r="B193" i="20"/>
  <c r="J192" i="20"/>
  <c r="I192" i="20"/>
  <c r="B192" i="20"/>
  <c r="J191" i="20"/>
  <c r="I191" i="20"/>
  <c r="B191" i="20"/>
  <c r="J190" i="20"/>
  <c r="I190" i="20"/>
  <c r="B190" i="20"/>
  <c r="J189" i="20"/>
  <c r="I189" i="20"/>
  <c r="B189" i="20"/>
  <c r="J188" i="20"/>
  <c r="I188" i="20"/>
  <c r="B188" i="20"/>
  <c r="J187" i="20"/>
  <c r="I187" i="20"/>
  <c r="B187" i="20"/>
  <c r="J186" i="20"/>
  <c r="I186" i="20"/>
  <c r="B186" i="20"/>
  <c r="J185" i="20"/>
  <c r="I185" i="20"/>
  <c r="B185" i="20"/>
  <c r="J184" i="20"/>
  <c r="I184" i="20"/>
  <c r="B184" i="20"/>
  <c r="J183" i="20"/>
  <c r="I183" i="20"/>
  <c r="B183" i="20"/>
  <c r="J182" i="20"/>
  <c r="I182" i="20"/>
  <c r="B182" i="20"/>
  <c r="J181" i="20"/>
  <c r="I181" i="20"/>
  <c r="B181" i="20"/>
  <c r="J180" i="20"/>
  <c r="I180" i="20"/>
  <c r="B180" i="20"/>
  <c r="J179" i="20"/>
  <c r="I179" i="20"/>
  <c r="B179" i="20"/>
  <c r="J178" i="20"/>
  <c r="I178" i="20"/>
  <c r="B178" i="20"/>
  <c r="J177" i="20"/>
  <c r="I177" i="20"/>
  <c r="B177" i="20"/>
  <c r="J176" i="20"/>
  <c r="I176" i="20"/>
  <c r="B176" i="20"/>
  <c r="J175" i="20"/>
  <c r="I175" i="20"/>
  <c r="B175" i="20"/>
  <c r="J174" i="20"/>
  <c r="I174" i="20"/>
  <c r="B174" i="20"/>
  <c r="J173" i="20"/>
  <c r="I173" i="20"/>
  <c r="B173" i="20"/>
  <c r="J172" i="20"/>
  <c r="I172" i="20"/>
  <c r="B172" i="20"/>
  <c r="J171" i="20"/>
  <c r="I171" i="20"/>
  <c r="B171" i="20"/>
  <c r="J170" i="20"/>
  <c r="I170" i="20"/>
  <c r="B170" i="20"/>
  <c r="J169" i="20"/>
  <c r="I169" i="20"/>
  <c r="B169" i="20"/>
  <c r="J168" i="20"/>
  <c r="I168" i="20"/>
  <c r="B168" i="20"/>
  <c r="J167" i="20"/>
  <c r="I167" i="20"/>
  <c r="B167" i="20"/>
  <c r="J166" i="20"/>
  <c r="I166" i="20"/>
  <c r="B166" i="20"/>
  <c r="J165" i="20"/>
  <c r="I165" i="20"/>
  <c r="B165" i="20"/>
  <c r="J164" i="20"/>
  <c r="I164" i="20"/>
  <c r="B164" i="20"/>
  <c r="J163" i="20"/>
  <c r="I163" i="20"/>
  <c r="B163" i="20"/>
  <c r="J162" i="20"/>
  <c r="I162" i="20"/>
  <c r="B162" i="20"/>
  <c r="J161" i="20"/>
  <c r="I161" i="20"/>
  <c r="B161" i="20"/>
  <c r="J160" i="20"/>
  <c r="I160" i="20"/>
  <c r="B160" i="20"/>
  <c r="J159" i="20"/>
  <c r="I159" i="20"/>
  <c r="B159" i="20"/>
  <c r="J158" i="20"/>
  <c r="I158" i="20"/>
  <c r="B158" i="20"/>
  <c r="J157" i="20"/>
  <c r="I157" i="20"/>
  <c r="B157" i="20"/>
  <c r="J156" i="20"/>
  <c r="I156" i="20"/>
  <c r="B156" i="20"/>
  <c r="J155" i="20"/>
  <c r="I155" i="20"/>
  <c r="B155" i="20"/>
  <c r="J154" i="20"/>
  <c r="I154" i="20"/>
  <c r="B154" i="20"/>
  <c r="J153" i="20"/>
  <c r="I153" i="20"/>
  <c r="B153" i="20"/>
  <c r="J152" i="20"/>
  <c r="I152" i="20"/>
  <c r="B152" i="20"/>
  <c r="J151" i="20"/>
  <c r="I151" i="20"/>
  <c r="B151" i="20"/>
  <c r="J150" i="20"/>
  <c r="I150" i="20"/>
  <c r="B150" i="20"/>
  <c r="J149" i="20"/>
  <c r="I149" i="20"/>
  <c r="B149" i="20"/>
  <c r="J148" i="20"/>
  <c r="I148" i="20"/>
  <c r="B148" i="20"/>
  <c r="J147" i="20"/>
  <c r="I147" i="20"/>
  <c r="B147" i="20"/>
  <c r="J146" i="20"/>
  <c r="I146" i="20"/>
  <c r="B146" i="20"/>
  <c r="J145" i="20"/>
  <c r="I145" i="20"/>
  <c r="B145" i="20"/>
  <c r="J144" i="20"/>
  <c r="I144" i="20"/>
  <c r="B144" i="20"/>
  <c r="J143" i="20"/>
  <c r="I143" i="20"/>
  <c r="B143" i="20"/>
  <c r="J142" i="20"/>
  <c r="I142" i="20"/>
  <c r="B142" i="20"/>
  <c r="J141" i="20"/>
  <c r="I141" i="20"/>
  <c r="B141" i="20"/>
  <c r="J140" i="20"/>
  <c r="I140" i="20"/>
  <c r="B140" i="20"/>
  <c r="J139" i="20"/>
  <c r="I139" i="20"/>
  <c r="B139" i="20"/>
  <c r="J138" i="20"/>
  <c r="I138" i="20"/>
  <c r="B138" i="20"/>
  <c r="J137" i="20"/>
  <c r="I137" i="20"/>
  <c r="B137" i="20"/>
  <c r="J136" i="20"/>
  <c r="I136" i="20"/>
  <c r="B136" i="20"/>
  <c r="J135" i="20"/>
  <c r="I135" i="20"/>
  <c r="B135" i="20"/>
  <c r="J134" i="20"/>
  <c r="I134" i="20"/>
  <c r="B134" i="20"/>
  <c r="J133" i="20"/>
  <c r="I133" i="20"/>
  <c r="B133" i="20"/>
  <c r="J132" i="20"/>
  <c r="I132" i="20"/>
  <c r="B132" i="20"/>
  <c r="J131" i="20"/>
  <c r="I131" i="20"/>
  <c r="B131" i="20"/>
  <c r="J130" i="20"/>
  <c r="I130" i="20"/>
  <c r="B130" i="20"/>
  <c r="J129" i="20"/>
  <c r="I129" i="20"/>
  <c r="B129" i="20"/>
  <c r="J128" i="20"/>
  <c r="I128" i="20"/>
  <c r="B128" i="20"/>
  <c r="J127" i="20"/>
  <c r="I127" i="20"/>
  <c r="B127" i="20"/>
  <c r="J126" i="20"/>
  <c r="I126" i="20"/>
  <c r="B126" i="20"/>
  <c r="J125" i="20"/>
  <c r="I125" i="20"/>
  <c r="B125" i="20"/>
  <c r="J124" i="20"/>
  <c r="I124" i="20"/>
  <c r="B124" i="20"/>
  <c r="J123" i="20"/>
  <c r="I123" i="20"/>
  <c r="B123" i="20"/>
  <c r="J122" i="20"/>
  <c r="I122" i="20"/>
  <c r="B122" i="20"/>
  <c r="J121" i="20"/>
  <c r="I121" i="20"/>
  <c r="B121" i="20"/>
  <c r="J120" i="20"/>
  <c r="I120" i="20"/>
  <c r="B120" i="20"/>
  <c r="J119" i="20"/>
  <c r="I119" i="20"/>
  <c r="B119" i="20"/>
  <c r="J118" i="20"/>
  <c r="I118" i="20"/>
  <c r="B118" i="20"/>
  <c r="J117" i="20"/>
  <c r="I117" i="20"/>
  <c r="B117" i="20"/>
  <c r="J116" i="20"/>
  <c r="I116" i="20"/>
  <c r="B116" i="20"/>
  <c r="J115" i="20"/>
  <c r="I115" i="20"/>
  <c r="B115" i="20"/>
  <c r="J114" i="20"/>
  <c r="I114" i="20"/>
  <c r="B114" i="20"/>
  <c r="J113" i="20"/>
  <c r="I113" i="20"/>
  <c r="B113" i="20"/>
  <c r="J112" i="20"/>
  <c r="I112" i="20"/>
  <c r="B112" i="20"/>
  <c r="J111" i="20"/>
  <c r="I111" i="20"/>
  <c r="B111" i="20"/>
  <c r="J110" i="20"/>
  <c r="I110" i="20"/>
  <c r="B110" i="20"/>
  <c r="J109" i="20"/>
  <c r="I109" i="20"/>
  <c r="B109" i="20"/>
  <c r="J108" i="20"/>
  <c r="I108" i="20"/>
  <c r="B108" i="20"/>
  <c r="J107" i="20"/>
  <c r="I107" i="20"/>
  <c r="B107" i="20"/>
  <c r="J106" i="20"/>
  <c r="I106" i="20"/>
  <c r="B106" i="20"/>
  <c r="J105" i="20"/>
  <c r="I105" i="20"/>
  <c r="B105" i="20"/>
  <c r="J104" i="20"/>
  <c r="I104" i="20"/>
  <c r="B104" i="20"/>
  <c r="J103" i="20"/>
  <c r="I103" i="20"/>
  <c r="B103" i="20"/>
  <c r="J102" i="20"/>
  <c r="I102" i="20"/>
  <c r="B102" i="20"/>
  <c r="J101" i="20"/>
  <c r="I101" i="20"/>
  <c r="B101" i="20"/>
  <c r="J100" i="20"/>
  <c r="I100" i="20"/>
  <c r="B100" i="20"/>
  <c r="J99" i="20"/>
  <c r="I99" i="20"/>
  <c r="B99" i="20"/>
  <c r="J98" i="20"/>
  <c r="I98" i="20"/>
  <c r="B98" i="20"/>
  <c r="J97" i="20"/>
  <c r="I97" i="20"/>
  <c r="B97" i="20"/>
  <c r="J96" i="20"/>
  <c r="I96" i="20"/>
  <c r="B96" i="20"/>
  <c r="J95" i="20"/>
  <c r="I95" i="20"/>
  <c r="B95" i="20"/>
  <c r="J94" i="20"/>
  <c r="I94" i="20"/>
  <c r="B94" i="20"/>
  <c r="J93" i="20"/>
  <c r="I93" i="20"/>
  <c r="B93" i="20"/>
  <c r="J92" i="20"/>
  <c r="I92" i="20"/>
  <c r="B92" i="20"/>
  <c r="J91" i="20"/>
  <c r="I91" i="20"/>
  <c r="B91" i="20"/>
  <c r="J90" i="20"/>
  <c r="I90" i="20"/>
  <c r="B90" i="20"/>
  <c r="J89" i="20"/>
  <c r="I89" i="20"/>
  <c r="B89" i="20"/>
  <c r="J88" i="20"/>
  <c r="I88" i="20"/>
  <c r="B88" i="20"/>
  <c r="J87" i="20"/>
  <c r="I87" i="20"/>
  <c r="B87" i="20"/>
  <c r="J86" i="20"/>
  <c r="I86" i="20"/>
  <c r="B86" i="20"/>
  <c r="J85" i="20"/>
  <c r="I85" i="20"/>
  <c r="B85" i="20"/>
  <c r="J84" i="20"/>
  <c r="I84" i="20"/>
  <c r="B84" i="20"/>
  <c r="J83" i="20"/>
  <c r="I83" i="20"/>
  <c r="B83" i="20"/>
  <c r="J82" i="20"/>
  <c r="I82" i="20"/>
  <c r="B82" i="20"/>
  <c r="J81" i="20"/>
  <c r="I81" i="20"/>
  <c r="B81" i="20"/>
  <c r="J80" i="20"/>
  <c r="I80" i="20"/>
  <c r="B80" i="20"/>
  <c r="J79" i="20"/>
  <c r="I79" i="20"/>
  <c r="B79" i="20"/>
  <c r="J78" i="20"/>
  <c r="I78" i="20"/>
  <c r="B78" i="20"/>
  <c r="J77" i="20"/>
  <c r="I77" i="20"/>
  <c r="B77" i="20"/>
  <c r="J76" i="20"/>
  <c r="I76" i="20"/>
  <c r="B76" i="20"/>
  <c r="J75" i="20"/>
  <c r="I75" i="20"/>
  <c r="B75" i="20"/>
  <c r="J74" i="20"/>
  <c r="I74" i="20"/>
  <c r="B74" i="20"/>
  <c r="J73" i="20"/>
  <c r="I73" i="20"/>
  <c r="B73" i="20"/>
  <c r="J72" i="20"/>
  <c r="I72" i="20"/>
  <c r="B72" i="20"/>
  <c r="J71" i="20"/>
  <c r="I71" i="20"/>
  <c r="B71" i="20"/>
  <c r="J70" i="20"/>
  <c r="I70" i="20"/>
  <c r="B70" i="20"/>
  <c r="J69" i="20"/>
  <c r="I69" i="20"/>
  <c r="B69" i="20"/>
  <c r="J68" i="20"/>
  <c r="I68" i="20"/>
  <c r="B68" i="20"/>
  <c r="J67" i="20"/>
  <c r="I67" i="20"/>
  <c r="B67" i="20"/>
  <c r="J66" i="20"/>
  <c r="I66" i="20"/>
  <c r="B66" i="20"/>
  <c r="J65" i="20"/>
  <c r="I65" i="20"/>
  <c r="B65" i="20"/>
  <c r="J64" i="20"/>
  <c r="I64" i="20"/>
  <c r="B64" i="20"/>
  <c r="J63" i="20"/>
  <c r="I63" i="20"/>
  <c r="B63" i="20"/>
  <c r="J62" i="20"/>
  <c r="I62" i="20"/>
  <c r="B62" i="20"/>
  <c r="J61" i="20"/>
  <c r="I61" i="20"/>
  <c r="B61" i="20"/>
  <c r="J60" i="20"/>
  <c r="I60" i="20"/>
  <c r="B60" i="20"/>
  <c r="J59" i="20"/>
  <c r="I59" i="20"/>
  <c r="B59" i="20"/>
  <c r="J58" i="20"/>
  <c r="I58" i="20"/>
  <c r="B58" i="20"/>
  <c r="J57" i="20"/>
  <c r="I57" i="20"/>
  <c r="B57" i="20"/>
  <c r="J56" i="20"/>
  <c r="I56" i="20"/>
  <c r="B56" i="20"/>
  <c r="J55" i="20"/>
  <c r="I55" i="20"/>
  <c r="B55" i="20"/>
  <c r="J54" i="20"/>
  <c r="I54" i="20"/>
  <c r="H54" i="20"/>
  <c r="B54" i="20"/>
  <c r="B33" i="20"/>
  <c r="H32" i="20"/>
  <c r="B32" i="20"/>
  <c r="H31" i="20"/>
  <c r="B31" i="20"/>
  <c r="H30" i="20"/>
  <c r="B30" i="20"/>
  <c r="H29" i="20"/>
  <c r="B29" i="20"/>
  <c r="H28" i="20"/>
  <c r="B28" i="20"/>
  <c r="H27" i="20"/>
  <c r="B27" i="20"/>
  <c r="H26" i="20"/>
  <c r="B26" i="20"/>
  <c r="H25" i="20"/>
  <c r="B25" i="20"/>
  <c r="H24" i="20"/>
  <c r="B24" i="20"/>
  <c r="J23" i="20"/>
  <c r="I23" i="20"/>
  <c r="H23" i="20"/>
  <c r="B23" i="20"/>
  <c r="J22" i="20"/>
  <c r="I22" i="20"/>
  <c r="H22" i="20"/>
  <c r="B22" i="20"/>
  <c r="J21" i="20"/>
  <c r="I21" i="20"/>
  <c r="H21" i="20"/>
  <c r="B21" i="20"/>
  <c r="J20" i="20"/>
  <c r="I20" i="20"/>
  <c r="H20" i="20"/>
  <c r="B20" i="20"/>
  <c r="J19" i="20"/>
  <c r="I19" i="20"/>
  <c r="H19" i="20"/>
  <c r="B19" i="20"/>
  <c r="J18" i="20"/>
  <c r="I18" i="20"/>
  <c r="H18" i="20"/>
  <c r="B18" i="20"/>
  <c r="B17" i="20"/>
  <c r="D26" i="19"/>
  <c r="C26" i="19"/>
  <c r="D25" i="19"/>
  <c r="C25" i="19"/>
  <c r="D24" i="19"/>
  <c r="C24" i="19"/>
  <c r="D23" i="19"/>
  <c r="C23" i="19"/>
  <c r="D22" i="19"/>
  <c r="C22" i="19"/>
  <c r="D20" i="19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F37" i="18"/>
  <c r="E37" i="18"/>
  <c r="E36" i="18"/>
  <c r="E35" i="18"/>
  <c r="E34" i="18"/>
  <c r="F28" i="18"/>
  <c r="E28" i="18"/>
  <c r="E18" i="18"/>
  <c r="F15" i="17"/>
  <c r="F18" i="17" s="1"/>
  <c r="E581" i="7"/>
  <c r="E580" i="7"/>
  <c r="E579" i="7"/>
  <c r="E578" i="7"/>
  <c r="E531" i="7"/>
  <c r="E530" i="7"/>
  <c r="E529" i="7"/>
  <c r="E528" i="7"/>
  <c r="E1148" i="40" s="1"/>
  <c r="I1279" i="50" s="1"/>
  <c r="E552" i="7"/>
  <c r="E551" i="7"/>
  <c r="I249" i="50" l="1"/>
  <c r="I251" i="50" s="1"/>
  <c r="I2522" i="50"/>
  <c r="I149" i="50"/>
  <c r="AN208" i="45"/>
  <c r="I2562" i="50"/>
  <c r="I2849" i="50"/>
  <c r="E375" i="46"/>
  <c r="E2499" i="40" s="1"/>
  <c r="E376" i="46"/>
  <c r="E2500" i="40" s="1"/>
  <c r="AL199" i="45"/>
  <c r="I308" i="45"/>
  <c r="E2440" i="40" s="1"/>
  <c r="AN199" i="45"/>
  <c r="I309" i="45"/>
  <c r="E2441" i="40" s="1"/>
  <c r="AN211" i="45"/>
  <c r="I293" i="45"/>
  <c r="AL211" i="45"/>
  <c r="I292" i="45"/>
  <c r="AL208" i="45"/>
  <c r="E1897" i="40"/>
  <c r="I2188" i="50" s="1"/>
  <c r="AN202" i="45"/>
  <c r="I277" i="45"/>
  <c r="E2137" i="40" s="1"/>
  <c r="AL202" i="45"/>
  <c r="I276" i="45"/>
  <c r="E2136" i="40" s="1"/>
  <c r="E324" i="46"/>
  <c r="E1986" i="40" s="1"/>
  <c r="AN215" i="45"/>
  <c r="E274" i="45"/>
  <c r="E2085" i="40" s="1"/>
  <c r="AL215" i="45"/>
  <c r="E273" i="45"/>
  <c r="E2084" i="40" s="1"/>
  <c r="Y160" i="45"/>
  <c r="Y217" i="45" s="1"/>
  <c r="E350" i="46"/>
  <c r="E2035" i="40" s="1"/>
  <c r="E349" i="46"/>
  <c r="E2034" i="40" s="1"/>
  <c r="E323" i="46"/>
  <c r="E1985" i="40" s="1"/>
  <c r="AF162" i="46"/>
  <c r="AF167" i="46" s="1"/>
  <c r="AD162" i="46"/>
  <c r="I298" i="46"/>
  <c r="E1932" i="40" s="1"/>
  <c r="I299" i="46"/>
  <c r="E1933" i="40" s="1"/>
  <c r="E299" i="46"/>
  <c r="E1866" i="40" s="1"/>
  <c r="AF124" i="46"/>
  <c r="AF150" i="46" s="1"/>
  <c r="AD124" i="46"/>
  <c r="E292" i="46" s="1"/>
  <c r="E1862" i="40" s="1"/>
  <c r="E298" i="46"/>
  <c r="E1865" i="40" s="1"/>
  <c r="AC122" i="46"/>
  <c r="E283" i="46"/>
  <c r="AE122" i="46"/>
  <c r="E284" i="46"/>
  <c r="AN192" i="45"/>
  <c r="I259" i="45"/>
  <c r="E2545" i="40" s="1"/>
  <c r="AL192" i="45"/>
  <c r="I258" i="45"/>
  <c r="E2544" i="40" s="1"/>
  <c r="E1582" i="40"/>
  <c r="E1583" i="40" s="1"/>
  <c r="E1617" i="40"/>
  <c r="I243" i="45"/>
  <c r="AN160" i="45"/>
  <c r="I234" i="45"/>
  <c r="E1590" i="40" s="1"/>
  <c r="AL160" i="45"/>
  <c r="I233" i="45"/>
  <c r="E1589" i="40" s="1"/>
  <c r="Y144" i="45"/>
  <c r="AN140" i="45"/>
  <c r="E259" i="45"/>
  <c r="AL140" i="45"/>
  <c r="E258" i="45"/>
  <c r="AL143" i="45"/>
  <c r="E249" i="45"/>
  <c r="AN143" i="45"/>
  <c r="E250" i="45"/>
  <c r="AN129" i="45"/>
  <c r="E234" i="45"/>
  <c r="AL129" i="45"/>
  <c r="E233" i="45"/>
  <c r="E1338" i="40"/>
  <c r="I1499" i="50" s="1"/>
  <c r="E1490" i="40"/>
  <c r="I1722" i="50" s="1"/>
  <c r="E1340" i="40"/>
  <c r="I1501" i="50" s="1"/>
  <c r="E1491" i="40"/>
  <c r="I1721" i="50" s="1"/>
  <c r="E2915" i="40"/>
  <c r="E3199" i="40"/>
  <c r="AK49" i="47"/>
  <c r="AK58" i="47" s="1"/>
  <c r="D105" i="47"/>
  <c r="E3230" i="40" s="1"/>
  <c r="AI49" i="47"/>
  <c r="AI58" i="47" s="1"/>
  <c r="D104" i="47"/>
  <c r="E3229" i="40" s="1"/>
  <c r="E3198" i="40"/>
  <c r="E3190" i="40"/>
  <c r="AD189" i="44"/>
  <c r="AD195" i="44" s="1"/>
  <c r="E2817" i="40"/>
  <c r="AE185" i="44"/>
  <c r="D323" i="44" s="1"/>
  <c r="E2900" i="40" s="1"/>
  <c r="AG189" i="44"/>
  <c r="AG195" i="44" s="1"/>
  <c r="D324" i="44"/>
  <c r="E2901" i="40" s="1"/>
  <c r="AG176" i="44"/>
  <c r="D272" i="44"/>
  <c r="E2832" i="40" s="1"/>
  <c r="AE176" i="44"/>
  <c r="D271" i="44"/>
  <c r="E2831" i="40" s="1"/>
  <c r="AE152" i="44"/>
  <c r="AE179" i="44"/>
  <c r="D297" i="44"/>
  <c r="E2862" i="40" s="1"/>
  <c r="AG179" i="44"/>
  <c r="D298" i="44"/>
  <c r="E2863" i="40" s="1"/>
  <c r="D248" i="44"/>
  <c r="E2796" i="40" s="1"/>
  <c r="AL199" i="43"/>
  <c r="D246" i="44"/>
  <c r="E2799" i="40" s="1"/>
  <c r="E2693" i="40"/>
  <c r="E2712" i="40" s="1"/>
  <c r="D235" i="44"/>
  <c r="E2788" i="40" s="1"/>
  <c r="AG168" i="44"/>
  <c r="AE144" i="44"/>
  <c r="D217" i="44"/>
  <c r="E2704" i="40" s="1"/>
  <c r="E2722" i="40"/>
  <c r="D218" i="44"/>
  <c r="E2705" i="40" s="1"/>
  <c r="D215" i="44"/>
  <c r="E2701" i="40" s="1"/>
  <c r="T129" i="44"/>
  <c r="AN199" i="43"/>
  <c r="E434" i="43"/>
  <c r="E1337" i="40" s="1"/>
  <c r="I1498" i="50" s="1"/>
  <c r="Y199" i="43"/>
  <c r="Y218" i="43" s="1"/>
  <c r="E437" i="43"/>
  <c r="E1362" i="40" s="1"/>
  <c r="AL216" i="43"/>
  <c r="E1190" i="40"/>
  <c r="I1327" i="50" s="1"/>
  <c r="AN216" i="43"/>
  <c r="E413" i="43"/>
  <c r="E1192" i="40" s="1"/>
  <c r="I1329" i="50" s="1"/>
  <c r="AL214" i="43"/>
  <c r="E1215" i="40"/>
  <c r="I1352" i="50" s="1"/>
  <c r="AN185" i="43"/>
  <c r="AN214" i="43"/>
  <c r="E369" i="43"/>
  <c r="E1047" i="40" s="1"/>
  <c r="I1161" i="50" s="1"/>
  <c r="I1155" i="50" s="1"/>
  <c r="E718" i="40"/>
  <c r="I792" i="50" s="1"/>
  <c r="I790" i="50" s="1"/>
  <c r="E1007" i="40"/>
  <c r="I1107" i="50" s="1"/>
  <c r="E1011" i="40"/>
  <c r="I1109" i="50" s="1"/>
  <c r="E334" i="43"/>
  <c r="E823" i="40" s="1"/>
  <c r="I913" i="50" s="1"/>
  <c r="I912" i="50" s="1"/>
  <c r="AL185" i="43"/>
  <c r="AN179" i="43"/>
  <c r="E293" i="43"/>
  <c r="E518" i="40" s="1"/>
  <c r="I583" i="50" s="1"/>
  <c r="F480" i="40"/>
  <c r="G480" i="40" s="1"/>
  <c r="E276" i="43"/>
  <c r="E482" i="40" s="1"/>
  <c r="I530" i="50" s="1"/>
  <c r="I523" i="50" s="1"/>
  <c r="AL174" i="43"/>
  <c r="AL166" i="43"/>
  <c r="AN166" i="43"/>
  <c r="AN174" i="43"/>
  <c r="AN145" i="43"/>
  <c r="AL145" i="43"/>
  <c r="AN161" i="43"/>
  <c r="AL141" i="43"/>
  <c r="E246" i="43"/>
  <c r="AN141" i="43"/>
  <c r="E247" i="43"/>
  <c r="E658" i="7"/>
  <c r="AF121" i="46"/>
  <c r="AF122" i="46" s="1"/>
  <c r="U181" i="44"/>
  <c r="AB218" i="43"/>
  <c r="AF195" i="44"/>
  <c r="AC202" i="46"/>
  <c r="AB217" i="45"/>
  <c r="AA207" i="46"/>
  <c r="P181" i="44"/>
  <c r="AE178" i="46"/>
  <c r="Y207" i="46"/>
  <c r="AM218" i="43"/>
  <c r="AA217" i="45"/>
  <c r="AG121" i="44"/>
  <c r="AG129" i="44" s="1"/>
  <c r="N222" i="46"/>
  <c r="S217" i="45"/>
  <c r="V169" i="46"/>
  <c r="AE167" i="46"/>
  <c r="X58" i="47"/>
  <c r="T181" i="44"/>
  <c r="AA218" i="43"/>
  <c r="R169" i="46"/>
  <c r="AD121" i="46"/>
  <c r="AD122" i="46" s="1"/>
  <c r="P58" i="47"/>
  <c r="W217" i="45"/>
  <c r="AC199" i="46"/>
  <c r="T58" i="47"/>
  <c r="P222" i="46"/>
  <c r="V58" i="47"/>
  <c r="Q207" i="46"/>
  <c r="S144" i="45"/>
  <c r="R207" i="46"/>
  <c r="AC178" i="46"/>
  <c r="AF180" i="46"/>
  <c r="AF199" i="46" s="1"/>
  <c r="AE199" i="46"/>
  <c r="AF181" i="44"/>
  <c r="AH58" i="47"/>
  <c r="AC150" i="46"/>
  <c r="AE160" i="46"/>
  <c r="AF159" i="46"/>
  <c r="U195" i="44"/>
  <c r="AF178" i="46"/>
  <c r="AE218" i="43"/>
  <c r="AE150" i="46"/>
  <c r="AK144" i="45"/>
  <c r="Y169" i="46"/>
  <c r="N197" i="44"/>
  <c r="V207" i="46"/>
  <c r="AC167" i="46"/>
  <c r="AF121" i="44"/>
  <c r="AF129" i="44" s="1"/>
  <c r="AF152" i="46"/>
  <c r="AE157" i="46"/>
  <c r="AC157" i="46"/>
  <c r="AD152" i="46"/>
  <c r="AD204" i="46"/>
  <c r="AD205" i="46" s="1"/>
  <c r="AC205" i="46"/>
  <c r="W218" i="43"/>
  <c r="AE202" i="46"/>
  <c r="AF201" i="46"/>
  <c r="AF202" i="46" s="1"/>
  <c r="AM217" i="45"/>
  <c r="AJ58" i="47"/>
  <c r="AC218" i="46"/>
  <c r="AC220" i="46" s="1"/>
  <c r="AD212" i="46"/>
  <c r="AD159" i="46"/>
  <c r="AC160" i="46"/>
  <c r="AD178" i="46"/>
  <c r="AA169" i="46"/>
  <c r="S218" i="43"/>
  <c r="AF204" i="46"/>
  <c r="AF205" i="46" s="1"/>
  <c r="AE205" i="46"/>
  <c r="W144" i="45"/>
  <c r="AM144" i="45"/>
  <c r="AE114" i="44"/>
  <c r="AD121" i="44"/>
  <c r="AD129" i="44" s="1"/>
  <c r="Q169" i="46"/>
  <c r="AN132" i="45"/>
  <c r="AC213" i="45"/>
  <c r="AC214" i="45"/>
  <c r="AE142" i="44"/>
  <c r="AD168" i="44"/>
  <c r="AD181" i="44" s="1"/>
  <c r="AK217" i="45"/>
  <c r="AE218" i="46"/>
  <c r="AE220" i="46" s="1"/>
  <c r="AF212" i="46"/>
  <c r="AD199" i="46"/>
  <c r="P195" i="44"/>
  <c r="T195" i="44"/>
  <c r="I1268" i="50"/>
  <c r="E1152" i="40"/>
  <c r="I1295" i="50" s="1"/>
  <c r="E38" i="18"/>
  <c r="D19" i="5"/>
  <c r="I2438" i="50" l="1"/>
  <c r="I2845" i="50"/>
  <c r="I2741" i="50"/>
  <c r="I2371" i="50"/>
  <c r="AF218" i="46"/>
  <c r="AF220" i="46" s="1"/>
  <c r="E370" i="46"/>
  <c r="E2497" i="40" s="1"/>
  <c r="I1110" i="50"/>
  <c r="I1108" i="50"/>
  <c r="AD218" i="46"/>
  <c r="AD220" i="46" s="1"/>
  <c r="E369" i="46"/>
  <c r="E2496" i="40" s="1"/>
  <c r="I2794" i="50" s="1"/>
  <c r="E318" i="46"/>
  <c r="E1983" i="40" s="1"/>
  <c r="AD160" i="46"/>
  <c r="E343" i="46"/>
  <c r="E2031" i="40" s="1"/>
  <c r="AF160" i="46"/>
  <c r="AF169" i="46" s="1"/>
  <c r="E344" i="46"/>
  <c r="E2032" i="40" s="1"/>
  <c r="E317" i="46"/>
  <c r="E1982" i="40" s="1"/>
  <c r="AD167" i="46"/>
  <c r="R222" i="46"/>
  <c r="AD157" i="46"/>
  <c r="I292" i="46"/>
  <c r="E1929" i="40" s="1"/>
  <c r="AF157" i="46"/>
  <c r="I293" i="46"/>
  <c r="E1930" i="40" s="1"/>
  <c r="E1855" i="40"/>
  <c r="AD150" i="46"/>
  <c r="E293" i="46"/>
  <c r="E1863" i="40" s="1"/>
  <c r="I2173" i="50" s="1"/>
  <c r="AN144" i="45"/>
  <c r="E1545" i="40"/>
  <c r="I1889" i="50" s="1"/>
  <c r="E1546" i="40"/>
  <c r="I1890" i="50" s="1"/>
  <c r="AL144" i="45"/>
  <c r="AL217" i="45"/>
  <c r="I1323" i="50"/>
  <c r="AE189" i="44"/>
  <c r="AE195" i="44" s="1"/>
  <c r="AG181" i="44"/>
  <c r="AG197" i="44" s="1"/>
  <c r="AE168" i="44"/>
  <c r="AE181" i="44" s="1"/>
  <c r="D245" i="44"/>
  <c r="E2798" i="40" s="1"/>
  <c r="AE121" i="44"/>
  <c r="AE129" i="44" s="1"/>
  <c r="D214" i="44"/>
  <c r="E2700" i="40" s="1"/>
  <c r="E2696" i="40" s="1"/>
  <c r="I1154" i="50"/>
  <c r="I1153" i="50" s="1"/>
  <c r="E474" i="40"/>
  <c r="AN218" i="43"/>
  <c r="AL218" i="43"/>
  <c r="E360" i="40"/>
  <c r="I397" i="50" s="1"/>
  <c r="I392" i="50" s="1"/>
  <c r="U197" i="44"/>
  <c r="T197" i="44"/>
  <c r="Q222" i="46"/>
  <c r="AC207" i="46"/>
  <c r="Y222" i="46"/>
  <c r="V222" i="46"/>
  <c r="AD197" i="44"/>
  <c r="AF197" i="44"/>
  <c r="P197" i="44"/>
  <c r="AA222" i="46"/>
  <c r="AE207" i="46"/>
  <c r="AC215" i="45"/>
  <c r="AC217" i="45" s="1"/>
  <c r="AF207" i="46"/>
  <c r="AD207" i="46"/>
  <c r="AN217" i="45"/>
  <c r="AC169" i="46"/>
  <c r="AE169" i="46"/>
  <c r="I1445" i="50"/>
  <c r="C17" i="13"/>
  <c r="D17" i="13" s="1"/>
  <c r="I2258" i="50" l="1"/>
  <c r="I2300" i="50"/>
  <c r="I2216" i="50"/>
  <c r="AD169" i="46"/>
  <c r="AD222" i="46" s="1"/>
  <c r="AE197" i="44"/>
  <c r="AC222" i="46"/>
  <c r="AE222" i="46"/>
  <c r="AF222" i="46"/>
  <c r="C28" i="13"/>
  <c r="D28" i="13"/>
  <c r="C32" i="13" s="1"/>
  <c r="C35" i="13" l="1"/>
  <c r="E102" i="50" s="1"/>
  <c r="C38" i="13" l="1"/>
  <c r="C36" i="13"/>
  <c r="E103" i="50" s="1"/>
  <c r="D445" i="8"/>
  <c r="H423" i="20" s="1"/>
  <c r="D444" i="8"/>
  <c r="H422" i="20" s="1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666" i="7" s="1"/>
  <c r="E563" i="7"/>
  <c r="E691" i="7" s="1"/>
  <c r="E562" i="7"/>
  <c r="E561" i="7"/>
  <c r="E559" i="7"/>
  <c r="D414" i="8"/>
  <c r="E550" i="7"/>
  <c r="E546" i="7"/>
  <c r="E1316" i="40" s="1"/>
  <c r="E539" i="7"/>
  <c r="E527" i="7"/>
  <c r="E526" i="7"/>
  <c r="E525" i="7"/>
  <c r="E521" i="7"/>
  <c r="E520" i="7"/>
  <c r="E519" i="7"/>
  <c r="E510" i="7"/>
  <c r="E509" i="7"/>
  <c r="E508" i="7" s="1"/>
  <c r="E514" i="7" l="1"/>
  <c r="E513" i="7" s="1"/>
  <c r="E512" i="7" s="1"/>
  <c r="E511" i="7" s="1"/>
  <c r="F23" i="19" s="1"/>
  <c r="E697" i="7"/>
  <c r="E3103" i="40" s="1"/>
  <c r="I3566" i="50" s="1"/>
  <c r="I3560" i="50" s="1"/>
  <c r="I3559" i="50" s="1"/>
  <c r="I3558" i="50" s="1"/>
  <c r="E538" i="7"/>
  <c r="E1156" i="40"/>
  <c r="E549" i="7"/>
  <c r="E548" i="7" s="1"/>
  <c r="E547" i="7" s="1"/>
  <c r="E1147" i="40"/>
  <c r="E675" i="7"/>
  <c r="E641" i="40"/>
  <c r="E1155" i="40"/>
  <c r="I1286" i="50" s="1"/>
  <c r="I1276" i="50"/>
  <c r="E663" i="7"/>
  <c r="E1409" i="40"/>
  <c r="E1136" i="40"/>
  <c r="E674" i="7"/>
  <c r="E524" i="7"/>
  <c r="E676" i="7"/>
  <c r="E3377" i="40" s="1"/>
  <c r="I3929" i="50" s="1"/>
  <c r="I4043" i="50" s="1"/>
  <c r="E669" i="7"/>
  <c r="E678" i="7"/>
  <c r="E545" i="7"/>
  <c r="E677" i="7"/>
  <c r="E668" i="7"/>
  <c r="I1271" i="50"/>
  <c r="E1139" i="40"/>
  <c r="I1275" i="50"/>
  <c r="E558" i="7"/>
  <c r="E557" i="7" s="1"/>
  <c r="H396" i="20"/>
  <c r="E608" i="7"/>
  <c r="E613" i="7"/>
  <c r="E614" i="7" s="1"/>
  <c r="E507" i="7"/>
  <c r="E506" i="7" s="1"/>
  <c r="E505" i="7" s="1"/>
  <c r="D373" i="8"/>
  <c r="E494" i="7" s="1"/>
  <c r="D369" i="8"/>
  <c r="E490" i="7" s="1"/>
  <c r="D368" i="8"/>
  <c r="E489" i="7" s="1"/>
  <c r="D365" i="8"/>
  <c r="E486" i="7" s="1"/>
  <c r="D364" i="8"/>
  <c r="E485" i="7" s="1"/>
  <c r="D363" i="8"/>
  <c r="D361" i="8"/>
  <c r="E482" i="7" s="1"/>
  <c r="D360" i="8"/>
  <c r="E481" i="7" s="1"/>
  <c r="D316" i="8"/>
  <c r="D422" i="1"/>
  <c r="E422" i="1" s="1"/>
  <c r="F422" i="1" s="1"/>
  <c r="E378" i="7"/>
  <c r="I3661" i="50" l="1"/>
  <c r="F22" i="19"/>
  <c r="E1135" i="40"/>
  <c r="I1267" i="50"/>
  <c r="E1157" i="40"/>
  <c r="I1284" i="50" s="1"/>
  <c r="I1283" i="50" s="1"/>
  <c r="I1278" i="50"/>
  <c r="H367" i="20"/>
  <c r="E484" i="7"/>
  <c r="E702" i="7"/>
  <c r="E3096" i="40" s="1"/>
  <c r="I3557" i="50" s="1"/>
  <c r="I3548" i="50" s="1"/>
  <c r="E556" i="7"/>
  <c r="E555" i="7" s="1"/>
  <c r="E554" i="7" s="1"/>
  <c r="F26" i="19" s="1"/>
  <c r="E537" i="7"/>
  <c r="H364" i="20"/>
  <c r="E23" i="21"/>
  <c r="I1447" i="50"/>
  <c r="E609" i="7"/>
  <c r="E610" i="7"/>
  <c r="E615" i="7"/>
  <c r="I1266" i="50"/>
  <c r="I709" i="50"/>
  <c r="I1131" i="50" s="1"/>
  <c r="I708" i="50"/>
  <c r="E616" i="7"/>
  <c r="E612" i="7"/>
  <c r="H375" i="20"/>
  <c r="E410" i="7"/>
  <c r="H322" i="20"/>
  <c r="H368" i="20"/>
  <c r="H372" i="20"/>
  <c r="H365" i="20"/>
  <c r="H369" i="20"/>
  <c r="H373" i="20"/>
  <c r="E611" i="7"/>
  <c r="C62" i="11"/>
  <c r="C56" i="11"/>
  <c r="C37" i="11"/>
  <c r="E34" i="11"/>
  <c r="F34" i="11" s="1"/>
  <c r="C31" i="11"/>
  <c r="C25" i="11"/>
  <c r="C10" i="11"/>
  <c r="E65" i="11"/>
  <c r="F65" i="11" s="1"/>
  <c r="D62" i="11"/>
  <c r="E59" i="11"/>
  <c r="F59" i="11" s="1"/>
  <c r="E53" i="11"/>
  <c r="F53" i="11" s="1"/>
  <c r="E49" i="11"/>
  <c r="F49" i="11" s="1"/>
  <c r="E46" i="11"/>
  <c r="F46" i="11" s="1"/>
  <c r="E43" i="11"/>
  <c r="F43" i="11" s="1"/>
  <c r="E40" i="11"/>
  <c r="F40" i="11" s="1"/>
  <c r="D37" i="11"/>
  <c r="D31" i="11"/>
  <c r="E28" i="11"/>
  <c r="F28" i="11" s="1"/>
  <c r="D25" i="11"/>
  <c r="E22" i="11"/>
  <c r="F22" i="11" s="1"/>
  <c r="E19" i="11"/>
  <c r="F19" i="11" s="1"/>
  <c r="E16" i="11"/>
  <c r="F16" i="11" s="1"/>
  <c r="E13" i="11"/>
  <c r="F13" i="11" s="1"/>
  <c r="D10" i="11"/>
  <c r="F39" i="10"/>
  <c r="F33" i="10"/>
  <c r="F27" i="10"/>
  <c r="F12" i="10"/>
  <c r="I1449" i="50" l="1"/>
  <c r="I1166" i="56"/>
  <c r="I3666" i="50"/>
  <c r="I1242" i="49"/>
  <c r="I3547" i="50"/>
  <c r="I3546" i="50" s="1"/>
  <c r="I3545" i="50" s="1"/>
  <c r="E62" i="21"/>
  <c r="E976" i="40" s="1"/>
  <c r="H295" i="20"/>
  <c r="C57" i="52"/>
  <c r="I695" i="50"/>
  <c r="I1446" i="50"/>
  <c r="D56" i="11"/>
  <c r="E56" i="11" s="1"/>
  <c r="F56" i="11" s="1"/>
  <c r="F58" i="10"/>
  <c r="F69" i="10" s="1"/>
  <c r="E62" i="11"/>
  <c r="F62" i="11" s="1"/>
  <c r="E37" i="11"/>
  <c r="F37" i="11" s="1"/>
  <c r="E31" i="11"/>
  <c r="F31" i="11" s="1"/>
  <c r="E25" i="11"/>
  <c r="F25" i="11" s="1"/>
  <c r="E10" i="11"/>
  <c r="G67" i="10"/>
  <c r="G64" i="10"/>
  <c r="G61" i="10"/>
  <c r="G55" i="10"/>
  <c r="G51" i="10"/>
  <c r="G48" i="10"/>
  <c r="G45" i="10"/>
  <c r="G42" i="10"/>
  <c r="G39" i="10"/>
  <c r="G36" i="10"/>
  <c r="G33" i="10"/>
  <c r="G30" i="10"/>
  <c r="G27" i="10"/>
  <c r="G24" i="10"/>
  <c r="G21" i="10"/>
  <c r="G18" i="10"/>
  <c r="G15" i="10"/>
  <c r="G12" i="10"/>
  <c r="I1066" i="50" l="1"/>
  <c r="I187" i="49"/>
  <c r="I181" i="56"/>
  <c r="C68" i="52"/>
  <c r="D57" i="52" s="1"/>
  <c r="E57" i="52" s="1"/>
  <c r="E2625" i="40" s="1"/>
  <c r="I2975" i="50" s="1"/>
  <c r="I2971" i="50" s="1"/>
  <c r="I936" i="56" s="1"/>
  <c r="I694" i="50"/>
  <c r="I693" i="50" s="1"/>
  <c r="I692" i="50" s="1"/>
  <c r="G58" i="10"/>
  <c r="D67" i="11"/>
  <c r="E67" i="11"/>
  <c r="F10" i="11"/>
  <c r="F67" i="11" s="1"/>
  <c r="E377" i="7" s="1"/>
  <c r="G69" i="10"/>
  <c r="D335" i="8" s="1"/>
  <c r="E440" i="7" s="1"/>
  <c r="I1065" i="50" l="1"/>
  <c r="I983" i="49"/>
  <c r="I2970" i="50"/>
  <c r="I2969" i="50" s="1"/>
  <c r="I2968" i="50" s="1"/>
  <c r="D32" i="52"/>
  <c r="E32" i="52" s="1"/>
  <c r="D54" i="52"/>
  <c r="E54" i="52" s="1"/>
  <c r="D41" i="52"/>
  <c r="E41" i="52" s="1"/>
  <c r="D23" i="52"/>
  <c r="E23" i="52" s="1"/>
  <c r="D20" i="52"/>
  <c r="E20" i="52" s="1"/>
  <c r="D35" i="52"/>
  <c r="E35" i="52" s="1"/>
  <c r="D63" i="52"/>
  <c r="E63" i="52" s="1"/>
  <c r="E2620" i="40" s="1"/>
  <c r="I2967" i="50" s="1"/>
  <c r="I2963" i="50" s="1"/>
  <c r="I931" i="56" s="1"/>
  <c r="D17" i="52"/>
  <c r="E17" i="52" s="1"/>
  <c r="D44" i="52"/>
  <c r="E44" i="52" s="1"/>
  <c r="D66" i="52"/>
  <c r="E66" i="52" s="1"/>
  <c r="D38" i="52"/>
  <c r="E38" i="52" s="1"/>
  <c r="D29" i="52"/>
  <c r="E29" i="52" s="1"/>
  <c r="D50" i="52"/>
  <c r="E50" i="52" s="1"/>
  <c r="D60" i="52"/>
  <c r="E60" i="52" s="1"/>
  <c r="D26" i="52"/>
  <c r="E26" i="52" s="1"/>
  <c r="E2614" i="40" s="1"/>
  <c r="I2958" i="50" s="1"/>
  <c r="I2953" i="50" s="1"/>
  <c r="I926" i="56" s="1"/>
  <c r="D14" i="52"/>
  <c r="E14" i="52" s="1"/>
  <c r="D11" i="52"/>
  <c r="E11" i="52" s="1"/>
  <c r="D47" i="52"/>
  <c r="E47" i="52" s="1"/>
  <c r="E439" i="7"/>
  <c r="G39" i="36" s="1"/>
  <c r="H340" i="20"/>
  <c r="B17" i="8"/>
  <c r="E68" i="52" l="1"/>
  <c r="I973" i="49"/>
  <c r="I2952" i="50"/>
  <c r="I2951" i="50" s="1"/>
  <c r="I2950" i="50" s="1"/>
  <c r="I978" i="49"/>
  <c r="I2962" i="50"/>
  <c r="I2961" i="50" s="1"/>
  <c r="I2960" i="50" s="1"/>
  <c r="E2604" i="40"/>
  <c r="I2942" i="50" s="1"/>
  <c r="E438" i="7"/>
  <c r="E437" i="7" s="1"/>
  <c r="D443" i="8"/>
  <c r="E604" i="7" s="1"/>
  <c r="D379" i="8"/>
  <c r="E501" i="7" s="1"/>
  <c r="D370" i="8"/>
  <c r="E491" i="7" s="1"/>
  <c r="D366" i="8"/>
  <c r="E487" i="7" s="1"/>
  <c r="D343" i="8"/>
  <c r="E456" i="7" s="1"/>
  <c r="D340" i="8"/>
  <c r="E453" i="7" s="1"/>
  <c r="D338" i="8"/>
  <c r="E447" i="7" s="1"/>
  <c r="D337" i="8"/>
  <c r="E446" i="7" s="1"/>
  <c r="D336" i="8"/>
  <c r="E444" i="7" s="1"/>
  <c r="D334" i="8"/>
  <c r="E436" i="7" s="1"/>
  <c r="D333" i="8"/>
  <c r="E435" i="7" s="1"/>
  <c r="D332" i="8"/>
  <c r="E434" i="7" s="1"/>
  <c r="D331" i="8"/>
  <c r="E433" i="7" s="1"/>
  <c r="D330" i="8"/>
  <c r="E432" i="7" s="1"/>
  <c r="D329" i="8"/>
  <c r="E431" i="7" s="1"/>
  <c r="D328" i="8"/>
  <c r="E430" i="7" s="1"/>
  <c r="D327" i="8"/>
  <c r="E429" i="7" s="1"/>
  <c r="D326" i="8"/>
  <c r="E428" i="7" s="1"/>
  <c r="D319" i="8"/>
  <c r="H318" i="20"/>
  <c r="D307" i="8"/>
  <c r="E381" i="7" s="1"/>
  <c r="D306" i="8"/>
  <c r="E380" i="7" s="1"/>
  <c r="E376" i="7"/>
  <c r="D276" i="8"/>
  <c r="E365" i="7" s="1"/>
  <c r="D275" i="8"/>
  <c r="E364" i="7" s="1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49" i="8"/>
  <c r="D248" i="8"/>
  <c r="D247" i="8"/>
  <c r="D246" i="8"/>
  <c r="D245" i="8"/>
  <c r="D244" i="8"/>
  <c r="D243" i="8"/>
  <c r="D242" i="8"/>
  <c r="H249" i="20" s="1"/>
  <c r="D241" i="8"/>
  <c r="D240" i="8"/>
  <c r="D239" i="8"/>
  <c r="D238" i="8"/>
  <c r="D237" i="8"/>
  <c r="D236" i="8"/>
  <c r="D235" i="8"/>
  <c r="D234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5" i="8"/>
  <c r="D210" i="8"/>
  <c r="D209" i="8"/>
  <c r="D207" i="8"/>
  <c r="D197" i="8"/>
  <c r="D196" i="8"/>
  <c r="D195" i="8"/>
  <c r="D193" i="8"/>
  <c r="D192" i="8"/>
  <c r="D191" i="8"/>
  <c r="D190" i="8"/>
  <c r="D189" i="8"/>
  <c r="D188" i="8"/>
  <c r="D187" i="8"/>
  <c r="D186" i="8"/>
  <c r="D185" i="8"/>
  <c r="D184" i="8"/>
  <c r="D183" i="8"/>
  <c r="D181" i="8"/>
  <c r="D176" i="8"/>
  <c r="D154" i="8"/>
  <c r="D149" i="8"/>
  <c r="D148" i="8"/>
  <c r="D147" i="8"/>
  <c r="H154" i="20" s="1"/>
  <c r="D145" i="8"/>
  <c r="D144" i="8"/>
  <c r="D143" i="8"/>
  <c r="D142" i="8"/>
  <c r="D141" i="8"/>
  <c r="D140" i="8"/>
  <c r="D139" i="8"/>
  <c r="D138" i="8"/>
  <c r="D137" i="8"/>
  <c r="D134" i="8"/>
  <c r="D133" i="8"/>
  <c r="D132" i="8"/>
  <c r="D131" i="8"/>
  <c r="D130" i="8"/>
  <c r="D129" i="8"/>
  <c r="D128" i="8"/>
  <c r="D127" i="8"/>
  <c r="D126" i="8"/>
  <c r="D123" i="8"/>
  <c r="D122" i="8"/>
  <c r="D120" i="8"/>
  <c r="D119" i="8"/>
  <c r="D117" i="8"/>
  <c r="D116" i="8"/>
  <c r="D115" i="8"/>
  <c r="D112" i="8"/>
  <c r="D109" i="8"/>
  <c r="D104" i="8"/>
  <c r="D100" i="8"/>
  <c r="D99" i="8"/>
  <c r="D98" i="8"/>
  <c r="D97" i="8"/>
  <c r="D95" i="8"/>
  <c r="D94" i="8"/>
  <c r="D93" i="8"/>
  <c r="D92" i="8"/>
  <c r="D91" i="8"/>
  <c r="D90" i="8"/>
  <c r="D88" i="8"/>
  <c r="D87" i="8"/>
  <c r="D86" i="8"/>
  <c r="D85" i="8"/>
  <c r="D84" i="8"/>
  <c r="D83" i="8"/>
  <c r="D82" i="8"/>
  <c r="D80" i="8"/>
  <c r="D79" i="8"/>
  <c r="D78" i="8"/>
  <c r="D77" i="8"/>
  <c r="D76" i="8"/>
  <c r="D75" i="8"/>
  <c r="D74" i="8"/>
  <c r="D70" i="8"/>
  <c r="D69" i="8"/>
  <c r="D67" i="8"/>
  <c r="D66" i="8"/>
  <c r="D63" i="8"/>
  <c r="D62" i="8"/>
  <c r="D58" i="8"/>
  <c r="D57" i="8"/>
  <c r="F417" i="1"/>
  <c r="E425" i="7" l="1"/>
  <c r="H70" i="20"/>
  <c r="H77" i="20"/>
  <c r="H84" i="20"/>
  <c r="H89" i="20"/>
  <c r="H93" i="20"/>
  <c r="H98" i="20"/>
  <c r="H102" i="20"/>
  <c r="H282" i="20"/>
  <c r="H64" i="20"/>
  <c r="H73" i="20"/>
  <c r="H81" i="20"/>
  <c r="H85" i="20"/>
  <c r="H90" i="20"/>
  <c r="H94" i="20"/>
  <c r="H99" i="20"/>
  <c r="H104" i="20"/>
  <c r="H283" i="20"/>
  <c r="H65" i="20"/>
  <c r="H74" i="20"/>
  <c r="H82" i="20"/>
  <c r="H86" i="20"/>
  <c r="H91" i="20"/>
  <c r="H95" i="20"/>
  <c r="H100" i="20"/>
  <c r="H105" i="20"/>
  <c r="H69" i="20"/>
  <c r="H76" i="20"/>
  <c r="H83" i="20"/>
  <c r="H87" i="20"/>
  <c r="H92" i="20"/>
  <c r="H97" i="20"/>
  <c r="H101" i="20"/>
  <c r="H106" i="20"/>
  <c r="H152" i="20"/>
  <c r="H161" i="20"/>
  <c r="H191" i="20"/>
  <c r="H222" i="20"/>
  <c r="H227" i="20"/>
  <c r="H231" i="20"/>
  <c r="H235" i="20"/>
  <c r="H239" i="20"/>
  <c r="H244" i="20"/>
  <c r="H248" i="20"/>
  <c r="H252" i="20"/>
  <c r="H256" i="20"/>
  <c r="H261" i="20"/>
  <c r="H265" i="20"/>
  <c r="H269" i="20"/>
  <c r="H183" i="20"/>
  <c r="H192" i="20"/>
  <c r="H214" i="20"/>
  <c r="H224" i="20"/>
  <c r="H228" i="20"/>
  <c r="H232" i="20"/>
  <c r="H236" i="20"/>
  <c r="H241" i="20"/>
  <c r="H245" i="20"/>
  <c r="H253" i="20"/>
  <c r="H258" i="20"/>
  <c r="H262" i="20"/>
  <c r="H266" i="20"/>
  <c r="H270" i="20"/>
  <c r="H188" i="20"/>
  <c r="H216" i="20"/>
  <c r="H225" i="20"/>
  <c r="H229" i="20"/>
  <c r="H233" i="20"/>
  <c r="H237" i="20"/>
  <c r="H242" i="20"/>
  <c r="H246" i="20"/>
  <c r="H250" i="20"/>
  <c r="H254" i="20"/>
  <c r="H259" i="20"/>
  <c r="H263" i="20"/>
  <c r="H267" i="20"/>
  <c r="H271" i="20"/>
  <c r="H151" i="20"/>
  <c r="H156" i="20"/>
  <c r="H190" i="20"/>
  <c r="H217" i="20"/>
  <c r="H226" i="20"/>
  <c r="H230" i="20"/>
  <c r="H234" i="20"/>
  <c r="H238" i="20"/>
  <c r="H243" i="20"/>
  <c r="H247" i="20"/>
  <c r="H251" i="20"/>
  <c r="H255" i="20"/>
  <c r="H260" i="20"/>
  <c r="H264" i="20"/>
  <c r="H268" i="20"/>
  <c r="H272" i="20"/>
  <c r="H116" i="20"/>
  <c r="H124" i="20"/>
  <c r="H130" i="20"/>
  <c r="H136" i="20"/>
  <c r="H140" i="20"/>
  <c r="H146" i="20"/>
  <c r="H150" i="20"/>
  <c r="H155" i="20"/>
  <c r="H119" i="20"/>
  <c r="H126" i="20"/>
  <c r="H133" i="20"/>
  <c r="H137" i="20"/>
  <c r="H141" i="20"/>
  <c r="H147" i="20"/>
  <c r="H107" i="20"/>
  <c r="H122" i="20"/>
  <c r="H127" i="20"/>
  <c r="H134" i="20"/>
  <c r="H138" i="20"/>
  <c r="H144" i="20"/>
  <c r="H148" i="20"/>
  <c r="H111" i="20"/>
  <c r="H123" i="20"/>
  <c r="H129" i="20"/>
  <c r="H135" i="20"/>
  <c r="H139" i="20"/>
  <c r="H145" i="20"/>
  <c r="H149" i="20"/>
  <c r="H29" i="24"/>
  <c r="C37" i="37"/>
  <c r="C37" i="36"/>
  <c r="I2980" i="50"/>
  <c r="H195" i="20"/>
  <c r="H199" i="20"/>
  <c r="H203" i="20"/>
  <c r="H196" i="20"/>
  <c r="H200" i="20"/>
  <c r="H204" i="20"/>
  <c r="H193" i="20"/>
  <c r="H197" i="20"/>
  <c r="H194" i="20"/>
  <c r="H198" i="20"/>
  <c r="H202" i="20"/>
  <c r="H218" i="20"/>
  <c r="D348" i="8"/>
  <c r="D356" i="8"/>
  <c r="H201" i="20"/>
  <c r="D339" i="8"/>
  <c r="F19" i="5"/>
  <c r="D347" i="8"/>
  <c r="D351" i="8"/>
  <c r="D355" i="8"/>
  <c r="D362" i="8"/>
  <c r="E483" i="7" s="1"/>
  <c r="H376" i="20"/>
  <c r="H370" i="20"/>
  <c r="D345" i="8"/>
  <c r="D349" i="8"/>
  <c r="D353" i="8"/>
  <c r="D357" i="8"/>
  <c r="D367" i="8"/>
  <c r="H377" i="20"/>
  <c r="E500" i="7"/>
  <c r="H421" i="20"/>
  <c r="E606" i="7"/>
  <c r="D344" i="8"/>
  <c r="D352" i="8"/>
  <c r="H208" i="20"/>
  <c r="D346" i="8"/>
  <c r="D350" i="8"/>
  <c r="D354" i="8"/>
  <c r="D358" i="8"/>
  <c r="H374" i="20"/>
  <c r="H331" i="20"/>
  <c r="H343" i="20"/>
  <c r="H330" i="20"/>
  <c r="H334" i="20"/>
  <c r="H338" i="20"/>
  <c r="E445" i="7"/>
  <c r="H342" i="20"/>
  <c r="E412" i="7"/>
  <c r="H323" i="20"/>
  <c r="H335" i="20"/>
  <c r="H313" i="20"/>
  <c r="E413" i="7"/>
  <c r="H324" i="20"/>
  <c r="H332" i="20"/>
  <c r="H336" i="20"/>
  <c r="H348" i="20"/>
  <c r="H312" i="20"/>
  <c r="H339" i="20"/>
  <c r="E416" i="7"/>
  <c r="H325" i="20"/>
  <c r="H329" i="20"/>
  <c r="H333" i="20"/>
  <c r="H337" i="20"/>
  <c r="E443" i="7"/>
  <c r="H341" i="20"/>
  <c r="H345" i="20"/>
  <c r="G417" i="1"/>
  <c r="H355" i="20" l="1"/>
  <c r="E466" i="7"/>
  <c r="H354" i="20"/>
  <c r="E465" i="7"/>
  <c r="H353" i="20"/>
  <c r="E463" i="7"/>
  <c r="H351" i="20"/>
  <c r="E461" i="7"/>
  <c r="H371" i="20"/>
  <c r="E488" i="7"/>
  <c r="H363" i="20"/>
  <c r="E475" i="7"/>
  <c r="H362" i="20"/>
  <c r="E474" i="7"/>
  <c r="H356" i="20"/>
  <c r="E467" i="7"/>
  <c r="E457" i="7"/>
  <c r="E459" i="7"/>
  <c r="H350" i="20"/>
  <c r="E460" i="7"/>
  <c r="H360" i="20"/>
  <c r="E472" i="7"/>
  <c r="H344" i="20"/>
  <c r="E452" i="7"/>
  <c r="H359" i="20"/>
  <c r="E471" i="7"/>
  <c r="H357" i="20"/>
  <c r="E468" i="7"/>
  <c r="H358" i="20"/>
  <c r="E469" i="7"/>
  <c r="H352" i="20"/>
  <c r="E462" i="7"/>
  <c r="H361" i="20"/>
  <c r="E473" i="7"/>
  <c r="E379" i="7"/>
  <c r="E374" i="7" s="1"/>
  <c r="E690" i="7"/>
  <c r="E3054" i="40" s="1"/>
  <c r="E424" i="7"/>
  <c r="E423" i="7" s="1"/>
  <c r="E422" i="7" s="1"/>
  <c r="E664" i="7"/>
  <c r="E2074" i="40" s="1"/>
  <c r="I2354" i="50" s="1"/>
  <c r="I2347" i="50" s="1"/>
  <c r="E415" i="7"/>
  <c r="E414" i="7" s="1"/>
  <c r="E20" i="21" s="1"/>
  <c r="E27" i="21" s="1"/>
  <c r="D37" i="36"/>
  <c r="E37" i="36"/>
  <c r="E37" i="37"/>
  <c r="D37" i="37"/>
  <c r="E605" i="7"/>
  <c r="E603" i="7"/>
  <c r="E602" i="7" s="1"/>
  <c r="E601" i="7" s="1"/>
  <c r="E600" i="7" s="1"/>
  <c r="E599" i="7" s="1"/>
  <c r="E607" i="7"/>
  <c r="H349" i="20"/>
  <c r="H366" i="20"/>
  <c r="E411" i="7"/>
  <c r="E442" i="7"/>
  <c r="F16" i="2"/>
  <c r="C16" i="2"/>
  <c r="D16" i="2"/>
  <c r="D48" i="8"/>
  <c r="I3484" i="50" l="1"/>
  <c r="I3480" i="50" s="1"/>
  <c r="E1211" i="40"/>
  <c r="I1348" i="50" s="1"/>
  <c r="I1347" i="50" s="1"/>
  <c r="I660" i="49"/>
  <c r="I2346" i="50"/>
  <c r="I2345" i="50" s="1"/>
  <c r="I2344" i="50" s="1"/>
  <c r="I2355" i="50"/>
  <c r="I633" i="56"/>
  <c r="E480" i="7"/>
  <c r="E479" i="7" s="1"/>
  <c r="E478" i="7" s="1"/>
  <c r="E477" i="7" s="1"/>
  <c r="E470" i="7"/>
  <c r="G37" i="36"/>
  <c r="F37" i="37"/>
  <c r="H55" i="20"/>
  <c r="E464" i="7"/>
  <c r="E458" i="7"/>
  <c r="F23" i="5"/>
  <c r="C37" i="19"/>
  <c r="E29" i="1"/>
  <c r="D37" i="19" s="1"/>
  <c r="F29" i="1"/>
  <c r="G29" i="1" s="1"/>
  <c r="F63" i="1"/>
  <c r="F59" i="1"/>
  <c r="E59" i="1"/>
  <c r="E58" i="1"/>
  <c r="F49" i="1"/>
  <c r="E49" i="1"/>
  <c r="F45" i="1"/>
  <c r="E45" i="1"/>
  <c r="F40" i="1"/>
  <c r="E40" i="1"/>
  <c r="D59" i="1"/>
  <c r="D58" i="1"/>
  <c r="I1207" i="49" l="1"/>
  <c r="I1137" i="56"/>
  <c r="I3479" i="50"/>
  <c r="I3478" i="50" s="1"/>
  <c r="I3516" i="50"/>
  <c r="I2356" i="50"/>
  <c r="I2359" i="50"/>
  <c r="D60" i="1"/>
  <c r="E60" i="1"/>
  <c r="E22" i="1"/>
  <c r="D21" i="19" l="1"/>
  <c r="D38" i="19" s="1"/>
  <c r="E33" i="1"/>
  <c r="F22" i="5"/>
  <c r="F21" i="5"/>
  <c r="F20" i="5"/>
  <c r="F12" i="2"/>
  <c r="F18" i="5"/>
  <c r="D21" i="2"/>
  <c r="C21" i="2"/>
  <c r="H576" i="8" l="1"/>
  <c r="E25" i="8"/>
  <c r="E24" i="8"/>
  <c r="E23" i="8"/>
  <c r="E22" i="8"/>
  <c r="E21" i="8"/>
  <c r="E20" i="8"/>
  <c r="E19" i="8"/>
  <c r="E18" i="8"/>
  <c r="E17" i="8"/>
  <c r="B18" i="8"/>
  <c r="B19" i="8" s="1"/>
  <c r="B20" i="8" s="1"/>
  <c r="B21" i="8" s="1"/>
  <c r="B22" i="8" s="1"/>
  <c r="B23" i="8" s="1"/>
  <c r="B24" i="8" s="1"/>
  <c r="B25" i="8" s="1"/>
  <c r="B26" i="8" s="1"/>
  <c r="F10" i="8"/>
  <c r="J17" i="20" s="1"/>
  <c r="E10" i="8"/>
  <c r="D10" i="8"/>
  <c r="D342" i="8"/>
  <c r="E455" i="7" s="1"/>
  <c r="C23" i="2"/>
  <c r="D23" i="2"/>
  <c r="C17" i="2"/>
  <c r="D17" i="2"/>
  <c r="C22" i="2"/>
  <c r="D22" i="2"/>
  <c r="C18" i="2"/>
  <c r="D18" i="2"/>
  <c r="C19" i="2"/>
  <c r="D19" i="2"/>
  <c r="C20" i="2"/>
  <c r="D20" i="2"/>
  <c r="D14" i="2"/>
  <c r="D13" i="2"/>
  <c r="D15" i="2"/>
  <c r="D12" i="2"/>
  <c r="G12" i="2" s="1"/>
  <c r="E28" i="8" l="1"/>
  <c r="F28" i="8" s="1"/>
  <c r="E33" i="8"/>
  <c r="F33" i="8" s="1"/>
  <c r="E34" i="8"/>
  <c r="F34" i="8" s="1"/>
  <c r="E27" i="8"/>
  <c r="F27" i="8" s="1"/>
  <c r="E43" i="8"/>
  <c r="F43" i="8" s="1"/>
  <c r="E36" i="8"/>
  <c r="F36" i="8" s="1"/>
  <c r="E37" i="8"/>
  <c r="F37" i="8" s="1"/>
  <c r="E38" i="8"/>
  <c r="F38" i="8" s="1"/>
  <c r="E31" i="8"/>
  <c r="F31" i="8" s="1"/>
  <c r="E44" i="8"/>
  <c r="F44" i="8" s="1"/>
  <c r="E40" i="8"/>
  <c r="F40" i="8" s="1"/>
  <c r="E41" i="8"/>
  <c r="F41" i="8" s="1"/>
  <c r="E42" i="8"/>
  <c r="F42" i="8" s="1"/>
  <c r="E35" i="8"/>
  <c r="F35" i="8" s="1"/>
  <c r="E32" i="8"/>
  <c r="F32" i="8" s="1"/>
  <c r="E29" i="8"/>
  <c r="F29" i="8" s="1"/>
  <c r="E30" i="8"/>
  <c r="F30" i="8" s="1"/>
  <c r="E46" i="8"/>
  <c r="F46" i="8" s="1"/>
  <c r="E39" i="8"/>
  <c r="F39" i="8" s="1"/>
  <c r="E45" i="8"/>
  <c r="F45" i="8" s="1"/>
  <c r="F502" i="7"/>
  <c r="G502" i="7" s="1"/>
  <c r="F493" i="7"/>
  <c r="G493" i="7" s="1"/>
  <c r="F492" i="7"/>
  <c r="G492" i="7" s="1"/>
  <c r="F366" i="7"/>
  <c r="G366" i="7" s="1"/>
  <c r="F560" i="7"/>
  <c r="G560" i="7" s="1"/>
  <c r="F582" i="7"/>
  <c r="G582" i="7" s="1"/>
  <c r="F585" i="7"/>
  <c r="G585" i="7" s="1"/>
  <c r="F586" i="7"/>
  <c r="G586" i="7" s="1"/>
  <c r="F583" i="7"/>
  <c r="G583" i="7" s="1"/>
  <c r="F584" i="7"/>
  <c r="G584" i="7" s="1"/>
  <c r="F476" i="7"/>
  <c r="G476" i="7" s="1"/>
  <c r="F535" i="7"/>
  <c r="G535" i="7" s="1"/>
  <c r="F534" i="7"/>
  <c r="G534" i="7" s="1"/>
  <c r="F536" i="7"/>
  <c r="G536" i="7" s="1"/>
  <c r="F503" i="7"/>
  <c r="G503" i="7" s="1"/>
  <c r="F499" i="7"/>
  <c r="G499" i="7" s="1"/>
  <c r="F498" i="7"/>
  <c r="G498" i="7" s="1"/>
  <c r="F421" i="7"/>
  <c r="G421" i="7" s="1"/>
  <c r="F391" i="7"/>
  <c r="G391" i="7" s="1"/>
  <c r="F553" i="7"/>
  <c r="G553" i="7" s="1"/>
  <c r="F544" i="7"/>
  <c r="F540" i="7"/>
  <c r="F543" i="7"/>
  <c r="F541" i="7"/>
  <c r="F542" i="7"/>
  <c r="F533" i="7"/>
  <c r="F517" i="7"/>
  <c r="F597" i="7"/>
  <c r="G597" i="7" s="1"/>
  <c r="F518" i="7"/>
  <c r="F596" i="7"/>
  <c r="F497" i="7"/>
  <c r="G497" i="7" s="1"/>
  <c r="F532" i="7"/>
  <c r="G532" i="7" s="1"/>
  <c r="F496" i="7"/>
  <c r="F455" i="7"/>
  <c r="G455" i="7" s="1"/>
  <c r="H347" i="20"/>
  <c r="I17" i="20"/>
  <c r="F588" i="7"/>
  <c r="G588" i="7" s="1"/>
  <c r="F580" i="7"/>
  <c r="G580" i="7" s="1"/>
  <c r="F587" i="7"/>
  <c r="G587" i="7" s="1"/>
  <c r="F579" i="7"/>
  <c r="G579" i="7" s="1"/>
  <c r="F581" i="7"/>
  <c r="G581" i="7" s="1"/>
  <c r="F578" i="7"/>
  <c r="G578" i="7" s="1"/>
  <c r="F18" i="8"/>
  <c r="J25" i="20" s="1"/>
  <c r="I25" i="20"/>
  <c r="F22" i="8"/>
  <c r="J29" i="20" s="1"/>
  <c r="I29" i="20"/>
  <c r="F420" i="7"/>
  <c r="G420" i="7" s="1"/>
  <c r="H327" i="20"/>
  <c r="F19" i="8"/>
  <c r="J26" i="20" s="1"/>
  <c r="I26" i="20"/>
  <c r="F23" i="8"/>
  <c r="J30" i="20" s="1"/>
  <c r="I30" i="20"/>
  <c r="F20" i="8"/>
  <c r="J27" i="20" s="1"/>
  <c r="I27" i="20"/>
  <c r="F24" i="8"/>
  <c r="J31" i="20" s="1"/>
  <c r="I31" i="20"/>
  <c r="H17" i="20"/>
  <c r="F17" i="8"/>
  <c r="J24" i="20" s="1"/>
  <c r="I24" i="20"/>
  <c r="F21" i="8"/>
  <c r="J28" i="20" s="1"/>
  <c r="I28" i="20"/>
  <c r="F25" i="8"/>
  <c r="J32" i="20" s="1"/>
  <c r="I32" i="20"/>
  <c r="H326" i="20"/>
  <c r="F529" i="7"/>
  <c r="G529" i="7" s="1"/>
  <c r="F531" i="7"/>
  <c r="G531" i="7" s="1"/>
  <c r="F551" i="7"/>
  <c r="F530" i="7"/>
  <c r="G530" i="7" s="1"/>
  <c r="F528" i="7"/>
  <c r="F552" i="7"/>
  <c r="D341" i="8"/>
  <c r="E454" i="7" s="1"/>
  <c r="C19" i="5"/>
  <c r="F607" i="7"/>
  <c r="G607" i="7" s="1"/>
  <c r="F614" i="7"/>
  <c r="G614" i="7" s="1"/>
  <c r="F609" i="7"/>
  <c r="G609" i="7" s="1"/>
  <c r="F605" i="7"/>
  <c r="G605" i="7" s="1"/>
  <c r="F613" i="7"/>
  <c r="F608" i="7"/>
  <c r="G608" i="7" s="1"/>
  <c r="F604" i="7"/>
  <c r="F611" i="7"/>
  <c r="G611" i="7" s="1"/>
  <c r="F610" i="7"/>
  <c r="G610" i="7" s="1"/>
  <c r="F615" i="7"/>
  <c r="G615" i="7" s="1"/>
  <c r="F606" i="7"/>
  <c r="G606" i="7" s="1"/>
  <c r="F616" i="7"/>
  <c r="G616" i="7" s="1"/>
  <c r="F572" i="7"/>
  <c r="F564" i="7"/>
  <c r="F573" i="7"/>
  <c r="G573" i="7" s="1"/>
  <c r="F570" i="7"/>
  <c r="F565" i="7"/>
  <c r="F562" i="7"/>
  <c r="G562" i="7" s="1"/>
  <c r="F566" i="7"/>
  <c r="G566" i="7" s="1"/>
  <c r="F559" i="7"/>
  <c r="G559" i="7" s="1"/>
  <c r="F563" i="7"/>
  <c r="F577" i="7"/>
  <c r="G577" i="7" s="1"/>
  <c r="F569" i="7"/>
  <c r="G569" i="7" s="1"/>
  <c r="F558" i="7"/>
  <c r="F568" i="7"/>
  <c r="G568" i="7" s="1"/>
  <c r="F571" i="7"/>
  <c r="G571" i="7" s="1"/>
  <c r="F575" i="7"/>
  <c r="G575" i="7" s="1"/>
  <c r="F567" i="7"/>
  <c r="G567" i="7" s="1"/>
  <c r="F576" i="7"/>
  <c r="G576" i="7" s="1"/>
  <c r="F561" i="7"/>
  <c r="F574" i="7"/>
  <c r="G574" i="7" s="1"/>
  <c r="F550" i="7"/>
  <c r="F527" i="7"/>
  <c r="G527" i="7" s="1"/>
  <c r="F546" i="7"/>
  <c r="F526" i="7"/>
  <c r="F539" i="7"/>
  <c r="F697" i="7" s="1"/>
  <c r="F510" i="7"/>
  <c r="G510" i="7" s="1"/>
  <c r="F519" i="7"/>
  <c r="G519" i="7" s="1"/>
  <c r="F509" i="7"/>
  <c r="F521" i="7"/>
  <c r="G521" i="7" s="1"/>
  <c r="F520" i="7"/>
  <c r="G520" i="7" s="1"/>
  <c r="F525" i="7"/>
  <c r="F487" i="7"/>
  <c r="G487" i="7" s="1"/>
  <c r="F482" i="7"/>
  <c r="G482" i="7" s="1"/>
  <c r="F486" i="7"/>
  <c r="G486" i="7" s="1"/>
  <c r="F491" i="7"/>
  <c r="G491" i="7" s="1"/>
  <c r="F495" i="7"/>
  <c r="G495" i="7" s="1"/>
  <c r="F483" i="7"/>
  <c r="G483" i="7" s="1"/>
  <c r="F485" i="7"/>
  <c r="G485" i="7" s="1"/>
  <c r="F459" i="7"/>
  <c r="F494" i="7"/>
  <c r="G494" i="7" s="1"/>
  <c r="F489" i="7"/>
  <c r="G489" i="7" s="1"/>
  <c r="F490" i="7"/>
  <c r="G490" i="7" s="1"/>
  <c r="F501" i="7"/>
  <c r="F457" i="7"/>
  <c r="G457" i="7" s="1"/>
  <c r="F440" i="7"/>
  <c r="F446" i="7"/>
  <c r="F475" i="7"/>
  <c r="G475" i="7" s="1"/>
  <c r="F456" i="7"/>
  <c r="G456" i="7" s="1"/>
  <c r="F484" i="7"/>
  <c r="G484" i="7" s="1"/>
  <c r="F453" i="7"/>
  <c r="G453" i="7" s="1"/>
  <c r="F474" i="7"/>
  <c r="G474" i="7" s="1"/>
  <c r="F460" i="7"/>
  <c r="G460" i="7" s="1"/>
  <c r="F462" i="7"/>
  <c r="G462" i="7" s="1"/>
  <c r="F466" i="7"/>
  <c r="G466" i="7" s="1"/>
  <c r="F467" i="7"/>
  <c r="G467" i="7" s="1"/>
  <c r="F472" i="7"/>
  <c r="G472" i="7" s="1"/>
  <c r="F481" i="7"/>
  <c r="F452" i="7"/>
  <c r="F444" i="7"/>
  <c r="F461" i="7"/>
  <c r="G461" i="7" s="1"/>
  <c r="F488" i="7"/>
  <c r="G488" i="7" s="1"/>
  <c r="F463" i="7"/>
  <c r="G463" i="7" s="1"/>
  <c r="F447" i="7"/>
  <c r="G447" i="7" s="1"/>
  <c r="F468" i="7"/>
  <c r="G468" i="7" s="1"/>
  <c r="F465" i="7"/>
  <c r="F471" i="7"/>
  <c r="F473" i="7"/>
  <c r="G473" i="7" s="1"/>
  <c r="F469" i="7"/>
  <c r="G469" i="7" s="1"/>
  <c r="F431" i="7"/>
  <c r="G431" i="7" s="1"/>
  <c r="F430" i="7"/>
  <c r="G430" i="7" s="1"/>
  <c r="F436" i="7"/>
  <c r="G436" i="7" s="1"/>
  <c r="F434" i="7"/>
  <c r="G434" i="7" s="1"/>
  <c r="F433" i="7"/>
  <c r="G433" i="7" s="1"/>
  <c r="F427" i="7"/>
  <c r="G427" i="7" s="1"/>
  <c r="F435" i="7"/>
  <c r="G435" i="7" s="1"/>
  <c r="F428" i="7"/>
  <c r="G428" i="7" s="1"/>
  <c r="F432" i="7"/>
  <c r="F429" i="7"/>
  <c r="G429" i="7" s="1"/>
  <c r="F426" i="7"/>
  <c r="F690" i="7" s="1"/>
  <c r="F416" i="7"/>
  <c r="F412" i="7"/>
  <c r="F413" i="7"/>
  <c r="F410" i="7"/>
  <c r="G410" i="7" s="1"/>
  <c r="F378" i="7"/>
  <c r="G378" i="7" s="1"/>
  <c r="F375" i="7"/>
  <c r="F377" i="7"/>
  <c r="G377" i="7" s="1"/>
  <c r="F381" i="7"/>
  <c r="G381" i="7" s="1"/>
  <c r="F380" i="7"/>
  <c r="F376" i="7"/>
  <c r="G376" i="7" s="1"/>
  <c r="D102" i="8"/>
  <c r="D106" i="8"/>
  <c r="D110" i="8"/>
  <c r="D114" i="8"/>
  <c r="H125" i="20"/>
  <c r="D179" i="8"/>
  <c r="D175" i="8"/>
  <c r="D171" i="8"/>
  <c r="D167" i="8"/>
  <c r="D163" i="8"/>
  <c r="D159" i="8"/>
  <c r="D155" i="8"/>
  <c r="D151" i="8"/>
  <c r="H219" i="20"/>
  <c r="D208" i="8"/>
  <c r="D204" i="8"/>
  <c r="H207" i="20"/>
  <c r="D281" i="8"/>
  <c r="E372" i="7" s="1"/>
  <c r="D273" i="8"/>
  <c r="E362" i="7" s="1"/>
  <c r="H221" i="20"/>
  <c r="D206" i="8"/>
  <c r="H209" i="20"/>
  <c r="H205" i="20"/>
  <c r="D233" i="8"/>
  <c r="D279" i="8"/>
  <c r="E370" i="7" s="1"/>
  <c r="C13" i="2"/>
  <c r="D269" i="8"/>
  <c r="D178" i="8"/>
  <c r="D174" i="8"/>
  <c r="D170" i="8"/>
  <c r="D166" i="8"/>
  <c r="D162" i="8"/>
  <c r="D158" i="8"/>
  <c r="D150" i="8"/>
  <c r="D146" i="8"/>
  <c r="H153" i="20" s="1"/>
  <c r="D180" i="8"/>
  <c r="D203" i="8"/>
  <c r="H206" i="20"/>
  <c r="D250" i="8"/>
  <c r="D280" i="8"/>
  <c r="E371" i="7" s="1"/>
  <c r="D272" i="8"/>
  <c r="E361" i="7" s="1"/>
  <c r="C15" i="2"/>
  <c r="D270" i="8"/>
  <c r="D89" i="8"/>
  <c r="D101" i="8"/>
  <c r="D105" i="8"/>
  <c r="D113" i="8"/>
  <c r="D121" i="8"/>
  <c r="D125" i="8"/>
  <c r="H220" i="20"/>
  <c r="D205" i="8"/>
  <c r="D216" i="8"/>
  <c r="C12" i="2"/>
  <c r="D282" i="8"/>
  <c r="E373" i="7" s="1"/>
  <c r="D274" i="8"/>
  <c r="E363" i="7" s="1"/>
  <c r="C14" i="2"/>
  <c r="D271" i="8"/>
  <c r="C18" i="5"/>
  <c r="D49" i="8"/>
  <c r="C21" i="5"/>
  <c r="D103" i="8"/>
  <c r="D107" i="8"/>
  <c r="H118" i="20"/>
  <c r="D135" i="8"/>
  <c r="D21" i="5"/>
  <c r="D18" i="5"/>
  <c r="C22" i="5"/>
  <c r="C23" i="5"/>
  <c r="D172" i="8"/>
  <c r="D168" i="8"/>
  <c r="D164" i="8"/>
  <c r="D160" i="8"/>
  <c r="D156" i="8"/>
  <c r="D152" i="8"/>
  <c r="D182" i="8"/>
  <c r="D96" i="8"/>
  <c r="D108" i="8"/>
  <c r="D124" i="8"/>
  <c r="D136" i="8"/>
  <c r="D177" i="8"/>
  <c r="D173" i="8"/>
  <c r="D169" i="8"/>
  <c r="D165" i="8"/>
  <c r="D161" i="8"/>
  <c r="D157" i="8"/>
  <c r="D153" i="8"/>
  <c r="D22" i="5"/>
  <c r="D23" i="5"/>
  <c r="D59" i="8"/>
  <c r="E360" i="7" l="1"/>
  <c r="E368" i="7"/>
  <c r="F514" i="7"/>
  <c r="F513" i="7" s="1"/>
  <c r="F512" i="7" s="1"/>
  <c r="F511" i="7" s="1"/>
  <c r="G23" i="19" s="1"/>
  <c r="H66" i="20"/>
  <c r="H56" i="20"/>
  <c r="H103" i="20"/>
  <c r="H96" i="20"/>
  <c r="G432" i="7"/>
  <c r="G572" i="7"/>
  <c r="G675" i="7" s="1"/>
  <c r="F675" i="7"/>
  <c r="G660" i="7"/>
  <c r="F660" i="7"/>
  <c r="G570" i="7"/>
  <c r="G674" i="7" s="1"/>
  <c r="F674" i="7"/>
  <c r="H257" i="20"/>
  <c r="H276" i="20"/>
  <c r="H166" i="20"/>
  <c r="H172" i="20"/>
  <c r="H189" i="20"/>
  <c r="H171" i="20"/>
  <c r="H223" i="20"/>
  <c r="H187" i="20"/>
  <c r="H169" i="20"/>
  <c r="H185" i="20"/>
  <c r="H240" i="20"/>
  <c r="H211" i="20"/>
  <c r="H162" i="20"/>
  <c r="H178" i="20"/>
  <c r="H176" i="20"/>
  <c r="H212" i="20"/>
  <c r="H215" i="20"/>
  <c r="H159" i="20"/>
  <c r="H277" i="20"/>
  <c r="H173" i="20"/>
  <c r="H164" i="20"/>
  <c r="H180" i="20"/>
  <c r="H163" i="20"/>
  <c r="H179" i="20"/>
  <c r="H278" i="20"/>
  <c r="H157" i="20"/>
  <c r="H177" i="20"/>
  <c r="H170" i="20"/>
  <c r="H186" i="20"/>
  <c r="H160" i="20"/>
  <c r="H175" i="20"/>
  <c r="H168" i="20"/>
  <c r="H184" i="20"/>
  <c r="H167" i="20"/>
  <c r="H210" i="20"/>
  <c r="H165" i="20"/>
  <c r="H181" i="20"/>
  <c r="H213" i="20"/>
  <c r="H158" i="20"/>
  <c r="H174" i="20"/>
  <c r="E418" i="7"/>
  <c r="E417" i="7" s="1"/>
  <c r="F364" i="7"/>
  <c r="G364" i="7" s="1"/>
  <c r="G696" i="7" s="1"/>
  <c r="E696" i="7"/>
  <c r="E3125" i="40" s="1"/>
  <c r="I3594" i="50" s="1"/>
  <c r="I3587" i="50" s="1"/>
  <c r="F365" i="7"/>
  <c r="G365" i="7" s="1"/>
  <c r="G693" i="7" s="1"/>
  <c r="E693" i="7"/>
  <c r="E3144" i="40" s="1"/>
  <c r="I3617" i="50" s="1"/>
  <c r="I3608" i="50" s="1"/>
  <c r="F669" i="7"/>
  <c r="G540" i="7"/>
  <c r="G698" i="7" s="1"/>
  <c r="F698" i="7"/>
  <c r="G542" i="7"/>
  <c r="G700" i="7" s="1"/>
  <c r="F700" i="7"/>
  <c r="G544" i="7"/>
  <c r="F702" i="7"/>
  <c r="G541" i="7"/>
  <c r="G699" i="7" s="1"/>
  <c r="F699" i="7"/>
  <c r="G543" i="7"/>
  <c r="G701" i="7" s="1"/>
  <c r="F701" i="7"/>
  <c r="E523" i="7"/>
  <c r="G563" i="7"/>
  <c r="G691" i="7" s="1"/>
  <c r="F691" i="7"/>
  <c r="G517" i="7"/>
  <c r="F683" i="7"/>
  <c r="F677" i="7"/>
  <c r="F678" i="7"/>
  <c r="G526" i="7"/>
  <c r="G676" i="7" s="1"/>
  <c r="F676" i="7"/>
  <c r="G565" i="7"/>
  <c r="G668" i="7" s="1"/>
  <c r="F668" i="7"/>
  <c r="G561" i="7"/>
  <c r="F663" i="7"/>
  <c r="G564" i="7"/>
  <c r="F666" i="7"/>
  <c r="G413" i="7"/>
  <c r="G664" i="7" s="1"/>
  <c r="F664" i="7"/>
  <c r="G533" i="7"/>
  <c r="G518" i="7"/>
  <c r="G659" i="7" s="1"/>
  <c r="F659" i="7"/>
  <c r="G528" i="7"/>
  <c r="G658" i="7" s="1"/>
  <c r="F658" i="7"/>
  <c r="G552" i="7"/>
  <c r="G551" i="7"/>
  <c r="H182" i="20"/>
  <c r="F500" i="7"/>
  <c r="H128" i="20"/>
  <c r="H131" i="20"/>
  <c r="H114" i="20"/>
  <c r="H120" i="20"/>
  <c r="H117" i="20"/>
  <c r="H143" i="20"/>
  <c r="H115" i="20"/>
  <c r="H110" i="20"/>
  <c r="H112" i="20"/>
  <c r="H113" i="20"/>
  <c r="H142" i="20"/>
  <c r="H132" i="20"/>
  <c r="H108" i="20"/>
  <c r="H109" i="20"/>
  <c r="H121" i="20"/>
  <c r="F594" i="7"/>
  <c r="F593" i="7" s="1"/>
  <c r="F592" i="7" s="1"/>
  <c r="F591" i="7" s="1"/>
  <c r="F590" i="7" s="1"/>
  <c r="F643" i="7" s="1"/>
  <c r="G34" i="19" s="1"/>
  <c r="G596" i="7"/>
  <c r="G594" i="7" s="1"/>
  <c r="G593" i="7" s="1"/>
  <c r="G592" i="7" s="1"/>
  <c r="G591" i="7" s="1"/>
  <c r="G590" i="7" s="1"/>
  <c r="G643" i="7" s="1"/>
  <c r="H34" i="19" s="1"/>
  <c r="F480" i="7"/>
  <c r="G496" i="7"/>
  <c r="F549" i="7"/>
  <c r="F548" i="7" s="1"/>
  <c r="F547" i="7" s="1"/>
  <c r="I1264" i="50"/>
  <c r="E404" i="7"/>
  <c r="F404" i="7" s="1"/>
  <c r="G404" i="7" s="1"/>
  <c r="C34" i="36"/>
  <c r="F34" i="36" s="1"/>
  <c r="G34" i="36" s="1"/>
  <c r="C34" i="37"/>
  <c r="E403" i="7"/>
  <c r="F403" i="7" s="1"/>
  <c r="G403" i="7" s="1"/>
  <c r="C76" i="10"/>
  <c r="C87" i="10" s="1"/>
  <c r="E634" i="7" s="1"/>
  <c r="E32" i="21" s="1"/>
  <c r="F419" i="7"/>
  <c r="F418" i="7" s="1"/>
  <c r="F417" i="7" s="1"/>
  <c r="E402" i="7"/>
  <c r="F402" i="7" s="1"/>
  <c r="G402" i="7" s="1"/>
  <c r="H279" i="20"/>
  <c r="H281" i="20"/>
  <c r="H286" i="20"/>
  <c r="H288" i="20"/>
  <c r="H287" i="20"/>
  <c r="H346" i="20"/>
  <c r="F401" i="7"/>
  <c r="G401" i="7" s="1"/>
  <c r="H285" i="20"/>
  <c r="H284" i="20"/>
  <c r="H280" i="20"/>
  <c r="F557" i="7"/>
  <c r="F556" i="7" s="1"/>
  <c r="F555" i="7" s="1"/>
  <c r="F554" i="7" s="1"/>
  <c r="G26" i="19" s="1"/>
  <c r="G604" i="7"/>
  <c r="G603" i="7" s="1"/>
  <c r="F603" i="7"/>
  <c r="G375" i="7"/>
  <c r="G374" i="7" s="1"/>
  <c r="F374" i="7"/>
  <c r="F400" i="7"/>
  <c r="G400" i="7" s="1"/>
  <c r="G380" i="7"/>
  <c r="G379" i="7" s="1"/>
  <c r="F379" i="7"/>
  <c r="G613" i="7"/>
  <c r="G612" i="7" s="1"/>
  <c r="F612" i="7"/>
  <c r="G416" i="7"/>
  <c r="G415" i="7" s="1"/>
  <c r="G414" i="7" s="1"/>
  <c r="F415" i="7"/>
  <c r="F414" i="7" s="1"/>
  <c r="G446" i="7"/>
  <c r="G445" i="7" s="1"/>
  <c r="F445" i="7"/>
  <c r="G426" i="7"/>
  <c r="F425" i="7"/>
  <c r="F424" i="7" s="1"/>
  <c r="F423" i="7" s="1"/>
  <c r="F422" i="7" s="1"/>
  <c r="G465" i="7"/>
  <c r="G464" i="7" s="1"/>
  <c r="F464" i="7"/>
  <c r="G481" i="7"/>
  <c r="G480" i="7" s="1"/>
  <c r="G440" i="7"/>
  <c r="G439" i="7" s="1"/>
  <c r="G438" i="7" s="1"/>
  <c r="G437" i="7" s="1"/>
  <c r="F439" i="7"/>
  <c r="F438" i="7" s="1"/>
  <c r="F437" i="7" s="1"/>
  <c r="G525" i="7"/>
  <c r="G669" i="7" s="1"/>
  <c r="G539" i="7"/>
  <c r="F538" i="7"/>
  <c r="G550" i="7"/>
  <c r="G678" i="7" s="1"/>
  <c r="G558" i="7"/>
  <c r="G412" i="7"/>
  <c r="F411" i="7"/>
  <c r="G471" i="7"/>
  <c r="G470" i="7" s="1"/>
  <c r="F470" i="7"/>
  <c r="G452" i="7"/>
  <c r="G509" i="7"/>
  <c r="G508" i="7" s="1"/>
  <c r="G507" i="7" s="1"/>
  <c r="G506" i="7" s="1"/>
  <c r="G505" i="7" s="1"/>
  <c r="H22" i="19" s="1"/>
  <c r="F508" i="7"/>
  <c r="F507" i="7" s="1"/>
  <c r="F506" i="7" s="1"/>
  <c r="F505" i="7" s="1"/>
  <c r="G22" i="19" s="1"/>
  <c r="G444" i="7"/>
  <c r="G443" i="7" s="1"/>
  <c r="F443" i="7"/>
  <c r="G501" i="7"/>
  <c r="G500" i="7" s="1"/>
  <c r="G459" i="7"/>
  <c r="G458" i="7" s="1"/>
  <c r="F458" i="7"/>
  <c r="G546" i="7"/>
  <c r="F545" i="7"/>
  <c r="E27" i="2"/>
  <c r="E12" i="2"/>
  <c r="D72" i="8"/>
  <c r="D55" i="8"/>
  <c r="D61" i="8"/>
  <c r="D65" i="8"/>
  <c r="D53" i="8"/>
  <c r="D20" i="5"/>
  <c r="D60" i="8"/>
  <c r="D64" i="8"/>
  <c r="D68" i="8"/>
  <c r="D73" i="8"/>
  <c r="D81" i="8"/>
  <c r="D51" i="8"/>
  <c r="D56" i="8"/>
  <c r="D71" i="8"/>
  <c r="C20" i="5"/>
  <c r="D54" i="8"/>
  <c r="D52" i="8"/>
  <c r="E77" i="1"/>
  <c r="F77" i="1" s="1"/>
  <c r="G23" i="5"/>
  <c r="E23" i="5"/>
  <c r="H27" i="24"/>
  <c r="H21" i="24" s="1"/>
  <c r="G19" i="5"/>
  <c r="D17" i="5"/>
  <c r="C17" i="5"/>
  <c r="D16" i="5"/>
  <c r="C16" i="5"/>
  <c r="D15" i="5"/>
  <c r="C15" i="5"/>
  <c r="D14" i="5"/>
  <c r="C14" i="5"/>
  <c r="D13" i="5"/>
  <c r="C13" i="5"/>
  <c r="D12" i="5"/>
  <c r="C12" i="5"/>
  <c r="D15" i="4"/>
  <c r="C15" i="4"/>
  <c r="D14" i="4"/>
  <c r="C14" i="4"/>
  <c r="D13" i="4"/>
  <c r="D12" i="4"/>
  <c r="C12" i="4"/>
  <c r="E12" i="4" s="1"/>
  <c r="C13" i="4"/>
  <c r="D27" i="3"/>
  <c r="C27" i="3"/>
  <c r="D26" i="3"/>
  <c r="C26" i="3"/>
  <c r="D25" i="3"/>
  <c r="C25" i="3"/>
  <c r="D24" i="3"/>
  <c r="G24" i="3" s="1"/>
  <c r="C24" i="3"/>
  <c r="E24" i="3" s="1"/>
  <c r="D23" i="3"/>
  <c r="C23" i="3"/>
  <c r="D22" i="3"/>
  <c r="G22" i="3" s="1"/>
  <c r="C22" i="3"/>
  <c r="E22" i="3" s="1"/>
  <c r="D20" i="3"/>
  <c r="C20" i="3"/>
  <c r="D19" i="3"/>
  <c r="C19" i="3"/>
  <c r="D18" i="3"/>
  <c r="C18" i="3"/>
  <c r="D17" i="3"/>
  <c r="G17" i="3" s="1"/>
  <c r="C17" i="3"/>
  <c r="E17" i="3" s="1"/>
  <c r="D16" i="3"/>
  <c r="G16" i="3" s="1"/>
  <c r="C16" i="3"/>
  <c r="E16" i="3" s="1"/>
  <c r="D15" i="3"/>
  <c r="C15" i="3"/>
  <c r="D14" i="3"/>
  <c r="C14" i="3"/>
  <c r="D13" i="3"/>
  <c r="C13" i="3"/>
  <c r="D10" i="3"/>
  <c r="F10" i="3" s="1"/>
  <c r="D10" i="2"/>
  <c r="F10" i="2" s="1"/>
  <c r="E62" i="1"/>
  <c r="F62" i="1" s="1"/>
  <c r="G55" i="1"/>
  <c r="G54" i="1"/>
  <c r="G53" i="1"/>
  <c r="F52" i="1"/>
  <c r="F48" i="1" s="1"/>
  <c r="E52" i="1"/>
  <c r="E48" i="1" s="1"/>
  <c r="G51" i="1"/>
  <c r="E27" i="40" s="1"/>
  <c r="G50" i="1"/>
  <c r="E90" i="40" s="1"/>
  <c r="F90" i="40" s="1"/>
  <c r="G90" i="40" s="1"/>
  <c r="G47" i="1"/>
  <c r="E26" i="40" s="1"/>
  <c r="F26" i="40" s="1"/>
  <c r="G26" i="40" s="1"/>
  <c r="G46" i="1"/>
  <c r="E89" i="40" s="1"/>
  <c r="F89" i="40" s="1"/>
  <c r="G89" i="40" s="1"/>
  <c r="F44" i="1"/>
  <c r="F58" i="1" s="1"/>
  <c r="F60" i="1" s="1"/>
  <c r="E43" i="1"/>
  <c r="E39" i="1" s="1"/>
  <c r="G42" i="1"/>
  <c r="G41" i="1"/>
  <c r="E37" i="1"/>
  <c r="F37" i="1" s="1"/>
  <c r="C21" i="19"/>
  <c r="C12" i="19"/>
  <c r="F22" i="1"/>
  <c r="F33" i="1" s="1"/>
  <c r="E11" i="1"/>
  <c r="F11" i="1" s="1"/>
  <c r="H67" i="20" l="1"/>
  <c r="H62" i="20"/>
  <c r="H61" i="20"/>
  <c r="H58" i="20"/>
  <c r="H71" i="20"/>
  <c r="H72" i="20"/>
  <c r="H88" i="20"/>
  <c r="H80" i="20"/>
  <c r="H68" i="20"/>
  <c r="H78" i="20"/>
  <c r="H59" i="20"/>
  <c r="H63" i="20"/>
  <c r="H75" i="20"/>
  <c r="H60" i="20"/>
  <c r="H79" i="20"/>
  <c r="I3657" i="50"/>
  <c r="I1193" i="56"/>
  <c r="I1270" i="49"/>
  <c r="I3607" i="50"/>
  <c r="I3606" i="50" s="1"/>
  <c r="I1183" i="56"/>
  <c r="I3660" i="50"/>
  <c r="I3586" i="50"/>
  <c r="I3585" i="50" s="1"/>
  <c r="I1260" i="49"/>
  <c r="F479" i="7"/>
  <c r="F478" i="7" s="1"/>
  <c r="F477" i="7" s="1"/>
  <c r="I165" i="50"/>
  <c r="I166" i="50"/>
  <c r="E367" i="7"/>
  <c r="E451" i="7"/>
  <c r="E450" i="7" s="1"/>
  <c r="E449" i="7" s="1"/>
  <c r="E448" i="7" s="1"/>
  <c r="E441" i="7" s="1"/>
  <c r="E359" i="7"/>
  <c r="E522" i="7"/>
  <c r="E504" i="7" s="1"/>
  <c r="E641" i="7" s="1"/>
  <c r="F361" i="7"/>
  <c r="G361" i="7" s="1"/>
  <c r="F696" i="7"/>
  <c r="F362" i="7"/>
  <c r="G362" i="7" s="1"/>
  <c r="F693" i="7"/>
  <c r="F363" i="7"/>
  <c r="G363" i="7" s="1"/>
  <c r="G702" i="7"/>
  <c r="G538" i="7"/>
  <c r="G697" i="7"/>
  <c r="G557" i="7"/>
  <c r="G556" i="7" s="1"/>
  <c r="G555" i="7" s="1"/>
  <c r="G554" i="7" s="1"/>
  <c r="H26" i="19" s="1"/>
  <c r="G425" i="7"/>
  <c r="G424" i="7" s="1"/>
  <c r="G423" i="7" s="1"/>
  <c r="G422" i="7" s="1"/>
  <c r="G690" i="7"/>
  <c r="F369" i="7"/>
  <c r="F370" i="7"/>
  <c r="G370" i="7" s="1"/>
  <c r="F373" i="7"/>
  <c r="G373" i="7" s="1"/>
  <c r="F372" i="7"/>
  <c r="G372" i="7" s="1"/>
  <c r="F371" i="7"/>
  <c r="G371" i="7" s="1"/>
  <c r="G683" i="7"/>
  <c r="G677" i="7"/>
  <c r="G411" i="7"/>
  <c r="I1692" i="50"/>
  <c r="G666" i="7"/>
  <c r="I1593" i="50"/>
  <c r="I1600" i="50" s="1"/>
  <c r="I1599" i="50" s="1"/>
  <c r="G663" i="7"/>
  <c r="E15" i="4"/>
  <c r="E26" i="3"/>
  <c r="E25" i="3"/>
  <c r="E14" i="4"/>
  <c r="E14" i="3"/>
  <c r="I297" i="49"/>
  <c r="I288" i="56"/>
  <c r="G479" i="7"/>
  <c r="G478" i="7" s="1"/>
  <c r="G477" i="7" s="1"/>
  <c r="G549" i="7"/>
  <c r="G548" i="7" s="1"/>
  <c r="G547" i="7" s="1"/>
  <c r="F524" i="7"/>
  <c r="F523" i="7" s="1"/>
  <c r="I1492" i="50"/>
  <c r="I1718" i="50"/>
  <c r="I1510" i="50"/>
  <c r="I2178" i="50"/>
  <c r="I2221" i="50"/>
  <c r="I1511" i="50"/>
  <c r="I2305" i="50"/>
  <c r="I1448" i="50"/>
  <c r="G545" i="7"/>
  <c r="F87" i="40"/>
  <c r="G87" i="40" s="1"/>
  <c r="G514" i="7"/>
  <c r="G513" i="7" s="1"/>
  <c r="G512" i="7" s="1"/>
  <c r="G511" i="7" s="1"/>
  <c r="H23" i="19" s="1"/>
  <c r="I39" i="50"/>
  <c r="I42" i="50"/>
  <c r="I40" i="50"/>
  <c r="I38" i="50"/>
  <c r="F25" i="40"/>
  <c r="G25" i="40" s="1"/>
  <c r="F27" i="40"/>
  <c r="G27" i="40" s="1"/>
  <c r="C38" i="19"/>
  <c r="F14" i="5"/>
  <c r="E15" i="19"/>
  <c r="H15" i="24" s="1"/>
  <c r="F19" i="3"/>
  <c r="G19" i="3" s="1"/>
  <c r="E19" i="19"/>
  <c r="H19" i="24" s="1"/>
  <c r="F13" i="4"/>
  <c r="E23" i="19"/>
  <c r="F27" i="3"/>
  <c r="G27" i="3" s="1"/>
  <c r="E37" i="19"/>
  <c r="F17" i="5"/>
  <c r="G17" i="5" s="1"/>
  <c r="E18" i="19"/>
  <c r="H18" i="24" s="1"/>
  <c r="F15" i="4"/>
  <c r="G15" i="4" s="1"/>
  <c r="E26" i="19"/>
  <c r="F15" i="5"/>
  <c r="E16" i="19"/>
  <c r="H16" i="24" s="1"/>
  <c r="F12" i="4"/>
  <c r="E22" i="19"/>
  <c r="F20" i="3"/>
  <c r="G20" i="3" s="1"/>
  <c r="E20" i="19"/>
  <c r="H20" i="24" s="1"/>
  <c r="F24" i="3"/>
  <c r="E24" i="19"/>
  <c r="F12" i="5"/>
  <c r="G12" i="5" s="1"/>
  <c r="E13" i="19"/>
  <c r="H13" i="24" s="1"/>
  <c r="F17" i="3"/>
  <c r="E17" i="19"/>
  <c r="H17" i="24" s="1"/>
  <c r="F25" i="3"/>
  <c r="G25" i="3" s="1"/>
  <c r="E25" i="19"/>
  <c r="F13" i="5"/>
  <c r="E14" i="19"/>
  <c r="H14" i="24" s="1"/>
  <c r="E34" i="37"/>
  <c r="D34" i="37"/>
  <c r="F634" i="7"/>
  <c r="F633" i="7" s="1"/>
  <c r="G419" i="7"/>
  <c r="G418" i="7" s="1"/>
  <c r="G417" i="7" s="1"/>
  <c r="E633" i="7"/>
  <c r="F454" i="7"/>
  <c r="G454" i="7" s="1"/>
  <c r="G451" i="7" s="1"/>
  <c r="G450" i="7" s="1"/>
  <c r="G449" i="7" s="1"/>
  <c r="G448" i="7" s="1"/>
  <c r="G602" i="7"/>
  <c r="G601" i="7" s="1"/>
  <c r="G600" i="7" s="1"/>
  <c r="G599" i="7" s="1"/>
  <c r="F537" i="7"/>
  <c r="F602" i="7"/>
  <c r="F601" i="7" s="1"/>
  <c r="F600" i="7" s="1"/>
  <c r="F599" i="7" s="1"/>
  <c r="F442" i="7"/>
  <c r="G442" i="7"/>
  <c r="E20" i="5"/>
  <c r="E13" i="4"/>
  <c r="G49" i="1"/>
  <c r="G59" i="1"/>
  <c r="G45" i="1"/>
  <c r="G40" i="1"/>
  <c r="D50" i="8"/>
  <c r="G52" i="1"/>
  <c r="F14" i="4"/>
  <c r="G14" i="4" s="1"/>
  <c r="F23" i="3"/>
  <c r="G23" i="3" s="1"/>
  <c r="F43" i="1"/>
  <c r="F39" i="1" s="1"/>
  <c r="F22" i="3"/>
  <c r="F26" i="3"/>
  <c r="G26" i="3" s="1"/>
  <c r="G44" i="1"/>
  <c r="G43" i="1" s="1"/>
  <c r="D24" i="5"/>
  <c r="E23" i="3"/>
  <c r="G13" i="4"/>
  <c r="C24" i="5"/>
  <c r="H16" i="3"/>
  <c r="F13" i="3"/>
  <c r="G13" i="3" s="1"/>
  <c r="F16" i="5"/>
  <c r="E19" i="3"/>
  <c r="D16" i="4"/>
  <c r="E18" i="3"/>
  <c r="F16" i="3"/>
  <c r="E13" i="3"/>
  <c r="D12" i="3"/>
  <c r="F15" i="3"/>
  <c r="G15" i="3" s="1"/>
  <c r="F14" i="3"/>
  <c r="G14" i="3" s="1"/>
  <c r="F18" i="3"/>
  <c r="G18" i="3" s="1"/>
  <c r="G12" i="4"/>
  <c r="H12" i="4" s="1"/>
  <c r="C16" i="4"/>
  <c r="D21" i="3"/>
  <c r="E15" i="3"/>
  <c r="H17" i="3"/>
  <c r="E20" i="3"/>
  <c r="E19" i="5"/>
  <c r="H19" i="5" s="1"/>
  <c r="E22" i="5"/>
  <c r="E17" i="5"/>
  <c r="H23" i="5"/>
  <c r="G15" i="5"/>
  <c r="G20" i="5"/>
  <c r="E21" i="5"/>
  <c r="E15" i="5"/>
  <c r="G21" i="5"/>
  <c r="E14" i="5"/>
  <c r="G22" i="5"/>
  <c r="E12" i="5"/>
  <c r="G16" i="5"/>
  <c r="E16" i="5"/>
  <c r="G18" i="5"/>
  <c r="E18" i="5"/>
  <c r="E27" i="3"/>
  <c r="C21" i="3"/>
  <c r="H22" i="3"/>
  <c r="H24" i="3"/>
  <c r="C12" i="3"/>
  <c r="D24" i="2"/>
  <c r="E23" i="2"/>
  <c r="G19" i="2"/>
  <c r="G17" i="2"/>
  <c r="G22" i="2"/>
  <c r="E35" i="2"/>
  <c r="G16" i="2"/>
  <c r="G15" i="2"/>
  <c r="E36" i="2"/>
  <c r="G23" i="2"/>
  <c r="C24" i="2"/>
  <c r="G13" i="2"/>
  <c r="E37" i="2"/>
  <c r="G18" i="2"/>
  <c r="G20" i="2"/>
  <c r="E30" i="2"/>
  <c r="G14" i="2"/>
  <c r="G21" i="2"/>
  <c r="F24" i="2"/>
  <c r="E28" i="2"/>
  <c r="E33" i="2"/>
  <c r="E29" i="2"/>
  <c r="E13" i="2"/>
  <c r="E17" i="2"/>
  <c r="E18" i="2"/>
  <c r="E16" i="2"/>
  <c r="E14" i="2"/>
  <c r="E31" i="2"/>
  <c r="E32" i="2"/>
  <c r="E38" i="2"/>
  <c r="E19" i="2"/>
  <c r="E22" i="2"/>
  <c r="E20" i="2"/>
  <c r="E15" i="2"/>
  <c r="E21" i="2"/>
  <c r="E34" i="2"/>
  <c r="G22" i="1"/>
  <c r="E21" i="19" s="1"/>
  <c r="G13" i="1"/>
  <c r="H57" i="20" l="1"/>
  <c r="I388" i="56"/>
  <c r="I1691" i="50"/>
  <c r="I1695" i="50"/>
  <c r="I403" i="49"/>
  <c r="I1690" i="50"/>
  <c r="I1689" i="50" s="1"/>
  <c r="F20" i="19"/>
  <c r="I20" i="24"/>
  <c r="F25" i="19"/>
  <c r="E14" i="21"/>
  <c r="H14" i="4"/>
  <c r="G360" i="7"/>
  <c r="G359" i="7" s="1"/>
  <c r="F360" i="7"/>
  <c r="F359" i="7" s="1"/>
  <c r="G537" i="7"/>
  <c r="F368" i="7"/>
  <c r="F367" i="7" s="1"/>
  <c r="G369" i="7"/>
  <c r="G368" i="7" s="1"/>
  <c r="G367" i="7" s="1"/>
  <c r="G524" i="7"/>
  <c r="G523" i="7" s="1"/>
  <c r="E12" i="19"/>
  <c r="G33" i="1"/>
  <c r="H15" i="4"/>
  <c r="H25" i="3"/>
  <c r="H14" i="3"/>
  <c r="H26" i="3"/>
  <c r="I1339" i="50"/>
  <c r="F522" i="7"/>
  <c r="G25" i="19" s="1"/>
  <c r="I1263" i="50"/>
  <c r="I1262" i="50" s="1"/>
  <c r="I1261" i="50" s="1"/>
  <c r="I1468" i="50"/>
  <c r="I1467" i="50" s="1"/>
  <c r="I1469" i="50"/>
  <c r="I1509" i="50"/>
  <c r="I45" i="50"/>
  <c r="I41" i="50"/>
  <c r="I37" i="50"/>
  <c r="H12" i="24"/>
  <c r="E38" i="19"/>
  <c r="F21" i="19"/>
  <c r="G634" i="7"/>
  <c r="G633" i="7" s="1"/>
  <c r="F24" i="5"/>
  <c r="G24" i="5" s="1"/>
  <c r="F34" i="37"/>
  <c r="F451" i="7"/>
  <c r="F450" i="7" s="1"/>
  <c r="F449" i="7" s="1"/>
  <c r="F448" i="7" s="1"/>
  <c r="F441" i="7" s="1"/>
  <c r="G20" i="19" s="1"/>
  <c r="G441" i="7"/>
  <c r="H20" i="19" s="1"/>
  <c r="G48" i="1"/>
  <c r="G58" i="1"/>
  <c r="G60" i="1" s="1"/>
  <c r="G39" i="1"/>
  <c r="F16" i="4"/>
  <c r="G16" i="4" s="1"/>
  <c r="H23" i="3"/>
  <c r="H16" i="2"/>
  <c r="H12" i="2"/>
  <c r="F21" i="3"/>
  <c r="G21" i="3" s="1"/>
  <c r="E16" i="4"/>
  <c r="H13" i="4"/>
  <c r="H19" i="2"/>
  <c r="H19" i="3"/>
  <c r="H27" i="3"/>
  <c r="H15" i="3"/>
  <c r="D28" i="3"/>
  <c r="H18" i="3"/>
  <c r="H13" i="3"/>
  <c r="F12" i="3"/>
  <c r="E21" i="3"/>
  <c r="H20" i="3"/>
  <c r="E24" i="5"/>
  <c r="H20" i="5"/>
  <c r="H22" i="5"/>
  <c r="H15" i="5"/>
  <c r="H17" i="5"/>
  <c r="H12" i="5"/>
  <c r="G14" i="5"/>
  <c r="H14" i="5" s="1"/>
  <c r="H16" i="5"/>
  <c r="H21" i="5"/>
  <c r="H18" i="5"/>
  <c r="E13" i="5"/>
  <c r="G13" i="5"/>
  <c r="C28" i="3"/>
  <c r="E12" i="3"/>
  <c r="H14" i="2"/>
  <c r="H20" i="2"/>
  <c r="H23" i="2"/>
  <c r="G24" i="2"/>
  <c r="E24" i="2"/>
  <c r="H21" i="2"/>
  <c r="H18" i="2"/>
  <c r="H22" i="2"/>
  <c r="H17" i="2"/>
  <c r="H15" i="2"/>
  <c r="H13" i="2"/>
  <c r="I1580" i="50" l="1"/>
  <c r="I1459" i="50"/>
  <c r="I1698" i="50"/>
  <c r="I1696" i="50"/>
  <c r="G522" i="7"/>
  <c r="G504" i="7" s="1"/>
  <c r="H21" i="19" s="1"/>
  <c r="F504" i="7"/>
  <c r="F641" i="7" s="1"/>
  <c r="H30" i="24"/>
  <c r="E1468" i="40" s="1"/>
  <c r="I1675" i="50" s="1"/>
  <c r="I36" i="50"/>
  <c r="F103" i="50" s="1"/>
  <c r="F28" i="3"/>
  <c r="G28" i="3" s="1"/>
  <c r="H16" i="4"/>
  <c r="H21" i="3"/>
  <c r="G12" i="3"/>
  <c r="H12" i="3" s="1"/>
  <c r="E28" i="3"/>
  <c r="H24" i="5"/>
  <c r="H13" i="5"/>
  <c r="H24" i="2"/>
  <c r="G641" i="7" l="1"/>
  <c r="H25" i="19"/>
  <c r="G21" i="19"/>
  <c r="I321" i="49"/>
  <c r="I312" i="56"/>
  <c r="I1458" i="50"/>
  <c r="I1457" i="50" s="1"/>
  <c r="I1456" i="50" s="1"/>
  <c r="H28" i="3"/>
  <c r="D26" i="8" s="1"/>
  <c r="E405" i="7" l="1"/>
  <c r="E409" i="7" s="1"/>
  <c r="E383" i="7"/>
  <c r="E395" i="7"/>
  <c r="E396" i="7" s="1"/>
  <c r="E390" i="7"/>
  <c r="E358" i="7"/>
  <c r="E347" i="7"/>
  <c r="E343" i="7"/>
  <c r="E143" i="7"/>
  <c r="E264" i="7"/>
  <c r="E256" i="7"/>
  <c r="E276" i="7"/>
  <c r="F276" i="7" s="1"/>
  <c r="G276" i="7" s="1"/>
  <c r="E267" i="7"/>
  <c r="F267" i="7" s="1"/>
  <c r="G267" i="7" s="1"/>
  <c r="E278" i="7"/>
  <c r="E150" i="7"/>
  <c r="F150" i="7" s="1"/>
  <c r="G150" i="7" s="1"/>
  <c r="E265" i="7"/>
  <c r="F265" i="7" s="1"/>
  <c r="G265" i="7" s="1"/>
  <c r="E266" i="7"/>
  <c r="F266" i="7" s="1"/>
  <c r="G266" i="7" s="1"/>
  <c r="E277" i="7"/>
  <c r="F277" i="7" s="1"/>
  <c r="G277" i="7" s="1"/>
  <c r="E279" i="7"/>
  <c r="F279" i="7" s="1"/>
  <c r="G279" i="7" s="1"/>
  <c r="E263" i="7"/>
  <c r="E109" i="7"/>
  <c r="F109" i="7" s="1"/>
  <c r="G109" i="7" s="1"/>
  <c r="E319" i="7"/>
  <c r="F319" i="7" s="1"/>
  <c r="G319" i="7" s="1"/>
  <c r="E140" i="7"/>
  <c r="F140" i="7" s="1"/>
  <c r="G140" i="7" s="1"/>
  <c r="E302" i="7"/>
  <c r="F302" i="7" s="1"/>
  <c r="G302" i="7" s="1"/>
  <c r="E106" i="7"/>
  <c r="E196" i="7"/>
  <c r="E293" i="7"/>
  <c r="F293" i="7" s="1"/>
  <c r="G293" i="7" s="1"/>
  <c r="E102" i="7"/>
  <c r="F102" i="7" s="1"/>
  <c r="G102" i="7" s="1"/>
  <c r="E160" i="7"/>
  <c r="F160" i="7" s="1"/>
  <c r="G160" i="7" s="1"/>
  <c r="E290" i="7"/>
  <c r="F290" i="7" s="1"/>
  <c r="G290" i="7" s="1"/>
  <c r="E90" i="7"/>
  <c r="F90" i="7" s="1"/>
  <c r="G90" i="7" s="1"/>
  <c r="E113" i="7"/>
  <c r="F113" i="7" s="1"/>
  <c r="G113" i="7" s="1"/>
  <c r="E148" i="7"/>
  <c r="F148" i="7" s="1"/>
  <c r="G148" i="7" s="1"/>
  <c r="E172" i="7"/>
  <c r="E239" i="7"/>
  <c r="E283" i="7"/>
  <c r="F283" i="7" s="1"/>
  <c r="G283" i="7" s="1"/>
  <c r="E301" i="7"/>
  <c r="F301" i="7" s="1"/>
  <c r="G301" i="7" s="1"/>
  <c r="E323" i="7"/>
  <c r="F323" i="7" s="1"/>
  <c r="G323" i="7" s="1"/>
  <c r="E91" i="7"/>
  <c r="F91" i="7" s="1"/>
  <c r="G91" i="7" s="1"/>
  <c r="E115" i="7"/>
  <c r="E149" i="7"/>
  <c r="F149" i="7" s="1"/>
  <c r="G149" i="7" s="1"/>
  <c r="E183" i="7"/>
  <c r="E250" i="7"/>
  <c r="E288" i="7"/>
  <c r="F288" i="7" s="1"/>
  <c r="G288" i="7" s="1"/>
  <c r="E306" i="7"/>
  <c r="F306" i="7" s="1"/>
  <c r="G306" i="7" s="1"/>
  <c r="E320" i="7"/>
  <c r="F320" i="7" s="1"/>
  <c r="G320" i="7" s="1"/>
  <c r="E76" i="7"/>
  <c r="E111" i="7"/>
  <c r="F111" i="7" s="1"/>
  <c r="G111" i="7" s="1"/>
  <c r="E144" i="7"/>
  <c r="F144" i="7" s="1"/>
  <c r="G144" i="7" s="1"/>
  <c r="E168" i="7"/>
  <c r="F168" i="7" s="1"/>
  <c r="G168" i="7" s="1"/>
  <c r="E235" i="7"/>
  <c r="E275" i="7"/>
  <c r="F275" i="7" s="1"/>
  <c r="G275" i="7" s="1"/>
  <c r="E297" i="7"/>
  <c r="F297" i="7" s="1"/>
  <c r="G297" i="7" s="1"/>
  <c r="E315" i="7"/>
  <c r="E333" i="7"/>
  <c r="F333" i="7" s="1"/>
  <c r="G333" i="7" s="1"/>
  <c r="E108" i="7"/>
  <c r="F108" i="7" s="1"/>
  <c r="G108" i="7" s="1"/>
  <c r="E131" i="7"/>
  <c r="E164" i="7"/>
  <c r="F164" i="7" s="1"/>
  <c r="G164" i="7" s="1"/>
  <c r="E201" i="7"/>
  <c r="E259" i="7"/>
  <c r="F259" i="7" s="1"/>
  <c r="G259" i="7" s="1"/>
  <c r="E294" i="7"/>
  <c r="E312" i="7"/>
  <c r="F312" i="7" s="1"/>
  <c r="G312" i="7" s="1"/>
  <c r="E330" i="7"/>
  <c r="F330" i="7" s="1"/>
  <c r="G330" i="7" s="1"/>
  <c r="E162" i="7"/>
  <c r="F162" i="7" s="1"/>
  <c r="G162" i="7" s="1"/>
  <c r="E99" i="7"/>
  <c r="F99" i="7" s="1"/>
  <c r="G99" i="7" s="1"/>
  <c r="E119" i="7"/>
  <c r="F119" i="7" s="1"/>
  <c r="G119" i="7" s="1"/>
  <c r="E155" i="7"/>
  <c r="E176" i="7"/>
  <c r="F176" i="7" s="1"/>
  <c r="G176" i="7" s="1"/>
  <c r="E248" i="7"/>
  <c r="F248" i="7" s="1"/>
  <c r="G248" i="7" s="1"/>
  <c r="E287" i="7"/>
  <c r="F287" i="7" s="1"/>
  <c r="G287" i="7" s="1"/>
  <c r="E305" i="7"/>
  <c r="F305" i="7" s="1"/>
  <c r="G305" i="7" s="1"/>
  <c r="E327" i="7"/>
  <c r="F327" i="7" s="1"/>
  <c r="G327" i="7" s="1"/>
  <c r="E100" i="7"/>
  <c r="E120" i="7"/>
  <c r="F120" i="7" s="1"/>
  <c r="G120" i="7" s="1"/>
  <c r="E167" i="7"/>
  <c r="E190" i="7"/>
  <c r="F190" i="7" s="1"/>
  <c r="E257" i="7"/>
  <c r="E292" i="7"/>
  <c r="F292" i="7" s="1"/>
  <c r="G292" i="7" s="1"/>
  <c r="E309" i="7"/>
  <c r="F309" i="7" s="1"/>
  <c r="G309" i="7" s="1"/>
  <c r="E324" i="7"/>
  <c r="F324" i="7" s="1"/>
  <c r="G324" i="7" s="1"/>
  <c r="E93" i="7"/>
  <c r="F93" i="7" s="1"/>
  <c r="G93" i="7" s="1"/>
  <c r="E117" i="7"/>
  <c r="E151" i="7"/>
  <c r="F151" i="7" s="1"/>
  <c r="G151" i="7" s="1"/>
  <c r="E174" i="7"/>
  <c r="F174" i="7" s="1"/>
  <c r="G174" i="7" s="1"/>
  <c r="E245" i="7"/>
  <c r="E285" i="7"/>
  <c r="E303" i="7"/>
  <c r="F303" i="7" s="1"/>
  <c r="G303" i="7" s="1"/>
  <c r="E321" i="7"/>
  <c r="F321" i="7" s="1"/>
  <c r="G321" i="7" s="1"/>
  <c r="E80" i="7"/>
  <c r="E112" i="7"/>
  <c r="E147" i="7"/>
  <c r="F147" i="7" s="1"/>
  <c r="G147" i="7" s="1"/>
  <c r="E171" i="7"/>
  <c r="F171" i="7" s="1"/>
  <c r="G171" i="7" s="1"/>
  <c r="E237" i="7"/>
  <c r="E281" i="7"/>
  <c r="E299" i="7"/>
  <c r="E317" i="7"/>
  <c r="E156" i="7"/>
  <c r="F156" i="7" s="1"/>
  <c r="G156" i="7" s="1"/>
  <c r="E103" i="7"/>
  <c r="E125" i="7"/>
  <c r="F125" i="7" s="1"/>
  <c r="G125" i="7" s="1"/>
  <c r="E161" i="7"/>
  <c r="F161" i="7" s="1"/>
  <c r="G161" i="7" s="1"/>
  <c r="E181" i="7"/>
  <c r="F181" i="7" s="1"/>
  <c r="E254" i="7"/>
  <c r="F254" i="7" s="1"/>
  <c r="G254" i="7" s="1"/>
  <c r="E291" i="7"/>
  <c r="F291" i="7" s="1"/>
  <c r="G291" i="7" s="1"/>
  <c r="E313" i="7"/>
  <c r="F313" i="7" s="1"/>
  <c r="G313" i="7" s="1"/>
  <c r="E331" i="7"/>
  <c r="F331" i="7" s="1"/>
  <c r="G331" i="7" s="1"/>
  <c r="E104" i="7"/>
  <c r="F104" i="7" s="1"/>
  <c r="G104" i="7" s="1"/>
  <c r="E126" i="7"/>
  <c r="F126" i="7" s="1"/>
  <c r="G126" i="7" s="1"/>
  <c r="E173" i="7"/>
  <c r="F173" i="7" s="1"/>
  <c r="G173" i="7" s="1"/>
  <c r="E230" i="7"/>
  <c r="E274" i="7"/>
  <c r="E296" i="7"/>
  <c r="F296" i="7" s="1"/>
  <c r="G296" i="7" s="1"/>
  <c r="E310" i="7"/>
  <c r="F310" i="7" s="1"/>
  <c r="G310" i="7" s="1"/>
  <c r="E328" i="7"/>
  <c r="E101" i="7"/>
  <c r="E121" i="7"/>
  <c r="F121" i="7" s="1"/>
  <c r="G121" i="7" s="1"/>
  <c r="E159" i="7"/>
  <c r="F159" i="7" s="1"/>
  <c r="G159" i="7" s="1"/>
  <c r="E185" i="7"/>
  <c r="E251" i="7"/>
  <c r="F251" i="7" s="1"/>
  <c r="G251" i="7" s="1"/>
  <c r="E289" i="7"/>
  <c r="F289" i="7" s="1"/>
  <c r="G289" i="7" s="1"/>
  <c r="E307" i="7"/>
  <c r="F307" i="7" s="1"/>
  <c r="G307" i="7" s="1"/>
  <c r="E325" i="7"/>
  <c r="F325" i="7" s="1"/>
  <c r="G325" i="7" s="1"/>
  <c r="E94" i="7"/>
  <c r="E118" i="7"/>
  <c r="F118" i="7" s="1"/>
  <c r="G118" i="7" s="1"/>
  <c r="E152" i="7"/>
  <c r="F152" i="7" s="1"/>
  <c r="G152" i="7" s="1"/>
  <c r="E175" i="7"/>
  <c r="F175" i="7" s="1"/>
  <c r="G175" i="7" s="1"/>
  <c r="E247" i="7"/>
  <c r="E286" i="7"/>
  <c r="F286" i="7" s="1"/>
  <c r="G286" i="7" s="1"/>
  <c r="E304" i="7"/>
  <c r="F304" i="7" s="1"/>
  <c r="G304" i="7" s="1"/>
  <c r="E322" i="7"/>
  <c r="F322" i="7" s="1"/>
  <c r="G322" i="7" s="1"/>
  <c r="E56" i="7"/>
  <c r="E135" i="7"/>
  <c r="F135" i="7" s="1"/>
  <c r="G135" i="7" s="1"/>
  <c r="E165" i="7"/>
  <c r="F165" i="7" s="1"/>
  <c r="G165" i="7" s="1"/>
  <c r="E223" i="7"/>
  <c r="E272" i="7"/>
  <c r="F272" i="7" s="1"/>
  <c r="G272" i="7" s="1"/>
  <c r="E295" i="7"/>
  <c r="F295" i="7" s="1"/>
  <c r="G295" i="7" s="1"/>
  <c r="E110" i="7"/>
  <c r="F110" i="7" s="1"/>
  <c r="G110" i="7" s="1"/>
  <c r="E177" i="7"/>
  <c r="F177" i="7" s="1"/>
  <c r="G177" i="7" s="1"/>
  <c r="E244" i="7"/>
  <c r="E284" i="7"/>
  <c r="F284" i="7" s="1"/>
  <c r="G284" i="7" s="1"/>
  <c r="E314" i="7"/>
  <c r="F314" i="7" s="1"/>
  <c r="G314" i="7" s="1"/>
  <c r="E332" i="7"/>
  <c r="E127" i="7"/>
  <c r="F127" i="7" s="1"/>
  <c r="G127" i="7" s="1"/>
  <c r="E163" i="7"/>
  <c r="F163" i="7" s="1"/>
  <c r="G163" i="7" s="1"/>
  <c r="E258" i="7"/>
  <c r="F258" i="7" s="1"/>
  <c r="G258" i="7" s="1"/>
  <c r="E311" i="7"/>
  <c r="F311" i="7" s="1"/>
  <c r="G311" i="7" s="1"/>
  <c r="E329" i="7"/>
  <c r="F329" i="7" s="1"/>
  <c r="G329" i="7" s="1"/>
  <c r="E122" i="7"/>
  <c r="F122" i="7" s="1"/>
  <c r="G122" i="7" s="1"/>
  <c r="E187" i="7"/>
  <c r="E253" i="7"/>
  <c r="E308" i="7"/>
  <c r="F308" i="7" s="1"/>
  <c r="G308" i="7" s="1"/>
  <c r="E326" i="7"/>
  <c r="E224" i="7"/>
  <c r="E209" i="7"/>
  <c r="E661" i="7" s="1"/>
  <c r="E903" i="40" s="1"/>
  <c r="E170" i="7"/>
  <c r="F170" i="7" s="1"/>
  <c r="G170" i="7" s="1"/>
  <c r="E351" i="7"/>
  <c r="E204" i="7"/>
  <c r="E219" i="7"/>
  <c r="E681" i="7" s="1"/>
  <c r="E2602" i="40" s="1"/>
  <c r="I2940" i="50" s="1"/>
  <c r="E132" i="7"/>
  <c r="F132" i="7" s="1"/>
  <c r="G132" i="7" s="1"/>
  <c r="E271" i="7"/>
  <c r="E208" i="7"/>
  <c r="E228" i="7"/>
  <c r="E212" i="7"/>
  <c r="E318" i="7"/>
  <c r="E200" i="7"/>
  <c r="E215" i="7"/>
  <c r="E217" i="7"/>
  <c r="E207" i="7"/>
  <c r="E300" i="7"/>
  <c r="E211" i="7"/>
  <c r="E273" i="7"/>
  <c r="F273" i="7" s="1"/>
  <c r="G273" i="7" s="1"/>
  <c r="E220" i="7"/>
  <c r="E134" i="7"/>
  <c r="F134" i="7" s="1"/>
  <c r="G134" i="7" s="1"/>
  <c r="E268" i="7"/>
  <c r="F268" i="7" s="1"/>
  <c r="G268" i="7" s="1"/>
  <c r="E198" i="7"/>
  <c r="E124" i="7"/>
  <c r="E123" i="7" s="1"/>
  <c r="E225" i="7"/>
  <c r="E233" i="7"/>
  <c r="E213" i="7"/>
  <c r="E673" i="7" s="1"/>
  <c r="E3444" i="40" s="1"/>
  <c r="I4018" i="50" s="1"/>
  <c r="E216" i="7"/>
  <c r="E138" i="7"/>
  <c r="F138" i="7" s="1"/>
  <c r="G138" i="7" s="1"/>
  <c r="E210" i="7"/>
  <c r="E169" i="7"/>
  <c r="F169" i="7" s="1"/>
  <c r="G169" i="7" s="1"/>
  <c r="E202" i="7"/>
  <c r="E270" i="7"/>
  <c r="F270" i="7" s="1"/>
  <c r="G270" i="7" s="1"/>
  <c r="E222" i="7"/>
  <c r="F222" i="7" s="1"/>
  <c r="G222" i="7" s="1"/>
  <c r="E139" i="7"/>
  <c r="F139" i="7" s="1"/>
  <c r="G139" i="7" s="1"/>
  <c r="E205" i="7"/>
  <c r="E214" i="7"/>
  <c r="E282" i="7"/>
  <c r="F282" i="7" s="1"/>
  <c r="G282" i="7" s="1"/>
  <c r="E269" i="7"/>
  <c r="F269" i="7" s="1"/>
  <c r="G269" i="7" s="1"/>
  <c r="E20" i="7"/>
  <c r="E206" i="7"/>
  <c r="E157" i="7"/>
  <c r="F157" i="7" s="1"/>
  <c r="G157" i="7" s="1"/>
  <c r="E136" i="7"/>
  <c r="F136" i="7" s="1"/>
  <c r="G136" i="7" s="1"/>
  <c r="E226" i="7"/>
  <c r="E682" i="7" s="1"/>
  <c r="E3319" i="40" s="1"/>
  <c r="E153" i="7"/>
  <c r="F153" i="7" s="1"/>
  <c r="G153" i="7" s="1"/>
  <c r="E146" i="7"/>
  <c r="F146" i="7" s="1"/>
  <c r="G146" i="7" s="1"/>
  <c r="E357" i="7"/>
  <c r="E203" i="7"/>
  <c r="E158" i="7"/>
  <c r="F158" i="7" s="1"/>
  <c r="G158" i="7" s="1"/>
  <c r="E221" i="7"/>
  <c r="E133" i="7"/>
  <c r="F133" i="7" s="1"/>
  <c r="G133" i="7" s="1"/>
  <c r="E116" i="7"/>
  <c r="F116" i="7" s="1"/>
  <c r="G116" i="7" s="1"/>
  <c r="E218" i="7"/>
  <c r="E145" i="7"/>
  <c r="F145" i="7" s="1"/>
  <c r="G145" i="7" s="1"/>
  <c r="E141" i="7"/>
  <c r="F141" i="7" s="1"/>
  <c r="G141" i="7" s="1"/>
  <c r="E199" i="7"/>
  <c r="E197" i="7"/>
  <c r="E137" i="7"/>
  <c r="F137" i="7" s="1"/>
  <c r="G137" i="7" s="1"/>
  <c r="E95" i="7"/>
  <c r="F95" i="7" s="1"/>
  <c r="G95" i="7" s="1"/>
  <c r="E88" i="7"/>
  <c r="E92" i="7"/>
  <c r="F92" i="7" s="1"/>
  <c r="G92" i="7" s="1"/>
  <c r="E98" i="7"/>
  <c r="F98" i="7" s="1"/>
  <c r="G98" i="7" s="1"/>
  <c r="E89" i="7"/>
  <c r="F89" i="7" s="1"/>
  <c r="G89" i="7" s="1"/>
  <c r="E39" i="7"/>
  <c r="E43" i="7"/>
  <c r="E107" i="7"/>
  <c r="F107" i="7" s="1"/>
  <c r="G107" i="7" s="1"/>
  <c r="E68" i="7"/>
  <c r="F103" i="7"/>
  <c r="G103" i="7" s="1"/>
  <c r="F274" i="7"/>
  <c r="G274" i="7" s="1"/>
  <c r="F185" i="7"/>
  <c r="F285" i="7"/>
  <c r="G285" i="7" s="1"/>
  <c r="F223" i="7"/>
  <c r="G223" i="7" s="1"/>
  <c r="F294" i="7"/>
  <c r="G294" i="7" s="1"/>
  <c r="F172" i="7"/>
  <c r="G172" i="7" s="1"/>
  <c r="F315" i="7"/>
  <c r="G315" i="7" s="1"/>
  <c r="F101" i="7"/>
  <c r="G101" i="7" s="1"/>
  <c r="F245" i="7"/>
  <c r="G245" i="7" s="1"/>
  <c r="E18" i="7"/>
  <c r="E61" i="21"/>
  <c r="E684" i="7"/>
  <c r="F271" i="7"/>
  <c r="G271" i="7" s="1"/>
  <c r="F318" i="7"/>
  <c r="G318" i="7" s="1"/>
  <c r="E97" i="7"/>
  <c r="F264" i="7"/>
  <c r="G264" i="7" s="1"/>
  <c r="F278" i="7"/>
  <c r="G278" i="7" s="1"/>
  <c r="E182" i="7"/>
  <c r="F328" i="7"/>
  <c r="G328" i="7" s="1"/>
  <c r="F257" i="7"/>
  <c r="G257" i="7" s="1"/>
  <c r="E186" i="7"/>
  <c r="F326" i="7"/>
  <c r="G326" i="7" s="1"/>
  <c r="F332" i="7"/>
  <c r="G332" i="7" s="1"/>
  <c r="F300" i="7"/>
  <c r="G300" i="7" s="1"/>
  <c r="E685" i="7"/>
  <c r="E3058" i="40" s="1"/>
  <c r="E692" i="7"/>
  <c r="E3134" i="40" s="1"/>
  <c r="I3605" i="50" s="1"/>
  <c r="I3597" i="50" s="1"/>
  <c r="E26" i="8"/>
  <c r="F100" i="7"/>
  <c r="G100" i="7" s="1"/>
  <c r="F112" i="7"/>
  <c r="G112" i="7" s="1"/>
  <c r="H33" i="20"/>
  <c r="F117" i="7"/>
  <c r="G117" i="7" s="1"/>
  <c r="F94" i="7"/>
  <c r="G94" i="7" s="1"/>
  <c r="E96" i="7" l="1"/>
  <c r="E105" i="7"/>
  <c r="E142" i="7"/>
  <c r="E316" i="7"/>
  <c r="E114" i="7"/>
  <c r="E262" i="7"/>
  <c r="E87" i="7"/>
  <c r="E298" i="7"/>
  <c r="E166" i="7"/>
  <c r="E154" i="7"/>
  <c r="E280" i="7"/>
  <c r="E195" i="7"/>
  <c r="E243" i="7"/>
  <c r="I993" i="50"/>
  <c r="I1128" i="50" s="1"/>
  <c r="I3490" i="50"/>
  <c r="I3488" i="50" s="1"/>
  <c r="I3850" i="50"/>
  <c r="I3846" i="50" s="1"/>
  <c r="I3860" i="50" s="1"/>
  <c r="E24" i="7"/>
  <c r="F203" i="7"/>
  <c r="F686" i="7" s="1"/>
  <c r="E686" i="7"/>
  <c r="E3061" i="40" s="1"/>
  <c r="I3596" i="50"/>
  <c r="I3595" i="50" s="1"/>
  <c r="I1265" i="49"/>
  <c r="I1188" i="56"/>
  <c r="I3656" i="50"/>
  <c r="E680" i="7"/>
  <c r="E1254" i="40"/>
  <c r="I2982" i="50"/>
  <c r="I2936" i="50"/>
  <c r="I4042" i="50"/>
  <c r="I4016" i="50"/>
  <c r="F205" i="7"/>
  <c r="G205" i="7" s="1"/>
  <c r="E687" i="7"/>
  <c r="E3022" i="40" s="1"/>
  <c r="E249" i="7"/>
  <c r="E246" i="7"/>
  <c r="E337" i="7"/>
  <c r="E255" i="7"/>
  <c r="E252" i="7"/>
  <c r="E130" i="7"/>
  <c r="E184" i="7"/>
  <c r="E189" i="7"/>
  <c r="E188" i="7" s="1"/>
  <c r="F14" i="19" s="1"/>
  <c r="E180" i="7"/>
  <c r="E356" i="7"/>
  <c r="F187" i="7"/>
  <c r="F186" i="7" s="1"/>
  <c r="F183" i="7"/>
  <c r="F182" i="7" s="1"/>
  <c r="F358" i="7"/>
  <c r="G358" i="7" s="1"/>
  <c r="E42" i="7"/>
  <c r="F42" i="7" s="1"/>
  <c r="G42" i="7" s="1"/>
  <c r="C13" i="37"/>
  <c r="E40" i="7"/>
  <c r="F40" i="7" s="1"/>
  <c r="G40" i="7" s="1"/>
  <c r="F39" i="7"/>
  <c r="G39" i="7" s="1"/>
  <c r="C13" i="36"/>
  <c r="E41" i="7"/>
  <c r="F41" i="7" s="1"/>
  <c r="G41" i="7" s="1"/>
  <c r="C18" i="37"/>
  <c r="E60" i="7"/>
  <c r="F60" i="7" s="1"/>
  <c r="G60" i="7" s="1"/>
  <c r="E62" i="7"/>
  <c r="F62" i="7" s="1"/>
  <c r="G62" i="7" s="1"/>
  <c r="E61" i="7"/>
  <c r="F61" i="7" s="1"/>
  <c r="G61" i="7" s="1"/>
  <c r="F59" i="7"/>
  <c r="G59" i="7" s="1"/>
  <c r="F167" i="7"/>
  <c r="E74" i="7"/>
  <c r="F74" i="7" s="1"/>
  <c r="G74" i="7" s="1"/>
  <c r="E75" i="7"/>
  <c r="F75" i="7" s="1"/>
  <c r="G75" i="7" s="1"/>
  <c r="E73" i="7"/>
  <c r="F73" i="7" s="1"/>
  <c r="G73" i="7" s="1"/>
  <c r="C21" i="37"/>
  <c r="C21" i="36"/>
  <c r="F72" i="7"/>
  <c r="G72" i="7" s="1"/>
  <c r="C27" i="37"/>
  <c r="E32" i="7"/>
  <c r="F32" i="7" s="1"/>
  <c r="G32" i="7" s="1"/>
  <c r="E31" i="7"/>
  <c r="F31" i="7" s="1"/>
  <c r="G31" i="7" s="1"/>
  <c r="F29" i="7"/>
  <c r="G29" i="7" s="1"/>
  <c r="C27" i="36"/>
  <c r="E30" i="7"/>
  <c r="F30" i="7" s="1"/>
  <c r="G30" i="7" s="1"/>
  <c r="I33" i="20"/>
  <c r="F26" i="8"/>
  <c r="J33" i="20" s="1"/>
  <c r="E665" i="7"/>
  <c r="E3321" i="40" s="1"/>
  <c r="I3855" i="50" s="1"/>
  <c r="F224" i="7"/>
  <c r="F209" i="7"/>
  <c r="G36" i="36"/>
  <c r="F207" i="7"/>
  <c r="G207" i="7" s="1"/>
  <c r="G41" i="36"/>
  <c r="F197" i="7"/>
  <c r="G197" i="7" s="1"/>
  <c r="E695" i="7"/>
  <c r="E3146" i="40" s="1"/>
  <c r="I3623" i="50" s="1"/>
  <c r="I3621" i="50" s="1"/>
  <c r="F199" i="7"/>
  <c r="F225" i="7"/>
  <c r="E352" i="7"/>
  <c r="F352" i="7" s="1"/>
  <c r="G352" i="7" s="1"/>
  <c r="E353" i="7"/>
  <c r="F353" i="7" s="1"/>
  <c r="G353" i="7" s="1"/>
  <c r="C73" i="10"/>
  <c r="C84" i="10" s="1"/>
  <c r="E624" i="7" s="1"/>
  <c r="E355" i="7"/>
  <c r="F355" i="7" s="1"/>
  <c r="G355" i="7" s="1"/>
  <c r="F351" i="7"/>
  <c r="G351" i="7" s="1"/>
  <c r="C31" i="37"/>
  <c r="E59" i="21"/>
  <c r="E354" i="7"/>
  <c r="F354" i="7" s="1"/>
  <c r="G354" i="7" s="1"/>
  <c r="C31" i="36"/>
  <c r="F31" i="36" s="1"/>
  <c r="G31" i="36" s="1"/>
  <c r="F237" i="7"/>
  <c r="E236" i="7"/>
  <c r="E350" i="7"/>
  <c r="F350" i="7" s="1"/>
  <c r="G350" i="7" s="1"/>
  <c r="C30" i="36"/>
  <c r="E349" i="7"/>
  <c r="F349" i="7" s="1"/>
  <c r="G349" i="7" s="1"/>
  <c r="C29" i="37"/>
  <c r="E348" i="7"/>
  <c r="F348" i="7" s="1"/>
  <c r="G348" i="7" s="1"/>
  <c r="F347" i="7"/>
  <c r="G347" i="7" s="1"/>
  <c r="F247" i="7"/>
  <c r="F317" i="7"/>
  <c r="E340" i="7"/>
  <c r="F340" i="7" s="1"/>
  <c r="G340" i="7" s="1"/>
  <c r="E339" i="7"/>
  <c r="F339" i="7" s="1"/>
  <c r="G339" i="7" s="1"/>
  <c r="C72" i="10"/>
  <c r="C28" i="37"/>
  <c r="E342" i="7"/>
  <c r="F338" i="7"/>
  <c r="C28" i="36"/>
  <c r="F28" i="36" s="1"/>
  <c r="E58" i="21"/>
  <c r="E341" i="7"/>
  <c r="F341" i="7" s="1"/>
  <c r="G341" i="7" s="1"/>
  <c r="C30" i="37"/>
  <c r="F343" i="7"/>
  <c r="G343" i="7" s="1"/>
  <c r="E346" i="7"/>
  <c r="F346" i="7" s="1"/>
  <c r="G346" i="7" s="1"/>
  <c r="C29" i="36"/>
  <c r="E344" i="7"/>
  <c r="F344" i="7" s="1"/>
  <c r="G344" i="7" s="1"/>
  <c r="E345" i="7"/>
  <c r="F345" i="7" s="1"/>
  <c r="G345" i="7" s="1"/>
  <c r="F196" i="7"/>
  <c r="F54" i="7"/>
  <c r="G54" i="7" s="1"/>
  <c r="F51" i="7"/>
  <c r="G51" i="7" s="1"/>
  <c r="C16" i="37"/>
  <c r="E52" i="7"/>
  <c r="F52" i="7" s="1"/>
  <c r="G52" i="7" s="1"/>
  <c r="F53" i="7"/>
  <c r="G53" i="7" s="1"/>
  <c r="F106" i="7"/>
  <c r="F143" i="7"/>
  <c r="C20" i="36"/>
  <c r="E71" i="7"/>
  <c r="F71" i="7" s="1"/>
  <c r="G71" i="7" s="1"/>
  <c r="E67" i="7"/>
  <c r="F68" i="7"/>
  <c r="E69" i="7"/>
  <c r="F69" i="7" s="1"/>
  <c r="G69" i="7" s="1"/>
  <c r="C20" i="37"/>
  <c r="E70" i="7"/>
  <c r="F70" i="7" s="1"/>
  <c r="G70" i="7" s="1"/>
  <c r="F55" i="7"/>
  <c r="G55" i="7" s="1"/>
  <c r="E58" i="7"/>
  <c r="E57" i="7"/>
  <c r="F57" i="7" s="1"/>
  <c r="G57" i="7" s="1"/>
  <c r="C17" i="37"/>
  <c r="F124" i="7"/>
  <c r="F115" i="7"/>
  <c r="F198" i="7"/>
  <c r="E656" i="7"/>
  <c r="F215" i="7"/>
  <c r="E655" i="7"/>
  <c r="F216" i="7"/>
  <c r="E667" i="7"/>
  <c r="E3452" i="40" s="1"/>
  <c r="I4031" i="50" s="1"/>
  <c r="F214" i="7"/>
  <c r="F208" i="7"/>
  <c r="G208" i="7" s="1"/>
  <c r="F36" i="37"/>
  <c r="F219" i="7"/>
  <c r="F228" i="7"/>
  <c r="E227" i="7"/>
  <c r="F239" i="7"/>
  <c r="E238" i="7"/>
  <c r="E384" i="7"/>
  <c r="F384" i="7" s="1"/>
  <c r="G384" i="7" s="1"/>
  <c r="E60" i="21"/>
  <c r="E382" i="7"/>
  <c r="C32" i="37"/>
  <c r="C74" i="10"/>
  <c r="C85" i="10" s="1"/>
  <c r="E627" i="7" s="1"/>
  <c r="E30" i="21" s="1"/>
  <c r="E385" i="7"/>
  <c r="F385" i="7" s="1"/>
  <c r="G385" i="7" s="1"/>
  <c r="F383" i="7"/>
  <c r="C32" i="36"/>
  <c r="F32" i="36" s="1"/>
  <c r="G32" i="36" s="1"/>
  <c r="E387" i="7"/>
  <c r="F387" i="7" s="1"/>
  <c r="G387" i="7" s="1"/>
  <c r="E386" i="7"/>
  <c r="F386" i="7" s="1"/>
  <c r="G386" i="7" s="1"/>
  <c r="C24" i="37"/>
  <c r="E15" i="7"/>
  <c r="C24" i="36"/>
  <c r="E19" i="7"/>
  <c r="C26" i="35"/>
  <c r="C31" i="35" s="1"/>
  <c r="F16" i="7"/>
  <c r="F281" i="7"/>
  <c r="F256" i="7"/>
  <c r="E689" i="7"/>
  <c r="E3064" i="40" s="1"/>
  <c r="F201" i="7"/>
  <c r="C14" i="36"/>
  <c r="E45" i="7"/>
  <c r="F45" i="7" s="1"/>
  <c r="G45" i="7" s="1"/>
  <c r="C14" i="37"/>
  <c r="F43" i="7"/>
  <c r="G43" i="7" s="1"/>
  <c r="E46" i="7"/>
  <c r="F46" i="7" s="1"/>
  <c r="G46" i="7" s="1"/>
  <c r="E44" i="7"/>
  <c r="F44" i="7" s="1"/>
  <c r="G44" i="7" s="1"/>
  <c r="E23" i="7"/>
  <c r="F23" i="7" s="1"/>
  <c r="G23" i="7" s="1"/>
  <c r="C25" i="36"/>
  <c r="E22" i="7"/>
  <c r="F22" i="7" s="1"/>
  <c r="G22" i="7" s="1"/>
  <c r="D26" i="35"/>
  <c r="D31" i="35" s="1"/>
  <c r="F20" i="7"/>
  <c r="G20" i="7" s="1"/>
  <c r="C25" i="37"/>
  <c r="E21" i="7"/>
  <c r="F21" i="7" s="1"/>
  <c r="G21" i="7" s="1"/>
  <c r="F131" i="7"/>
  <c r="C12" i="36"/>
  <c r="E37" i="7"/>
  <c r="F37" i="7" s="1"/>
  <c r="G37" i="7" s="1"/>
  <c r="E36" i="7"/>
  <c r="F36" i="7" s="1"/>
  <c r="G36" i="7" s="1"/>
  <c r="E38" i="7"/>
  <c r="F38" i="7" s="1"/>
  <c r="G38" i="7" s="1"/>
  <c r="C12" i="37"/>
  <c r="E34" i="7"/>
  <c r="F35" i="7"/>
  <c r="F26" i="7"/>
  <c r="G26" i="7" s="1"/>
  <c r="C26" i="36"/>
  <c r="E28" i="7"/>
  <c r="F28" i="7" s="1"/>
  <c r="G28" i="7" s="1"/>
  <c r="F25" i="7"/>
  <c r="C26" i="37"/>
  <c r="E27" i="7"/>
  <c r="F27" i="7" s="1"/>
  <c r="G27" i="7" s="1"/>
  <c r="E82" i="7"/>
  <c r="F82" i="7" s="1"/>
  <c r="G82" i="7" s="1"/>
  <c r="E83" i="7"/>
  <c r="F83" i="7" s="1"/>
  <c r="G83" i="7" s="1"/>
  <c r="F80" i="7"/>
  <c r="G80" i="7" s="1"/>
  <c r="C23" i="37"/>
  <c r="C23" i="36"/>
  <c r="E81" i="7"/>
  <c r="F81" i="7" s="1"/>
  <c r="G81" i="7" s="1"/>
  <c r="E657" i="7"/>
  <c r="F221" i="7"/>
  <c r="F226" i="7"/>
  <c r="F204" i="7"/>
  <c r="F202" i="7"/>
  <c r="F233" i="7"/>
  <c r="E232" i="7"/>
  <c r="E694" i="7"/>
  <c r="E3157" i="40" s="1"/>
  <c r="F200" i="7"/>
  <c r="E654" i="7"/>
  <c r="E2509" i="40" s="1"/>
  <c r="F220" i="7"/>
  <c r="E679" i="7"/>
  <c r="E2510" i="40" s="1"/>
  <c r="I2802" i="50" s="1"/>
  <c r="I2823" i="50" s="1"/>
  <c r="F218" i="7"/>
  <c r="E671" i="7"/>
  <c r="I3989" i="50" s="1"/>
  <c r="F211" i="7"/>
  <c r="F155" i="7"/>
  <c r="F299" i="7"/>
  <c r="E229" i="7"/>
  <c r="F230" i="7"/>
  <c r="F250" i="7"/>
  <c r="F253" i="7"/>
  <c r="F396" i="7"/>
  <c r="G396" i="7" s="1"/>
  <c r="C33" i="37"/>
  <c r="C75" i="10"/>
  <c r="C86" i="10" s="1"/>
  <c r="E632" i="7" s="1"/>
  <c r="E631" i="7" s="1"/>
  <c r="E399" i="7"/>
  <c r="F399" i="7" s="1"/>
  <c r="G399" i="7" s="1"/>
  <c r="C33" i="36"/>
  <c r="F33" i="36" s="1"/>
  <c r="G33" i="36" s="1"/>
  <c r="E397" i="7"/>
  <c r="F397" i="7" s="1"/>
  <c r="G397" i="7" s="1"/>
  <c r="F395" i="7"/>
  <c r="E394" i="7"/>
  <c r="E393" i="7" s="1"/>
  <c r="E392" i="7" s="1"/>
  <c r="E398" i="7"/>
  <c r="F398" i="7" s="1"/>
  <c r="G398" i="7" s="1"/>
  <c r="F97" i="7"/>
  <c r="E50" i="7"/>
  <c r="F50" i="7" s="1"/>
  <c r="G50" i="7" s="1"/>
  <c r="F48" i="7"/>
  <c r="G48" i="7" s="1"/>
  <c r="C15" i="37"/>
  <c r="F47" i="7"/>
  <c r="G47" i="7" s="1"/>
  <c r="E49" i="7"/>
  <c r="F49" i="7" s="1"/>
  <c r="G49" i="7" s="1"/>
  <c r="E79" i="7"/>
  <c r="F79" i="7" s="1"/>
  <c r="G79" i="7" s="1"/>
  <c r="E77" i="7"/>
  <c r="F77" i="7" s="1"/>
  <c r="G77" i="7" s="1"/>
  <c r="C22" i="36"/>
  <c r="E78" i="7"/>
  <c r="F78" i="7" s="1"/>
  <c r="G78" i="7" s="1"/>
  <c r="C22" i="37"/>
  <c r="F76" i="7"/>
  <c r="G76" i="7" s="1"/>
  <c r="F63" i="7"/>
  <c r="G63" i="7" s="1"/>
  <c r="E66" i="7"/>
  <c r="F66" i="7" s="1"/>
  <c r="G66" i="7" s="1"/>
  <c r="F64" i="7"/>
  <c r="G64" i="7" s="1"/>
  <c r="C19" i="37"/>
  <c r="F65" i="7"/>
  <c r="G65" i="7" s="1"/>
  <c r="C19" i="36"/>
  <c r="F88" i="7"/>
  <c r="E662" i="7"/>
  <c r="F217" i="7"/>
  <c r="E63" i="21"/>
  <c r="F357" i="7"/>
  <c r="G357" i="7" s="1"/>
  <c r="E688" i="7"/>
  <c r="F206" i="7"/>
  <c r="E670" i="7"/>
  <c r="F210" i="7"/>
  <c r="F213" i="7"/>
  <c r="E672" i="7"/>
  <c r="E3439" i="40" s="1"/>
  <c r="I4009" i="50" s="1"/>
  <c r="F212" i="7"/>
  <c r="F244" i="7"/>
  <c r="E64" i="21"/>
  <c r="E389" i="7"/>
  <c r="E388" i="7" s="1"/>
  <c r="F390" i="7"/>
  <c r="E234" i="7"/>
  <c r="F235" i="7"/>
  <c r="F263" i="7"/>
  <c r="C77" i="10"/>
  <c r="C88" i="10" s="1"/>
  <c r="E636" i="7" s="1"/>
  <c r="E406" i="7"/>
  <c r="F406" i="7" s="1"/>
  <c r="G406" i="7" s="1"/>
  <c r="F409" i="7"/>
  <c r="G409" i="7" s="1"/>
  <c r="F405" i="7"/>
  <c r="G405" i="7" s="1"/>
  <c r="E408" i="7"/>
  <c r="F408" i="7" s="1"/>
  <c r="G408" i="7" s="1"/>
  <c r="C35" i="37"/>
  <c r="C35" i="36"/>
  <c r="F35" i="36" s="1"/>
  <c r="G35" i="36" s="1"/>
  <c r="E407" i="7"/>
  <c r="F407" i="7" s="1"/>
  <c r="G407" i="7" s="1"/>
  <c r="F184" i="7"/>
  <c r="G185" i="7"/>
  <c r="G184" i="7" s="1"/>
  <c r="F180" i="7"/>
  <c r="G181" i="7"/>
  <c r="G180" i="7" s="1"/>
  <c r="F189" i="7"/>
  <c r="F188" i="7" s="1"/>
  <c r="G14" i="19" s="1"/>
  <c r="G190" i="7"/>
  <c r="G189" i="7" s="1"/>
  <c r="G188" i="7" s="1"/>
  <c r="H14" i="19" s="1"/>
  <c r="F56" i="7"/>
  <c r="G56" i="7" s="1"/>
  <c r="E179" i="7" l="1"/>
  <c r="E86" i="7"/>
  <c r="E231" i="7"/>
  <c r="E653" i="7"/>
  <c r="I3845" i="50"/>
  <c r="I3844" i="50" s="1"/>
  <c r="I3843" i="50" s="1"/>
  <c r="I3511" i="50"/>
  <c r="I3487" i="50"/>
  <c r="I3486" i="50" s="1"/>
  <c r="I3637" i="50"/>
  <c r="I3628" i="50" s="1"/>
  <c r="I3444" i="50"/>
  <c r="I3434" i="50" s="1"/>
  <c r="I3495" i="50"/>
  <c r="I3493" i="50" s="1"/>
  <c r="I2801" i="50"/>
  <c r="I2822" i="50" s="1"/>
  <c r="I3500" i="50"/>
  <c r="I3498" i="50" s="1"/>
  <c r="I1391" i="50"/>
  <c r="I1450" i="50" s="1"/>
  <c r="E651" i="7"/>
  <c r="F687" i="7"/>
  <c r="G203" i="7"/>
  <c r="G686" i="7" s="1"/>
  <c r="E2584" i="40"/>
  <c r="E2581" i="40"/>
  <c r="I2893" i="50" s="1"/>
  <c r="I2891" i="50" s="1"/>
  <c r="I916" i="56"/>
  <c r="I963" i="49"/>
  <c r="I2935" i="50"/>
  <c r="I2934" i="50" s="1"/>
  <c r="I2933" i="50" s="1"/>
  <c r="I2911" i="50" s="1"/>
  <c r="I2910" i="50" s="1"/>
  <c r="I2909" i="50" s="1"/>
  <c r="I2976" i="50"/>
  <c r="I2977" i="50" s="1"/>
  <c r="E2175" i="40"/>
  <c r="I2479" i="50" s="1"/>
  <c r="E2174" i="40"/>
  <c r="I2478" i="50" s="1"/>
  <c r="E194" i="7"/>
  <c r="E193" i="7" s="1"/>
  <c r="I4004" i="50"/>
  <c r="I4041" i="50"/>
  <c r="I4040" i="50"/>
  <c r="I3978" i="50"/>
  <c r="I3856" i="50"/>
  <c r="I3857" i="50" s="1"/>
  <c r="I3859" i="50"/>
  <c r="I3854" i="50"/>
  <c r="I1329" i="56"/>
  <c r="I1414" i="49"/>
  <c r="I4015" i="50"/>
  <c r="I4014" i="50" s="1"/>
  <c r="I4013" i="50" s="1"/>
  <c r="I4038" i="50"/>
  <c r="I4029" i="50"/>
  <c r="I3659" i="50"/>
  <c r="I1198" i="56"/>
  <c r="I1275" i="49"/>
  <c r="I3620" i="50"/>
  <c r="I3619" i="50" s="1"/>
  <c r="I3618" i="50" s="1"/>
  <c r="F342" i="7"/>
  <c r="G342" i="7" s="1"/>
  <c r="E129" i="7"/>
  <c r="E128" i="7" s="1"/>
  <c r="E242" i="7"/>
  <c r="E178" i="7"/>
  <c r="E85" i="7"/>
  <c r="E336" i="7"/>
  <c r="E335" i="7" s="1"/>
  <c r="F17" i="7"/>
  <c r="G17" i="7" s="1"/>
  <c r="I14" i="24"/>
  <c r="G183" i="7"/>
  <c r="G182" i="7" s="1"/>
  <c r="F632" i="7"/>
  <c r="G632" i="7" s="1"/>
  <c r="G631" i="7" s="1"/>
  <c r="G187" i="7"/>
  <c r="G186" i="7" s="1"/>
  <c r="E33" i="7"/>
  <c r="E261" i="7"/>
  <c r="E260" i="7" s="1"/>
  <c r="G356" i="7"/>
  <c r="F356" i="7"/>
  <c r="E31" i="21"/>
  <c r="F262" i="7"/>
  <c r="G263" i="7"/>
  <c r="G262" i="7" s="1"/>
  <c r="F672" i="7"/>
  <c r="G212" i="7"/>
  <c r="G672" i="7" s="1"/>
  <c r="F670" i="7"/>
  <c r="G210" i="7"/>
  <c r="G670" i="7" s="1"/>
  <c r="D19" i="37"/>
  <c r="E19" i="37"/>
  <c r="D15" i="36"/>
  <c r="E15" i="36"/>
  <c r="G97" i="7"/>
  <c r="G96" i="7" s="1"/>
  <c r="F96" i="7"/>
  <c r="G395" i="7"/>
  <c r="G394" i="7" s="1"/>
  <c r="G393" i="7" s="1"/>
  <c r="G392" i="7" s="1"/>
  <c r="F394" i="7"/>
  <c r="F393" i="7" s="1"/>
  <c r="F392" i="7" s="1"/>
  <c r="F154" i="7"/>
  <c r="G155" i="7"/>
  <c r="G154" i="7" s="1"/>
  <c r="D23" i="36"/>
  <c r="E23" i="36"/>
  <c r="F24" i="7"/>
  <c r="G25" i="7"/>
  <c r="G24" i="7" s="1"/>
  <c r="G35" i="7"/>
  <c r="G34" i="7" s="1"/>
  <c r="F34" i="7"/>
  <c r="F255" i="7"/>
  <c r="G256" i="7"/>
  <c r="G255" i="7" s="1"/>
  <c r="G16" i="7"/>
  <c r="G15" i="7" s="1"/>
  <c r="F15" i="7"/>
  <c r="F18" i="7"/>
  <c r="G216" i="7"/>
  <c r="G655" i="7" s="1"/>
  <c r="F655" i="7"/>
  <c r="G198" i="7"/>
  <c r="G692" i="7" s="1"/>
  <c r="F692" i="7"/>
  <c r="D20" i="37"/>
  <c r="E20" i="37"/>
  <c r="G106" i="7"/>
  <c r="G105" i="7" s="1"/>
  <c r="F105" i="7"/>
  <c r="D30" i="37"/>
  <c r="E30" i="37"/>
  <c r="G338" i="7"/>
  <c r="G337" i="7" s="1"/>
  <c r="F337" i="7"/>
  <c r="G317" i="7"/>
  <c r="G316" i="7" s="1"/>
  <c r="F316" i="7"/>
  <c r="F680" i="7"/>
  <c r="G225" i="7"/>
  <c r="G680" i="7" s="1"/>
  <c r="F661" i="7"/>
  <c r="G209" i="7"/>
  <c r="G661" i="7" s="1"/>
  <c r="D35" i="37"/>
  <c r="E35" i="37"/>
  <c r="F234" i="7"/>
  <c r="G235" i="7"/>
  <c r="G234" i="7" s="1"/>
  <c r="G88" i="7"/>
  <c r="G87" i="7" s="1"/>
  <c r="F87" i="7"/>
  <c r="E22" i="37"/>
  <c r="D22" i="37"/>
  <c r="D15" i="37"/>
  <c r="E15" i="37"/>
  <c r="D33" i="37"/>
  <c r="E33" i="37"/>
  <c r="G250" i="7"/>
  <c r="G249" i="7" s="1"/>
  <c r="F249" i="7"/>
  <c r="F298" i="7"/>
  <c r="G299" i="7"/>
  <c r="G298" i="7" s="1"/>
  <c r="G211" i="7"/>
  <c r="G671" i="7" s="1"/>
  <c r="F671" i="7"/>
  <c r="F654" i="7"/>
  <c r="G220" i="7"/>
  <c r="G654" i="7" s="1"/>
  <c r="F684" i="7"/>
  <c r="G204" i="7"/>
  <c r="G684" i="7" s="1"/>
  <c r="G221" i="7"/>
  <c r="G657" i="7" s="1"/>
  <c r="F657" i="7"/>
  <c r="E23" i="37"/>
  <c r="D23" i="37"/>
  <c r="E14" i="36"/>
  <c r="D14" i="36"/>
  <c r="I29" i="24"/>
  <c r="C11" i="35"/>
  <c r="E14" i="7"/>
  <c r="E13" i="7" s="1"/>
  <c r="F227" i="7"/>
  <c r="G228" i="7"/>
  <c r="G227" i="7" s="1"/>
  <c r="G124" i="7"/>
  <c r="G123" i="7" s="1"/>
  <c r="F123" i="7"/>
  <c r="D20" i="36"/>
  <c r="E20" i="36"/>
  <c r="D16" i="37"/>
  <c r="E16" i="37"/>
  <c r="E29" i="36"/>
  <c r="D29" i="36"/>
  <c r="D29" i="37"/>
  <c r="E29" i="37"/>
  <c r="E29" i="21"/>
  <c r="E623" i="7"/>
  <c r="F624" i="7"/>
  <c r="E21" i="36"/>
  <c r="D21" i="36"/>
  <c r="D18" i="36"/>
  <c r="E18" i="36"/>
  <c r="E18" i="37"/>
  <c r="D18" i="37"/>
  <c r="E33" i="21"/>
  <c r="F636" i="7"/>
  <c r="E635" i="7"/>
  <c r="E630" i="7" s="1"/>
  <c r="E629" i="7" s="1"/>
  <c r="E628" i="7" s="1"/>
  <c r="G244" i="7"/>
  <c r="G243" i="7" s="1"/>
  <c r="F243" i="7"/>
  <c r="G213" i="7"/>
  <c r="G673" i="7" s="1"/>
  <c r="F673" i="7"/>
  <c r="G206" i="7"/>
  <c r="G688" i="7" s="1"/>
  <c r="F688" i="7"/>
  <c r="G217" i="7"/>
  <c r="G662" i="7" s="1"/>
  <c r="F662" i="7"/>
  <c r="D19" i="36"/>
  <c r="E19" i="36"/>
  <c r="F232" i="7"/>
  <c r="G233" i="7"/>
  <c r="G232" i="7" s="1"/>
  <c r="E26" i="36"/>
  <c r="D26" i="36"/>
  <c r="E12" i="37"/>
  <c r="C11" i="37"/>
  <c r="D12" i="37"/>
  <c r="E12" i="36"/>
  <c r="D12" i="36"/>
  <c r="E25" i="37"/>
  <c r="D25" i="37"/>
  <c r="D25" i="36"/>
  <c r="E25" i="36"/>
  <c r="F689" i="7"/>
  <c r="G201" i="7"/>
  <c r="G689" i="7" s="1"/>
  <c r="F19" i="7"/>
  <c r="G19" i="7" s="1"/>
  <c r="E24" i="37"/>
  <c r="D24" i="37"/>
  <c r="E32" i="37"/>
  <c r="D32" i="37"/>
  <c r="G219" i="7"/>
  <c r="G681" i="7" s="1"/>
  <c r="F681" i="7"/>
  <c r="G214" i="7"/>
  <c r="G667" i="7" s="1"/>
  <c r="F667" i="7"/>
  <c r="F656" i="7"/>
  <c r="G215" i="7"/>
  <c r="G656" i="7" s="1"/>
  <c r="E17" i="37"/>
  <c r="D17" i="37"/>
  <c r="E17" i="36"/>
  <c r="D17" i="36"/>
  <c r="G68" i="7"/>
  <c r="G67" i="7" s="1"/>
  <c r="F67" i="7"/>
  <c r="F195" i="7"/>
  <c r="G196" i="7"/>
  <c r="E65" i="21"/>
  <c r="E28" i="37"/>
  <c r="D28" i="37"/>
  <c r="G247" i="7"/>
  <c r="G246" i="7" s="1"/>
  <c r="F246" i="7"/>
  <c r="F236" i="7"/>
  <c r="G237" i="7"/>
  <c r="G236" i="7" s="1"/>
  <c r="E31" i="37"/>
  <c r="D31" i="37"/>
  <c r="F695" i="7"/>
  <c r="G199" i="7"/>
  <c r="G695" i="7" s="1"/>
  <c r="F665" i="7"/>
  <c r="G224" i="7"/>
  <c r="G665" i="7" s="1"/>
  <c r="E21" i="37"/>
  <c r="D21" i="37"/>
  <c r="F166" i="7"/>
  <c r="G167" i="7"/>
  <c r="G166" i="7" s="1"/>
  <c r="E13" i="37"/>
  <c r="D13" i="37"/>
  <c r="F389" i="7"/>
  <c r="F388" i="7" s="1"/>
  <c r="G390" i="7"/>
  <c r="G389" i="7" s="1"/>
  <c r="G388" i="7" s="1"/>
  <c r="E22" i="36"/>
  <c r="D22" i="36"/>
  <c r="F252" i="7"/>
  <c r="G253" i="7"/>
  <c r="G252" i="7" s="1"/>
  <c r="F229" i="7"/>
  <c r="G230" i="7"/>
  <c r="G229" i="7" s="1"/>
  <c r="F679" i="7"/>
  <c r="G218" i="7"/>
  <c r="G679" i="7" s="1"/>
  <c r="F694" i="7"/>
  <c r="G200" i="7"/>
  <c r="G694" i="7" s="1"/>
  <c r="G202" i="7"/>
  <c r="F685" i="7"/>
  <c r="G226" i="7"/>
  <c r="G682" i="7" s="1"/>
  <c r="F682" i="7"/>
  <c r="E26" i="37"/>
  <c r="D26" i="37"/>
  <c r="G131" i="7"/>
  <c r="G130" i="7" s="1"/>
  <c r="F130" i="7"/>
  <c r="D14" i="37"/>
  <c r="E14" i="37"/>
  <c r="G281" i="7"/>
  <c r="G280" i="7" s="1"/>
  <c r="F280" i="7"/>
  <c r="D24" i="36"/>
  <c r="E24" i="36"/>
  <c r="G383" i="7"/>
  <c r="G382" i="7" s="1"/>
  <c r="F382" i="7"/>
  <c r="G239" i="7"/>
  <c r="G238" i="7" s="1"/>
  <c r="F238" i="7"/>
  <c r="G115" i="7"/>
  <c r="G114" i="7" s="1"/>
  <c r="F114" i="7"/>
  <c r="F142" i="7"/>
  <c r="G143" i="7"/>
  <c r="G142" i="7" s="1"/>
  <c r="E16" i="36"/>
  <c r="D16" i="36"/>
  <c r="G28" i="36"/>
  <c r="C83" i="10"/>
  <c r="C79" i="10"/>
  <c r="E30" i="36"/>
  <c r="D30" i="36"/>
  <c r="E27" i="36"/>
  <c r="D27" i="36"/>
  <c r="E27" i="37"/>
  <c r="D27" i="37"/>
  <c r="D13" i="36"/>
  <c r="E13" i="36"/>
  <c r="F179" i="7"/>
  <c r="F178" i="7" s="1"/>
  <c r="E626" i="7"/>
  <c r="E625" i="7" s="1"/>
  <c r="F627" i="7"/>
  <c r="F58" i="7"/>
  <c r="I1280" i="49" l="1"/>
  <c r="I3651" i="50"/>
  <c r="I3652" i="50" s="1"/>
  <c r="I3658" i="50"/>
  <c r="I3627" i="50"/>
  <c r="I3626" i="50" s="1"/>
  <c r="I3625" i="50" s="1"/>
  <c r="I1203" i="56"/>
  <c r="I1142" i="56"/>
  <c r="I3492" i="50"/>
  <c r="I3491" i="50" s="1"/>
  <c r="I3512" i="50"/>
  <c r="I1218" i="49"/>
  <c r="I1132" i="56"/>
  <c r="I3506" i="50"/>
  <c r="I1202" i="49"/>
  <c r="I3433" i="50"/>
  <c r="I3432" i="50" s="1"/>
  <c r="I3513" i="50"/>
  <c r="I3497" i="50"/>
  <c r="I3496" i="50" s="1"/>
  <c r="I1223" i="49"/>
  <c r="I3515" i="50"/>
  <c r="I1147" i="56"/>
  <c r="I2899" i="50"/>
  <c r="I2897" i="50" s="1"/>
  <c r="G685" i="7"/>
  <c r="I928" i="49"/>
  <c r="I2890" i="50"/>
  <c r="I2889" i="50" s="1"/>
  <c r="I2888" i="50" s="1"/>
  <c r="I881" i="56"/>
  <c r="F194" i="7"/>
  <c r="F193" i="7" s="1"/>
  <c r="F192" i="7" s="1"/>
  <c r="E191" i="7"/>
  <c r="I2490" i="50"/>
  <c r="I2473" i="50"/>
  <c r="I1419" i="49"/>
  <c r="I1334" i="56"/>
  <c r="I4028" i="50"/>
  <c r="I4027" i="50" s="1"/>
  <c r="I4026" i="50" s="1"/>
  <c r="I1319" i="56"/>
  <c r="I1404" i="49"/>
  <c r="I3977" i="50"/>
  <c r="I3976" i="50" s="1"/>
  <c r="I3975" i="50" s="1"/>
  <c r="I1275" i="56"/>
  <c r="I3853" i="50"/>
  <c r="I3852" i="50" s="1"/>
  <c r="I3851" i="50" s="1"/>
  <c r="I1360" i="49"/>
  <c r="I1409" i="49"/>
  <c r="I1324" i="56"/>
  <c r="I4003" i="50"/>
  <c r="I4002" i="50" s="1"/>
  <c r="I4001" i="50" s="1"/>
  <c r="G687" i="7"/>
  <c r="E241" i="7"/>
  <c r="E240" i="7" s="1"/>
  <c r="E334" i="7"/>
  <c r="I19" i="24" s="1"/>
  <c r="G179" i="7"/>
  <c r="G178" i="7" s="1"/>
  <c r="F631" i="7"/>
  <c r="E84" i="7"/>
  <c r="F18" i="37"/>
  <c r="G21" i="36"/>
  <c r="E12" i="7"/>
  <c r="G19" i="36"/>
  <c r="G14" i="7"/>
  <c r="G13" i="7" s="1"/>
  <c r="G336" i="7"/>
  <c r="G335" i="7" s="1"/>
  <c r="G334" i="7" s="1"/>
  <c r="H19" i="19" s="1"/>
  <c r="G27" i="36"/>
  <c r="G16" i="36"/>
  <c r="G22" i="36"/>
  <c r="F13" i="37"/>
  <c r="F21" i="37"/>
  <c r="F28" i="37"/>
  <c r="G14" i="36"/>
  <c r="G18" i="36"/>
  <c r="F16" i="37"/>
  <c r="F33" i="37"/>
  <c r="F30" i="37"/>
  <c r="F14" i="7"/>
  <c r="F13" i="7" s="1"/>
  <c r="F17" i="37"/>
  <c r="F32" i="37"/>
  <c r="F27" i="37"/>
  <c r="G30" i="36"/>
  <c r="F26" i="37"/>
  <c r="F31" i="37"/>
  <c r="F336" i="7"/>
  <c r="F335" i="7" s="1"/>
  <c r="F334" i="7" s="1"/>
  <c r="G19" i="19" s="1"/>
  <c r="F129" i="7"/>
  <c r="F128" i="7" s="1"/>
  <c r="G13" i="36"/>
  <c r="E622" i="7"/>
  <c r="E652" i="7" s="1"/>
  <c r="C89" i="10"/>
  <c r="C92" i="10" s="1"/>
  <c r="D92" i="10" s="1"/>
  <c r="G129" i="7"/>
  <c r="G128" i="7" s="1"/>
  <c r="G12" i="36"/>
  <c r="E11" i="37"/>
  <c r="F231" i="7"/>
  <c r="G636" i="7"/>
  <c r="G635" i="7" s="1"/>
  <c r="G630" i="7" s="1"/>
  <c r="G629" i="7" s="1"/>
  <c r="G628" i="7" s="1"/>
  <c r="F635" i="7"/>
  <c r="E192" i="7"/>
  <c r="G20" i="36"/>
  <c r="F15" i="37"/>
  <c r="G86" i="7"/>
  <c r="G85" i="7" s="1"/>
  <c r="F35" i="37"/>
  <c r="G25" i="36"/>
  <c r="G26" i="36"/>
  <c r="F242" i="7"/>
  <c r="G624" i="7"/>
  <c r="G623" i="7" s="1"/>
  <c r="F623" i="7"/>
  <c r="F29" i="37"/>
  <c r="F22" i="37"/>
  <c r="G18" i="7"/>
  <c r="G651" i="7" s="1"/>
  <c r="F651" i="7"/>
  <c r="F19" i="37"/>
  <c r="G24" i="36"/>
  <c r="F14" i="37"/>
  <c r="G195" i="7"/>
  <c r="G194" i="7" s="1"/>
  <c r="G193" i="7" s="1"/>
  <c r="G17" i="36"/>
  <c r="F24" i="37"/>
  <c r="F25" i="37"/>
  <c r="D11" i="37"/>
  <c r="F12" i="37"/>
  <c r="G242" i="7"/>
  <c r="G29" i="36"/>
  <c r="F23" i="37"/>
  <c r="F33" i="7"/>
  <c r="G261" i="7"/>
  <c r="G260" i="7" s="1"/>
  <c r="D73" i="10"/>
  <c r="D77" i="10"/>
  <c r="D79" i="10"/>
  <c r="D74" i="10"/>
  <c r="D76" i="10"/>
  <c r="D75" i="10"/>
  <c r="D78" i="10"/>
  <c r="D72" i="10"/>
  <c r="G231" i="7"/>
  <c r="F86" i="7"/>
  <c r="F85" i="7" s="1"/>
  <c r="F20" i="37"/>
  <c r="G33" i="7"/>
  <c r="G23" i="36"/>
  <c r="G15" i="36"/>
  <c r="F261" i="7"/>
  <c r="F260" i="7" s="1"/>
  <c r="G58" i="7"/>
  <c r="G653" i="7" s="1"/>
  <c r="F653" i="7"/>
  <c r="G627" i="7"/>
  <c r="G626" i="7" s="1"/>
  <c r="G625" i="7" s="1"/>
  <c r="F626" i="7"/>
  <c r="F625" i="7" s="1"/>
  <c r="I2900" i="50" l="1"/>
  <c r="I2901" i="50" s="1"/>
  <c r="I2903" i="50" s="1"/>
  <c r="I886" i="56"/>
  <c r="I2896" i="50"/>
  <c r="I2895" i="50" s="1"/>
  <c r="I2894" i="50" s="1"/>
  <c r="I933" i="49"/>
  <c r="F191" i="7"/>
  <c r="G15" i="19" s="1"/>
  <c r="I686" i="56"/>
  <c r="I728" i="49"/>
  <c r="I2472" i="50"/>
  <c r="I2471" i="50" s="1"/>
  <c r="I2470" i="50" s="1"/>
  <c r="F13" i="17"/>
  <c r="F12" i="7"/>
  <c r="E11" i="7"/>
  <c r="F630" i="7"/>
  <c r="F629" i="7" s="1"/>
  <c r="F628" i="7" s="1"/>
  <c r="G12" i="7"/>
  <c r="G84" i="7"/>
  <c r="F84" i="7"/>
  <c r="I18" i="24"/>
  <c r="G191" i="7"/>
  <c r="H15" i="19" s="1"/>
  <c r="G192" i="7"/>
  <c r="F241" i="7"/>
  <c r="F240" i="7" s="1"/>
  <c r="G18" i="19" s="1"/>
  <c r="I15" i="24"/>
  <c r="F15" i="19"/>
  <c r="G241" i="7"/>
  <c r="G240" i="7" s="1"/>
  <c r="H18" i="19" s="1"/>
  <c r="E620" i="7"/>
  <c r="E621" i="7"/>
  <c r="F622" i="7"/>
  <c r="E28" i="21"/>
  <c r="E34" i="21" s="1"/>
  <c r="E50" i="21" s="1"/>
  <c r="F11" i="37"/>
  <c r="B13" i="22"/>
  <c r="G43" i="36" l="1"/>
  <c r="G44" i="36" s="1"/>
  <c r="F38" i="37"/>
  <c r="F11" i="7"/>
  <c r="G13" i="19" s="1"/>
  <c r="E619" i="7"/>
  <c r="E618" i="7" s="1"/>
  <c r="E617" i="7" s="1"/>
  <c r="I13" i="24"/>
  <c r="I12" i="24" s="1"/>
  <c r="E10" i="7"/>
  <c r="E639" i="7" s="1"/>
  <c r="F12" i="17"/>
  <c r="G11" i="7"/>
  <c r="H13" i="19" s="1"/>
  <c r="F621" i="7"/>
  <c r="G622" i="7"/>
  <c r="F620" i="7"/>
  <c r="F619" i="7" s="1"/>
  <c r="F618" i="7" s="1"/>
  <c r="F617" i="7" s="1"/>
  <c r="F598" i="7" s="1"/>
  <c r="F652" i="7"/>
  <c r="F649" i="7" s="1"/>
  <c r="E13" i="22"/>
  <c r="H13" i="22" s="1"/>
  <c r="F10" i="7" l="1"/>
  <c r="G12" i="19" s="1"/>
  <c r="G10" i="7"/>
  <c r="H12" i="19" s="1"/>
  <c r="G42" i="36"/>
  <c r="I27" i="24"/>
  <c r="I21" i="24" s="1"/>
  <c r="I30" i="24" s="1"/>
  <c r="C15" i="35"/>
  <c r="F14" i="17"/>
  <c r="F11" i="17" s="1"/>
  <c r="F37" i="19"/>
  <c r="C10" i="35"/>
  <c r="C17" i="35" s="1"/>
  <c r="C18" i="35" s="1"/>
  <c r="E13" i="21"/>
  <c r="E15" i="21" s="1"/>
  <c r="E52" i="21" s="1"/>
  <c r="E55" i="21" s="1"/>
  <c r="E66" i="21" s="1"/>
  <c r="E1453" i="40" s="1"/>
  <c r="I1651" i="50" s="1"/>
  <c r="I1649" i="50" s="1"/>
  <c r="E9" i="7"/>
  <c r="F645" i="7"/>
  <c r="G37" i="19"/>
  <c r="G621" i="7"/>
  <c r="G620" i="7"/>
  <c r="G619" i="7" s="1"/>
  <c r="G618" i="7" s="1"/>
  <c r="G617" i="7" s="1"/>
  <c r="G598" i="7" s="1"/>
  <c r="G652" i="7"/>
  <c r="G649" i="7" s="1"/>
  <c r="E637" i="7" l="1"/>
  <c r="I1630" i="50"/>
  <c r="I370" i="56" s="1"/>
  <c r="F9" i="7"/>
  <c r="F637" i="7" s="1"/>
  <c r="G38" i="19"/>
  <c r="F639" i="7"/>
  <c r="F647" i="7" s="1"/>
  <c r="G9" i="7"/>
  <c r="G637" i="7" s="1"/>
  <c r="G639" i="7"/>
  <c r="C32" i="35"/>
  <c r="C19" i="35"/>
  <c r="C20" i="35"/>
  <c r="D32" i="35"/>
  <c r="C21" i="35"/>
  <c r="H37" i="19"/>
  <c r="H38" i="19" s="1"/>
  <c r="G645" i="7"/>
  <c r="E35" i="48"/>
  <c r="I385" i="49" l="1"/>
  <c r="I1629" i="50"/>
  <c r="I1660" i="50"/>
  <c r="I1663" i="50" s="1"/>
  <c r="I1628" i="50"/>
  <c r="I1627" i="50" s="1"/>
  <c r="F14" i="18"/>
  <c r="F34" i="18" s="1"/>
  <c r="E1467" i="40"/>
  <c r="F15" i="18"/>
  <c r="F35" i="18" s="1"/>
  <c r="F38" i="18" s="1"/>
  <c r="G647" i="7"/>
  <c r="I1172" i="50"/>
  <c r="I1171" i="50" s="1"/>
  <c r="I762" i="50"/>
  <c r="I761" i="50"/>
  <c r="I555" i="50"/>
  <c r="I554" i="50"/>
  <c r="I552" i="50"/>
  <c r="I543" i="50"/>
  <c r="I553" i="50"/>
  <c r="I420" i="50"/>
  <c r="I419" i="50"/>
  <c r="I418" i="50"/>
  <c r="I421" i="50"/>
  <c r="I168" i="50"/>
  <c r="I169" i="50"/>
  <c r="I167" i="50"/>
  <c r="F86" i="40"/>
  <c r="I1661" i="50" l="1"/>
  <c r="F18" i="18"/>
  <c r="I417" i="50"/>
  <c r="I760" i="50"/>
  <c r="I751" i="50" s="1"/>
  <c r="I541" i="50"/>
  <c r="I537" i="50" s="1"/>
  <c r="I551" i="50"/>
  <c r="E79" i="40"/>
  <c r="I92" i="50" s="1"/>
  <c r="G86" i="40"/>
  <c r="G17" i="40" s="1"/>
  <c r="F17" i="40"/>
  <c r="Q58" i="44"/>
  <c r="Q21" i="44"/>
  <c r="Q46" i="44"/>
  <c r="R104" i="46"/>
  <c r="U59" i="46"/>
  <c r="Q104" i="46"/>
  <c r="U20" i="46"/>
  <c r="U42" i="46" s="1"/>
  <c r="AB57" i="46"/>
  <c r="AB59" i="46" s="1"/>
  <c r="AB61" i="46" s="1"/>
  <c r="AB114" i="46" s="1"/>
  <c r="R79" i="46"/>
  <c r="AF35" i="43"/>
  <c r="AF112" i="43" s="1"/>
  <c r="E97" i="40"/>
  <c r="F97" i="40" s="1"/>
  <c r="G97" i="40" s="1"/>
  <c r="X86" i="43"/>
  <c r="X50" i="43"/>
  <c r="X40" i="43"/>
  <c r="X109" i="43"/>
  <c r="X84" i="43"/>
  <c r="X30" i="43"/>
  <c r="AG55" i="43"/>
  <c r="AG112" i="43" s="1"/>
  <c r="AI47" i="43"/>
  <c r="AE107" i="43"/>
  <c r="X45" i="43"/>
  <c r="AJ35" i="43"/>
  <c r="E96" i="40"/>
  <c r="F96" i="40" s="1"/>
  <c r="G96" i="40" s="1"/>
  <c r="AI46" i="43"/>
  <c r="AJ68" i="43"/>
  <c r="T35" i="43"/>
  <c r="X80" i="43"/>
  <c r="X44" i="43"/>
  <c r="X33" i="43"/>
  <c r="N98" i="43"/>
  <c r="X48" i="43"/>
  <c r="X31" i="43"/>
  <c r="X63" i="43"/>
  <c r="AH55" i="43"/>
  <c r="AH112" i="43" s="1"/>
  <c r="E95" i="40"/>
  <c r="F95" i="40" s="1"/>
  <c r="G95" i="40" s="1"/>
  <c r="X49" i="43"/>
  <c r="X65" i="43"/>
  <c r="X92" i="43"/>
  <c r="AJ55" i="43"/>
  <c r="I379" i="56" l="1"/>
  <c r="I1671" i="50"/>
  <c r="I1670" i="50" s="1"/>
  <c r="I1672" i="50"/>
  <c r="I394" i="49"/>
  <c r="I1682" i="50"/>
  <c r="AK112" i="43"/>
  <c r="U61" i="46"/>
  <c r="Q25" i="44"/>
  <c r="Q33" i="44" s="1"/>
  <c r="AJ112" i="43"/>
  <c r="X101" i="43"/>
  <c r="Y101" i="43" s="1"/>
  <c r="AE101" i="43"/>
  <c r="X82" i="43"/>
  <c r="Y82" i="43" s="1"/>
  <c r="AE82" i="43"/>
  <c r="AD85" i="43"/>
  <c r="AD89" i="43" s="1"/>
  <c r="AD112" i="43" s="1"/>
  <c r="AB85" i="43"/>
  <c r="X85" i="43"/>
  <c r="Y85" i="43" s="1"/>
  <c r="AE78" i="43"/>
  <c r="X78" i="43"/>
  <c r="Y78" i="43" s="1"/>
  <c r="X76" i="43"/>
  <c r="Y76" i="43" s="1"/>
  <c r="AE76" i="43"/>
  <c r="AE102" i="43"/>
  <c r="X102" i="43"/>
  <c r="Y102" i="43" s="1"/>
  <c r="X87" i="43"/>
  <c r="Y87" i="43" s="1"/>
  <c r="AE87" i="43"/>
  <c r="AB74" i="43"/>
  <c r="AB79" i="43" s="1"/>
  <c r="X74" i="43"/>
  <c r="Y74" i="43" s="1"/>
  <c r="AE74" i="43"/>
  <c r="AE83" i="43"/>
  <c r="AB83" i="43"/>
  <c r="X75" i="43"/>
  <c r="Y75" i="43" s="1"/>
  <c r="AE75" i="43"/>
  <c r="X81" i="43"/>
  <c r="Y81" i="43" s="1"/>
  <c r="AE81" i="43"/>
  <c r="AE103" i="43"/>
  <c r="X103" i="43"/>
  <c r="Y103" i="43" s="1"/>
  <c r="X66" i="43"/>
  <c r="Y66" i="43" s="1"/>
  <c r="AB66" i="43"/>
  <c r="AB67" i="43"/>
  <c r="X67" i="43"/>
  <c r="Y67" i="43" s="1"/>
  <c r="I197" i="49"/>
  <c r="I191" i="56"/>
  <c r="F486" i="40"/>
  <c r="G486" i="40" s="1"/>
  <c r="Q72" i="44"/>
  <c r="Q85" i="44" s="1"/>
  <c r="I213" i="50"/>
  <c r="I750" i="50"/>
  <c r="I749" i="50" s="1"/>
  <c r="I748" i="50" s="1"/>
  <c r="E77" i="40"/>
  <c r="I90" i="50"/>
  <c r="I27" i="50" s="1"/>
  <c r="AI55" i="43"/>
  <c r="AI112" i="43" s="1"/>
  <c r="T89" i="43"/>
  <c r="T112" i="43" s="1"/>
  <c r="AM92" i="43"/>
  <c r="N93" i="43"/>
  <c r="W92" i="43"/>
  <c r="W93" i="43" s="1"/>
  <c r="S92" i="43"/>
  <c r="S93" i="43" s="1"/>
  <c r="X93" i="43"/>
  <c r="AK92" i="43"/>
  <c r="AL92" i="43" s="1"/>
  <c r="AA31" i="43"/>
  <c r="W31" i="43"/>
  <c r="S31" i="43"/>
  <c r="AM31" i="43"/>
  <c r="AN31" i="43" s="1"/>
  <c r="AK31" i="43"/>
  <c r="AL31" i="43" s="1"/>
  <c r="Y31" i="43"/>
  <c r="W96" i="43"/>
  <c r="W98" i="43" s="1"/>
  <c r="X96" i="43"/>
  <c r="X98" i="43" s="1"/>
  <c r="S96" i="43"/>
  <c r="S98" i="43" s="1"/>
  <c r="AK96" i="43"/>
  <c r="AL96" i="43" s="1"/>
  <c r="AM96" i="43"/>
  <c r="AM98" i="43" s="1"/>
  <c r="W54" i="43"/>
  <c r="AK54" i="43"/>
  <c r="AL54" i="43" s="1"/>
  <c r="AM54" i="43"/>
  <c r="AN54" i="43" s="1"/>
  <c r="Y54" i="43"/>
  <c r="S54" i="43"/>
  <c r="AA54" i="43"/>
  <c r="Y30" i="43"/>
  <c r="W30" i="43"/>
  <c r="AA30" i="43"/>
  <c r="AM30" i="43"/>
  <c r="AK30" i="43"/>
  <c r="AL30" i="43" s="1"/>
  <c r="N35" i="43"/>
  <c r="S30" i="43"/>
  <c r="AA103" i="43"/>
  <c r="W103" i="43"/>
  <c r="AK103" i="43"/>
  <c r="AL103" i="43" s="1"/>
  <c r="AM103" i="43"/>
  <c r="AN103" i="43" s="1"/>
  <c r="S103" i="43"/>
  <c r="R57" i="46"/>
  <c r="Z57" i="46"/>
  <c r="AA57" i="46" s="1"/>
  <c r="Y57" i="46"/>
  <c r="W23" i="43"/>
  <c r="S23" i="43"/>
  <c r="AK23" i="43"/>
  <c r="AL23" i="43" s="1"/>
  <c r="S90" i="43"/>
  <c r="S91" i="43" s="1"/>
  <c r="N91" i="43"/>
  <c r="W90" i="43"/>
  <c r="W91" i="43" s="1"/>
  <c r="AM90" i="43"/>
  <c r="AK90" i="43"/>
  <c r="AL90" i="43" s="1"/>
  <c r="S82" i="43"/>
  <c r="AK82" i="43"/>
  <c r="AL82" i="43" s="1"/>
  <c r="AA82" i="43"/>
  <c r="W82" i="43"/>
  <c r="AM82" i="43"/>
  <c r="AN82" i="43" s="1"/>
  <c r="W41" i="43"/>
  <c r="Y41" i="43"/>
  <c r="AK41" i="43"/>
  <c r="AL41" i="43" s="1"/>
  <c r="AA41" i="43"/>
  <c r="AM41" i="43"/>
  <c r="AN41" i="43" s="1"/>
  <c r="S41" i="43"/>
  <c r="W85" i="43"/>
  <c r="S85" i="43"/>
  <c r="AM85" i="43"/>
  <c r="AN85" i="43" s="1"/>
  <c r="AK85" i="43"/>
  <c r="AL85" i="43" s="1"/>
  <c r="AA85" i="43"/>
  <c r="AE85" i="43"/>
  <c r="AK94" i="43"/>
  <c r="AL94" i="43" s="1"/>
  <c r="S94" i="43"/>
  <c r="S95" i="43" s="1"/>
  <c r="AM94" i="43"/>
  <c r="N95" i="43"/>
  <c r="X94" i="43"/>
  <c r="X95" i="43" s="1"/>
  <c r="W94" i="43"/>
  <c r="W95" i="43" s="1"/>
  <c r="AE88" i="43"/>
  <c r="X88" i="43"/>
  <c r="Y88" i="43" s="1"/>
  <c r="W88" i="43"/>
  <c r="AM88" i="43"/>
  <c r="AN88" i="43" s="1"/>
  <c r="S88" i="43"/>
  <c r="AK88" i="43"/>
  <c r="AL88" i="43" s="1"/>
  <c r="AA88" i="43"/>
  <c r="S18" i="43"/>
  <c r="S19" i="43" s="1"/>
  <c r="AK18" i="43"/>
  <c r="AL18" i="43" s="1"/>
  <c r="AM18" i="43"/>
  <c r="W18" i="43"/>
  <c r="W19" i="43" s="1"/>
  <c r="N19" i="43"/>
  <c r="AA87" i="43"/>
  <c r="AK87" i="43"/>
  <c r="AL87" i="43" s="1"/>
  <c r="S87" i="43"/>
  <c r="AM87" i="43"/>
  <c r="AN87" i="43" s="1"/>
  <c r="W87" i="43"/>
  <c r="S72" i="43"/>
  <c r="AM72" i="43"/>
  <c r="AN72" i="43" s="1"/>
  <c r="AK72" i="43"/>
  <c r="AL72" i="43" s="1"/>
  <c r="W72" i="43"/>
  <c r="AK44" i="43"/>
  <c r="AL44" i="43" s="1"/>
  <c r="AM44" i="43"/>
  <c r="AN44" i="43" s="1"/>
  <c r="S44" i="43"/>
  <c r="AA44" i="43"/>
  <c r="W44" i="43"/>
  <c r="Y44" i="43"/>
  <c r="AK78" i="43"/>
  <c r="AL78" i="43" s="1"/>
  <c r="AA78" i="43"/>
  <c r="AM78" i="43"/>
  <c r="AN78" i="43" s="1"/>
  <c r="W78" i="43"/>
  <c r="S78" i="43"/>
  <c r="S61" i="43"/>
  <c r="S62" i="43" s="1"/>
  <c r="AK61" i="43"/>
  <c r="AL61" i="43" s="1"/>
  <c r="AM61" i="43"/>
  <c r="AA61" i="43"/>
  <c r="AA62" i="43" s="1"/>
  <c r="W61" i="43"/>
  <c r="W62" i="43" s="1"/>
  <c r="Y61" i="43"/>
  <c r="Y62" i="43" s="1"/>
  <c r="N62" i="43"/>
  <c r="X64" i="43"/>
  <c r="Y64" i="43" s="1"/>
  <c r="AA64" i="43"/>
  <c r="AK64" i="43"/>
  <c r="AL64" i="43" s="1"/>
  <c r="S64" i="43"/>
  <c r="W64" i="43"/>
  <c r="AM64" i="43"/>
  <c r="AN64" i="43" s="1"/>
  <c r="S20" i="43"/>
  <c r="N27" i="43"/>
  <c r="W20" i="43"/>
  <c r="AK20" i="43"/>
  <c r="AL20" i="43" s="1"/>
  <c r="AA76" i="43"/>
  <c r="W76" i="43"/>
  <c r="AK76" i="43"/>
  <c r="AL76" i="43" s="1"/>
  <c r="S76" i="43"/>
  <c r="AM76" i="43"/>
  <c r="AN76" i="43" s="1"/>
  <c r="S25" i="43"/>
  <c r="W25" i="43"/>
  <c r="AK25" i="43"/>
  <c r="AL25" i="43" s="1"/>
  <c r="AM84" i="43"/>
  <c r="AN84" i="43" s="1"/>
  <c r="AA84" i="43"/>
  <c r="Y84" i="43"/>
  <c r="AE84" i="43"/>
  <c r="S84" i="43"/>
  <c r="AK84" i="43"/>
  <c r="AL84" i="43" s="1"/>
  <c r="W84" i="43"/>
  <c r="W40" i="43"/>
  <c r="N55" i="43"/>
  <c r="AK40" i="43"/>
  <c r="AL40" i="43" s="1"/>
  <c r="Y40" i="43"/>
  <c r="AM40" i="43"/>
  <c r="AA40" i="43"/>
  <c r="S40" i="43"/>
  <c r="W57" i="43"/>
  <c r="S57" i="43"/>
  <c r="AK57" i="43"/>
  <c r="AL57" i="43" s="1"/>
  <c r="AM57" i="43"/>
  <c r="AN57" i="43" s="1"/>
  <c r="S99" i="43"/>
  <c r="S100" i="43" s="1"/>
  <c r="W99" i="43"/>
  <c r="W100" i="43" s="1"/>
  <c r="AM99" i="43"/>
  <c r="AK99" i="43"/>
  <c r="AL99" i="43" s="1"/>
  <c r="N100" i="43"/>
  <c r="AH17" i="47"/>
  <c r="AI17" i="47" s="1"/>
  <c r="T17" i="47"/>
  <c r="P17" i="47"/>
  <c r="X17" i="47"/>
  <c r="U17" i="47"/>
  <c r="V17" i="47" s="1"/>
  <c r="AJ17" i="47"/>
  <c r="AK17" i="47" s="1"/>
  <c r="X22" i="47"/>
  <c r="T22" i="47"/>
  <c r="P22" i="47"/>
  <c r="V22" i="47"/>
  <c r="AJ22" i="47"/>
  <c r="AK22" i="47" s="1"/>
  <c r="AH22" i="47"/>
  <c r="AI22" i="47" s="1"/>
  <c r="AA79" i="46"/>
  <c r="Y79" i="46"/>
  <c r="P42" i="46"/>
  <c r="Q16" i="46"/>
  <c r="S21" i="43"/>
  <c r="W21" i="43"/>
  <c r="AK21" i="43"/>
  <c r="AL21" i="43" s="1"/>
  <c r="Y49" i="43"/>
  <c r="W49" i="43"/>
  <c r="AK49" i="43"/>
  <c r="AL49" i="43" s="1"/>
  <c r="AM49" i="43"/>
  <c r="AN49" i="43" s="1"/>
  <c r="S49" i="43"/>
  <c r="AA49" i="43"/>
  <c r="AA63" i="43"/>
  <c r="Y63" i="43"/>
  <c r="S63" i="43"/>
  <c r="N68" i="43"/>
  <c r="AK63" i="43"/>
  <c r="AL63" i="43" s="1"/>
  <c r="W63" i="43"/>
  <c r="AM63" i="43"/>
  <c r="S48" i="43"/>
  <c r="AK48" i="43"/>
  <c r="AL48" i="43" s="1"/>
  <c r="W48" i="43"/>
  <c r="AA48" i="43"/>
  <c r="Y48" i="43"/>
  <c r="AM48" i="43"/>
  <c r="AN48" i="43" s="1"/>
  <c r="W33" i="43"/>
  <c r="S33" i="43"/>
  <c r="AM33" i="43"/>
  <c r="AN33" i="43" s="1"/>
  <c r="Y33" i="43"/>
  <c r="AA33" i="43"/>
  <c r="AK33" i="43"/>
  <c r="AL33" i="43" s="1"/>
  <c r="AK80" i="43"/>
  <c r="AL80" i="43" s="1"/>
  <c r="W80" i="43"/>
  <c r="AE80" i="43"/>
  <c r="N89" i="43"/>
  <c r="AM80" i="43"/>
  <c r="AA80" i="43"/>
  <c r="Y80" i="43"/>
  <c r="S80" i="43"/>
  <c r="AM70" i="43"/>
  <c r="AN70" i="43" s="1"/>
  <c r="AK70" i="43"/>
  <c r="AL70" i="43" s="1"/>
  <c r="W70" i="43"/>
  <c r="S70" i="43"/>
  <c r="N79" i="43"/>
  <c r="AK74" i="43"/>
  <c r="AL74" i="43" s="1"/>
  <c r="AA74" i="43"/>
  <c r="AM74" i="43"/>
  <c r="S74" i="43"/>
  <c r="W74" i="43"/>
  <c r="AK26" i="43"/>
  <c r="AL26" i="43" s="1"/>
  <c r="W26" i="43"/>
  <c r="S26" i="43"/>
  <c r="AM66" i="43"/>
  <c r="AN66" i="43" s="1"/>
  <c r="AK66" i="43"/>
  <c r="AL66" i="43" s="1"/>
  <c r="W66" i="43"/>
  <c r="S66" i="43"/>
  <c r="AA66" i="43"/>
  <c r="Y83" i="43"/>
  <c r="AA83" i="43"/>
  <c r="AM83" i="43"/>
  <c r="AN83" i="43" s="1"/>
  <c r="S83" i="43"/>
  <c r="AK83" i="43"/>
  <c r="AL83" i="43" s="1"/>
  <c r="W83" i="43"/>
  <c r="S75" i="43"/>
  <c r="AA75" i="43"/>
  <c r="AK75" i="43"/>
  <c r="AL75" i="43" s="1"/>
  <c r="AM75" i="43"/>
  <c r="AN75" i="43" s="1"/>
  <c r="W75" i="43"/>
  <c r="N104" i="43"/>
  <c r="AM101" i="43"/>
  <c r="W101" i="43"/>
  <c r="AA101" i="43"/>
  <c r="AK101" i="43"/>
  <c r="AL101" i="43" s="1"/>
  <c r="S101" i="43"/>
  <c r="AK16" i="43"/>
  <c r="AL16" i="43" s="1"/>
  <c r="S16" i="43"/>
  <c r="AM16" i="43"/>
  <c r="AN16" i="43" s="1"/>
  <c r="W16" i="43"/>
  <c r="AK67" i="43"/>
  <c r="AL67" i="43" s="1"/>
  <c r="S67" i="43"/>
  <c r="AA67" i="43"/>
  <c r="AM67" i="43"/>
  <c r="AN67" i="43" s="1"/>
  <c r="W67" i="43"/>
  <c r="AC68" i="43"/>
  <c r="S52" i="43"/>
  <c r="AA52" i="43"/>
  <c r="Y52" i="43"/>
  <c r="W52" i="43"/>
  <c r="AM52" i="43"/>
  <c r="AN52" i="43" s="1"/>
  <c r="AK52" i="43"/>
  <c r="AL52" i="43" s="1"/>
  <c r="S69" i="43"/>
  <c r="AK69" i="43"/>
  <c r="AL69" i="43" s="1"/>
  <c r="AM69" i="43"/>
  <c r="W69" i="43"/>
  <c r="N18" i="47"/>
  <c r="AJ15" i="47"/>
  <c r="P15" i="47"/>
  <c r="U15" i="47"/>
  <c r="V15" i="47" s="1"/>
  <c r="T15" i="47"/>
  <c r="AH15" i="47"/>
  <c r="X15" i="47"/>
  <c r="V77" i="46"/>
  <c r="R77" i="46"/>
  <c r="AA77" i="46"/>
  <c r="Y77" i="46"/>
  <c r="Q41" i="46"/>
  <c r="Y72" i="46"/>
  <c r="V72" i="46"/>
  <c r="R72" i="46"/>
  <c r="AA72" i="46"/>
  <c r="R24" i="46"/>
  <c r="Y24" i="46"/>
  <c r="V24" i="46"/>
  <c r="Z24" i="46"/>
  <c r="AA24" i="46" s="1"/>
  <c r="Y19" i="46"/>
  <c r="Z19" i="46"/>
  <c r="AA19" i="46" s="1"/>
  <c r="R19" i="46"/>
  <c r="Y27" i="46"/>
  <c r="Z27" i="46"/>
  <c r="AA27" i="46" s="1"/>
  <c r="V27" i="46"/>
  <c r="R27" i="46"/>
  <c r="AA85" i="46"/>
  <c r="V85" i="46"/>
  <c r="R85" i="46"/>
  <c r="Y85" i="46"/>
  <c r="Q34" i="46"/>
  <c r="AA41" i="46"/>
  <c r="Y41" i="46"/>
  <c r="V41" i="46"/>
  <c r="R41" i="46"/>
  <c r="R17" i="46"/>
  <c r="Z17" i="46"/>
  <c r="AA17" i="46" s="1"/>
  <c r="Y17" i="46"/>
  <c r="Q47" i="46"/>
  <c r="Q74" i="46"/>
  <c r="X18" i="46"/>
  <c r="Y18" i="46" s="1"/>
  <c r="R18" i="46"/>
  <c r="Z18" i="46"/>
  <c r="AA18" i="46" s="1"/>
  <c r="AA76" i="46"/>
  <c r="V76" i="46"/>
  <c r="Y76" i="46"/>
  <c r="R76" i="46"/>
  <c r="P70" i="46"/>
  <c r="Q65" i="46"/>
  <c r="R20" i="46"/>
  <c r="Z20" i="46"/>
  <c r="AA20" i="46" s="1"/>
  <c r="Y20" i="46"/>
  <c r="Q17" i="46"/>
  <c r="Q29" i="46"/>
  <c r="Q45" i="46"/>
  <c r="AA107" i="46"/>
  <c r="Y107" i="46"/>
  <c r="V107" i="46"/>
  <c r="R107" i="46"/>
  <c r="Y39" i="46"/>
  <c r="V39" i="46"/>
  <c r="AA39" i="46"/>
  <c r="R39" i="46"/>
  <c r="Q87" i="46"/>
  <c r="Y51" i="46"/>
  <c r="Y52" i="46" s="1"/>
  <c r="R51" i="46"/>
  <c r="R52" i="46" s="1"/>
  <c r="AA51" i="46"/>
  <c r="AA52" i="46" s="1"/>
  <c r="V52" i="46"/>
  <c r="Q96" i="46"/>
  <c r="Q97" i="46" s="1"/>
  <c r="P97" i="46"/>
  <c r="Q27" i="46"/>
  <c r="Q73" i="46"/>
  <c r="Q66" i="46"/>
  <c r="AA87" i="46"/>
  <c r="R87" i="46"/>
  <c r="Y87" i="46"/>
  <c r="Q81" i="46"/>
  <c r="AA86" i="46"/>
  <c r="Y86" i="46"/>
  <c r="R86" i="46"/>
  <c r="R28" i="46"/>
  <c r="Y28" i="46"/>
  <c r="V28" i="46"/>
  <c r="Z28" i="46"/>
  <c r="AA28" i="46" s="1"/>
  <c r="Q25" i="46"/>
  <c r="Q68" i="46"/>
  <c r="R96" i="46"/>
  <c r="R97" i="46" s="1"/>
  <c r="V96" i="46"/>
  <c r="V97" i="46" s="1"/>
  <c r="AA96" i="46"/>
  <c r="AA97" i="46" s="1"/>
  <c r="Y96" i="46"/>
  <c r="Y97" i="46" s="1"/>
  <c r="Q88" i="46"/>
  <c r="Q35" i="46"/>
  <c r="Q72" i="46"/>
  <c r="P91" i="46"/>
  <c r="AD15" i="44"/>
  <c r="T15" i="44"/>
  <c r="T16" i="44" s="1"/>
  <c r="U16" i="44"/>
  <c r="P15" i="44"/>
  <c r="P16" i="44" s="1"/>
  <c r="AF15" i="44"/>
  <c r="AD51" i="44"/>
  <c r="AE51" i="44" s="1"/>
  <c r="P51" i="44"/>
  <c r="T51" i="44"/>
  <c r="AF51" i="44"/>
  <c r="AG51" i="44" s="1"/>
  <c r="S38" i="44"/>
  <c r="T38" i="44" s="1"/>
  <c r="AF38" i="44"/>
  <c r="P38" i="44"/>
  <c r="P82" i="44"/>
  <c r="P83" i="44" s="1"/>
  <c r="AF82" i="44"/>
  <c r="AD82" i="44"/>
  <c r="N83" i="44"/>
  <c r="N85" i="44" s="1"/>
  <c r="N101" i="44" s="1"/>
  <c r="T82" i="44"/>
  <c r="T83" i="44" s="1"/>
  <c r="U82" i="44"/>
  <c r="U83" i="44" s="1"/>
  <c r="AF50" i="44"/>
  <c r="AG50" i="44" s="1"/>
  <c r="P50" i="44"/>
  <c r="T50" i="44"/>
  <c r="AD50" i="44"/>
  <c r="AE50" i="44" s="1"/>
  <c r="AD59" i="44"/>
  <c r="AE59" i="44" s="1"/>
  <c r="P59" i="44"/>
  <c r="AF59" i="44"/>
  <c r="AG59" i="44" s="1"/>
  <c r="T59" i="44"/>
  <c r="AF30" i="44"/>
  <c r="AG30" i="44" s="1"/>
  <c r="S30" i="44"/>
  <c r="T30" i="44" s="1"/>
  <c r="T31" i="44" s="1"/>
  <c r="P30" i="44"/>
  <c r="P31" i="44" s="1"/>
  <c r="U30" i="44"/>
  <c r="U31" i="44" s="1"/>
  <c r="AD30" i="44"/>
  <c r="AF96" i="44"/>
  <c r="P96" i="44"/>
  <c r="P97" i="44" s="1"/>
  <c r="T96" i="44"/>
  <c r="T97" i="44" s="1"/>
  <c r="AD96" i="44"/>
  <c r="AF53" i="44"/>
  <c r="AG53" i="44" s="1"/>
  <c r="P53" i="44"/>
  <c r="T53" i="44"/>
  <c r="AD53" i="44"/>
  <c r="AE53" i="44" s="1"/>
  <c r="AF69" i="44"/>
  <c r="AG69" i="44" s="1"/>
  <c r="AD69" i="44"/>
  <c r="AE69" i="44" s="1"/>
  <c r="P69" i="44"/>
  <c r="S69" i="44"/>
  <c r="T69" i="44" s="1"/>
  <c r="U69" i="44"/>
  <c r="V64" i="44"/>
  <c r="AF64" i="44"/>
  <c r="AG64" i="44" s="1"/>
  <c r="AD64" i="44"/>
  <c r="AE64" i="44" s="1"/>
  <c r="T64" i="44"/>
  <c r="P64" i="44"/>
  <c r="AD41" i="44"/>
  <c r="AE41" i="44" s="1"/>
  <c r="P41" i="44"/>
  <c r="T41" i="44"/>
  <c r="AF41" i="44"/>
  <c r="AG41" i="44" s="1"/>
  <c r="U74" i="44"/>
  <c r="P74" i="44"/>
  <c r="S74" i="44"/>
  <c r="T74" i="44" s="1"/>
  <c r="AF74" i="44"/>
  <c r="AD74" i="44"/>
  <c r="AA46" i="43"/>
  <c r="Y46" i="43"/>
  <c r="S46" i="43"/>
  <c r="W46" i="43"/>
  <c r="AK46" i="43"/>
  <c r="AL46" i="43" s="1"/>
  <c r="AM46" i="43"/>
  <c r="AN46" i="43" s="1"/>
  <c r="AC89" i="43"/>
  <c r="AH16" i="47"/>
  <c r="AI16" i="47" s="1"/>
  <c r="P16" i="47"/>
  <c r="U16" i="47"/>
  <c r="V16" i="47" s="1"/>
  <c r="T16" i="47"/>
  <c r="X16" i="47"/>
  <c r="AJ16" i="47"/>
  <c r="AK16" i="47" s="1"/>
  <c r="R90" i="46"/>
  <c r="AA90" i="46"/>
  <c r="V90" i="46"/>
  <c r="Y90" i="46"/>
  <c r="Q32" i="46"/>
  <c r="V34" i="46"/>
  <c r="Y34" i="46"/>
  <c r="R34" i="46"/>
  <c r="Z34" i="46"/>
  <c r="AA34" i="46" s="1"/>
  <c r="R89" i="46"/>
  <c r="Y89" i="46"/>
  <c r="AA89" i="46"/>
  <c r="R36" i="46"/>
  <c r="Y36" i="46"/>
  <c r="Z36" i="46"/>
  <c r="AA36" i="46" s="1"/>
  <c r="Y54" i="46"/>
  <c r="Z54" i="46"/>
  <c r="AA54" i="46" s="1"/>
  <c r="R54" i="46"/>
  <c r="Z26" i="46"/>
  <c r="AA26" i="46" s="1"/>
  <c r="Y26" i="46"/>
  <c r="R26" i="46"/>
  <c r="Y65" i="46"/>
  <c r="V65" i="46"/>
  <c r="AA65" i="46"/>
  <c r="R65" i="46"/>
  <c r="AA83" i="46"/>
  <c r="R83" i="46"/>
  <c r="V83" i="46"/>
  <c r="Y83" i="46"/>
  <c r="Q19" i="46"/>
  <c r="R81" i="46"/>
  <c r="AA81" i="46"/>
  <c r="V81" i="46"/>
  <c r="Y81" i="46"/>
  <c r="Y13" i="46"/>
  <c r="Y14" i="46" s="1"/>
  <c r="Z13" i="46"/>
  <c r="AA13" i="46" s="1"/>
  <c r="AA14" i="46" s="1"/>
  <c r="R13" i="46"/>
  <c r="R14" i="46" s="1"/>
  <c r="Q39" i="46"/>
  <c r="V106" i="46"/>
  <c r="Y106" i="46"/>
  <c r="AA106" i="46"/>
  <c r="R106" i="46"/>
  <c r="R23" i="46"/>
  <c r="V23" i="46"/>
  <c r="Z23" i="46"/>
  <c r="AA23" i="46" s="1"/>
  <c r="Y23" i="46"/>
  <c r="Y105" i="46"/>
  <c r="V105" i="46"/>
  <c r="R105" i="46"/>
  <c r="AA105" i="46"/>
  <c r="Q37" i="46"/>
  <c r="Q58" i="46"/>
  <c r="R93" i="46"/>
  <c r="R94" i="46" s="1"/>
  <c r="AA93" i="46"/>
  <c r="AA94" i="46" s="1"/>
  <c r="V93" i="46"/>
  <c r="V94" i="46" s="1"/>
  <c r="Y93" i="46"/>
  <c r="Y94" i="46" s="1"/>
  <c r="Q78" i="46"/>
  <c r="Q20" i="46"/>
  <c r="Y48" i="46"/>
  <c r="R48" i="46"/>
  <c r="AA48" i="46"/>
  <c r="Q90" i="46"/>
  <c r="Q85" i="46"/>
  <c r="AA40" i="46"/>
  <c r="R40" i="46"/>
  <c r="Y40" i="46"/>
  <c r="AA104" i="46"/>
  <c r="Y104" i="46"/>
  <c r="V104" i="46"/>
  <c r="T13" i="46"/>
  <c r="T14" i="46" s="1"/>
  <c r="T61" i="46" s="1"/>
  <c r="T114" i="46" s="1"/>
  <c r="Q14" i="46"/>
  <c r="P14" i="46"/>
  <c r="Q28" i="46"/>
  <c r="Q106" i="46"/>
  <c r="Q89" i="46"/>
  <c r="Q33" i="46"/>
  <c r="R31" i="46"/>
  <c r="AA31" i="46"/>
  <c r="Y31" i="46"/>
  <c r="Q46" i="46"/>
  <c r="Q105" i="46"/>
  <c r="P56" i="44"/>
  <c r="V56" i="44"/>
  <c r="AF56" i="44"/>
  <c r="AG56" i="44" s="1"/>
  <c r="S56" i="44"/>
  <c r="T56" i="44" s="1"/>
  <c r="AD56" i="44"/>
  <c r="AE56" i="44" s="1"/>
  <c r="U18" i="44"/>
  <c r="P18" i="44"/>
  <c r="T18" i="44"/>
  <c r="AF18" i="44"/>
  <c r="T21" i="44"/>
  <c r="U21" i="44"/>
  <c r="P21" i="44"/>
  <c r="P62" i="44"/>
  <c r="U62" i="44"/>
  <c r="AD62" i="44" s="1"/>
  <c r="AE62" i="44" s="1"/>
  <c r="S62" i="44"/>
  <c r="T62" i="44" s="1"/>
  <c r="AF62" i="44"/>
  <c r="AG62" i="44" s="1"/>
  <c r="T58" i="44"/>
  <c r="AF58" i="44"/>
  <c r="AG58" i="44" s="1"/>
  <c r="AD58" i="44"/>
  <c r="AE58" i="44" s="1"/>
  <c r="V58" i="44"/>
  <c r="P58" i="44"/>
  <c r="P70" i="44"/>
  <c r="U70" i="44"/>
  <c r="AF70" i="44"/>
  <c r="AG70" i="44" s="1"/>
  <c r="S70" i="44"/>
  <c r="T70" i="44" s="1"/>
  <c r="AD70" i="44"/>
  <c r="AE70" i="44" s="1"/>
  <c r="T71" i="44"/>
  <c r="V71" i="44"/>
  <c r="AD71" i="44"/>
  <c r="AE71" i="44" s="1"/>
  <c r="P71" i="44"/>
  <c r="AF71" i="44"/>
  <c r="AG71" i="44" s="1"/>
  <c r="AD47" i="44"/>
  <c r="AE47" i="44" s="1"/>
  <c r="P47" i="44"/>
  <c r="AF47" i="44"/>
  <c r="AG47" i="44" s="1"/>
  <c r="T47" i="44"/>
  <c r="P57" i="44"/>
  <c r="AD57" i="44"/>
  <c r="AE57" i="44" s="1"/>
  <c r="T57" i="44"/>
  <c r="AF57" i="44"/>
  <c r="AG57" i="44" s="1"/>
  <c r="P67" i="44"/>
  <c r="T67" i="44"/>
  <c r="U67" i="44"/>
  <c r="AD67" i="44" s="1"/>
  <c r="AE67" i="44" s="1"/>
  <c r="V67" i="44"/>
  <c r="AF67" i="44"/>
  <c r="AG67" i="44" s="1"/>
  <c r="S34" i="43"/>
  <c r="AA34" i="43"/>
  <c r="AK34" i="43"/>
  <c r="AL34" i="43" s="1"/>
  <c r="X34" i="43"/>
  <c r="Y34" i="43" s="1"/>
  <c r="W34" i="43"/>
  <c r="AM34" i="43"/>
  <c r="AN34" i="43" s="1"/>
  <c r="AK28" i="43"/>
  <c r="AL28" i="43" s="1"/>
  <c r="W28" i="43"/>
  <c r="W29" i="43" s="1"/>
  <c r="AM28" i="43"/>
  <c r="N29" i="43"/>
  <c r="S28" i="43"/>
  <c r="S29" i="43" s="1"/>
  <c r="W47" i="43"/>
  <c r="S47" i="43"/>
  <c r="AM47" i="43"/>
  <c r="AN47" i="43" s="1"/>
  <c r="AK47" i="43"/>
  <c r="AL47" i="43" s="1"/>
  <c r="AA47" i="43"/>
  <c r="Y47" i="43"/>
  <c r="AM102" i="43"/>
  <c r="AN102" i="43" s="1"/>
  <c r="S102" i="43"/>
  <c r="AA102" i="43"/>
  <c r="AK102" i="43"/>
  <c r="AL102" i="43" s="1"/>
  <c r="W102" i="43"/>
  <c r="AA50" i="43"/>
  <c r="Y50" i="43"/>
  <c r="S50" i="43"/>
  <c r="W50" i="43"/>
  <c r="AK50" i="43"/>
  <c r="AL50" i="43" s="1"/>
  <c r="AM50" i="43"/>
  <c r="AN50" i="43" s="1"/>
  <c r="P25" i="47"/>
  <c r="X25" i="47"/>
  <c r="U25" i="47"/>
  <c r="V25" i="47" s="1"/>
  <c r="T25" i="47"/>
  <c r="AH25" i="47"/>
  <c r="AI25" i="47" s="1"/>
  <c r="AJ25" i="47"/>
  <c r="AK25" i="47" s="1"/>
  <c r="P19" i="47"/>
  <c r="V19" i="47"/>
  <c r="X19" i="47"/>
  <c r="AH19" i="47"/>
  <c r="AJ19" i="47"/>
  <c r="T19" i="47"/>
  <c r="N23" i="47"/>
  <c r="R32" i="46"/>
  <c r="Z32" i="46"/>
  <c r="AA32" i="46" s="1"/>
  <c r="Y32" i="46"/>
  <c r="Y65" i="43"/>
  <c r="AK65" i="43"/>
  <c r="AL65" i="43" s="1"/>
  <c r="W65" i="43"/>
  <c r="S65" i="43"/>
  <c r="AM65" i="43"/>
  <c r="AN65" i="43" s="1"/>
  <c r="AA65" i="43"/>
  <c r="W24" i="43"/>
  <c r="AK24" i="43"/>
  <c r="AL24" i="43" s="1"/>
  <c r="S24" i="43"/>
  <c r="AK22" i="43"/>
  <c r="AL22" i="43" s="1"/>
  <c r="S22" i="43"/>
  <c r="W22" i="43"/>
  <c r="AK53" i="43"/>
  <c r="AL53" i="43" s="1"/>
  <c r="S53" i="43"/>
  <c r="AM53" i="43"/>
  <c r="AN53" i="43" s="1"/>
  <c r="AA53" i="43"/>
  <c r="W53" i="43"/>
  <c r="Y53" i="43"/>
  <c r="Y38" i="43"/>
  <c r="Y39" i="43" s="1"/>
  <c r="W38" i="43"/>
  <c r="W39" i="43" s="1"/>
  <c r="S38" i="43"/>
  <c r="S39" i="43" s="1"/>
  <c r="AM38" i="43"/>
  <c r="N39" i="43"/>
  <c r="AK38" i="43"/>
  <c r="AL38" i="43" s="1"/>
  <c r="AA38" i="43"/>
  <c r="AA39" i="43" s="1"/>
  <c r="AA81" i="43"/>
  <c r="S81" i="43"/>
  <c r="AK81" i="43"/>
  <c r="AL81" i="43" s="1"/>
  <c r="W81" i="43"/>
  <c r="AM81" i="43"/>
  <c r="AN81" i="43" s="1"/>
  <c r="AK59" i="43"/>
  <c r="AL59" i="43" s="1"/>
  <c r="S59" i="43"/>
  <c r="S60" i="43" s="1"/>
  <c r="AM59" i="43"/>
  <c r="W59" i="43"/>
  <c r="W60" i="43" s="1"/>
  <c r="N60" i="43"/>
  <c r="Y86" i="43"/>
  <c r="AA86" i="43"/>
  <c r="S86" i="43"/>
  <c r="W86" i="43"/>
  <c r="AM86" i="43"/>
  <c r="AN86" i="43" s="1"/>
  <c r="AK86" i="43"/>
  <c r="AL86" i="43" s="1"/>
  <c r="W42" i="43"/>
  <c r="AK42" i="43"/>
  <c r="AL42" i="43" s="1"/>
  <c r="AM42" i="43"/>
  <c r="AN42" i="43" s="1"/>
  <c r="S42" i="43"/>
  <c r="X42" i="43"/>
  <c r="Y42" i="43" s="1"/>
  <c r="AA42" i="43"/>
  <c r="AJ27" i="47"/>
  <c r="P27" i="47"/>
  <c r="P28" i="47" s="1"/>
  <c r="U27" i="47"/>
  <c r="V27" i="47" s="1"/>
  <c r="V28" i="47" s="1"/>
  <c r="T27" i="47"/>
  <c r="T28" i="47" s="1"/>
  <c r="AH27" i="47"/>
  <c r="N28" i="47"/>
  <c r="X27" i="47"/>
  <c r="X28" i="47" s="1"/>
  <c r="U24" i="47"/>
  <c r="V24" i="47" s="1"/>
  <c r="AJ24" i="47"/>
  <c r="AH24" i="47"/>
  <c r="P24" i="47"/>
  <c r="T24" i="47"/>
  <c r="N26" i="47"/>
  <c r="X24" i="47"/>
  <c r="Z21" i="46"/>
  <c r="AA21" i="46" s="1"/>
  <c r="R21" i="46"/>
  <c r="Y21" i="46"/>
  <c r="AA109" i="46"/>
  <c r="R109" i="46"/>
  <c r="Y109" i="46"/>
  <c r="Y78" i="46"/>
  <c r="AA78" i="46"/>
  <c r="R78" i="46"/>
  <c r="V78" i="46"/>
  <c r="R55" i="46"/>
  <c r="Y55" i="46"/>
  <c r="Z55" i="46"/>
  <c r="AA55" i="46" s="1"/>
  <c r="Z29" i="46"/>
  <c r="AA29" i="46" s="1"/>
  <c r="Y29" i="46"/>
  <c r="V29" i="46"/>
  <c r="R29" i="46"/>
  <c r="AA74" i="46"/>
  <c r="Y74" i="46"/>
  <c r="R74" i="46"/>
  <c r="Y16" i="46"/>
  <c r="R16" i="46"/>
  <c r="Z16" i="46"/>
  <c r="AA16" i="46" s="1"/>
  <c r="Q21" i="46"/>
  <c r="P59" i="46"/>
  <c r="Q54" i="46"/>
  <c r="Y75" i="46"/>
  <c r="V75" i="46"/>
  <c r="R75" i="46"/>
  <c r="AA75" i="46"/>
  <c r="Q38" i="46"/>
  <c r="R35" i="46"/>
  <c r="Z35" i="46"/>
  <c r="AA35" i="46" s="1"/>
  <c r="Y35" i="46"/>
  <c r="V35" i="46"/>
  <c r="Q86" i="46"/>
  <c r="R73" i="46"/>
  <c r="AA73" i="46"/>
  <c r="Y73" i="46"/>
  <c r="V73" i="46"/>
  <c r="R22" i="46"/>
  <c r="X22" i="46"/>
  <c r="Y22" i="46" s="1"/>
  <c r="Z22" i="46"/>
  <c r="AA22" i="46" s="1"/>
  <c r="Q18" i="46"/>
  <c r="Z58" i="46"/>
  <c r="AA58" i="46" s="1"/>
  <c r="R58" i="46"/>
  <c r="Y58" i="46"/>
  <c r="V59" i="46"/>
  <c r="Q69" i="46"/>
  <c r="Q76" i="46"/>
  <c r="U91" i="46"/>
  <c r="U99" i="46" s="1"/>
  <c r="U114" i="46" s="1"/>
  <c r="Q109" i="46"/>
  <c r="Q75" i="46"/>
  <c r="Q23" i="46"/>
  <c r="Q77" i="46"/>
  <c r="Q40" i="46"/>
  <c r="Q48" i="46"/>
  <c r="Y88" i="46"/>
  <c r="R88" i="46"/>
  <c r="AA88" i="46"/>
  <c r="Q51" i="46"/>
  <c r="Q52" i="46" s="1"/>
  <c r="P52" i="46"/>
  <c r="Q108" i="46"/>
  <c r="Q30" i="46"/>
  <c r="Q83" i="46"/>
  <c r="Y37" i="46"/>
  <c r="Z37" i="46"/>
  <c r="AA37" i="46" s="1"/>
  <c r="R37" i="46"/>
  <c r="V37" i="46"/>
  <c r="R45" i="46"/>
  <c r="V45" i="46"/>
  <c r="AA45" i="46"/>
  <c r="Y45" i="46"/>
  <c r="Q55" i="46"/>
  <c r="Q93" i="46"/>
  <c r="Q94" i="46" s="1"/>
  <c r="P94" i="46"/>
  <c r="AA46" i="46"/>
  <c r="Y46" i="46"/>
  <c r="R46" i="46"/>
  <c r="T61" i="44"/>
  <c r="P61" i="44"/>
  <c r="AF61" i="44"/>
  <c r="AG61" i="44" s="1"/>
  <c r="U61" i="44"/>
  <c r="AD61" i="44" s="1"/>
  <c r="AE61" i="44" s="1"/>
  <c r="V61" i="44"/>
  <c r="T65" i="44"/>
  <c r="P65" i="44"/>
  <c r="U65" i="44"/>
  <c r="AD65" i="44" s="1"/>
  <c r="AE65" i="44" s="1"/>
  <c r="V65" i="44"/>
  <c r="AF65" i="44"/>
  <c r="AG65" i="44" s="1"/>
  <c r="S68" i="44"/>
  <c r="T68" i="44" s="1"/>
  <c r="P68" i="44"/>
  <c r="AF68" i="44"/>
  <c r="AG68" i="44" s="1"/>
  <c r="U68" i="44"/>
  <c r="AD68" i="44"/>
  <c r="AE68" i="44" s="1"/>
  <c r="AF48" i="44"/>
  <c r="AG48" i="44" s="1"/>
  <c r="P48" i="44"/>
  <c r="U48" i="44"/>
  <c r="AD48" i="44" s="1"/>
  <c r="AE48" i="44" s="1"/>
  <c r="T48" i="44"/>
  <c r="P46" i="44"/>
  <c r="AF46" i="44"/>
  <c r="S46" i="44"/>
  <c r="T46" i="44" s="1"/>
  <c r="AD91" i="44"/>
  <c r="AE91" i="44" s="1"/>
  <c r="AF91" i="44"/>
  <c r="AG91" i="44" s="1"/>
  <c r="T91" i="44"/>
  <c r="P91" i="44"/>
  <c r="T19" i="44"/>
  <c r="P19" i="44"/>
  <c r="AD19" i="44"/>
  <c r="AE19" i="44" s="1"/>
  <c r="AF19" i="44"/>
  <c r="AG19" i="44" s="1"/>
  <c r="U78" i="44"/>
  <c r="P78" i="44"/>
  <c r="T78" i="44"/>
  <c r="AF78" i="44"/>
  <c r="AD78" i="44"/>
  <c r="T55" i="44"/>
  <c r="P55" i="44"/>
  <c r="AF55" i="44"/>
  <c r="AG55" i="44" s="1"/>
  <c r="AD55" i="44"/>
  <c r="AE55" i="44" s="1"/>
  <c r="AF63" i="44"/>
  <c r="AG63" i="44" s="1"/>
  <c r="T63" i="44"/>
  <c r="P63" i="44"/>
  <c r="U63" i="44"/>
  <c r="AD63" i="44" s="1"/>
  <c r="AE63" i="44" s="1"/>
  <c r="S90" i="44"/>
  <c r="T90" i="44" s="1"/>
  <c r="P90" i="44"/>
  <c r="AD90" i="44"/>
  <c r="AF90" i="44"/>
  <c r="AF52" i="44"/>
  <c r="AG52" i="44" s="1"/>
  <c r="T52" i="44"/>
  <c r="P52" i="44"/>
  <c r="AD52" i="44"/>
  <c r="AE52" i="44" s="1"/>
  <c r="X43" i="43"/>
  <c r="Y43" i="43" s="1"/>
  <c r="S43" i="43"/>
  <c r="AA43" i="43"/>
  <c r="AM43" i="43"/>
  <c r="AN43" i="43" s="1"/>
  <c r="AK43" i="43"/>
  <c r="AL43" i="43" s="1"/>
  <c r="W43" i="43"/>
  <c r="S107" i="43"/>
  <c r="AM107" i="43"/>
  <c r="AN107" i="43" s="1"/>
  <c r="AA107" i="43"/>
  <c r="W107" i="43"/>
  <c r="AK107" i="43"/>
  <c r="AL107" i="43" s="1"/>
  <c r="X107" i="43"/>
  <c r="Y107" i="43" s="1"/>
  <c r="N110" i="43"/>
  <c r="W109" i="43"/>
  <c r="W110" i="43" s="1"/>
  <c r="AM109" i="43"/>
  <c r="AK109" i="43"/>
  <c r="AL109" i="43" s="1"/>
  <c r="AL110" i="43" s="1"/>
  <c r="AE109" i="43"/>
  <c r="AE110" i="43" s="1"/>
  <c r="AA109" i="43"/>
  <c r="AA110" i="43" s="1"/>
  <c r="Y109" i="43"/>
  <c r="Y110" i="43" s="1"/>
  <c r="S109" i="43"/>
  <c r="S110" i="43" s="1"/>
  <c r="AM105" i="43"/>
  <c r="AE105" i="43"/>
  <c r="AA105" i="43"/>
  <c r="X105" i="43"/>
  <c r="Y105" i="43" s="1"/>
  <c r="S105" i="43"/>
  <c r="AK105" i="43"/>
  <c r="AL105" i="43" s="1"/>
  <c r="W105" i="43"/>
  <c r="AM15" i="43"/>
  <c r="AN15" i="43" s="1"/>
  <c r="S15" i="43"/>
  <c r="N17" i="43"/>
  <c r="AK15" i="43"/>
  <c r="AL15" i="43" s="1"/>
  <c r="W15" i="43"/>
  <c r="AK45" i="43"/>
  <c r="AL45" i="43" s="1"/>
  <c r="Y45" i="43"/>
  <c r="W45" i="43"/>
  <c r="S45" i="43"/>
  <c r="AA45" i="43"/>
  <c r="AM45" i="43"/>
  <c r="AN45" i="43" s="1"/>
  <c r="N58" i="43"/>
  <c r="AK56" i="43"/>
  <c r="AL56" i="43" s="1"/>
  <c r="W56" i="43"/>
  <c r="S56" i="43"/>
  <c r="AM56" i="43"/>
  <c r="X21" i="47"/>
  <c r="P21" i="47"/>
  <c r="AH21" i="47"/>
  <c r="AI21" i="47" s="1"/>
  <c r="V21" i="47"/>
  <c r="T21" i="47"/>
  <c r="AJ21" i="47"/>
  <c r="AK21" i="47" s="1"/>
  <c r="Y38" i="46"/>
  <c r="AA38" i="46"/>
  <c r="R38" i="46"/>
  <c r="V38" i="46"/>
  <c r="Y82" i="46"/>
  <c r="V82" i="46"/>
  <c r="R82" i="46"/>
  <c r="AA82" i="46"/>
  <c r="R44" i="46"/>
  <c r="Y44" i="46"/>
  <c r="AA44" i="46"/>
  <c r="Q82" i="46"/>
  <c r="Y33" i="46"/>
  <c r="R33" i="46"/>
  <c r="Z33" i="46"/>
  <c r="AA33" i="46" s="1"/>
  <c r="Z56" i="46"/>
  <c r="AA56" i="46" s="1"/>
  <c r="Y56" i="46"/>
  <c r="R56" i="46"/>
  <c r="Q36" i="46"/>
  <c r="AA108" i="46"/>
  <c r="R108" i="46"/>
  <c r="Y108" i="46"/>
  <c r="AA47" i="46"/>
  <c r="R47" i="46"/>
  <c r="Y47" i="46"/>
  <c r="Y30" i="46"/>
  <c r="R30" i="46"/>
  <c r="Z30" i="46"/>
  <c r="AA30" i="46" s="1"/>
  <c r="AA84" i="46"/>
  <c r="Y84" i="46"/>
  <c r="R84" i="46"/>
  <c r="Q24" i="46"/>
  <c r="Q31" i="46"/>
  <c r="Q107" i="46"/>
  <c r="P110" i="46"/>
  <c r="P112" i="46" s="1"/>
  <c r="R25" i="46"/>
  <c r="X25" i="46"/>
  <c r="Y25" i="46" s="1"/>
  <c r="V25" i="46"/>
  <c r="Z25" i="46"/>
  <c r="AA25" i="46" s="1"/>
  <c r="R68" i="46"/>
  <c r="V68" i="46"/>
  <c r="AA68" i="46"/>
  <c r="Y68" i="46"/>
  <c r="Q26" i="46"/>
  <c r="P49" i="46"/>
  <c r="Q44" i="46"/>
  <c r="Q56" i="46"/>
  <c r="Y69" i="46"/>
  <c r="R69" i="46"/>
  <c r="AA69" i="46"/>
  <c r="V69" i="46"/>
  <c r="Y66" i="46"/>
  <c r="R66" i="46"/>
  <c r="V66" i="46"/>
  <c r="AA66" i="46"/>
  <c r="AA80" i="46"/>
  <c r="R80" i="46"/>
  <c r="Y80" i="46"/>
  <c r="V80" i="46"/>
  <c r="Q22" i="46"/>
  <c r="Q57" i="46"/>
  <c r="Q79" i="46"/>
  <c r="Q67" i="46"/>
  <c r="Q80" i="46"/>
  <c r="Q84" i="46"/>
  <c r="AA67" i="46"/>
  <c r="Y67" i="46"/>
  <c r="V67" i="46"/>
  <c r="R67" i="46"/>
  <c r="V60" i="44"/>
  <c r="T60" i="44"/>
  <c r="AD60" i="44"/>
  <c r="AE60" i="44" s="1"/>
  <c r="AF60" i="44"/>
  <c r="AG60" i="44" s="1"/>
  <c r="P60" i="44"/>
  <c r="U75" i="44"/>
  <c r="AF75" i="44"/>
  <c r="AG75" i="44" s="1"/>
  <c r="AD75" i="44"/>
  <c r="AE75" i="44" s="1"/>
  <c r="P75" i="44"/>
  <c r="S75" i="44"/>
  <c r="T75" i="44" s="1"/>
  <c r="AF66" i="44"/>
  <c r="AG66" i="44" s="1"/>
  <c r="AD66" i="44"/>
  <c r="AE66" i="44" s="1"/>
  <c r="T66" i="44"/>
  <c r="P66" i="44"/>
  <c r="V66" i="44"/>
  <c r="T79" i="44"/>
  <c r="P79" i="44"/>
  <c r="U79" i="44"/>
  <c r="AD79" i="44"/>
  <c r="AE79" i="44" s="1"/>
  <c r="AF79" i="44"/>
  <c r="AG79" i="44" s="1"/>
  <c r="T92" i="44"/>
  <c r="P92" i="44"/>
  <c r="U92" i="44"/>
  <c r="AF92" i="44"/>
  <c r="AG92" i="44" s="1"/>
  <c r="AF20" i="44"/>
  <c r="AG20" i="44" s="1"/>
  <c r="S20" i="44"/>
  <c r="T20" i="44" s="1"/>
  <c r="U20" i="44"/>
  <c r="AD20" i="44" s="1"/>
  <c r="AE20" i="44" s="1"/>
  <c r="P20" i="44"/>
  <c r="AD49" i="44"/>
  <c r="AE49" i="44" s="1"/>
  <c r="P49" i="44"/>
  <c r="AF49" i="44"/>
  <c r="AG49" i="44" s="1"/>
  <c r="T49" i="44"/>
  <c r="I22" i="56" l="1"/>
  <c r="I95" i="50"/>
  <c r="I1680" i="50"/>
  <c r="Q101" i="44"/>
  <c r="P99" i="46"/>
  <c r="P61" i="46"/>
  <c r="AC22" i="46"/>
  <c r="AD22" i="46" s="1"/>
  <c r="AC30" i="46"/>
  <c r="AD30" i="46" s="1"/>
  <c r="AG96" i="44"/>
  <c r="AG97" i="44" s="1"/>
  <c r="AF97" i="44"/>
  <c r="AE96" i="44"/>
  <c r="AE97" i="44" s="1"/>
  <c r="AD97" i="44"/>
  <c r="AD92" i="44"/>
  <c r="AE92" i="44" s="1"/>
  <c r="U93" i="44"/>
  <c r="U99" i="44" s="1"/>
  <c r="AE90" i="44"/>
  <c r="P93" i="44"/>
  <c r="P99" i="44" s="1"/>
  <c r="T93" i="44"/>
  <c r="T99" i="44" s="1"/>
  <c r="AG90" i="44"/>
  <c r="AG93" i="44" s="1"/>
  <c r="AG99" i="44" s="1"/>
  <c r="AF93" i="44"/>
  <c r="P72" i="44"/>
  <c r="P44" i="44"/>
  <c r="AF44" i="44"/>
  <c r="T44" i="44"/>
  <c r="AD18" i="44"/>
  <c r="U25" i="44"/>
  <c r="U33" i="44" s="1"/>
  <c r="P25" i="44"/>
  <c r="P33" i="44" s="1"/>
  <c r="T25" i="44"/>
  <c r="T33" i="44" s="1"/>
  <c r="N112" i="43"/>
  <c r="AC112" i="43"/>
  <c r="AB89" i="43"/>
  <c r="AA108" i="43"/>
  <c r="Y96" i="43"/>
  <c r="Y98" i="43" s="1"/>
  <c r="I20" i="49"/>
  <c r="I211" i="50"/>
  <c r="I215" i="50"/>
  <c r="AE19" i="46"/>
  <c r="AF19" i="46" s="1"/>
  <c r="I906" i="50"/>
  <c r="S108" i="43"/>
  <c r="I3924" i="50"/>
  <c r="I2450" i="50"/>
  <c r="I26" i="50"/>
  <c r="I25" i="50" s="1"/>
  <c r="I24" i="50" s="1"/>
  <c r="I3290" i="50"/>
  <c r="E2692" i="40"/>
  <c r="I3103" i="50" s="1"/>
  <c r="AC24" i="46"/>
  <c r="AD24" i="46" s="1"/>
  <c r="AC20" i="46"/>
  <c r="AD20" i="46" s="1"/>
  <c r="AC57" i="46"/>
  <c r="AD57" i="46" s="1"/>
  <c r="AC86" i="46"/>
  <c r="AD86" i="46" s="1"/>
  <c r="AE36" i="46"/>
  <c r="AF36" i="46" s="1"/>
  <c r="AE77" i="46"/>
  <c r="AF77" i="46" s="1"/>
  <c r="W58" i="43"/>
  <c r="AE83" i="46"/>
  <c r="AF83" i="46" s="1"/>
  <c r="AE54" i="46"/>
  <c r="AF54" i="46" s="1"/>
  <c r="AE107" i="46"/>
  <c r="AF107" i="46" s="1"/>
  <c r="AC89" i="46"/>
  <c r="AD89" i="46" s="1"/>
  <c r="AC23" i="46"/>
  <c r="AD23" i="46" s="1"/>
  <c r="AE76" i="46"/>
  <c r="AF76" i="46" s="1"/>
  <c r="S17" i="43"/>
  <c r="AC26" i="46"/>
  <c r="AD26" i="46" s="1"/>
  <c r="AC31" i="46"/>
  <c r="AD31" i="46" s="1"/>
  <c r="AE89" i="46"/>
  <c r="AF89" i="46" s="1"/>
  <c r="AE28" i="46"/>
  <c r="AF28" i="46" s="1"/>
  <c r="AE27" i="46"/>
  <c r="AF27" i="46" s="1"/>
  <c r="Y92" i="43"/>
  <c r="Y93" i="43" s="1"/>
  <c r="AC85" i="46"/>
  <c r="AD85" i="46" s="1"/>
  <c r="AE109" i="46"/>
  <c r="AC106" i="46"/>
  <c r="AD106" i="46" s="1"/>
  <c r="AC17" i="46"/>
  <c r="AD17" i="46" s="1"/>
  <c r="AE74" i="46"/>
  <c r="AF74" i="46" s="1"/>
  <c r="AC21" i="46"/>
  <c r="AD21" i="46" s="1"/>
  <c r="T26" i="47"/>
  <c r="AE79" i="46"/>
  <c r="AF79" i="46" s="1"/>
  <c r="AC84" i="46"/>
  <c r="AD84" i="46" s="1"/>
  <c r="Q49" i="46"/>
  <c r="Q110" i="46"/>
  <c r="Q112" i="46" s="1"/>
  <c r="AC83" i="46"/>
  <c r="AD83" i="46" s="1"/>
  <c r="AC105" i="46"/>
  <c r="AD105" i="46" s="1"/>
  <c r="AC109" i="46"/>
  <c r="S58" i="43"/>
  <c r="AE40" i="46"/>
  <c r="AF40" i="46" s="1"/>
  <c r="AE39" i="46"/>
  <c r="AF39" i="46" s="1"/>
  <c r="AC68" i="46"/>
  <c r="AD68" i="46" s="1"/>
  <c r="AE82" i="46"/>
  <c r="AF82" i="46" s="1"/>
  <c r="W108" i="43"/>
  <c r="AC77" i="46"/>
  <c r="AD77" i="46" s="1"/>
  <c r="AC76" i="46"/>
  <c r="AD76" i="46" s="1"/>
  <c r="AC19" i="46"/>
  <c r="AD19" i="46" s="1"/>
  <c r="AC56" i="46"/>
  <c r="AD56" i="46" s="1"/>
  <c r="AE108" i="46"/>
  <c r="AF108" i="46" s="1"/>
  <c r="AC40" i="46"/>
  <c r="AD40" i="46" s="1"/>
  <c r="AE80" i="46"/>
  <c r="AF80" i="46" s="1"/>
  <c r="AC66" i="46"/>
  <c r="AD66" i="46" s="1"/>
  <c r="AE69" i="46"/>
  <c r="AF69" i="46" s="1"/>
  <c r="AE105" i="46"/>
  <c r="AF105" i="46" s="1"/>
  <c r="AE86" i="46"/>
  <c r="AF86" i="46" s="1"/>
  <c r="AC39" i="46"/>
  <c r="AD39" i="46" s="1"/>
  <c r="AE20" i="46"/>
  <c r="AF20" i="46" s="1"/>
  <c r="AE72" i="46"/>
  <c r="AF72" i="46" s="1"/>
  <c r="AC80" i="46"/>
  <c r="AD80" i="46" s="1"/>
  <c r="AE57" i="46"/>
  <c r="AF57" i="46" s="1"/>
  <c r="AE22" i="46"/>
  <c r="AF22" i="46" s="1"/>
  <c r="AE56" i="46"/>
  <c r="AF56" i="46" s="1"/>
  <c r="AE25" i="46"/>
  <c r="AF25" i="46" s="1"/>
  <c r="AE31" i="46"/>
  <c r="AF31" i="46" s="1"/>
  <c r="AE24" i="46"/>
  <c r="AF24" i="46" s="1"/>
  <c r="R49" i="46"/>
  <c r="AC73" i="46"/>
  <c r="AD73" i="46" s="1"/>
  <c r="P23" i="47"/>
  <c r="AE33" i="46"/>
  <c r="AF33" i="46" s="1"/>
  <c r="AE106" i="46"/>
  <c r="AF106" i="46" s="1"/>
  <c r="AE85" i="46"/>
  <c r="AF85" i="46" s="1"/>
  <c r="AC35" i="46"/>
  <c r="AD35" i="46" s="1"/>
  <c r="AE45" i="46"/>
  <c r="AF45" i="46" s="1"/>
  <c r="AE16" i="46"/>
  <c r="AF16" i="46" s="1"/>
  <c r="AE67" i="46"/>
  <c r="AF67" i="46" s="1"/>
  <c r="AC55" i="46"/>
  <c r="AD55" i="46" s="1"/>
  <c r="AC48" i="46"/>
  <c r="AD48" i="46" s="1"/>
  <c r="AC75" i="46"/>
  <c r="AD75" i="46" s="1"/>
  <c r="AE18" i="46"/>
  <c r="AF18" i="46" s="1"/>
  <c r="P26" i="47"/>
  <c r="AE32" i="46"/>
  <c r="AF32" i="46" s="1"/>
  <c r="AC78" i="46"/>
  <c r="AD78" i="46" s="1"/>
  <c r="AE81" i="46"/>
  <c r="AF81" i="46" s="1"/>
  <c r="AE29" i="46"/>
  <c r="AF29" i="46" s="1"/>
  <c r="Y79" i="43"/>
  <c r="AE84" i="46"/>
  <c r="AF84" i="46" s="1"/>
  <c r="AC47" i="46"/>
  <c r="AD47" i="46" s="1"/>
  <c r="V49" i="46"/>
  <c r="AE38" i="46"/>
  <c r="AF38" i="46" s="1"/>
  <c r="U80" i="44"/>
  <c r="AC46" i="46"/>
  <c r="AD46" i="46" s="1"/>
  <c r="AE37" i="46"/>
  <c r="AF37" i="46" s="1"/>
  <c r="AC88" i="46"/>
  <c r="AD88" i="46" s="1"/>
  <c r="AE35" i="46"/>
  <c r="AF35" i="46" s="1"/>
  <c r="AE90" i="46"/>
  <c r="AF90" i="46" s="1"/>
  <c r="AC58" i="46"/>
  <c r="AD58" i="46" s="1"/>
  <c r="AC34" i="46"/>
  <c r="AD34" i="46" s="1"/>
  <c r="AC72" i="46"/>
  <c r="AD72" i="46" s="1"/>
  <c r="AE87" i="46"/>
  <c r="AF87" i="46" s="1"/>
  <c r="AE73" i="46"/>
  <c r="AF73" i="46" s="1"/>
  <c r="AE65" i="46"/>
  <c r="AF65" i="46" s="1"/>
  <c r="AE41" i="46"/>
  <c r="AF41" i="46" s="1"/>
  <c r="AE34" i="46"/>
  <c r="AF34" i="46" s="1"/>
  <c r="W73" i="43"/>
  <c r="S73" i="43"/>
  <c r="S79" i="43"/>
  <c r="AL17" i="43"/>
  <c r="T80" i="44"/>
  <c r="AC104" i="46"/>
  <c r="AC107" i="46"/>
  <c r="AD107" i="46" s="1"/>
  <c r="AA49" i="46"/>
  <c r="T72" i="44"/>
  <c r="AC67" i="46"/>
  <c r="AD67" i="46" s="1"/>
  <c r="AC79" i="46"/>
  <c r="AD79" i="46" s="1"/>
  <c r="AC44" i="46"/>
  <c r="AE26" i="46"/>
  <c r="AF26" i="46" s="1"/>
  <c r="AE104" i="46"/>
  <c r="AC36" i="46"/>
  <c r="AD36" i="46" s="1"/>
  <c r="AC82" i="46"/>
  <c r="AD82" i="46" s="1"/>
  <c r="Y49" i="46"/>
  <c r="AE108" i="43"/>
  <c r="AE78" i="44"/>
  <c r="AE80" i="44" s="1"/>
  <c r="AD80" i="44"/>
  <c r="AG46" i="44"/>
  <c r="AG72" i="44" s="1"/>
  <c r="AF72" i="44"/>
  <c r="AE93" i="46"/>
  <c r="AE55" i="46"/>
  <c r="AF55" i="46" s="1"/>
  <c r="AC108" i="46"/>
  <c r="AD108" i="46" s="1"/>
  <c r="AC51" i="46"/>
  <c r="AE48" i="46"/>
  <c r="AF48" i="46" s="1"/>
  <c r="AE23" i="46"/>
  <c r="AF23" i="46" s="1"/>
  <c r="AE75" i="46"/>
  <c r="AF75" i="46" s="1"/>
  <c r="AC18" i="46"/>
  <c r="AD18" i="46" s="1"/>
  <c r="AE21" i="46"/>
  <c r="AF21" i="46" s="1"/>
  <c r="Y42" i="46"/>
  <c r="AJ26" i="47"/>
  <c r="AK24" i="47"/>
  <c r="AK26" i="47" s="1"/>
  <c r="AL39" i="43"/>
  <c r="T23" i="47"/>
  <c r="V23" i="47"/>
  <c r="AF21" i="44"/>
  <c r="AG21" i="44" s="1"/>
  <c r="AC33" i="46"/>
  <c r="AD33" i="46" s="1"/>
  <c r="AC28" i="46"/>
  <c r="AD28" i="46" s="1"/>
  <c r="AC13" i="46"/>
  <c r="V110" i="46"/>
  <c r="V112" i="46" s="1"/>
  <c r="AC90" i="46"/>
  <c r="AD90" i="46" s="1"/>
  <c r="AE78" i="46"/>
  <c r="AF78" i="46" s="1"/>
  <c r="AE58" i="46"/>
  <c r="AF58" i="46" s="1"/>
  <c r="AA70" i="46"/>
  <c r="AA59" i="46"/>
  <c r="T76" i="44"/>
  <c r="AF31" i="44"/>
  <c r="AG31" i="44"/>
  <c r="AD38" i="44"/>
  <c r="AD44" i="44" s="1"/>
  <c r="AC81" i="46"/>
  <c r="AD81" i="46" s="1"/>
  <c r="AC27" i="46"/>
  <c r="AD27" i="46" s="1"/>
  <c r="AE96" i="46"/>
  <c r="AC45" i="46"/>
  <c r="AD45" i="46" s="1"/>
  <c r="AC29" i="46"/>
  <c r="AD29" i="46" s="1"/>
  <c r="V91" i="46"/>
  <c r="V18" i="47"/>
  <c r="AM73" i="43"/>
  <c r="AN69" i="43"/>
  <c r="AN73" i="43" s="1"/>
  <c r="AL104" i="43"/>
  <c r="AE104" i="43"/>
  <c r="AM79" i="43"/>
  <c r="AN74" i="43"/>
  <c r="AN79" i="43" s="1"/>
  <c r="AE79" i="43"/>
  <c r="AA89" i="43"/>
  <c r="W89" i="43"/>
  <c r="AL68" i="43"/>
  <c r="AA68" i="43"/>
  <c r="AM55" i="43"/>
  <c r="AN40" i="43"/>
  <c r="AN55" i="43" s="1"/>
  <c r="W55" i="43"/>
  <c r="Y94" i="43"/>
  <c r="Y95" i="43" s="1"/>
  <c r="AN94" i="43"/>
  <c r="AN95" i="43" s="1"/>
  <c r="AM95" i="43"/>
  <c r="W35" i="43"/>
  <c r="AE44" i="46"/>
  <c r="AL58" i="43"/>
  <c r="AM17" i="43"/>
  <c r="AN17" i="43"/>
  <c r="Y108" i="43"/>
  <c r="AN105" i="43"/>
  <c r="AN108" i="43" s="1"/>
  <c r="AM108" i="43"/>
  <c r="AG78" i="44"/>
  <c r="AG80" i="44" s="1"/>
  <c r="AF80" i="44"/>
  <c r="AE30" i="46"/>
  <c r="AF30" i="46" s="1"/>
  <c r="AC69" i="46"/>
  <c r="AD69" i="46" s="1"/>
  <c r="AC38" i="46"/>
  <c r="AD38" i="46" s="1"/>
  <c r="AC54" i="46"/>
  <c r="Q59" i="46"/>
  <c r="V26" i="47"/>
  <c r="AN59" i="43"/>
  <c r="AN60" i="43" s="1"/>
  <c r="AM60" i="43"/>
  <c r="AK19" i="47"/>
  <c r="AJ23" i="47"/>
  <c r="AL29" i="43"/>
  <c r="AE46" i="46"/>
  <c r="AF46" i="46" s="1"/>
  <c r="Y110" i="46"/>
  <c r="Y112" i="46" s="1"/>
  <c r="V70" i="46"/>
  <c r="Y59" i="46"/>
  <c r="AE82" i="44"/>
  <c r="AE83" i="44" s="1"/>
  <c r="AD83" i="44"/>
  <c r="AG38" i="44"/>
  <c r="AG44" i="44" s="1"/>
  <c r="AF16" i="44"/>
  <c r="AG15" i="44"/>
  <c r="AG16" i="44" s="1"/>
  <c r="AC25" i="46"/>
  <c r="AD25" i="46" s="1"/>
  <c r="AC96" i="46"/>
  <c r="AC87" i="46"/>
  <c r="AD87" i="46" s="1"/>
  <c r="Q70" i="46"/>
  <c r="AE47" i="46"/>
  <c r="AF47" i="46" s="1"/>
  <c r="AA91" i="46"/>
  <c r="Y91" i="46"/>
  <c r="X18" i="47"/>
  <c r="P18" i="47"/>
  <c r="AL73" i="43"/>
  <c r="AA104" i="43"/>
  <c r="AA79" i="43"/>
  <c r="AN80" i="43"/>
  <c r="AN89" i="43" s="1"/>
  <c r="AM89" i="43"/>
  <c r="AL89" i="43"/>
  <c r="Y55" i="43"/>
  <c r="S27" i="43"/>
  <c r="AM62" i="43"/>
  <c r="AN61" i="43"/>
  <c r="AN62" i="43" s="1"/>
  <c r="AL91" i="43"/>
  <c r="AL35" i="43"/>
  <c r="Y35" i="43"/>
  <c r="AN96" i="43"/>
  <c r="AN98" i="43" s="1"/>
  <c r="AN56" i="43"/>
  <c r="AN58" i="43" s="1"/>
  <c r="AM58" i="43"/>
  <c r="AA42" i="46"/>
  <c r="AI27" i="47"/>
  <c r="AI28" i="47" s="1"/>
  <c r="AH28" i="47"/>
  <c r="AJ28" i="47"/>
  <c r="AK27" i="47"/>
  <c r="AK28" i="47" s="1"/>
  <c r="AN38" i="43"/>
  <c r="AN39" i="43" s="1"/>
  <c r="AM39" i="43"/>
  <c r="AH23" i="47"/>
  <c r="AI19" i="47"/>
  <c r="AI23" i="47" s="1"/>
  <c r="AG18" i="44"/>
  <c r="V72" i="44"/>
  <c r="AA110" i="46"/>
  <c r="AA112" i="46" s="1"/>
  <c r="AC37" i="46"/>
  <c r="AD37" i="46" s="1"/>
  <c r="R70" i="46"/>
  <c r="Y70" i="46"/>
  <c r="AC32" i="46"/>
  <c r="AD32" i="46" s="1"/>
  <c r="AD76" i="44"/>
  <c r="AE74" i="44"/>
  <c r="AE76" i="44" s="1"/>
  <c r="P76" i="44"/>
  <c r="AF83" i="44"/>
  <c r="AG82" i="44"/>
  <c r="AG83" i="44" s="1"/>
  <c r="AD16" i="44"/>
  <c r="AE15" i="44"/>
  <c r="AE16" i="44" s="1"/>
  <c r="AE88" i="46"/>
  <c r="AF88" i="46" s="1"/>
  <c r="AE68" i="46"/>
  <c r="AF68" i="46" s="1"/>
  <c r="AE66" i="46"/>
  <c r="AF66" i="46" s="1"/>
  <c r="AC74" i="46"/>
  <c r="AD74" i="46" s="1"/>
  <c r="AE17" i="46"/>
  <c r="AF17" i="46" s="1"/>
  <c r="R91" i="46"/>
  <c r="AC41" i="46"/>
  <c r="AD41" i="46" s="1"/>
  <c r="AI15" i="47"/>
  <c r="AI18" i="47" s="1"/>
  <c r="AH18" i="47"/>
  <c r="AJ18" i="47"/>
  <c r="AK15" i="47"/>
  <c r="AK18" i="47" s="1"/>
  <c r="W17" i="43"/>
  <c r="S104" i="43"/>
  <c r="W104" i="43"/>
  <c r="W79" i="43"/>
  <c r="AL79" i="43"/>
  <c r="S89" i="43"/>
  <c r="AN63" i="43"/>
  <c r="AN68" i="43" s="1"/>
  <c r="AM68" i="43"/>
  <c r="S68" i="43"/>
  <c r="AL100" i="43"/>
  <c r="S55" i="43"/>
  <c r="AL55" i="43"/>
  <c r="AL27" i="43"/>
  <c r="AL62" i="43"/>
  <c r="AN18" i="43"/>
  <c r="AN19" i="43" s="1"/>
  <c r="AM19" i="43"/>
  <c r="AL95" i="43"/>
  <c r="AN90" i="43"/>
  <c r="AN91" i="43" s="1"/>
  <c r="AM91" i="43"/>
  <c r="AN30" i="43"/>
  <c r="AN35" i="43" s="1"/>
  <c r="AM35" i="43"/>
  <c r="AL98" i="43"/>
  <c r="AL93" i="43"/>
  <c r="AD46" i="44"/>
  <c r="U72" i="44"/>
  <c r="AL108" i="43"/>
  <c r="AN109" i="43"/>
  <c r="AN110" i="43" s="1"/>
  <c r="AM110" i="43"/>
  <c r="P80" i="44"/>
  <c r="AC93" i="46"/>
  <c r="AE51" i="46"/>
  <c r="R42" i="46"/>
  <c r="X26" i="47"/>
  <c r="AI24" i="47"/>
  <c r="AI26" i="47" s="1"/>
  <c r="AH26" i="47"/>
  <c r="AL60" i="43"/>
  <c r="X23" i="47"/>
  <c r="AM29" i="43"/>
  <c r="AN28" i="43"/>
  <c r="AN29" i="43" s="1"/>
  <c r="AD21" i="44"/>
  <c r="AE21" i="44" s="1"/>
  <c r="AE13" i="46"/>
  <c r="R110" i="46"/>
  <c r="R112" i="46" s="1"/>
  <c r="V42" i="46"/>
  <c r="R59" i="46"/>
  <c r="AF76" i="44"/>
  <c r="AG74" i="44"/>
  <c r="AG76" i="44" s="1"/>
  <c r="U76" i="44"/>
  <c r="AD31" i="44"/>
  <c r="AE30" i="44"/>
  <c r="AE31" i="44" s="1"/>
  <c r="Q91" i="46"/>
  <c r="AC65" i="46"/>
  <c r="T18" i="47"/>
  <c r="Y104" i="43"/>
  <c r="AM104" i="43"/>
  <c r="AN101" i="43"/>
  <c r="AN104" i="43" s="1"/>
  <c r="AB68" i="43"/>
  <c r="Y89" i="43"/>
  <c r="AE89" i="43"/>
  <c r="W68" i="43"/>
  <c r="Y68" i="43"/>
  <c r="AC16" i="46"/>
  <c r="Q42" i="46"/>
  <c r="AM100" i="43"/>
  <c r="AN99" i="43"/>
  <c r="AN100" i="43" s="1"/>
  <c r="AA55" i="43"/>
  <c r="W27" i="43"/>
  <c r="AL19" i="43"/>
  <c r="S35" i="43"/>
  <c r="AA35" i="43"/>
  <c r="AM93" i="43"/>
  <c r="AN92" i="43"/>
  <c r="AN93" i="43" s="1"/>
  <c r="I210" i="50" l="1"/>
  <c r="I46" i="56" s="1"/>
  <c r="AF99" i="44"/>
  <c r="AE93" i="44"/>
  <c r="AE99" i="44" s="1"/>
  <c r="AD93" i="44"/>
  <c r="AD99" i="44" s="1"/>
  <c r="AL112" i="43"/>
  <c r="P114" i="46"/>
  <c r="AD109" i="46"/>
  <c r="AF109" i="46"/>
  <c r="V99" i="46"/>
  <c r="Q99" i="46"/>
  <c r="Y99" i="46"/>
  <c r="R99" i="46"/>
  <c r="AA99" i="46"/>
  <c r="V61" i="46"/>
  <c r="Y61" i="46"/>
  <c r="Q61" i="46"/>
  <c r="R61" i="46"/>
  <c r="AA61" i="46"/>
  <c r="P85" i="44"/>
  <c r="P101" i="44" s="1"/>
  <c r="T85" i="44"/>
  <c r="T101" i="44" s="1"/>
  <c r="U85" i="44"/>
  <c r="U101" i="44" s="1"/>
  <c r="AG85" i="44"/>
  <c r="AF85" i="44"/>
  <c r="V85" i="44"/>
  <c r="V101" i="44" s="1"/>
  <c r="AG25" i="44"/>
  <c r="AG33" i="44" s="1"/>
  <c r="AD25" i="44"/>
  <c r="AD33" i="44" s="1"/>
  <c r="AE18" i="44"/>
  <c r="AE25" i="44" s="1"/>
  <c r="AE33" i="44" s="1"/>
  <c r="AF25" i="44"/>
  <c r="AF33" i="44" s="1"/>
  <c r="AK23" i="47"/>
  <c r="AA112" i="43"/>
  <c r="Y112" i="43"/>
  <c r="AE112" i="43"/>
  <c r="W112" i="43"/>
  <c r="AN112" i="43"/>
  <c r="AM112" i="43"/>
  <c r="S112" i="43"/>
  <c r="AB112" i="43"/>
  <c r="I1121" i="50"/>
  <c r="I131" i="50"/>
  <c r="I130" i="50" s="1"/>
  <c r="E1602" i="40"/>
  <c r="I1938" i="50" s="1"/>
  <c r="I3318" i="50"/>
  <c r="I3109" i="50"/>
  <c r="I2463" i="50"/>
  <c r="I2462" i="50" s="1"/>
  <c r="I2461" i="50" s="1"/>
  <c r="I2383" i="50"/>
  <c r="I1068" i="50"/>
  <c r="I582" i="50"/>
  <c r="F476" i="40"/>
  <c r="G476" i="40" s="1"/>
  <c r="E1208" i="40"/>
  <c r="I1345" i="50" s="1"/>
  <c r="I462" i="50"/>
  <c r="I461" i="50" s="1"/>
  <c r="F364" i="40"/>
  <c r="G364" i="40" s="1"/>
  <c r="F477" i="40"/>
  <c r="G477" i="40" s="1"/>
  <c r="F483" i="40"/>
  <c r="G483" i="40" s="1"/>
  <c r="F361" i="40"/>
  <c r="G361" i="40" s="1"/>
  <c r="I3265" i="50"/>
  <c r="I3118" i="50"/>
  <c r="I3736" i="50"/>
  <c r="F102" i="50"/>
  <c r="I96" i="50"/>
  <c r="I98" i="50" s="1"/>
  <c r="AD16" i="46"/>
  <c r="AD42" i="46" s="1"/>
  <c r="AC42" i="46"/>
  <c r="AF51" i="46"/>
  <c r="AF52" i="46" s="1"/>
  <c r="AE52" i="46"/>
  <c r="AC94" i="46"/>
  <c r="AD93" i="46"/>
  <c r="AD94" i="46" s="1"/>
  <c r="AE91" i="46"/>
  <c r="AF104" i="46"/>
  <c r="AE110" i="46"/>
  <c r="AE112" i="46" s="1"/>
  <c r="AD91" i="46"/>
  <c r="AE59" i="46"/>
  <c r="AD65" i="46"/>
  <c r="AD70" i="46" s="1"/>
  <c r="AC70" i="46"/>
  <c r="AF13" i="46"/>
  <c r="AF14" i="46" s="1"/>
  <c r="AE14" i="46"/>
  <c r="AE46" i="44"/>
  <c r="AE72" i="44" s="1"/>
  <c r="AD72" i="44"/>
  <c r="AD85" i="44" s="1"/>
  <c r="AF91" i="46"/>
  <c r="AF44" i="46"/>
  <c r="AF49" i="46" s="1"/>
  <c r="AE49" i="46"/>
  <c r="AC91" i="46"/>
  <c r="AF59" i="46"/>
  <c r="AC97" i="46"/>
  <c r="AD96" i="46"/>
  <c r="AD97" i="46" s="1"/>
  <c r="AD54" i="46"/>
  <c r="AD59" i="46" s="1"/>
  <c r="AC59" i="46"/>
  <c r="AE38" i="44"/>
  <c r="AE44" i="44" s="1"/>
  <c r="AD13" i="46"/>
  <c r="AD14" i="46" s="1"/>
  <c r="AC14" i="46"/>
  <c r="AF93" i="46"/>
  <c r="AF94" i="46" s="1"/>
  <c r="AE94" i="46"/>
  <c r="AC49" i="46"/>
  <c r="AD44" i="46"/>
  <c r="AD49" i="46" s="1"/>
  <c r="AD104" i="46"/>
  <c r="AD110" i="46" s="1"/>
  <c r="AD112" i="46" s="1"/>
  <c r="AC110" i="46"/>
  <c r="AC112" i="46" s="1"/>
  <c r="AE70" i="46"/>
  <c r="AE42" i="46"/>
  <c r="AE97" i="46"/>
  <c r="AF96" i="46"/>
  <c r="AF97" i="46" s="1"/>
  <c r="AD51" i="46"/>
  <c r="AD52" i="46" s="1"/>
  <c r="AC52" i="46"/>
  <c r="AF70" i="46"/>
  <c r="AF42" i="46"/>
  <c r="I1725" i="50" l="1"/>
  <c r="I1724" i="50" s="1"/>
  <c r="I1720" i="50"/>
  <c r="AG101" i="44"/>
  <c r="AF101" i="44"/>
  <c r="AD101" i="44"/>
  <c r="AF110" i="46"/>
  <c r="AF112" i="46" s="1"/>
  <c r="AA114" i="46"/>
  <c r="R114" i="46"/>
  <c r="Y114" i="46"/>
  <c r="AC99" i="46"/>
  <c r="Q114" i="46"/>
  <c r="V114" i="46"/>
  <c r="AE99" i="46"/>
  <c r="AF99" i="46"/>
  <c r="AD99" i="46"/>
  <c r="AF61" i="46"/>
  <c r="AC61" i="46"/>
  <c r="AD61" i="46"/>
  <c r="AE61" i="46"/>
  <c r="AE85" i="44"/>
  <c r="AE101" i="44" s="1"/>
  <c r="X30" i="47"/>
  <c r="X32" i="47" s="1"/>
  <c r="T30" i="47"/>
  <c r="T32" i="47" s="1"/>
  <c r="P30" i="47"/>
  <c r="P32" i="47" s="1"/>
  <c r="V30" i="47"/>
  <c r="V32" i="47" s="1"/>
  <c r="N30" i="47"/>
  <c r="N32" i="47" s="1"/>
  <c r="I242" i="56"/>
  <c r="I1069" i="50"/>
  <c r="I1067" i="50" s="1"/>
  <c r="I858" i="50"/>
  <c r="I209" i="50"/>
  <c r="I208" i="50" s="1"/>
  <c r="I207" i="50" s="1"/>
  <c r="I46" i="49"/>
  <c r="I1505" i="50"/>
  <c r="I929" i="50"/>
  <c r="E3355" i="40"/>
  <c r="E3354" i="40" s="1"/>
  <c r="I3910" i="50" s="1"/>
  <c r="I3710" i="50"/>
  <c r="I2315" i="50"/>
  <c r="I1894" i="50"/>
  <c r="I1891" i="50" s="1"/>
  <c r="E2436" i="40"/>
  <c r="E2446" i="40" s="1"/>
  <c r="I1887" i="50"/>
  <c r="E2935" i="40"/>
  <c r="I3336" i="50" s="1"/>
  <c r="I3239" i="50"/>
  <c r="E2826" i="40"/>
  <c r="I3251" i="50" s="1"/>
  <c r="I3250" i="50" s="1"/>
  <c r="E2926" i="40"/>
  <c r="E2924" i="40" s="1"/>
  <c r="I3330" i="50" s="1"/>
  <c r="E2905" i="40"/>
  <c r="I3308" i="50" s="1"/>
  <c r="E2889" i="40"/>
  <c r="E2887" i="40" s="1"/>
  <c r="I3302" i="50" s="1"/>
  <c r="E2857" i="40"/>
  <c r="I3277" i="50" s="1"/>
  <c r="I3278" i="50" s="1"/>
  <c r="E2807" i="40"/>
  <c r="I3229" i="50" s="1"/>
  <c r="E2786" i="40"/>
  <c r="I3223" i="50" s="1"/>
  <c r="I2859" i="50"/>
  <c r="I2439" i="50"/>
  <c r="I2740" i="50"/>
  <c r="I2231" i="50"/>
  <c r="I2273" i="50"/>
  <c r="I1524" i="50"/>
  <c r="I1523" i="50" s="1"/>
  <c r="I2053" i="50"/>
  <c r="I1430" i="50"/>
  <c r="I1349" i="50"/>
  <c r="I1338" i="50"/>
  <c r="E1180" i="40"/>
  <c r="E1209" i="40"/>
  <c r="I1346" i="50" s="1"/>
  <c r="I1166" i="50"/>
  <c r="I787" i="50"/>
  <c r="F479" i="40"/>
  <c r="G479" i="40" s="1"/>
  <c r="F362" i="40"/>
  <c r="G362" i="40" s="1"/>
  <c r="I859" i="50"/>
  <c r="F363" i="40"/>
  <c r="G363" i="40" s="1"/>
  <c r="F485" i="40"/>
  <c r="G485" i="40" s="1"/>
  <c r="F360" i="40"/>
  <c r="G360" i="40" s="1"/>
  <c r="F359" i="40"/>
  <c r="G359" i="40" s="1"/>
  <c r="F365" i="40"/>
  <c r="G365" i="40" s="1"/>
  <c r="F356" i="40"/>
  <c r="G356" i="40" s="1"/>
  <c r="I252" i="50"/>
  <c r="I1319" i="50" l="1"/>
  <c r="AC114" i="46"/>
  <c r="I3909" i="50"/>
  <c r="I1384" i="49" s="1"/>
  <c r="I4039" i="50"/>
  <c r="I911" i="50"/>
  <c r="I922" i="50"/>
  <c r="AD114" i="46"/>
  <c r="AF114" i="46"/>
  <c r="AE114" i="46"/>
  <c r="AI30" i="47"/>
  <c r="AI32" i="47" s="1"/>
  <c r="AH30" i="47"/>
  <c r="AH32" i="47" s="1"/>
  <c r="AK30" i="47"/>
  <c r="AK32" i="47" s="1"/>
  <c r="AJ30" i="47"/>
  <c r="AJ32" i="47" s="1"/>
  <c r="I1096" i="50"/>
  <c r="I1095" i="50" s="1"/>
  <c r="I538" i="49"/>
  <c r="I521" i="56"/>
  <c r="I2844" i="50"/>
  <c r="I2882" i="50" s="1"/>
  <c r="I2846" i="50"/>
  <c r="I1336" i="50"/>
  <c r="E1586" i="40"/>
  <c r="E3189" i="40"/>
  <c r="E3187" i="40" s="1"/>
  <c r="I3695" i="50" s="1"/>
  <c r="E3226" i="40"/>
  <c r="E3203" i="40"/>
  <c r="I3701" i="50" s="1"/>
  <c r="I2523" i="50"/>
  <c r="I2519" i="50" s="1"/>
  <c r="I713" i="56" s="1"/>
  <c r="I2563" i="50"/>
  <c r="I2559" i="50" s="1"/>
  <c r="I1717" i="50"/>
  <c r="I414" i="56" s="1"/>
  <c r="I1151" i="50"/>
  <c r="I256" i="56" s="1"/>
  <c r="E1616" i="40"/>
  <c r="I1948" i="50" s="1"/>
  <c r="E3193" i="40"/>
  <c r="I3331" i="50"/>
  <c r="I3333" i="50"/>
  <c r="E2894" i="40"/>
  <c r="I3304" i="50" s="1"/>
  <c r="I3276" i="50"/>
  <c r="I3274" i="50" s="1"/>
  <c r="I1098" i="56" s="1"/>
  <c r="I3252" i="50"/>
  <c r="E2791" i="40"/>
  <c r="I3225" i="50" s="1"/>
  <c r="I2159" i="50"/>
  <c r="I2158" i="50"/>
  <c r="I2157" i="50" s="1"/>
  <c r="I487" i="50"/>
  <c r="I486" i="50"/>
  <c r="I485" i="50" s="1"/>
  <c r="E2535" i="40"/>
  <c r="I2842" i="50" s="1"/>
  <c r="I2437" i="50"/>
  <c r="I2372" i="50"/>
  <c r="I2742" i="50"/>
  <c r="I2738" i="50" s="1"/>
  <c r="I2220" i="50"/>
  <c r="E1856" i="40"/>
  <c r="I2170" i="50" s="1"/>
  <c r="I1504" i="50"/>
  <c r="I1503" i="50" s="1"/>
  <c r="I1322" i="50"/>
  <c r="I1321" i="50" s="1"/>
  <c r="I789" i="50"/>
  <c r="I788" i="50" s="1"/>
  <c r="I802" i="50"/>
  <c r="I857" i="50"/>
  <c r="I522" i="50"/>
  <c r="I521" i="50" s="1"/>
  <c r="F482" i="40"/>
  <c r="G482" i="40" s="1"/>
  <c r="F484" i="40"/>
  <c r="G484" i="40" s="1"/>
  <c r="F475" i="40"/>
  <c r="G475" i="40" s="1"/>
  <c r="I245" i="50"/>
  <c r="E1585" i="40" l="1"/>
  <c r="I1934" i="50"/>
  <c r="I3722" i="50"/>
  <c r="I3721" i="50" s="1"/>
  <c r="E3200" i="40"/>
  <c r="I3698" i="50" s="1"/>
  <c r="I3697" i="50"/>
  <c r="I4034" i="50"/>
  <c r="I3908" i="50"/>
  <c r="I3907" i="50" s="1"/>
  <c r="I3906" i="50" s="1"/>
  <c r="I1299" i="56"/>
  <c r="I1344" i="50"/>
  <c r="I519" i="50"/>
  <c r="I1094" i="50"/>
  <c r="I1091" i="50" s="1"/>
  <c r="I1090" i="50" s="1"/>
  <c r="I1089" i="50" s="1"/>
  <c r="I232" i="56"/>
  <c r="I1106" i="50"/>
  <c r="I773" i="49"/>
  <c r="I728" i="56"/>
  <c r="I61" i="49"/>
  <c r="I61" i="56"/>
  <c r="I3507" i="50"/>
  <c r="I1166" i="49"/>
  <c r="I2518" i="50"/>
  <c r="I2517" i="50" s="1"/>
  <c r="I2516" i="50" s="1"/>
  <c r="I758" i="49"/>
  <c r="I1765" i="50"/>
  <c r="I1768" i="50" s="1"/>
  <c r="I429" i="49"/>
  <c r="I1241" i="50"/>
  <c r="I1242" i="50" s="1"/>
  <c r="I1244" i="50" s="1"/>
  <c r="I266" i="49"/>
  <c r="I2841" i="50"/>
  <c r="E1596" i="40"/>
  <c r="E1595" i="40" s="1"/>
  <c r="I1935" i="50" s="1"/>
  <c r="I2618" i="50"/>
  <c r="I2616" i="50" s="1"/>
  <c r="I2614" i="50" s="1"/>
  <c r="I2582" i="50"/>
  <c r="I813" i="56"/>
  <c r="I2435" i="50"/>
  <c r="I671" i="56" s="1"/>
  <c r="I1150" i="50"/>
  <c r="I1149" i="50" s="1"/>
  <c r="I1148" i="50" s="1"/>
  <c r="I2370" i="50"/>
  <c r="E1857" i="40"/>
  <c r="E3192" i="40"/>
  <c r="I3696" i="50" s="1"/>
  <c r="E1584" i="40"/>
  <c r="I1932" i="50" s="1"/>
  <c r="I3329" i="50"/>
  <c r="I1108" i="56" s="1"/>
  <c r="I3305" i="50"/>
  <c r="I3303" i="50"/>
  <c r="I2259" i="50"/>
  <c r="I3248" i="50"/>
  <c r="I1093" i="56" s="1"/>
  <c r="I3226" i="50"/>
  <c r="I3224" i="50"/>
  <c r="I3105" i="50"/>
  <c r="I2256" i="50"/>
  <c r="I2217" i="50"/>
  <c r="I2120" i="50"/>
  <c r="I2112" i="50" s="1"/>
  <c r="I2177" i="50"/>
  <c r="I2171" i="50" s="1"/>
  <c r="I1495" i="50"/>
  <c r="I1494" i="50"/>
  <c r="I1493" i="50" s="1"/>
  <c r="I1337" i="50"/>
  <c r="I1335" i="50" s="1"/>
  <c r="I1716" i="50"/>
  <c r="I1715" i="50"/>
  <c r="I1714" i="50" s="1"/>
  <c r="I1318" i="50"/>
  <c r="I910" i="50"/>
  <c r="I786" i="50"/>
  <c r="I391" i="50"/>
  <c r="I390" i="50" s="1"/>
  <c r="I404" i="50"/>
  <c r="I244" i="50"/>
  <c r="I243" i="50" s="1"/>
  <c r="I242" i="50" s="1"/>
  <c r="I3299" i="50" l="1"/>
  <c r="I1103" i="56" s="1"/>
  <c r="I3723" i="50"/>
  <c r="I3719" i="50" s="1"/>
  <c r="I3106" i="50"/>
  <c r="I3104" i="50"/>
  <c r="I3169" i="50" s="1"/>
  <c r="I2583" i="50"/>
  <c r="I2585" i="50"/>
  <c r="I388" i="50"/>
  <c r="I106" i="56" s="1"/>
  <c r="I1766" i="50"/>
  <c r="I1105" i="50"/>
  <c r="I1104" i="50" s="1"/>
  <c r="I1103" i="50" s="1"/>
  <c r="I248" i="49"/>
  <c r="I641" i="50"/>
  <c r="I644" i="50" s="1"/>
  <c r="I803" i="49"/>
  <c r="I755" i="56"/>
  <c r="I903" i="49"/>
  <c r="I856" i="56"/>
  <c r="I202" i="49"/>
  <c r="I196" i="56"/>
  <c r="I3247" i="50"/>
  <c r="I3246" i="50" s="1"/>
  <c r="I3245" i="50" s="1"/>
  <c r="I1161" i="49"/>
  <c r="I3328" i="50"/>
  <c r="I3327" i="50" s="1"/>
  <c r="I1178" i="49"/>
  <c r="I2486" i="50"/>
  <c r="I2489" i="50" s="1"/>
  <c r="I713" i="49"/>
  <c r="I2820" i="50"/>
  <c r="I860" i="49"/>
  <c r="I3407" i="50"/>
  <c r="I1317" i="50"/>
  <c r="I2677" i="50"/>
  <c r="I2678" i="50" s="1"/>
  <c r="I2680" i="50" s="1"/>
  <c r="I2613" i="50"/>
  <c r="I2612" i="50" s="1"/>
  <c r="I2611" i="50" s="1"/>
  <c r="I1491" i="50"/>
  <c r="I327" i="56" s="1"/>
  <c r="I2879" i="50"/>
  <c r="I2883" i="50" s="1"/>
  <c r="I1930" i="50"/>
  <c r="I3694" i="50"/>
  <c r="I1217" i="56" s="1"/>
  <c r="I2736" i="50"/>
  <c r="I2735" i="50" s="1"/>
  <c r="I2434" i="50"/>
  <c r="I2433" i="50" s="1"/>
  <c r="I2432" i="50" s="1"/>
  <c r="I2368" i="50"/>
  <c r="I905" i="50"/>
  <c r="I222" i="56" s="1"/>
  <c r="I2254" i="50"/>
  <c r="I3222" i="50"/>
  <c r="I2213" i="50"/>
  <c r="I2717" i="50"/>
  <c r="I2719" i="50" s="1"/>
  <c r="I2737" i="50"/>
  <c r="I2558" i="50" s="1"/>
  <c r="I2557" i="50" s="1"/>
  <c r="I2556" i="50" s="1"/>
  <c r="I2301" i="50"/>
  <c r="I2298" i="50"/>
  <c r="I2840" i="50"/>
  <c r="I2214" i="50"/>
  <c r="I2174" i="50"/>
  <c r="I785" i="50"/>
  <c r="I784" i="50" s="1"/>
  <c r="I783" i="50" s="1"/>
  <c r="I1222" i="56" l="1"/>
  <c r="I1299" i="49"/>
  <c r="I3718" i="50"/>
  <c r="I3717" i="50" s="1"/>
  <c r="I3716" i="50" s="1"/>
  <c r="I303" i="56"/>
  <c r="I1441" i="50"/>
  <c r="I1442" i="50" s="1"/>
  <c r="I1444" i="50" s="1"/>
  <c r="I1124" i="50"/>
  <c r="I642" i="50"/>
  <c r="I131" i="56"/>
  <c r="I636" i="49"/>
  <c r="I609" i="56"/>
  <c r="I488" i="49"/>
  <c r="I471" i="56"/>
  <c r="I1156" i="49"/>
  <c r="I1088" i="56"/>
  <c r="I3326" i="50"/>
  <c r="I2487" i="50"/>
  <c r="I3298" i="50"/>
  <c r="I3297" i="50" s="1"/>
  <c r="I3296" i="50" s="1"/>
  <c r="I1173" i="49"/>
  <c r="I3693" i="50"/>
  <c r="I3692" i="50" s="1"/>
  <c r="I3691" i="50" s="1"/>
  <c r="I1294" i="49"/>
  <c r="I1575" i="50"/>
  <c r="I1576" i="50" s="1"/>
  <c r="I1578" i="50" s="1"/>
  <c r="I336" i="49"/>
  <c r="I312" i="49"/>
  <c r="I228" i="49"/>
  <c r="I138" i="49"/>
  <c r="I494" i="50"/>
  <c r="I106" i="49"/>
  <c r="I2324" i="50"/>
  <c r="I904" i="50"/>
  <c r="I903" i="50" s="1"/>
  <c r="I902" i="50" s="1"/>
  <c r="I2212" i="50"/>
  <c r="I594" i="56" s="1"/>
  <c r="I2296" i="50"/>
  <c r="I2169" i="50"/>
  <c r="I4050" i="50"/>
  <c r="I4049" i="50" s="1"/>
  <c r="I4048" i="50" s="1"/>
  <c r="I4035" i="50"/>
  <c r="I3404" i="50"/>
  <c r="I3408" i="50" s="1"/>
  <c r="I3221" i="50"/>
  <c r="I3220" i="50" s="1"/>
  <c r="I3102" i="50"/>
  <c r="I1029" i="56" s="1"/>
  <c r="I2145" i="50"/>
  <c r="I2144" i="50"/>
  <c r="I2143" i="50" s="1"/>
  <c r="I1490" i="50"/>
  <c r="I1489" i="50" s="1"/>
  <c r="I1488" i="50" s="1"/>
  <c r="I2687" i="50"/>
  <c r="I2686" i="50"/>
  <c r="I2685" i="50" s="1"/>
  <c r="I2543" i="50"/>
  <c r="I2542" i="50" s="1"/>
  <c r="I2541" i="50" s="1"/>
  <c r="I2507" i="50"/>
  <c r="I2506" i="50" s="1"/>
  <c r="I2505" i="50" s="1"/>
  <c r="I2497" i="50" s="1"/>
  <c r="I2496" i="50" s="1"/>
  <c r="I2495" i="50" s="1"/>
  <c r="I2839" i="50"/>
  <c r="I2838" i="50" s="1"/>
  <c r="I2337" i="50"/>
  <c r="I1316" i="50"/>
  <c r="I1315" i="50" s="1"/>
  <c r="I1314" i="50" s="1"/>
  <c r="I518" i="50"/>
  <c r="I517" i="50" s="1"/>
  <c r="I516" i="50" s="1"/>
  <c r="I387" i="50"/>
  <c r="I386" i="50" s="1"/>
  <c r="I385" i="50" s="1"/>
  <c r="I1588" i="50"/>
  <c r="I351" i="56" s="1"/>
  <c r="I1125" i="50" l="1"/>
  <c r="I651" i="49"/>
  <c r="I624" i="56"/>
  <c r="I606" i="49"/>
  <c r="I579" i="56"/>
  <c r="I3166" i="50"/>
  <c r="I1090" i="49"/>
  <c r="I2210" i="50"/>
  <c r="I2209" i="50" s="1"/>
  <c r="I621" i="49"/>
  <c r="I1596" i="50"/>
  <c r="I1597" i="50" s="1"/>
  <c r="I360" i="49"/>
  <c r="I3219" i="50"/>
  <c r="I3683" i="50"/>
  <c r="I3682" i="50" s="1"/>
  <c r="I3681" i="50" s="1"/>
  <c r="I3771" i="50"/>
  <c r="I2321" i="50"/>
  <c r="I2322" i="50" s="1"/>
  <c r="I1080" i="50"/>
  <c r="I1079" i="50" s="1"/>
  <c r="I1078" i="50" s="1"/>
  <c r="I3101" i="50"/>
  <c r="I3100" i="50" s="1"/>
  <c r="I3099" i="50" s="1"/>
  <c r="I3405" i="50"/>
  <c r="I2295" i="50"/>
  <c r="I2294" i="50" s="1"/>
  <c r="I2293" i="50" s="1"/>
  <c r="I2253" i="50"/>
  <c r="I2252" i="50" s="1"/>
  <c r="I2251" i="50" s="1"/>
  <c r="I2211" i="50"/>
  <c r="I2167" i="50"/>
  <c r="I2166" i="50" s="1"/>
  <c r="I2168" i="50"/>
  <c r="I1929" i="50"/>
  <c r="I495" i="50"/>
  <c r="I497" i="50"/>
  <c r="I1587" i="50"/>
  <c r="I1586" i="50"/>
  <c r="I1585" i="50" s="1"/>
  <c r="I1127" i="50" l="1"/>
  <c r="I634" i="50"/>
  <c r="I633" i="50"/>
  <c r="I632" i="50" s="1"/>
  <c r="I151" i="56" s="1"/>
  <c r="I3772" i="50"/>
  <c r="I3774" i="50"/>
  <c r="I3167" i="50"/>
  <c r="I3273" i="50"/>
  <c r="I3272" i="50" s="1"/>
  <c r="I3170" i="50"/>
  <c r="I2111" i="50"/>
  <c r="I2110" i="50"/>
  <c r="I2109" i="50" s="1"/>
  <c r="I1928" i="50"/>
  <c r="I1927" i="50" s="1"/>
  <c r="I3271" i="50" l="1"/>
  <c r="I629" i="50" l="1"/>
  <c r="I628" i="50"/>
  <c r="I627" i="50" s="1"/>
  <c r="I1888" i="50" l="1"/>
  <c r="I2065" i="50" s="1"/>
  <c r="I2810" i="50" l="1"/>
  <c r="I2795" i="50" l="1"/>
  <c r="I2793" i="50" s="1"/>
  <c r="I2791" i="50" s="1"/>
  <c r="E2491" i="40"/>
  <c r="I2403" i="50"/>
  <c r="I889" i="49" l="1"/>
  <c r="I842" i="56"/>
  <c r="I2821" i="50"/>
  <c r="I2816" i="50"/>
  <c r="I2817" i="50" s="1"/>
  <c r="I2819" i="50"/>
  <c r="E2503" i="40"/>
  <c r="E2490" i="40" s="1"/>
  <c r="I2367" i="50"/>
  <c r="I642" i="56" s="1"/>
  <c r="I2404" i="50"/>
  <c r="I2406" i="50" s="1"/>
  <c r="I157" i="50"/>
  <c r="I2366" i="50" l="1"/>
  <c r="I2365" i="50" s="1"/>
  <c r="I669" i="49"/>
  <c r="I2790" i="50"/>
  <c r="I2789" i="50" s="1"/>
  <c r="I2788" i="50" s="1"/>
  <c r="I2880" i="50"/>
  <c r="I143" i="50"/>
  <c r="I41" i="56" s="1"/>
  <c r="I362" i="50" l="1"/>
  <c r="I41" i="49"/>
  <c r="I142" i="50"/>
  <c r="I141" i="50" s="1"/>
  <c r="I140" i="50" s="1"/>
  <c r="I365" i="50" l="1"/>
  <c r="I363" i="50"/>
  <c r="I1903" i="50" l="1"/>
  <c r="I2325" i="50" s="1"/>
  <c r="I2326" i="50" s="1"/>
  <c r="I1886" i="50" l="1"/>
  <c r="I456" i="56" s="1"/>
  <c r="I2062" i="50" l="1"/>
  <c r="I2063" i="50" s="1"/>
  <c r="I2066" i="50" s="1"/>
  <c r="I473" i="49"/>
  <c r="I2052" i="50"/>
  <c r="I2051" i="50" s="1"/>
  <c r="I2050" i="50" s="1"/>
  <c r="I1884" i="50"/>
  <c r="I1883" i="50" s="1"/>
  <c r="I1885" i="50"/>
  <c r="I4072" i="50"/>
  <c r="I4071" i="50" s="1"/>
  <c r="I4070" i="50" s="1"/>
  <c r="I4062" i="50"/>
  <c r="I4061" i="50" s="1"/>
  <c r="I4060" i="50" s="1"/>
  <c r="I4097" i="50"/>
  <c r="I4099" i="50" s="1"/>
  <c r="C35" i="27" s="1"/>
  <c r="C36" i="27" s="1"/>
  <c r="C29" i="28"/>
  <c r="I1845" i="50" l="1"/>
  <c r="I1844" i="50" s="1"/>
  <c r="I1846" i="50" l="1"/>
  <c r="I1833" i="50" l="1"/>
  <c r="I1832" i="50" s="1"/>
  <c r="I1834" i="50"/>
  <c r="I1812" i="50" l="1"/>
  <c r="I1811" i="50"/>
  <c r="I1810" i="50" s="1"/>
  <c r="I1804" i="50" l="1"/>
  <c r="I1803" i="50"/>
  <c r="I1802" i="50" s="1"/>
  <c r="I1776" i="50" l="1"/>
  <c r="I1775" i="50" l="1"/>
  <c r="I1774" i="50" s="1"/>
  <c r="B650" i="50"/>
</calcChain>
</file>

<file path=xl/comments1.xml><?xml version="1.0" encoding="utf-8"?>
<comments xmlns="http://schemas.openxmlformats.org/spreadsheetml/2006/main">
  <authors>
    <author>Mauro</author>
  </authors>
  <commentList>
    <comment ref="B9" authorId="0" shapeId="0">
      <text>
        <r>
          <rPr>
            <b/>
            <sz val="9"/>
            <color indexed="81"/>
            <rFont val="Segoe UI"/>
            <family val="2"/>
          </rPr>
          <t>Mauro: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<sst xmlns="http://schemas.openxmlformats.org/spreadsheetml/2006/main" count="26971" uniqueCount="7929">
  <si>
    <t>Código</t>
  </si>
  <si>
    <t>Especificação</t>
  </si>
  <si>
    <t>ARRECADAÇÃO</t>
  </si>
  <si>
    <t>Até Setembro</t>
  </si>
  <si>
    <t>Projetada</t>
  </si>
  <si>
    <t>1.0.0.0.00.00.00.00</t>
  </si>
  <si>
    <t>REC. CORRENTES</t>
  </si>
  <si>
    <t>1.1.0.0.00.00.00.00</t>
  </si>
  <si>
    <t>Rec. Tributárias</t>
  </si>
  <si>
    <t>1.2.0.0.00.00.00.00</t>
  </si>
  <si>
    <t>Rec. Contribuições</t>
  </si>
  <si>
    <t>1.3.0.0.00.00.00.00</t>
  </si>
  <si>
    <t>Rec. Patrimonial</t>
  </si>
  <si>
    <t>1.4.0.0.00.00.00.00</t>
  </si>
  <si>
    <t>Rec. Agropecuária</t>
  </si>
  <si>
    <t>1.5.0.0.00.00.00.00</t>
  </si>
  <si>
    <t>Rec. Industriais</t>
  </si>
  <si>
    <t xml:space="preserve"> </t>
  </si>
  <si>
    <t>1.6.0.0.00.00.00.00</t>
  </si>
  <si>
    <t>Rec. Serviços</t>
  </si>
  <si>
    <t>1.7.0.0.00.00.00.00</t>
  </si>
  <si>
    <t>Transf. Correntes</t>
  </si>
  <si>
    <t>1.9.0.0.00.00.00.00</t>
  </si>
  <si>
    <t>Outras Rec. Corr.</t>
  </si>
  <si>
    <t>2.0.0.0.00.00.00.00</t>
  </si>
  <si>
    <t>REC. DE CAPITAL</t>
  </si>
  <si>
    <t>2.1.0.0.00.00.00.00</t>
  </si>
  <si>
    <t>Oper. De Crédito</t>
  </si>
  <si>
    <t>2.2.0.0.00.00.00.00</t>
  </si>
  <si>
    <t>Alienação de Bens</t>
  </si>
  <si>
    <t>2.3.0.0.00.00.00.00</t>
  </si>
  <si>
    <t>Empr. Concedidos</t>
  </si>
  <si>
    <t>2.4.0.0.00.00.00.00</t>
  </si>
  <si>
    <t>Transf. De Capital</t>
  </si>
  <si>
    <t>2.5.0.0.00.00.00.00</t>
  </si>
  <si>
    <t>Outras Rec Capital</t>
  </si>
  <si>
    <t>9.0.0.0.00.00.00.00</t>
  </si>
  <si>
    <t>(-) Deduções da Receita</t>
  </si>
  <si>
    <t>T O T A L</t>
  </si>
  <si>
    <t xml:space="preserve">ORIGEM DADOS PAD TCE/RS. </t>
  </si>
  <si>
    <t>BASE DE RECEITAS E DESPESAS</t>
  </si>
  <si>
    <t>BASE DESPESAS REALIZADAS</t>
  </si>
  <si>
    <t>3.0.00.00.00.00.00</t>
  </si>
  <si>
    <t>DESPESAS CORRENTES</t>
  </si>
  <si>
    <t>3.1.00.00.00.00.00</t>
  </si>
  <si>
    <t>PESSOAL E ENCARGOS SOCIAIS</t>
  </si>
  <si>
    <t>PESSOAL E ENCARGOS SOCIAIS P. Executivo</t>
  </si>
  <si>
    <t>PESSOAL E ENCARGOS SOCIAIS P. Legislativo</t>
  </si>
  <si>
    <t>3.2.00.00.00.00.00</t>
  </si>
  <si>
    <t>JUROS E ENCARGOS DA DÍVIDA</t>
  </si>
  <si>
    <t>Juros e Encargos da Dívida P. Executivo</t>
  </si>
  <si>
    <t>3.3.00.00.00.00.00</t>
  </si>
  <si>
    <t>OUTRAS DESPESAS CORRENTES</t>
  </si>
  <si>
    <t>Outras Despesas Correntes P. Executivo</t>
  </si>
  <si>
    <t>Outras Despesas Correntes P. Legislativo</t>
  </si>
  <si>
    <t>4.0.00.00.00.00.00</t>
  </si>
  <si>
    <t>DESPESAS DE CAPITAL</t>
  </si>
  <si>
    <t>4.4.00.00.00.00.00</t>
  </si>
  <si>
    <t>INVESTIMENTOS</t>
  </si>
  <si>
    <t>Investimentos P. Executivo</t>
  </si>
  <si>
    <t>Investimentos P. Legislativo</t>
  </si>
  <si>
    <t>4.5.00.00.00.00.00</t>
  </si>
  <si>
    <t>INVERSÕES FINANCEIRAS</t>
  </si>
  <si>
    <t>4.5.90.66.00.00.00</t>
  </si>
  <si>
    <t>Concessão de Empréstimos e Financiamentos</t>
  </si>
  <si>
    <t>4.5.90.99.00.00.00</t>
  </si>
  <si>
    <t>Outras inversões Financeiras</t>
  </si>
  <si>
    <t>4.6.00.00.00.00.00</t>
  </si>
  <si>
    <t>AMORTIZAÇÃO DA DÍVIDA PÚBLICA</t>
  </si>
  <si>
    <t>9.9.99.99.99.99.01</t>
  </si>
  <si>
    <t>RESERVA DE CONTINGÊNCIA</t>
  </si>
  <si>
    <t>TOTAL DA DESPESA PODER EXECUTIVO</t>
  </si>
  <si>
    <t>TOTAL DA DESPESA PODER LEGISLATIVO</t>
  </si>
  <si>
    <t>PREVISÕES DA LEI DE ORÇAMENTO</t>
  </si>
  <si>
    <t>Receita Prevista (já deduzido o FUNDEB)</t>
  </si>
  <si>
    <t>Rendimento de Aplicações Financeiras</t>
  </si>
  <si>
    <t>Receita de Operações de Crédito</t>
  </si>
  <si>
    <t>Receita de Alienação de Bens</t>
  </si>
  <si>
    <t>Receita de Amort.de Empréstimos Concedidos</t>
  </si>
  <si>
    <t>Despesa Fixada (cfe lei de orçamento)</t>
  </si>
  <si>
    <t>Juros e Encargos da Dívida</t>
  </si>
  <si>
    <t>Amortização da Dívida</t>
  </si>
  <si>
    <t>Concessão de Empréstimos</t>
  </si>
  <si>
    <t>FPM</t>
  </si>
  <si>
    <t>ITR</t>
  </si>
  <si>
    <t>FEP</t>
  </si>
  <si>
    <t>CFEM</t>
  </si>
  <si>
    <t>LC 87/96</t>
  </si>
  <si>
    <t>ICMS</t>
  </si>
  <si>
    <t>IPVA</t>
  </si>
  <si>
    <t>CIDE</t>
  </si>
  <si>
    <t>FEX</t>
  </si>
  <si>
    <t>FUNDEF/FUNDEB</t>
  </si>
  <si>
    <t>Demonstrativo de Calculo do Crescimento Médio da Arrecadação  de Transferências Constitucionais</t>
  </si>
  <si>
    <t xml:space="preserve">ESPECIFICAÇÃO  </t>
  </si>
  <si>
    <t>MÉDIA</t>
  </si>
  <si>
    <t>Reestimado</t>
  </si>
  <si>
    <t>%</t>
  </si>
  <si>
    <t>IPI</t>
  </si>
  <si>
    <t>Q.S.E.</t>
  </si>
  <si>
    <t xml:space="preserve">TOTAL </t>
  </si>
  <si>
    <t>ARRECADAÇÃO MÉDIA</t>
  </si>
  <si>
    <t>IPI EXPORTAÇÃO</t>
  </si>
  <si>
    <t>% 2018/2017</t>
  </si>
  <si>
    <t xml:space="preserve">Demonstrativo de Cálculo de Crescimento Médio da Arrecadação </t>
  </si>
  <si>
    <t>Valor Arrecadado</t>
  </si>
  <si>
    <t>RECEITAS CORRENTES</t>
  </si>
  <si>
    <t>RECEITAS DE CAPITAL</t>
  </si>
  <si>
    <t>RECEITA TOTAL</t>
  </si>
  <si>
    <t>Demonstrativo de Cálculo da Arrecadação de  Receitas de Capital</t>
  </si>
  <si>
    <t>ESPECIFICAÇÃO  DA RECEITA</t>
  </si>
  <si>
    <t>RECEITA DE ALIENAÇÃO</t>
  </si>
  <si>
    <t>RECEITA DE TRANSFERENCIAS DE CAPITAL</t>
  </si>
  <si>
    <t>OUTRAS RECEITAS DE CAPITAL</t>
  </si>
  <si>
    <t>OPERAÇÃO DE CRÉDITO</t>
  </si>
  <si>
    <t>%         2018/2017</t>
  </si>
  <si>
    <t>Demonstrativo de Cálculo da  Arrecadação das Receitas  Próprias</t>
  </si>
  <si>
    <t>Taxa De Controle E Fiscalizacao Ambiental</t>
  </si>
  <si>
    <t>Restituicoes</t>
  </si>
  <si>
    <t>Receita Da Divida Ativa De Outros Tributos</t>
  </si>
  <si>
    <t>Deducao das Receitas Próprias</t>
  </si>
  <si>
    <t>Receita Tributária</t>
  </si>
  <si>
    <t>Receita de Serviços</t>
  </si>
  <si>
    <t>Receita Patrimonial</t>
  </si>
  <si>
    <t>Receita de Contribuições</t>
  </si>
  <si>
    <t>Receita Agropecuária</t>
  </si>
  <si>
    <t>Receita Industrial</t>
  </si>
  <si>
    <t>Multas de Diversas Origens</t>
  </si>
  <si>
    <t>Outras Indenizações e Restituições</t>
  </si>
  <si>
    <t>Divita Ativa Tributária</t>
  </si>
  <si>
    <t>Receita Da Divida Ativa Nao Tributária</t>
  </si>
  <si>
    <t>(-) Deduções da Receita Própria</t>
  </si>
  <si>
    <t>(-) Deduções do Fundeb</t>
  </si>
  <si>
    <t>QUADRO DE BASE DE MEDIA DE ARRECADAÇÃO DE RECEITAS</t>
  </si>
  <si>
    <t>RECEITA</t>
  </si>
  <si>
    <t>IRRF sobre Rendim. do Trab. - Principal - Ativos/Inativos do Poder Executivo</t>
  </si>
  <si>
    <t>Irrf - Outros Rendimentos - Principal - Poder Executivo</t>
  </si>
  <si>
    <t>Irrf - Outros Rendimentos - Principal - Poder Legislativo</t>
  </si>
  <si>
    <t>Imposto Sobre A Propriedade Predial E Territorial Urbana - Principal</t>
  </si>
  <si>
    <t>Imposto Sobre A Propriedade Predial E Territorial Urbana - Multas E Ju</t>
  </si>
  <si>
    <t>Imposto Sobre A Propriedade Predial E Territorial Urbana - Divida Ativ</t>
  </si>
  <si>
    <t>Imposto Sobre Transmissao  Inter Vivos  De Bens Imoveis E De Direitos - Principal</t>
  </si>
  <si>
    <t>Imposto Sobre Transmissao  Inter Vivos  De Bens Imoveis E De Direitos - Multa e Juros</t>
  </si>
  <si>
    <t>Imposto Sobre Transmissao  Inter Vivos  De Bens Imoveis E De Direitos - Divida Ativa</t>
  </si>
  <si>
    <t>Imposto Sobre Transmissao  Inter Vivos  De Bens Imoveis E De Direitos - Multa e Juros Divida Ativa</t>
  </si>
  <si>
    <t>Imposto Sobre Servicos De Qualquer Natureza - Principal</t>
  </si>
  <si>
    <t>Imposto Sobre Servicos De Qualquer Natureza - Multas E Juros</t>
  </si>
  <si>
    <t>Imposto Sobre Servicos De Qualquer Natureza - Divida Ativa</t>
  </si>
  <si>
    <t>Imposto Sobre Servicos De Qualquer Natureza - Divida Ativa - Multas e Juros</t>
  </si>
  <si>
    <t>Imposto Sobre Servicos De Qualquer Natureza - Multas e Juros</t>
  </si>
  <si>
    <t>Taxa - Fisc. de Vig. Sanitaria  - Principal</t>
  </si>
  <si>
    <t>Taxa - Func. de Estab. Comerc., Indust. e Serv. - Principal</t>
  </si>
  <si>
    <t>Taxa - Apreensao e Deposito - Principal</t>
  </si>
  <si>
    <t>Taxa - Funcionamento De Estabel. Em Horario Especial - Principal</t>
  </si>
  <si>
    <t>Taxa - Licenca P/ Execucao De Obras</t>
  </si>
  <si>
    <t>Taxa - Autorizacao de Funcionamento De Transporte - Principal</t>
  </si>
  <si>
    <t>Taxa - Utilizacao de Area de Dominio Publico</t>
  </si>
  <si>
    <t>Taxa - Aprovacao do Projeto de Construcao Civil  - Principal</t>
  </si>
  <si>
    <t>Taxa - Fiscalizacao de Vigilancia Sanitaria  - Multas e Juros</t>
  </si>
  <si>
    <t>Taxa - Funcionamento de Estabe. Com., Indust. e Serv. - Multas e Juros</t>
  </si>
  <si>
    <t>Taxa - Apreensao e Deposito - Multas e Juros</t>
  </si>
  <si>
    <t>Taxa - Licenca P/Execucao de Obras - Multas e Juros</t>
  </si>
  <si>
    <t>Taxa - Funcionamento De Estabel. Em Horario Especial - Multas e Juros</t>
  </si>
  <si>
    <t>Taxa - Autorizacao de Func. de Transp. - Multas e Juros</t>
  </si>
  <si>
    <t>Taxa - Utilizacao de Area de Dominio Publico - Multas e Juros</t>
  </si>
  <si>
    <t>Taxa - Aprovacao do Projeto de Construcao Civil - Multas e Juros</t>
  </si>
  <si>
    <t>Taxa - Fiscalizacao de Vigilancia Sanitaria  - Dívida Ativa</t>
  </si>
  <si>
    <t>Taxa - Funcionamento de Estabe. Com., Indust. e Serv.  - Dívida Ativa</t>
  </si>
  <si>
    <t>Taxa - Apreensao e Deposito  - Dívida Ativa</t>
  </si>
  <si>
    <t>Taxa - Funcionamento de Estabel. em Horario Especial  - Dívida Ativa</t>
  </si>
  <si>
    <t>Taxa - Licenca P/Execucao de Obras  - Dívida Ativa</t>
  </si>
  <si>
    <t>Taxa - Autorizacao de Funcionamento de Transporte  - Dívida Ativa</t>
  </si>
  <si>
    <t>Taxa - Utilizacao de Area de Dominio Publico - Dívida Ativa</t>
  </si>
  <si>
    <t>Taxa - Aprovacao do Projeto de Construcao Civil - Dívida Ativa</t>
  </si>
  <si>
    <t>Taxa - Fiscalizacao de Vig. Sanitaria - Dív. Ativa - Multas e Juros</t>
  </si>
  <si>
    <t>Taxa - Func. de Est. Com., Indust. e Serv. - Dív. At. - Mult. e Juros</t>
  </si>
  <si>
    <t>Taxa - Apreensao e Deposito - Dívida Ativa - Multas e Juros</t>
  </si>
  <si>
    <t>Taxa - Func. de Estabel. em Horario Espec. - Dív. At. - Mult. e Juros</t>
  </si>
  <si>
    <t>Taxa - Licenca P/Execucao de Obras - Dívida Ativa - Multas e Juros</t>
  </si>
  <si>
    <t>Taxa - Autoriz. de Func. de Transporte - Dívida Ativa - Multas e Juros</t>
  </si>
  <si>
    <t>Taxa - Utiliz. de Area de Dominio Publico - Dív. At. - Mult. e Juros</t>
  </si>
  <si>
    <t>Taxa - Aprov. do Projeto de Const. Civil - Dív. Ativa - Multas e Juros</t>
  </si>
  <si>
    <t>Taxa de Controle e Fiscalização Ambiental - Principal</t>
  </si>
  <si>
    <t>Taxa de Controle e Fiscalização Ambiental - Multas e Juros</t>
  </si>
  <si>
    <t>Taxa de Controle e Fiscalização Ambiental - Dívida Ativa</t>
  </si>
  <si>
    <t>Taxa de Controle e Fisc. Ambiental - Dívida Ativa - Multas e Juros</t>
  </si>
  <si>
    <t>Emolumentos e Custas Processuais Administrativas  - Principal</t>
  </si>
  <si>
    <t>Taxas de Serviços Cadastrais  - Principal</t>
  </si>
  <si>
    <t>Taxas de Coleta de Lixo - Principal</t>
  </si>
  <si>
    <t>Taxa de Expediente Serviços, Certidões e Outros - Principal</t>
  </si>
  <si>
    <t>Taxa de Inscrição de Outros Eventos Esportivos - Principal</t>
  </si>
  <si>
    <t>Taxa de Inscrição de Seminário de Educação - Principal</t>
  </si>
  <si>
    <t>Taxa de Inscrição de Camp. Interc. de Futebol Sete - Principal</t>
  </si>
  <si>
    <t>Taxa de Inscrição de Campeonato Futebol de Campo - Principal</t>
  </si>
  <si>
    <t>Taxa de Inscrição de Campeonato Praiano - Principal</t>
  </si>
  <si>
    <t>Taxa de Inscrição de Campeonato Municipal Futsal - Principal</t>
  </si>
  <si>
    <t>Taxa de Manutenção do Centro de Eventos - Principal</t>
  </si>
  <si>
    <t>Emolumentos e Custas Processuais Administrativas  - Multas e Juros</t>
  </si>
  <si>
    <t>Taxas de Serviços Cadastrais  - Multas e Juros</t>
  </si>
  <si>
    <t>Taxas de Coleta de Lixo - Multas e Juros</t>
  </si>
  <si>
    <t>Taxa de Expediente Serviços, Certidões e Outros - Multas e Juros</t>
  </si>
  <si>
    <t>Taxa de Inscrição de Outros Eventos Esportivos - Multas e Juros</t>
  </si>
  <si>
    <t>Taxa de Inscrição de Seminário de Educação - Multas e Juros</t>
  </si>
  <si>
    <t>Taxa de Inscrição de Camp. Interc. de Futebol Sete - Multas e Juros</t>
  </si>
  <si>
    <t>Taxa de Inscrição de Campeonato Futebol de Campo - Multas e Juros</t>
  </si>
  <si>
    <t>Taxa de Inscrição de Campeonato Praiano - Multas e Juros</t>
  </si>
  <si>
    <t>Taxa de Inscrição de Campeonato Municipal Futsal - Multas e Juros</t>
  </si>
  <si>
    <t>Taxa de Manutenção do Centro de Eventos - Multas e Juros</t>
  </si>
  <si>
    <t>Emolumentos e Custas Processuais Administrativas  - Divida Ativa</t>
  </si>
  <si>
    <t>Taxas de Serviços Cadastrais  - Divida Ativa</t>
  </si>
  <si>
    <t>Taxas de Coleta de Lixo - Divida Ativa</t>
  </si>
  <si>
    <t>Taxa de Expediente Serviços, Certidões e Outros - Divida Ativa</t>
  </si>
  <si>
    <t>Taxa de Inscrição de Outros Eventos Esportivos - Divida Ativa</t>
  </si>
  <si>
    <t>Taxa de Inscrição de Seminário de Educação - Divida Ativa</t>
  </si>
  <si>
    <t>Taxa de Inscrição de Camp. Interc. de Futebol Sete - Divida Ativa</t>
  </si>
  <si>
    <t>Taxa de Inscrição de Campeonato Futebol de Campo - Divida Ativa</t>
  </si>
  <si>
    <t>Taxa de Inscrição de Campeonato Praiano - Divida Ativa</t>
  </si>
  <si>
    <t>Taxa de Inscrição de Campeonato Municipal Futsal - Divida Ativa</t>
  </si>
  <si>
    <t>Taxa de Manutenção do Centro de Eventos - Divida Ativa</t>
  </si>
  <si>
    <t>Emolumentos e Custas Processuais Administrativas  - Multa e Juros Divida Ativa</t>
  </si>
  <si>
    <t>Taxas de Serviços Cadastrais  - Multa e Juros Divida Ativa</t>
  </si>
  <si>
    <t>Taxas de Coleta de Lixo - Multa e Juros Divida Ativa</t>
  </si>
  <si>
    <t>Taxa de Expediente Serviços, Certidões e Outros - Multa e Juros Divida Ativa</t>
  </si>
  <si>
    <t>Taxa de Inscrição de Outros Eventos Esportivos - Multa e Juros Divida Ativa</t>
  </si>
  <si>
    <t>Taxa de Inscrição de Seminário de Educação - Multa e Juros Divida Ativa</t>
  </si>
  <si>
    <t>Taxa de Inscrição de Camp. Interc. de Futebol Sete - Multa e Juros Divida Ativa</t>
  </si>
  <si>
    <t>Taxa de Inscrição de Campeonato Futebol de Campo - Multa e Juros Divida Ativa</t>
  </si>
  <si>
    <t>Taxa de Inscrição de Campeonato Praiano - Multa e Juros Divida Ativa</t>
  </si>
  <si>
    <t>Taxa de Inscrição de Campeonato Municipal Futsal - Multa e Juros Divida Ativa</t>
  </si>
  <si>
    <t>Taxa de Manutenção do Centro de Eventos - Multa e Juros Divida Ativa</t>
  </si>
  <si>
    <t>Contrib. de Melh. P/Exp. da Rede de Água Pot. e Esg. San. - Principal</t>
  </si>
  <si>
    <t>Contrib. de Melh. P/Exp. da Rede de Ilum. Pub. na Cidade - Principal</t>
  </si>
  <si>
    <t>Contrib. de Melh. P/Exp. da Rede de Ilum. Pub. Rural - Principal</t>
  </si>
  <si>
    <t>Contribuição de Melh. para Pavimentação e Obras Complem. - Principal</t>
  </si>
  <si>
    <t>Contribuição para o Custeio do Serv. de Ilumin. Pública - Principal</t>
  </si>
  <si>
    <t>Remuneração de Dep. de Recursos Vinculados - Royalties - Principal</t>
  </si>
  <si>
    <t>Remuneração de Dep.  Banc. de Recursos Vinculados - FUNDEB - Principal</t>
  </si>
  <si>
    <t>Remun. Depósitos Banc. - PAB FIXO</t>
  </si>
  <si>
    <t>Remun. Depósitos Banc. -  Assist. Farm. Básica União</t>
  </si>
  <si>
    <t>Remun. Depósitos Banc. -  Vig. Sanitária</t>
  </si>
  <si>
    <t>Remun. Depósitos Banc. -  Vig. Epidemiológica</t>
  </si>
  <si>
    <t>Remun. Depósitos Banc. -  Assist. Farm. Básica Estado</t>
  </si>
  <si>
    <t>Remun. Depósitos Banc. -  Diabete Melitus</t>
  </si>
  <si>
    <t>Remun. Depósitos Banc. -  Pies</t>
  </si>
  <si>
    <t>Remun. Depósitos Banc. -  Saúde Mental</t>
  </si>
  <si>
    <t>Remun. Depósitos Banc. -  Saúde da Família</t>
  </si>
  <si>
    <t>Remuneração de Depósitos  Bancários - MDE - Principal</t>
  </si>
  <si>
    <t>Remuneração de Depósitos  Bancários - ASPS - Principal</t>
  </si>
  <si>
    <t>Remuneração de Depósitos  Bancários - CIDE - Principal</t>
  </si>
  <si>
    <t>Remun. Depósitos Banc. -  B.P.S.B. Bloco Assist. Social Básica</t>
  </si>
  <si>
    <t>Remun. Depósitos Banc. -  B.P.E.M.C. Bloco Proteção Esp. Med. Complex.</t>
  </si>
  <si>
    <t>Remun. Depósitos Banc. - B.G.P.B.F.- Bloc. Gest. Prog. Bolsa Familia</t>
  </si>
  <si>
    <t>Remun. Depósitos Banc. - B.G.S. - Bloco de Gestão do SUAS</t>
  </si>
  <si>
    <t>Remun. Depósitos Banc. - ACESSUAS</t>
  </si>
  <si>
    <t>Remun. Depósitos Banc. - Q.S.E.</t>
  </si>
  <si>
    <t>Remun. Depósitos Banc. - P.N.A.E.</t>
  </si>
  <si>
    <t>Remun. Depósitos Banc. - P.N.A.T.E.</t>
  </si>
  <si>
    <t>Remun. Depósitos Banc. - MEC FNDE BRASIL CARINHOSO</t>
  </si>
  <si>
    <t>Remun. Depositos Banc. - Transf. MP 815/2017</t>
  </si>
  <si>
    <t>Remun. Depósitos Banc. - P.D.D.E.</t>
  </si>
  <si>
    <t>Remun. Depósitos Banc. - P.E.A.T.E./RS</t>
  </si>
  <si>
    <t>Remun. Depósitos Banc. - F.E.P.E.</t>
  </si>
  <si>
    <t>Remun. Depósitos Banc. - F.M.C.A.</t>
  </si>
  <si>
    <t>Remun. Depósitos Banc. - FEAS</t>
  </si>
  <si>
    <t>Remun. Depósitos Banc. -  Transf. Estado P/Aquis. Insumos Agric.</t>
  </si>
  <si>
    <t>Remun. Depósitos Banc. -  Transf. Estado P/FECA</t>
  </si>
  <si>
    <t>Remun. Depósitos Banc. - Poder Executivo</t>
  </si>
  <si>
    <t>Titulos de Responsabilidade do Governo Federal - TDA</t>
  </si>
  <si>
    <t>Locação do Centro de Eventos - Principal</t>
  </si>
  <si>
    <t>Locação do Centro de Eventos - Multas e Juros</t>
  </si>
  <si>
    <t>Locação do Centro de Eventos - Dívida Ativa</t>
  </si>
  <si>
    <t>Locação do Centro de Eventos  - Dívida Ativa - Multas e Juros</t>
  </si>
  <si>
    <t>Vistorias de Veiculos - Principal</t>
  </si>
  <si>
    <t>Fotocopias E/ou Copias Heliograficas - Principal</t>
  </si>
  <si>
    <t>Vistorias de Veiculos - Divida Ativa</t>
  </si>
  <si>
    <t>Fotocopias E/ou Copias Heliograficas -  Divida Ativa</t>
  </si>
  <si>
    <t>Vistorias de Veiculos - Multa e Juros</t>
  </si>
  <si>
    <t>Fotocopias E/ou Copias Heliograficas - Multa e Juros</t>
  </si>
  <si>
    <t xml:space="preserve">Vistorias de Veiculos - Divida Ativa Multa e Juros </t>
  </si>
  <si>
    <t xml:space="preserve">Fotocopias E/ou Copias Heliograficas - Divida Ativa Multa e Juros </t>
  </si>
  <si>
    <t>Inscrição em Concursos e Processos Seletivos - Principal</t>
  </si>
  <si>
    <t>Inscrição em Concursos e Processos Seletivos - Multas e Juros</t>
  </si>
  <si>
    <t>Inscrição em Concursos e Processos Seletivos - Dívida Ativa</t>
  </si>
  <si>
    <t>Inscrição em Concursos e Proc. Seletivos - Dív. At. - Mult. e Juros</t>
  </si>
  <si>
    <t>Serviços em Prop. Particular - Retroescavadeira - Principal</t>
  </si>
  <si>
    <t>Serviços em Prop. Particular - Trator/Discagem - Principal</t>
  </si>
  <si>
    <t>Serviços em Prop. Particular - Trator/Escalificação - Principal</t>
  </si>
  <si>
    <t>Serviços em Prop. Particular - Trator/Escreip - Principal</t>
  </si>
  <si>
    <t>Serviços em Prop. Particular - Trator/Esteira - Principal</t>
  </si>
  <si>
    <t>Serviços em Prop. Particular - Implem./Bat. de Cereais - Principal</t>
  </si>
  <si>
    <t>Serviços em Prop. Particular - Implem./Carreta Agricola - Principal</t>
  </si>
  <si>
    <t>Serviços em Prop. Particular - Implem./Distrib. de Esterco - Principal</t>
  </si>
  <si>
    <t>Serviços em Prop. Partic.- Implem./Distrib. de Calcario - Principal</t>
  </si>
  <si>
    <t>Serviços em Prop. Particular - Implem./Colheitadeira - Principal</t>
  </si>
  <si>
    <t>Serviços em Prop. Particular - Implem./Screip - Principal</t>
  </si>
  <si>
    <t>Serviços em Prop. Particular - Implem./Grades - Principal</t>
  </si>
  <si>
    <t>Serviços em Prop. Particular - Implem./Escalificador - Principal</t>
  </si>
  <si>
    <t>Serviços em Prop. Particular - Escavadeira - Principal</t>
  </si>
  <si>
    <t>Serviços em Prop. Particular - Motoniveladora - Principal</t>
  </si>
  <si>
    <t>Serviços em Prop. Particular - Carga de Cascalho - Principal</t>
  </si>
  <si>
    <t>Serviços em Prop. Particular - Caminhão Basculante - Principal</t>
  </si>
  <si>
    <t>Serviços em Prop. Particular - Retroescavadeira - Multa e Juros</t>
  </si>
  <si>
    <t>Serviços em Prop. Particular - Trator/Discagem - Multa e Juros</t>
  </si>
  <si>
    <t>Serviços em Prop. Particular - Trator/Escalificação - Multa e Juros</t>
  </si>
  <si>
    <t>Serviços em Prop. Particular - Trator/Escreip - Multa e Juros</t>
  </si>
  <si>
    <t>Serviços em Prop. Particular - Trator/Esteira - Multa e Juros</t>
  </si>
  <si>
    <t>Serviços em Prop. Particular - Implem./Bat. de Cereais - Multa e Juros</t>
  </si>
  <si>
    <t>Serviços em Prop. Particular - Implem./Carreta Agricola - Multa e Juros</t>
  </si>
  <si>
    <t>Serviços em Prop. Particular - Implem./Distrib. de Esterco - Multa e Juros</t>
  </si>
  <si>
    <t>Serviços em Prop. Partic.- Implem./Distrib. de Calcario - Multa e Juros</t>
  </si>
  <si>
    <t>Serviços em Prop. Particular - Implem./Colheitadeira - Multa e Juros</t>
  </si>
  <si>
    <t>Serviços em Prop. Particular - Implem./Screip - Multa e Juros</t>
  </si>
  <si>
    <t>Serviços em Prop. Particular - Implem./Grades - Multa e Juros</t>
  </si>
  <si>
    <t>Serviços em Prop. Particular - Implem./Escalificador - Multa e Juros</t>
  </si>
  <si>
    <t>Serviços em Prop. Particular - Escavadeira - Multa e Juros</t>
  </si>
  <si>
    <t>Serviços em Prop. Particular - Motoniveladora - Multa e Juros</t>
  </si>
  <si>
    <t>Serviços em Prop. Particular - Carga de Cascalho - Multa e Juros</t>
  </si>
  <si>
    <t>Serviços em Prop. Particular - Caminhão Basculante - Multa e Juros</t>
  </si>
  <si>
    <t>Serviços em Prop. Particular - Retroescavadeira - Divida Ativa</t>
  </si>
  <si>
    <t>Serviços em Prop. Particular - Trator/Discagem - Divida Ativa</t>
  </si>
  <si>
    <t>Serviços em Prop. Particular - Trator/Escalificação - Divida Ativa</t>
  </si>
  <si>
    <t>Serviços em Prop. Particular - Trator/Escreip - Divida Ativa</t>
  </si>
  <si>
    <t>Serviços em Prop. Particular - Trator/Esteira - Divida Ativa</t>
  </si>
  <si>
    <t>Serviços em Prop. Particular - Implem./Bat. de Cereais - Divida Ativa</t>
  </si>
  <si>
    <t>Serviços em Prop. Particular - Implem./Carreta Agricola - Divida Ativa</t>
  </si>
  <si>
    <t>Serviços em Prop. Particular - Implem./Distrib. de Esterco - Divida Ativa</t>
  </si>
  <si>
    <t>Serviços em Prop. Partic.- Implem./Distrib. de Calcario - Divida Ativa</t>
  </si>
  <si>
    <t>Serviços em Prop. Particular - Implem./Colheitadeira - Divida Ativa</t>
  </si>
  <si>
    <t>Serviços em Prop. Particular - Implem./Screip - Divida Ativa</t>
  </si>
  <si>
    <t>Serviços em Prop. Particular - Implem./Grades - Divida Ativa</t>
  </si>
  <si>
    <t>Serviços em Prop. Particular - Implem./Escalificador - Divida Ativa</t>
  </si>
  <si>
    <t>Serviços em Prop. Particular - Escavadeira - Divida Ativa</t>
  </si>
  <si>
    <t>Serviços em Prop. Particular - Motoniveladora - Divida Ativa</t>
  </si>
  <si>
    <t>Serviços em Prop. Particular - Carga de Cascalho - Divida Ativa</t>
  </si>
  <si>
    <t>Serviços em Prop. Particular - Caminhão Basculante - Divida Ativa</t>
  </si>
  <si>
    <t>Serviços em Prop. Particular - Retroescavadeira - Divida Ativa Multa e Juros</t>
  </si>
  <si>
    <t>Serviços em Prop. Particular - Trator/Discagem - Divida Ativa Multa e Juros</t>
  </si>
  <si>
    <t>Serviços em Prop. Particular - Trator/Escalificação - Divida Ativa Multa e Juros</t>
  </si>
  <si>
    <t>Serviços em Prop. Particular - Trator/Escreip - Divida Ativa Multa e Juros</t>
  </si>
  <si>
    <t>Serviços em Prop. Particular - Trator/Esteira - Divida Ativa Multa e Juros</t>
  </si>
  <si>
    <t>Serviços em Prop. Particular - Implem./Bat. de Cereais - Divida Ativa Multa e Juros</t>
  </si>
  <si>
    <t>Serviços em Prop. Particular - Implem./Carreta Agricola - Divida Ativa Multa e Juros</t>
  </si>
  <si>
    <t>Serviços em Prop. Particular - Implem./Distrib. de Esterco - Divida Ativa Multa e Juros</t>
  </si>
  <si>
    <t>Serviços em Prop. Partic.- Implem./Distrib. de Calcario - Divida Ativa Multa e Juros</t>
  </si>
  <si>
    <t>Serviços em Prop. Particular - Implem./Colheitadeira - Divida Ativa Multa e Juros</t>
  </si>
  <si>
    <t>Serviços em Prop. Particular - Implem./Screip - Divida Ativa Multa e Juros</t>
  </si>
  <si>
    <t>Serviços em Prop. Particular - Implem./Grades - Divida Ativa Multa e Juros</t>
  </si>
  <si>
    <t>Serviços em Prop. Particular - Implem./Escalificador - Divida Ativa Multa e Juros</t>
  </si>
  <si>
    <t>Serviços em Prop. Particular - Escavadeira - Divida Ativa Multa e Juros</t>
  </si>
  <si>
    <t>Serviços em Prop. Particular - Motoniveladora - Divida Ativa Multa e Juros</t>
  </si>
  <si>
    <t>Serviços em Prop. Particular - Carga de Cascalho - Divida Ativa Multa e Juros</t>
  </si>
  <si>
    <t>Serviços em Prop. Particular - Caminhão Basculante - Divida Ativa Multa e Juros</t>
  </si>
  <si>
    <t>Cota-Parte Do Fundo De Participacao Dos Municipios - Cota Mensal - Pricipal</t>
  </si>
  <si>
    <t>Cota-Parte Do Fundo De Participacao Do Municipios - 1% Cota Entregue N</t>
  </si>
  <si>
    <t>Cota-Parte Do Fundo De Participacao Do Municipios - 1% Cota Entregue No mês de julho</t>
  </si>
  <si>
    <t>Cota-Parte Do Fundo De Participacao Dos Municipios - 1% Cota Entregue no mês de dezembro</t>
  </si>
  <si>
    <t>Cota-Parte Do Imposto Sobre A Propriedade Territorial Rural - Principal</t>
  </si>
  <si>
    <t>Cota-Parte CFEM - Principal</t>
  </si>
  <si>
    <t>Cota-Parte FEP - Principal</t>
  </si>
  <si>
    <t>Transferências do FNAS - ACESSUAS</t>
  </si>
  <si>
    <t>Transferências do FNAS - B.P.S.B. - Bloco de Proteção Social Básica</t>
  </si>
  <si>
    <t>Transferências do FNAS - B.P.E.M.C. - Bloco Prot. Esp. Med. Complex.</t>
  </si>
  <si>
    <t>Transferências do FNAS - B.G.P.B.F. - Bloco Gestao Prog. Bolsa Familia</t>
  </si>
  <si>
    <t>Transferências do FNAS - B.G.S. - Bloco de Gestão do SUAS</t>
  </si>
  <si>
    <t>Transferências do Salário-Educação - Principal</t>
  </si>
  <si>
    <t>Transferências Diretas do FNDE Referentes ao Programa Dinheiro Direto</t>
  </si>
  <si>
    <t>Transferências do PNAE - Principal</t>
  </si>
  <si>
    <t>Transferências do PNATE - Principal</t>
  </si>
  <si>
    <t>Transferencias Programa Brasil Carinhoso Apoio a Creches</t>
  </si>
  <si>
    <t>Transferencias MP 815/2017</t>
  </si>
  <si>
    <t>Transferencia Financeira Do Icms - Desoneracao - L.C. Nº 87/96 - Principal</t>
  </si>
  <si>
    <t>Auxilio Financeiro Esforco Exportador - AFEX</t>
  </si>
  <si>
    <t>Cota-Parte Do Icms - Principal</t>
  </si>
  <si>
    <t>Cota-Parte Do Ipva - Principal</t>
  </si>
  <si>
    <t>Cota-Parte Do Ipi - Municipios - Principal</t>
  </si>
  <si>
    <t>Transferencias do FECA</t>
  </si>
  <si>
    <t>Transferencias do FEAS</t>
  </si>
  <si>
    <t>Transferências PEATE/RS - Principal</t>
  </si>
  <si>
    <t>Cota-Parte das Multas de Trânsito - Principal</t>
  </si>
  <si>
    <t>Transferencias Programa P.I.T. - Prog. Integ. Tributaria</t>
  </si>
  <si>
    <t>Transferencias Estado para Aquisição de Insumos</t>
  </si>
  <si>
    <t>Transferências SUS - Resolução CIB 129/2013</t>
  </si>
  <si>
    <t>Transferências SUS - Assistência Farmaceutica Básica</t>
  </si>
  <si>
    <t>Transferências SUS - Vigilância Epidemiologica</t>
  </si>
  <si>
    <t>Transferências SUS - Saude Mental</t>
  </si>
  <si>
    <t>Transferências SUS - Campanha de Vacinacao</t>
  </si>
  <si>
    <t>Transferências SUS - Incentivo a Atencao Basica - PIES</t>
  </si>
  <si>
    <t>Transferências SUS - Diabete Mellitus</t>
  </si>
  <si>
    <t>Transferências SUS - SIA Média Complex. PIES</t>
  </si>
  <si>
    <t>Transferências SUS - Rede Cegonha</t>
  </si>
  <si>
    <t>Transferências SUS - Saúde da Família</t>
  </si>
  <si>
    <t>Transferências SUS - Prestador de Serviços Sus/Produção</t>
  </si>
  <si>
    <t>Transferências de Recursos do FUNDEB - Principal</t>
  </si>
  <si>
    <t>Multas Aplicadas pelos Tribunais de Contas - Principal</t>
  </si>
  <si>
    <t>Multas e Juros Previstos em Contratos - Principal</t>
  </si>
  <si>
    <t>Multas e Juros Previstos em Contratos - Dívida Ativa</t>
  </si>
  <si>
    <t>Restituições Determinadas pelo TCE - Principal</t>
  </si>
  <si>
    <t>Programa Troca-troca - Principal</t>
  </si>
  <si>
    <t>Restituição Pelo Uso de Bens do Município - Principal</t>
  </si>
  <si>
    <t>Restituição Pelo Pagamento Indevido - Principal</t>
  </si>
  <si>
    <t>Restituições do Plano de Assistência Médica dos Servidores - Principal</t>
  </si>
  <si>
    <t>Restituicoes Diversas</t>
  </si>
  <si>
    <t>Restituições Determinadas pelo TCE - Multa e Juros</t>
  </si>
  <si>
    <t>Programa Troca-troca - Multa e Juros</t>
  </si>
  <si>
    <t>Restituição Pelo Uso de Bens do Município - Multa e Juros</t>
  </si>
  <si>
    <t>Restituição Pelo Pagamento Indevido - Multa e Juros</t>
  </si>
  <si>
    <t>Restituições do Plano de Assistência Médica dos Servidores - Multa e Juros</t>
  </si>
  <si>
    <t>Restituições Determinadas pelo TCE - Divida Ativa</t>
  </si>
  <si>
    <t>Programa Troca-troca - Divida Ativa</t>
  </si>
  <si>
    <t>Restituição Pelo Uso de Bens do Município - Divida Ativa</t>
  </si>
  <si>
    <t>Restituição Pelo Pagamento Indevido - Divida Ativa</t>
  </si>
  <si>
    <t>Restituições do Plano de Assistência Médica dos Servidores - Divida Ativa</t>
  </si>
  <si>
    <t>Restituições Determinadas pelo TCE - Divida Ativa Multa e Juros</t>
  </si>
  <si>
    <t>Programa Troca-troca - Divida Ativa Multa e Juros</t>
  </si>
  <si>
    <t>Restituição Pelo Uso de Bens do Município - Divida Ativa Multa e Juros</t>
  </si>
  <si>
    <t>Restituição Pelo Pagamento Indevido - Divida Ativa Multa e Juros</t>
  </si>
  <si>
    <t>Restituições do Plano de Assistência Médica dos Servidores - Divida Ativa Multa e Juros</t>
  </si>
  <si>
    <t>Receitas Patrocinio Agrifest/Fefumo</t>
  </si>
  <si>
    <t>Receitas de Ingresso Agrifest/Fefumo</t>
  </si>
  <si>
    <t>Receitas de Ingresso Baile Agrifest/Fefumo</t>
  </si>
  <si>
    <t>Receitas de Ingresso Domingueira Agrifest/Fefumo</t>
  </si>
  <si>
    <t>Receitas de Ingresso Domingueira Escolha Soberanas  Agrifest/Fefumo</t>
  </si>
  <si>
    <t>Receitas Com Copa e Cozinha Agrifest/Fefumo</t>
  </si>
  <si>
    <t>Receitas Com Copa e Cozinha Doming.Esc. Soberanas Agrifest/Fefumo</t>
  </si>
  <si>
    <t>Receitas de Locações de Espaços Praça Alimentação Agrifest/Fefumo</t>
  </si>
  <si>
    <t>Receitas de Locações de Espaços P/Visit. e Exp. Agrifest/Fefumo</t>
  </si>
  <si>
    <t>Receitas de Copa e Cozinha Semana Farroupilha</t>
  </si>
  <si>
    <t>Receitas de Eventos GCN Uniao dos Pagos</t>
  </si>
  <si>
    <t>Receitas de Copa e Cozinha Campeonato Futebol de Campo</t>
  </si>
  <si>
    <t>Receitas de Eventos Assistencia Social</t>
  </si>
  <si>
    <t>Outras Receitas - Diversas</t>
  </si>
  <si>
    <t>Receita de Sementes e Mudas</t>
  </si>
  <si>
    <t>Operações de Crédito P/Programas de Educação - Principal</t>
  </si>
  <si>
    <t>Operações de Crédito P/Prog. de Mod. da Administ. Pública - Principal</t>
  </si>
  <si>
    <t>Alienação de Veículos</t>
  </si>
  <si>
    <t>Alienação de Moveis e Utensilios</t>
  </si>
  <si>
    <t>Alienacao de Equipamentos</t>
  </si>
  <si>
    <t>Alienacao de Sucatas e Materiais Diversos</t>
  </si>
  <si>
    <t>Transferências Convênio nº 819139/2015 P/Veículo C/Camara Fria</t>
  </si>
  <si>
    <t>Transferências MAPA Proposta nº 024411/2017 P/Retroescav. e Trator</t>
  </si>
  <si>
    <t>Transf.  MAPA Prop. nº 024467/2017 P/Plantad. e Colheitad.de Milho</t>
  </si>
  <si>
    <t>Transf. MIN Proposta nº 047637/2017 P/Retroescav. e Rolo Compres.</t>
  </si>
  <si>
    <t>Transferências MDAS Proposta nº 066103/2017 P/Construção do CRAS</t>
  </si>
  <si>
    <t>Transf. MDAS Prop. nº 067294/2017 P/Aquisição Veíc. Van Assit. Social</t>
  </si>
  <si>
    <t>Transf. FNS Emen. Parl. Prop. nº 11342.353000/1180-07 P/Aquis. de Eq.</t>
  </si>
  <si>
    <t>Transf. FNS Emen. Parl. Prop. nº 11342.353000/1180-08 P/Aquis. de Eq.</t>
  </si>
  <si>
    <t>Transf. FNS Emen. Parl. Prop. nº 11342.3530001/17-001 P/Aquis. de Van</t>
  </si>
  <si>
    <t>Transferências Proposta M.J. nº 056994/2017 P/Bens e Serviços</t>
  </si>
  <si>
    <t>Transferências Consulta Popular 2017/2018 Desenvolv. Rural</t>
  </si>
  <si>
    <t>Transferências Consulta Popular 17/18, Aq. Implem. Agric.</t>
  </si>
  <si>
    <t>Remun. de Depósitos Bancarios - FNS P/Aq. van</t>
  </si>
  <si>
    <t>Remun. de Depósitos Bancarios - FNS P/Aq. Equip.</t>
  </si>
  <si>
    <t>Remun. de Depósitos Bancarios - CCFGS</t>
  </si>
  <si>
    <t>Remun. de Depósitos Bancarios - Min. Educação/Esporte</t>
  </si>
  <si>
    <t>Remun. de Depósitos Bancarios - Em. Parl. P/Ampliacao UBS</t>
  </si>
  <si>
    <t>Remun. de Depósitos Bancarios - Transf. PAC Const. De Mod. Sanitaria</t>
  </si>
  <si>
    <t>Remun. de Dep. Banc. - Convênio MAPA P/Aq. de Retroescavadeira</t>
  </si>
  <si>
    <t>Remun. de Dep. Banc. - Convênio MAPA P/Aq. de Trator e Colh. De Milho</t>
  </si>
  <si>
    <t>Remun. de Dep. Banc. - Convênio MDA P/Aq. de Pickup C/Câmara Fria</t>
  </si>
  <si>
    <t>Remun. de Dep. Banc. -Consulta Popular 2017/2018 Desenvolv. Rural</t>
  </si>
  <si>
    <t>Rem. de Dep. Banc. - Transf. Prop. M.J. nº 056994/2017 P/Bens e Serv.</t>
  </si>
  <si>
    <t>Rem. Dep. Banc. - Transf. MAPA P. nº 024411/2017 P/Retroesc. e Trator</t>
  </si>
  <si>
    <t>Rem. D. Banc.-Transf. MAPA P. nº 024467/17 Plant. e Colheit. de Milho</t>
  </si>
  <si>
    <t>Rem. D. Banc.-Transf. MIN P. nº 047637/217 Retroesc. e Rolo Comp.</t>
  </si>
  <si>
    <t>Rem. D. Banc.-Transf. MDAS P. nº 066103/2017 P/Construção do CRAS</t>
  </si>
  <si>
    <t>Rem. D. Banc.-Transf. MDAS P. nº 067294/2017 P/Aq. Van Assit. Social</t>
  </si>
  <si>
    <t>Remun. de Depósitos Bancarios - Transferências Consulta Popular Saude</t>
  </si>
  <si>
    <t>Rem. Depositos Bancarios - Em. Parl. P/ampliacao Do Posto De Saúde</t>
  </si>
  <si>
    <t>Rem. de Dep. Banc. - Transf. Prop. Consulta Popular 17/18 P/Impl. Agr.</t>
  </si>
  <si>
    <t>( R ) Deducoes Imposto Sobre A Propriedade Predial E Territorial Urban</t>
  </si>
  <si>
    <t>( R ) Deducoes Imposto Sobre Transmissao “Inter Vivos” De Bens Imoveis</t>
  </si>
  <si>
    <t>( R ) Deducoes Imposto Sobre Servicos De Qualquer Natureza - Principal</t>
  </si>
  <si>
    <t>Categoria</t>
  </si>
  <si>
    <t>Receita</t>
  </si>
  <si>
    <t>Descrição da Receita</t>
  </si>
  <si>
    <t>4.0.0.0.0.00.00.00.0000</t>
  </si>
  <si>
    <t>4.1.0.0.0.00.00.00.0000</t>
  </si>
  <si>
    <t>Receitas Correntes</t>
  </si>
  <si>
    <t>4.1.1.0.0.00.00.00.0000</t>
  </si>
  <si>
    <t>Impostos, Taxas E Contribuicoes De Melhoria</t>
  </si>
  <si>
    <t>4.1.1.1.0.00.00.00.0000</t>
  </si>
  <si>
    <t>Impostos</t>
  </si>
  <si>
    <t>4.1.1.1.3.00.00.00.0000</t>
  </si>
  <si>
    <t>Impostos Sobre A Renda E Proventos De Qualquer Natureza</t>
  </si>
  <si>
    <t>4.1.1.1.3.03.00.00.0000</t>
  </si>
  <si>
    <t>Imposto Sobre A Renda - Retido Na Fonte</t>
  </si>
  <si>
    <t>4.1.1.1.3.03.11.00.0000</t>
  </si>
  <si>
    <t>Imposto Sobre A Renda - Retido Na Fonte - Trabalho - Principal</t>
  </si>
  <si>
    <t>4.1.1.1.3.03.11.01.0000</t>
  </si>
  <si>
    <t>4.1.1.1.3.03.11.01.0100</t>
  </si>
  <si>
    <t>IRRF Folha PGATº  Poder Executivo - Proprio</t>
  </si>
  <si>
    <t>4.1.1.1.3.03.11.01.0200</t>
  </si>
  <si>
    <t>IRRF Folha PGATº  Poder Executivo  - MDE</t>
  </si>
  <si>
    <t>4.1.1.1.3.03.11.01.0300</t>
  </si>
  <si>
    <t>IRRF Folha PGATº  Poder Executivo  - ASPS</t>
  </si>
  <si>
    <t>4.1.1.1.3.03.11.02.0000</t>
  </si>
  <si>
    <t>4.1.1.1.3.03.11.02.0100</t>
  </si>
  <si>
    <t>IRRF Folha PAGTº  Poder Legislativo - Proprio</t>
  </si>
  <si>
    <t>4.1.1.1.3.03.11.02.0200</t>
  </si>
  <si>
    <t>IRRF Folha PGATº  Poder Legislativo - MDE</t>
  </si>
  <si>
    <t>4.1.1.1.3.03.11.02.0300</t>
  </si>
  <si>
    <t>IRRF Folha PGATº  Poder Legislativo - ASPS</t>
  </si>
  <si>
    <t>4.1.1.1.3.03.41.00.0000</t>
  </si>
  <si>
    <t>Imposto Sobre A Renda - Retido Na Fonte - Outros Rendimentos - Princip</t>
  </si>
  <si>
    <t>4.1.1.1.3.03.41.01.0000</t>
  </si>
  <si>
    <t>4.1.1.1.3.03.41.01.0100</t>
  </si>
  <si>
    <t>IRRF S/Serviços Poder Executivo - Proprio</t>
  </si>
  <si>
    <t>4.1.1.1.3.03.41.01.0200</t>
  </si>
  <si>
    <t>IRRF S/Serviços Poder Executivo - MDE</t>
  </si>
  <si>
    <t>4.1.1.1.3.03.41.01.0300</t>
  </si>
  <si>
    <t>IRRF S/Serviços Poder Executivo - ASPS</t>
  </si>
  <si>
    <t>4.1.1.1.3.03.41.02.0000</t>
  </si>
  <si>
    <t>4.1.1.1.3.03.41.02.0100</t>
  </si>
  <si>
    <t>IRRF S/Serviços Poder Legislativo - Proprio</t>
  </si>
  <si>
    <t>4.1.1.1.3.03.41.02.0200</t>
  </si>
  <si>
    <t>IRRF S/Serviços Poder Legislativo - MDE</t>
  </si>
  <si>
    <t>4.1.1.1.3.03.41.02.0300</t>
  </si>
  <si>
    <t>IRRF S/Serviços Poder Legislativo - ASPS</t>
  </si>
  <si>
    <t>4.1.1.1.8.00.00.00.0000</t>
  </si>
  <si>
    <t>Impostos Especificos De Estados/Df Municipios</t>
  </si>
  <si>
    <t>4.1.1.1.8.01.00.00.0000</t>
  </si>
  <si>
    <t>Impostos Sobre O Patrimonio Para Estados/Df/Municipios</t>
  </si>
  <si>
    <t>4.1.1.1.8.01.11.00.0000</t>
  </si>
  <si>
    <t>4.1.1.1.8.01.11.01.0000</t>
  </si>
  <si>
    <t>IPTU - Principal - Proprio</t>
  </si>
  <si>
    <t>4.1.1.1.8.01.11.02.0000</t>
  </si>
  <si>
    <t>IPTU - Principal  - MDE</t>
  </si>
  <si>
    <t>4.1.1.1.8.01.11.03.0000</t>
  </si>
  <si>
    <t>IPTU - Principal - ASPS</t>
  </si>
  <si>
    <t>4.1.1.1.8.01.12.00.0000</t>
  </si>
  <si>
    <t>4.1.1.1.8.01.12.01.0000</t>
  </si>
  <si>
    <t>IPTU - Multa e Juros - Próprio</t>
  </si>
  <si>
    <t>4.1.1.1.8.01.12.02.0000</t>
  </si>
  <si>
    <t>IPTU - Multa e Juros - MDE</t>
  </si>
  <si>
    <t>4.1.1.1.8.01.12.03.0000</t>
  </si>
  <si>
    <t>IPTU - Multa e Juros - ASPS</t>
  </si>
  <si>
    <t>4.1.1.1.8.01.13.00.0000</t>
  </si>
  <si>
    <t>4.1.1.1.8.01.13.01.0000</t>
  </si>
  <si>
    <t>IPTU - Dívida Ativa - Próprio</t>
  </si>
  <si>
    <t>4.1.1.1.8.01.13.02.0000</t>
  </si>
  <si>
    <t>IPTU - Dívida Ativa - MDE</t>
  </si>
  <si>
    <t>4.1.1.1.8.01.13.03.0000</t>
  </si>
  <si>
    <t>IPTU - Dívida Ativa - ASPS</t>
  </si>
  <si>
    <t>4.1.1.1.8.01.14.00.0000</t>
  </si>
  <si>
    <t>4.1.1.1.8.01.14.01.0000</t>
  </si>
  <si>
    <t>IPTU - Dívida Ativa - Multas e Juros - Próprio</t>
  </si>
  <si>
    <t>4.1.1.1.8.01.14.02.0000</t>
  </si>
  <si>
    <t>IPTU - Dívida Ativa - Multas e Juros - MDE</t>
  </si>
  <si>
    <t>4.1.1.1.8.01.14.03.0000</t>
  </si>
  <si>
    <t>IPTU - Dívida Ativa - Multas e Juros - ASPS</t>
  </si>
  <si>
    <t>4.1.1.1.8.01.41.00.0000</t>
  </si>
  <si>
    <t>4.1.1.1.8.01.41.01.0000</t>
  </si>
  <si>
    <t>ITBI - Principal - Próprio</t>
  </si>
  <si>
    <t>4.1.1.1.8.01.41.02.0000</t>
  </si>
  <si>
    <t>ITBI - Principal - MDE</t>
  </si>
  <si>
    <t>4.1.1.1.8.01.41.03.0000</t>
  </si>
  <si>
    <t>ITBI - Principal - ASPS</t>
  </si>
  <si>
    <t>4.1.1.1.8.01.42.00.0000</t>
  </si>
  <si>
    <t>4.1.1.1.8.01.42.01.0000</t>
  </si>
  <si>
    <t>ITBI - Multas e Juros - Próprio</t>
  </si>
  <si>
    <t>4.1.1.1.8.01.42.02.0000</t>
  </si>
  <si>
    <t>ITBI - Multas e Juros - MDE</t>
  </si>
  <si>
    <t>4.1.1.1.8.01.42.03.0000</t>
  </si>
  <si>
    <t>ITBI - Multas e Juros - ASPS</t>
  </si>
  <si>
    <t>4.1.1.1.8.01.43.00.0000</t>
  </si>
  <si>
    <t>4.1.1.1.8.01.43.01.0000</t>
  </si>
  <si>
    <t>ITBI - Dívida Ativa - Próprio</t>
  </si>
  <si>
    <t>4.1.1.1.8.01.43.02.0000</t>
  </si>
  <si>
    <t>ITBI - Dívida Ativa - MDE</t>
  </si>
  <si>
    <t>4.1.1.1.8.01.43.03.0000</t>
  </si>
  <si>
    <t>ITBI - Dívida Ativa - ASPS</t>
  </si>
  <si>
    <t>4.1.1.1.8.01.44.00.0000</t>
  </si>
  <si>
    <t>4.1.1.1.8.01.44.01.0000</t>
  </si>
  <si>
    <t>ITBI - Dívida Ativa - Multas e Juros - Próprio</t>
  </si>
  <si>
    <t>4.1.1.1.8.01.44.02.0000</t>
  </si>
  <si>
    <t>ITBI - Dívida Ativa - Multas e Juros - MDE</t>
  </si>
  <si>
    <t>4.1.1.1.8.01.44.03.0000</t>
  </si>
  <si>
    <t>ITBI - Dívida Ativa - Multas e Juros - ASPS</t>
  </si>
  <si>
    <t>4.1.1.1.8.02.00.00.0000</t>
  </si>
  <si>
    <t>Impostos Sobre A Producao, Circulacao De Mercadorias E Servicos</t>
  </si>
  <si>
    <t>4.1.1.1.8.02.31.00.0000</t>
  </si>
  <si>
    <t>4.1.1.1.8.02.31.01.0000</t>
  </si>
  <si>
    <t>ISS - Principal - Próprio</t>
  </si>
  <si>
    <t>4.1.1.1.8.02.31.02.0000</t>
  </si>
  <si>
    <t>ISS - Principal - MDE</t>
  </si>
  <si>
    <t>4.1.1.1.8.02.31.03.0000</t>
  </si>
  <si>
    <t>ISS - Principal - ASPS</t>
  </si>
  <si>
    <t>4.1.1.1.8.02.32.00.0000</t>
  </si>
  <si>
    <t>4.1.1.1.8.02.32.01.0000</t>
  </si>
  <si>
    <t>ISS - Multas e Juros - Próprio</t>
  </si>
  <si>
    <t>4.1.1.1.8.02.32.02.0000</t>
  </si>
  <si>
    <t>ISS - Multas e Juros - MDE</t>
  </si>
  <si>
    <t>4.1.1.1.8.02.32.03.0000</t>
  </si>
  <si>
    <t>ISS - Multas e Juros - ASPS</t>
  </si>
  <si>
    <t>4.1.1.1.8.02.33.00.0000</t>
  </si>
  <si>
    <t>4.1.1.1.8.02.33.01.0000</t>
  </si>
  <si>
    <t>ISS - Dívida Ativa - Próprio</t>
  </si>
  <si>
    <t>4.1.1.1.8.02.33.02.0000</t>
  </si>
  <si>
    <t>ISS - Dívida Ativa - MDE</t>
  </si>
  <si>
    <t>4.1.1.1.8.02.33.03.0000</t>
  </si>
  <si>
    <t>ISS - Dívida Ativa - ASPS</t>
  </si>
  <si>
    <t>4.1.1.1.8.02.34.00.0000</t>
  </si>
  <si>
    <t>4.1.1.1.8.02.34.01.0000</t>
  </si>
  <si>
    <t>ISS - Dívida Ativa -Multas e Juros - Próprio</t>
  </si>
  <si>
    <t>4.1.1.1.8.02.34.02.0000</t>
  </si>
  <si>
    <t>ISS - Dívida Ativa -Multas e Juros - MDE</t>
  </si>
  <si>
    <t>4.1.1.1.8.02.34.03.0000</t>
  </si>
  <si>
    <t>ISS - Dívida Ativa -Multas e Juros - ASPS</t>
  </si>
  <si>
    <t>4.1.1.2.0.00.00.00.0000</t>
  </si>
  <si>
    <t>Taxas</t>
  </si>
  <si>
    <t>4.1.1.2.1.00.00.00.0000</t>
  </si>
  <si>
    <t>Taxas Pelo Exercicio Do Poder De Policia</t>
  </si>
  <si>
    <t>4.1.1.2.1.01.00.00.0000</t>
  </si>
  <si>
    <t>Taxas De Inspecao, Controle E Fiscalizacao</t>
  </si>
  <si>
    <t>4.1.1.2.1.01.11.00.0000</t>
  </si>
  <si>
    <t>Taxas De Inspecao, Controle E Fiscalizacao - Principal</t>
  </si>
  <si>
    <t>4.1.1.2.1.01.11.01.0000</t>
  </si>
  <si>
    <t>4.1.1.2.1.01.11.02.0000</t>
  </si>
  <si>
    <t>4.1.1.2.1.01.11.03.0000</t>
  </si>
  <si>
    <t>4.1.1.2.1.01.11.04.0000</t>
  </si>
  <si>
    <t>4.1.1.2.1.01.11.05.0000</t>
  </si>
  <si>
    <t>4.1.1.2.1.01.11.06.0000</t>
  </si>
  <si>
    <t>4.1.1.2.1.01.11.07.0000</t>
  </si>
  <si>
    <t>4.1.1.2.1.01.11.08.0000</t>
  </si>
  <si>
    <t>4.1.1.2.1.01.12.00.0000</t>
  </si>
  <si>
    <t>Taxas De Inspecao, Controle E Fiscalizacao - Multas E Juros</t>
  </si>
  <si>
    <t>4.1.1.2.1.01.12.01.0000</t>
  </si>
  <si>
    <t>4.1.1.2.1.01.12.02.0000</t>
  </si>
  <si>
    <t>4.1.1.2.1.01.12.03.0000</t>
  </si>
  <si>
    <t>4.1.1.2.1.01.12.04.0000</t>
  </si>
  <si>
    <t>4.1.1.2.1.01.12.06.0000</t>
  </si>
  <si>
    <t>4.1.1.2.1.01.12.07.0000</t>
  </si>
  <si>
    <t>4.1.1.2.1.01.12.08.0000</t>
  </si>
  <si>
    <t>4.1.1.2.1.01.13.00.0000</t>
  </si>
  <si>
    <t>Taxas De Inspecao, Controle E Fiscalizacao - Divida Ativa</t>
  </si>
  <si>
    <t>4.1.1.2.1.01.13.01.0000</t>
  </si>
  <si>
    <t>4.1.1.2.1.01.13.02.0000</t>
  </si>
  <si>
    <t>4.1.1.2.1.01.13.03.0000</t>
  </si>
  <si>
    <t>4.1.1.2.1.01.13.04.0000</t>
  </si>
  <si>
    <t>4.1.1.2.1.01.13.05.0000</t>
  </si>
  <si>
    <t>4.1.1.2.1.01.13.06.0000</t>
  </si>
  <si>
    <t>4.1.1.2.1.01.13.07.0000</t>
  </si>
  <si>
    <t>4.1.1.2.1.01.13.08.0000</t>
  </si>
  <si>
    <t>4.1.1.2.1.01.14.00.0000</t>
  </si>
  <si>
    <t>Taxas De Inspecao, Controle E Fiscalizacao - Divida Ativa - Multas E J</t>
  </si>
  <si>
    <t>4.1.1.2.1.01.14.01.0000</t>
  </si>
  <si>
    <t>4.1.1.2.1.01.14.02.0000</t>
  </si>
  <si>
    <t>4.1.1.2.1.01.14.03.0000</t>
  </si>
  <si>
    <t>4.1.1.2.1.01.14.04.0000</t>
  </si>
  <si>
    <t>4.1.1.2.1.01.14.05.0000</t>
  </si>
  <si>
    <t>4.1.1.2.1.01.14.06.0000</t>
  </si>
  <si>
    <t>4.1.1.2.1.01.14.07.0000</t>
  </si>
  <si>
    <t>4.1.1.2.1.01.14.08.0000</t>
  </si>
  <si>
    <t>4.1.1.2.1.04.00.00.0000</t>
  </si>
  <si>
    <t>4.1.1.2.1.04.11.00.0000</t>
  </si>
  <si>
    <t>4.1.1.2.1.04.12.00.0000</t>
  </si>
  <si>
    <t>4.1.1.2.1.04.13.00.0000</t>
  </si>
  <si>
    <t>4.1.1.2.1.04.14.00.0000</t>
  </si>
  <si>
    <t>4.1.1.2.2.00.00.00.0000</t>
  </si>
  <si>
    <t>Taxas Pela Prestacao De Servicos</t>
  </si>
  <si>
    <t>4.1.1.2.2.01.00.00.0000</t>
  </si>
  <si>
    <t>4.1.1.2.2.01.11.00.0000</t>
  </si>
  <si>
    <t>Taxas Pela Prestacao De Servicos - Principal</t>
  </si>
  <si>
    <t>4.1.1.2.2.01.11.01.0000</t>
  </si>
  <si>
    <t>4.1.1.2.2.01.11.02.0000</t>
  </si>
  <si>
    <t>4.1.1.2.2.01.11.03.0000</t>
  </si>
  <si>
    <t>4.1.1.2.2.01.11.04.0000</t>
  </si>
  <si>
    <t>4.1.1.2.2.01.11.05.0000</t>
  </si>
  <si>
    <t>4.1.1.2.2.01.11.06.0000</t>
  </si>
  <si>
    <t>4.1.1.2.2.01.11.07.0000</t>
  </si>
  <si>
    <t>4.1.1.2.2.01.11.08.0000</t>
  </si>
  <si>
    <t>4.1.1.2.2.01.11.09.0000</t>
  </si>
  <si>
    <t>4.1.1.2.2.01.11.10.0000</t>
  </si>
  <si>
    <t>4.1.1.2.2.01.11.11.0000</t>
  </si>
  <si>
    <t>4.1.1.2.2.01.12.00.0000</t>
  </si>
  <si>
    <t>Taxas Pela Prestacao De Servicos - Multas E Juros</t>
  </si>
  <si>
    <t>4.1.1.2.2.01.12.01.0000</t>
  </si>
  <si>
    <t>Emolumentos e Custas Processuais Administrativas - Multas e Juros</t>
  </si>
  <si>
    <t>4.1.1.2.2.01.12.02.0000</t>
  </si>
  <si>
    <t>Taxas de Serviços Cadastrais - Multas e Juros</t>
  </si>
  <si>
    <t>4.1.1.2.2.01.12.03.0000</t>
  </si>
  <si>
    <t>4.1.1.2.2.01.12.04.0000</t>
  </si>
  <si>
    <t>4.1.1.2.2.01.12.05.0000</t>
  </si>
  <si>
    <t>4.1.1.2.2.01.12.06.0000</t>
  </si>
  <si>
    <t>4.1.1.2.2.01.12.07.0000</t>
  </si>
  <si>
    <t>4.1.1.2.2.01.12.08.0000</t>
  </si>
  <si>
    <t>4.1.1.2.2.01.12.09.0000</t>
  </si>
  <si>
    <t>4.1.1.2.2.01.12.10.0000</t>
  </si>
  <si>
    <t>4.1.1.2.2.01.12.11.0000</t>
  </si>
  <si>
    <t>Taxa de Manutenção do Centro de Eventos - Multa e Juros</t>
  </si>
  <si>
    <t>4.1.1.2.2.01.13.00.0000</t>
  </si>
  <si>
    <t>Taxas Pela Prestacao De Servicos - Divida Ativa</t>
  </si>
  <si>
    <t>4.1.1.2.2.01.13.01.0000</t>
  </si>
  <si>
    <t>Emolumentos e Custas Processuais Administrativas - Dívida Ativa</t>
  </si>
  <si>
    <t>4.1.1.2.2.01.13.02.0000</t>
  </si>
  <si>
    <t>Taxas de Serviços Cadastrais - Dívida Ativa</t>
  </si>
  <si>
    <t>4.1.1.2.2.01.13.03.0000</t>
  </si>
  <si>
    <t>Taxas de Coleta de Lixo - Dívida Ativa</t>
  </si>
  <si>
    <t>4.1.1.2.2.01.13.04.0000</t>
  </si>
  <si>
    <t>Taxa de Expediente Serviços, Certidões e Outros - Dívida Ativa</t>
  </si>
  <si>
    <t>4.1.1.2.2.01.13.05.0000</t>
  </si>
  <si>
    <t>Taxa de Inscrição de Outros Eventos Esportivos - Dívida Ativa</t>
  </si>
  <si>
    <t>4.1.1.2.2.01.13.06.0000</t>
  </si>
  <si>
    <t>Taxa de Inscrição de Seminário de Educação - Dívida Ativa</t>
  </si>
  <si>
    <t>4.1.1.2.2.01.13.07.0000</t>
  </si>
  <si>
    <t>Taxa de Inscrição de Camp. Interc. de Futebol Sete - Dívida Ativa</t>
  </si>
  <si>
    <t>4.1.1.2.2.01.13.08.0000</t>
  </si>
  <si>
    <t>Taxa de Inscrição de Campeonato Futebol de Campo - Dívida Ativa</t>
  </si>
  <si>
    <t>4.1.1.2.2.01.13.09.0000</t>
  </si>
  <si>
    <t>Taxa de Inscrição de Campeonato Praiano - Dívida Ativa</t>
  </si>
  <si>
    <t>4.1.1.2.2.01.13.10.0000</t>
  </si>
  <si>
    <t>Taxa de Inscrição de Campeonato Municipal Futsal - Dívida Ativa</t>
  </si>
  <si>
    <t>4.1.1.2.2.01.13.11.0000</t>
  </si>
  <si>
    <t>Taxa de Manutenção do Centro de Eventosl - Dívida Ativa</t>
  </si>
  <si>
    <t>4.1.1.2.2.01.14.00.0000</t>
  </si>
  <si>
    <t>Taxas Pela Prestacao De Servicos - Divida Ativa - Multas E Juros</t>
  </si>
  <si>
    <t>4.1.1.2.2.01.14.01.0000</t>
  </si>
  <si>
    <t>Emolumentos e Custas Proc. Administ. - Dívida Ativa - Multas e Juros</t>
  </si>
  <si>
    <t>4.1.1.2.2.01.14.02.0000</t>
  </si>
  <si>
    <t>Taxas de Serviços Cadastrais - Dívida Ativa - Multas e Juros</t>
  </si>
  <si>
    <t>4.1.1.2.2.01.14.03.0000</t>
  </si>
  <si>
    <t>Taxas de Coleta de Lixo - Dívida Ativa - Multas e Juros</t>
  </si>
  <si>
    <t>4.1.1.2.2.01.14.04.0000</t>
  </si>
  <si>
    <t>Taxa de Exp. Serv., Certid. e Outros - Multa e Juros Dív. Ativa</t>
  </si>
  <si>
    <t>4.1.1.2.2.01.14.05.0000</t>
  </si>
  <si>
    <t>Taxa de Insc. de Outros Eventos Esport. -  Multa e Juros Dívida Ativa</t>
  </si>
  <si>
    <t>4.1.1.2.2.01.14.06.0000</t>
  </si>
  <si>
    <t>Taxa de Insc. de Seminário de Educ. -  Multa e Juros Dívida Ativa</t>
  </si>
  <si>
    <t>4.1.1.2.2.01.14.07.0000</t>
  </si>
  <si>
    <t>Taxa de Insc. de Camp. Interc. de Fut. Sete -  M. e Juros Dív. Ativa</t>
  </si>
  <si>
    <t>4.1.1.2.2.01.14.08.0000</t>
  </si>
  <si>
    <t>Taxa de Inscrição de Campeonato Praiano - Multa e Juros Dívida Ativa</t>
  </si>
  <si>
    <t>4.1.1.2.2.01.14.09.0000</t>
  </si>
  <si>
    <t>4.1.1.2.2.01.14.10.0000</t>
  </si>
  <si>
    <t>Taxa de Inscrição de Camp.Mun. Futsal - Multa e Juros Dív. Ativa</t>
  </si>
  <si>
    <t>4.1.1.2.2.01.14.11.0000</t>
  </si>
  <si>
    <t>Taxa de Manutenção do Centro de Eventos - Multa e Juros Dív. Ativa</t>
  </si>
  <si>
    <t>4.1.1.3.0.00.00.00.0000</t>
  </si>
  <si>
    <t>Contribuicao De Melhoria</t>
  </si>
  <si>
    <t>4.1.1.3.8.00.00.00.0000</t>
  </si>
  <si>
    <t>Contribuicao De Melhoria - Especifica E/M</t>
  </si>
  <si>
    <t>4.1.1.3.8.01.00.00.0000</t>
  </si>
  <si>
    <t>Contribuicao De Melhoria Para Expansao Da Rede De Agua Potavel E Esgot</t>
  </si>
  <si>
    <t>4.1.1.3.8.01.11.00.0000</t>
  </si>
  <si>
    <t>4.1.1.3.8.02.00.00.0000</t>
  </si>
  <si>
    <t>Contribuicao De Melhoria Para Expansao Da Rede De Iluminacao Publica N</t>
  </si>
  <si>
    <t>4.1.1.3.8.02.11.00.0000</t>
  </si>
  <si>
    <t>4.1.1.3.8.03.00.00.0000</t>
  </si>
  <si>
    <t>Contribuicao De Melhoria Para Expansao De Rede De Iluminacao Publica R</t>
  </si>
  <si>
    <t>4.1.1.3.8.03.11.00.0000</t>
  </si>
  <si>
    <t>4.1.1.3.8.04.00.00.0000</t>
  </si>
  <si>
    <t>Contribuicao De Melhoria Para Pavimentacao E Obras Complementares</t>
  </si>
  <si>
    <t>4.1.1.3.8.04.11.00.0000</t>
  </si>
  <si>
    <t>4.1.2.0.0.00.00.00.0000</t>
  </si>
  <si>
    <t>Contribuicoes</t>
  </si>
  <si>
    <t>4.1.2.4.0.00.00.00.0000</t>
  </si>
  <si>
    <t>Contribuicao Para O Custeio Do Servico De Iluminacao Publica</t>
  </si>
  <si>
    <t>4.1.2.4.0.00.11.00.0000</t>
  </si>
  <si>
    <t>4.1.3.0.0.00.00.00.0000</t>
  </si>
  <si>
    <t>4.1.3.2.0.00.00.00.0000</t>
  </si>
  <si>
    <t>Valores Mobiliarios</t>
  </si>
  <si>
    <t>4.1.3.2.1.00.00.00.0000</t>
  </si>
  <si>
    <t>Juros E Correcoes Monetarias</t>
  </si>
  <si>
    <t>4.1.3.2.1.00.11.00.0000</t>
  </si>
  <si>
    <t>Remuneracao De Depositos Bancarios - Principal</t>
  </si>
  <si>
    <t>4.1.3.2.1.00.11.01.0000</t>
  </si>
  <si>
    <t>Remuneracao De Depositos De Recursos Vinculados - Principal</t>
  </si>
  <si>
    <t>4.1.3.2.1.00.11.01.0100</t>
  </si>
  <si>
    <t>4.1.3.2.1.00.11.01.0200</t>
  </si>
  <si>
    <t>4.1.3.2.1.00.11.01.0301</t>
  </si>
  <si>
    <t>4.1.3.2.1.00.11.01.0302</t>
  </si>
  <si>
    <t>4.1.3.2.1.00.11.01.0303</t>
  </si>
  <si>
    <t>4.1.3.2.1.00.11.01.0304</t>
  </si>
  <si>
    <t>4.1.3.2.1.00.11.01.0305</t>
  </si>
  <si>
    <t>4.1.3.2.1.00.11.01.0306</t>
  </si>
  <si>
    <t>4.1.3.2.1.00.11.01.0307</t>
  </si>
  <si>
    <t>4.1.3.2.1.00.11.01.0308</t>
  </si>
  <si>
    <t>4.1.3.2.1.00.11.01.0309</t>
  </si>
  <si>
    <t>4.1.3.2.1.00.11.01.0400</t>
  </si>
  <si>
    <t>4.1.3.2.1.00.11.01.0500</t>
  </si>
  <si>
    <t>4.1.3.2.1.00.11.01.0600</t>
  </si>
  <si>
    <t>4.1.3.2.1.00.11.01.0701</t>
  </si>
  <si>
    <t>4.1.3.2.1.00.11.01.0702</t>
  </si>
  <si>
    <t>4.1.3.2.1.00.11.01.0703</t>
  </si>
  <si>
    <t>4.1.3.2.1.00.11.01.0704</t>
  </si>
  <si>
    <t>4.1.3.2.1.00.11.01.0705</t>
  </si>
  <si>
    <t>4.1.3.2.1.00.11.01.0801</t>
  </si>
  <si>
    <t>4.1.3.2.1.00.11.01.0802</t>
  </si>
  <si>
    <t>4.1.3.2.1.00.11.01.0803</t>
  </si>
  <si>
    <t>4.1.3.2.1.00.11.01.0804</t>
  </si>
  <si>
    <t>4.1.3.2.1.00.11.01.0805</t>
  </si>
  <si>
    <t>4.1.3.2.1.00.11.01.0806</t>
  </si>
  <si>
    <t>4.1.3.2.1.00.11.01.9901</t>
  </si>
  <si>
    <t>4.1.3.2.1.00.11.01.9902</t>
  </si>
  <si>
    <t>4.1.3.2.1.00.11.01.9903</t>
  </si>
  <si>
    <t>4.1.3.2.1.00.11.01.9904</t>
  </si>
  <si>
    <t>4.1.3.2.1.00.11.01.9905</t>
  </si>
  <si>
    <t>4.1.3.2.1.00.11.01.9906</t>
  </si>
  <si>
    <t>4.1.3.2.1.00.11.02.0000</t>
  </si>
  <si>
    <t>Remuneracao De Depositos De Recursos Nao Vinculados - Principal</t>
  </si>
  <si>
    <t>4.1.3.2.1.00.11.02.0101</t>
  </si>
  <si>
    <t>4.1.3.2.1.00.51.00.0000</t>
  </si>
  <si>
    <t>Juros De Titulos De Renda - Principal</t>
  </si>
  <si>
    <t>4.1.3.2.1.00.51.01.0000</t>
  </si>
  <si>
    <t>4.1.3.9.0.00.00.00.0000</t>
  </si>
  <si>
    <t>Demais Receitas Patrimoniais</t>
  </si>
  <si>
    <t>4.1.3.9.0.00.11.00.0000</t>
  </si>
  <si>
    <t>Demais Receitas Patrimoniais - Principal</t>
  </si>
  <si>
    <t>4.1.3.9.0.00.11.01.0000</t>
  </si>
  <si>
    <t>4.1.3.9.0.00.12.00.0000</t>
  </si>
  <si>
    <t>Demais Receitas Patrimoniais - Multas E Juros</t>
  </si>
  <si>
    <t>4.1.3.9.0.00.12.01.0000</t>
  </si>
  <si>
    <t>4.1.3.9.0.00.13.00.0000</t>
  </si>
  <si>
    <t>Demais Receitas Patrimoniais - Divida Ativa</t>
  </si>
  <si>
    <t>4.1.3.9.0.00.13.01.0000</t>
  </si>
  <si>
    <t>4.1.3.9.0.00.14.00.0000</t>
  </si>
  <si>
    <t>Demais Receitas Patrimoniais - Divida Ativa - Multas E Juros</t>
  </si>
  <si>
    <t>4.1.3.9.0.00.14.01.0000</t>
  </si>
  <si>
    <t>4.1.6.0.0.00.00.00.0000</t>
  </si>
  <si>
    <t>Receita De Servicos</t>
  </si>
  <si>
    <t>4.1.6.1.0.00.00.00.0000</t>
  </si>
  <si>
    <t>Servicos Administrativos E Comerciais Gerais</t>
  </si>
  <si>
    <t>4.1.6.1.0.01.00.00.0000</t>
  </si>
  <si>
    <t>4.1.6.1.0.01.11.00.0000</t>
  </si>
  <si>
    <t>Servicos Administrativos E Comerciais Gerais - Principal</t>
  </si>
  <si>
    <t>4.1.6.1.0.01.11.01.0000</t>
  </si>
  <si>
    <t>4.1.6.1.0.01.11.02.0000</t>
  </si>
  <si>
    <t>4.1.6.1.0.01.12.00.0000</t>
  </si>
  <si>
    <t>Servicos Administrativos E Comerciais Gerais - Multas E Juros</t>
  </si>
  <si>
    <t>4.1.6.1.0.01.12.01.0000</t>
  </si>
  <si>
    <t>4.1.6.1.0.01.12.02.0000</t>
  </si>
  <si>
    <t>Fotocopias E/ou Copias Heliograficas - Multas e Juros</t>
  </si>
  <si>
    <t>4.1.6.1.0.01.13.00.0000</t>
  </si>
  <si>
    <t>Servicos Administrativos E Comerciais Gerais - Divida Ativa</t>
  </si>
  <si>
    <t>4.1.6.1.0.01.13.01.0000</t>
  </si>
  <si>
    <t>Vistorias de Veiculos - Dívida Ativa</t>
  </si>
  <si>
    <t>4.1.6.1.0.01.13.02.0000</t>
  </si>
  <si>
    <t>Fotocopias E/ou Copias Heliograficas - Dívida Ativa</t>
  </si>
  <si>
    <t>4.1.6.1.0.01.14.00.0000</t>
  </si>
  <si>
    <t>Servicos Administrativos E Comerciais Gerais - Divida Ativa - Multas E</t>
  </si>
  <si>
    <t>4.1.6.1.0.01.14.01.0000</t>
  </si>
  <si>
    <t>Vistorias de Veiculos - Dívida Ativa - Multas e Juros</t>
  </si>
  <si>
    <t>4.1.6.1.0.01.14.02.0000</t>
  </si>
  <si>
    <t>Fotocopias E/ou Copias Heliograficas - Dívida Ativa - Multas e Juros</t>
  </si>
  <si>
    <t>4.1.6.1.0.02.00.00.0000</t>
  </si>
  <si>
    <t>Inscricao Em Concursos E Processos Seletivos</t>
  </si>
  <si>
    <t>4.1.6.1.0.02.11.00.0000</t>
  </si>
  <si>
    <t>4.1.6.1.0.02.12.00.0000</t>
  </si>
  <si>
    <t>4.1.6.1.0.02.13.00.0000</t>
  </si>
  <si>
    <t>4.1.6.1.0.02.14.00.0000</t>
  </si>
  <si>
    <t>4.1.6.9.0.00.00.00.0000</t>
  </si>
  <si>
    <t>Outros Servicos</t>
  </si>
  <si>
    <t>4.1.6.9.0.99.00.00.0000</t>
  </si>
  <si>
    <t>4.1.6.9.0.99.11.00.0000</t>
  </si>
  <si>
    <t>Outros Servicos - Principal</t>
  </si>
  <si>
    <t>4.1.6.9.0.99.11.01.0000</t>
  </si>
  <si>
    <t>4.1.6.9.0.99.11.02.0000</t>
  </si>
  <si>
    <t>4.1.6.9.0.99.11.03.0000</t>
  </si>
  <si>
    <t>4.1.6.9.0.99.11.04.0000</t>
  </si>
  <si>
    <t>4.1.6.9.0.99.11.05.0000</t>
  </si>
  <si>
    <t>4.1.6.9.0.99.11.06.0000</t>
  </si>
  <si>
    <t>4.1.6.9.0.99.11.07.0000</t>
  </si>
  <si>
    <t>4.1.6.9.0.99.11.08.0000</t>
  </si>
  <si>
    <t>4.1.6.9.0.99.11.09.0000</t>
  </si>
  <si>
    <t>4.1.6.9.0.99.11.10.0000</t>
  </si>
  <si>
    <t>4.1.6.9.0.99.11.11.0000</t>
  </si>
  <si>
    <t>4.1.6.9.0.99.11.12.0000</t>
  </si>
  <si>
    <t>4.1.6.9.0.99.11.13.0000</t>
  </si>
  <si>
    <t>4.1.6.9.0.99.11.14.0000</t>
  </si>
  <si>
    <t>4.1.6.9.0.99.11.15.0000</t>
  </si>
  <si>
    <t>4.1.6.9.0.99.11.16.0000</t>
  </si>
  <si>
    <t>4.1.6.9.0.99.11.17.0000</t>
  </si>
  <si>
    <t>4.1.6.9.0.99.12.00.0000</t>
  </si>
  <si>
    <t>Outros Servicos - Multas E Juros</t>
  </si>
  <si>
    <t>4.1.6.9.0.99.12.01.0000</t>
  </si>
  <si>
    <t>Serviços em Prop. Particular - Retroescavadeira - Multas e Juros</t>
  </si>
  <si>
    <t>4.1.6.9.0.99.12.02.0000</t>
  </si>
  <si>
    <t>Serviços em Prop. Particular - Trator/Discagem - Multas e Juros</t>
  </si>
  <si>
    <t>4.1.6.9.0.99.12.03.0000</t>
  </si>
  <si>
    <t>Serviços em Prop. Particular - Trator/Escalificação - Multas e Juros</t>
  </si>
  <si>
    <t>4.1.6.9.0.99.12.04.0000</t>
  </si>
  <si>
    <t>Serviços em Prop. Particular - Trator/Escreip - Multas e Juros</t>
  </si>
  <si>
    <t>4.1.6.9.0.99.12.05.0000</t>
  </si>
  <si>
    <t>Serviços em Prop. Particular - Trator/Esteira - Multas e Juros</t>
  </si>
  <si>
    <t>4.1.6.9.0.99.12.06.0000</t>
  </si>
  <si>
    <t>Serviços em Prop. Partic. - Implem./Bat. de Cereais - Multas e Juros</t>
  </si>
  <si>
    <t>4.1.6.9.0.99.12.07.0000</t>
  </si>
  <si>
    <t>Serviços em Prop. Partic. - Implem./Carreta Agricola - Multas e Juros</t>
  </si>
  <si>
    <t>4.1.6.9.0.99.12.08.0000</t>
  </si>
  <si>
    <t>Serv. em Prop. Partic. - Implem./Distrib. de Esterco - Mult. e Juros</t>
  </si>
  <si>
    <t>4.1.6.9.0.99.12.09.0000</t>
  </si>
  <si>
    <t>Serv. em Prop. Partic. - Implem./Distrib. de Calcário - Mult. e Juros</t>
  </si>
  <si>
    <t>4.1.6.9.0.99.12.10.0000</t>
  </si>
  <si>
    <t>Serv. em Prop. Partic.- Implem./Colheitadeira - Mult. e Juros</t>
  </si>
  <si>
    <t>4.1.6.9.0.99.12.11.0000</t>
  </si>
  <si>
    <t>Serviços em Prop. Particular - Implem./Screip - Multas e Juros</t>
  </si>
  <si>
    <t>4.1.6.9.0.99.12.12.0000</t>
  </si>
  <si>
    <t>Serviços em Prop. Particular - Implem./Grades - Multas e Juros</t>
  </si>
  <si>
    <t>4.1.6.9.0.99.12.13.0000</t>
  </si>
  <si>
    <t>Serviços em Prop. Particular - Implem./Escalificador - Multas e Juros</t>
  </si>
  <si>
    <t>4.1.6.9.0.99.12.14.0000</t>
  </si>
  <si>
    <t>Serviços em Prop. Particular - Escavadeira - Multas e Juros</t>
  </si>
  <si>
    <t>4.1.6.9.0.99.12.15.0000</t>
  </si>
  <si>
    <t>Serviços em Prop. Particular - Motoniveladora - Multas e Juros</t>
  </si>
  <si>
    <t>4.1.6.9.0.99.12.16.0000</t>
  </si>
  <si>
    <t>Serviços em Prop. Particular - Carga de Cascalho - Multas e Juros</t>
  </si>
  <si>
    <t>4.1.6.9.0.99.12.17.0000</t>
  </si>
  <si>
    <t>Serviços em Prop. Particular - Caminhão Basculante - Multas e Juros</t>
  </si>
  <si>
    <t>4.1.6.9.0.99.13.00.0000</t>
  </si>
  <si>
    <t>Outros Servicos - Divida Ativa</t>
  </si>
  <si>
    <t>4.1.6.9.0.99.13.01.0000</t>
  </si>
  <si>
    <t>Serviços em Prop. Particular - Retroescavadeira - Dívida Ativa</t>
  </si>
  <si>
    <t>4.1.6.9.0.99.13.02.0000</t>
  </si>
  <si>
    <t>Serviços em Prop. Particular - Trator/Discagem - Dívida Ativa</t>
  </si>
  <si>
    <t>4.1.6.9.0.99.13.03.0000</t>
  </si>
  <si>
    <t>Serviços em Prop. Particular - Trator/Escalificação - Dívida Ativa</t>
  </si>
  <si>
    <t>4.1.6.9.0.99.13.04.0000</t>
  </si>
  <si>
    <t>Serviços em Prop. Particular - Trator/Escreip - Dívida Ativa</t>
  </si>
  <si>
    <t>4.1.6.9.0.99.13.05.0000</t>
  </si>
  <si>
    <t>Serviços em Prop. Particular - Trator/Esteira - Dívida Ativa</t>
  </si>
  <si>
    <t>4.1.6.9.0.99.13.06.0000</t>
  </si>
  <si>
    <t>Serviços em Prop. Particular - Implem./Bat. de Cereais - Dívida Ativa</t>
  </si>
  <si>
    <t>4.1.6.9.0.99.13.07.0000</t>
  </si>
  <si>
    <t>Serviços em Prop. Particular - Implem./Carreta Agricola - Dívida Ativa</t>
  </si>
  <si>
    <t>4.1.6.9.0.99.13.08.0000</t>
  </si>
  <si>
    <t>Serv. em Prop. Partic. - Implem./Distrib. de Esterco - Dívida Ativa</t>
  </si>
  <si>
    <t>4.1.6.9.0.99.13.09.0000</t>
  </si>
  <si>
    <t>Serv. em Prop. Partic. - Implem./Distrib. de Calcario - Dívida Ativa</t>
  </si>
  <si>
    <t>4.1.6.9.0.99.13.10.0000</t>
  </si>
  <si>
    <t>Serviços em Prop. Particular - Implem./Colheitadeira- Dívida Ativa</t>
  </si>
  <si>
    <t>4.1.6.9.0.99.13.11.0000</t>
  </si>
  <si>
    <t>Serviços em Prop. Particular - Implem./Screip - Dívida Ativa</t>
  </si>
  <si>
    <t>4.1.6.9.0.99.13.12.0000</t>
  </si>
  <si>
    <t>Serviços em Prop. Particular - Implem./Grades - Dívida Ativa</t>
  </si>
  <si>
    <t>4.1.6.9.0.99.13.13.0000</t>
  </si>
  <si>
    <t>Serviços em Prop. Particular - Implem./Escalificador - Dívida Ativa</t>
  </si>
  <si>
    <t>4.1.6.9.0.99.13.14.0000</t>
  </si>
  <si>
    <t>Serviços em Prop. Particular - Escavadeira - Dívida Ativa</t>
  </si>
  <si>
    <t>4.1.6.9.0.99.13.15.0000</t>
  </si>
  <si>
    <t>Serviços em Prop. Particular - Motoniveladora - Dívida Ativa</t>
  </si>
  <si>
    <t>4.1.6.9.0.99.13.16.0000</t>
  </si>
  <si>
    <t>Serviços em Prop. Particular - Carga de Cascalho - Dívida Ativa</t>
  </si>
  <si>
    <t>4.1.6.9.0.99.13.17.0000</t>
  </si>
  <si>
    <t>Serviços em Prop. Particular - Caminhão Basculante - Dívida Ativa</t>
  </si>
  <si>
    <t>4.1.6.9.0.99.14.00.0000</t>
  </si>
  <si>
    <t>Outros Servicos - Divida Ativa - Multas E Juros</t>
  </si>
  <si>
    <t>4.1.6.9.0.99.14.01.0000</t>
  </si>
  <si>
    <t>Serv. em Prop. Partic. - Retroescavadeira - Dív. At. - Multas e Juros</t>
  </si>
  <si>
    <t>4.1.6.9.0.99.14.02.0000</t>
  </si>
  <si>
    <t>Serv. em Prop. Partic. - Trator/Discagem - Dív. At. - Multas e Juros</t>
  </si>
  <si>
    <t>4.1.6.9.0.99.14.03.0000</t>
  </si>
  <si>
    <t>Serv. em Prop. Partic. - Trator/Escalific. - Dív. At. - Mult. e Juros</t>
  </si>
  <si>
    <t>4.1.6.9.0.99.14.04.0000</t>
  </si>
  <si>
    <t>Serv. em Prop. Partic. - Trator/Escreip - Dív. At. - Mult. e Juros</t>
  </si>
  <si>
    <t>4.1.6.9.0.99.14.05.0000</t>
  </si>
  <si>
    <t>Serv. em Prop. Partic. - Trator/Esteira - Dív. At. - Mult. e Juros</t>
  </si>
  <si>
    <t>4.1.6.9.0.99.14.06.0000</t>
  </si>
  <si>
    <t>Serv. em Prop. Partic. - Impl./Bat. de Cer. - Dív. At. - Mult. e Juros</t>
  </si>
  <si>
    <t>4.1.6.9.0.99.14.07.0000</t>
  </si>
  <si>
    <t>Serv. em Prop. Part. - Impl./Carret. Agric. - Dív. At. - Mult. e Juros</t>
  </si>
  <si>
    <t>4.1.6.9.0.99.14.08.0000</t>
  </si>
  <si>
    <t>Serv. em Prop. Part. - Impl./Dist. Esterc. - Dív. At. - Mult. e Juros</t>
  </si>
  <si>
    <t>4.1.6.9.0.99.14.09.0000</t>
  </si>
  <si>
    <t>Serv. em Prop. Part. - Impl./Dist. Calcario - Dív. At. - Mult. e Juros</t>
  </si>
  <si>
    <t>4.1.6.9.0.99.14.10.0000</t>
  </si>
  <si>
    <t>Serv. em Prop. Part. - Impl./Colheitadeira - Dív. At. - Mult. e Juros</t>
  </si>
  <si>
    <t>4.1.6.9.0.99.14.11.0000</t>
  </si>
  <si>
    <t>Serv. em Prop. Part. - Impl./Screip - Dív. At. - Mult. e Juros</t>
  </si>
  <si>
    <t>4.1.6.9.0.99.14.12.0000</t>
  </si>
  <si>
    <t>Serv. em Prop. Part. - Impl./Grades - Dív. At. - Mult. e Juros</t>
  </si>
  <si>
    <t>4.1.6.9.0.99.14.13.0000</t>
  </si>
  <si>
    <t>Serv. em Prop. Part. - Impl./Escalificador - Dív. At. - Mult. e Juros</t>
  </si>
  <si>
    <t>4.1.6.9.0.99.14.14.0000</t>
  </si>
  <si>
    <t>Serv. em Prop. Part. - Escavadeira - Dív. At. - Mult. e Juros</t>
  </si>
  <si>
    <t>4.1.6.9.0.99.14.15.0000</t>
  </si>
  <si>
    <t>Serv. em Prop. Part. - Motoniveladora - Dív. At. - Mult. e Juros</t>
  </si>
  <si>
    <t>4.1.6.9.0.99.14.16.0000</t>
  </si>
  <si>
    <t>Serv. em Prop. Part. - Carga de Cascalho - Dív. At. - Mult. e Juros</t>
  </si>
  <si>
    <t>4.1.6.9.0.99.14.17.0000</t>
  </si>
  <si>
    <t>Serv. em Prop. Part. - Caminhão Basculante - Dív. At. - Mult. e Juros</t>
  </si>
  <si>
    <t>4.1.7.0.0.00.00.00.0000</t>
  </si>
  <si>
    <t>Transferencias Correntes</t>
  </si>
  <si>
    <t>4.1.7.1.0.00.00.00.0000</t>
  </si>
  <si>
    <t>Transferencias Da Uniao E De Suas Entidades</t>
  </si>
  <si>
    <t>4.1.7.1.8.00.00.00.0000</t>
  </si>
  <si>
    <t>Transferencias Da Uniao - Especifica E/M</t>
  </si>
  <si>
    <t>4.1.7.1.8.01.00.00.0000</t>
  </si>
  <si>
    <t>Participacao Na Receita Da Uniao</t>
  </si>
  <si>
    <t>4.1.7.1.8.01.21.00.0000</t>
  </si>
  <si>
    <t>4.1.7.1.8.01.21.01.0000</t>
  </si>
  <si>
    <t>Cota-Parte do FPM - Cota Mensal - Principal - PRÓPRIO</t>
  </si>
  <si>
    <t>4.1.7.1.8.01.21.02.0000</t>
  </si>
  <si>
    <t>Cota-Parte do FPM - Cota Mensal - Principal - MDE</t>
  </si>
  <si>
    <t>4.1.7.1.8.01.21.03.0000</t>
  </si>
  <si>
    <t>Cota-Parte do FPM - Cota Mensal - Principal - ASPS</t>
  </si>
  <si>
    <t>4.1.7.1.8.01.21.04.0000</t>
  </si>
  <si>
    <t>Cota-Parte do FPM - Cota Mensal - Principal - FUNDEB</t>
  </si>
  <si>
    <t>4.1.7.1.8.01.31.00.0000</t>
  </si>
  <si>
    <t>4.1.7.1.8.01.31.01.0000</t>
  </si>
  <si>
    <t>Cota-Parte do FPM – 1%  mês de dezembro - Principal -  PRÓPRIO</t>
  </si>
  <si>
    <t>4.1.7.1.8.01.31.02.0000</t>
  </si>
  <si>
    <t>Cota-Parte do FPM – 1%  mês de dezembro - Principal - MDE</t>
  </si>
  <si>
    <t>4.1.7.1.8.01.31.03.0000</t>
  </si>
  <si>
    <t>Cota-Parte do FPM – 1%  mês de dezembro - Principal - ASPS</t>
  </si>
  <si>
    <t>4.1.7.1.8.01.41.00.0000</t>
  </si>
  <si>
    <t>Cota-Parte Do Fundo De Participacao Dos Municipios - 1% Cota Entregue</t>
  </si>
  <si>
    <t>4.1.7.1.8.01.41.01.0000</t>
  </si>
  <si>
    <t>Cota-Parte do FPM – 1%  mês de julho - Principal -  PRÓPRIO</t>
  </si>
  <si>
    <t>4.1.7.1.8.01.41.02.0000</t>
  </si>
  <si>
    <t>Cota-Parte do FPM – 1%  mês de julho - Principal -  MDE</t>
  </si>
  <si>
    <t>4.1.7.1.8.01.41.03.0000</t>
  </si>
  <si>
    <t>Cota-Parte do FPM – 1%  mês de julho - Principal -  ASPS</t>
  </si>
  <si>
    <t>4.1.7.1.8.01.51.00.0000</t>
  </si>
  <si>
    <t>4.1.7.1.8.01.51.01.0000</t>
  </si>
  <si>
    <t>Cota-Parte do ITR - Principal -  PRÓPRIO</t>
  </si>
  <si>
    <t>4.1.7.1.8.01.51.02.0000</t>
  </si>
  <si>
    <t>Cota-Parte do ITR - Principal -  MDE</t>
  </si>
  <si>
    <t>4.1.7.1.8.01.51.03.0000</t>
  </si>
  <si>
    <t>Cota-Parte do ITR - Principal - ASPS</t>
  </si>
  <si>
    <t>4.1.7.1.8.01.51.04.0000</t>
  </si>
  <si>
    <t>Cota-Parte do ITR - Principal -  FUNDEB</t>
  </si>
  <si>
    <t>4.1.7.1.8.02.00.00.0000</t>
  </si>
  <si>
    <t>Transferencia Da Compensacao Financeira Pela Exploracao De Recursos Na</t>
  </si>
  <si>
    <t>4.1.7.1.8.02.21.00.0000</t>
  </si>
  <si>
    <t>4.1.7.1.8.02.61.00.0000</t>
  </si>
  <si>
    <t>4.1.7.1.8.03.00.00.0000</t>
  </si>
  <si>
    <t>Transferencia De Recursos Do Sistema Unico De Saude - Sus - Repasses F</t>
  </si>
  <si>
    <t>4.1.7.1.8.03.11.00.0000</t>
  </si>
  <si>
    <t>4.1.7.1.8.03.11.01.0000</t>
  </si>
  <si>
    <t>4.1.7.1.8.03.11.02.0000</t>
  </si>
  <si>
    <t>4.1.7.1.8.03.11.03.0000</t>
  </si>
  <si>
    <t>4.1.7.1.8.03.11.04.0000</t>
  </si>
  <si>
    <t>4.1.7.1.8.03.11.05.0000</t>
  </si>
  <si>
    <t>4.1.7.1.8.04.00.00.0000</t>
  </si>
  <si>
    <t>Transferencias De Recursos Do Fundo Nacional De Assistencia Social - F</t>
  </si>
  <si>
    <t>4.1.7.1.8.04.11.00.0000</t>
  </si>
  <si>
    <t>4.1.7.1.8.04.11.01.0000</t>
  </si>
  <si>
    <t>4.1.7.1.8.04.11.02.0000</t>
  </si>
  <si>
    <t>4.1.7.1.8.04.11.03.0000</t>
  </si>
  <si>
    <t>4.1.7.1.8.04.11.04.0000</t>
  </si>
  <si>
    <t>4.1.7.1.8.04.11.05.0000</t>
  </si>
  <si>
    <t>4.1.7.1.8.05.00.00.0000</t>
  </si>
  <si>
    <t>Transferencias De Recursos Do Fundo Nacional Do Desenvolvimento Da Edu</t>
  </si>
  <si>
    <t>4.1.7.1.8.05.11.00.0000</t>
  </si>
  <si>
    <t>4.1.7.1.8.05.21.00.0000</t>
  </si>
  <si>
    <t>4.1.7.1.8.05.31.00.0000</t>
  </si>
  <si>
    <t>4.1.7.1.8.05.41.00.0000</t>
  </si>
  <si>
    <t>4.1.7.1.8.05.91.00.0000</t>
  </si>
  <si>
    <t>Outras Transferencias Diretas Do Fundo Nacional Do Desenvolvimento Da</t>
  </si>
  <si>
    <t>4.1.7.1.8.05.91.01.0000</t>
  </si>
  <si>
    <t>4.1.7.1.8.05.91.02.0000</t>
  </si>
  <si>
    <t>4.1.7.1.8.06.00.00.0000</t>
  </si>
  <si>
    <t>Transferencia Financeira Do Icms - Desoneracao - L.C. Nº 87/96</t>
  </si>
  <si>
    <t>4.1.7.1.8.06.11.00.0000</t>
  </si>
  <si>
    <t>4.1.7.1.8.06.11.01.0000</t>
  </si>
  <si>
    <t>L.C. Nº 87/96 - Principal - PRÓPRIO</t>
  </si>
  <si>
    <t>4.1.7.1.8.06.11.02.0000</t>
  </si>
  <si>
    <t>L.C. Nº 87/96 - Principal - MDE</t>
  </si>
  <si>
    <t>4.1.7.1.8.06.11.03.0000</t>
  </si>
  <si>
    <t>L.C. Nº 87/96 - Principal - ASPS</t>
  </si>
  <si>
    <t>4.1.7.1.8.06.11.04.0000</t>
  </si>
  <si>
    <t>L.C. Nº 87/96 - Principal - FUNDEB</t>
  </si>
  <si>
    <t>4.1.7.1.8.99.00.00.0000</t>
  </si>
  <si>
    <t>Outras Transferencias Da Uniao</t>
  </si>
  <si>
    <t>4.1.7.1.8.99.11.00.0000</t>
  </si>
  <si>
    <t>Outras Transferencias Da Uniao - Principal</t>
  </si>
  <si>
    <t>4.1.7.1.8.99.11.01.0000</t>
  </si>
  <si>
    <t>4.1.7.2.0.00.00.00.0000</t>
  </si>
  <si>
    <t>Transferencias Dos Estados E Do Distrito Federal E De Suas Entidades</t>
  </si>
  <si>
    <t>4.1.7.2.8.00.00.00.0000</t>
  </si>
  <si>
    <t>Transferencias Dos Estados - Especifica E/M</t>
  </si>
  <si>
    <t>4.1.7.2.8.01.00.00.0000</t>
  </si>
  <si>
    <t>Participacao Na Receita Dos Estados</t>
  </si>
  <si>
    <t>4.1.7.2.8.01.11.00.0000</t>
  </si>
  <si>
    <t>4.1.7.2.8.01.11.01.0000</t>
  </si>
  <si>
    <t>Cota-Parte do ICMS - Principal - PRÓPRIO</t>
  </si>
  <si>
    <t>4.1.7.2.8.01.11.02.0000</t>
  </si>
  <si>
    <t>Cota-Parte do ICMS - Principal - MDE</t>
  </si>
  <si>
    <t>4.1.7.2.8.01.11.03.0000</t>
  </si>
  <si>
    <t>Cota-Parte do ICMS - Principal- ASPS</t>
  </si>
  <si>
    <t>4.1.7.2.8.01.11.04.0000</t>
  </si>
  <si>
    <t>Cota-Parte do ICMS - Principal - FUNDEB</t>
  </si>
  <si>
    <t>4.1.7.2.8.01.21.00.0000</t>
  </si>
  <si>
    <t>4.1.7.2.8.01.21.01.0000</t>
  </si>
  <si>
    <t>Cota-Parte do IPVA - Principal - PRÓPRIO</t>
  </si>
  <si>
    <t>4.1.7.2.8.01.21.02.0000</t>
  </si>
  <si>
    <t>Cota-Parte do IPVA - Principal - MDE</t>
  </si>
  <si>
    <t>4.1.7.2.8.01.21.03.0000</t>
  </si>
  <si>
    <t>Cota-Parte do IPVA - Principal - ASPS</t>
  </si>
  <si>
    <t>4.1.7.2.8.01.21.04.0000</t>
  </si>
  <si>
    <t>Cota-Parte do IPVA - Principal - FUNDEB</t>
  </si>
  <si>
    <t>4.1.7.2.8.01.31.00.0000</t>
  </si>
  <si>
    <t>4.1.7.2.8.01.31.01.0000</t>
  </si>
  <si>
    <t>Cota-Parte do IPI - Municípios - Principal - PRÓPRIO</t>
  </si>
  <si>
    <t>4.1.7.2.8.01.31.02.0000</t>
  </si>
  <si>
    <t>Cota-Parte do IPI - Municípios - Principal - MDE</t>
  </si>
  <si>
    <t>4.1.7.2.8.01.31.03.0000</t>
  </si>
  <si>
    <t>Cota-Parte do IPI - Municípios - Principal - ASPS</t>
  </si>
  <si>
    <t>4.1.7.2.8.01.31.04.0000</t>
  </si>
  <si>
    <t>Cota-Parte do IPI - Municípios - Principal - FUNDEB</t>
  </si>
  <si>
    <t>4.1.7.2.8.01.41.00.0000</t>
  </si>
  <si>
    <t>Cota-Parte da C.I.D.E.</t>
  </si>
  <si>
    <t>4.1.7.2.8.07.00.00.0000</t>
  </si>
  <si>
    <t>Transferencias De Estados Destinadas A Assistencia Social</t>
  </si>
  <si>
    <t>4.1.7.2.8.07.11.00.0000</t>
  </si>
  <si>
    <t>4.1.7.2.8.10.00.00.0000</t>
  </si>
  <si>
    <t>Transferencia De Convenios Dos Estados E Do Distrito Federal E De Suas</t>
  </si>
  <si>
    <t>4.1.7.2.8.10.21.00.0000</t>
  </si>
  <si>
    <t>Transferencias De Convenio Dos Estados Destinadas A Programas De Educa</t>
  </si>
  <si>
    <t>4.1.7.2.8.10.21.01.0000</t>
  </si>
  <si>
    <t>4.1.7.2.8.99.00.00.0000</t>
  </si>
  <si>
    <t>Outras Transferencias Dos Estados</t>
  </si>
  <si>
    <t>4.1.7.2.8.99.11.00.0000</t>
  </si>
  <si>
    <t>Outras Transferencias Dos Estados - Principal</t>
  </si>
  <si>
    <t>4.1.7.2.8.99.11.01.0000</t>
  </si>
  <si>
    <t>4.1.7.2.8.99.11.02.0000</t>
  </si>
  <si>
    <t>4.1.7.3.0.00.00.00.0000</t>
  </si>
  <si>
    <t>Transferencias Dos Municipios E De Suas Entidades</t>
  </si>
  <si>
    <t>4.1.7.3.8.00.00.00.0000</t>
  </si>
  <si>
    <t>Transferencias Dos Municipios - Especifica E/M</t>
  </si>
  <si>
    <t>4.1.7.3.8.01.00.00.0000</t>
  </si>
  <si>
    <t>Transferencias De Recursos Do Sistema Unico De Saude - Sus</t>
  </si>
  <si>
    <t>4.1.7.3.8.01.11.00.0000</t>
  </si>
  <si>
    <t>Transferencias De Recursos Do Sistema Unico De Saude - Sus - Principal</t>
  </si>
  <si>
    <t>4.1.7.3.8.01.11.01.0000</t>
  </si>
  <si>
    <t>4.1.7.3.8.01.11.02.0000</t>
  </si>
  <si>
    <t>4.1.7.3.8.01.11.03.0000</t>
  </si>
  <si>
    <t>4.1.7.3.8.01.11.04.0000</t>
  </si>
  <si>
    <t>4.1.7.3.8.01.11.05.0000</t>
  </si>
  <si>
    <t>4.1.7.3.8.01.11.06.0000</t>
  </si>
  <si>
    <t>4.1.7.3.8.01.11.07.0000</t>
  </si>
  <si>
    <t>4.1.7.3.8.01.11.08.0000</t>
  </si>
  <si>
    <t>4.1.7.3.8.01.11.09.0000</t>
  </si>
  <si>
    <t>4.1.7.3.8.01.11.10.0000</t>
  </si>
  <si>
    <t>4.1.7.3.8.01.11.11.0000</t>
  </si>
  <si>
    <t>4.1.7.5.0.00.00.00.0000</t>
  </si>
  <si>
    <t>Transferencias De Outras Instituicoes Publicas</t>
  </si>
  <si>
    <t>4.1.7.5.8.00.00.00.0000</t>
  </si>
  <si>
    <t>Transferencias De Outras Instituicoes Publicas - Especifica E/M</t>
  </si>
  <si>
    <t>4.1.7.5.8.01.00.00.0000</t>
  </si>
  <si>
    <t>Transferencias De Recursos Do Fundo De Manutencao E Desenvolvimento Da</t>
  </si>
  <si>
    <t>4.1.7.5.8.01.11.00.0000</t>
  </si>
  <si>
    <t>4.1.9.0.0.00.00.00.0000</t>
  </si>
  <si>
    <t>Outras Receitas Correntes</t>
  </si>
  <si>
    <t>4.1.9.1.0.00.00.00.0000</t>
  </si>
  <si>
    <t>Multas Administrativas, Contratuais E Judiciais</t>
  </si>
  <si>
    <t>4.1.9.1.0.07.00.00.0000</t>
  </si>
  <si>
    <t>Multas Aplicadas Pelos Tribunais De Contas</t>
  </si>
  <si>
    <t>4.1.9.1.0.07.11.00.0000</t>
  </si>
  <si>
    <t>4.1.9.1.0.09.00.00.0000</t>
  </si>
  <si>
    <t>Multas E Juros Previstos Em Contratos</t>
  </si>
  <si>
    <t>4.1.9.1.0.09.11.00.0000</t>
  </si>
  <si>
    <t>4.1.9.1.0.09.13.00.0000</t>
  </si>
  <si>
    <t>4.1.9.2.0.00.00.00.0000</t>
  </si>
  <si>
    <t>Indenizacoes, Restituicoes E Ressarcimentos</t>
  </si>
  <si>
    <t>4.1.9.2.2.00.00.00.0000</t>
  </si>
  <si>
    <t>4.1.9.2.2.99.00.00.0000</t>
  </si>
  <si>
    <t>Outras Restituicoes</t>
  </si>
  <si>
    <t>4.1.9.2.2.99.11.00.0000</t>
  </si>
  <si>
    <t>Outras Restituicoes - Principal</t>
  </si>
  <si>
    <t>4.1.9.2.2.99.11.01.0000</t>
  </si>
  <si>
    <t>4.1.9.2.2.99.11.02.0000</t>
  </si>
  <si>
    <t>4.1.9.2.2.99.11.03.0000</t>
  </si>
  <si>
    <t>4.1.9.2.2.99.11.04.0000</t>
  </si>
  <si>
    <t>4.1.9.2.2.99.11.06.0000</t>
  </si>
  <si>
    <t>4.1.9.2.2.99.11.99.0000</t>
  </si>
  <si>
    <t>4.1.9.2.2.99.12.00.0000</t>
  </si>
  <si>
    <t>Outras Restituições - Multas e Juros</t>
  </si>
  <si>
    <t>4.1.9.2.2.99.12.01.0000</t>
  </si>
  <si>
    <t>Restituições Determinadas pelo TCE - Multas e Juros</t>
  </si>
  <si>
    <t>4.1.9.2.2.99.12.02.0000</t>
  </si>
  <si>
    <t>Programa Troca-troca - Multas e Juros</t>
  </si>
  <si>
    <t>4.1.9.2.2.99.12.03.0000</t>
  </si>
  <si>
    <t>Restituicao Pelo Uso de Bens do Municipio - Multas e Juros</t>
  </si>
  <si>
    <t>4.1.9.2.2.99.12.04.0000</t>
  </si>
  <si>
    <t>Restituicao Pelo Pagamento Indevido - Multas e Juros</t>
  </si>
  <si>
    <t>4.1.9.2.2.99.12.06.0000</t>
  </si>
  <si>
    <t>Restituicoes do Plano de Assistencia Medica dos Servidores - Multas e</t>
  </si>
  <si>
    <t>4.1.9.2.2.99.13.00.0000</t>
  </si>
  <si>
    <t>Outras Restituições - Dívida Ativa</t>
  </si>
  <si>
    <t>4.1.9.2.2.99.13.01.0000</t>
  </si>
  <si>
    <t>Restituições Determinadas pelo TCE - Dívida Ativa</t>
  </si>
  <si>
    <t>4.1.9.2.2.99.13.02.0000</t>
  </si>
  <si>
    <t>Programa Troca-troca - Dívida Ativa</t>
  </si>
  <si>
    <t>4.1.9.2.2.99.13.03.0000</t>
  </si>
  <si>
    <t>Restituição Pelo Uso de Bens do Município - Dívida Ativa</t>
  </si>
  <si>
    <t>4.1.9.2.2.99.13.04.0000</t>
  </si>
  <si>
    <t>Restituição Pelo Pagamento Indevido - Dívida Ativa</t>
  </si>
  <si>
    <t>4.1.9.2.2.99.13.06.0000</t>
  </si>
  <si>
    <t>Restituições do Plano de Assist. Médica dos Servidores - Dívida Ativa</t>
  </si>
  <si>
    <t>4.1.9.2.2.99.14.00.0000</t>
  </si>
  <si>
    <t>Outras Restituicoes - Divida Ativa - Multas E Juros</t>
  </si>
  <si>
    <t>4.1.9.2.2.99.14.01.0000</t>
  </si>
  <si>
    <t>Restituições Determinadas pelo TCE - Dívida Ativa - Multas e Juros</t>
  </si>
  <si>
    <t>4.1.9.2.2.99.14.02.0000</t>
  </si>
  <si>
    <t>Programa Troca-troca - Dívida Ativa - Multas e Juros</t>
  </si>
  <si>
    <t>4.1.9.2.2.99.14.03.0000</t>
  </si>
  <si>
    <t>Restituição Pelo Uso de Bens do Município - Dív. Ativa - Mult. e Juros</t>
  </si>
  <si>
    <t>4.1.9.2.2.99.14.04.0000</t>
  </si>
  <si>
    <t>Restituição Pelo Pagamento Indevido - Dívida Ativa - Multas e Juros</t>
  </si>
  <si>
    <t>4.1.9.2.2.99.14.06.0000</t>
  </si>
  <si>
    <t>Rest. do Plano de Assist. Médica dos Serv. - Div. Ait. Mult. e Juros</t>
  </si>
  <si>
    <t>4.1.9.9.0.00.00.00.0000</t>
  </si>
  <si>
    <t>Demais Receitas Correntes</t>
  </si>
  <si>
    <t>4.1.9.9.0.99.00.00.0000</t>
  </si>
  <si>
    <t>Outras Receitas</t>
  </si>
  <si>
    <t>4.1.9.9.0.99.21.00.0000</t>
  </si>
  <si>
    <t>Outras Receitas - Financeiras - Principal</t>
  </si>
  <si>
    <t>4.1.9.9.0.99.21.01.0000</t>
  </si>
  <si>
    <t>Receitas - Agrifest/Fefumo</t>
  </si>
  <si>
    <t>4.1.9.9.0.99.21.01.0100</t>
  </si>
  <si>
    <t>4.1.9.9.0.99.21.01.0200</t>
  </si>
  <si>
    <t>4.1.9.9.0.99.21.01.0300</t>
  </si>
  <si>
    <t>4.1.9.9.0.99.21.01.0400</t>
  </si>
  <si>
    <t>4.1.9.9.0.99.21.01.0500</t>
  </si>
  <si>
    <t>4.1.9.9.0.99.21.01.0600</t>
  </si>
  <si>
    <t>4.1.9.9.0.99.21.01.0700</t>
  </si>
  <si>
    <t>4.1.9.9.0.99.21.01.0800</t>
  </si>
  <si>
    <t>4.1.9.9.0.99.21.01.0900</t>
  </si>
  <si>
    <t>4.1.9.9.0.99.21.02.0000</t>
  </si>
  <si>
    <t>4.1.9.9.0.99.21.03.0000</t>
  </si>
  <si>
    <t>4.1.9.9.0.99.21.04.0000</t>
  </si>
  <si>
    <t>4.1.9.9.0.99.21.05.0000</t>
  </si>
  <si>
    <t>4.1.9.9.0.99.99.00.0000</t>
  </si>
  <si>
    <t>4.1.9.9.0.99.99.01.0000</t>
  </si>
  <si>
    <t>4.2.0.0.0.00.00.00.0000</t>
  </si>
  <si>
    <t>Receitas De Capital</t>
  </si>
  <si>
    <t>4.2.1.0.0.00.00.00.0000</t>
  </si>
  <si>
    <t>Operacoes De Credito</t>
  </si>
  <si>
    <t>4.2.1.1.0.00.00.00.0000</t>
  </si>
  <si>
    <t>Operacoes De Credito - Mercado Interno</t>
  </si>
  <si>
    <t>4.2.1.1.8.00.00.00.0000</t>
  </si>
  <si>
    <t>Operacoes De Credito - Mercado Interno - Estados/Df/Municipios</t>
  </si>
  <si>
    <t>4.2.1.1.8.01.00.00.0000</t>
  </si>
  <si>
    <t>Operacoes De Credito Internas De Estados/Df/Municipios</t>
  </si>
  <si>
    <t>4.2.1.1.8.01.11.00.0000</t>
  </si>
  <si>
    <t>4.2.1.1.8.01.51.00.0000</t>
  </si>
  <si>
    <t>4.2.2.0.0.00.00.00.0000</t>
  </si>
  <si>
    <t>Alienacao De Bens</t>
  </si>
  <si>
    <t>4.2.2.1.0.00.00.00.0000</t>
  </si>
  <si>
    <t>Alienacao De Bens Moveis</t>
  </si>
  <si>
    <t>4.2.2.1.3.00.00.00.0000</t>
  </si>
  <si>
    <t>Alienacao De Bens Moveis E Semoventes</t>
  </si>
  <si>
    <t>4.2.2.1.3.00.11.00.0000</t>
  </si>
  <si>
    <t>Alienacao De Bens Moveis E Semoventes - Principal</t>
  </si>
  <si>
    <t>4.2.2.1.3.00.11.02.0000</t>
  </si>
  <si>
    <t>Alienacao De Bens Moveis E Semoventes - Principal - Exceto Rpps</t>
  </si>
  <si>
    <t>4.2.2.1.3.00.11.02.0100</t>
  </si>
  <si>
    <t>4.2.2.1.3.00.11.02.0200</t>
  </si>
  <si>
    <t>4.2.2.1.3.00.11.02.0300</t>
  </si>
  <si>
    <t>4.2.2.1.3.00.11.02.0400</t>
  </si>
  <si>
    <t>4.2.4.0.0.00.00.00.0000</t>
  </si>
  <si>
    <t>Transferencias De Capital</t>
  </si>
  <si>
    <t>4.2.4.1.0.00.00.00.0000</t>
  </si>
  <si>
    <t>4.2.4.1.0.00.11.00.0000</t>
  </si>
  <si>
    <t>Transferencias Da Uniao E De Suas Entidades - Principal</t>
  </si>
  <si>
    <t>4.2.4.1.0.00.11.01.0000</t>
  </si>
  <si>
    <t>4.2.4.1.0.00.11.05.0000</t>
  </si>
  <si>
    <t>4.2.4.1.8.00.00.00.0000</t>
  </si>
  <si>
    <t>Transferencias Da Uniao - Especificas De Estados, Df E Municipios</t>
  </si>
  <si>
    <t>4.2.4.1.8.10.00.00.0000</t>
  </si>
  <si>
    <t>Transferencia De Convenios Da Uniao E De Suas Entidades</t>
  </si>
  <si>
    <t>4.2.4.1.8.10.11.00.0000</t>
  </si>
  <si>
    <t>4.2.4.1.8.10.61.00.0000</t>
  </si>
  <si>
    <t>4.2.4.1.8.10.61.01.0000</t>
  </si>
  <si>
    <t>4.2.4.2.0.00.00.00.0000</t>
  </si>
  <si>
    <t>4.2.4.2.0.00.11.00.0000</t>
  </si>
  <si>
    <t>Transferencias Dos Estados E Do Distrito Federal E De Suas Entidades -</t>
  </si>
  <si>
    <t>4.2.4.2.0.00.11.01.0000</t>
  </si>
  <si>
    <t>4.2.4.2.0.00.11.01.0100</t>
  </si>
  <si>
    <t>4.2.9.0.0.00.00.00.0000</t>
  </si>
  <si>
    <t>Outras Receitas De Capital</t>
  </si>
  <si>
    <t>4.2.9.9.0.00.00.00.0000</t>
  </si>
  <si>
    <t>Demais Receitas De Capital</t>
  </si>
  <si>
    <t>4.2.9.9.0.00.11.00.0000</t>
  </si>
  <si>
    <t>Demais Receitas De Capital - Principal</t>
  </si>
  <si>
    <t>4.2.9.9.0.00.11.02.0000</t>
  </si>
  <si>
    <t>4.2.9.9.0.00.11.02.0100</t>
  </si>
  <si>
    <t>4.2.9.9.0.00.11.02.0200</t>
  </si>
  <si>
    <t>4.2.9.9.0.00.11.02.0300</t>
  </si>
  <si>
    <t>4.2.9.9.0.00.11.02.0400</t>
  </si>
  <si>
    <t>4.2.9.9.0.00.11.02.0500</t>
  </si>
  <si>
    <t>4.2.9.9.0.00.11.02.0600</t>
  </si>
  <si>
    <t>4.2.9.9.0.00.11.02.0700</t>
  </si>
  <si>
    <t>4.2.9.9.0.00.11.02.0800</t>
  </si>
  <si>
    <t>4.2.9.9.0.00.11.02.0900</t>
  </si>
  <si>
    <t>4.2.9.9.0.00.11.02.1000</t>
  </si>
  <si>
    <t>4.2.9.9.0.00.11.02.1100</t>
  </si>
  <si>
    <t>4.2.9.9.0.00.11.02.1200</t>
  </si>
  <si>
    <t>4.2.9.9.0.00.11.02.1300</t>
  </si>
  <si>
    <t>4.2.9.9.0.00.11.02.1400</t>
  </si>
  <si>
    <t>4.2.9.9.0.00.11.02.1500</t>
  </si>
  <si>
    <t>4.2.9.9.0.00.11.02.1600</t>
  </si>
  <si>
    <t>4.2.9.9.0.00.11.02.1700</t>
  </si>
  <si>
    <t>4.2.9.9.0.00.11.02.1800</t>
  </si>
  <si>
    <t>9.0.0.0.0.00.00.00.0000</t>
  </si>
  <si>
    <t>( R ) Deducoes Da Receita</t>
  </si>
  <si>
    <t>9.1.0.0.0.00.00.00.0000</t>
  </si>
  <si>
    <t>( R ) Deducoes Da Receita Corrente</t>
  </si>
  <si>
    <t>9.1.1.0.0.00.00.00.0000</t>
  </si>
  <si>
    <t>( R ) Deducoes Da Receita De Impostos, Taxas E Contribuicoes De Melhor</t>
  </si>
  <si>
    <t>9.1.1.1.0.00.00.00.0000</t>
  </si>
  <si>
    <t>( R ) Deducoes Da Receita De Impostos</t>
  </si>
  <si>
    <t>9.1.1.1.8.00.00.00.0000</t>
  </si>
  <si>
    <t>( R ) Deducoes Da Receita De Impostos De Estados/Df Municipios</t>
  </si>
  <si>
    <t>9.1.1.1.8.01.00.00.0000</t>
  </si>
  <si>
    <t>( R ) Deducoes De Impostos Sobre O Patrimonio Para Estados/Df/Municipi</t>
  </si>
  <si>
    <t>9.1.1.1.8.01.11.00.0000</t>
  </si>
  <si>
    <t>9.1.1.1.8.01.11.01.0000</t>
  </si>
  <si>
    <t>( R ) Deduções IPTU PRÓPRIO</t>
  </si>
  <si>
    <t>9.1.1.1.8.01.11.02.0000</t>
  </si>
  <si>
    <t>( R ) Deduções IPTU MDE</t>
  </si>
  <si>
    <t>9.1.1.1.8.01.11.03.0000</t>
  </si>
  <si>
    <t>( R ) Deduções IPTU ASPS</t>
  </si>
  <si>
    <t>9.1.1.1.8.01.41.00.0000</t>
  </si>
  <si>
    <t>9.1.1.1.8.01.41.01.0000</t>
  </si>
  <si>
    <t>( R ) Deduções ITBI - Principal - PRÓPRIO</t>
  </si>
  <si>
    <t>9.1.1.1.8.01.41.02.0000</t>
  </si>
  <si>
    <t>( R ) Deduções ITBI - Principal - MDE</t>
  </si>
  <si>
    <t>9.1.1.1.8.01.41.03.0000</t>
  </si>
  <si>
    <t>( R ) Deduções ITBI - Principal - ASPS</t>
  </si>
  <si>
    <t>9.1.1.1.8.02.00.00.0000</t>
  </si>
  <si>
    <t>( R ) Deducoes Imposto Sobre Servicos De Qualquer Natureza</t>
  </si>
  <si>
    <t>9.1.1.1.8.02.31.00.0000</t>
  </si>
  <si>
    <t>9.1.1.1.8.02.31.01.0000</t>
  </si>
  <si>
    <t>( R ) Deduções ISS - Principal - PRÓPRIO</t>
  </si>
  <si>
    <t>9.1.1.1.8.02.31.02.0000</t>
  </si>
  <si>
    <t>( R ) Deduções ISS - Principal - MDE</t>
  </si>
  <si>
    <t>9.1.1.1.8.02.31.03.0000</t>
  </si>
  <si>
    <t>( R ) Deduções ISS - Principal - ASPS</t>
  </si>
  <si>
    <t>9.1.7.0.0.00.00.00.0000</t>
  </si>
  <si>
    <t>( R ) Deducoes Da Receita De Transferencias Correntes</t>
  </si>
  <si>
    <t>9.1.7.1.0.00.00.00.0000</t>
  </si>
  <si>
    <t>( R ) Deducoes Da Receita De Transferencias Da Uniao E De Suas Entidad</t>
  </si>
  <si>
    <t>9.1.7.1.8.00.00.00.0000</t>
  </si>
  <si>
    <t>( R ) Deducoes Da Receita Da Uniao</t>
  </si>
  <si>
    <t>9.1.7.1.8.01.00.00.0000</t>
  </si>
  <si>
    <t>( R ) Deducoes De Receitas De Participacao Na Receita Da Uniao</t>
  </si>
  <si>
    <t>9.1.7.1.8.01.21.00.0000</t>
  </si>
  <si>
    <t>( R ) Deducoes Cota-Parte Do Fundo De Participacao Dos Municipios - Co</t>
  </si>
  <si>
    <t>9.1.7.1.8.01.21.04.0000</t>
  </si>
  <si>
    <t>( R ) Deduções Cota-Parte do FPM  - Principal - FUNDEB</t>
  </si>
  <si>
    <t>9.1.7.1.8.01.51.00.0000</t>
  </si>
  <si>
    <t>( R ) Deducoes Cota-Parte Do Imposto Sobre A Propriedade Territorial R</t>
  </si>
  <si>
    <t>9.1.7.1.8.01.51.04.0000</t>
  </si>
  <si>
    <t>( R ) Deduções Cota-Parte do ITR - Principal - FUNDEB</t>
  </si>
  <si>
    <t>9.1.7.1.8.06.00.00.0000</t>
  </si>
  <si>
    <t>( R ) Deducoes  De Transferencia Financeira Do Icms - Desoneracao - L.</t>
  </si>
  <si>
    <t>9.1.7.1.8.06.11.00.0000</t>
  </si>
  <si>
    <t>( R ) Deducoes Transferencia Financeira Do Icms – Desoneracao – L.C. N</t>
  </si>
  <si>
    <t>9.1.7.1.8.06.11.04.0000</t>
  </si>
  <si>
    <t>( R ) Deduções ICMS – Desoneração – L.C. Nº 87/96 - Principal - FUNDEB</t>
  </si>
  <si>
    <t>9.1.7.2.0.00.00.00.0000</t>
  </si>
  <si>
    <t>( R ) Deducoes Da Receita De Transferencias Dos Estados E Suas Entidad</t>
  </si>
  <si>
    <t>9.1.7.2.8.00.00.00.0000</t>
  </si>
  <si>
    <t>( R ) Deducoes Da Receita De Transferencias Dos Estados - Especifica E</t>
  </si>
  <si>
    <t>9.1.7.2.8.01.00.00.0000</t>
  </si>
  <si>
    <t>( R ) Deducoes Das Receitas De Participacao Na Receita Dos Estados</t>
  </si>
  <si>
    <t>9.1.7.2.8.01.11.00.0000</t>
  </si>
  <si>
    <t>( R ) Deducoes Cota-Parte Do Icms - Principal</t>
  </si>
  <si>
    <t>9.1.7.2.8.01.11.04.0000</t>
  </si>
  <si>
    <t>( R ) Deduções Cota-Parte do ICMS - Principal - FUNDEB</t>
  </si>
  <si>
    <t>9.1.7.2.8.01.21.00.0000</t>
  </si>
  <si>
    <t>( R ) Deducoes Cota-Parte Do Ipva - Principal</t>
  </si>
  <si>
    <t>9.1.7.2.8.01.21.04.0000</t>
  </si>
  <si>
    <t>( R ) Deduções Cota-Parte do IPVA - Principal - FUNDEB</t>
  </si>
  <si>
    <t>9.1.7.2.8.01.31.00.0000</t>
  </si>
  <si>
    <t>( R ) Deducoes Cota-Parte Do Ipi - Municipios - Principal</t>
  </si>
  <si>
    <t>9.1.7.2.8.01.31.04.0000</t>
  </si>
  <si>
    <t>( R ) Deduções Cota-Parte do IPI - Principal - FUNDEB</t>
  </si>
  <si>
    <t>LIVRE</t>
  </si>
  <si>
    <t>MDE</t>
  </si>
  <si>
    <t>FUNDEB</t>
  </si>
  <si>
    <t>ASPS</t>
  </si>
  <si>
    <t>CCFGS</t>
  </si>
  <si>
    <t>CONST. DE COB. DE QUAD. POLIESP.</t>
  </si>
  <si>
    <t>MIN. SAUDE - SANEAMENTO</t>
  </si>
  <si>
    <t>ACESSUASTRALHO</t>
  </si>
  <si>
    <t>CONVÊNIOS MAPA</t>
  </si>
  <si>
    <t>CONVÊNIOS MDA</t>
  </si>
  <si>
    <t>B.P.S.E.M.C.- BLOC.PROT. ESP. MED. COMPL</t>
  </si>
  <si>
    <t>B.G.P.B.F. - BLOC GEST. PROG. BOLSA FAM.</t>
  </si>
  <si>
    <t>B.G.S. - BLOCO DE GESTÃO DO SUAS</t>
  </si>
  <si>
    <t>TRANSFERÊNCIAS DO MAPA</t>
  </si>
  <si>
    <t>TRANSFERÊNCIAS MIN</t>
  </si>
  <si>
    <t>TRANSFERÊNCIAS MDAS</t>
  </si>
  <si>
    <t>TRANSF. DO MIN. JUSTIÇA</t>
  </si>
  <si>
    <t>MEC FNDE - PROGRAMA BRASIL CARINHOSO</t>
  </si>
  <si>
    <t>TRANSF. ESTADO P/AQUIS. INSUMOS AGRIC.</t>
  </si>
  <si>
    <t>TRANSFERENCIAS MP 815/2017</t>
  </si>
  <si>
    <t>TRANSF. P/FECA</t>
  </si>
  <si>
    <t>DIABETES MELLITUS</t>
  </si>
  <si>
    <t>PROG. SAUDE MENTAL</t>
  </si>
  <si>
    <t>SAÚDE DA FAMÍLIA</t>
  </si>
  <si>
    <t>EPIDEMIOLOGIA</t>
  </si>
  <si>
    <t>APOIO À REDE HOSPITALAR</t>
  </si>
  <si>
    <t>REGIONALIZAÇÃO - REFORMA DE UBS</t>
  </si>
  <si>
    <t>P.A.B. FIXO</t>
  </si>
  <si>
    <t>P.A.B. VARIAVEL - VIG. SANITARIA</t>
  </si>
  <si>
    <t>ASSIST. FARM. BASICA</t>
  </si>
  <si>
    <t>CADASTRO SUS - GESTAO DO SUS</t>
  </si>
  <si>
    <t>AQUIS. DE EQUIP. E MAT. PERMANENTE</t>
  </si>
  <si>
    <t>CONSTRUÇÃO OU AMPLIAÇÃO DE UBS OU UPA.</t>
  </si>
  <si>
    <t>Recurso</t>
  </si>
  <si>
    <t>Parâmentos Utilizados nas Estimativas das Receitas</t>
  </si>
  <si>
    <t>Item</t>
  </si>
  <si>
    <t>Base para cálculo</t>
  </si>
  <si>
    <t>Todas</t>
  </si>
  <si>
    <t>1.1</t>
  </si>
  <si>
    <t>Variação do IPCA base Sistema de Expectativas de Mercado BACEN</t>
  </si>
  <si>
    <t>1.2</t>
  </si>
  <si>
    <t>Variação do IGP - DI  base Sistema de Expectativas de Mercado BACEN</t>
  </si>
  <si>
    <t>Crescimento do PIB ( Variação Anual)  base Sistema de Expectativas de Mercado BACEN</t>
  </si>
  <si>
    <t>Taxa SELIC ( Média) Base Sistema de Expectativas de Mercado BACEN</t>
  </si>
  <si>
    <t>Taxa de Câmbio (R$/US$) – dez  Base Sistema de Expectativas de Mercado BACEN</t>
  </si>
  <si>
    <t>Estimativa de Percentual de para Aplicação de Recursos Livres</t>
  </si>
  <si>
    <t xml:space="preserve">Estimativa de Percentual de para Aplicação de Recursos Livres FPM 1% </t>
  </si>
  <si>
    <t>Estimativa de Percentual de Repasse para  o MDE S/(Impostos Municipais)</t>
  </si>
  <si>
    <t>Estimativa de Percentual de Repasse para  o MDE S/(Impostos Municipais) Complemento</t>
  </si>
  <si>
    <t>Estimativa de Percentual de Repasse para  o MDE S/(FPM, ITR, LEI 87/96, ICMS, IPVA,  IPI/EXP)</t>
  </si>
  <si>
    <t>Estimativa de Percentual de Repasse para  o MDE S/FPM 1%</t>
  </si>
  <si>
    <t>Estimativa de Percentual de Repasse para  o Fundeb S/FUNDEB S/(FPM, ITR, LEI 87/96, ICMS, IPVA,  IPI/EXP)</t>
  </si>
  <si>
    <t>Estimativa de Percentual de Repasse para  o ASPS</t>
  </si>
  <si>
    <t>Estimativa de Percentual de Repasse para  o ASPS Complemento</t>
  </si>
  <si>
    <t>XXXXXXX</t>
  </si>
  <si>
    <t>XXXXXXXX</t>
  </si>
  <si>
    <t>Estimativa de  Arrecadação de Contribuicao De  Melhoria Para Expansao Da Rede De  Agua Potavel E Esgoto Sanitario</t>
  </si>
  <si>
    <t>Estimativa de  Arrecadação de Contribuicao De  Melhoria Para Expansao Da Rede De  Iluminacao Publica Na Cidade</t>
  </si>
  <si>
    <t>Estimativa de  Arrecadação de Contribuicao De  Melhoria Para Expansao Da Rede De  Iluminacao Publica Rural</t>
  </si>
  <si>
    <t>Estimativa de  Arrecadação de Contribuicao De  Melhoria Para Pavimentacao E Obras Complementares</t>
  </si>
  <si>
    <t xml:space="preserve">Estimativa de  Arrecadação de Contribuicao Custeio do Serviço de Iluminacao Publica </t>
  </si>
  <si>
    <t>Estimativa de Remuneração de Depósitos de Recursos Vinculados - Royalties - Principal</t>
  </si>
  <si>
    <t>Estimativa de  Arrecadação de Receita De Remuneracao De Depositos  Bancarios De Recursos Vinculados - Fundeb</t>
  </si>
  <si>
    <t>Estimativa de  Arrecadação de receita de  locação do Centro de Eventos - Principal</t>
  </si>
  <si>
    <t>Estimativa de  Arrecadação de receita de  locação do Centro de Eventos - Multas e Juros</t>
  </si>
  <si>
    <t>Estimativa de  Arrecadação de receita de  locação do Centro de Eventos - Div. Ativa</t>
  </si>
  <si>
    <t>Estimativa de  Arrecadação de receita de  locação do Centro de Eventos - Multas e Juros Div. Ativa</t>
  </si>
  <si>
    <t>Estimativa de  Arrecadação de Servicos De Vistorias De Veiculos - Principal</t>
  </si>
  <si>
    <t>Estimativa de  Arrecadação Inscrição em Concursos e Processos Seletivos - Principal</t>
  </si>
  <si>
    <t>Estimativa de  Arrecadação Inscrição em Concursos e Processos Seletivos - Multas e Juros</t>
  </si>
  <si>
    <t>Estimativa de  Arrecadação Inscrição em Concursos e Processos Seletivos - Div. Ativa</t>
  </si>
  <si>
    <t>Estimativa de  Arrecadação Inscrição em Concursos e Processos Seletivos -  Multas e Juros Div. Ativa</t>
  </si>
  <si>
    <t xml:space="preserve"> Estimativa de  Arrecadação de Servicos em Prop. Partic/Retroescavadeira - Principal</t>
  </si>
  <si>
    <t xml:space="preserve"> Estimativa de  Arrecadação de Servicos em Prop. Partic/Trator/Discagem - Principal</t>
  </si>
  <si>
    <t xml:space="preserve"> Estimativa de  Arrecadação de Servicos em Prop. Partic/Trator/Escalificação - Principal</t>
  </si>
  <si>
    <t xml:space="preserve"> Estimativa de  Arrecadação de Servicos em Prop. Partic/Trator/Screip - Principal </t>
  </si>
  <si>
    <t xml:space="preserve"> Estimativa de  Arrecadação de Servicos em Prop. Partic/Trator/Esteira - Principal </t>
  </si>
  <si>
    <t xml:space="preserve"> Estimativa de  Arrecadação de Servicos em Prop. Partic/Trator/Batedeira de Cereais - Principal </t>
  </si>
  <si>
    <t xml:space="preserve"> Estimativa de  Arrecadação de Servicos em Prop. Partic/Trator/Carreta Agricola  - Principal </t>
  </si>
  <si>
    <t xml:space="preserve"> Estimativa de  Arrecadação de  Servicos em Prop. Partic/Trator/Distribuidor de Esterco - Principal </t>
  </si>
  <si>
    <t xml:space="preserve"> Estimativa de  Arrecadação de Servicos em Prop. Partic/Trator/Semeadeira de Calcário - Principal </t>
  </si>
  <si>
    <t>Estimativa de  Arrecadação deServiços em Prop. Particular - Implem./Carreta Agricula - Principal</t>
  </si>
  <si>
    <t>Estimativa de  Arrecadação deServiços em Prop. Particular - Implem./Screip - Principal</t>
  </si>
  <si>
    <t>Estimativa de Serviços em Prop. Particular - Implem./Grades - Principal</t>
  </si>
  <si>
    <t>Estimativa de Serviços em Prop. Particular - Implem./Escalificador - Principal</t>
  </si>
  <si>
    <t>Estimativa de Serviços em Prop. Particular - Implem./Escavadeira - Principal</t>
  </si>
  <si>
    <t>Estimativa de Serviços em Prop. Particular - Motoniveladora - Principal</t>
  </si>
  <si>
    <t>Estimativa de Serviços em Prop. Particular - Carga de Cascalho - Principal</t>
  </si>
  <si>
    <t>Estimativa de Serviços em Prop. Particular - Caminhão Basculante - Principal</t>
  </si>
  <si>
    <t>Estimativa de Serviços em Prop. Particular - Retroescavadeira - Multas e Juros</t>
  </si>
  <si>
    <t>Estimativa de Serviços em Prop. Particular - Trator/Discagem - Multas e Juros</t>
  </si>
  <si>
    <t>Estimativa de Serviços em Prop. Particular - Trator/Escalificação - Multas e Juros</t>
  </si>
  <si>
    <t>Estimativa de Serviços em Prop. Particular - Trator/Escreip - Multas e Juros</t>
  </si>
  <si>
    <t>Estimativa de Serviços em Prop. Particular - Trator/Esteira - Multas e Juros</t>
  </si>
  <si>
    <t>Estimativa de Serviços em Prop. Particular - Implem./Bat. de Cereais - Multas e Juros</t>
  </si>
  <si>
    <t>Estimativa de Serviços em Prop. Particular - Implem./Carreta Agricola - Multas e Juros</t>
  </si>
  <si>
    <t>Estimativa de Serviços em Prop. Particular - Implem./Distrib. de Esterco - Multas e Juros</t>
  </si>
  <si>
    <t>Estimativa de Serviços em Prop. Particular - Implem./Distribuidor de Calcario - Multas e Juros</t>
  </si>
  <si>
    <t>Estimativa de Serviços em Prop. Particular - Implem./Carreta Agrícola - Multas e Juros</t>
  </si>
  <si>
    <t>Estimativa de Serviços em Prop. Particular - Implem./Screip - Multas e Juros</t>
  </si>
  <si>
    <t>Estimativa de Serviços em Prop. Particular - Implem./Grades - Multas e Juros</t>
  </si>
  <si>
    <t>Estimativa de Serviços em Prop. Particular - Implem./Escalificador - Multas e Juros</t>
  </si>
  <si>
    <t>Estimativa de Serviços em Prop. Particular - Motoniveladora - Multas e Juros</t>
  </si>
  <si>
    <t>Estimativa de Serviços em Prop. Particular - Carga de Cascalho - Multas e Juros</t>
  </si>
  <si>
    <t>Estimativa de Serviços em Prop. Particular - Caminhão Basculante - Multas e Juros</t>
  </si>
  <si>
    <t>Serviços em Prop. Particular - Implem./Distrib. de Esterco - Dívida Ativa</t>
  </si>
  <si>
    <t>Serviços em Prop. Particular - Implem./Distribuidor de Calcario - Dívida Ativa</t>
  </si>
  <si>
    <t>Serviços em Prop. Particular - Implem./Carreta Agrícola - Dívida Ativa</t>
  </si>
  <si>
    <t>Serviços em Prop. Particular - Implem./Escavadeira - Dívida Ativa</t>
  </si>
  <si>
    <t>Serviços em Prop. Particular - Retroescavadeira - Dívida Ativa - Multas e Juros</t>
  </si>
  <si>
    <t>Serviços em Prop. Particular - Trator/Discagem - Dívida Ativa - Multas e Juros</t>
  </si>
  <si>
    <t>Serviços em Prop. Particular - Trator/Escalificação - Dívida Ativa - Multas e Juros</t>
  </si>
  <si>
    <t>Serviços em Prop. Particular - Trator/Escreip - Dívida Ativa - Multas e Juros</t>
  </si>
  <si>
    <t>Serviços em Prop. Particular - Trator/Esteira - Dívida Ativa - Multas e Juros</t>
  </si>
  <si>
    <t>Serviços em Prop. Particular - Implem./Bat. de Cereais - Dívida Ativa - Multas e Juros</t>
  </si>
  <si>
    <t>Serviços em Prop. Particular - Implem./Carreta Agricola - Dívida Ativa - Multas e Juros</t>
  </si>
  <si>
    <t>Serviços em Prop. Particular - Implem./Distrib. de Esterco - Dívida Ativa - Multas e Juros</t>
  </si>
  <si>
    <t>Serviços em Prop. Particular - Implem./Distribuidor de Calcario - Dívida Ativa - Multas e Juros</t>
  </si>
  <si>
    <t>Serviços em Prop. Particular - Implem./Carreta Agrícola - Dívida Ativa - Multas e Juros</t>
  </si>
  <si>
    <t>Serviços em Prop. Particular - Implem./Screip - Dívida Ativa - Multas e Juros</t>
  </si>
  <si>
    <t>Serviços em Prop. Particular - Implem./Grades - Dívida Ativa - Multas e Juros</t>
  </si>
  <si>
    <t>Serviços em Prop. Particular - Implem./Escalificador - Dívida Ativa - Multas e Juros</t>
  </si>
  <si>
    <t>Serviços em Prop. Particular - Implem./Escavadeira - Dívida Ativa - Multas e Juros</t>
  </si>
  <si>
    <t>Serviços em Prop. Particular - Motoniveladora - Dívida Ativa - Multas e Juros</t>
  </si>
  <si>
    <t>Serviços em Prop. Particular - Carga de Cascalho - Dívida Ativa - Multas e Juros</t>
  </si>
  <si>
    <t>Serviços em Prop. Particular - Caminhão Basculante - Dívida Ativa - Multas e Juros</t>
  </si>
  <si>
    <t>Estimativa de valor do FPM - 2017 pelo coeficiente 0.6</t>
  </si>
  <si>
    <t>Estimativa de valor do FPM - 2017 cota extra de 1% - Dezembro</t>
  </si>
  <si>
    <t>Estimativa de valor do FPM - 2017 cota extra de 1% - Julho</t>
  </si>
  <si>
    <t>Média de arrecadação 2015 a 2017 - ITR</t>
  </si>
  <si>
    <t>Estimativa de Receita cota Parte CFM</t>
  </si>
  <si>
    <t>Média de arrecadação 2015 a 2017 - Fep</t>
  </si>
  <si>
    <t>População do Municipio conforme dados do IBGE</t>
  </si>
  <si>
    <t>Transferencias De Convenios- Fnas ACESSUAS</t>
  </si>
  <si>
    <t>Transferências P/B.P.S.B. -Bloco de Proteção Social Básica</t>
  </si>
  <si>
    <t>Transferências Bloco Proteção Esp. Med. Complexidade</t>
  </si>
  <si>
    <t>Transferências B.G.P.B.F. - Bloco Gestao Prog. Bolsa Familia</t>
  </si>
  <si>
    <t>Transferências do B.G.S. - Bloco de Gestão do  SUAS</t>
  </si>
  <si>
    <t xml:space="preserve">Estimativa de dias letivos </t>
  </si>
  <si>
    <t>Estimativa de valor da Quota do Salário Educação</t>
  </si>
  <si>
    <t>Estimativa de valor da Quota do Programa PNAE - ALIMENTACAO ESCOLAR - CRECHE</t>
  </si>
  <si>
    <t>Estimativa de valor da Quota do Programa PNAE - ALIMENTACAO ESCOLAR - EJA</t>
  </si>
  <si>
    <t>Estimativa de valor da Quota do Programa PNAE - ALIMENTACAO ESCOLAR - AEE</t>
  </si>
  <si>
    <t xml:space="preserve">Estimativa de valor da Quota do Programa PNAE - ALIMENTACÃO ESCOLAR - ENSINO FUNDAMENTAL  </t>
  </si>
  <si>
    <t>Estimativa de valor da Quota do Programa PNAE -ALIMENTACÃO ESCOLAR - PRÉ-ESCOLA</t>
  </si>
  <si>
    <t>Estimativa de valor da Quota do PNATE - TRANSPORTE ESCOLAR INFANTIL</t>
  </si>
  <si>
    <t>Estimativa de valor da Quota do PNATE - TRANSPORTE ESCOLAR FUNDAMENTAL</t>
  </si>
  <si>
    <t>Estimativa de valor da Quota do PNATE - TRANSPORTE ESCOLAR MEDIO</t>
  </si>
  <si>
    <t>Estimativa de Quantidade de parcelas do PNATE - PROGRAMA NACIONAL DE APOIO AO TRANSP DO ESCOLAR</t>
  </si>
  <si>
    <t>Estimativa de transferencias da Lei 87/96 valor bruto</t>
  </si>
  <si>
    <t>Estimativa de transferencias do Auxilio financeiro Esforço exportador - FEX</t>
  </si>
  <si>
    <t xml:space="preserve">Estimativa de Transferencias do Estado - ICMS </t>
  </si>
  <si>
    <t>Estimativa de Transferencias do Estado - IPVA</t>
  </si>
  <si>
    <t>Estimativa de taxa de Crescimento - IPVA</t>
  </si>
  <si>
    <t>Estimativa de Transferencias do Estado - IPI/EXP.</t>
  </si>
  <si>
    <t>Estimativa de Transferencias do Estado - CIDE</t>
  </si>
  <si>
    <t>Estimativa de Transferencias de Convenios do Estado - Transporte Escolar PEATE/RS</t>
  </si>
  <si>
    <t>Estimativa de Transferencias do Estado - Quota Multa de Transito</t>
  </si>
  <si>
    <t>Estimativa de Transferencias do Estado - Programa Integ. Trib. - PIT</t>
  </si>
  <si>
    <t>Estimativa de Transferencia Incentivo Resolução CIB 129/2013</t>
  </si>
  <si>
    <t>Estimativa de Transferencias do Estado - Assistencia Farmaceutica básica</t>
  </si>
  <si>
    <t>Estimativa de Transferencias do Estado - Vigilancia Epidemiologica</t>
  </si>
  <si>
    <t>Estimativa de Transferencias do Estado - Saude Mental</t>
  </si>
  <si>
    <t>Estimativa de Transferencias do Estado - Campanha de Vacinação</t>
  </si>
  <si>
    <t>Estimativa de Transferencias do Estado - Piso de Atenção Básica PIES</t>
  </si>
  <si>
    <t>Estimativa de Transferencias do Estado - Diabete Mellitus</t>
  </si>
  <si>
    <t>Estimativa de Transferencias do Estado - S.I.A.  Média Complexidade PIES</t>
  </si>
  <si>
    <t>Estimativa de Transferencias do Estado - Rede Cegonha</t>
  </si>
  <si>
    <t>Estimativa de Transferencias do Estado -  Saúde da Familia</t>
  </si>
  <si>
    <t>Estimativa de Transferencias do Estado - Prestador de Serviços Sus/Produção</t>
  </si>
  <si>
    <t>Estimativa de Receitas de Restituicoes Determinadas Pelo Tce - Principal</t>
  </si>
  <si>
    <t>Estimativa de Receitas de Multas E Juros Previstos Em Contrato  - Principal</t>
  </si>
  <si>
    <t>Estimativa de Receitas de Multas E Juros Previstos Em Contrato Divida Ativa  - Principal</t>
  </si>
  <si>
    <t xml:space="preserve">Restituições Determinadas pelo TCE - Principal </t>
  </si>
  <si>
    <t>Estimativa de Receitas de Programa Troca-troca  - Principal</t>
  </si>
  <si>
    <t>Estimativa de Receitas de Restituicao Pelo Pagamento Indevido  - Principal</t>
  </si>
  <si>
    <t>Estimativa de Receitas de Restituicoes Do Plano De Assistencia Medica Dos Servidores  - Principal</t>
  </si>
  <si>
    <t>Restituição Pelo Uso de Bens do Município - Multas e Juros</t>
  </si>
  <si>
    <t>Restituição Pelo Pagamento Indevido - Multas e Juros</t>
  </si>
  <si>
    <t>Restituições do Plano de Assistência Médica dos Servidores - Multas e Juros</t>
  </si>
  <si>
    <t>Restituições do Plano de Assistência Médica dos Servidores - Dívida Ativa</t>
  </si>
  <si>
    <t>Restituição Pelo Uso de Bens do Município - Dívida Ativa - Multas e Juros</t>
  </si>
  <si>
    <t>Restituições do Plano de Assistência Médica dos Servidores - Dívida Ativa - Multas e Juros</t>
  </si>
  <si>
    <t>Agrifest/Fefumo - Patrocinio</t>
  </si>
  <si>
    <t>Agrifest/Fefumo - Ingresso Festa</t>
  </si>
  <si>
    <t>Agrifest/Fefumo - Ingresso Baile Festa</t>
  </si>
  <si>
    <t xml:space="preserve">Soberanas - Ingresso Domingueira </t>
  </si>
  <si>
    <t>Agrifest/Fefumo - Ingresso Domingueira Festa</t>
  </si>
  <si>
    <t>Agrifest/Fefumo - Bebidas/Cozinha Festa</t>
  </si>
  <si>
    <t>Domingueira - Bebidas/Cozinha Soberanas</t>
  </si>
  <si>
    <t>Agrifest/Fefumo - Locações : Espaços, Copa, Cozinha e Outros</t>
  </si>
  <si>
    <t>Agrifest/Fefumo - Locações : Espaços P/Expositores</t>
  </si>
  <si>
    <t>Outras Receitas - Copa e Cozinha Semana Farroupilha</t>
  </si>
  <si>
    <t>Outras Receitas - Eventos GCN Uniao dos Pagos</t>
  </si>
  <si>
    <t>Estimativa de Operaçção de Crédito P/Educação</t>
  </si>
  <si>
    <t>Estimativa de Operaçção de Crédito P/Modernização Administrativa</t>
  </si>
  <si>
    <t>Estimativa de alienação de Moveis e Utensilios</t>
  </si>
  <si>
    <t>Estimativa de alienação de Equipamentos</t>
  </si>
  <si>
    <t>Estimativa de Alienacao de Sucatas e Materiais Diversos</t>
  </si>
  <si>
    <t>Transferências MDAS Proposta nº 067294/2017 P/Aquisição Veículo Van Assit. Social</t>
  </si>
  <si>
    <t>Estimativa de receita - Dedução do IPTU</t>
  </si>
  <si>
    <t>Estimativa de receita - Dedução do ITBI</t>
  </si>
  <si>
    <t>VALOR ESTIMADO PARA ARREDONDAMENTO</t>
  </si>
  <si>
    <t>Previsão de Estimativas de Receita</t>
  </si>
  <si>
    <t>VALOR</t>
  </si>
  <si>
    <t>TOTAL</t>
  </si>
  <si>
    <t>RECEITAS DE ORIGEM</t>
  </si>
  <si>
    <t>LEI 87/96</t>
  </si>
  <si>
    <t>IPI/EXP</t>
  </si>
  <si>
    <t>ITCMD BASE ARRECADADO EM 2012</t>
  </si>
  <si>
    <t>DEDUCAO RECEITAS</t>
  </si>
  <si>
    <t>APURAÇÃO DO RESULTADO</t>
  </si>
  <si>
    <t>SE+=GANHO SE-=PERDA</t>
  </si>
  <si>
    <t>IRRF sobre Rendim. do Trabalho - Principal - Ativos/Inativos do Poder Legislativo</t>
  </si>
  <si>
    <t>Média de Arrecadação - IRRF S/Folha Pagamento Poder Executivo</t>
  </si>
  <si>
    <t xml:space="preserve">Média de Arrecadação - IRRF S/Serv. Poder Executivo  </t>
  </si>
  <si>
    <t xml:space="preserve">Média de Arrecadação - IRRF S/Serv. Poder Legislativo </t>
  </si>
  <si>
    <t>Média de Arrecadação - IPTU</t>
  </si>
  <si>
    <t>Média de Arrecadação - IRRF S/Folha Pagamento Poder Legislativo</t>
  </si>
  <si>
    <t>Média de Arrecadação - IPTU Multa e Juros</t>
  </si>
  <si>
    <t>Média de Arrecadação - IPTU Divida Ativa</t>
  </si>
  <si>
    <t>Imposto Sobre A Propriedade Predial E Territorial Urbana - Divida Ativa Multa e Juros</t>
  </si>
  <si>
    <t>Imposto Sobre A Propriedade Predial E Territorial Urbana - Divida Ativa</t>
  </si>
  <si>
    <t>Imposto Sobre A Propriedade Predial E Territorial Urbana - Multas e Juros</t>
  </si>
  <si>
    <t>Média de Arrecadação - IPTU Divida Ativa Multa e Juros</t>
  </si>
  <si>
    <t xml:space="preserve">Imposto Sobre Transmissao  Inter Vivos  De Bens Imoveis E De Direitos - Divida Ativa Multa e Juros </t>
  </si>
  <si>
    <t>Média de Arrecadação - ITBI</t>
  </si>
  <si>
    <t>Média de Arrecadação - ITBI Multa e Juros</t>
  </si>
  <si>
    <t>Média de Arrecadação - ITBI Divida Ativa</t>
  </si>
  <si>
    <t>Média de Arrecadação - ITBI Divida Ativa Multa e Juros</t>
  </si>
  <si>
    <t>Média de Arrecadação - ISS</t>
  </si>
  <si>
    <t>Média de Arrecadação - ISS Multa e Juros</t>
  </si>
  <si>
    <t>Média de Arrecadação - ISS Divida Ativa</t>
  </si>
  <si>
    <t>Média de Arrecadação - ISS Divida Ativa Multa e Juros</t>
  </si>
  <si>
    <t>Estimativa de  Arrecadação de Taxa de Fiscalização de Vilancia Sanitária - Principal</t>
  </si>
  <si>
    <t>Estimativa de  Arrecadação de Taxa De Licenca Para Funcion. de Estabelec. Comerciais,  Industriais e Prestadora De Serviços - Principal</t>
  </si>
  <si>
    <t>Estimativa de  Arrecadação de Taxa De Apreensao e Deposito - Principal</t>
  </si>
  <si>
    <t>Estimativa de  Arrecadação de Taxa De Funcionamento De Estabelecimentos Em Horario Especial - Principal</t>
  </si>
  <si>
    <t>Estimativa de  Arrecadação de Taxa De Licenca P/ Execucao De Obras - Principal</t>
  </si>
  <si>
    <t>Taxa - Utilizacao de Area de Dominio Publico - Principal</t>
  </si>
  <si>
    <t>Estimativa de  Arrecadação de Taxa De Autorizacao de Funcionamento De Transporte - Principal</t>
  </si>
  <si>
    <t>Estimativa de  Arrecadação de Taxa De Utilizacao De Area de Dominio Publico - Principal</t>
  </si>
  <si>
    <t>Estimativa de  Arrecadação de Taxa De Aprovacao Do Projeto De Construcao Civil - Principal</t>
  </si>
  <si>
    <t>Estimativa de  Arrecadação de Taxa de Fiscalização de Vilancia Sanitária - Multa e Juros</t>
  </si>
  <si>
    <t>Estimativa de  Arrecadação de Taxa De Licenca Para Funcion. de Estabelec. Comerciais,  Industriais e Prestadora De Serviços - Multa e Juros</t>
  </si>
  <si>
    <t>Estimativa de  Arrecadação de Taxa De Apreensao e Deposito - Multa e Juros</t>
  </si>
  <si>
    <t>Estimativa de  Arrecadação de Taxa De Funcionamento De Estabelecimentos Em Horario Especial - Multa e Juros</t>
  </si>
  <si>
    <t>Estimativa de  Arrecadação de Taxa De Licenca P/ Execucao De Obras - Multa e Juros</t>
  </si>
  <si>
    <t>Estimativa de  Arrecadação de Taxa De Autorizacao de Funcionamento De Transporte - Multa e Juros</t>
  </si>
  <si>
    <t>Estimativa de  Arrecadação de Taxa De Utilizacao De Area de Dominio Publico - Multa e Juros</t>
  </si>
  <si>
    <t>Estimativa de  Arrecadação de Taxa De Aprovacao Do Projeto De Construcao Civil - Multa e Juros</t>
  </si>
  <si>
    <t>Estimativa de  Arrecadação de Taxa de Fiscalização de Vilancia Sanitária - Dívida Ativa</t>
  </si>
  <si>
    <t>Estimativa de  Arrecadação de Taxa De Licenca Para Funcion. de Estabelec. Comerciais,  Industriais e Prestadora De Serviços - Dívida Ativa</t>
  </si>
  <si>
    <t>Estimativa de  Arrecadação de Taxa De Apreensao e Deposito - Dívida Ativa</t>
  </si>
  <si>
    <t>Estimativa de  Arrecadação de Taxa De Funcionamento De Estabelecimentos Em Horario Especial - Dívida Ativa</t>
  </si>
  <si>
    <t>Estimativa de  Arrecadação de Taxa De Licenca P/ Execucao De Obras - Dívida Ativa</t>
  </si>
  <si>
    <t>Estimativa de  Arrecadação de Taxa De Autorizacao de Funcionamento De Transporte - Dívida Ativa</t>
  </si>
  <si>
    <t>Estimativa de  Arrecadação de Taxa De Utilizacao De Area de Dominio Publico - Dívida Ativa</t>
  </si>
  <si>
    <t>Estimativa de  Arrecadação de Taxa De Aprovacao Do Projeto De Construcao Civil - Dívida Ativa</t>
  </si>
  <si>
    <t>Estimativa de  Arrecadação de Taxa de Fiscalização de Vilancia Sanitária - Dívida Ativa Multa e Juros</t>
  </si>
  <si>
    <t>Estimativa de  Arrecadação de Taxa De Licenca Para Funcion. de Estabelec. Comerciais,  Industriais e Prestadora De Serviços - Dívida Ativa Multa e Juros</t>
  </si>
  <si>
    <t>Estimativa de  Arrecadação de Taxa De Apreensao e Deposito - Dívida Ativa Multa e Juros</t>
  </si>
  <si>
    <t>Estimativa de  Arrecadação de Taxa De Funcionamento De Estabelecimentos Em Horario Especial - Dívida Ativa Multa e Juros</t>
  </si>
  <si>
    <t>Estimativa de  Arrecadação de Taxa De Licenca P/ Execucao De Obras - Dívida Ativa Multa e Juros</t>
  </si>
  <si>
    <t>Estimativa de  Arrecadação de Taxa De Autorizacao de Funcionamento De Transporte - Dívida Ativa Multa e Juros</t>
  </si>
  <si>
    <t>Estimativa de  Arrecadação de Taxa De Utilizacao De Area de Dominio Publico - Dívida Ativa Multa e Juros</t>
  </si>
  <si>
    <t>Estimativa de  Arrecadação de Taxa De Aprovacao Do Projeto De Construcao Civil - Dívida Ativa Multa e Juros</t>
  </si>
  <si>
    <t>Estimativa de  Arrecadação de Taxa De Controle E Fiscalizacao Ambiental - Principal</t>
  </si>
  <si>
    <t>Estimativa de  Arrecadação de Controle E Fiscalizacao Ambiental - Multa e Juros</t>
  </si>
  <si>
    <t>Estimativa de  Arrecadação de Taxa De Controle E Fiscalizacao Ambiental - Div. Ativa</t>
  </si>
  <si>
    <t>Estimativa de  Arrecadação de  Taxa De Controle E Fiscalizacao Ambiental - Div. Ativa Multa e Juros</t>
  </si>
  <si>
    <t>Estimativa de Arrecadação de Emolumentos e Custas Processuais Administrativas  - Principal</t>
  </si>
  <si>
    <t>Estimativa de Arrecadação de Taxas de Serviços Cadastrais  - Principal</t>
  </si>
  <si>
    <t>Estimativa de Arrecadação de Taxas de Coleta de Lixo  - Principal</t>
  </si>
  <si>
    <t>Estimativa de Arrecadação de Taxa de Expediente  Serviços, Certidões e Outros - Principal</t>
  </si>
  <si>
    <t>Estimativa de Arrecadação de Taxa de Inscrição de Outros Eventos Esportivos - Principal</t>
  </si>
  <si>
    <t>Estimativa de Arrecadação de Taxa de Inscrição de Seminários de Educação  - Principal</t>
  </si>
  <si>
    <t>Estimativa de Arrecadação de Taxa de Inscrição de Campeonato Intercolonial de Fudebol Sete - Principal</t>
  </si>
  <si>
    <t>Estimativa de Arrecadação de Taxa de Inscrição de Campeonato Futebol de Campo - Principal</t>
  </si>
  <si>
    <t>Estimativa de Arrecadação de Taxa de Inscrição de Campeonato Praiano - Principal</t>
  </si>
  <si>
    <t>Estimativa de Arrecadação de Taxa de Inscrição de Campeonato Municipal Futsal - Principal</t>
  </si>
  <si>
    <t>Estimativa de Arrecadação de Taxa de Manutenção do Centro de Eventos - Principal</t>
  </si>
  <si>
    <t>Estimativa de Arrecadação de Emolumentos e Custas Processuais Administrativas  - Multa e Juros</t>
  </si>
  <si>
    <t>Estimativa de Arrecadação de Taxas de Serviços Cadastrais  - Multa e Juros</t>
  </si>
  <si>
    <t>Estimativa de Arrecadação de Taxas de Coleta de Lixo  - Multa e Juros</t>
  </si>
  <si>
    <t>Estimativa de Arrecadação de Taxa de Expediente  Serviços, Certidões e Outros - Multa e Juros</t>
  </si>
  <si>
    <t>Estimativa de Arrecadação de Taxa de Inscrição de Outros Eventos Esportivos - Multa e Juros</t>
  </si>
  <si>
    <t>Estimativa de Arrecadação de Taxa de Inscrição de Seminários de Educação  - Multa e Juros</t>
  </si>
  <si>
    <t>Estimativa de Arrecadação de Taxa de Inscrição de Campeonato Intercolonial de Fudebol Sete - Multa e Juros</t>
  </si>
  <si>
    <t>Estimativa de Arrecadação de Taxa de Inscrição de Campeonato Futebol de Campo - Multa e Juros</t>
  </si>
  <si>
    <t>Estimativa de Arrecadação de Taxa de Inscrição de Campeonato Praiano - Multa e Juros</t>
  </si>
  <si>
    <t>Estimativa de Arrecadação de Taxa de Inscrição de Campeonato Municipal Futsal - Multa e Juros</t>
  </si>
  <si>
    <t>Estimativa de Arrecadação de Taxa de Manutenção do Centro de Eventos - Multa e Juros</t>
  </si>
  <si>
    <t>Estimativa de Arrecadação de Taxa de Manutenção do Centro de Eventos - Dívida Ativa</t>
  </si>
  <si>
    <t>Estimativa de Arrecadação de Emolumentos e Custas Processuais Administrativas  - Dívida Ativa</t>
  </si>
  <si>
    <t>Estimativa de Arrecadação de Taxas de Serviços Cadastrais  - Dívida Ativa</t>
  </si>
  <si>
    <t>Estimativa de Arrecadação de Taxas de Coleta de Lixo  - Dívida Ativa</t>
  </si>
  <si>
    <t>Estimativa de Arrecadação de Taxa de Expediente  Serviços, Certidões e Outros - Dívida Ativa</t>
  </si>
  <si>
    <t>Estimativa de Arrecadação de Taxa de Inscrição de Outros Eventos Esportivos - Dívida Ativa</t>
  </si>
  <si>
    <t>Estimativa de Arrecadação de Taxa de Inscrição de Seminários de Educação  - Dívida Ativa</t>
  </si>
  <si>
    <t>Estimativa de Arrecadação de Taxa de Inscrição de Campeonato Intercolonial de Fudebol Sete - Dívida Ativa</t>
  </si>
  <si>
    <t>Estimativa de Arrecadação de Taxa de Inscrição de Campeonato Futebol de Campo - Dívida Ativa</t>
  </si>
  <si>
    <t>Estimativa de Arrecadação de Taxa de Inscrição de Campeonato Praiano - Dívida Ativa</t>
  </si>
  <si>
    <t>Estimativa de Arrecadação de Taxa de Inscrição de Campeonato Municipal Futsal - Dívida Ativa</t>
  </si>
  <si>
    <t>Estimativa de Arrecadação de Emolumentos e Custas Processuais Administrativas  - Dívida Ativa Multa e Juros</t>
  </si>
  <si>
    <t>Estimativa de Arrecadação de Taxas de Serviços Cadastrais  - Dívida Ativa Multa e Juros</t>
  </si>
  <si>
    <t>Estimativa de Arrecadação de Taxas de Coleta de Lixo  - Dívida Ativa Multa e Juros</t>
  </si>
  <si>
    <t>Estimativa de Arrecadação de Taxa de Expediente  Serviços, Certidões e Outros - Dívida Ativa Multa e Juros</t>
  </si>
  <si>
    <t>Estimativa de Arrecadação de Taxa de Inscrição de Outros Eventos Esportivos - Dívida Ativa Multa e Juros</t>
  </si>
  <si>
    <t>Estimativa de Arrecadação de Taxa de Inscrição de Seminários de Educação  - Dívida Ativa Multa e Juros</t>
  </si>
  <si>
    <t>Estimativa de Arrecadação de Taxa de Inscrição de Campeonato Intercolonial de Fudebol Sete - Dívida Ativa Multa e Juros</t>
  </si>
  <si>
    <t>Estimativa de Arrecadação de Taxa de Inscrição de Campeonato Futebol de Campo - Dívida Ativa Multa e Juros</t>
  </si>
  <si>
    <t>Estimativa de Arrecadação de Taxa de Inscrição de Campeonato Praiano - Dívida Ativa Multa e Juros</t>
  </si>
  <si>
    <t>Estimativa de Arrecadação de Taxa de Inscrição de Campeonato Municipal Futsal - Dívida Ativa Multa e Juros</t>
  </si>
  <si>
    <t>Estimativa de Arrecadação de Taxa de Manutenção do Centro de Eventos - Dívida Ativa Multa e Juros</t>
  </si>
  <si>
    <t>Estimativa de Remun. de Depósitos Banc. - PAB FIXO</t>
  </si>
  <si>
    <t>Estimativa de Remun. de Depósitos Banc. -  Assist. Farm. Básica União</t>
  </si>
  <si>
    <t>Estimativa de Remun. de Depósitos Banc. -  Vig. Sanitária</t>
  </si>
  <si>
    <t>Estimativa de Remun. de Depósitos Banc. -  Vig. Epidemiológica</t>
  </si>
  <si>
    <t>Estimativa de Remun. de Depósitos Banc. -  Assist. Farm. Básica Estado</t>
  </si>
  <si>
    <t>Estimativa de Remun. de Depósitos Banc. -  Diabete Melitus</t>
  </si>
  <si>
    <t>Estimativa de Remun. de Depósitos Banc. -  Pies</t>
  </si>
  <si>
    <t>Estimativa de Remun. de Depósitos Banc. -  Saúde Mental</t>
  </si>
  <si>
    <t>Estimativa de Remun. de  Depósitos Banc. -  Saúde da Família</t>
  </si>
  <si>
    <t>Estimativa de Remun. de Depósitos Banc. -  B.P.S.B. Bloco Assist. Social Básica</t>
  </si>
  <si>
    <t>Estimativa de Remun. de Depósitos Banc. -  B.P.E.M.C. Bloco Proteção Esp. Med. Complex.</t>
  </si>
  <si>
    <t>Estimativa de Remun. de Depósitos Banc. - B.G.P.B.F.- Bloc. Gest. Prog. Bolsa Familia</t>
  </si>
  <si>
    <t>Estimativa de Remun. de Depósitos Banc. - B.G.S. - Bloco de Gestão do SUAS</t>
  </si>
  <si>
    <t>Estimativa de Remun. de Depósitos Banc. - ACESSUAS</t>
  </si>
  <si>
    <t>Estimativa de Remun. de Depósitos Banc. - Q.S.E.</t>
  </si>
  <si>
    <t>Estimativa de Remun. de Depósitos Banc. - P.N.A.E.</t>
  </si>
  <si>
    <t>Estimativa de Remun. de Depósitos Banc. - P.N.A.T.E.</t>
  </si>
  <si>
    <t>Estimativa de Remun. de Depósitos Banc. - MEC FNDE BRASIL CARINHOSO</t>
  </si>
  <si>
    <t>Estimativa de Remun. de Depositos Banc. - Transf. MP 815/2017</t>
  </si>
  <si>
    <t>Estimativa de Remun. de Depósitos Banc. - P.D.D.E.</t>
  </si>
  <si>
    <t>Estimativa de Remun. de Depósitos Banc. - P.E.A.T.E./RS</t>
  </si>
  <si>
    <t>Estimativa de Remun. de Depósitos Banc. - F.E.P.E.</t>
  </si>
  <si>
    <t>Estimativa de Remun. de Depósitos Banc. - F.M.C.A.</t>
  </si>
  <si>
    <t>Estimativa de Remun. de Depósitos Banc. - FEAS</t>
  </si>
  <si>
    <t>Estimativa de Remun. de Depósitos Banc. -  Transf. Estado P/Aquis. Insumos Agric.</t>
  </si>
  <si>
    <t>Estimativa de Remun. de Depósitos Banc. -  Transf. Estado P/FECA</t>
  </si>
  <si>
    <t>Estimativa de Remun. de Depósitos  Banc. - MDE - Principal</t>
  </si>
  <si>
    <t>Estimativa de Remun. de Depósitos  Banc. - ASPS - Principal</t>
  </si>
  <si>
    <t>Estimativa de Remun. de Depósitos  Banc. - CIDE - Principal</t>
  </si>
  <si>
    <t>Estimativa de  Arrecadação de Remun. Depósitos Banc. - Poder Executivo</t>
  </si>
  <si>
    <t>Estimativa de  Arrecadação de Titulos de Responsabilidade do Governo Federal - TDA</t>
  </si>
  <si>
    <t>Estimativa de  Arrecadação de Vistorias de Veiculos - Principal</t>
  </si>
  <si>
    <t>Estimativa de  Arrecadação de Fotocopias E/ou Copias Heliograficas - Principal</t>
  </si>
  <si>
    <t>Estimativa de  Arrecadação de Vistorias de Veiculos - Multa e Juros</t>
  </si>
  <si>
    <t>Estimativa de  Arrecadação de Vistorias de Veiculos - Divida Ativa</t>
  </si>
  <si>
    <t>Estimativa de  Arrecadação de Fotocopias E/ou Copias Heliograficas -  Divida Ativa</t>
  </si>
  <si>
    <t xml:space="preserve">Estimativa de  Arrecadação de Vistorias de Veiculos - Divida Ativa Multa e Juros </t>
  </si>
  <si>
    <t xml:space="preserve">Estimativa de  Arrecadação de Fotocopias E/ou Copias Heliograficas - Divida Ativa Multa e Juros </t>
  </si>
  <si>
    <t>Estimativa de Serviços em Prop. Particular - Implem./Escavadeira - Multas e Juros</t>
  </si>
  <si>
    <t>Transferencias do SUS - Bloco de Custeio da Atenção Básica</t>
  </si>
  <si>
    <t>Transferencias do SUS - Bloco de Custeio da Vigilância Sanitária</t>
  </si>
  <si>
    <t>Transferencias do SUS - Bloco de Custeio da Assistência Farmaceutica Básica</t>
  </si>
  <si>
    <t>Transferencias do SUS - Bloco de Custeio do Cadastro SUS</t>
  </si>
  <si>
    <t>Transferencias do SUS -  Bloco de Custeio da Atenção de média e alta complexidade</t>
  </si>
  <si>
    <t>4504 - Custeio Gestão do SUS</t>
  </si>
  <si>
    <t>0001 - Livre</t>
  </si>
  <si>
    <t>4500 - Custeio da Atenção Básica</t>
  </si>
  <si>
    <t xml:space="preserve">4503 - Custeio da Assistência Farmacêutica </t>
  </si>
  <si>
    <t>4501 - Custeio da Atenção de média e alta complexidade</t>
  </si>
  <si>
    <t>4502 - Custeio da Vigilância em Saúde</t>
  </si>
  <si>
    <t>4090 - PSF</t>
  </si>
  <si>
    <t>1048 - CIDE</t>
  </si>
  <si>
    <t>1161  - B.P.S.B. - BLOCO PROTEÇÃO SOCIAL BÁSICA</t>
  </si>
  <si>
    <t>0040 - Ações e Serviços Públicos de Saúde - ASPS</t>
  </si>
  <si>
    <t>1162 - B.P.S.E.M.C.- BLOC.PROT. ESP. MED. COMPL.</t>
  </si>
  <si>
    <t>1163 - B.G.P.B.F. - BLOC GEST. PROG. BOLSA FAM.</t>
  </si>
  <si>
    <t>1164 - B.G.S. - BLOCO DE GESTÃO DO SUAS</t>
  </si>
  <si>
    <t>1149 - ACESSUASTRALHO</t>
  </si>
  <si>
    <t>1011 - Q.S.E. - Quota Salário Educação</t>
  </si>
  <si>
    <t>1009 - P.N.A.E. - Prog. Nac. de Alim. Escolar</t>
  </si>
  <si>
    <t>1049 - P.N.A.T.E.- Prog. Nac. Apoio Transp. Esc.</t>
  </si>
  <si>
    <t>1170 - MEC FNDE - PROGRAMA BRASIL CARINHOSO</t>
  </si>
  <si>
    <t>1172 - TRANSFERENCIAS MP 815/2017</t>
  </si>
  <si>
    <t>1008 - PDDE - Prog. Dinheiro Direto na Escola</t>
  </si>
  <si>
    <t>1013 - PEATE/RS - Prog. Est. Apoio Transp. Esc.</t>
  </si>
  <si>
    <t>1171 - TRANSF. ESTADO P/AQUIS. INSUMOS AGRIC.</t>
  </si>
  <si>
    <t>1173 - TRANSF. P/FECA</t>
  </si>
  <si>
    <t>1099 - TRANSFERENCIAS DO FEAS</t>
  </si>
  <si>
    <t>4230 - Apoio a Rede Hospitalar</t>
  </si>
  <si>
    <t>4050 - Farmacia Básica</t>
  </si>
  <si>
    <t>4011 - Atenção Básica</t>
  </si>
  <si>
    <t>4190 - Vigilância em Saúde</t>
  </si>
  <si>
    <t>4190 - Vigilância Sanitária</t>
  </si>
  <si>
    <t>1157 - CONVÊNIOS MDA</t>
  </si>
  <si>
    <t>1165 - TRANSFERÊNCIAS DO MAPA</t>
  </si>
  <si>
    <t>1166 - TRANSFERÊNCIAS MIN</t>
  </si>
  <si>
    <t>1167 - TRANSFERÊNCIAS MDAS</t>
  </si>
  <si>
    <t>4512 - Investimento - Outras Transferências</t>
  </si>
  <si>
    <t>1168 - TRANSF. DO MIN. JUSTIÇA</t>
  </si>
  <si>
    <t>1169 - TRANSF. DA  CONSULTA POPULAR 2017/2018</t>
  </si>
  <si>
    <t>1053 - CCFGS</t>
  </si>
  <si>
    <t>1076 - CONST. DE COB. DE QUAD. POLIESP.</t>
  </si>
  <si>
    <t>4294 - Construções ou Ampliações</t>
  </si>
  <si>
    <t>1127 - MIN. SAUDE - SANEAMENTO</t>
  </si>
  <si>
    <t>1156 - CONVÊNIOS MAPA</t>
  </si>
  <si>
    <t>0031 - FUNDEB - Fundo Nac. Desenv. Educ. Básica</t>
  </si>
  <si>
    <t>0020 - MDE - Manutencao e Desenv. do Ensino</t>
  </si>
  <si>
    <t>TOTAL GERAL</t>
  </si>
  <si>
    <t>(-) Deduções da Receita de Capital</t>
  </si>
  <si>
    <t>Transferências do PNAE - Principal,</t>
  </si>
  <si>
    <t>Remun. de Depósitos Bancarios - Receitas de Capital</t>
  </si>
  <si>
    <t xml:space="preserve">Crescimento do PIB  RS ( Variação Anual)  base </t>
  </si>
  <si>
    <t>ETAPAS</t>
  </si>
  <si>
    <t>Peso por Etapa</t>
  </si>
  <si>
    <t>Portaria nº 10/2017 2018- R$</t>
  </si>
  <si>
    <t>Matriculas</t>
  </si>
  <si>
    <t>Creche Tempo integral</t>
  </si>
  <si>
    <t>Creche Tempo parcial</t>
  </si>
  <si>
    <t>Creche Conveniada integral</t>
  </si>
  <si>
    <t>Creche Conveniada parcial</t>
  </si>
  <si>
    <t>Pré-Escola Tempo Integral e Conveniada</t>
  </si>
  <si>
    <t>Pré-Escola Tempo Parcial e Conveniada</t>
  </si>
  <si>
    <t>Séries Iniciais Fundamental Urbano</t>
  </si>
  <si>
    <t>Séries Iniciais Fundamental Rural</t>
  </si>
  <si>
    <t>Séries Finais Fundamental Urbano</t>
  </si>
  <si>
    <t>Séries Finais Fundamental Rural</t>
  </si>
  <si>
    <t>Ensino Fundamental Tempo Integral</t>
  </si>
  <si>
    <t>Ensino Médio Urbano</t>
  </si>
  <si>
    <t>Ensino Médio Rural</t>
  </si>
  <si>
    <t>Ensino Médio Tempo Integral</t>
  </si>
  <si>
    <t>Ensino Médio integrado à Ed. Profissional</t>
  </si>
  <si>
    <t>Educação especial</t>
  </si>
  <si>
    <t>Educação Indígena e quilombola</t>
  </si>
  <si>
    <t>EJA com avaliação no processo</t>
  </si>
  <si>
    <t>EJA integrada a educação profissional de nível médio, com avaliação no processo</t>
  </si>
  <si>
    <t>Valor Projetado</t>
  </si>
  <si>
    <t>% DE DISTRIBUIÇÃO P/RETORNO</t>
  </si>
  <si>
    <t>Estimativa de valor Programa Dinheiro Direto na Escola</t>
  </si>
  <si>
    <t>Valor por Etapa</t>
  </si>
  <si>
    <t>Valor Projetado Anual</t>
  </si>
  <si>
    <t>Valor Projetado Diário</t>
  </si>
  <si>
    <t>Estimativa de Transferencias Programa Brasil Carinhoso Apoio a Creches</t>
  </si>
  <si>
    <t>Estimativa de Transferencias MP 815/2017</t>
  </si>
  <si>
    <t>INDICE CIDE</t>
  </si>
  <si>
    <t>INDICE</t>
  </si>
  <si>
    <t>Estimativa de Transferencias do FECA</t>
  </si>
  <si>
    <t>Estimativa de Transferencias do FEAS</t>
  </si>
  <si>
    <t>Estimativa de Transferencias Estado para Aquisição de Insumos</t>
  </si>
  <si>
    <t>Estimativa de Transferencias do FUNDEB</t>
  </si>
  <si>
    <t>Outras Receitas  de Copa e Cozinha Campeonato Futebol de Campo</t>
  </si>
  <si>
    <t>Outras Receitas  de Eventos Assistencia Social</t>
  </si>
  <si>
    <t>Outras Receitas  de  Sementes e Mudas</t>
  </si>
  <si>
    <t>Transferências FNS 2019</t>
  </si>
  <si>
    <t>Estimativa de receita -  Dedução do ISS</t>
  </si>
  <si>
    <t>Receita Efetivamente Arrecadada no Exercício Anterior</t>
  </si>
  <si>
    <r>
      <t>S O M A  ---------------------------------------</t>
    </r>
    <r>
      <rPr>
        <b/>
        <sz val="9"/>
        <color indexed="8"/>
        <rFont val="Wingdings"/>
        <charset val="2"/>
      </rPr>
      <t>à</t>
    </r>
  </si>
  <si>
    <t>Estimativa do Limite Máximo de Gastos do Legislativo</t>
  </si>
  <si>
    <t>Valor previsto para a Receita Efetivamente Arrecadada no Exercício Anterior</t>
  </si>
  <si>
    <t>População do Município</t>
  </si>
  <si>
    <t>Limite Máximo Permitido Cfe  Art. 29-A da Constituição Federal  %S/ R R E A</t>
  </si>
  <si>
    <t>DUODÉCIMO</t>
  </si>
  <si>
    <t xml:space="preserve">RECEITA REALIZADA </t>
  </si>
  <si>
    <t>PROJETADA</t>
  </si>
  <si>
    <t>MANUAL:</t>
  </si>
  <si>
    <t>CATC – Demonstrativo de Calculo do Crescimento Médio da Arrecadação  de Transferências Constitucionais;</t>
  </si>
  <si>
    <t>CMA - Demonstrativo de Cálculo de Crescimento Médio da Arrecadação;</t>
  </si>
  <si>
    <t>CRC - Demonstrativo de Cálculo da Arrecadação de  Receitas de Capital;</t>
  </si>
  <si>
    <t>CARP - Demonstrativo de Cálculo da  Arrecadação das Receitas  Próprias;</t>
  </si>
  <si>
    <t>PUER - Parâmentos Utilizados nas Estimativas das Receitas;</t>
  </si>
  <si>
    <t>FUNDEB - QUADRO DE RETORNO FUNDEB;</t>
  </si>
  <si>
    <t>PNAE - DEMONSTRATIVO CALCULO RECEITA PNAE 2019;</t>
  </si>
  <si>
    <t>ER - DEMONSTRATIVO DA ESTIMATIVA DA RECEITA;</t>
  </si>
  <si>
    <t>CIG – CADASTRO GERAL DE INFORMAÇÕES;</t>
  </si>
  <si>
    <t>RV - RECURSOS VINCULADOS</t>
  </si>
  <si>
    <t>Descrição</t>
  </si>
  <si>
    <t>Re.SICONFI</t>
  </si>
  <si>
    <t>RECURSO LIVRE</t>
  </si>
  <si>
    <t>RECURSO REFERENTE A 25% CONFORME ARTIGO 212 DA C.F.</t>
  </si>
  <si>
    <t>FUNDEF</t>
  </si>
  <si>
    <t>REGISTRA RECURSOS DO FUNDEF</t>
  </si>
  <si>
    <t>FUNDEB - FUNDO NAC. DESENV. EDUC. BÁSICA</t>
  </si>
  <si>
    <t>ESTE TEM POR OBJETIVO REGISTRAR AS RECEITAS E DESPESAS DO RECUROS DO FUNDEB</t>
  </si>
  <si>
    <t>AÇÕES E SERV. PÚBLICOS DE SAÚDE - ASPS</t>
  </si>
  <si>
    <t>REGISTRIA AS RECEITAS E DESPESAS COM SAÚDE.</t>
  </si>
  <si>
    <t>SERVIÇOS EM PROP. PARTICULARES</t>
  </si>
  <si>
    <t>registra os valores da arrecadação em propriedades particulares</t>
  </si>
  <si>
    <t>SERVIÇOS DE MÁQUINAS</t>
  </si>
  <si>
    <t>Registra a Receita de Serviços de Máquinas.</t>
  </si>
  <si>
    <t>SERVIÇOS DE COMUNICAÇÃO</t>
  </si>
  <si>
    <t>Registra a arrecadação de Serviços de Comunicação gerada pelas centrais telefonicas no interior do municipio.</t>
  </si>
  <si>
    <t>PSF</t>
  </si>
  <si>
    <t>Registra os Recursos do Programa Saúde da Família.</t>
  </si>
  <si>
    <t>PACS</t>
  </si>
  <si>
    <t>Registra os Recursos do Programa Agentes Comunitários de Saúde</t>
  </si>
  <si>
    <t>PAB FIXO</t>
  </si>
  <si>
    <t>Registra os Recursos do Piso de Atenção Básica</t>
  </si>
  <si>
    <t>PAB VARIÁVEL</t>
  </si>
  <si>
    <t>REGISTRA OS RECURSOS DO PISO DE ATENÇÃO BÁSICO VARIÁVEL COMO : EPIDEMIOLOGIA, VIGILANCIA SANITÁRIA, FARMACIA BASICA.</t>
  </si>
  <si>
    <t>PDDE - PROG. DINHEIRO DIRETO NA ESCOLA</t>
  </si>
  <si>
    <t>Registra os Recursos do Programa Dinheiro Direto na Escola</t>
  </si>
  <si>
    <t>P.N.A.E. - PROG. NAC. DE ALIM. ESCOLAR</t>
  </si>
  <si>
    <t>REGSITRA AS RECEITAS E DESPESAS RECURSO PNAE</t>
  </si>
  <si>
    <t>RECURSOS DIV. SAÚDE</t>
  </si>
  <si>
    <t>Registra Recursos diversos para saúde</t>
  </si>
  <si>
    <t>Q.S.E. - QUOTA SALÁRIO EDUCAÇÃO</t>
  </si>
  <si>
    <t>registra os recursos do salário educação</t>
  </si>
  <si>
    <t>RECURSOS COREDE</t>
  </si>
  <si>
    <t>REGISTRA OS RECURSOS RECEBIDOS ATRAVES DO COREDE CENTRO-SUL</t>
  </si>
  <si>
    <t>PEATE/RS - PROG. EST. APOIO TRANSP. ESC.</t>
  </si>
  <si>
    <t>RESGISTRA OS RECURSOS DO TRANSPORTE ESCOLAR DO ESTADO PARA ENSINO FUNDAMENTAL E MEDIO.</t>
  </si>
  <si>
    <t>MUNICIPALIÇÃO SOLIDARIA</t>
  </si>
  <si>
    <t>REGISTRA AS DESPESAS E RECEITAS DO RECURSO MUN. SOLIDARIA</t>
  </si>
  <si>
    <t>CAMPANHA DE VACINAÇÃO</t>
  </si>
  <si>
    <t>REGISTRA OS RECURSOS PARA CAMPANHA DE VACINAÇÃO</t>
  </si>
  <si>
    <t>PROG. SAÚDE MENTAL</t>
  </si>
  <si>
    <t>REGISTRA OS RECURSOS DO PROGRAMA SAÚDE MENTAL</t>
  </si>
  <si>
    <t>PROG. SAÚDE BUCAL</t>
  </si>
  <si>
    <t>REGISTRA OS RECURSOS DO PROGRAMA SAÚDE BUCAL</t>
  </si>
  <si>
    <t>F.M.A.S.</t>
  </si>
  <si>
    <t>REGISTRA OS RECURSOS PARA O FUNDO MUNICIPAL DE ASSISTENCIA SOCIAL</t>
  </si>
  <si>
    <t>REGISTRA OS RECURSOS DA CIDE</t>
  </si>
  <si>
    <t>PROG. MORAR MELHOR</t>
  </si>
  <si>
    <t>REGISTRA OS RECURSOS DO PROGRAMA MORAR MELHOR</t>
  </si>
  <si>
    <t>PASS</t>
  </si>
  <si>
    <t>REGISTRA OS RECURSO DO PROGRAMA PASS</t>
  </si>
  <si>
    <t>PNATE</t>
  </si>
  <si>
    <t>REGISTRA OS RECURSOS DO PRGRAMA NACIONAL DE TRANSPORTE ESCOLAR.</t>
  </si>
  <si>
    <t>PROG. SAÚDE ESTADO</t>
  </si>
  <si>
    <t>REGISTRA OS RECURSOS DE TRANSF. DE PROGRAMAS PARA SAÚDE DO GOVERNO DO ESTADO.</t>
  </si>
  <si>
    <t>CONVENIOS DIVERSOS</t>
  </si>
  <si>
    <t>REGISTRA A TRANSFERENCIA DE RECURSOS DO ESTADO</t>
  </si>
  <si>
    <t>PROGRAMA TROCA-TROCA</t>
  </si>
  <si>
    <t>REGISTRA OS RECURSOS DO PROGRAMA TROCA/TROCA</t>
  </si>
  <si>
    <t>ALIENAÇÃO DE BENS</t>
  </si>
  <si>
    <t>registra a arrecadação proveniente da alienação de bens</t>
  </si>
  <si>
    <t>FMAS - FEDERAL</t>
  </si>
  <si>
    <t>FUNDO MUNICIPAL DA ASSISTENCIA SOCIAL RECURSOS FEDERAIS</t>
  </si>
  <si>
    <t>FMAS - ESTADUAL</t>
  </si>
  <si>
    <t>REGISTRA OS RECURSOS DO FUNDO MUNICIPAL DE ASSISTENCIA SOCIAL</t>
  </si>
  <si>
    <t>REC. SAN. BÁSICO</t>
  </si>
  <si>
    <t>RECURSOS SANEAMENTO BÁSICO</t>
  </si>
  <si>
    <t>TROCA-TROCA</t>
  </si>
  <si>
    <t>REGISTRA OS RECURSOS DO PROGRAMA TROCA-TROCA</t>
  </si>
  <si>
    <t>MULTAS DE TRANSITO</t>
  </si>
  <si>
    <t>ESTE TEM POR OBJETIVO REGISTRAR AS RECEITAS ORIUNDAS DE MULTAS DE TRANSITO.</t>
  </si>
  <si>
    <t>TRANSF. EST P/AQ. DE GERADOR</t>
  </si>
  <si>
    <t>este tem por objetivo registrar as receitas e despesas de recursos do estado para saude</t>
  </si>
  <si>
    <t>REGISTRA OS RECURSOS DA CAMPANHA DE VACINAÇÃO</t>
  </si>
  <si>
    <t>CONSULTA POPULAR</t>
  </si>
  <si>
    <t>REGISTRA OS VALORES DA CONSULTA POPULAR</t>
  </si>
  <si>
    <t>RECURSOS CIDE</t>
  </si>
  <si>
    <t>P.N.A.T.E.- PROG. NAC. APOIO TRANSP. ESC</t>
  </si>
  <si>
    <t>REGISTRA AS DESPESAS E RECEITAS RECURSO PNATE</t>
  </si>
  <si>
    <t>REGISTRA AS RECEITAS E DESPESAS DO RECURSO FEX.</t>
  </si>
  <si>
    <t>PRO MAR DE DENTRO</t>
  </si>
  <si>
    <t>REGISTRA AS RECEITAS E DESPESAS DO PROGRAMA MAR DE DENTRO</t>
  </si>
  <si>
    <t>FNS</t>
  </si>
  <si>
    <t>REGISTRA AS RECEITAS E DESPEAS DO RECURSO FNS</t>
  </si>
  <si>
    <t>REGISTRA AS RECEITAS E DESPESAS DO RECURSO CCFGS</t>
  </si>
  <si>
    <t>PRADEM</t>
  </si>
  <si>
    <t>REGISTRA AS RECEITAS E DESPESAS DO RECURSO PRADEM</t>
  </si>
  <si>
    <t>PAB VARIÁVEL - FARMACIA BÁSICA</t>
  </si>
  <si>
    <t>REGISTRA AS RECEITAS E DESPESAS DO REC. FARMACIA BASICA</t>
  </si>
  <si>
    <t>PAB VARIÁVEL - VIG. SANITÁRIA</t>
  </si>
  <si>
    <t>REGISTRA AS RECEITAS E DESPESAS DO REC. VIGILANCIA SANITARIA</t>
  </si>
  <si>
    <t>ASSISTENCIA FARM. BÁSICA ESTADO</t>
  </si>
  <si>
    <t>REGISTRA AS DESPESAS E RECEITAS DO RECURSO ASSIST. FARM. BASICA DO ESTADO.</t>
  </si>
  <si>
    <t>VIGILANCIA EPIDEMIOLOGICA</t>
  </si>
  <si>
    <t>REGISTRA AS RECEITAS E DESPESAS DO REC. VIG. EPIDEMIOLOGICA</t>
  </si>
  <si>
    <t>ASSEMA</t>
  </si>
  <si>
    <t>REGISTRA AS RECEITAS E DESPESAS DO REC. ASSEMA</t>
  </si>
  <si>
    <t>TERCEIRA IDADE</t>
  </si>
  <si>
    <t>REGISTRA AS RECEITAS E DESPESAS DO REC. TERCEIRA IDADE</t>
  </si>
  <si>
    <t>PPD</t>
  </si>
  <si>
    <t>REGISTRA AS RECEITAS E DESPESAS DO REC. PPD</t>
  </si>
  <si>
    <t>SANEAM. BAS. PEQ. COMUNIDADES</t>
  </si>
  <si>
    <t>ESTE  TEM POR OBJETIVO REGISTRAR AS RECEITAS E DESPESAS RECURSO SANEAMENTO BASICO PEQU. COMUNIDADES.</t>
  </si>
  <si>
    <t>EMENDA PARLAMENTAR</t>
  </si>
  <si>
    <t>ESTE TEM POR OBJETIVO O REGISTRO DE RECEITAS E DESPESAS DE EMENDAS PARLAMENTARES</t>
  </si>
  <si>
    <t>VISA REGISTRAR AS RECEITAS E DESPESAS DE EMENDA PARLAMENTAR PARA IMPLANTACAO E MELHORIAS DE OBRAS DE INFRA-ESTRUTURA URBANAS</t>
  </si>
  <si>
    <t>FUNDERGS</t>
  </si>
  <si>
    <t>ESTE TEM POR ONJETIVO O REGISTRO DE RECEITAS E DESPESAS DO RECURSO FUNDERGS</t>
  </si>
  <si>
    <t>AMPLIACAO DO POSTO DE SAUDE</t>
  </si>
  <si>
    <t>ESTE TEM POR OBJETIVO EFETUAR O REGISTRO DE RECEITAS E DESPESAS DE RECURSOS PARA AMPLICAO DO POSTO DE SAUDE</t>
  </si>
  <si>
    <t>EJA</t>
  </si>
  <si>
    <t>REGISTRA OS RECURSOS DO PROGRAMA EJA</t>
  </si>
  <si>
    <t>PROGRAMA INVERNO GAUCHO</t>
  </si>
  <si>
    <t>ESTE RECURSO TEM POR OBJETIVO REGISTRAR AS DESPESAS DO PROGRAMA INVERNO GAUCHO.</t>
  </si>
  <si>
    <t>FESTA DO FUMO</t>
  </si>
  <si>
    <t>ESTE RECURSO TEM POR OBJETIVO REGISTRAR AS RECEITAS E DESPESAS  DE CUSTEIO DA FESTA DO FUMO.</t>
  </si>
  <si>
    <t>REC. SUBVENCAO ASSEMBLEIA LG. DO RS</t>
  </si>
  <si>
    <t>ESTE RECURSO TEM POR OBJETIVO REGISTRAR AS RECEITAS E DESPESAS DE SUBVENCOES RECEBIDAS DA ASSEMBLEIA LEGISLATIVA DO ESTADO DO R.G.S.</t>
  </si>
  <si>
    <t>CADASTRO SUS</t>
  </si>
  <si>
    <t>REGISTRA AS RECEITAS E DESPESAS DO CADASTRO SUS</t>
  </si>
  <si>
    <t>RECURSO FMAS PBT</t>
  </si>
  <si>
    <t>ESTE TEM POR OBJETIVO REGISTRAR AS DESPESAS E RECEITAS COM PISO BASICO DE TRANSICAO.</t>
  </si>
  <si>
    <t>RECURSO PTMC</t>
  </si>
  <si>
    <t>ESTE TEM POR OBJETIVO REGISTRAR AS RECEITAS E DESPESAS DO PISO DE TRANSICAO DE MEDIA COMPLEXIDADE.</t>
  </si>
  <si>
    <t>IGDBF</t>
  </si>
  <si>
    <t>ESTE TEM POR OBJETIVO REGISTRAR AS DESPESAS E RECEITAS DO INDICE DE GESTAO DE DESENVOLVIMENTO BOLSA FAMILIA</t>
  </si>
  <si>
    <t>RECURSO FNAS CPBF</t>
  </si>
  <si>
    <t>ESTE REGISTRA AS RECEITAS E DESPESAS DO CADASTRO PROGRAMA BOLSA FAMILIA.</t>
  </si>
  <si>
    <t>ESTE TEM POR OBJETIVO O REGISTRO DE RECEITAS E DESPESAS DE PARA CONSTRUCAO DE COBERTURA DE QUADRA ESPORTIVA CFE DECRETO 730/2013.</t>
  </si>
  <si>
    <t>EMENDA PARLAMENTAR MIN. COMUNICACOES.</t>
  </si>
  <si>
    <t>ESTE TEM POR OBEJETIVO REGISTRAR AS RECEITAS E DESPESAS DE EMENDAS PARLAMENTARES RECEBIDAS DO MINISTERIO DAS COMUNICACOES.</t>
  </si>
  <si>
    <t>PACS ESTADO</t>
  </si>
  <si>
    <t>TEM POR OBJETIVO REGISTRAR AS RECEITAS E DESPESAS DO PACS ESTADUAL.</t>
  </si>
  <si>
    <t>PROGRAMA AFB - MED. HIP. E DIABETICOS</t>
  </si>
  <si>
    <t>ESTE TEM POR OBJETIVO O REGISTRO DE RECEITAS E DESPESAS DO PROGRAMA AFB - MED. HIP. E DIABETICOS</t>
  </si>
  <si>
    <t>EMENDA PARLAMENTAR MIN. ASSIST. SOCIAL</t>
  </si>
  <si>
    <t>ESTE TEM POR OBJETIVO O REGISTRO DAS RECEITAS E DESPESAS REFERENTES A TRANSF. DE RECURSOS DO MIN. DA ASSISTENCIA SOCIAL</t>
  </si>
  <si>
    <t>EMENDA PARLAMENTAR MIN. AGRICULTURA</t>
  </si>
  <si>
    <t>ESTE TEM POR OBJETIVO REGISTRAR AS RECEITAS E DESPESAS DE EMENDAS PARLAMENTARES DO MIN. AGRICULTURA</t>
  </si>
  <si>
    <t>MUNICIPIO RESOLVE</t>
  </si>
  <si>
    <t>ESTE TEM POR OBJETIVO O REGISTRO DAS RECEITAS E DESPESAS DO RECURSO MUNICIPIO RESOLVE</t>
  </si>
  <si>
    <t>EMENDA PARLAMENTAR MIN. EDUCACAO</t>
  </si>
  <si>
    <t>ESTE TEM POR OBJETIVO REGISTRAR OS RECEUSOS REF. A EMENDAS PARLAMENTARES DO MIN. EDUCACAO.</t>
  </si>
  <si>
    <t>REGISTRA AS RECEITAS E  DESPESA RECURSO AFB</t>
  </si>
  <si>
    <t>PROGRAMA PIM</t>
  </si>
  <si>
    <t>registra as receitas e despesas do programa pim.</t>
  </si>
  <si>
    <t>MERENDA ESCOLAR ESTADO</t>
  </si>
  <si>
    <t>REGISTRA AS RECEITAS DE DESPESAS DO RECURSO MERENDA ESCOLAR DO ESTADO.</t>
  </si>
  <si>
    <t>FEPE</t>
  </si>
  <si>
    <t>REGISTRA AS RECEITAS E DESPESAS DO FUNDO ESPECIAL PETROLEO - FEP</t>
  </si>
  <si>
    <t>PRODESA</t>
  </si>
  <si>
    <t>ESTE TEM POR OBJETIVO REGISTRAR AS RECEITAS E DESPESAS E OPERACOES FINANCEIRAS E CONTABEIS DO RECURSO PRODESA.</t>
  </si>
  <si>
    <t>EMENDA PARLAMENTAR Nº 36640009</t>
  </si>
  <si>
    <t>ESTE TEM POR OBJETIVO O REGISTRO DE RECEITAS E DESPESAS DO RECURSO PARA CALÇAMENTO DE RUA PROVENIENTE DE EMENDA PARLAMENTAR DO MINISTERIO DO TURISMO.</t>
  </si>
  <si>
    <t>REGISTRA AS RECEITAS E DESPESAS DE CONVENIOS COM A FUNDERGS</t>
  </si>
  <si>
    <t>EMENDA PARLAMENTAR MIN. TURSIMO</t>
  </si>
  <si>
    <t>ESTE TEM POR OBJETIVO REGISTRAR AS RECEITAS E DESPESAS COM RECURSOS DO MIN. DO TURISMO.</t>
  </si>
  <si>
    <t>TRANSF. ESTADO P/OBRAS ENERGIA ELETRICA</t>
  </si>
  <si>
    <t>ESTE TEM POR OBJETIVO REGSITRAR AS RECEITAS E DESPESAS REF. A  TRANSF. PARA OBRAS DE ENERGIA ELETRICA.</t>
  </si>
  <si>
    <t>TRANSF. PARA DESENV. DO TURISMO</t>
  </si>
  <si>
    <t>ESTE TEM POR OBJETIVO REGSITRAR AS RECEITAS E DESPESAS REF. A  TRANSF. PARA DESENVOLVIMENTIO DO TURISMO.</t>
  </si>
  <si>
    <t>TRANSF. PARA CULTURA</t>
  </si>
  <si>
    <t>ESTE TEM POR OBJETIVO REGSITRAR AS RECEITAS E DESPESAS REF. A  TRANSF. PARA DESENV. DA CULTURA.</t>
  </si>
  <si>
    <t>TRANSF. ASSIST. SOCIAL</t>
  </si>
  <si>
    <t>ESTE TEM POR OBJETIVO REGSITRAR AS RECEITAS E DESPESAS REF. A  TRANSF. PARA DESENVOLVIMENTO DA ASSISTENCIA SOCIAL.</t>
  </si>
  <si>
    <t>TRANSF. P/AQUISICAO PATRULHA AGRICOLA</t>
  </si>
  <si>
    <t>ESTE TEM POR OBJETIVO REGSITRAR AS RECEITAS E DESPESAS REF. A  TRANSF. PARA AQUISIÇÃO DE PATRULHA AGRÍCOLA.</t>
  </si>
  <si>
    <t>TRANSF. EM. PARLAM. ELETRIFICACAO RURAL</t>
  </si>
  <si>
    <t>ESTE TEM POR OBJETIVO REGISTRAR AS RECEITAS E DESPESAS ORIUNDAS DE EMENDAS PARLAMENTARES PARA OBRAS DE ENERGIA ELETRICA RURAL.</t>
  </si>
  <si>
    <t>PROGRAMA CAMINHOS DA ESCOLA</t>
  </si>
  <si>
    <t>ESTE TEM POR OBJETIVO REGISTRAR OS RECUROS PROVENIENTE DO PROGRAMA CAMINHOS DA ESCOLA</t>
  </si>
  <si>
    <t>TRANSFERENCIAS DO FEAS</t>
  </si>
  <si>
    <t>ESTE TEM PR OBJETIVO O REGISTRO DAS RECEITAS E DESPESAS DE transferenciasd do fundo estadual de assistencia Social.</t>
  </si>
  <si>
    <t>EMENDA PARLAMENTAR PARA ADEQUACAO DO LIX</t>
  </si>
  <si>
    <t>este tem por objetivo registrar as receitas e despesas referentes a emendas parlamentares para adequacao do lixao.</t>
  </si>
  <si>
    <t>FINAME/PROVIAS</t>
  </si>
  <si>
    <t>ESTE TEM POR OBJETIVO O REGISTRO DOS RECURSOS DO PROGRAMA FINAME/PROVIAS.</t>
  </si>
  <si>
    <t>RECURSOS PARA AGRIFEST</t>
  </si>
  <si>
    <t>ESTE TEM POR OBJETIVO REGISTRAR A MOVIMENTACAO DOS RECURSOS DE TRANSFERENCIAS DA UNIAO PARA AGRIFEST.</t>
  </si>
  <si>
    <t>RECURSOS PLANO DE HABITACAO</t>
  </si>
  <si>
    <t>ESTE TEM POR OBJETIVO REGISTRAR A MOVIMENTACAO DE RECURSOS DA UNIAO PARA PLANO DE HABITACAO.</t>
  </si>
  <si>
    <t>PROGRAMA MINHA CASA MINHA VIDA</t>
  </si>
  <si>
    <t>ESTE TEM POR OBJETIVO REGISTRAR A MOVIMENTACAO DOS RECURSOS DO PROGRAMA MINHA CASA MINHA VIDA DA UNIAO</t>
  </si>
  <si>
    <t>EM. PARLM. P/CALC. RUAS</t>
  </si>
  <si>
    <t>ESTE TEM POR OBJETIVO REGISTRAR A MOVIMENTACAO DE RECURSOS PARA CALCAMENTO DAS RUAS.</t>
  </si>
  <si>
    <t>FMAS BPC</t>
  </si>
  <si>
    <t>TEM POR OBJETIVO REGISTRAR AS RECEITAS E DESPESAS DO PROGRAMA FMAS BPC</t>
  </si>
  <si>
    <t>DEFESA CIVIL</t>
  </si>
  <si>
    <t>ESTE TEM POR OBJETIVO REGISTRAR AS RECEITAS E DESPESAS DE RECURSOS RECEBIDOS PARA DEFESA CIVIL.</t>
  </si>
  <si>
    <t>CONVENIOS DAER</t>
  </si>
  <si>
    <t>ESTE TEM POR OBJETIVO REGSITRAR AS RECEITAS E DESPESAS REF. A  CONVENIOS COM DAER.</t>
  </si>
  <si>
    <t>SCFV</t>
  </si>
  <si>
    <t>ESTE TEM POR OBJETIVO REGSITRAR AS RECEITAS E DESPESAS REF. A  RECURSO PBV-II SCFV</t>
  </si>
  <si>
    <t>PAIF</t>
  </si>
  <si>
    <t>ESTE TEM POR OBJETIVO REGSITRAR AS RECEITAS E DESPESAS REF. A  RECURSO FMASPBFI.</t>
  </si>
  <si>
    <t>CONS POP.- P/AQ. DE MATERIAL ESPORTIVO</t>
  </si>
  <si>
    <t>este tem por objetivo registrar as receitas e despesas do recurso CONSULTA POPULAR - P/Aquisição de Material Esportivo</t>
  </si>
  <si>
    <t>CONS.POP. P/CURSOS CAPAC. DO TRABALHADOR</t>
  </si>
  <si>
    <t>este tem por objetivo registrar as receitas e despesas do recurso da consulta popular P/Cursos Capacitação do Trabalhador</t>
  </si>
  <si>
    <t>CONS. POP. - RECUPERACAO DE AREAS DEGRAD</t>
  </si>
  <si>
    <t>este tem por objetivo registras as receitas e despesas do recurso consulta popular para Recuperacao De Areas Degradadas</t>
  </si>
  <si>
    <t>CONS. POP. P/MATA CILIARES</t>
  </si>
  <si>
    <t>este tem o objetivo de resgistrar as receitas e despesas do recurso consulta popular para  Mata Ciliares</t>
  </si>
  <si>
    <t>CONS. POP. P/CONSERVACAO DE ESTRADAS</t>
  </si>
  <si>
    <t>este tem por objetivo registrar as receitas e despesas da consulta popular para Conservacao De Estradas</t>
  </si>
  <si>
    <t>CONS. POP. P/MELHORIAS DE VIAS DE ACESSO</t>
  </si>
  <si>
    <t>este tem por objetivo o registro de despesas e receitas do recurso consulta popular para Melhorias De Vias De Acesso Rural</t>
  </si>
  <si>
    <t>CONS. POP. P/ ESTRADAS VICINAIS</t>
  </si>
  <si>
    <t>este tem por objetivo registrar as receitas e despesas da consulta popular p/ Estradas Vicinais</t>
  </si>
  <si>
    <t>CONS. POP. P/PATRULHA AGRICOLA</t>
  </si>
  <si>
    <t>este tem por objetivo registrar as receitas e despesas da consulta popular para Patrulha Agricola</t>
  </si>
  <si>
    <t>CONS. POP. P/AQUISIÇÃO DE IIMPLEM. AGRIC</t>
  </si>
  <si>
    <t>este tem por objetivo registrar as receitas e despesas do recurso consulta popular para  Aquisição de Iimplementos Agricolas</t>
  </si>
  <si>
    <t>PBF - PISO BASICO FIXO</t>
  </si>
  <si>
    <t>ESTE TEM POR OBJETIVO REGSITRAR AS RECEITAS E DESPESAS REF. A  RECURSO PBF.</t>
  </si>
  <si>
    <t>CONVENIOS MAPA</t>
  </si>
  <si>
    <t>ESTE TEM POR OBJETIVO REGISTRAR AS RECEITAS E DESPESAS DO RECURSO DE CONVENIOS DO MAPA.</t>
  </si>
  <si>
    <t>CONVENIO MAPA P/COST SILO</t>
  </si>
  <si>
    <t>CONVENIO MAPA - MECANIZACAO AGRICOLA</t>
  </si>
  <si>
    <t>PROJETO DE INFRAESTRUTURA TURISTICA</t>
  </si>
  <si>
    <t>ESTE TEM POR OBJETIVO REGISTRAR AS RECEITAS E DESPESAS DO RECURSO DE PARA INFRAESTRUTURA TURISTICA</t>
  </si>
  <si>
    <t>CONVENIO MIN - AQUISICAO DE MAQUINAS ROD</t>
  </si>
  <si>
    <t>ESTE TEM POR OBJETIVO REGISTRAR AS RECEITAS E DESPESAS DO RECURSO DE CONVENIOS DO MIN. DA INTEGRACAO NACIONAL</t>
  </si>
  <si>
    <t>FUNASA - EQUIPAMENTOS P/LIXO</t>
  </si>
  <si>
    <t>ESTE TEM POR OBJETIVO REGISTRAR AS RECEITAS E DESPESAS DO RECURSO DE CONVENIOS COM A FUNSAS PARA AQUISICAO DE MAQUINAS RODOVIARIAS</t>
  </si>
  <si>
    <t>ESTE TEM POR OBJETIVO REGISTRAR AS RECEITAS E DESPESAS DO RECURSO DE CONVENIOS COM O MIN. DA SAUDE PARA CONSTRUCAO DE   MODULO SANITARIO COMPLETO E FOSSAS SEPTICAS/SUMIDOURO.</t>
  </si>
  <si>
    <t>IGD - SUAS</t>
  </si>
  <si>
    <t>ESTE TEM POR OBJETIVO REGISTRAR AS DESPESAS E RECEITAS DO INDICE DE GESTAO DE DESENVOLVIMENTO</t>
  </si>
  <si>
    <t>PROGRAMA PROINFANCIA</t>
  </si>
  <si>
    <t>ESTE TEM POR OBJETIVO REGISTRAR AS DESPESAS E RECEITAS DO PROGRAMA PROINFANCIA</t>
  </si>
  <si>
    <t>PRAÇA DA JUVENTUDE</t>
  </si>
  <si>
    <t>ESTE TEM POR OBJETIVO REGISTRAR AS DESPESAS E RECEITAS PARA PRAÇA DA JUVENTUDE</t>
  </si>
  <si>
    <t>PRAÇA DO ESPORTE E DA CULTURA</t>
  </si>
  <si>
    <t>ESTE TEM POR OBJETIVO REGISTRAR AS DESPESAS E RECEITAS PARA PRACA DO ESPORTE E DA CULTURA</t>
  </si>
  <si>
    <t>CONS. POP. 2012 APOIO A EVENTOS ESPORT.</t>
  </si>
  <si>
    <t>ESTE TEM POR OBJETIVO REGISTRAR AS DESPESAS E RECEITAS DA CONSULTA POPULAR 2012.</t>
  </si>
  <si>
    <t>CONS. POP. 2012 APOIO A MICRO E PEQ. EMP</t>
  </si>
  <si>
    <t>CONS. POP. 2012 - P/QUALIF. PROFISSIONAL</t>
  </si>
  <si>
    <t>CON. POP. - 12  CON.  GAL.P/ FEIRA PROD</t>
  </si>
  <si>
    <t>ESTE TEM POR OBJETIVO REGISTRAR AS DESPESAS E RECEITAS DA CONSULTA POPULAR 2012 PARA  CONST.  GALPAO PARA FEIRA PRODUTOR</t>
  </si>
  <si>
    <t>CONS. POP 2012 AQUIS. EQ. P/QUALIF. PED.</t>
  </si>
  <si>
    <t>DESENV. DO TURISMO</t>
  </si>
  <si>
    <t>EMENDA PARLAM. CALCAM. DE RUAS</t>
  </si>
  <si>
    <t>E.P. VEICULO</t>
  </si>
  <si>
    <t>ESTE TEM POR OBJETIVO REGISTRAR A MOVIMENTACAO DE RECURSOS COM ORIGEM EMENDA PARLAMENTAR DO ESTADO PARA AQUISICAO DE VEICULO.</t>
  </si>
  <si>
    <t>E.P. 521 P/AQ. EQUIP. MED. E HOSP.</t>
  </si>
  <si>
    <t>ESTE TEM POR OBJETIVO REGISTRAR A MOVIMENTACAO DE RECURSOS COM ORIGEM  EM EMENDA PARLAMENTAR 521 PARA AQUISICAO DE EQUIP. MED. E HOSP.</t>
  </si>
  <si>
    <t>TRANSF. EST. P/AQ. AMBULANCIA</t>
  </si>
  <si>
    <t>ESTE TEM POR OBJETIVO REGISTRAR A MOVIMENTACAO DE RECURSOS COM ORIGEM  Transf. Estado para Aquis. De Ambulancia Processo 88290-2000/131.</t>
  </si>
  <si>
    <t>TRANSF. EST. P/AQ. VEICULO LEVE</t>
  </si>
  <si>
    <t>ESTE TEM POR OBJETIVO REGISTRAR A MOVIMENTACAO DE RECURSOS COM ORIGEM  Transf. Estado para Aquis. De Veic. Leve Processo 88348-2000/132</t>
  </si>
  <si>
    <t>TRANSF. EST. P/AQ. DE VAN</t>
  </si>
  <si>
    <t>ESTE TEM POR OBJETIVO REGISTRAR A MOVIMENTACAO DE RECURSOS COM ORIGEM   Transf. Estado para Aquis. De Van Processo 88385-2000/131.</t>
  </si>
  <si>
    <t>TRANSF. EST. P/AQ. DE GERADOR</t>
  </si>
  <si>
    <t>ESTE TEM POR OBJETIVO REGISTRAR A MOVIMENTACAO DE RECURSOS COM ORIGEM   Transf. Estado para Aquis. De Gerador Processo 88733-2000/130</t>
  </si>
  <si>
    <t>E.P. P/AQ. DE PATRULHA AGRICOLA</t>
  </si>
  <si>
    <t>ESTE TEM POR OBJETIVO REGISTRAR A MOVIMENTACAO DE RECURSOS COM ORIGEM   Trans. E.P. 401  Aq. De Equip. Patrulha Agricola. Proj 242/13</t>
  </si>
  <si>
    <t>CONS. POP. P/APOIO EVENTOS CULTURAIS</t>
  </si>
  <si>
    <t>ESTE TEM POR OBJETIVO O REGISTRO DAS RECEITAS E DESPESAS PROVENIENTES DA CONSULTA POPULAR PARA APOIO A EVENTOS CULTURAIS.</t>
  </si>
  <si>
    <t>PROJETO BIBLIOTECA NO PROGRESSO CERTO</t>
  </si>
  <si>
    <t>ESTE TEM POR OBJETIVO REGISTRAR AS RECEITAS E DESPESAS DE  TRANSFERENCIA VOLUNTARIA RECEBIDA DO ESTADO DO RIO GRANDE DO SUL.</t>
  </si>
  <si>
    <t>PARTICIPACAO POPULAR CIDADA</t>
  </si>
  <si>
    <t>ESTE TEM POR OBJETIVO REGISTRAR A MOVIMENTACAO DE RECURSOS COM ORIGEM  EM RECURSO CONSULTA POPULAR.</t>
  </si>
  <si>
    <t>ESTE TEM POR OBJETIVO RESGISTRAR AS RECEITAS E DESPESAS DO PROGRAMA GESTAO DO SUAS TRABALHO</t>
  </si>
  <si>
    <t>TRANSF. DO MDA</t>
  </si>
  <si>
    <t>ESTE TEM POR OBJETIVO REGISTRAR AS RECEITAS E DESPESAS DO MDA</t>
  </si>
  <si>
    <t>EM.PARL. P/COBERT. QUADRA E. SANTA LUZIA</t>
  </si>
  <si>
    <t>ESTE TEM POR OBJETIVO REGISTRAR AS RECEITAS E DESPESAS PARA COBERTURA QUADRA ESCOLA SANTA LUZIA</t>
  </si>
  <si>
    <t>CONSULTA POPULAR 2014 - CRANS</t>
  </si>
  <si>
    <t>REGISTRA OS A APLICACAO DE RECURSOS DA  CONSULTA POPULAR  2014 PARA Cursos Centro Ref. Alimentar e Nutric. Sustentavel</t>
  </si>
  <si>
    <t>CONSULTA POPULAR - PMSADS</t>
  </si>
  <si>
    <t>REGISTRA A APLICACAO DE RECUROS DA  CONSULTA POPULAR PARA Melhoria Socio Amb. e Des. Sustentavel.</t>
  </si>
  <si>
    <t>CONS. POP.  P/QUALIF. PROFISSIONAL</t>
  </si>
  <si>
    <t>ESTE TEM POR OBJETIVO REGISTRAR AS DESPESAS E RECEITAS DA CONSULTA POPULAR</t>
  </si>
  <si>
    <t>Este registra as aplicações dos recursos de convenios do Ministério da Agricultura Pecuária e Abastecimento</t>
  </si>
  <si>
    <t>Este registra as aplicações dos recursos de convenios do Ministério do Desenvolvimento Agrário</t>
  </si>
  <si>
    <t>CONSULTA POPULAR EDUCAÇÃO</t>
  </si>
  <si>
    <t>Este registra a aplicacação de recursos da consulta popular para investimentos em educação</t>
  </si>
  <si>
    <t>CONSULTA POPULAR CONVENIOS DIVERSOS</t>
  </si>
  <si>
    <t>este registra a aplicacao de recursos da consulta popular referente a convenios para as areas de agricultura, obras viacao e serviços urbanos, desporto, cultura, e outros</t>
  </si>
  <si>
    <t>CONVENIO LEI 1026/2015 - PESCA E COOP</t>
  </si>
  <si>
    <t>este registra a aplicacao de recursos de convenio autorizado pela lei municipal 1026/2015 para apoio a pesca e cooperativismo</t>
  </si>
  <si>
    <t>B.P.S.B. - BLOCO PROTEÇÃO SOCIAL BÁSICA</t>
  </si>
  <si>
    <t>ESTE TEM POR OBJETIVO REGSITRAR AS RECEITAS E DESPESAS REF. A  RECURSO REGISTRAR OS RECURSOS DO BLOCO DE PROTEÇÃO SOCIAL BÁSICA.</t>
  </si>
  <si>
    <t>ESTE TEM POR OBJETIVO REGISTRAR AS RECEITAS E DESPESAS DO BLOCO DE PROTEÇÃO SOCIAL ESPECIAL DE MEDIA COMPLEXIDADE.</t>
  </si>
  <si>
    <t>ESTE TEM POR OBJETIVO REGISTRAR AS RECEITAS E DESPESAS DO BLOCO DE GESTÃO PROGRAMA BOLSA FAMILIA.</t>
  </si>
  <si>
    <t>ESTE TEM POR OBJETIVO REGISTRAR AS RECEITAS E DESPESAS DO BLOCO DE GESTÃO GESTÃO DO SUAS</t>
  </si>
  <si>
    <t>Este registra as aplicações dos recursos de convenios do Ministério da Agricultura e Produção Agropecuaria</t>
  </si>
  <si>
    <t>Este registra as aplicações dos recursos de convenios do Ministério da Integração Nacional</t>
  </si>
  <si>
    <t>Este registra as aplicações dos recursos de convenios do Ministério do Desenvolvevimento e Assistência Social</t>
  </si>
  <si>
    <t>Este registra as aplicações dos recursos de Transferencias do Ministerio da Justiça</t>
  </si>
  <si>
    <t>TRANSF. DA  CONSULTA POPULAR 2017/2018</t>
  </si>
  <si>
    <t>Este registra as aplicações dos recursos da Consulta Popular Exercício de 2017/2018</t>
  </si>
  <si>
    <t>Este tem por objetivo registrar as receitas e despesas do MEC FNDE - Programa Brasil Carinhoso</t>
  </si>
  <si>
    <t>Este tem por obejtivo registrar as receitas e Despesas para Aquisição de Insumos Agricolas.</t>
  </si>
  <si>
    <t>Este tem por obejtivo registrar as receitas e Despesas com recursos da Transferencias MP 815/2017.</t>
  </si>
  <si>
    <t>ESTE TEM POR OBJETIVO REGISTRAR AS RECEITAS E DESPESAS DO RECURSO DE TRANSFERENCIAS DO FUNDO ESTADUAL CRIANÇA E ADOLESCENTE</t>
  </si>
  <si>
    <t>MUNICIPALIZACAO SOLIDARIA</t>
  </si>
  <si>
    <t>ESTE TEM POR OBJETIVO REGISTRAR AS RECEITAS E DESPESA DA MUNICIPALIZACAO SOLIDARIA</t>
  </si>
  <si>
    <t>TEM POR OBJETIVO RESGISTRAR AS RECEITAS E DESPESAS DO PROGRAMA MUNICIPIO RESOLVE</t>
  </si>
  <si>
    <t>P.I.E.S. - PISO DE INCENT. ATENÇ. BASIC</t>
  </si>
  <si>
    <t>ESTE TEM POR OBJETIVO REGISTRAR A MOVIMENTAÇÃO DO PROGRAMA DE INCENTIVA A ATENÇÃO BÁSICA.</t>
  </si>
  <si>
    <t>MUNICIPIO RESOLVE - GESTAO PLENA</t>
  </si>
  <si>
    <t>ESTE RECURSO TEM POR OBJETIVO REGISTRAR AS RECEITAS E DESPESAS DOS RECURSOS MUNICIPIO RESOLVE E MUNCIPALIZACAO SOLIDARIA.</t>
  </si>
  <si>
    <t>INVERNO GAUCHO</t>
  </si>
  <si>
    <t>ESTE TEM POR OBJETIVO O REGISTRO DE RECEITAS E DESPESAS DO PROGRAMA INVERNO GAUCHO</t>
  </si>
  <si>
    <t>ASSIST.FARM. BÁSICA</t>
  </si>
  <si>
    <t>ESTE TEM POR OBJETIVO REGISTRAR AS RECEITAS E DESPESAS DA FARMACIA BASICA</t>
  </si>
  <si>
    <t>este tem por objetivo o registro de receitas e despesas da farmacia basica, conforme portaria 2982/09 do ms-gm.</t>
  </si>
  <si>
    <t>REGISTRA AS DESPESAS E RECEITAS DO PROGRAMA SAUDE MENTAL</t>
  </si>
  <si>
    <t>TEM POR OBJETIVO O REGISTRO DAS RECEITAS E DESPESA DO RECURSO PACS</t>
  </si>
  <si>
    <t>ESTE TEM POR OBJETIVO REGISTRAR AS RECEITAS E DESPESAS DO RECURSO SAUDE DA FAMILIA ESTADUAL.</t>
  </si>
  <si>
    <t>SAUDE BUCAL</t>
  </si>
  <si>
    <t>REGISTRA AS RECEITAS E DESPESAS PROGRAMA SAUDE BUCAL</t>
  </si>
  <si>
    <t>PIM</t>
  </si>
  <si>
    <t>REGISTRA AS RECEITAS E DESPESAS DO RECURSO PRIMEIRA INFANCIA MELHOR - PIM</t>
  </si>
  <si>
    <t>RESGISTRA OS RECURSOS DA VIGILANCIA EPIDEMIOLOGICA</t>
  </si>
  <si>
    <t>Este tem por objetivo registrar as receitas e despesas para Apoio à rede hospitalar</t>
  </si>
  <si>
    <t>REGIONALIZAÇÃO-AMPLIAÇÃO DE UBS</t>
  </si>
  <si>
    <t>ESTE TEM POR OBJETIVO REGISTRAR A MOVIMENTACAO DE RECURSOS DA CONSULTA POPULAR REFERENTE A Regionalização-ampliação de UBS</t>
  </si>
  <si>
    <t>REGIÃO RESOLVE-AQUISIÇÃO EQUIPTOS - UBS</t>
  </si>
  <si>
    <t>este tem por objetivo registrar a movimentacao de recursos para aquisicao de equipamentos da consulta popular.</t>
  </si>
  <si>
    <t>ESTE TEM POR OBJETIVO REGSITRAR OS RECURSOS DA CONSULTA POPULAR PARA A SAUDE.</t>
  </si>
  <si>
    <t>CONSULTA POPULAR - SAUDE PARA TODOS</t>
  </si>
  <si>
    <t>REGISTRA AS DESPESAS E RECEITAS DA CONSULTA POPULAR PROJETO SAUDE PARA TODOS.</t>
  </si>
  <si>
    <t>PROSAN (EXT. DE REDE DE ÁGUA) CONS. POP</t>
  </si>
  <si>
    <t>ESTE TEM POR OBJETIVO REFGISTRAR AS RECEITAS E DESPESAS DA CONSULTA POPULAR PARA REDE DE AGUA.</t>
  </si>
  <si>
    <t>AQUISIÇÃO AMBULÂNCIAS, CARROS, UNIDADES</t>
  </si>
  <si>
    <t>Este tem por objetivo registrar a movimentacao de recursos da consulta popular para a aquisicao de veiculos.</t>
  </si>
  <si>
    <t>AQUISICAO DE EQUIPAMENTOS</t>
  </si>
  <si>
    <t>TEM POR OBEJETIVO REGISTRAR AS RECEITAS E DESPESAS DE CONVENIOS, EMENDAS PARLAMENTARES E TERMOS DE COMPROMISSO.</t>
  </si>
  <si>
    <t>REFORMAS</t>
  </si>
  <si>
    <t>Este registra CONVÊNIOS, CONSULTA POPULAR, PORTARIA</t>
  </si>
  <si>
    <t>SES OU TERMOS DE COMPROMISSO</t>
  </si>
  <si>
    <t>registras as receitas e despesas programa afb</t>
  </si>
  <si>
    <t>REGISTRA AS RECEITAS E DESPESAS DO PAB FIXO</t>
  </si>
  <si>
    <t>REGISTRA AS RECEITAS E DESPESAS DO PROG. SAUDE DA FAMILIA - PSF</t>
  </si>
  <si>
    <t>RESGISTRA AS RECEITAS E DESPESAS DO PACS</t>
  </si>
  <si>
    <t>ESTE TEM POR OBJETIVO O REGISTRO DAS RECEITAS E DESPESAS DO RECURSO VIGILANCIA SANITARIA - PAB VARIAVEL.</t>
  </si>
  <si>
    <t>VIGILANCIA SANITÁRIA</t>
  </si>
  <si>
    <t>este tem por objetivo registrar as receitas e despesas do programa de vigilancia sanitaria</t>
  </si>
  <si>
    <t>REGISTRA RECEITAS E DESPESAS FARMACIA BASICA</t>
  </si>
  <si>
    <t>ASSISTENCIA FARMACEUTICA BASICA</t>
  </si>
  <si>
    <t>este tem por objetivo o registro das receitas e despesas do programa de medicamentos para hipertensos, diabeticos, asma, renite, saude mental, saude da mulher, alimentacao e nutricao e combate ao tabagismo.</t>
  </si>
  <si>
    <t>este tem por objetivo registrar as receitas e despesas da transferencia pela informacao e informatica em saude.</t>
  </si>
  <si>
    <t>ESTE TEM POR OBJETIVO REGISTRAR AS RECEITAS E DESPESAS DE EMENDAS PARLAMENTARES PARA AQUISICAO DE EQUIPAMENTOS PARA A UBS.</t>
  </si>
  <si>
    <t>ESTE TEM POR OBJETIVO REGISTRAR AS RECEITAS E DESPESAS DE EMENDAS PARLAMENTARES PARA CONSTRUÇÃO OU AMPLIACAO DA UBS</t>
  </si>
  <si>
    <t>MELHORIAS SANITARIAS</t>
  </si>
  <si>
    <t>ESTE TEM POR OBJETIVO REGISTRAR AS RECEITAS DESPESAS DE EMENDAS PARALEMNTARES DA UNIAO OU CONVENIOS COM FUNASA PARA PARA SANEAMENTO</t>
  </si>
  <si>
    <t>CONVENIOS</t>
  </si>
  <si>
    <t>ESTE TEM POR OBJETIVO REGISTRAR AS RECEITAS E DESPESAS DE CONVENIOS PARA A AREA DE SAÚDE.</t>
  </si>
  <si>
    <t>REGISTRA OS LANÇAMENTOS EXTRAORÇAMENTÁRIOS</t>
  </si>
  <si>
    <t>REGISTRA OS LANÇAMENTOS DO RECURSO PAB FIXO</t>
  </si>
  <si>
    <t>MERENDA ESCOLAR</t>
  </si>
  <si>
    <t>ESTE TEM POR OBJETIVO O REGISTRO DAS DESPESAS E RECEITAS EXTRA ORÇAMENTARIA DO RECURSOS DA MERENDA ESCOLAR</t>
  </si>
  <si>
    <t>SALARIO EDUCAÇÃO</t>
  </si>
  <si>
    <t>REGISTRA OS LANÇAMENTOS DO SALARIO EDUCAÇÃO</t>
  </si>
  <si>
    <t>COREDE</t>
  </si>
  <si>
    <t>REGISTRA OS LANÇAMENTOS EXTRAORÇAMENTÁRIOS DO RECURSO DO COREDE</t>
  </si>
  <si>
    <t>TRANSPORTE ESCOLAR</t>
  </si>
  <si>
    <t>REGISTRA OS LANÇAMENTOS EXTRA-ORÇAMENTÁRIOS DO RECURSO TRANSPORTE ESCOLAR</t>
  </si>
  <si>
    <t>PROGRAMA DE INCENTIVO A ATENÇÃO BÁSICA</t>
  </si>
  <si>
    <t>REGISTRA OS LANÇAMENTOS DO RECURSO CIDE</t>
  </si>
  <si>
    <t>RESGISTRA OS LANÇAMENTOS COM RECURSO MDE</t>
  </si>
  <si>
    <t>REGISTRA OS LANÇAMENTOS EXTRA-ORÇAMENTÁRIOS DO RECURSO EPIDEMIOLOGIA</t>
  </si>
  <si>
    <t>REGISTRA OS LANÇAMENTOS COM RECURSOS DO FUNDEF</t>
  </si>
  <si>
    <t>ESTE TEM POR OBJETIVO O REGISTRO DAS RECEITAS E DESPESAS EXTRAORCAMENTARIAS DO FUNDEB.</t>
  </si>
  <si>
    <t>ESTE TEM POR OBJETIVO REGISTRAR AS RECEITAS E DESPESAS EXTRAORÇAMENTARIAS.</t>
  </si>
  <si>
    <t>ESTE TEM POR OBJETIVO REGISTRAR AS RECEITAS E DESPESAS EXTRA ORÇAMENTÁRIAS DE EMENDAS PARLAMENTARES PARA CONSTRUÇÃO OU AMPLIACAO DA UBS</t>
  </si>
  <si>
    <t>REGISTRA OS LANÇAMENTOS COM RECURSO ASPS</t>
  </si>
  <si>
    <t>REGISTRA OS LANÇAMENTOS EXTRAORÇAMENTARIOS COM RECURSOS DA CONSULTA POPULAR</t>
  </si>
  <si>
    <t>REGISTRA OS LANÇAMENTOS DO RECURSO PNATE</t>
  </si>
  <si>
    <t>ACESSUAS</t>
  </si>
  <si>
    <t>ESTE REGISTRA OS RECURSOS DE RECEITAS E DESPESAS EXTRAORCAMENTARIOS  </t>
  </si>
  <si>
    <t>ESTE TEM POR OBJETIVO REGSITRAR A MOVIMENTACAO DO RECURSO FNS</t>
  </si>
  <si>
    <t>B.G.P.B.F. - EXTRA ORÇAMENTARIO</t>
  </si>
  <si>
    <t>ESTE TEM POR OBJETIVO REGISTRAR AS RECEITAS E DESPESAS EXTRAORÇAMENTÁRIAS DO BLOCO DE GESTÃO PROGRAMA BOLSA FAMILIA.</t>
  </si>
  <si>
    <t>este tem por objetivo o registro de valores do recursos do eja</t>
  </si>
  <si>
    <t>SAUDE MENTAL</t>
  </si>
  <si>
    <t>ESTE TEM POR OBJETIVO REGISTRAR AS RECEITAS E DESPESAS EXTRA-ORÇAMENTARIAS.</t>
  </si>
  <si>
    <t>VIG. SANIT. - EXTRA ORÇAMENT</t>
  </si>
  <si>
    <t>REGISTRAR RETENÇÕES E REC. SOBRE PGTO.</t>
  </si>
  <si>
    <t>ESTE TEM POR OBJETIVO REGISTRAR AS DESPESAS E RECEITAS EXTRA-ORÇAMENTARIAS.</t>
  </si>
  <si>
    <t>TEM OBJETIVO REGISTRAR AS REC E DESP EXTRAS DO RECURSO 1089</t>
  </si>
  <si>
    <t>ESTE TEM POR  OBJETIVO O REGISTRO DOS PAGAMENTOS REFERENTE A RETENCOES PATRONAIS.</t>
  </si>
  <si>
    <t>ESTE TEM POR OBJETIVO O REGISTRO DAS RECEITAS E DESPESAS EXTRA-ORÇAMENTARIS DO RECURSO 1097.</t>
  </si>
  <si>
    <t>OASF</t>
  </si>
  <si>
    <t>TEM POR OBJETIVO O REGISTRO DE RECEITAS E DESPESAS EXTRA ORCAMENTARIAS REF. A RECURSO 1099 OASF</t>
  </si>
  <si>
    <t>RECURSO AGRIFEST</t>
  </si>
  <si>
    <t>FNAS PBV-II</t>
  </si>
  <si>
    <t>ESTE TEM POR OBJETIVO REGSITRAR AS RECEITAS E DESPESAS REF. A  RECURSO PBV-II</t>
  </si>
  <si>
    <t>FMASPBFI</t>
  </si>
  <si>
    <t>ESTE TEM POR OBJETIVO REGISTRAR AS RECEITAS E DESPESAS EXTRA ORÇAMENTARIAS DO RECURSO VINCULADO 1127</t>
  </si>
  <si>
    <t>B.P.S.P.- BLOCO PROT. SOC. BASIC.- EXTR.</t>
  </si>
  <si>
    <t>ESTE TEM POR OBJETIVO REGSITRAR AS RECEITAS E DESPESAS REF. A  RECURSO BPSP- BLOCO PROTEÇÃO SOCIAL BÁSICO</t>
  </si>
  <si>
    <t>B.P.S.E.M.C. - EXTRA ORÇAMENTARIO</t>
  </si>
  <si>
    <t>ESTE TEM POR OBJETIVO REGISTRAR AS RECEITAS E DESPESAS EXTRAORÇAMENTÁRIAS DO BLOCO DE PROTEÇÃO SOCIAL ESPECIAL DE MEDIA COMPLEXIDADE.</t>
  </si>
  <si>
    <t>ESTE TEM POR OBJETIVO REGISTRAR AS RECEITAS E DESPESAS EXTRA ORÇAMENTARIAS  DO BLOCO DE GESTÃO PROGRAMA BOLSA FAMILIA.B.G.P.B.F. - BLOC GEST. PROG. BOLSA FAM.</t>
  </si>
  <si>
    <t>DEMONSTRATIVO DA ESTIMATIVA E COMPENSAÇÃO DA RENÚNCIA DE RECEITA</t>
  </si>
  <si>
    <t>LRF Art. 5º, inciso V</t>
  </si>
  <si>
    <t>TRIBUTO</t>
  </si>
  <si>
    <t>MODALIDADE</t>
  </si>
  <si>
    <t>SETORES/ PROGRAMAS/ BENEFICIÁRIO</t>
  </si>
  <si>
    <t>VALOR DA</t>
  </si>
  <si>
    <t>FORMA DE COMPENSAÇÃO</t>
  </si>
  <si>
    <t>RENÚNCIA EM 2019</t>
  </si>
  <si>
    <t>EVENTO</t>
  </si>
  <si>
    <t>Aumento Permanente da Receita  (1)</t>
  </si>
  <si>
    <t xml:space="preserve">   Decorrente de Receitas Tributárias</t>
  </si>
  <si>
    <t xml:space="preserve">   Decorrente de Transferências Correntes</t>
  </si>
  <si>
    <t>(-)  Transferências ao FUNDEB</t>
  </si>
  <si>
    <t>Impacto de Novas DOCC (2)</t>
  </si>
  <si>
    <t xml:space="preserve">      Relativas a  Pessoal e Encargos Sociais</t>
  </si>
  <si>
    <t xml:space="preserve">      Relativas a  Outras Despesas Correntes</t>
  </si>
  <si>
    <t>Margem Líquida de Expansão de DOCC (1 – 2)</t>
  </si>
  <si>
    <t>Convenios Estado RS</t>
  </si>
  <si>
    <t>REGISTRA OS RECURSOS DE TRANSF. DE CONVENIOS DO ESTADO DO RIO GRANDE DO SUL</t>
  </si>
  <si>
    <t>4.2.4.2.0.00.11.01.0300</t>
  </si>
  <si>
    <t>Transferencias P/Aquisicao de Insumos Convenio FPE 2913/2017</t>
  </si>
  <si>
    <t>Transferencias De Convenios Da Uniao Destinadas A Programas De Meio Amb.</t>
  </si>
  <si>
    <t>Transferências Consulta Popular e Convenios</t>
  </si>
  <si>
    <t>4.2.4.2.0.00.11.01.0400</t>
  </si>
  <si>
    <t>Transferencias  Convenio 546/2018 FECA-VIVA BEM MAIS</t>
  </si>
  <si>
    <t>Convenios FECA</t>
  </si>
  <si>
    <t>REGISTRA OS RECURSOS DE TRANSF. DE CONVENIOS DO ESTADO DO RIO GRANDE DO SUL  ATRAVES FECA</t>
  </si>
  <si>
    <t xml:space="preserve">REGISTRA OS RECURSOS DE TRANSF. DE CONVENIOS DA UNIAO </t>
  </si>
  <si>
    <t>Transferências Proposta nº 034610/2018 P/Galpao Cooperativa</t>
  </si>
  <si>
    <t>4.2.4.1.0.00.11.06.0000</t>
  </si>
  <si>
    <t>CONVENIOS DA UNIAO</t>
  </si>
  <si>
    <t>4.2.4.1.0.00.11.07.0000</t>
  </si>
  <si>
    <t>Transferências Proposta nº 057560/2018 P/Aquisição de Equipamentos</t>
  </si>
  <si>
    <t>ESTE TEM POR OBJETIVO REGISTRAR AS RECEITAS E DESPESAS DE CONVENIOS DO SICONV</t>
  </si>
  <si>
    <t>convenios siconv</t>
  </si>
  <si>
    <t>1032 - CONVENIOS SICONV</t>
  </si>
  <si>
    <t>4.2.4.1.0.00.11.08.0000</t>
  </si>
  <si>
    <t>Transferências Proposta nº 044520/2018 P/Escavadeira Hidraulica</t>
  </si>
  <si>
    <t>Transferências Proposta nº 042585/2018 P/Aquisição de Equipamentos</t>
  </si>
  <si>
    <t>4.2.4.1.0.00.11.09.0000</t>
  </si>
  <si>
    <t>Rem. de Dep. Banc. - Transf. Proposta nº 034610/2018 P/Galpao Cooperativa</t>
  </si>
  <si>
    <t>Rem. de Dep. Banc. - Transf. Proposta nº 057560/2018 P/Aquisição de Equipamentos</t>
  </si>
  <si>
    <t>Rem. de Dep. Banc. - Transf. Proposta nº 044520/2018 P/Escavadeira Hidraulica</t>
  </si>
  <si>
    <t>Rem. de Dep. Banc. - Transf. Proposta nº 042585/2018 P/Aquisição de Equipamentos</t>
  </si>
  <si>
    <t>4.2.9.9.0.00.11.02.1900</t>
  </si>
  <si>
    <t>4.2.9.9.0.00.11.02.2000</t>
  </si>
  <si>
    <t>Rem. de Dep. Banc. - Transf. P/Aquisicao de Insumos Convenio FPE 2913/2017</t>
  </si>
  <si>
    <t>Rem. de Dep. Banc. - Transf. Convenio 546/2018 FECA-VIVA BEM MAIS</t>
  </si>
  <si>
    <t>Receita Corrente:</t>
  </si>
  <si>
    <t>Receita de Capital:</t>
  </si>
  <si>
    <t>Receita Intra-Orçamentária:</t>
  </si>
  <si>
    <t>(-) Deduções:</t>
  </si>
  <si>
    <t>Total:</t>
  </si>
  <si>
    <t>DEMONSTRATIVO DA COMPATIBILIDADE E ATUALIZAÇÃO DAS METAS FISCAIS</t>
  </si>
  <si>
    <t>(A)  -  RECURSOS DO TESOURO MUNICIPAL</t>
  </si>
  <si>
    <t>ESPECIFICAÇÃO</t>
  </si>
  <si>
    <t>METAS FISCAIS FIXADAS NA LDO PARA 201_</t>
  </si>
  <si>
    <t>VALORES PREVISTOS NA</t>
  </si>
  <si>
    <t xml:space="preserve"> LEI DE ORÇAMENTO</t>
  </si>
  <si>
    <t>Receitas Totais Previstas</t>
  </si>
  <si>
    <t>Receitas Primárias Previstas (1)</t>
  </si>
  <si>
    <t xml:space="preserve">Despesas Totais Previstas </t>
  </si>
  <si>
    <t>Despesas Primárias Previstas (2)</t>
  </si>
  <si>
    <t>Resultado Primário Previsto  ( 1 – 2)</t>
  </si>
  <si>
    <t>METAS FISCAIS FIXADAS NA LDO PARA 2019</t>
  </si>
  <si>
    <t>VALORES PREVISTOS NA  LEI DE ORÇAMENTO</t>
  </si>
  <si>
    <t>(B) - RECURSOS DO REGIME PRÓPRIO DE PREVIDÊNCIA SOCIAL</t>
  </si>
  <si>
    <t>Receitas Previdenciárias Totais Previstas</t>
  </si>
  <si>
    <t>Receitas Primárias Previdenciáras Previstas (1)</t>
  </si>
  <si>
    <t xml:space="preserve">Despesas Previdenciárias Totais Previstas </t>
  </si>
  <si>
    <t>Despesas Primárias Previdenciárias Previstas (2)</t>
  </si>
  <si>
    <t>Resultado Primário Previsto para o RPPS  ( 1 – 2)</t>
  </si>
  <si>
    <t>(C) – CONSOLIDAÇÃO GERAL  (A + B)</t>
  </si>
  <si>
    <t>Arrecad.</t>
  </si>
  <si>
    <t>Prevista</t>
  </si>
  <si>
    <t>Projetado</t>
  </si>
  <si>
    <t>Impostos, Taxas e Contr.de Melhoria</t>
  </si>
  <si>
    <t>INTRA ORÇAMENTÁRIAS</t>
  </si>
  <si>
    <t xml:space="preserve">DEMONSTRATIVO DA EVOLUÇÃO DA RECEITA POR FONTES </t>
  </si>
  <si>
    <t xml:space="preserve"> (LRF art. 12 e Lei nº 4.320/64, art. 22, III)</t>
  </si>
  <si>
    <t>DECRR - DEMONSTRATIVO DA ESTIMATIVA E COMPENSAÇÃO DA RENÚNCIA DE RECEITA</t>
  </si>
  <si>
    <t>DEMONSTRATIVO DA MARGEM DE EXPENSÃO DAS DESPESAS OBRIGATÓRIAS DE CARÁTER CONTINUADO</t>
  </si>
  <si>
    <t>DMDOCC - DEMONSTRATIVO DA MARGEM DE EXPENSÃO DAS DESPESAS OBRIGATÓRIAS DE CARÁTER CONTINUADO</t>
  </si>
  <si>
    <t>DCAMF - DEMONSTRATIVO DA COMPATIBILIDADE E ATUALIZAÇÃO DAS METAS FISCAIS</t>
  </si>
  <si>
    <t>DERF - DEMONSTRATIVO DA EVOLUÇÃO DA RECEITA POR FONTES</t>
  </si>
  <si>
    <t>MEMÓRIA E METODOLOGIA DE CÁLCULO DA RECEITA</t>
  </si>
  <si>
    <t>E) Com base nesses agregados,  detalhamos as estimativas de Receitas:</t>
  </si>
  <si>
    <t>- Receitas Diretamente Arrecadadas: nas Receitas  o melhor desempenho verificado nos anos anteriores ficou com o desempenho abaixo de sua previsão, devido a redução da arrecadação das transferencias da uniao e estado em especial a queda da arrecadação de ICMS,  IPI-Exportação por exemplo.</t>
  </si>
  <si>
    <t>- Receitas Tributárias( No caso dos impostos, taxas e contribuição de melhorias), possuem seu calculo utilizando-se das seguintes premissas: onde foi multiplicado o valor de suas médias de arrecadação trienal pela media da variação do IPCA E IGPDI, e pelo percentual de crescimento médio de arrecadação trienal.</t>
  </si>
  <si>
    <t>- Receitas de Contribuições, Patrimoniais e de Serviços, estas possuem seu calculo utilizando-se das seguintes premissas: onde foi multiplicado o valor de suas médias de arrecadação trienal pela media da variação do IPCA E IGPDI, e pelo percentual de crescimento médio de arrecadação trienal.</t>
  </si>
  <si>
    <t>- Receitas de Transferencias da União, estas possuem seu calculo utilizando-se das seguintes premissas: onde foi multiplicado o valor de suas médias de arrecadação trienal pela media da variação do IPCA E IGPDI,  pelo percentual de crescimento médio de arrecadação trienal, pelo percentual de crescimento do pib do pais, pelo percentual de taxa de cambio, e pelos percentuais de crescimento projetados para cada tipo de receita recebida da uniao conforme subsidios fornecidos pela FAMURS.</t>
  </si>
  <si>
    <t>- Receitas de Transferencias do SUS, estas possuem seu calculo utilizando-se das seguintes premissas: onde foi multiplicado o valor de suas médias de arrecadação trienal pela media da variação do IPCA E IGPDI.</t>
  </si>
  <si>
    <t>- Receitas de Transferencias do Estado para Saúde, estas possuem seu calculo utilizando-se das seguintes premissas: foi utilizado a media de arrecadação trienal.</t>
  </si>
  <si>
    <t>- Receitas de Transferencias do Estado paraEducação, estas possuem seu calculo utilizando-se das seguintes premissas: foi utilizado a media de arrecadação trienal.</t>
  </si>
  <si>
    <t>- Receitas de outras receitas correntes, estas possuem seu calculo utilizando-se das seguintes premissas: estas foram calculadas pela media de arrecadação trienal.</t>
  </si>
  <si>
    <t>- Deduções da Receita, estas possuem seu calculo utilizando-se das seguintes premissas: Estas em relação a dedução de receita tributária fora calculado pela medias de execução trienal. Em relação deduções para o Fundeb, estas foram aplicados o valor de 20% de contribuição do Fundeb sobra a base de calculo das receitas de transferencias constituionais.</t>
  </si>
  <si>
    <t>APURAÇÃO DO PASEP</t>
  </si>
  <si>
    <t>Código receita:</t>
  </si>
  <si>
    <t>I - NATUREZAS DA RECEITA</t>
  </si>
  <si>
    <t>Valor - R$</t>
  </si>
  <si>
    <t>Inc. III, do art. 2º, da Lei n.º 9.715/98</t>
  </si>
  <si>
    <t>( + )</t>
  </si>
  <si>
    <t>1.0.0.0.00.0.0.00.00.00</t>
  </si>
  <si>
    <t>Total das Receitas Correntes</t>
  </si>
  <si>
    <t>2.4.0.0.00.0.0.00.00.00</t>
  </si>
  <si>
    <t>Transferências de Capital</t>
  </si>
  <si>
    <t xml:space="preserve">Sub-Total I </t>
  </si>
  <si>
    <t>II DEDUÇÕES DA BASE DE CÁLCULO</t>
  </si>
  <si>
    <t>Dedução e Base Legal</t>
  </si>
  <si>
    <r>
      <rPr>
        <b/>
        <sz val="8"/>
        <color theme="1"/>
        <rFont val="Arial"/>
        <family val="2"/>
      </rPr>
      <t xml:space="preserve">(-) </t>
    </r>
    <r>
      <rPr>
        <sz val="8"/>
        <color theme="1"/>
        <rFont val="Arial"/>
        <family val="2"/>
      </rPr>
      <t>Transferências recebidas de convênios, contrato de repasse ou instrumento congênere com objeto definido que, de regra, são registrados nos códigos de naturezas de receita:                                                                         - Lei Federal nº 9.715/1998, art. 2º, § 7º;- Itens 20.5 e 20.6 da Solução de Consulta COSIT nº 278/2017</t>
    </r>
  </si>
  <si>
    <t>1.7.1.8.08.0.0.00.00.00</t>
  </si>
  <si>
    <t xml:space="preserve">Transferências Advindas de Emendas
Parlamentares Individuais; </t>
  </si>
  <si>
    <t>1.7.1.8.10.0.0.00.00.00</t>
  </si>
  <si>
    <t>Transferências de Convênios da União e de Suas
Entidades</t>
  </si>
  <si>
    <t>1.7.2.8.10.0.0.00.00.00</t>
  </si>
  <si>
    <t>Transferência de Convênios dos Estados e
do Distrito Federal e de Suas Entidades</t>
  </si>
  <si>
    <t>1.7.3.8.10.0.0.00.00.00</t>
  </si>
  <si>
    <t>Transferência de Convênios dos
Municípios e de Suas Entidades</t>
  </si>
  <si>
    <t>2.4.1.8.08.0.0.00.00.00</t>
  </si>
  <si>
    <t>Transferências Advindas de Emendas
Parlamentares Individuais</t>
  </si>
  <si>
    <t>2.4.1.8.10.0.0.00.00.00</t>
  </si>
  <si>
    <t>Transferência de Convênios da União e
de suas Entidades</t>
  </si>
  <si>
    <t>2.4.2.8.10.0.0.00.00.00</t>
  </si>
  <si>
    <t>Transferências de Convênios dos Estados
e do Distrito Federal e de suas Entidades</t>
  </si>
  <si>
    <t>2.4.3.8.10.0.0..00.00.00</t>
  </si>
  <si>
    <t>Transferências de Convênios dos
Municípios e de suas Entidades</t>
  </si>
  <si>
    <t>2.9.9.0.00.0.0..00.00.00</t>
  </si>
  <si>
    <t>Remuneração de Depósitos Bancarios de Transferencias e Convênios de Capital</t>
  </si>
  <si>
    <r>
      <rPr>
        <b/>
        <sz val="8"/>
        <color theme="1"/>
        <rFont val="Arial"/>
        <family val="2"/>
      </rPr>
      <t xml:space="preserve">(-) </t>
    </r>
    <r>
      <rPr>
        <sz val="8"/>
        <color theme="1"/>
        <rFont val="Arial"/>
        <family val="2"/>
      </rPr>
      <t>Deduções de receitas para a formação do Fundeb, registradas nos
códigos:                                                                         - Itens 21.3.3 e 21.5 da Solução
de Consulta COSIT nº 278/2017.</t>
    </r>
  </si>
  <si>
    <t>9.1.7.1.8.01.2.1.04.00.00</t>
  </si>
  <si>
    <t>(R) Dedução da Receita p/ formação do
Fundeb – FPM</t>
  </si>
  <si>
    <t>9.1.7.1.8.01.5.1.04.00.00</t>
  </si>
  <si>
    <t>(R) Dedução da Receita p/ formação do
Fundeb – ITR</t>
  </si>
  <si>
    <t>9.1.7.1.8.06.1.1.04.00.00</t>
  </si>
  <si>
    <t>(R) Dedução da Receita p/ formação do
Fundeb – LC nº 87/96</t>
  </si>
  <si>
    <t>9.1.7.2.8.01.1.1.04.00.00</t>
  </si>
  <si>
    <t>(R) Dedução da Receita p/ formação do
Fundeb – ICMS</t>
  </si>
  <si>
    <t>9.1.7.2.8.01.2.1.04.00.00</t>
  </si>
  <si>
    <t xml:space="preserve"> (R) Dedução da Receita p/ formação do
Fundeb – IPVA; </t>
  </si>
  <si>
    <t>9.1.7.2.8.01.3.1.04.00.00</t>
  </si>
  <si>
    <t>(R) Dedução da Receita p/ formação do
Fundeb – IPI Municípios</t>
  </si>
  <si>
    <t>Sub-Total II</t>
  </si>
  <si>
    <r>
      <rPr>
        <b/>
        <sz val="8"/>
        <color theme="1"/>
        <rFont val="Arial"/>
        <family val="2"/>
      </rPr>
      <t xml:space="preserve">(-) </t>
    </r>
    <r>
      <rPr>
        <sz val="8"/>
        <color theme="1"/>
        <rFont val="Arial"/>
        <family val="2"/>
      </rPr>
      <t>Demais registros efetuados em contas de deduções das receitas correntes e/ou de transferências de capital ocorridas em decorrência de retificações, restituições, devoluções, renúncia etc.)    - Itens 21.3.3 e 21.5 da Solução
de Consulta COSIT nº 278/2017</t>
    </r>
  </si>
  <si>
    <t>Sub-Total III</t>
  </si>
  <si>
    <r>
      <rPr>
        <b/>
        <sz val="8"/>
        <color theme="1"/>
        <rFont val="Arial"/>
        <family val="2"/>
      </rPr>
      <t>(-)</t>
    </r>
    <r>
      <rPr>
        <sz val="8"/>
        <color theme="1"/>
        <rFont val="Arial"/>
        <family val="2"/>
      </rPr>
      <t xml:space="preserve"> Transferências efetuadas (considerar os valores efetivamente pagos em cada mês) a outras entidades de direito público interno, exceto a consórcios públicos e aquelas que se classificarem no conceito de transferências voluntárias. Na maioria dos casos os valores serão empenhados nos seguintes códigos de modalidade de aplicação da despesa: 
- Lei Federal nº 9.715/98, art. 7º; 
- Decreto Federal nº 4.524/2002, art. 7, § 2º;
- Itens 20.1 a 20.6 da Solução de Consulta COSIT nº 278/2017</t>
    </r>
  </si>
  <si>
    <t>20 - Transferências a União;</t>
  </si>
  <si>
    <t xml:space="preserve">22 – Execução Orçamentária Delegada à União; </t>
  </si>
  <si>
    <t xml:space="preserve">30 - Transferências a Estados e ao Distrito Federal; </t>
  </si>
  <si>
    <t>31 - Transferências a Estados e ao Distrito Federal – Fundo a Fundo;</t>
  </si>
  <si>
    <t xml:space="preserve">
35 - Transferências Fundo a Fundo aos Estados e ao Distrito Federal à conta de recursos de que tratam os §§1º e 2º do art. 24 da LC 141/2012; </t>
  </si>
  <si>
    <t xml:space="preserve">36 - Transferências Fundo a Fundo aos Estados e ao Distrito Federal àconta de recursos de que trata o art. 25 da LC 141/2012; 
</t>
  </si>
  <si>
    <t xml:space="preserve">40 Transferências a Municípios; </t>
  </si>
  <si>
    <t>41 – Transferências a Municípios – Fundo a Fundo;</t>
  </si>
  <si>
    <t>42 – Execução Orçamentária Delegada a Municípios;</t>
  </si>
  <si>
    <t xml:space="preserve">45 – Transferências Fundo a Fundo aos Municípios, à conta de recursos de que tratam os §§1º e 2º do art. 24 da LC 141/2012; 
</t>
  </si>
  <si>
    <t xml:space="preserve">46 - Transferências Fundo a Fundo aos Municípios à conta de recursos de que trata o art. 25 da LC 141/2012; </t>
  </si>
  <si>
    <t>70 – Transferências a Instituições Multigovernamentais;</t>
  </si>
  <si>
    <t>Sub-Total IV</t>
  </si>
  <si>
    <t>Total das Deduções da Receitas II</t>
  </si>
  <si>
    <t>III - TOTAL RECEITA LÍQUIDA (BASE DE CÁLCULO) (I-II)</t>
  </si>
  <si>
    <t>( x ) IV ALÍQUOTA DO PASEP ( 1%)</t>
  </si>
  <si>
    <t>( = ) V VALOR DO PASEP A RECOLHER ANTES DE DEDUZIDOS OS DÉBITOS NA FONTE = ( III x IV)</t>
  </si>
  <si>
    <t>( - ) VI Deduções do Valor a Recolher em DARF</t>
  </si>
  <si>
    <r>
      <rPr>
        <b/>
        <sz val="8"/>
        <color theme="1"/>
        <rFont val="Arial"/>
        <family val="2"/>
      </rPr>
      <t>(-)</t>
    </r>
    <r>
      <rPr>
        <sz val="8"/>
        <color theme="1"/>
        <rFont val="Arial"/>
        <family val="2"/>
      </rPr>
      <t xml:space="preserve"> Valores já retidos na fonte pela STN (sobre FPM, FEP, LC 87/96, ITR,
Royalties da ANP, CFM-Recursos Minerais, CFH-Recursos Hídricos, CIDE
etc)                                                                                - § 6º do art. 2º da Lei Federal nº
9.715/98;
- art. 68 do Decreto Federal nº
4.524/2002</t>
    </r>
  </si>
  <si>
    <t>3.3.9.0.47.12</t>
  </si>
  <si>
    <t>PASEP já debitado do FPM</t>
  </si>
  <si>
    <t>PASEP já debitado do ITR</t>
  </si>
  <si>
    <t>PASEP já debitado do ICMS DESONERAÇÃO</t>
  </si>
  <si>
    <t>PASEP já debitado do FEP</t>
  </si>
  <si>
    <t>PASEP já debitado da CIDE</t>
  </si>
  <si>
    <t>PASEP já debitado da CFEM</t>
  </si>
  <si>
    <t>PASEP já debitado do FEX/CEX</t>
  </si>
  <si>
    <t>Total das Deduções do Valor a Recolher em Darf VI</t>
  </si>
  <si>
    <t>( = ) VII VALOR DO PASEP A RECOLHER APÓS DEDUZIDOS OS DÉBITOS NA FONTE = ( V - VI)</t>
  </si>
  <si>
    <t>OBSERVAÇÕES:</t>
  </si>
  <si>
    <t xml:space="preserve">a) no caso do Município possuir Regime Próprio de Previdência Social, deve-se atentar que, de acordo com o entendimento esposado pela Receita Federal do Brasil através da Solução de Consulta COSIT nº 278/2017, os valores relativos às Contribuições Patronal, registrados como receitas correntes intraorçamentárias devem
compor a base de cálculo da contribuição para o PASEP; b) Consórcios Públicos com personalidade jurídica de direito público: conforme o item 28 e respectivos
subitens da Solução de Consulta COSIT nº 278/2017, quando da transferência de recursos decorrentes do CONTRATO DE RATEIO, o ente transferidor (Município) não pode excluir os valores de sua base de cálculo, ao passo que o ente recebedor dos recursos (no caso, o Consórcio Público) deve excluir da sua base de cálculo os
valores recebidos a título de contrato de rateio. </t>
  </si>
  <si>
    <t>Exercicio:</t>
  </si>
  <si>
    <t>Demonstrativo de Recursos para Emendas Parlamentares  E.C. 86/2015</t>
  </si>
  <si>
    <t>Valor Aplicação Emenda Constitucional nº 86/2015 (EC 86) 1,2%</t>
  </si>
  <si>
    <t>Nº de Vereadores</t>
  </si>
  <si>
    <t>Limite Individual</t>
  </si>
  <si>
    <t xml:space="preserve">Aplicação Mínima de 50% em ASPS R$ </t>
  </si>
  <si>
    <t>Outras Aplicações R$</t>
  </si>
  <si>
    <t>RCL - DEMONSTRATIVO DA RECEITA CORRENTE LIQUIDA</t>
  </si>
  <si>
    <t>DEMONSTRATIVO DA RECEITA CORRENTE LIQUIDA</t>
  </si>
  <si>
    <t>(LRF art. 53, inciso I)</t>
  </si>
  <si>
    <t>RECEITAS CORRENTES ( I )</t>
  </si>
  <si>
    <t xml:space="preserve">      Receita Tributária</t>
  </si>
  <si>
    <t xml:space="preserve">      Receita de Contribuições</t>
  </si>
  <si>
    <t xml:space="preserve">      Receita Patrimonial</t>
  </si>
  <si>
    <t xml:space="preserve">      Receita Agropecuária</t>
  </si>
  <si>
    <t xml:space="preserve">      Receita Industrial</t>
  </si>
  <si>
    <t xml:space="preserve">      Receita de Serviços</t>
  </si>
  <si>
    <t xml:space="preserve">      Transferências Correntes</t>
  </si>
  <si>
    <t xml:space="preserve">      Outras Receitas Correntes</t>
  </si>
  <si>
    <t>DEDUÇÕES ( II )</t>
  </si>
  <si>
    <t xml:space="preserve">      Transferências Constitucionais e Legais</t>
  </si>
  <si>
    <t xml:space="preserve">      Contrib. Empregadores e Trab. Para Seg. Social</t>
  </si>
  <si>
    <t xml:space="preserve">      Contrib. do Servidor para o Plano de Previdência</t>
  </si>
  <si>
    <t xml:space="preserve">      Contrib. dos Militares para o Custeio das Pensões</t>
  </si>
  <si>
    <t xml:space="preserve">      Compensação Financ. Entre Regimes Previdência</t>
  </si>
  <si>
    <t xml:space="preserve">      Dedução da Receita para Formação do FUNDEB</t>
  </si>
  <si>
    <t xml:space="preserve">      Contribuição para PIS/PASEP</t>
  </si>
  <si>
    <t>RECEITA CORRENTE LÍQUIDA (III) = ( I - II)</t>
  </si>
  <si>
    <t>Previsao Atualizada</t>
  </si>
  <si>
    <t xml:space="preserve">      IRRF S/FOLHA DE PAGAMENTO</t>
  </si>
  <si>
    <t>4.1.9.9.0.99.21.06.0000</t>
  </si>
  <si>
    <t>Receitas de Copa e Cozinha Campeonato Futebol Sete</t>
  </si>
  <si>
    <t>Outras Receitas  de Copa e Cozinha Campeonato Futebol Sete</t>
  </si>
  <si>
    <t>DRFDGNOS - DEMONSTRATIVO DA RECEITA POR FONTES E DA DESPESA POR GRUPO DE NATUREZA DE DESPESA – ORÇAMENTO FISCAL E DA SEGURIDADE SOCIAL</t>
  </si>
  <si>
    <t>DEMONSTRATIVO DA RECEITA POR FONTES E DA DESPESA POR GRUPO DE NATUREZA DE DESPESA – ORÇAMENTO FISCAL E DA SEGURIDADE SOCIAL</t>
  </si>
  <si>
    <t>Lei de Diretrizes Orçamentárias, art. 8º, § 1º,  IV e art. 20, § 2º</t>
  </si>
  <si>
    <t>Orçamento Fiscal</t>
  </si>
  <si>
    <t>Seguridade Social</t>
  </si>
  <si>
    <t>Total</t>
  </si>
  <si>
    <t xml:space="preserve">Impostos, Taxas e Contr. de Melhoria </t>
  </si>
  <si>
    <t>RECEITAS</t>
  </si>
  <si>
    <t>DESPESAS</t>
  </si>
  <si>
    <t>DESP. CORRENTES</t>
  </si>
  <si>
    <t>Pessoal e Encargos Sociais</t>
  </si>
  <si>
    <t>Outras Despesas Correntes</t>
  </si>
  <si>
    <t>DESP.  DE CAPITAL</t>
  </si>
  <si>
    <t>Investimentos</t>
  </si>
  <si>
    <t>Inversões Financeiras</t>
  </si>
  <si>
    <t xml:space="preserve">Amortização da Dívida </t>
  </si>
  <si>
    <t>RESERVA DO R P P S</t>
  </si>
  <si>
    <t>Outras Despesas Correntes  Operações Intraorçamentárias</t>
  </si>
  <si>
    <t>Pessoal e Encargos Sociais  Operações Intraorçamentárias</t>
  </si>
  <si>
    <t>Inversões Financeiras Operações Intraorçamentárias</t>
  </si>
  <si>
    <t>REC. CORRENTES  INTRA ORÇAMENTÁRIAS</t>
  </si>
  <si>
    <t>REC. DE CAPITAL INTRA ORÇAMENTÁRIAS</t>
  </si>
  <si>
    <t>DRFMCA - DEMONSTRATIVO DE RECURSOS FMCA</t>
  </si>
  <si>
    <t>DEMONSTRATIVO DE RECURSOS FMCA</t>
  </si>
  <si>
    <t>Receita Fonte de Arrecadação conforme  Art. 5º, I</t>
  </si>
  <si>
    <t>Receita Fonte de Arrecadação conforme  Art. 5º, II</t>
  </si>
  <si>
    <t>Receita Fonte de Arrecadação conforme  Art. 5º, III</t>
  </si>
  <si>
    <t>Receita Fonte de Arrecadação conforme  Art. 5º, IV</t>
  </si>
  <si>
    <t>Receita Fonte de Arrecadação conforme  Art. 5º, V</t>
  </si>
  <si>
    <t>Receita Fonte de Arrecadação conforme  Art. 5º, VI</t>
  </si>
  <si>
    <t>Receita Fonte de Arrecadação conforme  Art. 5º, VII</t>
  </si>
  <si>
    <t>DRDFMCA - DEMONSTRATIVO DA RECEITA POR FONTES E DA DESPESA POR GRUPO DE NATUREZA DE DESPESA – ORÇAMENTO FISCAL E DA SEGURIDADE SOCIAL</t>
  </si>
  <si>
    <t>Receitas Previstas</t>
  </si>
  <si>
    <t>Despesas Fixadas</t>
  </si>
  <si>
    <t>Valor</t>
  </si>
  <si>
    <t>RESERVA DO  R P P S</t>
  </si>
  <si>
    <t>(+) Aportes Financeiros</t>
  </si>
  <si>
    <t>Pessoal e Encargos Sociais – Operações Intraorçamentárias</t>
  </si>
  <si>
    <t>Outras Despesas Correntes – Operações Intraorçamentárias</t>
  </si>
  <si>
    <t>REC. CORRENTES INTRAORÇAMENTÁRIAS</t>
  </si>
  <si>
    <t>REC. DE CAPITAL INTRAORÇAMENTÁRIAS</t>
  </si>
  <si>
    <t>Inversões Financeiras – Operações Intraorçamentárias</t>
  </si>
  <si>
    <t>DEMONSTRATIVO DAS  RECEITAS E DESPESAS VINCULADAS AO FUNDO MUNICIPAL DA CRIANÇA E DO ADOLESCENTE, CRIADO PELA LEI MUNICIPAL  1058/2016
Lei Federal nº 4.320/64, art. 2º, § 2º, inciso I e  Art. 8º, § 1º, V cc art. 12, § 2º da LDO</t>
  </si>
  <si>
    <t>DRDFMS - DEMONSTRATIVO DAS  RECEITAS E DESPESAS VINCULADAS AO FUNDO MUNICIPAL DE  SAÚDE, CRIADO PELA LEI MUNICIPAL  754/2009</t>
  </si>
  <si>
    <t>DEMONSTRATIVO DAS  RECEITAS E DESPESAS VINCULADAS AO FUNDO MUNICIPAL DE  SAÚDE, CRIADO PELA LEI MUNICIPAL  754/2009
Lei Federal nº 4.320/64, art. 2º, § 2º, inciso I e  Art. 8º, § 1º, V cc art. 12, § 2º da LDO</t>
  </si>
  <si>
    <t>Nota:  O valor da linha  “ Aportes Financeiros “ corresponderá ao  montante de recursos “Próprios”  que o Município destinará ao  FUNDO, se for o caso.</t>
  </si>
  <si>
    <t>DEMONSTRATIVO DAS  RECEITAS E DESPESAS VINCULADAS AO FUNDO MUNICIPAL ASSISTÊNCIA SOCIAL, CRIADO PELA LEI MUNICIPAL  154/1999
Lei Federal nº 4.320/64, art. 2º, § 2º, inciso I e  Art. 8º, § 1º, V cc art. 12, § 2º da LDO</t>
  </si>
  <si>
    <t>DRDFMAS - DEMONSTRATIVO DAS  RECEITAS E DESPESAS VINCULADAS AO FUNDO MUNICIPAL ASSISTÊNCIA SOCIAL, CRIADO PELA LEI MUNICIPAL  154/1999</t>
  </si>
  <si>
    <t xml:space="preserve">DRDFMDR - FUNDO MUNICIPAL DE DESENVOLVIENTO RURAL, CRIADO PELA LEI MUNICIPAL  33/1997 </t>
  </si>
  <si>
    <t>DEMONSTRATIVO DAS  RECEITAS E DESPESAS VINCULADAS AOFUNDO MUNICIPAL DE DESENVOLVIENTO RURAL, CRIADO PELA LEI MUNICIPAL  33/1997 
Lei Federal nº 4.320/64, art. 2º, § 2º, inciso I e  Art. 8º, § 1º, V cc art. 12, § 2º da LDO</t>
  </si>
  <si>
    <t>DRDFMMA - DEMONSTRATIVO DAS  RECEITAS E DESPESAS VINCULADAS AO FUNDO MUNICIPAL DO MEIO AMBIENTE, CRIADO PELA LEI MUNICIPAL 562/2006</t>
  </si>
  <si>
    <t>DEMONSTRATIVO DAS  RECEITAS E DESPESAS VINCULADAS AO FUNDO MUNICIPAL DE  HABITAÇÃO DE INTERESSE SOCIAL, CRIADO PELA LEI MUNICIPAL  758/2009
Lei Federal nº 4.320/64, art. 2º, § 2º, inciso I e  Art. 8º, § 1º, V cc art. 12, § 2º da LDO</t>
  </si>
  <si>
    <t xml:space="preserve">DEMONSTRATIVO DE GASTOS COM PESSOAL E ENCARGOS SOCIAIS EM RELAÇÃO À RECEITA CORRENTE LÍQUIDA PREVISTA
Lei de Diretrizes Orçamentárias, art. 8º, § 1º, VIIMetodologia da IN nº 12/2017, do TCE/RS
</t>
  </si>
  <si>
    <t>Especificação das Receitas</t>
  </si>
  <si>
    <t>(-)  I R R F s / Rendimento do Trabalho</t>
  </si>
  <si>
    <t>(-) Contribuição dos Servidores Ativos, Inativos e Pensionistas ao RPPS</t>
  </si>
  <si>
    <t>(-) Compensação Previdenciária ao RPPS</t>
  </si>
  <si>
    <t>(-) Rendimentos de Aplicações do RPPS</t>
  </si>
  <si>
    <t>(-) Deduções para o FUNDEB</t>
  </si>
  <si>
    <t>(-) Outras Deduções</t>
  </si>
  <si>
    <t>(=) Receita Corrente Líquida Prevista  (RCL)</t>
  </si>
  <si>
    <t>Limite Legal para Despesas de Pessoal  do Executivo         (54% x RCL)</t>
  </si>
  <si>
    <t>Limite Prudencial para Despesa de Pessoal do Executivo (51,30% X RCL)</t>
  </si>
  <si>
    <t>Limite Legal para Despesas de Pessoal  do Legislativo  (6% x RCL)</t>
  </si>
  <si>
    <t>Limite Prudencial para Despesa de Pessoal do Legislativo  (5,7% X RCL)</t>
  </si>
  <si>
    <t>DDP - DEMONSTRATIVO DAS DESPESAS COM PESSOAL</t>
  </si>
  <si>
    <t>Especificação das Despesas</t>
  </si>
  <si>
    <t>Total das Despesas com Pessoal e Encargos Sociais</t>
  </si>
  <si>
    <t>(-) Pensionistas  (Recursos Próprios)</t>
  </si>
  <si>
    <t>(-) IRRF s/  Rendimentos do Trabalho</t>
  </si>
  <si>
    <t>(-)  Sentenças Judiciais de exercícios anteriores</t>
  </si>
  <si>
    <t>(-)  Despesas de pessoal de exercícios anteriores</t>
  </si>
  <si>
    <t>( - )  Outras Deduções da Despesa com Pessoal</t>
  </si>
  <si>
    <t>Despesa com pessoal prevista</t>
  </si>
  <si>
    <t>Percentual de Comprometimento em relação à RCL prevista</t>
  </si>
  <si>
    <t>DPARMDE - DEMONSTRATIVO DA PREVISÃO DE APLICAÇÃO DE RECURSOS NA MANUTENÇÃO  E DESENVOLVIMENTO DO ENSINO.</t>
  </si>
  <si>
    <t>DEMONSTRATIVO DA PREVISÃO DE APLICAÇÃO DE RECURSOS NA MANUTENÇÃO  E DESENVOLVIMENTO DO ENSINO:
- Constituição Federal, art. 212
- Lei Federal nº 9.394/1996
- Lei Federal nº 11.494/2007
Lei de Diretrizes Orçamentárias, art. 8º, § 1º, VIII</t>
  </si>
  <si>
    <t>PREVISÃO</t>
  </si>
  <si>
    <t>I T R</t>
  </si>
  <si>
    <t>I C M S</t>
  </si>
  <si>
    <t>I P V A</t>
  </si>
  <si>
    <t>IPI / Exportação</t>
  </si>
  <si>
    <t>(-) CONTRIBUIÇÃO P/ O FUNDEB</t>
  </si>
  <si>
    <t>RECEITAS DO FUNDEB ( II)</t>
  </si>
  <si>
    <t xml:space="preserve">DESPESAS </t>
  </si>
  <si>
    <t>VALOR FIXADO</t>
  </si>
  <si>
    <t>DESPESAS DO MDE ( I )</t>
  </si>
  <si>
    <t>DESPESAS DO FUNDEB ( II )</t>
  </si>
  <si>
    <t>MÍNIMO A   APLICAR ( I + II )</t>
  </si>
  <si>
    <t>RECEITAS DO MDE ( I )</t>
  </si>
  <si>
    <t>4.2.4.1.0.00.11.11.0000</t>
  </si>
  <si>
    <t>Transferencia Voluntaria para Aq. Veiculo para Transp. e Recol. Lixo</t>
  </si>
  <si>
    <t>RENDIMENTOS DE APLICAÇÕES FINANCEIRAS</t>
  </si>
  <si>
    <t>TRANSFERENCIAS DE RECURSOS DO FUNDEB - CÓDIGO   4.17.24.01.00.00</t>
  </si>
  <si>
    <t>COMPLEMENTAÇÃO DA UNIÃO AO FUNDEB - código   4.17.24.02.00.00</t>
  </si>
  <si>
    <t>RECEITA DE APLICAÇÃO FINANCEIRA DOS RECURSOS DO FUNDEB - código   4.13.25.01.02.00</t>
  </si>
  <si>
    <t>PERCENTUAL PREVISTO</t>
  </si>
  <si>
    <t>TOTAL FIXADO ( I + II)</t>
  </si>
  <si>
    <t>I P T U - Principal</t>
  </si>
  <si>
    <t>I P T U - Multa e Juros</t>
  </si>
  <si>
    <t>I P T U - Dídida Ativa</t>
  </si>
  <si>
    <t>I P T U - Multa e Juros da Dídida Ativa</t>
  </si>
  <si>
    <t>I T B I - Multa e Juros</t>
  </si>
  <si>
    <t>I T B I - Dídida Ativa</t>
  </si>
  <si>
    <t>I T B I  - Multa e Juros da Dídida Ativa</t>
  </si>
  <si>
    <t>I T B I - Principal</t>
  </si>
  <si>
    <t>I S S Q N - Multa e Juros</t>
  </si>
  <si>
    <t>I S S Q N - Dídida Ativa</t>
  </si>
  <si>
    <t>I S S Q N  - Multa e Juros da Dídida Ativa</t>
  </si>
  <si>
    <t>I S S Q N - Principal</t>
  </si>
  <si>
    <t>I R R F sobre Rendim. do Trab. - Principal - Ativos/Inativos do Poder Executivo</t>
  </si>
  <si>
    <t>I R R F sobre Rendim. do Trab. - Principal - Ativos/Inativos do Poder Legislativo</t>
  </si>
  <si>
    <t>I R R F Outros Rendimentos - Principal - Poder Executivo</t>
  </si>
  <si>
    <t>I R R F Outros Rendimentos - Principal - Poder Legislativo</t>
  </si>
  <si>
    <t>F P M 1% Cota Entregue no mês de Dezembro</t>
  </si>
  <si>
    <t>F P M 1% Cota Entregue no mês de Julho</t>
  </si>
  <si>
    <t>F P M Cota Mensal</t>
  </si>
  <si>
    <t>DPARASPS - DEMONSTRATIVO DA PREVISÃO DE APLICAÇÃO DE RECURSOS EM AÇÕES E SERVIÇOS PÚBLICOS DE SAÚDE</t>
  </si>
  <si>
    <t>DEMONSTRATIVO DA PREVISÃO DE APLICAÇÃO DE RECURSOS EM AÇÕES E SERVIÇOS PÚBLICOS DE SAÚDE:
Constituição Federal, art. 198
Lei Complementar nº 141/2012
Lei de Diretrizes Orçamentárias, art. 8º, § 1º, IX</t>
  </si>
  <si>
    <t xml:space="preserve">MÍNIMO A   APLICAR </t>
  </si>
  <si>
    <t>RECEITAS DO ASPS</t>
  </si>
  <si>
    <t>DESPESAS  ASPS</t>
  </si>
  <si>
    <t>TOTAL FIXADO</t>
  </si>
  <si>
    <t>DEMONSTRATIVO DA PREVISÃO DE APLICAÇÃO DE DESPESAS A SEREM FINANCIADAS POR OPERAÇÕES DE CRÉDITO
Art. 167, III, da Constituição Federal e Art. 12, § 2º, da LRF
Lei de Diretrizes Orçamentárias, art. 8º, § 1º, X</t>
  </si>
  <si>
    <t xml:space="preserve">R E C E I T A S  </t>
  </si>
  <si>
    <t>D E S P E S A S</t>
  </si>
  <si>
    <t>Proj/ Atividade:</t>
  </si>
  <si>
    <t>Elemento:</t>
  </si>
  <si>
    <t>Operaçõs de Crédito Externas</t>
  </si>
  <si>
    <t>DPADFOC - DEMONSTRATIVO DA PREVISÃO DE APLICAÇÃO DE DESPESAS A SEREM FINANCIADAS POR OPERAÇÕES DE CRÉDITO</t>
  </si>
  <si>
    <t>DLMDPL - DEMONSTRATIVO DO CÁLCULO DO LIMITE MÁXIMO PARA AS DESPESAS DO PODER LEGISLATIVO</t>
  </si>
  <si>
    <t>DEMONSTRATIVO DO CÁLCULO DO LIMITE MÁXIMO PARA AS DESPESAS DO PODER LEGISLATIVO 
Art. 29-A da Constituição Federal
Lei de Diretrizes Orçamentárias, art. 8º, § 1º, XI e art. .13, §2º
IN TCE/RS nº 12/2017</t>
  </si>
  <si>
    <t>1.1.0.0.00.0.0.00 – Impostos Taxas e Contribuição de Melhorias</t>
  </si>
  <si>
    <t>1.2.1.0.04.2.0.00 – Contribuição do Servidor Ativo Civil p/RPPS</t>
  </si>
  <si>
    <t>1.2.4.0.00.1.0.00 – Contribuição p/ Custeio do Serviço de Iluminação Pública</t>
  </si>
  <si>
    <t>1.7.1.8.01.2.0.00 -   Cota Parte do FPM – Cota Mensal</t>
  </si>
  <si>
    <t>1.7.1.8.01.3.0.00 -   Cota Parte do FPM – 1% Cota Entregue no Mês de Dezembro</t>
  </si>
  <si>
    <t>1.7.1.8.01.4.0.00 -   Cota Parte do FPM – 1% Cota Entregue no Mês de Julho</t>
  </si>
  <si>
    <t>1.7.1.8.01.5.0.00 -   Cota Parte do ITR</t>
  </si>
  <si>
    <t>1.7.1.8.01.8.0.00 – Cota Parte IOF/OURO</t>
  </si>
  <si>
    <t>1.7.1.8.06.1.0.00 -   Transf. Financ.ICMS LC  87/96</t>
  </si>
  <si>
    <t>1.7.2.8.01.1.0.00 –  Cota Parte do ICMS</t>
  </si>
  <si>
    <t>1.7.2.8.01.2.0.00 –  Cota Parte do IPVA</t>
  </si>
  <si>
    <t>1.7.2.8.01.3.0.00 –  Cota Parte do IPI – Municípios</t>
  </si>
  <si>
    <t>1.7.2.8.01.4.0.00 – Cota Parte da CIDE</t>
  </si>
  <si>
    <t>1.7.2.8.01.5.1.01 – Cota Parte do antigo ITCD</t>
  </si>
  <si>
    <t>VA - VALE ALIMENTAÇÃO</t>
  </si>
  <si>
    <t>LOTAÇÃO</t>
  </si>
  <si>
    <t>Servidores C.C.</t>
  </si>
  <si>
    <t>Servidores Efetivos</t>
  </si>
  <si>
    <t>Conselheiro Tutelar</t>
  </si>
  <si>
    <t>CONSELHOS MUNICIPAIS</t>
  </si>
  <si>
    <t>Servidores Contratados</t>
  </si>
  <si>
    <t>SEC. MUN. DA FAZENDA</t>
  </si>
  <si>
    <t>MCR - MEMORIA DE CALCULO DA RECEITA</t>
  </si>
  <si>
    <t>PUCFD - PARAMETROS UTILIZADOS PARA CALCULO FIXAÇÃO DA DESPESA</t>
  </si>
  <si>
    <t>Parâmentos Utilizados Para Calculos de Fixação da Despesa</t>
  </si>
  <si>
    <t>Indice de Aumento Real</t>
  </si>
  <si>
    <t>Indice de Crescimento Vegetativo das Despesas de Pessoal</t>
  </si>
  <si>
    <t>Juros da Dívida</t>
  </si>
  <si>
    <t>Desp. Pessoal</t>
  </si>
  <si>
    <t>PODER LEGISLATIVO</t>
  </si>
  <si>
    <t>Valor Subsídio Vereador lei 1059/2016</t>
  </si>
  <si>
    <t>Valor Veba Indenizatória do Presidente da Mesa lei 1059/2016</t>
  </si>
  <si>
    <t>Indice de Crescimento Vegetativo das Despesas  Investimentos</t>
  </si>
  <si>
    <t>Indice de Crescimento Vegetativo de Outras Despesas Correntes</t>
  </si>
  <si>
    <t>PODER EXECUTIVO</t>
  </si>
  <si>
    <t>Alíquota de Contribuição Patronal Contribuição IPE Saúde</t>
  </si>
  <si>
    <t>Alíquota de Contribuição Patronal Para Previdência S/Prestação de Serviços</t>
  </si>
  <si>
    <t>Alíquota de Contribuição Patronal Para Previdência Folha de Pagamento</t>
  </si>
  <si>
    <t>Valor Subsídio Prefeito lei 1060/2016</t>
  </si>
  <si>
    <t>Valor Subsídio Vice Prefeito lei 1060/2016</t>
  </si>
  <si>
    <t>Valor Subsídio Secretário Municipal lei 1061/2016</t>
  </si>
  <si>
    <t>Indice de Crescimento Vegetativo das Despesas com Juros da Divida</t>
  </si>
  <si>
    <t>Indice de Crescimento Vegetativo das Despesas  Com Amortização divida</t>
  </si>
  <si>
    <t xml:space="preserve">FOPAG - FOLHA DE PAGAMENTO </t>
  </si>
  <si>
    <t>VALOR REFERENCIA:</t>
  </si>
  <si>
    <t>Nome</t>
  </si>
  <si>
    <t>Cargo</t>
  </si>
  <si>
    <t>carga h.</t>
  </si>
  <si>
    <t>Nivel</t>
  </si>
  <si>
    <t>Nomeação</t>
  </si>
  <si>
    <t>Coef. Atual</t>
  </si>
  <si>
    <t>SALÁRIO</t>
  </si>
  <si>
    <t>ANUENIO</t>
  </si>
  <si>
    <t>Marcos Andre Finkenauer</t>
  </si>
  <si>
    <t>Operario</t>
  </si>
  <si>
    <t>SMO</t>
  </si>
  <si>
    <t>B</t>
  </si>
  <si>
    <t>Douglas Knutt Buchornn</t>
  </si>
  <si>
    <t>A</t>
  </si>
  <si>
    <t>Nelson Costa Lucas</t>
  </si>
  <si>
    <t>D</t>
  </si>
  <si>
    <t>Jose Erni Fagundes</t>
  </si>
  <si>
    <t>SMEC</t>
  </si>
  <si>
    <t>Nadir Paulo da Cunha Buchornn</t>
  </si>
  <si>
    <t>Luciana de Avila Werly</t>
  </si>
  <si>
    <t>Servente</t>
  </si>
  <si>
    <t>Nara Rosane Rodrigues de Jesus</t>
  </si>
  <si>
    <t>Eliane Figueiredo Martins</t>
  </si>
  <si>
    <t>Deise Maria Rodrigues Severo</t>
  </si>
  <si>
    <t>SMA</t>
  </si>
  <si>
    <t>C</t>
  </si>
  <si>
    <t>EMEI</t>
  </si>
  <si>
    <t>SMS</t>
  </si>
  <si>
    <t>SMAS</t>
  </si>
  <si>
    <t>Telefonista(Extinção)</t>
  </si>
  <si>
    <t>Edimilson da Silva Camargo</t>
  </si>
  <si>
    <t>Motorista</t>
  </si>
  <si>
    <t>wanderley Ribeiro da Rocha</t>
  </si>
  <si>
    <t>Heldo Huber Martins</t>
  </si>
  <si>
    <t>Marcio Sidnei Konflanz</t>
  </si>
  <si>
    <t>Ricargo Lugin Biedrzycki</t>
  </si>
  <si>
    <t>Sergio Luiz Bueno de Oliveira</t>
  </si>
  <si>
    <t>Luciano Morais Silva</t>
  </si>
  <si>
    <t>Vigilante</t>
  </si>
  <si>
    <t>Pablo Pires dos Santos</t>
  </si>
  <si>
    <t>Fabio Ferreira</t>
  </si>
  <si>
    <t>Carlos Augusto Nunes Blanck</t>
  </si>
  <si>
    <t>Rosivan Wirowski Stelmach</t>
  </si>
  <si>
    <t>Moises Martins da Silveira</t>
  </si>
  <si>
    <t>Pedreiro</t>
  </si>
  <si>
    <t>Marcio Morais Silva</t>
  </si>
  <si>
    <t>Operador de Máquina</t>
  </si>
  <si>
    <t>Antonio Marcos Dorneles Silva</t>
  </si>
  <si>
    <t>Abraao Bassegio</t>
  </si>
  <si>
    <t>Estelamaris Decavata Pereira</t>
  </si>
  <si>
    <t>Agente Administrativo</t>
  </si>
  <si>
    <t>Teresinha Longaray Danowski</t>
  </si>
  <si>
    <t>Oficial Adm. Ext.</t>
  </si>
  <si>
    <t>SMF</t>
  </si>
  <si>
    <t>Tesoureiro</t>
  </si>
  <si>
    <t>Tecnico em Contabilidade</t>
  </si>
  <si>
    <t>Fiscal</t>
  </si>
  <si>
    <t>Almoxarife</t>
  </si>
  <si>
    <t>Engenheiro</t>
  </si>
  <si>
    <t>Psicologo</t>
  </si>
  <si>
    <t>Assistente Social</t>
  </si>
  <si>
    <t>Tecnico em Tecnologia da Informação</t>
  </si>
  <si>
    <t>Biologa</t>
  </si>
  <si>
    <t>Medico Veterinario</t>
  </si>
  <si>
    <t>Auxiliar de Biblioteca</t>
  </si>
  <si>
    <t>Beatris Fernandes Mendonça</t>
  </si>
  <si>
    <t>Secretário de Escola</t>
  </si>
  <si>
    <t>Charles Pereira Ribeiro</t>
  </si>
  <si>
    <t>Marizete Janeski Serpa</t>
  </si>
  <si>
    <t>Monitor</t>
  </si>
  <si>
    <t>Paula Fernanda Camilo de Matos</t>
  </si>
  <si>
    <t>Cozinheiro</t>
  </si>
  <si>
    <t>Elizabeth Figueiredo Rodrigues</t>
  </si>
  <si>
    <t>Daiane Duarte Silveira</t>
  </si>
  <si>
    <t>Maria de Lurdes Correa Romero</t>
  </si>
  <si>
    <t xml:space="preserve">Juliana Pinto Gomes </t>
  </si>
  <si>
    <t>Nutricionista</t>
  </si>
  <si>
    <t>Daniel Vargas Avila</t>
  </si>
  <si>
    <t>Auxiliar de Enfermagem</t>
  </si>
  <si>
    <t>Elizabeth Sczecinski</t>
  </si>
  <si>
    <t>Tecnico de Enfermagem</t>
  </si>
  <si>
    <t>Joao Carlos Noal</t>
  </si>
  <si>
    <t>Medico Clinico Geral</t>
  </si>
  <si>
    <t>Juliana Santos da Silva</t>
  </si>
  <si>
    <t>Luiz Alberto zieminiecki</t>
  </si>
  <si>
    <t>Sandra Thaines Lopes</t>
  </si>
  <si>
    <t>Adriane Duarte Avila</t>
  </si>
  <si>
    <t>Enfermeiro</t>
  </si>
  <si>
    <t>Carla Moreira Prado</t>
  </si>
  <si>
    <t>Vanessa Andreia Wachholz</t>
  </si>
  <si>
    <t>Caroline Devesac Ribeiro Von Ahn</t>
  </si>
  <si>
    <t>Farmaceutico</t>
  </si>
  <si>
    <t>Medico Pediatra</t>
  </si>
  <si>
    <t>Medico Ginecologista/Obstetra</t>
  </si>
  <si>
    <t>Fernanda Braga de Andrade</t>
  </si>
  <si>
    <t>Cirurgiao Dentista</t>
  </si>
  <si>
    <t>MATRICULAS</t>
  </si>
  <si>
    <t>Assessor Juridico</t>
  </si>
  <si>
    <t>Gab. Prefeito</t>
  </si>
  <si>
    <t xml:space="preserve">Tipo </t>
  </si>
  <si>
    <t>C.C.</t>
  </si>
  <si>
    <t>Prefeito Municipal</t>
  </si>
  <si>
    <t>Subsídio</t>
  </si>
  <si>
    <t>TOTAL SUBSÍDIOS</t>
  </si>
  <si>
    <t>TOTAL  C.C.</t>
  </si>
  <si>
    <t>Conselho Tutelar</t>
  </si>
  <si>
    <t>FONTE DE RECURSO</t>
  </si>
  <si>
    <t>VAGO</t>
  </si>
  <si>
    <t>TOTAL  CONSELHO TUTELAR</t>
  </si>
  <si>
    <t>Vice Prefeito Municipal</t>
  </si>
  <si>
    <t>Gab. Vice Prefeito</t>
  </si>
  <si>
    <t>1/3 de Férias S/Salario</t>
  </si>
  <si>
    <t>Anuênio S/1/3 de Férias S/Salario</t>
  </si>
  <si>
    <t>13º Salário</t>
  </si>
  <si>
    <t>Anuênio S/13º Salário</t>
  </si>
  <si>
    <t>Classe</t>
  </si>
  <si>
    <t>Efetivo</t>
  </si>
  <si>
    <t>Função Gratificada</t>
  </si>
  <si>
    <t>Auxilio Transporte</t>
  </si>
  <si>
    <t>Gratificação Lei 107</t>
  </si>
  <si>
    <t>Gratificação Lei 113</t>
  </si>
  <si>
    <t>Gratificação Lei 233/2001</t>
  </si>
  <si>
    <t>Gratificação Gab. Prefeito</t>
  </si>
  <si>
    <t>Oficial Administrativo</t>
  </si>
  <si>
    <t>TOTAL EFETIVOS</t>
  </si>
  <si>
    <t>Sec. Municipal Adm.</t>
  </si>
  <si>
    <t>Silvana Maria Donbrowski</t>
  </si>
  <si>
    <t>Gratificação Câmara</t>
  </si>
  <si>
    <t>Quebra de Caixa</t>
  </si>
  <si>
    <t>Tesoureiro Adjunto</t>
  </si>
  <si>
    <t>00/00/0000</t>
  </si>
  <si>
    <t>Tecnico em contabilidade Adjunto</t>
  </si>
  <si>
    <t>TOTAL C.C.</t>
  </si>
  <si>
    <t>SECRETARIO MUN. DA FAZENDA</t>
  </si>
  <si>
    <t>Contratado</t>
  </si>
  <si>
    <t>SMOVSU</t>
  </si>
  <si>
    <t>TOTAL CONTRATADO</t>
  </si>
  <si>
    <t>Abono Permanencia</t>
  </si>
  <si>
    <t>Adicional Noturno</t>
  </si>
  <si>
    <t>Diretor de Transportes</t>
  </si>
  <si>
    <t>Diretor Controle Serv. Intern. e Externos</t>
  </si>
  <si>
    <t>Diretor de Obras</t>
  </si>
  <si>
    <t>SETOR DEPARTAMENTO</t>
  </si>
  <si>
    <t>Assessoria Juridica</t>
  </si>
  <si>
    <t>Chefe de Gabinete</t>
  </si>
  <si>
    <t>Setor: Tesouraria</t>
  </si>
  <si>
    <t>Setor: de Cadastro</t>
  </si>
  <si>
    <t>Setor: de T.I.</t>
  </si>
  <si>
    <t>Setor: Almoxarifado</t>
  </si>
  <si>
    <t>Setor: Contabilidade</t>
  </si>
  <si>
    <t>Setor: Pessoal</t>
  </si>
  <si>
    <t>Setor: Cadastro Fiscal</t>
  </si>
  <si>
    <t>Setor: Projetos</t>
  </si>
  <si>
    <t>Setor: Engenharia</t>
  </si>
  <si>
    <t>Setor: Gestão, Coord. e Planej.</t>
  </si>
  <si>
    <t>Gilson da Silva</t>
  </si>
  <si>
    <t>Setor:  Gestão de Obras e Viação</t>
  </si>
  <si>
    <t>Operador de Máquinas</t>
  </si>
  <si>
    <t>Rubim Dienes Peter</t>
  </si>
  <si>
    <t>Diaria Rural</t>
  </si>
  <si>
    <t>Parcela Autonoma</t>
  </si>
  <si>
    <t>Vorni Danivio Batista Martins</t>
  </si>
  <si>
    <t>Mecânico</t>
  </si>
  <si>
    <t>SECRETARIO MUN. De Obras, Viação e Serv. Urb.</t>
  </si>
  <si>
    <t>SMECD</t>
  </si>
  <si>
    <t xml:space="preserve">ZELADOR </t>
  </si>
  <si>
    <t>DIFICIL ACESSO</t>
  </si>
  <si>
    <t>Assessor Pegagógico</t>
  </si>
  <si>
    <t>Coordenador de Música</t>
  </si>
  <si>
    <t>Secretário Adjunto</t>
  </si>
  <si>
    <t>Diretor Administrativo Financeiro</t>
  </si>
  <si>
    <t>Coordenador de Dança</t>
  </si>
  <si>
    <t>SECRETARIO MUN. DA EDUCACAO, CULTURA E DESP.</t>
  </si>
  <si>
    <t>Professor</t>
  </si>
  <si>
    <t>CLT</t>
  </si>
  <si>
    <t>Setor: Gestão, Coord. e Planej. : SMEC</t>
  </si>
  <si>
    <t>TOTAL CLT</t>
  </si>
  <si>
    <t>Setor: Gestão, Coord. e Planej. : ESC. SANTA LUZIA</t>
  </si>
  <si>
    <t>Marivane Brose Trettin</t>
  </si>
  <si>
    <t>vago</t>
  </si>
  <si>
    <t>Setor: Gestão, Coord. e Planej. : ESC. ARLINDO BONIFÁCIO PIRES</t>
  </si>
  <si>
    <t>Setor: Gestão Transporte Escolar</t>
  </si>
  <si>
    <t>Grasiele Muller</t>
  </si>
  <si>
    <t>Cleber Subda Galski</t>
  </si>
  <si>
    <t>Coordenador de Transporte</t>
  </si>
  <si>
    <t>Setor: Gestão Escola Santa Luzia : Ensino Fundamental</t>
  </si>
  <si>
    <t>Ana Carmelita da Silva Martins</t>
  </si>
  <si>
    <t>André Luis Pereira Farias</t>
  </si>
  <si>
    <t>Carmen Rosangela F. de Medeiros</t>
  </si>
  <si>
    <t>Carolina Claro Reinaldo SANTOS</t>
  </si>
  <si>
    <t>Cleomar Dorneles</t>
  </si>
  <si>
    <t>Alteração de Carga Horária</t>
  </si>
  <si>
    <t>Daniela da Silva Jaskulski</t>
  </si>
  <si>
    <t>Erminia Borowski Langhanz</t>
  </si>
  <si>
    <t>Everton Wiskow Peglow</t>
  </si>
  <si>
    <t>Gislane Miritz</t>
  </si>
  <si>
    <t>Glauce Daresbach Sabio</t>
  </si>
  <si>
    <t>Jaiane Ostemberg Dummer</t>
  </si>
  <si>
    <t>Lilian Maliszewski Wasielewski</t>
  </si>
  <si>
    <t>Luana Oliveira dos Santos Nascimento</t>
  </si>
  <si>
    <t>Luciana Blanck</t>
  </si>
  <si>
    <t>Lurdes Daiane Correa Cickorski</t>
  </si>
  <si>
    <t>Setor: Gestão Escola Arlindo Bonifácio Pires : Ensino Fundamental</t>
  </si>
  <si>
    <t>Decisao Judicial Piso Nacional Fundeb</t>
  </si>
  <si>
    <t>Classe Nivel</t>
  </si>
  <si>
    <t>Vencimento Basico</t>
  </si>
  <si>
    <t>Decisao Judicial</t>
  </si>
  <si>
    <t>VALOR PISO NACIONAL</t>
  </si>
  <si>
    <t>EXERCICIO</t>
  </si>
  <si>
    <t>VALOR 40H</t>
  </si>
  <si>
    <t>VALOR 20H</t>
  </si>
  <si>
    <t>VALOR 22H</t>
  </si>
  <si>
    <t>VALOR 25H</t>
  </si>
  <si>
    <t>CLASSE</t>
  </si>
  <si>
    <t>E</t>
  </si>
  <si>
    <t>F</t>
  </si>
  <si>
    <t>NIVEL</t>
  </si>
  <si>
    <t>CARGA HORARIA 20 HORAS</t>
  </si>
  <si>
    <t>CARGA HORARIA 22 HORAS</t>
  </si>
  <si>
    <t>CARGA HORARIA 25 HORAS</t>
  </si>
  <si>
    <t>TAXA DE CRESCIMENTO CLASSE:</t>
  </si>
  <si>
    <t>CARGA HORARIA 40 HORAS</t>
  </si>
  <si>
    <t>Margarida Pazutti</t>
  </si>
  <si>
    <t>Maria Margarete de Araujo Martins</t>
  </si>
  <si>
    <t>Melissa Lopes Meyer</t>
  </si>
  <si>
    <t>Rosane Irma S. Kornaleswski</t>
  </si>
  <si>
    <t>Rosangela Medeiros</t>
  </si>
  <si>
    <t>Solange de Ávila Wojcieckowski</t>
  </si>
  <si>
    <t>Solange Cristina  Peter Miritz</t>
  </si>
  <si>
    <t>Vanessa da Silva Pereira</t>
  </si>
  <si>
    <t>Viviana Wachholz Bartz</t>
  </si>
  <si>
    <t>Zeli Terezinha Félix da Silva</t>
  </si>
  <si>
    <t>Carla Berenice Pogorzelski Pitana</t>
  </si>
  <si>
    <t>Setor: Gestão Escola Santa Luzia : Educação Infantil</t>
  </si>
  <si>
    <t>Daiane Morais Silva</t>
  </si>
  <si>
    <t>Juliana Dummer Meyer Schmechel</t>
  </si>
  <si>
    <t>Linda Keiti Ferreira da Rocha</t>
  </si>
  <si>
    <t>Magda Josiane Pereira  dos Santos</t>
  </si>
  <si>
    <t>Criscieli Dering Bierhals</t>
  </si>
  <si>
    <t>Setor: Gestão Escola Santa Luzia : Educação Especial</t>
  </si>
  <si>
    <t>Fabiana Isquierdo Vasconcelos</t>
  </si>
  <si>
    <t>Setor: Gestão Escola Santa Luzia : Educação de Jovens e Adultos</t>
  </si>
  <si>
    <t>Ione Cristina Schereski</t>
  </si>
  <si>
    <t>Karine Andrade Buchorn</t>
  </si>
  <si>
    <t>Lenice Teresinha Mesquita</t>
  </si>
  <si>
    <t>Renata Lencine Chagas</t>
  </si>
  <si>
    <t>Adriane Tavares Bilhalva</t>
  </si>
  <si>
    <t>Ana Dionéia Kleinowska</t>
  </si>
  <si>
    <t xml:space="preserve"> Angelita Gianechini Lopes</t>
  </si>
  <si>
    <t>Antonio Cleomir Correa Gomes</t>
  </si>
  <si>
    <t>Camila Holz Kruger</t>
  </si>
  <si>
    <t>Clair Zoá Araújo Gonçalves</t>
  </si>
  <si>
    <t>Eliezer Soares Priebe</t>
  </si>
  <si>
    <t>Pedagogo</t>
  </si>
  <si>
    <t>Fabiane Bittencourt dos Santos</t>
  </si>
  <si>
    <t>Francisco da Silva Sant’anna</t>
  </si>
  <si>
    <t>Janda Bilhalva Abel</t>
  </si>
  <si>
    <t>Liane Zembruski Gomes</t>
  </si>
  <si>
    <t>Luciana Nunes Venske</t>
  </si>
  <si>
    <t>Lucio Cristiano Schereski</t>
  </si>
  <si>
    <t>Mônica Lacerda da Costa</t>
  </si>
  <si>
    <t>Roselaine Pires Correa</t>
  </si>
  <si>
    <t>Rafaela de Oliveira Sampaio Vieira</t>
  </si>
  <si>
    <t>Setor: Gestão Escola Arlindo Bonifácio Pires : Educação Infantil</t>
  </si>
  <si>
    <t>Michele Damé de Souza</t>
  </si>
  <si>
    <t>Setor: Gestão Escola Arlindo Bonifácio Pires : Educação Especial</t>
  </si>
  <si>
    <t>Lisiane Rosales da Costa Altemburg</t>
  </si>
  <si>
    <t>Emei Sonho de Crinça</t>
  </si>
  <si>
    <t>Alana Pires Nunes</t>
  </si>
  <si>
    <t>Setor: Gestão Emei Sonho de Criança: Professores</t>
  </si>
  <si>
    <t>Andreia Bierhals Finkenauer</t>
  </si>
  <si>
    <t>Fernanda O Meager Feistauer</t>
  </si>
  <si>
    <t xml:space="preserve">Ieda fátima da Silva Brandeburski </t>
  </si>
  <si>
    <t>Josi Luciana Figueira Schneider</t>
  </si>
  <si>
    <t>Tailine Medeiros Salgado</t>
  </si>
  <si>
    <t>Setor de Alimentação Escolar</t>
  </si>
  <si>
    <t>Izaque Longarai de Lacerda</t>
  </si>
  <si>
    <t>Chefe de Manutenção Centro de Eventos</t>
  </si>
  <si>
    <t>Setor: Cultuta</t>
  </si>
  <si>
    <t>Diretor de Cultura</t>
  </si>
  <si>
    <t>Diretor de Esportes</t>
  </si>
  <si>
    <t>Setor: Desporto</t>
  </si>
  <si>
    <t>Contrarado</t>
  </si>
  <si>
    <t>Setor: Gestão e Coordenação</t>
  </si>
  <si>
    <t>TOTAL Contratados</t>
  </si>
  <si>
    <t>Sec. Mun. de Saúde</t>
  </si>
  <si>
    <t>Medico Clino Geral</t>
  </si>
  <si>
    <t>Setor: Gestão Unidade Básica de Saúde</t>
  </si>
  <si>
    <t>Tecnico em Enfermagem</t>
  </si>
  <si>
    <t>João Amancio da Rocha Farias</t>
  </si>
  <si>
    <t>Assessor de Serviços da Saúde</t>
  </si>
  <si>
    <t>Setor: Gestão Farmácia</t>
  </si>
  <si>
    <t>Fonoaudiólogo</t>
  </si>
  <si>
    <t>Setor: Gestão Unidade Odontologia</t>
  </si>
  <si>
    <t>Setor: Gestão Depart. Nutrição</t>
  </si>
  <si>
    <t>Setor: Departamento Meio Ambiente</t>
  </si>
  <si>
    <t>SMAGMA</t>
  </si>
  <si>
    <t>Miguel Wasielewski</t>
  </si>
  <si>
    <t>Coorde Meio Amb.</t>
  </si>
  <si>
    <t>Enio Vanderlei Jacobsen</t>
  </si>
  <si>
    <t>SECRETARIO MUN. DA AGRIC. E MEIO AMB.</t>
  </si>
  <si>
    <t>Setor:  Gestão Unidade de Agricultura</t>
  </si>
  <si>
    <t>Setor:  Gestão Unidade de Pecuária</t>
  </si>
  <si>
    <t>Edu Anderson Roloff Bierhalss</t>
  </si>
  <si>
    <t>Marcelo Lauffer Laguna</t>
  </si>
  <si>
    <t>Raissa de Azevedo Hass</t>
  </si>
  <si>
    <t>Setor: Gestão CRAS</t>
  </si>
  <si>
    <t>CHEFE DEPTO ASSIST. SOC.</t>
  </si>
  <si>
    <t>DIRETOR DA ADMINISTRAÇÃO</t>
  </si>
  <si>
    <t>SEC. MUN. DA ASSIST. SOOCIAL</t>
  </si>
  <si>
    <t>SUBSIDIO</t>
  </si>
  <si>
    <t>TOTAL SUBSIDIO</t>
  </si>
  <si>
    <t>Cargo Novo</t>
  </si>
  <si>
    <t>Contador</t>
  </si>
  <si>
    <t>MA - MEDIA DE AUMENTOS</t>
  </si>
  <si>
    <t>ALTERAÇÕES DO PADRÃO REFERENCIA DO MUNICIPIO</t>
  </si>
  <si>
    <t>EXERCÍCIO</t>
  </si>
  <si>
    <t xml:space="preserve">LEI </t>
  </si>
  <si>
    <t>PREVISTO ( INFLAÇÃO + AUM. REAL)</t>
  </si>
  <si>
    <t>DEMONSTRATIVO DAS  RECEITAS E DESPESAS VINCULADAS AO FUNDO MUNICIPAL DO MEIO
AMBIENTE – FUNDEMA, CRIADO PELA LEI MUNICIPAL 1143/2018
Lei Federal nº 4.320/64, art. 2º, § 2º, inciso I e  Art. 8º, § 1º, V cc art. 12, § 2º da LDO</t>
  </si>
  <si>
    <t>Gratificação Lei 1130</t>
  </si>
  <si>
    <t>Setor: Gestão PAIF ( 1161)</t>
  </si>
  <si>
    <t xml:space="preserve">Setor: Gestão CRAS </t>
  </si>
  <si>
    <t>Estado do Rio Grande do Sul</t>
  </si>
  <si>
    <t>Município de Chuvisca</t>
  </si>
  <si>
    <t>Projeção da Folha de Pagamento para o Exercício de 2019</t>
  </si>
  <si>
    <t>Despesas Poder Legislativo</t>
  </si>
  <si>
    <t>Projeto:</t>
  </si>
  <si>
    <t> 1</t>
  </si>
  <si>
    <t>REALIZAÇÃO DE NOVOS INVESTIMENTOS</t>
  </si>
  <si>
    <t>Custo de Aquis.: Obrigacoes Tributarias e Contributivas</t>
  </si>
  <si>
    <t>Custo de Aquis.:Material De Consumo</t>
  </si>
  <si>
    <t>Custo de Aquis.: Servicos - Pessoa Fisica</t>
  </si>
  <si>
    <t>Custo de Aquis.:Serviços - Pessoa Juridica</t>
  </si>
  <si>
    <t>Custo de Aquis.:Obras e Instalacoes</t>
  </si>
  <si>
    <t>401/400</t>
  </si>
  <si>
    <t>Custo de Aquis.: Equipamentos e Material Permanente</t>
  </si>
  <si>
    <t>502/500</t>
  </si>
  <si>
    <t>Aquisição de Equipamentos de Informática</t>
  </si>
  <si>
    <t>501/500</t>
  </si>
  <si>
    <t>Aquisição de Equipamentos Diversos</t>
  </si>
  <si>
    <t>Custo de Aquis.: Aquisição de Imóveis</t>
  </si>
  <si>
    <t>Atividade:</t>
  </si>
  <si>
    <t>GESTÃO , APOIO E MANUT., COORDEN. E PLANEJAMENTO</t>
  </si>
  <si>
    <t>Despesa</t>
  </si>
  <si>
    <t>Descrição da Despesa</t>
  </si>
  <si>
    <t>Aplicação</t>
  </si>
  <si>
    <t>Folha Pgtº: Venc. e Prev. Servidores Contratados</t>
  </si>
  <si>
    <t>Folha Pgtº: Serv Efet C.C e Ag. Polit</t>
  </si>
  <si>
    <t>701/700</t>
  </si>
  <si>
    <t>Vencimentos Servidores C.C.</t>
  </si>
  <si>
    <t>705/700</t>
  </si>
  <si>
    <t>Verba Idenizatória</t>
  </si>
  <si>
    <t>703/700</t>
  </si>
  <si>
    <t>Férias Servidores C.C.</t>
  </si>
  <si>
    <t>704/700</t>
  </si>
  <si>
    <t>Subsídios Vereadores</t>
  </si>
  <si>
    <t>702/700</t>
  </si>
  <si>
    <t>13º Salário Servidores C.C.</t>
  </si>
  <si>
    <t>Folha Pgtº: Contrib. Patronal Previdênciária</t>
  </si>
  <si>
    <t>801/800</t>
  </si>
  <si>
    <t>Contrib. Prev. Patronal Serv. C.C.</t>
  </si>
  <si>
    <t>802/800</t>
  </si>
  <si>
    <t>Contrib. Prev. Patronal Vereadores</t>
  </si>
  <si>
    <t>Folha Pgtº: Sessões e Convocações Extraordinárias</t>
  </si>
  <si>
    <t>Substituição de Servidores P/Serviços Terceiros</t>
  </si>
  <si>
    <t>Folha Pgtº: Indenizacoes Trabalhistas</t>
  </si>
  <si>
    <t>1002/1000</t>
  </si>
  <si>
    <t>13º Salário - Indenizacoes Trabalhistas</t>
  </si>
  <si>
    <t>1001/1000</t>
  </si>
  <si>
    <t>Férias e 1/3 de Férias - Indenizacoes Trabalhistas</t>
  </si>
  <si>
    <t>Diarias</t>
  </si>
  <si>
    <t>1102/1100</t>
  </si>
  <si>
    <t>Diarias Vereadores</t>
  </si>
  <si>
    <t>1103/1100</t>
  </si>
  <si>
    <t>Diarias Presidente Legislativo</t>
  </si>
  <si>
    <t>1101/1100</t>
  </si>
  <si>
    <t>Diarias Serv. C.C.</t>
  </si>
  <si>
    <t>Material De Consumo</t>
  </si>
  <si>
    <t>1207/1200</t>
  </si>
  <si>
    <t>Material P/Audio, Video E Foto</t>
  </si>
  <si>
    <t>1205/1200</t>
  </si>
  <si>
    <t>Material de Limpeza e Higienização</t>
  </si>
  <si>
    <t>1206/1200</t>
  </si>
  <si>
    <t>Material de Copa e Cozinha</t>
  </si>
  <si>
    <t>1201/1200</t>
  </si>
  <si>
    <t>Material de Expediente</t>
  </si>
  <si>
    <t>1202/1200</t>
  </si>
  <si>
    <t>Material de Processamento de Dados</t>
  </si>
  <si>
    <t>1203/1200</t>
  </si>
  <si>
    <t>Generos De Alimentacao</t>
  </si>
  <si>
    <t>1204/1200</t>
  </si>
  <si>
    <t>Material P/Manutencao de Bens Imoveis</t>
  </si>
  <si>
    <t>Passagens E Despesas Com Locomocao</t>
  </si>
  <si>
    <t>1301/1300</t>
  </si>
  <si>
    <t>Despesas  C/Locomocao</t>
  </si>
  <si>
    <t>Servicos De Consultoria</t>
  </si>
  <si>
    <t>Servicos De - Pessoa Fisica</t>
  </si>
  <si>
    <t>1502/1500</t>
  </si>
  <si>
    <t>Servicos Tecnicos Profissionais</t>
  </si>
  <si>
    <t>1501/1500</t>
  </si>
  <si>
    <t>Servicos de Limpeza e Conservacao</t>
  </si>
  <si>
    <t>Servicos De -Pessoa Juridica</t>
  </si>
  <si>
    <t>Manutenção Pagina WEB</t>
  </si>
  <si>
    <t>1612/1600</t>
  </si>
  <si>
    <t>Treinamento Vereadores</t>
  </si>
  <si>
    <t>1613/1600</t>
  </si>
  <si>
    <t>Servicos Bancários</t>
  </si>
  <si>
    <t>1602/1600</t>
  </si>
  <si>
    <t>Conta de Energia Eletrica</t>
  </si>
  <si>
    <t>1601/1600</t>
  </si>
  <si>
    <t>1608/1600</t>
  </si>
  <si>
    <t>Assoc., Federações e Conf.: Uvergs, Etc.</t>
  </si>
  <si>
    <t>Conta Telefone Fixo</t>
  </si>
  <si>
    <t>Conta Telefone Celular</t>
  </si>
  <si>
    <t>Conta Acesso a Internet</t>
  </si>
  <si>
    <t>1614/1600</t>
  </si>
  <si>
    <t>Serviços de Publicidade Legal</t>
  </si>
  <si>
    <t>1603/1600</t>
  </si>
  <si>
    <t>Conta de Agua</t>
  </si>
  <si>
    <t>Manutenção de Equip. de Informática</t>
  </si>
  <si>
    <t>Locação de Sistemas de Informática</t>
  </si>
  <si>
    <t>1611/1600</t>
  </si>
  <si>
    <t>Treinamento de Servidores C.C.</t>
  </si>
  <si>
    <t>1616/1600</t>
  </si>
  <si>
    <t>Manutencao e Conservacao de Bens Imoveis</t>
  </si>
  <si>
    <t>Auxilio - Alimentacao</t>
  </si>
  <si>
    <t>Obrigacoes Tributarias E Contributivas</t>
  </si>
  <si>
    <t>1702/1700</t>
  </si>
  <si>
    <t>Multas Contribuições Federais</t>
  </si>
  <si>
    <t>1701/1700</t>
  </si>
  <si>
    <t>Contrib. Patronal Prev. S/Servços P. Física</t>
  </si>
  <si>
    <t>1703/1700</t>
  </si>
  <si>
    <t>Juros Contribuições Federais</t>
  </si>
  <si>
    <t>Despesas de Exercicios Anteriores</t>
  </si>
  <si>
    <t>Ressarcimento de Despesa</t>
  </si>
  <si>
    <t>1802/1800</t>
  </si>
  <si>
    <t>Ressarcimento de Despesas</t>
  </si>
  <si>
    <t>1801/1800</t>
  </si>
  <si>
    <t>Gratificação Lei 1068/2017</t>
  </si>
  <si>
    <t>Obras E Instalacoes</t>
  </si>
  <si>
    <t>Equipamentos E Material Permanente</t>
  </si>
  <si>
    <t>CENTRO CUSTO</t>
  </si>
  <si>
    <t>CONTAS: EXECUÇÃO/CONTABIL</t>
  </si>
  <si>
    <t>600 BENS IMOVEIS EM ANDAMENTO - CAMARA</t>
  </si>
  <si>
    <t>95 EQUIPAMENTOS DE INFORMATICA - CAMARA</t>
  </si>
  <si>
    <t>1758 Aquisição de Equipamentos Diversos</t>
  </si>
  <si>
    <t>824 PROVISÃO PARA 13º SALÁRIO CÂMARA</t>
  </si>
  <si>
    <t>834 PROVISÃO PARA FÉRIAS - CÂMARA</t>
  </si>
  <si>
    <t>33 e 42</t>
  </si>
  <si>
    <t>Projeto: 1.00.1.000</t>
  </si>
  <si>
    <t>Atividade: 2.002.000</t>
  </si>
  <si>
    <t>Vencimentos</t>
  </si>
  <si>
    <t>SERVIÇOS DE TECNOLOGIA DA INFORMAÇÃO E COMUNICAÇÃO - PJ</t>
  </si>
  <si>
    <t>1641/1640</t>
  </si>
  <si>
    <t>1642/1641</t>
  </si>
  <si>
    <t>1643/1642</t>
  </si>
  <si>
    <t>1644/1643</t>
  </si>
  <si>
    <t>Serviços MEI</t>
  </si>
  <si>
    <t>Serviços P. Jurídia</t>
  </si>
  <si>
    <t xml:space="preserve">Empresas MEI </t>
  </si>
  <si>
    <t>Agricultura Familiar</t>
  </si>
  <si>
    <t xml:space="preserve">Empresas </t>
  </si>
  <si>
    <t>01 - CÂMARA MUNICIPAL DE VEREADORES</t>
  </si>
  <si>
    <t>Unidade:</t>
  </si>
  <si>
    <t>Órgão:</t>
  </si>
  <si>
    <t>Un. Gestora:</t>
  </si>
  <si>
    <t>01 - CÂMARA MUNICIPAL</t>
  </si>
  <si>
    <t>CYLON IVO NUNES</t>
  </si>
  <si>
    <t>VEREADOR</t>
  </si>
  <si>
    <t xml:space="preserve">Câmara </t>
  </si>
  <si>
    <t>Câmara</t>
  </si>
  <si>
    <t xml:space="preserve">Setor: Câmara de Vereadores </t>
  </si>
  <si>
    <t>Vencimentos/C.C./Subsídios</t>
  </si>
  <si>
    <t>Auxilio Alimentação</t>
  </si>
  <si>
    <t>Dias Trab.</t>
  </si>
  <si>
    <t>FABIANO AVILA DA ROCHA</t>
  </si>
  <si>
    <t>HELIO JOSE LANGHANZ</t>
  </si>
  <si>
    <t>IEDA FATIMA DA SILVA BRANDEBURSKI</t>
  </si>
  <si>
    <t>JOSE ALTAIR NEUGEBAUER E SILVA</t>
  </si>
  <si>
    <t>LUIZ CARLOS WESTPHAL DUMMER</t>
  </si>
  <si>
    <t>MARCIO LUIZ JASKULSKI</t>
  </si>
  <si>
    <t>SERGIO LUIZ BUENO DE OLIVEIRA</t>
  </si>
  <si>
    <t>VINO PETER</t>
  </si>
  <si>
    <t>LUCIA ANDREA DA SILVA TAVARES</t>
  </si>
  <si>
    <t>DIRETOR DA CAMARA</t>
  </si>
  <si>
    <t>SCHEILA CRISTINE FINKENAUER</t>
  </si>
  <si>
    <t>ASSESSOR DA PRESIDENCIA</t>
  </si>
  <si>
    <t>SERGIO VINICIOS BIERHALS</t>
  </si>
  <si>
    <t>ASSESSOR JURIDICO</t>
  </si>
  <si>
    <t>CARGA HORARIA</t>
  </si>
  <si>
    <t>Reposição Salarial</t>
  </si>
  <si>
    <t>Verba de Representação 45% do Subsídio</t>
  </si>
  <si>
    <t>Férias Indenizadas</t>
  </si>
  <si>
    <t>13º Salário Vereadores</t>
  </si>
  <si>
    <t>706/700</t>
  </si>
  <si>
    <t>803/800</t>
  </si>
  <si>
    <t>Contrib. Prev. Patronal S/Substituição de Servidores</t>
  </si>
  <si>
    <t>804/800</t>
  </si>
  <si>
    <t>Contrib. Prev. Patronal S/Sessões e Convocações Extraordinárias</t>
  </si>
  <si>
    <t>805/800</t>
  </si>
  <si>
    <t>806/800</t>
  </si>
  <si>
    <t xml:space="preserve">Valor Referência em Vigor para calculo vencimentos </t>
  </si>
  <si>
    <t>Outras Obras e Instalações</t>
  </si>
  <si>
    <t xml:space="preserve">Valor de Ajuste </t>
  </si>
  <si>
    <t>Despesas</t>
  </si>
  <si>
    <t>Valor máximo para as despesas do Poder Legislativo</t>
  </si>
  <si>
    <t>Obras e Instalacoes</t>
  </si>
  <si>
    <t>Valor máximo conforme DLMLDPL</t>
  </si>
  <si>
    <t>Fixado para 2019</t>
  </si>
  <si>
    <t>Despesas do Poder Executivo</t>
  </si>
  <si>
    <t>Gabinete do Prefeito</t>
  </si>
  <si>
    <t>01 - Gabinte do Prefeito</t>
  </si>
  <si>
    <t>02 - PREFEITURA MUNICIPAL DE CHUVISCA</t>
  </si>
  <si>
    <t>Programa:</t>
  </si>
  <si>
    <t>Função:</t>
  </si>
  <si>
    <t>Subfunção</t>
  </si>
  <si>
    <t>Legislativa</t>
  </si>
  <si>
    <t>Ação Legislativa</t>
  </si>
  <si>
    <t>Administração</t>
  </si>
  <si>
    <t>Administração Geral</t>
  </si>
  <si>
    <t>GESTÃO, COOR., PLAN. E APOIO AO PROC. LEGISLATIVO</t>
  </si>
  <si>
    <t xml:space="preserve">GESTÃO, COORDENAÇÃO E PLANEJAMENTO </t>
  </si>
  <si>
    <t>00 - Geral</t>
  </si>
  <si>
    <t> 17</t>
  </si>
  <si>
    <t>NOVOS INVESTIMENTOS EM PROTEÇÃO E SEGURANÇA</t>
  </si>
  <si>
    <t>Obrigacoes Tributarias e Contributivas</t>
  </si>
  <si>
    <t>Outros Servicos - Pessoa Fisica</t>
  </si>
  <si>
    <t>Outros Servicos - Pessoa Jurídica</t>
  </si>
  <si>
    <t>Equipamentos e Material Permanente</t>
  </si>
  <si>
    <t>3601/3600</t>
  </si>
  <si>
    <t>Transferencias  A Consórcios Públicos: Rateio Contrato 006-2017</t>
  </si>
  <si>
    <t>Folha Pgtoº: Serv Efet. C.C. e Ag. Polit</t>
  </si>
  <si>
    <t>3802/3800</t>
  </si>
  <si>
    <t>Subsídios Prefeito Municipal</t>
  </si>
  <si>
    <t>3801/3800</t>
  </si>
  <si>
    <t>3806/3800</t>
  </si>
  <si>
    <t>13º Salário Prefeito Municipal</t>
  </si>
  <si>
    <t>3803/3800</t>
  </si>
  <si>
    <t>Gratificação Lei 463 Comissão de Sindicancia</t>
  </si>
  <si>
    <t>Gratificação Lei 233/2001 Comissão de Controle Interno</t>
  </si>
  <si>
    <t>3805/3800</t>
  </si>
  <si>
    <t>Folha Pgtoº: Obrigacoes Patronais</t>
  </si>
  <si>
    <t>3902/3900</t>
  </si>
  <si>
    <t>Contrib. Patronal Prev. - Prefeito Municipal</t>
  </si>
  <si>
    <t>3901/3900</t>
  </si>
  <si>
    <t>Contrib. Patronal Prev. - Servidores C.C.</t>
  </si>
  <si>
    <t>4101/4100</t>
  </si>
  <si>
    <t>Indenizacoes Trabalhistas Férias Serv. C.C.</t>
  </si>
  <si>
    <t>4102/4100</t>
  </si>
  <si>
    <t>Indenizacoes Trabalhistas13º Salário Serv. C.C.</t>
  </si>
  <si>
    <t>Diárias</t>
  </si>
  <si>
    <t>4203/4200</t>
  </si>
  <si>
    <t>Diárias Prefeito Municipal</t>
  </si>
  <si>
    <t>4204/4200</t>
  </si>
  <si>
    <t>Diárias Servidores C.C</t>
  </si>
  <si>
    <t>4201/4200</t>
  </si>
  <si>
    <t>Diárias Servidores Contratados</t>
  </si>
  <si>
    <t>4202/4200</t>
  </si>
  <si>
    <t>Diárias Servidores Efetivos</t>
  </si>
  <si>
    <t>4310/4300</t>
  </si>
  <si>
    <t>Gêneros Alimentícios - Aq. imediata</t>
  </si>
  <si>
    <t>4304/4300</t>
  </si>
  <si>
    <t>Suprimentos de Informática - Aq. Imediata</t>
  </si>
  <si>
    <t>4307/4300</t>
  </si>
  <si>
    <t>Materiaial Elétrico - Aq. Imediata</t>
  </si>
  <si>
    <t>4306/4300</t>
  </si>
  <si>
    <t>Materiais e Autopeças Veículo IXE 9035</t>
  </si>
  <si>
    <t>4302/4300</t>
  </si>
  <si>
    <t>Material para Homenagens, Recepções e Festividades</t>
  </si>
  <si>
    <t>4303/4300</t>
  </si>
  <si>
    <t>Material de Expediente - Aq. Imediata</t>
  </si>
  <si>
    <t>4308/4300</t>
  </si>
  <si>
    <t>Material Bibliografico</t>
  </si>
  <si>
    <t>4309/4300</t>
  </si>
  <si>
    <t>4301/4300</t>
  </si>
  <si>
    <t>Combustiveis Veículo Placas IXE 9035</t>
  </si>
  <si>
    <t>4305/4300</t>
  </si>
  <si>
    <t>Graxas e Lubrificantes Veículo IXE 9035</t>
  </si>
  <si>
    <t>4311/4300</t>
  </si>
  <si>
    <t>Material P/Manutencao De Bens Imoveis</t>
  </si>
  <si>
    <t>Passagens e Despesas com Locomocao</t>
  </si>
  <si>
    <t>4402/4400</t>
  </si>
  <si>
    <t>Despesas Com Locomocao Servidores</t>
  </si>
  <si>
    <t>4401/4400</t>
  </si>
  <si>
    <t>Despesas Com Locomocao: Prefeito Municipal</t>
  </si>
  <si>
    <t>Servicos De - Pessoa Jurídica</t>
  </si>
  <si>
    <t>4701/4700</t>
  </si>
  <si>
    <t>Servicos Diversos</t>
  </si>
  <si>
    <t>4707/4700</t>
  </si>
  <si>
    <t>Serviços Gráficos</t>
  </si>
  <si>
    <t>4704/4700</t>
  </si>
  <si>
    <t>Manutenção Veículo IXE 9035</t>
  </si>
  <si>
    <t>4702/4700</t>
  </si>
  <si>
    <t>Mensalidades: Famurs, CNM, AMZCS</t>
  </si>
  <si>
    <t>4708/4700</t>
  </si>
  <si>
    <t>Seguros Veiculo Placas IXE 9035</t>
  </si>
  <si>
    <t>4703/4700</t>
  </si>
  <si>
    <t>4710/4700</t>
  </si>
  <si>
    <t>Assinaturas de Periodicos e Anuidades</t>
  </si>
  <si>
    <t>4709/4700</t>
  </si>
  <si>
    <t>Estagiários</t>
  </si>
  <si>
    <t>4711/4700</t>
  </si>
  <si>
    <t>Multas Veiculo Placas IXE 9035</t>
  </si>
  <si>
    <t>4901/4900</t>
  </si>
  <si>
    <t>Contrib. Patron. Prev. S/Serv. Veiculo IXE 9035</t>
  </si>
  <si>
    <t>Auxilio-transporte</t>
  </si>
  <si>
    <t>Indenizacoes e Restituicoes</t>
  </si>
  <si>
    <t>5101/5100</t>
  </si>
  <si>
    <t>5301/5300</t>
  </si>
  <si>
    <t>Equipamentos - Informatica</t>
  </si>
  <si>
    <t>APOIO A SEGURANÇA PÚBLICA</t>
  </si>
  <si>
    <t>5403/5400</t>
  </si>
  <si>
    <t>5405/5400</t>
  </si>
  <si>
    <t>5402/5400</t>
  </si>
  <si>
    <t>Material Eletrico</t>
  </si>
  <si>
    <t>5404/5400</t>
  </si>
  <si>
    <t>Material Diversos</t>
  </si>
  <si>
    <t>5406/5400</t>
  </si>
  <si>
    <t>Gas de Cozinha</t>
  </si>
  <si>
    <t>5401/5400</t>
  </si>
  <si>
    <t>Material e Peças P/Veiculo Brigada Militar</t>
  </si>
  <si>
    <t>5501/5500</t>
  </si>
  <si>
    <t>Locação de Imóveis</t>
  </si>
  <si>
    <t>5602/5600</t>
  </si>
  <si>
    <t>Conta de Energia Eletrica Brigada Militar</t>
  </si>
  <si>
    <t>5603/5600</t>
  </si>
  <si>
    <t>Conta de Agua Brigada Militar</t>
  </si>
  <si>
    <t>5601/5600</t>
  </si>
  <si>
    <t>Manutenção Veiculo Brigada Militar</t>
  </si>
  <si>
    <t>5604/5600</t>
  </si>
  <si>
    <t>Serviços Tecnicos Profissionais Brigada Militar</t>
  </si>
  <si>
    <t>5605/5600</t>
  </si>
  <si>
    <t>Despesa com Fretes e Encomendas - Brigada Militar</t>
  </si>
  <si>
    <t>5901/5900</t>
  </si>
  <si>
    <t>Equipamentos de Informática</t>
  </si>
  <si>
    <t>PROMOÇÃO DA DEFESA CIVIL</t>
  </si>
  <si>
    <t>5981/5980</t>
  </si>
  <si>
    <t>Diárias Serv. Efetivos</t>
  </si>
  <si>
    <t>Material, Bem ou Serviço para Distribuição Gratuita</t>
  </si>
  <si>
    <t>6121/6120</t>
  </si>
  <si>
    <t>Material, Bem ou Serviço para Distribuição Gratuita Diversos</t>
  </si>
  <si>
    <t>GESTÃO E DESENV. DA PROT. E SEGURANÇA DA POPULACAO</t>
  </si>
  <si>
    <t>Policiamento</t>
  </si>
  <si>
    <t>Conselho Tut.: Obrig Trib. e Contributivas</t>
  </si>
  <si>
    <t>Conselho Tut.: Material de Consumo</t>
  </si>
  <si>
    <t>Conselho Tut.: Prest. de Serv. P. Física</t>
  </si>
  <si>
    <t>Conselho Tut.: Prest. de Serv. P. Jurídica</t>
  </si>
  <si>
    <t>Conselho Tut.: Obras e Instalações</t>
  </si>
  <si>
    <t>Conselho Tut.: Equipamentos e Mat. Permanente</t>
  </si>
  <si>
    <t>Conselho Tut.: Folha PGTº: Servidores Contratados</t>
  </si>
  <si>
    <t>Conselho Tut.: Folha PGTº: Serv. Efetivos., C.C. e Conselheiros</t>
  </si>
  <si>
    <t>58101/58100</t>
  </si>
  <si>
    <t>Remuneracao dos Conselheiros Tutelares</t>
  </si>
  <si>
    <t>Conselho Tut.: Folha PGTº: Obrigações Patronais</t>
  </si>
  <si>
    <t>58201/58200</t>
  </si>
  <si>
    <t>Contrib. Patronal Prev. Conselheiros Tutelares</t>
  </si>
  <si>
    <t>Conselho Tut.: Folha PGTº: Hora Extra</t>
  </si>
  <si>
    <t>Conselho Tut.: Folha PGTº: Indenizações Trabalhistas</t>
  </si>
  <si>
    <t>Conselho Tut.: Diarias</t>
  </si>
  <si>
    <t>58501/58500</t>
  </si>
  <si>
    <t>Diarias Conselheiros Tutelares</t>
  </si>
  <si>
    <t>58504/58500</t>
  </si>
  <si>
    <t>Diarias Servidores C.C.</t>
  </si>
  <si>
    <t>58503/58500</t>
  </si>
  <si>
    <t>Diarias Servidores Contratados</t>
  </si>
  <si>
    <t>58502/58500</t>
  </si>
  <si>
    <t>Diarias Servidores Efetivos</t>
  </si>
  <si>
    <t>Conselho Tut.: Materiais de Consumo</t>
  </si>
  <si>
    <t>58609/58600</t>
  </si>
  <si>
    <t>Material P/Manutenção de Prédios - Aq. Imediata</t>
  </si>
  <si>
    <t>58601/58600</t>
  </si>
  <si>
    <t>Generos Alimentícios - Aq. Imediata</t>
  </si>
  <si>
    <t>58602/58600</t>
  </si>
  <si>
    <t>Generos Alimentícios - Almoxarifado</t>
  </si>
  <si>
    <t>58603/58600</t>
  </si>
  <si>
    <t>58604/58600</t>
  </si>
  <si>
    <t>Material de Expediente - Almoxarifado</t>
  </si>
  <si>
    <t>58605/58600</t>
  </si>
  <si>
    <t>Material de Copa e Cozinha - Aq. Imediata</t>
  </si>
  <si>
    <t>58606/58600</t>
  </si>
  <si>
    <t>Material de Copa e Cozinha - Almoxarifado</t>
  </si>
  <si>
    <t>58607/58600</t>
  </si>
  <si>
    <t>Material de Limpeza e Higienaização - Aq. Imediata</t>
  </si>
  <si>
    <t>58608/58600</t>
  </si>
  <si>
    <t>Material de Limpeza e Higienaização - Almoxarifado</t>
  </si>
  <si>
    <t>58610/58600</t>
  </si>
  <si>
    <t>Graxas e Lubrificantes ITP 0262 - Aq. Imediata</t>
  </si>
  <si>
    <t>58611/58600</t>
  </si>
  <si>
    <t>Materiais e Autopecas ITP 0262 - Aq. Imediata</t>
  </si>
  <si>
    <t>58612/58600</t>
  </si>
  <si>
    <t>Gas de Cozinha -  Aq. Imediata</t>
  </si>
  <si>
    <t>Conselho Tut.: Despesas com Locomocao</t>
  </si>
  <si>
    <t>Conselho Tut.: Servicos de Consultoria</t>
  </si>
  <si>
    <t>58901/58900</t>
  </si>
  <si>
    <t>59001/59000</t>
  </si>
  <si>
    <t>Conta Energia Eletrica</t>
  </si>
  <si>
    <t>59003/59000</t>
  </si>
  <si>
    <t>Serviços Diversos</t>
  </si>
  <si>
    <t>59002/59000</t>
  </si>
  <si>
    <t>59004/59000</t>
  </si>
  <si>
    <t>Conta Agua</t>
  </si>
  <si>
    <t>Conselho Tut.: Auxilio-Alimentacao</t>
  </si>
  <si>
    <t>Conselho Tut.: Obrig Tributaveis</t>
  </si>
  <si>
    <t>Conselho Tut.: Auxilio-Transporte</t>
  </si>
  <si>
    <t>Conselho Tut.: Despesas de Exercícios Anteriores</t>
  </si>
  <si>
    <t>Conselho Tut.: Ressarcimento de Despesas</t>
  </si>
  <si>
    <t>Conselho Tut.: Materiais Adquiridos Através de Consórcio</t>
  </si>
  <si>
    <t>Conselho Tut.: Equipamentos e Material Permanente</t>
  </si>
  <si>
    <t>59801/59800</t>
  </si>
  <si>
    <t>Conselho Tut.: Equipamentos de Informática</t>
  </si>
  <si>
    <t>Apoio ao Conselho Tutelar</t>
  </si>
  <si>
    <t xml:space="preserve">GESTÃO , APOIO E MANUTENÇÃO , COORDENAÇÃO E PLANEJAMENTO </t>
  </si>
  <si>
    <t>Total da Unidade: 02 - PREFEITURA MUNICIPAL DE CHUVISCA</t>
  </si>
  <si>
    <t>Total do Órgão: 01 - Gabinte do Prefeito</t>
  </si>
  <si>
    <t>Total do Órgão: 01 - CÂMARA MUNICIPAL DE VEREADORES</t>
  </si>
  <si>
    <t>Total da Unidade: 01 - CÂMARA MUNICIPAL DE VEREADORES</t>
  </si>
  <si>
    <t>828 - PROVISÃO PARA 13º SALÁRIO PREFEITURA</t>
  </si>
  <si>
    <t>837 - PROVISÃO PARA FÉRIAS PREFEITURA</t>
  </si>
  <si>
    <t>104 e 105</t>
  </si>
  <si>
    <t>794, 795, 796 e 2317</t>
  </si>
  <si>
    <t>107 e 108</t>
  </si>
  <si>
    <t>87, 88 e 89</t>
  </si>
  <si>
    <t>111 e 112</t>
  </si>
  <si>
    <t>97 - EQUIPAMENTOS DE INFORMATICA - PREFEITURA</t>
  </si>
  <si>
    <t>30 - GENEROS  ALIMENTICIOS - PREFEITURA</t>
  </si>
  <si>
    <t>35 - MATERIAL DE EXPEDIENTE - PREFEITURA</t>
  </si>
  <si>
    <t>28 - MATETERIAL DE CONSUMO -  PREFEITURA</t>
  </si>
  <si>
    <t>1445 e 1446</t>
  </si>
  <si>
    <t>1303 e 1880</t>
  </si>
  <si>
    <t>123 e 2292</t>
  </si>
  <si>
    <t>133 e 137</t>
  </si>
  <si>
    <t xml:space="preserve">SUPORTE DE INFRAESTRUTURA DE T.I.C. </t>
  </si>
  <si>
    <t>MANUTENCAO E CONSERVACAO DE EQUIPAMENTOS DE T.I.C.</t>
  </si>
  <si>
    <t xml:space="preserve">OUTROS SERVIÇOS DE T.I.C. </t>
  </si>
  <si>
    <t>4801/4800</t>
  </si>
  <si>
    <t>INDENIZACAO AUXILIO-ALIMENTACAO</t>
  </si>
  <si>
    <t>59101/59100</t>
  </si>
  <si>
    <t>59044/59040</t>
  </si>
  <si>
    <t>4.8.2.1.3.00.00.00.0000</t>
  </si>
  <si>
    <t>4.8.2.1.3.00.11.02.0000</t>
  </si>
  <si>
    <t>4.8.0.0.0.00.00.00.0000</t>
  </si>
  <si>
    <t>4.8.2.0.0.00.00.00.0000</t>
  </si>
  <si>
    <t>4.8.2.1.0.00.00.00.0000</t>
  </si>
  <si>
    <t>4.8.2.1.3.00.11.00.0000</t>
  </si>
  <si>
    <t>4.8.2.1.3.00.11.02.0100</t>
  </si>
  <si>
    <t>4002 - Alienação de bens adquiridos com recursos da Saúde</t>
  </si>
  <si>
    <t>Receitas De Capital - Intra Orçamentária</t>
  </si>
  <si>
    <t>Alienacao De Bens  - Intra Orçamentária</t>
  </si>
  <si>
    <t>Alienacao De Bens Moveis  - Intra Orçamentária</t>
  </si>
  <si>
    <t>Alienacao De Bens Moveis E Semoventes - Intra Orçamentária</t>
  </si>
  <si>
    <t>Alienacao De Bens Moveis E Semoventes - Principal - Intra Orçamentária</t>
  </si>
  <si>
    <t>Alienacao De Bens Moveis E Semoventes - Principal - Exceto Rpps - Intra Orçamentária</t>
  </si>
  <si>
    <t>Alienação de Veículos Ad. Com Recursos Saúde</t>
  </si>
  <si>
    <t>Alienação de Veículos Ad. Com Recursos Educação</t>
  </si>
  <si>
    <t>Alienação de Veículos Ad. Com Recursos Próprios</t>
  </si>
  <si>
    <t>Alienação de bens adquiridos com recursos da Saúde</t>
  </si>
  <si>
    <t>ESTE TEM POR OBJETIVO REGISTRAR AS RECEITAS E DESPESA de Alienação de bens adquiridos com recursos da SaúdeMUNICIPALIZACAO SOLIDARIA</t>
  </si>
  <si>
    <t>Alienação de bens adquiridos com recursos da Educação</t>
  </si>
  <si>
    <t>Alienação de bens adquiridos com recursos Próprios</t>
  </si>
  <si>
    <t>ESTE TEM POR OBJETIVO REGISTRAR AS RECEITAS E DESPESAS DE Alienação de bens adquiridos com recursos da Educação</t>
  </si>
  <si>
    <t>ESTE TEM POR OBJETIVO REGISTRAR AS RECEITAS E DESPESAS DE Alienação de bens adquiridos com recursos Próprios</t>
  </si>
  <si>
    <t>1036 - Alienação de bens adquiridos com recursos da Educação</t>
  </si>
  <si>
    <t>Alienação de Veículos Ad. com Recursos Saúde</t>
  </si>
  <si>
    <t>Alienação de Veículos Ad. com Recursos Educação</t>
  </si>
  <si>
    <t>Alienação de Veículos ad. Com Recursos Saúde</t>
  </si>
  <si>
    <t>Alienação de Veículos ad. Com Recursos Educação</t>
  </si>
  <si>
    <t>Alienação de Veículos ad. Com Recursos Próprios</t>
  </si>
  <si>
    <t>02 - SECRETARIA MUNICIPAL DA ADMINISTRAÇÃO</t>
  </si>
  <si>
    <t> 2</t>
  </si>
  <si>
    <t>REALIZAÇÃO DE NOVOS INVEST. DO PODER EXECUTIVO</t>
  </si>
  <si>
    <t>Custo de Aquis.: Obrigacoes Tributarias E Contributivas</t>
  </si>
  <si>
    <t>Custo de Aquis.: Material De Consumo</t>
  </si>
  <si>
    <t>Custo de Aquis.: Outros Serviços - Pessoa Física</t>
  </si>
  <si>
    <t>Custo de Aquis.: Outros Serviços - Pessoa Jurídica</t>
  </si>
  <si>
    <t>Custo de Aquis.: Obras E Instalacoes</t>
  </si>
  <si>
    <t>Custo de Aquis.: Equipamentos E Material Permanente</t>
  </si>
  <si>
    <t>7501/7500</t>
  </si>
  <si>
    <t>Equipamentos de Informatica</t>
  </si>
  <si>
    <t>7502/7500</t>
  </si>
  <si>
    <t>Equipamentos Diversos</t>
  </si>
  <si>
    <t>Custo de Aquis.: Aquisicao de Imoveis</t>
  </si>
  <si>
    <t>7704/7700</t>
  </si>
  <si>
    <t>7701/7700</t>
  </si>
  <si>
    <t>Férias Servidores Efetivos</t>
  </si>
  <si>
    <t>7703/7700</t>
  </si>
  <si>
    <t>7706/7700</t>
  </si>
  <si>
    <t>7707/7700</t>
  </si>
  <si>
    <t>Anuênio</t>
  </si>
  <si>
    <t>7702/7700</t>
  </si>
  <si>
    <t>Vencimentos Servidores Efetivos</t>
  </si>
  <si>
    <t>7712/7700</t>
  </si>
  <si>
    <t>Férias Sec. Mun. da Administração</t>
  </si>
  <si>
    <t>7711/7700</t>
  </si>
  <si>
    <t>13º Salario Sec. Mun. Administração</t>
  </si>
  <si>
    <t>7708/7700</t>
  </si>
  <si>
    <t>Subsidio Sec. Mun. Administração</t>
  </si>
  <si>
    <t>7709/7700</t>
  </si>
  <si>
    <t>13 Salario Servidores Efetivos</t>
  </si>
  <si>
    <t>7710/7700</t>
  </si>
  <si>
    <t>13º Salario Servidores C.C.</t>
  </si>
  <si>
    <t>7803/7800</t>
  </si>
  <si>
    <t>Contrib. Patron. Previdencia  Sec. Mun. Administração</t>
  </si>
  <si>
    <t>7801/7800</t>
  </si>
  <si>
    <t>Contrib. Patron. Previdencia Serv. Efetivos</t>
  </si>
  <si>
    <t>7802/7800</t>
  </si>
  <si>
    <t>Contrib. Patron. Previdencia Serv. C.C.</t>
  </si>
  <si>
    <t>7902/7900</t>
  </si>
  <si>
    <t>Horas Extras Servidores Contratados</t>
  </si>
  <si>
    <t>7901/7900</t>
  </si>
  <si>
    <t>Horas Extras Servidores Efetivos</t>
  </si>
  <si>
    <t>8004/8000</t>
  </si>
  <si>
    <t>Indenizacoes Trabalhistas 13º Salário Serv.  C.C.</t>
  </si>
  <si>
    <t>8002/8000</t>
  </si>
  <si>
    <t>Indenizacoes Trabalhistas 13º Salário Serv. Efetivos</t>
  </si>
  <si>
    <t>8001/8000</t>
  </si>
  <si>
    <t>Indenizacoes Trabalhistas Férias Serv. Efetivos</t>
  </si>
  <si>
    <t>8003/8000</t>
  </si>
  <si>
    <t>8101/8100</t>
  </si>
  <si>
    <t>Diarias  Servidores Efetivos</t>
  </si>
  <si>
    <t>8103/8100</t>
  </si>
  <si>
    <t>Diarias Sec. Mun. Administração</t>
  </si>
  <si>
    <t>8104/8100</t>
  </si>
  <si>
    <t>8102/8100</t>
  </si>
  <si>
    <t>Diarias  Servidores C.C.</t>
  </si>
  <si>
    <t>8214/8200</t>
  </si>
  <si>
    <t>Combustiveis P/Veiculo Placas ITP 0262</t>
  </si>
  <si>
    <t>8201/8200</t>
  </si>
  <si>
    <t>Generos de Alimentacao - Aq. Imediata</t>
  </si>
  <si>
    <t>8207/8200</t>
  </si>
  <si>
    <t>8210/8200</t>
  </si>
  <si>
    <t>8211/8200</t>
  </si>
  <si>
    <t>Material Eletrico - Aq. Imediata</t>
  </si>
  <si>
    <t>8212/8200</t>
  </si>
  <si>
    <t>Materiais Diversos - Aq. Imediata</t>
  </si>
  <si>
    <t>8213/8200</t>
  </si>
  <si>
    <t>Material P/Manutencao de Imóveis - Aq. Imediata</t>
  </si>
  <si>
    <t>8205/8200</t>
  </si>
  <si>
    <t>Material Limpeza Prod. Higienização - Aq. Imediata</t>
  </si>
  <si>
    <t>8206/8200</t>
  </si>
  <si>
    <t>Material Limpeza Prod. Higienização - Almaxarifado</t>
  </si>
  <si>
    <t>8204/8200</t>
  </si>
  <si>
    <t>8203/8200</t>
  </si>
  <si>
    <t>8209/8200</t>
  </si>
  <si>
    <t>Gas de  Cozinha - Aq. Imediata</t>
  </si>
  <si>
    <t>8208/8200</t>
  </si>
  <si>
    <t>8202/8200</t>
  </si>
  <si>
    <t>Generos de Alimentacao - Almoxarifado</t>
  </si>
  <si>
    <t>8301/8300</t>
  </si>
  <si>
    <t>Despesas C/Locomocao</t>
  </si>
  <si>
    <t>Servicos de Consultoria</t>
  </si>
  <si>
    <t>8606/8400</t>
  </si>
  <si>
    <t>Servicos de Assessoria e  Consultoria DPM</t>
  </si>
  <si>
    <t>Servicos - Pessoa Fisica</t>
  </si>
  <si>
    <t>8502/8500</t>
  </si>
  <si>
    <t>8501/8500</t>
  </si>
  <si>
    <t>8601/8600</t>
  </si>
  <si>
    <t>8602/8600</t>
  </si>
  <si>
    <t>Servico Treinamento: Serv. Efetivos</t>
  </si>
  <si>
    <t>8604/8600</t>
  </si>
  <si>
    <t>Serviço de Publicidade Legal</t>
  </si>
  <si>
    <t>8610/8600</t>
  </si>
  <si>
    <t>Conta Energia</t>
  </si>
  <si>
    <t>8615/8600</t>
  </si>
  <si>
    <t>Estagiarios</t>
  </si>
  <si>
    <t>8612/8600</t>
  </si>
  <si>
    <t>Conta de Agua Cod. Imóvel 20324200</t>
  </si>
  <si>
    <t>8605/8600</t>
  </si>
  <si>
    <t>8618/8600</t>
  </si>
  <si>
    <t>Servicos Graficos</t>
  </si>
  <si>
    <t>8616/8600</t>
  </si>
  <si>
    <t>Serviço De Publicidade De Utilidade Pública</t>
  </si>
  <si>
    <t>8609/8600</t>
  </si>
  <si>
    <t>Conta Energia U.C. 24480878</t>
  </si>
  <si>
    <t>8603/8600</t>
  </si>
  <si>
    <t>Servico Treinamento: Serv. C.C.e Secret. Mun. Adm.</t>
  </si>
  <si>
    <t>8802/8800</t>
  </si>
  <si>
    <t>Obrig Trib.e Contrib.S/Serv. Tec. Profissionais</t>
  </si>
  <si>
    <t>8801/8800</t>
  </si>
  <si>
    <t>Contrib. Patron. Prev. S/Serv. P. Jurídica e M.E.I.</t>
  </si>
  <si>
    <t>8901/8900</t>
  </si>
  <si>
    <t>AuxilioTransporte Servidores Efetivos</t>
  </si>
  <si>
    <t>8902/8900</t>
  </si>
  <si>
    <t>Auxilio Transporte Servidores Contratados</t>
  </si>
  <si>
    <t>9003/9000</t>
  </si>
  <si>
    <t>Despesas de Exercicios Anteriores: Ressarcimento de Despesas</t>
  </si>
  <si>
    <t>9001/9000</t>
  </si>
  <si>
    <t>9004/9000</t>
  </si>
  <si>
    <t>Serviços Tecnicos</t>
  </si>
  <si>
    <t>9002/9000</t>
  </si>
  <si>
    <t>9101/9100</t>
  </si>
  <si>
    <t>Materiais Adquiridos Através de Consórcio</t>
  </si>
  <si>
    <t>9401/9400</t>
  </si>
  <si>
    <t>8701/8700</t>
  </si>
  <si>
    <t>Total da Unidade: 03 - PREFEITURA MUNICIPAL DE CHUVISCA</t>
  </si>
  <si>
    <t>Total do Órgão: 02 - SECRETARIA MUNICIPAL DA ADMINISTRAÇÃO</t>
  </si>
  <si>
    <t>Custo de Aquis.: Servicos - Pessoa Jurídica</t>
  </si>
  <si>
    <t>10301/10300</t>
  </si>
  <si>
    <t>Custo de Aquis.: Obras e Instalacoes</t>
  </si>
  <si>
    <t>10502/10500</t>
  </si>
  <si>
    <t>10501/10500</t>
  </si>
  <si>
    <t>10710/10700</t>
  </si>
  <si>
    <t>13º Salário Serv. C.C.</t>
  </si>
  <si>
    <t>10701/10700</t>
  </si>
  <si>
    <t>10702/10700</t>
  </si>
  <si>
    <t>10703/10700</t>
  </si>
  <si>
    <t>10705/10700</t>
  </si>
  <si>
    <t>Ferias Serv. Efetivos</t>
  </si>
  <si>
    <t>10706/10700</t>
  </si>
  <si>
    <t>Premio Assiduidade</t>
  </si>
  <si>
    <t>10707/10700</t>
  </si>
  <si>
    <t>10708/10700</t>
  </si>
  <si>
    <t>Subsídio Sec. Mun. Fazenda</t>
  </si>
  <si>
    <t>10709/10700</t>
  </si>
  <si>
    <t>13º Salário Serv. Efetivos</t>
  </si>
  <si>
    <t>10801/10800</t>
  </si>
  <si>
    <t>Contrib. Patronal Prev. Serv. Efetivos</t>
  </si>
  <si>
    <t>10803/10800</t>
  </si>
  <si>
    <t>Contrib. Patronal Prev. Sec. Mun. Fazenda</t>
  </si>
  <si>
    <t>10802/10800</t>
  </si>
  <si>
    <t>Contrib. Patronal Prev. Serv. C.C.</t>
  </si>
  <si>
    <t>10901/10900</t>
  </si>
  <si>
    <t>11001/11000</t>
  </si>
  <si>
    <t>Férias Indenizacoes Trabalhistas Serv. C.C.</t>
  </si>
  <si>
    <t>11006/11000</t>
  </si>
  <si>
    <t>13º Salário Indenizacoes Trabalhistas Serv. Efetivos</t>
  </si>
  <si>
    <t>11002/11000</t>
  </si>
  <si>
    <t>13º Salário Indenizacoes Trabalhistas Serv. C.C.</t>
  </si>
  <si>
    <t>11003/11000</t>
  </si>
  <si>
    <t>Férias Indenizacoes Trabalhistas Serv. Efetivos</t>
  </si>
  <si>
    <t>11004/11000</t>
  </si>
  <si>
    <t>Férias Indenizacoes Trabalhistas Sec. Mun. Fazenda</t>
  </si>
  <si>
    <t>11005/11000</t>
  </si>
  <si>
    <t>13º Salário Indenizacoes Trabalhistas Sec. Mun. Fazenda</t>
  </si>
  <si>
    <t>11104/11100</t>
  </si>
  <si>
    <t>Diarias  Sec. Mun. Fazenda</t>
  </si>
  <si>
    <t>11102/11100</t>
  </si>
  <si>
    <t>11103/11100</t>
  </si>
  <si>
    <t>11101/11100</t>
  </si>
  <si>
    <t>Material de Consumo</t>
  </si>
  <si>
    <t>11206/11200</t>
  </si>
  <si>
    <t>11205/11200</t>
  </si>
  <si>
    <t>Gas de Cozinha - Aq. Imediata</t>
  </si>
  <si>
    <t>11204/11200</t>
  </si>
  <si>
    <t>11207/11200</t>
  </si>
  <si>
    <t>11202/11200</t>
  </si>
  <si>
    <t>11201/11200</t>
  </si>
  <si>
    <t>11203/11200</t>
  </si>
  <si>
    <t>Material P/Manutencao de Bens Imoveis - Aq. Imediata</t>
  </si>
  <si>
    <t>Premiações</t>
  </si>
  <si>
    <t>11401/11400</t>
  </si>
  <si>
    <t>Desp. com Locomoção</t>
  </si>
  <si>
    <t>11711/11700</t>
  </si>
  <si>
    <t>11707/11700</t>
  </si>
  <si>
    <t>Conta Tel. Fixo</t>
  </si>
  <si>
    <t>11703/11700</t>
  </si>
  <si>
    <t>Treinamento de Servidores: Serv. Efet., Contrt., C.C. e Sec.</t>
  </si>
  <si>
    <t>11706/11700</t>
  </si>
  <si>
    <t>Conta Internet Movel  99940-8343 Tributação</t>
  </si>
  <si>
    <t>11702/11700</t>
  </si>
  <si>
    <t>Serviço Diversos</t>
  </si>
  <si>
    <t>11709/11700</t>
  </si>
  <si>
    <t>11705/11700</t>
  </si>
  <si>
    <t>Serviços Graficos</t>
  </si>
  <si>
    <t>11701/11700</t>
  </si>
  <si>
    <t>11713/11700</t>
  </si>
  <si>
    <t>Prestação de Serviços Integração Tributária</t>
  </si>
  <si>
    <t>11901/11900</t>
  </si>
  <si>
    <t>Contribuição Patronal Prev. S/Serviços P. Juridica e MEI</t>
  </si>
  <si>
    <t>Auxilio-Transporte</t>
  </si>
  <si>
    <t>12001/12000</t>
  </si>
  <si>
    <t>Auxilio Transporte Servidores Efetivos</t>
  </si>
  <si>
    <t>12201/12200</t>
  </si>
  <si>
    <t>12501/12500</t>
  </si>
  <si>
    <t>Equipamentos de Informática - Estoque Almoxarifado</t>
  </si>
  <si>
    <t>12502/12500</t>
  </si>
  <si>
    <t>Equipamentos de Informática - Aq. Imediata</t>
  </si>
  <si>
    <t>Tecnologia da Informação</t>
  </si>
  <si>
    <t>Total do Órgão: 03 - SECRETARIA MUNICIPAL DA FAZENDA</t>
  </si>
  <si>
    <t>9501/9500</t>
  </si>
  <si>
    <t>9502/9500</t>
  </si>
  <si>
    <t>9503/9500</t>
  </si>
  <si>
    <t>9504/9500</t>
  </si>
  <si>
    <t>59851/59850</t>
  </si>
  <si>
    <t>59852/59850</t>
  </si>
  <si>
    <t>59853/59850</t>
  </si>
  <si>
    <t>5351/5350</t>
  </si>
  <si>
    <t>Custo de Aquis.: Material de Consumo</t>
  </si>
  <si>
    <t>13101/13100</t>
  </si>
  <si>
    <t>Equipamento de Monitoramento e Vigilancia</t>
  </si>
  <si>
    <t>Custo de Aquis.: Outros Servicos - Pessoa Fisica</t>
  </si>
  <si>
    <t>Custo de Aquis.: Outros Servicos - Pessoa Jurídica</t>
  </si>
  <si>
    <t>13301/13300</t>
  </si>
  <si>
    <t>Serviços de Instalação de Equipamento de Monitoramento e Vigilancia</t>
  </si>
  <si>
    <t>Custo de Aquis.: Obras e Instalação</t>
  </si>
  <si>
    <t>Custo de Aquis.: Equip. e Mat Perm.</t>
  </si>
  <si>
    <t>13502/13500</t>
  </si>
  <si>
    <t>13501/13500</t>
  </si>
  <si>
    <t>Eletrodomesticos</t>
  </si>
  <si>
    <t> 3</t>
  </si>
  <si>
    <t>NOVOS INVESTIMENTOS EM INFRAESTRUTURA</t>
  </si>
  <si>
    <t>Infraest. Urbana: Obrig. Trib. e Contributivas</t>
  </si>
  <si>
    <t>Coleta e Distrib. de Lixo: Obrig. Trib. e Contributivas</t>
  </si>
  <si>
    <t>Infraest. Viária:  Obrig Trib. e Contrib.</t>
  </si>
  <si>
    <t>Infraest. Urbana: Material de Consumo</t>
  </si>
  <si>
    <t>Coleta e Distrib. de Lixo: Material de Consumo</t>
  </si>
  <si>
    <t>Infraest. Viária: Material de Consumo</t>
  </si>
  <si>
    <t>Infraest. Urbana: Prest. de Serv. P. Física</t>
  </si>
  <si>
    <t>Coleta e Distrib. de Lixo: Prest. de Serv. P. Física</t>
  </si>
  <si>
    <t>Infraest. Viária: Prest. de Serv. P. Física</t>
  </si>
  <si>
    <t>Infraest. Urbana: Prest. de Serv. P. Jurídica</t>
  </si>
  <si>
    <t>Coleta e Distrib. de Lixo: Prest. de Serv. P. Jurídica</t>
  </si>
  <si>
    <t>Infraest. Viária: Prest. de Serv. P. Jurídica</t>
  </si>
  <si>
    <t>Infraest. Urbana: Obras e Instalacoes</t>
  </si>
  <si>
    <t>Coleta e Distrib. de Lixo: Obras e Instalações</t>
  </si>
  <si>
    <t>Infraest. Viária: Obras e Instalacoes</t>
  </si>
  <si>
    <t>24402/24400</t>
  </si>
  <si>
    <t>Construção do Centro de Operações Integradas</t>
  </si>
  <si>
    <t>24401/24400</t>
  </si>
  <si>
    <t>Construção de Abrigos de Passageiros</t>
  </si>
  <si>
    <t>Infraest. Urbana: Equipamentos e Material Permanente</t>
  </si>
  <si>
    <t>Coleta e Distrib. de Lixo: Equipamentos e Material Permanente</t>
  </si>
  <si>
    <t>Infraest. Viária: Equipamentos e Material Permanente</t>
  </si>
  <si>
    <t>Infr. Viária: Ex. Cont. Part. Prop. nº 047637/17 P/Retr. e Rolo Comp.</t>
  </si>
  <si>
    <t>Infraest. Viária: Ex. Prop. nº 047637/17 P/Retroesc. e Rolo Compressor</t>
  </si>
  <si>
    <t>Folha PGTº: Servidores Contratados</t>
  </si>
  <si>
    <t>Folha PGTº: Serv. Efetivos., C.C. e Agente Politico</t>
  </si>
  <si>
    <t>14102/14100</t>
  </si>
  <si>
    <t>14106/14100</t>
  </si>
  <si>
    <t>14107/14100</t>
  </si>
  <si>
    <t>Subsidio Sec. Mun. Obras, Viação e Serv. Urbanos</t>
  </si>
  <si>
    <t>14104/14100</t>
  </si>
  <si>
    <t>14111/14100</t>
  </si>
  <si>
    <t>13 Salario Servidores C.C.</t>
  </si>
  <si>
    <t>14109/14100</t>
  </si>
  <si>
    <t>14101/14100</t>
  </si>
  <si>
    <t>Férias  Serv. Efetivos</t>
  </si>
  <si>
    <t>14105/14100</t>
  </si>
  <si>
    <t>Abono de Permanencia</t>
  </si>
  <si>
    <t>14103/14100</t>
  </si>
  <si>
    <t>14110/14100</t>
  </si>
  <si>
    <t>13º Salário Sec. Mun. Obras, Viação e Serv. Urb.</t>
  </si>
  <si>
    <t>14108/14100</t>
  </si>
  <si>
    <t>Folha PGTº: Obrigações Patronais</t>
  </si>
  <si>
    <t>14203/14200</t>
  </si>
  <si>
    <t>Contrib. Patronais Prev. Sec. Mun. Obras, Viação e Serv. Urbanos</t>
  </si>
  <si>
    <t>14204/14200</t>
  </si>
  <si>
    <t>Contrib. Patronais Prev. Substituição de Servidores</t>
  </si>
  <si>
    <t>14201/14200</t>
  </si>
  <si>
    <t>Contrib. Patronais Prev. Serv. Efetivos</t>
  </si>
  <si>
    <t>14202/14200</t>
  </si>
  <si>
    <t>Contrib. Patronais Prev. Serv. C.C.</t>
  </si>
  <si>
    <t>Folha PGTº: Hora Extra</t>
  </si>
  <si>
    <t>14301/14300</t>
  </si>
  <si>
    <t>14302/14300</t>
  </si>
  <si>
    <t>14351/14350</t>
  </si>
  <si>
    <t>Folha PGTº: Indenizações Trabalhistas</t>
  </si>
  <si>
    <t>14403/14400</t>
  </si>
  <si>
    <t>Férias Indenizadas Servidor C.C.</t>
  </si>
  <si>
    <t>14406/14400</t>
  </si>
  <si>
    <t>13º Salário Indenizado Sec. Mun. Obras, Viação e Serv. Urbanos</t>
  </si>
  <si>
    <t>14402/14400</t>
  </si>
  <si>
    <t>13º Salário Indenizado Servidor Efetivo</t>
  </si>
  <si>
    <t>14401/14400</t>
  </si>
  <si>
    <t>Férias Indenizadas Servidor Efetivo</t>
  </si>
  <si>
    <t>14405/14400</t>
  </si>
  <si>
    <t>Férias Indenizadas Sec. Mun. Obras, Viação e Serv. Urbanos</t>
  </si>
  <si>
    <t>14404/14400</t>
  </si>
  <si>
    <t>13º Salário Indenizado Servidor C.C.</t>
  </si>
  <si>
    <t>14505/14500</t>
  </si>
  <si>
    <t>14501/14500</t>
  </si>
  <si>
    <t>14503/14500</t>
  </si>
  <si>
    <t>Diarias Rural Servidores Efetivos</t>
  </si>
  <si>
    <t>14504/14500</t>
  </si>
  <si>
    <t>14506/14500</t>
  </si>
  <si>
    <t>Diarias Sec. Mun. Obras Viacao e Serv. Urbanos</t>
  </si>
  <si>
    <t>14502/14500</t>
  </si>
  <si>
    <t>Diarias Rural Servidores Contratado</t>
  </si>
  <si>
    <t>14611/14600</t>
  </si>
  <si>
    <t>14605/14600</t>
  </si>
  <si>
    <t>Generos Alimenticios - Almoxarifado</t>
  </si>
  <si>
    <t>14608/14600</t>
  </si>
  <si>
    <t>14606/14600</t>
  </si>
  <si>
    <t>14609/14600</t>
  </si>
  <si>
    <t>14601/14600</t>
  </si>
  <si>
    <t>Material De Expediente - Aq. Imediata</t>
  </si>
  <si>
    <t>14603/14600</t>
  </si>
  <si>
    <t>Material de Limpeza e Igienização- Aq. Imediata</t>
  </si>
  <si>
    <t>14610/14600</t>
  </si>
  <si>
    <t>Outros Materiais De Consumo</t>
  </si>
  <si>
    <t>14602/14600</t>
  </si>
  <si>
    <t>Material De Expediente - Almoxarifado</t>
  </si>
  <si>
    <t>14607/14600</t>
  </si>
  <si>
    <t>14604/14600</t>
  </si>
  <si>
    <t>Material de Limpeza e Igienização- Almoxarifado</t>
  </si>
  <si>
    <t>Despesas com Locomocao</t>
  </si>
  <si>
    <t>14701/14700</t>
  </si>
  <si>
    <t>Serviços de Consultoria</t>
  </si>
  <si>
    <t>Servicos de Terceiros - Pessoa Fisica</t>
  </si>
  <si>
    <t>14902/14900</t>
  </si>
  <si>
    <t>14901/14900</t>
  </si>
  <si>
    <t>Servicos de Terceiros - Pessoa Jurídica</t>
  </si>
  <si>
    <t>15005/15000</t>
  </si>
  <si>
    <t>15004/15000</t>
  </si>
  <si>
    <t>Treinamento de Servidores: Efetivos, Contratados, C.C. e Sec.</t>
  </si>
  <si>
    <t>15001/15000</t>
  </si>
  <si>
    <t>15007/15000</t>
  </si>
  <si>
    <t>15003/15000</t>
  </si>
  <si>
    <t>15006/15000</t>
  </si>
  <si>
    <t>15002/15000</t>
  </si>
  <si>
    <t>Contrato DRC-262/2014-AB</t>
  </si>
  <si>
    <t>15008/15000</t>
  </si>
  <si>
    <t>Auxilio-alimentação</t>
  </si>
  <si>
    <t>Obrig Trib. E Contrib. S/Serv. Terceiros P. Física e M.E.I.</t>
  </si>
  <si>
    <t>15201/15200</t>
  </si>
  <si>
    <t>15302/15300</t>
  </si>
  <si>
    <t>Auxilio Transporte Serv. Contratados</t>
  </si>
  <si>
    <t>15301/15300</t>
  </si>
  <si>
    <t>Auxilio Transporte Serv. Efetivos</t>
  </si>
  <si>
    <t>Despesas de Exercícios Anteriores</t>
  </si>
  <si>
    <t>15501/15500</t>
  </si>
  <si>
    <t>APOIO A MANUTENÇÃO EM INFRAESTRUTURA</t>
  </si>
  <si>
    <t>Man. Infraest. Urbana: Folha PGTº: Servidores Contratados</t>
  </si>
  <si>
    <t>Coleta e Distrib. de Lixo: Folha PGTº: Servidores Contratados</t>
  </si>
  <si>
    <t>Man. Infraest. Viária: Folha PGTº: Servidores Contratados</t>
  </si>
  <si>
    <t>25001/25000</t>
  </si>
  <si>
    <t>25003/25000</t>
  </si>
  <si>
    <t>25002/25000</t>
  </si>
  <si>
    <t>Contrib. Patronais Previdencia social</t>
  </si>
  <si>
    <t>Man. Infraest. Urbuanos: Folha PGTº: Serv. Efet, C.C. e Ag. Politico</t>
  </si>
  <si>
    <t>Coleta e Distrib. de Lixo: Folha PGTº: Serv. Efet.., C.C. e Ag. Pol.</t>
  </si>
  <si>
    <t>Man. Infraest. Viária: Folha PGTº: Serv. Efet, C.C. e Ag. Politico</t>
  </si>
  <si>
    <t>25105/25100</t>
  </si>
  <si>
    <t>25101/25100</t>
  </si>
  <si>
    <t>25102/25100</t>
  </si>
  <si>
    <t>25103/25100</t>
  </si>
  <si>
    <t>25104/25100</t>
  </si>
  <si>
    <t>25106/25100</t>
  </si>
  <si>
    <t>25107/25100</t>
  </si>
  <si>
    <t>25108/25100</t>
  </si>
  <si>
    <t>13º Salário Servidores Efetivos</t>
  </si>
  <si>
    <t>25109/25100</t>
  </si>
  <si>
    <t>Man. Infraest. Urbana: Folha PGTº: Obrigações Patronais</t>
  </si>
  <si>
    <t>Coleta e Distrib. de Lixo:Folha PGTº: Obrigações Patronais</t>
  </si>
  <si>
    <t>Man. Infraest. Viária: Folha PGTº: Obrigações Patronais</t>
  </si>
  <si>
    <t>25202/25200</t>
  </si>
  <si>
    <t>25201/25200</t>
  </si>
  <si>
    <t>Man. Infraest. Urbana: Folha PGTº: Hora Extra</t>
  </si>
  <si>
    <t>Coleta e Distrib. de Lixo: Folha PGTº: Hora Extra</t>
  </si>
  <si>
    <t>Man. Infraest. Viária: Folha PGTº: Hora Extra</t>
  </si>
  <si>
    <t>25301/25300</t>
  </si>
  <si>
    <t>25302/25300</t>
  </si>
  <si>
    <t>Man. Infraest. Viária: Substituição de Servidores P/Serviços</t>
  </si>
  <si>
    <t>Man. Infraest. Urbana: Folha PGTº: Indenizações Trabalhistas</t>
  </si>
  <si>
    <t>Coleta e Distrib. de Lixo: Folha PGTº: Indenizações Trabalhistas</t>
  </si>
  <si>
    <t>Man. Infraest. Viária: Folha PGTº: Indenizações Trabalhistas</t>
  </si>
  <si>
    <t>25402/25400</t>
  </si>
  <si>
    <t>13º Salário Indenizações Trabalhistas Serv. Contratados</t>
  </si>
  <si>
    <t>25401/25400</t>
  </si>
  <si>
    <t>Férias Indenizações Trabalhistas Serv. Contratados</t>
  </si>
  <si>
    <t>Man. Infraest. Urbuanos:Diarias</t>
  </si>
  <si>
    <t>Coleta e Distrib. de Lixo:Diarias</t>
  </si>
  <si>
    <t>21502/21500</t>
  </si>
  <si>
    <t>21501/21500</t>
  </si>
  <si>
    <t>Man. Infraest. Viária: Diárias</t>
  </si>
  <si>
    <t>25502/25500</t>
  </si>
  <si>
    <t>Diária Rural Servidores Contratados</t>
  </si>
  <si>
    <t>25501/25500</t>
  </si>
  <si>
    <t>Diária Rural Servidores Efetivos</t>
  </si>
  <si>
    <t>Man. Infraest. Urbana: Material de Consumo</t>
  </si>
  <si>
    <t>18602/18600</t>
  </si>
  <si>
    <t>Material P/Manutenção da Rede de Iluminação Pública</t>
  </si>
  <si>
    <t>18604/18600</t>
  </si>
  <si>
    <t>Material P/Protecção e Segurança</t>
  </si>
  <si>
    <t>18601/18600</t>
  </si>
  <si>
    <t>Material Para Manutenção da Roçadeira</t>
  </si>
  <si>
    <t>18603/18600</t>
  </si>
  <si>
    <t>Material P/Manutenção da Avenida 28 de Dezembro</t>
  </si>
  <si>
    <t>21602/21600</t>
  </si>
  <si>
    <t>Combustivel Veiculo IHL 6621</t>
  </si>
  <si>
    <t>21601/21600</t>
  </si>
  <si>
    <t>Combustivel Veiculo IVR 0147</t>
  </si>
  <si>
    <t>21603/21600</t>
  </si>
  <si>
    <t>Combustivel Veiculo IHL 6579</t>
  </si>
  <si>
    <t>Man. Infraest. Viária: Materiais de Consumo</t>
  </si>
  <si>
    <t>25601/25600</t>
  </si>
  <si>
    <t>Material e Autop. P/Man. Moton. 845B</t>
  </si>
  <si>
    <t>25602/25600</t>
  </si>
  <si>
    <t>Lubrificantes Veículos Placas IQV 8399</t>
  </si>
  <si>
    <t>25603/25600</t>
  </si>
  <si>
    <t>Materia e Autop. P/Manutenção Retro JCB</t>
  </si>
  <si>
    <t>25604/25600</t>
  </si>
  <si>
    <t>Material e Autop. P/Man. Motoniv.135H</t>
  </si>
  <si>
    <t>25605/25600</t>
  </si>
  <si>
    <t>Material e Autop. P/Man. Caminhão IHL 6621</t>
  </si>
  <si>
    <t>25606/25600</t>
  </si>
  <si>
    <t>Material e Autop. P/Man. Moton. 120H</t>
  </si>
  <si>
    <t>25607/25600</t>
  </si>
  <si>
    <t>Material e Autop. P/Man. Caminhão IHL 6579</t>
  </si>
  <si>
    <t>25608/25600</t>
  </si>
  <si>
    <t>Material e Autop. P/Man. Caminhão IVR 0147</t>
  </si>
  <si>
    <t>25609/25600</t>
  </si>
  <si>
    <t>Material e Autop. P/Veículos Placas INZ 9457</t>
  </si>
  <si>
    <t>25610/25600</t>
  </si>
  <si>
    <t>Material e Peças P/Retroescavadeira Case 580 4X2</t>
  </si>
  <si>
    <t>25612/25600</t>
  </si>
  <si>
    <t>Materiais Ponte Travessa do Manecão</t>
  </si>
  <si>
    <t>25613/25600</t>
  </si>
  <si>
    <t>Materiais Ponte Travessa do Antero</t>
  </si>
  <si>
    <t>25614/25600</t>
  </si>
  <si>
    <t>Materiais P/Pontes - Almoxarifado</t>
  </si>
  <si>
    <t>25615/25600</t>
  </si>
  <si>
    <t>Graxas e Lubrificantes P/Man. Caminhão IHL 6621</t>
  </si>
  <si>
    <t>25616/25600</t>
  </si>
  <si>
    <t>Material P/Rocadeira Hidraulica</t>
  </si>
  <si>
    <t>25617/25600</t>
  </si>
  <si>
    <t>Combustivel Veículo INZ 9457</t>
  </si>
  <si>
    <t>25618/25600</t>
  </si>
  <si>
    <t>Combustivel Veículo IHL 6621</t>
  </si>
  <si>
    <t>25619/25600</t>
  </si>
  <si>
    <t>Combustivel Veículo IHL 6579</t>
  </si>
  <si>
    <t>25620/25600</t>
  </si>
  <si>
    <t>Combustivel Veículo IVR 0147</t>
  </si>
  <si>
    <t>25621/25600</t>
  </si>
  <si>
    <t>Combustivel Veículo ABK 7176</t>
  </si>
  <si>
    <t>25622/25600</t>
  </si>
  <si>
    <t>Combustivel Veículo IQV 8399</t>
  </si>
  <si>
    <t>25623/25600</t>
  </si>
  <si>
    <t>Combustivel Motoniv. 135H</t>
  </si>
  <si>
    <t>25624/25600</t>
  </si>
  <si>
    <t>Combustivel Motoniv. 120H</t>
  </si>
  <si>
    <t>25627/25600</t>
  </si>
  <si>
    <t>Combustivel Retroescavadeira CASE 4X2</t>
  </si>
  <si>
    <t>25625/25600</t>
  </si>
  <si>
    <t>Combustivel Motoniv. CASE 845B</t>
  </si>
  <si>
    <t>25626/25600</t>
  </si>
  <si>
    <t>Combustivel Retroescavadeira JCB</t>
  </si>
  <si>
    <t>25628/25600</t>
  </si>
  <si>
    <t>Combustivel Roçadeira</t>
  </si>
  <si>
    <t>25629/25600</t>
  </si>
  <si>
    <t>Material e Autopeças Veículo ABK 7176</t>
  </si>
  <si>
    <t>25631/25600</t>
  </si>
  <si>
    <t>Materiais Diversos</t>
  </si>
  <si>
    <t>25634/25600</t>
  </si>
  <si>
    <t>Graxas e Lubrificantes Veículo IOP 5601</t>
  </si>
  <si>
    <t>25637/25600</t>
  </si>
  <si>
    <t>Graxas e Lubrificantes P/Man. Caminhão IVR 0147</t>
  </si>
  <si>
    <t>25638/25600</t>
  </si>
  <si>
    <t>Materiais e Peças Motosserra</t>
  </si>
  <si>
    <t>25639/25600</t>
  </si>
  <si>
    <t>Combustivel Trator ford 8030</t>
  </si>
  <si>
    <t>25640/25600</t>
  </si>
  <si>
    <t>Graxas e Lubrificantes P/Man. Caminhão IHL 6579</t>
  </si>
  <si>
    <t>25641/25600</t>
  </si>
  <si>
    <t>Material P/Manutenção de Abrigos de Passageiros</t>
  </si>
  <si>
    <t>25642/25600</t>
  </si>
  <si>
    <t>Material de Protecao e Seguranca</t>
  </si>
  <si>
    <t>25643/25600</t>
  </si>
  <si>
    <t>Uniformes</t>
  </si>
  <si>
    <t>25646/25600</t>
  </si>
  <si>
    <t>Material para Manutençao Ponte Antero</t>
  </si>
  <si>
    <t>25645/25600</t>
  </si>
  <si>
    <t>Material para Manutençao Ponte Passo das Almas</t>
  </si>
  <si>
    <t>25648/25600</t>
  </si>
  <si>
    <t>Combustivel P/Trator Esteira D5E</t>
  </si>
  <si>
    <t>25649/25600</t>
  </si>
  <si>
    <t>Graxas e Lubrificantes P/Trator Esteira D5E</t>
  </si>
  <si>
    <t>25630/25600</t>
  </si>
  <si>
    <t>Graxas e Lubrificantes P/Man. Veículo INZ 9457</t>
  </si>
  <si>
    <t>25632/25600</t>
  </si>
  <si>
    <t>Graxas e Lubrificantes P/Motovieladora 120H</t>
  </si>
  <si>
    <t>25633/25600</t>
  </si>
  <si>
    <t>Graxas e Lubrificantes P/Motovieladora 135H</t>
  </si>
  <si>
    <t>25635/25600</t>
  </si>
  <si>
    <t>Graxas e Lubrificantes P/Retroescavadeira JCB</t>
  </si>
  <si>
    <t>25647/25600</t>
  </si>
  <si>
    <t>Material e Peças P/Trator Esteira D5E</t>
  </si>
  <si>
    <t>25650/25600</t>
  </si>
  <si>
    <t>Materiais Ponte Prainha</t>
  </si>
  <si>
    <t>25611/25600</t>
  </si>
  <si>
    <t>Material e Peças P/Trator 8030</t>
  </si>
  <si>
    <t>25651/25600</t>
  </si>
  <si>
    <t>Material para Manutençao Ponte Roberto Venske</t>
  </si>
  <si>
    <t>25652/25600</t>
  </si>
  <si>
    <t>Graxas e Lubrificantes P/Motoniv. 845B</t>
  </si>
  <si>
    <t>25636/25600</t>
  </si>
  <si>
    <t>Graxas e Lubrificantes P/Retroescavadeira Case 580 4X2</t>
  </si>
  <si>
    <t>25653/25600</t>
  </si>
  <si>
    <t>Material Para Manutençao e Conservação de Estradas e Vias</t>
  </si>
  <si>
    <t>25654/25600</t>
  </si>
  <si>
    <t>Material Para Manutençao da Iluminação Publica</t>
  </si>
  <si>
    <t>25655/25600</t>
  </si>
  <si>
    <t>Graxas e Lubrificantes P/Trator New Holand 7630</t>
  </si>
  <si>
    <t>Man. Infraest. Viária: Materiais de Consumo - Cide</t>
  </si>
  <si>
    <t>25706/25700</t>
  </si>
  <si>
    <t>Material e Peças P/Veiculo Placas IHL 6579</t>
  </si>
  <si>
    <t>25717/25700</t>
  </si>
  <si>
    <t>25705/25700</t>
  </si>
  <si>
    <t>Material e Peças P/Veiculo Placas IHL 6621</t>
  </si>
  <si>
    <t>25716/25700</t>
  </si>
  <si>
    <t>25715/25700</t>
  </si>
  <si>
    <t>Combustiveis P/Veiculo Placas IOP 5601</t>
  </si>
  <si>
    <t>25714/25700</t>
  </si>
  <si>
    <t>Material Para Manutençao e Conservação De Estradas E Vias</t>
  </si>
  <si>
    <t>25703/25700</t>
  </si>
  <si>
    <t>25704/25700</t>
  </si>
  <si>
    <t>25702/25700</t>
  </si>
  <si>
    <t>25701/25700</t>
  </si>
  <si>
    <t>25718/25700</t>
  </si>
  <si>
    <t>Material e Peças Retroescavadeira JCB 3CX</t>
  </si>
  <si>
    <t>25711/25700</t>
  </si>
  <si>
    <t>25712/25700</t>
  </si>
  <si>
    <t>Graxas e Lubrificantes Retroescavadeira JCB 3CX</t>
  </si>
  <si>
    <t>25710/25700</t>
  </si>
  <si>
    <t>Ferramentas</t>
  </si>
  <si>
    <t>25709/25700</t>
  </si>
  <si>
    <t>25708/25700</t>
  </si>
  <si>
    <t>Material e Peças P/Motoniveladora 120H</t>
  </si>
  <si>
    <t>25707/25700</t>
  </si>
  <si>
    <t>Material e Peças P/Veiculo Placas IVR 0147</t>
  </si>
  <si>
    <t>25713/25700</t>
  </si>
  <si>
    <t>Graxas e Lubrificantes P/Motovieladora 845B</t>
  </si>
  <si>
    <t>Man. Infraest. Urbana Despesas com Locomocao</t>
  </si>
  <si>
    <t>Coleta e Distrib. de Lixo:Despesas com Locomocao</t>
  </si>
  <si>
    <t>Man. Infraest. Viária: Despesas com Locomocao</t>
  </si>
  <si>
    <t>Man. Infraest. Urbuanos: Servicos de Consultoria</t>
  </si>
  <si>
    <t>Coleta e Distrib. de Lixo: Servicos de Consultoria</t>
  </si>
  <si>
    <t>Man. Infraest. Viária: Serviços de Consultoria</t>
  </si>
  <si>
    <t>Man. Infraest. Urbana: Prest. de Serv. P. Física</t>
  </si>
  <si>
    <t>Man. Infraest. Viária: Prest. de Serv. P. Física</t>
  </si>
  <si>
    <t>Man. Infraest. Urbuanos: Prest. de Serv. P. Jurídica</t>
  </si>
  <si>
    <t>19006/19000</t>
  </si>
  <si>
    <t>Capela Mortuária: Serviços Diversos</t>
  </si>
  <si>
    <t>19004/19000</t>
  </si>
  <si>
    <t>Manutenção Roladeira husquarna</t>
  </si>
  <si>
    <t>19005/19000</t>
  </si>
  <si>
    <t>Manutenção da Rede de Iluminação Pública</t>
  </si>
  <si>
    <t>19002/19000</t>
  </si>
  <si>
    <t>Capela Mortuaria: Conta de Agua Cod. Imóvel 20324154</t>
  </si>
  <si>
    <t>19001/19000</t>
  </si>
  <si>
    <t>Capela Mortuaria: Conta Energia U.C. 45064385</t>
  </si>
  <si>
    <t>19003/19000</t>
  </si>
  <si>
    <t>Conta de Energia Ilum. Publica U.C. 32435495</t>
  </si>
  <si>
    <t>22003/22000</t>
  </si>
  <si>
    <t>Multas Veiculo Placas IHL 6621</t>
  </si>
  <si>
    <t>22002/22000</t>
  </si>
  <si>
    <t>Serviço de Disposição Final de Lixo</t>
  </si>
  <si>
    <t>22001/22000</t>
  </si>
  <si>
    <t>Manutenção Aterro Sanitário</t>
  </si>
  <si>
    <t>Man. Infraest. Viária: Prest. de Serv. P. Jurídica</t>
  </si>
  <si>
    <t>26131/26100</t>
  </si>
  <si>
    <t>Projeto de Melhorias de Acesso a Propriedades</t>
  </si>
  <si>
    <t>26120/26100</t>
  </si>
  <si>
    <t>Serviço de Recapagem de Pneus - Estoque</t>
  </si>
  <si>
    <t>26121/26100</t>
  </si>
  <si>
    <t>Manutencao Motosserra</t>
  </si>
  <si>
    <t>26122/26100</t>
  </si>
  <si>
    <t>Manutenção Caminhão Placas IHL 6579</t>
  </si>
  <si>
    <t>26110/26100</t>
  </si>
  <si>
    <t>Manutenção Trator 8030</t>
  </si>
  <si>
    <t>26125/26100</t>
  </si>
  <si>
    <t>Manutenção e Conservação Ponte Antero</t>
  </si>
  <si>
    <t>26124/26100</t>
  </si>
  <si>
    <t>Confeccao de Uniformes</t>
  </si>
  <si>
    <t>26123/26100</t>
  </si>
  <si>
    <t>Manutenção de Abrigos de Passageiros</t>
  </si>
  <si>
    <t>26111/26100</t>
  </si>
  <si>
    <t>Seguro e Licenciamento Veículo IHL 6579</t>
  </si>
  <si>
    <t>26109/26100</t>
  </si>
  <si>
    <t>Manutenção Retoescavadeira JCB 4X4</t>
  </si>
  <si>
    <t>26108/26100</t>
  </si>
  <si>
    <t>Manutenção Retoescavadeira Case 580 4X2</t>
  </si>
  <si>
    <t>26107/26100</t>
  </si>
  <si>
    <t>Manutencao Motoniveladora 135H</t>
  </si>
  <si>
    <t>26106/26100</t>
  </si>
  <si>
    <t>Manutenção Veículo Placas INZ 9457</t>
  </si>
  <si>
    <t>26105/26100</t>
  </si>
  <si>
    <t>Manutenção Caminhão Placas IVR 0147</t>
  </si>
  <si>
    <t>26104/26100</t>
  </si>
  <si>
    <t>Manutenção Saibreira</t>
  </si>
  <si>
    <t>26103/26100</t>
  </si>
  <si>
    <t>Manutenção Motoniveladora 120H</t>
  </si>
  <si>
    <t>26102/26100</t>
  </si>
  <si>
    <t>Manutenção Caminhão Placas IHL 6621</t>
  </si>
  <si>
    <t>26101/26100</t>
  </si>
  <si>
    <t>Manutencao Motoniveladora Case 845B</t>
  </si>
  <si>
    <t>26128/26100</t>
  </si>
  <si>
    <t>Manutencao Roçadeira Stihl FS 160</t>
  </si>
  <si>
    <t>26130/26100</t>
  </si>
  <si>
    <t>Manutenção Compressor de AR</t>
  </si>
  <si>
    <t>26129/26100</t>
  </si>
  <si>
    <t>26119/26100</t>
  </si>
  <si>
    <t>Seguro e Licenciamento Veículo IQV 8399</t>
  </si>
  <si>
    <t>26133/26100</t>
  </si>
  <si>
    <t>Manutenção Retroescavadeira JCB 3CX</t>
  </si>
  <si>
    <t>26132/26100</t>
  </si>
  <si>
    <t>Fretes e Transportes de Encomendas</t>
  </si>
  <si>
    <t>26112/26100</t>
  </si>
  <si>
    <t>Seguro e Licenciamento Veículo IHL 6621</t>
  </si>
  <si>
    <t>26113/26100</t>
  </si>
  <si>
    <t>Seguro e Licenciamento Veículo IVR 0147</t>
  </si>
  <si>
    <t>26114/26100</t>
  </si>
  <si>
    <t>Manutencao Rocadeira Hidraulica</t>
  </si>
  <si>
    <t>26115/26100</t>
  </si>
  <si>
    <t>Manutenção Veículo Placas ABK 7176</t>
  </si>
  <si>
    <t>26116/26100</t>
  </si>
  <si>
    <t>Manutenção de Vias Municipais</t>
  </si>
  <si>
    <t>26117/26100</t>
  </si>
  <si>
    <t>Seguro e Licenciamento Veículo IBK 7176</t>
  </si>
  <si>
    <t>26118/26100</t>
  </si>
  <si>
    <t>Seguro e Licenciamento Veículo INZ 9457</t>
  </si>
  <si>
    <t>26127/26100</t>
  </si>
  <si>
    <t>ManutencaoTrator Esteira D5E</t>
  </si>
  <si>
    <t>Man. Infraest. Urbana: Auxilio-Alimentacao</t>
  </si>
  <si>
    <t>Coleta e Distrib. de Lixo: Auxilio-Alimentacao</t>
  </si>
  <si>
    <t>Man. Infraest. Viária: Auxilio-Alimentacao</t>
  </si>
  <si>
    <t>Man. Infraest. Urban; Obrig Trib. E Contrib</t>
  </si>
  <si>
    <t>Coleta e Distrib. de Lixo: Obrig Trib. E Contrib.</t>
  </si>
  <si>
    <t>Man. Infraest. Viária: Obrig Trib. e  Contrib.</t>
  </si>
  <si>
    <t>26306/26300</t>
  </si>
  <si>
    <t>Contrib.Patronal Trib. Obrig Trib. e Contrib. S/Serv. Veículo INZ 9457</t>
  </si>
  <si>
    <t>26301/26300</t>
  </si>
  <si>
    <t>Contrib.Patr. Trib. Obrig Trib. e Contrib. S/Serv. Terc. Profissionais</t>
  </si>
  <si>
    <t>26302/26300</t>
  </si>
  <si>
    <t>Contrib.Patronal Trib. Obrig Trib. e Contrib. S/Serv. Veículo IHL 6621</t>
  </si>
  <si>
    <t>26304/26300</t>
  </si>
  <si>
    <t>Contrib.Patronal Trib. Obrig Trib. e Contrib. S/Serv. Veículo IVR 0147</t>
  </si>
  <si>
    <t>26305/26300</t>
  </si>
  <si>
    <t>Contrib.Patronal Trib. Obrig Trib. e Contrib. S/Serv. Veículo 8030</t>
  </si>
  <si>
    <t>26310/26300</t>
  </si>
  <si>
    <t>Contrib.Patronal Prev. S/Manutenção Case 845B</t>
  </si>
  <si>
    <t>26308/26300</t>
  </si>
  <si>
    <t>Contrib.Patronal Prev. S/Manutenção 135H</t>
  </si>
  <si>
    <t>26309/26300</t>
  </si>
  <si>
    <t>Contrib.Patronal Prev. S/Manutenção 120H</t>
  </si>
  <si>
    <t>26313/26300</t>
  </si>
  <si>
    <t>Contrib.Patronal Prev. S/Manutenção Trator Esteira D5E</t>
  </si>
  <si>
    <t>26312/26300</t>
  </si>
  <si>
    <t>Contrib.Patronal Prev. S/Manutenção Retro 580L</t>
  </si>
  <si>
    <t>26311/26300</t>
  </si>
  <si>
    <t>Contrib.Patronal Prev. S/Manutenção Retro JCB 4x4</t>
  </si>
  <si>
    <t>26307/26300</t>
  </si>
  <si>
    <t>Contrib.Patronal  Prev. S/Manutenção Veiculo Placas ABK-7176</t>
  </si>
  <si>
    <t>26303/26300</t>
  </si>
  <si>
    <t>Contrib.Patronal Trib. Obrig Trib. e Contrib. S/Serv. Veículo IHL 6579</t>
  </si>
  <si>
    <t>Man. Infraest. Viária: Obrig Trib. e Contrib. PASEP S/Receita CIDE</t>
  </si>
  <si>
    <t>26351/26350</t>
  </si>
  <si>
    <t>Contrib. PASEP S/Receita CIDE</t>
  </si>
  <si>
    <t>Man. Infraest. Urbana: Auxilio-Transporte</t>
  </si>
  <si>
    <t>Coleta e Distrib. de Lixo: Auxilio-Transporte</t>
  </si>
  <si>
    <t>Man. Infraest. Viária: Auxilio-Transporte</t>
  </si>
  <si>
    <t>26401/26400</t>
  </si>
  <si>
    <t>26402/26400</t>
  </si>
  <si>
    <t>Man. Infraest. Urbana: Despesas de Exercicios Anteriores</t>
  </si>
  <si>
    <t>Coleta e Distrib. de Lixo: Despesas de Exercícios Anteriores</t>
  </si>
  <si>
    <t>22401/22400</t>
  </si>
  <si>
    <t>Despesas de Exercícios Anteriores - Diárias</t>
  </si>
  <si>
    <t>Man. Infraest. Viária: Despesas de Exercícios Anteriores</t>
  </si>
  <si>
    <t>26501/26500</t>
  </si>
  <si>
    <t>Materiais e Autopeças Veículo IHL 6579</t>
  </si>
  <si>
    <t>Man. Infraest. Urbana: Ressarcimento de Despesas</t>
  </si>
  <si>
    <t>Coleta e Distrib. de Lixo: Ressarcimento de Despesas</t>
  </si>
  <si>
    <t>Man. Infraest. Viária: Ressarcimento de Despesas</t>
  </si>
  <si>
    <t>Man. Infraest. Viária: Materiais Adquiridos Através de Consórcio</t>
  </si>
  <si>
    <t>Man. Infraest. Urbana: Materiais Adquiridos Através de Consórcio</t>
  </si>
  <si>
    <t>Coleta e Distrib. de Lixo: Materiais Adquiridos Através de Consórcio</t>
  </si>
  <si>
    <t>Man. Infraest. Urbana: Obras e Instalacoes</t>
  </si>
  <si>
    <t>Man. Infraest. Viária: Obras e Instalações</t>
  </si>
  <si>
    <t>Man. Infraest. Urban;Equipamentos e Material Permanente</t>
  </si>
  <si>
    <t>Man. Infraest. Viária: Equipamentos e Material Permanente</t>
  </si>
  <si>
    <t>26902/26900</t>
  </si>
  <si>
    <t>26901/26900</t>
  </si>
  <si>
    <t>04 - SECRETARIA MUN. DE OBRAS, VIAÇÃO E SERV. URBANOS</t>
  </si>
  <si>
    <t>Infra-Estrutura-Urbana</t>
  </si>
  <si>
    <t xml:space="preserve">PROMOÇÃO E DESENVOLVIMENTO DA INFRAESTRUTURA </t>
  </si>
  <si>
    <t>Transporte</t>
  </si>
  <si>
    <t>Transporte Rodoviário</t>
  </si>
  <si>
    <t>Serviços Urbanos</t>
  </si>
  <si>
    <t>15851/15850</t>
  </si>
  <si>
    <t>15852/15850</t>
  </si>
  <si>
    <t>15853/15850</t>
  </si>
  <si>
    <t>15854/15850</t>
  </si>
  <si>
    <t>Urbanismo</t>
  </si>
  <si>
    <t>26201/26200</t>
  </si>
  <si>
    <t>26951/26950</t>
  </si>
  <si>
    <t>26952/26950</t>
  </si>
  <si>
    <t>26953/26950</t>
  </si>
  <si>
    <t>Man. Infraest. Viária: Locação de Sistemas de Informática</t>
  </si>
  <si>
    <t xml:space="preserve">Man. Infraest. Viária: SUPORTE DE INFRAESTRUTURA DE T.I.C. </t>
  </si>
  <si>
    <t>Man. Infraest. Viária: MANUTENCAO E CONSERVACAO DE EQUIPAMENTOS DE T.I.C.</t>
  </si>
  <si>
    <t xml:space="preserve">Man. Infraest. Viária: OUTROS SERVIÇOS DE T.I.C. </t>
  </si>
  <si>
    <t>Total do Órgão: 04 - SECRETARIA MUN. DE OBRAS, VIAÇÃO E SERV. URBANOS</t>
  </si>
  <si>
    <t>05 - SECRETARIA MUN. DE AGRICULTURA E MEIO AMBIENTE</t>
  </si>
  <si>
    <t>Agricultura</t>
  </si>
  <si>
    <t>Custo de Aq.: Obrig Trib. Contrib. S/Serv. Terceiros P. Física</t>
  </si>
  <si>
    <t>Custo de Aq.: Obras e Instalações</t>
  </si>
  <si>
    <t>Equipamentos e Mat. Diversos</t>
  </si>
  <si>
    <t>30501/30502</t>
  </si>
  <si>
    <t>30502/30502</t>
  </si>
  <si>
    <t>Equipamentos de Processamento De Dados</t>
  </si>
  <si>
    <t>32101/32100</t>
  </si>
  <si>
    <t>Subsidio Sec. Mun. Agric. e Meio Amb.</t>
  </si>
  <si>
    <t>32102/32100</t>
  </si>
  <si>
    <t>13 Salário Sec. Mun. Agric. e Meio Amb.</t>
  </si>
  <si>
    <t>32201/32200</t>
  </si>
  <si>
    <t>Contrib. Patron. Prev. Sec. Mun. Agric. e Meio Amb.</t>
  </si>
  <si>
    <t>32501/32500</t>
  </si>
  <si>
    <t>Diarias Sec. Mun. Agric.</t>
  </si>
  <si>
    <t>Materiais de Consumo</t>
  </si>
  <si>
    <t>32601/32600</t>
  </si>
  <si>
    <t>Combustível P/Veiculo Placas IJY 2420</t>
  </si>
  <si>
    <t>32608/32600</t>
  </si>
  <si>
    <t>32615/32600</t>
  </si>
  <si>
    <t>Combustivel P/Veiculo Placas IOP 5601</t>
  </si>
  <si>
    <t>32607/32600</t>
  </si>
  <si>
    <t>32616/32600</t>
  </si>
  <si>
    <t>Graxas e Lubrificantes P/Veiculo Placas IOP 5601</t>
  </si>
  <si>
    <t>Graxas e Lubrificantes P/Veiculo Placas IJY 2420</t>
  </si>
  <si>
    <t>32609/32600</t>
  </si>
  <si>
    <t>Gás de Cozinha</t>
  </si>
  <si>
    <t>32604/32600</t>
  </si>
  <si>
    <t>Água Mineral- Almoxarifado</t>
  </si>
  <si>
    <t>Generos de Alimentacao</t>
  </si>
  <si>
    <t>Materiais de Expediente - Aq. Imediata</t>
  </si>
  <si>
    <t>32602/32600</t>
  </si>
  <si>
    <t>Materiais de Expediente - Almoxarifado</t>
  </si>
  <si>
    <t>32606/32600</t>
  </si>
  <si>
    <t>Materiais de Informática l- Aq. Imediata</t>
  </si>
  <si>
    <t>32612/32600</t>
  </si>
  <si>
    <t>32610/32600</t>
  </si>
  <si>
    <t>Material de Limpeza e Produtos de Higienizacao</t>
  </si>
  <si>
    <t>32613/32600</t>
  </si>
  <si>
    <t>32617/32600</t>
  </si>
  <si>
    <t>Material e Peças P/Veiculo Placas IJY 2420</t>
  </si>
  <si>
    <t>32603/32600</t>
  </si>
  <si>
    <t>Material e Peças P/Veiculo Placas IOP 5601</t>
  </si>
  <si>
    <t>32614/32600</t>
  </si>
  <si>
    <t>32701/32700</t>
  </si>
  <si>
    <t>Prest. de Serv. P. Física</t>
  </si>
  <si>
    <t>32901/32900</t>
  </si>
  <si>
    <t>Serv. Tecnicos Profissionais</t>
  </si>
  <si>
    <t>32902/32900</t>
  </si>
  <si>
    <t>Prest. de Serv. P. Jurídica</t>
  </si>
  <si>
    <t>33006/33000</t>
  </si>
  <si>
    <t>Manutenção de Prédios e Instalações</t>
  </si>
  <si>
    <t>33008/33000</t>
  </si>
  <si>
    <t>Manutenção Veiculo Placas ITP 0262</t>
  </si>
  <si>
    <t>33001/33000</t>
  </si>
  <si>
    <t>Manutenção Veiculo Placas IJY 2420</t>
  </si>
  <si>
    <t>33011/33000</t>
  </si>
  <si>
    <t>Manutenção Veiculo Placas IOP 5601</t>
  </si>
  <si>
    <t>33004/33000</t>
  </si>
  <si>
    <t>33002/33000</t>
  </si>
  <si>
    <t>Conta de Agua Cod. Imóvel 20319886</t>
  </si>
  <si>
    <t>33003/33000</t>
  </si>
  <si>
    <t>33007/33000</t>
  </si>
  <si>
    <t>Seguros e Licenciamento Veiculo Placas IJY 2420</t>
  </si>
  <si>
    <t>33009/33000</t>
  </si>
  <si>
    <t>Seguros e Licenciamento Veiculo Placas IOP 5601</t>
  </si>
  <si>
    <t>33012/33000</t>
  </si>
  <si>
    <t>33010/33000</t>
  </si>
  <si>
    <t>Fretes e Transportes e Encomendas</t>
  </si>
  <si>
    <t>33014/33000</t>
  </si>
  <si>
    <t>33013/33000</t>
  </si>
  <si>
    <t>33101/33100</t>
  </si>
  <si>
    <t>Auxilio-Alimentacao</t>
  </si>
  <si>
    <t>33201/33200</t>
  </si>
  <si>
    <t>Contrib. Patr. Prev. S/Serv.Terc. Profissionais</t>
  </si>
  <si>
    <t>33202/33200</t>
  </si>
  <si>
    <t>Contrib. Patr. Prev. S/Serv Veículo IJY 2420</t>
  </si>
  <si>
    <t>33203/33200</t>
  </si>
  <si>
    <t>Contrib. Patr. Prev. S/Serv Veículo IOP 5601</t>
  </si>
  <si>
    <t>33501/33500</t>
  </si>
  <si>
    <t>Ressarcimentos Diversos</t>
  </si>
  <si>
    <t>Materiais Adquiridos Através do Consórcio</t>
  </si>
  <si>
    <t>33831/33830</t>
  </si>
  <si>
    <t>33832/33830</t>
  </si>
  <si>
    <t>33833/33830</t>
  </si>
  <si>
    <t>33834/33830</t>
  </si>
  <si>
    <t>SERVIÇOS DE TECNOLOGIA DA INFORMAÇÃO E COMUNICAÇÃO</t>
  </si>
  <si>
    <t>Total do Órgão: 05 - SECRETARIA MUN. DE AGRICULTURA E MEIO AMBIENTE</t>
  </si>
  <si>
    <t>12541/12540</t>
  </si>
  <si>
    <t>12542/12540</t>
  </si>
  <si>
    <t>Projeto: 1.002.000</t>
  </si>
  <si>
    <t>Projeto: 1.017.000</t>
  </si>
  <si>
    <t>Férias Prefeito Municipal</t>
  </si>
  <si>
    <t>3807/3800</t>
  </si>
  <si>
    <t>3808/3800</t>
  </si>
  <si>
    <t>Salário</t>
  </si>
  <si>
    <t>Substituição de Servidores Contratados</t>
  </si>
  <si>
    <t>Substituição  de Servidores Efetivos</t>
  </si>
  <si>
    <t>indenizações Trabalhistas Férias: Servidores Contratados</t>
  </si>
  <si>
    <t>indenizações Trabalhistas Férias: Servidores Efetivos</t>
  </si>
  <si>
    <t>indenizações Trabalhistas 13º Salário: Servidores Contratados</t>
  </si>
  <si>
    <t>indenizações Trabalhistas 13º Salário: Servidores Efetivos</t>
  </si>
  <si>
    <t>indenizações Trabalhistas Férias: Servidores C.C.</t>
  </si>
  <si>
    <t>indenizações Trabalhistas 13º Salário: Servidores C.C.</t>
  </si>
  <si>
    <t>Indice de Reajuste de Combustiveis: Gasolina</t>
  </si>
  <si>
    <t>Indice de Reajuste de Combustiveis: Gas de Cozinha</t>
  </si>
  <si>
    <t>Indice de Reajuste de Combustiveis: Diesel</t>
  </si>
  <si>
    <t>Indice de Reajuste de Combustiveis: Diesel S10</t>
  </si>
  <si>
    <t>Reformas e Manutenção de Instalações</t>
  </si>
  <si>
    <t>Atividade: 2.032.000</t>
  </si>
  <si>
    <t>Atividade: 2.030.000</t>
  </si>
  <si>
    <t>Atividade: 2.031.000</t>
  </si>
  <si>
    <t xml:space="preserve">Secretaria Municipal da Administração </t>
  </si>
  <si>
    <t>Secretaria Municipal da Fazenda</t>
  </si>
  <si>
    <t>03 - SECRETARIA MUNICIPAL DA FAZENDA</t>
  </si>
  <si>
    <t>10711/10700</t>
  </si>
  <si>
    <t>Ferias Sec. Mun. Fazenda</t>
  </si>
  <si>
    <t>10651/10650</t>
  </si>
  <si>
    <t>Contrib. Patronal P/Atendimento a Saúde do Servidor</t>
  </si>
  <si>
    <t>7651/7650</t>
  </si>
  <si>
    <t>58051/58050</t>
  </si>
  <si>
    <t>SECRETARIA MUN. DE OBRAS, VIAÇÃO E SERV. URBANOS</t>
  </si>
  <si>
    <t>Projeto: 1.003.000</t>
  </si>
  <si>
    <t>Mobiliário</t>
  </si>
  <si>
    <t>Dev. Saldo Fin. Recurso 1032</t>
  </si>
  <si>
    <t>Exec. Recurso 1032: Serviços P. Juridica e MEI</t>
  </si>
  <si>
    <t>Exec. Recurso 1032:Equipamentos e Material Permanente</t>
  </si>
  <si>
    <t>Coleta e Distrib. de Lixo: Equip.e Material Permanente</t>
  </si>
  <si>
    <t>Exec. Contra Partida Recurso 1032:Equipamentos e Material Permanente</t>
  </si>
  <si>
    <t>Coleta e Distrib. de Lixo</t>
  </si>
  <si>
    <t>Serv. Bancários</t>
  </si>
  <si>
    <t>Dev. Saldo Fin. Recurso 1166</t>
  </si>
  <si>
    <t>Exec. Recurso 1166: Serviços P. Juridica e MEI</t>
  </si>
  <si>
    <t>Infraest. Viária</t>
  </si>
  <si>
    <t>GESTAO COORDENAÇÃO E PLANEJAMENTO</t>
  </si>
  <si>
    <t>Atividade: 2.003.000</t>
  </si>
  <si>
    <t>15101/15100</t>
  </si>
  <si>
    <t>MANUTENÇÃO EM INFRAESTRUTURA</t>
  </si>
  <si>
    <t>13º Salario Indenizado</t>
  </si>
  <si>
    <t>Man. Infraest. Viária: Prest. de Serv. P. Jurídica - CIDE</t>
  </si>
  <si>
    <t>Man. Infraest. Viária: Prest. de Serv. P. Jurídica CIDE</t>
  </si>
  <si>
    <t>25503/25500</t>
  </si>
  <si>
    <t>25504/25500</t>
  </si>
  <si>
    <t>25505/25500</t>
  </si>
  <si>
    <t>18051/18050</t>
  </si>
  <si>
    <t>Man. Infraest. Urbana: Folha PGTº: Plano de Saúde dos Servidores</t>
  </si>
  <si>
    <t>21051/21050</t>
  </si>
  <si>
    <t>14051/14050</t>
  </si>
  <si>
    <t>25051/25050</t>
  </si>
  <si>
    <t>GESTÃO, COORDENAÇÃO E PLANEJAMENTO - AGRICULTURA</t>
  </si>
  <si>
    <t>32051/32050</t>
  </si>
  <si>
    <t>Férias Sec. Mun. Agricultura</t>
  </si>
  <si>
    <t>Férias Sec. Mun. Agric. e Meio Amb.</t>
  </si>
  <si>
    <t>Infraest. Rural: Obrig Trib. E Contrib.</t>
  </si>
  <si>
    <t>Infraest. Rural: Material de Consumo</t>
  </si>
  <si>
    <t>Infraest. Rural: Prest. de Serv. P. Física</t>
  </si>
  <si>
    <t>Infraest. Rural: Prest. de Serv. P. Jurídica</t>
  </si>
  <si>
    <t>Infraest. Rural:  Obras e Instalações</t>
  </si>
  <si>
    <t>Infraest. Rural: Equipamentos e Mat. Permanente</t>
  </si>
  <si>
    <t> 4</t>
  </si>
  <si>
    <t>NOVOS INVEST. PARA DESENV. AG. FAM. E AGRONEGOCIO</t>
  </si>
  <si>
    <t>Obrig Trib. e Contrib. S/Serviços</t>
  </si>
  <si>
    <t>38011/38010</t>
  </si>
  <si>
    <t>Dev. Saldo Fin. Recurso 1157</t>
  </si>
  <si>
    <t>Dev. Saldo Fin. Recurso 1165</t>
  </si>
  <si>
    <t>Dev. Saldo Fin. Recurso 1169</t>
  </si>
  <si>
    <t>Exec. Recurso 1156: Serviços P. Juridica e MEI</t>
  </si>
  <si>
    <t>Exec. Recurso 1157: Serviços P. Juridica e MEI</t>
  </si>
  <si>
    <t>Exec. Recurso 1165: Serviços P. Juridica e MEI</t>
  </si>
  <si>
    <t>Exec. Recurso 1169: Obras e Instalações</t>
  </si>
  <si>
    <t>Obras e Instalações e Contra Partidas de Recursos</t>
  </si>
  <si>
    <t>38131/38130</t>
  </si>
  <si>
    <t>Exec. de Cont.Partida de Rec. 1169</t>
  </si>
  <si>
    <t>Exec. Recurso 1169: Aquisição Impl. Agricolas</t>
  </si>
  <si>
    <t>38111/38110</t>
  </si>
  <si>
    <t>Exec. Recurso 1156: AQ. Equip. e Mat. Permanente</t>
  </si>
  <si>
    <t>Exec. Recurso 1156: Aq. Colhedora de Milho Convenio 838379/2016</t>
  </si>
  <si>
    <t>Exec. Recurso 1157: AQ. Equip. e Mat. Permanente</t>
  </si>
  <si>
    <t>Exec. Recurso 1165: AQ. Equip. e Mat. Permanente</t>
  </si>
  <si>
    <t>Aquisição de Equip., Mat. Perm., Veic. e Exec. de Cont.Partidas de Rec</t>
  </si>
  <si>
    <t>38171/38170</t>
  </si>
  <si>
    <t>Exec. de Cont.Partida de Aq. de Pickup C/Câmara Fria Rec. 1157</t>
  </si>
  <si>
    <t>38175/38170</t>
  </si>
  <si>
    <t>Mobiliario em Geral</t>
  </si>
  <si>
    <t>38172/38170</t>
  </si>
  <si>
    <t>38173/38170</t>
  </si>
  <si>
    <t>38174/38170</t>
  </si>
  <si>
    <t>38176/38170</t>
  </si>
  <si>
    <t>Exec. Contrapartida Recurso 1169</t>
  </si>
  <si>
    <t>PROMOÇÃO E APOIO A AGIC. FAM. E DO AGRONEGÓCIO</t>
  </si>
  <si>
    <t>41001/41000</t>
  </si>
  <si>
    <t>Contrib. Patronal Previdencia Social Serv. Agricultura</t>
  </si>
  <si>
    <t>41002/41000</t>
  </si>
  <si>
    <t>Vencimentos Serv. Agricultura</t>
  </si>
  <si>
    <t>Folha PGTº: Serv. Efetivos. e C.C.</t>
  </si>
  <si>
    <t>41107/41100</t>
  </si>
  <si>
    <t>13 Salário Servidores Efetivos - Unid. Agricultura</t>
  </si>
  <si>
    <t>41101/41100</t>
  </si>
  <si>
    <t>Férias Servidores Efetivos - Unid. Agropec.</t>
  </si>
  <si>
    <t>41102/41100</t>
  </si>
  <si>
    <t>Vencimentos Servidores Efetivos - Unidade Agricultura</t>
  </si>
  <si>
    <t>41103/41100</t>
  </si>
  <si>
    <t>Anuênio - Unidade Agricultura</t>
  </si>
  <si>
    <t>41104/41100</t>
  </si>
  <si>
    <t>Vencimentos Servidores Efetivos - Unidade Agropec.</t>
  </si>
  <si>
    <t>41105/41100</t>
  </si>
  <si>
    <t>Anuênio - Unidade Agropec.</t>
  </si>
  <si>
    <t>41106/41100</t>
  </si>
  <si>
    <t>Férias Servidores Efetivos - Unid. Agricultura</t>
  </si>
  <si>
    <t>41108/41100</t>
  </si>
  <si>
    <t>13 Salário Servidores Efetivos - Unid. Agropec.</t>
  </si>
  <si>
    <t>41202/41200</t>
  </si>
  <si>
    <t>Contrib. Patronais Prev. Serv. Efetivos - Unid. Agropec.</t>
  </si>
  <si>
    <t>41201/41200</t>
  </si>
  <si>
    <t>Contrib. Patronais Prev. Serv. Efetivos - Unid. Agricultura</t>
  </si>
  <si>
    <t>41252/41250</t>
  </si>
  <si>
    <t>Hora Extra Serv. Efetivos - Unid. Agropec.</t>
  </si>
  <si>
    <t>41253/41250</t>
  </si>
  <si>
    <t>Hora Extra Serv. Contratados - Unid. Agricultura</t>
  </si>
  <si>
    <t>41251/41250</t>
  </si>
  <si>
    <t>Hora Extra Serv. Efetivos - Unid. Agricultura</t>
  </si>
  <si>
    <t>41272/41270</t>
  </si>
  <si>
    <t>13º Salário Indenizações Trabalhistas Servidores Contratados</t>
  </si>
  <si>
    <t>41271/41270</t>
  </si>
  <si>
    <t>Férias Indenizações Trabalhistas Servidores Contratados</t>
  </si>
  <si>
    <t>Programa Troca Troca de Sementes</t>
  </si>
  <si>
    <t>41301/41300</t>
  </si>
  <si>
    <t>41501/41500</t>
  </si>
  <si>
    <t>Diarias Servidores Efetivos - Unid. Agropc.</t>
  </si>
  <si>
    <t>41503/41500</t>
  </si>
  <si>
    <t>Diarias Servidores C.C. - Unid. Agropc.</t>
  </si>
  <si>
    <t>41502/41500</t>
  </si>
  <si>
    <t>Diaria Rural - Unid. Agricultura</t>
  </si>
  <si>
    <t>41605/41600</t>
  </si>
  <si>
    <t>Material e Autopeças Retroescavadeira JCB Plus</t>
  </si>
  <si>
    <t>41601/41600</t>
  </si>
  <si>
    <t>Graxas e Lubrificantes Trator Valtra BM 110</t>
  </si>
  <si>
    <t>41603/41600</t>
  </si>
  <si>
    <t>Material e Autopeças Trator New Holand 7630</t>
  </si>
  <si>
    <t>41604/41600</t>
  </si>
  <si>
    <t>Graxas e Lubrificantes Retroescavadeira JCB 4x4</t>
  </si>
  <si>
    <t>41606/41600</t>
  </si>
  <si>
    <t>Combustiveis Trator Valtra BM 110</t>
  </si>
  <si>
    <t>41607/41600</t>
  </si>
  <si>
    <t>Combustiveis Trator New Holand 7630</t>
  </si>
  <si>
    <t>41608/41600</t>
  </si>
  <si>
    <t>Combustiveis Retroescavadeira JCB 4x4</t>
  </si>
  <si>
    <t>41609/41600</t>
  </si>
  <si>
    <t>Material e Autopeças Trator TL 85E</t>
  </si>
  <si>
    <t>41610/41600</t>
  </si>
  <si>
    <t>CombustíveisTrator TL 85E</t>
  </si>
  <si>
    <t>41611/41600</t>
  </si>
  <si>
    <t>Graxas e Lubrificantes Trator TL 85E</t>
  </si>
  <si>
    <t>41612/41600</t>
  </si>
  <si>
    <t>Material e Peças P/Batedeira de Cereais B340 01</t>
  </si>
  <si>
    <t>41613/41600</t>
  </si>
  <si>
    <t>Graxas e Lubrificantes P/Batedeira de Cereais B340: 01</t>
  </si>
  <si>
    <t>41614/41600</t>
  </si>
  <si>
    <t>Material e Peças P/Batedeira de Cereais B340 02</t>
  </si>
  <si>
    <t>41615/41600</t>
  </si>
  <si>
    <t>Graxas e Lubrificantes P/Batedeira de Cereais B340: 02</t>
  </si>
  <si>
    <t>41616/41600</t>
  </si>
  <si>
    <t>Material e Peças P/Grade Arrastão</t>
  </si>
  <si>
    <t>41617/41600</t>
  </si>
  <si>
    <t>Material e Peças P/Grade Globe</t>
  </si>
  <si>
    <t>41618/41600</t>
  </si>
  <si>
    <t>Material e Peças P/Espalhador de Calcário</t>
  </si>
  <si>
    <t>41619/41600</t>
  </si>
  <si>
    <t>Graxas e Lubrificantes Trator NH 7630</t>
  </si>
  <si>
    <t>41620/41600</t>
  </si>
  <si>
    <t>Material e Pecas P/Ensiladeira</t>
  </si>
  <si>
    <t>41621/41600</t>
  </si>
  <si>
    <t>Combustiveis P/Retroescavadeira Randon</t>
  </si>
  <si>
    <t>41602/41600</t>
  </si>
  <si>
    <t>Material e Autopeças Trator Valtra BM 110</t>
  </si>
  <si>
    <t>41623/41600</t>
  </si>
  <si>
    <t>Material Biológico</t>
  </si>
  <si>
    <t>41622/41600</t>
  </si>
  <si>
    <t>Nitrogenio Un. Agropecuaria</t>
  </si>
  <si>
    <t>41624/41600</t>
  </si>
  <si>
    <t>Material e Autopeças Retroescavadeira Randon</t>
  </si>
  <si>
    <t>41625/41600</t>
  </si>
  <si>
    <t>Graxas e Lubrificantes Retroescavadeira Randon</t>
  </si>
  <si>
    <t>41627/41600</t>
  </si>
  <si>
    <t>Material e Autopeças Retroescavadeira JCB 3CX</t>
  </si>
  <si>
    <t>41626/41600</t>
  </si>
  <si>
    <t>41628/41600</t>
  </si>
  <si>
    <t>Combustivel Retroescavadeira JCB 3CX</t>
  </si>
  <si>
    <t>41629/41600</t>
  </si>
  <si>
    <t>CombustíveisTrator NH TL 75</t>
  </si>
  <si>
    <t>41630/41600</t>
  </si>
  <si>
    <t>Graxas e Lubrificantes Trator NH  TL 75</t>
  </si>
  <si>
    <t>41631/41600</t>
  </si>
  <si>
    <t>Material e Peças Tratot NH TL 75</t>
  </si>
  <si>
    <t>41632/41600</t>
  </si>
  <si>
    <t>Combustiveis Retroescavadeira JCB 3CX</t>
  </si>
  <si>
    <t>41633/41600</t>
  </si>
  <si>
    <t>Combustiveis P/Veiculo Placas IJY 2420</t>
  </si>
  <si>
    <t>Material Distribuição Gratuita</t>
  </si>
  <si>
    <t>41703/41700</t>
  </si>
  <si>
    <t>Material Biologico Semen P/Programa Inseminação Artificial</t>
  </si>
  <si>
    <t>41702/41700</t>
  </si>
  <si>
    <t>Sementes e Mudas</t>
  </si>
  <si>
    <t>41701/41700</t>
  </si>
  <si>
    <t>Adubos e Prod. Fertilizantes</t>
  </si>
  <si>
    <t>Servicos - Pessoa Juridica</t>
  </si>
  <si>
    <t>41767/41750</t>
  </si>
  <si>
    <t>Servicos Graficos - Unid. Agropecuaria</t>
  </si>
  <si>
    <t>41766/41750</t>
  </si>
  <si>
    <t>Conta de Agua Cod. Imóvel 24202150</t>
  </si>
  <si>
    <t>41770/41750</t>
  </si>
  <si>
    <t>Desp. Convenio Emater</t>
  </si>
  <si>
    <t>41764/41750</t>
  </si>
  <si>
    <t>Manutencao Retroescavadeira Randon</t>
  </si>
  <si>
    <t>41768/41750</t>
  </si>
  <si>
    <t>Serviços de Transporte</t>
  </si>
  <si>
    <t>41765/41750</t>
  </si>
  <si>
    <t>Manutenção Grade Arrastão</t>
  </si>
  <si>
    <t>41753/41750</t>
  </si>
  <si>
    <t>Manutencao Trator New Holand 7630</t>
  </si>
  <si>
    <t>41758/41750</t>
  </si>
  <si>
    <t>Manutenção Grade Globe</t>
  </si>
  <si>
    <t>41754/41750</t>
  </si>
  <si>
    <t>Manutencao Trator BM 110</t>
  </si>
  <si>
    <t>41763/41750</t>
  </si>
  <si>
    <t>Manutencao Reboque de Silagem</t>
  </si>
  <si>
    <t>41762/41750</t>
  </si>
  <si>
    <t>Manutenção Enciladeira</t>
  </si>
  <si>
    <t>41761/41750</t>
  </si>
  <si>
    <t>Manutencao Batedeira de Cereais B340: 02</t>
  </si>
  <si>
    <t>41771/41750</t>
  </si>
  <si>
    <t>Manutencao Retroescavadeira JCB 3CX</t>
  </si>
  <si>
    <t>41774/41750</t>
  </si>
  <si>
    <t>Manutenção Escalificador</t>
  </si>
  <si>
    <t>41775/41750</t>
  </si>
  <si>
    <t>Manutencao Trator NH 75</t>
  </si>
  <si>
    <t>41755/41750</t>
  </si>
  <si>
    <t>Manutencao Retroescavadeira JCB 4X4 SMAG</t>
  </si>
  <si>
    <t>41760/41750</t>
  </si>
  <si>
    <t>Manutencao Batedeira de Cereais B340: 01</t>
  </si>
  <si>
    <t>41759/41750</t>
  </si>
  <si>
    <t>Manutencao Espalhador de Calcário</t>
  </si>
  <si>
    <t>41756/41750</t>
  </si>
  <si>
    <t>41752/41750</t>
  </si>
  <si>
    <t>Manutencao Trator TL 85E</t>
  </si>
  <si>
    <t>41769/41750</t>
  </si>
  <si>
    <t>Obrig Trib. e Contribuições</t>
  </si>
  <si>
    <t>41857/41850</t>
  </si>
  <si>
    <t>Obrig Trib. e  Contrib.S/Manut. Grade Globe</t>
  </si>
  <si>
    <t>41858/41850</t>
  </si>
  <si>
    <t>Obrig Trib. e  Contrib.S/Manut. Retro JCB 3CX</t>
  </si>
  <si>
    <t>41859/41850</t>
  </si>
  <si>
    <t>Obrig Trib. e  Contrib.S/Manut. Retro Randon</t>
  </si>
  <si>
    <t>41860/41850</t>
  </si>
  <si>
    <t>Obrig Trib. e  Contrib.S/Manut. Trator NH TL 75</t>
  </si>
  <si>
    <t>41851/41850</t>
  </si>
  <si>
    <t>Obrig Trib. e  Contrib.S/Serv. Tec. Profissionais</t>
  </si>
  <si>
    <t>41853/41850</t>
  </si>
  <si>
    <t>Obrig Trib. e  Contrib.S/Manut. Trator NW7630</t>
  </si>
  <si>
    <t>41855/41850</t>
  </si>
  <si>
    <t>Obrig Trib. e  Contrib.S/Manut. Retro JCB Plus</t>
  </si>
  <si>
    <t>41856/41850</t>
  </si>
  <si>
    <t>Obrig Trib. e  Contrib.S/Manut. Trator NH TL85E</t>
  </si>
  <si>
    <t>41852/41850</t>
  </si>
  <si>
    <t>Obrig Trib. e  Contrib.S/Manut. Reboque Silagem</t>
  </si>
  <si>
    <t>41854/41850</t>
  </si>
  <si>
    <t>Obrig Trib. e  Contrib.S/Manut. Trator BM110</t>
  </si>
  <si>
    <t>Auxilio -Transporte</t>
  </si>
  <si>
    <t>41903/41900</t>
  </si>
  <si>
    <t>Auxilio Transporte Serv. Contratado - Unid. Agricultura</t>
  </si>
  <si>
    <t>41901/41900</t>
  </si>
  <si>
    <t>Auxilio Transporte Serv. Efetivos - Unid. Agropec.</t>
  </si>
  <si>
    <t>41902/41900</t>
  </si>
  <si>
    <t>Auxilio Transporte Serv. Efetivos - Unid. Agricultura</t>
  </si>
  <si>
    <t>41921/41920</t>
  </si>
  <si>
    <t>Materiais e Autopecas Retroescavadeira JCB PLUS</t>
  </si>
  <si>
    <t>41931/41930</t>
  </si>
  <si>
    <t>Devolucao de Receita de Servicos - Hora Maquina</t>
  </si>
  <si>
    <t>Obras e Instalações</t>
  </si>
  <si>
    <t>06 - FUNDO MUNICIPAL DE AGRICULTURA</t>
  </si>
  <si>
    <t>PROMOÇÃO E DESENVOLVIMENTO DA INFRAESTRUTURA</t>
  </si>
  <si>
    <t>Promoção da Produção Agropecuária</t>
  </si>
  <si>
    <t>DESENVOLVIMENTO DA AGRICULTURA FAMILIAR E DO AGRONEGOCIO</t>
  </si>
  <si>
    <t>41801/41800</t>
  </si>
  <si>
    <t>41051/41050</t>
  </si>
  <si>
    <t>Folha PGTº:  Plano de Saúde dos Servidores</t>
  </si>
  <si>
    <t>FUNDO MUNICIPAL DE AGRICULTURA</t>
  </si>
  <si>
    <t>Exec. Recurso 1032: AQ. Equip. e Mat. Permanente</t>
  </si>
  <si>
    <t>Dev. Saldo Fin. Recurso 1056</t>
  </si>
  <si>
    <t>Exec. Recurso 1032: Obras e Instalações</t>
  </si>
  <si>
    <t>Projeto: 1.004.000</t>
  </si>
  <si>
    <t>Exec. de Cont.Partida Rec. 1032</t>
  </si>
  <si>
    <t>Exec. de Cont.Partida Rec. 1156</t>
  </si>
  <si>
    <t>Exec. de Cont.Partida Rec. 1157</t>
  </si>
  <si>
    <t>Exec. de Cont.Partida Rec. 1169</t>
  </si>
  <si>
    <t>Exec. de Cont.Partida Rec. 1165</t>
  </si>
  <si>
    <t>Exec. de Cont.Partida de Rec. 1032</t>
  </si>
  <si>
    <t>Outros Equipmentos e Materiais</t>
  </si>
  <si>
    <t>Exec. Recurso 1169: AQ. Equip. e Mat. Permanente</t>
  </si>
  <si>
    <t>38132/38130</t>
  </si>
  <si>
    <t>Exec. de Cont.Partida  Rec. 1032</t>
  </si>
  <si>
    <t>Exec. de Cont.Partida  Rec. 1157</t>
  </si>
  <si>
    <t>Atividade: 2.004.000</t>
  </si>
  <si>
    <t>Férias</t>
  </si>
  <si>
    <t>41109/41100</t>
  </si>
  <si>
    <t>Vencimentos Servidores C.C. - Unidade Agricultura</t>
  </si>
  <si>
    <t>41110/41100</t>
  </si>
  <si>
    <t>41111/41100</t>
  </si>
  <si>
    <t>13 Salário Servidores C.C. - Unid. Agricultura</t>
  </si>
  <si>
    <t>Férias Servidores C.C. - Unid. Agricultura</t>
  </si>
  <si>
    <t>Diarias Servidores C.C. - Unid. Agric.</t>
  </si>
  <si>
    <t>41203/41200</t>
  </si>
  <si>
    <t>Contrib. Patronais Prev. Serv. C.C. - Unid. Agricultura</t>
  </si>
  <si>
    <t>Total do Órgão: 06 - FUNDO MUNICIPAL DE AGRICULTURA</t>
  </si>
  <si>
    <t>07 - FUNDO MUNICIPAL DO MEIO AMBIENTE</t>
  </si>
  <si>
    <t>Saneamento</t>
  </si>
  <si>
    <t>Saneamento Básico Rural</t>
  </si>
  <si>
    <t>PROMOÇÃO E DESENVOLVIMENTO DO MEIO AMBIENTE</t>
  </si>
  <si>
    <t>NOVOS INVESTIMENTOS EM MEIO AMBIENTE</t>
  </si>
  <si>
    <t>Obrig Trib. e Contributivas</t>
  </si>
  <si>
    <t>Prest. de Serv. P. Jurídica Despesas do Municipio e Contra Partidas</t>
  </si>
  <si>
    <t>50301/50300</t>
  </si>
  <si>
    <t>Despesas Contra Partidas Prop. M.J. nº 056994/2017 P/Serv. Rec. 1168</t>
  </si>
  <si>
    <t>Execução Proposta M.J. nº 056994/2017 P/Serviços</t>
  </si>
  <si>
    <t>50601/50600</t>
  </si>
  <si>
    <t>Desp.  Contra Part. Proposta M.J. nº 056994/2017 P/Bens Rec. 1168</t>
  </si>
  <si>
    <t>Equip. e Mat. Perm. Proposta M.J. nº 056994/2017 P/Bens</t>
  </si>
  <si>
    <t>GESTÃO E PROMOÇÃO DO MEIO AMBIENTE</t>
  </si>
  <si>
    <t>Gestão Ambiental</t>
  </si>
  <si>
    <t>Preservação e Conservação Ambiental</t>
  </si>
  <si>
    <t>51034/51030</t>
  </si>
  <si>
    <t>13 Salário Serv. Efetivos</t>
  </si>
  <si>
    <t>51032/51030</t>
  </si>
  <si>
    <t>Vencimentos Serv. C.C.</t>
  </si>
  <si>
    <t>51033/51030</t>
  </si>
  <si>
    <t>51036/51030</t>
  </si>
  <si>
    <t>Férias Serv. C.C.</t>
  </si>
  <si>
    <t>51031/51030</t>
  </si>
  <si>
    <t>Vencimentos Serv. Efetivos</t>
  </si>
  <si>
    <t>51035/51030</t>
  </si>
  <si>
    <t>13 Salário Serv. C.C.</t>
  </si>
  <si>
    <t>51061/51060</t>
  </si>
  <si>
    <t>51062/51060</t>
  </si>
  <si>
    <t>51152/51150</t>
  </si>
  <si>
    <t>Diarias Serv. Efetivos</t>
  </si>
  <si>
    <t>51151/51150</t>
  </si>
  <si>
    <t>51201/51200</t>
  </si>
  <si>
    <t>Despesas com Locomoção Servidores</t>
  </si>
  <si>
    <t>Servicos Pessoa Fisica</t>
  </si>
  <si>
    <t>Servicos Pessoa Juridica</t>
  </si>
  <si>
    <t>51251/51250</t>
  </si>
  <si>
    <t>51252/51250</t>
  </si>
  <si>
    <t>Treinamento de Servidores</t>
  </si>
  <si>
    <t>51291/51290</t>
  </si>
  <si>
    <t>50681/50680</t>
  </si>
  <si>
    <t>50682/50680</t>
  </si>
  <si>
    <t>50683/50680</t>
  </si>
  <si>
    <t>50684/50680</t>
  </si>
  <si>
    <t>GESTÃO E PROMOÇÃO DO SANEAMENTO BÁSICO</t>
  </si>
  <si>
    <t>52001/52000</t>
  </si>
  <si>
    <t>Material Eletrico e Eletronico</t>
  </si>
  <si>
    <t>52102/52100</t>
  </si>
  <si>
    <t>52103/52100</t>
  </si>
  <si>
    <t>Conta de Energia Eletrica - Poço Artesiano U.C. 998519421</t>
  </si>
  <si>
    <t>52101/52100</t>
  </si>
  <si>
    <t>Manutenção de Poço Artesiano</t>
  </si>
  <si>
    <t>52141/52140</t>
  </si>
  <si>
    <t>Obras e Instalações Execução de Modulos Sanitários</t>
  </si>
  <si>
    <t>Total do Órgão: 07 - FUNDO MUNICIPAL DO MEIO AMBIENTE</t>
  </si>
  <si>
    <t>51381/51380</t>
  </si>
  <si>
    <t>51383/51380</t>
  </si>
  <si>
    <t>51382/51380</t>
  </si>
  <si>
    <t>51384/51380</t>
  </si>
  <si>
    <t>Equipamentos e Mat. Permanente Despesas do Municipio e Contra Part.</t>
  </si>
  <si>
    <t>FUNDO MUNICIPAL DO MEIO AMBIENTE</t>
  </si>
  <si>
    <t>Atividade: 2.011.000</t>
  </si>
  <si>
    <t>Projeto: 1.010.000</t>
  </si>
  <si>
    <t>Férias Serv. Efetivos</t>
  </si>
  <si>
    <t>51271/51270</t>
  </si>
  <si>
    <t>Atividade: 2.034.000</t>
  </si>
  <si>
    <t>SANEAMENTO</t>
  </si>
  <si>
    <t>08 - FUNDO DE HABITAÇÃO E DE INTERESSE SOCIAL</t>
  </si>
  <si>
    <t>Habitação</t>
  </si>
  <si>
    <t>Habitação Rural</t>
  </si>
  <si>
    <t>PROMOÇÃO DO ACESSO A MORADIA</t>
  </si>
  <si>
    <t>Obrig Trib. e Contrib. S/Serv. P. Física e M.E.I.</t>
  </si>
  <si>
    <t>Despesas com Dev. de Saldo Fin. Rec. 1053</t>
  </si>
  <si>
    <t>Total do Órgão: 08 - FUNDO DE HABITAÇÃO E DE INTERESSE SOCIAL</t>
  </si>
  <si>
    <t>FUNDO DE HABITAÇÃO E DE INTERESSE SOCIAL</t>
  </si>
  <si>
    <t>Atividade: 2.035.000</t>
  </si>
  <si>
    <t>09 - CONSELHOS MUNICIPAIS</t>
  </si>
  <si>
    <t>51051/51050</t>
  </si>
  <si>
    <t>GESTÃO, COORDENAÇÃO E PLANEJAMENTO</t>
  </si>
  <si>
    <t xml:space="preserve">GESTÃO , APOIO E MANUT., COORDEN. E PLANEJAMENTO </t>
  </si>
  <si>
    <t>Total do Órgão: 09 - CONSELHOS MUNICIPAIS</t>
  </si>
  <si>
    <t>10 - ENCARGOS ESPECIAIS</t>
  </si>
  <si>
    <t>Encargos Especiais</t>
  </si>
  <si>
    <t>Outros Encargos Especiais</t>
  </si>
  <si>
    <t>GESTÃO DE ENCARGOS ESPECIAIS</t>
  </si>
  <si>
    <t>Op. Esp.:</t>
  </si>
  <si>
    <t>ENCARGOS ESPECIAIS</t>
  </si>
  <si>
    <t>Contrib. Prev. : Complem., Multa,  Juros e Outros</t>
  </si>
  <si>
    <t>Sentenças Judiciais: RPVS e Precatórios</t>
  </si>
  <si>
    <t>Devolucao IPE Servidor Cedido 2009</t>
  </si>
  <si>
    <t>Juros S/Divida por Contrato</t>
  </si>
  <si>
    <t>Devolução de Valores ao Estado do R.G.S.</t>
  </si>
  <si>
    <t>Realiz. de Despesas : Conv. Tel. Cel., Correios, Etc...</t>
  </si>
  <si>
    <t>61505/61500</t>
  </si>
  <si>
    <t>Conta Serviço Telefone Embratel</t>
  </si>
  <si>
    <t>61506/61500</t>
  </si>
  <si>
    <t>Conta Serviço Telefone Celular</t>
  </si>
  <si>
    <t>Serviço Acesso a Internet</t>
  </si>
  <si>
    <t>61501/61500</t>
  </si>
  <si>
    <t>Serviços Postais</t>
  </si>
  <si>
    <t>61503/61500</t>
  </si>
  <si>
    <t>Tarifa Administrativa IPE</t>
  </si>
  <si>
    <t>61502/61500</t>
  </si>
  <si>
    <t>Serviços Bancários</t>
  </si>
  <si>
    <t>61508/61500</t>
  </si>
  <si>
    <t>Serviços Judiciários</t>
  </si>
  <si>
    <t>61504/61500</t>
  </si>
  <si>
    <t>Mensalidade Convênio Pedagio</t>
  </si>
  <si>
    <t>Realiz. de Despesas : PASEP S/Receita e Outros</t>
  </si>
  <si>
    <t>61602/61600</t>
  </si>
  <si>
    <t>Multas PASEP S/Receita</t>
  </si>
  <si>
    <t>61601/61600</t>
  </si>
  <si>
    <t>PASEP S/Receita e Outros</t>
  </si>
  <si>
    <t>61603/61600</t>
  </si>
  <si>
    <t>Juros S/Contrib. Patron. P. Juridica</t>
  </si>
  <si>
    <t>Ressarcimento de Valores</t>
  </si>
  <si>
    <t>Devolução de Saldo de Valores a União</t>
  </si>
  <si>
    <t>Devolução de Saldo de Valores ao Estado do R.G.S.</t>
  </si>
  <si>
    <t>Principal Da Divida Por Contrato</t>
  </si>
  <si>
    <t>Op. Espec.: 0.001.000</t>
  </si>
  <si>
    <t>61591/61590</t>
  </si>
  <si>
    <t>Total do Órgão: 10 - ENCARGOS ESPECIAIS</t>
  </si>
  <si>
    <t>RESERVA DE CONTINGENCIA</t>
  </si>
  <si>
    <t>11 - RESERVA DE CONTINGÊNCIA</t>
  </si>
  <si>
    <t>Total do Órgão: 11 - RESERVA DE CONTINGÊNCIA</t>
  </si>
  <si>
    <t>Atividade: 2.027.000</t>
  </si>
  <si>
    <t>12 - GESTÃO E COORDENAÇÃO DE CONVENIOS UNIAO E ESTADO</t>
  </si>
  <si>
    <t>Total do Órgão: 12 - GESTÃO E COORDENAÇÃO DE CONVENIOS UNIAO E ESTADO</t>
  </si>
  <si>
    <t>Devolução de Saldo Recurso 1127 - Modulos Sanitarios</t>
  </si>
  <si>
    <t>64001/64000</t>
  </si>
  <si>
    <t>GESTÃO E COORDENAÇÃO DE CONVENIOS UNIAO E ESTADO</t>
  </si>
  <si>
    <t>13 - GABINETE DO VICE PREFEITO</t>
  </si>
  <si>
    <t>GABINETE DO VICE PREFEITO</t>
  </si>
  <si>
    <t>Custo Aq.: Obrig Trib. e Contrib. S/Serv. P. Física e M.E.I.</t>
  </si>
  <si>
    <t>Custo Aq.: Material de Consumo</t>
  </si>
  <si>
    <t>Custo Aq.: Prest. de Serv. P. Física</t>
  </si>
  <si>
    <t>Custo Aq.: Prest. de Serv. P. Jurídica</t>
  </si>
  <si>
    <t>Custo Aq.: Obras e Instalações</t>
  </si>
  <si>
    <t>Custo Aq.: Equipamentos e Mat. Permanente</t>
  </si>
  <si>
    <t>Folha PGTº: Serv. Efetivos., C.C. e Agente Político</t>
  </si>
  <si>
    <t>66102/66100</t>
  </si>
  <si>
    <t>13º Salário  Vice Prefeito</t>
  </si>
  <si>
    <t>66101/66100</t>
  </si>
  <si>
    <t>Subsídio Vice Prefeito</t>
  </si>
  <si>
    <t>66201/66200</t>
  </si>
  <si>
    <t>Contrib. Patronal Prev. Vice Prefeito</t>
  </si>
  <si>
    <t>66502/66500</t>
  </si>
  <si>
    <t>66501/66500</t>
  </si>
  <si>
    <t>Diaria Vice Prefeito</t>
  </si>
  <si>
    <t>66701/66700</t>
  </si>
  <si>
    <t>67001/67000</t>
  </si>
  <si>
    <t>Treinamento: Vice Prefeito</t>
  </si>
  <si>
    <t>Total do Órgão: 13 - GABINETE DO VICE PREFEITO</t>
  </si>
  <si>
    <t>14 - GESTAO E.P.E.C. 86-2015</t>
  </si>
  <si>
    <t>Total do Órgão: 14 - GESTAO E.P.E.C. 86-2015</t>
  </si>
  <si>
    <t>03 - SECRETARIA MUNICIPAL DE EDUCAÇÃO, CULT. E DESPORTO</t>
  </si>
  <si>
    <t>01 - GESTÃO COORD. E PLANEJ. , MANUT. E DES. DO ENSINO</t>
  </si>
  <si>
    <t> 5</t>
  </si>
  <si>
    <t>NOVOS INVESTIMENTOS EM EDUCAÇÃO</t>
  </si>
  <si>
    <t>Custo Aq.: Equip. e Material Permanente</t>
  </si>
  <si>
    <t>Equipamentos e Mat. Permanente S.M.E.</t>
  </si>
  <si>
    <t>Outros Servicos - Pessoa Juridica</t>
  </si>
  <si>
    <t>GESTÃO, COORDENAÇÃO, E PLANEJAMENTO EDUCACIONAL</t>
  </si>
  <si>
    <t>Folha PGTº: Serv. Efetivos, CLT,  C.C. e Agente Político</t>
  </si>
  <si>
    <t>Contrib. Patronal Prev. Substitut. Serv. Esc. Santa Luzia</t>
  </si>
  <si>
    <t>Contrib. Patronal Prev. Serv. CLT - Esc. Santa Luzia</t>
  </si>
  <si>
    <t>Contrib. Patronal Prev. Serv. Esc. Arlindo Bonifácio Pires</t>
  </si>
  <si>
    <t>Contrib. Patronal Prev. Serv. Efetivos - E sc. Santa Luzia</t>
  </si>
  <si>
    <t>Contrib. Patronal Prev. Substitut. Serv. Esc. Arlindo Bonifácio Pires</t>
  </si>
  <si>
    <t>Hora Extra Serv. Efetivos Esc. Santa Luzia</t>
  </si>
  <si>
    <t>Hora Extra Serv. Efetivos Esc. Arlindo B. Pires</t>
  </si>
  <si>
    <t>Gas de Cozinha - Almoxarifado</t>
  </si>
  <si>
    <t>Gêneros Alimentícios -  Aq. Imediata</t>
  </si>
  <si>
    <t>Gêneros Alimentícios -  Almoxarifado</t>
  </si>
  <si>
    <t>Material de Copa e Cozinha -  Aq. Imediata</t>
  </si>
  <si>
    <t>Suprimentos -  Aq. Imediata</t>
  </si>
  <si>
    <t>Mat. de Limp. e Higienização -  Aq. Imediata</t>
  </si>
  <si>
    <t>Material P/Festividades e Homenagens: Aula Inaugural, Etc.</t>
  </si>
  <si>
    <t>Material Expediente - Almoxarifado</t>
  </si>
  <si>
    <t>Material Expediente - Aq. Imediata</t>
  </si>
  <si>
    <t>Outros Serviços Pessoa Física</t>
  </si>
  <si>
    <t>Auxilio -Transporte e Dificil Acesso</t>
  </si>
  <si>
    <t>Equipamentos de Informática Escolas Municipais</t>
  </si>
  <si>
    <t>PROMOÇÃO E DESENVOLVIMENTO DO ENSINO FUNDAMENTAL</t>
  </si>
  <si>
    <t>Folha PGTº: Serv. Efetivos, CLT e C.C.</t>
  </si>
  <si>
    <t>Material, Bem ou Serviço Distribuicao Gratuita</t>
  </si>
  <si>
    <t>Passagens e Despesas Com Locomocao</t>
  </si>
  <si>
    <t>Estagiários - Esc. Arlindo B. Pires</t>
  </si>
  <si>
    <t>Estagiários - Esc. Santa Luzia</t>
  </si>
  <si>
    <t>PROMOÇÃO DO TRANSP. ESC. DO ENSINO FUNDAMENTAL</t>
  </si>
  <si>
    <t>Folha PGTº: Serv. Efetivos e C.C.</t>
  </si>
  <si>
    <t>PROMOÇÃO E DESENVOLVIMENTO DA EDUCAÇÃO INFANTIL</t>
  </si>
  <si>
    <t>Folha PGTº: Serv. Contratados</t>
  </si>
  <si>
    <t>Material, Bem ou Serviço P/Distrib. Gratuita</t>
  </si>
  <si>
    <t>Despesas com Locomoção</t>
  </si>
  <si>
    <t>Prest. de Serv. Pessoa Fisica</t>
  </si>
  <si>
    <t>Prest. de Serv. Pessoa Jurídica</t>
  </si>
  <si>
    <t>Auxilio - Alimentação</t>
  </si>
  <si>
    <t>Educação</t>
  </si>
  <si>
    <t>PROMOÇÃO E DESENVOLVIMENTO DA EDUCAÇÃO</t>
  </si>
  <si>
    <t>GESTÃO E DESENV. DO TRANSP. ESCOLAR DO ENS. FUNDAM</t>
  </si>
  <si>
    <t>Ensino Fundamental</t>
  </si>
  <si>
    <t>Educação Infantil</t>
  </si>
  <si>
    <t>71051/71050</t>
  </si>
  <si>
    <t>Total da Unidade: 03 - SECRETARIA MUNICIPAL DE EDUCAÇÃO, CULT. E DESPORTO</t>
  </si>
  <si>
    <t>Total do Órgão: 01 - GESTÃO COORD. E PLANEJ. , MANUT. E DES. DO ENSINO</t>
  </si>
  <si>
    <t>GESTÃO COORD. E PLANEJ. , MANUT. E DES. DO ENSINO</t>
  </si>
  <si>
    <t>Atividade: 2.005.000</t>
  </si>
  <si>
    <t>ESTE TEM POR OBJETIVO REGISTRAR AS RECEITAS E DESPESAS DE TRANSFERÊNCIAS VOLUNTÁRIAS DO GOVERNO DO ESTADO DO RIO GRANDE DO SUL E SUAS ENTIDADES.</t>
  </si>
  <si>
    <t>Transf. Volunt. do Est. do RS</t>
  </si>
  <si>
    <t>Transf. Volunt. da União</t>
  </si>
  <si>
    <t>ESTE TEM POR OBJETIVO REGISTRAR AS RECEITAS E DESPESAS DE TRANSFERÊNCIAS VOLUNTÁRIAS DO GOVERNO FEDERAL, SUAS ENTIDADES E DE EMENDAS PARLAMENTARES.</t>
  </si>
  <si>
    <t>1038 - TRANSF. VOLUNT. DO EST. DO RS</t>
  </si>
  <si>
    <t>Rem. de Dep. Banc. - Transf. Term. de Coop. Téc. nº 003/2017 Impl. Sist. de Agua</t>
  </si>
  <si>
    <t>Devolução de Saldo Recurso 1038 - TRANSF. VOLUNT. DO EST. DO RS</t>
  </si>
  <si>
    <t>Aplic. Recurso 1038: Obrig Trib. e Contrib. S/Serv. P. Física e M.E.I.</t>
  </si>
  <si>
    <t>Aplic. Recurso 1038:  Material de Consumo</t>
  </si>
  <si>
    <t>Aplic. Recurso 1038:  Prest. de Serv. P. Física</t>
  </si>
  <si>
    <t>Aplic. Recurso 1038:  Prest. de Serv. P. Jurídica</t>
  </si>
  <si>
    <t>Aplic. Recurso 1038:  Obras e Instalações</t>
  </si>
  <si>
    <t>Aplic. Compl. Mun. :   Obras e Instalações</t>
  </si>
  <si>
    <t>Aplic. Recurso 1039: Obrig Trib. e Contrib. S/Serv. P. Física e M.E.I.</t>
  </si>
  <si>
    <t>Aplic. Recurso 1038: Devolução de Saldo</t>
  </si>
  <si>
    <t>Aplic. Recurso 1039: Devolução de Saldo</t>
  </si>
  <si>
    <t>Aplic. Contra Partida: Equip. e Mat. Permanentes</t>
  </si>
  <si>
    <t>veiculo utilitario</t>
  </si>
  <si>
    <t>mobiliario</t>
  </si>
  <si>
    <t>GESTAO E COORDENAÇÃO ESCOLAS MUNICIPAIS</t>
  </si>
  <si>
    <t>Indenizações Trabalhistas:13º Salário Serv. Esc. Santa Luzia</t>
  </si>
  <si>
    <t>Indenizações Trabalhistas: Férias Serv. Esc. Santa Luzia</t>
  </si>
  <si>
    <t>Indenizações Trabalhistas:13º Salário Serv. Esc. Arlindo B. Pires</t>
  </si>
  <si>
    <t>Indenizações Trabalhistas: Férias Serv. Esc. Arlindo B. Pires</t>
  </si>
  <si>
    <t>Locação de Sistemas de Impressoras e Copiadoras</t>
  </si>
  <si>
    <t>Projeto: 1.012.000</t>
  </si>
  <si>
    <t>Projeto: 1.005.000</t>
  </si>
  <si>
    <t>Atividade: 2.047.000</t>
  </si>
  <si>
    <t>diversos</t>
  </si>
  <si>
    <t>Diversos</t>
  </si>
  <si>
    <t>GESTÃO ENSINO FUNDAMENTAL</t>
  </si>
  <si>
    <t>Atividade: 2.006.000</t>
  </si>
  <si>
    <t>GESTÃO DA EDUCAÇÃO INFANTIL</t>
  </si>
  <si>
    <t>Atividade: 2.036.000</t>
  </si>
  <si>
    <t>GESTAO E COORD. TRANSPORTE ESCOLAR</t>
  </si>
  <si>
    <t>GESTÃO TRANSPORTE ESCOLAR</t>
  </si>
  <si>
    <t>Atividade: 2.049.000</t>
  </si>
  <si>
    <t>Atividade: 2.019.000</t>
  </si>
  <si>
    <t>Atividade: 2.020.000</t>
  </si>
  <si>
    <t>Total por Recurso:</t>
  </si>
  <si>
    <t>02 - DESENVOLVIMENTO DO ENSINO - FUNDEB</t>
  </si>
  <si>
    <t>Investim. Ensino Fundam.: Obrig Trib. e Contributivas</t>
  </si>
  <si>
    <t>Educação Infantil: Obrig Trib. e Contributivas</t>
  </si>
  <si>
    <t>Investim. Ensino Fundam.: Material de Consumo</t>
  </si>
  <si>
    <t>Investim. Ensino Fundam.: Prest. de Serv. P. Física</t>
  </si>
  <si>
    <t>Educação Infantil: Prest. de Serv. P. Física</t>
  </si>
  <si>
    <t>Investim. Ensino Fundam.: Prest. de Serv. P. Jurídica</t>
  </si>
  <si>
    <t>Educação Infantil: Prest. de Serv. P. Jurídica</t>
  </si>
  <si>
    <t>Investim. Ensino Fundam.: Obras e Instalações</t>
  </si>
  <si>
    <t>Educação Infantil: Obras e Instalações</t>
  </si>
  <si>
    <t>Investim. Ensino Fundam.: Equipamentos e Mat. Permanente</t>
  </si>
  <si>
    <t>Educação Infantil: Equipamentos e Mat. Permanente</t>
  </si>
  <si>
    <t>Equipamentos e Material Permanente Art. 21 LDB</t>
  </si>
  <si>
    <t>Folha PGTº: Professores e Servidores Contratados</t>
  </si>
  <si>
    <t>Folha PGTº: Professoes, Serv. Efetivos, CLT e C.C.</t>
  </si>
  <si>
    <t>Contrib. Patronais Prev. Professores - Esc. Arlindo Bonifácio Pires</t>
  </si>
  <si>
    <t>Contrib. Patronais Prev. Professores - Esc. Santa Luzia</t>
  </si>
  <si>
    <t>Diarias Prof Efetivos</t>
  </si>
  <si>
    <t>Material P/Distribuição Gratuita</t>
  </si>
  <si>
    <t>Mat Esc.  P/Dist. Grat. Ens. Fund. - Esc. Santa Luzia</t>
  </si>
  <si>
    <t>Mat Esc. P/Dist. Grat. Ens. Fund. - Esc. Arlindo B. Pires</t>
  </si>
  <si>
    <t>Despesas C/Locomocao Esc. Arlindo B. Pires</t>
  </si>
  <si>
    <t>Despesas C/Locomocao Esc. Santa Luzia</t>
  </si>
  <si>
    <t>Obrig Trib. E Contrib. S/Serviços</t>
  </si>
  <si>
    <t>Contrib. Pat. Prev. S/Serviços Arlindo B. Pires</t>
  </si>
  <si>
    <t>Contrib. Pat. Prev. S/Serviços  P. Fisica</t>
  </si>
  <si>
    <t>Contrib. Pat. Prev. S/Serviços STA LUZIA</t>
  </si>
  <si>
    <t>Materiais de Consumo Lei 494/2007, art. 21</t>
  </si>
  <si>
    <t>Obrig Trib. E Contrib. S/Serv. Terceiros</t>
  </si>
  <si>
    <t>Material e Autopecas Veiculos IPN 4843</t>
  </si>
  <si>
    <t>Material Escolar P/Distribuição Gratuita</t>
  </si>
  <si>
    <t>Mat Esc.  P/Dist. Grat. Ed. Infantil - Esc. Arlindo B. Pires</t>
  </si>
  <si>
    <t>Mat Esc.  P/Dist. Grat. Ed. Infantil - Esc. Santa Luzia</t>
  </si>
  <si>
    <t>Auxilio - Transporte</t>
  </si>
  <si>
    <t>PROMOÇÃO E DESENVOLVIMENTO DA EDUCAÇÃO ESPECIAL</t>
  </si>
  <si>
    <t>Investim. Adm. Escolar: Obrig Trib. e Contributivas</t>
  </si>
  <si>
    <t>Investim. Adm. Escolar: Material de Consumo</t>
  </si>
  <si>
    <t>Investim. Adm. Escolar: Prest. de Serv. P. Física</t>
  </si>
  <si>
    <t>Investim. Adm. Escolar: Prest. de Serv. P. Jurídica</t>
  </si>
  <si>
    <t>Investim. Adm. Escolar: Obras e Instalações</t>
  </si>
  <si>
    <t>Investim. Adm. Escolar: Equipamentos e Mat. Permanente</t>
  </si>
  <si>
    <t>Educação Especial</t>
  </si>
  <si>
    <t>GESTÃO FUNDEB</t>
  </si>
  <si>
    <t>ARTIG. 212</t>
  </si>
  <si>
    <t>COMPL. S/TRANSF.</t>
  </si>
  <si>
    <t>COMPLM. S/REC. Mun.</t>
  </si>
  <si>
    <t>GESTÃO DE NOVOS INVESTIMENTOS</t>
  </si>
  <si>
    <t>PROMOÇÃO DA EDUCAÇÃO INFANTIL</t>
  </si>
  <si>
    <t>Projeto: 2.038.000</t>
  </si>
  <si>
    <t>PROMOÇÃO E DESENV. DA EDUCAÇÃO JOVENS E ADULTOS</t>
  </si>
  <si>
    <t>Obrig Trib. E Contrib. S/Serv.Terceiros</t>
  </si>
  <si>
    <t>Educação de Jovens e Adultos</t>
  </si>
  <si>
    <t>11 - GESTÃO, COORDENAÇAO E PROMOÇÃO DO TRANSPORTE ESCOLAR</t>
  </si>
  <si>
    <t>Total da Órgão: 03 - SECRETARIA MUNICIPAL DE EDUCAÇÃO, CULT. E DESPORTO</t>
  </si>
  <si>
    <t>Total do Unidade: 02 - DESENVOLVIMENTO DO ENSINO - FUNDEB</t>
  </si>
  <si>
    <t>Total do Unidade: 11 - GESTÃO, COORDENAÇAO E PROMOÇÃO DO TRANSPORTE ESCOLAR</t>
  </si>
  <si>
    <t>03 - DESENVOLVIMENTO DO ENSINO - PROGRAMAS ESTADUAIS</t>
  </si>
  <si>
    <t>Total do Unidade: 03 - DESENVOLVIMENTO DO ENSINO - PROGRAMAS ESTADUAIS</t>
  </si>
  <si>
    <t>Transporte Escolar: Ensino Fundamental</t>
  </si>
  <si>
    <t>PROMOÇÃO DO TRANSP. ESC. DO ENSINO MEDIO</t>
  </si>
  <si>
    <t>Ensino Médio</t>
  </si>
  <si>
    <t>GESTÃO E DESENV. DO TRANSP. DO ENS. MEDIO</t>
  </si>
  <si>
    <t>Devolução de Saldo Rec. Vinculado 1076</t>
  </si>
  <si>
    <t>Obras e Instalações Contra Partida Rec. 1076</t>
  </si>
  <si>
    <t>PROMOÇÃO E DESENVOLVIMENTO DA ALIMENTAÇÃO ESCOLAR</t>
  </si>
  <si>
    <t xml:space="preserve">Contrib. Patronais Previdencia </t>
  </si>
  <si>
    <t xml:space="preserve">13 Salário </t>
  </si>
  <si>
    <t xml:space="preserve">Anuênio </t>
  </si>
  <si>
    <t xml:space="preserve">Vencimentos Servidores  CLT </t>
  </si>
  <si>
    <t>Anuênio Férias</t>
  </si>
  <si>
    <t>Anuênio 13 Salário</t>
  </si>
  <si>
    <t xml:space="preserve">Férias </t>
  </si>
  <si>
    <t xml:space="preserve">Auxilio Transporte Serv. Efetivos </t>
  </si>
  <si>
    <t>Projeto: 1.006.000</t>
  </si>
  <si>
    <t>Gestão, Desenvolvimento e Promoção do Ensino: Fundamental</t>
  </si>
  <si>
    <t>Contrib. Prev. Professores</t>
  </si>
  <si>
    <t>Vencimentos Professoes</t>
  </si>
  <si>
    <t xml:space="preserve">Anuênio Professoes </t>
  </si>
  <si>
    <t xml:space="preserve">Anuênio Férias Professoes </t>
  </si>
  <si>
    <t xml:space="preserve">Função Gratificada </t>
  </si>
  <si>
    <t xml:space="preserve">Anuênio 13 Salário Professoes </t>
  </si>
  <si>
    <t xml:space="preserve">Classe Nivel </t>
  </si>
  <si>
    <t xml:space="preserve">Férias Professores </t>
  </si>
  <si>
    <t>13º Salário Professores</t>
  </si>
  <si>
    <t xml:space="preserve">Alteração de Carga Horaria </t>
  </si>
  <si>
    <t>Ajuste Pao Piso Nacional Fundeb</t>
  </si>
  <si>
    <t>Indenizações Trab. 13º Sal. Profes. Contratado</t>
  </si>
  <si>
    <t>Indenizações Trab. Férias Profes. Efetivo</t>
  </si>
  <si>
    <t xml:space="preserve">Indenizações Trab. 13º Sal. Profes. Efetivo </t>
  </si>
  <si>
    <t>Indenizações Trab. Férias Profes. Contratado</t>
  </si>
  <si>
    <t xml:space="preserve">Aux.Transp. Professores  Contr. </t>
  </si>
  <si>
    <t>Auxilio Transp. Professores Efet.</t>
  </si>
  <si>
    <t>Gestão, Desenvolvimento e Promoção do Ensino: Educação Infantil</t>
  </si>
  <si>
    <t>Contrib. Patron. Previ. Professores</t>
  </si>
  <si>
    <t>Auxi. Trans. e Dif. Aceso Profess. Contr</t>
  </si>
  <si>
    <t>Auxi. Trans. e Dif. Aceso Profess. Efet.</t>
  </si>
  <si>
    <t>Auxi. Transp. Professores Efet.</t>
  </si>
  <si>
    <t>Auxi. Transp. Professores Contr</t>
  </si>
  <si>
    <t>Contrib. Patron. Prev. Professores</t>
  </si>
  <si>
    <t>Vencimentos Professores (Vencimentos+Ajuste Piso Nacional+Classe Nivel)</t>
  </si>
  <si>
    <t>Contrib. Patronais Prev. Professores</t>
  </si>
  <si>
    <t>Mat Esc. P/Dist. Grat. EJA</t>
  </si>
  <si>
    <t>Auxilio Transporte Professores Efetivos</t>
  </si>
  <si>
    <t>Auxilio Transporte Professores Contratados</t>
  </si>
  <si>
    <t>Gestão, Desenvolvimento e Promoção do Ensino: Educação Especial</t>
  </si>
  <si>
    <t xml:space="preserve">Contrib. Patronais Prev. Professores </t>
  </si>
  <si>
    <t>Indenizações Trab.13º Salario Prof. Contratados</t>
  </si>
  <si>
    <t>Indenizações Trabalhistas Férias Prof. Efetivos</t>
  </si>
  <si>
    <t>Aux. Trans e Dific. Aces. Profes. Efetivos</t>
  </si>
  <si>
    <t>Aux. Trans e Dific. Acesso Profes. Contratados</t>
  </si>
  <si>
    <t>10 - GESTÃO, COORD., PLAN. E MAN. EMEI SONHO DE CRIANÇA</t>
  </si>
  <si>
    <t> 18</t>
  </si>
  <si>
    <t>NOVOS INVESTIMENTOS EMEI SONHO CRIANÇA</t>
  </si>
  <si>
    <t>Projeto: 1.018.000</t>
  </si>
  <si>
    <t>GESTÃO E DES. EDUC. INF. E.M.E.I. SONHO DE CRIANÇA</t>
  </si>
  <si>
    <t>GEST., COORD. E PLAN. E.M.E.I. SONHO DE CRIANÇA</t>
  </si>
  <si>
    <t>Folha PGTº: Obrigações Patronais Previdenciarias</t>
  </si>
  <si>
    <t>Folha PGTº: Professoes, Serv. Efetivos, FG e C.C.</t>
  </si>
  <si>
    <t>Folha PGTº: Obrigações Patronais Previdência</t>
  </si>
  <si>
    <t>Total do Unidade: 10 - GESTÃO, COORD., PLAN. E MAN. EMEI SONHO DE CRIANÇA</t>
  </si>
  <si>
    <t>Atividade: 2.040.000</t>
  </si>
  <si>
    <t>Agua</t>
  </si>
  <si>
    <t>Energia</t>
  </si>
  <si>
    <t>Telefone Fixo</t>
  </si>
  <si>
    <t>Atividade: 2.041.000</t>
  </si>
  <si>
    <t>Vencimentos C.C.</t>
  </si>
  <si>
    <t>Férias C.C.</t>
  </si>
  <si>
    <t>Material de Consumo PDDE</t>
  </si>
  <si>
    <t>GESTÃO DE RECURSOS ESTADUAIS</t>
  </si>
  <si>
    <t>04 - DESENVOLVIMENTO DO ENSINO - PROGRAMAS FEDERAIS</t>
  </si>
  <si>
    <t>GESTÃO DE RECURSOS FEDERAIS</t>
  </si>
  <si>
    <t>Total do Unidade: 04 - DESENVOLVIMENTO DO ENSINO - PROGRAMAS FEDERAIS</t>
  </si>
  <si>
    <t>Atividade: 2.024.000</t>
  </si>
  <si>
    <t>Obrig Trib. e Contrib. S/Serviços Rec. Vinculado 1076</t>
  </si>
  <si>
    <t>Material de Consumo Rec. Vinculado 1076</t>
  </si>
  <si>
    <t>Prest. de Serv. P. Física Rec. Vinculado 1076</t>
  </si>
  <si>
    <t>Prest. de Serv. P. Jurídica Rec. Vinculado 1076</t>
  </si>
  <si>
    <t>Obras e Instalações Rec. Vinculado 1076</t>
  </si>
  <si>
    <t>05 - DESENVOLVIMENTO DO ENSINO - RECURSOS LIVRES</t>
  </si>
  <si>
    <t>Total do Unidade: 05 - DESENVOLVIMENTO DO ENSINO - RECURSOS LIVRES</t>
  </si>
  <si>
    <t>Obrig Trib. e Contrib. S/Serv. Terceiros</t>
  </si>
  <si>
    <t>GESTÃO E DESENVOLVIMENTO DA EDUCAÇÃO COM RECURSOS PRÓPRIOS</t>
  </si>
  <si>
    <t>TOTAL SERVIDORES PERMUTADOS</t>
  </si>
  <si>
    <t>06 - DEPARTAMENTO DE ALIMENTAÇÃO E NUTRIÇÃO ESCOLAR</t>
  </si>
  <si>
    <t>Total do Unidade: 06 - DEPARTAMENTO DE ALIMENTAÇÃO E NUTRIÇÃO ESCOLAR</t>
  </si>
  <si>
    <t> 6</t>
  </si>
  <si>
    <t>NOVOS INVESTIMENTOS EM  ALIMENTAÇÃO E NUTRIÇÃO</t>
  </si>
  <si>
    <t xml:space="preserve">PROGRAMA DE NUTRIÇÃO E ALIMENTAÇÃO ESCOLAR </t>
  </si>
  <si>
    <t>GESTÃO DA ALIMENTAÇÃO ESCOLAR</t>
  </si>
  <si>
    <t>Projeto: 1.007.000</t>
  </si>
  <si>
    <t>Atividade: 2.007.000</t>
  </si>
  <si>
    <t>Alimentação e Nutrição</t>
  </si>
  <si>
    <t>Alimentação e Nutrição: Materiais de Consumo</t>
  </si>
  <si>
    <t>Alimentação e Nutrição: Generos Alimentação</t>
  </si>
  <si>
    <t>Alimentação e Nutrição:Generos Alimentação Agricultura Familiar</t>
  </si>
  <si>
    <t>Alimentação e Nutrição: Prest. de Serv. P. Física</t>
  </si>
  <si>
    <t>Alimentação e Nutrição: Prest. de Serv. P. Jurídica</t>
  </si>
  <si>
    <t>Alimentação e Nutrição: Obrig Trib. E Contrib. S/Serv. Terceiros</t>
  </si>
  <si>
    <t>Alimentação e Nutrição: Obras e Instalações</t>
  </si>
  <si>
    <t>Alimentação e Nutrição: Equipamentos e Material Permanente</t>
  </si>
  <si>
    <t>Alimentação e Nutrição: Generos Alimentação PNAE</t>
  </si>
  <si>
    <t>Alimentação e Nutrição: Generos Alimentação Agricultura Familiar PNAE</t>
  </si>
  <si>
    <t>07 - DEPARTAMENTO DE CULTURA</t>
  </si>
  <si>
    <t>Cultura</t>
  </si>
  <si>
    <t>PROMOÇÃO E DESENVOLVIMENTO CULTURAL</t>
  </si>
  <si>
    <t>NOVOS INVESTIMENTOS EM CULTURA</t>
  </si>
  <si>
    <t>GESÃO, COORD. E PLAN. E REAL. DE EVENTOS CULTURAIS</t>
  </si>
  <si>
    <t>Material de Distribuição Gratuita</t>
  </si>
  <si>
    <t>Difusão Cultural</t>
  </si>
  <si>
    <t>Gestão Departamento de Cultura</t>
  </si>
  <si>
    <t>Projeto: 1.008.000</t>
  </si>
  <si>
    <t>Gest. Corrd. e Planej.: Obrig Trib. e Contrib. S/Serviços</t>
  </si>
  <si>
    <t>Gest. Corrd. e Planej.: Material de Consumo</t>
  </si>
  <si>
    <t>Gest. Corrd. e Planej.: Prest. de Serv. P. Física</t>
  </si>
  <si>
    <t>Gest. Corrd. e Planej.: Prest. de Serv. P. Jurídica</t>
  </si>
  <si>
    <t>Gest. Corrd. e Planej.: Obras e Instalações</t>
  </si>
  <si>
    <t>Gest. Corrd. e Planej.: Equipamentos E Material Permanente</t>
  </si>
  <si>
    <t>Prom. e Desenv. Cultural: Obrig Trib. e Contrib. S/Serviços</t>
  </si>
  <si>
    <t>Prom. e Desenv. Cultural: Material de Consumo</t>
  </si>
  <si>
    <t>Prom. e Desenv. Cultural: Prest. de Serv. P. Física</t>
  </si>
  <si>
    <t>Prom. e Desenv. Cultural: Prest. de Serv. P. Jurídica</t>
  </si>
  <si>
    <t>Prom. e Desenv. Cultural: Obras e Instalações</t>
  </si>
  <si>
    <t>Prom. e Desenv. Cultural: Equipamentos E Material Permanente</t>
  </si>
  <si>
    <t>Gest. Corrd. e Planej.: Folha PGTº: Servidores Contratados</t>
  </si>
  <si>
    <t>Gest. Corrd. e Planej.: Folha PGTº: Serv. Efetivos e C.C.</t>
  </si>
  <si>
    <t>Gest. Corrd. e Planej.: Folha PGTº: Obrigações Patronais</t>
  </si>
  <si>
    <t>Gest. Corrd. e Planej.: Folha PGTº: Hora Extra</t>
  </si>
  <si>
    <t>Gest. Corrd. e Planej.: Substituição de Servidores P/Serviços Terceiros</t>
  </si>
  <si>
    <t>Gest. Corrd. e Planej.: Folha PGTº: Indenizações Trabalhistas</t>
  </si>
  <si>
    <t>Gest. Corrd. e Planej.: Diárias</t>
  </si>
  <si>
    <t>Gest. Corrd. e Planej.: Materiais de Consumo</t>
  </si>
  <si>
    <t>Gest. Corrd. e Planej.: Material de Distribuição Gratuita</t>
  </si>
  <si>
    <t>Gest. Corrd. e Planej.: Despesas com Locomocao</t>
  </si>
  <si>
    <t>Gest. Corrd. e Planej.: Auxilio-alimentacao</t>
  </si>
  <si>
    <t>Gest. Corrd. e Planej.: Obrig Trib. E Contrib. S/Serv. Terceiros P. Física e M.E.I.</t>
  </si>
  <si>
    <t>Gest. Corrd. e Planej.: Auxilio-Transporte</t>
  </si>
  <si>
    <t>Gest. Corrd. e Planej.: Despesas de Exercícios Anteriores</t>
  </si>
  <si>
    <t>Gest. Corrd. e Planej.: Ressarcimento de Despesas</t>
  </si>
  <si>
    <t>Gest. Corrd. e Planej.: Materiais Adquiridos Através de Consórcio</t>
  </si>
  <si>
    <t>Prom. e Desenv. Cultural: Folha PGTº: Servidores Contratados</t>
  </si>
  <si>
    <t>Prom. e Desenv. Cultural: Folha PGTº: Serv. Efetivos e C.C.</t>
  </si>
  <si>
    <t>Prom. e Desenv. Cultural: Folha PGTº: Obrigações Patronais</t>
  </si>
  <si>
    <t>Prom. e Desenv. Cultural: Folha PGTº: Hora Extra</t>
  </si>
  <si>
    <t>Prom. e Desenv. Cultural: Substituição de Servidores P/Serviços Terceiros</t>
  </si>
  <si>
    <t>Prom. e Desenv. Cultural: Folha PGTº: Indenizações Trabalhistas</t>
  </si>
  <si>
    <t>Prom. e Desenv. Cultural: Diárias</t>
  </si>
  <si>
    <t>Prom. e Desenv. Cultural: Materiais de Consumo</t>
  </si>
  <si>
    <t>Prom. e Desenv. Cultural: Premiações Culturais</t>
  </si>
  <si>
    <t>Prom. e Desenv. Cultural: Material de Distribuição Gratuita</t>
  </si>
  <si>
    <t>Prom. e Desenv. Cultural: Despesas com Locomocao</t>
  </si>
  <si>
    <t>Prom. e Desenv. Cultural: Auxilio-alimentacao</t>
  </si>
  <si>
    <t>Prom. e Desenv. Cultural: Obrig Trib. E Contrib. S/Serv. Terceiros P. Física e M.E.I.</t>
  </si>
  <si>
    <t>Prom. e Desenv. Cultural: Auxilio-Transporte</t>
  </si>
  <si>
    <t>Prom. e Desenv. Cultural: Despesas de Exercícios Anteriores</t>
  </si>
  <si>
    <t>Prom. e Desenv. Cultural: Ressarcimento de Despesas</t>
  </si>
  <si>
    <t>Prom. e Desenv. Cultural: Materiais Adquiridos Através de Consórcio</t>
  </si>
  <si>
    <t>Gest. Corrd. e Planej.: SERVIÇOS DE TECNOLOGIA DA INFORMAÇÃO E COMUNICAÇÃO</t>
  </si>
  <si>
    <t>Prom. e Desenv. Cultural: SERVIÇOS DE TECNOLOGIA DA INFORMAÇÃO E COMUNICAÇÃO</t>
  </si>
  <si>
    <t>Atividade: 2.008.000</t>
  </si>
  <si>
    <t>Centro de Eventos</t>
  </si>
  <si>
    <t>Casa da Cultura</t>
  </si>
  <si>
    <t>Pórtico</t>
  </si>
  <si>
    <t>Festa são Jose</t>
  </si>
  <si>
    <t>Pascoa</t>
  </si>
  <si>
    <t>Festa Junina</t>
  </si>
  <si>
    <t>Semana da Patria</t>
  </si>
  <si>
    <t>Semana Farroupilha</t>
  </si>
  <si>
    <t>Feira do Livro</t>
  </si>
  <si>
    <t>Festivais Culturais: Musica Sacra e outros</t>
  </si>
  <si>
    <t>GCN Uniao dos Pagos</t>
  </si>
  <si>
    <t>Banda Municipal</t>
  </si>
  <si>
    <t>Festa Natalina</t>
  </si>
  <si>
    <t>Total do Unidade: 07 - DEPARTAMENTO DE CULTURA</t>
  </si>
  <si>
    <t>08 - DEPARTAMENTO DE DESPORTO</t>
  </si>
  <si>
    <t>Total do Unidade: 08 - DEPARTAMENTO DE DESPORTO</t>
  </si>
  <si>
    <t> 9</t>
  </si>
  <si>
    <t>NOVOS INVESTIMENTOS EM DESPORTO E LAZER</t>
  </si>
  <si>
    <t>PROMOÇÃO E DESENVOLVIMENTO DO ESPORTE E LAZER</t>
  </si>
  <si>
    <t>Desporto Comunitário</t>
  </si>
  <si>
    <t>Gest., Coord. e Planej.: Obrig Trib. e Contrib. S/Serv. P. Física e M.E.I.</t>
  </si>
  <si>
    <t>Gest., Coord. e Planej.: Material de Consumo</t>
  </si>
  <si>
    <t>Gest., Coord. e Planej.: Prest. de Serv. P. Física</t>
  </si>
  <si>
    <t>Gest., Coord. e Planej.: Prest. de Serv. P. Jurídica</t>
  </si>
  <si>
    <t>Gest., Coord. e Planej.: Obras e Instalações</t>
  </si>
  <si>
    <t>Gest., Coord. e Planej.: Equipamentos e Material Permanente</t>
  </si>
  <si>
    <t>Prom.  Desenv. do Desp e Lazer: Obrig Trib. e Contrib. S/Serv. P. Física e M.E.I.</t>
  </si>
  <si>
    <t>Prom.  Desenv. do Desp e Lazer: Material de Consumo</t>
  </si>
  <si>
    <t>Prom.  Desenv. do Desp e Lazer: Prest. de Serv. P. Física</t>
  </si>
  <si>
    <t>Prom.  Desenv. do Desp e Lazer: Prest. de Serv. P. Jurídica</t>
  </si>
  <si>
    <t>Prom.  Desenv. do Desp e Lazer: Obras e Instalações</t>
  </si>
  <si>
    <t>Prom.  Desenv. do Desp e Lazer: Equipamentos e Material Permanente</t>
  </si>
  <si>
    <t>GESTÃO DO DESPORTO E LAZER</t>
  </si>
  <si>
    <t>Projeto: 1.009.000</t>
  </si>
  <si>
    <t>GESTÃO E PROM. DE EVEN. ESPORT. E LAZER</t>
  </si>
  <si>
    <t>Atividade: 2.010.000</t>
  </si>
  <si>
    <t>Gest., Coord. e Planej.: SERVIÇOS DE TECNOLOGIA DA INFORMAÇÃO E COMUNICAÇÃO</t>
  </si>
  <si>
    <t>Prom.  Desenv. do Desp e Lazer: SERVIÇOS DE TECNOLOGIA DA INFORMAÇÃO E COMUNICAÇÃO</t>
  </si>
  <si>
    <t>Gest., Coord. e Planej.: Materiais Adquiridos Através de Consórcio</t>
  </si>
  <si>
    <t>Gest., Coord. e Planej.: Ressarcimento de Despesas</t>
  </si>
  <si>
    <t>Gest., Coord. e Planej.: Despesas de Exercícios Anteriores</t>
  </si>
  <si>
    <t>Gest., Coord. e Planej.: Auxilio - Transporte</t>
  </si>
  <si>
    <t>Gest., Coord. e Planej.: Obrig Trib. e Contrib. S/Serv. Terceiros</t>
  </si>
  <si>
    <t>Gest., Coord. e Planej.: Auxilio - Alimentacao</t>
  </si>
  <si>
    <t>Gest., Coord. e Planej.: Despesas com Locomocao</t>
  </si>
  <si>
    <t>Gest., Coord. e Planej.: Material de Distribuição Gratuita</t>
  </si>
  <si>
    <t>Gest., Coord. e Planej.: Materiais de Consumo</t>
  </si>
  <si>
    <t>Gest., Coord. e Planej.: Diárias</t>
  </si>
  <si>
    <t>Gest., Coord. e Planej.: Folha PGTº: Indenizações Trabalhistas</t>
  </si>
  <si>
    <t>Gest., Coord. e Planej.: Substituição de Servidores P/Serviços Terceiros</t>
  </si>
  <si>
    <t>Gest., Coord. e Planej.: Folha PGTº: Hora Extra</t>
  </si>
  <si>
    <t>Gest., Coord. e Planej.: Folha PGTº: Obrigações Patronais</t>
  </si>
  <si>
    <t>Gest., Coord. e Planej.: Folha PGTº: Serv. Efetivos e C.C.</t>
  </si>
  <si>
    <t>Gest., Coord. e Planej.: Folha PGTº:  Plano de Saúde dos Servidores</t>
  </si>
  <si>
    <t>Gest., Coord. e Planej.: Folha PGTº: Servidores Contratados</t>
  </si>
  <si>
    <t>Desporto e Lazer</t>
  </si>
  <si>
    <t>Prom.  Desenv. do Desp e Lazer: Folha PGTº: Servidores Contratados</t>
  </si>
  <si>
    <t>Prom.  Desenv. do Desp e Lazer: Folha PGTº: Serv. Efetivos e C.C.</t>
  </si>
  <si>
    <t>Prom.  Desenv. do Desp e Lazer: Folha PGTº: Obrigações Patronais</t>
  </si>
  <si>
    <t>Prom.  Desenv. do Desp e Lazer: Prom.  Desenv. do Desp e Lazer: Folha PGTº: Hora Extra</t>
  </si>
  <si>
    <t>Prom.  Desenv. do Desp e Lazer: Folha PGTº: Indenizações Trabalhistas</t>
  </si>
  <si>
    <t>Prom.  Desenv. do Desp e Lazer: Diárias</t>
  </si>
  <si>
    <t>Prom.  Desenv. do Desp e Lazer: Materiais de Consumo</t>
  </si>
  <si>
    <t>Prom.  Desenv. do Desp e Lazer: Premiações Desportivas</t>
  </si>
  <si>
    <t>Prom.  Desenv. do Desp e Lazer: Material de Distribuição Gratuita</t>
  </si>
  <si>
    <t>Prom.  Desenv. do Desp e Lazer: Despesas com Locomocao</t>
  </si>
  <si>
    <t>Prom.  Desenv. do Desp e Lazer: Auxilio - Alimentacao</t>
  </si>
  <si>
    <t>Prom.  Desenv. do Desp e Lazer: Obrig Trib. e Contrib. S/Serv. Terceiros</t>
  </si>
  <si>
    <t>Prom.  Desenv. do Desp e Lazer: Auxilio - Transporte</t>
  </si>
  <si>
    <t>Prom.  Desenv. do Desp e Lazer: Despesas de Exercícios Anteriores</t>
  </si>
  <si>
    <t>Prom.  Desenv. do Desp e Lazer: Ressarcimento de Despesas</t>
  </si>
  <si>
    <t>Prom.  Desenv. do Desp e Lazer: Materiais Adquiridos Através de Consórcio</t>
  </si>
  <si>
    <t>Campeonato Futsal</t>
  </si>
  <si>
    <t>Campeonato de Futebol de Campo</t>
  </si>
  <si>
    <t>Campeonato Intercolonial</t>
  </si>
  <si>
    <t xml:space="preserve">Conservação Campo </t>
  </si>
  <si>
    <t>Material Esportivo</t>
  </si>
  <si>
    <t>Campeonato Montainbike</t>
  </si>
  <si>
    <t>Eventos Diversos</t>
  </si>
  <si>
    <t>Campeonato Praiano e Beach Soccer</t>
  </si>
  <si>
    <t>09 - DEPARTAMENTO DE TURISMO</t>
  </si>
  <si>
    <t>Total do Unidade: 09 DEPARTAMENTO DE TURISMO</t>
  </si>
  <si>
    <t>PROMOÇÃO E DESENVIMENTO DO TURISMO</t>
  </si>
  <si>
    <t>NOVOS INVESTIMENTOS EM TURISMO</t>
  </si>
  <si>
    <t>PROMOÇÃO E DESENVOLVIMENTO DO TURISMO</t>
  </si>
  <si>
    <t>GESTÃO TURISMO: AGRIFEST</t>
  </si>
  <si>
    <t>Atividade: 2.009.000</t>
  </si>
  <si>
    <t>Gest., Coord. e Planej.: Obrigacoes Tributarias e Contributivas</t>
  </si>
  <si>
    <t>Gest., Coord. e Planej.: Outros Servicos - Pessoa Fisica</t>
  </si>
  <si>
    <t>Gest., Coord. e Planej.: Outros Servicos - Pessoa Juridica</t>
  </si>
  <si>
    <t>Gest., Coord. e Planej.: Obras e Instalacoes</t>
  </si>
  <si>
    <t>GESTÃO ESCOLA SONHO DE CRIANÇA</t>
  </si>
  <si>
    <t>GESTAO DEPERTAMENTO DE TRANSPORTE ESCOLAR</t>
  </si>
  <si>
    <t>Gest., Coord. e Planej.: Folha PGTº: Professoes, Serv. Efetivos, FG e C.C.</t>
  </si>
  <si>
    <t>Gest., Coord. e Planej.: Folha PGTº: Obrigações Patronais Previdência</t>
  </si>
  <si>
    <t>Gest., Coord. e Planej.: Material, Bem ou Serviço para Distribuição Gratuita</t>
  </si>
  <si>
    <t>Gest., Coord. e Planej.: Passagens e Despesas com Locomocao</t>
  </si>
  <si>
    <t>Gest., Coord. e Planej.: Servicos de Consultoria</t>
  </si>
  <si>
    <t>Gest., Coord. e Planej.: Obrig Trib. e Contrib. S/Serviços</t>
  </si>
  <si>
    <t>Vencimento C.C.</t>
  </si>
  <si>
    <t>13º Salário C.C.</t>
  </si>
  <si>
    <t>Vencimentos Servidores</t>
  </si>
  <si>
    <t>Férias Servidores</t>
  </si>
  <si>
    <t>13 Salário Servidores</t>
  </si>
  <si>
    <t>Adicional Noturno Servidores</t>
  </si>
  <si>
    <t>Férias Servdores Contratados</t>
  </si>
  <si>
    <t>13º Salário Servdores Contratados</t>
  </si>
  <si>
    <t>Formação de Recursos Humanos</t>
  </si>
  <si>
    <t>Formação de Recursos Humanos: Diárias</t>
  </si>
  <si>
    <t>Formação de Recursos Humanos:  Passagens e Despesas com Locomocao</t>
  </si>
  <si>
    <t>Formação de Recursos Humanos:  Outros Servicos - Pessoa Juridica</t>
  </si>
  <si>
    <t>Controle Interno</t>
  </si>
  <si>
    <t>FORMAÇÃO DE RECURSOS HUMANOS</t>
  </si>
  <si>
    <t>Atividade: 2.038.000</t>
  </si>
  <si>
    <t>Atividade: 2.039.000</t>
  </si>
  <si>
    <t>12 - GESTAO E PROMOÇÃO DO TRANSPORTE ESCOLAR RECURSOS ESTADUAIS</t>
  </si>
  <si>
    <t>13 - GESTAO E PROMOÇÃO DO TRANSPORTE ESCOLAR RECURSOS FEDERAIS</t>
  </si>
  <si>
    <t>PROMOÇÃO DO TRANSP. ESCOLAR DA EDUCAÇÃO INFANTIL</t>
  </si>
  <si>
    <t>GESTÃO E DESENV. TRANSP. ESCOLAR DA ED. INFANTIL</t>
  </si>
  <si>
    <t>Transp. Esc. Ens. de Jovens e Adultos: Prestação de Serviços</t>
  </si>
  <si>
    <t xml:space="preserve"> Transp. Esc. Ens. de Jovens e Adultos: Material de Consumo</t>
  </si>
  <si>
    <t>Transporte Escolar Ensino Fundamental: Prestação de Serviços</t>
  </si>
  <si>
    <t>Transporte Escolar Ensino Fundamental: Material de Consumo</t>
  </si>
  <si>
    <t>Transporte Escolar Ensino Médio: Prestação de Serviços</t>
  </si>
  <si>
    <t>Transporte Escolar Ensino Médio: Material de Consumo</t>
  </si>
  <si>
    <t>Transporte Escolar Ed. Infantil: Material de Consumo</t>
  </si>
  <si>
    <t>Transporte Escolar Ed. Infantil: Prestação de Serviços</t>
  </si>
  <si>
    <t>GESTÃO E DESENV. DO TRANSP. ESC. JOVENS E ADULTOS</t>
  </si>
  <si>
    <t>Promoção do Transporte Escolar da Educação de Jovens e Adultos</t>
  </si>
  <si>
    <t>GESTÃO E DESENVOLVIMENTO DO TRANSPORTE ESCOLAR DA EDUCAÇÃO ESPECIAL</t>
  </si>
  <si>
    <t>Promoção do Transporte Escolar da Educação Especial</t>
  </si>
  <si>
    <t>Total do Unidade: ESTAO E PROMOÇÃO DO TRANSPORTE ESCOLAR RECURSOS FEDERAIS</t>
  </si>
  <si>
    <t>Novos Investimentos Transporte Escolar do Ensino Fundamental</t>
  </si>
  <si>
    <t>Novos Investimentos Transporte Escolar da Educação Infantil</t>
  </si>
  <si>
    <t>Transporte Escolar Ed. Infantil: Equipamentos e Material Permanente</t>
  </si>
  <si>
    <t>Novos Investimentos Transporte Escolar da Educação de Jovens e Adultos</t>
  </si>
  <si>
    <t>Novos Investimentos Transporte Escolar da Educação Especial</t>
  </si>
  <si>
    <t xml:space="preserve"> Transp. Esc. Educação Especial: Material de Consumo</t>
  </si>
  <si>
    <t xml:space="preserve"> Transp. Esc. Educação Especial: Prestação de Serviços</t>
  </si>
  <si>
    <t xml:space="preserve"> Transp. Esc. Educação Especial: Equipamentos e Material Permanente</t>
  </si>
  <si>
    <t>14 - GESTAO E PROMOÇÃO DO TRANSPORTE ESCOLAR PROPRIOS E MDE</t>
  </si>
  <si>
    <t>Ensino Profissional</t>
  </si>
  <si>
    <t>GESTÃO E DESENVOLVIMENTO DO TRANSPORTE DO ENSINO PROFISSIONALIZANTE</t>
  </si>
  <si>
    <t>Promoção do Transporte Escolar do Ensino Profissionalizante</t>
  </si>
  <si>
    <t>Ensino Superior</t>
  </si>
  <si>
    <t>GESTÃO E DESENVOLVIMENTO DO TRANSPORTE PARA CURSO PREVESTIBULAR</t>
  </si>
  <si>
    <t>Promoção do Transporte Escolar  Cursos Pre Vestibular</t>
  </si>
  <si>
    <t>GESTÃO E DESENVOLVIMENTO DO TRANSPORTE DO ENSINO SUPERIOR</t>
  </si>
  <si>
    <t>Promoção do Transporte Escolar do Ensino Superior</t>
  </si>
  <si>
    <t>GESTÃO E DESENVOLVIMENTO DO TRANSPORTE ESCOLAR DE DOCENTES</t>
  </si>
  <si>
    <t>Promoção do Transporte Escolar : Docentes</t>
  </si>
  <si>
    <t>Transporte Escolar Ensino Docentes: Material de Consumo</t>
  </si>
  <si>
    <t>Transporte Escolar Ensino Docentes:  Material de Consumo</t>
  </si>
  <si>
    <t>Transporte Escolar Ensino Docentes:  Prestação de Serviços</t>
  </si>
  <si>
    <t>Transporte Escolar Ensino Docentes: Prestação de Serviços</t>
  </si>
  <si>
    <t>Transporte Escolar Ensino Profission.: Material de Consumo</t>
  </si>
  <si>
    <t>Transporte Escolar Ensino Profission.: Prestação de Serviços</t>
  </si>
  <si>
    <t>Transporte Escolar Ensino Superior: Material de Consumo</t>
  </si>
  <si>
    <t>Transporte Escolar Ensino Superior: Prestação de Serviços</t>
  </si>
  <si>
    <t>Transporte Escolar Ensino Fundamental: Equip. e Material Permanente</t>
  </si>
  <si>
    <t>PROMOÇÃO DO TRANSP. ESCOLAR - RECURSOS FEDERAIS</t>
  </si>
  <si>
    <t>PROMOÇÃO DO TRANSP. ESCOLAS - RECURSOS ESTADUAIS</t>
  </si>
  <si>
    <t>Transporte Escolar Ensino Fundamental: Equip. e Material Permanente 31</t>
  </si>
  <si>
    <t>Transporte Escolar Ensino Fundamental: Equip. e Material Permanente 1011</t>
  </si>
  <si>
    <t>Projeto: 1.013.000</t>
  </si>
  <si>
    <t>Transporte Escolar Ed. Infantil: Equipamentos e Material Permanente 31</t>
  </si>
  <si>
    <t>Transporte Escolar Ed. Infantil: Equipamentos e Material Permanente 1011</t>
  </si>
  <si>
    <t>Projeto: 1.015.000</t>
  </si>
  <si>
    <t xml:space="preserve"> Transp. Esc. Ens. de Jovens e Adultos: Equipamentos e Material Permanente 31</t>
  </si>
  <si>
    <t xml:space="preserve"> Transp. Esc. Ens. de Jovens e Adultos: Equipamentos e Material Permanente 1011</t>
  </si>
  <si>
    <t>Projeto: 1.014.000</t>
  </si>
  <si>
    <t xml:space="preserve"> Transp. Esc. Educação Especial: Equipamentos e Material Permanente 31</t>
  </si>
  <si>
    <t xml:space="preserve"> Transp. Esc. Educação Especial: Equipamentos e Material Permanente 1011</t>
  </si>
  <si>
    <t>Transporte Escolar Ensino Fundamental: Material de Consumo 31</t>
  </si>
  <si>
    <t>Transporte Escolar Ensino Fundamental: Material de Consumo 1011</t>
  </si>
  <si>
    <t>Transporte Escolar Ensino Fundamental: Material de Consumo 1049</t>
  </si>
  <si>
    <t>Transporte Escolar Ensino Fundamental: Prestação de Serviços 31</t>
  </si>
  <si>
    <t>Transporte Escolar Ensino Fundamental: Prestação de Serviços 1011</t>
  </si>
  <si>
    <t>Transporte Escolar Ensino Fundamental: Prestação de Serviços 1049</t>
  </si>
  <si>
    <t>Transporte Escolar Ensino Médio: Material de Consumo 1049</t>
  </si>
  <si>
    <t>Transporte Escolar Ensino Médio: Prestação de Serviços 1049</t>
  </si>
  <si>
    <t>Transporte Escolar Ed. Infantil: Material de Consumo 31</t>
  </si>
  <si>
    <t>Transporte Escolar Ed. Infantil: Material de Consumo 1011</t>
  </si>
  <si>
    <t>Transporte Escolar Ed. Infantil: Material de Consumo 1049</t>
  </si>
  <si>
    <t>Transporte Escolar Ed. Infantil: Prestação de Serviços 31</t>
  </si>
  <si>
    <t>Transporte Escolar Ed. Infantil: Prestação de Serviços 1011</t>
  </si>
  <si>
    <t>Transporte Escolar Ed. Infantil: Prestação de Serviços 1049</t>
  </si>
  <si>
    <t>Atividade: 2.022.000</t>
  </si>
  <si>
    <t xml:space="preserve"> Transp. Esc. Ens. de Jovens e Adultos: Material de Consumo 31</t>
  </si>
  <si>
    <t>Transp. Esc. Ens. de Jovens e Adultos: Prestação de Serviços 1011</t>
  </si>
  <si>
    <t>Transp. Esc. Ens. de Jovens e Adultos: Prestação de Serviços 31</t>
  </si>
  <si>
    <t xml:space="preserve"> Transp. Esc. Ens. de Jovens e Adultos: Material de Consumo 1011</t>
  </si>
  <si>
    <t>Atividade: 2.021.000</t>
  </si>
  <si>
    <t xml:space="preserve"> Transp. Esc. Educação Especial: Material de Consumo 31</t>
  </si>
  <si>
    <t xml:space="preserve"> Transp. Esc. Educação Especial: Material de Consumo 1011</t>
  </si>
  <si>
    <t xml:space="preserve"> Transp. Esc. Educação Especial: Prestação de Serviços 31</t>
  </si>
  <si>
    <t xml:space="preserve"> Transp. Esc. Educação Especial: Prestação de Serviços 1011</t>
  </si>
  <si>
    <t>% por Etapa</t>
  </si>
  <si>
    <t>REPASSE</t>
  </si>
  <si>
    <t>PNATE - Ensino Fundamental</t>
  </si>
  <si>
    <t>PNATE - Educação Infantil</t>
  </si>
  <si>
    <t>PNATE - Ensino Médio</t>
  </si>
  <si>
    <t xml:space="preserve">Valor Projetado </t>
  </si>
  <si>
    <t>GESTAO E PROMOÇÃO DO TRANSPORTE ESCOLAR PROPRIOS E MDE - NOVOS INVESTIMENTOS</t>
  </si>
  <si>
    <t>GESTAO E PROMOÇÃO DO TRANSPORTE ESCOLAR PROPRIOS E MDE - MANUTENÇÃO E DESENVOLVIMENTO</t>
  </si>
  <si>
    <t>Transporte Escolar Ensino Fundamental: Equipamentos e Material Permanente 1</t>
  </si>
  <si>
    <t>Transporte Escolar Ensino Fundamental: Equipamentos e Material Permanente 20</t>
  </si>
  <si>
    <t>Transporte Escolar Ed. Infantil: Equipamentos e Material Permanente 1</t>
  </si>
  <si>
    <t>Transporte Escolar Ed. Infantil: Equipamentos e Material Permanente 20</t>
  </si>
  <si>
    <t xml:space="preserve"> Transp. Esc. Ens. de Jovens e Adultos: Equipamentos e Material Permanente 1</t>
  </si>
  <si>
    <t xml:space="preserve"> Transp. Esc. Ens. de Jovens e Adultos: Equipamentos e Material Permanente 20</t>
  </si>
  <si>
    <t xml:space="preserve"> Transp. Esc. Educação Especial: Equipamentos e Material Permanente 1</t>
  </si>
  <si>
    <t xml:space="preserve"> Transp. Esc. Educação Especial: Equipamentos e Material Permanente 20</t>
  </si>
  <si>
    <t>Transporte Escolar Ensino Docentes: Material de Consumo 1</t>
  </si>
  <si>
    <t>Transporte Escolar Ensino Docentes:  Material de Consumo 20</t>
  </si>
  <si>
    <t>Transporte Escolar Ensino Docentes:  Prestação de Serviços 1</t>
  </si>
  <si>
    <t>Transporte Escolar Ensino Docentes: Prestação de Serviços 20</t>
  </si>
  <si>
    <t>Atividade: 2.033.000</t>
  </si>
  <si>
    <t>Transporte Escolar Ensino Fundamental: Material de Consumo 1</t>
  </si>
  <si>
    <t>Transporte Escolar Ensino Fundamental: Material de Consumo 20</t>
  </si>
  <si>
    <t>Transporte Escolar Ensino Fundamental: Prestação de Serviços 1</t>
  </si>
  <si>
    <t>Transporte Escolar Ensino Fundamental: Prestação de Serviços 20</t>
  </si>
  <si>
    <t>Transporte Escolar Pre Vestibular: Material de Consumo</t>
  </si>
  <si>
    <t>Transporte Escolar Pre Vestibular:  Prestação de Serviços</t>
  </si>
  <si>
    <t>Atividade: 2.026.000</t>
  </si>
  <si>
    <t>Transporte Escolar Pre Vestibular: Material de Consumo 1</t>
  </si>
  <si>
    <t>Transporte Escolar Pre Vestibular:  Prestação de Serviços 1</t>
  </si>
  <si>
    <t>Transporte Escolar Ensino Médio: Material de Consumo 1</t>
  </si>
  <si>
    <t>Transporte Escolar Ensino Médio: Prestação de Serviços 1</t>
  </si>
  <si>
    <t>Transporte Escolar Ensino Profission.: Material de Consumo 1</t>
  </si>
  <si>
    <t>Transporte Escolar Ensino Profission.: Prestação de Serviços 1</t>
  </si>
  <si>
    <t>Atividade: 2.025.000</t>
  </si>
  <si>
    <t>Atividade: 2.023.000</t>
  </si>
  <si>
    <t>Transporte Escolar Ensino Superior: Material de Consumo 1</t>
  </si>
  <si>
    <t>Transporte Escolar Ensino Superior: Prestação de Serviços 1</t>
  </si>
  <si>
    <t>Transporte Escolar Ed. Infantil: Material de Consumo 1</t>
  </si>
  <si>
    <t>Transporte Escolar Ed. Infantil: Material de Consumo 20</t>
  </si>
  <si>
    <t>Transporte Escolar Ed. Infantil: Prestação de Serviços 1</t>
  </si>
  <si>
    <t>Transporte Escolar Ed. Infantil: Prestação de Serviços 20</t>
  </si>
  <si>
    <t xml:space="preserve"> Transp. Esc. Ens. de Jovens e Adultos: Material de Consumo 1</t>
  </si>
  <si>
    <t xml:space="preserve"> Transp. Esc. Ens. de Jovens e Adultos: Material de Consumo 20</t>
  </si>
  <si>
    <t>Transp. Esc. Ens. de Jovens e Adultos: Prestação de Serviços 1</t>
  </si>
  <si>
    <t>Transp. Esc. Ens. de Jovens e Adultos: Prestação de Serviços 20</t>
  </si>
  <si>
    <t xml:space="preserve"> Transp. Esc. Educação Especial: Material de Consumo 1 </t>
  </si>
  <si>
    <t xml:space="preserve"> Transp. Esc. Educação Especial: Prestação de Serviços 1</t>
  </si>
  <si>
    <t xml:space="preserve"> Transp. Esc. Educação Especial: Material de Consumo 20</t>
  </si>
  <si>
    <t xml:space="preserve"> Transp. Esc. Educação Especial: Prestação de Serviços 20</t>
  </si>
  <si>
    <t>01 - GESTÃO, COORDENAÇÃO E PLANEJAMENTO ADMINISTRATIVO</t>
  </si>
  <si>
    <t>03 - Saúde</t>
  </si>
  <si>
    <t>Saúde</t>
  </si>
  <si>
    <t>ATENÇÃO A SAÚDE EM DEFESA DA VIDA</t>
  </si>
  <si>
    <t>Novos Investimentos para Gestão de Serviços de Saúde</t>
  </si>
  <si>
    <t>GESTÃO, COORDENAÇÃO E PLANEJAMENTO EM SAÚDE</t>
  </si>
  <si>
    <t>Conta Energia U.C. 33383545</t>
  </si>
  <si>
    <t>GESTÃO DO CONSELHO MUNICIPAL DE SAÚDE</t>
  </si>
  <si>
    <t>Capacit. e Treinam. Membros Cons. de Saúde:  Diárias</t>
  </si>
  <si>
    <t>Capacit. e Treinam. Membros Cons. de Saúde:   Passagens e Despesas com Locomocao</t>
  </si>
  <si>
    <t>Capacit. e Treinam. Membros Cons. de Saúde:   Outros Servicos - Pessoa Juridica</t>
  </si>
  <si>
    <t>Gest., Coord. e Planej. Cons. de Saúde: SERVIÇOS DE TECNOLOGIA DA INFORMAÇÃO E COMUNICAÇÃO</t>
  </si>
  <si>
    <t>Gest., Coord. e Planej. Cons. de Saúde: Diarias</t>
  </si>
  <si>
    <t>Gest., Coord. e Planej. Cons. de Saúde: Material de Consumo</t>
  </si>
  <si>
    <t>Gest., Coord. e Planej. Cons. de Saúde: Passagens e Despesas com Locomocao</t>
  </si>
  <si>
    <t>Gest., Coord. e Planej. Cons. de Saúde: Outros Servicos - Pessoa Fisica</t>
  </si>
  <si>
    <t>Gest., Coord. e Planej. Cons. de Saúde: Servicos de Consultoria</t>
  </si>
  <si>
    <t>Gest., Coord. e Planej. Cons. de Saúde: Outros Servicos - Pessoa Jurídica</t>
  </si>
  <si>
    <t>Gest., Coord. e Planej. Cons. de Saúde: Obrig Trib. e Contrib. S/Serviços</t>
  </si>
  <si>
    <t>Gest., Coord. e Planej. Cons. de Saúde: Ressarcimento de Despesas</t>
  </si>
  <si>
    <t>Gest., Coord. e Planej. Cons. de Saúde: Obras e Instalacoes</t>
  </si>
  <si>
    <t>Gest., Coord. e Planej. Cons. de Saúde: Equipamentos e Material Permanente</t>
  </si>
  <si>
    <t>Gestão do SUS: Obrig Trib. e Contrib. S/Serviços</t>
  </si>
  <si>
    <t>Gestão do SUS: Material de Consumo</t>
  </si>
  <si>
    <t>Gestão do SUS: Prest. de Serv. P. Física</t>
  </si>
  <si>
    <t>Gestão do SUS: Prest. de Serv. P. Jurídica</t>
  </si>
  <si>
    <t>Gestão do SUS: Obras e Instalações</t>
  </si>
  <si>
    <t>Gestão do SUS: Equipamentos e Material Permanente</t>
  </si>
  <si>
    <t>Gestão do SUS: Folha PGTº: Servidores Contratados</t>
  </si>
  <si>
    <t>Gestão do SUS: Folha PGTº: Serv. Efetivos., C.C. e Agente Politico</t>
  </si>
  <si>
    <t>Gestão do SUS: Folha PGTº: Obrigações Patronais</t>
  </si>
  <si>
    <t>Gestão do SUS: Folha PGTº: Hora Extra</t>
  </si>
  <si>
    <t>Gestão do SUS: Substituição de Servidores P/Serviços Terceiros</t>
  </si>
  <si>
    <t>Gestão do SUS: Folha PGTº: Indenizações Trabalhistas</t>
  </si>
  <si>
    <t>Gestão do SUS: Diarias</t>
  </si>
  <si>
    <t>Gestão do SUS: Materiais de Consumo</t>
  </si>
  <si>
    <t>Gestão do SUS: Despesas com Locomocao</t>
  </si>
  <si>
    <t>Gestão do SUS: Servicos de Consultoria</t>
  </si>
  <si>
    <t>Gestão do SUS: Prest. de Serv. P. Juridica</t>
  </si>
  <si>
    <t>Gestão do SUS: Auxilio - Alimentacao</t>
  </si>
  <si>
    <t>Gestão do SUS: Obrig Trib. E Contrib. S/Serviços</t>
  </si>
  <si>
    <t>Gestão do SUS: Auxilio - Transporte</t>
  </si>
  <si>
    <t>Gestão do SUS: Despesas de Exercícios Anteriores</t>
  </si>
  <si>
    <t>Gestão do SUS: Ressarcimento de Despesas</t>
  </si>
  <si>
    <t>Gestão do SUS: Materiais Adquiridos Através de Consórcio</t>
  </si>
  <si>
    <t>04 - SECRETARIA MUNICIPAL DE SAÚDE</t>
  </si>
  <si>
    <t>Total da Órgão: 04 - SECRETARIA MUNICIPAL DE SAÚDE</t>
  </si>
  <si>
    <t>Total do Unidade: 01 - GESTÃO, COORDENAÇÃO E PLANEJAMENTO ADMINISTRATIVO</t>
  </si>
  <si>
    <t>Gestão do SUS: Folha PGTº:  Plano de Saúde dos Servidores</t>
  </si>
  <si>
    <t>SECRETARIA MUNICIPAL DE SAUDE: GESTÃO DO SUS</t>
  </si>
  <si>
    <t>Projeto: 1.019.000</t>
  </si>
  <si>
    <t>Atividade: 2.028.000</t>
  </si>
  <si>
    <t xml:space="preserve">Contrib. Patron. Prev. </t>
  </si>
  <si>
    <t>Vencimentos Secretario Municipal de Saúde</t>
  </si>
  <si>
    <t>Anuênio 13º Salário</t>
  </si>
  <si>
    <t>Gestão do SUS: SERVIÇOS DE TECNOLOGIA DA INFORMAÇÃO E COMUNICAÇÃO</t>
  </si>
  <si>
    <t>Atividade: 2.045.000</t>
  </si>
  <si>
    <t>02 - FUNDO MUNICIPAL DE SAÚDE - PROGRAMAS MUNICIPAIS</t>
  </si>
  <si>
    <t>Total do Unidade: 02 - FUNDO MUNICIPAL DE SAÚDE - PROGRAMAS MUNICIPAIS</t>
  </si>
  <si>
    <t>Atenção Básica</t>
  </si>
  <si>
    <t>Assistência Hospitalar e Ambulatorial</t>
  </si>
  <si>
    <t>Vigilância Sanitária</t>
  </si>
  <si>
    <t>Gestão do Bloco Financiamento: Atenção Básica</t>
  </si>
  <si>
    <t>Gestão Atenção Básica Capacit. e Treinamento Serv.: Diárias</t>
  </si>
  <si>
    <t>Gestão Atenção Básica Capacit. e Treinamento Serv.: Passagens e Despesas com Locomocao</t>
  </si>
  <si>
    <t>Gestão Atenção Básica Capacit. e Treinamento Serv.: Outros Servicos - Pessoa Juridica</t>
  </si>
  <si>
    <t>Gestão Atenção Básica: SERVIÇOS DE TECNOLOGIA DA INFORMAÇÃO E COMUNICAÇÃO</t>
  </si>
  <si>
    <t>Gestão U.B.S.: Folha PGTº: Servidores Contratados</t>
  </si>
  <si>
    <t>Gestão U.B.S.: Folha PGTº:  Plano de Saúde dos Servidores</t>
  </si>
  <si>
    <t>Gestão U.B.S.: Folha PGTº: Serv. Efetivos., C.C. e Agente Politico</t>
  </si>
  <si>
    <t>Gestão U.B.S.: Folha PGTº: Obrigações Patronais</t>
  </si>
  <si>
    <t>Gestão U.B.S.: Folha PGTº: Hora Extra</t>
  </si>
  <si>
    <t>Gestão U.B.S.: Substituição de Servidores P/Serviços Terceiros</t>
  </si>
  <si>
    <t>Gestão U.B.S.: Folha PGTº: Indenizações Trabalhistas</t>
  </si>
  <si>
    <t>Gestão U.B.S.: Diarias</t>
  </si>
  <si>
    <t>Gestão U.B.S.: Materiais de Consumo</t>
  </si>
  <si>
    <t>Gestão U.B.S.: Despesas com Locomocao</t>
  </si>
  <si>
    <t>Gestão U.B.S.: Servicos de Consultoria</t>
  </si>
  <si>
    <t>Gestão U.B.S.: Prest. de Serv. P. Física</t>
  </si>
  <si>
    <t>Gestão U.B.S.: Prest. de Serv. P. Juridica</t>
  </si>
  <si>
    <t>Gestão U.B.S.: Auxilio - Alimentacao</t>
  </si>
  <si>
    <t>Gestão U.B.S.: Obrig Trib. E Contrib. S/Serviços</t>
  </si>
  <si>
    <t>Gestão U.B.S.: Auxilio - Transporte</t>
  </si>
  <si>
    <t>Gestão U.B.S.: Despesas de Exercícios Anteriores</t>
  </si>
  <si>
    <t>Gestão U.B.S.: Ressarcimento de Despesas</t>
  </si>
  <si>
    <t>Gestão U.B.S.: Materiais Adquiridos Através de Consórcio</t>
  </si>
  <si>
    <t>Gestão U.B.S.: Obras e Instalações</t>
  </si>
  <si>
    <t>Gestão U.B.S.: Equipamentos e Material Permanente</t>
  </si>
  <si>
    <t>Gestão Nutrição: Folha PGTº: Servidores Contratados</t>
  </si>
  <si>
    <t>Gestão Nutrição: Folha PGTº:  Plano de Saúde dos Servidores</t>
  </si>
  <si>
    <t>Gestão Nutrição: Folha PGTº: Serv. Efetivos., C.C. e Agente Politico</t>
  </si>
  <si>
    <t>Gestão Nutrição: Folha PGTº: Obrigações Patronais</t>
  </si>
  <si>
    <t>Gestão Nutrição: Folha PGTº: Hora Extra</t>
  </si>
  <si>
    <t>Gestão Nutrição: Substituição de Servidores P/Serviços Terceiros</t>
  </si>
  <si>
    <t>Gestão Nutrição: Folha PGTº: Indenizações Trabalhistas</t>
  </si>
  <si>
    <t>Gestão Nutrição: Diarias</t>
  </si>
  <si>
    <t>Gestão Nutrição: Materiais de Consumo</t>
  </si>
  <si>
    <t>Gestão Nutrição: Despesas com Locomocao</t>
  </si>
  <si>
    <t>Gestão Nutrição: Servicos de Consultoria</t>
  </si>
  <si>
    <t>Gestão Nutrição: Prest. de Serv. P. Física</t>
  </si>
  <si>
    <t>Gestão Nutrição: Prest. de Serv. P. Juridica</t>
  </si>
  <si>
    <t>Gestão Nutrição: Auxilio - Alimentacao</t>
  </si>
  <si>
    <t>Gestão Nutrição: Obrig Trib. E Contrib. S/Serviços</t>
  </si>
  <si>
    <t>Gestão Nutrição: Auxilio - Transporte</t>
  </si>
  <si>
    <t>Gestão Nutrição: Despesas de Exercícios Anteriores</t>
  </si>
  <si>
    <t>Gestão Nutrição: Ressarcimento de Despesas</t>
  </si>
  <si>
    <t>Gestão Nutrição: Materiais Adquiridos Através de Consórcio</t>
  </si>
  <si>
    <t>Gestão Nutrição: Obras e Instalações</t>
  </si>
  <si>
    <t>Gestão Nutrição: Equipamentos e Material Permanente</t>
  </si>
  <si>
    <t>Gestão Atend. Odont. Folha PGTº: Servidores Contratados</t>
  </si>
  <si>
    <t>Gestão Atend. Odont. Folha PGTº:  Plano de Saúde dos Servidores</t>
  </si>
  <si>
    <t>Gestão Atend. Odont. Folha PGTº: Serv. Efetivos., C.C. e Agente Politico</t>
  </si>
  <si>
    <t>Gestão Atend. Odont. Folha PGTº: Obrigações Patronais</t>
  </si>
  <si>
    <t>Gestão Atend. Odont. Folha PGTº: Hora Extra</t>
  </si>
  <si>
    <t>Gestão Atend. Odont. Substituição de Servidores P/Serviços Terceiros</t>
  </si>
  <si>
    <t>Gestão Atend. Odont. Folha PGTº: Indenizações Trabalhistas</t>
  </si>
  <si>
    <t>Gestão Atend. Odont. Diarias</t>
  </si>
  <si>
    <t>Gestão Atend. Odont. Materiais de Consumo</t>
  </si>
  <si>
    <t>Gestão Atend. Odont. Despesas com Locomocao</t>
  </si>
  <si>
    <t>Gestão Atend. Odont. Servicos de Consultoria</t>
  </si>
  <si>
    <t>Gestão Atend. Odont. Prest. de Serv. P. Física</t>
  </si>
  <si>
    <t>Gestão Atend. Odont. Prest. de Serv. P. Juridica</t>
  </si>
  <si>
    <t>Gestão Atend. Odont. Auxilio - Alimentacao</t>
  </si>
  <si>
    <t>Gestão Atend. Odont. Obrig Trib. E Contrib. S/Serviços</t>
  </si>
  <si>
    <t>Gestão Atend. Odont. Auxilio - Transporte</t>
  </si>
  <si>
    <t>Gestão Atend. Odont. Despesas de Exercícios Anteriores</t>
  </si>
  <si>
    <t>Gestão Atend. Odont. Ressarcimento de Despesas</t>
  </si>
  <si>
    <t>Gestão Atend. Odont. Materiais Adquiridos Através de Consórcio</t>
  </si>
  <si>
    <t>Gestão Atend. Odont. Obras e Instalações</t>
  </si>
  <si>
    <t>Gestão Atend. Odont. Equipamentos e Material Permanente</t>
  </si>
  <si>
    <t>Gestão do Bloco Financiamento: Atenção de Média e Alta Complexidade Ambulatorial e Hospitalar</t>
  </si>
  <si>
    <t>Gestão M.A.C.: Folha PGTº: Servidores Contratados</t>
  </si>
  <si>
    <t>Gestão M.A.C.: Folha PGTº:  Plano de Saúde dos Servidores</t>
  </si>
  <si>
    <t>Gestão M.A.C.: Folha PGTº: Serv. Efetivos., C.C. e Agente Politico</t>
  </si>
  <si>
    <t>Gestão M.A.C.: Folha PGTº: Obrigações Patronais</t>
  </si>
  <si>
    <t>Gestão M.A.C.: Folha PGTº: Hora Extra</t>
  </si>
  <si>
    <t>Gestão M.A.C.: Substituição de Servidores P/Serviços Terceiros</t>
  </si>
  <si>
    <t>Gestão M.A.C.: Folha PGTº: Indenizações Trabalhistas</t>
  </si>
  <si>
    <t>Gestão M.A.C.: Diarias</t>
  </si>
  <si>
    <t>Gestão M.A.C.: Materiais de Consumo</t>
  </si>
  <si>
    <t>Gestão M.A.C.: Despesas com Locomocao</t>
  </si>
  <si>
    <t>Gestão M.A.C.: Servicos de Consultoria</t>
  </si>
  <si>
    <t>Gestão M.A.C.: Prest. de Serv. P. Física</t>
  </si>
  <si>
    <t>Gestão M.A.C.: Prest. de Serv. P. Juridica</t>
  </si>
  <si>
    <t>Gestão M.A.C.: Auxilio - Alimentacao</t>
  </si>
  <si>
    <t>Gestão M.A.C.: Obrig Trib. E Contrib. S/Serviços</t>
  </si>
  <si>
    <t>Gestão M.A.C.: Auxilio - Transporte</t>
  </si>
  <si>
    <t>Gestão M.A.C.: Despesas de Exercícios Anteriores</t>
  </si>
  <si>
    <t>Gestão M.A.C.: Ressarcimento de Despesas</t>
  </si>
  <si>
    <t>Gestão M.A.C.: Materiais Adquiridos Através de Consórcio</t>
  </si>
  <si>
    <t>Gestão M.A.C.: Obras e Instalações</t>
  </si>
  <si>
    <t>Gestão M.A.C.: Equipamentos e Material Permanente</t>
  </si>
  <si>
    <t>Gestão do Bloco Financiamento: Vigilância em Saúde</t>
  </si>
  <si>
    <t>Gestão Vig. em Saúde: Folha PGTº: Servidores Contratados</t>
  </si>
  <si>
    <t>Gestão Vig. em Saúde: Folha PGTº:  Plano de Saúde dos Servidores</t>
  </si>
  <si>
    <t>Gestão Vig. em Saúde: Folha PGTº: Serv. Efetivos., C.C. e Agente Politico</t>
  </si>
  <si>
    <t>Gestão Vig. em Saúde: Folha PGTº: Obrigações Patronais</t>
  </si>
  <si>
    <t>Gestão Vig. em Saúde: Folha PGTº: Hora Extra</t>
  </si>
  <si>
    <t>Gestão Vig. em Saúde: Substituição de Servidores P/Serviços Terceiros</t>
  </si>
  <si>
    <t>Gestão Vig. em Saúde: Folha PGTº: Indenizações Trabalhistas</t>
  </si>
  <si>
    <t>Gestão Vig. em Saúde: Diarias</t>
  </si>
  <si>
    <t>Gestão Vig. em Saúde: Materiais de Consumo</t>
  </si>
  <si>
    <t>Gestão Vig. em Saúde: Despesas com Locomocao</t>
  </si>
  <si>
    <t>Gestão Vig. em Saúde: Servicos de Consultoria</t>
  </si>
  <si>
    <t>Gestão Vig. em Saúde: Prest. de Serv. P. Física</t>
  </si>
  <si>
    <t>Gestão Vig. em Saúde: Prest. de Serv. P. Juridica</t>
  </si>
  <si>
    <t>Gestão Vig. em Saúde: Auxilio - Alimentacao</t>
  </si>
  <si>
    <t>Gestão Vig. em Saúde: Obrig Trib. E Contrib. S/Serviços</t>
  </si>
  <si>
    <t>Gestão Vig. em Saúde: Auxilio - Transporte</t>
  </si>
  <si>
    <t>Gestão Vig. em Saúde: Despesas de Exercícios Anteriores</t>
  </si>
  <si>
    <t>Gestão Vig. em Saúde: Ressarcimento de Despesas</t>
  </si>
  <si>
    <t>Gestão Vig. em Saúde: Materiais Adquiridos Através de Consórcio</t>
  </si>
  <si>
    <t>Gestão Vig. em Saúde: Obras e Instalações</t>
  </si>
  <si>
    <t>Gestão Vig. em Saúde: Equipamentos e Material Permanente</t>
  </si>
  <si>
    <t>Suporte Profilático e Terapêutico</t>
  </si>
  <si>
    <t>Gestão do Bloco Financiamento: Assistência Farmacêutica</t>
  </si>
  <si>
    <t>Gestão Assit. Farm.: Folha PGTº: Servidores Contratados</t>
  </si>
  <si>
    <t>Gestão Assit. Farm.: Folha PGTº:  Plano de Saúde dos Servidores</t>
  </si>
  <si>
    <t>Gestão Assit. Farm.: Folha PGTº: Serv. Efetivos., C.C. e Agente Politico</t>
  </si>
  <si>
    <t>Gestão Assit. Farm.: Folha PGTº: Obrigações Patronais</t>
  </si>
  <si>
    <t>Gestão Assit. Farm.: Folha PGTº: Hora Extra</t>
  </si>
  <si>
    <t>Gestão Assit. Farm.: Substituição de Servidores P/Serviços Terceiros</t>
  </si>
  <si>
    <t>Gestão Assit. Farm.: Folha PGTº: Indenizações Trabalhistas</t>
  </si>
  <si>
    <t>Gestão Assit. Farm.: Diarias</t>
  </si>
  <si>
    <t>Gestão Assit. Farm.: Materiais de Consumo</t>
  </si>
  <si>
    <t>Gestão Assit. Farm.: Despesas com Locomocao</t>
  </si>
  <si>
    <t>Gestão Assit. Farm.: Servicos de Consultoria</t>
  </si>
  <si>
    <t>Gestão Assit. Farm.: Prest. de Serv. P. Física</t>
  </si>
  <si>
    <t>Gestão Assit. Farm.: Prest. de Serv. P. Juridica</t>
  </si>
  <si>
    <t>Gestão Assit. Farm.: Auxilio - Alimentacao</t>
  </si>
  <si>
    <t>Gestão Assit. Farm.: Obrig Trib. E Contrib. S/Serviços</t>
  </si>
  <si>
    <t>Gestão Assit. Farm.: Auxilio - Transporte</t>
  </si>
  <si>
    <t>Gestão Assit. Farm.: Despesas de Exercícios Anteriores</t>
  </si>
  <si>
    <t>Gestão Assit. Farm.: Ressarcimento de Despesas</t>
  </si>
  <si>
    <t>Gestão Assit. Farm.: Materiais Adquiridos Através de Consórcio</t>
  </si>
  <si>
    <t>Gestão Assit. Farm.: Obras e Instalações</t>
  </si>
  <si>
    <t>Gestão Assit. Farm.: Equipamentos e Material Permanente</t>
  </si>
  <si>
    <t>Vigilância Epidemiológica</t>
  </si>
  <si>
    <t>Gestão Vig. Epidem.: Folha PGTº: Servidores Contratados</t>
  </si>
  <si>
    <t>Gestão Vig. Epidem.: Folha PGTº:  Plano de Saúde dos Servidores</t>
  </si>
  <si>
    <t>Gestão Vig. Epidem.: Folha PGTº: Serv. Efetivos., C.C. e Agente Politico</t>
  </si>
  <si>
    <t>Gestão Vig. Epidem.: Folha PGTº: Obrigações Patronais</t>
  </si>
  <si>
    <t>Gestão Vig. Epidem.: Folha PGTº: Hora Extra</t>
  </si>
  <si>
    <t>Gestão Vig. Epidem.: Substituição de Servidores P/Serviços Terceiros</t>
  </si>
  <si>
    <t>Gestão Vig. Epidem.: Folha PGTº: Indenizações Trabalhistas</t>
  </si>
  <si>
    <t>Gestão Vig. Epidem.: Diarias</t>
  </si>
  <si>
    <t>Gestão Vig. Epidem.: Materiais de Consumo</t>
  </si>
  <si>
    <t>Gestão Vig. Epidem.: Despesas com Locomocao</t>
  </si>
  <si>
    <t>Gestão Vig. Epidem.: Servicos de Consultoria</t>
  </si>
  <si>
    <t>Gestão Vig. Epidem.: Prest. de Serv. P. Física</t>
  </si>
  <si>
    <t>Gestão Vig. Epidem.: Prest. de Serv. P. Juridica</t>
  </si>
  <si>
    <t>Gestão Vig. Epidem.: Auxilio - Alimentacao</t>
  </si>
  <si>
    <t>Gestão Vig. Epidem.: Obrig Trib. E Contrib. S/Serviços</t>
  </si>
  <si>
    <t>Gestão Vig. Epidem.: Auxilio - Transporte</t>
  </si>
  <si>
    <t>Gestão Vig. Epidem.: Despesas de Exercícios Anteriores</t>
  </si>
  <si>
    <t>Gestão Vig. Epidem.: Ressarcimento de Despesas</t>
  </si>
  <si>
    <t>Gestão Vig. Epidem.: Materiais Adquiridos Através de Consórcio</t>
  </si>
  <si>
    <t>Gestão Vig. Epidem.: Obras e Instalações</t>
  </si>
  <si>
    <t>Gestão Vig. Epidem.: Equipamentos e Material Permanente</t>
  </si>
  <si>
    <t>GESTÃO FUNDO MUNICIPAL DE SAUDE RECURSOS ASPS</t>
  </si>
  <si>
    <t>Projeto: 1.025.000</t>
  </si>
  <si>
    <t>Projeto: 1.026.000</t>
  </si>
  <si>
    <t>Projeto: 1.027.000</t>
  </si>
  <si>
    <t>Atividade: 2.029.000</t>
  </si>
  <si>
    <t>13º salário</t>
  </si>
  <si>
    <t>Contribuição Patronal Previdencia</t>
  </si>
  <si>
    <t>13º Salario</t>
  </si>
  <si>
    <t>Atividade: 2.042.000</t>
  </si>
  <si>
    <t>Gestão M.A.C.:Materiais e Serviços Distribuição Gratuita</t>
  </si>
  <si>
    <t>Gestão M.A.C.: Serviços Através de Consórcio</t>
  </si>
  <si>
    <t>Gestão M.A.C.: Materiais e Serviços Distribuição Gratuita</t>
  </si>
  <si>
    <t>Atividade: 2.043.000</t>
  </si>
  <si>
    <t>Gestão Assit. Farm.: Materiais de Distribuição Gratuita</t>
  </si>
  <si>
    <t>Gestão Vig. em Saúde: Materiais de Distribuição Gratuita</t>
  </si>
  <si>
    <t>Atividade: 2.046.000</t>
  </si>
  <si>
    <t>Gestão Vig. Epidem.: Materiais de Distribuição Gratuita</t>
  </si>
  <si>
    <t>03 - FUNDO MUNICIPAL DE SAÚDE - PROGRAMAS ESTADUAIS</t>
  </si>
  <si>
    <t>FUNDO MUNICIPAL DE SAUDE - RECURSOS ESTADO</t>
  </si>
  <si>
    <t>Obrig Trib. e Contrib. S/Serviços 4294</t>
  </si>
  <si>
    <t>Material de Consumo 4294</t>
  </si>
  <si>
    <t>Prest. de Serv. P. Física 4294</t>
  </si>
  <si>
    <t>Prest. de Serv. P. Jurídica 4294</t>
  </si>
  <si>
    <t>Obras e Instalações 4294</t>
  </si>
  <si>
    <t>Equipamentos e Material Permanente 4294</t>
  </si>
  <si>
    <t>(+) Aporte Financeiro</t>
  </si>
  <si>
    <t>Gest. De Invest. At. Basic.: Obrig Trib. e Contrib. S/Serviços</t>
  </si>
  <si>
    <t>Gest. De Invest. At. Basic.: Material de Consumo</t>
  </si>
  <si>
    <t>Gest. De Invest. At. Basic.: Prest. de Serv. P. Física</t>
  </si>
  <si>
    <t>Gest. De Invest. At. Basic.: Prest. de Serv. P. Jurídica</t>
  </si>
  <si>
    <t>Gest. De Invest. At. Basic.: Obras e Instalações</t>
  </si>
  <si>
    <t>Gest. De Invest. At. Basic.: Equipamentos e Material Permanente</t>
  </si>
  <si>
    <t>GESTÃO DO BLOCO FINANCIAMENTO: ATENÇÃO BÁSICA</t>
  </si>
  <si>
    <t>Gestão Atenção Basic.: Substituicao de Servidores P/Serviços Terc.</t>
  </si>
  <si>
    <t>GESTÃO DO BLOCO FINANC.: ATENÇÃO DE M.A.C.A.H.</t>
  </si>
  <si>
    <t>GESTÃO DO BLOCO FINANC.: ASSIST. FARMACÊUTICA</t>
  </si>
  <si>
    <t>GESTÃO DO BLOCO FINANCIAMENTO: VIGILÂNCIA EM SAÚDE</t>
  </si>
  <si>
    <t>Gestão Saude Mental: Devolução de Saldo Rec. Saude da Familia</t>
  </si>
  <si>
    <t>Gestão Vig. Epidem.: Diárias</t>
  </si>
  <si>
    <t>Total do Unidade: 03 - FUNDO MUNICIPAL DE SAÚDE - PROGRAMAS ESTADUAIS</t>
  </si>
  <si>
    <t>Gestão M.A.C.: Substituicao de Servidores P/Serviços Terc.</t>
  </si>
  <si>
    <t>Gestão M.A.C.: Diárias</t>
  </si>
  <si>
    <t>Gestão M.A.C.: Serviços Pessoa Fisica</t>
  </si>
  <si>
    <t>Gestão M.A.C.: Serviços Pessoa Juridica</t>
  </si>
  <si>
    <t>Gestão M.A.C.: Obrig. Trib. e Contributivas Prev. S/Serv.</t>
  </si>
  <si>
    <t>Gestão Atenção Basic.: Obras e Instalações Contra Partidas</t>
  </si>
  <si>
    <t>4512 Investimento - Outras Transferências</t>
  </si>
  <si>
    <t>GEST. BLOCO FINAN.: INVEST. EM ASSIST. HOSP. E AMBUL. - MÉDIA E ALTA COMPLEXIDADE</t>
  </si>
  <si>
    <t>GEST. BLOCO FINAN.: INVEST. EM VIGILÂNCIA EM SAÚDE</t>
  </si>
  <si>
    <t>GEST. BLOCO FINAN.: INVEST.  EM ATENÇÃO BÁSICA</t>
  </si>
  <si>
    <t>GEST. BLOCO FINAN.: INVEST. EM ATENÇÃO BÁSICA</t>
  </si>
  <si>
    <t>Gestão Atenção Basic.: Obrigacoes Tributarias e Contributivas Rec. 4512</t>
  </si>
  <si>
    <t>Gestão Atenção Basic.: Devolução de Saldo Rec. 4512</t>
  </si>
  <si>
    <t>Gestão Atenção Basic.: Material De Consumo Rec. 4512</t>
  </si>
  <si>
    <t>4505 - Investimento - Atenção Básica</t>
  </si>
  <si>
    <t>4506 - Investimento - Atenção Especializada</t>
  </si>
  <si>
    <t>4507 - Investimento - Vigilância Sanitária</t>
  </si>
  <si>
    <t>4508 - Investimento - Gest. T.I. em Saúde no SUS</t>
  </si>
  <si>
    <t>4509 - Investimento - Gestão do SUS</t>
  </si>
  <si>
    <t>Transferências Bloco Investimento - Atenção Básica</t>
  </si>
  <si>
    <t>Transferências Bloco Investimento - Atenção Especializada</t>
  </si>
  <si>
    <t>Transferências Bloco Investimento - Vigilância Sanitária</t>
  </si>
  <si>
    <t>Transferências Bloco Investimento - Gest. T.I. em Saúde no SUS</t>
  </si>
  <si>
    <t>Transferências Bloco Investimento - Gestão do SUS</t>
  </si>
  <si>
    <t>Transferências Bloco Investimento - Outras Transferências</t>
  </si>
  <si>
    <t>Gestão do Bloco Financiamento: Gestão do SUS</t>
  </si>
  <si>
    <t>Gestão Atenção Básica: Diárias</t>
  </si>
  <si>
    <t>Gestão Atenção Básica: Materiais de Consumo</t>
  </si>
  <si>
    <t>Gestão Atenção Básica: Prest. de Serv. P. Física</t>
  </si>
  <si>
    <t>Gestão Atenção Básica: Prest. de Serv. P. Juridica</t>
  </si>
  <si>
    <t>Gestão Atenção Básica: Obrig Trib. E Contrib. S/Serv. Terceiros P. Física e M</t>
  </si>
  <si>
    <t>Gestão Atenção Básica: Obras e Instalações</t>
  </si>
  <si>
    <t>Gestão Atenção Básica: Equipamentos e Material Permanente</t>
  </si>
  <si>
    <t>04 - FUNDO MUNICIPAL DE SAÚDE - PROGRAMAS FEDERAIS</t>
  </si>
  <si>
    <t>Total do Unidade: 04 - FUNDO MUNICIPAL DE SAÚDE - PROGRAMAS FEDERAIS</t>
  </si>
  <si>
    <t>05 - SECRETARIA MUNICIPAL DE ASSISTENCIA SOCIAL</t>
  </si>
  <si>
    <t>00 - GERAL</t>
  </si>
  <si>
    <t> 11</t>
  </si>
  <si>
    <t>NOVOS INVESTIMENTOS EM ASSISTENCIA SOCIAL</t>
  </si>
  <si>
    <t>GESTÃO, COORD. E PLANEJ. DE ASSISTÊNCIA SOCIAL</t>
  </si>
  <si>
    <t>Substituicao de Servidores P/Serviços Terc.</t>
  </si>
  <si>
    <t>Auxilio-alimentacao</t>
  </si>
  <si>
    <t>GESTÃO E AÇÕES DE ASSISTENCIA SOCIAL</t>
  </si>
  <si>
    <t>Total da Órgão: 05 - SECRETARIA MUNICIPAL DE ASSISTENCIA SOCIAL</t>
  </si>
  <si>
    <t>02 - FUNDO MUN. DE ASSIST. SOCIAL - PROG. MUNICIPAIS</t>
  </si>
  <si>
    <t>Assist. Port. Def.: Exec. de Repasses, Transf. e Convênios a Entidades</t>
  </si>
  <si>
    <t>Assist. Port. Def.: Beneficios Asssistenciais</t>
  </si>
  <si>
    <t>Assist. Crian. e Adoles: Beneficios Asssistenciais</t>
  </si>
  <si>
    <t>Assist. Port. Def.: Material De Consumo</t>
  </si>
  <si>
    <t>Assist. Crian. e Adoles: Material de Consumo</t>
  </si>
  <si>
    <t>Assist. Port. Def.: Materiais, Bens ou Serviços Distrib. Gratuita</t>
  </si>
  <si>
    <t>Assist. Crian. e Adoles: Materiais, Bens ou Serviços Distrib. Gratuita</t>
  </si>
  <si>
    <t>Assist. ao Idoso: Prest. de Serv. P. Física</t>
  </si>
  <si>
    <t>Assist. Port. Def.: Prest. de Serv. P. Física</t>
  </si>
  <si>
    <t>Assist. Crian. e Adoles: Prest. de Serv. P. Física</t>
  </si>
  <si>
    <t>Assist. ao Idoso: Prest. de Serv. P. Jurídica</t>
  </si>
  <si>
    <t>Assist. Port. Def.: Prest. de Serv. P. Jurídica</t>
  </si>
  <si>
    <t>Assist. Crian. e Adoles: Prest. de Serv. P. Jurídica</t>
  </si>
  <si>
    <t>Assist. ao Idoso: Despesas de Exercícios Anteriores</t>
  </si>
  <si>
    <t>Assist. Port. Def.: Despesas de Exercícios Anteriores</t>
  </si>
  <si>
    <t>Assist. Crian. e Adoles: Despesas de Exercícios Anteriores</t>
  </si>
  <si>
    <t>Assist. ao Idoso: Obras e Instalações</t>
  </si>
  <si>
    <t>Assist. Port. Def.: Obras e Instalações</t>
  </si>
  <si>
    <t>Assist. Crian. e Adoles: Obras e Instalações</t>
  </si>
  <si>
    <t>Assist. ao Idoso: Equipamentos e Material Permanente</t>
  </si>
  <si>
    <t>Assist. Port. Def.: Equipamentos e Material Permanente</t>
  </si>
  <si>
    <t>Assist. Crian. e Adoles: Equipamentos e Material Permanente</t>
  </si>
  <si>
    <t>PROMOÇÃO DA ASSISTENCIA SOCIAL BÁSICA</t>
  </si>
  <si>
    <t>Assistência ao Idoso</t>
  </si>
  <si>
    <t>Assistência ao Portador de Deficiência</t>
  </si>
  <si>
    <t>Assistência à Criança e ao Adolescente</t>
  </si>
  <si>
    <t>Assist. ao Idoso: Beneficios Asssistenciais</t>
  </si>
  <si>
    <t>GESTÃO E PROMOÇÃO DE BENEFÍCIOS EVENTUAIS</t>
  </si>
  <si>
    <t>Gest. de Benef. Eventuais: Execução de Repasses, Transferências e Convênios a Entidades</t>
  </si>
  <si>
    <t>Gest. de Benef. Eventuais: Beneficios Asssistenciais</t>
  </si>
  <si>
    <t>Gest. de Benef. Eventuais: Material De Consumo</t>
  </si>
  <si>
    <t>Gest. de Benef. Eventuais: Materiais, Bens ou Serviços Distrib. Gratuita</t>
  </si>
  <si>
    <t>Gest. de Benef. Eventuais: Prest. de Serv. P. Física</t>
  </si>
  <si>
    <t>Gest. de Benef. Eventuais: Prest. de Serv. P. Jurídica</t>
  </si>
  <si>
    <t>Gest. de Benef. Eventuais: Obrig Trib.e Contrib. S/Serv. Prev.</t>
  </si>
  <si>
    <t>Gest. de Benef. Eventuais: Despesas de Exercícios Anteriores</t>
  </si>
  <si>
    <t>Gest. de Benef. Eventuais: Obras e Instalações</t>
  </si>
  <si>
    <t>Gest. de Benef. Eventuais: Equipamentos e Material Permanente</t>
  </si>
  <si>
    <t>Total do Unidade: 02 - FUNDO MUN. DE ASSIST. SOCIAL - PROG. MUNICIPAIS</t>
  </si>
  <si>
    <t>03 - FUNDO MUN. DE ASSIST. SOCIAL - PROG. ESTADUAIS</t>
  </si>
  <si>
    <t>Gest. de Recursos FEAS: Equipamentos e Material Permanente</t>
  </si>
  <si>
    <t>Total do Unidade: 03 - FUNDO MUN. DE ASSIST. SOCIAL - PROG. ESTADUAIS</t>
  </si>
  <si>
    <t>04 - FUNDO MUN. DE ASSIST. SOCIAL - PROG. FEDERAIS</t>
  </si>
  <si>
    <t>Construção do CRAS  Contra Partida</t>
  </si>
  <si>
    <t>Construção do CRAS  </t>
  </si>
  <si>
    <t>Aquisição de Veículo Contra Partida</t>
  </si>
  <si>
    <t>Aquisição de Veículo</t>
  </si>
  <si>
    <t>Assistência Comunitária</t>
  </si>
  <si>
    <t>FUNDO MUNICIPAL DE SAUDE - RECURSOS FEDERAIS</t>
  </si>
  <si>
    <t>Gestão do SUS:  Devolução de Saldo 4509</t>
  </si>
  <si>
    <t>Gestão do SUS:  Obras e Instalações 4509</t>
  </si>
  <si>
    <t>Gestão do SUS:  Equipamentos e Material Permanente 4509</t>
  </si>
  <si>
    <t>Gestão Atenção Basic.: Obras e Instalações 4512</t>
  </si>
  <si>
    <t>Atividade: 2.044.000</t>
  </si>
  <si>
    <t>GESTÃO SECRETARIA MUNICIPAL DE ASSISTENCIA SOCIAL</t>
  </si>
  <si>
    <t>Projeto: 1.011.000</t>
  </si>
  <si>
    <t>Atividade: 2.012.000</t>
  </si>
  <si>
    <t>13º Salário Servidores CRAS</t>
  </si>
  <si>
    <t>Férias Servidores CRAS</t>
  </si>
  <si>
    <t>Anuênio Servidores CRAS</t>
  </si>
  <si>
    <t>Vencimentos Servidores CRAS</t>
  </si>
  <si>
    <t>Anuênio Férias Servidores CRAS</t>
  </si>
  <si>
    <t>Anuênio 13º Salário Servidores CRAS</t>
  </si>
  <si>
    <t>Gestao do CRAS: Obrig Trib. e Contrib. S/Serv. P. Física e M.E.I.</t>
  </si>
  <si>
    <t>Gestao do CRAS: Material de Consumo</t>
  </si>
  <si>
    <t>Gestao do CRAS: Prest. de Serv. P. Física</t>
  </si>
  <si>
    <t>Gestao do CRAS: Prest. de Serv. P. Jurídica</t>
  </si>
  <si>
    <t>Gestao do CRAS: Obras e Instalações</t>
  </si>
  <si>
    <t>Gestao do CRAS: Equipamentos e Material Permanente</t>
  </si>
  <si>
    <t>Promoção da Assistencia Social Básica</t>
  </si>
  <si>
    <t>Gestao do CRAS: Folha PGTº: Obrigações Patronais</t>
  </si>
  <si>
    <t>Gestao do CRAS: Diarias</t>
  </si>
  <si>
    <t>Gestao do CRAS: Materiais de Consumo</t>
  </si>
  <si>
    <t>Gestao do CRAS: Despesas com Locomocao</t>
  </si>
  <si>
    <t>Gestao do CRAS: Servicos de Consultoria</t>
  </si>
  <si>
    <t>Gestao do CRAS: Auxilio-alimentacao</t>
  </si>
  <si>
    <t>Gestao do CRAS: Auxilio-Transporte</t>
  </si>
  <si>
    <t>Gestao do CRAS: Despesas de Exercícios Anteriores</t>
  </si>
  <si>
    <t>Gestao do CRAS: Ressarcimento de Despesas</t>
  </si>
  <si>
    <t>Gestao do CRAS: Materiais Adquiridos Através de Consórcio</t>
  </si>
  <si>
    <t>Gestao do CRAS: Prestação de Serviços de Tecnologia da Informação</t>
  </si>
  <si>
    <t>Gestao S.M.A.S.: Equipamentos E Material Permanente</t>
  </si>
  <si>
    <t>Gestao S.M.A.S.: Substituicao de Servidores P/Serviços Terc.</t>
  </si>
  <si>
    <t>Gestao S.M.A.S.: Diarias</t>
  </si>
  <si>
    <t>Gestao S.M.A.S.: Materiais de Consumo</t>
  </si>
  <si>
    <t>Gestao S.M.A.S.: Despesas com Locomocao</t>
  </si>
  <si>
    <t>Gestao S.M.A.S.: Servicos de Consultoria</t>
  </si>
  <si>
    <t>Gestao S.M.A.S.: Prest. de Serv. P. Física</t>
  </si>
  <si>
    <t>Gestao S.M.A.S.: Prest. de Serv. P. Jurídica</t>
  </si>
  <si>
    <t>Gestao S.M.A.S.: Auxilio-alimentacao</t>
  </si>
  <si>
    <t>Gestao S.M.A.S.: Auxilio-Transporte</t>
  </si>
  <si>
    <t>Gestao S.M.A.S.: Despesas de Exercícios Anteriores</t>
  </si>
  <si>
    <t>Gestao S.M.A.S.: Ressarcimento de Despesas</t>
  </si>
  <si>
    <t>Gestao S.M.A.S.: Materiais Adquiridos Através de Consórcio</t>
  </si>
  <si>
    <t>Gestao S.M.A.S.: Obras e Instalações</t>
  </si>
  <si>
    <t>Gest. S.M.A.S.: Prestação de Serviços de Tecnologia da Informação</t>
  </si>
  <si>
    <t>Atividade: 2.013.000</t>
  </si>
  <si>
    <t>Vencimentos CRAS</t>
  </si>
  <si>
    <t>Contribuição Patronal Previdencia CRAS</t>
  </si>
  <si>
    <t>Férias CRAS</t>
  </si>
  <si>
    <t>13º Salário CRAS</t>
  </si>
  <si>
    <t>Anuênio Servidores</t>
  </si>
  <si>
    <t>Anuênio Férias Servidores</t>
  </si>
  <si>
    <t>Anuênio 13º Salário Servidores</t>
  </si>
  <si>
    <t>Gestao S.M.A.S.: Equip. e Mat. Perm. - Intra-Orçam.</t>
  </si>
  <si>
    <t>Custo Aq. SME: Obrig Trib. e Contrib. S/Serv. P. Física e M.E.I.</t>
  </si>
  <si>
    <t>Custo Aq. SME:  Material de Consumo</t>
  </si>
  <si>
    <t>Custo Aq. SME: Prest. de Serv. P. Física</t>
  </si>
  <si>
    <t>Custo Aq. SME:  Prest. de Serv. P. Jurídica</t>
  </si>
  <si>
    <t>Custo Aq. SME: Obras e Instalações</t>
  </si>
  <si>
    <t>Custo Aq. SME:  Equip. e Material Permanente</t>
  </si>
  <si>
    <t>Custo Aq. Rede Escolar: Obrig Trib. e Contrib. S/Serv. P. Física e M.E.I.</t>
  </si>
  <si>
    <t>Custo Aq. Rede Escolar: Material de Consumo</t>
  </si>
  <si>
    <t>Custo Aq. Rede Escolar: Prest. de Serv. P. Física</t>
  </si>
  <si>
    <t>Custo Aq. Rede Escolar:  Prest. de Serv. P. Jurídica</t>
  </si>
  <si>
    <t>Custo Aq. Rede Escolar: Obras e Instalações</t>
  </si>
  <si>
    <t>Custo Aq. Rede Escolar:  Equip. e Material Permanente</t>
  </si>
  <si>
    <t>Serviços</t>
  </si>
  <si>
    <t xml:space="preserve">Contrib. Patronal Prev. </t>
  </si>
  <si>
    <t>Férias C.C. FG</t>
  </si>
  <si>
    <t>13 Salário C.C. FG</t>
  </si>
  <si>
    <t>LOCACAO</t>
  </si>
  <si>
    <t>SERVIÇOS</t>
  </si>
  <si>
    <t>Formação de Recursos Humanos: Passagens e Despesas com Locomocao</t>
  </si>
  <si>
    <t>Formação de Recursos Humanos: Outros Servicos - Pessoa Juridica</t>
  </si>
  <si>
    <t>Feira do Livro e Seminário</t>
  </si>
  <si>
    <t>1617/1600</t>
  </si>
  <si>
    <t>1615/1600</t>
  </si>
  <si>
    <t>1651/1650</t>
  </si>
  <si>
    <t>GEST. PROT. E SEGURANÇA: Obrig Trib. e Contributivas</t>
  </si>
  <si>
    <t>GEST. PROT. E SEGURANÇA: Material de Consumo</t>
  </si>
  <si>
    <t>GEST. PROT. E SEGURANÇA: Prest. de Serv. P. Física</t>
  </si>
  <si>
    <t>GEST. PROT. E SEGURANÇA: Prest. de Serv. P. Jurídica</t>
  </si>
  <si>
    <t>GEST. PROT. E SEGURANÇA: Obras e Instalações</t>
  </si>
  <si>
    <t>GEST. PROT. E SEGURANÇA: Equipamentos e Mat. Permanente</t>
  </si>
  <si>
    <t>GEST. GAB. PREFEITO: RATEIO PELA PARTICIPAÇÃO EM CONSÓRCIO PÚBLICO</t>
  </si>
  <si>
    <t>GEST. GAB. PREFEITO: Folha Pgtoº: Servidor Contratado: Venc e Prev</t>
  </si>
  <si>
    <t>GEST. GAB. PREFEITO: Folha Pgtoº: Plano de Saúde dos Servidores</t>
  </si>
  <si>
    <t>GEST. GAB. PREFEITO: Folha Pgtoº: Serv Efet. C.C. e Ag. Polit</t>
  </si>
  <si>
    <t>GEST. GAB. PREFEITO: Obrigacoes Patronais</t>
  </si>
  <si>
    <t>GEST. GAB. PREFEITO: Folha Pgtoº: Hora Extra</t>
  </si>
  <si>
    <t>GEST. GAB. PREFEITO: Substituição de Servidores P/Serviços Terceiros</t>
  </si>
  <si>
    <t>GEST. GAB. PREFEITO: Folha Pgtoº: Indenizacoes Trabalhistas</t>
  </si>
  <si>
    <t>GEST. GAB. PREFEITO: Diárias</t>
  </si>
  <si>
    <t>GEST. GAB. PREFEITO: Material De Consumo</t>
  </si>
  <si>
    <t>GEST. GAB. PREFEITO: Passagens e Despesas com Locomocao</t>
  </si>
  <si>
    <t>GEST. GAB. PREFEITO: Servicos De Consultoria</t>
  </si>
  <si>
    <t>GEST. GAB. PREFEITO: Servicos De - Pessoa Fisica</t>
  </si>
  <si>
    <t>GEST. GAB. PREFEITO: Servicos De - Pessoa Jurídica</t>
  </si>
  <si>
    <t>GEST. GAB. PREFEITO: Auxilio - Alimentacao</t>
  </si>
  <si>
    <t>GEST. GAB. PREFEITO: Obrigacoes Tributarias E Contributivas</t>
  </si>
  <si>
    <t>GEST. GAB. PREFEITO: Auxilio-transporte</t>
  </si>
  <si>
    <t>GEST. GAB. PREFEITO: Indenizacoes e Restituicoes</t>
  </si>
  <si>
    <t>GEST. GAB. PREFEITO: Obras e Instalacoes</t>
  </si>
  <si>
    <t>GEST. GAB. PREFEITO: Equipamentos e Material Permanente</t>
  </si>
  <si>
    <t>Gest. Controle Interno: Folha Pgtoº: Plano de Saúde dos Servidores</t>
  </si>
  <si>
    <t>Gest. Controle Interno: Folha Pgtoº: Obrigacoes Patronais</t>
  </si>
  <si>
    <t>Gest. Controle Interno: Diárias</t>
  </si>
  <si>
    <t>Gest. Controle Interno: Material De Consumo</t>
  </si>
  <si>
    <t>Gest. Controle Interno: Passagens e Despesas com Locomocao</t>
  </si>
  <si>
    <t>Gest. Controle Interno: Servicos De Consultoria</t>
  </si>
  <si>
    <t>Gest. Controle Interno: Servicos De - Pessoa Fisica</t>
  </si>
  <si>
    <t>Gest. Controle Interno: Servicos De - Pessoa Jurídica</t>
  </si>
  <si>
    <t>Gest. Controle Interno: Obrigacoes Tributarias E Contributivas</t>
  </si>
  <si>
    <t>Gest. Controle Interno: Indenizacoes e Restituicoes</t>
  </si>
  <si>
    <t>Gest. Controle Interno: Obras e Instalacoes</t>
  </si>
  <si>
    <t>Gest. Controle Interno: Equipamentos e Material Permanente</t>
  </si>
  <si>
    <t>Gest. Controle Interno: Folha Pgtoº: Comissao de Controle Interno</t>
  </si>
  <si>
    <t>5341/5340</t>
  </si>
  <si>
    <t>53321/53320</t>
  </si>
  <si>
    <t>53323/53320</t>
  </si>
  <si>
    <t>53322/53320</t>
  </si>
  <si>
    <t>53324/53320</t>
  </si>
  <si>
    <t>Gest. da Formação de Recursos Humanos: Diárias</t>
  </si>
  <si>
    <t>Gest. da Formação de Recursos Humanos: Passagens e Despesas com Locomocao</t>
  </si>
  <si>
    <t>Gest. da Formação de Recursos Humanos: Outros Servicos - Pessoa Juridica</t>
  </si>
  <si>
    <t>Conselho Tut.: Folha Pgtoº: Plano de Saúde dos Servidores</t>
  </si>
  <si>
    <t>Conselho Tut.: Equipamentos e Mat. Permanente - Intra Orçam.</t>
  </si>
  <si>
    <t>Conselho Tut.: Formação de Recursos Humanos:  Passagens e Despesas com Locomocao</t>
  </si>
  <si>
    <t>Conselho Tut.: Formação de Recursos Humanos: Diárias</t>
  </si>
  <si>
    <t>Conselho Tut.: Formação de Recursos Humanos:  Outros Servicos - Pessoa Juridica</t>
  </si>
  <si>
    <t>59921/59920</t>
  </si>
  <si>
    <t>59922/59920</t>
  </si>
  <si>
    <t>59923/59920</t>
  </si>
  <si>
    <t>Apoio a Brigada Militar: Material De Consumo</t>
  </si>
  <si>
    <t>Apoio a Brigada Militar: Servicos De - Pessoa Fisica</t>
  </si>
  <si>
    <t>Apoio a Brigada Militar: Servicos  Pessoa Jurídica</t>
  </si>
  <si>
    <t>Apoio a Brigada Militar: Obrigacoes Tributarias e Contributivas</t>
  </si>
  <si>
    <t>Apoio a Brigada Militar: Obras E Instalacoes</t>
  </si>
  <si>
    <t>Apoio a Brigada Militar: Equipamentos e Material Permanente</t>
  </si>
  <si>
    <t>Gest. e Prom. Defesa Civil Formação de R.H.: Diárias</t>
  </si>
  <si>
    <t>Gest. e Prom. Defesa Civil Formação de R.H.:  Passagens e Despesas com Locomocao</t>
  </si>
  <si>
    <t>Gest. e Prom. Defesa Civil Formação de R.H.: Outros Servicos - Pessoa Juridica</t>
  </si>
  <si>
    <t>Gest. e Prom. Defesa Civil: Diárias</t>
  </si>
  <si>
    <t>Gest. e Prom. Defesa Civil: Material De Consumo</t>
  </si>
  <si>
    <t>Gest. e Prom. Defesa Civil: Material, Bem ou Serviço para Distribuição Gratuita</t>
  </si>
  <si>
    <t>Gest. e Prom. Defesa Civil: Passagens e Despesas com Locomocao</t>
  </si>
  <si>
    <t>Gest. e Prom. Defesa Civil: Outros Servicos - Pessoa Fisica</t>
  </si>
  <si>
    <t>Gest. e Prom. Defesa Civil: Outros Servicos - Pessoa Jurídica</t>
  </si>
  <si>
    <t>Gest. e Prom. Defesa Civil: Obrigacoes Tributarias e Contributivas</t>
  </si>
  <si>
    <t>Gest. e Prom. Defesa Civil: Ressarcimento de Despesas</t>
  </si>
  <si>
    <t>Gest. e Prom. Defesa Civil: Obras e Instalacoes</t>
  </si>
  <si>
    <t>Gest. e Prom. Defesa Civil: Equipamentos e Material Permanente</t>
  </si>
  <si>
    <t>Gest. S.M.A. Folha Pgtoº: Servidor Contratado: Venc e Prev</t>
  </si>
  <si>
    <t>Gest. S.M.A. Folha Pgtoº: Plano de Saúde dos Servidores</t>
  </si>
  <si>
    <t>Gest. S.M.A. Folha Pgtoº: Serv Efet. C.C. e Ag. Polit</t>
  </si>
  <si>
    <t>Gest. S.M.A. Folha Pgtoº:  Obrigacoes Patronais</t>
  </si>
  <si>
    <t>Gest. S.M.A. Folha Pgtoº: Hora Extra</t>
  </si>
  <si>
    <t>Gest. S.M.A.: Substituição de Servidores P/Serviços Terceiros</t>
  </si>
  <si>
    <t>Gest. S.M.A. Folha Pgtoº: Indenizacoes Trabalhistas</t>
  </si>
  <si>
    <t>Gest. S.M.A.: Diarias</t>
  </si>
  <si>
    <t>Gest. S.M.A.: Material De Consumo</t>
  </si>
  <si>
    <t>Gest. S.M.A.: Passagens e Despesas com Locomocao</t>
  </si>
  <si>
    <t>Gest. S.M.A.: Servicos de Consultoria</t>
  </si>
  <si>
    <t>Gest. S.M.A.: Servicos - Pessoa Fisica</t>
  </si>
  <si>
    <t>Gest. S.M.A.: Servicos - Pessoa Jurídica</t>
  </si>
  <si>
    <t>Gest. S.M.A.: Auxilio - Alimentacao</t>
  </si>
  <si>
    <t>Gest. S.M.A.: Obrigacoes Tributarias E Contributivas</t>
  </si>
  <si>
    <t>Gest. S.M.A.: Auxilio-transporte</t>
  </si>
  <si>
    <t>Gest. S.M.A.: Despesas de Exercicios Anteriores</t>
  </si>
  <si>
    <t>Gest. S.M.A.: Indenizacoes e Restituicoes</t>
  </si>
  <si>
    <t>Gest. S.M.A.: Materiais Adquiridos Através de Consórcio</t>
  </si>
  <si>
    <t>Gest. S.M.A.: Obras e Instalacoes</t>
  </si>
  <si>
    <t>Gest. S.M.A.: Equipamentos e Material Permanente Substituição</t>
  </si>
  <si>
    <t>Gest. S.M.A.: Equip. e Mat. Perman. - Intra-Orcam.</t>
  </si>
  <si>
    <t>Gest. S.M.A.: SERVIÇOS DE TECNOL. DA INFORM. E COMUNIC. - PJ</t>
  </si>
  <si>
    <t>Gest. S.M.A. Formação de R.H.: Diárias</t>
  </si>
  <si>
    <t>Gest. S.M.A. Formação de R.H.: Outros Servicos - Pessoa Juridica</t>
  </si>
  <si>
    <t>Gest. S.M.A. Formação de R.H.: Passagens e Desp. com Locomocao</t>
  </si>
  <si>
    <t>Gest. S.M.A. Formação de R.H.: Outros Servicos - Pessoa Fisica</t>
  </si>
  <si>
    <t>Gest. S.M.A. Formação de R.H.: Contrib. Patronal S/Prest. Serviços</t>
  </si>
  <si>
    <t>Administração Financeira</t>
  </si>
  <si>
    <t/>
  </si>
  <si>
    <t>Gest. S.M.F. Folha Pgtoº: Servidor Contratado: Venc e Prev</t>
  </si>
  <si>
    <t>Gest. S.M.F. Folha Pgtoº: Plano de Saúde dos Servidores</t>
  </si>
  <si>
    <t>Gest. S.M.F. Folha Pgtoº: Serv Efet. C.C. e Ag. Polit</t>
  </si>
  <si>
    <t>Gest. S.M.F. Folha Pgtoº: Obrigacoes Patronais</t>
  </si>
  <si>
    <t>Gest. S.M.F. Folha Pgtoº: Hora Extra</t>
  </si>
  <si>
    <t>Gest. S.M.F.: Substituição de Servidores P/Serviços Terceiros</t>
  </si>
  <si>
    <t>Gest. S.M.F. Folha Pgtoº: Indenizacoes Trabalhistas</t>
  </si>
  <si>
    <t>Gest. S.M.F.: Diárias</t>
  </si>
  <si>
    <t>Gest. S.M.F.: Material de Consumo</t>
  </si>
  <si>
    <t>Gest. S.M.F.: Passagens e Despesas com Locomocao</t>
  </si>
  <si>
    <t>Gest. S.M.F.: Servicos de Consultoria</t>
  </si>
  <si>
    <t>Gest. S.M.F.: Servicos de - Pessoa Fisica</t>
  </si>
  <si>
    <t>Gest. S.M.F.: Servicos - Pessoa Jurídica</t>
  </si>
  <si>
    <t>Gest. S.M.F.: Auxilio - Alimentacao</t>
  </si>
  <si>
    <t>Gest. S.M.F.: Obrigacoes Tributarias e Contributivas</t>
  </si>
  <si>
    <t>Gest. S.M.F.: Auxilio-Transporte</t>
  </si>
  <si>
    <t>Gest. S.M.F.: Despesas de Exercicios Anteriores</t>
  </si>
  <si>
    <t>Gest. S.M.F.: Indenizacoes e Restituicoes</t>
  </si>
  <si>
    <t>Gest. S.M.F.: Materiais Adquiridos Através de Consórcio</t>
  </si>
  <si>
    <t>Gest. S.M.F.: Obras e Instalacoes</t>
  </si>
  <si>
    <t>Gest. S.M.F.: Equipamentos e Material Permanente</t>
  </si>
  <si>
    <t>10712/10700</t>
  </si>
  <si>
    <t>Gratificacao Por Exercicio De Funcoes</t>
  </si>
  <si>
    <t>11801/11800</t>
  </si>
  <si>
    <t>Gest. S.M.F.: SERVIÇOS DE TECN. DA INFORM. E COMUM. - PJ</t>
  </si>
  <si>
    <t>12544/12540</t>
  </si>
  <si>
    <t>12543/12540</t>
  </si>
  <si>
    <t>Gest. S.M.F. Form. de R. H.: Diárias</t>
  </si>
  <si>
    <t>Gest. S.M.F. Form. de R. H.: Passagens e Despesas com Locomocao</t>
  </si>
  <si>
    <t>Gest. S.M.F. Form. de R. H.:  Outros Servicos - Pessoa Fisica</t>
  </si>
  <si>
    <t>Gest. S.M.F. Form. de R. H.:  Outros Servicos - Pessoa Juridica</t>
  </si>
  <si>
    <t xml:space="preserve">Gest. S.M.F. Form. de R. H.:  Contrib. Patronal Prev. S/Serv. </t>
  </si>
  <si>
    <t>Gest. S.M.O.V.S.U. Folha PGTº: Servidores Contratados</t>
  </si>
  <si>
    <t>Gest. S.M.O.V.S.U. Folha PGTº: Plano de Saúde dos Servidores</t>
  </si>
  <si>
    <t>Gest. S.M.O.V.S.U. Folha PGTº: Serv. Efetivos., C.C. e Agente Politico</t>
  </si>
  <si>
    <t>Gest. S.M.O.V.S.U. Folha PGTº: Obrigações Patronais</t>
  </si>
  <si>
    <t>Gest. S.M.O.V.S.U. Folha PGTº: Hora Extra</t>
  </si>
  <si>
    <t>Gest. S.M.O.V.S.U.: Substituição de Servidores P/Serviços Terceiros</t>
  </si>
  <si>
    <t>Gest. S.M.O.V.S.U. Folha PGTº: Indenizações Trabalhistas</t>
  </si>
  <si>
    <t>Gest. S.M.O.V.S.U.: Diárias</t>
  </si>
  <si>
    <t>Gest. S.M.O.V.S.U.: Material de Consumo</t>
  </si>
  <si>
    <t>Gest. S.M.O.V.S.U.: Despesas com Locomocao</t>
  </si>
  <si>
    <t>Gest. S.M.O.V.S.U.: Serviços de Consultoria</t>
  </si>
  <si>
    <t>Gest. S.M.O.V.S.U.: Servicos de Terceiros - Pessoa Fisica</t>
  </si>
  <si>
    <t>Gest. S.M.O.V.S.U.: Servicos de Terceiros - Pessoa Jurídica</t>
  </si>
  <si>
    <t>Gest. S.M.O.V.S.U.: Auxilio-alimentação</t>
  </si>
  <si>
    <t>Gest. S.M.O.V.S.U.: Obrig Trib. E Contrib. S/Serv. Terceiros P. Física e M.E.I.</t>
  </si>
  <si>
    <t>Gest. S.M.O.V.S.U.: Auxilio-transporte</t>
  </si>
  <si>
    <t>Gest. S.M.O.V.S.U.: Despesas de Exercícios Anteriores</t>
  </si>
  <si>
    <t>Gest. S.M.O.V.S.U.: Ressarcimento de Despesas</t>
  </si>
  <si>
    <t>Gest. S.M.O.V.S.U.: Materiais Adquiridos Através de Consórcio</t>
  </si>
  <si>
    <t>Gest. S.M.O.V.S.U.: Obras E Instalacoes</t>
  </si>
  <si>
    <t>Gest. S.M.O.V.S.U.: Equipamentos e Material Permanente</t>
  </si>
  <si>
    <t>Gest. S.M.O.V.S.U. Formação de R. H.: Diárias</t>
  </si>
  <si>
    <t>Gest. S.M.O.V.S.U. Formação de R. H.:  Passagens e Despesas com Locomocao</t>
  </si>
  <si>
    <t>Gest. S.M.O.V.S.U. Formação de R. H.: Outros Servicos - Pessoa Juridica</t>
  </si>
  <si>
    <t>Gest. Man. Infraest. Viária: Locação de Sistemas de Informática</t>
  </si>
  <si>
    <t>Gest. Man. Infraest. Viária Formação de R. H.: Diárias</t>
  </si>
  <si>
    <t>Gest. Man. Infraest. Viária Formação de R. H.:  Passagens e Despesas com Locomocao</t>
  </si>
  <si>
    <t>Gest. Man. Infraest. Viária Formação de R. H.:  Outros Servicos - Pessoa Juridica</t>
  </si>
  <si>
    <t>Gest. S.M.O.V.S.U. Formação de R. H.: Outros Servicos - Pessoa Fisica</t>
  </si>
  <si>
    <t>Gest. S.M.O.V.S.U. Formação de R. H.: Contrib. Patronal Prev. S/Serviços</t>
  </si>
  <si>
    <t>26954/26950</t>
  </si>
  <si>
    <t>Gest. Man. Infraest. Viária Formação de R. H.:  Outros Servicos - Pessoa Fisica</t>
  </si>
  <si>
    <t>Gest. Man. Infraest. Viária Formação de R. H.: Contrib. Patronal Prev. S/Serviços</t>
  </si>
  <si>
    <t>Custo de Aquis.: Equip. e Mat Perm. Intra-Orcam</t>
  </si>
  <si>
    <t>Gest. S.M.A.G. Folha PGTº: Servidores Contratados</t>
  </si>
  <si>
    <t>Gest. S.M.A.G. Folha PGTº: Plano de Saúde dos Servidores</t>
  </si>
  <si>
    <t>Gest. S.M.A.G. Folha PGTº: Serv. Efetivos., C.C. e Agente Politico</t>
  </si>
  <si>
    <t>Gest. S.M.A.G. Folha PGTº: Obrigações Patronais</t>
  </si>
  <si>
    <t>Gest. S.M.A.G. Folha PGTº: Hora Extra</t>
  </si>
  <si>
    <t>Gest. S.M.A.G. Folha PGTº: Substituição de Servidores P/Serviços Terceiros</t>
  </si>
  <si>
    <t>Gest. S.M.A.G. Folha PGTº: Indenizações Trabalhistas</t>
  </si>
  <si>
    <t>Gest. S.M.A.G.: Diarias</t>
  </si>
  <si>
    <t>Gest. S.M.A.G.: Materiais de Consumo</t>
  </si>
  <si>
    <t>Gest. S.M.A.G.: Despesas com Locomocao</t>
  </si>
  <si>
    <t>Gest. S.M.A.G.: Servicos de Consultoria</t>
  </si>
  <si>
    <t>Gest. S.M.A.G.: Prest. de Serv. P. Física</t>
  </si>
  <si>
    <t>Gest. S.M.A.G.: Prest. de Serv. P. Jurídica</t>
  </si>
  <si>
    <t>Gest. S.M.A.G.: Auxilio-Alimentacao</t>
  </si>
  <si>
    <t>Gest. S.M.A.G.: Obrig Trib. E Contrib. S/Serv. Terceiros P. Física e M.E.I.</t>
  </si>
  <si>
    <t>Gest. S.M.A.G.: Auxilio-Transporte</t>
  </si>
  <si>
    <t>Gest. S.M.A.G.: Despesas de Exercícios Anteriores</t>
  </si>
  <si>
    <t>Gest. S.M.A.G.: Ressarcimento de Despesas</t>
  </si>
  <si>
    <t>Gest. S.M.A.G.: Materiais Adquiridos Através do Consórcio</t>
  </si>
  <si>
    <t>Gest. S.M.A.G.: Obras e Instalacoes</t>
  </si>
  <si>
    <t>Gest. S.M.A.G.: Equipamentos e Material Permanente</t>
  </si>
  <si>
    <t>Gest. S.M.A.G. Formação de R. H.: Diárias</t>
  </si>
  <si>
    <t>Gest. S.M.A.G. Formação de R. H.:  Passagens e Despesas com Locomocao</t>
  </si>
  <si>
    <t>Gest. S.M.A.G. Formação de R. H.:  Outros Servicos - Pessoa Fisica</t>
  </si>
  <si>
    <t>Gest. S.M.A.G. Formação de R. H.:  Contrib. Prev. S/Prest. Serv.</t>
  </si>
  <si>
    <t>Gest. Agric. Fam. e Agroneg.: SERVIÇOS DE TECN. DA INFORMAÇÃO E COMUNICAÇÃO</t>
  </si>
  <si>
    <t>38601/38600</t>
  </si>
  <si>
    <t>38602/38600</t>
  </si>
  <si>
    <t>38603/38600</t>
  </si>
  <si>
    <t>38604/38600</t>
  </si>
  <si>
    <t>Gest. Agric. Fam. e Agroneg.: Formação de R. H.: Diárias</t>
  </si>
  <si>
    <t>Gest. Agric. Fam. e Agroneg.: Formação de R. H.: Passagens e Despesas com Locomocao</t>
  </si>
  <si>
    <t>Gest. Agric. Fam. e Agroneg.: Formação de R. H.: Outros Servicos - Pessoa Fisica</t>
  </si>
  <si>
    <t>Gest. Agric. Fam. e Agroneg.: Formação de R. H.:  Outros Servicos - Pessoa Juridica</t>
  </si>
  <si>
    <t>Gest. Agric. Fam. e Agroneg.: Formação de R. H.: Contrib. Patron. Prev. S/Serv.</t>
  </si>
  <si>
    <t>Gest. Agric. Fam. e Agroneg. Folha PGTº: Servidores Contratados</t>
  </si>
  <si>
    <t>Gest. Agric. Fam. e Agroneg. Folha PGTº: Plano de Saúde dos Servidores</t>
  </si>
  <si>
    <t>Gest. Agric. Fam. e Agroneg. Folha PGTº: Serv. Efetivos. e C.C.</t>
  </si>
  <si>
    <t>Gest. Agric. Fam. e Agroneg. Folha PGTº: Obrigações Patronais</t>
  </si>
  <si>
    <t>Gest. Agric. Fam. e Agroneg. Folha PGTº: Hora Extra</t>
  </si>
  <si>
    <t>Gest. Agric. Fam. e Agroneg. Folha PGTº: Subst. de Serv. P/Serv. Terceiros</t>
  </si>
  <si>
    <t>Gest. Agric. Fam. e Agroneg. Folha PGTº: Indenizações Trabalhistas</t>
  </si>
  <si>
    <t>Gest. Agric. Fam.: Programa Troca Troca de Sementes</t>
  </si>
  <si>
    <t>Gest. Agric. Fam.: Diarias</t>
  </si>
  <si>
    <t>Gest. Agric. Fam.: Materiais de Consumo</t>
  </si>
  <si>
    <t>Gest. Agric. Fam.: Material Distribuição Gratuita</t>
  </si>
  <si>
    <t>Gest. Agric. Fam.: Despesas com Locomocao</t>
  </si>
  <si>
    <t>Gest. Agric. Fam.: Servicos de Consultoria</t>
  </si>
  <si>
    <t>Gest. Agric. Fam.: Servicos - Pessoa Fisica</t>
  </si>
  <si>
    <t>Gest. Agric. Fam.: Servicos - Pessoa Juridica</t>
  </si>
  <si>
    <t>Gest. Agric. Fam.: Auxilio-Alimentacao</t>
  </si>
  <si>
    <t>Gest. Agric. Fam.: Obrig Trib. e Contribuições</t>
  </si>
  <si>
    <t>Gest. Agric. Fam.: Auxilio -Transporte</t>
  </si>
  <si>
    <t>Gest. Agric. Fam.: Despesas de Exercícios Anteriores</t>
  </si>
  <si>
    <t>Gest. Agric. Fam.: Ressarcimento de Despesas</t>
  </si>
  <si>
    <t>Gest. Agric. Fam.: Materiais Adquiridos Através de Consórcio</t>
  </si>
  <si>
    <t>Gest. Agric. Fam.: Obras e Instalações</t>
  </si>
  <si>
    <t>Gest. Agric. Fam.: Equipamentos e Material Permanente</t>
  </si>
  <si>
    <t>Indenização Auxilio-Alimentacao</t>
  </si>
  <si>
    <t>PROMOÇÃO DE ACESSO A RESIDENCIAS E PROPRIEDADES</t>
  </si>
  <si>
    <t>Gest. Acesso a Res. e Prop.: Materiais de Consumo</t>
  </si>
  <si>
    <t>Gest. Acesso a Res. e Prop.: Obras e Instalações</t>
  </si>
  <si>
    <t>Gest. Acesso a Res. e Prop.: Equip. e Mat. Permanente</t>
  </si>
  <si>
    <t>Gest. Acesso a Res. e Prop.: Contrib. Patr. Prev. S/Serviços</t>
  </si>
  <si>
    <t>Gest. Acesso a Res. e Prop.: Prest. Serv. PJ</t>
  </si>
  <si>
    <t>Gest. Acesso a Res. e Prop.: Prest. Serv. PF</t>
  </si>
  <si>
    <t>Gest. Acesso a Res. e Prop.: Materiais e Serv. Distrib. Gratuita</t>
  </si>
  <si>
    <t>Atividade: 2.050.000</t>
  </si>
  <si>
    <t>Gest., Prom. e Desenv. Meio Amb.: SERV. DE TECN. DA INFORM. E COMUNIC.</t>
  </si>
  <si>
    <t>Gest., Prom. e Desenv. Meio Amb. Folha PGTº: Servidores Contratados</t>
  </si>
  <si>
    <t>Gest., Prom. e Desenv. Meio Amb. Folha PGTº:  Plano de Saúde dos Servidores</t>
  </si>
  <si>
    <t>Gest., Prom. e Desenv. Meio Amb. Folha PGTº: Serv. Efetivos. e C.C.</t>
  </si>
  <si>
    <t>Gest., Prom. e Desenv. Meio Amb. Folha PGTº: Obrigações Patronais</t>
  </si>
  <si>
    <t>Gest., Prom. e Desenv. Meio Amb. Folha PGTº: Hora Extra</t>
  </si>
  <si>
    <t>Gest., Prom. e Desenv. Meio Amb. Subst.de Serv. P/Serviços Terceiros</t>
  </si>
  <si>
    <t>Gest., Prom. e Desenv. Meio Amb. Folha PGTº: Indenizações Trabalhistas</t>
  </si>
  <si>
    <t>Gest., Prom. e Desenv. Meio Amb. Despesas com Locomocao</t>
  </si>
  <si>
    <t>Suporte de Infraestrutura de T.I.C.</t>
  </si>
  <si>
    <t>Man. Infraest. Viária: Suporte de Infraestrutura de T.I.C.</t>
  </si>
  <si>
    <t>Manutencao e Conservacao de Equipamentos de T.I.C.</t>
  </si>
  <si>
    <t>Man. Infraest. Viária: Manutencao e Conservacao de Equipamentos de T.I.C.</t>
  </si>
  <si>
    <t>Outros Serviços de T.I.C.</t>
  </si>
  <si>
    <t>Man. Infraest. Viária: Outros Serviços de T.I.C.</t>
  </si>
  <si>
    <t>Gest., Prom. e Desenv. Meio Amb. Form. de R. H.: Contrib. Patron. Prev. S/Prest. Serv.</t>
  </si>
  <si>
    <t>Gest., Prom. e Desenv. Meio Amb. Form. de R. H.:  Outros Servicos - Pessoa Juridica</t>
  </si>
  <si>
    <t>Gest., Prom. e Desenv. Meio Amb. Form. de R. H.:  Diárias</t>
  </si>
  <si>
    <t>Gest., Prom. e Desenv. Meio Amb. Form. de R. H.:  Passag. e Desp. com Locomocao</t>
  </si>
  <si>
    <t>Gest., Prom. e Desenv. Meio Amb. Form. de R. H.:  Outros Servicos - Pessoa Fisica</t>
  </si>
  <si>
    <t>Gest., Prom. e Desenv. Meio Amb.: Diarias</t>
  </si>
  <si>
    <t>Gest., Prom. e Desenv. Meio Amb.: Materiais de Consumo</t>
  </si>
  <si>
    <t>Gest., Prom. e Desenv. Meio Amb.: Material Distribuição Gratuita</t>
  </si>
  <si>
    <t>Gest., Prom. e Desenv. Meio Amb.: Servicos Pessoa Fisica</t>
  </si>
  <si>
    <t>Gest., Prom. e Desenv. Meio Amb.: Servicos Pessoa Juridica</t>
  </si>
  <si>
    <t>Gest., Prom. e Desenv. Meio Amb.: Auxilio-Alimentacao</t>
  </si>
  <si>
    <t>Gest., Prom. e Desenv. Meio Amb.: Obrig Trib. e Contributivas</t>
  </si>
  <si>
    <t>Gest., Prom. e Desenv. Meio Amb.: Auxilio -Transporte</t>
  </si>
  <si>
    <t>Gest., Prom. e Desenv. Meio Amb.: Despesas de Exercícios Anteriores</t>
  </si>
  <si>
    <t>Gest., Prom. e Desenv. Meio Amb.: Ressarcimento de Despesas</t>
  </si>
  <si>
    <t>Gest., Prom. e Desenv. Meio Amb.: Mat. Adq. Através de Consórcio</t>
  </si>
  <si>
    <t>Gest., Prom. e Desenv. Meio Amb.: Obras e Instalações</t>
  </si>
  <si>
    <t>Gest., Prom. e Desenv. Meio Amb.: Equip. e Mat. Permanente</t>
  </si>
  <si>
    <t>Gest. E Prom. San. Basico Rural: Equipamentos e Material Permanente</t>
  </si>
  <si>
    <t>Gest. e Prom. San. Basico Rural: Obras e Instalacoes</t>
  </si>
  <si>
    <t>Gest. e Prom. San. Basico Rural: Despesas de Exercicios Anteriores</t>
  </si>
  <si>
    <t>Gest. e Prom. San. Basico Rural: Servicos - Pessoa Juridica</t>
  </si>
  <si>
    <t>Gest. e Prom. San. Basico Rural: Servicos - Pessoa Fisica</t>
  </si>
  <si>
    <t>Gest. e Prom. San. Basico Rural: Materiais de Consumo</t>
  </si>
  <si>
    <t>Saneamento Básico Urbano</t>
  </si>
  <si>
    <t>Gest. e Prom. San. Basico Urbano: Servicos - Pessoa Fisica</t>
  </si>
  <si>
    <t>Gest. e Prom. San. Basico Urbano: Servicos - Pessoa Juridica</t>
  </si>
  <si>
    <t>Gest. e Prom. San. Basico Urbano: Despesas de Exercicios Anteriores</t>
  </si>
  <si>
    <t>Gest. e Prom. San. Basico Urbano: Obras e Instalacoes</t>
  </si>
  <si>
    <t>Gest. e Prom. San. Basico Urbano: Equipamentos e Material Permanente</t>
  </si>
  <si>
    <t>Gest. e Prom. San. Basico Urbano: Materiais de Consumo</t>
  </si>
  <si>
    <t>Gest. De Cons. Municipais: Diárias</t>
  </si>
  <si>
    <t>Gest. De Cons. Municipais: Materiais de Consumo</t>
  </si>
  <si>
    <t>Gest. De Cons. Municipais: Prest. de Serv. P. Física</t>
  </si>
  <si>
    <t>Gest. De Cons. Municipais: Prest. de Serv. P. Jurídica</t>
  </si>
  <si>
    <t>Gest. De Cons. Municipais: Obrig Trib. e Contrib. S/Serv. P. Física e M.E.I.</t>
  </si>
  <si>
    <t>Gest. De Cons. Municipais: Obras e Instalações</t>
  </si>
  <si>
    <t>Gest. De Cons. Municipais: Equipamentos e Material Permanente</t>
  </si>
  <si>
    <t>Serviços de Tecnologia da Informação e Comunicação - PJ</t>
  </si>
  <si>
    <t>Gest. de T.I.: Serviços de Tecnologia da Informação e Comunicação - PJ</t>
  </si>
  <si>
    <t>Conselho Tut.: Serviços de Tecnologia da Informação e Comunicação - PJ</t>
  </si>
  <si>
    <t>Apoio a Brigada Militar: Serviços de Tecnologia da Informação e Comunicação - PJ</t>
  </si>
  <si>
    <t>Gest. S.M.O.V.S.U.: Serviços de Tecnologia da Informação e Comunicação - PJ</t>
  </si>
  <si>
    <t xml:space="preserve">Gest. Man. Infraest. Viária: Serviços de Tecnologia da Informação e Comunicação - PJ </t>
  </si>
  <si>
    <t>Gest. S.M.A.G.: Serviços de Tecnologia da Informação e Comunicação</t>
  </si>
  <si>
    <t>Gest. E Prom. San. Basico: Serviços de Tecnologia da Informação e Comunicação</t>
  </si>
  <si>
    <t>Serviços de Tecnologia da Informação e Comunicação</t>
  </si>
  <si>
    <t>Gest. Corrd. e Planej.: Serviços de Tecnologia da Informação e Comunicação</t>
  </si>
  <si>
    <t>Gest., Coord. e Planej.: Serviços de Tecnologia da Informação e Comunicação</t>
  </si>
  <si>
    <t>Gestão do SUS: Serviços de Tecnologia da Informação e Comunicação</t>
  </si>
  <si>
    <t>Gest. Gab. Vice Pref. Folha PGTº: Servidores Contratados</t>
  </si>
  <si>
    <t>Gest. Gab. Vice Pref. Folha PGTº: Plano de Saúde dos Servidores</t>
  </si>
  <si>
    <t>Gest. Gab. Vice Pref. Folha PGTº: Obrigações Patronais</t>
  </si>
  <si>
    <t>Gest. Gab. Vice Pref. Folha PGTº: Hora Extra</t>
  </si>
  <si>
    <t>Gest. Gab. Vice Pref. Folha PGTº: Subst. de Serv. P/Serv. Terc.</t>
  </si>
  <si>
    <t>Gest. Gab. Vice Pref. Folha PGTº: Indenizações Trabalhistas</t>
  </si>
  <si>
    <t>Gest. Gab. Vice Pref.: Diarias</t>
  </si>
  <si>
    <t>Gest. Gab. Vice Pref.: Materiais de Consumo</t>
  </si>
  <si>
    <t>Gest. Gab. Vice Pref.: Despesas com Locomocao</t>
  </si>
  <si>
    <t>Gest. Gab. Vice Pref.: Servicos de Consultoria</t>
  </si>
  <si>
    <t>Gest. Gab. Vice Pref.: Prest. de Serv. P. Física</t>
  </si>
  <si>
    <t>Gest. Gab. Vice Pref.: Prest. de Serv. P. Jurídica</t>
  </si>
  <si>
    <t>Gest. Gab. Vice Pref.: Auxilio - Alimentacao</t>
  </si>
  <si>
    <t>Gest. Gab. Vice Pref.: Auxilio-Transporte</t>
  </si>
  <si>
    <t>Gest. Gab. Vice Pref.: Despesas de Exercícios Anteriores</t>
  </si>
  <si>
    <t>Gest. Gab. Vice Pref.: Ressarcimento de Despesas</t>
  </si>
  <si>
    <t>Gest. Gab. Vice Pref.: Materiais Adquiridos Através de Consórcio</t>
  </si>
  <si>
    <t>Gest. Gab. Vice Pref.: Obras e Instalações</t>
  </si>
  <si>
    <t>Gest. Gab. Vice Pref.: Equipamentos e Material Permanente</t>
  </si>
  <si>
    <t>Gest. Gab. Vice Pref.: Serviços de Tecnologia da Informação e Comunicação</t>
  </si>
  <si>
    <t>Gest. Gab. Vice Pref. Formação de R. H.: Diárias</t>
  </si>
  <si>
    <t>Gest. Gab. Vice Pref. Formação de R. H.:  Passagens e Despesas com Locomocao</t>
  </si>
  <si>
    <t>Gest. Gab. Vice Pref. Formação de R. H.:  Outros Servicos - Pessoa Juridica</t>
  </si>
  <si>
    <t>Gest. Gab. Vice Pref. Formação de R. H.:  Outros Servicos - Pessoa Fisica</t>
  </si>
  <si>
    <t>Gest. Gab. Vice Pref. Formação de R. H.:  Contrib. Patron. Prev. S/Serv.</t>
  </si>
  <si>
    <t>Gest. Gab. Vice Pref. Folha PGTº:  Serv. Efetivos., C.C. e Agente Político</t>
  </si>
  <si>
    <t>Gest. Gab. Vice Pref.: Obrig Trib. e Contributivas</t>
  </si>
  <si>
    <t>67851/67850</t>
  </si>
  <si>
    <t>67852/67850</t>
  </si>
  <si>
    <t>67853/67850</t>
  </si>
  <si>
    <t>67854/67850</t>
  </si>
  <si>
    <t>Gest.,  Coord. e Planej. SME Folha PGTº: Servidores Contratados</t>
  </si>
  <si>
    <t>Gest.,  Coord. e Planej. SME Folha PGTº:  Plano de Saúde dos Servidores</t>
  </si>
  <si>
    <t>Gest.,  Coord. e Planej. SME Folha PGTº: Serv. Efetivos, CLT,  C.C. e Agente Político</t>
  </si>
  <si>
    <t>Gest.,  Coord. e Planej. SME Folha PGTº: Obrigações Patronais</t>
  </si>
  <si>
    <t>Gest.,  Coord. e Planej. SME Folha PGTº: Hora Extra</t>
  </si>
  <si>
    <t>Gest.,  Coord. e Planej. SME Folha PGTº: Subst. de Serv. P/Serv. Terceiros</t>
  </si>
  <si>
    <t>Gest.,  Coord. e Planej. SME Folha PGTº: Indenizações Trabalhistas</t>
  </si>
  <si>
    <t>72851/72850</t>
  </si>
  <si>
    <t>72852/72850</t>
  </si>
  <si>
    <t>72853/72850</t>
  </si>
  <si>
    <t>72854/72850</t>
  </si>
  <si>
    <t>Gest.,  Coord. e Planej. SME: Serviços de Tecn. da Inform. e Comunicação</t>
  </si>
  <si>
    <t>Gest.,  Coord. e Planej. SME: Equip. e Mat. Permanente</t>
  </si>
  <si>
    <t>Gest.,  Coord. e Planej. SME: Obras e Instalações</t>
  </si>
  <si>
    <t>Gest.,  Coord. e Planej. SME: Materiais Adquiridos Através de Consórcio</t>
  </si>
  <si>
    <t>Gest.,  Coord. e Planej. SME: Ressarcimento de Despesas</t>
  </si>
  <si>
    <t>Gest.,  Coord. e Planej. SME: Despesas de Exercícios Anteriores</t>
  </si>
  <si>
    <t>Gest.,  Coord. e Planej. SME: Auxilio -Transporte e Dificil Acesso</t>
  </si>
  <si>
    <t>Gest.,  Coord. e Planej. SME: Obrig Trib. E Contrib. S/Serv. Terceiros P. Física e M.E.I.</t>
  </si>
  <si>
    <t>Gest.,  Coord. e Planej. SME: Auxilio-Alimentacao</t>
  </si>
  <si>
    <t>Gest.,  Coord. e Planej. SME: Prest. de Serv. P. Jurídica</t>
  </si>
  <si>
    <t>Gest.,  Coord. e Planej. SME: Outros Serviços Pessoa Física</t>
  </si>
  <si>
    <t>Gest.,  Coord. e Planej. SME: Servicos de Consultoria</t>
  </si>
  <si>
    <t>Gest.,  Coord. e Planej. SME: Despesas com Locomocao</t>
  </si>
  <si>
    <t>Gest.,  Coord. e Planej. SME: Materiais de Consumo</t>
  </si>
  <si>
    <t>Gest.,  Coord. e Planej. SME: Diarias</t>
  </si>
  <si>
    <t>Gest.,  Coord. e Planej. SME Formação de R.H.: Diárias</t>
  </si>
  <si>
    <t>Gest.,  Coord. e Planej. SME Formação de R.H.: Passagens e Despesas com Locomocao</t>
  </si>
  <si>
    <t>Gest.,  Coord. e Planej. SME Formação de R.H.: Outros Servicos - PF</t>
  </si>
  <si>
    <t>Gest.,  Coord. e Planej. SME Formação de R.H.: Outros Servicos - PJ</t>
  </si>
  <si>
    <t>Gest.,  Coord. e Planej. SME Formação de R.H.: Contrib. Patron. Prev. S/Serv.</t>
  </si>
  <si>
    <t>Gest. Escolas Municipais Folha PGTº: Servidores Contratados</t>
  </si>
  <si>
    <t>Gest. Escolas Municipais Folha PGTº: Plano de Saúde dos Servidores</t>
  </si>
  <si>
    <t>Gest. Escolas Municipais Folha PGTº: Serv. Efetivos, CLT e C.C.</t>
  </si>
  <si>
    <t>Gest. Escolas Municipais Folha PGTº: Obrigações Patronais</t>
  </si>
  <si>
    <t>Gest. Escolas Municipais Folha PGTº: Hora Extra</t>
  </si>
  <si>
    <t>Gest. Escolas Municipais Folha PGTº: Subst. de Serv. P/Serviços Terceiros</t>
  </si>
  <si>
    <t>Gest. Escolas Municipais Folha PGTº: Indenizações Trabalhistas</t>
  </si>
  <si>
    <t>Gest. Escolas Municipais: Diarias</t>
  </si>
  <si>
    <t>Gest. Escolas Municipais: Materiais de Consumo</t>
  </si>
  <si>
    <t>Gest. Escolas Municipais: Material, Bem ou Serviço Distrib. Gratuita</t>
  </si>
  <si>
    <t>Gest. Escolas Municipais: Passag. e Despe. Com Locomocao</t>
  </si>
  <si>
    <t>Gest. Escolas Municipais: Servicos de Consultoria</t>
  </si>
  <si>
    <t>Gest. Escolas Municipais: Prest. de Serv. P. Física</t>
  </si>
  <si>
    <t>Gest. Escolas Municipais: Prest. de Serv. P. Jurídica</t>
  </si>
  <si>
    <t>Gest. Escolas Municipais: Auxilio-Alimentacao</t>
  </si>
  <si>
    <t>Gest. Escolas Municipais: Obrig. Trib. e Contrib.</t>
  </si>
  <si>
    <t>Gest. Escolas Municipais: Auxilio-Transporte</t>
  </si>
  <si>
    <t>Gest. Escolas Municipais: Ressarcimento de Despesas</t>
  </si>
  <si>
    <t>Gest. Escolas Municipais: Obras e Instalações</t>
  </si>
  <si>
    <t>Gest. Escolas Municipais: Equipamentos e Material Permanente</t>
  </si>
  <si>
    <t>73021/73020</t>
  </si>
  <si>
    <t>Gest. Escolas Municipais: Desp. de Exerc. Anteriores</t>
  </si>
  <si>
    <t>Gest. Escolas Municipais: Mat. Adquiridos Através de Consórcio</t>
  </si>
  <si>
    <t>Gest. e Desenv. Ens. Fundam.: Serv. de Tecn. da Inform. e Comunicação</t>
  </si>
  <si>
    <t>Gest. e Desenv. Ens. Fundam. Formação de R.H.: Diárias</t>
  </si>
  <si>
    <t>Gest. e Desenv. Ens. Fundam. Formação de R.H.: Passag. e Desp. C/Locomocao</t>
  </si>
  <si>
    <t>Gest. e Desenv. Ens. Fundam. Formação de R.H.: Outros Servicos - PF</t>
  </si>
  <si>
    <t>Gest. e Desenv. Ens. Fundam. Formação de R.H.: Outros Servicos - PJ</t>
  </si>
  <si>
    <t>Gest. e Desenv. Ens. Fundam. Formação de R.H.: Contrib. Patr. Prev.</t>
  </si>
  <si>
    <t>Gest. e Desenv. Ens. Fundam. Folha PGTº: Servidores Contratados</t>
  </si>
  <si>
    <t>Gest. e Desenv. Ens. Fundam. Folha PGTº: Serv. Efetivos, CLT e C.C.</t>
  </si>
  <si>
    <t>Gest. e Desenv. Ens. Fundam. Folha PGTº: Obrigações Patronais</t>
  </si>
  <si>
    <t>Gest. e Desenv. Ens. Fundam. Folha PGTº: Hora Extra</t>
  </si>
  <si>
    <t>Gest. e Desenv. Ens. Fundam. Folha PGTº: Subst. de Serv. P/Serviços Terceiros</t>
  </si>
  <si>
    <t>Gest. e Desenv. Ens. Fundam. Folha PGTº: Folha PGTº: Indenizações Trabalhistas</t>
  </si>
  <si>
    <t>Gest. e Desenv. Ens. Fundam.: Diarias</t>
  </si>
  <si>
    <t>Gest. e Desenv. Ens. Fundam.: Materiais de Consumo</t>
  </si>
  <si>
    <t>Gest. e Desenv. Ens. Fundam.: Passagens e Despesas Com Locomocao</t>
  </si>
  <si>
    <t>Gest. e Desenv. Ens. Fundam.: Material, Bem ou Serviço Distribuicao Gratuita</t>
  </si>
  <si>
    <t>Gest. e Desenv. Ens. Fundam.: Servicos de Consultoria</t>
  </si>
  <si>
    <t>Gest. e Desenv. Ens. Fundam.: Prest. de Serv. P. Física</t>
  </si>
  <si>
    <t>Gest. e Desenv. Ens. Fundam.:  Prest. de Serv. P. Jurídica</t>
  </si>
  <si>
    <t>Gest. e Desenv. Ens. Fundam.: Auxilio-Alimentacao</t>
  </si>
  <si>
    <t>Gest. e Desenv. Ens. Fundam.: Obrigacoes Tributarias e Contributivas</t>
  </si>
  <si>
    <t>Gest. e Desenv. Ens. Fundam.: Auxilio-Transporte</t>
  </si>
  <si>
    <t>Gest. e Desenv. Ens. Fundam.: Despesas de Exercicios Anteriores</t>
  </si>
  <si>
    <t>Gest. e Desenv. Ens. Fundam.: Ressarcimento de Despesas</t>
  </si>
  <si>
    <t>Gest. e Desenv. Ens. Fundam.: Materiais Adquiridos Através de Consórcio</t>
  </si>
  <si>
    <t>Gest. e Desenv. Ens. Fundam.: Obras e Instalações</t>
  </si>
  <si>
    <t>Gest. e Desenv. Ens. Fundam.:  Equipamentos e Material Permanente</t>
  </si>
  <si>
    <t>74021/74020</t>
  </si>
  <si>
    <t>Gest. e Desenv. Ens. Fundam. Folha PGTº: Plano de Saúde dos Servidores</t>
  </si>
  <si>
    <t>Gest. e Desenv. Ed. Infantil.: Serviços de Tecnologia da Informação e Comunicação</t>
  </si>
  <si>
    <t>Gest. e Desenv. Ed. Infantil. Formação de R.H.: Diárias</t>
  </si>
  <si>
    <t>Gest. e Desenv. Ed. Infantil. Formação de R.H.: Passagens e Despesas com Locomocao</t>
  </si>
  <si>
    <t>Gest. e Desenv. Ed. Infantil. Formação de R.H.: Outros Servicos - PF</t>
  </si>
  <si>
    <t>Gest. e Desenv. Ed. Infantil. Formação de R.H.: Outros Servicos - PJ</t>
  </si>
  <si>
    <t>Gest. e Desenv. Ed. Infantil. Formação de R.H.: Contrib. Patron. Prev. S/Manut. TI</t>
  </si>
  <si>
    <t>Gest. e Desenv. Ed. Infantil. Folha PGTº: Serv. Contratados</t>
  </si>
  <si>
    <t>Gest. e Desenv. Ed. Infantil. Folha PGTº:  Plano de Saúde dos Servidores</t>
  </si>
  <si>
    <t>Gest. e Desenv. Ed. Infantil. Folha PGTº: Serv. Efetivos e C.C.</t>
  </si>
  <si>
    <t>Gest. e Desenv. Ed. Infantil. Folha PGTº: Obrigações Patronais</t>
  </si>
  <si>
    <t>Gest. e Desenv. Ed. Infantil. Folha PGTº: Hora Extra</t>
  </si>
  <si>
    <t>Gest. e Desenv. Ed. Infantil. Subst. de Serv. P/Serviços Terceiros</t>
  </si>
  <si>
    <t>Gest. e Desenv. Ed. Infantil. Folha PGTº: Indenizações Trabalhistas</t>
  </si>
  <si>
    <t>Gest. e Desenv. Ed. Infantil.: Diarias</t>
  </si>
  <si>
    <t>Gest. e Desenv. Ed. Infantil.: Materiais de Consumo</t>
  </si>
  <si>
    <t>Gest. e Desenv. Ed. Infantil.: Material, Bem ou Serviço P/Distrib. Gratuita</t>
  </si>
  <si>
    <t>Gest. e Desenv. Ed. Infantil.: Despesas com Locomoção</t>
  </si>
  <si>
    <t>Gest. e Desenv. Ed. Infantil.: Serviços de Consultoria</t>
  </si>
  <si>
    <t>Gest. e Desenv. Ed. Infantil.: Prest. de Serv. Pessoa Fisica</t>
  </si>
  <si>
    <t>Gest. e Desenv. Ed. Infantil.: Prest. de Serv. Pessoa Jurídica</t>
  </si>
  <si>
    <t>Gest. e Desenv. Ed. Infantil.: Auxilio - Alimentação</t>
  </si>
  <si>
    <t>Gest. e Desenv. Ed. Infantil.: Obrigacoes Tributarias e Contributivas</t>
  </si>
  <si>
    <t>Gest. e Desenv. Ed. Infantil.: Auxilio-Transporte</t>
  </si>
  <si>
    <t>Gest. e Desenv. Ed. Infantil.: Despesas de Exercicios Anteriores</t>
  </si>
  <si>
    <t>Gest. e Desenv. Ed. Infantil.: Ressarcimento de Despesas</t>
  </si>
  <si>
    <t>Gest. e Desenv. Ed. Infantil.: Materiais Adq. Através de Consórcio</t>
  </si>
  <si>
    <t>Gest. e Desenv. Ed. Infantil.: Obras e Instalações</t>
  </si>
  <si>
    <t>Gest. e Desenv. Ed. Infantil.: Equipamentos e Material Permanente</t>
  </si>
  <si>
    <t>75021/75020</t>
  </si>
  <si>
    <t xml:space="preserve">Atendimento ao Art. 21 LDB: Prest. de Serv. P. Jurídica </t>
  </si>
  <si>
    <t>Atendimento ao Art. 21 LDB: Obras e Instalações</t>
  </si>
  <si>
    <t xml:space="preserve">Atendimento ao Art. 21 LDB: Equipamentos e Material Permanente </t>
  </si>
  <si>
    <t>Educação Infantil: Material de Consumo</t>
  </si>
  <si>
    <t>84021/84020</t>
  </si>
  <si>
    <t>Gest. Escolar Folha PGTº: Servidores Contratados</t>
  </si>
  <si>
    <t>Gest. Escolar Folha PGTº: Folha PGTº:  Plano de Saúde dos Servidores</t>
  </si>
  <si>
    <t>Gest. Escolar Folha PGTº: Serv. Efetivos, CLT e C.C.</t>
  </si>
  <si>
    <t>Gest. Escolar Folha PGTº: Obrigações Patronais</t>
  </si>
  <si>
    <t>Gest. Escolar Folha PGTº: Hora Extra</t>
  </si>
  <si>
    <t>Gest. Escolar Folha PGTº: Subst. de Serv. P/Serv. Terceiros</t>
  </si>
  <si>
    <t>Gest. Escolar Folha PGTº: Indenizações Trabalhistas</t>
  </si>
  <si>
    <t>Gest. Escolar Folha PGTº: Diarias</t>
  </si>
  <si>
    <t>Gest. Escolar Folha PGTº: Passagens e Despesas Com Locomocao</t>
  </si>
  <si>
    <t>Gest. Escolar Folha PGTº: Servicos de Consultoria</t>
  </si>
  <si>
    <t>Gest. Escolar Folha PGTº: Prest. de Serv. P. Física</t>
  </si>
  <si>
    <t>Gest. Escolar Folha PGTº: Auxilio-Alimentacao</t>
  </si>
  <si>
    <t>Gest. Escolar Folha PGTº: Obrigacoes Tributarias e Contributivas</t>
  </si>
  <si>
    <t>Gest. Escolar Folha PGTº: Auxilio-Transporte</t>
  </si>
  <si>
    <t>Gest. Escolar Folha PGTº: Despesas de Exercicios Anteriores</t>
  </si>
  <si>
    <t>Gest. Escolar Folha PGTº: Ressarcimento de Despesas</t>
  </si>
  <si>
    <t>Gest. Escolar Folha PGTº: Materiais Adquiridos Através de Consórcio</t>
  </si>
  <si>
    <t>84361/84360</t>
  </si>
  <si>
    <t>Gest. Escolar T.I.: Serviços de Tecnologia da Informação e Comunicação</t>
  </si>
  <si>
    <t>Gest. Escolar Formação de R. H.: Diárias</t>
  </si>
  <si>
    <t>Gest. Escolar Formação de R. H.: Passagens e Despesas com Locomocao</t>
  </si>
  <si>
    <t>Gest. Escolar Formação de R. H.: Outros Servicos - Pessoa Juridica</t>
  </si>
  <si>
    <t>Gest. Escolar Formação de R. H.: Outros Servicos - Pessoa Fisica</t>
  </si>
  <si>
    <t>Gest. Escolar Formação de R. H.: Contrib. Patron. Prev. S/Serv. Terc.</t>
  </si>
  <si>
    <t>Gest. Ens. Fundam.: Serviços de Tecnologia da Informação e Comunicação</t>
  </si>
  <si>
    <t>Gest. Ens. Fundam. Formação de R. H.: Diárias</t>
  </si>
  <si>
    <t>Gest. Ens. Fundam. Formação de R. H.: Passagens e Despesas com Locomocao</t>
  </si>
  <si>
    <t>Gest. Ens. Fundam. Formação de R. H.: Outros Servicos - Pessoa Fisica</t>
  </si>
  <si>
    <t>Gest. Ens. Fundam. Formação de R. H.: Outros Servicos - Pessoa Juridica</t>
  </si>
  <si>
    <t>Gest. Ens. Fundam. Formação de R. H.: Contrib. Patron. Prev. S/Serv. Terc.</t>
  </si>
  <si>
    <t>86021/86020</t>
  </si>
  <si>
    <t>Gest. Ens. Fundam. Folha PGTº: Professores e Servidores Contratados</t>
  </si>
  <si>
    <t>Gest. Ens. Fundam. Folha PGTº:  Plano de Saúde dos Servidores</t>
  </si>
  <si>
    <t>Gest. Ens. Fundam. Folha PGTº: Professoes, Serv. Efetivos, CLT e C.C.</t>
  </si>
  <si>
    <t>Gest. Ens. Fundam. Folha PGTº: Obrigações Patronais</t>
  </si>
  <si>
    <t>Gest. Ens. Fundam. Folha PGTº: Hora Extra</t>
  </si>
  <si>
    <t>Gest. Ens. Fundam. Substituição de Servidores P/Serviços Terceiros</t>
  </si>
  <si>
    <t>Gest. Ens. Fundam. Folha PGTº: Indenizações Trabalhistas</t>
  </si>
  <si>
    <t>Gest. Ens. Fundam.: Diarias</t>
  </si>
  <si>
    <t>Gest. Ens. Fundam.: Materiais de Consumo</t>
  </si>
  <si>
    <t>Gest. Ens. Fundam.: Material P/Distribuição Gratuita</t>
  </si>
  <si>
    <t>Gest. Ens. Fundam.: Despesas com Locomocao</t>
  </si>
  <si>
    <t>Gest. Ens. Fundam.: Servicos de Consultoria</t>
  </si>
  <si>
    <t>Gest. Ens. Fundam.: Prest. de Serv. P. Física</t>
  </si>
  <si>
    <t>Gest. Ens. Fundam.: Prest. de Serv. P. Jurídica</t>
  </si>
  <si>
    <t>Gest. Ens. Fundam.: Auxilio-Alimentacao</t>
  </si>
  <si>
    <t>Gest. Ens. Fundam.: Obrig Trib. E Contrib. S/Serviços</t>
  </si>
  <si>
    <t>Gest. Ens. Fundam.: Auxilio-Transporte</t>
  </si>
  <si>
    <t>Gest. Ens. Fundam.: Despesas de Exercícios Anteriores</t>
  </si>
  <si>
    <t>Gest. Ens. Fundam.: Ressarcimento de Despesas</t>
  </si>
  <si>
    <t>Gest. Ens. Fundam.: Materiais Adquiridos Através de Consórcio</t>
  </si>
  <si>
    <t>Gest. Ens. Fundam.: Materiais de Consumo Lei 494/2007, art. 21</t>
  </si>
  <si>
    <t>Gest. Ens. Fundam.: Obras e Instalações</t>
  </si>
  <si>
    <t>Gest. Ens. Fundam.: Equipamentos e Material Permanente</t>
  </si>
  <si>
    <t>Gest. Da Ed. Infantil: Serviços de Tecnologia da Informação e Comunicação</t>
  </si>
  <si>
    <t>Gest. Da Ed. Infantil Formação de R. H.: Diárias</t>
  </si>
  <si>
    <t>Gest. Da Ed. Infantil Formação de R. H.: Passagens e Despesas com Locomocao</t>
  </si>
  <si>
    <t>Gest. Da Ed. Infantil Formação de R. H.: Outros Servicos - Pessoa Fisica</t>
  </si>
  <si>
    <t>Gest. Da Ed. Infantil Formação de R. H.: Outros Servicos - Pessoa Juridica</t>
  </si>
  <si>
    <t>Gest. Da Ed. Infantil Formação de R. H.: Contrib. Patron. Prev. S/Serv. Terc.</t>
  </si>
  <si>
    <t>88051/88050</t>
  </si>
  <si>
    <t>Gest. da Ed. Infantil Folha PGTº: Plano de Saúde dos Servidores</t>
  </si>
  <si>
    <t>Gest. da Ed. Infantil Folha PGTº: Professores e Servidores Contratados</t>
  </si>
  <si>
    <t>Gest. da Ed. Infantil Folha PGTº: Professoes, Serv. Efetivos, CLT e C.C.</t>
  </si>
  <si>
    <t>Gest. da Ed. Infantil Folha PGTº: Obrigações Patronais</t>
  </si>
  <si>
    <t>Gest. da Ed. Infantil Folha PGTº: Hora Extra</t>
  </si>
  <si>
    <t>Gest. da Ed. Infantil Substituição de Servidores P/Serviços Terceiros</t>
  </si>
  <si>
    <t>Gest. da Ed. Infantil Folha PGTº: Indenizações Trabalhistas</t>
  </si>
  <si>
    <t>Gest. da Ed. Infantil: Materiais de Consumo</t>
  </si>
  <si>
    <t>Gest. da Ed. Infantil: Material Escolar P/Distribuição Gratuita</t>
  </si>
  <si>
    <t>Gest. da Ed. Infantil: Despesas com Locomocao</t>
  </si>
  <si>
    <t>Gest. da Ed. Infantil: Servicos de Consultoria</t>
  </si>
  <si>
    <t>Gest. da Ed. Infantil: Prest. de Serv. P. Jurídica</t>
  </si>
  <si>
    <t>Gest. da Ed. Infantil: Auxilio-Alimentacao</t>
  </si>
  <si>
    <t>Gest. da Ed. Infantil: Obrig Trib. E Contrib. S/Serv. Terceiros P. Física e M.E.I.</t>
  </si>
  <si>
    <t>Gest. da Ed. Infantil: Auxilio - Transporte</t>
  </si>
  <si>
    <t>Gest. da Ed. Infantil: Despesas de Exercícios Anteriores</t>
  </si>
  <si>
    <t>Gest. da Ed. Infantil: Ressarcimento de Despesas</t>
  </si>
  <si>
    <t>Gest. da Ed. Infantil: Materiais Adquiridos Através de Consórcio</t>
  </si>
  <si>
    <t>Gest. da Ed. Infantil: Obras e Instalações</t>
  </si>
  <si>
    <t>Gest. da Ed. Infantil: Equipamentos e Material Permanente</t>
  </si>
  <si>
    <t>Gest. da Ed. Infantil: Diarias</t>
  </si>
  <si>
    <t>Gest. Ed. Jovens e Adultos: Serviços de Tecnologia da Informação e Comunicação</t>
  </si>
  <si>
    <t>Gest. Ed. Jovens e Adultos Formação de R. H.: Diárias</t>
  </si>
  <si>
    <t>Gest. Ed. Jovens e Adultos Formação de R. H.: Passagens e Despesas com Locomocao</t>
  </si>
  <si>
    <t>Gest. Ed. Jovens e Adultos Formação de R. H.: Outros Servicos - Pessoa Fisica</t>
  </si>
  <si>
    <t>Gest. Ed. Jovens e Adultos Formação de R. H.: Outros Servicos - Pessoa Juridica</t>
  </si>
  <si>
    <t>Gest. Ed. Jovens e Adultos Formação de R. H.: Contrib. Patron. Prev. S/Serv. Terc.</t>
  </si>
  <si>
    <t>Gest. Ed. Jovens e Adultos Folha PGTº: Professores e Servidores Contratados</t>
  </si>
  <si>
    <t>Gest. Ed. Jovens e Adultos Folha PGTº:  Plano de Saúde dos Servidores</t>
  </si>
  <si>
    <t>Gest. Ed. Jovens e Adultos Folha PGTº: Professoes, Serv. Efetivos, CLT e C.C.</t>
  </si>
  <si>
    <t>Gest. Ed. Jovens e Adultos Folha PGTº: Obrigações Patronais</t>
  </si>
  <si>
    <t>Gest. Ed. Jovens e Adultos Folha PGTº: Hora Extra</t>
  </si>
  <si>
    <t>Gest. Ed. Jovens e Adultos Substituição de Servidores P/Serviços Terceiros</t>
  </si>
  <si>
    <t>Gest. Ed. Jovens e Adultos Folha PGTº: Indenizações Trabalhistas</t>
  </si>
  <si>
    <t>Gest. Ed. Jovens e Adultos: Diarias</t>
  </si>
  <si>
    <t>Gest. Ed. Jovens e Adultos: Materiais de Consumo</t>
  </si>
  <si>
    <t>Gest. Ed. Jovens e Adultos: Material Escolar P/Distribuição Gratuita</t>
  </si>
  <si>
    <t>Gest. Ed. Jovens e Adultos: Despesas com Locomocao</t>
  </si>
  <si>
    <t>Gest. Ed. Jovens e Adultos: Servicos de Consultoria</t>
  </si>
  <si>
    <t>Gest. Ed. Jovens e Adultos: Prest. de Serv. P. Física</t>
  </si>
  <si>
    <t>Gest. Ed. Jovens e Adultos: Prest. de Serv. P. Jurídica</t>
  </si>
  <si>
    <t>Gest. Ed. Jovens e Adultos: Auxilio - Alimentacao</t>
  </si>
  <si>
    <t>Gest. Ed. Jovens e Adultos: Obrig Trib. E Contrib. S/Serv.Terceiros</t>
  </si>
  <si>
    <t>59051/89050</t>
  </si>
  <si>
    <t>Gest. Ed. Jovens e Adultos: Auxilio -Transporte</t>
  </si>
  <si>
    <t>Gest. Ed. Jovens e Adultos: Despesas de Exercícios Anteriores</t>
  </si>
  <si>
    <t>Gest. Ed. Jovens e Adultos: Ressarcimento de Despesas</t>
  </si>
  <si>
    <t>Gest. Ed. Jovens e Adultos: Materiais Adquiridos Através de Consórcio</t>
  </si>
  <si>
    <t>Gest. Ed. Jovens e Adultos: Obras e Instalações</t>
  </si>
  <si>
    <t>Gest. Ed. Jovens e Adultos: Equipamentos e Material Permanente</t>
  </si>
  <si>
    <t>Gest. Ed. Especial: Serviços de Tecnologia da Informação e Comunicação</t>
  </si>
  <si>
    <t>Gest. Ed. Especial Formação de R. H.: Diárias</t>
  </si>
  <si>
    <t>Gest. Ed. Especial Formação de R. H.: Passagens e Despesas com Locomocao</t>
  </si>
  <si>
    <t>Gest. Ed. Especial Formação de R. H.: Outros Servicos - Pessoa Juridica</t>
  </si>
  <si>
    <t>Gest. Ed. Especial Formação de R. H.: Contrib. Patron. Prev. S/Serv. Terc.</t>
  </si>
  <si>
    <t>Gest. Ed. Especial Formação de R. H.: Outros Servicos - Pessoa Fisica</t>
  </si>
  <si>
    <t>90251/90250</t>
  </si>
  <si>
    <t>Gest. Ed. Especial Folha PGTº: Professores e Servidores Contratados</t>
  </si>
  <si>
    <t>Gest. Ed. Especial Folha PGTº:  Plano de Saúde dos Servidores</t>
  </si>
  <si>
    <t>Gest. Ed. Especial Folha PGTº: Professoes, Serv. Efetivos, CLT e C.C.</t>
  </si>
  <si>
    <t>Gest. Ed. Especial Folha PGTº: Obrigações Patronais</t>
  </si>
  <si>
    <t>Gest. Ed. Especial Folha PGTº: Hora Extra</t>
  </si>
  <si>
    <t>Gest. Ed. Especial Substituição de Servidores P/Serviços Terceiros</t>
  </si>
  <si>
    <t>Gest. Ed. Especial Folha PGTº: Indenizações Trabalhistas</t>
  </si>
  <si>
    <t>Gest. Ed. Especial: Diarias</t>
  </si>
  <si>
    <t>Gest. Ed. Especial: Materiais de Consumo</t>
  </si>
  <si>
    <t>Gest. Ed. Especial: Material Escolar P/Distribuição Gratuita</t>
  </si>
  <si>
    <t>Gest. Ed. Especial: Despesas com Locomocao</t>
  </si>
  <si>
    <t>Gest. Ed. Especial: Servicos de Consultoria</t>
  </si>
  <si>
    <t>Gest. Ed. Especial: Prest. de Serv. P. Física</t>
  </si>
  <si>
    <t>Gest. Ed. Especial: Prest. de Serv. P. Jurídica</t>
  </si>
  <si>
    <t>Gest. Ed. Especial: Auxilio - Alimentacao</t>
  </si>
  <si>
    <t>Gest. Ed. Especial: Obrig Trib. E Contrib. S/Serv. Terceiros</t>
  </si>
  <si>
    <t>Gest. Ed. Especial: Auxilio -Transporte</t>
  </si>
  <si>
    <t>Gest. Ed. Especial: Despesas de Exercícios Anteriores</t>
  </si>
  <si>
    <t>Gest. Ed. Especial: Ressarcimento de Despesas</t>
  </si>
  <si>
    <t>Gest. Ed. Especial: Materiais Adquiridos Através de Consórcio</t>
  </si>
  <si>
    <t>Gest. Ed. Especial: Obras e Instalações</t>
  </si>
  <si>
    <t>Gest. Ed. Especial: Equipamentos e Material Permanente</t>
  </si>
  <si>
    <t>Gest. e Coord. Educacional Folha PGTº: Servidores Contratados</t>
  </si>
  <si>
    <t>Gest. e Coord. Educacional Folha PGTº:  Plano de Saúde dos Servidores</t>
  </si>
  <si>
    <t>Gest. e Coord. Educacional Folha PGTº: Serv. Efetivos e C.C.</t>
  </si>
  <si>
    <t>Gest. e Coord. Educacional Folha PGTº: Obrigações Patronais</t>
  </si>
  <si>
    <t>Gest. e Coord. Educacional Folha PGTº: Hora Extra</t>
  </si>
  <si>
    <t>Gest. e Coord. Educacional Substituição de Servidores P/Serviços Terceiros</t>
  </si>
  <si>
    <t>Gest. e Coord. Educacional Folha PGTº: Indenizações Trabalhistas</t>
  </si>
  <si>
    <t>Gest. e Coord. Educacional: Diárias</t>
  </si>
  <si>
    <t>Gest. e Coord. Educacional: Materiais de Consumo</t>
  </si>
  <si>
    <t>Gest. e Coord. Educacional: Despesas com Locomocao</t>
  </si>
  <si>
    <t>Gest. e Coord. Educacional: Prest. de Serv. P. Física</t>
  </si>
  <si>
    <t>Gest. e Coord. Educacional: Prest. de Serv. P. Jurídica</t>
  </si>
  <si>
    <t>Gest. e Coord. Educacional: Auxilio - Alimentacao</t>
  </si>
  <si>
    <t>Gest. e Coord. Educacional: Obrig Trib. e Contrib. S/Serv. Terceiros</t>
  </si>
  <si>
    <t>Gest. e Coord. Educacional: Auxilio - Transporte</t>
  </si>
  <si>
    <t>Gest. e Coord. Educacional: Despesas de Exercícios Anteriores</t>
  </si>
  <si>
    <t>Gest. e Coord. Educacional: Ressarcimento de Despesas</t>
  </si>
  <si>
    <t>Gest. e Coord. Educacional: Materiais Adquiridos Através de Consórcio</t>
  </si>
  <si>
    <t>Gest. e Coord. Educacional: Obras e Instalações</t>
  </si>
  <si>
    <t>Gest. e Coord. Educacional: Equipamentos e Material Permanente</t>
  </si>
  <si>
    <t>Gest. e Coord. Educacional: Serviços de Tecnologia da Informação e Comunicação</t>
  </si>
  <si>
    <t>Gest. e Coord. Educacional Formação de R.H.: Contrib. Patronal Prev.</t>
  </si>
  <si>
    <t>Gest. e Coord. Educacional Formação de R.H.: Outros Servicos - PJ</t>
  </si>
  <si>
    <t>Gest. e Coord. Educacional Formação de R.H.: Outros Servicos - PF</t>
  </si>
  <si>
    <t>Gest. e Coord. Educacional Formação de R.H.: Despesas C/Locomocao</t>
  </si>
  <si>
    <t>Gest. e Coord. Educacional Formação de R.H.: Diárias</t>
  </si>
  <si>
    <t>Gest. Adm. Alim. Esc.: Obrig Trib. e Contrib. S/Serviços</t>
  </si>
  <si>
    <t>Gest. Adm. Alim. Esc.: Material de Consumo</t>
  </si>
  <si>
    <t>Gest. Adm. Alim. Esc.: Prest. de Serv. P. Física</t>
  </si>
  <si>
    <t>Gest. Adm. Alim. Esc.: Prest. de Serv. P. Jurídica</t>
  </si>
  <si>
    <t>Gest. Adm. Alim. Esc.: Obras e Instalações</t>
  </si>
  <si>
    <t>Gest. Adm. Alim. Esc.: Equipamentos E Material Permanente</t>
  </si>
  <si>
    <t>Gest. Prog. Alim. Esc.: Obrig Trib. e Contrib. S/Serviços</t>
  </si>
  <si>
    <t>Gest. Prog. Alim. Esc.: Prest. de Serv. P. Física</t>
  </si>
  <si>
    <t>Gest. Prog. Alim. Esc.: Material de Consumo</t>
  </si>
  <si>
    <t>Gest. Prog. Alim. Esc.: Prest. de Serv. P. Jurídica</t>
  </si>
  <si>
    <t>Gest. Prog. Alim. Esc.: Obras e Instalações</t>
  </si>
  <si>
    <t>Gest. Prog. Alim. Esc.: Equipamentos e Material Permanente</t>
  </si>
  <si>
    <t>Gest. Adm. Alim. Esc. Folha PGTº: Servidores Contratados</t>
  </si>
  <si>
    <t>Gest. Adm. Alim. Esc. Folha PGTº: Plano de Saúde dos Servidores</t>
  </si>
  <si>
    <t>Gest. Adm. Alim. Esc. Folha PGTº: Serv. Efetivos e C.C.</t>
  </si>
  <si>
    <t>Gest. Adm. Alim. Esc. Folha PGTº: Obrigações Patronais</t>
  </si>
  <si>
    <t>Gest. Adm. Alim. Esc. Folha PGTº: Hora Extra</t>
  </si>
  <si>
    <t>Gest. Adm. Alim. Esc. Folha PGTº: Subst. de Servid. P/Serv. Terc.</t>
  </si>
  <si>
    <t>Gest. Adm. Alim. Esc. Folha PGTº: Indenizações Trabalhistas</t>
  </si>
  <si>
    <t>Gest. Adm. Alim. Esc.: Diárias</t>
  </si>
  <si>
    <t>Gest. Adm. Alim. Esc.: Materiais de Consumo</t>
  </si>
  <si>
    <t>Gest. Adm. Alim. Esc.: Despesas com Locomocao</t>
  </si>
  <si>
    <t>Gest. Adm. Alim. Esc.: Auxilio - Alimentacao</t>
  </si>
  <si>
    <t>Gest. Adm. Alim. Esc.: Obrig Trib. E Contrib. S/Serv. Terceiros</t>
  </si>
  <si>
    <t>Gest. Adm. Alim. Esc.: Auxilio -Transporte</t>
  </si>
  <si>
    <t>Gest. Adm. Alim. Esc.: Despesas de Exercícios Anteriores</t>
  </si>
  <si>
    <t>Gest. Adm. Alim. Esc.: Ressarcimento de Despesas</t>
  </si>
  <si>
    <t>Gest. Adm. Alim. Esc.: Materiais Adquiridos Através de Consórcio</t>
  </si>
  <si>
    <t>Gest. Adm. Alim. Esc.: Equipamentos e Material Permanente</t>
  </si>
  <si>
    <t>Gest. Adm. Alim. Esc.: Serviços de Tecnologia da Informação e Comunicação</t>
  </si>
  <si>
    <t>Gest. Adm. Alim. Esc. Formação de R. H.: Diárias</t>
  </si>
  <si>
    <t>Gest. Adm. Alim. Esc. Formação de R. H.: Despesas com Locomocao</t>
  </si>
  <si>
    <t>Gest. Adm. Alim. Esc. Formação de R. H.: Outros Servicos - Pessoa Fisica</t>
  </si>
  <si>
    <t>Gest. Adm. Alim. Esc. Formação de R. H.: Contrib. Patr. Prev.</t>
  </si>
  <si>
    <t>Gest. Alimentação e Nutrição: Desp C/Locomocao</t>
  </si>
  <si>
    <t>Gest. Alimentação e Nutrição: Diárias</t>
  </si>
  <si>
    <t>Gest. Alimentação e Nutrição: Materiais de Consumo</t>
  </si>
  <si>
    <t>Gest. Alimentação e Nutrição: Generos Alimentação</t>
  </si>
  <si>
    <t>Gest. Alimentação e Nutrição: Prest. de Serv. P. Física</t>
  </si>
  <si>
    <t>Gest. Alimentação e Nutrição: Prest. de Serv. P. Jurídica</t>
  </si>
  <si>
    <t>Gest. Alimentação e Nutrição: Obrig Trib. E Contrib. S/Serv. Terceiros</t>
  </si>
  <si>
    <t>Gest. Alimentação e Nutrição: Obras e Instalações</t>
  </si>
  <si>
    <t>Gest. Alimentação e Nutrição: Equipamentos e Material Permanente</t>
  </si>
  <si>
    <t>Gest. Alimentação e Nutrição: Aq. De Generos Alim. Agric. Familiar</t>
  </si>
  <si>
    <t>Gest. Alimentação e Nutrição: Generos Alimentação PNAE</t>
  </si>
  <si>
    <t>Gest. Alimentação e Nutrição: Aq. De Generos Alim. Agric. Familiar PNAE</t>
  </si>
  <si>
    <t>Gest. Corrd. e Planej.: Equipamentos e Material Permanente</t>
  </si>
  <si>
    <t>Prom. e Desenv. Cultural: Equipamentos e Material Permanente</t>
  </si>
  <si>
    <t>Gest. Corrd. e Planej.: Folha PGTº:  Plano de Saúde dos Servidores</t>
  </si>
  <si>
    <t>Gest. Corrd. e Planej.: Subst. de Servidores P/Serviços Terceiros</t>
  </si>
  <si>
    <t>Gest. Corrd. e Planej.: Obrig Trib. E Contrib. S/Serv. Terc.</t>
  </si>
  <si>
    <t>Gest. da Prom. e Desenv. Cultural: Serv. de Tecn. da Informação e Comunicação</t>
  </si>
  <si>
    <t>Gest. Corrd. e Planej. Formação de R.H.: Despesas C/Locomocao</t>
  </si>
  <si>
    <t>Gest. Corrd. e Planej. Formação de R.H.: Diárias</t>
  </si>
  <si>
    <t>Gest. Corrd. e Planej. Formação de R.H.: Outros Servicos - PF</t>
  </si>
  <si>
    <t>Gest. Corrd. e Planej. Formação de R.H.: Outros Servicos - Pj</t>
  </si>
  <si>
    <t>Gest. Corrd. e Planej. Formação de R.H.: Contr. Patr. P/Prev.</t>
  </si>
  <si>
    <t>Prom. e Desenv. Cultural Folha PGTº: Servidores Contratados</t>
  </si>
  <si>
    <t>Prom. e Desenv. Cultural Folha PGTº: Plano de Saúde dos Servidores</t>
  </si>
  <si>
    <t>Prom. e Desenv. Cultural Folha PGTº: Serv. Efetivos e C.C.</t>
  </si>
  <si>
    <t>Prom. e Desenv. Cultural Folha PGTº: Obrigações Patronais</t>
  </si>
  <si>
    <t>Prom. e Desenv. Cultural Folha PGTº: Hora Extra</t>
  </si>
  <si>
    <t>Prom. e Desenv. Cultural Subst. de Servidores P/Serviços Terc.</t>
  </si>
  <si>
    <t>Prom. e Desenv. Cultural Folha PGTº: Indenizações Trabalhistas</t>
  </si>
  <si>
    <t>Prom. e Desenv. Cultural: Material de Distrib. Gratuita</t>
  </si>
  <si>
    <t>Prom. e Desenv. Cultural: Contr. Patr. P/Prev.</t>
  </si>
  <si>
    <t>Gest., Coord. e Planej.: Contrib. Patron. Prev. S/Serv. Terc.</t>
  </si>
  <si>
    <t>Prom.  Desenv. do Desp e Lazer: Contrib. Patron. Prev. S/Serv. Terc.</t>
  </si>
  <si>
    <t>Prom.  Desenv. do Desp e Lazer: Equip. e Mat. Permanente</t>
  </si>
  <si>
    <t>Gest., Coord. e Planej. Folha PGTº:  Plano de Saúde dos Serv.</t>
  </si>
  <si>
    <t>Gest., Coord. e Planej. Folha PGTº: Servidores Contratados</t>
  </si>
  <si>
    <t>Gest., Coord. e Planej. Folha PGTº: Serv. Efetivos e C.C.</t>
  </si>
  <si>
    <t>Gest., Coord. e Planej. Folha PGTº: Obrigações Patronais</t>
  </si>
  <si>
    <t>Gest., Coord. e Planej. Folha PGTº: Hora Extra</t>
  </si>
  <si>
    <t>Gest., Coord. e Planej. Folha PGTº: Subst.  de Serv. P/Serv. Terc.</t>
  </si>
  <si>
    <t>Gest., Coord. e Planej. Folha PGTº: Indenizações Trabalhistas</t>
  </si>
  <si>
    <t>Gest., Coord. e Planej.: Serv. de Tecnol. da Inform. e Comunic.</t>
  </si>
  <si>
    <t>Prom.  Desenv. do Desp e Lazer: Serv. de Tecnol. da Inform. e Comunic.</t>
  </si>
  <si>
    <t>Gest. Corrd. e Planej. Formação de R.H.: Outros Servicos - PJ</t>
  </si>
  <si>
    <t>Prom.  Desenv. do Desp e Lazer Folha PGTº: Servidores Contratados</t>
  </si>
  <si>
    <t>Prom.  Desenv. do Desp e Lazer Folha PGTº: Plano de Saúde dos Servidores</t>
  </si>
  <si>
    <t>Prom.  Desenv. do Desp e Lazer Folha PGTº: Obrigações Patronais</t>
  </si>
  <si>
    <t>Prom.  Desenv. do Desp e Lazer Folha PGTº: Serv. Efetivos e C.C.</t>
  </si>
  <si>
    <t>Prom.  Desenv. do Desp e Lazer Folha PGTº: Folha PGTº: Hora Extra</t>
  </si>
  <si>
    <t>Prom.  Desenv. do Desp e Lazer Folha PGTº: Subst. de Serv. P/Serv. Terc.</t>
  </si>
  <si>
    <t>Prom.  Desenv. do Desp e Lazer Folha PGTº: Indenizações Trabalhistas</t>
  </si>
  <si>
    <t>Prom.  Desenv. do Desp e Lazer: Mat. Adq. P/Consórcio</t>
  </si>
  <si>
    <t>Turismo</t>
  </si>
  <si>
    <t>Gest. Agrifest. Fest. Fumo: Prest. de Serv. P. Física</t>
  </si>
  <si>
    <t>Gest. Agrifest. Fest. Fumo: Material de Distribuição Gratuita</t>
  </si>
  <si>
    <t>Gest. Agrifest. Fest. Fumo:  Premiações</t>
  </si>
  <si>
    <t>Gest. Agrifest. Fest. Fumo:  Materiais de Consumo</t>
  </si>
  <si>
    <t>Gest. Agrifest. Fest. Fumo:  Diárias</t>
  </si>
  <si>
    <t>Gest. Agrifest. Fest. Fumo: Despesas de Exercícios Anteriores</t>
  </si>
  <si>
    <t>Gest. Agrifest. Fest. Fumo: Equipamentos e Material Permanente</t>
  </si>
  <si>
    <t>Gest. Agrifest. Fest. Fumo: Serviços de Tecnologia da Informação e Comunicação</t>
  </si>
  <si>
    <t>Gest. Agrifest. Fest. Fumo: Obras e Instalações</t>
  </si>
  <si>
    <t>Gest. Agrifest. Fest. Fumo: Prest. de Serv. P. Jurídica</t>
  </si>
  <si>
    <t>Gest. Agrifest. Fest. Fumo: Material de Consumo</t>
  </si>
  <si>
    <t>Gest. Agrifest. Fest. Fumo: Obrig Trib. e Contrib. S/Serviços</t>
  </si>
  <si>
    <t>Gest. Agrifest. Fest. Fumo: Despesas com Locomocao</t>
  </si>
  <si>
    <t>Gest. Agrifest. Fest. Fumo: Ressarcimento de Despesas</t>
  </si>
  <si>
    <t>Gest. Agrifest. Fest. Fumo: Obrig Trib. e Contrib. S/Serv. Terceiros</t>
  </si>
  <si>
    <t>Gest. Ed. Infantil: Serviços de Tecnologia da Informação e Comunicação</t>
  </si>
  <si>
    <t>Gest. Ed. Infantil: Equipamentos e Material Permanente</t>
  </si>
  <si>
    <t>Gest. Ed. Infantil: Gest. Ed. Infantil: Obras e Instalacoes</t>
  </si>
  <si>
    <t>Gest. Ed. Infantil: Materiais Adquiridos Através de Consórcio</t>
  </si>
  <si>
    <t>Gest. Ed. Infantil: Ressarcimento de Despesas</t>
  </si>
  <si>
    <t>Gest. Ed. Infantil: Despesas de Exercicios Anteriores</t>
  </si>
  <si>
    <t>Gest. Ed. Infantil: Auxilio - Transporte</t>
  </si>
  <si>
    <t>Gest. Ed. Infantil: Obrig Trib. E Contrib. S/Serv. Terceiros</t>
  </si>
  <si>
    <t>Gest. Ed. Infantil: Auxilio - Alimentacao</t>
  </si>
  <si>
    <t>Gest. Ed. Infantil: Outros Servicos - Pessoa Jurídica</t>
  </si>
  <si>
    <t>Gest. Ed. Infantil: Outros Servicos - Pessoa Fisica</t>
  </si>
  <si>
    <t>Gest. Ed. Infantil: Servicos de Consultoria</t>
  </si>
  <si>
    <t>Gest. Ed. Infantil: Passagens e Despesas com Locomocao</t>
  </si>
  <si>
    <t>Gest. Ed. Infantil: Material de Consumo</t>
  </si>
  <si>
    <t>Gest. Ed. Infantil: Diárias</t>
  </si>
  <si>
    <t>Gest. Ed. Infantil Folha PGTº: Indenizações Trabalhistas</t>
  </si>
  <si>
    <t>Gest. Ed. Infantil Folha PGTº: Plano de Saúde dos Servidores</t>
  </si>
  <si>
    <t>Gest. Ed. Infantil Folha PGTº: Servidores Contratados</t>
  </si>
  <si>
    <t>Gest. Ed. Infantil Folha PGTº: Serv. Efetivos e C.C.</t>
  </si>
  <si>
    <t>Gest. Ed. Infantil Folha PGTº: Obrigações Patronais Previdenciarias</t>
  </si>
  <si>
    <t>Gest. Ed. Infantil Folha PGTº: Hora Extra</t>
  </si>
  <si>
    <t>Gest. Ed. Infantil Folha PGTº:  Subst. de Serv. P/Serviços Terceiros</t>
  </si>
  <si>
    <t>Prom. e Des. Ed. Infantil Folha PGTº: Servidores Contratados</t>
  </si>
  <si>
    <t>Prom. e Des. Ed. Infantil Folha PGTº: Plano de Saúde dos Servidores</t>
  </si>
  <si>
    <t>Prom. e Des. Ed. Infantil Folha PGTº: Obrigações Patronais Previdência</t>
  </si>
  <si>
    <t>Prom. e Des. Ed. Infantil Folha PGTº: Hora Extra</t>
  </si>
  <si>
    <t>Prom. e Des. Ed. Infantil Folha PGTº: Subst. de Serv. P/Serviços Terceiros</t>
  </si>
  <si>
    <t>Prom. e Des. Ed. Infantil Folha PGTº: Indenizações Trabalhistas</t>
  </si>
  <si>
    <t>Prom. e Des. Ed. Infantil: Diárias</t>
  </si>
  <si>
    <t>Prom. e Des. Ed. Infantil: Material de Consumo</t>
  </si>
  <si>
    <t>Prom. e Des. Ed. Infantil: Material, Bem ou Serviço para Distribuição Gratuita</t>
  </si>
  <si>
    <t>Prom. e Des. Ed. Infantil: Passagens e Despesas com Locomocao</t>
  </si>
  <si>
    <t>Prom. e Des. Ed. Infantil: Servicos de Consultoria</t>
  </si>
  <si>
    <t>Prom. e Des. Ed. Infantil: Outros Servicos - Pessoa Fisica</t>
  </si>
  <si>
    <t>Prom. e Des. Ed. Infantil: Outros Servicos - Pessoa Juridica</t>
  </si>
  <si>
    <t>Prom. e Des. Ed. Infantil: Auxilio - Alimentacao</t>
  </si>
  <si>
    <t>Prom. e Des. Ed. Infantil: Obrig Trib. e Contrib. S/Serviços</t>
  </si>
  <si>
    <t>Prom. e Des. Ed. Infantil: Auxilio - Transporte</t>
  </si>
  <si>
    <t>Prom. e Des. Ed. Infantil: Despesas de Exercícios Anteriores</t>
  </si>
  <si>
    <t>Prom. e Des. Ed. Infantil: Ressarcimento de Despesas</t>
  </si>
  <si>
    <t>Prom. e Des. Ed. Infantil: Materiais Adquiridos Através de Consórcio</t>
  </si>
  <si>
    <t>Prom. e Des. Ed. Infantil: Obras e Instalacoes</t>
  </si>
  <si>
    <t>Prom. e Des. Ed. Infantil: Equipamentos e Material Permanente</t>
  </si>
  <si>
    <t>Prom. e Des. Ed. Infantil Folha PGTº: Professoes, FG e C.C.</t>
  </si>
  <si>
    <t>Prom. e Des. Ed. Infantil: Material de Consumo PDDE</t>
  </si>
  <si>
    <t>Gest. Ed. Infantil Formação de R. H.: Diárias</t>
  </si>
  <si>
    <t>Gest. Ed. Infantil Formação de R. H.: Despesas C/Locomocao</t>
  </si>
  <si>
    <t>Gest. Ed. Infantil Formação de R. H.: Outros Servicos - PF</t>
  </si>
  <si>
    <t>Gest. Ed. Infantil Formação de R. H.: Outros Servicos - PJ</t>
  </si>
  <si>
    <t>Gest. Ed. Infantil Formação de R. H.: Contrib. Patron. Prev.</t>
  </si>
  <si>
    <t>Prom. e Des. Ed. Infantil Formação de R. H.: Diárias</t>
  </si>
  <si>
    <t>Prom. e Des. Ed. Infantil Formação de R. H.: Despesas C/Locomocao</t>
  </si>
  <si>
    <t>Prom. e Des. Ed. Infantil Formação de R. H.: Outros Servicos - PF</t>
  </si>
  <si>
    <t>Prom. e Des. Ed. Infantil Formação de R. H.: Outros Servicos - PJ</t>
  </si>
  <si>
    <t>Prom. e Des. Ed. Infantil Formação de R. H.: Contrib. Patron. Prev.</t>
  </si>
  <si>
    <t>Prom. e Des. Ed. Infantil: Serviços de Tec. da Inform. e Com.</t>
  </si>
  <si>
    <t>Gest., Coord. e Planej.: Outros Servicos - PF</t>
  </si>
  <si>
    <t>Gest., Coord. e Planej.: Outros Servicos - PJ</t>
  </si>
  <si>
    <t>Gest., Coord. e Planej. Folha PGTº: Plano de Saúde dos Servidores</t>
  </si>
  <si>
    <t>Gest., Coord. e Planej. Folha PGTº: Serv. Efetivos, FG e C.C.</t>
  </si>
  <si>
    <t>Gest., Coord. e Planej. Folha PGTº: Obrigações Patronais Previdência</t>
  </si>
  <si>
    <t>Gest., Coord. e Planej. Subst. de Serv. P/Serviços Terceiros</t>
  </si>
  <si>
    <t>Gest., Coord. e Planej.: Material, Bem ou Serviço para Distrib. Grat.</t>
  </si>
  <si>
    <t>Gest., Coord. e Planej. Formação de R. H.: Diárias</t>
  </si>
  <si>
    <t>Gest., Coord. e Planej. Formação de R. H.: Despesas C/Locomocao</t>
  </si>
  <si>
    <t>Gest., Coord. e Planej. Formação de R. H.: Outros Servicos - PF</t>
  </si>
  <si>
    <t>Gest., Coord. e Planej. Formação de R. H.: Outros Servicos - PJ</t>
  </si>
  <si>
    <t>Gest., Coord. e Planej. Formação de R. H.: Contrib. Patron. Prev.</t>
  </si>
  <si>
    <t>Transporte Escolar  Ensino Fundamental: Prest. Serv. PJ</t>
  </si>
  <si>
    <t>Transporte Escolar  Ensino Fundamental: Material de Consumo</t>
  </si>
  <si>
    <t>Transporte Escolar  Ensino Médio:  Material de Consumo</t>
  </si>
  <si>
    <t>Transporte Escolar  Ensino Médio:  Prest. Serv. PJ</t>
  </si>
  <si>
    <t>Total do Unidade: 12 - DESENVOLVIMENTO DO ENSINO - PROGRAMAS ESTADUAIS</t>
  </si>
  <si>
    <t>Total do Unidade: 13 ESTAO E PROMOÇÃO DO TRANSPORTE ESCOLAR RECURSOS FEDERAIS</t>
  </si>
  <si>
    <t xml:space="preserve"> Transp. Esc. Ens. de Jovens e Adultos: Equip. e Material Permanente</t>
  </si>
  <si>
    <t>Transporte Escolar Ed. Infantil: Equip. e Material Permanente</t>
  </si>
  <si>
    <t xml:space="preserve"> Transp. Esc. Educação Especial: Equip. e Material Permanente</t>
  </si>
  <si>
    <t>Gestão do SUS: Prest. de Serv. PF</t>
  </si>
  <si>
    <t>Gestão do SUS: Prest. de Serv. PJ</t>
  </si>
  <si>
    <t>Gestão do SUS Folha PGTº: Servidores Contratados</t>
  </si>
  <si>
    <t>Gestão do SUS Folha PGTº:  Plano de Saúde dos Servidores</t>
  </si>
  <si>
    <t>Gestão do SUS Folha PGTº: Serv. Efetivos., C.C. e Agente Politico</t>
  </si>
  <si>
    <t>Gestão do SUS Folha PGTº: Obrigações Patronais</t>
  </si>
  <si>
    <t>Gestão do SUS Folha PGTº: Hora Extra</t>
  </si>
  <si>
    <t>Gestão do SUS Folha PGTº: Indenizações Trabalhistas</t>
  </si>
  <si>
    <t>Gestão do SUS Folha PGTº: Subst. de Serv. P/Serviços Terceiros</t>
  </si>
  <si>
    <t>Gestão do SUS Formação de R. H.: Diárias</t>
  </si>
  <si>
    <t>Gestão do SUS Formação de R. H.: Despesas com Locomocao</t>
  </si>
  <si>
    <t>Gestão do SUS Formação de R. H.: Outros Servicos - PF</t>
  </si>
  <si>
    <t>Formação de Recursos Humanos:  Outros Servicos - PJ</t>
  </si>
  <si>
    <t>Formação de Recursos Humanos: Contrib. Patron. Prev. S/Serv..</t>
  </si>
  <si>
    <t>Gest., Coord. e Planej. Cons. de Saúde: Despesas com Locomocao</t>
  </si>
  <si>
    <t>Gest., Coord. e Planej. Cons. de Saúde: Outros Servicos - PF</t>
  </si>
  <si>
    <t>Gest., Coord. e Planej. Cons. de Saúde: Outros Servicos - PJ</t>
  </si>
  <si>
    <t>Gest., Coord. e Planej. Cons. de Saúde: Equip. e Material Permanente</t>
  </si>
  <si>
    <t>Gest., Coord. e Planej. Cons. de Saúde: Serviços de Tec. da Infor. e Comunicação</t>
  </si>
  <si>
    <t>Capacit. e Treinam. Membros Cons. de Saúde: Despesas C/Locomocao</t>
  </si>
  <si>
    <t>Capacit. e Trein. Membros Cons. de Saúde: Contrib. Patr. Prev. S/Serv.</t>
  </si>
  <si>
    <t>Capacit. e Treinam. Membros Cons. de Saúde:  Outros Servicos - PJ</t>
  </si>
  <si>
    <t>Capacit. e Treinam. Membros Cons. de Saúde: Outros Servicos - PF</t>
  </si>
  <si>
    <t>Gest. Bloc. Invest. A.B.: Obrig Trib. e Contrib. S/Serviços</t>
  </si>
  <si>
    <t>Gest. Bloc. Invest. A.B.: Material de Consumo</t>
  </si>
  <si>
    <t>Gest. Bloc. Invest. A.B.: Prest. de Serv. P. Física</t>
  </si>
  <si>
    <t>Gest. Bloc. Invest. A.B.: Prest. de Serv. P. Jurídica</t>
  </si>
  <si>
    <t>Gest. Bloc. Invest. A.B.: Obras e Instalações</t>
  </si>
  <si>
    <t>Gest. Bloc. Invest. A.B.: Equip. e Material Permanente</t>
  </si>
  <si>
    <t>Gest. Bloc. Invest. M.A.C.: Obrig Trib. e Contrib. S/Serviços</t>
  </si>
  <si>
    <t>Gest. Bloc. Invest. M.A.C.: Material de Consumo</t>
  </si>
  <si>
    <t>Gest. Bloc. Invest. M.A.C.: Prest. de Serv. P. Física</t>
  </si>
  <si>
    <t>Gest. Bloc. Invest. M.A.C.: Prest. de Serv. P. Jurídica</t>
  </si>
  <si>
    <t>Gest. Bloc. Invest. M.A.C.: Obras e Instalações</t>
  </si>
  <si>
    <t>Gest. Bloc. Invest. M.A.C.: Equip. e Material Permanente</t>
  </si>
  <si>
    <t>Gest. Bloc. Invest. Vig. San.: Obrig Trib. e Contrib. S/Serviços</t>
  </si>
  <si>
    <t>Gest. Bloc. Invest. Vig. San.: Material de Consumo</t>
  </si>
  <si>
    <t>Gest. Bloc. Invest. Vig. San.: Prest. de Serv. P. Física</t>
  </si>
  <si>
    <t>Gest. Bloc. Invest. Vig. San.: Prest. de Serv. P. Jurídica</t>
  </si>
  <si>
    <t>Gest. Bloc. Invest. Vig. San.: Obras e Instalações</t>
  </si>
  <si>
    <t>Gest. Bloc. Invest. Vig. San.: Equip. e Material Permanente</t>
  </si>
  <si>
    <t>Gestão Atenção Básica: Serviços de T.I.C.</t>
  </si>
  <si>
    <t>Gestão Atenção Básica Formação de R. H.: Outros Servicos - PJ</t>
  </si>
  <si>
    <t>Gestão Atenção Básica Formação de R. H.: Outros Servicos - PF</t>
  </si>
  <si>
    <t>Gestão Atenção Básica Formação de R. H.: Contrib. Patron. Prev.</t>
  </si>
  <si>
    <t>Gestão Atenção Básica Formação de R. H.: Diárias</t>
  </si>
  <si>
    <t>Gestão Atenção Básica Formação de R. H.: Despesas C/Locomocao</t>
  </si>
  <si>
    <t>Gestão U.B.S. Folha PGTº: Servidores Contratados</t>
  </si>
  <si>
    <t>Gestão U.B.S. Folha PGTº:  Plano de Saúde dos Servidores</t>
  </si>
  <si>
    <t>Gestão U.B.S. Folha PGTº: Serv. Efetivos., C.C.</t>
  </si>
  <si>
    <t>Gestão U.B.S. Folha PGTº: Obrigações Patronais Prev.</t>
  </si>
  <si>
    <t>Gestão U.B.S. Folha PGTº: Hora Extra</t>
  </si>
  <si>
    <t>Gestão U.B.S. Substituição de Servidores P/Serviços Terceiros</t>
  </si>
  <si>
    <t>Gestão U.B.S. Folha PGTº: Indenizações Trabalhistas</t>
  </si>
  <si>
    <t>Gestão Atend. Odont. Folha PGTº: Plano de Saúde dos Servidores</t>
  </si>
  <si>
    <t>Gestão Atend. Odont. Folha PGTº: Serv. Efetivos., C.C.</t>
  </si>
  <si>
    <t>Gestão Atend. Odont.: Diarias</t>
  </si>
  <si>
    <t>Gestão Atend. Odont.: Materiais de Consumo</t>
  </si>
  <si>
    <t>Gestão Atend. Odont.: Despesas com Locomocao</t>
  </si>
  <si>
    <t>Gestão Atend. Odont.: Servicos de Consultoria</t>
  </si>
  <si>
    <t>Gestão Atend. Odont.: Prest. de Serv. P. Física</t>
  </si>
  <si>
    <t>Gestão Atend. Odont.: Prest. de Serv. P. Juridica</t>
  </si>
  <si>
    <t>Gestão Atend. Odont.: Auxilio - Alimentacao</t>
  </si>
  <si>
    <t>Gestão Atend. Odont.: Obrig Trib. E Contrib. S/Serviços</t>
  </si>
  <si>
    <t>Gestão Atend. Odont.: Auxilio - Transporte</t>
  </si>
  <si>
    <t>Gestão Atend. Odont.: Despesas de Exercícios Anteriores</t>
  </si>
  <si>
    <t>Gestão Atend. Odont.: Ressarcimento de Despesas</t>
  </si>
  <si>
    <t>Gestão Atend. Odont.: Materiais Adquiridos Através de Consórcio</t>
  </si>
  <si>
    <t>Gestão Atend. Odont.: Obras e Instalações</t>
  </si>
  <si>
    <t>Gestão Atend. Odont.: Equipamentos e Material Permanente</t>
  </si>
  <si>
    <t>Gestão Nutrição Folha PGTº: Servidores Contratados</t>
  </si>
  <si>
    <t>Gestão Nutrição: Folha PGTº: Serv. Efetivos., C.C.</t>
  </si>
  <si>
    <t>Gestão Nutrição Folha PGTº: Indenizações Trabalhistas</t>
  </si>
  <si>
    <t>Gestão M.A.C. Folha PGTº: Serv. Efetivos., C.C.</t>
  </si>
  <si>
    <t>Gestão M.A.C. Folha PGTº: Plano de Saúde dos Servidores</t>
  </si>
  <si>
    <t>Gestão M.A.C. Folha PGTº: Servidores Contratados</t>
  </si>
  <si>
    <t>Gestão M.A.C. Folha PGTº: Obrigações Patronais</t>
  </si>
  <si>
    <t>Gestão M.A.C. Folha PGTº: Hora Extra</t>
  </si>
  <si>
    <t>Gestão M.A.C. Substituição de Servidores P/Serviços Terceiros</t>
  </si>
  <si>
    <t>Gestão M.A.C. Folha PGTº: Indenizações Trabalhistas</t>
  </si>
  <si>
    <t>Gestão M.A.C.: Equip. e Material Permanente Intra-Orçam.</t>
  </si>
  <si>
    <t>Gestão M.A.C.: Equip. e Material Permanente</t>
  </si>
  <si>
    <t>Gestão Assit. Farm. Folha PGTº: Servidores Contratados</t>
  </si>
  <si>
    <t>Gestão Assit. Farm. Folha PGTº:  Plano de Saúde dos Servidores</t>
  </si>
  <si>
    <t>Gestão Assit. Farm. Folha PGTº: Hora Extra</t>
  </si>
  <si>
    <t>Gestão Assit. Farm. Folha PGTº: Obrigações Patronais</t>
  </si>
  <si>
    <t>Gestão Assit. Farm. Folha PGTº: Serv. Efetivos., C.C.</t>
  </si>
  <si>
    <t>Gestão Assit. Farm. Folha PGTº: Indenizações Trabalhistas</t>
  </si>
  <si>
    <t>Gestão Vig. em Saúde Folha PGTº: Servidores Contratados</t>
  </si>
  <si>
    <t>Gestão Vig. em Saúde Folha PGTº: Plano de Saúde dos Servidores</t>
  </si>
  <si>
    <t>Gestão Vig. em Saúde Folha PGTº: Serv. Efetivos., C.C.</t>
  </si>
  <si>
    <t>Gestão Vig. em Saúde Folha PGTº: Obrigações Patronais</t>
  </si>
  <si>
    <t>Gestão Vig. em Saúde Folha PGTº: Hora Extra</t>
  </si>
  <si>
    <t>Gestão Vig. em Saúde Folha PGTº: Indenizações Trabalhistas</t>
  </si>
  <si>
    <t>Gestão Vig. Epidem. Folha PGTº: Servidores Contratados</t>
  </si>
  <si>
    <t>Gestão Vig. Epidem. Folha PGTº:  Plano de Saúde dos Servidores</t>
  </si>
  <si>
    <t>Gestão Vig. Epidem. Folha PGTº: Obrigações Patronais</t>
  </si>
  <si>
    <t>Gestão Vig. Epidem. Folha PGTº: Hora Extra</t>
  </si>
  <si>
    <t>Gestão Vig. Epidem. Folha PGTº: Indenizações Trabalhistas</t>
  </si>
  <si>
    <t>Gestão Vig. Epidem. Folha PGTº: Serv. Efetivos., C.C.</t>
  </si>
  <si>
    <t>Gestão Saude Mental Folha PGTº: Servidores Contratados</t>
  </si>
  <si>
    <t>Gestão Saude Mental Folha PGTº:  Plano de Saúde dos Servidores</t>
  </si>
  <si>
    <t>Gestão Saude Mental Folha PGTº: Serv. Efetivos</t>
  </si>
  <si>
    <t>Gestão Saude Mental Folha PGTº: Obrigações Patronais</t>
  </si>
  <si>
    <t>Gestão Saude Mental Folha PGTº: Hora Extra</t>
  </si>
  <si>
    <t>Gestão Saude Mental Gestão: Subst. de Serv. P/Serviços Terc.</t>
  </si>
  <si>
    <t>Gestão Saude Mental Folha PGTº: Férias Indenizações Trabalhistas</t>
  </si>
  <si>
    <t>Gestão Saude Mental: Diarias</t>
  </si>
  <si>
    <t>Gestão Saude Mental: Materiais de Consumo</t>
  </si>
  <si>
    <t>Gestão Saude Mental: Prest. de Serv. P. Juridica</t>
  </si>
  <si>
    <t>Gestão Saude Mental: Auxilio-alimentacao</t>
  </si>
  <si>
    <t>Gestão Saude Mental: Auxilio-Transporte</t>
  </si>
  <si>
    <t>Gestão Saude Mental: Equip. e Material Permanente</t>
  </si>
  <si>
    <t>Gestão Atenção Basic.: Materiais de Consumo</t>
  </si>
  <si>
    <t xml:space="preserve">Gestão Atenção Basic.: Prest. de Serv. P. Física </t>
  </si>
  <si>
    <t>Gestão Atenção Basic.: Prest. de Serv. P. Juridica</t>
  </si>
  <si>
    <t>Gestão Atenção Basic.: Diárias</t>
  </si>
  <si>
    <t>Gestão Atenção Basic.: Materiais, Serviço de Distrib. Gratuita</t>
  </si>
  <si>
    <t xml:space="preserve">Gestão Atenção Basic.: Obrig Trib. e Contrib. S/Serv. Terceiros </t>
  </si>
  <si>
    <t>Gestão Atenção Basic.: Obras e Instalações</t>
  </si>
  <si>
    <t>Gestão Atenção Basic.: Equip. e Material Permanente</t>
  </si>
  <si>
    <t>Gestão M.A.C.: Auxilio-alimentacao</t>
  </si>
  <si>
    <t>Gestão M.A.C.: Contrib. Prev. Substituicao de Servidores P/Serviços Terc.</t>
  </si>
  <si>
    <t>Gestão M.A.C.: Materiais, Serviços Distrib. Gratuita</t>
  </si>
  <si>
    <t>Gestão Assist. Farm.: Mat. Distrib. Grat. Farm. Básic. e Rede Cegonha</t>
  </si>
  <si>
    <t>Gestão Assist. Farm.: Materiais Farm. Básic. e Rede Cegonha</t>
  </si>
  <si>
    <t>Gestão Assist. Farm.: Materiais: Mellitus</t>
  </si>
  <si>
    <t>Gestão Assist. Farm.: Material de Distib. Grat.: Mellitus</t>
  </si>
  <si>
    <t>Gestão Vig. Epidem.: Obrig Trib. e Contrib. S/Serv. Terceiros</t>
  </si>
  <si>
    <t>Gestão do SUS: Obrigacoes Tributarias e Contributivas 4509</t>
  </si>
  <si>
    <t>Gestão do SUS:  Material de Consumo 4509</t>
  </si>
  <si>
    <t>Gestão do SUS:  Outros Serviços Terceiros PF 4509</t>
  </si>
  <si>
    <t>Gestão do SUS:  Outros Serviços Terceiros PJ 4509</t>
  </si>
  <si>
    <t>Gestão Atenção Basic.: Obrigacoes Tributarias e Contributivas 4508</t>
  </si>
  <si>
    <t>Gestão Atenção Basic.: Devolução de Saldo 4508</t>
  </si>
  <si>
    <t>Gestão Atenção Basic.: Material De Consumo 4508</t>
  </si>
  <si>
    <t>Gestão Atenção Basic.: Obras e Instalações 4508</t>
  </si>
  <si>
    <t>Gestão Atenção Basic.: Equipamentos e Material Permanente 4508</t>
  </si>
  <si>
    <t>Gestão Atenção Basic.: Outros Serviços PF 4508</t>
  </si>
  <si>
    <t>Gestão Atenção Basic.: Outros Serviços PJ 4508</t>
  </si>
  <si>
    <t>Gestão Atenção Basic.: Outros Serviços Terceiros PF 4512</t>
  </si>
  <si>
    <t>Gestão Atenção Basic.: Outros Serviços Terceiros PJ 4512</t>
  </si>
  <si>
    <t>Gestão Atenção Basic.: Equip. e Mat. Permanente Contra Partidas</t>
  </si>
  <si>
    <t>Gestão Atenção Basic.: Equip. e Material Permanente Rec. 4512</t>
  </si>
  <si>
    <t>Gest. de Invest. - Atenção Básica: Materiais de Consumo 4505</t>
  </si>
  <si>
    <t>Gest. de Invest. - Atenção Básica: Obras e Instalações  4505</t>
  </si>
  <si>
    <t>Gest. de Invest. - Atenção Básica: Contrib. Patron. Prev. S/Serv. 4505</t>
  </si>
  <si>
    <t>Gest. de Invest. - Atenção Básica: Prest. de Serv. PF 4505</t>
  </si>
  <si>
    <t>Gest. de Invest. - Atenção Básica: Prest. de Serv. PJ 4505</t>
  </si>
  <si>
    <t>Gest. de Invest. - Atenção Básica: Equip. e Mat. Perm. 4505</t>
  </si>
  <si>
    <t>Gest. de Invest. - M.A.C.: Obras e Instalações 4506</t>
  </si>
  <si>
    <t>Gest. de Invest. - M.A.C.: Equip. e Mat. Permanente 4506</t>
  </si>
  <si>
    <t>Gest. de Invest. - M.A.C.: Prest. de Serv. PF 4506</t>
  </si>
  <si>
    <t>Gest. de Invest. - M.A.C.: Materiais de Consumo 4506</t>
  </si>
  <si>
    <t>Gest. de Invest. - M.A.C.: Contrib. Patron. Prev. S/Serv. 4506</t>
  </si>
  <si>
    <t>Gest. de Invest. - M.A.C.: Prest. de Serv. PJ 4506</t>
  </si>
  <si>
    <t>Gest. de Invest. VIG. SANIT.: Contrib. Patron. Prev. S/Serv. 4507</t>
  </si>
  <si>
    <t>Gest. de Invest. VIG. SANIT.: Materiais de Consumo 4507</t>
  </si>
  <si>
    <t>Gest. de Invest. VIG. SANIT.: Prest. de Serv. PF 4507</t>
  </si>
  <si>
    <t>Gest. de Invest. VIG. SANIT.: Prest. de Serv. PJ 4507</t>
  </si>
  <si>
    <t>Gest. de Invest. VIG. SANIT.: Obras e Instalações 4507</t>
  </si>
  <si>
    <t>Gest. de Invest. VIG. SANIT.: Equip. e Mat. Permanente 4507</t>
  </si>
  <si>
    <t>Gestão Atenção Básica: Contrib. Patron. Prev. S/Serv.</t>
  </si>
  <si>
    <t>Gestão Atenção Básica: Prest. de Serv. PF</t>
  </si>
  <si>
    <t>Gestão Atenção Básica: Prest. de Serv. PJ</t>
  </si>
  <si>
    <t>Gestão Atenção Básica: Equip. e Material Permanente</t>
  </si>
  <si>
    <t>Gestão M.A.C.: Obrigações Patronais Prev. S/Subst. Serv.</t>
  </si>
  <si>
    <t>Gestão M.A.C.: Contrib. Patron. Prev. S/Serv.</t>
  </si>
  <si>
    <t>Gestão Vig. em Saúde: Contrib. Patron. Prev. S/Serv.</t>
  </si>
  <si>
    <t>Gestão Vig. em Saúde: Folha PGTº: Serv. Efetivos, C.C.</t>
  </si>
  <si>
    <t>Gestão Vig. em Saúde: Subst. de Serv. P/Serviços Terceiros</t>
  </si>
  <si>
    <t>Contrib. Patron. Prev. S/Serv.</t>
  </si>
  <si>
    <t>Assistência Social</t>
  </si>
  <si>
    <t>Gestao do CRAS: Equip. e Material Permanente</t>
  </si>
  <si>
    <t>Gestao do CRAS: Contrib. Patron. Prev. S/Serv.</t>
  </si>
  <si>
    <t>Gestao S.M.A.S. Folha PGTº: Plano de Saúde dos Servidores</t>
  </si>
  <si>
    <t>Gestao S.M.A.S. Folha PGTº: Servidores Contratados</t>
  </si>
  <si>
    <t>Gestao S.M.A.S. Folha PGTº: Serv. Efetivos, CLT,  C.C. e Agente Político</t>
  </si>
  <si>
    <t>Gestao S.M.A.S. Folha PGTº: Obrigações Patronais</t>
  </si>
  <si>
    <t>Gestao S.M.A.S. Folha PGTº: Hora Extra</t>
  </si>
  <si>
    <t>Gestao S.M.A.S. Folha PGTº: Indenizações Trabalhistas</t>
  </si>
  <si>
    <t>Gestao S.M.A.S.: Contrib. Patron. Prev. S/Serv.</t>
  </si>
  <si>
    <t>Gestao do CRAS: Equip. e Material Permanente Intra - Orçam.</t>
  </si>
  <si>
    <t>Gestao do CRAS Folha PGTº: Servidores Contratados</t>
  </si>
  <si>
    <t>Gestao do CRAS Folha PGTº: Hora Extra</t>
  </si>
  <si>
    <t>Gestao do CRAS Folha PGTº: Indenizações Trabalhistas</t>
  </si>
  <si>
    <t>Gestao do CRAS Folha PGTº: Plano de Saúde dos Servidores</t>
  </si>
  <si>
    <t>Gestao do CRAS Folha PGTº: Serv. Efetivos, CLT,  C.C.</t>
  </si>
  <si>
    <t>Gestao do CRAS: Substit. de Servidores P/Serviços Terc.</t>
  </si>
  <si>
    <t>Gestao do CRAS: Mat., bens ou Serv. Distrib. Grat.</t>
  </si>
  <si>
    <t>Gest. S.M.A.S. Formação de R.H.: Diarias</t>
  </si>
  <si>
    <t>Gest. S.M.A.S. Formação de R.H.: Despesas com Locomocao</t>
  </si>
  <si>
    <t>Gest. S.M.A.S. Formação de R.H.: Prest. de Serv. PJ</t>
  </si>
  <si>
    <t>Gest. S.M.A.S. Formação de R.H.: Contrib. Patron. Prev. S/Serv.</t>
  </si>
  <si>
    <t>Gest. S.M.A.S. Formação de R.H.: Prest. de Serv. PF</t>
  </si>
  <si>
    <t>Gestao do CRAS Formação de R.H.: Diarias</t>
  </si>
  <si>
    <t>Gestao do CRAS Formação de R.H.: Despesas com Locomocao</t>
  </si>
  <si>
    <t>Gestao do CRAS Formação de R.H.: Prest. de Serv. PJ</t>
  </si>
  <si>
    <t>Gestao do CRAS Formação de R.H.: Prest. de Serv. PF</t>
  </si>
  <si>
    <t>Gestao do CRAS Formação de R.H.: Contrib. Patron. Prev. S/Serv.</t>
  </si>
  <si>
    <t>Assist. ao Idoso: Contrib. Patron. Prev. S/Serv.</t>
  </si>
  <si>
    <t>Assist. ao Idoso: Diárias</t>
  </si>
  <si>
    <t>Assist. ao Idoso: Materiais de Consumo</t>
  </si>
  <si>
    <t>Assist. ao Idoso: Materiais, Bens ou Serviços Distrib. Gratuita</t>
  </si>
  <si>
    <t>Assist. Port. Def.: Contrib. Patron. Prev. S/Serv.</t>
  </si>
  <si>
    <t>Assist. Crian. e Adoles: Contrib. Patron. Prev. S/Serv.</t>
  </si>
  <si>
    <t>B.P.S.B. CRAS: Substituicao de Servidores P/Serviços Terc.</t>
  </si>
  <si>
    <t>B.P.S.B. CRAS: Diarias</t>
  </si>
  <si>
    <t>B.P.S.B. CRAS: Materiais de Consumo</t>
  </si>
  <si>
    <t>B.P.S.B. CRAS: Despesas com Locomocao</t>
  </si>
  <si>
    <t>B.P.S.B. CRAS: Prest. de Serv. P. Física</t>
  </si>
  <si>
    <t>B.P.S.B. CRAS: Prest. de Serv. P. Jurídica</t>
  </si>
  <si>
    <t>B.P.S.B. CRAS: Auxilio-alimentacao</t>
  </si>
  <si>
    <t>B.P.S.B. CRAS: Auxilio-Transporte</t>
  </si>
  <si>
    <t>B.P.S.B. CRAS: Despesas de Exercícios Anteriores</t>
  </si>
  <si>
    <t>B.P.S.B. CRAS: Ressarcimento de Despesas</t>
  </si>
  <si>
    <t>B.P.S.B. CRAS: Obras e Instalações</t>
  </si>
  <si>
    <t>B.P.S.B. CRAS: Equipamentos e Material Permanente</t>
  </si>
  <si>
    <t>Nesta ação podem ser alocadas as despesas referentes à manutenção e operacionalização dos serviços de Proteção Social Básica: a) Serviço de Proteção e Atendimento Integral à Família (PAIF); b) Serviço de Convivência e Fortalecimento de Vínculos (SCFV); c) Serviço de Proteção Social Básica no domicílio para pessoas com deficiência e idosas.</t>
  </si>
  <si>
    <t>B.P.S.E.M.C.: Diarias</t>
  </si>
  <si>
    <t>B.P.S.E.M.C.: Materiais de Consumo</t>
  </si>
  <si>
    <t>B.P.S.E.M.C.: Despesas com Locomocao</t>
  </si>
  <si>
    <t>B.P.S.E.M.C.: Prest. de Serv. P. Física</t>
  </si>
  <si>
    <t>B.P.S.E.M.C.: Prest. de Serv. P. Jurídica</t>
  </si>
  <si>
    <t>B.P.S.E.M.C.: Auxilio-Transporte</t>
  </si>
  <si>
    <t>B.P.S.E.M.C.: Despesas de Exercícios Anteriores</t>
  </si>
  <si>
    <t>B.P.S.E.M.C.: Ressarcimento de Despesas</t>
  </si>
  <si>
    <t>B.P.S.E.M.C.: Obras e Instalações</t>
  </si>
  <si>
    <t>Promoção da Assistencia Social Especial e Média Complexidade</t>
  </si>
  <si>
    <t>B.P.S.E.M.C. Folha PGTº: Servidores Contratados</t>
  </si>
  <si>
    <t>B.P.S.E.M.C. Folha PGTº: Serv. Efetivos, CLT,  C.C.</t>
  </si>
  <si>
    <t>B.P.S.E.M.C. Folha PGTº: Hora Extra</t>
  </si>
  <si>
    <t>B.P.S.E.M.C. Folha PGTº: Indenizações Trabalhistas</t>
  </si>
  <si>
    <t>B.P.S.E.M.C.: Substituicao de Servidores P/Serviços Terc.</t>
  </si>
  <si>
    <t>B.P.S.E.M.C.: Equip. e Material Permanente</t>
  </si>
  <si>
    <t>B.P.S.E.M.C.: Execução de Repasses e Transf. a Entidades</t>
  </si>
  <si>
    <t>Nesta ação podem ser alocadas as despesas referentes à manutenção e operacionalização dos serviços de proteção social especial de média complexidade: a) Serviço de Proteção e Atendimento Especializado a Famílias e Indivíduos (PAEFI);  b) Serviço Especializado em Abordagem Social;  c) Serviço de Proteção Social a Adolescentes em Cumprimento de Medida Socioeducativa de Liberdade Assistida (LA), e de Prestação de Serviços à Comunidade (PSC); d) Serviço de Proteção Social Especial para Pessoas com Deficiência, Idosas e suas Famílias; e) Serviço Especializado para Pessoas em Situação de Rua. Além dos serviços, nesta ação poderão ser alocadas também as despesas referentes à concessão de benefícios eventuais, realizados no nível da Proteção Social Especial.</t>
  </si>
  <si>
    <t>Nesta ação podem ser alocados os recursos destinados às despesas de custeio e investimento referentes à gestão e operacionalização do Programa Bolsa Família, destinados aos seguintes eixos de atuação:
a) Identificação e cadastramento de novas famílias, atualização e revisão dos dados dos cidadãos residentes no município no Cadastro Único; b) Gestão intersetorial de condicionalidades; c) Gestão de benefícios; d) Implementação de ações complementares ao PBF.</t>
  </si>
  <si>
    <t xml:space="preserve">Gestão e operacionalização do Programa Bolsa Família </t>
  </si>
  <si>
    <t>Gestão, Monitoramento e Vigilância – SUAS</t>
  </si>
  <si>
    <t>B.G.P.B.F. : Diarias</t>
  </si>
  <si>
    <t>B.G.P.B.F. : Materiais de Consumo</t>
  </si>
  <si>
    <t>B.G.P.B.F. : Despesas com Locomocao</t>
  </si>
  <si>
    <t>B.G.P.B.F. : Prest. de Serv. P. Física</t>
  </si>
  <si>
    <t>B.G.P.B.F. : Prest. de Serv. P. Jurídica</t>
  </si>
  <si>
    <t>B.G.P.B.F. : Equip. e Material Permanente</t>
  </si>
  <si>
    <t xml:space="preserve">Nesta ação podem ser alocados os recursos destinados às despesas de custeio e investimento referentes a ações que sejam exclusivas da gestão da política de assistência social, destinados aos seguintes eixos de atuação:
Gestão de serviços; II. Gestão e organização do SUAS; III. Gestão articulada e integrada dos serviços e benefícios socioassistencias; IV. Gestão articulada e integrada com o Programa Bolsa Família e com o Plano Brasil Sem
Miséria; V. Gestão do trabalho e educação permanente na assistência social; VI. Gestão da informação do SUAS;  VII. Implementação da vigilância socioassistencial; VIII. Apoio técnico e operacional aos conselhos de assistência social, observado o percentual mínimo fixado; IX. Gestão financeira dos fundos de assistência social;  X. Gestão articulada e integrada com os Programas BPC na Escola e BPC Trabalho; XI. Gestão e organização da rede de serviços assistenciais; e
XII. Monitoramento do SUAS. </t>
  </si>
  <si>
    <t>B.G.S: Diarias</t>
  </si>
  <si>
    <t>B.G.S: Materiais de Consumo</t>
  </si>
  <si>
    <t>B.G.S: Despesas com Locomocao</t>
  </si>
  <si>
    <t>B.G.S: Prest. de Serv. P. Física</t>
  </si>
  <si>
    <t>B.G.S: Prest. de Serv. P. Jurídica</t>
  </si>
  <si>
    <t>B.G.S: Equip. e Material Permanente</t>
  </si>
  <si>
    <t>Acessuas: Prest. de Serv. P. Jurídica</t>
  </si>
  <si>
    <t>Acessuas: Materiais de Consumo</t>
  </si>
  <si>
    <t>Acessuas: Equip. e Material Permanente</t>
  </si>
  <si>
    <t>Total do Unidade: 04 - FUNDO MUN. DE ASSIST. SOCIAL - PROG. FEDERAIS</t>
  </si>
  <si>
    <t>Gest. Apoio C.M.A.S.: Diarias</t>
  </si>
  <si>
    <t>Gest. Apoio C.M.A.S.: Materiais de Consumo</t>
  </si>
  <si>
    <t>Gest. Apoio C.M.A.S.: Despesas com Locomocao</t>
  </si>
  <si>
    <t>Gest. Apoio C.M.A.S.: Prest. de Serv. P. Física</t>
  </si>
  <si>
    <t>Gest. Apoio C.M.A.S.: Prest. de Serv. P. Jurídica</t>
  </si>
  <si>
    <t>Gest. Apoio C.M.A.S.: Obras e Instalações</t>
  </si>
  <si>
    <t>Gest. Apoio C.M.A.S.: Equip. e Material Permanente</t>
  </si>
  <si>
    <t>06 - Gestão, Coordenação e Planej. do Conselho Mun. de Assistência Social</t>
  </si>
  <si>
    <t>05 - FUNDO MUNICIPAL DA CRIANÇA E DO ADOLESCENTE</t>
  </si>
  <si>
    <t xml:space="preserve">Total do Unidade: 05 - FUNDO MUNICIPAL DA CRIANÇA E DO ADOLESCENTE
</t>
  </si>
  <si>
    <t>Total do Unidade: 06 - Gestão, Coordenação e Planej. do Conselho Mun. de Assistência Social</t>
  </si>
  <si>
    <t>B.P.S.B. CRAS Folha PGTº: Servidores Contratados</t>
  </si>
  <si>
    <t>B.P.S.B. Assist. ao Idoso: Beneficios Asssistenciais</t>
  </si>
  <si>
    <t>B.P.S.B. Assist. ao Idoso: Diárias</t>
  </si>
  <si>
    <t>B.P.S.B. Assist. ao Idoso: Materiais de Consumo</t>
  </si>
  <si>
    <t>B.P.S.B. Assist. ao Idoso: Materiais, Bens ou Serviços Distrib. Gratuita</t>
  </si>
  <si>
    <t>B.P.S.B. Assist. ao Idoso: Prest. de Serv. P. Física</t>
  </si>
  <si>
    <t>B.P.S.B. Assist. ao Idoso: Prest. de Serv. P. Jurídica</t>
  </si>
  <si>
    <t>B.P.S.B. Assist. ao Idoso: Contrib. Patron. Prev. S/Serv.</t>
  </si>
  <si>
    <t>B.P.S.B. Assist. ao Idoso: Despesas de Exercícios Anteriores</t>
  </si>
  <si>
    <t>B.P.S.B. Assist. ao Idoso: Obras e Instalações</t>
  </si>
  <si>
    <t>B.P.S.B. Assist. ao Idoso: Equipamentos e Material Permanente</t>
  </si>
  <si>
    <t>B.P.S.B. Assist. Port. Def.: Beneficios Asssistenciais</t>
  </si>
  <si>
    <t>B.P.S.B. Assist. Port. Def.: Material De Consumo</t>
  </si>
  <si>
    <t>B.P.S.B. Assist. Port. Def.: Materiais, Bens ou Serviços Distrib. Gratuita</t>
  </si>
  <si>
    <t>B.P.S.B. Assist. Port. Def.: Prest. de Serv. P. Física</t>
  </si>
  <si>
    <t>B.P.S.B. Assist. Port. Def.: Prest. de Serv. P. Jurídica</t>
  </si>
  <si>
    <t>B.P.S.B. Assist. Port. Def.: Contrib. Patron. Prev. S/Serv.</t>
  </si>
  <si>
    <t>B.P.S.B. Assist. Port. Def.: Despesas de Exercícios Anteriores</t>
  </si>
  <si>
    <t>B.P.S.B. Assist. Port. Def.: Obras e Instalações</t>
  </si>
  <si>
    <t>B.P.S.B. Assist. Port. Def.: Equipamentos e Material Permanente</t>
  </si>
  <si>
    <t>B.P.S.B. Assist. Crian. e Adoles: Beneficios Asssistenciais</t>
  </si>
  <si>
    <t>B.P.S.B. Assist. Crian. e Adoles: Material de Consumo</t>
  </si>
  <si>
    <t>B.P.S.B. Assist. Crian. e Adoles: Materiais, Bens ou Serviços Distrib. Gratuita</t>
  </si>
  <si>
    <t>B.P.S.B. Assist. Crian. e Adoles: Prest. de Serv. P. Física</t>
  </si>
  <si>
    <t>B.P.S.B. Assist. Crian. e Adoles: Prest. de Serv. P. Jurídica</t>
  </si>
  <si>
    <t>B.P.S.B. Assist. Crian. e Adoles: Contrib. Patron. Prev. S/Serv.</t>
  </si>
  <si>
    <t>B.P.S.B. Assist. Crian. e Adoles: Despesas de Exercícios Anteriores</t>
  </si>
  <si>
    <t>B.P.S.B. Assist. Crian. e Adoles: Obras e Instalações</t>
  </si>
  <si>
    <t>B.P.S.B. Assist. Crian. e Adoles: Equipamentos e Material Permanente</t>
  </si>
  <si>
    <t>B.P.S.B. CRAS Folha PGTº: Plano de Saude dos Servidores</t>
  </si>
  <si>
    <t>B.P.S.B. CRAS Folha PGTº: Serv. Efetivos, CLT,  C.C.</t>
  </si>
  <si>
    <t>B.P.S.B. CRAS Folha PGTº: Hora Extra</t>
  </si>
  <si>
    <t>B.P.S.B. CRAS Folha PGTº: Indenizações Trabalhistas</t>
  </si>
  <si>
    <t>B.P.S.B. CRAS Folha PGTº: Obrigações Patronais Prev.</t>
  </si>
  <si>
    <t>B.P.S.B. CRAS:  Contrib. Patron. Prev. S/Serv.</t>
  </si>
  <si>
    <t>B.P.S.E.M.C. Assist. ao Idoso: Beneficios Asssistenciais</t>
  </si>
  <si>
    <t>B.P.S.E.M.C. Assist. ao Idoso: Diárias</t>
  </si>
  <si>
    <t>B.P.S.E.M.C. Assist. ao Idoso: Materiais de Consumo</t>
  </si>
  <si>
    <t>B.P.S.E.M.C. Assist. ao Idoso: Prest. de Serv. P. Física</t>
  </si>
  <si>
    <t>B.P.S.E.M.C. Assist. ao Idoso: Prest. de Serv. P. Jurídica</t>
  </si>
  <si>
    <t>B.P.S.E.M.C. Assist. ao Idoso: Contrib. Patron. Prev. S/Serv.</t>
  </si>
  <si>
    <t>B.P.S.E.M.C. Assist. ao Idoso: Despesas de Exercícios Anteriores</t>
  </si>
  <si>
    <t>B.P.S.E.M.C. Assist. ao Idoso: Obras e Instalações</t>
  </si>
  <si>
    <t>B.P.S.E.M.C. Assist. ao Idoso: Equipamentos e Material Permanente</t>
  </si>
  <si>
    <t>B.P.S.E.M.C. Assist. ao Idoso: Mat., Bens ou Serv. Dist. Grat.</t>
  </si>
  <si>
    <t>B.P.S.E.M.C. Port. Def.: Beneficios Asssistenciais</t>
  </si>
  <si>
    <t>B.P.S.E.M.C. Port. Def.: Material De Consumo</t>
  </si>
  <si>
    <t>B.P.S.E.M.C. Port. Def.: Prest. de Serv. P. Física</t>
  </si>
  <si>
    <t>B.P.S.E.M.C. Port. Def.: Prest. de Serv. P. Jurídica</t>
  </si>
  <si>
    <t>B.P.S.E.M.C. Port. Def.: Contrib. Patron. Prev. S/Serv.</t>
  </si>
  <si>
    <t>B.P.S.E.M.C. Port. Def.: Despesas de Exercícios Anteriores</t>
  </si>
  <si>
    <t>B.P.S.E.M.C. Port. Def.: Obras e Instalações</t>
  </si>
  <si>
    <t>B.P.S.E.M.C. Port. Def.: Equipamentos e Material Permanente</t>
  </si>
  <si>
    <t>B.P.S.E.M.C. Port. Def.: Mat., Bens ou Serv. Dist. Grat.</t>
  </si>
  <si>
    <t>B.P.S.E.M.C. Assist. Crian. e Adoles: Beneficios Asssistenciais</t>
  </si>
  <si>
    <t>B.P.S.E.M.C. Assist. Crian. e Adoles: Material de Consumo</t>
  </si>
  <si>
    <t>B.P.S.E.M.C. Assist. Crian. e Adoles: Prest. de Serv. P. Física</t>
  </si>
  <si>
    <t>B.P.S.E.M.C. Assist. Crian. e Adoles: Prest. de Serv. P. Jurídica</t>
  </si>
  <si>
    <t>B.P.S.E.M.C. Assist. Crian. e Adoles: Contrib. Patron. Prev. S/Serv.</t>
  </si>
  <si>
    <t>B.P.S.E.M.C. Assist. Crian. e Adoles: Despesas de Exercícios Anteriores</t>
  </si>
  <si>
    <t>B.P.S.E.M.C. Assist. Crian. e Adoles: Obras e Instalações</t>
  </si>
  <si>
    <t>B.P.S.E.M.C. Assist. Crian. e Adoles: Mat., Bens ou Serv. Dist. Grat.</t>
  </si>
  <si>
    <t>B.P.S.E.M.C. Assist. Crian. e Adoles: Equip. e Material Permanente</t>
  </si>
  <si>
    <t>B.P.S.E.M.C. Folha PGTº: Plano de Saúde dos Servidores</t>
  </si>
  <si>
    <t>B.P.S.E.M.C. Folha PGTº: Obrigações Patronais Prev.</t>
  </si>
  <si>
    <t>B.P.S.E.M.C.: Mat., Bens ou Serv. Dist. Grat.</t>
  </si>
  <si>
    <t>B.P.S.E.M.C.: Auxilio-Alimentacao</t>
  </si>
  <si>
    <t>B.P.S.E.M.C.: Contrib. Patron. Prev. S/Serv.</t>
  </si>
  <si>
    <t>B.G.P.B.F. : Contrib. Patron. Prev. S/Serv.</t>
  </si>
  <si>
    <t>B.G.S: Contrib. Patron. Prev. S/Serv.</t>
  </si>
  <si>
    <t>Gest. F.M.C.A.: Diarias</t>
  </si>
  <si>
    <t>Gest. F.M.C.A.: Materiais de Consumo</t>
  </si>
  <si>
    <t>Gest. F.M.C.A.: Despesas com Locomocao</t>
  </si>
  <si>
    <t>Gest. F.M.C.A.: Prest. de Serv. P. Física</t>
  </si>
  <si>
    <t>Gest. F.M.C.A.: Prest. de Serv. P. Jurídica</t>
  </si>
  <si>
    <t>Gest. F.M.C.A.: Contrib. Patron. Prev. S/Serv.</t>
  </si>
  <si>
    <t>Gest. F.M.C.A.: Obras e Instalações</t>
  </si>
  <si>
    <t>Gest. F.M.C.A.: Equip. e Material Permanente</t>
  </si>
  <si>
    <t>Gest. Apoio C.M.A.S.: Contrib. Patron. Prev. S/Serv.</t>
  </si>
  <si>
    <t>Normatizacao e Fiscalização</t>
  </si>
  <si>
    <t xml:space="preserve">GESTÃO DO F.M.C.A. </t>
  </si>
  <si>
    <t>Realização de Concurso Publico</t>
  </si>
  <si>
    <t>Serviço de Compilação de Legislação</t>
  </si>
  <si>
    <t>3751/3750</t>
  </si>
  <si>
    <t>Transferencias de Convenios da União</t>
  </si>
  <si>
    <t>Transferencias de Convenios Da Uniao</t>
  </si>
  <si>
    <t>Transferencias Diversas</t>
  </si>
  <si>
    <t>Gest. S.M.A.G. Formação de R. H.:  Outros Servicos - Pessoa Juridica</t>
  </si>
  <si>
    <t>Gestão do SUS: Diárias 4504</t>
  </si>
  <si>
    <t>Gestão do SUS: Materiais de Consumo 4504</t>
  </si>
  <si>
    <t>Gestão do SUS: Prest. de Serv. PF 4504</t>
  </si>
  <si>
    <t>Gestão do SUS: Prest. de Serv. PJ 4504</t>
  </si>
  <si>
    <t>Gestão do SUS: Contrib. Patron. Prev. S/Serv. 4504</t>
  </si>
  <si>
    <t>Gestão do SUS: Obras e Instalações 4504</t>
  </si>
  <si>
    <t>Gestão do SUS: Equip. e Material Permanente 4504</t>
  </si>
  <si>
    <t>FUNDO MUNICIPAL DE ASSISTENCIA SOCIAL - PROGRAMAS MUNICIPAIS</t>
  </si>
  <si>
    <t>Assist. Crian. e Adoles: Exec. de Repasses, Transf. e Conv. a Entidades</t>
  </si>
  <si>
    <t>Atividade: 2.017.0000</t>
  </si>
  <si>
    <t>FUNDO MUNICIPAL DE ASSISTENCIA SOCIAL - PROGRAMAS ESTADUAIS</t>
  </si>
  <si>
    <t>Atividade: 2.013.0000</t>
  </si>
  <si>
    <t>Construção do CRAS  Contra Partida 1</t>
  </si>
  <si>
    <t>Construção do CRAS  1167</t>
  </si>
  <si>
    <t>B.P.S.B. CRAS: Equipamentos e Material Permanente 1161</t>
  </si>
  <si>
    <t>Aquisição de Veículo Contra Partida 1</t>
  </si>
  <si>
    <t>Aquisição de Veículo 1167</t>
  </si>
  <si>
    <t>13 Salário</t>
  </si>
  <si>
    <t>Contribuicao Previdenciaria</t>
  </si>
  <si>
    <t>Atividade: 2.014.0000</t>
  </si>
  <si>
    <t>Atividade: 2.015.0000</t>
  </si>
  <si>
    <t>Atividade: 2.016.0000</t>
  </si>
  <si>
    <t>FUNDO MUNICIPAL DA CRIANÇA E DO ADOLESCENTE</t>
  </si>
  <si>
    <t>Atividade: 2.018.0000</t>
  </si>
  <si>
    <t>Gestão, Coordenação e Planej. do Conselho Mun. de Assistência Social</t>
  </si>
  <si>
    <t>Atividade: 2.012.0000</t>
  </si>
  <si>
    <t>GESTÃO DO PROGRAMA UNIAO FAZ A VIDA</t>
  </si>
  <si>
    <t>Gest. F.P.U.F.V.: Materiais de Consumo</t>
  </si>
  <si>
    <t>Gest. F.P.U.F.V.: Mat. Bens Distrb. Gratuita</t>
  </si>
  <si>
    <t>Gest. F.P.U.F.V.: Despesas com Locomocao</t>
  </si>
  <si>
    <t>Gest. F.P.U.F.V.: Prest. de Serv. P. Física</t>
  </si>
  <si>
    <t>Gest. F.P.U.F.V.: Prest. de Serv. P. Jurídica</t>
  </si>
  <si>
    <t>Gest. F.P.U.F.V.: Contrib. Patron. Prev. S/Serv.</t>
  </si>
  <si>
    <t>Gest. Rec. Origem IRRF: Diarias</t>
  </si>
  <si>
    <t>Gest. Rec. Origem IRRF: Materiais de Consumo</t>
  </si>
  <si>
    <t>Gest. Rec. Origem IRRF: Despesas com Locomocao</t>
  </si>
  <si>
    <t>Gest. Rec. Origem IRRF: Prest. de Serv. P. Física</t>
  </si>
  <si>
    <t>Gest. Rec. Origem IRRF: Prest. de Serv. P. Jurídica</t>
  </si>
  <si>
    <t>Gest. Rec. Origem IRRF: Contrib. Patron. Prev. S/Serv.</t>
  </si>
  <si>
    <t>Gest. Rec. Origem IRRF: Obras e Instalações</t>
  </si>
  <si>
    <t>Gest. Rec. Origem IRRF: Equip. e Material Permanente</t>
  </si>
  <si>
    <t>Gest. Rec. Origem IRRF: Mat. Bens Distrb. Gratuita</t>
  </si>
  <si>
    <t>Gest. Rec. de Patrocinios: Diarias</t>
  </si>
  <si>
    <t>Gest. Rec. de Patrocinios: Materiais de Consumo</t>
  </si>
  <si>
    <t>Gest. Rec. de Patrocinios: Mat. Bens Distrb. Gratuita</t>
  </si>
  <si>
    <t>Gest. Rec. de Patrocinios: Despesas com Locomocao</t>
  </si>
  <si>
    <t>Gest. Rec. de Patrocinios: Prest. de Serv. P. Física</t>
  </si>
  <si>
    <t>Gest. Rec. de Patrocinios: Prest. de Serv. P. Jurídica</t>
  </si>
  <si>
    <t>Gest. Rec. de Patrocinios: Contrib. Patron. Prev. S/Serv.</t>
  </si>
  <si>
    <t>Gest. Rec. de Patrocinios: Obras e Instalações</t>
  </si>
  <si>
    <t>Gest. Rec. de Patrocinios: Equip. e Material Permanente</t>
  </si>
  <si>
    <t>GESTÃO DE RECURSOS DE DOAÇÕES IRRF</t>
  </si>
  <si>
    <t>GESTÃO DE RECURSOS DE PATROCINIOS</t>
  </si>
  <si>
    <t>Receitas do Programa Uniao Faz a Vida</t>
  </si>
  <si>
    <t>Receitas de Doações IRRF</t>
  </si>
  <si>
    <t>Receitas de Patrocinios para o FMCA</t>
  </si>
  <si>
    <t>Receitas Diversas</t>
  </si>
  <si>
    <t>Atividade: 2.051.0000</t>
  </si>
  <si>
    <t>Atividade: 2.052.0000</t>
  </si>
  <si>
    <t>Atividade: 2.053.0000</t>
  </si>
  <si>
    <t>Gest. Agric. Fam.: TRANSF. ESTADO P/AQ. Insum. Agric.</t>
  </si>
  <si>
    <t>Transporte Escolar Ensino Fundamental: Equipamentos e Material Permanente 1036</t>
  </si>
  <si>
    <t>Transporte Escolar Ed. Infantil: Equipamentos e Material Permanente 1036</t>
  </si>
  <si>
    <t xml:space="preserve"> Transp. Esc. Ens. de Jovens e Adultos: Equipamentos e Material Permanente 36</t>
  </si>
  <si>
    <t xml:space="preserve"> Transp. Esc. Educação Especial: Equipamentos e Material Permanente 36</t>
  </si>
  <si>
    <t>Custo Aq.: Equip. e Material Permanente 1505</t>
  </si>
  <si>
    <t>Custo Aq. SME: Aquisição de Veículo</t>
  </si>
  <si>
    <t>Gestão M.A.C.: Materiais de Consumo 4230</t>
  </si>
  <si>
    <t>Gestão M.A.C.: Materiais, Serviços Distrib. Gratuita 4230</t>
  </si>
  <si>
    <t>Gestão M.A.C.: Serviços Pessoa Fisica 4230</t>
  </si>
  <si>
    <t>Gestão M.A.C.: Serviços Pessoa Juridica 4230</t>
  </si>
  <si>
    <t>Gestão M.A.C.: Obrig. Trib. e Contributivas Prev. S/Serv. 4230</t>
  </si>
  <si>
    <t>Transporte Escolar Ensino Fundamental: Material de Consumo 1172</t>
  </si>
  <si>
    <t>Material de Consumo BRASIL CARINHOSO</t>
  </si>
  <si>
    <t>Prom. e Des. Ed. Infantil: Mat. de Consumo Prog. Brasil Carinhoso</t>
  </si>
  <si>
    <t xml:space="preserve">Gest. de Recursos FECA: Indenizações e Restituições </t>
  </si>
  <si>
    <t xml:space="preserve">Gest. de Recursos FECA: Material de Consumo </t>
  </si>
  <si>
    <t xml:space="preserve">Gest. de Recursos FECA: Prestação de Serviços P. Juridica </t>
  </si>
  <si>
    <t>Gest. de Recursos FECA: Equipamentos</t>
  </si>
  <si>
    <t>combustivel veiculo</t>
  </si>
  <si>
    <t>Manutenção Veículo e seguros</t>
  </si>
  <si>
    <t>SERVIÇOS DE TECNOLOGIA DA INFORMAÇÃO E COMUNICAÇÃO 20</t>
  </si>
  <si>
    <t>SERVIÇOS DE TECNOLOGIA DA INFORMAÇÃO E COMUNICAÇÃO 31</t>
  </si>
  <si>
    <t>Reserv. de  Contin. Art. 14,  §2º,  LDO - Para Suporte de Precatórios</t>
  </si>
  <si>
    <t>Reserv. de  Contin. Art. 14,  §2º,  LDO - Para Suporte de Contra Partidas de Recursos</t>
  </si>
  <si>
    <t>Reserv. de  Contin. Art. 14,  §2º,  LDO - Para Aporte de Eventos Climatológicos</t>
  </si>
  <si>
    <t>Reserv. de  Contin. Art. 14,  §2º,  LDO - Para Aporte Creditos Adicionais</t>
  </si>
  <si>
    <t>Reserv. de  Contin. Art. 14,  §2º,  LDO - Para Atend. EC 86/2015</t>
  </si>
  <si>
    <t>(Art. 5º da Lei Municipal 1058/2016 e Lei 1116/2017)</t>
  </si>
  <si>
    <t>F P M Cota 1% - Julho</t>
  </si>
  <si>
    <t>F P M Cota 1% - Dezembro</t>
  </si>
  <si>
    <t>(-) Deduções da Receita de Impostos</t>
  </si>
  <si>
    <t>Receitas  ASPS (Constituição Federal, art. 198
Lei Complementar nº 141/2012</t>
  </si>
  <si>
    <t>Receitas de Transferencias do Estado do Rio Grande do Sul</t>
  </si>
  <si>
    <t>Receitas de Transferencias do SUS</t>
  </si>
  <si>
    <t>Receitas de Transferencias da União</t>
  </si>
  <si>
    <t>( - ) Reposição Salarial</t>
  </si>
  <si>
    <t>Orgão:</t>
  </si>
  <si>
    <t>GESTAO E  APOIO AO COSELHO MUNICIPAL DE EDUCACAO</t>
  </si>
  <si>
    <t>Gest. e apoio Cons. Mun. Educ.: Diarias</t>
  </si>
  <si>
    <t>Gest. e apoio Cons. Mun. Educ.:  Materiais de Consumo</t>
  </si>
  <si>
    <t>Gest. e apoio Cons. Mun. Educ.:  Despesas com Locomoção</t>
  </si>
  <si>
    <t>Gest. e apoio Cons. Mun. Educ.:  Prest. de Serv. Pessoa Fisica</t>
  </si>
  <si>
    <t>Gest. e apoio Cons. Mun. Educ.:  Prest. de Serv. Pessoa Jurídica</t>
  </si>
  <si>
    <t>Gest. e apoio Cons. Mun. Educ.:  Obrigacoes Tributarias e Contributivas</t>
  </si>
  <si>
    <t>Gest. e apoio Cons. Mun. Educ.:  Obras e Instalações</t>
  </si>
  <si>
    <t>Gest. e apoio Cons. Mun. Educ.:  Equipamentos e Material Permanente</t>
  </si>
  <si>
    <t>Atividade: 2.054.000</t>
  </si>
  <si>
    <t>Demonstrativo de Compatibilidade de Programas e Ações - PPA / LDO / LOA</t>
  </si>
  <si>
    <t>VALOR:</t>
  </si>
  <si>
    <t>Subfunção:</t>
  </si>
  <si>
    <t>Ação:</t>
  </si>
  <si>
    <t>,</t>
  </si>
  <si>
    <t>PPA LEI MUNICIPAL N.º 1091  DE 16 DE JUNHO DE 2017.</t>
  </si>
  <si>
    <t xml:space="preserve">Parametro de Ajuste </t>
  </si>
  <si>
    <t>1. 2019-TJRS 172456-6(N) A Flavia Lenke da Silva Rocha 01/08/2018 Incluído em orçamento</t>
  </si>
  <si>
    <t>2. 2019-TJRS 176730-0(N) A João Carlos Noal 01/08/2018 Incluído em orçamento</t>
  </si>
  <si>
    <t>3. 2019-TJRS 178157-4(N) A CRISCIELI DERING BIERHALS 01/08/2018 Incluído em orçamento</t>
  </si>
  <si>
    <t>4. 2019-TJRS 178158-2(N) A MONICA LACERDA DA COSTA 01/08/2018 Incluído em orçamento</t>
  </si>
  <si>
    <t>5. 2019-TJRS 179249-8(N) A Lurdes Daiane Correa Cickorski 01/08/2018 Incluído em orçamento</t>
  </si>
  <si>
    <t>6. 2019-TJRS 179262-1(N) A Paulo Rogerio da Silva 01/08/2018 Incluído em orçamento</t>
  </si>
  <si>
    <t>Total Geral</t>
  </si>
  <si>
    <t>Fonte: Tribunal de Justiça do RS</t>
  </si>
  <si>
    <t>Precatórios</t>
  </si>
  <si>
    <t>Valor Bruto</t>
  </si>
  <si>
    <t>PRIORIDADES PPA LEI MUNICIPAL N.º 1091  DE 16 DE JUNHO DE 2017.</t>
  </si>
  <si>
    <t>PRIORIDADES LOA 2019</t>
  </si>
  <si>
    <t xml:space="preserve">DEMONSTRATIVO DE PRIORIDADES APROVADAS EM AUDIENCIAS PÚBLICAS
Lei de Diretrizes Orçamentárias, art. 9º, VII e art. 11 </t>
  </si>
  <si>
    <t>Gest. P. E. F. I. T.: Premiações</t>
  </si>
  <si>
    <t>Gest. P. E. F. I. T.: Material de Consumo</t>
  </si>
  <si>
    <t>Gest. P. E. F. I. T.: Diárias</t>
  </si>
  <si>
    <t>Gest. P. E. F. I. T.: Passagens e Despesas com Locomocao</t>
  </si>
  <si>
    <t>Gest. P. E. F. I. T.: Outros Servicos - Pessoa Fisica</t>
  </si>
  <si>
    <t>Gest. P. E. F. I. T.: Outros Servicos - Pessoa Juridica</t>
  </si>
  <si>
    <t xml:space="preserve">Gest. P. E. F. I. T.: Contrib. Patronal Prev. S/Serv. </t>
  </si>
  <si>
    <t>Atividade: 2.055.000</t>
  </si>
  <si>
    <t>Gest. P. E. F. I. T.: SERVIÇOS DE TECN. DA INFORM. E COMUM. - PJ</t>
  </si>
  <si>
    <t>12741/12740</t>
  </si>
  <si>
    <t>GESTÃO PROGRAMA EDUC. FISC. E INT. TRIBUTARIA</t>
  </si>
  <si>
    <t>Gest. P. E. F. I. T.: Indenizacoes e Restituicoes</t>
  </si>
  <si>
    <t>Gest. P. E. F. I. T.: Obras e Instalacoes</t>
  </si>
  <si>
    <t>Gest. P. E. F. I. T.: Equipamentos e Material Permanente</t>
  </si>
  <si>
    <t>Gest. P. E. F. I. T.: Mat. bem ou Serv. Distrib. Grat.</t>
  </si>
  <si>
    <t>Gest. P. E. F. I. T.: Serv. de Consultoria</t>
  </si>
  <si>
    <t>Gest. T.I.  P. E. F. I. T.: SERVIÇOS DE TECN. DA INFORM. E COMUM. - PJ</t>
  </si>
  <si>
    <t>Gest. P. E. F. I. T. FORM. R.H.: Diárias</t>
  </si>
  <si>
    <t>Gest. P. E. F. I. T. FORM. R.H.: Passagens e Despesas com Locomocao</t>
  </si>
  <si>
    <t>Gest. P. E. F. I. T. FORM. R.H.: Outros Servicos - Pessoa Fisica</t>
  </si>
  <si>
    <t>Gest. P. E. F. I. T. FORM. R.H.: Outros Servicos - Pessoa Juridica</t>
  </si>
  <si>
    <t xml:space="preserve">Gest. P. E. F. I. T. FORM. R.H.: Contrib. Patronal Prev. S/Serv. </t>
  </si>
  <si>
    <t>Gestao e Apoio Departamento de Engenharia</t>
  </si>
  <si>
    <t>Gest. Dep. Engenharia: Materiais de Consumo</t>
  </si>
  <si>
    <t>Gest. Dep. Engenharia: Prest. Serv. PF</t>
  </si>
  <si>
    <t>Gest. Dep. Engenharia: Prest. Serv. PJ</t>
  </si>
  <si>
    <t>Gest. Dep. Engenharia: Contrib. Patr. Prev. S/Serviços</t>
  </si>
  <si>
    <t>Gest. Dep. Engenharia: Obras e Instalações</t>
  </si>
  <si>
    <t>Gest. Dep. Engenharia: Equip. e Mat. Permanente</t>
  </si>
  <si>
    <t>Gest. Dep. Engenharia Formação de R. H.: Diárias</t>
  </si>
  <si>
    <t>Gest. Dep. Engenharia Formação de R. H.: Despesas com Locomocao</t>
  </si>
  <si>
    <t>Gest. Dep. Engenharia Formação de R. H.: Contrib. Patronal Prev. S/Serviços</t>
  </si>
  <si>
    <t>Gest. Dep. Engenharia Formação de R. H.: Outros Servicos - PF</t>
  </si>
  <si>
    <t>Gest. Dep. Engenharia Folha Pgto: Serv. Contratados</t>
  </si>
  <si>
    <t>Gest. Dep. Engenharia Folha Pgto: Serv. Efetivos e C.C.</t>
  </si>
  <si>
    <t>Gest. Dep. Engenharia Folha Pgto: Contrib. Patronal Prev.</t>
  </si>
  <si>
    <t>Gest. Dep. Engenharia Folha Pgto: Hora Extras</t>
  </si>
  <si>
    <t>Gest. Dep. Engenharia Folha Pgto: Indenizacoes Trabalhistas</t>
  </si>
  <si>
    <t>Gest. Dep. Engenharia Folha Pgto: Subst. de Servidores</t>
  </si>
  <si>
    <t>Gest. Man. Infraest. Viária Formação de R. H.: Outros Servicos - PJ</t>
  </si>
  <si>
    <t>Gest. Dep. Engenharia: Diárias</t>
  </si>
  <si>
    <t>Gest. Dep. Engenharia: Desp. C/Locomocao</t>
  </si>
  <si>
    <t>Gest. Dep. Engenharia: Auxilio-Alimentação</t>
  </si>
  <si>
    <t>Gest. Dep. Engenharia: Auxilio-Transporte</t>
  </si>
  <si>
    <t>Atividade: 2.056.000</t>
  </si>
  <si>
    <t>Gest. Dep. Engenharia Folha Pgto: Plano de Saude Serv.</t>
  </si>
  <si>
    <t>Gest. T.I. Dep. Engenharia: Prest. Serviços T.I. PJ</t>
  </si>
  <si>
    <t>AJUSTE ORÇAMENTO SMOVSU</t>
  </si>
  <si>
    <t>(LRF Art. 5º, inciso I  e Lei Municipal nº 1166/2018 que dispõe sobre a LDO do Município, art. 2º, § 1º)</t>
  </si>
  <si>
    <t>2041, 2042 e 2043</t>
  </si>
  <si>
    <t>2041 - Exec. Emenda : Vereador Hélio</t>
  </si>
  <si>
    <t>2042 - Exec.Emenda : Vereador Fabiano</t>
  </si>
  <si>
    <t>2043 - Exec.Emenda : Vereador Luiz</t>
  </si>
  <si>
    <t>Execução Emendas Vereadores P/Atendimento da M.A.C.A.H.</t>
  </si>
  <si>
    <t>Execução Emendas Vereadores P/Exames</t>
  </si>
  <si>
    <t>Gestão Bloco Financ. Assit. Farmacêutica</t>
  </si>
  <si>
    <t>Execução Emendas Vereadores P/Aquisição de Medicamentos</t>
  </si>
  <si>
    <t>Execução Emendas Vereadores P/Consultas Especializadas</t>
  </si>
  <si>
    <t>Execução Emendas Vereadores P/Serviços de Fisioterapia</t>
  </si>
  <si>
    <t>Execução Emendas Vereadores P/Manutenção Infraestrutura Viária</t>
  </si>
  <si>
    <t>Execução Emendas Vereadores P/Aquis. De Material para Infraestrut. Viária</t>
  </si>
  <si>
    <t>2051 - Exec. Emenda : Vereador Hélio</t>
  </si>
  <si>
    <t>2052 - Exec.Emenda : Vereador Fabiano</t>
  </si>
  <si>
    <t>2053 - Exec.Emenda : Vereador Luiz</t>
  </si>
  <si>
    <t>2051, 2052 e 2053</t>
  </si>
  <si>
    <t>2061 - Exec. Emenda : Vereador Hélio</t>
  </si>
  <si>
    <t>2062 - Exec.Emenda : Vereador Fabiano</t>
  </si>
  <si>
    <t>2063 - Exec.Emenda : Vereador Luiz</t>
  </si>
  <si>
    <t>2061, 2062 e 2063</t>
  </si>
  <si>
    <t>Promocao da Producao Agropecuaria</t>
  </si>
  <si>
    <t>Execução Emendas Vereadores P/Manutenção Ponte. .....</t>
  </si>
  <si>
    <t>Execução Emendas Vereadores P/...............</t>
  </si>
  <si>
    <t>xxxxxx</t>
  </si>
  <si>
    <t>xxxx - Exec. Emenda : Vereador Hélio</t>
  </si>
  <si>
    <t>Execução Emendas Vereadores P/Obras e Instalações....</t>
  </si>
  <si>
    <t>2015, 2016, 2017, 2018, 2019 e 2020</t>
  </si>
  <si>
    <t>2015 - Execução Emenda : Vereador Vino</t>
  </si>
  <si>
    <t>2016 - Execução Emenda : Vereador Sérgio</t>
  </si>
  <si>
    <t>2017 - Execução Emenda : Vereador Ieda</t>
  </si>
  <si>
    <t>2018 - Execução Emenda : Vereador Altair</t>
  </si>
  <si>
    <t>2019 - Execução Emenda : Vereador Márcio</t>
  </si>
  <si>
    <t>2020 - Execução Emenda : Vereador Cilon</t>
  </si>
  <si>
    <t>Execução Emendas Vereadores P/Equipamentos EMEI Sonho de Criança</t>
  </si>
  <si>
    <t>Execução Emendas Vereadores P/Aq. De Equip. EMEI Sonho de Criança</t>
  </si>
  <si>
    <t>xxxx - Execução Emenda : Vereador Vino</t>
  </si>
  <si>
    <t>xxxx - Execução Emenda : Vereador Sérgio</t>
  </si>
  <si>
    <t>xxxx - Execução Emenda : Vereador Ieda</t>
  </si>
  <si>
    <t>xxxx - Execução Emenda : Vereador Altair</t>
  </si>
  <si>
    <t>xxxx - Execução Emenda : Vereador Márcio</t>
  </si>
  <si>
    <t>xxxx - Execução Emenda : Vereador Cilon</t>
  </si>
  <si>
    <t>Execução Emendas Vereadores P/...........................</t>
  </si>
  <si>
    <t>XXXX - Exec. Emenda : Vereador Hélio</t>
  </si>
  <si>
    <t>XXXX - Exec.Emenda : Vereador Fabiano</t>
  </si>
  <si>
    <t>XXX- Exec.Emenda : Vereador Luiz</t>
  </si>
  <si>
    <t>XXXX- Exec. Emenda : Vereador Hélio</t>
  </si>
  <si>
    <t>XXXX - Execução Emenda : Vereador Vino</t>
  </si>
  <si>
    <t>XXXX - Execução Emenda : Vereador Sérgio</t>
  </si>
  <si>
    <t>XXXX - Execução Emenda : Vereador Ieda</t>
  </si>
  <si>
    <t>XXXX - Execução Emenda : Vereador Altair</t>
  </si>
  <si>
    <t>XXXX  - Execução Emenda : Vereador Márcio</t>
  </si>
  <si>
    <t>XXXX - Execução Emenda : Vereador Cilon</t>
  </si>
  <si>
    <t>Proposta Orçamentária para o Exercício de 2020</t>
  </si>
  <si>
    <t>Até Agosto</t>
  </si>
  <si>
    <t>2017 A 2019</t>
  </si>
  <si>
    <t>COM BASE NA ARRECADAÇÃO DO PERÍODO DE 2017 A 2019</t>
  </si>
  <si>
    <t>%         2019/2018</t>
  </si>
  <si>
    <t>% 2019/2018</t>
  </si>
  <si>
    <t>Base de calculo matriculas censo escolar 2019</t>
  </si>
  <si>
    <t>QUADRO DE RETORNO FUNDEB 2020</t>
  </si>
  <si>
    <t>1997 A 2019</t>
  </si>
  <si>
    <t xml:space="preserve">Receita Corrente Liquida Projetada para o Exercício de 2019 </t>
  </si>
  <si>
    <t>LOA 2020</t>
  </si>
  <si>
    <t>LDO LEI MUNICIPAL N.º 1166  DE 10 DE OUTUBRO DE 2019.</t>
  </si>
  <si>
    <t>Valor Previsto 2020</t>
  </si>
  <si>
    <t>Previsão 2020</t>
  </si>
  <si>
    <t>Despesa do Executivo 2020</t>
  </si>
  <si>
    <t>Despesa do Legislativo 2020</t>
  </si>
  <si>
    <t>ATÉ 08/2019</t>
  </si>
  <si>
    <t>RECEITA EFETIVAMENTE ARRECADADA NO EXERCÍCIO DE  2019</t>
  </si>
  <si>
    <t xml:space="preserve">DEMONSTRATIVO DE PRECATÓRIOS A SEREM CUMPRIDOS NO EXERCÍCIO DE 2020
Lei de Diretrizes Orçamentárias, art. 9º, VI </t>
  </si>
  <si>
    <t>PRIORIDADES LOA 2020</t>
  </si>
  <si>
    <t>Receitas de Copa e Cozinha Eventos Esportivos</t>
  </si>
  <si>
    <t>( R ) Deducoes Da Receita de Capital</t>
  </si>
  <si>
    <r>
      <t>69001</t>
    </r>
    <r>
      <rPr>
        <b/>
        <sz val="10"/>
        <color theme="1"/>
        <rFont val="Calibri"/>
        <family val="2"/>
        <scheme val="minor"/>
      </rPr>
      <t>/69000</t>
    </r>
  </si>
  <si>
    <r>
      <t>69002</t>
    </r>
    <r>
      <rPr>
        <b/>
        <sz val="10"/>
        <color theme="1"/>
        <rFont val="Calibri"/>
        <family val="2"/>
        <scheme val="minor"/>
      </rPr>
      <t>/69000</t>
    </r>
  </si>
  <si>
    <r>
      <t>69003</t>
    </r>
    <r>
      <rPr>
        <b/>
        <sz val="10"/>
        <color theme="1"/>
        <rFont val="Calibri"/>
        <family val="2"/>
        <scheme val="minor"/>
      </rPr>
      <t>/69000</t>
    </r>
  </si>
  <si>
    <r>
      <t>69021</t>
    </r>
    <r>
      <rPr>
        <b/>
        <sz val="10"/>
        <color theme="1"/>
        <rFont val="Calibri"/>
        <family val="2"/>
        <scheme val="minor"/>
      </rPr>
      <t>/69020</t>
    </r>
  </si>
  <si>
    <r>
      <t>69022</t>
    </r>
    <r>
      <rPr>
        <b/>
        <sz val="10"/>
        <color theme="1"/>
        <rFont val="Calibri"/>
        <family val="2"/>
        <scheme val="minor"/>
      </rPr>
      <t>/69020</t>
    </r>
  </si>
  <si>
    <r>
      <t>69041</t>
    </r>
    <r>
      <rPr>
        <b/>
        <sz val="10"/>
        <color theme="1"/>
        <rFont val="Calibri"/>
        <family val="2"/>
        <scheme val="minor"/>
      </rPr>
      <t>/69040</t>
    </r>
  </si>
  <si>
    <r>
      <t>69061</t>
    </r>
    <r>
      <rPr>
        <b/>
        <sz val="10"/>
        <color theme="1"/>
        <rFont val="Calibri"/>
        <family val="2"/>
        <scheme val="minor"/>
      </rPr>
      <t>/69060</t>
    </r>
  </si>
  <si>
    <r>
      <t>69081</t>
    </r>
    <r>
      <rPr>
        <b/>
        <sz val="10"/>
        <color theme="1"/>
        <rFont val="Calibri"/>
        <family val="2"/>
        <scheme val="minor"/>
      </rPr>
      <t>/69080</t>
    </r>
  </si>
  <si>
    <r>
      <t>69101</t>
    </r>
    <r>
      <rPr>
        <b/>
        <sz val="10"/>
        <color theme="1"/>
        <rFont val="Calibri"/>
        <family val="2"/>
        <scheme val="minor"/>
      </rPr>
      <t>/69100</t>
    </r>
  </si>
  <si>
    <r>
      <t>69121</t>
    </r>
    <r>
      <rPr>
        <b/>
        <sz val="10"/>
        <color theme="1"/>
        <rFont val="Calibri"/>
        <family val="2"/>
        <scheme val="minor"/>
      </rPr>
      <t>/69120</t>
    </r>
  </si>
  <si>
    <r>
      <t>69141</t>
    </r>
    <r>
      <rPr>
        <b/>
        <sz val="10"/>
        <color theme="1"/>
        <rFont val="Calibri"/>
        <family val="2"/>
        <scheme val="minor"/>
      </rPr>
      <t>/69140</t>
    </r>
  </si>
  <si>
    <t>MEDIA DE 97 A 2019</t>
  </si>
  <si>
    <t>4.8.0.0.00.00.00.00</t>
  </si>
  <si>
    <t>Rec. Capital Intra-Orcamentárias</t>
  </si>
  <si>
    <t>Taxa de Registro de Marca P/Marcacao de Gado Lei Mun. 1202/2019. - Principal</t>
  </si>
  <si>
    <t>Indenização Ambiental</t>
  </si>
  <si>
    <t>Receita de Pedido de Alevinos</t>
  </si>
  <si>
    <t>Variação do IPCA base Sistema de Expectativas de Mercado Famurs</t>
  </si>
  <si>
    <t>Crescimento do PIB ( Variação Anual)  base Sistema de Expectativas de Mercado FAMURS</t>
  </si>
  <si>
    <t>Crescimento do PIB  RS ( Variação Anual)  base FAMURS</t>
  </si>
  <si>
    <t>Estimativa de INDICE DA CIDE PARA 2020</t>
  </si>
  <si>
    <t xml:space="preserve">Estimativa para 2020 – R$ BASE  ESTIMATIVAS FAMURS </t>
  </si>
  <si>
    <t>Matriculas base censo escolar 2019 - FONTE DADOS PARCIAIS DO INEP - CRECHE INTEGRAL RURAL</t>
  </si>
  <si>
    <t>Matriculas base censo escolar 2019 - FONTE DADOS PARCIAIS DO INEP - PREESCOLA PARCIAL RURAL</t>
  </si>
  <si>
    <t>Matriculas base censo escolar 2019 - FONTE DADOS PARCIAIS DO INEP - ENS. FUND. ANOS INICIAIS PARCIAL RURAL</t>
  </si>
  <si>
    <t>Matriculas base censo escolar 2019 - FONTE DADOS PARCIAIS DO INEP - ENS. FUND. ANOS INICIAIS INTEG. RURAL</t>
  </si>
  <si>
    <t>Matriculas base censo escolar 2019 - FONTE DADOS PARCIAIS DO INEP - ENS. FUND. ANOS FINAIS PARCIAL RURAL</t>
  </si>
  <si>
    <t>Matriculas base censo escolar 2019 - FONTE DADOS PARCIAIS DO INEP - EJA FUND. PRESENCIAL RURAL</t>
  </si>
  <si>
    <t>Matriculas base censo escolar 2019 - FONTE DADOS PARCIAIS DO INEP - EDUCACAO ESPECIAL RURAL</t>
  </si>
  <si>
    <t>Matriculas base censo escolar 2019 - FONTE DADOS PARCIAIS DO INEP - ENS. FUND. ANOS INICIAIS ESTADO</t>
  </si>
  <si>
    <t>Matriculas base censo escolar 2019 - FONTE DADOS PARCIAIS DO INEP - ENS. FUND. ANOS FINAIS ESTADO</t>
  </si>
  <si>
    <t>Matriculas base censo escolar 2019 - FONTE DADOS PARCIAIS DO INEP - ENSINO MEDIO ESTADO</t>
  </si>
  <si>
    <t>Matriculas base censo escolar 2019 - FONTE DADOS PARCIAIS DO INEP - ENSINO EJA MEDIO ESTADO</t>
  </si>
  <si>
    <t>Diretor da Administração</t>
  </si>
  <si>
    <t>Matheus Tuchtenhagen Konflanz</t>
  </si>
  <si>
    <t>Coordenador de Planejamento</t>
  </si>
  <si>
    <t>Coordenador de Projetos</t>
  </si>
  <si>
    <t>Setor: SMF</t>
  </si>
  <si>
    <t>Cargo Vago</t>
  </si>
  <si>
    <t>Airton Braga dos Santos</t>
  </si>
  <si>
    <t>Cargo Adequado(Arquiteto e Urbanista)</t>
  </si>
  <si>
    <t>Isabel Cristina Pereira de Pereira</t>
  </si>
  <si>
    <t>Elcio Dettmann Muller</t>
  </si>
  <si>
    <t>Geraldo Silva Doreneles</t>
  </si>
  <si>
    <t>Jose Eugênio Kornalewski</t>
  </si>
  <si>
    <t>Grasiela dos Santos</t>
  </si>
  <si>
    <t>Lillian Alexandre Bartz</t>
  </si>
  <si>
    <t>Josel Santos Subda</t>
  </si>
  <si>
    <t>Mara Rosane Mayens</t>
  </si>
  <si>
    <t>Marcia Lisiane Klug da Silva</t>
  </si>
  <si>
    <t>Maria Amalia Lacerda Bierhals</t>
  </si>
  <si>
    <t>Rosa Maria Okraszewski Finkler</t>
  </si>
  <si>
    <t>Tais Voigt Dorneles</t>
  </si>
  <si>
    <t>Berenice Vieira Soares Lopes</t>
  </si>
  <si>
    <t>Vago</t>
  </si>
  <si>
    <t>Colunas1</t>
  </si>
  <si>
    <t>Colunas2</t>
  </si>
  <si>
    <t>Colunas3</t>
  </si>
  <si>
    <t>Colunas4</t>
  </si>
  <si>
    <t>Colunas5</t>
  </si>
  <si>
    <t>Colunas6</t>
  </si>
  <si>
    <t>Colunas7</t>
  </si>
  <si>
    <t>Colunas8</t>
  </si>
  <si>
    <t>Colunas9</t>
  </si>
  <si>
    <t>Colunas10</t>
  </si>
  <si>
    <t>Colunas11</t>
  </si>
  <si>
    <t>Colunas12</t>
  </si>
  <si>
    <t>Colunas13</t>
  </si>
  <si>
    <t>Colunas14</t>
  </si>
  <si>
    <t>Colunas15</t>
  </si>
  <si>
    <t>Colunas16</t>
  </si>
  <si>
    <t>Colunas17</t>
  </si>
  <si>
    <t>Colunas18</t>
  </si>
  <si>
    <t>Colunas19</t>
  </si>
  <si>
    <t>Colunas20</t>
  </si>
  <si>
    <t>Colunas21</t>
  </si>
  <si>
    <t>Colunas22</t>
  </si>
  <si>
    <t>Colunas23</t>
  </si>
  <si>
    <t>Colunas24</t>
  </si>
  <si>
    <t>Colunas25</t>
  </si>
  <si>
    <t>Colunas26</t>
  </si>
  <si>
    <t>Colunas27</t>
  </si>
  <si>
    <t>Colunas28</t>
  </si>
  <si>
    <t>Colunas29</t>
  </si>
  <si>
    <t>Colunas30</t>
  </si>
  <si>
    <t>Colunas31</t>
  </si>
  <si>
    <t>Colunas32</t>
  </si>
  <si>
    <t>Colunas33</t>
  </si>
  <si>
    <t>Colunas34</t>
  </si>
  <si>
    <t>Colunas35</t>
  </si>
  <si>
    <t>Colunas36</t>
  </si>
  <si>
    <t>Colunas37</t>
  </si>
  <si>
    <t>Colunas38</t>
  </si>
  <si>
    <t>Colunas39</t>
  </si>
  <si>
    <t>Sandro Avila da Rocha</t>
  </si>
  <si>
    <t>Cintia Bierhals Galski Buchornn</t>
  </si>
  <si>
    <t>Cargo novo</t>
  </si>
  <si>
    <t>Alvaro Wisniewski Mietlick</t>
  </si>
  <si>
    <t>Charles Medeiros dos Santos</t>
  </si>
  <si>
    <t>Daiane Bugs da Silva</t>
  </si>
  <si>
    <t>Lisiane Protzen</t>
  </si>
  <si>
    <t>Marco Aurélio Félix da Silva</t>
  </si>
  <si>
    <t>Mauro Sérgio Rocha da Silva</t>
  </si>
  <si>
    <t>Paloma Bierhals Venzke Silveira</t>
  </si>
  <si>
    <t>Rosiane Klepon Sampaio</t>
  </si>
  <si>
    <t>Willian da Rosa Peixoto</t>
  </si>
  <si>
    <t>Fabricio Soares de Medeiros</t>
  </si>
  <si>
    <t>Luciana Renard Silva</t>
  </si>
  <si>
    <t>Vanderleia Silva Santana</t>
  </si>
  <si>
    <t>Maria de Fátima Peres</t>
  </si>
  <si>
    <t>Projeção da Folha de Pagamento para o Exercício de 2020</t>
  </si>
  <si>
    <t xml:space="preserve">Clovis  Vanderlei Bugs </t>
  </si>
  <si>
    <t>Roberto Carlos Guterres Tyska</t>
  </si>
  <si>
    <t>Diretor de Agricultura</t>
  </si>
  <si>
    <t>Tatiane Lucena da Silva Martins</t>
  </si>
  <si>
    <t>Maicon Michel Ebel Schemegel</t>
  </si>
  <si>
    <t>Ricardo Ferreira da Cunha</t>
  </si>
  <si>
    <t>Vandriele Pereira Doreneles</t>
  </si>
  <si>
    <t>Diretor de Administrativo do Meio Ambiente</t>
  </si>
  <si>
    <t>Marcos Antonio Silva dos Passos</t>
  </si>
  <si>
    <t>-</t>
  </si>
  <si>
    <t>TOTAL SECRETARIA  EDUCACAO</t>
  </si>
  <si>
    <t>TOTAL EFETIVOS EMEF SANTA LUZIA</t>
  </si>
  <si>
    <t>TOTAL EFETIVOS EMEF ARLINDO BONIFACIO PIRES</t>
  </si>
  <si>
    <t>TOTAL CONTRATADO EMEF ARLINDO BONIFÁCIO PIRES</t>
  </si>
  <si>
    <t>Angelica Nunes Nunes</t>
  </si>
  <si>
    <t>Gecilda Kielermann Maron</t>
  </si>
  <si>
    <t>Simone Protzen</t>
  </si>
  <si>
    <t>Eliane Grund Peter</t>
  </si>
  <si>
    <t>TOTAL CONTRATADO TRANSPORTE ESCOLAR</t>
  </si>
  <si>
    <t>Carla Miranda do Nascimento</t>
  </si>
  <si>
    <t>Jair da Silva e Silva</t>
  </si>
  <si>
    <t>Jonathan Buchhorn</t>
  </si>
  <si>
    <t>Julio Cesar da Silva</t>
  </si>
  <si>
    <t>Marcia Flores da Silva</t>
  </si>
  <si>
    <t>Ronaldo Juliã Vargas</t>
  </si>
  <si>
    <t>TOTAL EFETIVOS TRANSPORTE ESCOLAR</t>
  </si>
  <si>
    <t>TOTAL C.C. TRANSPORTE ESCOLAR</t>
  </si>
  <si>
    <t>TOTAL EFETIVOS EMEI SONHO DE CRIANÇA</t>
  </si>
  <si>
    <t>TOTAL EFETIVOS ALIMENTAÇÃO ESCOLAR</t>
  </si>
  <si>
    <t>Marina Inez Buchhorn</t>
  </si>
  <si>
    <t>Savio Tyska e Silva</t>
  </si>
  <si>
    <t>TOTAL C.C. DEPARTAMENTO DE DESPORTO</t>
  </si>
  <si>
    <t>TOTAL C.C. DEPARTAMENTO DE CULTURA</t>
  </si>
  <si>
    <t>Bernardete Teixeira Tejada</t>
  </si>
  <si>
    <t>Permutado</t>
  </si>
  <si>
    <t>Gabriela Mattos Paim Puschnerat</t>
  </si>
  <si>
    <t>TOTAL DA GESTÃO E COORDENAÇÃO SECRETARIA MUNICIPAL DE SAUDE</t>
  </si>
  <si>
    <t>Bruna Araujo de Souza</t>
  </si>
  <si>
    <t>TOTAL SERVIDORES C.C. SECRETARIA MUNICIPAL DA SAÚDE</t>
  </si>
  <si>
    <t>TOTAL SUBSIDIOS SECRETARIA MUNICIPAL DA SAÚDE</t>
  </si>
  <si>
    <t>GESTÃO DA ATENÇÃO BÁSICA</t>
  </si>
  <si>
    <t>Carine Novinski</t>
  </si>
  <si>
    <t>Daniela Lesnik Tavares</t>
  </si>
  <si>
    <t>Paulo Roberto Miranda da Rocha</t>
  </si>
  <si>
    <t>Rosane Fatima Ostrowski</t>
  </si>
  <si>
    <t>TOTAL SERVIDORES CONTRATADOS SECRETARIA MUNICIPAL DA SAÚDE</t>
  </si>
  <si>
    <t>TOTAL SERVIDORES EFETIVOS  SECRETARIA MUNICIPAL DA SAÚDE</t>
  </si>
  <si>
    <t>TOTAL SERVIDORES CONTRATADOS UNIDADE BÁSICA DE SAÚDE</t>
  </si>
  <si>
    <t>TOTAL SERVIDORES EFETIVOS UNIDADE BÁSICA DE SAÚDE</t>
  </si>
  <si>
    <t>Helio José Langhanz</t>
  </si>
  <si>
    <t>TOTAL SERVIDORES CONTRATADOS FARMACIA</t>
  </si>
  <si>
    <t>TOTAL SERVIDORES EFETIVOS UNIDADE ODONTOLÓGICA</t>
  </si>
  <si>
    <t>TOTAL SERVIDORES EFETIVOS UNIDADE NUTRIÇÃO</t>
  </si>
  <si>
    <t>TOTAL DA GESTÃO DA ATENÇÃO BÁSICA</t>
  </si>
  <si>
    <t>GESTÃO DA ATENÇÃO A MÉDIA E ALTA COMPLEXIDADE HOSPITALAR - M.A.C.H.</t>
  </si>
  <si>
    <t>Setor: Gestão da Atenção M.A.C.H.</t>
  </si>
  <si>
    <t>c</t>
  </si>
  <si>
    <t>Adilson Kront Bierhals</t>
  </si>
  <si>
    <t>Leandro Roloff Bierhals</t>
  </si>
  <si>
    <t>TOTAL SERVIDORES CONTRATADOS ATENÇÃO A MÉDIA E ALTA COMPLEXIDADE HOSPITALAR - M.A.C.H.</t>
  </si>
  <si>
    <t>TOTAL SERVIDORES EFETIVOS ATENÇÃO A MÉDIA E ALTA COMPLEXIDADE HOSPITALAR - M.A.C.H.</t>
  </si>
  <si>
    <t>TOTAL GESTÃO DA ATENÇÃO A MÉDIA E ALTA COMPLEXIDADE HOSPITALAR - M.A.C.H.</t>
  </si>
  <si>
    <t>TOTAL  GERAL DA SECRETARIA MUNICIPAL DA SAÚDE</t>
  </si>
  <si>
    <t>NOME</t>
  </si>
  <si>
    <t>NOMEAÇÃO</t>
  </si>
  <si>
    <t>COEF. CALCULO VENCIMENTOS</t>
  </si>
  <si>
    <t>VALOR VENCIMENTO ATUAL</t>
  </si>
  <si>
    <t>PISO NACIONAL FUNDEB</t>
  </si>
  <si>
    <t>VENCIMENTO BÁSICO</t>
  </si>
  <si>
    <t>PISO NACIONAL DECISÃO JUDICIAL/ACORDO</t>
  </si>
  <si>
    <t>CLASSE NIVEL</t>
  </si>
  <si>
    <t>% DE ANUÊNIOS</t>
  </si>
  <si>
    <t>VALOR ANUÊNIO</t>
  </si>
  <si>
    <t>FUNÇÃO GRATIFICIADA</t>
  </si>
  <si>
    <t>VALOR ALTERACAO CARGA HORÁRIA</t>
  </si>
  <si>
    <t>VALOR PARCELA AUTONOMA</t>
  </si>
  <si>
    <t>% DE CALCULO AUXILIO TRANSPORTE</t>
  </si>
  <si>
    <t>VALOR AUXILIO TRANSPORTE</t>
  </si>
  <si>
    <t>% DIFICIAL ACESSO</t>
  </si>
  <si>
    <t>VALOR DIFICIAL ACESSO</t>
  </si>
  <si>
    <t>GRATIFICAÇÃO GAB. PREFEITO</t>
  </si>
  <si>
    <t>VALOR 1/3 SALARIO DE FÉRIAS  S/SALARIO</t>
  </si>
  <si>
    <t>VALOR 13º SALÁRIO</t>
  </si>
  <si>
    <t>VALOR ANUÊNIO S/13º SALÁRIO</t>
  </si>
  <si>
    <t>VALOR REFERENCIAL:</t>
  </si>
  <si>
    <t>Vanessa de Kornalewski da Silva</t>
  </si>
  <si>
    <t>Setor: Gestão EMEF Santa Luzia : Ensino Fundamental</t>
  </si>
  <si>
    <t>GESTÃO EMEF SANTA LUZIA</t>
  </si>
  <si>
    <t>TOTAL PROFESSORES CONTRATADOS ENSINO FUNDAMENTAL</t>
  </si>
  <si>
    <t>TOTAL PROFESSORES EFETIVOS ENSINO FUNDAMENTAL</t>
  </si>
  <si>
    <t>TOTAL PROFESSORES EFETIVOS EDUCAÇÃO INFANTIL</t>
  </si>
  <si>
    <t>TOTAL PROFESSORES EFETIVOS EDUCAÇÃO ESPECIAL</t>
  </si>
  <si>
    <t>TOTAL PROFESSORES EFETIVOS EDUCAÇÃO DE JOVENS E ADULTOS</t>
  </si>
  <si>
    <t>TOTAL EMEF SANTA LUZIA</t>
  </si>
  <si>
    <t>GESTÃO EMEF ARLINDO BONIFÁCIO PIRES</t>
  </si>
  <si>
    <t>Catiane Brito Longaray</t>
  </si>
  <si>
    <t>Erico Kenne Rakowski</t>
  </si>
  <si>
    <t>Ilena Konflanz Holz</t>
  </si>
  <si>
    <t>Joelma Souza da Silva</t>
  </si>
  <si>
    <t>Maria Cristina da Silva</t>
  </si>
  <si>
    <t>TOTAL EMEF ARLINDO BONIFÁCIO PIRES</t>
  </si>
  <si>
    <t>GESTÃO EMEI SONHO DE CRIANÇA</t>
  </si>
  <si>
    <t>TOTAL PROFESSORES EFETIVOS</t>
  </si>
  <si>
    <t>TOTAL EMEI SONHO DE CRIANÇA</t>
  </si>
  <si>
    <t>IRRF - Outros Rendimentos - Principal - Poder Executivo</t>
  </si>
  <si>
    <t>IRRF - Outros Rendimentos - Principal - Poder Legislativo</t>
  </si>
  <si>
    <t>Transferencias Diversas do Estado</t>
  </si>
  <si>
    <t>Total por Recursos:</t>
  </si>
  <si>
    <t>VALOR ESTIMADO PARA O EXERCICIO DE 2020.</t>
  </si>
  <si>
    <t>4.1.7.1.8.99.99.00.00000</t>
  </si>
  <si>
    <t>4.1.7.2.8.99.01.00.0000</t>
  </si>
  <si>
    <t>4.1.9.9.0.99.21.07.0000</t>
  </si>
  <si>
    <t>4.1.9.9.0.99.21.08.0000</t>
  </si>
  <si>
    <t>4.1.9.9.0.99.21.09.0000</t>
  </si>
  <si>
    <t>4.1.9.9.0.99.99.99.0000</t>
  </si>
  <si>
    <t>Transferências Proposta nº 006081/2019 P/Construção de Pavilhão Agrícola.</t>
  </si>
  <si>
    <t>Transferências Proposta nº 022145/2019 P/Reforma do Centro de Eventos(Parque) e Revitalização da Praça Pública.</t>
  </si>
  <si>
    <t>Transferências Proposta nº 031587/2019 P/scavadeira Hidráulica e Caminhão Trator Trucado com Semi Reboque Prancha.</t>
  </si>
  <si>
    <t>Transferências Proposta nº 002033/2019 P/Pavimentao de Ruas Urbanas T e S</t>
  </si>
  <si>
    <t>4.2.4.1.0.00.11.13.0000</t>
  </si>
  <si>
    <t>4.2.4.1.0.00.11.14.0000</t>
  </si>
  <si>
    <t>4.2.4.1.0.00.11.15.0000</t>
  </si>
  <si>
    <t>4.2.4.1.0.00.11.16.0000</t>
  </si>
  <si>
    <t>4.2.4.2.0.00.11.01.9900</t>
  </si>
  <si>
    <t>Remun. de Depósitos Bancarios - Invenst. Atencao Básica</t>
  </si>
  <si>
    <t>Transferencias do SUS - Incremento do Custeio Serv. Atenção Básica</t>
  </si>
  <si>
    <t>Receitas de Eventos GCN Uniao dos Pagos: Ingresso Domingueira</t>
  </si>
  <si>
    <t>Receitas de Eventos GCN Uniao dos Pagos: Copa e Cozinha</t>
  </si>
  <si>
    <t>4.1.9.9.0.99.99.02.0000</t>
  </si>
  <si>
    <t>1171 -TRANSF. ESTADO P/AQUIS. INSUMOS AGRIC.</t>
  </si>
  <si>
    <t>4070 - PROG. SAUDE MENTAL</t>
  </si>
  <si>
    <t>4051 - DIABETES MELLITUS</t>
  </si>
  <si>
    <t>Valor máximo para as despesas com a  Folha de Pagamentos do Poder Legislativo em 2020(CF/88, art. 29-A, § 1º) = 70% S/Despesas Previstas</t>
  </si>
  <si>
    <t>Valor máximo para as despesas do Poder Legislativo em 2020</t>
  </si>
  <si>
    <t>SETOR</t>
  </si>
  <si>
    <t>VERBA</t>
  </si>
  <si>
    <t>GABINETE DO PREFEITO</t>
  </si>
  <si>
    <t>FÉRIAS C.C.</t>
  </si>
  <si>
    <t>FÉRIAS PREFEITO</t>
  </si>
  <si>
    <t>13º SALÁRIO PREFEITO</t>
  </si>
  <si>
    <t>13º SALÁRIO C.C.</t>
  </si>
  <si>
    <t>GRATIFICAÇÃO LEI 463</t>
  </si>
  <si>
    <t>%/DESP. MEDIA TOTAL</t>
  </si>
  <si>
    <t>% DESPESA MEDIA</t>
  </si>
  <si>
    <t>MEDIA</t>
  </si>
  <si>
    <t>GESTÃO, COORD. E PLAN. CON. MUN. DE ASSIST. SOCIAL</t>
  </si>
  <si>
    <t>GESTÃO DO F.M.C.A.</t>
  </si>
  <si>
    <t>FUNDO MUN. DA CRIANÇA E DO ADOLESCENTE</t>
  </si>
  <si>
    <t>GESTÃO, MONITORAMENTO E VIGILÂNCIA – SUAS</t>
  </si>
  <si>
    <t>GESTÃO E OPERACION. DO PROGRAMA BOLSA FAMÍLIA</t>
  </si>
  <si>
    <t>B.P.S.E.M.C. Assist. Crian. e Adoles: Despesas de Exercícios Anteriore</t>
  </si>
  <si>
    <t>PROMOÇÃO DA ASSIST. SOC. ESP. E MÉDIA COMPLEXIDADE</t>
  </si>
  <si>
    <t>B.P.S.B. CRAS:  Contrib. Patron. Prev. S/Serv.</t>
  </si>
  <si>
    <t>B.P.S.B.Assist. Crian. e Adoles: Mat., Bens ou Serv. Distrib. Gratuita</t>
  </si>
  <si>
    <t>B.P.S.B.Assist. Port. Def.: Materiais, Bens ou Serv. Distrib. Gratuita</t>
  </si>
  <si>
    <t>B.P.S.B Assist. ao Idoso: Materiais, Bens ou Serv. Distrib. Gratuita</t>
  </si>
  <si>
    <t>FUNDO MUN. DE ASSIST. SOCIAL - PROG. FEDERAIS</t>
  </si>
  <si>
    <t>Gest. de Recursos FECA:  AQ. de Equipamentos</t>
  </si>
  <si>
    <t>Gest. de Recursos FECA: Prestação de Serviços P. Juridica</t>
  </si>
  <si>
    <t>Gest. de Recursos FECA: Material de Consumo</t>
  </si>
  <si>
    <t>Gest. de Recursos FECA: Indenizações e Restituições</t>
  </si>
  <si>
    <t>FUNDO MUN. DE ASSIST. SOCIAL - PROG. ESTADUAIS</t>
  </si>
  <si>
    <t>Gest. de Benef. Eventuais: Materiais, Bens ou Serviços Distrib. Gratui</t>
  </si>
  <si>
    <t>Gest. de Benef. Eventuais: Execução de Repasses, Transferências e Conv</t>
  </si>
  <si>
    <t>Assist. Crian. e Adoles:Exec. de Repasses, Transf. e Conv. a Entidades</t>
  </si>
  <si>
    <t>FUNDO MUN. DE ASSIST. SOCIAL - PROG. MUNICIPAIS</t>
  </si>
  <si>
    <t>Gestao S.M.A.S. Folha PGTº: Serv. Efetivos, CLT,  C.C. e Agente Polít,</t>
  </si>
  <si>
    <t>GESTÃO, COORDENAÇÃO E PLANEJAMENTO ADMINISTRATIVO</t>
  </si>
  <si>
    <t>SECRETARIA MUNICIPAL DE ASSISTENCIA  SOCIAL</t>
  </si>
  <si>
    <t>Gestão Vig. em Saúde: Diárias</t>
  </si>
  <si>
    <t>Gestão Vig. em Saúde: Folha PGTº:  Plano de Saúde dos Servidores</t>
  </si>
  <si>
    <t>Gestão do SUS: Equip. e Material Permanente</t>
  </si>
  <si>
    <t>Gestão do SUS: Contrib. Patron. Prev. S/Serv.</t>
  </si>
  <si>
    <t>Gestão do SUS: Diárias</t>
  </si>
  <si>
    <t>GESTÃO DO BLOCO FINANCIAMENTO: GESTÃO DO SUS</t>
  </si>
  <si>
    <t>Gestão Atenção Básica: Substituicao  De Mao-De-Obra  (Art18 Par1 Lc 101)</t>
  </si>
  <si>
    <t> 27</t>
  </si>
  <si>
    <t>GEST. BLOC. FIN: ASS.  HOSP. E AMB. - M.A.C.</t>
  </si>
  <si>
    <t> 26</t>
  </si>
  <si>
    <t>Gestão do SUS:  Equipamentos e Material Permanente 4509</t>
  </si>
  <si>
    <t>Gestão do SUS:  Obras e Instalações 4509</t>
  </si>
  <si>
    <t>Gestão do SUS:  Outros Serviços Terceiros PJ 4509</t>
  </si>
  <si>
    <t>Gestão do SUS:  Outros Serviços Terceiros PF 4509</t>
  </si>
  <si>
    <t>Gestão do SUS:  Material de Consumo 4509</t>
  </si>
  <si>
    <t>Gestão do SUS:  Devolução de Saldo 4509</t>
  </si>
  <si>
    <t>Gestão Atenção Basic.: Obrigacoes Trib. e Contributivas Rec. 4512   </t>
  </si>
  <si>
    <t>GEST. BLOCO FINAN.: INVEST.  EM ATENÇÃO BÁSICA</t>
  </si>
  <si>
    <t> 25</t>
  </si>
  <si>
    <t>FUNDO MUNICIPAL DE SAÚDE  - PROGRAMAS FEDERAIS</t>
  </si>
  <si>
    <t>Gestão M.A.C.: Contrib. Prev. Substi. de Servidores P/Serviços Terc.</t>
  </si>
  <si>
    <t>Gestão Atenção Basic.: Obrig Trib. E Contrib. S/Serv. Terceiros</t>
  </si>
  <si>
    <t>Gestão Atenção Basic.: Prest. de Serv. P. Física</t>
  </si>
  <si>
    <t>Gestão Saude Mental Folha PGTº:  Plano de Saúde dos Servidores</t>
  </si>
  <si>
    <t>Gest. De Invest. At. Basic.: Devolucao de Saldo de Recursos</t>
  </si>
  <si>
    <t>FUNDO MUNICIPAL DE SAÚDE - PROGRAMAS ESTADUAIS</t>
  </si>
  <si>
    <t>Gestão Vig. em Saúde Folha PGTº: Serv. Efetivos, C.C.</t>
  </si>
  <si>
    <t>Gestão Vig. Epidem. Folha PGTº:  Plano de Saúde dos Servidores</t>
  </si>
  <si>
    <t>Gestão Assit. Farm. Folha PGTº:  Plano de Saúde dos Servidores</t>
  </si>
  <si>
    <t>Gestão M.A.C.: Equip. e Material Permanente Recurso Intra</t>
  </si>
  <si>
    <t>Gestao Fin. M.A.C.A..H Ex. Ant: Rateio Pela Particip. em Cons. Publico</t>
  </si>
  <si>
    <t>Gestao Fin. M.A.C.A..H: Rateio Pela Participacao Em Consorcio Publico</t>
  </si>
  <si>
    <t>Gestão M.A.C. Folha PGTº: Efetivos, C.C. e F.G.</t>
  </si>
  <si>
    <t>Gestão Nutrição: Obrig Trib. e Contrib. S/Serviços</t>
  </si>
  <si>
    <t>Gestão Nutrição Folha PGTº: Obrigações Patronais</t>
  </si>
  <si>
    <t>Gestão Nutrição Folha PGTº: Serv. Efetivos., C.C.</t>
  </si>
  <si>
    <t>Gestão U.B.S.: Folha PGTº: Efetivos,  C.C. e F.G.</t>
  </si>
  <si>
    <t>Gestão Nutrição Folha PGTº:  Plano de Saúde dos Servidores</t>
  </si>
  <si>
    <t>Gestão U.B.S. Folha PGTº:  Plano de Saúde dos Servidores</t>
  </si>
  <si>
    <t>FUNDO MUNICIPAL DE SAÚDE - PROGRAMAS MUNICIPAIS</t>
  </si>
  <si>
    <t>Gest., Coord. e Planej. Cons. de Saúde: Obrig Trib. e Contrib. S/Serv.</t>
  </si>
  <si>
    <t>Gest., Coord. e Planej. Cons. de Saúde: Serv. de Tec. da Infor. e Com</t>
  </si>
  <si>
    <t>Capacit. e Treinam. Membros Cons. de Saúde:  Outros Servicos - PJ</t>
  </si>
  <si>
    <t>Gest., Coord. e Planej. Cons. de Saúde: Despesas C/Locomocao</t>
  </si>
  <si>
    <t>Capacit. e Treinam. Membros Cons. de Saúde: Diárias</t>
  </si>
  <si>
    <t>Formação de Recursos Humanos: Contrib. Patron. Prev. S/Serv.</t>
  </si>
  <si>
    <t>Formação de Recursos Humanos:  Outros Servicos - PJ</t>
  </si>
  <si>
    <t>Gestão do SUS Folha PGTº:  Plano de Saúde dos Servidores</t>
  </si>
  <si>
    <t>NOVOS INVEST. PARA GESTÃO DE SERVIÇOS DE SAÚDE</t>
  </si>
  <si>
    <t> 19</t>
  </si>
  <si>
    <t>SECRETARIA MUNICIPAL DE SAÚDE</t>
  </si>
  <si>
    <t>Transporte Escolar Ensino Docentes:  Prestação de Serviços</t>
  </si>
  <si>
    <t>PROMOÇÃO DO TRANSPORTE ESCOLAR : DOCENTES</t>
  </si>
  <si>
    <t>Transporte Escolar Pre Vestibular:  Prestação de Serviços</t>
  </si>
  <si>
    <t>PROMOÇÃO DO TRANSP. ESCOLAR  CURSOS PRE VESTIBULAR</t>
  </si>
  <si>
    <t>PROM. DO TRANSP. ESC. DO ENS. PROFISSIONALIZANTE</t>
  </si>
  <si>
    <t>PROMOÇÃO DO TRANSP. ESC. DO ENSINO SUPERIOR</t>
  </si>
  <si>
    <t>Transp. Esc. Ens. de Jovens e Adultos: Material de Consumo</t>
  </si>
  <si>
    <t>PROMOÇÃO DO TRANSP. ESC. DA ED. DE JOV. E ADULTOS</t>
  </si>
  <si>
    <t> Transp. Esc. Educação Especial: Prestação de Serviços</t>
  </si>
  <si>
    <t>Transp. Esc. Educação Especial: Prestação de Serviços</t>
  </si>
  <si>
    <t>Transp. Esc. Educação Especial: Material de Consumo</t>
  </si>
  <si>
    <t>PROMOÇÃO DO TRANSP. ESCOLAR DA EDUCAÇÃO ESPECIAL</t>
  </si>
  <si>
    <t>Transp. Esc. Ens. de Jovens e Adultos: Equip. e Material Permanente</t>
  </si>
  <si>
    <t>AQUISICAO DE VEICULOS</t>
  </si>
  <si>
    <t> 15</t>
  </si>
  <si>
    <t>Transp. Esc. Educação Especial: Equip. e Material Permanente</t>
  </si>
  <si>
    <t>AQUISIÇÃO DE EQ. E MAT. PERM. E DE INFORMATICA</t>
  </si>
  <si>
    <t> 14</t>
  </si>
  <si>
    <t>NOVOS INVEST. TRANSP. ESC. DA EDUCAÇÃO INFANTIL</t>
  </si>
  <si>
    <t> 13</t>
  </si>
  <si>
    <t>NOVOS INVEST. TRANSP. ESC. DO ENSINO FUNDAMENTAL</t>
  </si>
  <si>
    <t> 12</t>
  </si>
  <si>
    <t>GESTAO E PROMOÇÃO DO TRANSP. ESC. PROPRIOS E VINC.</t>
  </si>
  <si>
    <t>Substituição de Servidores</t>
  </si>
  <si>
    <t>Contrib. Patronais Prev. Subst. Serv.</t>
  </si>
  <si>
    <t> Transp. Esc. Educação Especial: Equipamentos e Material Permanente</t>
  </si>
  <si>
    <t>GESTAO E PROMOÇÃO DO TRANSP. ESC. REC. FEDERAIS</t>
  </si>
  <si>
    <t>Transporte Escolar  Ensino Médio:  Prest. Serv. PJ</t>
  </si>
  <si>
    <t>Transporte Escolar  Ensino Médio:  Material de Consumo</t>
  </si>
  <si>
    <t>Transporte Escolar  Ensino Fundamental: Prest. Serv. PJ</t>
  </si>
  <si>
    <t>Transporte Escolar  Ensino Fundamental: Material de Consumo</t>
  </si>
  <si>
    <t>GESTAO E PROMOÇÃO DO TRANSP. ESC. REC.  ESTADUAIS</t>
  </si>
  <si>
    <t>Gest., Coord. e Planej.: Serviços de Tecnologia da Informação e Com.</t>
  </si>
  <si>
    <t>GESTÃO, COORD. E PROMOÇÃO DO TRANSPORTE ESCOLAR</t>
  </si>
  <si>
    <t>Prom. e Des. Ed. Infantil: Material, Bem ou Serviço para Distrib. Grat</t>
  </si>
  <si>
    <t>Prom. e Des. Ed. Infantil Folha PGTº: Subst. de Serv. P/Serviços Terce</t>
  </si>
  <si>
    <t>ProProm. e Des. Ed. Infantil Folha PGTº: Plano de Saúde dos Servidores</t>
  </si>
  <si>
    <t>Gest. Ed. Infantil: Obras e Instalacoes</t>
  </si>
  <si>
    <t>Gest. Ed. Infantil Folha PGTº:  Subst. de Serv. P/Serviços Terceiros</t>
  </si>
  <si>
    <t>GESTÃO, COORD., PLAN. E MAN. EMEI SONHO DE CRIANÇA</t>
  </si>
  <si>
    <t>Gest. Agrifest. Fest. Fumo: Equip. e Material Permanente</t>
  </si>
  <si>
    <t>Gest. Agrifest. Fest. Fumo: Despesas de Exercícios Anterior</t>
  </si>
  <si>
    <t>Gest. Agrifest. Fest. Fumo: Obrig Trib. e Contrib. S/Serv. Terc.</t>
  </si>
  <si>
    <t>Gest. Agrifest. Fest. Fumo: Serviços de Tecnologia da Informação e Com</t>
  </si>
  <si>
    <t>Gest. Agrifest. Fest. Fumo:  Premiações</t>
  </si>
  <si>
    <t>Gest. Agrifest. Fest. Fumo:  Materiais de Consumo</t>
  </si>
  <si>
    <t>Gest. Agrifest. Fest. Fumo:  Diárias</t>
  </si>
  <si>
    <t> 8</t>
  </si>
  <si>
    <t>DEPARTAMENTO DE TURISMO</t>
  </si>
  <si>
    <t>Prom.  Desenv. do Desp e Lazer: Equipamentos e Material Permanente</t>
  </si>
  <si>
    <t>Prom. Desenv. do Desp e Lazer: Obras e Instalações</t>
  </si>
  <si>
    <t>Prom.  Desenv. do Desp e Lazer: Mat. Adq. P/Consórcio</t>
  </si>
  <si>
    <t>Gest., Coord. e Planej.: Materiais Ad. Através de Cons.</t>
  </si>
  <si>
    <t>Prom.  Desenv. do Desp e Lazer: Ressarcimento de Despesas</t>
  </si>
  <si>
    <t>Prom.  Desenv. do Desp e Lazer: Despesas de Exercícios Anteriores</t>
  </si>
  <si>
    <t>Prom.  Desenv. do Desp e Lazer: Auxilio - Transporte</t>
  </si>
  <si>
    <t>Prom.  Desenv. do Desp e Lazer: Obrig Trib. e Contrib. S/Serv. Terc.</t>
  </si>
  <si>
    <t>Gest., Coord. e Planej.: Obrig Trib. e Contrib. S/Serv. Terc.</t>
  </si>
  <si>
    <t>Prom.  Desenv. do Desp e Lazer: Auxilio - Alimentacao</t>
  </si>
  <si>
    <t>Prom.  Desenv. do Desp e Lazer: Serv. de Tecnol. da Inform.</t>
  </si>
  <si>
    <t>Gest., Coord. e Planej.: Serv. de Tecnol. da Inform. e Comun</t>
  </si>
  <si>
    <t>Prom.  Desenv. do Desp e Lazer: Prest. de Serv. P. Jurídica</t>
  </si>
  <si>
    <t>Prom.  Desenv. do Desp e Lazer: Prest. de Serv. P. Física</t>
  </si>
  <si>
    <t>Prom.  Desenv. do Desp e Lazer: Despesas com Locomocao</t>
  </si>
  <si>
    <t>Prom.  Desenv. do Desp e Lazer: Material de Distribuição Gratuita</t>
  </si>
  <si>
    <t>Prom.  Desenv. do Desp e Lazer: Premiações Desportivas</t>
  </si>
  <si>
    <t>Prom.  Desenv. do Desp e Lazer: Materiais de Consumo</t>
  </si>
  <si>
    <t>Prom.  Desenv. do Desp e Lazer: Diárias</t>
  </si>
  <si>
    <t>Prom.  Desenv. do Desp e Lazer Folha PGTº: Indenizações Trabalhistas</t>
  </si>
  <si>
    <t>Prom.  Desenv. do Desp e Lazer Folha PGTº: Subst. de Serv. P/Serv. Ter</t>
  </si>
  <si>
    <t>Gest., Coord. e Planej. Folha PGTº: Subst.  de Serv. P/Serv. Terc.</t>
  </si>
  <si>
    <t>Prom.  Desenv. do Desp e Lazer Folha PGTº: Folha PGTº: Hora Extra</t>
  </si>
  <si>
    <t>Prom.  Desenv. do Desp e Lazer Folha PGTº: Obrigações Patronais</t>
  </si>
  <si>
    <t>Prom.  Desenv. do Desp e Lazer Folha PGTº: Serv. Efetivos e C.C.</t>
  </si>
  <si>
    <t>Prom.  Desenv. do Desp e Lazer Folha PGTº: Plano de Saúde dos Serv.</t>
  </si>
  <si>
    <t>Gest., Coord. e Planej. Folha PGTº:  Plano de Saúde dos Serv.</t>
  </si>
  <si>
    <t>Prom.  Desenv. do Desp e Lazer Folha PGTº: Servidores Contratados</t>
  </si>
  <si>
    <t>Prom.  Desenv. do Desp e Lazer: Equip. e Mat. Permanente</t>
  </si>
  <si>
    <t>Prom.  Desenv. do Desp e Lazer: Obras e Instalações</t>
  </si>
  <si>
    <t>Prom.  Desenv. do Desp e Lazer: Material de Consumo</t>
  </si>
  <si>
    <t>Prom.  Desenv. do Desp e Lazer: Contrib. Patron. Prev. S/Serv. Terc.</t>
  </si>
  <si>
    <t>DEPARTAMENTO DE DESPORTO</t>
  </si>
  <si>
    <t>Gest. Corrd. e Planej.: Materiais Adquiridos Através de Consórc.</t>
  </si>
  <si>
    <t>Gest. da Prom. e Desenv. Cultural: Serv. de Tecn. da Informação</t>
  </si>
  <si>
    <t>Gest. Corrd. e Planej.: Serv. de Tecnologia da Informação e Com.</t>
  </si>
  <si>
    <t>Gest. Corrd. e Planej.: Folha PGTº:  Plano de Saúde dos Servidores</t>
  </si>
  <si>
    <t> 7</t>
  </si>
  <si>
    <t>DEPARTAMENTO DE CULTURA</t>
  </si>
  <si>
    <t>Serviços de Tecnologia da Inform.</t>
  </si>
  <si>
    <t>Generos De Alimentacao PNAE</t>
  </si>
  <si>
    <t>Folha PGTº: Plano de Saúde dos Servidores</t>
  </si>
  <si>
    <t>DEPARTAMENTO DE ALIMENTAÇÃO E NUTRIÇÃO ESCOLAR</t>
  </si>
  <si>
    <t>Gest. e Coord. Educacional: Equipamentos e Material Permanent</t>
  </si>
  <si>
    <t>Gest. e Coord. Educacional: Materiais Ad. Através de Consórc.</t>
  </si>
  <si>
    <t>Gest. e Coord. Educacional Formação de R.H.: Contrib. Pat. Prev.</t>
  </si>
  <si>
    <t>Gest. e Coord. Educaciona: Obrig Trib. e Contrib. S/Serv. Terc.</t>
  </si>
  <si>
    <t>Gest. e Coord. Educacional: Serviços de Tecnologia da Inform.</t>
  </si>
  <si>
    <t>Gest. e Coord. Educacional Formação de R.H.: Serviços PJ</t>
  </si>
  <si>
    <t>Gest. e Coord. Educacional Formação de R.H.: Serviços PF</t>
  </si>
  <si>
    <t>Gest. e Coord. Educacional Formação de R.H.: Desp. C/Locomocao</t>
  </si>
  <si>
    <t>Subvencoes Sociais</t>
  </si>
  <si>
    <t>Despesas De Exercicios Anteriores</t>
  </si>
  <si>
    <t>Gest. e Coord. Educacional Folha PGTº:  Plano de Saúde dos Servidores</t>
  </si>
  <si>
    <t>DESENVOLVIMENTO DO ENSINO - RECURSOS LIVRES</t>
  </si>
  <si>
    <t>Gest. Escolar: Equipamentos e Material Permanente</t>
  </si>
  <si>
    <t>Gest. Escolar: Obras e Instalações</t>
  </si>
  <si>
    <t>Gest. Escolar: Prest. de Serv. P. Jurídica</t>
  </si>
  <si>
    <t>Gest. Escolar Folha PGTº: Material, Bem ou Serviço Distribuicao Gratui</t>
  </si>
  <si>
    <t>Gest. Escolar: Materiais de Consumo</t>
  </si>
  <si>
    <t>Gest. Escolar Folha PGTº: Folha PGTº:  Plano de Saúde dos Servidores</t>
  </si>
  <si>
    <t>Gest. Ed. Jovens e Adultos: Serviços de Tecnologia da Informação e Com</t>
  </si>
  <si>
    <t>Gest. Ed. Jovens e Adultos: Prest. de Serv. PJ</t>
  </si>
  <si>
    <t>Gest. Ed. Jovens e Adultos Formação de R. H.: Contrib. Patron. Prev.</t>
  </si>
  <si>
    <t>Gest. Ed. Jovens e Adultos Formação de R. H.: Outros Servicos - PJ</t>
  </si>
  <si>
    <t>Gest. Ed. Jovens e Adultos: Prest. de Serv. PF</t>
  </si>
  <si>
    <t>Gest. Ed. Jovens e Adultos Formação de R. H.: Outros Servicos - PF</t>
  </si>
  <si>
    <t>Gest. Ed. Jovens e Adultos Formação de R. H.: Desp. C/Locomocao</t>
  </si>
  <si>
    <t>Gest. Ed. Jovens e Adultos Substituição de Servidores P/Serviços Terce</t>
  </si>
  <si>
    <t>Gest. Ed. Jovens e Adultos Folha PGTº: Professoes, Serv. Efetivos, CLT</t>
  </si>
  <si>
    <t>Gest. Ed. Jovens e Adultos Folha PGTº:  Plano de Saúde dos Servidores</t>
  </si>
  <si>
    <t>Gest. Ed. Jovens e Adultos Folha PGTº: Professores e Servidores Contra</t>
  </si>
  <si>
    <t>Gest. Ed. Especial Formação de R. H.: Contrib. Patron. Prev. S/Serv.</t>
  </si>
  <si>
    <t>Gest. Ed. Especial Formação de R. H.: Outros Servicos - PJ</t>
  </si>
  <si>
    <t>Gest. Ed. Especial Formação de R. H.: Outros Servicos - PF</t>
  </si>
  <si>
    <t>Gest. Ed. Especial Formação de R. H.: Passagens e Despesas com Locom.</t>
  </si>
  <si>
    <t>Gest. Ed. Especial Folha PGTº:  Plano de Saúde dos Servidores</t>
  </si>
  <si>
    <t>Gest. da Ed. Infantil: Obrig Trib. E Contrib. S/Serv. Terceiros PF</t>
  </si>
  <si>
    <t>Gest. Da Ed. Infantil: Serviços de Tecnologia da Informação e Comunic.</t>
  </si>
  <si>
    <t>Gest. Da Ed. Infantil Formação de R. H.: Contrib. Patron. Prev. S/Serv</t>
  </si>
  <si>
    <t>Gest. Da Ed. Infantil Formação de R. H.: Outros Servicos - PJ</t>
  </si>
  <si>
    <t>Gest. Da Ed. Infantil Formação de R. H.: Outros Servicos - PF</t>
  </si>
  <si>
    <t>Gest. Da Ed. Infantil Formação de R. H.: Passagens e Desp. com Locom.</t>
  </si>
  <si>
    <t>Gest. da Ed. Infantil Folha PGTº: Professoes, Serv. Efetivos, CLT e C.</t>
  </si>
  <si>
    <t>Contratacao por Tempo Determinado</t>
  </si>
  <si>
    <t>Gest. Ens. Fundam. Formação de R. H.: Contrib. Patron. Prev. S/Serv.</t>
  </si>
  <si>
    <t>Gest. Ens. Fundam. Formação de R. H.: Outros Servicos - Pessoa Juridic</t>
  </si>
  <si>
    <t>Gest. Ens. Fundam.: Prest. de Serv. P. Fisica</t>
  </si>
  <si>
    <t>Gest. Ens. Fundam. Formação de R. H.: Passagens e Despesas com Locomoc</t>
  </si>
  <si>
    <t>Gest. Ens. Fundam. Folha PGTº:  Plano de Saúde dos Servidores</t>
  </si>
  <si>
    <t>Atendimento ao Art. 21 LDB: Equipamentos e Material Permanente</t>
  </si>
  <si>
    <t>Atendimento ao Art. 21 LDB: Prest. de Serv. P. Jurídica</t>
  </si>
  <si>
    <t>DESENVOLVIMENTO DO ENSINO - FUNDEB</t>
  </si>
  <si>
    <t>Gest. e apoio Cons. Mun. Educ.:  Equipamentos e Material Permanente</t>
  </si>
  <si>
    <t>Gest. e apoio Cons. Mun. Educ.:  Obras e Instalações</t>
  </si>
  <si>
    <t>Gest. e apoio Cons. Mun. Educ.:  Obrigacoes Tributarias e Contributiva</t>
  </si>
  <si>
    <t>Gest. e apoio Cons. Mun. Educ.:  Prest. de Serv. Pessoa Jurídica</t>
  </si>
  <si>
    <t>Gest. e apoio Cons. Mun. Educ.:  Prest. de Serv. Pessoa Fisica</t>
  </si>
  <si>
    <t>Gest. e apoio Cons. Mun. Educ.:  Despesas com Locomoção</t>
  </si>
  <si>
    <t>Gest. e apoio Cons. Mun. Educ.:  Materiais de Consumo</t>
  </si>
  <si>
    <t>GESTAO E  APOIO AO COSELHO MUNICIPAL DE EDUCACAO</t>
  </si>
  <si>
    <t>Gest. e Desenv. Ens. Fundam. Formação de R.H.: Passag. e Desp. C/Locom</t>
  </si>
  <si>
    <t>Indenizacoes Trabalhistas</t>
  </si>
  <si>
    <t>Gest. Escolas Municipais Folha PGTº: Subst. de Serv. P/Serviços Tercei</t>
  </si>
  <si>
    <t>Gest. e Desenv. Ed. Infantil. Formação de R.H.: Contrib. Patron. Prev.</t>
  </si>
  <si>
    <t>Gest. e Desenv. Ed. Infantil.: Auxilio-Alimentacao</t>
  </si>
  <si>
    <t>Gest. e Desenv. Ed. Infantil.: Serv. de Tecn. da Inf. e Com.</t>
  </si>
  <si>
    <t>Gest. e Desenv. Ed. Infantil. Formação de R.H.: Outros Serv. PJ</t>
  </si>
  <si>
    <t>Gest. e Desenv. Ed. Infantil. Formação de R.H.: Outros Serv. PF</t>
  </si>
  <si>
    <t>Gest. e Desenv. Ed. Infantil. Formação de R.H.: Desp. C/Locom.</t>
  </si>
  <si>
    <t>Gest. e Desenv. Ed. Infantil.: Mat., Bem ou Serv. P/Distrib.Grat</t>
  </si>
  <si>
    <t>Gest. e Desenv. Ed. Infantil. Folha PGTº: Indenizações Trabalhista</t>
  </si>
  <si>
    <t>Gest. e Desenv. Ed. Infantil. Folha PGTº:  Plano de Saúde dos Serv.</t>
  </si>
  <si>
    <t>Gest. e Desenv. Ens. Fundam.:  Equip. e Material Permanente</t>
  </si>
  <si>
    <t>Gest. e Desenv. Ens. Fundam.: Mat. Adq. Atrav. de Consorc.</t>
  </si>
  <si>
    <t>Gest. e Desenv. Ens. Fundam.:  Prest. de Serv. P. Jurídica (Estagiarios)</t>
  </si>
  <si>
    <t>Gest. e Desenv. Ens. Fundam.: Material, Bem ou Serviço Distrib. Grat.</t>
  </si>
  <si>
    <t>Gest. e Desenv. Ens. Fundam. Folha PGTº: Folha PGTº: Indeniz. Trab.</t>
  </si>
  <si>
    <t>Gest. e Desenv. Ens. Fundam. Folha PGTº: Subst. de Serv. P/Serv. Terc.</t>
  </si>
  <si>
    <t>Gest.,  Coord. e Planej. SME: Equip. e Mat. Permanente</t>
  </si>
  <si>
    <t>Gest.,  Coord. e Planej. SME: Obras e Instalações</t>
  </si>
  <si>
    <t>Gest.,  Coord. e Planej. SME: Mat. Adq. P/Consorc,</t>
  </si>
  <si>
    <t>Gest.,  Coord. e Planej. SME: Ressarcimento de Despesas</t>
  </si>
  <si>
    <t>Gest.,  Coord. e Planej. SME: Despesas de Exercícios Anterio</t>
  </si>
  <si>
    <t>Gest.,  Coord. e Plan. SME: Aux.-Transp. e Dif. Aces.</t>
  </si>
  <si>
    <t>Gest.,  Coord. e Planej. SME: Obrig Trib. E Contrib. S/Serv.</t>
  </si>
  <si>
    <t>Gest.,  Coord. e Planej. SME: Auxilio-Alimentacao</t>
  </si>
  <si>
    <t>Gest.,  Coord. e Planej. SME: Serviços de Tecn. da Inf</t>
  </si>
  <si>
    <t>Gest.,  Coord. e Planej. SME Formação de R.H.: Contrib. Patron.</t>
  </si>
  <si>
    <t>Gest.,  Coord. e Planej. SME Formação de R.H.: Serviços PJ</t>
  </si>
  <si>
    <t>Gest.,  Coord. e Planej. SME: Prest. de Serv. P. Jurídica</t>
  </si>
  <si>
    <t>Gest.,  Coord. e Planej. SME Formação de R.H.: Serviços PF</t>
  </si>
  <si>
    <t>Gest.,  Coord. e Planej. SME: Outros Serviços Pessoa Física</t>
  </si>
  <si>
    <t>Gest.,  Coord. e Planej. SME: Servicos de Consultoria</t>
  </si>
  <si>
    <t>Gest., Coord. e Planej. SME Formação de R.H.: Desp. C/Locom</t>
  </si>
  <si>
    <t>Gest.,  Coord. e Planej. SME: Despesas com Locomocao</t>
  </si>
  <si>
    <t>Gest.,  Coord. e Planej. SME: Materiais de Consumo</t>
  </si>
  <si>
    <t>Gest.,  Coord. e Planej. SME Formação de R.H.: Diárias</t>
  </si>
  <si>
    <t>Gest.,  Coord. e Planej. SME: Diarias</t>
  </si>
  <si>
    <t>Gest.,  Coord. e Planej. SME Folha PGTº: Indenizações Trabalhistas</t>
  </si>
  <si>
    <t>Gest.,  Coord. e Planej. SME Folha PGTº: Subst. de Serv. P/Serv.</t>
  </si>
  <si>
    <t>Gest.,  Coord. e Planej. SME Folha PGTº: Hora Extra</t>
  </si>
  <si>
    <t>Gest.,  Coord. e Planej. SME Folha PGTº: Obrigações Patronais</t>
  </si>
  <si>
    <t>Gest.,  Coord. e Planej. SME Folha PGTº: Serv. Efetivos, CLT,  C.C.</t>
  </si>
  <si>
    <t>Gest.,  Coord. e Planej. SME Folha PGTº:  Plano de Saúde dos Servidores</t>
  </si>
  <si>
    <t>Custo Aq. SME:  Equip. e Material Permanente</t>
  </si>
  <si>
    <t>Custo Aq. Rede Escolar:  Equip. e Material Permanente</t>
  </si>
  <si>
    <t>Custo Aq. SME:  Prest. de Serv. P. Jurídica</t>
  </si>
  <si>
    <t>Custo Aq. Rede Escolar:  Prest. de Serv. P. Jurídica</t>
  </si>
  <si>
    <t>Custo Aq. SME:  Material de Consumo</t>
  </si>
  <si>
    <t>Custo Aq. Rede Escolar: Obrig Trib. e Contrib. S/Serv. PF e M.E.I.</t>
  </si>
  <si>
    <t>GESTAO E.P.E.C. 86-2015</t>
  </si>
  <si>
    <t>GESTÃO, COORD. E PLANEJ. E CUST. OPERAC. DO PODER</t>
  </si>
  <si>
    <t> 305</t>
  </si>
  <si>
    <t>EXECUÇÃO DE PROGRAMAS DO PAC - SANEAMENTO RURAL</t>
  </si>
  <si>
    <t> 459</t>
  </si>
  <si>
    <t>Reserv. de  Contin. Art. 14,  §2º,  LDO - Para Aporte de Eventos Clim.</t>
  </si>
  <si>
    <t>Reserv. de  Contin. Art. 14,  §2º,  LDO - Para Suporte de Contra Part.</t>
  </si>
  <si>
    <t>Reserv. de  Contin. Art. 14,  §2º,  LDO - Para Aporte Creditos Adic.</t>
  </si>
  <si>
    <t>  1</t>
  </si>
  <si>
    <t>Op.Especial:</t>
  </si>
  <si>
    <t>Gest. De Cons. Municipais: Obrig Trib. e Contrib. S/Serv. P F e  MEI</t>
  </si>
  <si>
    <t>Gest. e Prom. San. Basico Rural: Equipamentos e Material Permanente</t>
  </si>
  <si>
    <t>Aplic. Compl. Mun. :   Obras e Instalações</t>
  </si>
  <si>
    <t>Aplic. Recurso 1038:  Obras e Instalações</t>
  </si>
  <si>
    <t>Aplic. Recurso 1038:  Prest. de Serv. P. Jurídica</t>
  </si>
  <si>
    <t>Aplic. Recurso 1038:  Prest. de Serv. P. Física</t>
  </si>
  <si>
    <t>Aplic. Recurso 1038:  Material de Consumo</t>
  </si>
  <si>
    <t>Gest. E Prom. San. Basico: SERVIÇOS DE TECNOLOGIA DA INFORM. E OM.</t>
  </si>
  <si>
    <t>Gest., Prom. e Desenv. Meio Amb. Form. de R. H.: Contrib. Patron. Prev</t>
  </si>
  <si>
    <t>Gest., Prom. e Desenv. Meio Amb.: SERV. DE TECN. DA INFORM. E COM.</t>
  </si>
  <si>
    <t>Gest., Prom. e Desenv. Meio Amb. Form. de R. H.:  Outros Servicos - PJ</t>
  </si>
  <si>
    <t>Gest., Prom. e Desenv. Meio Amb. Form. de R. H.:  Outros Servicos - PF</t>
  </si>
  <si>
    <t>Gest., Prom. e Desenv. Meio Amb. Form. de R. H.:  Passag. e Desp. Loc.</t>
  </si>
  <si>
    <t>Gest., Prom. e Desenv. Meio Amb. Form. de R. H.:  Diárias</t>
  </si>
  <si>
    <t>Gest., Prom. e Desenv. Meio Amb. Folha PGTº:  Plano de Saúde dos Serv.</t>
  </si>
  <si>
    <t>Equipamentos e Mat. Permanente Despesas do Municipio e Contra Part</t>
  </si>
  <si>
    <t>Gest. Agric. Fam. e Agroneg.: Formação de R. H.: Contrib. Patron. Prev</t>
  </si>
  <si>
    <t>Gest. Agric. Fam. e Agroneg.: SERVIÇOS DE TECN. DA INFORMAÇÃO E COM.</t>
  </si>
  <si>
    <t>Gest. Agric. Fam. e Agroneg.: Formação de R. H.: Outros Servicos - PJ</t>
  </si>
  <si>
    <t>Gest. Agric. Fam. e Agroneg.: Formação de R. H.: Outros Servicos - PF</t>
  </si>
  <si>
    <t>Gest. Agric. Fam. e Agroneg.: Formação de R. H.: Passagens e Despesas</t>
  </si>
  <si>
    <t>Gest. Agric. Fam. e Agroneg. Folha PGTº: Subst. de Serv. P/Serv. Terc</t>
  </si>
  <si>
    <t>Gest. Agric. Fam. e Agroneg. Folha PGTº: Plano de Saúde dos Servidore</t>
  </si>
  <si>
    <t>Aplic. Recurso 1039:  Equip. e Mat. Permanentes</t>
  </si>
  <si>
    <t>Aplic. Recurso 1039:  Prest. de Serv. P. Jurídica</t>
  </si>
  <si>
    <t>Aplic. Recurso 1039:  Prest. de Serv. P. Física</t>
  </si>
  <si>
    <t>Aplic. Recurso 1039:  Material de Consumo</t>
  </si>
  <si>
    <t>Dev. Saldo Fin. Recurso pesca</t>
  </si>
  <si>
    <t>Dev. Saldo Fin. Recurso 1156</t>
  </si>
  <si>
    <t>Gest. S.M.A.G. Formação de R. H.:  Contrib. Prev. S/Prest. Serv.</t>
  </si>
  <si>
    <t>Gest. S.M.A.G.: Obrig Trib. E Contrib. S/Serv. Terceiros</t>
  </si>
  <si>
    <t>Gest. S.M.A.G.: SERVIÇOS DE TECNOLOGIA DA INFORMAÇÃO E COMUNICAÇÃO</t>
  </si>
  <si>
    <t>Gest. S.M.A.G. Formação de R. H.:  Outros Servicos - Pessoa Juridica</t>
  </si>
  <si>
    <t>Gest. S.M.A.G. Formação de R. H.:  Outros Servicos - Pessoa Fisica</t>
  </si>
  <si>
    <t>Gest. S.M.A.G. Formação de R. H.:  Passagens e Despesas com Locomocao</t>
  </si>
  <si>
    <t>Gest. S.M.A.G. Folha PGTº: Substituição de Servidores P/Serviços</t>
  </si>
  <si>
    <t>Custo de Aq.: Equipamentos e Mat. Permanente</t>
  </si>
  <si>
    <t>Custo de Aq.: Prest. de Serv. P. Jurídica</t>
  </si>
  <si>
    <t>Custo de Aq.: Prest. de Serv. P. Física</t>
  </si>
  <si>
    <t>Custo de Aq.: Material de Consumo</t>
  </si>
  <si>
    <t>Custo de Aq.: Obrig Trib. Contrib. S/Serv. Terceiros P. Física e M.E.I</t>
  </si>
  <si>
    <t>SECRETARIA MUNICIPAL DE AGRICULTURA E MEIO AMBIENTE</t>
  </si>
  <si>
    <t>Gest. Dep. Engenharia Formação de R. H.: Contrib. Patronal Prev. S/Ser</t>
  </si>
  <si>
    <t>GESTAO E APOIO DEPARTAMENTO DE ENGENHARIA</t>
  </si>
  <si>
    <t>MANUTENCAO E CONSERV. DE VEICULOS TRANSP. ESC.</t>
  </si>
  <si>
    <t>Gest. Man. Infraest. Viária Formação de R. H.: Contrib. Patronal Prev.</t>
  </si>
  <si>
    <t>Gest. Man. Infraest. Viária: SERVIÇOS DE TECN. DA INFORMAÇÃO E COM. PJ</t>
  </si>
  <si>
    <t>Gest. Man. Infraest. Viária Formação de R. H.:  Outros Servicos - PJ</t>
  </si>
  <si>
    <t>Gest. Man. Infraest. Viária Formação de R. H.:  Outros Servicos - PF</t>
  </si>
  <si>
    <t>Gest. Man. Infraest. Viária Formação de R. H.:  Passag. e Desp. C/Lom.</t>
  </si>
  <si>
    <t>Man. Infraest. Viária: Folha PGTº: Plano de Saúde dos Servidores</t>
  </si>
  <si>
    <t>Gest. S.M.O.V.S.U. Formação de R. H.: Contrib. Patronal Prev. S/Serviç</t>
  </si>
  <si>
    <t>Gest. S.M.O.V.S.U.: Obrig Trib. E Contrib. S/Serv. Terceiros P. Física</t>
  </si>
  <si>
    <t>Gest. S.M.O.V.S.U.: SERVIÇOS DE TECNOLOGIA DA INFORMAÇÃO E COMUNICAÇÃO</t>
  </si>
  <si>
    <t>Gest. S.M.O.V.S.U. Formação de R. H.: Outros Servicos - Pessoa Juridic</t>
  </si>
  <si>
    <t>Gest. S.M.O.V.S.U. Formação de R. H.:  Passagens e Despesas com Locomo</t>
  </si>
  <si>
    <t>SECRETARIA MUNICIPAL DE OBRAS, VIAÇÃO E SERVIÇOS URBANOS</t>
  </si>
  <si>
    <t>Gest. P. E. F. I. T. FORM. R.H.: Contrib. Patronal Prev. S/Serv.</t>
  </si>
  <si>
    <t>Gest. P. E. F. I. T.: Contrib. Patronal Prev. S/Serv.</t>
  </si>
  <si>
    <t>Gest. T.I.  P. E. F. I. T.: SERVIÇOS DE TECN. DA INFORM. E COMUM. - PJ</t>
  </si>
  <si>
    <t>Gest. S.M.F. Form. de R. H.:  Contrib. Patronal Prev. S/Serv.</t>
  </si>
  <si>
    <t>Gest. S.M.F. Form. de R. H.:  Outros Servicos - Pessoa Juridica</t>
  </si>
  <si>
    <t>Gest. S.M.F. Form. de R. H.:  Outros Servicos - Pessoa Fisica</t>
  </si>
  <si>
    <t>Gest. S.M.F. Folha Pgtoº: Efet. C.C. e Ag. Polit</t>
  </si>
  <si>
    <t>Folha Pgtoº: Servidor Contratado: Venc e Prev</t>
  </si>
  <si>
    <t>SECRETARIA MUNICIPAL DA FAZENDA</t>
  </si>
  <si>
    <t>Gest. S.M.A.: Obrigacoes Tributarias e Contributivas</t>
  </si>
  <si>
    <t>Gest. S.M.A. Folha Pgtoº:  Obrigacoes Patronais</t>
  </si>
  <si>
    <t>Gest. S.M.A. Folha Pgtoº: Efet. C.C. e Ag. Polit</t>
  </si>
  <si>
    <t>SECRETARIA MUNICIPAL DA ADMINISTRAÇÃO</t>
  </si>
  <si>
    <t>Conselho Tut.: SERVIÇOS DE TECNOLOGIA DA INFORMAÇÃO E COMUNICA</t>
  </si>
  <si>
    <t>Conselho Tut.: Formação de Recursos Humanos:  Outros Servicos - Pessoa</t>
  </si>
  <si>
    <t>Conselho Tut.: Formação de Recursos Humanos:  Passagens e Despesas com</t>
  </si>
  <si>
    <t>APOIO AO CONSELHO TUTELAR</t>
  </si>
  <si>
    <t>Gest. e Prom. Defesa Civil Formação de R.H.: Outros Servicos - PJ</t>
  </si>
  <si>
    <t>Gest. e Prom. Defesa Civil Formação de R.H.:  Pas. e Desp. C/Locomocao</t>
  </si>
  <si>
    <t>Gest. e Prom. Defesa Civil: Material, Bem ou Serviço para Distribuição</t>
  </si>
  <si>
    <t>Apoio a Brigada Militar: SERVIÇOS DE TECNOLOGIA DA INFORMAÇÃO E COMUNI</t>
  </si>
  <si>
    <t>Gest. de T.I.: SERVIÇOS DE TECNOLOGIA DA INFORMAÇÃO E COMUNICAÇÃO - PJ</t>
  </si>
  <si>
    <t>Gest. da Formação de Recursos Humanos: Outros Servicos - Pessoa Juridi</t>
  </si>
  <si>
    <t>Gest. da Formação de Recursos Humanos: Passagens e Desp.com Locomocao</t>
  </si>
  <si>
    <t>Gest. da Formação de Recursos Humanos:Diárias</t>
  </si>
  <si>
    <t>GEST. GAB. PREFEITO: Folha Pgtoº: Obrigacoes Patronais</t>
  </si>
  <si>
    <t>Custo de Aquis.: Obras E Instalações</t>
  </si>
  <si>
    <t>APOIO E MANUTENÇÃO AO PROCESSO LEGISLATIVO</t>
  </si>
  <si>
    <t>CAMARA</t>
  </si>
  <si>
    <t>Gratificação Controle Interno</t>
  </si>
  <si>
    <t>Remuneração Conselheiros Tutelares</t>
  </si>
  <si>
    <t>Férias Conselheiros Tutelares</t>
  </si>
  <si>
    <t>13º Salário Conselheiros Tutelares</t>
  </si>
  <si>
    <t>SEC. MUN. ADMINISTRAÇÃO</t>
  </si>
  <si>
    <t>Servidores Vencimentos</t>
  </si>
  <si>
    <t>Agente Politico</t>
  </si>
  <si>
    <t>Gratificação Câmara Vereadores</t>
  </si>
  <si>
    <t>13º Salario Sec. Mun. da Fazenda</t>
  </si>
  <si>
    <t>10713/10700</t>
  </si>
  <si>
    <t>13º Salário Sec. Mun. Fazenda</t>
  </si>
  <si>
    <t>10714/10700</t>
  </si>
  <si>
    <t>Ferias Serv. C.C.</t>
  </si>
  <si>
    <t>Infraest. Viária: Exec. Cont. Part.  Prop. nº 031587/2019 P/Escav. Hid. e Cam. Prancha</t>
  </si>
  <si>
    <t>Infraest. Viária: Exec. Prop. nº 031587/2019 P/Escav. Hid. e Cam. Prancha</t>
  </si>
  <si>
    <t>Infraest. Urbana: Ex. Cont. Part. Recurso 1032 Pavimentacao Ruas T e S</t>
  </si>
  <si>
    <t>Infraest. Urbana: Ex. Recurso 1032 Pavimentacao Ruas T e S</t>
  </si>
  <si>
    <t>Transferências Proposta nº 034610/2018 P/Galpao Cooperativa min. Agric</t>
  </si>
  <si>
    <t>Despesas Correntes</t>
  </si>
  <si>
    <t xml:space="preserve">SMOVSU </t>
  </si>
  <si>
    <t>Gestão e Coordenação</t>
  </si>
  <si>
    <t>Gestão Obras e Viação</t>
  </si>
  <si>
    <t>Diária Rural</t>
  </si>
  <si>
    <t>Adicional noturno</t>
  </si>
  <si>
    <t>Departamento de Engenharia</t>
  </si>
  <si>
    <t>Abono Permanência</t>
  </si>
  <si>
    <t>32104/32100</t>
  </si>
  <si>
    <t>32105/32100</t>
  </si>
  <si>
    <t>32106/32100</t>
  </si>
  <si>
    <t>32107/32100</t>
  </si>
  <si>
    <t>32108/32100</t>
  </si>
  <si>
    <t>32109/32100</t>
  </si>
  <si>
    <t>32110/32100</t>
  </si>
  <si>
    <t>32103/32100</t>
  </si>
  <si>
    <t>UNIDADE DE ATENDIMENTO AGRICULTURA</t>
  </si>
  <si>
    <t>UNIDADE AGROPECUARIA</t>
  </si>
  <si>
    <t>Execução Proposta M.J. nº 056994/2017 : Devolução de Saldo Financeiro</t>
  </si>
  <si>
    <t>Execução Proposta M.J. nº 056994/2017: Devolução de Saldo Financeiro</t>
  </si>
  <si>
    <t>Execução Proposta M.J. nº 056994/2017: Prest. de Serviços PJ</t>
  </si>
  <si>
    <t>Execução Prop. M.J. nº 056994/2017: Aquis. de Eq. e Mat.Perm.</t>
  </si>
  <si>
    <t>GESTAO DO MEIO AMBIENTE</t>
  </si>
  <si>
    <t>61592/61590</t>
  </si>
  <si>
    <t>Serviços de T.I.C.</t>
  </si>
  <si>
    <t>SEC. MUN. SAÚDE</t>
  </si>
  <si>
    <t>Serv. Contratados</t>
  </si>
  <si>
    <t>Serv. Efetivos</t>
  </si>
  <si>
    <t>Matricula</t>
  </si>
  <si>
    <t>Serv. C.C.</t>
  </si>
  <si>
    <t>Agente Político</t>
  </si>
  <si>
    <t>GESTAO UNIDADE BÁSICA DE SAUDE - UBS</t>
  </si>
  <si>
    <t>Gestão U.B.S.: Material, Bem Ou Serviço Para Distribuição Gratuita</t>
  </si>
  <si>
    <t>Gestão U.B.S.: Gestão U.B.S.: Material, Bem Ou Serviço Para Distribuição Gratuita</t>
  </si>
  <si>
    <t>GESTAO UNIDADE BÁSICA DE SAUDE -SETOR DE NUTRIÇÃO</t>
  </si>
  <si>
    <t>GESTAO UNIDADE BÁSICA DE SAUDE - SETOR DE ODONTOLOGIA</t>
  </si>
  <si>
    <t>Gestão Atend. Odont.: Mat., Bem Ou Serviço Para Dist. Gratuita</t>
  </si>
  <si>
    <t>Gestão Atend. Odont. Mat., Bem Ou Serviço Para Dist. Gratuita</t>
  </si>
  <si>
    <t>GESTAO UNIDADE BÁSICA DE SAUDE -ATENDIMENTO M.A.C.H.</t>
  </si>
  <si>
    <t>GESTAO UNIDADE BÁSICA DE SAUDE - GESTÃO FARMACIA</t>
  </si>
  <si>
    <t>Gestão Atenção Básica: Mat. Bens ou Serv. Distrib. Gratuita</t>
  </si>
  <si>
    <t>Gestão Atenção Básica: Mat. Bens ou Serv. Distribuicao Gratuita</t>
  </si>
  <si>
    <t>SEC. MUN. ASSISTENCIA SOCIAL</t>
  </si>
  <si>
    <t xml:space="preserve">Vencimentos: Servidores, C.C. e Agente Politico </t>
  </si>
  <si>
    <t xml:space="preserve">Férias : Servidores, C.C. e Agente Politico </t>
  </si>
  <si>
    <t xml:space="preserve">13º Salário: Servidores, C.C. e Agente Politico </t>
  </si>
  <si>
    <t>GESTAO DO CRAS</t>
  </si>
  <si>
    <t xml:space="preserve">Precatorio 181102 Nilo João Schmitt origem danos materiais </t>
  </si>
  <si>
    <t>Não Alimentar</t>
  </si>
  <si>
    <t>Indenizatorios</t>
  </si>
  <si>
    <t>Precatorio 184322 Heber Vanderlei Jacobsen Bender Origem Indenização</t>
  </si>
  <si>
    <t>Precatorio 184963 Rosa Lucia de Morais Thofern Origem Cobrança</t>
  </si>
  <si>
    <t>Salario</t>
  </si>
  <si>
    <t>Precatorio 182566 Magda Josiane Pereira dos Santos Martins Origem Salário</t>
  </si>
  <si>
    <t>Precatorio 183690 Michele Dame de Souza Origem Salário</t>
  </si>
  <si>
    <t>Precatorio 184468 Luana Oliveira dos Santos do Nascimento Origem Salário</t>
  </si>
  <si>
    <t>Precatorio 184693 Liane Zembruski Gomes Origem Salário</t>
  </si>
  <si>
    <t>Precatorio 184694 Clair Zoa Araujo Gonçalves Origem Salário</t>
  </si>
  <si>
    <t>Precatorio 184696 Fernanda O'meaguer Feistauer Origem Salário</t>
  </si>
  <si>
    <t>Precatorio 185867 Antonio Cleomir Correa Gomes Origem Salário</t>
  </si>
  <si>
    <t>Precatorio 186833 Josi Luciana Figueira Schneider Origem Salário</t>
  </si>
  <si>
    <t>Precatorio 188797 Angelita Gianechini Lopes Origem Salário</t>
  </si>
  <si>
    <t>Precatorio 188939 Viviana Wachholz Bartz Origem Cobrança</t>
  </si>
  <si>
    <t>Precatorio 181278 Daniela da Silva Jaskulski Origem Salário</t>
  </si>
  <si>
    <t>Subsidio</t>
  </si>
  <si>
    <t>Férias Vice Prefeito</t>
  </si>
  <si>
    <t>66103/66100</t>
  </si>
  <si>
    <t>Férias  Vice Prefeito</t>
  </si>
  <si>
    <t>SERVIDORES CONTRATADOS</t>
  </si>
  <si>
    <t>SERVIDORES EFETIVOS</t>
  </si>
  <si>
    <t>Anuênio 13º Salario</t>
  </si>
  <si>
    <t>MATRICULA</t>
  </si>
  <si>
    <t>SECRETARIA MUNICIPAL DA EDUCAÇÃO</t>
  </si>
  <si>
    <t>SERVIDORES C.C.</t>
  </si>
  <si>
    <t>SERVIDORES CLT</t>
  </si>
  <si>
    <t>SEC. MUN. EDUCAÇÃO</t>
  </si>
  <si>
    <t>GESTÃO SECRETARIA EDUCAÇÃO</t>
  </si>
  <si>
    <t>GESTÃO ESCOLAS MUNICIPAIS</t>
  </si>
  <si>
    <t>Vencimentos - Esc. Santa Luzia e Esc. Arlindo B. Pires</t>
  </si>
  <si>
    <t>Contrib. Patronais Previdencia - Esc. Santa Luzia e Esc. Arlindo B. Pires</t>
  </si>
  <si>
    <t>Indenizações Trabalhistas:13º Salário Serv. Esc. Santa Luzia e Esc. Arlindo B. Pires</t>
  </si>
  <si>
    <t>Indenizações Trabalhistas: Férias Serv. Esc. Santa Luzia e Esc. Arlindo B. Pires</t>
  </si>
  <si>
    <t>PROFESSORES CONTRATADOS</t>
  </si>
  <si>
    <t>Auxilio transporte</t>
  </si>
  <si>
    <t>PROFESSORES EFETIVOS</t>
  </si>
  <si>
    <t>Vencimento Básico</t>
  </si>
  <si>
    <t>Decisao Judicial/Acordo</t>
  </si>
  <si>
    <t>Função Gratif.</t>
  </si>
  <si>
    <t>Alteracao Carg. Hor.</t>
  </si>
  <si>
    <t>GESTÃO EDUCAÇÃO INFANTIL</t>
  </si>
  <si>
    <t>EDUCACAO ESPECIAL</t>
  </si>
  <si>
    <t>GESTÃO EDUCAÇÃO EJA</t>
  </si>
  <si>
    <t>GESTÃO EDUCAÇÃO ESPECIAL</t>
  </si>
  <si>
    <t>GESTÃO SERVIDORES PERMUTADOS</t>
  </si>
  <si>
    <t>Alteracao Carga Horaria</t>
  </si>
  <si>
    <t>GESTÃO SERVIDORES SETOR DE NUTRIÇÃO</t>
  </si>
  <si>
    <t>Alimentação e Nutrição: Desp C/Locomocao</t>
  </si>
  <si>
    <t>GESTÃO DEPARTAMENTO DE CULTURA</t>
  </si>
  <si>
    <t>GESTÃO DEPARTAMENTO PROMOÇAO CULTURA</t>
  </si>
  <si>
    <t>Prom. e Desenv. Cultural: Obras e Inst. e Exec. C.P. Recurso 1032</t>
  </si>
  <si>
    <t>Prom. e Desenv. Cultural: Obras e Inst. Exec.Recurso 1032</t>
  </si>
  <si>
    <t>GESTÃO DEPARTAMENTO DESPORTO</t>
  </si>
  <si>
    <t>GESTAO EMEI SONHO DE CRIANÇA</t>
  </si>
  <si>
    <t>Contrib. Patron. Prev. Social</t>
  </si>
  <si>
    <t>Gestão e Apoio a Eleições 2020:  Materiais de Consumo</t>
  </si>
  <si>
    <t>Gestão e Apoio Eleições 2020: Material de Consumo</t>
  </si>
  <si>
    <t>Gestão e Apoio a Eleições 2020:  Prestação de Serviços</t>
  </si>
  <si>
    <t>Reserv. de  Contin. Art. 10,  §1º,  LDO - Para Aporte Creditos Adicionais</t>
  </si>
  <si>
    <t>Reserv. de  Contin. Art. 10,  §3º,  LDO - Para Atend. EC 86/2015</t>
  </si>
  <si>
    <t>Reserv. de  Contin. Art. 10,  §1º,  LDO - Para Suporte de Precatórios</t>
  </si>
  <si>
    <t>Reserv. de  Contin. Art. 10,  §1º,  LDO - Para Suporte de Contra Partidas de Recursos</t>
  </si>
  <si>
    <t>Reserv. de  Contin. Art. 10,  §1º,  LDO - Para Aporte de Eventos Climatológicos</t>
  </si>
  <si>
    <t>Percentual de Crescimento Médio da Arrecadação Geral</t>
  </si>
  <si>
    <t>Percentual de Crescimento Médio da Arrecadação Tributária</t>
  </si>
  <si>
    <t>Percentual de Crescimento Médio da Arrecadação de Contribuição</t>
  </si>
  <si>
    <t>Percentual de Crescimento Médio da Arrecadação Patrimonial</t>
  </si>
  <si>
    <t>Percentual de Crescimento Médio da Arrecadação de Receita de Serviços</t>
  </si>
  <si>
    <t>Percentual de Crescimento Médio da Arrecadação de Receita de Transferencias Correntes</t>
  </si>
  <si>
    <t>Percentual de Crescimento Médio da Arrecadação de Receita de Outras Receitas de Transferencias Correntes</t>
  </si>
  <si>
    <t>Percentual de Crescimento Médio da Arrecadação de Receita de Receitas de Transferencias de Capital</t>
  </si>
  <si>
    <t>Percentual de Crescimento Médio da Arrecadação de Receita de Outras Receitas de Capital</t>
  </si>
  <si>
    <t>Percentual de Crescimento Médio da Arrecadação de FPM</t>
  </si>
  <si>
    <t>Percentual de Crescimento Médio da Arrecadação de ITR</t>
  </si>
  <si>
    <t>Percentual de Crescimento Médio da Arrecadação de FEP</t>
  </si>
  <si>
    <t>Percentual de Crescimento Médio da Arrecadação de CFEM</t>
  </si>
  <si>
    <t>Percentual de Crescimento Médio da Arrecadação de Q.S.E.</t>
  </si>
  <si>
    <t>Percentual de Crescimento Médio da Arrecadação de L.C. 87/96</t>
  </si>
  <si>
    <t>Percentual de Crescimento Médio da Arrecadação de ICMS</t>
  </si>
  <si>
    <t>Percentual de Crescimento Médio da Arrecadação de IPVA</t>
  </si>
  <si>
    <t>Percentual de Crescimento Médio da Arrecadação de IPI EXP.</t>
  </si>
  <si>
    <t>Percentual de Crescimento Médio da Arrecadação de CIDE</t>
  </si>
  <si>
    <t>Percentual de Crescimento Médio da Arrecadação de FEX</t>
  </si>
  <si>
    <t>Percentual de Crescimento Médio da Arrecadação de FUNDEB</t>
  </si>
  <si>
    <t>Demonstrativo de Calculo do Crescimento Médio da Arrecadação  de Transferências do SUS</t>
  </si>
  <si>
    <t>TOTAL TRANSFERENCIAS UNIAO</t>
  </si>
  <si>
    <t>TOTAL TRANSFERENCIAS ESTADO</t>
  </si>
  <si>
    <t>13º SALARIO</t>
  </si>
  <si>
    <t>AGENTE POLITICO</t>
  </si>
  <si>
    <t>SERVIDORES</t>
  </si>
  <si>
    <t>VENCIMENTOS C.C.</t>
  </si>
  <si>
    <t>FÉRIAS</t>
  </si>
  <si>
    <t>13º SALÁRIO</t>
  </si>
  <si>
    <t>AUXILIO ALIMENTACAO</t>
  </si>
  <si>
    <t>SUBSÍDIO</t>
  </si>
  <si>
    <t>VERBA DE REPRESENTAÇÃO</t>
  </si>
  <si>
    <t>Gest. Escolar: Material, Bem ou Serviço Distribuicao Gratuita</t>
  </si>
  <si>
    <t>Gest. Escolar: Passagens e Despesas Com Locomocao</t>
  </si>
  <si>
    <t>Gest. Escolar: Servicos de Consultoria</t>
  </si>
  <si>
    <t>Gest. Escolar: Prest. de Serv. P. Física</t>
  </si>
  <si>
    <t>Gest. Escolar: Auxilio-Alimentacao</t>
  </si>
  <si>
    <t>Gest. Escolar:  Obrigacoes Tributarias e Contributivas</t>
  </si>
  <si>
    <t>Gest. Escolar: Auxilio-Transporte</t>
  </si>
  <si>
    <t>Gest. Escolar: Despesas de Exercicios Anteriores</t>
  </si>
  <si>
    <t>Gest. Escolar: Ressarcimento de Despesas</t>
  </si>
  <si>
    <t>Gest. Escolar: Materiais Adquiridos Através de Consórcio</t>
  </si>
  <si>
    <t>Gest. Escolar: Diarias</t>
  </si>
  <si>
    <t xml:space="preserve">A) Os valores referentes aos exercícios de 2017, 2018 e 2019, foram obtidos a partir dos dados constantes nos respectivos balanços anuais. </t>
  </si>
  <si>
    <t>B) Os valores relativos à arrecadação de 2020 foram obtidos a partir da receita arrecadada até o mês de  agosto de 2019, acrescida da tendência de arrecadação até o final do exercício.</t>
  </si>
  <si>
    <t>C) Em linhas gerais, nas projeções para os exercícios de 2020, 2021 e 2022, o cenário projetado sinaliza para um crescimento global das receitas em torno de uma taxa média de cerca de 2,55%.</t>
  </si>
  <si>
    <t>D) O pressuposto geral de comportamento da Receita Municipal é o da existência de uma correlação do comportamento dessa receita com o desempenho dos agregados macroeconômicos. Além disso, pressupõe-se em algumas receitas diretamente arrecadadas pelo Município, que as taxas de crescimento real sejam maiores, devido aos esforços de melhoria de gestão e diminuição de inadimplência. Os indicadores macroeconômicos básicos utilizados para a reestimativa de 2019 e as estimativas da receita  para 2020, 2021 e 2022 foram:</t>
  </si>
  <si>
    <t>MEDIA DA Variação do IPCA  E IGP-DI para 2020</t>
  </si>
  <si>
    <t>- Receitas de Transferencias do FNDE, estas possuem seu calculo utilizando-se das seguintes premissas: onde foi multiplicado o valor de de suas respectivas cotas pelas matriculas do censo escolar de 2019.</t>
  </si>
  <si>
    <t>- Receitas de Transferencias do Estado, estas possuem seu calculo utilizando-se das seguintes premissas: onde foi multiplicado o valor de suas médias de arrecadação trienal pela media da variação do IPCA E IGPDI,  pelo percentual de crescimento médio de arrecadação trienal, pelo percentual de crescimento do pib do pais, pelo percentual de taxa de cambio, e pelos percentuais de crescimento projetados para cada tipo de receita recebida da uniao conforme subsidios fornecidos pela FAMURS, o ICMS foi utilizado o indice provisório de retorno de icms para 2020.</t>
  </si>
  <si>
    <t>- Receitas de Transferencias do Fundeb, estas possuem seu calculo utilizando-se das seguintes premissas: este foi calculado pelo valor da etapas de ensino multiplicado pelas matriculas do censo escolar de 2019.</t>
  </si>
  <si>
    <t>- Receitas de Capital, estas possuem seu calculo utilizando-se das seguintes premissas: em relação a operacoes de credito, alienação de bens, estes foram previstos com valor simbólico de R$1,00, para futura implementação no exercicio de 2020. As transferencias de capital foram previstas  dados encaminhados pela diretora de projetos em relação a recursos a receber de transferencias voluntarias. Outras Receitas de Capital possuem valor simbolico referente, pois, dependera de implementação no exercicio de 2020, por eventuais recebimentos de transferencias voluntarias que serão recebidas.</t>
  </si>
  <si>
    <t>Fonte: Projeção da Receita para o exercicio de 2020 e Receita Projetada Exercício de 2019.</t>
  </si>
  <si>
    <t>Indice Médio de Reposição Salarial( Média de Variação do IPCA  E IGP-DI )para 2020</t>
  </si>
  <si>
    <t>Desp. Corrente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</si>
  <si>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</si>
  <si>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</si>
  <si>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</si>
  <si>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</si>
  <si>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</si>
  <si>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</si>
  <si>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</si>
  <si>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</si>
  <si>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</si>
  <si>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</si>
  <si>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</si>
  <si>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</si>
  <si>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</si>
  <si>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</si>
  <si>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</si>
  <si>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</si>
  <si>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</si>
  <si>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</si>
  <si>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</si>
  <si>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</si>
  <si>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 xml:space="preserve">   122 - ADMINISTRAÇÃO GERAL</t>
  </si>
  <si>
    <t xml:space="preserve">   126  - TECNOLOGIA DA INFORMAÇÃO</t>
  </si>
  <si>
    <t xml:space="preserve">   128  - FORMAÇÃO DE RECURSOS HUMANOS</t>
  </si>
  <si>
    <t xml:space="preserve">   301 - ATENÇÃO BÁSICA</t>
  </si>
  <si>
    <t xml:space="preserve">   302 - ASSIST.HOSPITALAR E AMBULAT.</t>
  </si>
  <si>
    <t xml:space="preserve">   303 - SUPORTE PROFILÁTICO E TERAP.</t>
  </si>
  <si>
    <t xml:space="preserve">   304 - VIGILÂNCIA SANITÁRIA</t>
  </si>
  <si>
    <t xml:space="preserve">   305 - VIGILÂNCIA EPIDEMIOLÓGICA</t>
  </si>
  <si>
    <t xml:space="preserve">   306 -  ALIMENTAÇÃO E NUTRIÇÃO</t>
  </si>
  <si>
    <t>SUBFUNÇÕES</t>
  </si>
  <si>
    <t>APORTE FINANCEIRO</t>
  </si>
  <si>
    <t>VALOR ASPS 20%</t>
  </si>
  <si>
    <t>0001 - livre</t>
  </si>
  <si>
    <t>PRIORIDADES LDO LEI MUNICIPAL N.º 1215  DE 02 DE OUTUBRO DE 2019.</t>
  </si>
  <si>
    <t>Estimativa de INDICE DO ICMS PARA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</si>
</sst>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&quot;R$ &quot;#,##0.00_);\(&quot;R$ &quot;#,##0.00\)"/>
    <numFmt numFmtId="166" formatCode="_(* #,##0.00_);_(* \(#,##0.00\);_(* &quot;-&quot;??_);_(@_)"/>
    <numFmt numFmtId="167" formatCode="0;0\-;\0"/>
    <numFmt numFmtId="168" formatCode="0.0%"/>
    <numFmt numFmtId="169" formatCode="_-* #,##0_-;\-* #,##0_-;_-* &quot;-&quot;??_-;_-@_-"/>
    <numFmt numFmtId="170" formatCode="0.000000%"/>
    <numFmt numFmtId="171" formatCode="0.00000%"/>
    <numFmt numFmtId="172" formatCode="_ * #,##0.00_ ;_ * \-#,##0.00_ ;_ * &quot;-&quot;??_ ;_ @_ "/>
    <numFmt numFmtId="173" formatCode="0.0000%"/>
  </numFmts>
  <fonts count="1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sz val="8"/>
      <color indexed="8"/>
      <name val="Microsoft Sans Serif"/>
      <family val="2"/>
    </font>
    <font>
      <b/>
      <sz val="10"/>
      <color indexed="8"/>
      <name val="Arial"/>
      <family val="2"/>
    </font>
    <font>
      <sz val="9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8"/>
      <name val="Wingdings"/>
      <charset val="2"/>
    </font>
    <font>
      <sz val="11"/>
      <color indexed="8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indexed="8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u/>
      <sz val="8"/>
      <color theme="1"/>
      <name val="Verdana"/>
      <family val="2"/>
    </font>
    <font>
      <sz val="8"/>
      <color theme="1"/>
      <name val="Verdana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sz val="8"/>
      <name val="Verdana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9"/>
      <color rgb="FF333333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theme="1"/>
      <name val="Bookman Old Style"/>
      <family val="1"/>
    </font>
    <font>
      <sz val="11"/>
      <color theme="1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2"/>
      <name val="Calibri Light"/>
      <family val="2"/>
      <scheme val="major"/>
    </font>
    <font>
      <i/>
      <sz val="13"/>
      <color theme="1"/>
      <name val="Calibri Light"/>
      <family val="2"/>
      <scheme val="major"/>
    </font>
    <font>
      <b/>
      <sz val="11"/>
      <color indexed="8"/>
      <name val="Calibri"/>
      <family val="2"/>
    </font>
    <font>
      <b/>
      <sz val="16"/>
      <color theme="1"/>
      <name val="Calibri Light"/>
      <family val="2"/>
      <scheme val="major"/>
    </font>
    <font>
      <sz val="16"/>
      <color indexed="8"/>
      <name val="Calibri Light"/>
      <family val="2"/>
      <scheme val="major"/>
    </font>
    <font>
      <b/>
      <sz val="16"/>
      <name val="Calibri Light"/>
      <family val="2"/>
      <scheme val="major"/>
    </font>
    <font>
      <b/>
      <sz val="12"/>
      <name val="Calibri Light"/>
      <family val="2"/>
      <scheme val="major"/>
    </font>
    <font>
      <sz val="12"/>
      <color indexed="8"/>
      <name val="Calibri Light"/>
      <family val="2"/>
      <scheme val="major"/>
    </font>
    <font>
      <b/>
      <sz val="10"/>
      <name val="Calibri Light"/>
      <family val="2"/>
      <scheme val="major"/>
    </font>
    <font>
      <sz val="11"/>
      <color rgb="FF7030A0"/>
      <name val="Calibri Light"/>
      <family val="2"/>
      <scheme val="major"/>
    </font>
    <font>
      <sz val="11"/>
      <color theme="9" tint="-0.249977111117893"/>
      <name val="Calibri Light"/>
      <family val="2"/>
      <scheme val="major"/>
    </font>
    <font>
      <b/>
      <sz val="11"/>
      <color rgb="FF7030A0"/>
      <name val="Calibri Light"/>
      <family val="2"/>
      <scheme val="major"/>
    </font>
    <font>
      <b/>
      <sz val="11"/>
      <color theme="9" tint="-0.249977111117893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0"/>
      <color indexed="8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b/>
      <sz val="10"/>
      <color rgb="FFFF0000"/>
      <name val="Calibri Light"/>
      <family val="2"/>
      <scheme val="major"/>
    </font>
    <font>
      <b/>
      <sz val="10"/>
      <color indexed="57"/>
      <name val="Calibri Light"/>
      <family val="2"/>
      <scheme val="major"/>
    </font>
    <font>
      <sz val="10"/>
      <color indexed="57"/>
      <name val="Calibri Light"/>
      <family val="2"/>
      <scheme val="major"/>
    </font>
    <font>
      <sz val="10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8"/>
      <color indexed="8"/>
      <name val="Calibri Light"/>
      <family val="2"/>
      <scheme val="major"/>
    </font>
    <font>
      <sz val="10"/>
      <color theme="9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1"/>
      <color indexed="8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000000"/>
      <name val="Tahoma"/>
      <family val="2"/>
    </font>
    <font>
      <b/>
      <sz val="16"/>
      <color rgb="FFFF0000"/>
      <name val="Calibri Light"/>
      <family val="2"/>
      <scheme val="major"/>
    </font>
    <font>
      <sz val="16"/>
      <color rgb="FFFF0000"/>
      <name val="Calibri Light"/>
      <family val="2"/>
      <scheme val="major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color theme="1"/>
      <name val="Calibri Light"/>
      <family val="2"/>
      <scheme val="major"/>
    </font>
    <font>
      <i/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i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16"/>
      <color rgb="FF7030A0"/>
      <name val="Calibri Light"/>
      <family val="2"/>
      <scheme val="major"/>
    </font>
    <font>
      <sz val="16"/>
      <color rgb="FF7030A0"/>
      <name val="Calibri Light"/>
      <family val="2"/>
      <scheme val="major"/>
    </font>
    <font>
      <b/>
      <sz val="14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color theme="9"/>
      <name val="Calibri Light"/>
      <family val="2"/>
      <scheme val="major"/>
    </font>
    <font>
      <sz val="16"/>
      <color theme="9"/>
      <name val="Calibri Light"/>
      <family val="2"/>
      <scheme val="major"/>
    </font>
    <font>
      <b/>
      <sz val="14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6"/>
      <color rgb="FF00B050"/>
      <name val="Calibri Light"/>
      <family val="2"/>
      <scheme val="major"/>
    </font>
    <font>
      <sz val="16"/>
      <color rgb="FF00B050"/>
      <name val="Calibri Light"/>
      <family val="2"/>
      <scheme val="major"/>
    </font>
    <font>
      <sz val="11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1"/>
      <color rgb="FF00B050"/>
      <name val="Calibri Light"/>
      <family val="2"/>
      <scheme val="major"/>
    </font>
    <font>
      <b/>
      <sz val="11"/>
      <color rgb="FF00B050"/>
      <name val="Calibri Light"/>
      <family val="2"/>
      <scheme val="major"/>
    </font>
    <font>
      <sz val="12"/>
      <color theme="9" tint="-0.249977111117893"/>
      <name val="Calibri Light"/>
      <family val="2"/>
      <scheme val="major"/>
    </font>
    <font>
      <b/>
      <sz val="11"/>
      <color rgb="FF0070C0"/>
      <name val="Calibri Light"/>
      <family val="2"/>
      <scheme val="major"/>
    </font>
    <font>
      <sz val="11"/>
      <color rgb="FF0070C0"/>
      <name val="Calibri Light"/>
      <family val="2"/>
      <scheme val="major"/>
    </font>
    <font>
      <b/>
      <sz val="12"/>
      <color rgb="FF7030A0"/>
      <name val="Calibri Light"/>
      <family val="2"/>
      <scheme val="major"/>
    </font>
    <font>
      <b/>
      <sz val="11"/>
      <color theme="5"/>
      <name val="Calibri Light"/>
      <family val="2"/>
      <scheme val="major"/>
    </font>
    <font>
      <b/>
      <sz val="12"/>
      <color theme="5"/>
      <name val="Calibri Light"/>
      <family val="2"/>
      <scheme val="major"/>
    </font>
    <font>
      <b/>
      <sz val="12"/>
      <color rgb="FF0070C0"/>
      <name val="Calibri Light"/>
      <family val="2"/>
      <scheme val="major"/>
    </font>
    <font>
      <b/>
      <sz val="11"/>
      <color theme="8"/>
      <name val="Calibri Light"/>
      <family val="2"/>
      <scheme val="major"/>
    </font>
    <font>
      <b/>
      <sz val="12"/>
      <color theme="8"/>
      <name val="Calibri Light"/>
      <family val="2"/>
      <scheme val="major"/>
    </font>
    <font>
      <sz val="11"/>
      <color theme="8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sz val="8"/>
      <name val="Microsoft Sans Serif"/>
      <family val="2"/>
    </font>
    <font>
      <i/>
      <sz val="12"/>
      <color indexed="8"/>
      <name val="Calibri"/>
      <family val="2"/>
      <scheme val="minor"/>
    </font>
    <font>
      <sz val="12"/>
      <color rgb="FF7030A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 Light"/>
      <family val="2"/>
      <scheme val="major"/>
    </font>
    <font>
      <sz val="11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7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dashed">
        <color rgb="FF000000"/>
      </right>
      <top style="medium">
        <color rgb="FF000000"/>
      </top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 style="medium">
        <color rgb="FF000000"/>
      </top>
      <bottom style="dashed">
        <color rgb="FF000000"/>
      </bottom>
      <diagonal/>
    </border>
    <border>
      <left style="dashed">
        <color rgb="FF000000"/>
      </left>
      <right style="medium">
        <color rgb="FF000000"/>
      </right>
      <top style="medium">
        <color rgb="FF000000"/>
      </top>
      <bottom style="dashed">
        <color rgb="FF000000"/>
      </bottom>
      <diagonal/>
    </border>
    <border>
      <left style="medium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dashed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dashed">
        <color rgb="FF000000"/>
      </right>
      <top style="dashed">
        <color rgb="FF000000"/>
      </top>
      <bottom style="medium">
        <color rgb="FF000000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medium">
        <color rgb="FF000000"/>
      </bottom>
      <diagonal/>
    </border>
    <border>
      <left style="dashed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 style="medium">
        <color rgb="FF000000"/>
      </left>
      <right style="dashed">
        <color rgb="FF000000"/>
      </right>
      <top/>
      <bottom style="medium">
        <color rgb="FF000000"/>
      </bottom>
      <diagonal/>
    </border>
    <border>
      <left style="dashed">
        <color rgb="FF000000"/>
      </left>
      <right style="dashed">
        <color rgb="FF000000"/>
      </right>
      <top/>
      <bottom style="medium">
        <color rgb="FF000000"/>
      </bottom>
      <diagonal/>
    </border>
    <border>
      <left style="dashed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auto="1"/>
      </left>
      <right/>
      <top style="dashed">
        <color auto="1"/>
      </top>
      <bottom style="medium">
        <color auto="1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auto="1"/>
      </left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89">
    <xf numFmtId="0" fontId="0" fillId="0" borderId="0" xfId="0"/>
    <xf numFmtId="0" fontId="0" fillId="0" borderId="0" xfId="0" applyFont="1"/>
    <xf numFmtId="38" fontId="6" fillId="0" borderId="0" xfId="0" applyNumberFormat="1" applyFont="1" applyBorder="1" applyAlignment="1">
      <alignment vertical="center"/>
    </xf>
    <xf numFmtId="0" fontId="6" fillId="0" borderId="0" xfId="0" applyFont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10" fontId="7" fillId="13" borderId="0" xfId="1" applyNumberFormat="1" applyFont="1" applyFill="1" applyBorder="1"/>
    <xf numFmtId="0" fontId="7" fillId="13" borderId="0" xfId="0" applyFont="1" applyFill="1" applyBorder="1" applyAlignment="1">
      <alignment horizontal="center"/>
    </xf>
    <xf numFmtId="0" fontId="9" fillId="4" borderId="0" xfId="0" applyFont="1" applyFill="1" applyBorder="1"/>
    <xf numFmtId="44" fontId="7" fillId="4" borderId="0" xfId="2" applyFont="1" applyFill="1" applyBorder="1" applyAlignment="1">
      <alignment horizontal="left"/>
    </xf>
    <xf numFmtId="10" fontId="7" fillId="4" borderId="0" xfId="2" applyNumberFormat="1" applyFont="1" applyFill="1" applyBorder="1" applyAlignment="1">
      <alignment horizontal="left"/>
    </xf>
    <xf numFmtId="10" fontId="7" fillId="4" borderId="0" xfId="1" applyNumberFormat="1" applyFont="1" applyFill="1" applyBorder="1"/>
    <xf numFmtId="0" fontId="3" fillId="0" borderId="0" xfId="0" applyFont="1"/>
    <xf numFmtId="44" fontId="7" fillId="13" borderId="0" xfId="2" applyFont="1" applyFill="1" applyBorder="1" applyAlignment="1">
      <alignment horizontal="left"/>
    </xf>
    <xf numFmtId="10" fontId="7" fillId="13" borderId="0" xfId="2" applyNumberFormat="1" applyFont="1" applyFill="1" applyBorder="1" applyAlignment="1">
      <alignment horizontal="left"/>
    </xf>
    <xf numFmtId="44" fontId="0" fillId="0" borderId="0" xfId="0" applyNumberFormat="1"/>
    <xf numFmtId="0" fontId="10" fillId="4" borderId="0" xfId="0" applyFont="1" applyFill="1" applyAlignment="1">
      <alignment horizontal="left" vertical="top" wrapText="1"/>
    </xf>
    <xf numFmtId="44" fontId="10" fillId="4" borderId="0" xfId="2" applyFont="1" applyFill="1" applyBorder="1" applyAlignment="1">
      <alignment horizontal="left"/>
    </xf>
    <xf numFmtId="10" fontId="10" fillId="4" borderId="0" xfId="2" applyNumberFormat="1" applyFont="1" applyFill="1" applyBorder="1" applyAlignment="1">
      <alignment horizontal="left"/>
    </xf>
    <xf numFmtId="10" fontId="10" fillId="4" borderId="0" xfId="1" applyNumberFormat="1" applyFont="1" applyFill="1" applyBorder="1"/>
    <xf numFmtId="4" fontId="0" fillId="0" borderId="0" xfId="0" applyNumberFormat="1" applyFont="1"/>
    <xf numFmtId="0" fontId="3" fillId="13" borderId="0" xfId="0" applyFont="1" applyFill="1" applyBorder="1"/>
    <xf numFmtId="0" fontId="3" fillId="13" borderId="0" xfId="0" applyFont="1" applyFill="1" applyBorder="1" applyAlignment="1">
      <alignment horizontal="center"/>
    </xf>
    <xf numFmtId="0" fontId="3" fillId="13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44" fontId="3" fillId="0" borderId="0" xfId="2" applyFont="1"/>
    <xf numFmtId="44" fontId="0" fillId="0" borderId="0" xfId="2" applyFont="1"/>
    <xf numFmtId="0" fontId="3" fillId="0" borderId="0" xfId="0" applyNumberFormat="1" applyFont="1" applyAlignment="1">
      <alignment horizontal="left" vertical="center" wrapText="1"/>
    </xf>
    <xf numFmtId="0" fontId="3" fillId="0" borderId="0" xfId="0" applyNumberFormat="1" applyFont="1" applyAlignment="1">
      <alignment horizontal="center" vertical="center" wrapText="1"/>
    </xf>
    <xf numFmtId="0" fontId="3" fillId="0" borderId="0" xfId="2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2" applyNumberFormat="1" applyFont="1" applyAlignment="1">
      <alignment wrapText="1"/>
    </xf>
    <xf numFmtId="44" fontId="3" fillId="0" borderId="0" xfId="0" applyNumberFormat="1" applyFont="1"/>
    <xf numFmtId="0" fontId="21" fillId="0" borderId="0" xfId="0" applyFont="1" applyAlignment="1"/>
    <xf numFmtId="0" fontId="9" fillId="0" borderId="0" xfId="0" applyFont="1" applyAlignment="1"/>
    <xf numFmtId="0" fontId="20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165" fontId="23" fillId="0" borderId="0" xfId="0" applyNumberFormat="1" applyFont="1" applyBorder="1" applyAlignment="1">
      <alignment horizontal="left" vertical="top" wrapText="1"/>
    </xf>
    <xf numFmtId="0" fontId="23" fillId="0" borderId="7" xfId="0" applyFont="1" applyBorder="1" applyAlignment="1">
      <alignment horizontal="left" vertical="top" wrapText="1"/>
    </xf>
    <xf numFmtId="165" fontId="23" fillId="0" borderId="8" xfId="0" applyNumberFormat="1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20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28" fillId="0" borderId="34" xfId="0" applyFont="1" applyBorder="1" applyAlignment="1">
      <alignment vertical="center" wrapText="1"/>
    </xf>
    <xf numFmtId="0" fontId="28" fillId="0" borderId="35" xfId="0" applyFont="1" applyBorder="1" applyAlignment="1">
      <alignment horizontal="right" vertical="center" wrapText="1"/>
    </xf>
    <xf numFmtId="0" fontId="28" fillId="0" borderId="36" xfId="0" applyFont="1" applyBorder="1" applyAlignment="1">
      <alignment horizontal="right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27" xfId="0" applyFont="1" applyBorder="1" applyAlignment="1">
      <alignment horizontal="center" vertical="center" wrapText="1"/>
    </xf>
    <xf numFmtId="44" fontId="28" fillId="0" borderId="30" xfId="2" applyFont="1" applyBorder="1" applyAlignment="1">
      <alignment horizontal="right" vertical="center" wrapText="1"/>
    </xf>
    <xf numFmtId="44" fontId="29" fillId="0" borderId="30" xfId="2" applyFont="1" applyBorder="1" applyAlignment="1">
      <alignment horizontal="right" vertical="center" wrapText="1"/>
    </xf>
    <xf numFmtId="44" fontId="28" fillId="0" borderId="33" xfId="2" applyFont="1" applyBorder="1" applyAlignment="1">
      <alignment horizontal="right" vertical="center" wrapText="1"/>
    </xf>
    <xf numFmtId="0" fontId="31" fillId="0" borderId="0" xfId="0" applyFont="1" applyAlignment="1">
      <alignment vertical="top"/>
    </xf>
    <xf numFmtId="0" fontId="30" fillId="8" borderId="0" xfId="3" applyNumberFormat="1" applyFont="1" applyFill="1" applyBorder="1" applyAlignment="1">
      <alignment horizontal="center" vertical="center" wrapText="1" readingOrder="1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wrapText="1"/>
    </xf>
    <xf numFmtId="44" fontId="32" fillId="0" borderId="0" xfId="0" applyNumberFormat="1" applyFont="1" applyAlignment="1">
      <alignment vertical="top" wrapText="1"/>
    </xf>
    <xf numFmtId="44" fontId="32" fillId="0" borderId="0" xfId="0" applyNumberFormat="1" applyFont="1" applyAlignment="1">
      <alignment vertical="top"/>
    </xf>
    <xf numFmtId="0" fontId="32" fillId="0" borderId="0" xfId="0" applyFont="1" applyAlignment="1">
      <alignment horizontal="left" vertical="top" wrapText="1"/>
    </xf>
    <xf numFmtId="44" fontId="33" fillId="8" borderId="0" xfId="2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/>
    </xf>
    <xf numFmtId="3" fontId="34" fillId="0" borderId="0" xfId="0" applyNumberFormat="1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44" fontId="34" fillId="0" borderId="0" xfId="0" applyNumberFormat="1" applyFont="1" applyAlignment="1">
      <alignment horizontal="left" vertical="top" wrapText="1"/>
    </xf>
    <xf numFmtId="44" fontId="31" fillId="0" borderId="0" xfId="2" applyFont="1" applyAlignment="1">
      <alignment vertical="top"/>
    </xf>
    <xf numFmtId="44" fontId="32" fillId="0" borderId="0" xfId="2" applyFont="1" applyAlignment="1">
      <alignment vertical="top"/>
    </xf>
    <xf numFmtId="44" fontId="34" fillId="0" borderId="0" xfId="2" applyFont="1" applyAlignment="1">
      <alignment vertical="top"/>
    </xf>
    <xf numFmtId="44" fontId="35" fillId="8" borderId="0" xfId="2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 wrapText="1" readingOrder="1"/>
    </xf>
    <xf numFmtId="0" fontId="34" fillId="0" borderId="0" xfId="0" applyFont="1" applyAlignment="1">
      <alignment vertical="top" wrapText="1" readingOrder="1"/>
    </xf>
    <xf numFmtId="0" fontId="34" fillId="0" borderId="0" xfId="0" applyFont="1" applyAlignment="1">
      <alignment vertical="top" wrapText="1"/>
    </xf>
    <xf numFmtId="44" fontId="31" fillId="0" borderId="0" xfId="0" applyNumberFormat="1" applyFont="1" applyAlignment="1">
      <alignment vertical="top"/>
    </xf>
    <xf numFmtId="44" fontId="30" fillId="0" borderId="0" xfId="2" applyFont="1" applyAlignment="1">
      <alignment vertical="top"/>
    </xf>
    <xf numFmtId="44" fontId="30" fillId="0" borderId="0" xfId="0" applyNumberFormat="1" applyFont="1" applyAlignment="1">
      <alignment vertical="top"/>
    </xf>
    <xf numFmtId="0" fontId="30" fillId="0" borderId="0" xfId="0" applyFont="1" applyAlignment="1">
      <alignment vertical="top"/>
    </xf>
    <xf numFmtId="0" fontId="34" fillId="0" borderId="0" xfId="0" applyFont="1" applyAlignment="1">
      <alignment vertical="top"/>
    </xf>
    <xf numFmtId="44" fontId="34" fillId="0" borderId="0" xfId="0" applyNumberFormat="1" applyFont="1" applyAlignment="1">
      <alignment vertical="top"/>
    </xf>
    <xf numFmtId="0" fontId="36" fillId="0" borderId="0" xfId="0" applyFont="1" applyAlignment="1">
      <alignment vertical="top" wrapText="1" readingOrder="1"/>
    </xf>
    <xf numFmtId="0" fontId="31" fillId="0" borderId="0" xfId="0" applyFont="1" applyAlignment="1">
      <alignment horizontal="right" vertical="top"/>
    </xf>
    <xf numFmtId="0" fontId="30" fillId="0" borderId="0" xfId="0" applyFont="1" applyAlignment="1">
      <alignment horizontal="right" vertical="top"/>
    </xf>
    <xf numFmtId="0" fontId="26" fillId="0" borderId="4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44" fontId="27" fillId="0" borderId="12" xfId="2" applyFont="1" applyBorder="1" applyAlignment="1">
      <alignment horizontal="center" vertical="center" wrapText="1"/>
    </xf>
    <xf numFmtId="44" fontId="27" fillId="0" borderId="4" xfId="2" applyFont="1" applyBorder="1" applyAlignment="1">
      <alignment horizontal="center" vertical="center" wrapText="1"/>
    </xf>
    <xf numFmtId="44" fontId="27" fillId="0" borderId="13" xfId="2" applyFont="1" applyBorder="1" applyAlignment="1">
      <alignment horizontal="center" vertical="center" wrapText="1"/>
    </xf>
    <xf numFmtId="44" fontId="27" fillId="0" borderId="6" xfId="2" applyFont="1" applyBorder="1" applyAlignment="1">
      <alignment horizontal="center" vertical="center" wrapText="1"/>
    </xf>
    <xf numFmtId="44" fontId="27" fillId="0" borderId="14" xfId="2" applyFont="1" applyBorder="1" applyAlignment="1">
      <alignment horizontal="center" vertical="center" wrapText="1"/>
    </xf>
    <xf numFmtId="44" fontId="27" fillId="0" borderId="8" xfId="2" applyFont="1" applyBorder="1" applyAlignment="1">
      <alignment horizontal="center" vertical="center" wrapText="1"/>
    </xf>
    <xf numFmtId="44" fontId="26" fillId="0" borderId="13" xfId="2" applyFont="1" applyBorder="1" applyAlignment="1">
      <alignment horizontal="center" vertical="center" wrapText="1"/>
    </xf>
    <xf numFmtId="44" fontId="26" fillId="0" borderId="6" xfId="2" applyFont="1" applyBorder="1" applyAlignment="1">
      <alignment horizontal="center" vertical="center" wrapText="1"/>
    </xf>
    <xf numFmtId="44" fontId="26" fillId="0" borderId="14" xfId="2" applyFont="1" applyBorder="1" applyAlignment="1">
      <alignment horizontal="center" vertical="center" wrapText="1"/>
    </xf>
    <xf numFmtId="44" fontId="26" fillId="0" borderId="8" xfId="2" applyFont="1" applyBorder="1" applyAlignment="1">
      <alignment horizontal="center" vertical="center" wrapText="1"/>
    </xf>
    <xf numFmtId="44" fontId="26" fillId="0" borderId="44" xfId="2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justify" vertical="center" wrapText="1"/>
    </xf>
    <xf numFmtId="44" fontId="38" fillId="0" borderId="22" xfId="2" applyFont="1" applyBorder="1" applyAlignment="1">
      <alignment horizontal="justify" vertical="center" wrapText="1"/>
    </xf>
    <xf numFmtId="0" fontId="39" fillId="0" borderId="38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9" fontId="0" fillId="0" borderId="0" xfId="4" applyFont="1"/>
    <xf numFmtId="9" fontId="0" fillId="0" borderId="0" xfId="0" applyNumberFormat="1"/>
    <xf numFmtId="10" fontId="0" fillId="0" borderId="0" xfId="0" applyNumberFormat="1"/>
    <xf numFmtId="10" fontId="0" fillId="0" borderId="0" xfId="0" applyNumberFormat="1" applyAlignment="1">
      <alignment wrapText="1"/>
    </xf>
    <xf numFmtId="0" fontId="0" fillId="0" borderId="0" xfId="0" applyAlignment="1">
      <alignment vertical="top" wrapText="1"/>
    </xf>
    <xf numFmtId="0" fontId="3" fillId="0" borderId="0" xfId="0" applyFont="1" applyAlignment="1"/>
    <xf numFmtId="0" fontId="3" fillId="8" borderId="0" xfId="0" applyFont="1" applyFill="1" applyBorder="1" applyAlignment="1">
      <alignment horizontal="center" vertical="center" wrapText="1"/>
    </xf>
    <xf numFmtId="44" fontId="0" fillId="0" borderId="0" xfId="2" applyFont="1" applyAlignment="1">
      <alignment wrapText="1"/>
    </xf>
    <xf numFmtId="171" fontId="0" fillId="0" borderId="0" xfId="0" applyNumberFormat="1" applyAlignment="1">
      <alignment wrapText="1"/>
    </xf>
    <xf numFmtId="170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/>
    <xf numFmtId="44" fontId="0" fillId="0" borderId="0" xfId="2" applyFont="1" applyBorder="1"/>
    <xf numFmtId="0" fontId="42" fillId="0" borderId="0" xfId="0" applyFont="1" applyBorder="1" applyAlignment="1">
      <alignment horizontal="center"/>
    </xf>
    <xf numFmtId="0" fontId="42" fillId="0" borderId="0" xfId="0" applyFont="1" applyBorder="1" applyAlignment="1">
      <alignment horizontal="right"/>
    </xf>
    <xf numFmtId="0" fontId="43" fillId="19" borderId="0" xfId="0" applyFont="1" applyFill="1" applyBorder="1" applyAlignment="1">
      <alignment horizontal="center" vertical="center"/>
    </xf>
    <xf numFmtId="44" fontId="44" fillId="19" borderId="0" xfId="2" applyFont="1" applyFill="1" applyBorder="1" applyAlignment="1">
      <alignment horizontal="center" vertical="center"/>
    </xf>
    <xf numFmtId="0" fontId="45" fillId="8" borderId="0" xfId="0" applyFont="1" applyFill="1" applyBorder="1" applyAlignment="1">
      <alignment horizontal="center" vertical="center"/>
    </xf>
    <xf numFmtId="0" fontId="45" fillId="8" borderId="0" xfId="0" applyFont="1" applyFill="1" applyBorder="1" applyAlignment="1">
      <alignment vertical="center"/>
    </xf>
    <xf numFmtId="44" fontId="45" fillId="8" borderId="0" xfId="2" applyFont="1" applyFill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vertical="center"/>
    </xf>
    <xf numFmtId="44" fontId="45" fillId="0" borderId="0" xfId="2" applyFont="1" applyBorder="1" applyAlignment="1">
      <alignment vertical="center"/>
    </xf>
    <xf numFmtId="44" fontId="44" fillId="20" borderId="0" xfId="2" applyFont="1" applyFill="1" applyBorder="1" applyAlignment="1">
      <alignment vertical="center"/>
    </xf>
    <xf numFmtId="0" fontId="45" fillId="0" borderId="0" xfId="0" applyFont="1" applyBorder="1" applyAlignment="1">
      <alignment vertical="top" wrapText="1"/>
    </xf>
    <xf numFmtId="0" fontId="45" fillId="0" borderId="0" xfId="0" applyFont="1" applyBorder="1" applyAlignment="1">
      <alignment horizontal="left" vertical="top" wrapText="1"/>
    </xf>
    <xf numFmtId="0" fontId="0" fillId="0" borderId="0" xfId="0" applyBorder="1" applyAlignment="1">
      <alignment vertical="top"/>
    </xf>
    <xf numFmtId="0" fontId="44" fillId="20" borderId="0" xfId="0" applyFont="1" applyFill="1" applyBorder="1" applyAlignment="1">
      <alignment horizontal="left" vertical="center"/>
    </xf>
    <xf numFmtId="9" fontId="44" fillId="19" borderId="0" xfId="4" applyFont="1" applyFill="1" applyBorder="1" applyAlignment="1">
      <alignment horizontal="center" vertical="center"/>
    </xf>
    <xf numFmtId="44" fontId="44" fillId="19" borderId="0" xfId="2" applyFont="1" applyFill="1" applyBorder="1" applyAlignment="1">
      <alignment vertical="center"/>
    </xf>
    <xf numFmtId="0" fontId="45" fillId="0" borderId="0" xfId="0" applyFont="1" applyBorder="1" applyAlignment="1">
      <alignment horizontal="left" vertical="center" wrapText="1" indent="1"/>
    </xf>
    <xf numFmtId="172" fontId="45" fillId="0" borderId="0" xfId="0" applyNumberFormat="1" applyFont="1" applyBorder="1" applyAlignment="1">
      <alignment vertical="center"/>
    </xf>
    <xf numFmtId="0" fontId="42" fillId="0" borderId="0" xfId="0" applyFont="1" applyBorder="1" applyAlignment="1">
      <alignment horizontal="left" vertical="center" wrapText="1"/>
    </xf>
    <xf numFmtId="44" fontId="42" fillId="0" borderId="0" xfId="2" applyFont="1" applyBorder="1"/>
    <xf numFmtId="0" fontId="46" fillId="0" borderId="0" xfId="0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45" fillId="0" borderId="0" xfId="0" applyFont="1" applyBorder="1"/>
    <xf numFmtId="44" fontId="45" fillId="0" borderId="0" xfId="2" applyFont="1" applyBorder="1"/>
    <xf numFmtId="0" fontId="47" fillId="0" borderId="0" xfId="0" applyFont="1" applyBorder="1" applyAlignment="1">
      <alignment horizontal="center"/>
    </xf>
    <xf numFmtId="0" fontId="47" fillId="0" borderId="0" xfId="0" applyFont="1" applyBorder="1"/>
    <xf numFmtId="44" fontId="47" fillId="0" borderId="0" xfId="2" applyFont="1" applyBorder="1"/>
    <xf numFmtId="0" fontId="42" fillId="0" borderId="0" xfId="2" applyNumberFormat="1" applyFont="1" applyBorder="1"/>
    <xf numFmtId="0" fontId="49" fillId="0" borderId="0" xfId="0" applyFont="1" applyAlignment="1"/>
    <xf numFmtId="0" fontId="51" fillId="0" borderId="0" xfId="0" applyFont="1" applyAlignment="1"/>
    <xf numFmtId="0" fontId="51" fillId="0" borderId="0" xfId="0" applyFont="1" applyAlignment="1">
      <alignment horizontal="center"/>
    </xf>
    <xf numFmtId="0" fontId="3" fillId="0" borderId="6" xfId="2" applyNumberFormat="1" applyFont="1" applyBorder="1" applyAlignment="1">
      <alignment horizontal="center"/>
    </xf>
    <xf numFmtId="0" fontId="27" fillId="0" borderId="5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7" fillId="0" borderId="9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6" fillId="0" borderId="39" xfId="0" applyFont="1" applyBorder="1" applyAlignment="1">
      <alignment vertical="center" wrapText="1"/>
    </xf>
    <xf numFmtId="44" fontId="26" fillId="0" borderId="49" xfId="2" applyFont="1" applyBorder="1" applyAlignment="1">
      <alignment vertical="center" wrapText="1"/>
    </xf>
    <xf numFmtId="44" fontId="26" fillId="0" borderId="50" xfId="2" applyFont="1" applyBorder="1" applyAlignment="1">
      <alignment vertical="center" wrapText="1"/>
    </xf>
    <xf numFmtId="44" fontId="27" fillId="0" borderId="13" xfId="2" applyFont="1" applyBorder="1" applyAlignment="1">
      <alignment vertical="center" wrapText="1"/>
    </xf>
    <xf numFmtId="44" fontId="27" fillId="0" borderId="6" xfId="2" applyFont="1" applyBorder="1" applyAlignment="1">
      <alignment vertical="center" wrapText="1"/>
    </xf>
    <xf numFmtId="44" fontId="26" fillId="0" borderId="13" xfId="2" applyFont="1" applyBorder="1" applyAlignment="1">
      <alignment vertical="center" wrapText="1"/>
    </xf>
    <xf numFmtId="44" fontId="26" fillId="0" borderId="6" xfId="2" applyFont="1" applyBorder="1" applyAlignment="1">
      <alignment vertical="center" wrapText="1"/>
    </xf>
    <xf numFmtId="44" fontId="26" fillId="0" borderId="40" xfId="2" applyFont="1" applyBorder="1" applyAlignment="1">
      <alignment vertical="center" wrapText="1"/>
    </xf>
    <xf numFmtId="44" fontId="26" fillId="0" borderId="41" xfId="2" applyFont="1" applyBorder="1" applyAlignment="1">
      <alignment vertical="center" wrapText="1"/>
    </xf>
    <xf numFmtId="44" fontId="26" fillId="0" borderId="51" xfId="2" applyFont="1" applyBorder="1" applyAlignment="1">
      <alignment vertical="center" wrapText="1"/>
    </xf>
    <xf numFmtId="44" fontId="26" fillId="0" borderId="52" xfId="2" applyFont="1" applyBorder="1" applyAlignment="1">
      <alignment vertical="center" wrapText="1"/>
    </xf>
    <xf numFmtId="0" fontId="0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horizontal="center"/>
    </xf>
    <xf numFmtId="0" fontId="23" fillId="0" borderId="3" xfId="0" applyFont="1" applyBorder="1" applyAlignment="1">
      <alignment horizontal="left" vertical="center" wrapText="1"/>
    </xf>
    <xf numFmtId="165" fontId="23" fillId="0" borderId="4" xfId="0" applyNumberFormat="1" applyFont="1" applyBorder="1" applyAlignment="1">
      <alignment horizontal="left" vertical="top" wrapText="1"/>
    </xf>
    <xf numFmtId="0" fontId="23" fillId="0" borderId="5" xfId="0" applyFont="1" applyBorder="1" applyAlignment="1">
      <alignment horizontal="left" vertical="center" wrapText="1"/>
    </xf>
    <xf numFmtId="165" fontId="23" fillId="0" borderId="6" xfId="0" applyNumberFormat="1" applyFont="1" applyBorder="1" applyAlignment="1">
      <alignment horizontal="left" vertical="top" wrapText="1"/>
    </xf>
    <xf numFmtId="0" fontId="26" fillId="0" borderId="55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54" xfId="0" applyFont="1" applyBorder="1" applyAlignment="1">
      <alignment vertical="center" wrapText="1"/>
    </xf>
    <xf numFmtId="0" fontId="26" fillId="0" borderId="38" xfId="0" applyFont="1" applyBorder="1" applyAlignment="1">
      <alignment vertical="center" wrapText="1"/>
    </xf>
    <xf numFmtId="0" fontId="27" fillId="0" borderId="38" xfId="0" applyFont="1" applyBorder="1" applyAlignment="1">
      <alignment vertical="center" wrapText="1"/>
    </xf>
    <xf numFmtId="0" fontId="26" fillId="0" borderId="56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6" fillId="0" borderId="5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26" fillId="0" borderId="42" xfId="0" applyFont="1" applyBorder="1" applyAlignment="1">
      <alignment vertical="center" wrapText="1"/>
    </xf>
    <xf numFmtId="0" fontId="52" fillId="0" borderId="3" xfId="0" applyFont="1" applyBorder="1" applyAlignment="1">
      <alignment horizontal="justify" vertical="center" wrapText="1"/>
    </xf>
    <xf numFmtId="0" fontId="52" fillId="0" borderId="5" xfId="0" applyFont="1" applyBorder="1" applyAlignment="1">
      <alignment horizontal="justify" vertical="center" wrapText="1"/>
    </xf>
    <xf numFmtId="0" fontId="53" fillId="0" borderId="5" xfId="0" applyFont="1" applyBorder="1" applyAlignment="1">
      <alignment horizontal="justify" vertical="center" wrapText="1"/>
    </xf>
    <xf numFmtId="0" fontId="53" fillId="0" borderId="7" xfId="0" applyFont="1" applyBorder="1" applyAlignment="1">
      <alignment horizontal="justify" vertical="center" wrapText="1"/>
    </xf>
    <xf numFmtId="0" fontId="52" fillId="0" borderId="17" xfId="0" applyFont="1" applyBorder="1" applyAlignment="1">
      <alignment horizontal="justify" vertical="center" wrapText="1"/>
    </xf>
    <xf numFmtId="44" fontId="53" fillId="0" borderId="6" xfId="2" applyFont="1" applyBorder="1" applyAlignment="1">
      <alignment horizontal="justify" vertical="center" wrapText="1"/>
    </xf>
    <xf numFmtId="44" fontId="53" fillId="0" borderId="8" xfId="2" applyFont="1" applyBorder="1" applyAlignment="1">
      <alignment horizontal="justify" vertical="center" wrapText="1"/>
    </xf>
    <xf numFmtId="44" fontId="52" fillId="0" borderId="4" xfId="0" applyNumberFormat="1" applyFont="1" applyBorder="1" applyAlignment="1">
      <alignment horizontal="justify" vertical="center" wrapText="1"/>
    </xf>
    <xf numFmtId="44" fontId="52" fillId="0" borderId="6" xfId="2" applyFont="1" applyBorder="1" applyAlignment="1">
      <alignment horizontal="justify" vertical="center" wrapText="1"/>
    </xf>
    <xf numFmtId="9" fontId="26" fillId="0" borderId="43" xfId="4" applyFont="1" applyBorder="1" applyAlignment="1">
      <alignment horizontal="center" vertical="center" wrapText="1"/>
    </xf>
    <xf numFmtId="44" fontId="26" fillId="0" borderId="49" xfId="2" applyFont="1" applyBorder="1" applyAlignment="1">
      <alignment horizontal="center" vertical="center" wrapText="1"/>
    </xf>
    <xf numFmtId="44" fontId="26" fillId="0" borderId="50" xfId="2" applyFont="1" applyBorder="1" applyAlignment="1">
      <alignment horizontal="center" vertical="center" wrapText="1"/>
    </xf>
    <xf numFmtId="44" fontId="27" fillId="0" borderId="40" xfId="2" applyFont="1" applyBorder="1" applyAlignment="1">
      <alignment horizontal="center" vertical="center" wrapText="1"/>
    </xf>
    <xf numFmtId="44" fontId="27" fillId="0" borderId="41" xfId="2" applyFont="1" applyBorder="1" applyAlignment="1">
      <alignment horizontal="center" vertical="center" wrapText="1"/>
    </xf>
    <xf numFmtId="44" fontId="26" fillId="0" borderId="51" xfId="2" applyFont="1" applyBorder="1" applyAlignment="1">
      <alignment horizontal="center" vertical="center" wrapText="1"/>
    </xf>
    <xf numFmtId="44" fontId="26" fillId="0" borderId="52" xfId="2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7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26" fillId="0" borderId="13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 wrapText="1"/>
    </xf>
    <xf numFmtId="44" fontId="26" fillId="0" borderId="8" xfId="2" applyFont="1" applyBorder="1" applyAlignment="1">
      <alignment vertical="center" wrapText="1"/>
    </xf>
    <xf numFmtId="10" fontId="26" fillId="0" borderId="13" xfId="0" applyNumberFormat="1" applyFont="1" applyBorder="1" applyAlignment="1">
      <alignment horizontal="center" vertical="center" wrapText="1"/>
    </xf>
    <xf numFmtId="10" fontId="26" fillId="0" borderId="6" xfId="0" applyNumberFormat="1" applyFont="1" applyBorder="1" applyAlignment="1">
      <alignment horizontal="center" vertical="center" wrapText="1"/>
    </xf>
    <xf numFmtId="44" fontId="27" fillId="0" borderId="6" xfId="0" applyNumberFormat="1" applyFont="1" applyBorder="1" applyAlignment="1">
      <alignment vertical="center" wrapText="1"/>
    </xf>
    <xf numFmtId="44" fontId="26" fillId="0" borderId="8" xfId="2" applyNumberFormat="1" applyFont="1" applyBorder="1" applyAlignment="1">
      <alignment vertical="center" wrapText="1"/>
    </xf>
    <xf numFmtId="0" fontId="26" fillId="0" borderId="6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justify" vertical="center" wrapText="1"/>
    </xf>
    <xf numFmtId="0" fontId="26" fillId="0" borderId="7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3" borderId="0" xfId="0" applyFont="1" applyFill="1" applyBorder="1"/>
    <xf numFmtId="0" fontId="3" fillId="3" borderId="0" xfId="0" applyFont="1" applyFill="1" applyBorder="1"/>
    <xf numFmtId="10" fontId="3" fillId="3" borderId="0" xfId="0" applyNumberFormat="1" applyFont="1" applyFill="1" applyBorder="1"/>
    <xf numFmtId="0" fontId="0" fillId="3" borderId="0" xfId="0" applyFont="1" applyFill="1" applyBorder="1" applyAlignment="1">
      <alignment horizontal="right"/>
    </xf>
    <xf numFmtId="10" fontId="0" fillId="3" borderId="0" xfId="0" applyNumberFormat="1" applyFont="1" applyFill="1" applyBorder="1"/>
    <xf numFmtId="0" fontId="0" fillId="21" borderId="0" xfId="0" applyFont="1" applyFill="1" applyBorder="1"/>
    <xf numFmtId="10" fontId="3" fillId="21" borderId="0" xfId="0" applyNumberFormat="1" applyFont="1" applyFill="1" applyBorder="1"/>
    <xf numFmtId="10" fontId="0" fillId="21" borderId="0" xfId="0" applyNumberFormat="1" applyFont="1" applyFill="1" applyBorder="1"/>
    <xf numFmtId="173" fontId="0" fillId="21" borderId="0" xfId="0" applyNumberFormat="1" applyFont="1" applyFill="1" applyBorder="1"/>
    <xf numFmtId="10" fontId="0" fillId="21" borderId="0" xfId="0" applyNumberFormat="1" applyFont="1" applyFill="1" applyBorder="1" applyAlignment="1">
      <alignment horizontal="right"/>
    </xf>
    <xf numFmtId="0" fontId="3" fillId="22" borderId="0" xfId="0" applyFont="1" applyFill="1" applyBorder="1"/>
    <xf numFmtId="0" fontId="0" fillId="22" borderId="0" xfId="0" applyFont="1" applyFill="1" applyBorder="1"/>
    <xf numFmtId="10" fontId="3" fillId="22" borderId="0" xfId="0" applyNumberFormat="1" applyFont="1" applyFill="1" applyBorder="1"/>
    <xf numFmtId="10" fontId="0" fillId="22" borderId="0" xfId="0" applyNumberFormat="1" applyFont="1" applyFill="1" applyBorder="1"/>
    <xf numFmtId="44" fontId="1" fillId="22" borderId="0" xfId="2" applyFont="1" applyFill="1" applyBorder="1"/>
    <xf numFmtId="0" fontId="0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57" fillId="0" borderId="0" xfId="0" applyFont="1" applyBorder="1" applyAlignment="1">
      <alignment horizontal="left" vertical="center" wrapText="1"/>
    </xf>
    <xf numFmtId="2" fontId="0" fillId="0" borderId="0" xfId="0" applyNumberFormat="1" applyFont="1" applyBorder="1" applyAlignment="1">
      <alignment horizontal="center" vertical="center"/>
    </xf>
    <xf numFmtId="14" fontId="0" fillId="0" borderId="0" xfId="0" applyNumberFormat="1" applyFont="1" applyBorder="1" applyAlignment="1">
      <alignment vertical="center"/>
    </xf>
    <xf numFmtId="44" fontId="0" fillId="0" borderId="0" xfId="2" applyFont="1" applyBorder="1" applyAlignment="1">
      <alignment horizontal="center" vertical="center"/>
    </xf>
    <xf numFmtId="10" fontId="0" fillId="0" borderId="0" xfId="4" applyNumberFormat="1" applyFont="1" applyBorder="1" applyAlignment="1">
      <alignment horizontal="center" vertical="center"/>
    </xf>
    <xf numFmtId="44" fontId="0" fillId="0" borderId="0" xfId="2" applyFont="1" applyBorder="1" applyAlignment="1">
      <alignment vertical="center"/>
    </xf>
    <xf numFmtId="10" fontId="0" fillId="0" borderId="0" xfId="4" applyNumberFormat="1" applyFont="1" applyBorder="1" applyAlignment="1">
      <alignment vertical="center"/>
    </xf>
    <xf numFmtId="0" fontId="57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/>
    </xf>
    <xf numFmtId="14" fontId="0" fillId="0" borderId="0" xfId="0" applyNumberFormat="1" applyFont="1" applyBorder="1" applyAlignment="1">
      <alignment horizontal="left" vertical="center"/>
    </xf>
    <xf numFmtId="44" fontId="0" fillId="0" borderId="0" xfId="2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44" fontId="1" fillId="0" borderId="0" xfId="2" applyFont="1" applyBorder="1" applyAlignment="1">
      <alignment vertical="center"/>
    </xf>
    <xf numFmtId="44" fontId="0" fillId="0" borderId="0" xfId="2" applyFont="1" applyAlignment="1">
      <alignment vertical="center"/>
    </xf>
    <xf numFmtId="44" fontId="0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44" fontId="3" fillId="0" borderId="0" xfId="0" applyNumberFormat="1" applyFont="1" applyFill="1" applyBorder="1" applyAlignment="1">
      <alignment horizontal="center" vertical="center"/>
    </xf>
    <xf numFmtId="10" fontId="3" fillId="0" borderId="0" xfId="4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4" applyFont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4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0" fontId="1" fillId="0" borderId="0" xfId="4" applyNumberFormat="1" applyFont="1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 wrapText="1"/>
    </xf>
    <xf numFmtId="0" fontId="58" fillId="0" borderId="0" xfId="0" applyFont="1" applyAlignment="1">
      <alignment vertical="center"/>
    </xf>
    <xf numFmtId="0" fontId="58" fillId="0" borderId="0" xfId="0" applyFont="1" applyBorder="1" applyAlignment="1">
      <alignment horizontal="center" vertical="center"/>
    </xf>
    <xf numFmtId="9" fontId="59" fillId="0" borderId="0" xfId="4" applyFont="1" applyAlignment="1">
      <alignment horizontal="center" vertical="center"/>
    </xf>
    <xf numFmtId="44" fontId="59" fillId="0" borderId="0" xfId="2" applyFont="1" applyAlignment="1">
      <alignment vertical="center"/>
    </xf>
    <xf numFmtId="44" fontId="58" fillId="0" borderId="0" xfId="2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2" fillId="0" borderId="0" xfId="0" applyFont="1" applyBorder="1" applyAlignment="1">
      <alignment horizontal="left" vertical="center" wrapText="1"/>
    </xf>
    <xf numFmtId="0" fontId="62" fillId="0" borderId="0" xfId="0" applyFont="1" applyBorder="1" applyAlignment="1">
      <alignment horizontal="center" vertical="center" wrapText="1"/>
    </xf>
    <xf numFmtId="14" fontId="58" fillId="0" borderId="0" xfId="0" applyNumberFormat="1" applyFont="1" applyBorder="1" applyAlignment="1">
      <alignment vertical="center"/>
    </xf>
    <xf numFmtId="44" fontId="58" fillId="0" borderId="0" xfId="2" applyFont="1" applyBorder="1" applyAlignment="1">
      <alignment horizontal="center" vertical="center"/>
    </xf>
    <xf numFmtId="44" fontId="58" fillId="0" borderId="0" xfId="0" applyNumberFormat="1" applyFont="1" applyFill="1" applyBorder="1" applyAlignment="1">
      <alignment horizontal="center" vertical="center"/>
    </xf>
    <xf numFmtId="10" fontId="59" fillId="0" borderId="0" xfId="4" applyNumberFormat="1" applyFont="1" applyBorder="1" applyAlignment="1">
      <alignment horizontal="center" vertical="center"/>
    </xf>
    <xf numFmtId="44" fontId="59" fillId="0" borderId="0" xfId="2" applyFont="1" applyBorder="1" applyAlignment="1">
      <alignment vertical="center"/>
    </xf>
    <xf numFmtId="44" fontId="58" fillId="0" borderId="0" xfId="2" applyFont="1" applyBorder="1" applyAlignment="1">
      <alignment vertical="center"/>
    </xf>
    <xf numFmtId="10" fontId="58" fillId="0" borderId="0" xfId="4" applyNumberFormat="1" applyFont="1" applyBorder="1" applyAlignment="1">
      <alignment vertical="center"/>
    </xf>
    <xf numFmtId="44" fontId="58" fillId="0" borderId="0" xfId="0" applyNumberFormat="1" applyFont="1" applyAlignment="1">
      <alignment vertical="center"/>
    </xf>
    <xf numFmtId="0" fontId="58" fillId="0" borderId="0" xfId="0" applyFont="1" applyBorder="1" applyAlignment="1">
      <alignment horizontal="left" vertical="center"/>
    </xf>
    <xf numFmtId="10" fontId="60" fillId="0" borderId="0" xfId="4" applyNumberFormat="1" applyFont="1" applyFill="1" applyBorder="1" applyAlignment="1">
      <alignment horizontal="center" vertical="center"/>
    </xf>
    <xf numFmtId="2" fontId="58" fillId="0" borderId="0" xfId="0" applyNumberFormat="1" applyFont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14" fontId="58" fillId="0" borderId="0" xfId="0" applyNumberFormat="1" applyFont="1" applyBorder="1" applyAlignment="1">
      <alignment horizontal="center" vertical="center"/>
    </xf>
    <xf numFmtId="44" fontId="59" fillId="0" borderId="0" xfId="2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left" vertical="center" wrapText="1"/>
    </xf>
    <xf numFmtId="0" fontId="64" fillId="0" borderId="0" xfId="0" applyFont="1" applyBorder="1" applyAlignment="1">
      <alignment horizontal="center" vertical="center" wrapText="1"/>
    </xf>
    <xf numFmtId="14" fontId="63" fillId="0" borderId="0" xfId="0" applyNumberFormat="1" applyFont="1" applyBorder="1" applyAlignment="1">
      <alignment vertical="center"/>
    </xf>
    <xf numFmtId="44" fontId="63" fillId="0" borderId="0" xfId="2" applyFont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8" fillId="0" borderId="24" xfId="0" applyFont="1" applyBorder="1" applyAlignment="1">
      <alignment horizontal="center" vertical="center"/>
    </xf>
    <xf numFmtId="9" fontId="58" fillId="0" borderId="0" xfId="4" applyFont="1" applyAlignment="1">
      <alignment horizontal="center" vertical="center"/>
    </xf>
    <xf numFmtId="44" fontId="60" fillId="0" borderId="0" xfId="2" applyFont="1" applyAlignment="1">
      <alignment vertical="center"/>
    </xf>
    <xf numFmtId="0" fontId="58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44" fontId="60" fillId="0" borderId="0" xfId="2" applyFont="1" applyBorder="1" applyAlignment="1">
      <alignment horizontal="center" vertical="center"/>
    </xf>
    <xf numFmtId="10" fontId="58" fillId="0" borderId="0" xfId="4" applyNumberFormat="1" applyFont="1" applyBorder="1" applyAlignment="1">
      <alignment horizontal="center" vertical="center"/>
    </xf>
    <xf numFmtId="44" fontId="60" fillId="0" borderId="0" xfId="2" applyFont="1" applyBorder="1" applyAlignment="1">
      <alignment vertical="center"/>
    </xf>
    <xf numFmtId="44" fontId="60" fillId="0" borderId="0" xfId="0" applyNumberFormat="1" applyFont="1" applyAlignment="1">
      <alignment vertical="center"/>
    </xf>
    <xf numFmtId="0" fontId="60" fillId="0" borderId="0" xfId="2" applyNumberFormat="1" applyFont="1" applyBorder="1" applyAlignment="1">
      <alignment vertical="center"/>
    </xf>
    <xf numFmtId="0" fontId="60" fillId="0" borderId="0" xfId="0" applyFont="1"/>
    <xf numFmtId="44" fontId="60" fillId="0" borderId="0" xfId="2" applyFont="1"/>
    <xf numFmtId="44" fontId="60" fillId="0" borderId="0" xfId="2" applyFont="1" applyAlignment="1">
      <alignment horizontal="center"/>
    </xf>
    <xf numFmtId="10" fontId="60" fillId="0" borderId="0" xfId="2" applyNumberFormat="1" applyFont="1" applyAlignment="1">
      <alignment horizontal="center"/>
    </xf>
    <xf numFmtId="0" fontId="58" fillId="8" borderId="3" xfId="0" applyFont="1" applyFill="1" applyBorder="1" applyAlignment="1">
      <alignment horizontal="right" vertical="center"/>
    </xf>
    <xf numFmtId="0" fontId="60" fillId="0" borderId="0" xfId="0" applyFont="1" applyBorder="1" applyAlignment="1">
      <alignment horizontal="right" vertical="center"/>
    </xf>
    <xf numFmtId="0" fontId="58" fillId="8" borderId="5" xfId="0" applyFont="1" applyFill="1" applyBorder="1" applyAlignment="1">
      <alignment horizontal="center" vertical="center"/>
    </xf>
    <xf numFmtId="0" fontId="58" fillId="8" borderId="5" xfId="0" applyFont="1" applyFill="1" applyBorder="1" applyAlignment="1">
      <alignment horizontal="left" vertical="center"/>
    </xf>
    <xf numFmtId="0" fontId="60" fillId="0" borderId="0" xfId="0" applyFont="1" applyBorder="1" applyAlignment="1">
      <alignment horizontal="left" vertical="center"/>
    </xf>
    <xf numFmtId="0" fontId="65" fillId="0" borderId="5" xfId="0" applyFont="1" applyBorder="1" applyAlignment="1">
      <alignment horizontal="center" vertical="center" wrapText="1"/>
    </xf>
    <xf numFmtId="2" fontId="65" fillId="0" borderId="13" xfId="0" applyNumberFormat="1" applyFont="1" applyBorder="1" applyAlignment="1">
      <alignment horizontal="center" vertical="center" wrapText="1"/>
    </xf>
    <xf numFmtId="2" fontId="65" fillId="0" borderId="6" xfId="0" applyNumberFormat="1" applyFont="1" applyBorder="1" applyAlignment="1">
      <alignment horizontal="center" vertical="center" wrapText="1"/>
    </xf>
    <xf numFmtId="0" fontId="65" fillId="0" borderId="7" xfId="0" applyFont="1" applyBorder="1" applyAlignment="1">
      <alignment horizontal="center" vertical="center" wrapText="1"/>
    </xf>
    <xf numFmtId="2" fontId="65" fillId="0" borderId="14" xfId="0" applyNumberFormat="1" applyFont="1" applyBorder="1" applyAlignment="1">
      <alignment horizontal="center" vertical="center" wrapText="1"/>
    </xf>
    <xf numFmtId="2" fontId="65" fillId="0" borderId="8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170" fontId="0" fillId="0" borderId="0" xfId="0" applyNumberFormat="1"/>
    <xf numFmtId="0" fontId="8" fillId="0" borderId="66" xfId="0" applyFont="1" applyBorder="1" applyAlignment="1">
      <alignment horizontal="center"/>
    </xf>
    <xf numFmtId="170" fontId="8" fillId="0" borderId="67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0" fontId="8" fillId="0" borderId="68" xfId="0" applyNumberFormat="1" applyFont="1" applyBorder="1" applyAlignment="1">
      <alignment horizontal="left"/>
    </xf>
    <xf numFmtId="0" fontId="8" fillId="0" borderId="69" xfId="0" applyFont="1" applyBorder="1" applyAlignment="1">
      <alignment horizontal="center"/>
    </xf>
    <xf numFmtId="4" fontId="8" fillId="0" borderId="71" xfId="0" applyNumberFormat="1" applyFont="1" applyBorder="1" applyAlignment="1">
      <alignment horizontal="left"/>
    </xf>
    <xf numFmtId="10" fontId="9" fillId="0" borderId="68" xfId="0" applyNumberFormat="1" applyFont="1" applyBorder="1" applyAlignment="1">
      <alignment horizontal="left"/>
    </xf>
    <xf numFmtId="0" fontId="66" fillId="0" borderId="0" xfId="0" applyFont="1"/>
    <xf numFmtId="0" fontId="9" fillId="0" borderId="72" xfId="0" applyFont="1" applyBorder="1" applyAlignment="1">
      <alignment horizontal="center"/>
    </xf>
    <xf numFmtId="0" fontId="9" fillId="0" borderId="73" xfId="0" applyFont="1" applyBorder="1"/>
    <xf numFmtId="4" fontId="9" fillId="0" borderId="73" xfId="0" applyNumberFormat="1" applyFont="1" applyBorder="1" applyAlignment="1">
      <alignment horizontal="left"/>
    </xf>
    <xf numFmtId="10" fontId="9" fillId="0" borderId="74" xfId="0" applyNumberFormat="1" applyFont="1" applyBorder="1" applyAlignment="1">
      <alignment horizontal="left"/>
    </xf>
    <xf numFmtId="4" fontId="0" fillId="0" borderId="0" xfId="0" applyNumberFormat="1"/>
    <xf numFmtId="0" fontId="58" fillId="0" borderId="0" xfId="0" applyFont="1"/>
    <xf numFmtId="0" fontId="68" fillId="0" borderId="0" xfId="0" applyFont="1"/>
    <xf numFmtId="38" fontId="69" fillId="0" borderId="0" xfId="0" applyNumberFormat="1" applyFont="1" applyBorder="1" applyAlignment="1">
      <alignment vertical="center"/>
    </xf>
    <xf numFmtId="0" fontId="69" fillId="0" borderId="0" xfId="0" applyFont="1"/>
    <xf numFmtId="0" fontId="71" fillId="0" borderId="0" xfId="0" applyFont="1"/>
    <xf numFmtId="0" fontId="70" fillId="9" borderId="0" xfId="0" applyFont="1" applyFill="1" applyBorder="1" applyAlignment="1">
      <alignment horizontal="center" vertical="center"/>
    </xf>
    <xf numFmtId="0" fontId="64" fillId="10" borderId="0" xfId="0" applyFont="1" applyFill="1" applyBorder="1"/>
    <xf numFmtId="44" fontId="64" fillId="10" borderId="0" xfId="2" applyFont="1" applyFill="1" applyBorder="1" applyAlignment="1">
      <alignment horizontal="left"/>
    </xf>
    <xf numFmtId="10" fontId="64" fillId="10" borderId="0" xfId="2" applyNumberFormat="1" applyFont="1" applyFill="1" applyBorder="1" applyAlignment="1">
      <alignment horizontal="left"/>
    </xf>
    <xf numFmtId="10" fontId="64" fillId="10" borderId="0" xfId="1" applyNumberFormat="1" applyFont="1" applyFill="1" applyBorder="1"/>
    <xf numFmtId="0" fontId="64" fillId="0" borderId="0" xfId="0" applyFont="1"/>
    <xf numFmtId="44" fontId="64" fillId="0" borderId="0" xfId="0" applyNumberFormat="1" applyFont="1"/>
    <xf numFmtId="10" fontId="64" fillId="0" borderId="0" xfId="0" applyNumberFormat="1" applyFont="1"/>
    <xf numFmtId="0" fontId="70" fillId="9" borderId="0" xfId="0" applyFont="1" applyFill="1" applyBorder="1"/>
    <xf numFmtId="44" fontId="70" fillId="9" borderId="0" xfId="2" applyFont="1" applyFill="1" applyBorder="1" applyAlignment="1">
      <alignment horizontal="left"/>
    </xf>
    <xf numFmtId="10" fontId="70" fillId="9" borderId="0" xfId="1" applyNumberFormat="1" applyFont="1" applyFill="1" applyBorder="1" applyAlignment="1">
      <alignment horizontal="center"/>
    </xf>
    <xf numFmtId="10" fontId="70" fillId="9" borderId="0" xfId="1" applyNumberFormat="1" applyFont="1" applyFill="1" applyBorder="1"/>
    <xf numFmtId="0" fontId="70" fillId="0" borderId="0" xfId="0" applyFont="1" applyBorder="1"/>
    <xf numFmtId="165" fontId="70" fillId="0" borderId="0" xfId="1" applyNumberFormat="1" applyFont="1" applyBorder="1" applyAlignment="1">
      <alignment horizontal="left"/>
    </xf>
    <xf numFmtId="10" fontId="70" fillId="0" borderId="0" xfId="1" applyNumberFormat="1" applyFont="1" applyBorder="1" applyAlignment="1">
      <alignment horizontal="center"/>
    </xf>
    <xf numFmtId="10" fontId="70" fillId="0" borderId="0" xfId="1" applyNumberFormat="1" applyFont="1" applyBorder="1"/>
    <xf numFmtId="0" fontId="70" fillId="11" borderId="0" xfId="0" applyFont="1" applyFill="1" applyBorder="1" applyAlignment="1">
      <alignment horizontal="center" wrapText="1"/>
    </xf>
    <xf numFmtId="0" fontId="64" fillId="4" borderId="0" xfId="0" applyFont="1" applyFill="1" applyBorder="1"/>
    <xf numFmtId="10" fontId="64" fillId="0" borderId="0" xfId="1" applyNumberFormat="1" applyFont="1" applyBorder="1"/>
    <xf numFmtId="0" fontId="72" fillId="0" borderId="0" xfId="0" applyFont="1" applyFill="1" applyBorder="1" applyAlignment="1"/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vertical="center" wrapText="1"/>
    </xf>
    <xf numFmtId="0" fontId="73" fillId="0" borderId="0" xfId="0" applyFont="1"/>
    <xf numFmtId="0" fontId="74" fillId="0" borderId="0" xfId="0" applyFont="1" applyAlignment="1">
      <alignment horizontal="center" vertical="center" wrapText="1"/>
    </xf>
    <xf numFmtId="0" fontId="74" fillId="0" borderId="0" xfId="0" applyFont="1" applyAlignment="1">
      <alignment vertical="center" wrapText="1"/>
    </xf>
    <xf numFmtId="0" fontId="75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0" fontId="75" fillId="0" borderId="0" xfId="0" applyFont="1"/>
    <xf numFmtId="0" fontId="74" fillId="0" borderId="0" xfId="0" applyFont="1"/>
    <xf numFmtId="0" fontId="77" fillId="0" borderId="0" xfId="0" applyFont="1"/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center" vertical="center"/>
    </xf>
    <xf numFmtId="0" fontId="67" fillId="0" borderId="0" xfId="0" applyFont="1" applyAlignment="1"/>
    <xf numFmtId="38" fontId="67" fillId="0" borderId="0" xfId="0" applyNumberFormat="1" applyFont="1" applyAlignment="1"/>
    <xf numFmtId="38" fontId="67" fillId="0" borderId="0" xfId="0" applyNumberFormat="1" applyFont="1" applyAlignment="1">
      <alignment horizontal="center"/>
    </xf>
    <xf numFmtId="0" fontId="78" fillId="0" borderId="0" xfId="0" applyFont="1"/>
    <xf numFmtId="0" fontId="78" fillId="0" borderId="0" xfId="0" applyFont="1" applyAlignment="1">
      <alignment horizontal="center"/>
    </xf>
    <xf numFmtId="0" fontId="80" fillId="2" borderId="0" xfId="0" applyFont="1" applyFill="1" applyBorder="1" applyAlignment="1">
      <alignment horizontal="center" vertical="center" wrapText="1"/>
    </xf>
    <xf numFmtId="0" fontId="72" fillId="3" borderId="1" xfId="0" applyFont="1" applyFill="1" applyBorder="1"/>
    <xf numFmtId="0" fontId="80" fillId="3" borderId="0" xfId="0" applyFont="1" applyFill="1" applyBorder="1" applyAlignment="1">
      <alignment horizontal="left" vertical="top" wrapText="1"/>
    </xf>
    <xf numFmtId="44" fontId="80" fillId="3" borderId="0" xfId="2" applyFont="1" applyFill="1" applyBorder="1" applyAlignment="1">
      <alignment horizontal="left" vertical="top" wrapText="1"/>
    </xf>
    <xf numFmtId="0" fontId="79" fillId="0" borderId="0" xfId="0" applyFont="1"/>
    <xf numFmtId="0" fontId="81" fillId="0" borderId="0" xfId="0" applyFont="1"/>
    <xf numFmtId="0" fontId="81" fillId="3" borderId="1" xfId="0" applyFont="1" applyFill="1" applyBorder="1"/>
    <xf numFmtId="0" fontId="82" fillId="3" borderId="0" xfId="0" applyFont="1" applyFill="1" applyBorder="1" applyAlignment="1">
      <alignment horizontal="left" vertical="top" wrapText="1"/>
    </xf>
    <xf numFmtId="44" fontId="82" fillId="3" borderId="0" xfId="2" applyFont="1" applyFill="1" applyBorder="1" applyAlignment="1">
      <alignment horizontal="left" vertical="top" wrapText="1"/>
    </xf>
    <xf numFmtId="0" fontId="81" fillId="3" borderId="0" xfId="0" applyFont="1" applyFill="1" applyBorder="1"/>
    <xf numFmtId="0" fontId="81" fillId="3" borderId="0" xfId="0" applyFont="1" applyFill="1" applyBorder="1" applyAlignment="1">
      <alignment horizontal="left" vertical="top" wrapText="1"/>
    </xf>
    <xf numFmtId="44" fontId="81" fillId="3" borderId="0" xfId="2" applyFont="1" applyFill="1" applyBorder="1" applyAlignment="1">
      <alignment horizontal="left" vertical="top" wrapText="1"/>
    </xf>
    <xf numFmtId="0" fontId="80" fillId="0" borderId="0" xfId="0" applyFont="1" applyBorder="1" applyAlignment="1">
      <alignment horizontal="left" vertical="top" wrapText="1"/>
    </xf>
    <xf numFmtId="164" fontId="80" fillId="0" borderId="0" xfId="0" applyNumberFormat="1" applyFont="1" applyBorder="1" applyAlignment="1">
      <alignment horizontal="left" vertical="top" wrapText="1"/>
    </xf>
    <xf numFmtId="0" fontId="78" fillId="0" borderId="0" xfId="0" applyFont="1" applyAlignment="1"/>
    <xf numFmtId="10" fontId="78" fillId="0" borderId="0" xfId="0" applyNumberFormat="1" applyFont="1"/>
    <xf numFmtId="0" fontId="83" fillId="5" borderId="0" xfId="0" applyFont="1" applyFill="1" applyBorder="1"/>
    <xf numFmtId="0" fontId="72" fillId="6" borderId="0" xfId="0" applyFont="1" applyFill="1" applyBorder="1"/>
    <xf numFmtId="44" fontId="72" fillId="5" borderId="0" xfId="2" applyFont="1" applyFill="1" applyBorder="1"/>
    <xf numFmtId="0" fontId="84" fillId="5" borderId="0" xfId="0" applyFont="1" applyFill="1" applyBorder="1"/>
    <xf numFmtId="0" fontId="85" fillId="6" borderId="0" xfId="0" applyFont="1" applyFill="1" applyBorder="1"/>
    <xf numFmtId="44" fontId="85" fillId="0" borderId="0" xfId="2" applyFont="1" applyBorder="1" applyProtection="1">
      <protection locked="0"/>
    </xf>
    <xf numFmtId="0" fontId="79" fillId="5" borderId="0" xfId="0" applyFont="1" applyFill="1" applyBorder="1"/>
    <xf numFmtId="0" fontId="78" fillId="5" borderId="0" xfId="0" applyFont="1" applyFill="1" applyBorder="1"/>
    <xf numFmtId="44" fontId="72" fillId="0" borderId="0" xfId="2" applyFont="1" applyBorder="1" applyProtection="1">
      <protection locked="0"/>
    </xf>
    <xf numFmtId="44" fontId="72" fillId="7" borderId="0" xfId="2" applyFont="1" applyFill="1" applyBorder="1" applyAlignment="1"/>
    <xf numFmtId="44" fontId="72" fillId="7" borderId="0" xfId="2" applyFont="1" applyFill="1" applyBorder="1"/>
    <xf numFmtId="0" fontId="78" fillId="8" borderId="0" xfId="0" applyFont="1" applyFill="1" applyBorder="1"/>
    <xf numFmtId="0" fontId="85" fillId="8" borderId="0" xfId="0" applyFont="1" applyFill="1" applyBorder="1"/>
    <xf numFmtId="4" fontId="85" fillId="0" borderId="0" xfId="0" applyNumberFormat="1" applyFont="1" applyBorder="1" applyAlignment="1" applyProtection="1">
      <protection locked="0"/>
    </xf>
    <xf numFmtId="4" fontId="85" fillId="0" borderId="0" xfId="0" applyNumberFormat="1" applyFont="1" applyBorder="1" applyProtection="1">
      <protection locked="0"/>
    </xf>
    <xf numFmtId="44" fontId="72" fillId="5" borderId="0" xfId="2" applyFont="1" applyFill="1" applyBorder="1" applyAlignment="1"/>
    <xf numFmtId="0" fontId="72" fillId="8" borderId="0" xfId="0" applyFont="1" applyFill="1" applyBorder="1"/>
    <xf numFmtId="44" fontId="85" fillId="0" borderId="0" xfId="2" applyFont="1" applyBorder="1" applyAlignment="1"/>
    <xf numFmtId="44" fontId="85" fillId="0" borderId="0" xfId="2" applyFont="1" applyBorder="1"/>
    <xf numFmtId="0" fontId="72" fillId="4" borderId="0" xfId="0" applyFont="1" applyFill="1" applyBorder="1" applyAlignment="1">
      <alignment horizontal="center"/>
    </xf>
    <xf numFmtId="0" fontId="72" fillId="4" borderId="0" xfId="2" applyNumberFormat="1" applyFont="1" applyFill="1" applyBorder="1" applyAlignment="1">
      <alignment horizontal="center"/>
    </xf>
    <xf numFmtId="0" fontId="85" fillId="3" borderId="0" xfId="0" applyFont="1" applyFill="1" applyBorder="1"/>
    <xf numFmtId="44" fontId="72" fillId="3" borderId="0" xfId="2" applyFont="1" applyFill="1" applyBorder="1" applyProtection="1">
      <protection locked="0"/>
    </xf>
    <xf numFmtId="44" fontId="85" fillId="3" borderId="0" xfId="2" applyFont="1" applyFill="1" applyBorder="1" applyProtection="1">
      <protection locked="0"/>
    </xf>
    <xf numFmtId="0" fontId="79" fillId="6" borderId="0" xfId="0" applyFont="1" applyFill="1" applyAlignment="1">
      <alignment horizontal="center"/>
    </xf>
    <xf numFmtId="0" fontId="78" fillId="10" borderId="0" xfId="0" applyFont="1" applyFill="1" applyAlignment="1">
      <alignment horizontal="left" vertical="center"/>
    </xf>
    <xf numFmtId="0" fontId="78" fillId="10" borderId="0" xfId="0" applyFont="1" applyFill="1"/>
    <xf numFmtId="44" fontId="85" fillId="10" borderId="0" xfId="2" applyFont="1" applyFill="1" applyBorder="1" applyAlignment="1">
      <alignment horizontal="left"/>
    </xf>
    <xf numFmtId="44" fontId="85" fillId="10" borderId="0" xfId="2" applyFont="1" applyFill="1" applyBorder="1" applyProtection="1">
      <protection locked="0"/>
    </xf>
    <xf numFmtId="0" fontId="86" fillId="10" borderId="0" xfId="0" applyFont="1" applyFill="1" applyBorder="1"/>
    <xf numFmtId="0" fontId="80" fillId="10" borderId="0" xfId="0" applyFont="1" applyFill="1" applyBorder="1"/>
    <xf numFmtId="0" fontId="86" fillId="10" borderId="0" xfId="0" applyFont="1" applyFill="1" applyAlignment="1">
      <alignment horizontal="left" vertical="top" wrapText="1"/>
    </xf>
    <xf numFmtId="0" fontId="86" fillId="10" borderId="0" xfId="0" applyFont="1" applyFill="1" applyAlignment="1">
      <alignment horizontal="left" vertical="top" wrapText="1" readingOrder="1"/>
    </xf>
    <xf numFmtId="44" fontId="81" fillId="10" borderId="0" xfId="2" applyFont="1" applyFill="1" applyBorder="1" applyAlignment="1">
      <alignment horizontal="left"/>
    </xf>
    <xf numFmtId="44" fontId="81" fillId="10" borderId="0" xfId="2" applyFont="1" applyFill="1" applyBorder="1" applyProtection="1">
      <protection locked="0"/>
    </xf>
    <xf numFmtId="44" fontId="81" fillId="18" borderId="0" xfId="2" applyFont="1" applyFill="1" applyBorder="1" applyAlignment="1">
      <alignment horizontal="left"/>
    </xf>
    <xf numFmtId="44" fontId="81" fillId="18" borderId="0" xfId="2" applyFont="1" applyFill="1" applyBorder="1" applyProtection="1">
      <protection locked="0"/>
    </xf>
    <xf numFmtId="0" fontId="81" fillId="10" borderId="0" xfId="0" applyFont="1" applyFill="1"/>
    <xf numFmtId="0" fontId="88" fillId="0" borderId="0" xfId="0" applyFont="1"/>
    <xf numFmtId="44" fontId="88" fillId="10" borderId="0" xfId="2" applyFont="1" applyFill="1" applyBorder="1" applyAlignment="1">
      <alignment horizontal="left"/>
    </xf>
    <xf numFmtId="44" fontId="88" fillId="10" borderId="0" xfId="2" applyFont="1" applyFill="1" applyBorder="1" applyProtection="1">
      <protection locked="0"/>
    </xf>
    <xf numFmtId="44" fontId="79" fillId="0" borderId="0" xfId="0" applyNumberFormat="1" applyFont="1"/>
    <xf numFmtId="44" fontId="78" fillId="0" borderId="0" xfId="0" applyNumberFormat="1" applyFont="1"/>
    <xf numFmtId="0" fontId="58" fillId="10" borderId="0" xfId="0" applyFont="1" applyFill="1" applyBorder="1"/>
    <xf numFmtId="170" fontId="58" fillId="10" borderId="0" xfId="0" applyNumberFormat="1" applyFont="1" applyFill="1" applyAlignment="1"/>
    <xf numFmtId="170" fontId="58" fillId="0" borderId="0" xfId="0" applyNumberFormat="1" applyFont="1"/>
    <xf numFmtId="0" fontId="58" fillId="0" borderId="0" xfId="0" applyFont="1" applyBorder="1" applyAlignment="1">
      <alignment horizontal="center"/>
    </xf>
    <xf numFmtId="0" fontId="70" fillId="12" borderId="0" xfId="0" applyFont="1" applyFill="1" applyBorder="1" applyAlignment="1">
      <alignment horizontal="center" vertical="center"/>
    </xf>
    <xf numFmtId="0" fontId="70" fillId="12" borderId="0" xfId="0" applyFont="1" applyFill="1" applyBorder="1" applyAlignment="1">
      <alignment vertical="center"/>
    </xf>
    <xf numFmtId="0" fontId="70" fillId="13" borderId="0" xfId="0" applyFont="1" applyFill="1" applyBorder="1"/>
    <xf numFmtId="165" fontId="70" fillId="13" borderId="0" xfId="0" applyNumberFormat="1" applyFont="1" applyFill="1" applyBorder="1" applyAlignment="1">
      <alignment horizontal="left"/>
    </xf>
    <xf numFmtId="10" fontId="70" fillId="13" borderId="0" xfId="1" applyNumberFormat="1" applyFont="1" applyFill="1" applyBorder="1" applyAlignment="1">
      <alignment horizontal="center"/>
    </xf>
    <xf numFmtId="166" fontId="70" fillId="13" borderId="0" xfId="0" applyNumberFormat="1" applyFont="1" applyFill="1" applyBorder="1" applyAlignment="1">
      <alignment horizontal="left"/>
    </xf>
    <xf numFmtId="10" fontId="70" fillId="13" borderId="0" xfId="1" applyNumberFormat="1" applyFont="1" applyFill="1" applyBorder="1"/>
    <xf numFmtId="0" fontId="71" fillId="14" borderId="0" xfId="0" applyFont="1" applyFill="1" applyBorder="1" applyAlignment="1">
      <alignment horizontal="left" vertical="top" wrapText="1"/>
    </xf>
    <xf numFmtId="165" fontId="64" fillId="14" borderId="0" xfId="1" applyNumberFormat="1" applyFont="1" applyFill="1" applyBorder="1" applyAlignment="1">
      <alignment horizontal="left"/>
    </xf>
    <xf numFmtId="10" fontId="64" fillId="14" borderId="0" xfId="1" applyNumberFormat="1" applyFont="1" applyFill="1" applyBorder="1" applyAlignment="1">
      <alignment horizontal="center"/>
    </xf>
    <xf numFmtId="10" fontId="64" fillId="14" borderId="0" xfId="1" applyNumberFormat="1" applyFont="1" applyFill="1" applyBorder="1"/>
    <xf numFmtId="165" fontId="70" fillId="13" borderId="0" xfId="1" applyNumberFormat="1" applyFont="1" applyFill="1" applyBorder="1" applyAlignment="1">
      <alignment horizontal="left"/>
    </xf>
    <xf numFmtId="0" fontId="92" fillId="13" borderId="0" xfId="0" applyFont="1" applyFill="1" applyBorder="1" applyAlignment="1">
      <alignment horizontal="left" vertical="top" wrapText="1"/>
    </xf>
    <xf numFmtId="165" fontId="92" fillId="13" borderId="0" xfId="1" applyNumberFormat="1" applyFont="1" applyFill="1" applyBorder="1" applyAlignment="1">
      <alignment horizontal="left"/>
    </xf>
    <xf numFmtId="10" fontId="93" fillId="13" borderId="0" xfId="1" applyNumberFormat="1" applyFont="1" applyFill="1" applyBorder="1" applyAlignment="1">
      <alignment horizontal="center"/>
    </xf>
    <xf numFmtId="10" fontId="92" fillId="13" borderId="0" xfId="1" applyNumberFormat="1" applyFont="1" applyFill="1" applyBorder="1"/>
    <xf numFmtId="0" fontId="59" fillId="0" borderId="0" xfId="0" applyFont="1"/>
    <xf numFmtId="0" fontId="60" fillId="0" borderId="0" xfId="0" applyNumberFormat="1" applyFont="1" applyAlignment="1">
      <alignment horizontal="left" vertical="center" wrapText="1"/>
    </xf>
    <xf numFmtId="0" fontId="60" fillId="0" borderId="0" xfId="0" applyNumberFormat="1" applyFont="1" applyAlignment="1">
      <alignment horizontal="center" vertical="center" wrapText="1"/>
    </xf>
    <xf numFmtId="0" fontId="60" fillId="0" borderId="0" xfId="2" applyNumberFormat="1" applyFont="1" applyAlignment="1">
      <alignment horizontal="center" vertical="center" wrapText="1"/>
    </xf>
    <xf numFmtId="0" fontId="58" fillId="0" borderId="0" xfId="0" applyNumberFormat="1" applyFont="1" applyAlignment="1">
      <alignment horizontal="center" vertical="center" wrapText="1"/>
    </xf>
    <xf numFmtId="44" fontId="58" fillId="0" borderId="0" xfId="2" applyFont="1"/>
    <xf numFmtId="0" fontId="72" fillId="13" borderId="0" xfId="0" applyNumberFormat="1" applyFont="1" applyFill="1" applyBorder="1" applyAlignment="1">
      <alignment vertical="center" wrapText="1"/>
    </xf>
    <xf numFmtId="0" fontId="60" fillId="0" borderId="0" xfId="0" applyNumberFormat="1" applyFont="1" applyAlignment="1">
      <alignment horizontal="center" wrapText="1"/>
    </xf>
    <xf numFmtId="0" fontId="58" fillId="0" borderId="0" xfId="0" applyNumberFormat="1" applyFont="1" applyAlignment="1">
      <alignment wrapText="1"/>
    </xf>
    <xf numFmtId="0" fontId="58" fillId="0" borderId="0" xfId="2" applyNumberFormat="1" applyFont="1" applyAlignment="1">
      <alignment wrapText="1"/>
    </xf>
    <xf numFmtId="0" fontId="72" fillId="14" borderId="0" xfId="0" applyFont="1" applyFill="1" applyBorder="1"/>
    <xf numFmtId="10" fontId="58" fillId="0" borderId="0" xfId="4" applyNumberFormat="1" applyFont="1"/>
    <xf numFmtId="0" fontId="72" fillId="13" borderId="0" xfId="0" applyFont="1" applyFill="1" applyBorder="1"/>
    <xf numFmtId="44" fontId="60" fillId="0" borderId="0" xfId="0" applyNumberFormat="1" applyFont="1"/>
    <xf numFmtId="10" fontId="60" fillId="0" borderId="0" xfId="4" applyNumberFormat="1" applyFont="1"/>
    <xf numFmtId="0" fontId="72" fillId="15" borderId="0" xfId="0" applyFont="1" applyFill="1" applyBorder="1"/>
    <xf numFmtId="44" fontId="72" fillId="15" borderId="0" xfId="2" applyFont="1" applyFill="1" applyBorder="1" applyAlignment="1">
      <alignment horizontal="left"/>
    </xf>
    <xf numFmtId="10" fontId="72" fillId="15" borderId="0" xfId="0" applyNumberFormat="1" applyFont="1" applyFill="1" applyBorder="1"/>
    <xf numFmtId="0" fontId="72" fillId="16" borderId="0" xfId="0" applyFont="1" applyFill="1" applyBorder="1"/>
    <xf numFmtId="0" fontId="72" fillId="17" borderId="0" xfId="0" applyFont="1" applyFill="1" applyBorder="1"/>
    <xf numFmtId="44" fontId="72" fillId="17" borderId="0" xfId="2" applyFont="1" applyFill="1" applyBorder="1" applyAlignment="1">
      <alignment horizontal="left"/>
    </xf>
    <xf numFmtId="10" fontId="72" fillId="17" borderId="0" xfId="0" applyNumberFormat="1" applyFont="1" applyFill="1" applyBorder="1"/>
    <xf numFmtId="37" fontId="60" fillId="0" borderId="0" xfId="0" applyNumberFormat="1" applyFont="1" applyAlignment="1">
      <alignment horizontal="center"/>
    </xf>
    <xf numFmtId="37" fontId="58" fillId="0" borderId="0" xfId="0" applyNumberFormat="1" applyFont="1" applyAlignment="1">
      <alignment horizontal="center"/>
    </xf>
    <xf numFmtId="0" fontId="58" fillId="0" borderId="0" xfId="0" applyNumberFormat="1" applyFont="1" applyAlignment="1">
      <alignment horizontal="center" wrapText="1"/>
    </xf>
    <xf numFmtId="0" fontId="94" fillId="0" borderId="0" xfId="0" applyFont="1" applyAlignment="1">
      <alignment horizontal="center"/>
    </xf>
    <xf numFmtId="44" fontId="0" fillId="0" borderId="0" xfId="2" applyFont="1" applyAlignment="1">
      <alignment horizontal="center" vertical="center"/>
    </xf>
    <xf numFmtId="37" fontId="3" fillId="0" borderId="0" xfId="0" applyNumberFormat="1" applyFont="1" applyAlignment="1">
      <alignment horizontal="center"/>
    </xf>
    <xf numFmtId="37" fontId="0" fillId="0" borderId="0" xfId="0" applyNumberFormat="1" applyAlignment="1">
      <alignment horizont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44" fontId="0" fillId="21" borderId="0" xfId="2" applyFont="1" applyFill="1"/>
    <xf numFmtId="0" fontId="0" fillId="10" borderId="0" xfId="0" applyFont="1" applyFill="1"/>
    <xf numFmtId="0" fontId="77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0" fontId="3" fillId="1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3" fillId="22" borderId="0" xfId="0" applyFont="1" applyFill="1" applyBorder="1" applyAlignment="1">
      <alignment horizontal="right"/>
    </xf>
    <xf numFmtId="0" fontId="0" fillId="22" borderId="0" xfId="0" applyFont="1" applyFill="1" applyBorder="1" applyAlignment="1">
      <alignment horizontal="right"/>
    </xf>
    <xf numFmtId="0" fontId="0" fillId="10" borderId="0" xfId="0" applyFont="1" applyFill="1" applyAlignment="1">
      <alignment horizontal="right"/>
    </xf>
    <xf numFmtId="0" fontId="3" fillId="10" borderId="0" xfId="0" applyFont="1" applyFill="1" applyAlignment="1">
      <alignment horizontal="right"/>
    </xf>
    <xf numFmtId="0" fontId="3" fillId="10" borderId="0" xfId="0" applyFont="1" applyFill="1"/>
    <xf numFmtId="0" fontId="30" fillId="10" borderId="0" xfId="0" applyFont="1" applyFill="1" applyBorder="1" applyAlignment="1">
      <alignment horizontal="right"/>
    </xf>
    <xf numFmtId="0" fontId="31" fillId="10" borderId="0" xfId="0" applyFont="1" applyFill="1" applyBorder="1"/>
    <xf numFmtId="0" fontId="30" fillId="10" borderId="0" xfId="0" applyFont="1" applyFill="1" applyBorder="1"/>
    <xf numFmtId="10" fontId="30" fillId="10" borderId="0" xfId="0" applyNumberFormat="1" applyFont="1" applyFill="1" applyBorder="1"/>
    <xf numFmtId="0" fontId="31" fillId="0" borderId="0" xfId="0" applyFont="1"/>
    <xf numFmtId="0" fontId="0" fillId="6" borderId="0" xfId="0" applyFont="1" applyFill="1"/>
    <xf numFmtId="0" fontId="3" fillId="6" borderId="0" xfId="0" applyFont="1" applyFill="1" applyAlignment="1">
      <alignment horizontal="right"/>
    </xf>
    <xf numFmtId="0" fontId="3" fillId="6" borderId="0" xfId="0" applyFont="1" applyFill="1"/>
    <xf numFmtId="44" fontId="3" fillId="10" borderId="0" xfId="2" applyFont="1" applyFill="1"/>
    <xf numFmtId="44" fontId="0" fillId="10" borderId="0" xfId="2" applyFont="1" applyFill="1"/>
    <xf numFmtId="44" fontId="3" fillId="6" borderId="0" xfId="2" applyFont="1" applyFill="1"/>
    <xf numFmtId="44" fontId="0" fillId="6" borderId="0" xfId="2" applyFont="1" applyFill="1"/>
    <xf numFmtId="0" fontId="0" fillId="0" borderId="0" xfId="0" applyAlignment="1">
      <alignment horizontal="left" vertical="center" wrapText="1"/>
    </xf>
    <xf numFmtId="0" fontId="67" fillId="0" borderId="0" xfId="0" applyFont="1" applyAlignment="1">
      <alignment horizontal="center"/>
    </xf>
    <xf numFmtId="38" fontId="67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44" fontId="60" fillId="0" borderId="0" xfId="2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44" fontId="3" fillId="3" borderId="0" xfId="2" applyFont="1" applyFill="1" applyBorder="1"/>
    <xf numFmtId="0" fontId="60" fillId="0" borderId="0" xfId="0" applyFont="1" applyAlignment="1">
      <alignment vertical="center" wrapText="1"/>
    </xf>
    <xf numFmtId="0" fontId="59" fillId="0" borderId="0" xfId="0" applyFont="1" applyAlignment="1">
      <alignment vertical="center" wrapText="1"/>
    </xf>
    <xf numFmtId="44" fontId="58" fillId="0" borderId="0" xfId="2" applyFont="1" applyAlignment="1">
      <alignment vertical="center" wrapText="1"/>
    </xf>
    <xf numFmtId="0" fontId="32" fillId="0" borderId="0" xfId="0" applyFont="1" applyAlignment="1">
      <alignment horizontal="left" vertical="top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/>
    </xf>
    <xf numFmtId="0" fontId="95" fillId="0" borderId="0" xfId="0" applyFont="1" applyAlignment="1">
      <alignment vertical="center" wrapText="1"/>
    </xf>
    <xf numFmtId="0" fontId="0" fillId="21" borderId="0" xfId="0" applyFont="1" applyFill="1"/>
    <xf numFmtId="0" fontId="0" fillId="22" borderId="0" xfId="0" applyFont="1" applyFill="1"/>
    <xf numFmtId="0" fontId="3" fillId="22" borderId="0" xfId="0" applyFont="1" applyFill="1"/>
    <xf numFmtId="44" fontId="3" fillId="22" borderId="0" xfId="2" applyFont="1" applyFill="1"/>
    <xf numFmtId="44" fontId="0" fillId="22" borderId="0" xfId="2" applyFont="1" applyFill="1"/>
    <xf numFmtId="44" fontId="1" fillId="22" borderId="0" xfId="2" applyFont="1" applyFill="1"/>
    <xf numFmtId="0" fontId="3" fillId="23" borderId="0" xfId="0" applyFont="1" applyFill="1"/>
    <xf numFmtId="44" fontId="3" fillId="23" borderId="0" xfId="2" applyFont="1" applyFill="1"/>
    <xf numFmtId="0" fontId="0" fillId="23" borderId="0" xfId="0" applyFont="1" applyFill="1"/>
    <xf numFmtId="44" fontId="0" fillId="23" borderId="0" xfId="2" applyFont="1" applyFill="1"/>
    <xf numFmtId="44" fontId="3" fillId="23" borderId="0" xfId="0" applyNumberFormat="1" applyFont="1" applyFill="1"/>
    <xf numFmtId="44" fontId="0" fillId="6" borderId="0" xfId="0" applyNumberFormat="1" applyFont="1" applyFill="1"/>
    <xf numFmtId="44" fontId="0" fillId="0" borderId="0" xfId="0" applyNumberForma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9" fontId="3" fillId="0" borderId="0" xfId="4" applyFont="1" applyAlignment="1">
      <alignment horizontal="center" vertical="center"/>
    </xf>
    <xf numFmtId="44" fontId="3" fillId="0" borderId="0" xfId="2" applyFont="1" applyAlignment="1">
      <alignment vertical="center"/>
    </xf>
    <xf numFmtId="44" fontId="3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60" fillId="0" borderId="0" xfId="0" applyFont="1" applyFill="1" applyBorder="1" applyAlignment="1">
      <alignment vertical="center" wrapText="1"/>
    </xf>
    <xf numFmtId="9" fontId="61" fillId="0" borderId="0" xfId="4" applyFont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left" vertical="center" wrapText="1"/>
    </xf>
    <xf numFmtId="0" fontId="91" fillId="0" borderId="0" xfId="0" applyFont="1" applyBorder="1" applyAlignment="1">
      <alignment horizontal="left" vertical="center" wrapText="1"/>
    </xf>
    <xf numFmtId="0" fontId="91" fillId="0" borderId="0" xfId="0" applyFont="1" applyBorder="1" applyAlignment="1">
      <alignment horizontal="center" vertical="center" wrapText="1"/>
    </xf>
    <xf numFmtId="14" fontId="60" fillId="0" borderId="0" xfId="0" applyNumberFormat="1" applyFont="1" applyBorder="1" applyAlignment="1">
      <alignment vertical="center" wrapText="1"/>
    </xf>
    <xf numFmtId="44" fontId="60" fillId="0" borderId="0" xfId="2" applyFont="1" applyBorder="1" applyAlignment="1">
      <alignment vertical="center" wrapText="1"/>
    </xf>
    <xf numFmtId="10" fontId="3" fillId="3" borderId="0" xfId="2" applyNumberFormat="1" applyFont="1" applyFill="1" applyBorder="1"/>
    <xf numFmtId="0" fontId="30" fillId="6" borderId="0" xfId="0" applyFont="1" applyFill="1" applyBorder="1"/>
    <xf numFmtId="44" fontId="1" fillId="6" borderId="0" xfId="2" applyFont="1" applyFill="1"/>
    <xf numFmtId="0" fontId="50" fillId="6" borderId="0" xfId="0" applyFont="1" applyFill="1" applyBorder="1"/>
    <xf numFmtId="0" fontId="58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0" fontId="50" fillId="21" borderId="0" xfId="0" applyFont="1" applyFill="1"/>
    <xf numFmtId="0" fontId="30" fillId="6" borderId="0" xfId="0" applyFont="1" applyFill="1"/>
    <xf numFmtId="0" fontId="58" fillId="6" borderId="0" xfId="0" applyFont="1" applyFill="1" applyAlignment="1">
      <alignment vertical="center" wrapText="1"/>
    </xf>
    <xf numFmtId="0" fontId="60" fillId="23" borderId="0" xfId="0" applyFont="1" applyFill="1" applyAlignment="1">
      <alignment vertical="center" wrapText="1"/>
    </xf>
    <xf numFmtId="0" fontId="58" fillId="23" borderId="0" xfId="0" applyFont="1" applyFill="1" applyAlignment="1">
      <alignment vertical="center" wrapText="1"/>
    </xf>
    <xf numFmtId="0" fontId="59" fillId="6" borderId="0" xfId="0" applyFont="1" applyFill="1" applyAlignment="1">
      <alignment vertical="center" wrapText="1"/>
    </xf>
    <xf numFmtId="44" fontId="0" fillId="0" borderId="0" xfId="0" applyNumberFormat="1" applyFont="1"/>
    <xf numFmtId="44" fontId="1" fillId="0" borderId="0" xfId="2" applyFont="1"/>
    <xf numFmtId="0" fontId="58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1" fontId="3" fillId="0" borderId="0" xfId="0" applyNumberFormat="1" applyFont="1"/>
    <xf numFmtId="0" fontId="96" fillId="0" borderId="0" xfId="0" applyFont="1" applyAlignment="1">
      <alignment horizontal="left" vertical="top"/>
    </xf>
    <xf numFmtId="3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vertical="top" wrapText="1" readingOrder="1"/>
    </xf>
    <xf numFmtId="44" fontId="96" fillId="0" borderId="0" xfId="0" applyNumberFormat="1" applyFont="1" applyAlignment="1">
      <alignment vertical="top"/>
    </xf>
    <xf numFmtId="44" fontId="96" fillId="0" borderId="0" xfId="2" applyFont="1" applyAlignment="1">
      <alignment vertical="top"/>
    </xf>
    <xf numFmtId="0" fontId="96" fillId="0" borderId="0" xfId="0" applyFont="1" applyAlignment="1">
      <alignment vertical="top"/>
    </xf>
    <xf numFmtId="44" fontId="2" fillId="0" borderId="0" xfId="2" applyFont="1"/>
    <xf numFmtId="0" fontId="0" fillId="0" borderId="0" xfId="0" applyAlignment="1">
      <alignment vertical="center" wrapText="1"/>
    </xf>
    <xf numFmtId="0" fontId="91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left" vertical="center" wrapText="1"/>
    </xf>
    <xf numFmtId="0" fontId="9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44" fontId="62" fillId="0" borderId="0" xfId="2" applyFont="1" applyAlignment="1">
      <alignment horizontal="left" vertical="center"/>
    </xf>
    <xf numFmtId="0" fontId="91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91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44" fontId="31" fillId="0" borderId="0" xfId="2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3" fontId="34" fillId="0" borderId="0" xfId="0" applyNumberFormat="1" applyFont="1" applyAlignment="1">
      <alignment horizontal="center" vertical="center"/>
    </xf>
    <xf numFmtId="44" fontId="31" fillId="0" borderId="0" xfId="0" applyNumberFormat="1" applyFont="1" applyAlignment="1">
      <alignment vertical="center"/>
    </xf>
    <xf numFmtId="44" fontId="3" fillId="0" borderId="0" xfId="2" applyFont="1" applyAlignment="1">
      <alignment vertical="center" wrapText="1"/>
    </xf>
    <xf numFmtId="44" fontId="0" fillId="0" borderId="0" xfId="2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91" fillId="0" borderId="0" xfId="0" applyFont="1" applyAlignment="1">
      <alignment horizontal="left" vertical="center" wrapText="1"/>
    </xf>
    <xf numFmtId="0" fontId="26" fillId="0" borderId="58" xfId="0" applyFont="1" applyBorder="1" applyAlignment="1">
      <alignment horizontal="left" vertical="center" wrapText="1"/>
    </xf>
    <xf numFmtId="0" fontId="27" fillId="0" borderId="47" xfId="0" applyFont="1" applyBorder="1" applyAlignment="1">
      <alignment horizontal="left" vertical="center" wrapText="1"/>
    </xf>
    <xf numFmtId="0" fontId="26" fillId="0" borderId="47" xfId="0" applyFont="1" applyBorder="1" applyAlignment="1">
      <alignment horizontal="left" vertical="center" wrapText="1"/>
    </xf>
    <xf numFmtId="44" fontId="27" fillId="0" borderId="13" xfId="2" applyFont="1" applyBorder="1" applyAlignment="1">
      <alignment vertical="center" wrapText="1"/>
    </xf>
    <xf numFmtId="44" fontId="26" fillId="0" borderId="13" xfId="2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97" fillId="0" borderId="0" xfId="0" applyFont="1" applyAlignment="1">
      <alignment vertical="center" wrapText="1"/>
    </xf>
    <xf numFmtId="0" fontId="92" fillId="0" borderId="0" xfId="0" applyFont="1" applyAlignment="1">
      <alignment vertical="center" wrapText="1"/>
    </xf>
    <xf numFmtId="10" fontId="26" fillId="0" borderId="48" xfId="0" applyNumberFormat="1" applyFont="1" applyBorder="1" applyAlignment="1">
      <alignment horizontal="center" vertical="center" wrapText="1"/>
    </xf>
    <xf numFmtId="9" fontId="26" fillId="0" borderId="77" xfId="0" applyNumberFormat="1" applyFont="1" applyBorder="1" applyAlignment="1">
      <alignment horizontal="center" vertical="center" wrapText="1"/>
    </xf>
    <xf numFmtId="9" fontId="26" fillId="0" borderId="78" xfId="0" applyNumberFormat="1" applyFont="1" applyBorder="1" applyAlignment="1">
      <alignment horizontal="center" vertical="center" wrapText="1"/>
    </xf>
    <xf numFmtId="9" fontId="26" fillId="0" borderId="79" xfId="0" applyNumberFormat="1" applyFont="1" applyBorder="1" applyAlignment="1">
      <alignment horizontal="center" vertical="center" wrapText="1"/>
    </xf>
    <xf numFmtId="0" fontId="70" fillId="0" borderId="0" xfId="0" applyFont="1" applyAlignment="1">
      <alignment vertical="center" wrapText="1"/>
    </xf>
    <xf numFmtId="44" fontId="60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44" fontId="58" fillId="0" borderId="0" xfId="0" applyNumberFormat="1" applyFont="1"/>
    <xf numFmtId="0" fontId="58" fillId="0" borderId="0" xfId="0" applyFont="1" applyAlignment="1">
      <alignment horizontal="center"/>
    </xf>
    <xf numFmtId="37" fontId="3" fillId="0" borderId="0" xfId="0" applyNumberFormat="1" applyFont="1" applyAlignment="1"/>
    <xf numFmtId="44" fontId="3" fillId="0" borderId="0" xfId="2" applyFont="1" applyAlignment="1">
      <alignment horizontal="center" vertical="center" wrapText="1"/>
    </xf>
    <xf numFmtId="0" fontId="98" fillId="0" borderId="0" xfId="0" applyFont="1"/>
    <xf numFmtId="44" fontId="3" fillId="0" borderId="0" xfId="2" applyFont="1" applyAlignment="1">
      <alignment horizontal="center"/>
    </xf>
    <xf numFmtId="44" fontId="0" fillId="0" borderId="0" xfId="2" applyFont="1" applyAlignment="1">
      <alignment horizontal="center"/>
    </xf>
    <xf numFmtId="44" fontId="3" fillId="0" borderId="0" xfId="2" applyFont="1" applyAlignment="1"/>
    <xf numFmtId="9" fontId="3" fillId="0" borderId="0" xfId="4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61" fillId="0" borderId="0" xfId="0" applyFont="1" applyAlignment="1">
      <alignment vertical="center"/>
    </xf>
    <xf numFmtId="44" fontId="62" fillId="0" borderId="0" xfId="0" applyNumberFormat="1" applyFont="1" applyBorder="1" applyAlignment="1">
      <alignment horizontal="left" vertical="center" wrapText="1"/>
    </xf>
    <xf numFmtId="44" fontId="62" fillId="0" borderId="0" xfId="2" applyFont="1" applyBorder="1" applyAlignment="1">
      <alignment horizontal="left" vertical="center" wrapText="1"/>
    </xf>
    <xf numFmtId="0" fontId="99" fillId="0" borderId="0" xfId="0" applyFont="1" applyAlignment="1"/>
    <xf numFmtId="0" fontId="100" fillId="0" borderId="0" xfId="0" applyFont="1"/>
    <xf numFmtId="38" fontId="99" fillId="0" borderId="0" xfId="0" applyNumberFormat="1" applyFont="1" applyAlignment="1"/>
    <xf numFmtId="0" fontId="2" fillId="0" borderId="0" xfId="0" applyFont="1" applyAlignment="1">
      <alignment horizontal="center" vertical="center"/>
    </xf>
    <xf numFmtId="0" fontId="101" fillId="0" borderId="0" xfId="0" applyFont="1" applyBorder="1" applyAlignment="1">
      <alignment vertical="center"/>
    </xf>
    <xf numFmtId="44" fontId="61" fillId="0" borderId="0" xfId="2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44" fontId="61" fillId="0" borderId="0" xfId="2" applyFont="1" applyAlignment="1">
      <alignment horizontal="center"/>
    </xf>
    <xf numFmtId="0" fontId="27" fillId="0" borderId="80" xfId="0" applyFont="1" applyBorder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96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31" fillId="0" borderId="0" xfId="0" applyFont="1" applyAlignment="1">
      <alignment horizontal="right" vertical="center" wrapText="1"/>
    </xf>
    <xf numFmtId="44" fontId="59" fillId="0" borderId="0" xfId="2" applyFont="1"/>
    <xf numFmtId="0" fontId="59" fillId="0" borderId="0" xfId="0" applyFont="1" applyAlignment="1">
      <alignment horizontal="center"/>
    </xf>
    <xf numFmtId="44" fontId="61" fillId="0" borderId="0" xfId="2" applyFont="1"/>
    <xf numFmtId="37" fontId="59" fillId="0" borderId="0" xfId="0" applyNumberFormat="1" applyFont="1" applyAlignment="1">
      <alignment horizontal="center"/>
    </xf>
    <xf numFmtId="44" fontId="59" fillId="0" borderId="0" xfId="0" applyNumberFormat="1" applyFont="1"/>
    <xf numFmtId="44" fontId="60" fillId="0" borderId="0" xfId="0" applyNumberFormat="1" applyFont="1" applyFill="1" applyBorder="1" applyAlignment="1">
      <alignment vertical="center"/>
    </xf>
    <xf numFmtId="44" fontId="75" fillId="0" borderId="0" xfId="2" applyFont="1" applyBorder="1" applyAlignment="1">
      <alignment horizontal="center" vertical="center"/>
    </xf>
    <xf numFmtId="44" fontId="75" fillId="0" borderId="0" xfId="0" applyNumberFormat="1" applyFont="1" applyFill="1" applyBorder="1" applyAlignment="1">
      <alignment horizontal="center" vertical="center"/>
    </xf>
    <xf numFmtId="44" fontId="73" fillId="0" borderId="0" xfId="2" applyFont="1" applyBorder="1" applyAlignment="1">
      <alignment vertical="center"/>
    </xf>
    <xf numFmtId="10" fontId="73" fillId="0" borderId="0" xfId="4" applyNumberFormat="1" applyFont="1" applyBorder="1" applyAlignment="1">
      <alignment vertical="center"/>
    </xf>
    <xf numFmtId="0" fontId="75" fillId="0" borderId="0" xfId="0" applyFont="1" applyAlignment="1">
      <alignment vertical="center"/>
    </xf>
    <xf numFmtId="0" fontId="103" fillId="0" borderId="0" xfId="0" applyFont="1" applyAlignment="1">
      <alignment vertical="center" wrapText="1"/>
    </xf>
    <xf numFmtId="0" fontId="104" fillId="0" borderId="0" xfId="0" applyFont="1" applyAlignment="1">
      <alignment vertical="center" wrapText="1"/>
    </xf>
    <xf numFmtId="0" fontId="50" fillId="0" borderId="0" xfId="0" applyFont="1"/>
    <xf numFmtId="0" fontId="105" fillId="6" borderId="0" xfId="0" applyFont="1" applyFill="1" applyBorder="1"/>
    <xf numFmtId="0" fontId="27" fillId="0" borderId="5" xfId="0" applyFont="1" applyBorder="1" applyAlignment="1">
      <alignment vertical="center" wrapText="1"/>
    </xf>
    <xf numFmtId="44" fontId="27" fillId="0" borderId="13" xfId="2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44" fontId="106" fillId="0" borderId="13" xfId="2" applyFont="1" applyBorder="1" applyAlignment="1">
      <alignment vertical="center" wrapText="1"/>
    </xf>
    <xf numFmtId="44" fontId="106" fillId="0" borderId="6" xfId="2" applyFont="1" applyBorder="1" applyAlignment="1">
      <alignment vertical="center" wrapText="1"/>
    </xf>
    <xf numFmtId="44" fontId="106" fillId="0" borderId="40" xfId="2" applyFont="1" applyBorder="1" applyAlignment="1">
      <alignment vertical="center" wrapText="1"/>
    </xf>
    <xf numFmtId="44" fontId="26" fillId="0" borderId="21" xfId="2" applyFont="1" applyBorder="1" applyAlignment="1">
      <alignment horizontal="center" vertical="center" wrapText="1"/>
    </xf>
    <xf numFmtId="44" fontId="27" fillId="0" borderId="21" xfId="2" applyFont="1" applyBorder="1" applyAlignment="1">
      <alignment horizontal="center" vertical="center" wrapText="1"/>
    </xf>
    <xf numFmtId="44" fontId="26" fillId="0" borderId="0" xfId="2" applyFont="1" applyBorder="1" applyAlignment="1">
      <alignment horizontal="center" vertical="center" wrapText="1"/>
    </xf>
    <xf numFmtId="44" fontId="27" fillId="0" borderId="0" xfId="2" applyFont="1" applyBorder="1" applyAlignment="1">
      <alignment horizontal="center" vertical="center" wrapText="1"/>
    </xf>
    <xf numFmtId="44" fontId="26" fillId="0" borderId="53" xfId="2" applyFont="1" applyBorder="1" applyAlignment="1">
      <alignment horizontal="center" vertical="center" wrapText="1"/>
    </xf>
    <xf numFmtId="44" fontId="26" fillId="0" borderId="22" xfId="2" applyFont="1" applyBorder="1" applyAlignment="1">
      <alignment horizontal="center" vertical="center" wrapText="1"/>
    </xf>
    <xf numFmtId="44" fontId="26" fillId="0" borderId="0" xfId="0" applyNumberFormat="1" applyFont="1" applyBorder="1" applyAlignment="1">
      <alignment vertical="center" wrapText="1"/>
    </xf>
    <xf numFmtId="44" fontId="27" fillId="0" borderId="41" xfId="0" applyNumberFormat="1" applyFont="1" applyBorder="1" applyAlignment="1">
      <alignment vertical="center" wrapText="1"/>
    </xf>
    <xf numFmtId="44" fontId="27" fillId="0" borderId="80" xfId="0" applyNumberFormat="1" applyFont="1" applyBorder="1" applyAlignment="1">
      <alignment horizontal="left" vertical="center" wrapText="1"/>
    </xf>
    <xf numFmtId="0" fontId="26" fillId="0" borderId="81" xfId="0" applyFont="1" applyBorder="1" applyAlignment="1">
      <alignment horizontal="left" vertical="center" wrapText="1"/>
    </xf>
    <xf numFmtId="4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26" fillId="0" borderId="13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44" fontId="27" fillId="0" borderId="13" xfId="2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44" fontId="26" fillId="0" borderId="13" xfId="2" applyFont="1" applyBorder="1" applyAlignment="1">
      <alignment horizontal="center" vertical="center" wrapText="1"/>
    </xf>
    <xf numFmtId="44" fontId="26" fillId="0" borderId="6" xfId="2" applyFont="1" applyBorder="1" applyAlignment="1">
      <alignment horizontal="center" vertical="center" wrapText="1"/>
    </xf>
    <xf numFmtId="0" fontId="26" fillId="0" borderId="38" xfId="0" applyFont="1" applyFill="1" applyBorder="1" applyAlignment="1">
      <alignment vertical="center" wrapText="1"/>
    </xf>
    <xf numFmtId="0" fontId="27" fillId="0" borderId="75" xfId="0" applyFont="1" applyBorder="1" applyAlignment="1">
      <alignment vertical="center" wrapText="1"/>
    </xf>
    <xf numFmtId="44" fontId="27" fillId="0" borderId="76" xfId="2" applyFont="1" applyBorder="1" applyAlignment="1">
      <alignment horizontal="center" vertical="center" wrapText="1"/>
    </xf>
    <xf numFmtId="44" fontId="27" fillId="0" borderId="65" xfId="2" applyFont="1" applyBorder="1" applyAlignment="1">
      <alignment horizontal="center" vertical="center" wrapText="1"/>
    </xf>
    <xf numFmtId="9" fontId="26" fillId="0" borderId="44" xfId="4" applyFont="1" applyBorder="1" applyAlignment="1">
      <alignment horizontal="center" vertical="center" wrapText="1"/>
    </xf>
    <xf numFmtId="44" fontId="27" fillId="0" borderId="47" xfId="0" applyNumberFormat="1" applyFont="1" applyBorder="1" applyAlignment="1">
      <alignment horizontal="left" vertical="center" wrapText="1"/>
    </xf>
    <xf numFmtId="0" fontId="27" fillId="0" borderId="81" xfId="0" applyFont="1" applyBorder="1" applyAlignment="1">
      <alignment horizontal="left" vertical="center" wrapText="1"/>
    </xf>
    <xf numFmtId="0" fontId="26" fillId="0" borderId="48" xfId="0" applyFont="1" applyBorder="1" applyAlignment="1">
      <alignment horizontal="center" vertical="center" wrapText="1"/>
    </xf>
    <xf numFmtId="0" fontId="26" fillId="0" borderId="48" xfId="0" applyFont="1" applyBorder="1" applyAlignment="1">
      <alignment vertical="center" wrapText="1"/>
    </xf>
    <xf numFmtId="0" fontId="27" fillId="0" borderId="48" xfId="0" applyFont="1" applyBorder="1" applyAlignment="1">
      <alignment vertical="center" wrapText="1"/>
    </xf>
    <xf numFmtId="0" fontId="26" fillId="0" borderId="63" xfId="0" applyFont="1" applyBorder="1" applyAlignment="1">
      <alignment vertical="center" wrapText="1"/>
    </xf>
    <xf numFmtId="1" fontId="52" fillId="0" borderId="48" xfId="0" applyNumberFormat="1" applyFont="1" applyBorder="1" applyAlignment="1">
      <alignment horizontal="justify" vertical="center" wrapText="1"/>
    </xf>
    <xf numFmtId="1" fontId="26" fillId="0" borderId="48" xfId="0" applyNumberFormat="1" applyFont="1" applyBorder="1" applyAlignment="1">
      <alignment vertical="center" wrapText="1"/>
    </xf>
    <xf numFmtId="1" fontId="52" fillId="0" borderId="48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0" fillId="0" borderId="56" xfId="0" applyBorder="1"/>
    <xf numFmtId="0" fontId="0" fillId="0" borderId="5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left"/>
    </xf>
    <xf numFmtId="1" fontId="20" fillId="0" borderId="0" xfId="0" applyNumberFormat="1" applyFont="1" applyAlignment="1"/>
    <xf numFmtId="1" fontId="25" fillId="0" borderId="49" xfId="0" applyNumberFormat="1" applyFont="1" applyBorder="1" applyAlignment="1">
      <alignment horizontal="center"/>
    </xf>
    <xf numFmtId="0" fontId="25" fillId="0" borderId="50" xfId="0" applyFont="1" applyBorder="1" applyAlignment="1">
      <alignment horizontal="left"/>
    </xf>
    <xf numFmtId="1" fontId="25" fillId="0" borderId="13" xfId="0" applyNumberFormat="1" applyFont="1" applyBorder="1" applyAlignment="1">
      <alignment horizontal="center"/>
    </xf>
    <xf numFmtId="0" fontId="25" fillId="0" borderId="6" xfId="0" applyFont="1" applyBorder="1" applyAlignment="1">
      <alignment horizontal="left"/>
    </xf>
    <xf numFmtId="1" fontId="0" fillId="0" borderId="13" xfId="0" applyNumberFormat="1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3" fontId="0" fillId="0" borderId="41" xfId="0" applyNumberFormat="1" applyFont="1" applyBorder="1" applyAlignment="1">
      <alignment vertical="center" wrapText="1"/>
    </xf>
    <xf numFmtId="1" fontId="25" fillId="0" borderId="50" xfId="0" applyNumberFormat="1" applyFont="1" applyBorder="1" applyAlignment="1">
      <alignment horizontal="left"/>
    </xf>
    <xf numFmtId="0" fontId="7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17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20" fillId="0" borderId="0" xfId="0" applyFont="1" applyAlignment="1">
      <alignment horizontal="left"/>
    </xf>
    <xf numFmtId="0" fontId="77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25" fillId="0" borderId="82" xfId="0" applyFont="1" applyBorder="1" applyAlignment="1">
      <alignment horizontal="left"/>
    </xf>
    <xf numFmtId="0" fontId="25" fillId="0" borderId="15" xfId="0" applyFont="1" applyBorder="1" applyAlignment="1">
      <alignment horizontal="left"/>
    </xf>
    <xf numFmtId="3" fontId="0" fillId="0" borderId="15" xfId="0" applyNumberFormat="1" applyFont="1" applyBorder="1" applyAlignment="1">
      <alignment horizontal="left" vertical="center" wrapText="1"/>
    </xf>
    <xf numFmtId="3" fontId="0" fillId="0" borderId="86" xfId="0" applyNumberFormat="1" applyFont="1" applyBorder="1" applyAlignment="1">
      <alignment horizontal="left" vertical="center" wrapText="1"/>
    </xf>
    <xf numFmtId="0" fontId="0" fillId="0" borderId="88" xfId="0" applyFont="1" applyBorder="1" applyAlignment="1">
      <alignment horizontal="left" vertical="center"/>
    </xf>
    <xf numFmtId="0" fontId="0" fillId="0" borderId="62" xfId="0" applyFont="1" applyBorder="1" applyAlignment="1">
      <alignment horizontal="left" vertic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44" fontId="38" fillId="0" borderId="37" xfId="2" applyFont="1" applyBorder="1" applyAlignment="1">
      <alignment horizontal="justify" vertical="center" wrapText="1"/>
    </xf>
    <xf numFmtId="0" fontId="13" fillId="0" borderId="0" xfId="0" applyFont="1" applyAlignment="1">
      <alignment horizontal="center" wrapText="1"/>
    </xf>
    <xf numFmtId="0" fontId="0" fillId="0" borderId="84" xfId="0" applyFont="1" applyBorder="1" applyAlignment="1">
      <alignment horizontal="left" vertical="center"/>
    </xf>
    <xf numFmtId="44" fontId="0" fillId="0" borderId="84" xfId="0" applyNumberFormat="1" applyFont="1" applyBorder="1" applyAlignment="1">
      <alignment horizontal="center" vertical="center"/>
    </xf>
    <xf numFmtId="0" fontId="0" fillId="0" borderId="84" xfId="0" applyFont="1" applyBorder="1" applyAlignment="1">
      <alignment horizontal="center" vertical="center"/>
    </xf>
    <xf numFmtId="0" fontId="0" fillId="0" borderId="55" xfId="0" applyFont="1" applyBorder="1" applyAlignment="1">
      <alignment horizontal="left" vertical="center"/>
    </xf>
    <xf numFmtId="44" fontId="0" fillId="0" borderId="55" xfId="0" applyNumberFormat="1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44" fontId="0" fillId="0" borderId="0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left" vertical="center"/>
    </xf>
    <xf numFmtId="44" fontId="0" fillId="0" borderId="53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8" borderId="0" xfId="0" applyFont="1" applyFill="1"/>
    <xf numFmtId="0" fontId="38" fillId="0" borderId="89" xfId="0" applyFont="1" applyBorder="1" applyAlignment="1">
      <alignment horizontal="justify" vertical="center" wrapText="1"/>
    </xf>
    <xf numFmtId="0" fontId="40" fillId="0" borderId="90" xfId="0" applyFont="1" applyBorder="1" applyAlignment="1">
      <alignment horizontal="justify" vertical="center" wrapText="1"/>
    </xf>
    <xf numFmtId="0" fontId="38" fillId="0" borderId="90" xfId="0" applyFont="1" applyBorder="1" applyAlignment="1">
      <alignment horizontal="justify" vertical="center" wrapText="1"/>
    </xf>
    <xf numFmtId="0" fontId="39" fillId="0" borderId="90" xfId="0" applyFont="1" applyBorder="1" applyAlignment="1">
      <alignment vertical="center" wrapText="1"/>
    </xf>
    <xf numFmtId="0" fontId="38" fillId="0" borderId="91" xfId="0" applyFont="1" applyBorder="1" applyAlignment="1">
      <alignment horizontal="justify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44" fontId="38" fillId="0" borderId="92" xfId="2" applyFont="1" applyBorder="1" applyAlignment="1">
      <alignment horizontal="justify" vertical="center" wrapText="1"/>
    </xf>
    <xf numFmtId="44" fontId="40" fillId="0" borderId="93" xfId="2" applyFont="1" applyBorder="1" applyAlignment="1">
      <alignment horizontal="justify" vertical="center" wrapText="1"/>
    </xf>
    <xf numFmtId="44" fontId="38" fillId="0" borderId="93" xfId="2" applyFont="1" applyBorder="1" applyAlignment="1">
      <alignment horizontal="justify" vertical="center" wrapText="1"/>
    </xf>
    <xf numFmtId="44" fontId="38" fillId="0" borderId="94" xfId="2" applyFont="1" applyBorder="1" applyAlignment="1">
      <alignment horizontal="justify" vertical="center" wrapText="1"/>
    </xf>
    <xf numFmtId="0" fontId="39" fillId="0" borderId="55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44" fontId="38" fillId="0" borderId="95" xfId="2" applyFont="1" applyBorder="1" applyAlignment="1">
      <alignment horizontal="justify" vertical="center" wrapText="1"/>
    </xf>
    <xf numFmtId="44" fontId="40" fillId="0" borderId="96" xfId="2" applyFont="1" applyBorder="1" applyAlignment="1">
      <alignment horizontal="justify" vertical="center" wrapText="1"/>
    </xf>
    <xf numFmtId="44" fontId="38" fillId="0" borderId="96" xfId="2" applyFont="1" applyBorder="1" applyAlignment="1">
      <alignment horizontal="justify" vertical="center" wrapText="1"/>
    </xf>
    <xf numFmtId="44" fontId="38" fillId="0" borderId="97" xfId="2" applyFont="1" applyBorder="1" applyAlignment="1">
      <alignment horizontal="justify" vertical="center" wrapText="1"/>
    </xf>
    <xf numFmtId="44" fontId="38" fillId="0" borderId="95" xfId="0" applyNumberFormat="1" applyFont="1" applyBorder="1" applyAlignment="1">
      <alignment horizontal="justify" vertical="center" wrapText="1"/>
    </xf>
    <xf numFmtId="44" fontId="40" fillId="0" borderId="96" xfId="0" applyNumberFormat="1" applyFont="1" applyBorder="1" applyAlignment="1">
      <alignment horizontal="justify" vertical="center" wrapText="1"/>
    </xf>
    <xf numFmtId="44" fontId="38" fillId="0" borderId="96" xfId="0" applyNumberFormat="1" applyFont="1" applyBorder="1" applyAlignment="1">
      <alignment horizontal="justify" vertical="center" wrapText="1"/>
    </xf>
    <xf numFmtId="0" fontId="0" fillId="0" borderId="96" xfId="0" applyBorder="1"/>
    <xf numFmtId="44" fontId="38" fillId="0" borderId="97" xfId="0" applyNumberFormat="1" applyFont="1" applyBorder="1" applyAlignment="1">
      <alignment horizontal="justify" vertical="center" wrapText="1"/>
    </xf>
    <xf numFmtId="44" fontId="38" fillId="0" borderId="53" xfId="2" applyFont="1" applyBorder="1" applyAlignment="1">
      <alignment horizontal="justify" vertical="center" wrapText="1"/>
    </xf>
    <xf numFmtId="44" fontId="38" fillId="0" borderId="98" xfId="0" applyNumberFormat="1" applyFont="1" applyBorder="1" applyAlignment="1">
      <alignment horizontal="justify" vertical="center" wrapText="1"/>
    </xf>
    <xf numFmtId="44" fontId="40" fillId="0" borderId="99" xfId="0" applyNumberFormat="1" applyFont="1" applyBorder="1" applyAlignment="1">
      <alignment horizontal="justify" vertical="center" wrapText="1"/>
    </xf>
    <xf numFmtId="44" fontId="37" fillId="0" borderId="99" xfId="2" applyFont="1" applyBorder="1" applyAlignment="1">
      <alignment horizontal="center" vertical="center" wrapText="1"/>
    </xf>
    <xf numFmtId="44" fontId="38" fillId="0" borderId="99" xfId="0" applyNumberFormat="1" applyFont="1" applyBorder="1" applyAlignment="1">
      <alignment horizontal="justify" vertical="center" wrapText="1"/>
    </xf>
    <xf numFmtId="44" fontId="40" fillId="0" borderId="99" xfId="2" applyFont="1" applyBorder="1" applyAlignment="1">
      <alignment horizontal="justify" vertical="center" wrapText="1"/>
    </xf>
    <xf numFmtId="44" fontId="38" fillId="0" borderId="100" xfId="0" applyNumberFormat="1" applyFont="1" applyBorder="1" applyAlignment="1">
      <alignment horizontal="justify" vertical="center" wrapText="1"/>
    </xf>
    <xf numFmtId="44" fontId="38" fillId="0" borderId="92" xfId="0" applyNumberFormat="1" applyFont="1" applyBorder="1" applyAlignment="1">
      <alignment horizontal="justify" vertical="center" wrapText="1"/>
    </xf>
    <xf numFmtId="44" fontId="40" fillId="0" borderId="93" xfId="0" applyNumberFormat="1" applyFont="1" applyBorder="1" applyAlignment="1">
      <alignment horizontal="justify" vertical="center" wrapText="1"/>
    </xf>
    <xf numFmtId="44" fontId="37" fillId="0" borderId="93" xfId="2" applyFont="1" applyBorder="1" applyAlignment="1">
      <alignment horizontal="center" vertical="center" wrapText="1"/>
    </xf>
    <xf numFmtId="44" fontId="38" fillId="0" borderId="93" xfId="0" applyNumberFormat="1" applyFont="1" applyBorder="1" applyAlignment="1">
      <alignment horizontal="justify" vertical="center" wrapText="1"/>
    </xf>
    <xf numFmtId="44" fontId="38" fillId="0" borderId="94" xfId="0" applyNumberFormat="1" applyFont="1" applyBorder="1" applyAlignment="1">
      <alignment horizontal="justify" vertical="center" wrapText="1"/>
    </xf>
    <xf numFmtId="0" fontId="0" fillId="0" borderId="0" xfId="0" applyAlignment="1">
      <alignment horizontal="left"/>
    </xf>
    <xf numFmtId="0" fontId="5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" fontId="0" fillId="0" borderId="13" xfId="0" applyNumberFormat="1" applyFont="1" applyBorder="1" applyAlignment="1">
      <alignment horizontal="center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3" fillId="8" borderId="0" xfId="0" applyFont="1" applyFill="1" applyBorder="1"/>
    <xf numFmtId="0" fontId="3" fillId="8" borderId="0" xfId="0" applyFont="1" applyFill="1" applyBorder="1" applyAlignment="1">
      <alignment horizontal="center"/>
    </xf>
    <xf numFmtId="0" fontId="0" fillId="8" borderId="0" xfId="0" applyFont="1" applyFill="1" applyBorder="1"/>
    <xf numFmtId="10" fontId="3" fillId="8" borderId="0" xfId="0" applyNumberFormat="1" applyFont="1" applyFill="1" applyBorder="1"/>
    <xf numFmtId="0" fontId="0" fillId="8" borderId="0" xfId="0" applyFont="1" applyFill="1" applyBorder="1" applyAlignment="1">
      <alignment horizontal="right"/>
    </xf>
    <xf numFmtId="10" fontId="0" fillId="8" borderId="0" xfId="0" applyNumberFormat="1" applyFont="1" applyFill="1" applyBorder="1"/>
    <xf numFmtId="168" fontId="0" fillId="8" borderId="0" xfId="0" applyNumberFormat="1" applyFont="1" applyFill="1" applyBorder="1"/>
    <xf numFmtId="0" fontId="16" fillId="8" borderId="0" xfId="0" applyFont="1" applyFill="1" applyBorder="1"/>
    <xf numFmtId="169" fontId="16" fillId="8" borderId="0" xfId="1" applyNumberFormat="1" applyFont="1" applyFill="1" applyBorder="1"/>
    <xf numFmtId="10" fontId="16" fillId="8" borderId="0" xfId="0" applyNumberFormat="1" applyFont="1" applyFill="1" applyBorder="1"/>
    <xf numFmtId="44" fontId="1" fillId="8" borderId="0" xfId="2" applyFont="1" applyFill="1" applyBorder="1"/>
    <xf numFmtId="44" fontId="1" fillId="8" borderId="0" xfId="2" applyFont="1" applyFill="1" applyBorder="1" applyAlignment="1">
      <alignment vertical="center"/>
    </xf>
    <xf numFmtId="10" fontId="0" fillId="8" borderId="0" xfId="0" applyNumberFormat="1" applyFont="1" applyFill="1" applyBorder="1" applyAlignment="1">
      <alignment vertical="center"/>
    </xf>
    <xf numFmtId="0" fontId="4" fillId="8" borderId="0" xfId="0" applyFont="1" applyFill="1" applyBorder="1"/>
    <xf numFmtId="0" fontId="4" fillId="8" borderId="0" xfId="3" applyNumberFormat="1" applyFont="1" applyFill="1" applyBorder="1" applyAlignment="1">
      <alignment vertical="center" wrapText="1"/>
    </xf>
    <xf numFmtId="0" fontId="2" fillId="8" borderId="0" xfId="0" applyFont="1" applyFill="1" applyBorder="1" applyAlignment="1">
      <alignment wrapText="1"/>
    </xf>
    <xf numFmtId="10" fontId="2" fillId="8" borderId="0" xfId="0" applyNumberFormat="1" applyFont="1" applyFill="1" applyBorder="1"/>
    <xf numFmtId="0" fontId="14" fillId="8" borderId="0" xfId="3" applyNumberFormat="1" applyFont="1" applyFill="1" applyBorder="1" applyAlignment="1">
      <alignment vertical="center" wrapText="1"/>
    </xf>
    <xf numFmtId="0" fontId="2" fillId="8" borderId="0" xfId="0" applyFont="1" applyFill="1" applyBorder="1"/>
    <xf numFmtId="37" fontId="2" fillId="8" borderId="0" xfId="0" applyNumberFormat="1" applyFont="1" applyFill="1" applyBorder="1"/>
    <xf numFmtId="0" fontId="17" fillId="8" borderId="0" xfId="0" applyFont="1" applyFill="1" applyBorder="1"/>
    <xf numFmtId="37" fontId="17" fillId="8" borderId="0" xfId="0" applyNumberFormat="1" applyFont="1" applyFill="1" applyBorder="1"/>
    <xf numFmtId="10" fontId="17" fillId="8" borderId="0" xfId="0" applyNumberFormat="1" applyFont="1" applyFill="1" applyBorder="1"/>
    <xf numFmtId="44" fontId="3" fillId="8" borderId="0" xfId="2" applyFont="1" applyFill="1" applyBorder="1"/>
    <xf numFmtId="44" fontId="2" fillId="8" borderId="0" xfId="2" applyFont="1" applyFill="1" applyBorder="1"/>
    <xf numFmtId="37" fontId="0" fillId="8" borderId="0" xfId="0" applyNumberFormat="1" applyFont="1" applyFill="1" applyBorder="1"/>
    <xf numFmtId="44" fontId="0" fillId="8" borderId="0" xfId="2" applyFont="1" applyFill="1" applyBorder="1"/>
    <xf numFmtId="170" fontId="3" fillId="8" borderId="0" xfId="0" applyNumberFormat="1" applyFont="1" applyFill="1" applyBorder="1"/>
    <xf numFmtId="10" fontId="1" fillId="8" borderId="0" xfId="2" applyNumberFormat="1" applyFont="1" applyFill="1" applyBorder="1"/>
    <xf numFmtId="170" fontId="0" fillId="8" borderId="0" xfId="0" applyNumberFormat="1" applyFont="1" applyFill="1" applyBorder="1"/>
    <xf numFmtId="10" fontId="17" fillId="8" borderId="0" xfId="0" applyNumberFormat="1" applyFont="1" applyFill="1" applyBorder="1" applyAlignment="1">
      <alignment vertical="center"/>
    </xf>
    <xf numFmtId="0" fontId="2" fillId="8" borderId="0" xfId="3" applyNumberFormat="1" applyFont="1" applyFill="1" applyBorder="1" applyAlignment="1">
      <alignment vertical="center" wrapText="1"/>
    </xf>
    <xf numFmtId="0" fontId="67" fillId="0" borderId="0" xfId="0" applyFont="1" applyBorder="1" applyAlignment="1"/>
    <xf numFmtId="0" fontId="77" fillId="0" borderId="0" xfId="0" applyFont="1" applyBorder="1"/>
    <xf numFmtId="0" fontId="77" fillId="8" borderId="0" xfId="0" applyFont="1" applyFill="1" applyBorder="1"/>
    <xf numFmtId="0" fontId="77" fillId="8" borderId="0" xfId="0" applyFont="1" applyFill="1" applyBorder="1" applyAlignment="1">
      <alignment horizontal="center" vertical="center"/>
    </xf>
    <xf numFmtId="38" fontId="67" fillId="0" borderId="0" xfId="0" applyNumberFormat="1" applyFont="1" applyBorder="1" applyAlignment="1"/>
    <xf numFmtId="0" fontId="0" fillId="0" borderId="0" xfId="0" applyFont="1" applyBorder="1"/>
    <xf numFmtId="0" fontId="3" fillId="0" borderId="0" xfId="0" applyFont="1" applyBorder="1"/>
    <xf numFmtId="0" fontId="0" fillId="0" borderId="0" xfId="0" applyFont="1" applyBorder="1" applyAlignment="1">
      <alignment wrapText="1"/>
    </xf>
    <xf numFmtId="0" fontId="12" fillId="8" borderId="0" xfId="0" applyFont="1" applyFill="1" applyBorder="1" applyAlignment="1">
      <alignment horizontal="left" vertical="top" wrapText="1"/>
    </xf>
    <xf numFmtId="0" fontId="12" fillId="8" borderId="0" xfId="0" applyFont="1" applyFill="1" applyBorder="1" applyAlignment="1">
      <alignment vertical="top" wrapText="1" readingOrder="1"/>
    </xf>
    <xf numFmtId="0" fontId="17" fillId="0" borderId="0" xfId="0" applyFont="1" applyBorder="1"/>
    <xf numFmtId="0" fontId="34" fillId="8" borderId="0" xfId="0" applyFont="1" applyFill="1" applyBorder="1" applyAlignment="1">
      <alignment vertical="top" wrapText="1"/>
    </xf>
    <xf numFmtId="0" fontId="18" fillId="8" borderId="0" xfId="3" applyNumberFormat="1" applyFont="1" applyFill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5" fillId="8" borderId="0" xfId="0" applyFont="1" applyFill="1" applyBorder="1" applyAlignment="1">
      <alignment horizontal="left" vertical="top" wrapText="1"/>
    </xf>
    <xf numFmtId="0" fontId="34" fillId="8" borderId="0" xfId="0" applyFont="1" applyFill="1" applyBorder="1" applyAlignment="1">
      <alignment vertical="top" wrapText="1" readingOrder="1"/>
    </xf>
    <xf numFmtId="0" fontId="12" fillId="8" borderId="0" xfId="0" applyFont="1" applyFill="1" applyBorder="1" applyAlignment="1">
      <alignment vertical="top" wrapText="1"/>
    </xf>
    <xf numFmtId="0" fontId="34" fillId="8" borderId="0" xfId="0" applyFont="1" applyFill="1" applyBorder="1" applyAlignment="1">
      <alignment horizontal="left" vertical="center" wrapText="1"/>
    </xf>
    <xf numFmtId="0" fontId="8" fillId="0" borderId="101" xfId="0" applyFont="1" applyBorder="1" applyAlignment="1">
      <alignment horizontal="center"/>
    </xf>
    <xf numFmtId="0" fontId="8" fillId="0" borderId="102" xfId="0" applyFont="1" applyBorder="1" applyAlignment="1">
      <alignment horizontal="center"/>
    </xf>
    <xf numFmtId="0" fontId="26" fillId="0" borderId="21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left" vertical="center" wrapText="1"/>
    </xf>
    <xf numFmtId="0" fontId="26" fillId="0" borderId="38" xfId="0" applyFont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44" fontId="26" fillId="0" borderId="103" xfId="0" applyNumberFormat="1" applyFont="1" applyBorder="1" applyAlignment="1">
      <alignment horizontal="center" vertical="center" wrapText="1"/>
    </xf>
    <xf numFmtId="0" fontId="26" fillId="0" borderId="103" xfId="0" applyFont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44" fontId="26" fillId="0" borderId="103" xfId="2" applyFont="1" applyBorder="1" applyAlignment="1">
      <alignment horizontal="center" vertical="center" wrapText="1"/>
    </xf>
    <xf numFmtId="0" fontId="26" fillId="0" borderId="105" xfId="0" applyFont="1" applyBorder="1" applyAlignment="1">
      <alignment vertical="center" wrapText="1"/>
    </xf>
    <xf numFmtId="0" fontId="26" fillId="0" borderId="103" xfId="0" applyFont="1" applyBorder="1" applyAlignment="1">
      <alignment vertical="center" wrapText="1"/>
    </xf>
    <xf numFmtId="0" fontId="27" fillId="0" borderId="103" xfId="0" applyFont="1" applyBorder="1" applyAlignment="1">
      <alignment vertical="center" wrapText="1"/>
    </xf>
    <xf numFmtId="44" fontId="26" fillId="0" borderId="106" xfId="0" applyNumberFormat="1" applyFont="1" applyBorder="1" applyAlignment="1">
      <alignment horizontal="center" vertical="center" wrapText="1"/>
    </xf>
    <xf numFmtId="0" fontId="26" fillId="0" borderId="106" xfId="0" applyFont="1" applyBorder="1" applyAlignment="1">
      <alignment vertical="center" wrapText="1"/>
    </xf>
    <xf numFmtId="44" fontId="26" fillId="0" borderId="110" xfId="2" applyFont="1" applyBorder="1" applyAlignment="1">
      <alignment horizontal="center" vertical="center" wrapText="1"/>
    </xf>
    <xf numFmtId="44" fontId="27" fillId="0" borderId="110" xfId="2" applyFont="1" applyBorder="1" applyAlignment="1">
      <alignment horizontal="center" vertical="center" wrapText="1"/>
    </xf>
    <xf numFmtId="0" fontId="27" fillId="0" borderId="109" xfId="0" applyFont="1" applyBorder="1" applyAlignment="1">
      <alignment vertical="center" wrapText="1"/>
    </xf>
    <xf numFmtId="0" fontId="26" fillId="0" borderId="109" xfId="0" applyFont="1" applyFill="1" applyBorder="1" applyAlignment="1">
      <alignment vertical="center" wrapText="1"/>
    </xf>
    <xf numFmtId="0" fontId="26" fillId="0" borderId="111" xfId="0" applyFont="1" applyBorder="1" applyAlignment="1">
      <alignment vertical="center" wrapText="1"/>
    </xf>
    <xf numFmtId="0" fontId="26" fillId="0" borderId="104" xfId="0" applyFont="1" applyBorder="1" applyAlignment="1">
      <alignment horizontal="center" vertical="center" wrapText="1"/>
    </xf>
    <xf numFmtId="0" fontId="26" fillId="0" borderId="104" xfId="0" applyFont="1" applyBorder="1" applyAlignment="1">
      <alignment vertical="center" wrapText="1"/>
    </xf>
    <xf numFmtId="0" fontId="26" fillId="0" borderId="112" xfId="0" applyFont="1" applyBorder="1" applyAlignment="1">
      <alignment horizontal="center" vertical="center" wrapText="1"/>
    </xf>
    <xf numFmtId="44" fontId="26" fillId="0" borderId="104" xfId="0" applyNumberFormat="1" applyFont="1" applyBorder="1" applyAlignment="1">
      <alignment horizontal="center" vertical="center" wrapText="1"/>
    </xf>
    <xf numFmtId="44" fontId="26" fillId="0" borderId="112" xfId="2" applyFont="1" applyBorder="1" applyAlignment="1">
      <alignment horizontal="center" vertical="center" wrapText="1"/>
    </xf>
    <xf numFmtId="0" fontId="26" fillId="0" borderId="83" xfId="0" applyFont="1" applyBorder="1" applyAlignment="1">
      <alignment vertical="center" wrapText="1"/>
    </xf>
    <xf numFmtId="0" fontId="26" fillId="0" borderId="1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4" fontId="26" fillId="0" borderId="1" xfId="2" applyFont="1" applyBorder="1" applyAlignment="1">
      <alignment horizontal="center" vertical="center" wrapText="1"/>
    </xf>
    <xf numFmtId="0" fontId="26" fillId="0" borderId="113" xfId="0" applyFont="1" applyBorder="1" applyAlignment="1">
      <alignment horizontal="center" vertical="center" wrapText="1"/>
    </xf>
    <xf numFmtId="44" fontId="26" fillId="0" borderId="113" xfId="0" applyNumberFormat="1" applyFont="1" applyBorder="1" applyAlignment="1">
      <alignment horizontal="center" vertical="center" wrapText="1"/>
    </xf>
    <xf numFmtId="44" fontId="26" fillId="0" borderId="11" xfId="2" applyFont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 wrapText="1"/>
    </xf>
    <xf numFmtId="0" fontId="25" fillId="0" borderId="116" xfId="0" applyFont="1" applyBorder="1" applyAlignment="1">
      <alignment horizontal="left"/>
    </xf>
    <xf numFmtId="1" fontId="25" fillId="0" borderId="12" xfId="0" applyNumberFormat="1" applyFont="1" applyBorder="1" applyAlignment="1">
      <alignment horizontal="center"/>
    </xf>
    <xf numFmtId="1" fontId="25" fillId="0" borderId="4" xfId="0" applyNumberFormat="1" applyFont="1" applyBorder="1" applyAlignment="1">
      <alignment horizontal="left"/>
    </xf>
    <xf numFmtId="0" fontId="80" fillId="6" borderId="0" xfId="0" applyFont="1" applyFill="1" applyBorder="1" applyAlignment="1">
      <alignment horizontal="center" vertical="center" wrapText="1"/>
    </xf>
    <xf numFmtId="0" fontId="80" fillId="4" borderId="0" xfId="0" applyFont="1" applyFill="1" applyBorder="1" applyAlignment="1">
      <alignment horizontal="center" vertical="center" wrapText="1"/>
    </xf>
    <xf numFmtId="0" fontId="8" fillId="0" borderId="70" xfId="0" applyFont="1" applyBorder="1" applyAlignment="1">
      <alignment horizontal="center"/>
    </xf>
    <xf numFmtId="44" fontId="78" fillId="0" borderId="0" xfId="2" applyFont="1" applyAlignment="1"/>
    <xf numFmtId="44" fontId="81" fillId="0" borderId="0" xfId="0" applyNumberFormat="1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1" fontId="107" fillId="0" borderId="0" xfId="0" applyNumberFormat="1" applyFont="1" applyAlignment="1">
      <alignment vertical="center"/>
    </xf>
    <xf numFmtId="1" fontId="107" fillId="0" borderId="0" xfId="0" applyNumberFormat="1" applyFont="1" applyAlignment="1">
      <alignment horizontal="left" vertical="center" wrapText="1"/>
    </xf>
    <xf numFmtId="0" fontId="107" fillId="0" borderId="0" xfId="0" applyFont="1" applyAlignment="1">
      <alignment horizontal="right" vertical="center"/>
    </xf>
    <xf numFmtId="0" fontId="107" fillId="0" borderId="0" xfId="0" applyFont="1" applyAlignment="1">
      <alignment horizontal="center" vertical="center"/>
    </xf>
    <xf numFmtId="44" fontId="107" fillId="0" borderId="0" xfId="2" applyFont="1" applyAlignment="1">
      <alignment horizontal="left" vertical="center"/>
    </xf>
    <xf numFmtId="38" fontId="108" fillId="0" borderId="0" xfId="0" applyNumberFormat="1" applyFont="1" applyAlignment="1">
      <alignment vertical="center"/>
    </xf>
    <xf numFmtId="1" fontId="108" fillId="0" borderId="0" xfId="0" applyNumberFormat="1" applyFont="1" applyAlignment="1">
      <alignment vertical="center"/>
    </xf>
    <xf numFmtId="1" fontId="108" fillId="0" borderId="0" xfId="0" applyNumberFormat="1" applyFont="1" applyAlignment="1">
      <alignment horizontal="left" vertical="center" wrapText="1"/>
    </xf>
    <xf numFmtId="0" fontId="108" fillId="0" borderId="0" xfId="0" applyFont="1" applyAlignment="1">
      <alignment horizontal="right" vertical="center"/>
    </xf>
    <xf numFmtId="0" fontId="108" fillId="0" borderId="0" xfId="0" applyFont="1" applyAlignment="1">
      <alignment horizontal="center" vertical="center"/>
    </xf>
    <xf numFmtId="44" fontId="108" fillId="0" borderId="0" xfId="2" applyFont="1" applyAlignment="1">
      <alignment horizontal="left" vertical="center"/>
    </xf>
    <xf numFmtId="0" fontId="108" fillId="0" borderId="0" xfId="0" applyFont="1" applyAlignment="1">
      <alignment horizontal="center" vertical="center" wrapText="1"/>
    </xf>
    <xf numFmtId="1" fontId="108" fillId="0" borderId="0" xfId="0" applyNumberFormat="1" applyFont="1" applyAlignment="1">
      <alignment horizontal="center" vertical="center" wrapText="1"/>
    </xf>
    <xf numFmtId="0" fontId="108" fillId="0" borderId="0" xfId="0" applyFont="1" applyAlignment="1">
      <alignment horizontal="right" vertical="center" wrapText="1"/>
    </xf>
    <xf numFmtId="44" fontId="108" fillId="0" borderId="0" xfId="2" applyFont="1" applyAlignment="1">
      <alignment horizontal="left" vertical="center" wrapText="1"/>
    </xf>
    <xf numFmtId="0" fontId="108" fillId="0" borderId="0" xfId="0" applyFont="1" applyAlignment="1">
      <alignment horizontal="left" vertical="center" wrapText="1"/>
    </xf>
    <xf numFmtId="0" fontId="108" fillId="0" borderId="0" xfId="0" applyFont="1" applyAlignment="1">
      <alignment vertical="center" wrapText="1"/>
    </xf>
    <xf numFmtId="1" fontId="108" fillId="0" borderId="0" xfId="0" applyNumberFormat="1" applyFont="1" applyAlignment="1">
      <alignment vertical="center" wrapText="1"/>
    </xf>
    <xf numFmtId="0" fontId="109" fillId="0" borderId="0" xfId="0" applyFont="1" applyAlignment="1">
      <alignment horizontal="center" vertical="center" wrapText="1"/>
    </xf>
    <xf numFmtId="0" fontId="109" fillId="0" borderId="0" xfId="0" applyFont="1" applyAlignment="1">
      <alignment vertical="center" wrapText="1"/>
    </xf>
    <xf numFmtId="1" fontId="109" fillId="0" borderId="0" xfId="0" applyNumberFormat="1" applyFont="1" applyAlignment="1">
      <alignment vertical="center" wrapText="1"/>
    </xf>
    <xf numFmtId="1" fontId="109" fillId="0" borderId="0" xfId="0" applyNumberFormat="1" applyFont="1" applyAlignment="1">
      <alignment horizontal="left" vertical="center" wrapText="1"/>
    </xf>
    <xf numFmtId="0" fontId="109" fillId="0" borderId="0" xfId="0" applyFont="1" applyAlignment="1">
      <alignment horizontal="right" vertical="center" wrapText="1"/>
    </xf>
    <xf numFmtId="44" fontId="109" fillId="0" borderId="0" xfId="2" applyFont="1" applyAlignment="1">
      <alignment horizontal="left" vertical="center" wrapText="1"/>
    </xf>
    <xf numFmtId="0" fontId="109" fillId="0" borderId="0" xfId="0" applyFont="1" applyAlignment="1">
      <alignment vertical="center"/>
    </xf>
    <xf numFmtId="0" fontId="107" fillId="0" borderId="0" xfId="0" applyFont="1" applyAlignment="1">
      <alignment horizontal="center" vertical="center" wrapText="1"/>
    </xf>
    <xf numFmtId="0" fontId="107" fillId="0" borderId="0" xfId="0" applyFont="1" applyAlignment="1">
      <alignment vertical="center" wrapText="1"/>
    </xf>
    <xf numFmtId="1" fontId="107" fillId="0" borderId="0" xfId="0" applyNumberFormat="1" applyFont="1" applyAlignment="1">
      <alignment vertical="center" wrapText="1"/>
    </xf>
    <xf numFmtId="0" fontId="107" fillId="0" borderId="0" xfId="0" applyFont="1" applyAlignment="1">
      <alignment horizontal="right" vertical="center" wrapText="1"/>
    </xf>
    <xf numFmtId="44" fontId="107" fillId="0" borderId="0" xfId="2" applyFont="1" applyAlignment="1">
      <alignment horizontal="left" vertical="center" wrapText="1"/>
    </xf>
    <xf numFmtId="1" fontId="108" fillId="0" borderId="0" xfId="0" applyNumberFormat="1" applyFont="1" applyAlignment="1">
      <alignment horizontal="center" vertical="center"/>
    </xf>
    <xf numFmtId="1" fontId="108" fillId="0" borderId="0" xfId="2" applyNumberFormat="1" applyFont="1" applyAlignment="1">
      <alignment horizontal="left" vertical="center" wrapText="1"/>
    </xf>
    <xf numFmtId="1" fontId="107" fillId="0" borderId="0" xfId="0" applyNumberFormat="1" applyFont="1" applyAlignment="1">
      <alignment horizontal="left" vertical="center"/>
    </xf>
    <xf numFmtId="0" fontId="107" fillId="0" borderId="0" xfId="0" applyNumberFormat="1" applyFont="1" applyAlignment="1">
      <alignment horizontal="center" vertical="center" wrapText="1"/>
    </xf>
    <xf numFmtId="0" fontId="110" fillId="0" borderId="0" xfId="0" applyFont="1" applyAlignment="1">
      <alignment horizontal="center" vertical="center" wrapText="1"/>
    </xf>
    <xf numFmtId="0" fontId="110" fillId="0" borderId="0" xfId="0" applyFont="1" applyAlignment="1">
      <alignment horizontal="left" vertical="center" wrapText="1"/>
    </xf>
    <xf numFmtId="1" fontId="110" fillId="0" borderId="0" xfId="0" applyNumberFormat="1" applyFont="1" applyAlignment="1">
      <alignment horizontal="center" vertical="center" wrapText="1"/>
    </xf>
    <xf numFmtId="1" fontId="110" fillId="0" borderId="0" xfId="0" applyNumberFormat="1" applyFont="1" applyAlignment="1">
      <alignment horizontal="left" vertical="center" wrapText="1"/>
    </xf>
    <xf numFmtId="0" fontId="110" fillId="0" borderId="0" xfId="0" applyFont="1" applyAlignment="1">
      <alignment horizontal="right" vertical="center" wrapText="1"/>
    </xf>
    <xf numFmtId="44" fontId="110" fillId="0" borderId="0" xfId="2" applyFont="1" applyAlignment="1">
      <alignment horizontal="left" vertical="center" wrapText="1"/>
    </xf>
    <xf numFmtId="0" fontId="108" fillId="0" borderId="0" xfId="0" applyFont="1" applyAlignment="1">
      <alignment horizontal="left" vertical="center"/>
    </xf>
    <xf numFmtId="1" fontId="108" fillId="0" borderId="0" xfId="0" applyNumberFormat="1" applyFont="1" applyAlignment="1">
      <alignment horizontal="left" vertical="center"/>
    </xf>
    <xf numFmtId="1" fontId="108" fillId="0" borderId="0" xfId="0" quotePrefix="1" applyNumberFormat="1" applyFont="1" applyAlignment="1">
      <alignment horizontal="left" vertical="center" wrapText="1"/>
    </xf>
    <xf numFmtId="44" fontId="107" fillId="0" borderId="0" xfId="0" applyNumberFormat="1" applyFont="1" applyAlignment="1">
      <alignment vertical="center"/>
    </xf>
    <xf numFmtId="1" fontId="107" fillId="0" borderId="0" xfId="0" applyNumberFormat="1" applyFont="1" applyAlignment="1">
      <alignment horizontal="right" vertical="center" wrapText="1"/>
    </xf>
    <xf numFmtId="1" fontId="108" fillId="0" borderId="0" xfId="0" applyNumberFormat="1" applyFont="1" applyAlignment="1">
      <alignment horizontal="center" wrapText="1"/>
    </xf>
    <xf numFmtId="0" fontId="110" fillId="0" borderId="0" xfId="0" applyFont="1" applyAlignment="1">
      <alignment vertical="center" wrapText="1"/>
    </xf>
    <xf numFmtId="1" fontId="110" fillId="0" borderId="0" xfId="0" applyNumberFormat="1" applyFont="1" applyAlignment="1">
      <alignment vertical="center" wrapText="1"/>
    </xf>
    <xf numFmtId="0" fontId="110" fillId="0" borderId="0" xfId="0" applyFont="1" applyAlignment="1">
      <alignment horizontal="center" vertical="center"/>
    </xf>
    <xf numFmtId="0" fontId="110" fillId="0" borderId="0" xfId="0" applyFont="1" applyAlignment="1">
      <alignment vertical="center"/>
    </xf>
    <xf numFmtId="1" fontId="109" fillId="0" borderId="0" xfId="0" applyNumberFormat="1" applyFont="1" applyAlignment="1">
      <alignment horizontal="right" vertical="center" wrapText="1"/>
    </xf>
    <xf numFmtId="0" fontId="109" fillId="0" borderId="0" xfId="0" applyFont="1" applyAlignment="1">
      <alignment horizontal="center" vertical="center"/>
    </xf>
    <xf numFmtId="4" fontId="108" fillId="0" borderId="0" xfId="0" applyNumberFormat="1" applyFont="1" applyAlignment="1">
      <alignment vertical="center" wrapText="1"/>
    </xf>
    <xf numFmtId="0" fontId="111" fillId="0" borderId="0" xfId="0" applyFont="1" applyAlignment="1">
      <alignment horizontal="center" vertical="center" wrapText="1"/>
    </xf>
    <xf numFmtId="0" fontId="111" fillId="0" borderId="0" xfId="0" applyFont="1" applyAlignment="1">
      <alignment vertical="center" wrapText="1"/>
    </xf>
    <xf numFmtId="1" fontId="111" fillId="0" borderId="0" xfId="0" applyNumberFormat="1" applyFont="1" applyAlignment="1">
      <alignment vertical="center" wrapText="1"/>
    </xf>
    <xf numFmtId="1" fontId="111" fillId="0" borderId="0" xfId="0" applyNumberFormat="1" applyFont="1" applyAlignment="1">
      <alignment horizontal="left" vertical="center" wrapText="1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 wrapText="1"/>
    </xf>
    <xf numFmtId="1" fontId="112" fillId="0" borderId="0" xfId="0" applyNumberFormat="1" applyFont="1" applyAlignment="1">
      <alignment vertical="center" wrapText="1"/>
    </xf>
    <xf numFmtId="1" fontId="112" fillId="0" borderId="0" xfId="0" applyNumberFormat="1" applyFont="1" applyAlignment="1">
      <alignment horizontal="left" vertical="center" wrapText="1"/>
    </xf>
    <xf numFmtId="1" fontId="108" fillId="0" borderId="0" xfId="0" applyNumberFormat="1" applyFont="1" applyAlignment="1">
      <alignment horizontal="right" vertical="center" wrapText="1"/>
    </xf>
    <xf numFmtId="0" fontId="107" fillId="0" borderId="0" xfId="0" applyFont="1" applyAlignment="1">
      <alignment horizontal="left" vertical="center" wrapText="1"/>
    </xf>
    <xf numFmtId="0" fontId="107" fillId="0" borderId="0" xfId="0" applyFont="1" applyAlignment="1">
      <alignment horizontal="left" vertical="center"/>
    </xf>
    <xf numFmtId="1" fontId="107" fillId="0" borderId="0" xfId="0" applyNumberFormat="1" applyFont="1" applyAlignment="1">
      <alignment horizontal="center" vertical="center" wrapText="1"/>
    </xf>
    <xf numFmtId="44" fontId="108" fillId="0" borderId="0" xfId="0" applyNumberFormat="1" applyFont="1" applyAlignment="1">
      <alignment vertical="center"/>
    </xf>
    <xf numFmtId="44" fontId="108" fillId="0" borderId="0" xfId="2" applyFont="1" applyAlignment="1">
      <alignment vertical="center"/>
    </xf>
    <xf numFmtId="1" fontId="110" fillId="0" borderId="0" xfId="0" applyNumberFormat="1" applyFont="1" applyAlignment="1">
      <alignment horizontal="right" vertical="center" wrapText="1"/>
    </xf>
    <xf numFmtId="44" fontId="110" fillId="0" borderId="0" xfId="2" applyFont="1" applyAlignment="1">
      <alignment horizontal="left" vertical="center"/>
    </xf>
    <xf numFmtId="0" fontId="110" fillId="0" borderId="0" xfId="0" applyFont="1" applyAlignment="1">
      <alignment horizontal="right" vertical="center"/>
    </xf>
    <xf numFmtId="44" fontId="107" fillId="0" borderId="0" xfId="2" applyFont="1" applyAlignment="1">
      <alignment vertical="center"/>
    </xf>
    <xf numFmtId="44" fontId="110" fillId="0" borderId="0" xfId="2" applyFont="1" applyAlignment="1">
      <alignment horizontal="right" vertical="center"/>
    </xf>
    <xf numFmtId="0" fontId="113" fillId="0" borderId="0" xfId="0" applyFont="1" applyAlignment="1">
      <alignment vertical="center" wrapText="1"/>
    </xf>
    <xf numFmtId="1" fontId="113" fillId="0" borderId="0" xfId="0" applyNumberFormat="1" applyFont="1" applyAlignment="1">
      <alignment vertical="center" wrapText="1"/>
    </xf>
    <xf numFmtId="1" fontId="113" fillId="0" borderId="0" xfId="0" applyNumberFormat="1" applyFont="1" applyAlignment="1">
      <alignment horizontal="left" vertical="center" wrapText="1"/>
    </xf>
    <xf numFmtId="0" fontId="113" fillId="0" borderId="0" xfId="0" applyFont="1" applyAlignment="1">
      <alignment horizontal="right" vertical="center" wrapText="1"/>
    </xf>
    <xf numFmtId="0" fontId="113" fillId="0" borderId="0" xfId="0" applyFont="1" applyAlignment="1">
      <alignment horizontal="center" vertical="center" wrapText="1"/>
    </xf>
    <xf numFmtId="44" fontId="113" fillId="0" borderId="0" xfId="2" applyFont="1" applyAlignment="1">
      <alignment horizontal="left" vertical="center"/>
    </xf>
    <xf numFmtId="0" fontId="109" fillId="0" borderId="0" xfId="0" applyFont="1" applyAlignment="1">
      <alignment horizontal="left" vertical="center" wrapText="1"/>
    </xf>
    <xf numFmtId="44" fontId="111" fillId="0" borderId="0" xfId="2" applyFont="1" applyAlignment="1">
      <alignment horizontal="left" vertical="center"/>
    </xf>
    <xf numFmtId="44" fontId="114" fillId="0" borderId="0" xfId="2" applyFont="1" applyAlignment="1">
      <alignment horizontal="left" vertical="center"/>
    </xf>
    <xf numFmtId="0" fontId="113" fillId="0" borderId="0" xfId="0" applyFont="1" applyAlignment="1">
      <alignment horizontal="left" vertical="center" wrapText="1"/>
    </xf>
    <xf numFmtId="1" fontId="113" fillId="0" borderId="0" xfId="0" applyNumberFormat="1" applyFont="1" applyAlignment="1">
      <alignment horizontal="center" vertical="center" wrapText="1"/>
    </xf>
    <xf numFmtId="44" fontId="113" fillId="0" borderId="0" xfId="2" applyFont="1" applyAlignment="1">
      <alignment horizontal="left" vertical="center" wrapText="1"/>
    </xf>
    <xf numFmtId="0" fontId="115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15" fillId="0" borderId="0" xfId="0" applyFont="1" applyAlignment="1">
      <alignment vertical="center" wrapText="1"/>
    </xf>
    <xf numFmtId="1" fontId="115" fillId="0" borderId="0" xfId="0" applyNumberFormat="1" applyFont="1" applyAlignment="1">
      <alignment vertical="center" wrapText="1"/>
    </xf>
    <xf numFmtId="1" fontId="115" fillId="0" borderId="0" xfId="0" applyNumberFormat="1" applyFont="1" applyAlignment="1">
      <alignment horizontal="left" vertical="center" wrapText="1"/>
    </xf>
    <xf numFmtId="0" fontId="115" fillId="0" borderId="0" xfId="0" applyFont="1" applyAlignment="1">
      <alignment horizontal="right" vertical="center" wrapText="1"/>
    </xf>
    <xf numFmtId="0" fontId="115" fillId="0" borderId="0" xfId="0" applyFont="1" applyAlignment="1">
      <alignment horizontal="center" vertical="center" wrapText="1"/>
    </xf>
    <xf numFmtId="44" fontId="115" fillId="0" borderId="0" xfId="2" applyFont="1" applyAlignment="1">
      <alignment horizontal="left" vertical="center"/>
    </xf>
    <xf numFmtId="44" fontId="115" fillId="0" borderId="0" xfId="0" applyNumberFormat="1" applyFont="1" applyAlignment="1">
      <alignment vertical="center"/>
    </xf>
    <xf numFmtId="44" fontId="113" fillId="0" borderId="0" xfId="0" applyNumberFormat="1" applyFont="1" applyAlignment="1">
      <alignment vertical="center"/>
    </xf>
    <xf numFmtId="4" fontId="107" fillId="0" borderId="0" xfId="0" applyNumberFormat="1" applyFont="1" applyAlignment="1">
      <alignment vertical="center" wrapText="1"/>
    </xf>
    <xf numFmtId="0" fontId="108" fillId="0" borderId="0" xfId="0" applyFont="1"/>
    <xf numFmtId="44" fontId="108" fillId="0" borderId="0" xfId="0" applyNumberFormat="1" applyFont="1"/>
    <xf numFmtId="0" fontId="107" fillId="0" borderId="0" xfId="0" applyFont="1"/>
    <xf numFmtId="44" fontId="109" fillId="0" borderId="0" xfId="2" applyFont="1" applyAlignment="1">
      <alignment horizontal="left" vertical="center"/>
    </xf>
    <xf numFmtId="44" fontId="107" fillId="0" borderId="0" xfId="0" applyNumberFormat="1" applyFont="1"/>
    <xf numFmtId="0" fontId="116" fillId="0" borderId="0" xfId="0" applyFont="1" applyAlignment="1">
      <alignment vertical="center" wrapText="1"/>
    </xf>
    <xf numFmtId="1" fontId="116" fillId="0" borderId="0" xfId="0" applyNumberFormat="1" applyFont="1" applyAlignment="1">
      <alignment vertical="center" wrapText="1"/>
    </xf>
    <xf numFmtId="1" fontId="117" fillId="0" borderId="0" xfId="0" applyNumberFormat="1" applyFont="1" applyAlignment="1">
      <alignment horizontal="left" vertical="center" wrapText="1"/>
    </xf>
    <xf numFmtId="0" fontId="116" fillId="0" borderId="0" xfId="0" applyFont="1" applyAlignment="1">
      <alignment horizontal="right" vertical="center"/>
    </xf>
    <xf numFmtId="0" fontId="116" fillId="0" borderId="0" xfId="0" applyFont="1" applyAlignment="1">
      <alignment vertical="center"/>
    </xf>
    <xf numFmtId="0" fontId="116" fillId="0" borderId="0" xfId="0" applyFont="1" applyAlignment="1">
      <alignment horizontal="center" vertical="center"/>
    </xf>
    <xf numFmtId="44" fontId="116" fillId="0" borderId="0" xfId="2" applyFont="1" applyAlignment="1">
      <alignment horizontal="left" vertical="center"/>
    </xf>
    <xf numFmtId="0" fontId="109" fillId="0" borderId="0" xfId="0" applyFont="1" applyAlignment="1">
      <alignment horizontal="right" vertical="center"/>
    </xf>
    <xf numFmtId="44" fontId="115" fillId="0" borderId="0" xfId="2" applyFont="1" applyAlignment="1">
      <alignment horizontal="left" vertical="center" wrapText="1"/>
    </xf>
    <xf numFmtId="0" fontId="107" fillId="0" borderId="0" xfId="0" applyFont="1" applyAlignment="1">
      <alignment wrapText="1"/>
    </xf>
    <xf numFmtId="0" fontId="107" fillId="0" borderId="0" xfId="0" applyFont="1" applyAlignment="1">
      <alignment vertical="top"/>
    </xf>
    <xf numFmtId="0" fontId="107" fillId="0" borderId="0" xfId="0" applyFont="1" applyAlignment="1">
      <alignment horizontal="right" vertical="top"/>
    </xf>
    <xf numFmtId="0" fontId="108" fillId="8" borderId="0" xfId="0" applyFont="1" applyFill="1" applyAlignment="1">
      <alignment vertical="center"/>
    </xf>
    <xf numFmtId="44" fontId="108" fillId="0" borderId="0" xfId="2" applyFont="1" applyAlignment="1">
      <alignment horizontal="center" vertical="center" wrapText="1"/>
    </xf>
    <xf numFmtId="0" fontId="86" fillId="10" borderId="0" xfId="0" applyFont="1" applyFill="1" applyAlignment="1">
      <alignment horizontal="left" vertical="top" wrapText="1"/>
    </xf>
    <xf numFmtId="44" fontId="71" fillId="0" borderId="0" xfId="0" applyNumberFormat="1" applyFont="1"/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 textRotation="90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Border="1" applyAlignment="1">
      <alignment horizontal="left" vertical="center"/>
    </xf>
    <xf numFmtId="0" fontId="60" fillId="0" borderId="0" xfId="0" applyNumberFormat="1" applyFont="1" applyBorder="1" applyAlignment="1">
      <alignment horizontal="righ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44" fontId="60" fillId="0" borderId="0" xfId="2" applyFont="1" applyAlignment="1">
      <alignment horizontal="center" vertical="center"/>
    </xf>
    <xf numFmtId="0" fontId="60" fillId="0" borderId="0" xfId="0" applyNumberFormat="1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3" fillId="0" borderId="0" xfId="0" applyNumberFormat="1" applyFont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90"/>
    </xf>
    <xf numFmtId="0" fontId="3" fillId="0" borderId="0" xfId="0" applyNumberFormat="1" applyFont="1" applyFill="1" applyBorder="1" applyAlignment="1">
      <alignment horizontal="center" vertical="center" wrapText="1"/>
    </xf>
    <xf numFmtId="44" fontId="60" fillId="0" borderId="0" xfId="0" applyNumberFormat="1" applyFont="1" applyFill="1" applyBorder="1" applyAlignment="1">
      <alignment horizontal="center" vertical="center"/>
    </xf>
    <xf numFmtId="44" fontId="61" fillId="0" borderId="0" xfId="0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textRotation="90"/>
    </xf>
    <xf numFmtId="0" fontId="60" fillId="0" borderId="0" xfId="0" applyNumberFormat="1" applyFont="1" applyBorder="1" applyAlignment="1">
      <alignment horizontal="righ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44" fontId="60" fillId="0" borderId="0" xfId="2" applyFont="1" applyAlignment="1">
      <alignment horizontal="center" vertical="center"/>
    </xf>
    <xf numFmtId="0" fontId="60" fillId="0" borderId="0" xfId="0" applyNumberFormat="1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left" vertical="center"/>
    </xf>
    <xf numFmtId="0" fontId="60" fillId="0" borderId="0" xfId="0" applyNumberFormat="1" applyFont="1" applyFill="1" applyBorder="1" applyAlignment="1">
      <alignment horizontal="center" vertical="center" wrapText="1"/>
    </xf>
    <xf numFmtId="44" fontId="60" fillId="0" borderId="0" xfId="2" applyFont="1" applyBorder="1" applyAlignment="1">
      <alignment horizontal="center" vertical="center"/>
    </xf>
    <xf numFmtId="44" fontId="61" fillId="0" borderId="0" xfId="0" applyNumberFormat="1" applyFont="1" applyFill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44" fontId="60" fillId="0" borderId="0" xfId="2" applyFont="1" applyAlignment="1">
      <alignment horizontal="center"/>
    </xf>
    <xf numFmtId="0" fontId="60" fillId="0" borderId="0" xfId="0" applyFont="1" applyBorder="1" applyAlignment="1">
      <alignment horizontal="center" textRotation="90"/>
    </xf>
    <xf numFmtId="0" fontId="60" fillId="0" borderId="0" xfId="0" applyNumberFormat="1" applyFont="1" applyBorder="1" applyAlignment="1">
      <alignment horizontal="center" wrapText="1"/>
    </xf>
    <xf numFmtId="0" fontId="101" fillId="0" borderId="0" xfId="0" applyFont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10" fontId="2" fillId="0" borderId="0" xfId="4" applyNumberFormat="1" applyFont="1" applyBorder="1" applyAlignment="1">
      <alignment vertical="center"/>
    </xf>
    <xf numFmtId="44" fontId="2" fillId="0" borderId="0" xfId="2" applyFont="1" applyBorder="1" applyAlignment="1">
      <alignment vertical="center"/>
    </xf>
    <xf numFmtId="10" fontId="97" fillId="0" borderId="0" xfId="4" applyNumberFormat="1" applyFont="1" applyFill="1" applyBorder="1" applyAlignment="1">
      <alignment horizontal="center" vertical="center"/>
    </xf>
    <xf numFmtId="44" fontId="97" fillId="0" borderId="0" xfId="0" applyNumberFormat="1" applyFont="1" applyFill="1" applyBorder="1" applyAlignment="1">
      <alignment horizontal="center" vertical="center"/>
    </xf>
    <xf numFmtId="44" fontId="97" fillId="0" borderId="0" xfId="2" applyFont="1" applyAlignment="1">
      <alignment vertical="center"/>
    </xf>
    <xf numFmtId="44" fontId="97" fillId="0" borderId="0" xfId="0" applyNumberFormat="1" applyFont="1" applyAlignment="1">
      <alignment vertical="center"/>
    </xf>
    <xf numFmtId="44" fontId="2" fillId="0" borderId="0" xfId="2" applyFont="1" applyAlignment="1">
      <alignment vertical="center"/>
    </xf>
    <xf numFmtId="0" fontId="2" fillId="0" borderId="0" xfId="0" applyFont="1" applyAlignment="1">
      <alignment vertical="center"/>
    </xf>
    <xf numFmtId="0" fontId="97" fillId="0" borderId="0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118" fillId="0" borderId="0" xfId="0" applyFont="1" applyAlignment="1"/>
    <xf numFmtId="0" fontId="119" fillId="0" borderId="0" xfId="0" applyFont="1"/>
    <xf numFmtId="38" fontId="118" fillId="0" borderId="0" xfId="0" applyNumberFormat="1" applyFont="1" applyAlignment="1"/>
    <xf numFmtId="0" fontId="17" fillId="0" borderId="0" xfId="0" applyFont="1" applyAlignment="1">
      <alignment horizontal="center" vertical="center"/>
    </xf>
    <xf numFmtId="0" fontId="120" fillId="0" borderId="0" xfId="0" applyFont="1" applyBorder="1" applyAlignment="1">
      <alignment vertical="center"/>
    </xf>
    <xf numFmtId="0" fontId="120" fillId="0" borderId="0" xfId="0" applyFont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 wrapText="1"/>
    </xf>
    <xf numFmtId="44" fontId="17" fillId="0" borderId="0" xfId="2" applyFont="1" applyBorder="1" applyAlignment="1">
      <alignment vertical="center"/>
    </xf>
    <xf numFmtId="44" fontId="121" fillId="0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vertical="center" wrapText="1"/>
    </xf>
    <xf numFmtId="44" fontId="121" fillId="0" borderId="0" xfId="0" applyNumberFormat="1" applyFont="1" applyAlignment="1">
      <alignment vertical="center"/>
    </xf>
    <xf numFmtId="44" fontId="17" fillId="0" borderId="0" xfId="2" applyFont="1" applyAlignment="1">
      <alignment vertical="center"/>
    </xf>
    <xf numFmtId="0" fontId="17" fillId="0" borderId="0" xfId="0" applyFont="1" applyAlignment="1">
      <alignment vertical="center"/>
    </xf>
    <xf numFmtId="0" fontId="31" fillId="0" borderId="0" xfId="0" applyFont="1" applyBorder="1" applyAlignment="1">
      <alignment horizontal="left" vertical="center"/>
    </xf>
    <xf numFmtId="0" fontId="122" fillId="0" borderId="0" xfId="0" applyFont="1" applyAlignment="1"/>
    <xf numFmtId="0" fontId="123" fillId="0" borderId="0" xfId="0" applyFont="1"/>
    <xf numFmtId="38" fontId="122" fillId="0" borderId="0" xfId="0" applyNumberFormat="1" applyFont="1" applyAlignment="1"/>
    <xf numFmtId="44" fontId="15" fillId="0" borderId="0" xfId="2" applyFont="1" applyAlignment="1">
      <alignment vertical="center"/>
    </xf>
    <xf numFmtId="0" fontId="124" fillId="0" borderId="0" xfId="0" applyFont="1" applyBorder="1" applyAlignment="1">
      <alignment vertical="center"/>
    </xf>
    <xf numFmtId="0" fontId="124" fillId="0" borderId="0" xfId="0" applyFont="1" applyBorder="1" applyAlignment="1">
      <alignment horizontal="center" vertical="center"/>
    </xf>
    <xf numFmtId="0" fontId="125" fillId="0" borderId="0" xfId="0" applyNumberFormat="1" applyFont="1" applyBorder="1" applyAlignment="1">
      <alignment horizontal="right" vertical="center" wrapText="1"/>
    </xf>
    <xf numFmtId="0" fontId="125" fillId="0" borderId="0" xfId="0" applyFont="1" applyFill="1" applyBorder="1" applyAlignment="1">
      <alignment horizontal="center" vertical="center" wrapText="1"/>
    </xf>
    <xf numFmtId="44" fontId="15" fillId="0" borderId="0" xfId="2" applyFont="1" applyBorder="1" applyAlignment="1">
      <alignment vertical="center"/>
    </xf>
    <xf numFmtId="44" fontId="125" fillId="0" borderId="0" xfId="0" applyNumberFormat="1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vertical="center" wrapText="1"/>
    </xf>
    <xf numFmtId="0" fontId="15" fillId="0" borderId="0" xfId="0" applyFont="1" applyAlignment="1">
      <alignment vertical="center"/>
    </xf>
    <xf numFmtId="10" fontId="97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21" fillId="0" borderId="0" xfId="0" applyNumberFormat="1" applyFont="1" applyBorder="1" applyAlignment="1">
      <alignment horizontal="right" vertical="center" wrapText="1"/>
    </xf>
    <xf numFmtId="0" fontId="97" fillId="0" borderId="0" xfId="0" applyNumberFormat="1" applyFont="1" applyBorder="1" applyAlignment="1">
      <alignment horizontal="right" vertical="center" wrapText="1"/>
    </xf>
    <xf numFmtId="44" fontId="60" fillId="0" borderId="0" xfId="0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right" vertical="center"/>
    </xf>
    <xf numFmtId="10" fontId="60" fillId="0" borderId="0" xfId="4" applyNumberFormat="1" applyFont="1" applyFill="1" applyBorder="1" applyAlignment="1">
      <alignment horizontal="right" vertical="center"/>
    </xf>
    <xf numFmtId="44" fontId="60" fillId="0" borderId="0" xfId="0" applyNumberFormat="1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10" fontId="60" fillId="0" borderId="0" xfId="4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44" fontId="73" fillId="0" borderId="0" xfId="2" applyFont="1" applyAlignment="1">
      <alignment vertical="center"/>
    </xf>
    <xf numFmtId="0" fontId="75" fillId="0" borderId="0" xfId="0" applyNumberFormat="1" applyFont="1" applyBorder="1" applyAlignment="1">
      <alignment horizontal="right" vertical="center" wrapText="1"/>
    </xf>
    <xf numFmtId="0" fontId="75" fillId="0" borderId="0" xfId="0" applyFont="1" applyFill="1" applyBorder="1" applyAlignment="1">
      <alignment horizontal="center" vertical="center" wrapText="1"/>
    </xf>
    <xf numFmtId="10" fontId="17" fillId="0" borderId="0" xfId="4" applyNumberFormat="1" applyFont="1" applyBorder="1" applyAlignment="1">
      <alignment vertical="center"/>
    </xf>
    <xf numFmtId="10" fontId="75" fillId="0" borderId="0" xfId="4" applyNumberFormat="1" applyFont="1" applyFill="1" applyBorder="1" applyAlignment="1">
      <alignment horizontal="center" vertical="center"/>
    </xf>
    <xf numFmtId="44" fontId="75" fillId="0" borderId="0" xfId="2" applyFont="1" applyAlignment="1">
      <alignment vertical="center"/>
    </xf>
    <xf numFmtId="0" fontId="73" fillId="0" borderId="0" xfId="0" applyFont="1" applyAlignment="1">
      <alignment vertical="center"/>
    </xf>
    <xf numFmtId="0" fontId="126" fillId="0" borderId="0" xfId="0" applyFont="1" applyAlignment="1"/>
    <xf numFmtId="0" fontId="127" fillId="0" borderId="0" xfId="0" applyFont="1"/>
    <xf numFmtId="38" fontId="126" fillId="0" borderId="0" xfId="0" applyNumberFormat="1" applyFont="1" applyAlignment="1"/>
    <xf numFmtId="0" fontId="128" fillId="0" borderId="0" xfId="0" applyFont="1" applyAlignment="1">
      <alignment horizontal="center" vertical="center"/>
    </xf>
    <xf numFmtId="0" fontId="129" fillId="0" borderId="0" xfId="0" applyFont="1" applyBorder="1" applyAlignment="1">
      <alignment vertical="center"/>
    </xf>
    <xf numFmtId="44" fontId="130" fillId="0" borderId="0" xfId="2" applyFont="1" applyAlignment="1">
      <alignment vertical="center"/>
    </xf>
    <xf numFmtId="0" fontId="131" fillId="0" borderId="0" xfId="0" applyNumberFormat="1" applyFont="1" applyBorder="1" applyAlignment="1">
      <alignment horizontal="right" vertical="center" wrapText="1"/>
    </xf>
    <xf numFmtId="0" fontId="131" fillId="0" borderId="0" xfId="0" applyFont="1" applyFill="1" applyBorder="1" applyAlignment="1">
      <alignment horizontal="center" vertical="center" wrapText="1"/>
    </xf>
    <xf numFmtId="10" fontId="130" fillId="0" borderId="0" xfId="4" applyNumberFormat="1" applyFont="1" applyBorder="1" applyAlignment="1">
      <alignment vertical="center"/>
    </xf>
    <xf numFmtId="44" fontId="130" fillId="0" borderId="0" xfId="2" applyFont="1" applyBorder="1" applyAlignment="1">
      <alignment vertical="center"/>
    </xf>
    <xf numFmtId="10" fontId="128" fillId="0" borderId="0" xfId="4" applyNumberFormat="1" applyFont="1" applyBorder="1" applyAlignment="1">
      <alignment vertical="center"/>
    </xf>
    <xf numFmtId="44" fontId="128" fillId="0" borderId="0" xfId="2" applyFont="1" applyBorder="1" applyAlignment="1">
      <alignment vertical="center"/>
    </xf>
    <xf numFmtId="44" fontId="131" fillId="0" borderId="0" xfId="0" applyNumberFormat="1" applyFont="1" applyFill="1" applyBorder="1" applyAlignment="1">
      <alignment horizontal="center" vertical="center"/>
    </xf>
    <xf numFmtId="10" fontId="131" fillId="0" borderId="0" xfId="4" applyNumberFormat="1" applyFont="1" applyFill="1" applyBorder="1" applyAlignment="1">
      <alignment horizontal="center" vertical="center"/>
    </xf>
    <xf numFmtId="44" fontId="131" fillId="0" borderId="0" xfId="2" applyFont="1" applyAlignment="1">
      <alignment vertical="center"/>
    </xf>
    <xf numFmtId="0" fontId="130" fillId="0" borderId="0" xfId="0" applyFont="1" applyAlignment="1">
      <alignment vertical="center"/>
    </xf>
    <xf numFmtId="9" fontId="59" fillId="0" borderId="0" xfId="0" applyNumberFormat="1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31" fillId="0" borderId="0" xfId="0" applyFont="1" applyBorder="1" applyAlignment="1">
      <alignment horizontal="left" vertical="center"/>
    </xf>
    <xf numFmtId="0" fontId="131" fillId="0" borderId="0" xfId="0" applyFont="1" applyBorder="1" applyAlignment="1">
      <alignment horizontal="center" vertical="center"/>
    </xf>
    <xf numFmtId="0" fontId="13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/>
    </xf>
    <xf numFmtId="44" fontId="61" fillId="0" borderId="0" xfId="0" applyNumberFormat="1" applyFont="1" applyFill="1" applyBorder="1" applyAlignment="1">
      <alignment horizontal="left" vertical="center"/>
    </xf>
    <xf numFmtId="10" fontId="131" fillId="0" borderId="0" xfId="4" applyNumberFormat="1" applyFont="1" applyFill="1" applyBorder="1" applyAlignment="1">
      <alignment horizontal="left" vertical="center"/>
    </xf>
    <xf numFmtId="44" fontId="131" fillId="0" borderId="0" xfId="0" applyNumberFormat="1" applyFont="1" applyFill="1" applyBorder="1" applyAlignment="1">
      <alignment horizontal="left" vertical="center"/>
    </xf>
    <xf numFmtId="10" fontId="75" fillId="0" borderId="0" xfId="4" applyNumberFormat="1" applyFont="1" applyFill="1" applyBorder="1" applyAlignment="1">
      <alignment horizontal="left" vertical="center"/>
    </xf>
    <xf numFmtId="44" fontId="75" fillId="0" borderId="0" xfId="0" applyNumberFormat="1" applyFont="1" applyFill="1" applyBorder="1" applyAlignment="1">
      <alignment horizontal="left" vertical="center"/>
    </xf>
    <xf numFmtId="0" fontId="131" fillId="0" borderId="0" xfId="0" applyFont="1" applyFill="1" applyBorder="1" applyAlignment="1">
      <alignment horizontal="left" vertical="center"/>
    </xf>
    <xf numFmtId="0" fontId="131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10" fontId="75" fillId="0" borderId="0" xfId="4" applyNumberFormat="1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132" fillId="0" borderId="0" xfId="0" applyFont="1" applyBorder="1" applyAlignment="1">
      <alignment horizontal="left" vertical="center" wrapText="1"/>
    </xf>
    <xf numFmtId="0" fontId="132" fillId="0" borderId="0" xfId="0" applyFont="1" applyBorder="1" applyAlignment="1">
      <alignment horizontal="center" vertical="center" wrapText="1"/>
    </xf>
    <xf numFmtId="14" fontId="74" fillId="0" borderId="0" xfId="0" applyNumberFormat="1" applyFont="1" applyBorder="1" applyAlignment="1">
      <alignment vertical="center"/>
    </xf>
    <xf numFmtId="0" fontId="74" fillId="0" borderId="0" xfId="0" applyFont="1" applyBorder="1" applyAlignment="1">
      <alignment horizontal="left" vertical="center"/>
    </xf>
    <xf numFmtId="10" fontId="74" fillId="0" borderId="0" xfId="4" applyNumberFormat="1" applyFont="1" applyBorder="1" applyAlignment="1">
      <alignment vertical="center"/>
    </xf>
    <xf numFmtId="44" fontId="74" fillId="0" borderId="0" xfId="0" applyNumberFormat="1" applyFont="1" applyAlignment="1">
      <alignment vertical="center"/>
    </xf>
    <xf numFmtId="10" fontId="74" fillId="0" borderId="0" xfId="4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4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44" fontId="97" fillId="0" borderId="0" xfId="0" applyNumberFormat="1" applyFont="1" applyFill="1" applyBorder="1" applyAlignment="1">
      <alignment horizontal="left" vertical="center"/>
    </xf>
    <xf numFmtId="10" fontId="3" fillId="0" borderId="0" xfId="4" applyNumberFormat="1" applyFont="1" applyFill="1" applyBorder="1" applyAlignment="1">
      <alignment horizontal="left" vertical="center"/>
    </xf>
    <xf numFmtId="10" fontId="97" fillId="0" borderId="0" xfId="4" applyNumberFormat="1" applyFont="1" applyFill="1" applyBorder="1" applyAlignment="1">
      <alignment horizontal="left" vertical="center"/>
    </xf>
    <xf numFmtId="44" fontId="121" fillId="0" borderId="0" xfId="0" applyNumberFormat="1" applyFont="1" applyFill="1" applyBorder="1" applyAlignment="1">
      <alignment horizontal="left" vertical="center"/>
    </xf>
    <xf numFmtId="44" fontId="125" fillId="0" borderId="0" xfId="0" applyNumberFormat="1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 textRotation="90"/>
    </xf>
    <xf numFmtId="44" fontId="60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44" fontId="61" fillId="0" borderId="0" xfId="0" applyNumberFormat="1" applyFont="1" applyFill="1" applyAlignment="1">
      <alignment horizontal="center" vertical="center"/>
    </xf>
    <xf numFmtId="10" fontId="60" fillId="0" borderId="0" xfId="4" applyNumberFormat="1" applyFont="1" applyFill="1" applyAlignment="1">
      <alignment horizontal="center" vertical="center"/>
    </xf>
    <xf numFmtId="10" fontId="131" fillId="0" borderId="0" xfId="4" applyNumberFormat="1" applyFont="1" applyFill="1" applyAlignment="1">
      <alignment horizontal="center" vertical="center"/>
    </xf>
    <xf numFmtId="44" fontId="131" fillId="0" borderId="0" xfId="0" applyNumberFormat="1" applyFont="1" applyFill="1" applyAlignment="1">
      <alignment horizontal="center" vertical="center"/>
    </xf>
    <xf numFmtId="10" fontId="75" fillId="0" borderId="0" xfId="4" applyNumberFormat="1" applyFont="1" applyFill="1" applyAlignment="1">
      <alignment horizontal="center" vertical="center"/>
    </xf>
    <xf numFmtId="44" fontId="75" fillId="0" borderId="0" xfId="0" applyNumberFormat="1" applyFont="1" applyFill="1" applyAlignment="1">
      <alignment horizontal="center" vertical="center"/>
    </xf>
    <xf numFmtId="0" fontId="76" fillId="0" borderId="0" xfId="0" applyFont="1" applyAlignment="1">
      <alignment vertical="center"/>
    </xf>
    <xf numFmtId="0" fontId="133" fillId="0" borderId="0" xfId="0" applyFont="1" applyBorder="1" applyAlignment="1">
      <alignment horizontal="left" vertical="center"/>
    </xf>
    <xf numFmtId="44" fontId="133" fillId="0" borderId="0" xfId="0" applyNumberFormat="1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center"/>
    </xf>
    <xf numFmtId="10" fontId="133" fillId="0" borderId="0" xfId="4" applyNumberFormat="1" applyFont="1" applyFill="1" applyBorder="1" applyAlignment="1">
      <alignment horizontal="left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vertical="center"/>
    </xf>
    <xf numFmtId="0" fontId="75" fillId="0" borderId="0" xfId="0" applyFont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135" fillId="0" borderId="0" xfId="0" applyFont="1" applyBorder="1" applyAlignment="1">
      <alignment horizontal="left" vertical="center" wrapText="1"/>
    </xf>
    <xf numFmtId="0" fontId="135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/>
    </xf>
    <xf numFmtId="14" fontId="75" fillId="0" borderId="0" xfId="0" applyNumberFormat="1" applyFont="1" applyBorder="1" applyAlignment="1">
      <alignment vertical="center"/>
    </xf>
    <xf numFmtId="10" fontId="75" fillId="0" borderId="0" xfId="4" applyNumberFormat="1" applyFont="1" applyBorder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136" fillId="0" borderId="0" xfId="0" applyFont="1" applyBorder="1" applyAlignment="1">
      <alignment horizontal="left" vertical="center"/>
    </xf>
    <xf numFmtId="0" fontId="137" fillId="0" borderId="0" xfId="0" applyFont="1" applyBorder="1" applyAlignment="1">
      <alignment horizontal="left" vertical="center" wrapText="1"/>
    </xf>
    <xf numFmtId="0" fontId="137" fillId="0" borderId="0" xfId="0" applyFont="1" applyBorder="1" applyAlignment="1">
      <alignment horizontal="center" vertical="center" wrapText="1"/>
    </xf>
    <xf numFmtId="0" fontId="136" fillId="0" borderId="0" xfId="0" applyFont="1" applyBorder="1" applyAlignment="1">
      <alignment horizontal="center" vertical="center"/>
    </xf>
    <xf numFmtId="14" fontId="136" fillId="0" borderId="0" xfId="0" applyNumberFormat="1" applyFont="1" applyBorder="1" applyAlignment="1">
      <alignment vertical="center"/>
    </xf>
    <xf numFmtId="44" fontId="136" fillId="0" borderId="0" xfId="2" applyFont="1" applyBorder="1" applyAlignment="1">
      <alignment horizontal="center" vertical="center"/>
    </xf>
    <xf numFmtId="10" fontId="136" fillId="0" borderId="0" xfId="4" applyNumberFormat="1" applyFont="1" applyBorder="1" applyAlignment="1">
      <alignment horizontal="center" vertical="center"/>
    </xf>
    <xf numFmtId="44" fontId="136" fillId="0" borderId="0" xfId="2" applyFont="1" applyBorder="1" applyAlignment="1">
      <alignment vertical="center"/>
    </xf>
    <xf numFmtId="10" fontId="136" fillId="0" borderId="0" xfId="4" applyNumberFormat="1" applyFont="1" applyBorder="1" applyAlignment="1">
      <alignment vertical="center"/>
    </xf>
    <xf numFmtId="44" fontId="136" fillId="0" borderId="0" xfId="0" applyNumberFormat="1" applyFont="1" applyAlignment="1">
      <alignment vertical="center"/>
    </xf>
    <xf numFmtId="0" fontId="136" fillId="0" borderId="0" xfId="0" applyFont="1" applyAlignment="1">
      <alignment vertical="center"/>
    </xf>
    <xf numFmtId="0" fontId="138" fillId="0" borderId="0" xfId="0" applyFont="1" applyBorder="1" applyAlignment="1">
      <alignment horizontal="left" vertical="center" wrapText="1"/>
    </xf>
    <xf numFmtId="0" fontId="138" fillId="0" borderId="0" xfId="0" applyFont="1" applyBorder="1" applyAlignment="1">
      <alignment horizontal="center" vertical="center" wrapText="1"/>
    </xf>
    <xf numFmtId="0" fontId="133" fillId="0" borderId="0" xfId="0" applyFont="1" applyBorder="1" applyAlignment="1">
      <alignment horizontal="center" vertical="center"/>
    </xf>
    <xf numFmtId="14" fontId="133" fillId="0" borderId="0" xfId="0" applyNumberFormat="1" applyFont="1" applyBorder="1" applyAlignment="1">
      <alignment vertical="center"/>
    </xf>
    <xf numFmtId="44" fontId="133" fillId="0" borderId="0" xfId="2" applyFont="1" applyBorder="1" applyAlignment="1">
      <alignment horizontal="center" vertical="center"/>
    </xf>
    <xf numFmtId="10" fontId="133" fillId="0" borderId="0" xfId="4" applyNumberFormat="1" applyFont="1" applyBorder="1" applyAlignment="1">
      <alignment horizontal="center" vertical="center"/>
    </xf>
    <xf numFmtId="44" fontId="133" fillId="0" borderId="0" xfId="2" applyFont="1" applyBorder="1" applyAlignment="1">
      <alignment vertical="center"/>
    </xf>
    <xf numFmtId="10" fontId="133" fillId="0" borderId="0" xfId="4" applyNumberFormat="1" applyFont="1" applyBorder="1" applyAlignment="1">
      <alignment vertical="center"/>
    </xf>
    <xf numFmtId="44" fontId="133" fillId="0" borderId="0" xfId="0" applyNumberFormat="1" applyFont="1" applyAlignment="1">
      <alignment vertical="center"/>
    </xf>
    <xf numFmtId="44" fontId="133" fillId="0" borderId="0" xfId="0" applyNumberFormat="1" applyFont="1" applyFill="1" applyBorder="1" applyAlignment="1">
      <alignment horizontal="center" vertical="center"/>
    </xf>
    <xf numFmtId="0" fontId="133" fillId="0" borderId="0" xfId="0" applyFont="1" applyFill="1" applyBorder="1" applyAlignment="1">
      <alignment horizontal="center" vertical="center"/>
    </xf>
    <xf numFmtId="10" fontId="133" fillId="0" borderId="0" xfId="4" applyNumberFormat="1" applyFont="1" applyFill="1" applyBorder="1" applyAlignment="1">
      <alignment horizontal="center" vertical="center"/>
    </xf>
    <xf numFmtId="0" fontId="134" fillId="0" borderId="0" xfId="0" applyFont="1" applyAlignment="1">
      <alignment horizontal="left" vertical="center"/>
    </xf>
    <xf numFmtId="44" fontId="74" fillId="0" borderId="0" xfId="2" applyFont="1" applyBorder="1" applyAlignment="1">
      <alignment horizontal="center" vertical="center"/>
    </xf>
    <xf numFmtId="44" fontId="74" fillId="0" borderId="0" xfId="2" applyFont="1" applyBorder="1" applyAlignment="1">
      <alignment vertical="center"/>
    </xf>
    <xf numFmtId="0" fontId="139" fillId="0" borderId="0" xfId="0" applyFont="1" applyBorder="1" applyAlignment="1">
      <alignment horizontal="left" vertical="center"/>
    </xf>
    <xf numFmtId="0" fontId="140" fillId="0" borderId="0" xfId="0" applyFont="1" applyBorder="1" applyAlignment="1">
      <alignment horizontal="left" vertical="center" wrapText="1"/>
    </xf>
    <xf numFmtId="0" fontId="140" fillId="0" borderId="0" xfId="0" applyFont="1" applyBorder="1" applyAlignment="1">
      <alignment horizontal="center" vertical="center" wrapText="1"/>
    </xf>
    <xf numFmtId="0" fontId="139" fillId="0" borderId="0" xfId="0" applyFont="1" applyBorder="1" applyAlignment="1">
      <alignment horizontal="center" vertical="center"/>
    </xf>
    <xf numFmtId="14" fontId="139" fillId="0" borderId="0" xfId="0" applyNumberFormat="1" applyFont="1" applyBorder="1" applyAlignment="1">
      <alignment vertical="center"/>
    </xf>
    <xf numFmtId="44" fontId="139" fillId="0" borderId="0" xfId="2" applyFont="1" applyBorder="1" applyAlignment="1">
      <alignment horizontal="center" vertical="center"/>
    </xf>
    <xf numFmtId="10" fontId="139" fillId="0" borderId="0" xfId="4" applyNumberFormat="1" applyFont="1" applyBorder="1" applyAlignment="1">
      <alignment horizontal="center" vertical="center"/>
    </xf>
    <xf numFmtId="10" fontId="139" fillId="0" borderId="0" xfId="4" applyNumberFormat="1" applyFont="1" applyBorder="1" applyAlignment="1">
      <alignment vertical="center"/>
    </xf>
    <xf numFmtId="0" fontId="139" fillId="0" borderId="0" xfId="0" applyFont="1" applyAlignment="1">
      <alignment vertical="center"/>
    </xf>
    <xf numFmtId="0" fontId="60" fillId="0" borderId="0" xfId="0" applyFont="1" applyBorder="1" applyAlignment="1">
      <alignment horizontal="center" vertical="center" textRotation="90" wrapText="1"/>
    </xf>
    <xf numFmtId="0" fontId="60" fillId="0" borderId="0" xfId="0" applyFont="1" applyBorder="1" applyAlignment="1">
      <alignment horizontal="left" textRotation="90"/>
    </xf>
    <xf numFmtId="0" fontId="60" fillId="0" borderId="0" xfId="0" applyFont="1" applyBorder="1" applyAlignment="1">
      <alignment horizontal="left" vertical="center" textRotation="90" wrapText="1"/>
    </xf>
    <xf numFmtId="0" fontId="141" fillId="0" borderId="0" xfId="0" applyFont="1" applyAlignment="1">
      <alignment vertical="center"/>
    </xf>
    <xf numFmtId="44" fontId="139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10" fontId="139" fillId="0" borderId="0" xfId="4" applyNumberFormat="1" applyFont="1" applyFill="1" applyBorder="1" applyAlignment="1">
      <alignment horizontal="center" vertical="center"/>
    </xf>
    <xf numFmtId="0" fontId="139" fillId="0" borderId="0" xfId="0" applyFont="1" applyAlignment="1">
      <alignment horizontal="center" vertical="center" wrapText="1"/>
    </xf>
    <xf numFmtId="0" fontId="139" fillId="0" borderId="0" xfId="0" applyFont="1" applyBorder="1" applyAlignment="1">
      <alignment horizontal="center" vertical="center" wrapText="1"/>
    </xf>
    <xf numFmtId="0" fontId="139" fillId="0" borderId="0" xfId="0" applyNumberFormat="1" applyFont="1" applyBorder="1" applyAlignment="1">
      <alignment horizontal="center" vertical="center" wrapText="1"/>
    </xf>
    <xf numFmtId="0" fontId="139" fillId="0" borderId="0" xfId="0" applyFont="1" applyBorder="1" applyAlignment="1">
      <alignment horizontal="center" vertical="center" textRotation="90" wrapText="1"/>
    </xf>
    <xf numFmtId="0" fontId="139" fillId="0" borderId="0" xfId="0" applyFont="1" applyFill="1" applyBorder="1" applyAlignment="1">
      <alignment horizontal="center" vertical="center" wrapText="1"/>
    </xf>
    <xf numFmtId="44" fontId="139" fillId="0" borderId="0" xfId="0" applyNumberFormat="1" applyFont="1" applyFill="1" applyBorder="1" applyAlignment="1">
      <alignment horizontal="center" vertical="center" wrapText="1"/>
    </xf>
    <xf numFmtId="0" fontId="139" fillId="0" borderId="0" xfId="0" applyNumberFormat="1" applyFont="1" applyFill="1" applyBorder="1" applyAlignment="1">
      <alignment horizontal="center" vertical="center" wrapText="1"/>
    </xf>
    <xf numFmtId="44" fontId="17" fillId="8" borderId="0" xfId="2" applyFont="1" applyFill="1" applyBorder="1" applyAlignment="1">
      <alignment vertical="center"/>
    </xf>
    <xf numFmtId="0" fontId="17" fillId="8" borderId="0" xfId="3" applyNumberFormat="1" applyFont="1" applyFill="1" applyBorder="1" applyAlignment="1">
      <alignment vertical="center" wrapText="1"/>
    </xf>
    <xf numFmtId="44" fontId="4" fillId="8" borderId="0" xfId="2" applyFont="1" applyFill="1" applyBorder="1" applyAlignment="1">
      <alignment vertical="center"/>
    </xf>
    <xf numFmtId="10" fontId="4" fillId="8" borderId="0" xfId="0" applyNumberFormat="1" applyFont="1" applyFill="1" applyBorder="1"/>
    <xf numFmtId="44" fontId="2" fillId="8" borderId="0" xfId="2" applyFont="1" applyFill="1" applyBorder="1" applyAlignment="1">
      <alignment vertical="center"/>
    </xf>
    <xf numFmtId="0" fontId="4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wrapText="1"/>
    </xf>
    <xf numFmtId="0" fontId="144" fillId="8" borderId="0" xfId="0" applyFont="1" applyFill="1" applyBorder="1" applyAlignment="1">
      <alignment horizontal="left" vertical="top" wrapText="1"/>
    </xf>
    <xf numFmtId="0" fontId="144" fillId="8" borderId="0" xfId="0" applyFont="1" applyFill="1" applyBorder="1" applyAlignment="1">
      <alignment horizontal="left" vertical="top" wrapText="1" readingOrder="1"/>
    </xf>
    <xf numFmtId="0" fontId="144" fillId="8" borderId="0" xfId="0" applyFont="1" applyFill="1" applyBorder="1" applyAlignment="1">
      <alignment vertical="top" wrapText="1" readingOrder="1"/>
    </xf>
    <xf numFmtId="44" fontId="18" fillId="8" borderId="0" xfId="2" applyFont="1" applyFill="1" applyBorder="1" applyAlignment="1">
      <alignment horizontal="center" vertical="center"/>
    </xf>
    <xf numFmtId="49" fontId="32" fillId="0" borderId="0" xfId="0" applyNumberFormat="1" applyFont="1" applyAlignment="1">
      <alignment vertical="top"/>
    </xf>
    <xf numFmtId="49" fontId="31" fillId="0" borderId="0" xfId="0" applyNumberFormat="1" applyFont="1" applyAlignment="1">
      <alignment vertical="top"/>
    </xf>
    <xf numFmtId="49" fontId="30" fillId="0" borderId="0" xfId="0" applyNumberFormat="1" applyFont="1" applyAlignment="1">
      <alignment vertical="top"/>
    </xf>
    <xf numFmtId="49" fontId="96" fillId="0" borderId="0" xfId="0" applyNumberFormat="1" applyFont="1" applyAlignment="1">
      <alignment vertical="top"/>
    </xf>
    <xf numFmtId="49" fontId="31" fillId="0" borderId="0" xfId="0" applyNumberFormat="1" applyFont="1" applyAlignment="1">
      <alignment horizontal="left" vertical="center"/>
    </xf>
    <xf numFmtId="44" fontId="145" fillId="0" borderId="0" xfId="0" applyNumberFormat="1" applyFont="1" applyAlignment="1">
      <alignment vertical="top" wrapText="1" readingOrder="1"/>
    </xf>
    <xf numFmtId="44" fontId="34" fillId="0" borderId="0" xfId="2" applyFont="1" applyAlignment="1">
      <alignment horizontal="left" vertical="top"/>
    </xf>
    <xf numFmtId="44" fontId="34" fillId="0" borderId="0" xfId="2" applyFont="1" applyAlignment="1">
      <alignment horizontal="left" vertical="top" wrapText="1"/>
    </xf>
    <xf numFmtId="0" fontId="86" fillId="10" borderId="0" xfId="0" applyFont="1" applyFill="1" applyAlignment="1">
      <alignment horizontal="left" vertical="top" wrapText="1"/>
    </xf>
    <xf numFmtId="0" fontId="96" fillId="0" borderId="0" xfId="0" applyFont="1" applyAlignment="1">
      <alignment horizontal="left" vertical="top" wrapText="1"/>
    </xf>
    <xf numFmtId="44" fontId="96" fillId="0" borderId="0" xfId="0" applyNumberFormat="1" applyFont="1" applyAlignment="1">
      <alignment horizontal="left" vertical="top" wrapText="1"/>
    </xf>
    <xf numFmtId="0" fontId="35" fillId="0" borderId="0" xfId="0" applyFont="1" applyAlignment="1">
      <alignment horizontal="left" vertical="top"/>
    </xf>
    <xf numFmtId="3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44" fontId="35" fillId="0" borderId="0" xfId="0" applyNumberFormat="1" applyFont="1" applyAlignment="1">
      <alignment horizontal="left" vertical="top" wrapText="1"/>
    </xf>
    <xf numFmtId="44" fontId="35" fillId="0" borderId="0" xfId="2" applyFont="1" applyAlignment="1">
      <alignment vertical="top"/>
    </xf>
    <xf numFmtId="49" fontId="35" fillId="0" borderId="0" xfId="0" applyNumberFormat="1" applyFont="1" applyAlignment="1">
      <alignment vertical="top"/>
    </xf>
    <xf numFmtId="0" fontId="35" fillId="0" borderId="0" xfId="0" applyFont="1" applyAlignment="1">
      <alignment vertical="top"/>
    </xf>
    <xf numFmtId="44" fontId="96" fillId="8" borderId="0" xfId="2" applyFont="1" applyFill="1" applyBorder="1" applyAlignment="1">
      <alignment horizontal="center" vertical="center"/>
    </xf>
    <xf numFmtId="0" fontId="35" fillId="8" borderId="0" xfId="3" applyNumberFormat="1" applyFont="1" applyFill="1" applyBorder="1" applyAlignment="1">
      <alignment vertical="center" wrapText="1"/>
    </xf>
    <xf numFmtId="44" fontId="36" fillId="0" borderId="0" xfId="2" applyFont="1" applyAlignment="1">
      <alignment vertical="top" wrapText="1" readingOrder="1"/>
    </xf>
    <xf numFmtId="0" fontId="31" fillId="0" borderId="0" xfId="0" applyFont="1" applyAlignment="1">
      <alignment horizontal="left" vertical="top"/>
    </xf>
    <xf numFmtId="167" fontId="34" fillId="0" borderId="0" xfId="0" applyNumberFormat="1" applyFont="1" applyAlignment="1">
      <alignment horizontal="left" vertical="top"/>
    </xf>
    <xf numFmtId="49" fontId="35" fillId="0" borderId="0" xfId="0" applyNumberFormat="1" applyFont="1" applyAlignment="1">
      <alignment horizontal="left" vertical="top"/>
    </xf>
    <xf numFmtId="49" fontId="31" fillId="0" borderId="0" xfId="0" applyNumberFormat="1" applyFont="1" applyAlignment="1">
      <alignment horizontal="left" vertical="top"/>
    </xf>
    <xf numFmtId="0" fontId="146" fillId="0" borderId="0" xfId="0" applyFont="1" applyAlignment="1">
      <alignment horizontal="left" vertical="top"/>
    </xf>
    <xf numFmtId="3" fontId="146" fillId="0" borderId="0" xfId="0" applyNumberFormat="1" applyFont="1" applyAlignment="1">
      <alignment horizontal="center" vertical="top"/>
    </xf>
    <xf numFmtId="0" fontId="146" fillId="0" borderId="0" xfId="0" applyFont="1" applyAlignment="1">
      <alignment vertical="top" wrapText="1"/>
    </xf>
    <xf numFmtId="44" fontId="146" fillId="0" borderId="0" xfId="0" applyNumberFormat="1" applyFont="1" applyAlignment="1">
      <alignment vertical="top"/>
    </xf>
    <xf numFmtId="44" fontId="146" fillId="0" borderId="0" xfId="2" applyFont="1" applyAlignment="1">
      <alignment vertical="top"/>
    </xf>
    <xf numFmtId="49" fontId="146" fillId="0" borderId="0" xfId="0" applyNumberFormat="1" applyFont="1" applyAlignment="1">
      <alignment vertical="top"/>
    </xf>
    <xf numFmtId="0" fontId="146" fillId="0" borderId="0" xfId="0" applyFont="1" applyAlignment="1">
      <alignment vertical="top"/>
    </xf>
    <xf numFmtId="44" fontId="60" fillId="0" borderId="0" xfId="2" applyFont="1" applyAlignment="1">
      <alignment horizontal="center"/>
    </xf>
    <xf numFmtId="44" fontId="60" fillId="0" borderId="0" xfId="2" applyFont="1" applyBorder="1" applyAlignment="1">
      <alignment horizontal="center" vertical="center"/>
    </xf>
    <xf numFmtId="44" fontId="108" fillId="0" borderId="0" xfId="2" applyFont="1" applyAlignment="1">
      <alignment horizontal="left" vertical="center" wrapText="1"/>
    </xf>
    <xf numFmtId="44" fontId="62" fillId="0" borderId="0" xfId="0" applyNumberFormat="1" applyFont="1" applyBorder="1" applyAlignment="1">
      <alignment vertical="center" wrapText="1"/>
    </xf>
    <xf numFmtId="0" fontId="60" fillId="0" borderId="0" xfId="0" applyFont="1" applyAlignment="1"/>
    <xf numFmtId="1" fontId="0" fillId="0" borderId="0" xfId="0" applyNumberFormat="1" applyAlignment="1">
      <alignment horizontal="center"/>
    </xf>
    <xf numFmtId="1" fontId="0" fillId="0" borderId="0" xfId="0" applyNumberFormat="1"/>
    <xf numFmtId="0" fontId="3" fillId="0" borderId="0" xfId="4" applyNumberFormat="1" applyFont="1"/>
    <xf numFmtId="9" fontId="3" fillId="0" borderId="0" xfId="4" applyFont="1"/>
    <xf numFmtId="0" fontId="1" fillId="0" borderId="0" xfId="4" applyNumberFormat="1" applyFont="1"/>
    <xf numFmtId="9" fontId="1" fillId="0" borderId="0" xfId="4" applyFont="1"/>
    <xf numFmtId="0" fontId="0" fillId="0" borderId="0" xfId="0" applyAlignment="1">
      <alignment horizontal="center" vertical="center" wrapText="1"/>
    </xf>
    <xf numFmtId="9" fontId="3" fillId="0" borderId="0" xfId="4" applyFont="1" applyAlignment="1">
      <alignment horizont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vertical="center" wrapText="1"/>
    </xf>
    <xf numFmtId="1" fontId="3" fillId="0" borderId="0" xfId="0" applyNumberFormat="1" applyFont="1" applyAlignment="1">
      <alignment vertical="center" wrapText="1"/>
    </xf>
    <xf numFmtId="44" fontId="1" fillId="0" borderId="0" xfId="2" applyFont="1" applyAlignment="1">
      <alignment vertical="center" wrapText="1"/>
    </xf>
    <xf numFmtId="1" fontId="0" fillId="0" borderId="0" xfId="0" applyNumberFormat="1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44" fontId="1" fillId="0" borderId="0" xfId="4" applyNumberFormat="1" applyFont="1"/>
    <xf numFmtId="44" fontId="3" fillId="0" borderId="0" xfId="0" applyNumberFormat="1" applyFont="1" applyAlignment="1">
      <alignment vertical="center" wrapText="1"/>
    </xf>
    <xf numFmtId="9" fontId="147" fillId="0" borderId="0" xfId="4" applyFont="1"/>
    <xf numFmtId="1" fontId="0" fillId="0" borderId="0" xfId="0" applyNumberFormat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 vertical="center" wrapText="1"/>
    </xf>
    <xf numFmtId="9" fontId="1" fillId="0" borderId="0" xfId="4" applyFont="1" applyAlignment="1">
      <alignment vertical="center"/>
    </xf>
    <xf numFmtId="0" fontId="107" fillId="0" borderId="0" xfId="0" applyFont="1" applyAlignment="1">
      <alignment horizontal="center" vertical="center"/>
    </xf>
    <xf numFmtId="44" fontId="0" fillId="0" borderId="0" xfId="0" applyNumberForma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44" fontId="108" fillId="0" borderId="0" xfId="2" applyFont="1" applyAlignment="1">
      <alignment horizontal="left" vertical="center" wrapText="1"/>
    </xf>
    <xf numFmtId="0" fontId="108" fillId="0" borderId="0" xfId="0" applyFont="1" applyAlignment="1">
      <alignment horizontal="left" vertical="center" wrapText="1"/>
    </xf>
    <xf numFmtId="44" fontId="108" fillId="0" borderId="0" xfId="2" applyFont="1" applyAlignment="1">
      <alignment horizontal="left" vertical="center" wrapText="1"/>
    </xf>
    <xf numFmtId="0" fontId="101" fillId="0" borderId="0" xfId="0" applyFont="1"/>
    <xf numFmtId="44" fontId="108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vertical="center"/>
    </xf>
    <xf numFmtId="1" fontId="101" fillId="0" borderId="0" xfId="0" applyNumberFormat="1" applyFont="1"/>
    <xf numFmtId="44" fontId="108" fillId="0" borderId="0" xfId="2" applyFont="1" applyAlignment="1">
      <alignment horizontal="left" vertical="center" wrapText="1"/>
    </xf>
    <xf numFmtId="44" fontId="2" fillId="0" borderId="0" xfId="0" applyNumberFormat="1" applyFont="1"/>
    <xf numFmtId="0" fontId="60" fillId="0" borderId="0" xfId="0" applyFont="1" applyBorder="1" applyAlignment="1">
      <alignment horizontal="center" vertical="center" textRotation="90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NumberFormat="1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44" fontId="61" fillId="0" borderId="0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61" fillId="0" borderId="0" xfId="0" applyNumberFormat="1" applyFont="1" applyBorder="1" applyAlignment="1">
      <alignment horizontal="right" vertical="center" wrapText="1"/>
    </xf>
    <xf numFmtId="44" fontId="61" fillId="0" borderId="0" xfId="2" applyFont="1" applyBorder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left" vertical="center" wrapText="1"/>
    </xf>
    <xf numFmtId="0" fontId="107" fillId="0" borderId="0" xfId="0" applyFont="1" applyAlignment="1">
      <alignment horizontal="right" vertical="center"/>
    </xf>
    <xf numFmtId="0" fontId="59" fillId="0" borderId="0" xfId="0" applyFont="1" applyBorder="1" applyAlignment="1">
      <alignment horizontal="center" vertical="center"/>
    </xf>
    <xf numFmtId="0" fontId="93" fillId="0" borderId="0" xfId="0" applyFont="1" applyBorder="1" applyAlignment="1">
      <alignment horizontal="left" vertical="center" wrapText="1"/>
    </xf>
    <xf numFmtId="0" fontId="93" fillId="0" borderId="0" xfId="0" applyFont="1" applyBorder="1" applyAlignment="1">
      <alignment horizontal="center" vertical="center" wrapText="1"/>
    </xf>
    <xf numFmtId="14" fontId="59" fillId="0" borderId="0" xfId="0" applyNumberFormat="1" applyFont="1" applyBorder="1" applyAlignment="1">
      <alignment vertical="center"/>
    </xf>
    <xf numFmtId="10" fontId="59" fillId="0" borderId="0" xfId="4" applyNumberFormat="1" applyFont="1" applyBorder="1" applyAlignment="1">
      <alignment vertical="center"/>
    </xf>
    <xf numFmtId="44" fontId="59" fillId="0" borderId="0" xfId="0" applyNumberFormat="1" applyFont="1" applyAlignment="1">
      <alignment vertical="center"/>
    </xf>
    <xf numFmtId="0" fontId="58" fillId="0" borderId="0" xfId="0" applyFont="1" applyAlignment="1">
      <alignment vertical="center" wrapText="1"/>
    </xf>
    <xf numFmtId="0" fontId="107" fillId="0" borderId="0" xfId="0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60" fillId="0" borderId="0" xfId="0" applyFont="1" applyBorder="1" applyAlignment="1">
      <alignment horizontal="center" vertical="center" textRotation="90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NumberFormat="1" applyFont="1" applyBorder="1" applyAlignment="1">
      <alignment horizontal="center" vertical="center" wrapText="1"/>
    </xf>
    <xf numFmtId="0" fontId="60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44" fontId="60" fillId="0" borderId="0" xfId="2" applyFont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44" fontId="0" fillId="0" borderId="0" xfId="0" quotePrefix="1" applyNumberFormat="1" applyFont="1"/>
    <xf numFmtId="0" fontId="101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60" fillId="0" borderId="0" xfId="0" applyFont="1" applyBorder="1" applyAlignment="1">
      <alignment horizontal="left" vertical="center" textRotation="45"/>
    </xf>
    <xf numFmtId="0" fontId="105" fillId="6" borderId="0" xfId="0" applyFont="1" applyFill="1" applyAlignment="1">
      <alignment horizontal="right"/>
    </xf>
    <xf numFmtId="0" fontId="148" fillId="22" borderId="0" xfId="0" applyFont="1" applyFill="1" applyBorder="1"/>
    <xf numFmtId="0" fontId="105" fillId="22" borderId="0" xfId="0" applyFont="1" applyFill="1" applyBorder="1"/>
    <xf numFmtId="10" fontId="105" fillId="22" borderId="0" xfId="0" applyNumberFormat="1" applyFont="1" applyFill="1" applyBorder="1"/>
    <xf numFmtId="0" fontId="148" fillId="0" borderId="0" xfId="0" applyFont="1"/>
    <xf numFmtId="0" fontId="101" fillId="21" borderId="0" xfId="0" applyFont="1" applyFill="1" applyBorder="1"/>
    <xf numFmtId="0" fontId="149" fillId="0" borderId="0" xfId="0" applyFont="1" applyAlignment="1">
      <alignment vertical="center" wrapText="1"/>
    </xf>
    <xf numFmtId="0" fontId="97" fillId="23" borderId="0" xfId="0" applyFont="1" applyFill="1"/>
    <xf numFmtId="0" fontId="102" fillId="0" borderId="0" xfId="0" applyFont="1"/>
    <xf numFmtId="0" fontId="105" fillId="0" borderId="0" xfId="0" applyFont="1"/>
    <xf numFmtId="0" fontId="107" fillId="0" borderId="0" xfId="0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44" fontId="108" fillId="0" borderId="0" xfId="2" applyFont="1" applyAlignment="1">
      <alignment horizontal="left" vertical="center" wrapText="1"/>
    </xf>
    <xf numFmtId="0" fontId="58" fillId="0" borderId="0" xfId="0" applyFont="1" applyAlignment="1">
      <alignment horizontal="center"/>
    </xf>
    <xf numFmtId="0" fontId="70" fillId="9" borderId="0" xfId="0" applyFont="1" applyFill="1" applyBorder="1" applyAlignment="1">
      <alignment horizontal="center" vertical="center"/>
    </xf>
    <xf numFmtId="0" fontId="60" fillId="0" borderId="0" xfId="0" applyFont="1" applyBorder="1" applyAlignment="1">
      <alignment horizontal="left" vertical="center"/>
    </xf>
    <xf numFmtId="0" fontId="70" fillId="10" borderId="0" xfId="0" applyFont="1" applyFill="1" applyBorder="1"/>
    <xf numFmtId="44" fontId="70" fillId="10" borderId="0" xfId="2" applyFont="1" applyFill="1" applyBorder="1" applyAlignment="1">
      <alignment horizontal="left"/>
    </xf>
    <xf numFmtId="10" fontId="70" fillId="10" borderId="0" xfId="2" applyNumberFormat="1" applyFont="1" applyFill="1" applyBorder="1" applyAlignment="1">
      <alignment horizontal="left"/>
    </xf>
    <xf numFmtId="10" fontId="70" fillId="10" borderId="0" xfId="1" applyNumberFormat="1" applyFont="1" applyFill="1" applyBorder="1"/>
    <xf numFmtId="0" fontId="70" fillId="0" borderId="0" xfId="0" applyFont="1"/>
    <xf numFmtId="44" fontId="70" fillId="0" borderId="0" xfId="0" applyNumberFormat="1" applyFont="1"/>
    <xf numFmtId="0" fontId="86" fillId="10" borderId="0" xfId="0" applyFont="1" applyFill="1" applyAlignment="1">
      <alignment vertical="top" wrapText="1"/>
    </xf>
    <xf numFmtId="44" fontId="86" fillId="10" borderId="0" xfId="0" applyNumberFormat="1" applyFont="1" applyFill="1" applyAlignment="1">
      <alignment vertical="top" wrapText="1"/>
    </xf>
    <xf numFmtId="44" fontId="58" fillId="0" borderId="0" xfId="0" applyNumberFormat="1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0" fillId="0" borderId="0" xfId="0" applyBorder="1" applyAlignment="1">
      <alignment horizontal="center"/>
    </xf>
    <xf numFmtId="44" fontId="0" fillId="0" borderId="0" xfId="0" applyNumberFormat="1" applyBorder="1" applyAlignment="1">
      <alignment horizontal="center"/>
    </xf>
    <xf numFmtId="0" fontId="3" fillId="0" borderId="12" xfId="0" applyFont="1" applyBorder="1" applyAlignment="1"/>
    <xf numFmtId="0" fontId="3" fillId="0" borderId="4" xfId="0" applyFont="1" applyBorder="1" applyAlignment="1"/>
    <xf numFmtId="44" fontId="26" fillId="0" borderId="14" xfId="2" applyFont="1" applyFill="1" applyBorder="1" applyAlignment="1">
      <alignment vertical="center" wrapText="1"/>
    </xf>
    <xf numFmtId="44" fontId="26" fillId="0" borderId="8" xfId="2" applyFont="1" applyFill="1" applyBorder="1" applyAlignment="1">
      <alignment vertical="center" wrapText="1"/>
    </xf>
    <xf numFmtId="0" fontId="26" fillId="0" borderId="126" xfId="0" applyFont="1" applyBorder="1" applyAlignment="1">
      <alignment vertical="center" wrapText="1"/>
    </xf>
    <xf numFmtId="0" fontId="150" fillId="0" borderId="127" xfId="0" applyFont="1" applyBorder="1" applyAlignment="1">
      <alignment vertical="center" wrapText="1"/>
    </xf>
    <xf numFmtId="0" fontId="150" fillId="0" borderId="128" xfId="0" applyFont="1" applyBorder="1" applyAlignment="1">
      <alignment vertical="center" wrapText="1"/>
    </xf>
    <xf numFmtId="0" fontId="26" fillId="0" borderId="129" xfId="0" applyFont="1" applyFill="1" applyBorder="1" applyAlignment="1">
      <alignment vertical="center" wrapText="1"/>
    </xf>
    <xf numFmtId="0" fontId="20" fillId="0" borderId="9" xfId="0" applyFont="1" applyFill="1" applyBorder="1" applyAlignment="1">
      <alignment horizontal="left" vertical="top" wrapText="1"/>
    </xf>
    <xf numFmtId="0" fontId="23" fillId="0" borderId="138" xfId="0" applyFont="1" applyBorder="1" applyAlignment="1">
      <alignment horizontal="center" vertical="top" wrapText="1"/>
    </xf>
    <xf numFmtId="0" fontId="23" fillId="0" borderId="139" xfId="0" applyFont="1" applyBorder="1" applyAlignment="1">
      <alignment horizontal="center" vertical="top" wrapText="1"/>
    </xf>
    <xf numFmtId="0" fontId="27" fillId="0" borderId="138" xfId="0" applyFont="1" applyBorder="1" applyAlignment="1">
      <alignment horizontal="left" vertical="center" wrapText="1"/>
    </xf>
    <xf numFmtId="0" fontId="27" fillId="0" borderId="140" xfId="0" applyFont="1" applyBorder="1" applyAlignment="1">
      <alignment horizontal="left" vertical="center" wrapText="1"/>
    </xf>
    <xf numFmtId="0" fontId="27" fillId="0" borderId="141" xfId="0" applyFont="1" applyBorder="1" applyAlignment="1">
      <alignment horizontal="left" vertical="center" wrapText="1"/>
    </xf>
    <xf numFmtId="0" fontId="23" fillId="0" borderId="37" xfId="0" applyFont="1" applyBorder="1" applyAlignment="1">
      <alignment horizontal="left" vertical="top" wrapText="1"/>
    </xf>
    <xf numFmtId="44" fontId="3" fillId="0" borderId="53" xfId="2" applyFont="1" applyBorder="1"/>
    <xf numFmtId="165" fontId="22" fillId="0" borderId="138" xfId="0" applyNumberFormat="1" applyFont="1" applyBorder="1" applyAlignment="1">
      <alignment horizontal="left" vertical="top" wrapText="1"/>
    </xf>
    <xf numFmtId="165" fontId="22" fillId="0" borderId="140" xfId="0" applyNumberFormat="1" applyFont="1" applyBorder="1" applyAlignment="1">
      <alignment horizontal="left" vertical="top" wrapText="1"/>
    </xf>
    <xf numFmtId="165" fontId="22" fillId="0" borderId="141" xfId="0" applyNumberFormat="1" applyFont="1" applyBorder="1" applyAlignment="1">
      <alignment horizontal="left" vertical="top" wrapText="1"/>
    </xf>
    <xf numFmtId="165" fontId="23" fillId="0" borderId="37" xfId="0" applyNumberFormat="1" applyFont="1" applyBorder="1" applyAlignment="1">
      <alignment horizontal="left" vertical="top" wrapText="1"/>
    </xf>
    <xf numFmtId="0" fontId="23" fillId="0" borderId="54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44" fontId="0" fillId="0" borderId="142" xfId="2" applyFont="1" applyBorder="1"/>
    <xf numFmtId="44" fontId="0" fillId="0" borderId="46" xfId="2" applyFont="1" applyBorder="1"/>
    <xf numFmtId="44" fontId="0" fillId="0" borderId="57" xfId="2" applyFont="1" applyBorder="1"/>
    <xf numFmtId="0" fontId="20" fillId="0" borderId="142" xfId="0" applyFont="1" applyBorder="1" applyAlignment="1">
      <alignment horizontal="left" vertical="top" wrapText="1"/>
    </xf>
    <xf numFmtId="0" fontId="20" fillId="0" borderId="46" xfId="0" applyFont="1" applyBorder="1" applyAlignment="1">
      <alignment horizontal="left" vertical="top" wrapText="1"/>
    </xf>
    <xf numFmtId="0" fontId="25" fillId="0" borderId="57" xfId="0" applyFont="1" applyBorder="1" applyAlignment="1">
      <alignment horizontal="left" vertical="top" wrapText="1"/>
    </xf>
    <xf numFmtId="0" fontId="0" fillId="0" borderId="0" xfId="0" applyAlignment="1">
      <alignment horizontal="left" vertical="center" wrapText="1"/>
    </xf>
    <xf numFmtId="38" fontId="69" fillId="0" borderId="0" xfId="0" applyNumberFormat="1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38" fontId="67" fillId="0" borderId="0" xfId="0" applyNumberFormat="1" applyFont="1" applyAlignment="1">
      <alignment horizontal="center"/>
    </xf>
    <xf numFmtId="0" fontId="60" fillId="0" borderId="0" xfId="0" applyFont="1" applyAlignment="1">
      <alignment horizontal="center"/>
    </xf>
    <xf numFmtId="0" fontId="89" fillId="13" borderId="0" xfId="0" applyFont="1" applyFill="1" applyBorder="1" applyAlignment="1">
      <alignment horizontal="center" vertical="center"/>
    </xf>
    <xf numFmtId="0" fontId="90" fillId="13" borderId="0" xfId="0" applyFont="1" applyFill="1" applyBorder="1" applyAlignment="1">
      <alignment horizontal="center" vertical="center" wrapText="1"/>
    </xf>
    <xf numFmtId="0" fontId="86" fillId="10" borderId="0" xfId="0" applyFont="1" applyFill="1" applyAlignment="1">
      <alignment horizontal="left" vertical="top" wrapText="1" readingOrder="1"/>
    </xf>
    <xf numFmtId="0" fontId="86" fillId="10" borderId="0" xfId="0" applyFont="1" applyFill="1" applyAlignment="1">
      <alignment horizontal="left" vertical="top" wrapText="1"/>
    </xf>
    <xf numFmtId="0" fontId="79" fillId="0" borderId="0" xfId="0" applyFont="1" applyAlignment="1">
      <alignment horizontal="center"/>
    </xf>
    <xf numFmtId="0" fontId="81" fillId="10" borderId="0" xfId="0" applyFont="1" applyFill="1" applyAlignment="1">
      <alignment horizontal="left" vertical="top" wrapText="1"/>
    </xf>
    <xf numFmtId="0" fontId="88" fillId="10" borderId="0" xfId="0" applyFont="1" applyFill="1" applyAlignment="1">
      <alignment horizontal="left" vertical="top" wrapText="1" readingOrder="1"/>
    </xf>
    <xf numFmtId="0" fontId="88" fillId="10" borderId="0" xfId="0" applyFont="1" applyFill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5" fillId="10" borderId="0" xfId="0" applyFont="1" applyFill="1" applyAlignment="1">
      <alignment horizontal="left" vertical="top" wrapText="1"/>
    </xf>
    <xf numFmtId="0" fontId="80" fillId="6" borderId="0" xfId="0" applyFont="1" applyFill="1" applyBorder="1" applyAlignment="1">
      <alignment horizontal="center" vertical="center" wrapText="1"/>
    </xf>
    <xf numFmtId="0" fontId="79" fillId="6" borderId="0" xfId="0" applyFont="1" applyFill="1" applyAlignment="1">
      <alignment horizontal="center" vertical="center"/>
    </xf>
    <xf numFmtId="0" fontId="80" fillId="0" borderId="0" xfId="0" applyFont="1" applyBorder="1" applyAlignment="1">
      <alignment horizontal="left" vertical="top" wrapText="1"/>
    </xf>
    <xf numFmtId="0" fontId="91" fillId="0" borderId="0" xfId="0" applyFont="1" applyAlignment="1">
      <alignment horizont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Border="1" applyAlignment="1">
      <alignment horizontal="center" vertical="center" wrapText="1"/>
    </xf>
    <xf numFmtId="0" fontId="79" fillId="4" borderId="0" xfId="0" applyFont="1" applyFill="1" applyAlignment="1">
      <alignment horizontal="center"/>
    </xf>
    <xf numFmtId="0" fontId="80" fillId="2" borderId="0" xfId="0" applyFont="1" applyFill="1" applyBorder="1" applyAlignment="1">
      <alignment horizontal="center" vertical="center" wrapText="1"/>
    </xf>
    <xf numFmtId="0" fontId="79" fillId="2" borderId="0" xfId="0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 vertical="top" wrapText="1"/>
    </xf>
    <xf numFmtId="0" fontId="58" fillId="0" borderId="0" xfId="0" applyFont="1" applyAlignment="1">
      <alignment horizontal="center"/>
    </xf>
    <xf numFmtId="165" fontId="64" fillId="4" borderId="0" xfId="1" applyNumberFormat="1" applyFont="1" applyFill="1" applyBorder="1" applyAlignment="1">
      <alignment horizontal="left"/>
    </xf>
    <xf numFmtId="0" fontId="70" fillId="0" borderId="0" xfId="0" applyFont="1" applyBorder="1" applyAlignment="1">
      <alignment horizontal="center"/>
    </xf>
    <xf numFmtId="0" fontId="70" fillId="9" borderId="0" xfId="0" applyFont="1" applyFill="1" applyBorder="1" applyAlignment="1">
      <alignment horizontal="center" vertical="center"/>
    </xf>
    <xf numFmtId="0" fontId="70" fillId="9" borderId="0" xfId="0" applyFont="1" applyFill="1" applyBorder="1" applyAlignment="1">
      <alignment horizontal="center" vertical="center" wrapText="1"/>
    </xf>
    <xf numFmtId="165" fontId="70" fillId="11" borderId="0" xfId="1" applyNumberFormat="1" applyFont="1" applyFill="1" applyBorder="1" applyAlignment="1">
      <alignment horizontal="center" vertical="center"/>
    </xf>
    <xf numFmtId="0" fontId="70" fillId="12" borderId="0" xfId="0" applyFont="1" applyFill="1" applyBorder="1" applyAlignment="1">
      <alignment horizontal="center" vertical="center"/>
    </xf>
    <xf numFmtId="0" fontId="70" fillId="12" borderId="0" xfId="0" applyFont="1" applyFill="1" applyBorder="1" applyAlignment="1">
      <alignment horizontal="center" vertical="center" wrapText="1"/>
    </xf>
    <xf numFmtId="0" fontId="7" fillId="13" borderId="0" xfId="0" applyFont="1" applyFill="1" applyBorder="1" applyAlignment="1">
      <alignment horizontal="center" vertical="center"/>
    </xf>
    <xf numFmtId="0" fontId="7" fillId="13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/>
    </xf>
    <xf numFmtId="38" fontId="67" fillId="8" borderId="0" xfId="0" applyNumberFormat="1" applyFont="1" applyFill="1" applyBorder="1" applyAlignment="1">
      <alignment horizontal="center"/>
    </xf>
    <xf numFmtId="0" fontId="50" fillId="8" borderId="0" xfId="0" applyFont="1" applyFill="1" applyBorder="1" applyAlignment="1">
      <alignment horizontal="center"/>
    </xf>
    <xf numFmtId="0" fontId="143" fillId="0" borderId="0" xfId="0" applyFont="1" applyAlignment="1">
      <alignment horizontal="center"/>
    </xf>
    <xf numFmtId="0" fontId="142" fillId="0" borderId="0" xfId="0" applyFont="1" applyAlignment="1">
      <alignment horizontal="center"/>
    </xf>
    <xf numFmtId="0" fontId="30" fillId="0" borderId="0" xfId="0" applyFont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horizontal="center" vertical="center" wrapText="1" readingOrder="1"/>
    </xf>
    <xf numFmtId="0" fontId="32" fillId="0" borderId="0" xfId="0" applyFont="1" applyBorder="1" applyAlignment="1">
      <alignment horizontal="center" vertical="center" wrapText="1" readingOrder="1"/>
    </xf>
    <xf numFmtId="0" fontId="30" fillId="8" borderId="0" xfId="3" applyNumberFormat="1" applyFont="1" applyFill="1" applyBorder="1" applyAlignment="1">
      <alignment horizontal="center" vertical="center" wrapText="1" readingOrder="1"/>
    </xf>
    <xf numFmtId="0" fontId="30" fillId="8" borderId="0" xfId="0" applyFont="1" applyFill="1" applyBorder="1" applyAlignment="1">
      <alignment horizontal="center" vertical="center" readingOrder="1"/>
    </xf>
    <xf numFmtId="0" fontId="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72" fillId="12" borderId="0" xfId="0" applyFont="1" applyFill="1" applyBorder="1" applyAlignment="1">
      <alignment horizontal="center"/>
    </xf>
    <xf numFmtId="0" fontId="94" fillId="0" borderId="0" xfId="0" applyFont="1" applyAlignment="1">
      <alignment horizontal="center"/>
    </xf>
    <xf numFmtId="44" fontId="72" fillId="16" borderId="0" xfId="2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30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0" fontId="3" fillId="0" borderId="0" xfId="0" applyFont="1" applyAlignment="1">
      <alignment horizontal="left"/>
    </xf>
    <xf numFmtId="0" fontId="44" fillId="20" borderId="0" xfId="0" applyFont="1" applyFill="1" applyBorder="1" applyAlignment="1">
      <alignment horizontal="left" vertical="center"/>
    </xf>
    <xf numFmtId="0" fontId="44" fillId="19" borderId="0" xfId="0" applyFont="1" applyFill="1" applyBorder="1" applyAlignment="1">
      <alignment horizontal="center" vertical="center" wrapText="1"/>
    </xf>
    <xf numFmtId="0" fontId="41" fillId="19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44" fontId="11" fillId="19" borderId="0" xfId="2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44" fontId="11" fillId="20" borderId="0" xfId="2" applyFont="1" applyFill="1" applyBorder="1" applyAlignment="1">
      <alignment horizontal="center" vertical="center"/>
    </xf>
    <xf numFmtId="0" fontId="45" fillId="0" borderId="0" xfId="0" applyFont="1" applyBorder="1" applyAlignment="1">
      <alignment horizontal="left" vertical="center" wrapText="1"/>
    </xf>
    <xf numFmtId="0" fontId="11" fillId="20" borderId="0" xfId="0" applyFont="1" applyFill="1" applyBorder="1" applyAlignment="1">
      <alignment horizontal="center" vertical="center"/>
    </xf>
    <xf numFmtId="0" fontId="11" fillId="19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left" vertical="top" wrapText="1"/>
    </xf>
    <xf numFmtId="0" fontId="47" fillId="0" borderId="0" xfId="0" applyFont="1" applyBorder="1" applyAlignment="1">
      <alignment horizontal="center"/>
    </xf>
    <xf numFmtId="0" fontId="45" fillId="0" borderId="0" xfId="0" applyFont="1" applyBorder="1" applyAlignment="1">
      <alignment horizontal="left" vertical="top"/>
    </xf>
    <xf numFmtId="0" fontId="0" fillId="0" borderId="0" xfId="0" applyBorder="1" applyAlignment="1">
      <alignment horizont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75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131" fillId="0" borderId="0" xfId="0" applyFont="1" applyFill="1" applyBorder="1" applyAlignment="1">
      <alignment horizontal="center" vertical="center" wrapText="1"/>
    </xf>
    <xf numFmtId="44" fontId="60" fillId="0" borderId="0" xfId="2" applyFont="1" applyBorder="1" applyAlignment="1">
      <alignment horizontal="center" vertical="center"/>
    </xf>
    <xf numFmtId="44" fontId="61" fillId="0" borderId="0" xfId="0" applyNumberFormat="1" applyFont="1" applyFill="1" applyBorder="1" applyAlignment="1">
      <alignment horizontal="center" vertical="center"/>
    </xf>
    <xf numFmtId="44" fontId="60" fillId="0" borderId="0" xfId="0" applyNumberFormat="1" applyFont="1" applyFill="1" applyBorder="1" applyAlignment="1">
      <alignment horizontal="center" vertical="center"/>
    </xf>
    <xf numFmtId="0" fontId="65" fillId="0" borderId="12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0" fontId="65" fillId="0" borderId="45" xfId="0" applyFont="1" applyBorder="1" applyAlignment="1">
      <alignment horizontal="center" vertical="center" wrapText="1"/>
    </xf>
    <xf numFmtId="0" fontId="65" fillId="0" borderId="65" xfId="0" applyFont="1" applyBorder="1" applyAlignment="1">
      <alignment horizontal="center" vertical="center" wrapText="1"/>
    </xf>
    <xf numFmtId="0" fontId="65" fillId="0" borderId="50" xfId="0" applyFont="1" applyBorder="1" applyAlignment="1">
      <alignment horizontal="center" vertical="center" wrapText="1"/>
    </xf>
    <xf numFmtId="44" fontId="60" fillId="0" borderId="0" xfId="2" applyFont="1" applyAlignment="1">
      <alignment horizontal="center"/>
    </xf>
    <xf numFmtId="44" fontId="60" fillId="0" borderId="53" xfId="2" applyFont="1" applyBorder="1" applyAlignment="1">
      <alignment horizontal="center"/>
    </xf>
    <xf numFmtId="2" fontId="65" fillId="0" borderId="13" xfId="0" applyNumberFormat="1" applyFont="1" applyBorder="1" applyAlignment="1">
      <alignment horizontal="center" vertical="center" wrapText="1"/>
    </xf>
    <xf numFmtId="2" fontId="65" fillId="0" borderId="15" xfId="0" applyNumberFormat="1" applyFont="1" applyBorder="1" applyAlignment="1">
      <alignment horizontal="center" vertical="center" wrapText="1"/>
    </xf>
    <xf numFmtId="2" fontId="65" fillId="0" borderId="14" xfId="0" applyNumberFormat="1" applyFont="1" applyBorder="1" applyAlignment="1">
      <alignment horizontal="center" vertical="center" wrapText="1"/>
    </xf>
    <xf numFmtId="2" fontId="65" fillId="0" borderId="62" xfId="0" applyNumberFormat="1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textRotation="90"/>
    </xf>
    <xf numFmtId="44" fontId="60" fillId="0" borderId="0" xfId="2" applyFont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44" fontId="58" fillId="0" borderId="0" xfId="2" applyFont="1" applyAlignment="1">
      <alignment horizontal="center" vertical="center"/>
    </xf>
    <xf numFmtId="0" fontId="60" fillId="0" borderId="0" xfId="0" applyNumberFormat="1" applyFont="1" applyBorder="1" applyAlignment="1">
      <alignment horizontal="center" vertical="center" wrapText="1"/>
    </xf>
    <xf numFmtId="0" fontId="60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9" fillId="0" borderId="69" xfId="0" applyFont="1" applyBorder="1" applyAlignment="1">
      <alignment horizontal="center"/>
    </xf>
    <xf numFmtId="0" fontId="9" fillId="0" borderId="70" xfId="0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46" xfId="0" applyFont="1" applyBorder="1" applyAlignment="1">
      <alignment horizontal="left"/>
    </xf>
    <xf numFmtId="0" fontId="3" fillId="0" borderId="47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4" fontId="3" fillId="0" borderId="7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44" fontId="3" fillId="0" borderId="14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44" fontId="3" fillId="0" borderId="13" xfId="2" applyFont="1" applyBorder="1" applyAlignment="1">
      <alignment horizontal="center"/>
    </xf>
    <xf numFmtId="44" fontId="3" fillId="0" borderId="6" xfId="2" applyFont="1" applyBorder="1" applyAlignment="1">
      <alignment horizontal="center"/>
    </xf>
    <xf numFmtId="0" fontId="50" fillId="0" borderId="0" xfId="0" applyFont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44" fontId="3" fillId="0" borderId="12" xfId="2" applyFont="1" applyBorder="1" applyAlignment="1">
      <alignment horizontal="center"/>
    </xf>
    <xf numFmtId="44" fontId="3" fillId="0" borderId="4" xfId="2" applyFont="1" applyBorder="1" applyAlignment="1">
      <alignment horizontal="center"/>
    </xf>
    <xf numFmtId="0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0" fontId="3" fillId="6" borderId="0" xfId="0" applyFont="1" applyFill="1" applyAlignment="1">
      <alignment horizontal="center"/>
    </xf>
    <xf numFmtId="0" fontId="50" fillId="0" borderId="0" xfId="0" applyFont="1" applyBorder="1" applyAlignment="1">
      <alignment horizontal="center"/>
    </xf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left" vertical="center" wrapText="1"/>
    </xf>
    <xf numFmtId="1" fontId="107" fillId="0" borderId="0" xfId="0" applyNumberFormat="1" applyFont="1" applyAlignment="1">
      <alignment horizontal="center" vertical="center" wrapText="1"/>
    </xf>
    <xf numFmtId="0" fontId="107" fillId="0" borderId="0" xfId="0" applyFont="1" applyAlignment="1">
      <alignment horizontal="left" vertical="center"/>
    </xf>
    <xf numFmtId="0" fontId="107" fillId="0" borderId="0" xfId="0" applyFont="1" applyAlignment="1">
      <alignment horizontal="right" vertical="center"/>
    </xf>
    <xf numFmtId="0" fontId="108" fillId="0" borderId="0" xfId="0" applyFont="1" applyAlignment="1">
      <alignment horizontal="left" wrapText="1"/>
    </xf>
    <xf numFmtId="0" fontId="107" fillId="0" borderId="0" xfId="0" applyFont="1" applyAlignment="1">
      <alignment horizontal="left" wrapText="1"/>
    </xf>
    <xf numFmtId="0" fontId="108" fillId="0" borderId="0" xfId="0" applyFont="1" applyAlignment="1">
      <alignment horizontal="left" vertical="center"/>
    </xf>
    <xf numFmtId="44" fontId="108" fillId="0" borderId="0" xfId="0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38" fontId="48" fillId="0" borderId="0" xfId="0" applyNumberFormat="1" applyFont="1" applyAlignment="1">
      <alignment horizontal="center" vertical="center"/>
    </xf>
    <xf numFmtId="44" fontId="108" fillId="0" borderId="0" xfId="2" applyFont="1" applyAlignment="1">
      <alignment horizontal="left" vertical="center" wrapText="1"/>
    </xf>
    <xf numFmtId="1" fontId="0" fillId="0" borderId="49" xfId="0" applyNumberFormat="1" applyFont="1" applyBorder="1" applyAlignment="1">
      <alignment horizontal="center" vertical="center" wrapText="1"/>
    </xf>
    <xf numFmtId="1" fontId="0" fillId="0" borderId="13" xfId="0" applyNumberFormat="1" applyFont="1" applyBorder="1" applyAlignment="1">
      <alignment horizontal="center" vertical="center" wrapText="1"/>
    </xf>
    <xf numFmtId="3" fontId="0" fillId="0" borderId="50" xfId="0" applyNumberFormat="1" applyFont="1" applyBorder="1" applyAlignment="1">
      <alignment horizontal="left" vertical="center" wrapText="1"/>
    </xf>
    <xf numFmtId="3" fontId="0" fillId="0" borderId="6" xfId="0" applyNumberFormat="1" applyFont="1" applyBorder="1" applyAlignment="1">
      <alignment horizontal="left" vertical="center" wrapText="1"/>
    </xf>
    <xf numFmtId="3" fontId="0" fillId="0" borderId="5" xfId="0" applyNumberFormat="1" applyFont="1" applyBorder="1" applyAlignment="1">
      <alignment horizontal="left" vertical="center" wrapText="1"/>
    </xf>
    <xf numFmtId="3" fontId="0" fillId="0" borderId="39" xfId="0" applyNumberFormat="1" applyFont="1" applyBorder="1" applyAlignment="1">
      <alignment horizontal="left" vertical="center" wrapText="1"/>
    </xf>
    <xf numFmtId="1" fontId="0" fillId="0" borderId="40" xfId="0" applyNumberFormat="1" applyFont="1" applyBorder="1" applyAlignment="1">
      <alignment horizontal="center" vertical="center" wrapText="1"/>
    </xf>
    <xf numFmtId="1" fontId="0" fillId="0" borderId="48" xfId="0" applyNumberFormat="1" applyFont="1" applyBorder="1" applyAlignment="1">
      <alignment horizontal="left" vertical="center" wrapText="1"/>
    </xf>
    <xf numFmtId="1" fontId="0" fillId="0" borderId="85" xfId="0" applyNumberFormat="1" applyFont="1" applyBorder="1" applyAlignment="1">
      <alignment horizontal="left" vertical="center" wrapText="1"/>
    </xf>
    <xf numFmtId="3" fontId="0" fillId="0" borderId="41" xfId="0" applyNumberFormat="1" applyFont="1" applyBorder="1" applyAlignment="1">
      <alignment horizontal="left" vertical="center" wrapText="1"/>
    </xf>
    <xf numFmtId="44" fontId="0" fillId="0" borderId="14" xfId="0" applyNumberFormat="1" applyFont="1" applyBorder="1" applyAlignment="1">
      <alignment horizontal="center" vertical="center"/>
    </xf>
    <xf numFmtId="0" fontId="0" fillId="0" borderId="63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3" fontId="0" fillId="0" borderId="16" xfId="0" applyNumberFormat="1" applyFont="1" applyBorder="1" applyAlignment="1">
      <alignment horizontal="left" vertical="center" wrapText="1"/>
    </xf>
    <xf numFmtId="3" fontId="0" fillId="0" borderId="77" xfId="0" applyNumberFormat="1" applyFont="1" applyBorder="1" applyAlignment="1">
      <alignment horizontal="left" vertical="center" wrapText="1"/>
    </xf>
    <xf numFmtId="3" fontId="0" fillId="0" borderId="48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0" fillId="0" borderId="53" xfId="0" applyFont="1" applyBorder="1" applyAlignment="1">
      <alignment horizontal="left"/>
    </xf>
    <xf numFmtId="0" fontId="25" fillId="0" borderId="83" xfId="0" applyFont="1" applyBorder="1" applyAlignment="1">
      <alignment horizontal="center"/>
    </xf>
    <xf numFmtId="0" fontId="25" fillId="0" borderId="84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44" fontId="0" fillId="0" borderId="60" xfId="0" applyNumberFormat="1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8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8" fillId="0" borderId="3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29" fillId="0" borderId="29" xfId="0" applyFont="1" applyBorder="1" applyAlignment="1">
      <alignment horizontal="left" vertical="center" wrapText="1"/>
    </xf>
    <xf numFmtId="0" fontId="28" fillId="0" borderId="28" xfId="0" applyFont="1" applyBorder="1" applyAlignment="1">
      <alignment horizontal="left" vertical="center" wrapText="1"/>
    </xf>
    <xf numFmtId="0" fontId="28" fillId="0" borderId="29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8" fillId="0" borderId="25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44" fontId="38" fillId="0" borderId="93" xfId="2" applyFont="1" applyBorder="1" applyAlignment="1">
      <alignment horizontal="justify" vertical="center" wrapText="1"/>
    </xf>
    <xf numFmtId="44" fontId="38" fillId="0" borderId="96" xfId="2" applyFont="1" applyBorder="1" applyAlignment="1">
      <alignment horizontal="justify" vertical="center" wrapText="1"/>
    </xf>
    <xf numFmtId="44" fontId="39" fillId="0" borderId="93" xfId="2" applyFont="1" applyBorder="1" applyAlignment="1">
      <alignment horizontal="center" vertical="center" wrapText="1"/>
    </xf>
    <xf numFmtId="44" fontId="39" fillId="0" borderId="99" xfId="2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8" fillId="0" borderId="54" xfId="0" applyFont="1" applyBorder="1" applyAlignment="1">
      <alignment horizontal="justify" vertical="center" wrapText="1"/>
    </xf>
    <xf numFmtId="0" fontId="38" fillId="0" borderId="56" xfId="0" applyFont="1" applyBorder="1" applyAlignment="1">
      <alignment horizontal="justify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42" xfId="0" applyFont="1" applyBorder="1" applyAlignment="1">
      <alignment horizontal="left" vertical="center" wrapText="1"/>
    </xf>
    <xf numFmtId="0" fontId="26" fillId="0" borderId="43" xfId="0" applyFont="1" applyBorder="1" applyAlignment="1">
      <alignment horizontal="left" vertical="center" wrapText="1"/>
    </xf>
    <xf numFmtId="0" fontId="26" fillId="0" borderId="53" xfId="0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left" vertical="center" wrapText="1"/>
    </xf>
    <xf numFmtId="44" fontId="26" fillId="0" borderId="103" xfId="0" applyNumberFormat="1" applyFont="1" applyBorder="1" applyAlignment="1">
      <alignment horizontal="center" vertical="center" wrapText="1"/>
    </xf>
    <xf numFmtId="0" fontId="26" fillId="0" borderId="103" xfId="0" applyFont="1" applyBorder="1" applyAlignment="1">
      <alignment horizontal="center" vertical="center" wrapText="1"/>
    </xf>
    <xf numFmtId="0" fontId="26" fillId="0" borderId="38" xfId="0" applyFont="1" applyBorder="1" applyAlignment="1">
      <alignment vertical="center" wrapText="1"/>
    </xf>
    <xf numFmtId="0" fontId="26" fillId="0" borderId="83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109" xfId="0" applyFont="1" applyBorder="1" applyAlignment="1">
      <alignment horizontal="left" vertical="center" wrapText="1"/>
    </xf>
    <xf numFmtId="0" fontId="26" fillId="0" borderId="107" xfId="0" applyFont="1" applyBorder="1" applyAlignment="1">
      <alignment horizontal="center" vertical="center" wrapText="1"/>
    </xf>
    <xf numFmtId="0" fontId="26" fillId="0" borderId="105" xfId="0" applyFont="1" applyBorder="1" applyAlignment="1">
      <alignment horizontal="center" vertical="center" wrapText="1"/>
    </xf>
    <xf numFmtId="0" fontId="26" fillId="0" borderId="108" xfId="0" applyFont="1" applyBorder="1" applyAlignment="1">
      <alignment horizontal="center" vertical="center" wrapText="1"/>
    </xf>
    <xf numFmtId="44" fontId="26" fillId="0" borderId="1" xfId="0" applyNumberFormat="1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114" xfId="0" applyFont="1" applyBorder="1" applyAlignment="1">
      <alignment horizontal="center" vertical="center" wrapText="1"/>
    </xf>
    <xf numFmtId="44" fontId="26" fillId="0" borderId="115" xfId="0" applyNumberFormat="1" applyFont="1" applyBorder="1" applyAlignment="1">
      <alignment horizontal="center" vertical="center" wrapText="1"/>
    </xf>
    <xf numFmtId="0" fontId="26" fillId="0" borderId="113" xfId="0" applyFont="1" applyBorder="1" applyAlignment="1">
      <alignment horizontal="center" vertical="center" wrapText="1"/>
    </xf>
    <xf numFmtId="44" fontId="150" fillId="0" borderId="119" xfId="2" applyFont="1" applyBorder="1" applyAlignment="1">
      <alignment horizontal="center" vertical="center" wrapText="1"/>
    </xf>
    <xf numFmtId="44" fontId="150" fillId="0" borderId="120" xfId="2" applyFont="1" applyBorder="1" applyAlignment="1">
      <alignment horizontal="center" vertical="center" wrapText="1"/>
    </xf>
    <xf numFmtId="0" fontId="3" fillId="0" borderId="137" xfId="0" applyFont="1" applyBorder="1" applyAlignment="1">
      <alignment horizontal="center"/>
    </xf>
    <xf numFmtId="0" fontId="3" fillId="0" borderId="136" xfId="0" applyFont="1" applyBorder="1" applyAlignment="1">
      <alignment horizontal="center"/>
    </xf>
    <xf numFmtId="44" fontId="26" fillId="0" borderId="130" xfId="2" applyFont="1" applyBorder="1" applyAlignment="1">
      <alignment horizontal="center" vertical="center" wrapText="1"/>
    </xf>
    <xf numFmtId="44" fontId="26" fillId="0" borderId="118" xfId="2" applyFont="1" applyBorder="1" applyAlignment="1">
      <alignment horizontal="center" vertical="center" wrapText="1"/>
    </xf>
    <xf numFmtId="44" fontId="150" fillId="0" borderId="15" xfId="2" applyFont="1" applyBorder="1" applyAlignment="1">
      <alignment horizontal="center" vertical="center" wrapText="1"/>
    </xf>
    <xf numFmtId="0" fontId="3" fillId="0" borderId="133" xfId="0" applyFont="1" applyBorder="1" applyAlignment="1">
      <alignment horizontal="center"/>
    </xf>
    <xf numFmtId="0" fontId="3" fillId="0" borderId="134" xfId="0" applyFont="1" applyBorder="1" applyAlignment="1">
      <alignment horizontal="center"/>
    </xf>
    <xf numFmtId="0" fontId="26" fillId="0" borderId="117" xfId="0" applyFont="1" applyBorder="1" applyAlignment="1">
      <alignment horizontal="center" vertical="center" wrapText="1"/>
    </xf>
    <xf numFmtId="0" fontId="26" fillId="0" borderId="125" xfId="0" applyFont="1" applyBorder="1" applyAlignment="1">
      <alignment horizontal="center" vertical="center" wrapText="1"/>
    </xf>
    <xf numFmtId="0" fontId="26" fillId="0" borderId="135" xfId="0" applyFont="1" applyBorder="1" applyAlignment="1">
      <alignment horizontal="center" vertical="center" wrapText="1"/>
    </xf>
    <xf numFmtId="0" fontId="26" fillId="0" borderId="136" xfId="0" applyFont="1" applyBorder="1" applyAlignment="1">
      <alignment horizontal="center" vertical="center" wrapText="1"/>
    </xf>
    <xf numFmtId="44" fontId="26" fillId="0" borderId="117" xfId="2" applyFont="1" applyBorder="1" applyAlignment="1">
      <alignment horizontal="center" vertical="center" wrapText="1"/>
    </xf>
    <xf numFmtId="44" fontId="150" fillId="0" borderId="131" xfId="2" applyFont="1" applyBorder="1" applyAlignment="1">
      <alignment horizontal="center" vertical="center" wrapText="1"/>
    </xf>
    <xf numFmtId="44" fontId="150" fillId="0" borderId="122" xfId="2" applyFont="1" applyBorder="1" applyAlignment="1">
      <alignment horizontal="center" vertical="center" wrapText="1"/>
    </xf>
    <xf numFmtId="44" fontId="26" fillId="0" borderId="132" xfId="2" applyFont="1" applyFill="1" applyBorder="1" applyAlignment="1">
      <alignment horizontal="center" vertical="center" wrapText="1"/>
    </xf>
    <xf numFmtId="44" fontId="26" fillId="0" borderId="124" xfId="2" applyFont="1" applyFill="1" applyBorder="1" applyAlignment="1">
      <alignment horizontal="center" vertical="center" wrapText="1"/>
    </xf>
    <xf numFmtId="44" fontId="150" fillId="0" borderId="121" xfId="2" applyFont="1" applyBorder="1" applyAlignment="1">
      <alignment horizontal="center" vertical="center" wrapText="1"/>
    </xf>
    <xf numFmtId="44" fontId="26" fillId="0" borderId="123" xfId="2" applyFont="1" applyFill="1" applyBorder="1" applyAlignment="1">
      <alignment horizontal="center" vertical="center" wrapText="1"/>
    </xf>
    <xf numFmtId="0" fontId="26" fillId="0" borderId="57" xfId="0" applyFont="1" applyBorder="1" applyAlignment="1">
      <alignment horizontal="left" vertical="center" wrapText="1"/>
    </xf>
    <xf numFmtId="0" fontId="26" fillId="0" borderId="58" xfId="0" applyFont="1" applyBorder="1" applyAlignment="1">
      <alignment horizontal="left" vertical="center" wrapText="1"/>
    </xf>
    <xf numFmtId="0" fontId="26" fillId="0" borderId="62" xfId="0" applyFont="1" applyBorder="1" applyAlignment="1">
      <alignment horizontal="left" vertical="center" wrapText="1"/>
    </xf>
    <xf numFmtId="0" fontId="54" fillId="0" borderId="0" xfId="0" applyFont="1" applyAlignment="1">
      <alignment horizontal="center"/>
    </xf>
    <xf numFmtId="0" fontId="27" fillId="0" borderId="46" xfId="0" applyFont="1" applyBorder="1" applyAlignment="1">
      <alignment horizontal="left" vertical="center" wrapText="1"/>
    </xf>
    <xf numFmtId="0" fontId="27" fillId="0" borderId="47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60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9" fontId="26" fillId="0" borderId="59" xfId="0" applyNumberFormat="1" applyFont="1" applyBorder="1" applyAlignment="1">
      <alignment horizontal="center" vertical="center" wrapText="1"/>
    </xf>
    <xf numFmtId="9" fontId="26" fillId="0" borderId="64" xfId="0" applyNumberFormat="1" applyFont="1" applyBorder="1" applyAlignment="1">
      <alignment horizontal="center" vertical="center" wrapText="1"/>
    </xf>
    <xf numFmtId="9" fontId="26" fillId="0" borderId="61" xfId="0" applyNumberFormat="1" applyFont="1" applyBorder="1" applyAlignment="1">
      <alignment horizontal="center" vertical="center" wrapText="1"/>
    </xf>
    <xf numFmtId="0" fontId="26" fillId="0" borderId="46" xfId="0" applyFont="1" applyBorder="1" applyAlignment="1">
      <alignment horizontal="left" vertical="center" wrapText="1"/>
    </xf>
    <xf numFmtId="0" fontId="26" fillId="0" borderId="47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26" fillId="0" borderId="7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75" xfId="0" applyFont="1" applyBorder="1" applyAlignment="1">
      <alignment horizontal="center" vertical="center" wrapText="1"/>
    </xf>
    <xf numFmtId="0" fontId="26" fillId="0" borderId="76" xfId="0" applyFont="1" applyBorder="1" applyAlignment="1">
      <alignment horizontal="center" vertical="center" wrapText="1"/>
    </xf>
    <xf numFmtId="1" fontId="26" fillId="0" borderId="48" xfId="0" applyNumberFormat="1" applyFont="1" applyBorder="1" applyAlignment="1">
      <alignment horizontal="center" vertical="center" wrapText="1"/>
    </xf>
    <xf numFmtId="1" fontId="26" fillId="0" borderId="15" xfId="0" applyNumberFormat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7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4" fontId="26" fillId="0" borderId="40" xfId="2" applyFont="1" applyBorder="1" applyAlignment="1">
      <alignment horizontal="center" vertical="center" wrapText="1"/>
    </xf>
    <xf numFmtId="44" fontId="26" fillId="0" borderId="76" xfId="2" applyFont="1" applyBorder="1" applyAlignment="1">
      <alignment horizontal="center" vertical="center" wrapText="1"/>
    </xf>
    <xf numFmtId="44" fontId="26" fillId="0" borderId="49" xfId="2" applyFont="1" applyBorder="1" applyAlignment="1">
      <alignment horizontal="center" vertical="center" wrapText="1"/>
    </xf>
    <xf numFmtId="0" fontId="26" fillId="0" borderId="59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44" fontId="27" fillId="0" borderId="6" xfId="2" applyFont="1" applyBorder="1" applyAlignment="1">
      <alignment horizontal="center" vertical="center" wrapText="1"/>
    </xf>
    <xf numFmtId="44" fontId="26" fillId="0" borderId="41" xfId="2" applyFont="1" applyBorder="1" applyAlignment="1">
      <alignment horizontal="center" vertical="center" wrapText="1"/>
    </xf>
    <xf numFmtId="44" fontId="26" fillId="0" borderId="65" xfId="2" applyFont="1" applyBorder="1" applyAlignment="1">
      <alignment horizontal="center" vertical="center" wrapText="1"/>
    </xf>
    <xf numFmtId="44" fontId="26" fillId="0" borderId="50" xfId="2" applyFont="1" applyBorder="1" applyAlignment="1">
      <alignment horizontal="center" vertical="center" wrapText="1"/>
    </xf>
    <xf numFmtId="44" fontId="20" fillId="0" borderId="5" xfId="2" applyFont="1" applyBorder="1" applyAlignment="1">
      <alignment horizontal="center" vertical="top" wrapText="1"/>
    </xf>
    <xf numFmtId="44" fontId="20" fillId="0" borderId="6" xfId="2" applyFont="1" applyBorder="1" applyAlignment="1">
      <alignment horizontal="center" vertical="top" wrapText="1"/>
    </xf>
    <xf numFmtId="44" fontId="25" fillId="0" borderId="7" xfId="2" applyFont="1" applyBorder="1" applyAlignment="1">
      <alignment horizontal="center" vertical="top" wrapText="1"/>
    </xf>
    <xf numFmtId="44" fontId="25" fillId="0" borderId="8" xfId="2" applyFont="1" applyBorder="1" applyAlignment="1">
      <alignment horizontal="center" vertical="top" wrapText="1"/>
    </xf>
    <xf numFmtId="44" fontId="3" fillId="0" borderId="10" xfId="2" applyFont="1" applyBorder="1" applyAlignment="1">
      <alignment horizontal="center"/>
    </xf>
    <xf numFmtId="44" fontId="3" fillId="0" borderId="11" xfId="2" applyFont="1" applyBorder="1" applyAlignment="1">
      <alignment horizontal="center"/>
    </xf>
    <xf numFmtId="0" fontId="23" fillId="0" borderId="88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44" fontId="20" fillId="0" borderId="3" xfId="2" applyFont="1" applyBorder="1" applyAlignment="1">
      <alignment horizontal="center" vertical="top" wrapText="1"/>
    </xf>
    <xf numFmtId="44" fontId="20" fillId="0" borderId="4" xfId="2" applyFont="1" applyBorder="1" applyAlignment="1">
      <alignment horizontal="center" vertical="top" wrapText="1"/>
    </xf>
    <xf numFmtId="3" fontId="20" fillId="0" borderId="5" xfId="0" applyNumberFormat="1" applyFont="1" applyBorder="1" applyAlignment="1">
      <alignment horizontal="center" vertical="top" wrapText="1"/>
    </xf>
    <xf numFmtId="3" fontId="20" fillId="0" borderId="6" xfId="0" applyNumberFormat="1" applyFont="1" applyBorder="1" applyAlignment="1">
      <alignment horizontal="center" vertical="top" wrapText="1"/>
    </xf>
    <xf numFmtId="10" fontId="20" fillId="0" borderId="5" xfId="0" applyNumberFormat="1" applyFont="1" applyBorder="1" applyAlignment="1">
      <alignment horizontal="center" vertical="top" wrapText="1"/>
    </xf>
    <xf numFmtId="10" fontId="20" fillId="0" borderId="6" xfId="0" applyNumberFormat="1" applyFont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5" fillId="0" borderId="83" xfId="0" applyFont="1" applyBorder="1" applyAlignment="1">
      <alignment horizontal="center" wrapText="1"/>
    </xf>
    <xf numFmtId="0" fontId="25" fillId="0" borderId="84" xfId="0" applyFont="1" applyBorder="1" applyAlignment="1">
      <alignment horizontal="center" wrapText="1"/>
    </xf>
    <xf numFmtId="0" fontId="25" fillId="0" borderId="11" xfId="0" applyFont="1" applyBorder="1" applyAlignment="1">
      <alignment horizontal="center" wrapText="1"/>
    </xf>
    <xf numFmtId="0" fontId="25" fillId="0" borderId="83" xfId="0" applyFont="1" applyBorder="1" applyAlignment="1">
      <alignment horizontal="center" vertical="center" wrapText="1"/>
    </xf>
    <xf numFmtId="0" fontId="25" fillId="0" borderId="84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left" vertical="center" wrapText="1"/>
    </xf>
    <xf numFmtId="1" fontId="0" fillId="0" borderId="12" xfId="0" applyNumberFormat="1" applyFont="1" applyBorder="1" applyAlignment="1">
      <alignment horizontal="center" vertical="center" wrapText="1"/>
    </xf>
    <xf numFmtId="3" fontId="0" fillId="0" borderId="59" xfId="0" applyNumberFormat="1" applyFont="1" applyBorder="1" applyAlignment="1">
      <alignment horizontal="left" vertical="center" wrapText="1"/>
    </xf>
    <xf numFmtId="3" fontId="0" fillId="0" borderId="4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 wrapText="1"/>
    </xf>
    <xf numFmtId="44" fontId="0" fillId="0" borderId="63" xfId="0" applyNumberFormat="1" applyFont="1" applyBorder="1" applyAlignment="1">
      <alignment horizontal="center" vertical="center"/>
    </xf>
    <xf numFmtId="44" fontId="0" fillId="0" borderId="143" xfId="0" applyNumberFormat="1" applyFont="1" applyBorder="1" applyAlignment="1">
      <alignment horizontal="center" vertical="center"/>
    </xf>
  </cellXfs>
  <cellStyles count="7">
    <cellStyle name="Moeda" xfId="2" builtinId="4"/>
    <cellStyle name="Moeda 2" xfId="5"/>
    <cellStyle name="Normal" xfId="0" builtinId="0"/>
    <cellStyle name="Normal 6" xfId="3"/>
    <cellStyle name="Porcentagem" xfId="4" builtinId="5"/>
    <cellStyle name="Vírgula" xfId="1" builtinId="3"/>
    <cellStyle name="Vírgula 2" xfId="6"/>
  </cellStyles>
  <dxfs count="35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00B05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rgb="FF00B05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right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9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7030A0"/>
        <name val="Calibri"/>
        <scheme val="minor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right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9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7030A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7030A0"/>
        <name val="Calibri"/>
        <scheme val="minor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rgb="FFFF0000"/>
      </font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34" formatCode="_-&quot;R$&quot;\ * #,##0.00_-;\-&quot;R$&quot;\ * #,##0.00_-;_-&quot;R$&quot;\ 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alignment horizontal="right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237</xdr:row>
      <xdr:rowOff>83343</xdr:rowOff>
    </xdr:from>
    <xdr:to>
      <xdr:col>5</xdr:col>
      <xdr:colOff>1119187</xdr:colOff>
      <xdr:row>239</xdr:row>
      <xdr:rowOff>142874</xdr:rowOff>
    </xdr:to>
    <xdr:cxnSp macro="">
      <xdr:nvCxnSpPr>
        <xdr:cNvPr id="2" name="Conector reto 1"/>
        <xdr:cNvCxnSpPr/>
      </xdr:nvCxnSpPr>
      <xdr:spPr>
        <a:xfrm>
          <a:off x="6800850" y="20047743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246</xdr:row>
      <xdr:rowOff>83343</xdr:rowOff>
    </xdr:from>
    <xdr:to>
      <xdr:col>5</xdr:col>
      <xdr:colOff>1119187</xdr:colOff>
      <xdr:row>248</xdr:row>
      <xdr:rowOff>142874</xdr:rowOff>
    </xdr:to>
    <xdr:cxnSp macro="">
      <xdr:nvCxnSpPr>
        <xdr:cNvPr id="3" name="Conector reto 2"/>
        <xdr:cNvCxnSpPr/>
      </xdr:nvCxnSpPr>
      <xdr:spPr>
        <a:xfrm>
          <a:off x="6800850" y="22867143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255</xdr:row>
      <xdr:rowOff>83343</xdr:rowOff>
    </xdr:from>
    <xdr:to>
      <xdr:col>5</xdr:col>
      <xdr:colOff>1119187</xdr:colOff>
      <xdr:row>257</xdr:row>
      <xdr:rowOff>142874</xdr:rowOff>
    </xdr:to>
    <xdr:cxnSp macro="">
      <xdr:nvCxnSpPr>
        <xdr:cNvPr id="4" name="Conector reto 3"/>
        <xdr:cNvCxnSpPr/>
      </xdr:nvCxnSpPr>
      <xdr:spPr>
        <a:xfrm>
          <a:off x="6800850" y="2476261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265</xdr:row>
      <xdr:rowOff>83343</xdr:rowOff>
    </xdr:from>
    <xdr:to>
      <xdr:col>5</xdr:col>
      <xdr:colOff>1119187</xdr:colOff>
      <xdr:row>267</xdr:row>
      <xdr:rowOff>142874</xdr:rowOff>
    </xdr:to>
    <xdr:cxnSp macro="">
      <xdr:nvCxnSpPr>
        <xdr:cNvPr id="5" name="Conector reto 4"/>
        <xdr:cNvCxnSpPr/>
      </xdr:nvCxnSpPr>
      <xdr:spPr>
        <a:xfrm>
          <a:off x="6800850" y="26858118"/>
          <a:ext cx="1071562" cy="45958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38100</xdr:rowOff>
    </xdr:from>
    <xdr:to>
      <xdr:col>5</xdr:col>
      <xdr:colOff>952500</xdr:colOff>
      <xdr:row>17</xdr:row>
      <xdr:rowOff>133350</xdr:rowOff>
    </xdr:to>
    <xdr:cxnSp macro="">
      <xdr:nvCxnSpPr>
        <xdr:cNvPr id="3" name="Conector reto 2"/>
        <xdr:cNvCxnSpPr/>
      </xdr:nvCxnSpPr>
      <xdr:spPr>
        <a:xfrm>
          <a:off x="276225" y="1771650"/>
          <a:ext cx="5229225" cy="1247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Documents/ORCAMENTO%202018/OR&#199;AMENTO%202018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O%20PRECO%20MEDIO%20COMBUSTIVEIS%20E%20GL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Documents/ORCAMENTO%202019/PPA%202018%20A%202021%20ATUALIZADO/ANEXOS%20ATUALIZADOS%2001-11-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PA%202018%20A%202021%20ATUALIZADO/ANEXOS%20PPA%20ATUALIZADOS%20011-11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eus%20Documentos/Documents/LDO_2020/METAS%20E%20PRIORIDADES%20LDO%20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CADASTRO"/>
      <sheetName val="CRESC. ARREC. TRANSF. CONST."/>
      <sheetName val="CRESC. MEDIO ARRECADAÇÃO"/>
      <sheetName val="CRESCIMENTO RECEITAS CAPITAL"/>
      <sheetName val="CRESC. ARREC. RECEITA PROPRIA"/>
      <sheetName val="CRESCIMENTO RECEITA SAÚDE"/>
      <sheetName val="FUNDEB"/>
      <sheetName val="PARÂMETROS"/>
      <sheetName val="Plan2"/>
      <sheetName val="Plan1"/>
      <sheetName val="RECEITA PREVISTA"/>
      <sheetName val="RECEITA PREVISTA 2018"/>
      <sheetName val="RECEITA POR RECURSOS"/>
      <sheetName val="MEMORIA DE CALCULO DA RECEITA"/>
      <sheetName val="C.M.D."/>
      <sheetName val="Recursos FMCA"/>
      <sheetName val="DUODECIMO LEGISLATIVO"/>
      <sheetName val="MEDIA AUMENTOS"/>
      <sheetName val="PASEP"/>
      <sheetName val="E.C.86-2015"/>
      <sheetName val="Vale Alimentação"/>
      <sheetName val="P.C.D."/>
      <sheetName val="DESPESA FIXADA"/>
      <sheetName val="RRMED"/>
      <sheetName val="RFONTEDESPGRUPO"/>
      <sheetName val="FMS"/>
      <sheetName val="FMAS"/>
      <sheetName val="FMCA"/>
      <sheetName val="FMAG"/>
      <sheetName val="FMMA"/>
      <sheetName val="FHISC"/>
      <sheetName val="DP"/>
      <sheetName val="PRECATORIOS"/>
      <sheetName val="MDE E FUNDEB"/>
      <sheetName val="ASPS"/>
      <sheetName val="DOPC"/>
      <sheetName val="DIV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8">
          <cell r="D248">
            <v>19</v>
          </cell>
        </row>
        <row r="249">
          <cell r="D249">
            <v>93</v>
          </cell>
        </row>
        <row r="250">
          <cell r="D250">
            <v>267</v>
          </cell>
        </row>
        <row r="251">
          <cell r="D251">
            <v>1</v>
          </cell>
        </row>
        <row r="252">
          <cell r="D252">
            <v>227</v>
          </cell>
        </row>
        <row r="253">
          <cell r="D253">
            <v>54</v>
          </cell>
        </row>
        <row r="254">
          <cell r="D254">
            <v>22</v>
          </cell>
        </row>
        <row r="258">
          <cell r="D258">
            <v>1.07</v>
          </cell>
        </row>
        <row r="259">
          <cell r="D259">
            <v>0.32</v>
          </cell>
        </row>
        <row r="261">
          <cell r="D261">
            <v>0.36</v>
          </cell>
        </row>
        <row r="262">
          <cell r="D262">
            <v>0.53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40">
          <cell r="F140">
            <v>3.3995472139048966E-2</v>
          </cell>
        </row>
        <row r="141">
          <cell r="F141">
            <v>3.1071339796171937E-2</v>
          </cell>
        </row>
        <row r="143">
          <cell r="F143">
            <v>7.8287497111162452E-3</v>
          </cell>
        </row>
        <row r="144">
          <cell r="F144">
            <v>2.3142272527130858E-2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"/>
      <sheetName val="Anexo I - Programas"/>
      <sheetName val="Anexo II - Resumo dos Programas"/>
    </sheetNames>
    <sheetDataSet>
      <sheetData sheetId="0" refreshError="1"/>
      <sheetData sheetId="1" refreshError="1">
        <row r="9">
          <cell r="B9" t="str">
            <v>001</v>
          </cell>
          <cell r="C9" t="str">
            <v>GESTÃO, COORDENAÇÃO, PLANEJAMENTO E APOIO AO PROCESSO LEGISLATIVO</v>
          </cell>
        </row>
        <row r="18">
          <cell r="C18">
            <v>1001</v>
          </cell>
          <cell r="D18" t="str">
            <v>Realização de Novos Investimentos do Poder Legislativo</v>
          </cell>
        </row>
        <row r="19">
          <cell r="H19">
            <v>618897.80000000005</v>
          </cell>
          <cell r="J19">
            <v>147607.1153</v>
          </cell>
        </row>
        <row r="23">
          <cell r="C23">
            <v>2001</v>
          </cell>
          <cell r="D23" t="str">
            <v>APOIO E MANUTENÇÃO AO PROCESSO LEGISLATIVO</v>
          </cell>
        </row>
        <row r="24">
          <cell r="H24">
            <v>2475591.2000000002</v>
          </cell>
          <cell r="J24">
            <v>618897.80000000005</v>
          </cell>
        </row>
        <row r="40">
          <cell r="B40" t="str">
            <v>000</v>
          </cell>
          <cell r="C40" t="str">
            <v>GESTÃO DE ENCARGOS ESPECIAIS</v>
          </cell>
        </row>
        <row r="49">
          <cell r="C49">
            <v>1</v>
          </cell>
          <cell r="D49" t="str">
            <v xml:space="preserve">Encargos Gerais </v>
          </cell>
        </row>
        <row r="50">
          <cell r="H50">
            <v>1200000</v>
          </cell>
          <cell r="J50">
            <v>300000</v>
          </cell>
        </row>
        <row r="60">
          <cell r="B60" t="str">
            <v>003</v>
          </cell>
          <cell r="C60" t="str">
            <v xml:space="preserve">GESTÃO, COORDENAÇÃO E PLANEJAMENTO </v>
          </cell>
        </row>
        <row r="69">
          <cell r="C69">
            <v>1002</v>
          </cell>
          <cell r="D69" t="str">
            <v>Realização de Novos Investimentos do Poder Executivo</v>
          </cell>
        </row>
        <row r="70">
          <cell r="H70">
            <v>1600000</v>
          </cell>
          <cell r="J70">
            <v>400000</v>
          </cell>
        </row>
        <row r="74">
          <cell r="C74">
            <v>2002</v>
          </cell>
          <cell r="D74" t="str">
            <v xml:space="preserve">GESTÃO , APOIO E MANUTENÇÃO , COORDENAÇÃO E PLANEJAMENTO </v>
          </cell>
        </row>
        <row r="75">
          <cell r="H75">
            <v>10370000</v>
          </cell>
          <cell r="J75">
            <v>2592500</v>
          </cell>
        </row>
        <row r="80">
          <cell r="C80">
            <v>2055</v>
          </cell>
          <cell r="D80" t="str">
            <v>GESTÃO PROGRAMA EDUC. FISC. E INT. TRIBUTARIA</v>
          </cell>
        </row>
        <row r="81">
          <cell r="H81">
            <v>200000</v>
          </cell>
          <cell r="J81">
            <v>50000</v>
          </cell>
        </row>
        <row r="97">
          <cell r="B97" t="str">
            <v>4</v>
          </cell>
          <cell r="C97" t="str">
            <v xml:space="preserve">PROMOÇÃO E DESENVOLVIMENTO DA INFRAESTRUTURA </v>
          </cell>
        </row>
        <row r="106">
          <cell r="C106">
            <v>1003</v>
          </cell>
          <cell r="D106" t="str">
            <v>Novos Investimentos em Infraestrutura</v>
          </cell>
        </row>
        <row r="107">
          <cell r="H107">
            <v>700000</v>
          </cell>
          <cell r="J107">
            <v>175000</v>
          </cell>
        </row>
        <row r="111">
          <cell r="C111">
            <v>2003</v>
          </cell>
          <cell r="D111" t="str">
            <v>Apoio a Manutenção em Infraestrutura</v>
          </cell>
        </row>
        <row r="112">
          <cell r="H112">
            <v>3400000</v>
          </cell>
          <cell r="J112">
            <v>850000</v>
          </cell>
        </row>
        <row r="117">
          <cell r="C117">
            <v>2035</v>
          </cell>
          <cell r="D117" t="str">
            <v>Promoção do Acesso a Moradia</v>
          </cell>
        </row>
        <row r="118">
          <cell r="H118">
            <v>300000</v>
          </cell>
          <cell r="J118">
            <v>850000</v>
          </cell>
        </row>
        <row r="123">
          <cell r="C123">
            <v>2050</v>
          </cell>
          <cell r="D123" t="str">
            <v>PROMOÇÃO DE ACESSO A RESIDENCIAS E PROPRIEDADES</v>
          </cell>
        </row>
        <row r="124">
          <cell r="H124">
            <v>300000</v>
          </cell>
          <cell r="J124">
            <v>850000</v>
          </cell>
        </row>
        <row r="128">
          <cell r="C128">
            <v>2056</v>
          </cell>
          <cell r="D128" t="str">
            <v>Gestao e Apoio Departamento de Engenharia</v>
          </cell>
        </row>
        <row r="129">
          <cell r="H129">
            <v>300000</v>
          </cell>
          <cell r="J129">
            <v>850000</v>
          </cell>
        </row>
        <row r="141">
          <cell r="B141" t="str">
            <v>5</v>
          </cell>
          <cell r="C141" t="str">
            <v xml:space="preserve">DESENVOLVIMENTO DA AGRICULTURA FAMILIAR E DO AGRONEGÓCIO </v>
          </cell>
        </row>
        <row r="150">
          <cell r="C150">
            <v>1004</v>
          </cell>
          <cell r="D150" t="str">
            <v>Novos Investimentos para Desenvolv. da Agric. Familiar e do Agronegócio</v>
          </cell>
        </row>
        <row r="151">
          <cell r="H151">
            <v>1000000</v>
          </cell>
          <cell r="J151">
            <v>250000</v>
          </cell>
        </row>
        <row r="155">
          <cell r="C155">
            <v>2004</v>
          </cell>
          <cell r="D155" t="str">
            <v>Promoção e Apoio a Agic. Fam. e do Agronegócio</v>
          </cell>
        </row>
        <row r="156">
          <cell r="H156">
            <v>3000000</v>
          </cell>
          <cell r="J156">
            <v>750000</v>
          </cell>
        </row>
        <row r="173">
          <cell r="B173" t="str">
            <v>6</v>
          </cell>
          <cell r="C173" t="str">
            <v>PROMOÇÃO E DESENVOLVIMENTO DA EDUCAÇÃO</v>
          </cell>
        </row>
        <row r="182">
          <cell r="C182">
            <v>1005</v>
          </cell>
          <cell r="D182" t="str">
            <v>Novos Investimentos em Educação</v>
          </cell>
        </row>
        <row r="183">
          <cell r="H183">
            <v>200000</v>
          </cell>
          <cell r="J183">
            <v>50000</v>
          </cell>
        </row>
        <row r="187">
          <cell r="C187">
            <v>1018</v>
          </cell>
          <cell r="D187" t="str">
            <v>Novos Investimentos EMEI Sonho Criança</v>
          </cell>
        </row>
        <row r="188">
          <cell r="H188">
            <v>150000</v>
          </cell>
          <cell r="J188">
            <v>37500</v>
          </cell>
        </row>
        <row r="192">
          <cell r="C192">
            <v>2005</v>
          </cell>
          <cell r="D192" t="str">
            <v>Gestão, Coordenação, e Planejamento Educacional</v>
          </cell>
        </row>
        <row r="193">
          <cell r="H193">
            <v>750000</v>
          </cell>
          <cell r="J193">
            <v>187500</v>
          </cell>
        </row>
        <row r="198">
          <cell r="C198">
            <v>2006</v>
          </cell>
          <cell r="D198" t="str">
            <v>Promoção e Desenvolvimento do Ensino fundamental</v>
          </cell>
        </row>
        <row r="199">
          <cell r="H199">
            <v>9200000</v>
          </cell>
          <cell r="J199">
            <v>2300000</v>
          </cell>
        </row>
        <row r="204">
          <cell r="C204">
            <v>2036</v>
          </cell>
          <cell r="D204" t="str">
            <v>Promoção e Desenvolvimento da Educação Infantil</v>
          </cell>
        </row>
        <row r="205">
          <cell r="H205">
            <v>1000000</v>
          </cell>
          <cell r="J205">
            <v>250000</v>
          </cell>
        </row>
        <row r="210">
          <cell r="C210">
            <v>2038</v>
          </cell>
          <cell r="D210" t="str">
            <v>Promoção e Desenvolvimento da Educação Especial</v>
          </cell>
        </row>
        <row r="211">
          <cell r="H211">
            <v>1000000</v>
          </cell>
          <cell r="J211">
            <v>250000</v>
          </cell>
        </row>
        <row r="216">
          <cell r="C216">
            <v>2039</v>
          </cell>
          <cell r="D216" t="str">
            <v>Promoção e Desenvolvimento da Educação de Jovens e Adultos</v>
          </cell>
        </row>
        <row r="217">
          <cell r="H217">
            <v>800000</v>
          </cell>
          <cell r="J217">
            <v>200000</v>
          </cell>
        </row>
        <row r="222">
          <cell r="C222">
            <v>2040</v>
          </cell>
          <cell r="D222" t="str">
            <v xml:space="preserve">Gestão, Coordenação e  Planejamento E.M.E.I. Sonho de Criança </v>
          </cell>
        </row>
        <row r="223">
          <cell r="H223">
            <v>1000000</v>
          </cell>
          <cell r="J223">
            <v>250000</v>
          </cell>
        </row>
        <row r="228">
          <cell r="C228">
            <v>2041</v>
          </cell>
          <cell r="D228" t="str">
            <v xml:space="preserve">Gestão e Desenvolvimento da Ed. Infantil da E.M.E.I. Sonho de Criança </v>
          </cell>
        </row>
        <row r="229">
          <cell r="H229">
            <v>1000000</v>
          </cell>
          <cell r="J229">
            <v>250000</v>
          </cell>
        </row>
        <row r="234">
          <cell r="C234">
            <v>2047</v>
          </cell>
          <cell r="D234" t="str">
            <v>GESTAO E COORDENAÇÃO ESCOLAS MUNICIPAIS</v>
          </cell>
        </row>
        <row r="235">
          <cell r="H235">
            <v>450000</v>
          </cell>
          <cell r="J235">
            <v>112500</v>
          </cell>
        </row>
        <row r="239">
          <cell r="C239">
            <v>2049</v>
          </cell>
          <cell r="D239" t="str">
            <v>GESTAO E COORD. TRANSPORTE ESCOLAR</v>
          </cell>
        </row>
        <row r="240">
          <cell r="H240">
            <v>150000</v>
          </cell>
          <cell r="J240">
            <v>37500</v>
          </cell>
        </row>
        <row r="245">
          <cell r="C245">
            <v>2054</v>
          </cell>
          <cell r="D245" t="str">
            <v>GESTAO E  APOIO AO COSELHO MUNICIPAL DE EDUCACAO</v>
          </cell>
        </row>
        <row r="246">
          <cell r="H246">
            <v>150000</v>
          </cell>
          <cell r="J246">
            <v>37500</v>
          </cell>
        </row>
        <row r="261">
          <cell r="B261" t="str">
            <v>7</v>
          </cell>
          <cell r="C261" t="str">
            <v xml:space="preserve">PROGRAMA DE NUTRIÇÃO E ALIMENTAÇÃO ESCOLAR </v>
          </cell>
        </row>
        <row r="270">
          <cell r="C270">
            <v>1006</v>
          </cell>
          <cell r="D270" t="str">
            <v>Novos Investimentos em  Alimentação e Nutrição</v>
          </cell>
        </row>
        <row r="271">
          <cell r="H271">
            <v>50000</v>
          </cell>
          <cell r="J271">
            <v>12500</v>
          </cell>
        </row>
        <row r="275">
          <cell r="C275">
            <v>2007</v>
          </cell>
          <cell r="D275" t="str">
            <v>Promoção e Desenvolvimento da Alimentação Escolar</v>
          </cell>
        </row>
        <row r="276">
          <cell r="H276">
            <v>800000</v>
          </cell>
          <cell r="J276">
            <v>200000</v>
          </cell>
        </row>
        <row r="285">
          <cell r="B285" t="str">
            <v>8</v>
          </cell>
          <cell r="C285" t="str">
            <v>PROMOÇÃO E DESENVOLVIMENTO CULTURAL</v>
          </cell>
        </row>
        <row r="294">
          <cell r="C294">
            <v>1007</v>
          </cell>
          <cell r="D294" t="str">
            <v>Novos Investimentos em Cultura</v>
          </cell>
        </row>
        <row r="295">
          <cell r="H295">
            <v>50000</v>
          </cell>
          <cell r="J295">
            <v>12500</v>
          </cell>
        </row>
        <row r="299">
          <cell r="C299">
            <v>2008</v>
          </cell>
          <cell r="D299" t="str">
            <v>Gesão, Coordenação e Planejamento e Realização de Eventos Culturais</v>
          </cell>
        </row>
        <row r="300">
          <cell r="H300">
            <v>350000</v>
          </cell>
          <cell r="J300">
            <v>87500</v>
          </cell>
        </row>
        <row r="310">
          <cell r="B310" t="str">
            <v>9</v>
          </cell>
          <cell r="C310" t="str">
            <v>PROMOÇÃO E DESENVIMENTO DO TURISMO</v>
          </cell>
        </row>
        <row r="319">
          <cell r="C319">
            <v>1008</v>
          </cell>
          <cell r="D319" t="str">
            <v>Novos Investimentos em Turismo</v>
          </cell>
        </row>
        <row r="320">
          <cell r="H320">
            <v>200000</v>
          </cell>
          <cell r="J320">
            <v>50000</v>
          </cell>
        </row>
        <row r="324">
          <cell r="C324">
            <v>2009</v>
          </cell>
          <cell r="D324" t="str">
            <v>Promoção e Desenvolvimento do Turismo</v>
          </cell>
        </row>
        <row r="325">
          <cell r="H325">
            <v>400000</v>
          </cell>
          <cell r="J325">
            <v>100000</v>
          </cell>
        </row>
        <row r="334">
          <cell r="B334" t="str">
            <v>010</v>
          </cell>
          <cell r="C334" t="str">
            <v>PROMOÇÃO E DESENVOLVIMENTO DO ESPORTE E LAZER</v>
          </cell>
        </row>
        <row r="343">
          <cell r="C343">
            <v>1009</v>
          </cell>
          <cell r="D343" t="str">
            <v>Novos Investimentos em Desporto e Lazer</v>
          </cell>
        </row>
        <row r="344">
          <cell r="H344">
            <v>350000</v>
          </cell>
          <cell r="J344">
            <v>87500</v>
          </cell>
        </row>
        <row r="348">
          <cell r="C348">
            <v>2010</v>
          </cell>
          <cell r="D348" t="str">
            <v>Gestão e Prom. de Even. Esport. e Lazer</v>
          </cell>
        </row>
        <row r="349">
          <cell r="H349">
            <v>400000</v>
          </cell>
          <cell r="J349">
            <v>100000</v>
          </cell>
        </row>
        <row r="359">
          <cell r="B359" t="str">
            <v>11</v>
          </cell>
          <cell r="C359" t="str">
            <v>PROMOÇÃO E DESENVOLVIMENTO DO MEIO AMBIENTE</v>
          </cell>
        </row>
        <row r="368">
          <cell r="C368">
            <v>1010</v>
          </cell>
          <cell r="D368" t="str">
            <v>Novos Investimentos em Meio Ambiente</v>
          </cell>
        </row>
        <row r="369">
          <cell r="H369">
            <v>500000</v>
          </cell>
          <cell r="J369">
            <v>125000</v>
          </cell>
        </row>
        <row r="373">
          <cell r="C373">
            <v>2011</v>
          </cell>
          <cell r="D373" t="str">
            <v>Gestão e Promoção do Meio Ambiente</v>
          </cell>
        </row>
        <row r="374">
          <cell r="H374">
            <v>600000</v>
          </cell>
          <cell r="J374">
            <v>150000</v>
          </cell>
        </row>
        <row r="379">
          <cell r="C379">
            <v>2034</v>
          </cell>
          <cell r="D379" t="str">
            <v>Gestão e Promoção do Saneamento Básico</v>
          </cell>
        </row>
        <row r="380">
          <cell r="H380">
            <v>100000</v>
          </cell>
          <cell r="J380">
            <v>25000</v>
          </cell>
        </row>
        <row r="390">
          <cell r="B390" t="str">
            <v>12</v>
          </cell>
          <cell r="C390" t="str">
            <v>GESTÃO E AÇÕES DE ASSISTENCIA SOCIAL</v>
          </cell>
        </row>
        <row r="399">
          <cell r="C399">
            <v>1011</v>
          </cell>
          <cell r="D399" t="str">
            <v>Novos Investimentos em Assistencia Social</v>
          </cell>
        </row>
        <row r="400">
          <cell r="H400">
            <v>530000</v>
          </cell>
          <cell r="J400">
            <v>132500</v>
          </cell>
        </row>
        <row r="404">
          <cell r="C404">
            <v>2012</v>
          </cell>
          <cell r="D404" t="str">
            <v>Gestão, Coord. e Planejamento de Assistência Social</v>
          </cell>
        </row>
        <row r="405">
          <cell r="H405">
            <v>5080000</v>
          </cell>
          <cell r="J405">
            <v>1270000</v>
          </cell>
        </row>
        <row r="410">
          <cell r="C410">
            <v>2013</v>
          </cell>
          <cell r="D410" t="str">
            <v>Promoção da Assistencia Social Básica</v>
          </cell>
        </row>
        <row r="411">
          <cell r="H411">
            <v>200000</v>
          </cell>
          <cell r="J411">
            <v>50000</v>
          </cell>
        </row>
        <row r="416">
          <cell r="C416">
            <v>2014</v>
          </cell>
          <cell r="D416" t="str">
            <v>Promoção da Assistencia Social Especial e Média Complexidade</v>
          </cell>
        </row>
        <row r="417">
          <cell r="H417">
            <v>600000</v>
          </cell>
          <cell r="J417">
            <v>150000</v>
          </cell>
        </row>
        <row r="422">
          <cell r="C422">
            <v>2015</v>
          </cell>
          <cell r="D422" t="str">
            <v xml:space="preserve">Gestão e operacionalização do Programa Bolsa Família </v>
          </cell>
        </row>
        <row r="423">
          <cell r="H423">
            <v>200000</v>
          </cell>
          <cell r="J423">
            <v>50000</v>
          </cell>
        </row>
        <row r="428">
          <cell r="C428">
            <v>2016</v>
          </cell>
          <cell r="D428" t="str">
            <v>Gestão, Monitoramento e Vigilância – SUAS</v>
          </cell>
        </row>
        <row r="429">
          <cell r="H429">
            <v>50000</v>
          </cell>
          <cell r="J429">
            <v>12500</v>
          </cell>
        </row>
        <row r="434">
          <cell r="C434">
            <v>2017</v>
          </cell>
          <cell r="D434" t="str">
            <v>Gestão e Promoção de Benefícios Eventuais</v>
          </cell>
        </row>
        <row r="435">
          <cell r="H435">
            <v>300000</v>
          </cell>
          <cell r="J435">
            <v>75000</v>
          </cell>
        </row>
        <row r="440">
          <cell r="C440">
            <v>2018</v>
          </cell>
          <cell r="D440" t="str">
            <v>Gestão do F.M.C.A.</v>
          </cell>
        </row>
        <row r="441">
          <cell r="H441">
            <v>250000</v>
          </cell>
          <cell r="J441">
            <v>62500</v>
          </cell>
        </row>
        <row r="446">
          <cell r="C446">
            <v>2051</v>
          </cell>
          <cell r="D446" t="str">
            <v>GESTÃO DO PROGRAMA UNIAO FAZ A VIDA</v>
          </cell>
        </row>
        <row r="447">
          <cell r="H447">
            <v>20000</v>
          </cell>
          <cell r="J447">
            <v>5000</v>
          </cell>
        </row>
        <row r="452">
          <cell r="C452">
            <v>2052</v>
          </cell>
          <cell r="D452" t="str">
            <v>GESTÃO DE RECURSOS DE DOAÇÕES IRRF</v>
          </cell>
        </row>
        <row r="453">
          <cell r="H453">
            <v>20000</v>
          </cell>
          <cell r="J453">
            <v>5000</v>
          </cell>
        </row>
        <row r="458">
          <cell r="C458">
            <v>2053</v>
          </cell>
          <cell r="D458" t="str">
            <v>GESTÃO DE RECURSOS DE PATROCINIOS</v>
          </cell>
        </row>
        <row r="459">
          <cell r="H459">
            <v>20000</v>
          </cell>
          <cell r="J459">
            <v>5000</v>
          </cell>
        </row>
        <row r="471">
          <cell r="B471" t="str">
            <v>13</v>
          </cell>
          <cell r="C471" t="str">
            <v>GESTÃO E DESENVOLVIMENTO DO TRANSPORTE ESCOLAR DO ENSINO FUNDAMENTAL</v>
          </cell>
        </row>
        <row r="480">
          <cell r="C480">
            <v>1012</v>
          </cell>
          <cell r="D480" t="str">
            <v>Novos Investimentos Transporte Escolar do Ensino Fundamental</v>
          </cell>
        </row>
        <row r="481">
          <cell r="H481">
            <v>1000000</v>
          </cell>
          <cell r="J481">
            <v>250000</v>
          </cell>
        </row>
        <row r="485">
          <cell r="C485">
            <v>2019</v>
          </cell>
          <cell r="D485" t="str">
            <v>Promoção do Transporte Escolar do Ensino Fundamental</v>
          </cell>
        </row>
        <row r="486">
          <cell r="H486">
            <v>4000000</v>
          </cell>
          <cell r="J486">
            <v>1000000</v>
          </cell>
        </row>
        <row r="496">
          <cell r="B496" t="str">
            <v>14</v>
          </cell>
          <cell r="C496" t="str">
            <v>GESTÃO E DESENVOLVIMENTO DO TRANSPORTE ESCOLAR DA EDUCAÇÃO INFANTIL</v>
          </cell>
        </row>
        <row r="505">
          <cell r="C505">
            <v>1013</v>
          </cell>
          <cell r="D505" t="str">
            <v>Novos Investimentos Transporte Escolar da Educação Infantil</v>
          </cell>
        </row>
        <row r="506">
          <cell r="H506">
            <v>50000</v>
          </cell>
          <cell r="J506">
            <v>12500</v>
          </cell>
        </row>
        <row r="510">
          <cell r="C510">
            <v>2020</v>
          </cell>
          <cell r="D510" t="str">
            <v>Promoção do Transporte Escolar da Educação Infantil</v>
          </cell>
        </row>
        <row r="511">
          <cell r="H511">
            <v>500000</v>
          </cell>
          <cell r="J511">
            <v>125000</v>
          </cell>
        </row>
        <row r="520">
          <cell r="B520" t="str">
            <v>15</v>
          </cell>
          <cell r="C520" t="str">
            <v>GESTÃO E DESENVOLVIMENTO DO TRANSPORTE ESCOLAR DA EDUCAÇÃO ESPECIAL</v>
          </cell>
        </row>
        <row r="529">
          <cell r="C529">
            <v>1014</v>
          </cell>
          <cell r="D529" t="str">
            <v>Novos Investimentos Transporte Escolar da Educação Especial</v>
          </cell>
        </row>
        <row r="530">
          <cell r="H530">
            <v>50000</v>
          </cell>
          <cell r="J530">
            <v>12500</v>
          </cell>
        </row>
        <row r="534">
          <cell r="C534">
            <v>2021</v>
          </cell>
          <cell r="D534" t="str">
            <v>Promoção do Transporte Escolar da Educação Especial</v>
          </cell>
        </row>
        <row r="535">
          <cell r="H535">
            <v>200000</v>
          </cell>
          <cell r="J535">
            <v>50000</v>
          </cell>
        </row>
        <row r="545">
          <cell r="B545" t="str">
            <v>16</v>
          </cell>
          <cell r="C545" t="str">
            <v>GESTÃO E DESENVOLVIMENTO DO TRANSPORTE DA EDUCAÇÃO DE JOVENS E ADULTOS</v>
          </cell>
        </row>
        <row r="554">
          <cell r="C554">
            <v>1015</v>
          </cell>
          <cell r="D554" t="str">
            <v>Novos Investimentos Transporte Escolar da Educação de Jovens e Adultos</v>
          </cell>
        </row>
        <row r="555">
          <cell r="H555">
            <v>50000</v>
          </cell>
          <cell r="J555">
            <v>12500</v>
          </cell>
        </row>
        <row r="559">
          <cell r="C559">
            <v>2022</v>
          </cell>
          <cell r="D559" t="str">
            <v>Promoção do Transporte Escolar da Educação de Jovens e Adultos</v>
          </cell>
        </row>
        <row r="560">
          <cell r="H560">
            <v>150000</v>
          </cell>
          <cell r="J560">
            <v>37500</v>
          </cell>
        </row>
        <row r="571">
          <cell r="B571" t="str">
            <v>17</v>
          </cell>
          <cell r="C571" t="str">
            <v>GESTÃO E DESENVOLVIMENTO DO TRANSPORTE DO ENSINO SUPERIOR</v>
          </cell>
        </row>
        <row r="580">
          <cell r="C580">
            <v>2023</v>
          </cell>
          <cell r="D580" t="str">
            <v>Promoção do Transporte Escolar do Ensino Superior</v>
          </cell>
        </row>
        <row r="581">
          <cell r="H581">
            <v>90000</v>
          </cell>
          <cell r="J581">
            <v>22500</v>
          </cell>
        </row>
        <row r="591">
          <cell r="B591" t="str">
            <v>18</v>
          </cell>
          <cell r="C591" t="str">
            <v>GESTÃO E DESENVOLVIMENTO DO TRANSPORTE DO ENSINO MÉDIO</v>
          </cell>
        </row>
        <row r="600">
          <cell r="C600">
            <v>2024</v>
          </cell>
          <cell r="D600" t="str">
            <v>Promoção do Transporte Escolar : Ensino Médio</v>
          </cell>
        </row>
        <row r="601">
          <cell r="H601">
            <v>90000</v>
          </cell>
          <cell r="J601">
            <v>22500</v>
          </cell>
        </row>
        <row r="610">
          <cell r="B610" t="str">
            <v>19</v>
          </cell>
          <cell r="C610" t="str">
            <v>GESTÃO E DESENVOLVIMENTO DO TRANSPORTE DO ENSINO PROFISSIONALIZANTE</v>
          </cell>
        </row>
        <row r="619">
          <cell r="C619">
            <v>2025</v>
          </cell>
          <cell r="D619" t="str">
            <v>Promoção do Transporte Escolar do Ensino Profissionalizante</v>
          </cell>
        </row>
        <row r="620">
          <cell r="H620">
            <v>90000</v>
          </cell>
          <cell r="J620">
            <v>22500</v>
          </cell>
        </row>
        <row r="629">
          <cell r="B629" t="str">
            <v>20</v>
          </cell>
          <cell r="C629" t="str">
            <v>GESTÃO E DESENVOLVIMENTO DO TRANSPORTE PARA CURSO PREVESTIBULAR</v>
          </cell>
        </row>
        <row r="638">
          <cell r="C638">
            <v>2026</v>
          </cell>
          <cell r="D638" t="str">
            <v>Promoção do Transporte Escolar  Cursos Pre Vestibular</v>
          </cell>
        </row>
        <row r="639">
          <cell r="H639">
            <v>70000</v>
          </cell>
          <cell r="J639">
            <v>17500</v>
          </cell>
        </row>
        <row r="649">
          <cell r="B649" t="str">
            <v>21</v>
          </cell>
          <cell r="C649" t="str">
            <v>GESTÃO E DESENVOLVIMENTO DO TRANSPORTE ESCOLAR DE DOCENTES</v>
          </cell>
        </row>
        <row r="658">
          <cell r="C658">
            <v>2033</v>
          </cell>
          <cell r="D658" t="str">
            <v>Promoção do Transporte Escolar : Docentes</v>
          </cell>
        </row>
        <row r="659">
          <cell r="H659">
            <v>80000</v>
          </cell>
        </row>
        <row r="668">
          <cell r="B668" t="str">
            <v>099</v>
          </cell>
          <cell r="C668" t="str">
            <v>RESERVA DE CONTINGENCIA</v>
          </cell>
        </row>
        <row r="677">
          <cell r="C677">
            <v>2027</v>
          </cell>
          <cell r="D677" t="str">
            <v>Reserva de Contingencia</v>
          </cell>
        </row>
        <row r="678">
          <cell r="H678">
            <v>1400000</v>
          </cell>
          <cell r="J678">
            <v>350000</v>
          </cell>
        </row>
        <row r="685">
          <cell r="B685" t="str">
            <v>22</v>
          </cell>
          <cell r="C685" t="str">
            <v>GESTÃO E DESENVOLVIMENTO DA PROTEÇÃO E SEGURANÇA DA POPULACAO</v>
          </cell>
        </row>
        <row r="694">
          <cell r="C694">
            <v>1017</v>
          </cell>
          <cell r="D694" t="str">
            <v>Novos Investimentos em Proteção e Segurança</v>
          </cell>
        </row>
        <row r="695">
          <cell r="H695">
            <v>50000</v>
          </cell>
          <cell r="J695">
            <v>12500</v>
          </cell>
        </row>
        <row r="699">
          <cell r="C699">
            <v>2030</v>
          </cell>
          <cell r="D699" t="str">
            <v xml:space="preserve">Apoio a Segurança Pública </v>
          </cell>
        </row>
        <row r="700">
          <cell r="H700">
            <v>80000</v>
          </cell>
          <cell r="J700">
            <v>20000</v>
          </cell>
        </row>
        <row r="705">
          <cell r="C705">
            <v>2031</v>
          </cell>
          <cell r="D705" t="str">
            <v>Promoção da Defesa Civil</v>
          </cell>
        </row>
        <row r="706">
          <cell r="H706">
            <v>500000</v>
          </cell>
          <cell r="J706">
            <v>125000</v>
          </cell>
        </row>
        <row r="711">
          <cell r="C711">
            <v>2032</v>
          </cell>
          <cell r="D711" t="str">
            <v>Apoio ao Conselho Tutelar</v>
          </cell>
        </row>
        <row r="712">
          <cell r="H712">
            <v>300000</v>
          </cell>
          <cell r="J712">
            <v>75000</v>
          </cell>
        </row>
        <row r="722">
          <cell r="B722" t="str">
            <v>100</v>
          </cell>
          <cell r="C722" t="str">
            <v>ATENÇÃO A SAÚDE EM DEFESA DA VIDA</v>
          </cell>
        </row>
        <row r="736">
          <cell r="C736">
            <v>1019</v>
          </cell>
          <cell r="D736" t="str">
            <v>Novos Investimentos para Gestão de Serviços de Saúde</v>
          </cell>
        </row>
        <row r="737">
          <cell r="H737">
            <v>300000</v>
          </cell>
          <cell r="J737">
            <v>75000</v>
          </cell>
        </row>
        <row r="741">
          <cell r="C741">
            <v>1025</v>
          </cell>
          <cell r="D741" t="str">
            <v>GEST. BLOCO FINAN.: INVEST.  EM ATENÇÃO BÁSICA</v>
          </cell>
        </row>
        <row r="742">
          <cell r="H742">
            <v>300000</v>
          </cell>
          <cell r="J742">
            <v>75000</v>
          </cell>
        </row>
        <row r="746">
          <cell r="C746">
            <v>1026</v>
          </cell>
          <cell r="D746" t="str">
            <v>GEST. BLOCO FINAN.: INVEST. EM ASSIST. HOSP. E AMBUL. - MÉDIA E ALTA COMPLEXIDADE</v>
          </cell>
        </row>
        <row r="747">
          <cell r="H747">
            <v>300000</v>
          </cell>
          <cell r="J747">
            <v>75000</v>
          </cell>
        </row>
        <row r="751">
          <cell r="C751">
            <v>1027</v>
          </cell>
          <cell r="D751" t="str">
            <v>GEST. BLOCO FINAN.: INVEST. EM VIGILÂNCIA EM SAÚDE</v>
          </cell>
        </row>
        <row r="752">
          <cell r="H752">
            <v>300000</v>
          </cell>
          <cell r="J752">
            <v>75000</v>
          </cell>
        </row>
        <row r="762">
          <cell r="C762">
            <v>2028</v>
          </cell>
          <cell r="D762" t="str">
            <v>Gestão Administrativa, Coordenação e Planejamento</v>
          </cell>
        </row>
        <row r="763">
          <cell r="H763">
            <v>3000000</v>
          </cell>
          <cell r="J763">
            <v>750000</v>
          </cell>
        </row>
        <row r="768">
          <cell r="C768">
            <v>2029</v>
          </cell>
          <cell r="D768" t="str">
            <v>Gestão do Bloco Financiamento: Atenção Básica</v>
          </cell>
        </row>
        <row r="769">
          <cell r="H769">
            <v>1600000</v>
          </cell>
          <cell r="J769">
            <v>400000</v>
          </cell>
        </row>
        <row r="774">
          <cell r="C774">
            <v>2042</v>
          </cell>
          <cell r="D774" t="str">
            <v>Gestão do Bloco Financiamento: Atenção de Média e Alta Complexidade Ambulatorial e Hospitalar</v>
          </cell>
        </row>
        <row r="775">
          <cell r="H775">
            <v>1000000</v>
          </cell>
          <cell r="J775">
            <v>250000</v>
          </cell>
        </row>
        <row r="780">
          <cell r="C780">
            <v>2043</v>
          </cell>
          <cell r="D780" t="str">
            <v>Gestão do Bloco Financiamento: Assistência Farmacêutica</v>
          </cell>
        </row>
        <row r="781">
          <cell r="H781">
            <v>500000</v>
          </cell>
          <cell r="J781">
            <v>125000</v>
          </cell>
        </row>
        <row r="786">
          <cell r="C786">
            <v>2044</v>
          </cell>
          <cell r="D786" t="str">
            <v>Gestão do Bloco Financiamento: Gestão do SUS</v>
          </cell>
        </row>
        <row r="787">
          <cell r="H787">
            <v>500000</v>
          </cell>
          <cell r="J787">
            <v>125000</v>
          </cell>
        </row>
        <row r="792">
          <cell r="C792">
            <v>2045</v>
          </cell>
          <cell r="D792" t="str">
            <v>Gestão do Conselho Municipal de Saúde</v>
          </cell>
        </row>
        <row r="793">
          <cell r="H793">
            <v>500000</v>
          </cell>
          <cell r="J793">
            <v>125000</v>
          </cell>
        </row>
        <row r="798">
          <cell r="C798">
            <v>2046</v>
          </cell>
          <cell r="D798" t="str">
            <v>Gestão do Bloco Financiamento: Vigilância em Saúde</v>
          </cell>
        </row>
        <row r="799">
          <cell r="H799">
            <v>100000</v>
          </cell>
          <cell r="J799">
            <v>25000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"/>
      <sheetName val="Anexo I - Programas"/>
      <sheetName val="Anexo II - Resumo dos Programas"/>
    </sheetNames>
    <sheetDataSet>
      <sheetData sheetId="0" refreshError="1"/>
      <sheetData sheetId="1">
        <row r="19">
          <cell r="H19">
            <v>618897.80000000005</v>
          </cell>
        </row>
        <row r="24">
          <cell r="H24">
            <v>2475591.2000000002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"/>
      <sheetName val="Anexo I - Programas"/>
      <sheetName val="Anexo II - Resumo dos Programas"/>
    </sheetNames>
    <sheetDataSet>
      <sheetData sheetId="0"/>
      <sheetData sheetId="1">
        <row r="19">
          <cell r="J19">
            <v>158066.49812000003</v>
          </cell>
        </row>
        <row r="24">
          <cell r="J24">
            <v>618897.80000000005</v>
          </cell>
        </row>
      </sheetData>
      <sheetData sheetId="2"/>
    </sheetDataSet>
  </externalBook>
</externalLink>
</file>

<file path=xl/tables/table1.xml><?xml version="1.0" encoding="utf-8"?>
<table xmlns="http://schemas.openxmlformats.org/spreadsheetml/2006/main" id="8" name="Tabela8" displayName="Tabela8" ref="B9:AG102" totalsRowShown="0" headerRowDxfId="356" dataDxfId="355">
  <autoFilter ref="B9:AG102"/>
  <tableColumns count="32">
    <tableColumn id="1" name="Colunas1" dataDxfId="354"/>
    <tableColumn id="2" name="Colunas2" dataDxfId="353"/>
    <tableColumn id="3" name="Colunas3" dataDxfId="352"/>
    <tableColumn id="4" name="Colunas4" dataDxfId="351"/>
    <tableColumn id="5" name="Colunas5" dataDxfId="350"/>
    <tableColumn id="6" name="Colunas6" dataDxfId="349"/>
    <tableColumn id="7" name="Colunas7" dataDxfId="348"/>
    <tableColumn id="8" name="Colunas8" dataDxfId="347"/>
    <tableColumn id="9" name="Colunas9" dataDxfId="346"/>
    <tableColumn id="10" name="Colunas10" dataDxfId="345"/>
    <tableColumn id="11" name="Colunas11" dataDxfId="344"/>
    <tableColumn id="12" name="Colunas12" dataDxfId="343"/>
    <tableColumn id="13" name="Colunas13" dataDxfId="342" dataCellStyle="Moeda"/>
    <tableColumn id="14" name="Colunas14" dataDxfId="341" dataCellStyle="Porcentagem"/>
    <tableColumn id="15" name="Colunas15" dataDxfId="340" dataCellStyle="Moeda"/>
    <tableColumn id="16" name="Colunas16" dataDxfId="339" dataCellStyle="Moeda"/>
    <tableColumn id="17" name="Colunas17" dataDxfId="338" dataCellStyle="Moeda"/>
    <tableColumn id="18" name="Colunas18" dataDxfId="337" dataCellStyle="Porcentagem"/>
    <tableColumn id="19" name="Colunas19" dataDxfId="336" dataCellStyle="Moeda"/>
    <tableColumn id="20" name="Colunas20" dataDxfId="335" dataCellStyle="Moeda"/>
    <tableColumn id="21" name="Colunas21" dataDxfId="334" dataCellStyle="Moeda"/>
    <tableColumn id="22" name="Colunas22" dataDxfId="333" dataCellStyle="Moeda"/>
    <tableColumn id="23" name="Colunas23" dataDxfId="332" dataCellStyle="Moeda"/>
    <tableColumn id="24" name="Colunas24" dataDxfId="331" dataCellStyle="Moeda"/>
    <tableColumn id="25" name="Colunas25" dataDxfId="330" dataCellStyle="Moeda"/>
    <tableColumn id="26" name="Colunas26" dataDxfId="329" dataCellStyle="Moeda"/>
    <tableColumn id="27" name="Colunas27" dataDxfId="328" dataCellStyle="Moeda"/>
    <tableColumn id="28" name="Colunas28" dataDxfId="327" dataCellStyle="Moeda"/>
    <tableColumn id="29" name="Colunas29" dataDxfId="326"/>
    <tableColumn id="30" name="Colunas30" dataDxfId="325"/>
    <tableColumn id="31" name="Colunas31" dataDxfId="324"/>
    <tableColumn id="32" name="Colunas32" dataDxfId="323"/>
  </tableColumns>
  <tableStyleInfo name="TableStyleLight7" showFirstColumn="0" showLastColumn="0" showRowStripes="1" showColumnStripes="0"/>
</table>
</file>

<file path=xl/tables/table10.xml><?xml version="1.0" encoding="utf-8"?>
<table xmlns="http://schemas.openxmlformats.org/spreadsheetml/2006/main" id="14" name="Tabela1215" displayName="Tabela1215" ref="B117:AF222" totalsRowShown="0" headerRowDxfId="31" dataDxfId="30">
  <autoFilter ref="B117:AF222">
    <filterColumn colId="5">
      <filters>
        <filter val="Setor: Gestão Emei Sonho de Criança: Professores"/>
      </filters>
    </filterColumn>
  </autoFilter>
  <tableColumns count="31">
    <tableColumn id="1" name="Colunas1" dataDxfId="29"/>
    <tableColumn id="2" name="Colunas2" dataDxfId="28"/>
    <tableColumn id="3" name="Colunas3" dataDxfId="27"/>
    <tableColumn id="4" name="Colunas4" dataDxfId="26"/>
    <tableColumn id="5" name="Colunas5" dataDxfId="25"/>
    <tableColumn id="6" name="Colunas6" dataDxfId="24"/>
    <tableColumn id="7" name="Colunas7" dataDxfId="23"/>
    <tableColumn id="8" name="Colunas8" dataDxfId="22"/>
    <tableColumn id="9" name="Colunas9" dataDxfId="21"/>
    <tableColumn id="10" name="Colunas10" dataDxfId="20"/>
    <tableColumn id="11" name="Colunas11" dataDxfId="19"/>
    <tableColumn id="12" name="Colunas12" dataDxfId="18"/>
    <tableColumn id="13" name="Colunas13" dataDxfId="17"/>
    <tableColumn id="14" name="Colunas14"/>
    <tableColumn id="15" name="Colunas15" dataDxfId="16"/>
    <tableColumn id="16" name="Colunas16" dataDxfId="15"/>
    <tableColumn id="17" name="Colunas17" dataDxfId="14"/>
    <tableColumn id="18" name="Colunas18" dataDxfId="13"/>
    <tableColumn id="19" name="Colunas19" dataDxfId="12"/>
    <tableColumn id="20" name="Colunas20" dataDxfId="11"/>
    <tableColumn id="21" name="Colunas21" dataDxfId="10"/>
    <tableColumn id="22" name="Colunas22" dataDxfId="9"/>
    <tableColumn id="23" name="Colunas23" dataDxfId="8" dataCellStyle="Porcentagem"/>
    <tableColumn id="24" name="Colunas24" dataDxfId="7"/>
    <tableColumn id="25" name="Colunas25" dataDxfId="6"/>
    <tableColumn id="26" name="Colunas26" dataDxfId="5"/>
    <tableColumn id="27" name="Colunas27" dataDxfId="4"/>
    <tableColumn id="28" name="Colunas28" dataDxfId="3"/>
    <tableColumn id="29" name="Colunas29" dataDxfId="2"/>
    <tableColumn id="30" name="Colunas30" dataDxfId="1"/>
    <tableColumn id="31" name="Colunas31" dataDxfId="0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id="9" name="Tabela810" displayName="Tabela810" ref="B105:AG198" totalsRowShown="0" headerRowDxfId="322" dataDxfId="321">
  <autoFilter ref="B105:AG198"/>
  <tableColumns count="32">
    <tableColumn id="1" name="Colunas1" dataDxfId="320"/>
    <tableColumn id="2" name="Colunas2" dataDxfId="319"/>
    <tableColumn id="3" name="Colunas3" dataDxfId="318"/>
    <tableColumn id="4" name="Colunas4" dataDxfId="317"/>
    <tableColumn id="5" name="Colunas5" dataDxfId="316"/>
    <tableColumn id="6" name="Colunas6" dataDxfId="315"/>
    <tableColumn id="7" name="Colunas7" dataDxfId="314"/>
    <tableColumn id="8" name="Colunas8" dataDxfId="313"/>
    <tableColumn id="9" name="Colunas9" dataDxfId="312"/>
    <tableColumn id="10" name="Colunas10" dataDxfId="311"/>
    <tableColumn id="11" name="Colunas11" dataDxfId="310"/>
    <tableColumn id="12" name="Colunas12" dataDxfId="309"/>
    <tableColumn id="13" name="Colunas13" dataDxfId="308" dataCellStyle="Moeda"/>
    <tableColumn id="14" name="Colunas14" dataDxfId="307" dataCellStyle="Porcentagem"/>
    <tableColumn id="15" name="Colunas15" dataDxfId="306" dataCellStyle="Moeda"/>
    <tableColumn id="16" name="Colunas16" dataDxfId="305" dataCellStyle="Moeda"/>
    <tableColumn id="17" name="Colunas17" dataDxfId="304" dataCellStyle="Moeda"/>
    <tableColumn id="18" name="Colunas18" dataDxfId="303" dataCellStyle="Porcentagem"/>
    <tableColumn id="19" name="Colunas19" dataDxfId="302" dataCellStyle="Moeda"/>
    <tableColumn id="20" name="Colunas20" dataDxfId="301" dataCellStyle="Moeda"/>
    <tableColumn id="21" name="Colunas21" dataDxfId="300" dataCellStyle="Moeda"/>
    <tableColumn id="22" name="Colunas22" dataDxfId="299" dataCellStyle="Moeda"/>
    <tableColumn id="23" name="Colunas23" dataDxfId="298" dataCellStyle="Moeda"/>
    <tableColumn id="24" name="Colunas24" dataDxfId="297" dataCellStyle="Moeda"/>
    <tableColumn id="25" name="Colunas25" dataDxfId="296" dataCellStyle="Moeda"/>
    <tableColumn id="26" name="Colunas26" dataDxfId="295" dataCellStyle="Moeda"/>
    <tableColumn id="27" name="Colunas27" dataDxfId="294" dataCellStyle="Moeda"/>
    <tableColumn id="28" name="Colunas28" dataDxfId="293" dataCellStyle="Moeda"/>
    <tableColumn id="29" name="Colunas29" dataDxfId="292"/>
    <tableColumn id="30" name="Colunas30" dataDxfId="291"/>
    <tableColumn id="31" name="Colunas31" dataDxfId="290"/>
    <tableColumn id="32" name="Colunas32" dataDxfId="289"/>
  </tableColumns>
  <tableStyleInfo name="TableStyleLight6" showFirstColumn="0" showLastColumn="0" showRowStripes="1" showColumnStripes="0"/>
</table>
</file>

<file path=xl/tables/table3.xml><?xml version="1.0" encoding="utf-8"?>
<table xmlns="http://schemas.openxmlformats.org/spreadsheetml/2006/main" id="5" name="Tabela5" displayName="Tabela5" ref="B9:AK32" totalsRowShown="0" headerRowDxfId="288">
  <autoFilter ref="B9:AK32"/>
  <tableColumns count="36">
    <tableColumn id="1" name="Colunas1"/>
    <tableColumn id="2" name="Colunas2"/>
    <tableColumn id="3" name="Colunas3"/>
    <tableColumn id="4" name="Colunas4"/>
    <tableColumn id="5" name="Colunas5"/>
    <tableColumn id="6" name="Colunas6"/>
    <tableColumn id="7" name="Colunas7"/>
    <tableColumn id="8" name="Colunas8"/>
    <tableColumn id="9" name="Colunas9"/>
    <tableColumn id="10" name="Colunas10"/>
    <tableColumn id="11" name="Colunas11"/>
    <tableColumn id="12" name="Colunas12"/>
    <tableColumn id="13" name="Colunas13"/>
    <tableColumn id="14" name="Colunas14"/>
    <tableColumn id="15" name="Colunas15"/>
    <tableColumn id="16" name="Colunas16"/>
    <tableColumn id="17" name="Colunas17"/>
    <tableColumn id="18" name="Colunas18"/>
    <tableColumn id="19" name="Colunas19"/>
    <tableColumn id="20" name="Colunas20"/>
    <tableColumn id="21" name="Colunas21"/>
    <tableColumn id="22" name="Colunas22"/>
    <tableColumn id="23" name="Colunas23"/>
    <tableColumn id="24" name="Colunas24"/>
    <tableColumn id="25" name="Colunas25"/>
    <tableColumn id="26" name="Colunas26"/>
    <tableColumn id="27" name="Colunas27"/>
    <tableColumn id="28" name="Colunas28"/>
    <tableColumn id="29" name="Colunas29"/>
    <tableColumn id="30" name="Colunas30"/>
    <tableColumn id="31" name="Colunas31"/>
    <tableColumn id="32" name="Colunas32"/>
    <tableColumn id="33" name="Colunas33"/>
    <tableColumn id="34" name="Colunas34"/>
    <tableColumn id="35" name="Colunas35"/>
    <tableColumn id="36" name="Colunas36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7" name="Tabela58" displayName="Tabela58" ref="B35:AK58" totalsRowShown="0" headerRowDxfId="287">
  <autoFilter ref="B35:AK58">
    <filterColumn colId="5">
      <filters>
        <filter val="Setor: Gestão CRAS"/>
      </filters>
    </filterColumn>
  </autoFilter>
  <tableColumns count="36">
    <tableColumn id="1" name="Colunas1"/>
    <tableColumn id="2" name="Colunas2"/>
    <tableColumn id="3" name="Colunas3"/>
    <tableColumn id="4" name="Colunas4"/>
    <tableColumn id="5" name="Colunas5"/>
    <tableColumn id="6" name="Colunas6"/>
    <tableColumn id="7" name="Colunas7"/>
    <tableColumn id="8" name="Colunas8"/>
    <tableColumn id="9" name="Colunas9"/>
    <tableColumn id="10" name="Colunas10"/>
    <tableColumn id="11" name="Colunas11"/>
    <tableColumn id="12" name="Colunas12"/>
    <tableColumn id="13" name="Colunas13"/>
    <tableColumn id="14" name="Colunas14"/>
    <tableColumn id="15" name="Colunas15"/>
    <tableColumn id="16" name="Colunas16"/>
    <tableColumn id="17" name="Colunas17"/>
    <tableColumn id="18" name="Colunas18"/>
    <tableColumn id="19" name="Colunas19"/>
    <tableColumn id="20" name="Colunas20"/>
    <tableColumn id="21" name="Colunas21"/>
    <tableColumn id="22" name="Colunas22"/>
    <tableColumn id="23" name="Colunas23"/>
    <tableColumn id="24" name="Colunas24"/>
    <tableColumn id="25" name="Colunas25"/>
    <tableColumn id="26" name="Colunas26"/>
    <tableColumn id="27" name="Colunas27"/>
    <tableColumn id="28" name="Colunas28"/>
    <tableColumn id="29" name="Colunas29"/>
    <tableColumn id="30" name="Colunas30"/>
    <tableColumn id="31" name="Colunas31"/>
    <tableColumn id="32" name="Colunas32"/>
    <tableColumn id="33" name="Colunas33"/>
    <tableColumn id="34" name="Colunas34"/>
    <tableColumn id="35" name="Colunas35"/>
    <tableColumn id="36" name="Colunas36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3" name="Tabela3" displayName="Tabela3" ref="B9:AN112" totalsRowShown="0" headerRowDxfId="286">
  <autoFilter ref="B9:AN112">
    <filterColumn colId="4">
      <filters>
        <filter val="SMO"/>
      </filters>
    </filterColumn>
  </autoFilter>
  <tableColumns count="39">
    <tableColumn id="1" name="Colunas1" dataDxfId="285" totalsRowDxfId="284"/>
    <tableColumn id="2" name="Colunas2" dataDxfId="283" totalsRowDxfId="282"/>
    <tableColumn id="3" name="Colunas3" dataDxfId="281" totalsRowDxfId="280"/>
    <tableColumn id="4" name="Colunas4" dataDxfId="279" totalsRowDxfId="278"/>
    <tableColumn id="5" name="Colunas5" dataDxfId="277" totalsRowDxfId="276"/>
    <tableColumn id="6" name="Colunas6" dataDxfId="275" totalsRowDxfId="274"/>
    <tableColumn id="7" name="Colunas7" dataDxfId="273" totalsRowDxfId="272"/>
    <tableColumn id="8" name="Colunas8" dataDxfId="271" totalsRowDxfId="270"/>
    <tableColumn id="9" name="Colunas9" dataDxfId="269" totalsRowDxfId="268"/>
    <tableColumn id="10" name="Colunas10" dataDxfId="267" totalsRowDxfId="266"/>
    <tableColumn id="11" name="Colunas11" dataDxfId="265" totalsRowDxfId="264"/>
    <tableColumn id="12" name="Colunas12" dataDxfId="263" totalsRowDxfId="262"/>
    <tableColumn id="13" name="Colunas13" totalsRowDxfId="261"/>
    <tableColumn id="14" name="Colunas14" dataDxfId="260" totalsRowDxfId="259"/>
    <tableColumn id="15" name="Colunas15" dataDxfId="258" totalsRowDxfId="257"/>
    <tableColumn id="16" name="Colunas16" totalsRowDxfId="256"/>
    <tableColumn id="17" name="Colunas17" dataDxfId="255" totalsRowDxfId="254"/>
    <tableColumn id="18" name="Colunas18" totalsRowDxfId="253"/>
    <tableColumn id="19" name="Colunas19" dataDxfId="252" totalsRowDxfId="251"/>
    <tableColumn id="20" name="Colunas20" totalsRowDxfId="250"/>
    <tableColumn id="21" name="Colunas21" totalsRowDxfId="249"/>
    <tableColumn id="22" name="Colunas22" totalsRowDxfId="248"/>
    <tableColumn id="23" name="Colunas23" dataDxfId="247" totalsRowDxfId="246"/>
    <tableColumn id="24" name="Colunas24" dataDxfId="245" totalsRowDxfId="244"/>
    <tableColumn id="25" name="Colunas25" totalsRowDxfId="243"/>
    <tableColumn id="26" name="Colunas26" totalsRowDxfId="242"/>
    <tableColumn id="27" name="Colunas27" dataDxfId="241" totalsRowDxfId="240"/>
    <tableColumn id="28" name="Colunas28" totalsRowDxfId="239"/>
    <tableColumn id="29" name="Colunas29" totalsRowDxfId="238"/>
    <tableColumn id="30" name="Colunas30" totalsRowDxfId="237"/>
    <tableColumn id="31" name="Colunas31" dataDxfId="236" totalsRowDxfId="235"/>
    <tableColumn id="32" name="Colunas32" dataDxfId="234" totalsRowDxfId="233"/>
    <tableColumn id="33" name="Colunas33" dataDxfId="232" totalsRowDxfId="231"/>
    <tableColumn id="34" name="Colunas34" dataDxfId="230" totalsRowDxfId="229"/>
    <tableColumn id="35" name="Colunas35" dataDxfId="228" totalsRowDxfId="227"/>
    <tableColumn id="36" name="Colunas36" totalsRowDxfId="226"/>
    <tableColumn id="37" name="Colunas37" totalsRowDxfId="225"/>
    <tableColumn id="38" name="Colunas38" totalsRowDxfId="224"/>
    <tableColumn id="39" name="Colunas39" totalsRowDxfId="223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4" name="Tabela35" displayName="Tabela35" ref="B115:AN218" totalsRowShown="0" headerRowDxfId="222">
  <autoFilter ref="B115:AN218">
    <filterColumn colId="5">
      <filters>
        <filter val="Setor: Engenharia"/>
      </filters>
    </filterColumn>
    <filterColumn colId="32">
      <customFilters>
        <customFilter operator="notEqual" val=" "/>
      </customFilters>
    </filterColumn>
  </autoFilter>
  <tableColumns count="39">
    <tableColumn id="1" name="Colunas1" dataDxfId="221" totalsRowDxfId="220"/>
    <tableColumn id="2" name="Colunas2" dataDxfId="219" totalsRowDxfId="218"/>
    <tableColumn id="3" name="Colunas3" dataDxfId="217" totalsRowDxfId="216"/>
    <tableColumn id="4" name="Colunas4" dataDxfId="215" totalsRowDxfId="214"/>
    <tableColumn id="5" name="Colunas5" dataDxfId="213" totalsRowDxfId="212"/>
    <tableColumn id="6" name="Colunas6" dataDxfId="211" totalsRowDxfId="210"/>
    <tableColumn id="7" name="Colunas7" dataDxfId="209" totalsRowDxfId="208"/>
    <tableColumn id="8" name="Colunas8" dataDxfId="207" totalsRowDxfId="206"/>
    <tableColumn id="9" name="Colunas9" dataDxfId="205" totalsRowDxfId="204"/>
    <tableColumn id="10" name="Colunas10" dataDxfId="203" totalsRowDxfId="202"/>
    <tableColumn id="11" name="Colunas11" dataDxfId="201" totalsRowDxfId="200"/>
    <tableColumn id="12" name="Colunas12" dataDxfId="199" totalsRowDxfId="198"/>
    <tableColumn id="13" name="Colunas13" totalsRowDxfId="197"/>
    <tableColumn id="14" name="Colunas14" dataDxfId="196" totalsRowDxfId="195"/>
    <tableColumn id="15" name="Colunas15" dataDxfId="194" totalsRowDxfId="193"/>
    <tableColumn id="16" name="Colunas16" totalsRowDxfId="192"/>
    <tableColumn id="17" name="Colunas17" dataDxfId="191" totalsRowDxfId="190"/>
    <tableColumn id="18" name="Colunas18" totalsRowDxfId="189"/>
    <tableColumn id="19" name="Colunas19" dataDxfId="188" totalsRowDxfId="187"/>
    <tableColumn id="20" name="Colunas20" totalsRowDxfId="186"/>
    <tableColumn id="21" name="Colunas21" totalsRowDxfId="185"/>
    <tableColumn id="22" name="Colunas22" totalsRowDxfId="184"/>
    <tableColumn id="23" name="Colunas23" dataDxfId="183" totalsRowDxfId="182"/>
    <tableColumn id="24" name="Colunas24" dataDxfId="181" totalsRowDxfId="180"/>
    <tableColumn id="25" name="Colunas25" totalsRowDxfId="179"/>
    <tableColumn id="26" name="Colunas26" totalsRowDxfId="178"/>
    <tableColumn id="27" name="Colunas27" dataDxfId="177" totalsRowDxfId="176"/>
    <tableColumn id="28" name="Colunas28" totalsRowDxfId="175"/>
    <tableColumn id="29" name="Colunas29" totalsRowDxfId="174"/>
    <tableColumn id="30" name="Colunas30" totalsRowDxfId="173"/>
    <tableColumn id="31" name="Colunas31" dataDxfId="172" totalsRowDxfId="171"/>
    <tableColumn id="32" name="Colunas32" dataDxfId="170" totalsRowDxfId="169"/>
    <tableColumn id="33" name="Colunas33" dataDxfId="168" totalsRowDxfId="167"/>
    <tableColumn id="34" name="Colunas34" dataDxfId="166" totalsRowDxfId="165"/>
    <tableColumn id="35" name="Colunas35" dataDxfId="164" totalsRowDxfId="163"/>
    <tableColumn id="36" name="Colunas36" totalsRowDxfId="162"/>
    <tableColumn id="37" name="Colunas37" totalsRowDxfId="161"/>
    <tableColumn id="38" name="Colunas38" totalsRowDxfId="160"/>
    <tableColumn id="39" name="Colunas39" totalsRowDxfId="159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0" name="Tabela10" displayName="Tabela10" ref="B9:AN111" totalsRowShown="0" headerRowDxfId="158">
  <autoFilter ref="B9:AN111"/>
  <tableColumns count="39">
    <tableColumn id="1" name="Colunas1" dataDxfId="157"/>
    <tableColumn id="2" name="Colunas2" dataDxfId="156"/>
    <tableColumn id="3" name="Colunas3" dataDxfId="155"/>
    <tableColumn id="4" name="Colunas4" dataDxfId="154"/>
    <tableColumn id="5" name="Colunas5" dataDxfId="153"/>
    <tableColumn id="6" name="Colunas6" dataDxfId="152"/>
    <tableColumn id="7" name="Colunas7" dataDxfId="151"/>
    <tableColumn id="8" name="Colunas8" dataDxfId="150"/>
    <tableColumn id="9" name="Colunas9" dataDxfId="149"/>
    <tableColumn id="10" name="Colunas10" dataDxfId="148"/>
    <tableColumn id="11" name="Colunas11" dataDxfId="147"/>
    <tableColumn id="12" name="Colunas12" dataDxfId="146"/>
    <tableColumn id="13" name="Colunas13" dataDxfId="145"/>
    <tableColumn id="14" name="Colunas14" dataDxfId="144"/>
    <tableColumn id="15" name="Colunas15" dataDxfId="143"/>
    <tableColumn id="16" name="Colunas16" dataDxfId="142"/>
    <tableColumn id="17" name="Colunas17" dataDxfId="141"/>
    <tableColumn id="18" name="Colunas18" dataDxfId="140"/>
    <tableColumn id="19" name="Colunas19" dataDxfId="139"/>
    <tableColumn id="20" name="Colunas20" dataDxfId="138"/>
    <tableColumn id="21" name="Colunas21" dataDxfId="137" dataCellStyle="Porcentagem"/>
    <tableColumn id="22" name="Colunas22" dataDxfId="136"/>
    <tableColumn id="23" name="Colunas23" dataDxfId="135" dataCellStyle="Porcentagem"/>
    <tableColumn id="24" name="Colunas24" dataDxfId="134"/>
    <tableColumn id="25" name="Colunas25" dataDxfId="133" dataCellStyle="Porcentagem"/>
    <tableColumn id="26" name="Colunas26" dataDxfId="132"/>
    <tableColumn id="27" name="Colunas27" dataDxfId="131"/>
    <tableColumn id="28" name="Colunas28"/>
    <tableColumn id="29" name="Colunas29"/>
    <tableColumn id="30" name="Colunas30"/>
    <tableColumn id="31" name="Colunas31"/>
    <tableColumn id="32" name="Colunas32"/>
    <tableColumn id="33" name="Colunas33"/>
    <tableColumn id="34" name="Colunas34"/>
    <tableColumn id="35" name="Colunas35"/>
    <tableColumn id="36" name="Colunas36"/>
    <tableColumn id="37" name="Colunas37"/>
    <tableColumn id="38" name="Colunas38"/>
    <tableColumn id="39" name="Colunas39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2" name="Tabela103" displayName="Tabela103" ref="B115:AN218" totalsRowCount="1" headerRowDxfId="130">
  <autoFilter ref="B115:AN217">
    <filterColumn colId="5">
      <filters>
        <filter val="Setor: Gestão Transporte Escolar"/>
      </filters>
    </filterColumn>
  </autoFilter>
  <tableColumns count="39">
    <tableColumn id="1" name="Colunas1" dataDxfId="129" totalsRowDxfId="128"/>
    <tableColumn id="2" name="Colunas2" dataDxfId="127" totalsRowDxfId="126"/>
    <tableColumn id="3" name="Colunas3" dataDxfId="125" totalsRowDxfId="124"/>
    <tableColumn id="4" name="Colunas4" dataDxfId="123" totalsRowDxfId="122"/>
    <tableColumn id="5" name="Colunas5" dataDxfId="121" totalsRowDxfId="120"/>
    <tableColumn id="6" name="Colunas6" dataDxfId="119" totalsRowDxfId="118"/>
    <tableColumn id="7" name="Colunas7" dataDxfId="117" totalsRowDxfId="116"/>
    <tableColumn id="8" name="Colunas8" dataDxfId="115" totalsRowDxfId="114"/>
    <tableColumn id="9" name="Colunas9" dataDxfId="113" totalsRowDxfId="112"/>
    <tableColumn id="10" name="Colunas10" dataDxfId="111" totalsRowDxfId="110"/>
    <tableColumn id="11" name="Colunas11" dataDxfId="109" totalsRowDxfId="108"/>
    <tableColumn id="12" name="Colunas12" dataDxfId="107" totalsRowDxfId="106"/>
    <tableColumn id="13" name="Colunas13" dataDxfId="105" totalsRowDxfId="104"/>
    <tableColumn id="14" name="Colunas14" dataDxfId="103" totalsRowDxfId="102"/>
    <tableColumn id="15" name="Colunas15" dataDxfId="101" totalsRowDxfId="100"/>
    <tableColumn id="16" name="Colunas16" dataDxfId="99" totalsRowDxfId="98"/>
    <tableColumn id="17" name="Colunas17" dataDxfId="97" totalsRowDxfId="96"/>
    <tableColumn id="18" name="Colunas18" dataDxfId="95" totalsRowDxfId="94"/>
    <tableColumn id="19" name="Colunas19" dataDxfId="93" totalsRowDxfId="92"/>
    <tableColumn id="20" name="Colunas20" dataDxfId="91" totalsRowDxfId="90"/>
    <tableColumn id="21" name="Colunas21" dataDxfId="89" totalsRowDxfId="88" dataCellStyle="Porcentagem"/>
    <tableColumn id="22" name="Colunas22" dataDxfId="87" totalsRowDxfId="86"/>
    <tableColumn id="23" name="Colunas23" dataDxfId="85" totalsRowDxfId="84" dataCellStyle="Porcentagem"/>
    <tableColumn id="24" name="Colunas24" dataDxfId="83" totalsRowDxfId="82"/>
    <tableColumn id="25" name="Colunas25" dataDxfId="81" totalsRowDxfId="80" dataCellStyle="Porcentagem"/>
    <tableColumn id="26" name="Colunas26" dataDxfId="79" totalsRowDxfId="78"/>
    <tableColumn id="27" name="Colunas27" dataDxfId="77" totalsRowDxfId="76"/>
    <tableColumn id="28" name="Colunas28" totalsRowDxfId="75"/>
    <tableColumn id="29" name="Colunas29" totalsRowDxfId="74"/>
    <tableColumn id="30" name="Colunas30" totalsRowDxfId="73"/>
    <tableColumn id="31" name="Colunas31" totalsRowDxfId="72"/>
    <tableColumn id="32" name="Colunas32" totalsRowDxfId="71"/>
    <tableColumn id="33" name="Colunas33" totalsRowDxfId="70"/>
    <tableColumn id="34" name="Colunas34" totalsRowDxfId="69"/>
    <tableColumn id="35" name="Colunas35" totalsRowDxfId="68"/>
    <tableColumn id="36" name="Colunas36" totalsRowDxfId="67"/>
    <tableColumn id="37" name="Colunas37" totalsRowDxfId="66"/>
    <tableColumn id="38" name="Colunas38" totalsRowDxfId="65"/>
    <tableColumn id="39" name="Colunas39" totalsRowDxfId="64"/>
  </tableColumns>
  <tableStyleInfo name="TableStyleLight7" showFirstColumn="0" showLastColumn="0" showRowStripes="1" showColumnStripes="0"/>
</table>
</file>

<file path=xl/tables/table9.xml><?xml version="1.0" encoding="utf-8"?>
<table xmlns="http://schemas.openxmlformats.org/spreadsheetml/2006/main" id="12" name="Tabela12" displayName="Tabela12" ref="B9:AF114" totalsRowShown="0" headerRowDxfId="63" dataDxfId="62">
  <autoFilter ref="B9:AF114"/>
  <tableColumns count="31">
    <tableColumn id="1" name="Colunas1" dataDxfId="61"/>
    <tableColumn id="2" name="Colunas2" dataDxfId="60"/>
    <tableColumn id="3" name="Colunas3" dataDxfId="59"/>
    <tableColumn id="4" name="Colunas4" dataDxfId="58"/>
    <tableColumn id="5" name="Colunas5" dataDxfId="57"/>
    <tableColumn id="6" name="Colunas6" dataDxfId="56"/>
    <tableColumn id="7" name="Colunas7" dataDxfId="55"/>
    <tableColumn id="8" name="Colunas8" dataDxfId="54"/>
    <tableColumn id="9" name="Colunas9" dataDxfId="53"/>
    <tableColumn id="10" name="Colunas10" dataDxfId="52"/>
    <tableColumn id="11" name="Colunas11" dataDxfId="51"/>
    <tableColumn id="12" name="Colunas12" dataDxfId="50"/>
    <tableColumn id="13" name="Colunas13" dataDxfId="49"/>
    <tableColumn id="14" name="Colunas14"/>
    <tableColumn id="15" name="Colunas15" dataDxfId="48"/>
    <tableColumn id="16" name="Colunas16" dataDxfId="47"/>
    <tableColumn id="17" name="Colunas17" dataDxfId="46"/>
    <tableColumn id="18" name="Colunas18" dataDxfId="45"/>
    <tableColumn id="19" name="Colunas19" dataDxfId="44"/>
    <tableColumn id="20" name="Colunas20" dataDxfId="43"/>
    <tableColumn id="21" name="Colunas21" dataDxfId="42"/>
    <tableColumn id="22" name="Colunas22" dataDxfId="41"/>
    <tableColumn id="23" name="Colunas23" dataDxfId="40" dataCellStyle="Porcentagem"/>
    <tableColumn id="24" name="Colunas24" dataDxfId="39"/>
    <tableColumn id="25" name="Colunas25" dataDxfId="38"/>
    <tableColumn id="26" name="Colunas26" dataDxfId="37"/>
    <tableColumn id="27" name="Colunas27" dataDxfId="36"/>
    <tableColumn id="28" name="Colunas28" dataDxfId="35"/>
    <tableColumn id="29" name="Colunas29" dataDxfId="34"/>
    <tableColumn id="30" name="Colunas30" dataDxfId="33"/>
    <tableColumn id="31" name="Colunas31" dataDxfId="32"/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topLeftCell="A52" workbookViewId="0">
      <selection activeCell="E73" sqref="E73"/>
    </sheetView>
  </sheetViews>
  <sheetFormatPr defaultRowHeight="15" x14ac:dyDescent="0.25"/>
  <sheetData>
    <row r="1" spans="1:11" s="410" customFormat="1" ht="21" x14ac:dyDescent="0.35">
      <c r="A1" s="1466" t="s">
        <v>2946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</row>
    <row r="2" spans="1:11" s="410" customFormat="1" ht="12.75" customHeight="1" x14ac:dyDescent="0.35"/>
    <row r="3" spans="1:11" s="410" customFormat="1" ht="21" x14ac:dyDescent="0.35">
      <c r="A3" s="1466" t="s">
        <v>2947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</row>
    <row r="4" spans="1:11" s="410" customFormat="1" ht="11.25" customHeight="1" x14ac:dyDescent="0.35"/>
    <row r="5" spans="1:11" s="373" customFormat="1" ht="21" x14ac:dyDescent="0.35">
      <c r="A5" s="1465" t="s">
        <v>7059</v>
      </c>
      <c r="B5" s="1465"/>
      <c r="C5" s="1465"/>
      <c r="D5" s="1465"/>
      <c r="E5" s="1465"/>
      <c r="F5" s="1465"/>
      <c r="G5" s="1465"/>
      <c r="H5" s="1465"/>
      <c r="I5" s="1465"/>
      <c r="J5" s="1465"/>
      <c r="K5" s="1465"/>
    </row>
    <row r="7" spans="1:11" x14ac:dyDescent="0.25">
      <c r="A7" s="5" t="s">
        <v>1828</v>
      </c>
    </row>
    <row r="8" spans="1:11" x14ac:dyDescent="0.25">
      <c r="A8" s="5"/>
    </row>
    <row r="9" spans="1:11" x14ac:dyDescent="0.25">
      <c r="A9" s="5" t="s">
        <v>1837</v>
      </c>
    </row>
    <row r="10" spans="1:11" x14ac:dyDescent="0.25">
      <c r="A10" s="5"/>
    </row>
    <row r="11" spans="1:11" x14ac:dyDescent="0.25">
      <c r="A11" s="5" t="s">
        <v>1829</v>
      </c>
    </row>
    <row r="12" spans="1:11" x14ac:dyDescent="0.25">
      <c r="A12" s="5"/>
    </row>
    <row r="13" spans="1:11" x14ac:dyDescent="0.25">
      <c r="A13" s="5" t="s">
        <v>1830</v>
      </c>
    </row>
    <row r="14" spans="1:11" x14ac:dyDescent="0.25">
      <c r="A14" s="5"/>
    </row>
    <row r="15" spans="1:11" x14ac:dyDescent="0.25">
      <c r="A15" s="5" t="s">
        <v>1831</v>
      </c>
    </row>
    <row r="16" spans="1:11" x14ac:dyDescent="0.25">
      <c r="A16" s="5"/>
    </row>
    <row r="17" spans="1:1" x14ac:dyDescent="0.25">
      <c r="A17" s="5" t="s">
        <v>1832</v>
      </c>
    </row>
    <row r="18" spans="1:1" x14ac:dyDescent="0.25">
      <c r="A18" s="5"/>
    </row>
    <row r="19" spans="1:1" x14ac:dyDescent="0.25">
      <c r="A19" s="5" t="s">
        <v>1833</v>
      </c>
    </row>
    <row r="20" spans="1:1" x14ac:dyDescent="0.25">
      <c r="A20" s="5"/>
    </row>
    <row r="21" spans="1:1" x14ac:dyDescent="0.25">
      <c r="A21" s="5" t="s">
        <v>1834</v>
      </c>
    </row>
    <row r="22" spans="1:1" x14ac:dyDescent="0.25">
      <c r="A22" s="5"/>
    </row>
    <row r="23" spans="1:1" x14ac:dyDescent="0.25">
      <c r="A23" s="5" t="s">
        <v>1835</v>
      </c>
    </row>
    <row r="24" spans="1:1" x14ac:dyDescent="0.25">
      <c r="A24" s="5"/>
    </row>
    <row r="25" spans="1:1" x14ac:dyDescent="0.25">
      <c r="A25" s="5" t="s">
        <v>2592</v>
      </c>
    </row>
    <row r="26" spans="1:1" x14ac:dyDescent="0.25">
      <c r="A26" s="5"/>
    </row>
    <row r="27" spans="1:1" x14ac:dyDescent="0.25">
      <c r="A27" s="5" t="s">
        <v>1836</v>
      </c>
    </row>
    <row r="28" spans="1:1" x14ac:dyDescent="0.25">
      <c r="A28" s="5"/>
    </row>
    <row r="29" spans="1:1" x14ac:dyDescent="0.25">
      <c r="A29" t="s">
        <v>1838</v>
      </c>
    </row>
    <row r="31" spans="1:1" x14ac:dyDescent="0.25">
      <c r="A31" t="s">
        <v>2317</v>
      </c>
    </row>
    <row r="33" spans="1:16" x14ac:dyDescent="0.25">
      <c r="A33" t="s">
        <v>2319</v>
      </c>
    </row>
    <row r="35" spans="1:16" x14ac:dyDescent="0.25">
      <c r="A35" t="s">
        <v>2320</v>
      </c>
    </row>
    <row r="37" spans="1:16" x14ac:dyDescent="0.25">
      <c r="A37" t="s">
        <v>2321</v>
      </c>
    </row>
    <row r="39" spans="1:16" x14ac:dyDescent="0.25">
      <c r="A39" t="s">
        <v>2600</v>
      </c>
    </row>
    <row r="41" spans="1:16" x14ac:dyDescent="0.25">
      <c r="A41" t="s">
        <v>2420</v>
      </c>
    </row>
    <row r="43" spans="1:16" x14ac:dyDescent="0.25">
      <c r="A43" t="s">
        <v>2446</v>
      </c>
    </row>
    <row r="45" spans="1:16" x14ac:dyDescent="0.25">
      <c r="A45" t="s">
        <v>2468</v>
      </c>
    </row>
    <row r="47" spans="1:16" x14ac:dyDescent="0.25">
      <c r="A47" s="1467" t="s">
        <v>2477</v>
      </c>
      <c r="B47" s="1467"/>
      <c r="C47" s="1467"/>
      <c r="D47" s="1467"/>
      <c r="E47" s="1467"/>
      <c r="F47" s="1467"/>
      <c r="G47" s="1467"/>
      <c r="H47" s="1467"/>
      <c r="I47" s="1467"/>
      <c r="J47" s="1467"/>
      <c r="K47" s="1467"/>
      <c r="L47" s="1467"/>
      <c r="M47" s="1467"/>
      <c r="N47" s="1467"/>
      <c r="O47" s="1467"/>
      <c r="P47" s="1467"/>
    </row>
    <row r="49" spans="1:16" ht="21" customHeight="1" x14ac:dyDescent="0.25">
      <c r="A49" s="1464" t="s">
        <v>2489</v>
      </c>
      <c r="B49" s="1464"/>
      <c r="C49" s="1464"/>
      <c r="D49" s="1464"/>
      <c r="E49" s="1464"/>
      <c r="F49" s="1464"/>
      <c r="G49" s="1464"/>
      <c r="H49" s="1464"/>
      <c r="I49" s="1464"/>
      <c r="J49" s="1464"/>
      <c r="K49" s="1464"/>
      <c r="L49" s="1464"/>
      <c r="M49" s="1464"/>
      <c r="N49" s="1464"/>
      <c r="O49" s="1464"/>
    </row>
    <row r="51" spans="1:16" ht="19.5" customHeight="1" x14ac:dyDescent="0.25">
      <c r="A51" s="1464" t="s">
        <v>2493</v>
      </c>
      <c r="B51" s="1464"/>
      <c r="C51" s="1464"/>
      <c r="D51" s="1464"/>
      <c r="E51" s="1464"/>
      <c r="F51" s="1464"/>
      <c r="G51" s="1464"/>
      <c r="H51" s="1464"/>
      <c r="I51" s="1464"/>
      <c r="J51" s="1464"/>
      <c r="K51" s="1464"/>
      <c r="L51" s="1464"/>
      <c r="M51" s="1464"/>
      <c r="N51" s="1464"/>
      <c r="O51" s="1464"/>
      <c r="P51" s="1464"/>
    </row>
    <row r="53" spans="1:16" x14ac:dyDescent="0.25">
      <c r="A53" t="s">
        <v>2494</v>
      </c>
    </row>
    <row r="55" spans="1:16" x14ac:dyDescent="0.25">
      <c r="A55" t="s">
        <v>2496</v>
      </c>
    </row>
    <row r="57" spans="1:16" x14ac:dyDescent="0.25">
      <c r="A57" t="s">
        <v>2511</v>
      </c>
    </row>
    <row r="59" spans="1:16" x14ac:dyDescent="0.25">
      <c r="A59" t="s">
        <v>2521</v>
      </c>
    </row>
    <row r="61" spans="1:16" ht="16.5" customHeight="1" x14ac:dyDescent="0.25">
      <c r="A61" s="1464" t="s">
        <v>2563</v>
      </c>
      <c r="B61" s="1464"/>
      <c r="C61" s="1464"/>
      <c r="D61" s="1464"/>
      <c r="E61" s="1464"/>
      <c r="F61" s="1464"/>
      <c r="G61" s="1464"/>
      <c r="H61" s="1464"/>
      <c r="I61" s="1464"/>
      <c r="J61" s="1464"/>
      <c r="K61" s="1464"/>
      <c r="L61" s="1464"/>
      <c r="M61" s="1464"/>
      <c r="N61" s="1464"/>
      <c r="O61" s="1464"/>
    </row>
    <row r="63" spans="1:16" ht="19.5" customHeight="1" x14ac:dyDescent="0.25">
      <c r="A63" s="1464" t="s">
        <v>2575</v>
      </c>
      <c r="B63" s="1464"/>
      <c r="C63" s="1464"/>
      <c r="D63" s="1464"/>
      <c r="E63" s="1464"/>
      <c r="F63" s="1464"/>
      <c r="G63" s="1464"/>
      <c r="H63" s="1464"/>
      <c r="I63" s="1464"/>
      <c r="J63" s="1464"/>
      <c r="K63" s="1464"/>
      <c r="L63" s="1464"/>
      <c r="M63" s="1464"/>
    </row>
    <row r="64" spans="1:16" x14ac:dyDescent="0.25">
      <c r="H64" s="43"/>
    </row>
    <row r="65" spans="1:1" x14ac:dyDescent="0.25">
      <c r="A65" t="s">
        <v>2576</v>
      </c>
    </row>
    <row r="67" spans="1:1" x14ac:dyDescent="0.25">
      <c r="A67" t="s">
        <v>2601</v>
      </c>
    </row>
    <row r="69" spans="1:1" x14ac:dyDescent="0.25">
      <c r="A69" t="s">
        <v>2621</v>
      </c>
    </row>
    <row r="71" spans="1:1" x14ac:dyDescent="0.25">
      <c r="A71" t="s">
        <v>2937</v>
      </c>
    </row>
  </sheetData>
  <mergeCells count="8">
    <mergeCell ref="A63:M63"/>
    <mergeCell ref="A5:K5"/>
    <mergeCell ref="A3:K3"/>
    <mergeCell ref="A1:K1"/>
    <mergeCell ref="A47:P47"/>
    <mergeCell ref="A49:O49"/>
    <mergeCell ref="A51:P51"/>
    <mergeCell ref="A61:O61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5"/>
  <sheetViews>
    <sheetView topLeftCell="A622" workbookViewId="0">
      <selection activeCell="E446" sqref="E446"/>
    </sheetView>
  </sheetViews>
  <sheetFormatPr defaultRowHeight="15.75" x14ac:dyDescent="0.25"/>
  <cols>
    <col min="1" max="1" width="3" style="71" customWidth="1"/>
    <col min="2" max="2" width="23.85546875" style="71" customWidth="1"/>
    <col min="3" max="3" width="8.7109375" style="71" customWidth="1"/>
    <col min="4" max="4" width="83.5703125" style="71" customWidth="1"/>
    <col min="5" max="5" width="19.5703125" style="71" customWidth="1"/>
    <col min="6" max="6" width="19.7109375" style="71" customWidth="1"/>
    <col min="7" max="7" width="20" style="71" customWidth="1"/>
    <col min="8" max="8" width="51" style="71" customWidth="1"/>
    <col min="9" max="9" width="21.28515625" style="71" customWidth="1"/>
    <col min="10" max="258" width="5.7109375" style="71" customWidth="1"/>
    <col min="259" max="259" width="7.7109375" style="71" customWidth="1"/>
    <col min="260" max="260" width="81.7109375" style="71" customWidth="1"/>
    <col min="261" max="514" width="5.7109375" style="71" customWidth="1"/>
    <col min="515" max="515" width="7.7109375" style="71" customWidth="1"/>
    <col min="516" max="516" width="81.7109375" style="71" customWidth="1"/>
    <col min="517" max="770" width="5.7109375" style="71" customWidth="1"/>
    <col min="771" max="771" width="7.7109375" style="71" customWidth="1"/>
    <col min="772" max="772" width="81.7109375" style="71" customWidth="1"/>
    <col min="773" max="1026" width="5.7109375" style="71" customWidth="1"/>
    <col min="1027" max="1027" width="7.7109375" style="71" customWidth="1"/>
    <col min="1028" max="1028" width="81.7109375" style="71" customWidth="1"/>
    <col min="1029" max="1282" width="5.7109375" style="71" customWidth="1"/>
    <col min="1283" max="1283" width="7.7109375" style="71" customWidth="1"/>
    <col min="1284" max="1284" width="81.7109375" style="71" customWidth="1"/>
    <col min="1285" max="1538" width="5.7109375" style="71" customWidth="1"/>
    <col min="1539" max="1539" width="7.7109375" style="71" customWidth="1"/>
    <col min="1540" max="1540" width="81.7109375" style="71" customWidth="1"/>
    <col min="1541" max="1794" width="5.7109375" style="71" customWidth="1"/>
    <col min="1795" max="1795" width="7.7109375" style="71" customWidth="1"/>
    <col min="1796" max="1796" width="81.7109375" style="71" customWidth="1"/>
    <col min="1797" max="2050" width="5.7109375" style="71" customWidth="1"/>
    <col min="2051" max="2051" width="7.7109375" style="71" customWidth="1"/>
    <col min="2052" max="2052" width="81.7109375" style="71" customWidth="1"/>
    <col min="2053" max="2306" width="5.7109375" style="71" customWidth="1"/>
    <col min="2307" max="2307" width="7.7109375" style="71" customWidth="1"/>
    <col min="2308" max="2308" width="81.7109375" style="71" customWidth="1"/>
    <col min="2309" max="2562" width="5.7109375" style="71" customWidth="1"/>
    <col min="2563" max="2563" width="7.7109375" style="71" customWidth="1"/>
    <col min="2564" max="2564" width="81.7109375" style="71" customWidth="1"/>
    <col min="2565" max="2818" width="5.7109375" style="71" customWidth="1"/>
    <col min="2819" max="2819" width="7.7109375" style="71" customWidth="1"/>
    <col min="2820" max="2820" width="81.7109375" style="71" customWidth="1"/>
    <col min="2821" max="3074" width="5.7109375" style="71" customWidth="1"/>
    <col min="3075" max="3075" width="7.7109375" style="71" customWidth="1"/>
    <col min="3076" max="3076" width="81.7109375" style="71" customWidth="1"/>
    <col min="3077" max="3330" width="5.7109375" style="71" customWidth="1"/>
    <col min="3331" max="3331" width="7.7109375" style="71" customWidth="1"/>
    <col min="3332" max="3332" width="81.7109375" style="71" customWidth="1"/>
    <col min="3333" max="3586" width="5.7109375" style="71" customWidth="1"/>
    <col min="3587" max="3587" width="7.7109375" style="71" customWidth="1"/>
    <col min="3588" max="3588" width="81.7109375" style="71" customWidth="1"/>
    <col min="3589" max="3842" width="5.7109375" style="71" customWidth="1"/>
    <col min="3843" max="3843" width="7.7109375" style="71" customWidth="1"/>
    <col min="3844" max="3844" width="81.7109375" style="71" customWidth="1"/>
    <col min="3845" max="4098" width="5.7109375" style="71" customWidth="1"/>
    <col min="4099" max="4099" width="7.7109375" style="71" customWidth="1"/>
    <col min="4100" max="4100" width="81.7109375" style="71" customWidth="1"/>
    <col min="4101" max="4354" width="5.7109375" style="71" customWidth="1"/>
    <col min="4355" max="4355" width="7.7109375" style="71" customWidth="1"/>
    <col min="4356" max="4356" width="81.7109375" style="71" customWidth="1"/>
    <col min="4357" max="4610" width="5.7109375" style="71" customWidth="1"/>
    <col min="4611" max="4611" width="7.7109375" style="71" customWidth="1"/>
    <col min="4612" max="4612" width="81.7109375" style="71" customWidth="1"/>
    <col min="4613" max="4866" width="5.7109375" style="71" customWidth="1"/>
    <col min="4867" max="4867" width="7.7109375" style="71" customWidth="1"/>
    <col min="4868" max="4868" width="81.7109375" style="71" customWidth="1"/>
    <col min="4869" max="5122" width="5.7109375" style="71" customWidth="1"/>
    <col min="5123" max="5123" width="7.7109375" style="71" customWidth="1"/>
    <col min="5124" max="5124" width="81.7109375" style="71" customWidth="1"/>
    <col min="5125" max="5378" width="5.7109375" style="71" customWidth="1"/>
    <col min="5379" max="5379" width="7.7109375" style="71" customWidth="1"/>
    <col min="5380" max="5380" width="81.7109375" style="71" customWidth="1"/>
    <col min="5381" max="5634" width="5.7109375" style="71" customWidth="1"/>
    <col min="5635" max="5635" width="7.7109375" style="71" customWidth="1"/>
    <col min="5636" max="5636" width="81.7109375" style="71" customWidth="1"/>
    <col min="5637" max="5890" width="5.7109375" style="71" customWidth="1"/>
    <col min="5891" max="5891" width="7.7109375" style="71" customWidth="1"/>
    <col min="5892" max="5892" width="81.7109375" style="71" customWidth="1"/>
    <col min="5893" max="6146" width="5.7109375" style="71" customWidth="1"/>
    <col min="6147" max="6147" width="7.7109375" style="71" customWidth="1"/>
    <col min="6148" max="6148" width="81.7109375" style="71" customWidth="1"/>
    <col min="6149" max="6402" width="5.7109375" style="71" customWidth="1"/>
    <col min="6403" max="6403" width="7.7109375" style="71" customWidth="1"/>
    <col min="6404" max="6404" width="81.7109375" style="71" customWidth="1"/>
    <col min="6405" max="6658" width="5.7109375" style="71" customWidth="1"/>
    <col min="6659" max="6659" width="7.7109375" style="71" customWidth="1"/>
    <col min="6660" max="6660" width="81.7109375" style="71" customWidth="1"/>
    <col min="6661" max="6914" width="5.7109375" style="71" customWidth="1"/>
    <col min="6915" max="6915" width="7.7109375" style="71" customWidth="1"/>
    <col min="6916" max="6916" width="81.7109375" style="71" customWidth="1"/>
    <col min="6917" max="7170" width="5.7109375" style="71" customWidth="1"/>
    <col min="7171" max="7171" width="7.7109375" style="71" customWidth="1"/>
    <col min="7172" max="7172" width="81.7109375" style="71" customWidth="1"/>
    <col min="7173" max="7426" width="5.7109375" style="71" customWidth="1"/>
    <col min="7427" max="7427" width="7.7109375" style="71" customWidth="1"/>
    <col min="7428" max="7428" width="81.7109375" style="71" customWidth="1"/>
    <col min="7429" max="7682" width="5.7109375" style="71" customWidth="1"/>
    <col min="7683" max="7683" width="7.7109375" style="71" customWidth="1"/>
    <col min="7684" max="7684" width="81.7109375" style="71" customWidth="1"/>
    <col min="7685" max="7938" width="5.7109375" style="71" customWidth="1"/>
    <col min="7939" max="7939" width="7.7109375" style="71" customWidth="1"/>
    <col min="7940" max="7940" width="81.7109375" style="71" customWidth="1"/>
    <col min="7941" max="8194" width="5.7109375" style="71" customWidth="1"/>
    <col min="8195" max="8195" width="7.7109375" style="71" customWidth="1"/>
    <col min="8196" max="8196" width="81.7109375" style="71" customWidth="1"/>
    <col min="8197" max="8450" width="5.7109375" style="71" customWidth="1"/>
    <col min="8451" max="8451" width="7.7109375" style="71" customWidth="1"/>
    <col min="8452" max="8452" width="81.7109375" style="71" customWidth="1"/>
    <col min="8453" max="8706" width="5.7109375" style="71" customWidth="1"/>
    <col min="8707" max="8707" width="7.7109375" style="71" customWidth="1"/>
    <col min="8708" max="8708" width="81.7109375" style="71" customWidth="1"/>
    <col min="8709" max="8962" width="5.7109375" style="71" customWidth="1"/>
    <col min="8963" max="8963" width="7.7109375" style="71" customWidth="1"/>
    <col min="8964" max="8964" width="81.7109375" style="71" customWidth="1"/>
    <col min="8965" max="9218" width="5.7109375" style="71" customWidth="1"/>
    <col min="9219" max="9219" width="7.7109375" style="71" customWidth="1"/>
    <col min="9220" max="9220" width="81.7109375" style="71" customWidth="1"/>
    <col min="9221" max="9474" width="5.7109375" style="71" customWidth="1"/>
    <col min="9475" max="9475" width="7.7109375" style="71" customWidth="1"/>
    <col min="9476" max="9476" width="81.7109375" style="71" customWidth="1"/>
    <col min="9477" max="9730" width="5.7109375" style="71" customWidth="1"/>
    <col min="9731" max="9731" width="7.7109375" style="71" customWidth="1"/>
    <col min="9732" max="9732" width="81.7109375" style="71" customWidth="1"/>
    <col min="9733" max="9986" width="5.7109375" style="71" customWidth="1"/>
    <col min="9987" max="9987" width="7.7109375" style="71" customWidth="1"/>
    <col min="9988" max="9988" width="81.7109375" style="71" customWidth="1"/>
    <col min="9989" max="10242" width="5.7109375" style="71" customWidth="1"/>
    <col min="10243" max="10243" width="7.7109375" style="71" customWidth="1"/>
    <col min="10244" max="10244" width="81.7109375" style="71" customWidth="1"/>
    <col min="10245" max="10498" width="5.7109375" style="71" customWidth="1"/>
    <col min="10499" max="10499" width="7.7109375" style="71" customWidth="1"/>
    <col min="10500" max="10500" width="81.7109375" style="71" customWidth="1"/>
    <col min="10501" max="10754" width="5.7109375" style="71" customWidth="1"/>
    <col min="10755" max="10755" width="7.7109375" style="71" customWidth="1"/>
    <col min="10756" max="10756" width="81.7109375" style="71" customWidth="1"/>
    <col min="10757" max="11010" width="5.7109375" style="71" customWidth="1"/>
    <col min="11011" max="11011" width="7.7109375" style="71" customWidth="1"/>
    <col min="11012" max="11012" width="81.7109375" style="71" customWidth="1"/>
    <col min="11013" max="11266" width="5.7109375" style="71" customWidth="1"/>
    <col min="11267" max="11267" width="7.7109375" style="71" customWidth="1"/>
    <col min="11268" max="11268" width="81.7109375" style="71" customWidth="1"/>
    <col min="11269" max="11522" width="5.7109375" style="71" customWidth="1"/>
    <col min="11523" max="11523" width="7.7109375" style="71" customWidth="1"/>
    <col min="11524" max="11524" width="81.7109375" style="71" customWidth="1"/>
    <col min="11525" max="11778" width="5.7109375" style="71" customWidth="1"/>
    <col min="11779" max="11779" width="7.7109375" style="71" customWidth="1"/>
    <col min="11780" max="11780" width="81.7109375" style="71" customWidth="1"/>
    <col min="11781" max="12034" width="5.7109375" style="71" customWidth="1"/>
    <col min="12035" max="12035" width="7.7109375" style="71" customWidth="1"/>
    <col min="12036" max="12036" width="81.7109375" style="71" customWidth="1"/>
    <col min="12037" max="12290" width="5.7109375" style="71" customWidth="1"/>
    <col min="12291" max="12291" width="7.7109375" style="71" customWidth="1"/>
    <col min="12292" max="12292" width="81.7109375" style="71" customWidth="1"/>
    <col min="12293" max="12546" width="5.7109375" style="71" customWidth="1"/>
    <col min="12547" max="12547" width="7.7109375" style="71" customWidth="1"/>
    <col min="12548" max="12548" width="81.7109375" style="71" customWidth="1"/>
    <col min="12549" max="12802" width="5.7109375" style="71" customWidth="1"/>
    <col min="12803" max="12803" width="7.7109375" style="71" customWidth="1"/>
    <col min="12804" max="12804" width="81.7109375" style="71" customWidth="1"/>
    <col min="12805" max="13058" width="5.7109375" style="71" customWidth="1"/>
    <col min="13059" max="13059" width="7.7109375" style="71" customWidth="1"/>
    <col min="13060" max="13060" width="81.7109375" style="71" customWidth="1"/>
    <col min="13061" max="13314" width="5.7109375" style="71" customWidth="1"/>
    <col min="13315" max="13315" width="7.7109375" style="71" customWidth="1"/>
    <col min="13316" max="13316" width="81.7109375" style="71" customWidth="1"/>
    <col min="13317" max="13570" width="5.7109375" style="71" customWidth="1"/>
    <col min="13571" max="13571" width="7.7109375" style="71" customWidth="1"/>
    <col min="13572" max="13572" width="81.7109375" style="71" customWidth="1"/>
    <col min="13573" max="13826" width="5.7109375" style="71" customWidth="1"/>
    <col min="13827" max="13827" width="7.7109375" style="71" customWidth="1"/>
    <col min="13828" max="13828" width="81.7109375" style="71" customWidth="1"/>
    <col min="13829" max="14082" width="5.7109375" style="71" customWidth="1"/>
    <col min="14083" max="14083" width="7.7109375" style="71" customWidth="1"/>
    <col min="14084" max="14084" width="81.7109375" style="71" customWidth="1"/>
    <col min="14085" max="14338" width="5.7109375" style="71" customWidth="1"/>
    <col min="14339" max="14339" width="7.7109375" style="71" customWidth="1"/>
    <col min="14340" max="14340" width="81.7109375" style="71" customWidth="1"/>
    <col min="14341" max="14594" width="5.7109375" style="71" customWidth="1"/>
    <col min="14595" max="14595" width="7.7109375" style="71" customWidth="1"/>
    <col min="14596" max="14596" width="81.7109375" style="71" customWidth="1"/>
    <col min="14597" max="14850" width="5.7109375" style="71" customWidth="1"/>
    <col min="14851" max="14851" width="7.7109375" style="71" customWidth="1"/>
    <col min="14852" max="14852" width="81.7109375" style="71" customWidth="1"/>
    <col min="14853" max="15106" width="5.7109375" style="71" customWidth="1"/>
    <col min="15107" max="15107" width="7.7109375" style="71" customWidth="1"/>
    <col min="15108" max="15108" width="81.7109375" style="71" customWidth="1"/>
    <col min="15109" max="15362" width="5.7109375" style="71" customWidth="1"/>
    <col min="15363" max="15363" width="7.7109375" style="71" customWidth="1"/>
    <col min="15364" max="15364" width="81.7109375" style="71" customWidth="1"/>
    <col min="15365" max="15618" width="5.7109375" style="71" customWidth="1"/>
    <col min="15619" max="15619" width="7.7109375" style="71" customWidth="1"/>
    <col min="15620" max="15620" width="81.7109375" style="71" customWidth="1"/>
    <col min="15621" max="15874" width="5.7109375" style="71" customWidth="1"/>
    <col min="15875" max="15875" width="7.7109375" style="71" customWidth="1"/>
    <col min="15876" max="15876" width="81.7109375" style="71" customWidth="1"/>
    <col min="15877" max="16130" width="5.7109375" style="71" customWidth="1"/>
    <col min="16131" max="16131" width="7.7109375" style="71" customWidth="1"/>
    <col min="16132" max="16132" width="81.7109375" style="71" customWidth="1"/>
    <col min="16133" max="16384" width="5.7109375" style="71" customWidth="1"/>
  </cols>
  <sheetData>
    <row r="1" spans="2:10" s="410" customFormat="1" ht="26.25" x14ac:dyDescent="0.4">
      <c r="B1" s="1507" t="str">
        <f>'MANUAL PLANILHAS'!A$1</f>
        <v>Estado do Rio Grande do Sul</v>
      </c>
      <c r="C1" s="1507"/>
      <c r="D1" s="1507"/>
      <c r="E1" s="1507"/>
      <c r="F1" s="1507"/>
      <c r="G1" s="1507"/>
      <c r="H1" s="1507"/>
      <c r="I1" s="413"/>
      <c r="J1" s="413"/>
    </row>
    <row r="2" spans="2:10" s="410" customFormat="1" ht="12.75" customHeight="1" x14ac:dyDescent="0.35">
      <c r="C2" s="412"/>
      <c r="D2" s="411"/>
      <c r="G2" s="412"/>
    </row>
    <row r="3" spans="2:10" s="410" customFormat="1" ht="23.25" x14ac:dyDescent="0.35">
      <c r="B3" s="1508" t="str">
        <f>'MANUAL PLANILHAS'!A$3</f>
        <v>Município de Chuvisca</v>
      </c>
      <c r="C3" s="1508"/>
      <c r="D3" s="1508"/>
      <c r="E3" s="1508"/>
      <c r="F3" s="1508"/>
      <c r="G3" s="1508"/>
      <c r="H3" s="1508"/>
      <c r="I3" s="413"/>
      <c r="J3" s="413"/>
    </row>
    <row r="4" spans="2:10" s="410" customFormat="1" ht="10.5" customHeight="1" x14ac:dyDescent="0.35">
      <c r="C4" s="412"/>
      <c r="D4" s="411"/>
      <c r="G4" s="412"/>
    </row>
    <row r="5" spans="2:1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414"/>
      <c r="J5" s="414"/>
    </row>
    <row r="6" spans="2:10" ht="15" customHeight="1" x14ac:dyDescent="0.25">
      <c r="B6" s="1510"/>
      <c r="C6" s="1510"/>
      <c r="D6" s="1510"/>
      <c r="E6" s="1510"/>
    </row>
    <row r="7" spans="2:10" ht="15" customHeight="1" x14ac:dyDescent="0.25">
      <c r="B7" s="1511" t="s">
        <v>472</v>
      </c>
      <c r="C7" s="1511" t="s">
        <v>473</v>
      </c>
      <c r="D7" s="1512" t="s">
        <v>474</v>
      </c>
      <c r="E7" s="1513" t="s">
        <v>1573</v>
      </c>
      <c r="F7" s="1513"/>
      <c r="G7" s="1513"/>
      <c r="H7" s="1514" t="s">
        <v>1403</v>
      </c>
    </row>
    <row r="8" spans="2:10" ht="15" customHeight="1" x14ac:dyDescent="0.25">
      <c r="B8" s="1511"/>
      <c r="C8" s="1511"/>
      <c r="D8" s="1512"/>
      <c r="E8" s="72">
        <v>2020</v>
      </c>
      <c r="F8" s="72">
        <f>E8+1</f>
        <v>2021</v>
      </c>
      <c r="G8" s="72">
        <f>F8+1</f>
        <v>2022</v>
      </c>
      <c r="H8" s="1514"/>
    </row>
    <row r="9" spans="2:10" s="74" customFormat="1" ht="15" customHeight="1" x14ac:dyDescent="0.25">
      <c r="B9" s="73" t="s">
        <v>475</v>
      </c>
      <c r="D9" s="75" t="s">
        <v>473</v>
      </c>
      <c r="E9" s="76">
        <f>E10+E504</f>
        <v>31256223.812472802</v>
      </c>
      <c r="F9" s="76">
        <f>F10+F504</f>
        <v>29622120.792945646</v>
      </c>
      <c r="G9" s="76">
        <f>G10+G504</f>
        <v>30204588.721215554</v>
      </c>
    </row>
    <row r="10" spans="2:10" s="74" customFormat="1" ht="15" customHeight="1" x14ac:dyDescent="0.25">
      <c r="B10" s="73" t="s">
        <v>476</v>
      </c>
      <c r="D10" s="75" t="s">
        <v>477</v>
      </c>
      <c r="E10" s="76">
        <f>E11+E188+E191+E334+E441+E240</f>
        <v>26376546.742472801</v>
      </c>
      <c r="F10" s="76">
        <f>F11+F188+F191+F334+F441+F240-0.01</f>
        <v>27386024.915300645</v>
      </c>
      <c r="G10" s="76">
        <f>G11+G188+G191+G334+G441+G240-0.01</f>
        <v>27884527.443364985</v>
      </c>
      <c r="H10" s="1298"/>
    </row>
    <row r="11" spans="2:10" s="74" customFormat="1" ht="15" customHeight="1" x14ac:dyDescent="0.25">
      <c r="B11" s="73" t="s">
        <v>478</v>
      </c>
      <c r="D11" s="75" t="s">
        <v>479</v>
      </c>
      <c r="E11" s="76">
        <f>E12+E84+E178</f>
        <v>907617.79658912052</v>
      </c>
      <c r="F11" s="76">
        <f>F12+F84+F178</f>
        <v>944195.01064266206</v>
      </c>
      <c r="G11" s="76">
        <f>G12+G84+G178</f>
        <v>944198.76564266207</v>
      </c>
      <c r="H11" s="1298"/>
    </row>
    <row r="12" spans="2:10" s="74" customFormat="1" ht="15" customHeight="1" x14ac:dyDescent="0.25">
      <c r="B12" s="73" t="s">
        <v>480</v>
      </c>
      <c r="D12" s="75" t="s">
        <v>481</v>
      </c>
      <c r="E12" s="76">
        <f>E13+E33+0.01</f>
        <v>839693.01028813119</v>
      </c>
      <c r="F12" s="76">
        <f t="shared" ref="F12:G12" si="0">F13+F33+0.01</f>
        <v>873532.64900574286</v>
      </c>
      <c r="G12" s="76">
        <f t="shared" si="0"/>
        <v>873533.24980574287</v>
      </c>
      <c r="H12" s="1298"/>
    </row>
    <row r="13" spans="2:10" s="74" customFormat="1" ht="15" customHeight="1" x14ac:dyDescent="0.25">
      <c r="B13" s="73" t="s">
        <v>482</v>
      </c>
      <c r="D13" s="75" t="s">
        <v>483</v>
      </c>
      <c r="E13" s="77">
        <f>E14</f>
        <v>513822.90881718375</v>
      </c>
      <c r="F13" s="77">
        <f>F14</f>
        <v>534529.9828485162</v>
      </c>
      <c r="G13" s="77">
        <f>G14</f>
        <v>534530.13304851623</v>
      </c>
      <c r="H13" s="1298" t="s">
        <v>7300</v>
      </c>
    </row>
    <row r="14" spans="2:10" s="74" customFormat="1" ht="15" customHeight="1" x14ac:dyDescent="0.25">
      <c r="B14" s="73" t="s">
        <v>484</v>
      </c>
      <c r="D14" s="75" t="s">
        <v>485</v>
      </c>
      <c r="E14" s="77">
        <f>E15+E24-0.01</f>
        <v>513822.90881718375</v>
      </c>
      <c r="F14" s="77">
        <f>F15+F24-0.01</f>
        <v>534529.9828485162</v>
      </c>
      <c r="G14" s="77">
        <f>G15+G24-0.01</f>
        <v>534530.13304851623</v>
      </c>
      <c r="H14" s="1298"/>
    </row>
    <row r="15" spans="2:10" s="74" customFormat="1" ht="15" customHeight="1" x14ac:dyDescent="0.25">
      <c r="B15" s="73" t="s">
        <v>486</v>
      </c>
      <c r="D15" s="75" t="s">
        <v>487</v>
      </c>
      <c r="E15" s="77">
        <f>E16+E20</f>
        <v>489045.4422698298</v>
      </c>
      <c r="F15" s="77">
        <f>F16+F20</f>
        <v>508753.97359330393</v>
      </c>
      <c r="G15" s="77">
        <f>G16+G20</f>
        <v>508754.04869330395</v>
      </c>
      <c r="H15" s="1298"/>
    </row>
    <row r="16" spans="2:10" s="74" customFormat="1" ht="16.5" customHeight="1" x14ac:dyDescent="0.25">
      <c r="B16" s="73" t="s">
        <v>488</v>
      </c>
      <c r="D16" s="78" t="s">
        <v>135</v>
      </c>
      <c r="E16" s="79">
        <f>PUER!D48*(1+PUER!D$12)*(1+PUER!D$26)*(1+PUER!D$27)-0.01</f>
        <v>400842.07775564911</v>
      </c>
      <c r="F16" s="79">
        <f>E16*(1+PUER!E$10)</f>
        <v>416996.01348920178</v>
      </c>
      <c r="G16" s="79">
        <f>F16*1+PUER!F$10</f>
        <v>416996.05103920179</v>
      </c>
      <c r="H16" s="1298"/>
    </row>
    <row r="17" spans="2:8" ht="15" customHeight="1" x14ac:dyDescent="0.25">
      <c r="B17" s="80" t="s">
        <v>489</v>
      </c>
      <c r="C17" s="81">
        <v>1</v>
      </c>
      <c r="D17" s="82" t="s">
        <v>490</v>
      </c>
      <c r="E17" s="1305">
        <f>E16*(PUER!D$17)+0.01</f>
        <v>216454.73198805054</v>
      </c>
      <c r="F17" s="84">
        <f>E17*(1+PUER!E$10)</f>
        <v>225177.85768716899</v>
      </c>
      <c r="G17" s="84">
        <f>F17*1+PUER!F$10</f>
        <v>225177.895237169</v>
      </c>
      <c r="H17" s="1299" t="s">
        <v>1730</v>
      </c>
    </row>
    <row r="18" spans="2:8" ht="15" customHeight="1" x14ac:dyDescent="0.25">
      <c r="B18" s="80" t="s">
        <v>491</v>
      </c>
      <c r="C18" s="81">
        <v>2</v>
      </c>
      <c r="D18" s="82" t="s">
        <v>492</v>
      </c>
      <c r="E18" s="83">
        <f>E16*(PUER!D$19+PUER!D$20)</f>
        <v>104218.94021646878</v>
      </c>
      <c r="F18" s="84">
        <f>E18*(1+PUER!E$10)</f>
        <v>108418.96350719247</v>
      </c>
      <c r="G18" s="84">
        <f>F18*1+PUER!F$10</f>
        <v>108419.00105719246</v>
      </c>
      <c r="H18" s="1299" t="s">
        <v>1771</v>
      </c>
    </row>
    <row r="19" spans="2:8" ht="15" customHeight="1" x14ac:dyDescent="0.25">
      <c r="B19" s="80" t="s">
        <v>493</v>
      </c>
      <c r="C19" s="81">
        <v>3</v>
      </c>
      <c r="D19" s="82" t="s">
        <v>494</v>
      </c>
      <c r="E19" s="83">
        <f>E16*(PUER!D$24+PUER!D$25)-0.01</f>
        <v>80168.405551129836</v>
      </c>
      <c r="F19" s="84">
        <f>E19*(1+PUER!E$10)</f>
        <v>83399.192294840366</v>
      </c>
      <c r="G19" s="84">
        <f>F19*1+PUER!F$10</f>
        <v>83399.22984484036</v>
      </c>
      <c r="H19" s="1299" t="s">
        <v>1738</v>
      </c>
    </row>
    <row r="20" spans="2:8" s="74" customFormat="1" ht="15" customHeight="1" x14ac:dyDescent="0.25">
      <c r="B20" s="73" t="s">
        <v>495</v>
      </c>
      <c r="D20" s="75" t="s">
        <v>1583</v>
      </c>
      <c r="E20" s="79">
        <f>PUER!D49*(1+PUER!D$12)*(1+PUER!D$26)*(1+PUER!D$27)</f>
        <v>88203.364514180677</v>
      </c>
      <c r="F20" s="79">
        <f>E20*(1+PUER!E$10)</f>
        <v>91757.960104102152</v>
      </c>
      <c r="G20" s="79">
        <f>F20*1+PUER!F$10</f>
        <v>91757.997654102146</v>
      </c>
      <c r="H20" s="1298"/>
    </row>
    <row r="21" spans="2:8" ht="15" customHeight="1" x14ac:dyDescent="0.25">
      <c r="B21" s="80" t="s">
        <v>496</v>
      </c>
      <c r="C21" s="81">
        <v>4</v>
      </c>
      <c r="D21" s="82" t="s">
        <v>497</v>
      </c>
      <c r="E21" s="83">
        <f>E20*PUER!D$17</f>
        <v>47629.81683765757</v>
      </c>
      <c r="F21" s="84">
        <f>E21*(1+PUER!E$10)</f>
        <v>49549.298456215169</v>
      </c>
      <c r="G21" s="84">
        <f>F21*1+PUER!F$10</f>
        <v>49549.33600621517</v>
      </c>
      <c r="H21" s="1299" t="s">
        <v>1730</v>
      </c>
    </row>
    <row r="22" spans="2:8" ht="15" customHeight="1" x14ac:dyDescent="0.25">
      <c r="B22" s="80" t="s">
        <v>498</v>
      </c>
      <c r="C22" s="81">
        <v>5</v>
      </c>
      <c r="D22" s="82" t="s">
        <v>499</v>
      </c>
      <c r="E22" s="83">
        <f>E20*(PUER!D$19+PUER!D$20)</f>
        <v>22932.874773686977</v>
      </c>
      <c r="F22" s="84">
        <f>E22*(1+PUER!E$10)</f>
        <v>23857.069627066561</v>
      </c>
      <c r="G22" s="84">
        <f>F22*1+PUER!F$10</f>
        <v>23857.107177066562</v>
      </c>
      <c r="H22" s="1299" t="s">
        <v>1771</v>
      </c>
    </row>
    <row r="23" spans="2:8" ht="15" customHeight="1" x14ac:dyDescent="0.25">
      <c r="B23" s="80" t="s">
        <v>500</v>
      </c>
      <c r="C23" s="81">
        <v>6</v>
      </c>
      <c r="D23" s="82" t="s">
        <v>501</v>
      </c>
      <c r="E23" s="83">
        <f>E20*(PUER!D$24+PUER!D$25)</f>
        <v>17640.672902836137</v>
      </c>
      <c r="F23" s="84">
        <f>E23*(1+PUER!E$10)</f>
        <v>18351.592020820433</v>
      </c>
      <c r="G23" s="84">
        <f>F23*1+PUER!F$10</f>
        <v>18351.629570820434</v>
      </c>
      <c r="H23" s="1299" t="s">
        <v>1738</v>
      </c>
    </row>
    <row r="24" spans="2:8" s="74" customFormat="1" ht="15" customHeight="1" x14ac:dyDescent="0.25">
      <c r="B24" s="73" t="s">
        <v>502</v>
      </c>
      <c r="D24" s="75" t="s">
        <v>503</v>
      </c>
      <c r="E24" s="77">
        <f>E25+E29-0.01</f>
        <v>24777.476547353956</v>
      </c>
      <c r="F24" s="77">
        <f>F25+F29</f>
        <v>25776.019255212315</v>
      </c>
      <c r="G24" s="77">
        <f>G25+G29</f>
        <v>25776.094355212317</v>
      </c>
      <c r="H24" s="1298"/>
    </row>
    <row r="25" spans="2:8" s="74" customFormat="1" ht="15" customHeight="1" x14ac:dyDescent="0.25">
      <c r="B25" s="73" t="s">
        <v>504</v>
      </c>
      <c r="D25" s="75" t="s">
        <v>7296</v>
      </c>
      <c r="E25" s="79">
        <f>PUER!D50*(1+PUER!D$12)*(1+PUER!D$26)*(1+PUER!D$27)-0.03</f>
        <v>24495.297882329029</v>
      </c>
      <c r="F25" s="79">
        <f>E25*(1+PUER!E$10)</f>
        <v>25482.458386986887</v>
      </c>
      <c r="G25" s="79">
        <f>F25*1+PUER!F$10</f>
        <v>25482.495936986888</v>
      </c>
      <c r="H25" s="1298"/>
    </row>
    <row r="26" spans="2:8" ht="15" customHeight="1" x14ac:dyDescent="0.25">
      <c r="B26" s="80" t="s">
        <v>505</v>
      </c>
      <c r="C26" s="81">
        <v>7</v>
      </c>
      <c r="D26" s="82" t="s">
        <v>506</v>
      </c>
      <c r="E26" s="83">
        <f>E25*PUER!D$17</f>
        <v>13227.460856457676</v>
      </c>
      <c r="F26" s="84">
        <f>E26*(1+PUER!E$10)</f>
        <v>13760.52752897292</v>
      </c>
      <c r="G26" s="84">
        <f>F26*1+PUER!F$10</f>
        <v>13760.565078972919</v>
      </c>
      <c r="H26" s="1299" t="s">
        <v>1730</v>
      </c>
    </row>
    <row r="27" spans="2:8" ht="15" customHeight="1" x14ac:dyDescent="0.25">
      <c r="B27" s="80" t="s">
        <v>507</v>
      </c>
      <c r="C27" s="81">
        <v>8</v>
      </c>
      <c r="D27" s="82" t="s">
        <v>508</v>
      </c>
      <c r="E27" s="83">
        <f>E25*(PUER!D$19+PUER!D$20)</f>
        <v>6368.7774494055475</v>
      </c>
      <c r="F27" s="84">
        <f>E27*(1+PUER!E$10)</f>
        <v>6625.4391806165913</v>
      </c>
      <c r="G27" s="84">
        <f>F27*1+PUER!F$10</f>
        <v>6625.4767306165913</v>
      </c>
      <c r="H27" s="1299" t="s">
        <v>1771</v>
      </c>
    </row>
    <row r="28" spans="2:8" ht="15" customHeight="1" x14ac:dyDescent="0.25">
      <c r="B28" s="80" t="s">
        <v>509</v>
      </c>
      <c r="C28" s="81">
        <v>9</v>
      </c>
      <c r="D28" s="82" t="s">
        <v>510</v>
      </c>
      <c r="E28" s="83">
        <f>E25*(PUER!D$24+PUER!D$25)</f>
        <v>4899.0595764658055</v>
      </c>
      <c r="F28" s="84">
        <f>E28*(1+PUER!E$10)</f>
        <v>5096.4916773973773</v>
      </c>
      <c r="G28" s="84">
        <f>F28*1+PUER!F$10</f>
        <v>5096.5292273973773</v>
      </c>
      <c r="H28" s="1299" t="s">
        <v>1738</v>
      </c>
    </row>
    <row r="29" spans="2:8" s="74" customFormat="1" ht="15" customHeight="1" x14ac:dyDescent="0.25">
      <c r="B29" s="73" t="s">
        <v>511</v>
      </c>
      <c r="D29" s="75" t="s">
        <v>7297</v>
      </c>
      <c r="E29" s="79">
        <f>PUER!D51*(1+PUER!D$12)*(1+PUER!D$26)*(1+PUER!D$27)+0.01</f>
        <v>282.18866502492392</v>
      </c>
      <c r="F29" s="79">
        <f>E29*(1+PUER!E$10)</f>
        <v>293.56086822542835</v>
      </c>
      <c r="G29" s="79">
        <f>F29*1+PUER!F$10</f>
        <v>293.59841822542836</v>
      </c>
      <c r="H29" s="1298"/>
    </row>
    <row r="30" spans="2:8" ht="15" customHeight="1" x14ac:dyDescent="0.25">
      <c r="B30" s="80" t="s">
        <v>512</v>
      </c>
      <c r="C30" s="81">
        <v>10</v>
      </c>
      <c r="D30" s="82" t="s">
        <v>513</v>
      </c>
      <c r="E30" s="83">
        <f>E29*PUER!D$17</f>
        <v>152.38187911345892</v>
      </c>
      <c r="F30" s="84">
        <f>E30*(1+PUER!E$10)</f>
        <v>158.52286884173131</v>
      </c>
      <c r="G30" s="84">
        <f>F30*1+PUER!F$10</f>
        <v>158.56041884173132</v>
      </c>
      <c r="H30" s="1299" t="s">
        <v>1730</v>
      </c>
    </row>
    <row r="31" spans="2:8" ht="15" customHeight="1" x14ac:dyDescent="0.25">
      <c r="B31" s="80" t="s">
        <v>514</v>
      </c>
      <c r="C31" s="81">
        <v>11</v>
      </c>
      <c r="D31" s="82" t="s">
        <v>515</v>
      </c>
      <c r="E31" s="83">
        <f>E29*(PUER!D$19+PUER!D$20)</f>
        <v>73.369052906480221</v>
      </c>
      <c r="F31" s="84">
        <f>E31*(1+PUER!E$10)</f>
        <v>76.325825738611371</v>
      </c>
      <c r="G31" s="84">
        <f>F31*1+PUER!F$10</f>
        <v>76.363375738611367</v>
      </c>
      <c r="H31" s="1299" t="s">
        <v>1771</v>
      </c>
    </row>
    <row r="32" spans="2:8" ht="15" customHeight="1" x14ac:dyDescent="0.25">
      <c r="B32" s="80" t="s">
        <v>516</v>
      </c>
      <c r="C32" s="81">
        <v>12</v>
      </c>
      <c r="D32" s="82" t="s">
        <v>517</v>
      </c>
      <c r="E32" s="83">
        <f>E29*(PUER!D$24+PUER!D$25)</f>
        <v>56.437733004984786</v>
      </c>
      <c r="F32" s="84">
        <f>E32*(1+PUER!E$10)</f>
        <v>58.71217364508567</v>
      </c>
      <c r="G32" s="84">
        <f>F32*1+PUER!F$10</f>
        <v>58.749723645085673</v>
      </c>
      <c r="H32" s="1299" t="s">
        <v>1738</v>
      </c>
    </row>
    <row r="33" spans="2:8" s="74" customFormat="1" ht="15" customHeight="1" x14ac:dyDescent="0.25">
      <c r="B33" s="73" t="s">
        <v>518</v>
      </c>
      <c r="D33" s="75" t="s">
        <v>519</v>
      </c>
      <c r="E33" s="77">
        <f>E34+E67-0.01</f>
        <v>325870.09147094749</v>
      </c>
      <c r="F33" s="77">
        <f t="shared" ref="F33:G33" si="1">F34+F67</f>
        <v>339002.65615722665</v>
      </c>
      <c r="G33" s="77">
        <f t="shared" si="1"/>
        <v>339003.10675722669</v>
      </c>
      <c r="H33" s="1298"/>
    </row>
    <row r="34" spans="2:8" s="74" customFormat="1" ht="15" customHeight="1" x14ac:dyDescent="0.25">
      <c r="B34" s="73" t="s">
        <v>520</v>
      </c>
      <c r="D34" s="75" t="s">
        <v>521</v>
      </c>
      <c r="E34" s="77">
        <f>E35+E39+E43+E47+E51+E55+E59+E63</f>
        <v>125046.46784858441</v>
      </c>
      <c r="F34" s="77">
        <f t="shared" ref="F34:G34" si="2">F35+F39+F43+F47+F51+F55+F59+F63</f>
        <v>130085.84050288235</v>
      </c>
      <c r="G34" s="77">
        <f t="shared" si="2"/>
        <v>130086.14090288235</v>
      </c>
      <c r="H34" s="1298"/>
    </row>
    <row r="35" spans="2:8" s="74" customFormat="1" ht="15" customHeight="1" x14ac:dyDescent="0.25">
      <c r="B35" s="73" t="s">
        <v>522</v>
      </c>
      <c r="D35" s="75" t="s">
        <v>138</v>
      </c>
      <c r="E35" s="79">
        <f>PUER!D52*(1+PUER!D$12)*(1+PUER!D$26)*(1+PUER!D$27)-0.01</f>
        <v>75150.10942932748</v>
      </c>
      <c r="F35" s="79">
        <f>E35*(1+PUER!E$10)</f>
        <v>78178.658839329379</v>
      </c>
      <c r="G35" s="79">
        <f>F35*1+PUER!F$10</f>
        <v>78178.696389329372</v>
      </c>
      <c r="H35" s="1298"/>
    </row>
    <row r="36" spans="2:8" ht="15" customHeight="1" x14ac:dyDescent="0.25">
      <c r="B36" s="80" t="s">
        <v>523</v>
      </c>
      <c r="C36" s="81">
        <v>13</v>
      </c>
      <c r="D36" s="82" t="s">
        <v>524</v>
      </c>
      <c r="E36" s="83">
        <f>E35*PUER!D$17</f>
        <v>40581.05909183684</v>
      </c>
      <c r="F36" s="84">
        <f>E36*(1+PUER!E$10)</f>
        <v>42216.475773237864</v>
      </c>
      <c r="G36" s="84">
        <f>F36*1+PUER!F$10</f>
        <v>42216.513323237865</v>
      </c>
      <c r="H36" s="1299" t="s">
        <v>1730</v>
      </c>
    </row>
    <row r="37" spans="2:8" ht="15" customHeight="1" x14ac:dyDescent="0.25">
      <c r="B37" s="80" t="s">
        <v>525</v>
      </c>
      <c r="C37" s="81">
        <v>14</v>
      </c>
      <c r="D37" s="82" t="s">
        <v>526</v>
      </c>
      <c r="E37" s="83">
        <f>E35*(PUER!D$19+PUER!D$20)</f>
        <v>19539.028451625145</v>
      </c>
      <c r="F37" s="84">
        <f>E37*(1+PUER!E$10)</f>
        <v>20326.451298225638</v>
      </c>
      <c r="G37" s="84">
        <f>F37*1+PUER!F$10</f>
        <v>20326.488848225639</v>
      </c>
      <c r="H37" s="1299" t="s">
        <v>1771</v>
      </c>
    </row>
    <row r="38" spans="2:8" ht="15" customHeight="1" x14ac:dyDescent="0.25">
      <c r="B38" s="80" t="s">
        <v>527</v>
      </c>
      <c r="C38" s="81">
        <v>15</v>
      </c>
      <c r="D38" s="82" t="s">
        <v>528</v>
      </c>
      <c r="E38" s="83">
        <f>E35*(PUER!D$24+PUER!D$25)</f>
        <v>15030.021885865497</v>
      </c>
      <c r="F38" s="84">
        <f>E38*(1+PUER!E$10)</f>
        <v>15635.731767865876</v>
      </c>
      <c r="G38" s="84">
        <f>F38*1+PUER!F$10</f>
        <v>15635.769317865876</v>
      </c>
      <c r="H38" s="1299" t="s">
        <v>1738</v>
      </c>
    </row>
    <row r="39" spans="2:8" s="74" customFormat="1" ht="15" customHeight="1" x14ac:dyDescent="0.25">
      <c r="B39" s="73" t="s">
        <v>529</v>
      </c>
      <c r="D39" s="75" t="s">
        <v>139</v>
      </c>
      <c r="E39" s="79">
        <f>PUER!D53*(1+PUER!D$12)*(1+PUER!D$26)*(1+PUER!D$27)</f>
        <v>329.61007327902081</v>
      </c>
      <c r="F39" s="79">
        <f>E39*(1+PUER!E$10)</f>
        <v>342.89335923216532</v>
      </c>
      <c r="G39" s="79">
        <f>F39*1+PUER!F$10</f>
        <v>342.93090923216533</v>
      </c>
      <c r="H39" s="1298"/>
    </row>
    <row r="40" spans="2:8" ht="15" customHeight="1" x14ac:dyDescent="0.25">
      <c r="B40" s="80" t="s">
        <v>530</v>
      </c>
      <c r="C40" s="81">
        <v>16</v>
      </c>
      <c r="D40" s="82" t="s">
        <v>531</v>
      </c>
      <c r="E40" s="83">
        <f>E39*PUER!D$17</f>
        <v>177.98943957067124</v>
      </c>
      <c r="F40" s="84">
        <f>E40*(1+PUER!E$10)</f>
        <v>185.16241398536928</v>
      </c>
      <c r="G40" s="84">
        <f>F40*1+PUER!F$10</f>
        <v>185.19996398536929</v>
      </c>
      <c r="H40" s="1299" t="s">
        <v>1730</v>
      </c>
    </row>
    <row r="41" spans="2:8" ht="15" customHeight="1" x14ac:dyDescent="0.25">
      <c r="B41" s="80" t="s">
        <v>532</v>
      </c>
      <c r="C41" s="81">
        <v>17</v>
      </c>
      <c r="D41" s="82" t="s">
        <v>533</v>
      </c>
      <c r="E41" s="83">
        <f>E39*(PUER!D$19+PUER!D$20)</f>
        <v>85.698619052545411</v>
      </c>
      <c r="F41" s="84">
        <f>E41*(1+PUER!E$10)</f>
        <v>89.152273400362986</v>
      </c>
      <c r="G41" s="84">
        <f>F41*1+PUER!F$10</f>
        <v>89.189823400362982</v>
      </c>
      <c r="H41" s="1299" t="s">
        <v>1771</v>
      </c>
    </row>
    <row r="42" spans="2:8" ht="15" customHeight="1" x14ac:dyDescent="0.25">
      <c r="B42" s="80" t="s">
        <v>534</v>
      </c>
      <c r="C42" s="81">
        <v>18</v>
      </c>
      <c r="D42" s="82" t="s">
        <v>535</v>
      </c>
      <c r="E42" s="83">
        <f>E39*(PUER!D$24+PUER!D$25)</f>
        <v>65.922014655804162</v>
      </c>
      <c r="F42" s="84">
        <f>E42*(1+PUER!E$10)</f>
        <v>68.578671846433068</v>
      </c>
      <c r="G42" s="84">
        <f>F42*1+PUER!F$10</f>
        <v>68.616221846433064</v>
      </c>
      <c r="H42" s="1299" t="s">
        <v>1738</v>
      </c>
    </row>
    <row r="43" spans="2:8" s="74" customFormat="1" ht="15" customHeight="1" x14ac:dyDescent="0.25">
      <c r="B43" s="73" t="s">
        <v>536</v>
      </c>
      <c r="D43" s="78" t="s">
        <v>140</v>
      </c>
      <c r="E43" s="79">
        <f>PUER!D54*(1+PUER!D$12)*(1+PUER!D$26)*(1+PUER!D$27)</f>
        <v>986.87775145995658</v>
      </c>
      <c r="F43" s="79">
        <f>E43*(1+PUER!E$10)</f>
        <v>1026.6489248437929</v>
      </c>
      <c r="G43" s="79">
        <f>F43*1+PUER!F$10</f>
        <v>1026.6864748437929</v>
      </c>
      <c r="H43" s="1298"/>
    </row>
    <row r="44" spans="2:8" ht="15" customHeight="1" x14ac:dyDescent="0.25">
      <c r="B44" s="80" t="s">
        <v>537</v>
      </c>
      <c r="C44" s="81">
        <v>19</v>
      </c>
      <c r="D44" s="82" t="s">
        <v>538</v>
      </c>
      <c r="E44" s="83">
        <f>E43*PUER!D$17</f>
        <v>532.91398578837664</v>
      </c>
      <c r="F44" s="84">
        <f>E44*(1+PUER!E$10)</f>
        <v>554.39041941564824</v>
      </c>
      <c r="G44" s="84">
        <f>F44*1+PUER!F$10</f>
        <v>554.42796941564825</v>
      </c>
      <c r="H44" s="1299" t="s">
        <v>1730</v>
      </c>
    </row>
    <row r="45" spans="2:8" ht="15" customHeight="1" x14ac:dyDescent="0.25">
      <c r="B45" s="80" t="s">
        <v>539</v>
      </c>
      <c r="C45" s="81">
        <v>20</v>
      </c>
      <c r="D45" s="82" t="s">
        <v>540</v>
      </c>
      <c r="E45" s="83">
        <f>E43*(PUER!D$19+PUER!D$20)</f>
        <v>256.58821537958875</v>
      </c>
      <c r="F45" s="84">
        <f>E45*(1+PUER!E$10)</f>
        <v>266.92872045938617</v>
      </c>
      <c r="G45" s="84">
        <f>F45*1+PUER!F$10</f>
        <v>266.96627045938618</v>
      </c>
      <c r="H45" s="1299" t="s">
        <v>1771</v>
      </c>
    </row>
    <row r="46" spans="2:8" ht="15" customHeight="1" x14ac:dyDescent="0.25">
      <c r="B46" s="80" t="s">
        <v>541</v>
      </c>
      <c r="C46" s="81">
        <v>21</v>
      </c>
      <c r="D46" s="82" t="s">
        <v>542</v>
      </c>
      <c r="E46" s="83">
        <f>E43*(PUER!D$24+PUER!D$25)</f>
        <v>197.37555029199132</v>
      </c>
      <c r="F46" s="84">
        <f>E46*(1+PUER!E$10)</f>
        <v>205.32978496875856</v>
      </c>
      <c r="G46" s="84">
        <f>F46*1+PUER!F$10</f>
        <v>205.36733496875857</v>
      </c>
      <c r="H46" s="1299" t="s">
        <v>1738</v>
      </c>
    </row>
    <row r="47" spans="2:8" s="74" customFormat="1" ht="15" customHeight="1" x14ac:dyDescent="0.25">
      <c r="B47" s="73" t="s">
        <v>543</v>
      </c>
      <c r="D47" s="75" t="s">
        <v>140</v>
      </c>
      <c r="E47" s="79">
        <f>PUER!D55*(1+PUER!D$12)*(1+PUER!D$26)*(1+PUER!D$27)-0.01</f>
        <v>324.65103578838915</v>
      </c>
      <c r="F47" s="79">
        <f>E47*(1+PUER!E$10)</f>
        <v>337.73447253066121</v>
      </c>
      <c r="G47" s="79">
        <f>F47*1+PUER!F$10</f>
        <v>337.77202253066122</v>
      </c>
      <c r="H47" s="1298"/>
    </row>
    <row r="48" spans="2:8" ht="15" customHeight="1" x14ac:dyDescent="0.25">
      <c r="B48" s="80" t="s">
        <v>544</v>
      </c>
      <c r="C48" s="81">
        <v>22</v>
      </c>
      <c r="D48" s="82" t="s">
        <v>545</v>
      </c>
      <c r="E48" s="83">
        <f>E47*PUER!D$17+0.01</f>
        <v>175.32155932573014</v>
      </c>
      <c r="F48" s="84">
        <f>E48*(1+PUER!E$10)</f>
        <v>182.38701816655706</v>
      </c>
      <c r="G48" s="84">
        <f>F48*1+PUER!F$10</f>
        <v>182.42456816655707</v>
      </c>
      <c r="H48" s="1299" t="s">
        <v>1730</v>
      </c>
    </row>
    <row r="49" spans="2:8" ht="15" customHeight="1" x14ac:dyDescent="0.25">
      <c r="B49" s="80" t="s">
        <v>546</v>
      </c>
      <c r="C49" s="81">
        <v>23</v>
      </c>
      <c r="D49" s="82" t="s">
        <v>547</v>
      </c>
      <c r="E49" s="83">
        <f>E47*(PUER!D$19+PUER!D$20)</f>
        <v>84.40926930498118</v>
      </c>
      <c r="F49" s="84">
        <f>E49*(1+PUER!E$10)</f>
        <v>87.810962857971916</v>
      </c>
      <c r="G49" s="84">
        <f>F49*1+PUER!F$10</f>
        <v>87.848512857971912</v>
      </c>
      <c r="H49" s="1299" t="s">
        <v>1771</v>
      </c>
    </row>
    <row r="50" spans="2:8" ht="15" customHeight="1" x14ac:dyDescent="0.25">
      <c r="B50" s="80" t="s">
        <v>548</v>
      </c>
      <c r="C50" s="81">
        <v>24</v>
      </c>
      <c r="D50" s="82" t="s">
        <v>549</v>
      </c>
      <c r="E50" s="83">
        <f>E47*(PUER!D$24+PUER!D$25)-0.01</f>
        <v>64.920207157677822</v>
      </c>
      <c r="F50" s="84">
        <f>E50*(1+PUER!E$10)</f>
        <v>67.536491506132236</v>
      </c>
      <c r="G50" s="84">
        <f>F50*1+PUER!F$10</f>
        <v>67.574041506132232</v>
      </c>
      <c r="H50" s="1299" t="s">
        <v>1738</v>
      </c>
    </row>
    <row r="51" spans="2:8" s="74" customFormat="1" ht="15" customHeight="1" x14ac:dyDescent="0.25">
      <c r="B51" s="73" t="s">
        <v>550</v>
      </c>
      <c r="D51" s="75" t="s">
        <v>141</v>
      </c>
      <c r="E51" s="79">
        <f>PUER!D56*(1+PUER!D$12)*(1+PUER!D$26)*(1+PUER!D$27)+0.01</f>
        <v>48090.834691593453</v>
      </c>
      <c r="F51" s="79">
        <f>E51*(1+PUER!E$10)</f>
        <v>50028.895329664672</v>
      </c>
      <c r="G51" s="79">
        <f>F51*1+PUER!F$10</f>
        <v>50028.932879664673</v>
      </c>
      <c r="H51" s="1298"/>
    </row>
    <row r="52" spans="2:8" ht="15" customHeight="1" x14ac:dyDescent="0.25">
      <c r="B52" s="80" t="s">
        <v>551</v>
      </c>
      <c r="C52" s="81">
        <v>25</v>
      </c>
      <c r="D52" s="82" t="s">
        <v>552</v>
      </c>
      <c r="E52" s="83">
        <f>E51*PUER!D$17</f>
        <v>25969.050733460466</v>
      </c>
      <c r="F52" s="84">
        <f>E52*(1+PUER!E$10)</f>
        <v>27015.603478018922</v>
      </c>
      <c r="G52" s="84">
        <f>F52*1+PUER!F$10</f>
        <v>27015.641028018923</v>
      </c>
      <c r="H52" s="1299" t="s">
        <v>1730</v>
      </c>
    </row>
    <row r="53" spans="2:8" ht="15" customHeight="1" x14ac:dyDescent="0.25">
      <c r="B53" s="80" t="s">
        <v>553</v>
      </c>
      <c r="C53" s="81">
        <v>26</v>
      </c>
      <c r="D53" s="82" t="s">
        <v>554</v>
      </c>
      <c r="E53" s="83">
        <f>E51*(PUER!D$19+PUER!D$20)-0.01</f>
        <v>12503.607019814297</v>
      </c>
      <c r="F53" s="84">
        <f>E53*(1+PUER!E$10)</f>
        <v>13007.502382712813</v>
      </c>
      <c r="G53" s="84">
        <f>F53*1+PUER!F$10</f>
        <v>13007.539932712813</v>
      </c>
      <c r="H53" s="1299" t="s">
        <v>1771</v>
      </c>
    </row>
    <row r="54" spans="2:8" ht="15" customHeight="1" x14ac:dyDescent="0.25">
      <c r="B54" s="80" t="s">
        <v>555</v>
      </c>
      <c r="C54" s="81">
        <v>27</v>
      </c>
      <c r="D54" s="82" t="s">
        <v>556</v>
      </c>
      <c r="E54" s="83">
        <f>E51*(PUER!D$24+PUER!D$25)</f>
        <v>9618.1669383186909</v>
      </c>
      <c r="F54" s="84">
        <f>E54*(1+PUER!E$10)</f>
        <v>10005.779065932935</v>
      </c>
      <c r="G54" s="84">
        <f>F54*1+PUER!F$10</f>
        <v>10005.816615932934</v>
      </c>
      <c r="H54" s="1299" t="s">
        <v>1738</v>
      </c>
    </row>
    <row r="55" spans="2:8" s="74" customFormat="1" ht="15" customHeight="1" x14ac:dyDescent="0.25">
      <c r="B55" s="73" t="s">
        <v>557</v>
      </c>
      <c r="D55" s="75" t="s">
        <v>142</v>
      </c>
      <c r="E55" s="85">
        <f>(PUER!D57*(1+PUER!D$12))*(1+PUER!D$26)*(1+PUER!D$27)+0.01</f>
        <v>1.2629208837042429</v>
      </c>
      <c r="F55" s="79">
        <f>E55*(1+PUER!E$10)</f>
        <v>1.313816595317524</v>
      </c>
      <c r="G55" s="79">
        <f>F55*1+PUER!F$10</f>
        <v>1.351366595317524</v>
      </c>
      <c r="H55" s="1298"/>
    </row>
    <row r="56" spans="2:8" ht="15" customHeight="1" x14ac:dyDescent="0.25">
      <c r="B56" s="80" t="s">
        <v>558</v>
      </c>
      <c r="C56" s="81">
        <v>28</v>
      </c>
      <c r="D56" s="82" t="s">
        <v>559</v>
      </c>
      <c r="E56" s="83">
        <f>E55*PUER!D$17</f>
        <v>0.68197727720029122</v>
      </c>
      <c r="F56" s="84">
        <f>E56*(1+PUER!E$10)</f>
        <v>0.70946096147146298</v>
      </c>
      <c r="G56" s="84">
        <f>F56*1+PUER!F$10</f>
        <v>0.74701096147146295</v>
      </c>
      <c r="H56" s="1299" t="s">
        <v>1730</v>
      </c>
    </row>
    <row r="57" spans="2:8" ht="15" customHeight="1" x14ac:dyDescent="0.25">
      <c r="B57" s="80" t="s">
        <v>560</v>
      </c>
      <c r="C57" s="81">
        <v>29</v>
      </c>
      <c r="D57" s="82" t="s">
        <v>561</v>
      </c>
      <c r="E57" s="83">
        <f>E55*(PUER!D$19+PUER!D$20)</f>
        <v>0.32835942976310317</v>
      </c>
      <c r="F57" s="84">
        <f>E57*(1+PUER!E$10)</f>
        <v>0.34159231478255625</v>
      </c>
      <c r="G57" s="84">
        <f>F57*1+PUER!F$10</f>
        <v>0.37914231478255622</v>
      </c>
      <c r="H57" s="1299" t="s">
        <v>1771</v>
      </c>
    </row>
    <row r="58" spans="2:8" ht="15" customHeight="1" x14ac:dyDescent="0.25">
      <c r="B58" s="80" t="s">
        <v>562</v>
      </c>
      <c r="C58" s="81">
        <v>30</v>
      </c>
      <c r="D58" s="82" t="s">
        <v>563</v>
      </c>
      <c r="E58" s="83">
        <f>E55*(PUER!D$24+PUER!D$25)</f>
        <v>0.2525841767408486</v>
      </c>
      <c r="F58" s="84">
        <f>E58*(1+PUER!E$10)</f>
        <v>0.26276331906350481</v>
      </c>
      <c r="G58" s="84">
        <f>F58*1+PUER!F$10</f>
        <v>0.30031331906350478</v>
      </c>
      <c r="H58" s="1299" t="s">
        <v>1738</v>
      </c>
    </row>
    <row r="59" spans="2:8" s="74" customFormat="1" ht="15" customHeight="1" x14ac:dyDescent="0.25">
      <c r="B59" s="73" t="s">
        <v>564</v>
      </c>
      <c r="D59" s="75" t="s">
        <v>143</v>
      </c>
      <c r="E59" s="85">
        <f>(PUER!D58*(1+PUER!D$12))*(1+PUER!D$26)*(1+PUER!D$27)+0.01</f>
        <v>1.2629208837042429</v>
      </c>
      <c r="F59" s="79">
        <f>E59*(1+PUER!E$10)</f>
        <v>1.313816595317524</v>
      </c>
      <c r="G59" s="79">
        <f>F59*1+PUER!F$10</f>
        <v>1.351366595317524</v>
      </c>
      <c r="H59" s="1298"/>
    </row>
    <row r="60" spans="2:8" ht="15" customHeight="1" x14ac:dyDescent="0.25">
      <c r="B60" s="80" t="s">
        <v>565</v>
      </c>
      <c r="C60" s="81">
        <v>31</v>
      </c>
      <c r="D60" s="82" t="s">
        <v>566</v>
      </c>
      <c r="E60" s="83">
        <f>E59*PUER!D$17</f>
        <v>0.68197727720029122</v>
      </c>
      <c r="F60" s="84">
        <f>E60*(1+PUER!E$10)</f>
        <v>0.70946096147146298</v>
      </c>
      <c r="G60" s="84">
        <f>F60*1+PUER!F$10</f>
        <v>0.74701096147146295</v>
      </c>
      <c r="H60" s="1299" t="s">
        <v>1730</v>
      </c>
    </row>
    <row r="61" spans="2:8" ht="15" customHeight="1" x14ac:dyDescent="0.25">
      <c r="B61" s="80" t="s">
        <v>567</v>
      </c>
      <c r="C61" s="81">
        <v>32</v>
      </c>
      <c r="D61" s="82" t="s">
        <v>568</v>
      </c>
      <c r="E61" s="83">
        <f>E59*(PUER!D$19+PUER!D$20)</f>
        <v>0.32835942976310317</v>
      </c>
      <c r="F61" s="84">
        <f>E61*(1+PUER!E$10)</f>
        <v>0.34159231478255625</v>
      </c>
      <c r="G61" s="84">
        <f>F61*1+PUER!F$10</f>
        <v>0.37914231478255622</v>
      </c>
      <c r="H61" s="1299" t="s">
        <v>1771</v>
      </c>
    </row>
    <row r="62" spans="2:8" ht="15" customHeight="1" x14ac:dyDescent="0.25">
      <c r="B62" s="80" t="s">
        <v>569</v>
      </c>
      <c r="C62" s="81">
        <v>33</v>
      </c>
      <c r="D62" s="82" t="s">
        <v>570</v>
      </c>
      <c r="E62" s="83">
        <f>E59*(PUER!D$24+PUER!D$25)</f>
        <v>0.2525841767408486</v>
      </c>
      <c r="F62" s="84">
        <f>E62*(1+PUER!E$10)</f>
        <v>0.26276331906350481</v>
      </c>
      <c r="G62" s="84">
        <f>F62*1+PUER!F$10</f>
        <v>0.30031331906350478</v>
      </c>
      <c r="H62" s="1299" t="s">
        <v>1738</v>
      </c>
    </row>
    <row r="63" spans="2:8" s="74" customFormat="1" ht="15" customHeight="1" x14ac:dyDescent="0.25">
      <c r="B63" s="73" t="s">
        <v>571</v>
      </c>
      <c r="D63" s="75" t="s">
        <v>144</v>
      </c>
      <c r="E63" s="85">
        <f>(PUER!D59*(1+PUER!D$12))*(1+PUER!D$26)*(1+PUER!D$27)-0.01</f>
        <v>161.85902536869682</v>
      </c>
      <c r="F63" s="79">
        <f>E63*(1+PUER!E$10)</f>
        <v>168.38194409105529</v>
      </c>
      <c r="G63" s="79">
        <f>F63*1+PUER!F$10</f>
        <v>168.4194940910553</v>
      </c>
      <c r="H63" s="1298"/>
    </row>
    <row r="64" spans="2:8" ht="15" customHeight="1" x14ac:dyDescent="0.25">
      <c r="B64" s="80" t="s">
        <v>572</v>
      </c>
      <c r="C64" s="81">
        <v>34</v>
      </c>
      <c r="D64" s="82" t="s">
        <v>573</v>
      </c>
      <c r="E64" s="83">
        <f>E63*PUER!D$17+0.01</f>
        <v>87.4138736990963</v>
      </c>
      <c r="F64" s="84">
        <f>E64*(1+PUER!E$10)</f>
        <v>90.936652809169885</v>
      </c>
      <c r="G64" s="84">
        <f>F64*1+PUER!F$10</f>
        <v>90.974202809169881</v>
      </c>
      <c r="H64" s="1299" t="s">
        <v>1730</v>
      </c>
    </row>
    <row r="65" spans="2:8" ht="15" customHeight="1" x14ac:dyDescent="0.25">
      <c r="B65" s="80" t="s">
        <v>574</v>
      </c>
      <c r="C65" s="81">
        <v>35</v>
      </c>
      <c r="D65" s="82" t="s">
        <v>575</v>
      </c>
      <c r="E65" s="83">
        <f>E63*(PUER!D$19+PUER!D$20)+0.01</f>
        <v>42.093346595861171</v>
      </c>
      <c r="F65" s="84">
        <f>E65*(1+PUER!E$10)</f>
        <v>43.789708463674373</v>
      </c>
      <c r="G65" s="84">
        <f>F65*1+PUER!F$10</f>
        <v>43.827258463674376</v>
      </c>
      <c r="H65" s="1299" t="s">
        <v>1771</v>
      </c>
    </row>
    <row r="66" spans="2:8" ht="15" customHeight="1" x14ac:dyDescent="0.25">
      <c r="B66" s="80" t="s">
        <v>576</v>
      </c>
      <c r="C66" s="81">
        <v>36</v>
      </c>
      <c r="D66" s="82" t="s">
        <v>577</v>
      </c>
      <c r="E66" s="83">
        <f>E63*(PUER!D$24+PUER!D$25)-0.011</f>
        <v>32.360805073739364</v>
      </c>
      <c r="F66" s="84">
        <f>E66*(1+PUER!E$10)</f>
        <v>33.664945518211063</v>
      </c>
      <c r="G66" s="84">
        <f>F66*1+PUER!F$10</f>
        <v>33.702495518211066</v>
      </c>
      <c r="H66" s="1299" t="s">
        <v>1738</v>
      </c>
    </row>
    <row r="67" spans="2:8" s="74" customFormat="1" ht="15" customHeight="1" x14ac:dyDescent="0.25">
      <c r="B67" s="73" t="s">
        <v>578</v>
      </c>
      <c r="D67" s="75" t="s">
        <v>579</v>
      </c>
      <c r="E67" s="77">
        <f>E68+E72+E76+E80+0.01</f>
        <v>200823.63362236312</v>
      </c>
      <c r="F67" s="77">
        <f>F68+F72+F76+F80</f>
        <v>208916.8156543443</v>
      </c>
      <c r="G67" s="77">
        <f>G68+G72+G76+G80</f>
        <v>208916.96585434434</v>
      </c>
      <c r="H67" s="1298"/>
    </row>
    <row r="68" spans="2:8" s="74" customFormat="1" ht="15" customHeight="1" x14ac:dyDescent="0.25">
      <c r="B68" s="73" t="s">
        <v>580</v>
      </c>
      <c r="D68" s="75" t="s">
        <v>145</v>
      </c>
      <c r="E68" s="85">
        <f>(PUER!D60*(1+PUER!D$12))*(1+PUER!D$26)*(1+PUER!D$27)</f>
        <v>200559.05102496306</v>
      </c>
      <c r="F68" s="79">
        <f>E68*(1+PUER!E$10)</f>
        <v>208641.58078126906</v>
      </c>
      <c r="G68" s="79">
        <f>F68*1+PUER!F$10</f>
        <v>208641.61833126907</v>
      </c>
      <c r="H68" s="1298"/>
    </row>
    <row r="69" spans="2:8" ht="15" customHeight="1" x14ac:dyDescent="0.25">
      <c r="B69" s="80" t="s">
        <v>581</v>
      </c>
      <c r="C69" s="81">
        <v>37</v>
      </c>
      <c r="D69" s="82" t="s">
        <v>582</v>
      </c>
      <c r="E69" s="83">
        <f>E68*PUER!D$17</f>
        <v>108301.88755348006</v>
      </c>
      <c r="F69" s="84">
        <f>E69*(1+PUER!E$10)</f>
        <v>112666.4536218853</v>
      </c>
      <c r="G69" s="84">
        <f>F69*1+PUER!F$10</f>
        <v>112666.4911718853</v>
      </c>
      <c r="H69" s="1299" t="s">
        <v>1730</v>
      </c>
    </row>
    <row r="70" spans="2:8" ht="15" customHeight="1" x14ac:dyDescent="0.25">
      <c r="B70" s="80" t="s">
        <v>583</v>
      </c>
      <c r="C70" s="81">
        <v>38</v>
      </c>
      <c r="D70" s="82" t="s">
        <v>584</v>
      </c>
      <c r="E70" s="83">
        <f>E68*(PUER!D$19+PUER!D$20)</f>
        <v>52145.353266490398</v>
      </c>
      <c r="F70" s="84">
        <f>E70*(1+PUER!E$10)</f>
        <v>54246.811003129958</v>
      </c>
      <c r="G70" s="84">
        <f>F70*1+PUER!F$10</f>
        <v>54246.848553129959</v>
      </c>
      <c r="H70" s="1299" t="s">
        <v>1771</v>
      </c>
    </row>
    <row r="71" spans="2:8" ht="15" customHeight="1" x14ac:dyDescent="0.25">
      <c r="B71" s="80" t="s">
        <v>585</v>
      </c>
      <c r="C71" s="81">
        <v>39</v>
      </c>
      <c r="D71" s="82" t="s">
        <v>586</v>
      </c>
      <c r="E71" s="83">
        <f>E68*(PUER!D$24+PUER!D$25)</f>
        <v>40111.810204992616</v>
      </c>
      <c r="F71" s="84">
        <f>E71*(1+PUER!E$10)</f>
        <v>41728.316156253823</v>
      </c>
      <c r="G71" s="84">
        <f>F71*1+PUER!F$10</f>
        <v>41728.353706253823</v>
      </c>
      <c r="H71" s="1299" t="s">
        <v>1738</v>
      </c>
    </row>
    <row r="72" spans="2:8" s="74" customFormat="1" ht="15" customHeight="1" x14ac:dyDescent="0.25">
      <c r="B72" s="73" t="s">
        <v>587</v>
      </c>
      <c r="D72" s="75" t="s">
        <v>146</v>
      </c>
      <c r="E72" s="85">
        <f>(PUER!D61*(1+PUER!D$12))*(1+PUER!D$26)*(1+PUER!D$27)+0.01</f>
        <v>224.32042580957062</v>
      </c>
      <c r="F72" s="79">
        <f>E72*(1+PUER!E$10)</f>
        <v>233.36053896969631</v>
      </c>
      <c r="G72" s="79">
        <f>F72*1+PUER!F$10</f>
        <v>233.39808896969632</v>
      </c>
      <c r="H72" s="1298"/>
    </row>
    <row r="73" spans="2:8" s="1315" customFormat="1" ht="15" customHeight="1" x14ac:dyDescent="0.25">
      <c r="B73" s="1309" t="s">
        <v>588</v>
      </c>
      <c r="C73" s="1310">
        <v>40</v>
      </c>
      <c r="D73" s="1311" t="s">
        <v>589</v>
      </c>
      <c r="E73" s="1312">
        <f>E72*PUER!D$17</f>
        <v>121.13302993716815</v>
      </c>
      <c r="F73" s="1313">
        <f>E73*(1+PUER!E$10)</f>
        <v>126.01469104363602</v>
      </c>
      <c r="G73" s="1313">
        <f>F73*1+PUER!F$10</f>
        <v>126.05224104363602</v>
      </c>
      <c r="H73" s="1314" t="s">
        <v>1730</v>
      </c>
    </row>
    <row r="74" spans="2:8" ht="15" customHeight="1" x14ac:dyDescent="0.25">
      <c r="B74" s="80" t="s">
        <v>590</v>
      </c>
      <c r="C74" s="81">
        <v>41</v>
      </c>
      <c r="D74" s="82" t="s">
        <v>591</v>
      </c>
      <c r="E74" s="83">
        <f>E72*(PUER!D$19+PUER!D$20)+0.01</f>
        <v>58.333310710488362</v>
      </c>
      <c r="F74" s="84">
        <f>E74*(1+PUER!E$10)</f>
        <v>60.684143132121044</v>
      </c>
      <c r="G74" s="84">
        <f>F74*1+PUER!F$10</f>
        <v>60.721693132121047</v>
      </c>
      <c r="H74" s="1299" t="s">
        <v>1771</v>
      </c>
    </row>
    <row r="75" spans="2:8" s="622" customFormat="1" ht="15" customHeight="1" x14ac:dyDescent="0.25">
      <c r="B75" s="617" t="s">
        <v>592</v>
      </c>
      <c r="C75" s="618">
        <v>42</v>
      </c>
      <c r="D75" s="1307" t="s">
        <v>593</v>
      </c>
      <c r="E75" s="1308">
        <f>E72*(PUER!D$24+PUER!D$25)</f>
        <v>44.864085161914126</v>
      </c>
      <c r="F75" s="621">
        <f>E75*(1+PUER!E$10)</f>
        <v>46.672107793939269</v>
      </c>
      <c r="G75" s="621">
        <f>F75*1+PUER!F$10</f>
        <v>46.709657793939272</v>
      </c>
      <c r="H75" s="1301" t="s">
        <v>1738</v>
      </c>
    </row>
    <row r="76" spans="2:8" s="74" customFormat="1" ht="15" customHeight="1" x14ac:dyDescent="0.25">
      <c r="B76" s="73" t="s">
        <v>594</v>
      </c>
      <c r="D76" s="75" t="s">
        <v>147</v>
      </c>
      <c r="E76" s="85">
        <f>(PUER!D62*(1+PUER!D$12))*(1+PUER!D$26)*(1+PUER!D$27)</f>
        <v>30.287274162077232</v>
      </c>
      <c r="F76" s="79">
        <f>E76*(1+PUER!E$10)</f>
        <v>31.507851310808945</v>
      </c>
      <c r="G76" s="79">
        <f>F76*1+PUER!F$10</f>
        <v>31.545401310808945</v>
      </c>
      <c r="H76" s="1298"/>
    </row>
    <row r="77" spans="2:8" ht="15" customHeight="1" x14ac:dyDescent="0.25">
      <c r="B77" s="80" t="s">
        <v>595</v>
      </c>
      <c r="C77" s="81">
        <v>43</v>
      </c>
      <c r="D77" s="82" t="s">
        <v>596</v>
      </c>
      <c r="E77" s="83">
        <f>E76*PUER!D$17</f>
        <v>16.355128047521706</v>
      </c>
      <c r="F77" s="84">
        <f>E77*(1+PUER!E$10)</f>
        <v>17.014239707836833</v>
      </c>
      <c r="G77" s="84">
        <f>F77*1+PUER!F$10</f>
        <v>17.051789707836832</v>
      </c>
      <c r="H77" s="1299" t="s">
        <v>1730</v>
      </c>
    </row>
    <row r="78" spans="2:8" ht="15" customHeight="1" x14ac:dyDescent="0.25">
      <c r="B78" s="80" t="s">
        <v>597</v>
      </c>
      <c r="C78" s="81">
        <v>44</v>
      </c>
      <c r="D78" s="82" t="s">
        <v>598</v>
      </c>
      <c r="E78" s="83">
        <f>E76*(PUER!D$19+PUER!D$20)</f>
        <v>7.8746912821400805</v>
      </c>
      <c r="F78" s="84">
        <f>E78*(1+PUER!E$10)</f>
        <v>8.1920413408103254</v>
      </c>
      <c r="G78" s="84">
        <f>F78*1+PUER!F$10</f>
        <v>8.229591340810325</v>
      </c>
      <c r="H78" s="1299" t="s">
        <v>1771</v>
      </c>
    </row>
    <row r="79" spans="2:8" ht="15" customHeight="1" x14ac:dyDescent="0.25">
      <c r="B79" s="80" t="s">
        <v>599</v>
      </c>
      <c r="C79" s="81">
        <v>45</v>
      </c>
      <c r="D79" s="82" t="s">
        <v>600</v>
      </c>
      <c r="E79" s="83">
        <f>E76*(PUER!D$24+PUER!D$25)</f>
        <v>6.0574548324154467</v>
      </c>
      <c r="F79" s="84">
        <f>E79*(1+PUER!E$10)</f>
        <v>6.3015702621617891</v>
      </c>
      <c r="G79" s="84">
        <f>F79*1+PUER!F$10</f>
        <v>6.3391202621617895</v>
      </c>
      <c r="H79" s="1299" t="s">
        <v>1738</v>
      </c>
    </row>
    <row r="80" spans="2:8" s="74" customFormat="1" ht="15" customHeight="1" x14ac:dyDescent="0.25">
      <c r="B80" s="73" t="s">
        <v>601</v>
      </c>
      <c r="D80" s="75" t="s">
        <v>148</v>
      </c>
      <c r="E80" s="85">
        <f>(PUER!D63*(1+PUER!D$12))*(1+PUER!D$26)*(1+PUER!D$27)</f>
        <v>9.9648974283944121</v>
      </c>
      <c r="F80" s="79">
        <f>E80*(1+PUER!E$10)</f>
        <v>10.366482794758706</v>
      </c>
      <c r="G80" s="79">
        <f>F80*1+PUER!F$10</f>
        <v>10.404032794758706</v>
      </c>
      <c r="H80" s="1298"/>
    </row>
    <row r="81" spans="2:8" ht="15" customHeight="1" x14ac:dyDescent="0.25">
      <c r="B81" s="80" t="s">
        <v>602</v>
      </c>
      <c r="C81" s="81">
        <v>46</v>
      </c>
      <c r="D81" s="82" t="s">
        <v>603</v>
      </c>
      <c r="E81" s="83">
        <f>E80*PUER!D$17</f>
        <v>5.3810446113329826</v>
      </c>
      <c r="F81" s="84">
        <f>E81*(1+PUER!E$10)</f>
        <v>5.5979007091697017</v>
      </c>
      <c r="G81" s="84">
        <f>F81*1+PUER!F$10</f>
        <v>5.6354507091697021</v>
      </c>
      <c r="H81" s="1299" t="s">
        <v>1730</v>
      </c>
    </row>
    <row r="82" spans="2:8" ht="15" customHeight="1" x14ac:dyDescent="0.25">
      <c r="B82" s="80" t="s">
        <v>604</v>
      </c>
      <c r="C82" s="81">
        <v>47</v>
      </c>
      <c r="D82" s="82" t="s">
        <v>605</v>
      </c>
      <c r="E82" s="83">
        <f>E80*(PUER!D$19+PUER!D$20)</f>
        <v>2.5908733313825474</v>
      </c>
      <c r="F82" s="84">
        <f>E82*(1+PUER!E$10)</f>
        <v>2.6952855266372642</v>
      </c>
      <c r="G82" s="84">
        <f>F82*1+PUER!F$10</f>
        <v>2.7328355266372641</v>
      </c>
      <c r="H82" s="1299" t="s">
        <v>1771</v>
      </c>
    </row>
    <row r="83" spans="2:8" ht="15" customHeight="1" x14ac:dyDescent="0.25">
      <c r="B83" s="80" t="s">
        <v>606</v>
      </c>
      <c r="C83" s="81">
        <v>48</v>
      </c>
      <c r="D83" s="82" t="s">
        <v>607</v>
      </c>
      <c r="E83" s="83">
        <f>E80*(PUER!D$24+PUER!D$25)</f>
        <v>1.9929794856788825</v>
      </c>
      <c r="F83" s="84">
        <f>E83*(1+PUER!E$10)</f>
        <v>2.0732965589517414</v>
      </c>
      <c r="G83" s="84">
        <f>F83*1+PUER!F$10</f>
        <v>2.1108465589517413</v>
      </c>
      <c r="H83" s="1299" t="s">
        <v>1738</v>
      </c>
    </row>
    <row r="84" spans="2:8" s="74" customFormat="1" ht="15" customHeight="1" x14ac:dyDescent="0.25">
      <c r="B84" s="73" t="s">
        <v>608</v>
      </c>
      <c r="D84" s="75" t="s">
        <v>609</v>
      </c>
      <c r="E84" s="76">
        <f>E85+E128</f>
        <v>67919.784617454527</v>
      </c>
      <c r="F84" s="76">
        <f>F85+F128</f>
        <v>70657.157982537945</v>
      </c>
      <c r="G84" s="76">
        <f>G85+G128</f>
        <v>70660.161982537946</v>
      </c>
      <c r="H84" s="1298"/>
    </row>
    <row r="85" spans="2:8" s="74" customFormat="1" ht="15" customHeight="1" x14ac:dyDescent="0.25">
      <c r="B85" s="73" t="s">
        <v>610</v>
      </c>
      <c r="D85" s="75" t="s">
        <v>611</v>
      </c>
      <c r="E85" s="77">
        <f>E86+E123</f>
        <v>31184.902972724809</v>
      </c>
      <c r="F85" s="77">
        <f>F86+F123</f>
        <v>32441.727383525616</v>
      </c>
      <c r="G85" s="77">
        <f>G86+G123</f>
        <v>32443.079183525624</v>
      </c>
      <c r="H85" s="1298"/>
    </row>
    <row r="86" spans="2:8" s="74" customFormat="1" ht="15" customHeight="1" x14ac:dyDescent="0.25">
      <c r="B86" s="73" t="s">
        <v>612</v>
      </c>
      <c r="D86" s="75" t="s">
        <v>613</v>
      </c>
      <c r="E86" s="77">
        <f>E87+E96+E105+E114</f>
        <v>26041.246752018433</v>
      </c>
      <c r="F86" s="77">
        <f>F87+F96+F105+F114</f>
        <v>27090.771414124771</v>
      </c>
      <c r="G86" s="77">
        <f>G87+G96+G105+G114</f>
        <v>27091.973014124778</v>
      </c>
      <c r="H86" s="1298"/>
    </row>
    <row r="87" spans="2:8" s="74" customFormat="1" ht="15" customHeight="1" x14ac:dyDescent="0.25">
      <c r="B87" s="73" t="s">
        <v>614</v>
      </c>
      <c r="D87" s="75" t="s">
        <v>615</v>
      </c>
      <c r="E87" s="77">
        <f>SUM(E88:E95)-0.01</f>
        <v>24056.411343961536</v>
      </c>
      <c r="F87" s="77">
        <f t="shared" ref="F87" si="3">SUM(F88:F95)</f>
        <v>25025.895124123184</v>
      </c>
      <c r="G87" s="77">
        <f t="shared" ref="G87" si="4">SUM(G88:G95)</f>
        <v>25026.195524123192</v>
      </c>
      <c r="H87" s="1299"/>
    </row>
    <row r="88" spans="2:8" ht="15" customHeight="1" x14ac:dyDescent="0.25">
      <c r="B88" s="80" t="s">
        <v>616</v>
      </c>
      <c r="C88" s="81">
        <v>60</v>
      </c>
      <c r="D88" s="82" t="s">
        <v>150</v>
      </c>
      <c r="E88" s="86">
        <f>(PUER!D64*(1+PUER!D$12))*(1+PUER!D$26)*(1+PUER!D$27)</f>
        <v>800.67909073119642</v>
      </c>
      <c r="F88" s="87">
        <f>E88*(1+PUER!E$10)</f>
        <v>832.94645808766359</v>
      </c>
      <c r="G88" s="87">
        <f>F88*1+PUER!F$10</f>
        <v>832.9840080876636</v>
      </c>
      <c r="H88" s="1299" t="s">
        <v>1730</v>
      </c>
    </row>
    <row r="89" spans="2:8" ht="15" customHeight="1" x14ac:dyDescent="0.25">
      <c r="B89" s="80" t="s">
        <v>617</v>
      </c>
      <c r="C89" s="81">
        <v>61</v>
      </c>
      <c r="D89" s="82" t="s">
        <v>151</v>
      </c>
      <c r="E89" s="86">
        <f>(PUER!D65*(1+PUER!D$12))*(1+PUER!D$26)*(1+PUER!D$27)</f>
        <v>19778.853389727501</v>
      </c>
      <c r="F89" s="87">
        <f>E89*(1+PUER!E$10)</f>
        <v>20575.941181333521</v>
      </c>
      <c r="G89" s="87">
        <f>F89*1+PUER!F$10</f>
        <v>20575.978731333522</v>
      </c>
      <c r="H89" s="1299" t="s">
        <v>1730</v>
      </c>
    </row>
    <row r="90" spans="2:8" ht="15" customHeight="1" x14ac:dyDescent="0.25">
      <c r="B90" s="80" t="s">
        <v>618</v>
      </c>
      <c r="C90" s="81">
        <v>62</v>
      </c>
      <c r="D90" s="82" t="s">
        <v>152</v>
      </c>
      <c r="E90" s="86">
        <f>(PUER!D66*(1+PUER!D$12))*(1+PUER!D$26)*(1+PUER!D$27)</f>
        <v>1.2529208837042429</v>
      </c>
      <c r="F90" s="87">
        <f>E90*(1+PUER!E$10)</f>
        <v>1.3034135953175239</v>
      </c>
      <c r="G90" s="87">
        <f>F90*1+PUER!F$10</f>
        <v>1.3409635953175238</v>
      </c>
      <c r="H90" s="1299" t="s">
        <v>1730</v>
      </c>
    </row>
    <row r="91" spans="2:8" ht="15" customHeight="1" x14ac:dyDescent="0.25">
      <c r="B91" s="80" t="s">
        <v>619</v>
      </c>
      <c r="C91" s="81">
        <v>63</v>
      </c>
      <c r="D91" s="82" t="s">
        <v>153</v>
      </c>
      <c r="E91" s="86">
        <f>(PUER!D67*(1+PUER!D$12))*(1+PUER!D$26)*(1+PUER!D$27)</f>
        <v>1.2529208837042429</v>
      </c>
      <c r="F91" s="87">
        <f>E91*(1+PUER!E$10)</f>
        <v>1.3034135953175239</v>
      </c>
      <c r="G91" s="87">
        <f>F91*1+PUER!F$10</f>
        <v>1.3409635953175238</v>
      </c>
      <c r="H91" s="1299" t="s">
        <v>1730</v>
      </c>
    </row>
    <row r="92" spans="2:8" ht="15" customHeight="1" x14ac:dyDescent="0.25">
      <c r="B92" s="80" t="s">
        <v>620</v>
      </c>
      <c r="C92" s="81">
        <v>64</v>
      </c>
      <c r="D92" s="82" t="s">
        <v>154</v>
      </c>
      <c r="E92" s="86">
        <f>(PUER!D68*(1+PUER!D$12))*(1+PUER!D$26)*(1+PUER!D$27)</f>
        <v>3390.6252606598027</v>
      </c>
      <c r="F92" s="87">
        <f>E92*(1+PUER!E$10)</f>
        <v>3527.267458664393</v>
      </c>
      <c r="G92" s="87">
        <f>F92*1+PUER!F$10</f>
        <v>3527.305008664393</v>
      </c>
      <c r="H92" s="1299" t="s">
        <v>1730</v>
      </c>
    </row>
    <row r="93" spans="2:8" ht="15" customHeight="1" x14ac:dyDescent="0.25">
      <c r="B93" s="80" t="s">
        <v>621</v>
      </c>
      <c r="C93" s="81">
        <v>65</v>
      </c>
      <c r="D93" s="82" t="s">
        <v>155</v>
      </c>
      <c r="E93" s="86">
        <f>(PUER!D69*(1+PUER!D$12))*(1+PUER!D$26)*(1+PUER!D$27)</f>
        <v>1.2529208837042429</v>
      </c>
      <c r="F93" s="87">
        <f>E93*(1+PUER!E$10)</f>
        <v>1.3034135953175239</v>
      </c>
      <c r="G93" s="87">
        <f>F93*1+PUER!F$10</f>
        <v>1.3409635953175238</v>
      </c>
      <c r="H93" s="1299" t="s">
        <v>1730</v>
      </c>
    </row>
    <row r="94" spans="2:8" ht="15" customHeight="1" x14ac:dyDescent="0.25">
      <c r="B94" s="80" t="s">
        <v>622</v>
      </c>
      <c r="C94" s="81">
        <v>66</v>
      </c>
      <c r="D94" s="82" t="s">
        <v>156</v>
      </c>
      <c r="E94" s="86">
        <f>(PUER!D70*(1+PUER!D$12))*(1+PUER!D$26)*(1+PUER!D$27)</f>
        <v>1.2529208837042429</v>
      </c>
      <c r="F94" s="87">
        <f>E94*(1+PUER!E$10)</f>
        <v>1.3034135953175239</v>
      </c>
      <c r="G94" s="87">
        <f>F94*1+PUER!F$10</f>
        <v>1.3409635953175238</v>
      </c>
      <c r="H94" s="1299" t="s">
        <v>1730</v>
      </c>
    </row>
    <row r="95" spans="2:8" ht="15" customHeight="1" x14ac:dyDescent="0.25">
      <c r="B95" s="80" t="s">
        <v>623</v>
      </c>
      <c r="C95" s="81">
        <v>67</v>
      </c>
      <c r="D95" s="82" t="s">
        <v>157</v>
      </c>
      <c r="E95" s="86">
        <f>(PUER!D71*(1+PUER!D$12))*(1+PUER!D$26)*(1+PUER!D$27)</f>
        <v>81.251919308220167</v>
      </c>
      <c r="F95" s="87">
        <f>E95*(1+PUER!E$10)</f>
        <v>84.526371656341439</v>
      </c>
      <c r="G95" s="87">
        <f>F95*1+PUER!F$10</f>
        <v>84.563921656341435</v>
      </c>
      <c r="H95" s="1299" t="s">
        <v>1730</v>
      </c>
    </row>
    <row r="96" spans="2:8" s="74" customFormat="1" ht="15" customHeight="1" x14ac:dyDescent="0.25">
      <c r="B96" s="73" t="s">
        <v>624</v>
      </c>
      <c r="D96" s="75" t="s">
        <v>625</v>
      </c>
      <c r="E96" s="77">
        <f>SUM(E97:E104)-0.01</f>
        <v>1312.7313825834447</v>
      </c>
      <c r="F96" s="77">
        <f t="shared" ref="F96" si="5">SUM(F97:F104)</f>
        <v>1365.6448603015574</v>
      </c>
      <c r="G96" s="77">
        <f t="shared" ref="G96" si="6">SUM(G97:G104)</f>
        <v>1365.9452603015575</v>
      </c>
      <c r="H96" s="1299"/>
    </row>
    <row r="97" spans="2:8" s="622" customFormat="1" ht="15" customHeight="1" x14ac:dyDescent="0.25">
      <c r="B97" s="617" t="s">
        <v>626</v>
      </c>
      <c r="C97" s="618">
        <v>80</v>
      </c>
      <c r="D97" s="1307" t="s">
        <v>158</v>
      </c>
      <c r="E97" s="621">
        <f>(PUER!D72*(1+PUER!D$12))*(1+PUER!D$26)</f>
        <v>9.1878777672399572</v>
      </c>
      <c r="F97" s="1316">
        <f>E97*(1+PUER!E$10)</f>
        <v>9.5581492412597271</v>
      </c>
      <c r="G97" s="1316">
        <f>F97*1+PUER!F$10</f>
        <v>9.5956992412597266</v>
      </c>
      <c r="H97" s="1301" t="s">
        <v>1730</v>
      </c>
    </row>
    <row r="98" spans="2:8" ht="15" customHeight="1" x14ac:dyDescent="0.25">
      <c r="B98" s="80" t="s">
        <v>627</v>
      </c>
      <c r="C98" s="81">
        <v>81</v>
      </c>
      <c r="D98" s="88" t="s">
        <v>159</v>
      </c>
      <c r="E98" s="86">
        <f>(PUER!D73*(1+PUER!D$12))*(1+PUER!D$26)*(1+PUER!D$27)</f>
        <v>1296.0359795139789</v>
      </c>
      <c r="F98" s="87">
        <f>E98*(1+PUER!E$10)</f>
        <v>1348.2662294883921</v>
      </c>
      <c r="G98" s="87">
        <f>F98*1+PUER!F$10</f>
        <v>1348.3037794883921</v>
      </c>
      <c r="H98" s="1299" t="s">
        <v>1730</v>
      </c>
    </row>
    <row r="99" spans="2:8" ht="15" customHeight="1" x14ac:dyDescent="0.25">
      <c r="B99" s="80" t="s">
        <v>628</v>
      </c>
      <c r="C99" s="81">
        <v>82</v>
      </c>
      <c r="D99" s="82" t="s">
        <v>160</v>
      </c>
      <c r="E99" s="86">
        <f>(PUER!D74*(1+PUER!D$12))*(1+PUER!D$26)*(1+PUER!D$27)</f>
        <v>1.2529208837042429</v>
      </c>
      <c r="F99" s="87">
        <f>E99*(1+PUER!E$10)</f>
        <v>1.3034135953175239</v>
      </c>
      <c r="G99" s="87">
        <f>F99*1+PUER!F$10</f>
        <v>1.3409635953175238</v>
      </c>
      <c r="H99" s="1299" t="s">
        <v>1730</v>
      </c>
    </row>
    <row r="100" spans="2:8" ht="15" customHeight="1" x14ac:dyDescent="0.25">
      <c r="B100" s="80" t="s">
        <v>629</v>
      </c>
      <c r="C100" s="81">
        <v>84</v>
      </c>
      <c r="D100" s="82" t="s">
        <v>161</v>
      </c>
      <c r="E100" s="86">
        <f>(PUER!D75*(1+PUER!D$12))*(1+PUER!D$26)*(1+PUER!D$27)</f>
        <v>1.2529208837042429</v>
      </c>
      <c r="F100" s="87">
        <f>E100*(1+PUER!E$10)</f>
        <v>1.3034135953175239</v>
      </c>
      <c r="G100" s="87">
        <f>F100*1+PUER!F$10</f>
        <v>1.3409635953175238</v>
      </c>
      <c r="H100" s="1299" t="s">
        <v>1730</v>
      </c>
    </row>
    <row r="101" spans="2:8" ht="15" customHeight="1" x14ac:dyDescent="0.25">
      <c r="B101" s="80" t="s">
        <v>629</v>
      </c>
      <c r="C101" s="81">
        <v>83</v>
      </c>
      <c r="D101" s="89" t="s">
        <v>162</v>
      </c>
      <c r="E101" s="86">
        <f>(PUER!D76*(1+PUER!D$12))*(1+PUER!D$26)*(1+PUER!D$27)</f>
        <v>1.2529208837042429</v>
      </c>
      <c r="F101" s="87">
        <f>E101*(1+PUER!E$10)</f>
        <v>1.3034135953175239</v>
      </c>
      <c r="G101" s="87">
        <f>F101*1+PUER!F$10</f>
        <v>1.3409635953175238</v>
      </c>
      <c r="H101" s="1299" t="s">
        <v>1730</v>
      </c>
    </row>
    <row r="102" spans="2:8" ht="15" customHeight="1" x14ac:dyDescent="0.25">
      <c r="B102" s="80" t="s">
        <v>630</v>
      </c>
      <c r="C102" s="81">
        <v>85</v>
      </c>
      <c r="D102" s="82" t="s">
        <v>163</v>
      </c>
      <c r="E102" s="86">
        <f>(PUER!D77*(1+PUER!D$12))*(1+PUER!D$26)*(1+PUER!D$27)</f>
        <v>1.2529208837042429</v>
      </c>
      <c r="F102" s="87">
        <f>E102*(1+PUER!E$10)</f>
        <v>1.3034135953175239</v>
      </c>
      <c r="G102" s="87">
        <f>F102*1+PUER!F$10</f>
        <v>1.3409635953175238</v>
      </c>
      <c r="H102" s="1299" t="s">
        <v>1730</v>
      </c>
    </row>
    <row r="103" spans="2:8" ht="15" customHeight="1" x14ac:dyDescent="0.25">
      <c r="B103" s="80" t="s">
        <v>631</v>
      </c>
      <c r="C103" s="81">
        <v>86</v>
      </c>
      <c r="D103" s="82" t="s">
        <v>164</v>
      </c>
      <c r="E103" s="86">
        <f>(PUER!D78*(1+PUER!D$12))*(1+PUER!D$26)*(1+PUER!D$27)</f>
        <v>1.2529208837042429</v>
      </c>
      <c r="F103" s="87">
        <f>E103*(1+PUER!E$10)</f>
        <v>1.3034135953175239</v>
      </c>
      <c r="G103" s="87">
        <f>F103*1+PUER!F$10</f>
        <v>1.3409635953175238</v>
      </c>
      <c r="H103" s="1299" t="s">
        <v>1730</v>
      </c>
    </row>
    <row r="104" spans="2:8" ht="15" customHeight="1" x14ac:dyDescent="0.25">
      <c r="B104" s="80" t="s">
        <v>632</v>
      </c>
      <c r="C104" s="81">
        <v>87</v>
      </c>
      <c r="D104" s="82" t="s">
        <v>165</v>
      </c>
      <c r="E104" s="86">
        <f>(PUER!D79*(1+PUER!D$12))*(1+PUER!D$26)*(1+PUER!D$27)</f>
        <v>1.2529208837042429</v>
      </c>
      <c r="F104" s="87">
        <f>E104*(1+PUER!E$10)</f>
        <v>1.3034135953175239</v>
      </c>
      <c r="G104" s="87">
        <f>F104*1+PUER!F$10</f>
        <v>1.3409635953175238</v>
      </c>
      <c r="H104" s="1299" t="s">
        <v>1730</v>
      </c>
    </row>
    <row r="105" spans="2:8" s="74" customFormat="1" ht="15" customHeight="1" x14ac:dyDescent="0.25">
      <c r="B105" s="73" t="s">
        <v>633</v>
      </c>
      <c r="D105" s="75" t="s">
        <v>634</v>
      </c>
      <c r="E105" s="77">
        <f>SUM(E106:E113)-0.02</f>
        <v>407.10620015232945</v>
      </c>
      <c r="F105" s="77">
        <f t="shared" ref="F105" si="7">SUM(F106:F113)</f>
        <v>423.53338601846838</v>
      </c>
      <c r="G105" s="77">
        <f t="shared" ref="G105" si="8">SUM(G106:G113)</f>
        <v>423.83378601846846</v>
      </c>
      <c r="H105" s="1298"/>
    </row>
    <row r="106" spans="2:8" ht="15" customHeight="1" x14ac:dyDescent="0.25">
      <c r="B106" s="80" t="s">
        <v>635</v>
      </c>
      <c r="C106" s="81">
        <v>110</v>
      </c>
      <c r="D106" s="90" t="s">
        <v>166</v>
      </c>
      <c r="E106" s="86">
        <f>(PUER!D80*(1+PUER!D$12))*(1+PUER!D$26)*(1+PUER!D$27)</f>
        <v>1.2529208837042429</v>
      </c>
      <c r="F106" s="87">
        <f>E106*(1+PUER!E$10)</f>
        <v>1.3034135953175239</v>
      </c>
      <c r="G106" s="87">
        <f>F106*1+PUER!F$10</f>
        <v>1.3409635953175238</v>
      </c>
      <c r="H106" s="1299" t="s">
        <v>1730</v>
      </c>
    </row>
    <row r="107" spans="2:8" ht="15" customHeight="1" x14ac:dyDescent="0.25">
      <c r="B107" s="80" t="s">
        <v>636</v>
      </c>
      <c r="C107" s="81">
        <v>111</v>
      </c>
      <c r="D107" s="89" t="s">
        <v>167</v>
      </c>
      <c r="E107" s="86">
        <f>(PUER!D81*(1+PUER!D$12))*(1+PUER!D$26)*(1+PUER!D$27)</f>
        <v>398.35575396639979</v>
      </c>
      <c r="F107" s="87">
        <f>E107*(1+PUER!E$10)</f>
        <v>414.40949085124572</v>
      </c>
      <c r="G107" s="87">
        <f>F107*1+PUER!F$10</f>
        <v>414.44704085124573</v>
      </c>
      <c r="H107" s="1299" t="s">
        <v>1730</v>
      </c>
    </row>
    <row r="108" spans="2:8" ht="15" customHeight="1" x14ac:dyDescent="0.25">
      <c r="B108" s="80" t="s">
        <v>637</v>
      </c>
      <c r="C108" s="81">
        <v>112</v>
      </c>
      <c r="D108" s="90" t="s">
        <v>168</v>
      </c>
      <c r="E108" s="86">
        <f>(PUER!D82*(1+PUER!D$12))*(1+PUER!D$26)*(1+PUER!D$27)</f>
        <v>1.2529208837042429</v>
      </c>
      <c r="F108" s="87">
        <f>E108*(1+PUER!E$10)</f>
        <v>1.3034135953175239</v>
      </c>
      <c r="G108" s="87">
        <f>F108*1+PUER!F$10</f>
        <v>1.3409635953175238</v>
      </c>
      <c r="H108" s="1299" t="s">
        <v>1730</v>
      </c>
    </row>
    <row r="109" spans="2:8" ht="16.5" customHeight="1" x14ac:dyDescent="0.25">
      <c r="B109" s="80" t="s">
        <v>638</v>
      </c>
      <c r="C109" s="81">
        <v>113</v>
      </c>
      <c r="D109" s="89" t="s">
        <v>169</v>
      </c>
      <c r="E109" s="86">
        <f>(PUER!D83*(1+PUER!D$12))*(1+PUER!D$26)*(1+PUER!D$27)</f>
        <v>1.2529208837042429</v>
      </c>
      <c r="F109" s="87">
        <f>E109*(1+PUER!E$10)</f>
        <v>1.3034135953175239</v>
      </c>
      <c r="G109" s="87">
        <f>F109*1+PUER!F$10</f>
        <v>1.3409635953175238</v>
      </c>
      <c r="H109" s="1299" t="s">
        <v>1730</v>
      </c>
    </row>
    <row r="110" spans="2:8" ht="15" customHeight="1" x14ac:dyDescent="0.25">
      <c r="B110" s="80" t="s">
        <v>639</v>
      </c>
      <c r="C110" s="81">
        <v>114</v>
      </c>
      <c r="D110" s="90" t="s">
        <v>170</v>
      </c>
      <c r="E110" s="86">
        <f>(PUER!D84*(1+PUER!D$12))*(1+PUER!D$26)*(1+PUER!D$27)</f>
        <v>1.2529208837042429</v>
      </c>
      <c r="F110" s="87">
        <f>E110*(1+PUER!E$10)</f>
        <v>1.3034135953175239</v>
      </c>
      <c r="G110" s="87">
        <f>F110*1+PUER!F$10</f>
        <v>1.3409635953175238</v>
      </c>
      <c r="H110" s="1299" t="s">
        <v>1730</v>
      </c>
    </row>
    <row r="111" spans="2:8" ht="15" customHeight="1" x14ac:dyDescent="0.25">
      <c r="B111" s="80" t="s">
        <v>640</v>
      </c>
      <c r="C111" s="81">
        <v>115</v>
      </c>
      <c r="D111" s="89" t="s">
        <v>171</v>
      </c>
      <c r="E111" s="86">
        <f>(PUER!D85*(1+PUER!D$12))*(1+PUER!D$26)*(1+PUER!D$27)</f>
        <v>1.2529208837042429</v>
      </c>
      <c r="F111" s="87">
        <f>E111*(1+PUER!E$10)</f>
        <v>1.3034135953175239</v>
      </c>
      <c r="G111" s="87">
        <f>F111*1+PUER!F$10</f>
        <v>1.3409635953175238</v>
      </c>
      <c r="H111" s="1299" t="s">
        <v>1730</v>
      </c>
    </row>
    <row r="112" spans="2:8" ht="15" customHeight="1" x14ac:dyDescent="0.25">
      <c r="B112" s="80" t="s">
        <v>641</v>
      </c>
      <c r="C112" s="81">
        <v>116</v>
      </c>
      <c r="D112" s="90" t="s">
        <v>172</v>
      </c>
      <c r="E112" s="86">
        <f>(PUER!D86*(1+PUER!D$12))*(1+PUER!D$26)*(1+PUER!D$27)</f>
        <v>1.2529208837042429</v>
      </c>
      <c r="F112" s="87">
        <f>E112*(1+PUER!E$10)</f>
        <v>1.3034135953175239</v>
      </c>
      <c r="G112" s="87">
        <f>F112*1+PUER!F$10</f>
        <v>1.3409635953175238</v>
      </c>
      <c r="H112" s="1299" t="s">
        <v>1730</v>
      </c>
    </row>
    <row r="113" spans="2:8" ht="15" customHeight="1" x14ac:dyDescent="0.25">
      <c r="B113" s="80" t="s">
        <v>642</v>
      </c>
      <c r="C113" s="81">
        <v>117</v>
      </c>
      <c r="D113" s="90" t="s">
        <v>173</v>
      </c>
      <c r="E113" s="86">
        <f>(PUER!D87*(1+PUER!D$12))*(1+PUER!D$26)*(1+PUER!D$27)</f>
        <v>1.2529208837042429</v>
      </c>
      <c r="F113" s="87">
        <f>E113*(1+PUER!E$10)</f>
        <v>1.3034135953175239</v>
      </c>
      <c r="G113" s="87">
        <f>F113*1+PUER!F$10</f>
        <v>1.3409635953175238</v>
      </c>
      <c r="H113" s="1299" t="s">
        <v>1730</v>
      </c>
    </row>
    <row r="114" spans="2:8" s="74" customFormat="1" ht="15" customHeight="1" x14ac:dyDescent="0.25">
      <c r="B114" s="73" t="s">
        <v>643</v>
      </c>
      <c r="D114" s="75" t="s">
        <v>644</v>
      </c>
      <c r="E114" s="77">
        <f>SUM(E115:E122)-0.02</f>
        <v>264.99782532112147</v>
      </c>
      <c r="F114" s="77">
        <f t="shared" ref="F114:G114" si="9">SUM(F115:F122)</f>
        <v>275.69804368156269</v>
      </c>
      <c r="G114" s="77">
        <f t="shared" si="9"/>
        <v>275.99844368156278</v>
      </c>
      <c r="H114" s="1298"/>
    </row>
    <row r="115" spans="2:8" ht="15" customHeight="1" x14ac:dyDescent="0.25">
      <c r="B115" s="80" t="s">
        <v>645</v>
      </c>
      <c r="C115" s="81">
        <v>130</v>
      </c>
      <c r="D115" s="90" t="s">
        <v>174</v>
      </c>
      <c r="E115" s="86">
        <f>(PUER!D88*(1+PUER!D$12))*(1+PUER!D$26)*(1+PUER!D$27)</f>
        <v>1.2529208837042429</v>
      </c>
      <c r="F115" s="87">
        <f>E115*(1+PUER!E$10)</f>
        <v>1.3034135953175239</v>
      </c>
      <c r="G115" s="87">
        <f>F115*1+PUER!F$10</f>
        <v>1.3409635953175238</v>
      </c>
      <c r="H115" s="1299" t="s">
        <v>1730</v>
      </c>
    </row>
    <row r="116" spans="2:8" ht="15" customHeight="1" x14ac:dyDescent="0.25">
      <c r="B116" s="80" t="s">
        <v>646</v>
      </c>
      <c r="C116" s="81">
        <v>131</v>
      </c>
      <c r="D116" s="90" t="s">
        <v>175</v>
      </c>
      <c r="E116" s="86">
        <f>(PUER!D89*(1+PUER!D$12))*(1+PUER!D$26)*(1+PUER!D$27)</f>
        <v>256.24737913519181</v>
      </c>
      <c r="F116" s="87">
        <f>E116*(1+PUER!E$10)</f>
        <v>266.57414851434004</v>
      </c>
      <c r="G116" s="87">
        <f>F116*1+PUER!F$10</f>
        <v>266.61169851434005</v>
      </c>
      <c r="H116" s="1299" t="s">
        <v>1730</v>
      </c>
    </row>
    <row r="117" spans="2:8" ht="15" customHeight="1" x14ac:dyDescent="0.25">
      <c r="B117" s="80" t="s">
        <v>647</v>
      </c>
      <c r="C117" s="81">
        <v>132</v>
      </c>
      <c r="D117" s="90" t="s">
        <v>176</v>
      </c>
      <c r="E117" s="86">
        <f>(PUER!D90*(1+PUER!D$12))*(1+PUER!D$26)*(1+PUER!D$27)</f>
        <v>1.2529208837042429</v>
      </c>
      <c r="F117" s="87">
        <f>E117*(1+PUER!E$10)</f>
        <v>1.3034135953175239</v>
      </c>
      <c r="G117" s="87">
        <f>F117*1+PUER!F$10</f>
        <v>1.3409635953175238</v>
      </c>
      <c r="H117" s="1299" t="s">
        <v>1730</v>
      </c>
    </row>
    <row r="118" spans="2:8" ht="15" customHeight="1" x14ac:dyDescent="0.25">
      <c r="B118" s="80" t="s">
        <v>648</v>
      </c>
      <c r="C118" s="81">
        <v>133</v>
      </c>
      <c r="D118" s="89" t="s">
        <v>177</v>
      </c>
      <c r="E118" s="86">
        <f>(PUER!D91*(1+PUER!D$12))*(1+PUER!D$26)*(1+PUER!D$27)</f>
        <v>1.2529208837042429</v>
      </c>
      <c r="F118" s="87">
        <f>E118*(1+PUER!E$10)</f>
        <v>1.3034135953175239</v>
      </c>
      <c r="G118" s="87">
        <f>F118*1+PUER!F$10</f>
        <v>1.3409635953175238</v>
      </c>
      <c r="H118" s="1299" t="s">
        <v>1730</v>
      </c>
    </row>
    <row r="119" spans="2:8" ht="15" customHeight="1" x14ac:dyDescent="0.25">
      <c r="B119" s="80" t="s">
        <v>649</v>
      </c>
      <c r="C119" s="81">
        <v>134</v>
      </c>
      <c r="D119" s="89" t="s">
        <v>178</v>
      </c>
      <c r="E119" s="86">
        <f>(PUER!D92*(1+PUER!D$12))*(1+PUER!D$26)*(1+PUER!D$27)</f>
        <v>1.2529208837042429</v>
      </c>
      <c r="F119" s="87">
        <f>E119*(1+PUER!E$10)</f>
        <v>1.3034135953175239</v>
      </c>
      <c r="G119" s="87">
        <f>F119*1+PUER!F$10</f>
        <v>1.3409635953175238</v>
      </c>
      <c r="H119" s="1299" t="s">
        <v>1730</v>
      </c>
    </row>
    <row r="120" spans="2:8" ht="15" customHeight="1" x14ac:dyDescent="0.25">
      <c r="B120" s="80" t="s">
        <v>650</v>
      </c>
      <c r="C120" s="81">
        <v>135</v>
      </c>
      <c r="D120" s="89" t="s">
        <v>179</v>
      </c>
      <c r="E120" s="86">
        <f>(PUER!D93*(1+PUER!D$12))*(1+PUER!D$26)*(1+PUER!D$27)</f>
        <v>1.2529208837042429</v>
      </c>
      <c r="F120" s="87">
        <f>E120*(1+PUER!E$10)</f>
        <v>1.3034135953175239</v>
      </c>
      <c r="G120" s="87">
        <f>F120*1+PUER!F$10</f>
        <v>1.3409635953175238</v>
      </c>
      <c r="H120" s="1299" t="s">
        <v>1730</v>
      </c>
    </row>
    <row r="121" spans="2:8" ht="15" customHeight="1" x14ac:dyDescent="0.25">
      <c r="B121" s="80" t="s">
        <v>651</v>
      </c>
      <c r="C121" s="81">
        <v>136</v>
      </c>
      <c r="D121" s="90" t="s">
        <v>180</v>
      </c>
      <c r="E121" s="86">
        <f>(PUER!D94*(1+PUER!D$12))*(1+PUER!D$26)*(1+PUER!D$27)</f>
        <v>1.2529208837042429</v>
      </c>
      <c r="F121" s="87">
        <f>E121*(1+PUER!E$10)</f>
        <v>1.3034135953175239</v>
      </c>
      <c r="G121" s="87">
        <f>F121*1+PUER!F$10</f>
        <v>1.3409635953175238</v>
      </c>
      <c r="H121" s="1299" t="s">
        <v>1730</v>
      </c>
    </row>
    <row r="122" spans="2:8" ht="15" customHeight="1" x14ac:dyDescent="0.25">
      <c r="B122" s="80" t="s">
        <v>652</v>
      </c>
      <c r="C122" s="81">
        <v>137</v>
      </c>
      <c r="D122" s="89" t="s">
        <v>181</v>
      </c>
      <c r="E122" s="86">
        <f>(PUER!D95*(1+PUER!D$12))*(1+PUER!D$26)*(1+PUER!D$27)</f>
        <v>1.2529208837042429</v>
      </c>
      <c r="F122" s="87">
        <f>E122*(1+PUER!E$10)</f>
        <v>1.3034135953175239</v>
      </c>
      <c r="G122" s="87">
        <f>F122*1+PUER!F$10</f>
        <v>1.3409635953175238</v>
      </c>
      <c r="H122" s="1299" t="s">
        <v>1730</v>
      </c>
    </row>
    <row r="123" spans="2:8" s="74" customFormat="1" ht="15" customHeight="1" x14ac:dyDescent="0.25">
      <c r="B123" s="73" t="s">
        <v>653</v>
      </c>
      <c r="D123" s="75" t="s">
        <v>117</v>
      </c>
      <c r="E123" s="77">
        <f>SUM(E124:E127)-0.01</f>
        <v>5143.6562207063771</v>
      </c>
      <c r="F123" s="77">
        <f t="shared" ref="F123:G123" si="10">SUM(F124:F127)</f>
        <v>5350.9559694008449</v>
      </c>
      <c r="G123" s="77">
        <f t="shared" si="10"/>
        <v>5351.1061694008449</v>
      </c>
      <c r="H123" s="1298"/>
    </row>
    <row r="124" spans="2:8" ht="15" customHeight="1" x14ac:dyDescent="0.25">
      <c r="B124" s="80" t="s">
        <v>654</v>
      </c>
      <c r="C124" s="81">
        <v>160</v>
      </c>
      <c r="D124" s="90" t="s">
        <v>182</v>
      </c>
      <c r="E124" s="86">
        <f>(PUER!D96*(1+PUER!D$12))*(1+PUER!D$26)*(1+PUER!D$27)</f>
        <v>5139.9074580552651</v>
      </c>
      <c r="F124" s="87">
        <f>E124*(1+PUER!E$10)</f>
        <v>5347.0457286148921</v>
      </c>
      <c r="G124" s="87">
        <f>F124*1+PUER!F$10</f>
        <v>5347.0832786148922</v>
      </c>
      <c r="H124" s="1299" t="s">
        <v>1730</v>
      </c>
    </row>
    <row r="125" spans="2:8" ht="15" customHeight="1" x14ac:dyDescent="0.25">
      <c r="B125" s="80" t="s">
        <v>655</v>
      </c>
      <c r="C125" s="81">
        <v>161</v>
      </c>
      <c r="D125" s="90" t="s">
        <v>183</v>
      </c>
      <c r="E125" s="86">
        <f>(PUER!D97*(1+PUER!D$12))*(1+PUER!D$26)*(1+PUER!D$27)</f>
        <v>1.2529208837042429</v>
      </c>
      <c r="F125" s="87">
        <f>E125*(1+PUER!E$10)</f>
        <v>1.3034135953175239</v>
      </c>
      <c r="G125" s="87">
        <f>F125*1+PUER!F$10</f>
        <v>1.3409635953175238</v>
      </c>
      <c r="H125" s="1299" t="s">
        <v>1730</v>
      </c>
    </row>
    <row r="126" spans="2:8" ht="15" customHeight="1" x14ac:dyDescent="0.25">
      <c r="B126" s="80" t="s">
        <v>656</v>
      </c>
      <c r="C126" s="81">
        <v>162</v>
      </c>
      <c r="D126" s="90" t="s">
        <v>184</v>
      </c>
      <c r="E126" s="86">
        <f>(PUER!D98*(1+PUER!D$12))*(1+PUER!D$26)*(1+PUER!D$27)</f>
        <v>1.2529208837042429</v>
      </c>
      <c r="F126" s="87">
        <f>E126*(1+PUER!E$10)</f>
        <v>1.3034135953175239</v>
      </c>
      <c r="G126" s="87">
        <f>F126*1+PUER!F$10</f>
        <v>1.3409635953175238</v>
      </c>
      <c r="H126" s="1299" t="s">
        <v>1730</v>
      </c>
    </row>
    <row r="127" spans="2:8" ht="15" customHeight="1" x14ac:dyDescent="0.25">
      <c r="B127" s="80" t="s">
        <v>657</v>
      </c>
      <c r="C127" s="81">
        <v>163</v>
      </c>
      <c r="D127" s="90" t="s">
        <v>185</v>
      </c>
      <c r="E127" s="86">
        <f>(PUER!D99*(1+PUER!D$12))*(1+PUER!D$26)*(1+PUER!D$27)</f>
        <v>1.2529208837042429</v>
      </c>
      <c r="F127" s="87">
        <f>E127*(1+PUER!E$10)</f>
        <v>1.3034135953175239</v>
      </c>
      <c r="G127" s="87">
        <f>F127*1+PUER!F$10</f>
        <v>1.3409635953175238</v>
      </c>
      <c r="H127" s="1299" t="s">
        <v>1730</v>
      </c>
    </row>
    <row r="128" spans="2:8" s="74" customFormat="1" ht="15" customHeight="1" x14ac:dyDescent="0.25">
      <c r="B128" s="73" t="s">
        <v>658</v>
      </c>
      <c r="D128" s="75" t="s">
        <v>659</v>
      </c>
      <c r="E128" s="77">
        <f>E129</f>
        <v>36734.881644729721</v>
      </c>
      <c r="F128" s="77">
        <f t="shared" ref="F128:G128" si="11">F129</f>
        <v>38215.430599012332</v>
      </c>
      <c r="G128" s="77">
        <f t="shared" si="11"/>
        <v>38217.082799012329</v>
      </c>
      <c r="H128" s="1298"/>
    </row>
    <row r="129" spans="2:8" s="74" customFormat="1" ht="15" customHeight="1" x14ac:dyDescent="0.25">
      <c r="B129" s="73" t="s">
        <v>660</v>
      </c>
      <c r="D129" s="75" t="s">
        <v>659</v>
      </c>
      <c r="E129" s="77">
        <f>E130+E142+E154+E166-0.01</f>
        <v>36734.881644729721</v>
      </c>
      <c r="F129" s="77">
        <f>F130+F142+F154+F166</f>
        <v>38215.430599012332</v>
      </c>
      <c r="G129" s="77">
        <f>G130+G142+G154+G166</f>
        <v>38217.082799012329</v>
      </c>
      <c r="H129" s="1298"/>
    </row>
    <row r="130" spans="2:8" s="74" customFormat="1" ht="15" customHeight="1" x14ac:dyDescent="0.25">
      <c r="B130" s="73" t="s">
        <v>661</v>
      </c>
      <c r="D130" s="75" t="s">
        <v>662</v>
      </c>
      <c r="E130" s="77">
        <f>SUM(E131:E141)</f>
        <v>36558.339475955414</v>
      </c>
      <c r="F130" s="77">
        <f>SUM(F131:F141)</f>
        <v>38031.640556836421</v>
      </c>
      <c r="G130" s="77">
        <f>SUM(G131:G141)</f>
        <v>38032.053606836409</v>
      </c>
      <c r="H130" s="1298"/>
    </row>
    <row r="131" spans="2:8" ht="15" customHeight="1" x14ac:dyDescent="0.25">
      <c r="B131" s="80" t="s">
        <v>663</v>
      </c>
      <c r="C131" s="81">
        <v>180</v>
      </c>
      <c r="D131" s="90" t="s">
        <v>186</v>
      </c>
      <c r="E131" s="86">
        <f>(PUER!D100*(1+PUER!D$12))*(1+PUER!D$26)*(1+PUER!D$27)</f>
        <v>1.2529208837042429</v>
      </c>
      <c r="F131" s="87">
        <f>E131*(1+PUER!E$10)</f>
        <v>1.3034135953175239</v>
      </c>
      <c r="G131" s="87">
        <f>F131*1+PUER!F$10</f>
        <v>1.3409635953175238</v>
      </c>
      <c r="H131" s="1299" t="s">
        <v>1730</v>
      </c>
    </row>
    <row r="132" spans="2:8" ht="15" customHeight="1" x14ac:dyDescent="0.25">
      <c r="B132" s="80" t="s">
        <v>664</v>
      </c>
      <c r="C132" s="81">
        <v>181</v>
      </c>
      <c r="D132" s="90" t="s">
        <v>187</v>
      </c>
      <c r="E132" s="86">
        <f>(PUER!D101*(1+PUER!D$12))*(1+PUER!D$26)*(1+PUER!D$27)</f>
        <v>55.399985074455941</v>
      </c>
      <c r="F132" s="87">
        <f>E132*(1+PUER!E$10)</f>
        <v>57.632604472956515</v>
      </c>
      <c r="G132" s="87">
        <f>F132*1+PUER!F$10</f>
        <v>57.670154472956519</v>
      </c>
      <c r="H132" s="1299" t="s">
        <v>1730</v>
      </c>
    </row>
    <row r="133" spans="2:8" ht="15" customHeight="1" x14ac:dyDescent="0.25">
      <c r="B133" s="80" t="s">
        <v>665</v>
      </c>
      <c r="C133" s="81">
        <v>182</v>
      </c>
      <c r="D133" s="90" t="s">
        <v>188</v>
      </c>
      <c r="E133" s="86">
        <f>(PUER!D102*(1+PUER!D$12))*(1+PUER!D$26)*(1+PUER!D$27)</f>
        <v>3480.5661862965117</v>
      </c>
      <c r="F133" s="87">
        <f>E133*(1+PUER!E$10)</f>
        <v>3620.8330036042612</v>
      </c>
      <c r="G133" s="87">
        <f>F133*1+PUER!F$10</f>
        <v>3620.8705536042612</v>
      </c>
      <c r="H133" s="1299" t="s">
        <v>1730</v>
      </c>
    </row>
    <row r="134" spans="2:8" ht="15" customHeight="1" x14ac:dyDescent="0.25">
      <c r="B134" s="80" t="s">
        <v>666</v>
      </c>
      <c r="C134" s="81">
        <v>183</v>
      </c>
      <c r="D134" s="90" t="s">
        <v>189</v>
      </c>
      <c r="E134" s="86">
        <f>(PUER!D103*(1+PUER!D$12))*(1+PUER!D$26)*(1+PUER!D$27)</f>
        <v>12106.151747853799</v>
      </c>
      <c r="F134" s="87">
        <f>E134*(1+PUER!E$10)</f>
        <v>12594.029663292307</v>
      </c>
      <c r="G134" s="87">
        <f>F134*1+PUER!F$10</f>
        <v>12594.067213292306</v>
      </c>
      <c r="H134" s="1299" t="s">
        <v>1730</v>
      </c>
    </row>
    <row r="135" spans="2:8" ht="15" customHeight="1" x14ac:dyDescent="0.25">
      <c r="B135" s="80" t="s">
        <v>667</v>
      </c>
      <c r="C135" s="81">
        <v>184</v>
      </c>
      <c r="D135" s="90" t="s">
        <v>190</v>
      </c>
      <c r="E135" s="86">
        <f>(PUER!D104*(1+PUER!D$12))*(1+PUER!D$26)*(1+PUER!D$27)</f>
        <v>1.2529208837042429</v>
      </c>
      <c r="F135" s="87">
        <f>E135*(1+PUER!E$10)</f>
        <v>1.3034135953175239</v>
      </c>
      <c r="G135" s="87">
        <f>F135*1+PUER!F$10</f>
        <v>1.3409635953175238</v>
      </c>
      <c r="H135" s="1299" t="s">
        <v>1730</v>
      </c>
    </row>
    <row r="136" spans="2:8" ht="15" customHeight="1" x14ac:dyDescent="0.25">
      <c r="B136" s="80" t="s">
        <v>668</v>
      </c>
      <c r="C136" s="81">
        <v>185</v>
      </c>
      <c r="D136" s="90" t="s">
        <v>191</v>
      </c>
      <c r="E136" s="86">
        <f>(PUER!D105*(1+PUER!D$12))*(1+PUER!D$26)*(1+PUER!D$27)</f>
        <v>83.528058913616206</v>
      </c>
      <c r="F136" s="87">
        <f>E136*(1+PUER!E$10)</f>
        <v>86.89423968783494</v>
      </c>
      <c r="G136" s="87">
        <f>F136*1+PUER!F$10</f>
        <v>86.931789687834936</v>
      </c>
      <c r="H136" s="1299" t="s">
        <v>1730</v>
      </c>
    </row>
    <row r="137" spans="2:8" ht="15" customHeight="1" x14ac:dyDescent="0.25">
      <c r="B137" s="80" t="s">
        <v>669</v>
      </c>
      <c r="C137" s="81">
        <v>186</v>
      </c>
      <c r="D137" s="90" t="s">
        <v>192</v>
      </c>
      <c r="E137" s="86">
        <f>(PUER!D106*(1+PUER!D$12))*(1+PUER!D$26)*(1+PUER!D$27)</f>
        <v>6191.5173669718015</v>
      </c>
      <c r="F137" s="87">
        <f>E137*(1+PUER!E$10)</f>
        <v>6441.0355168607648</v>
      </c>
      <c r="G137" s="87">
        <f>F137*1+PUER!F$10</f>
        <v>6441.0730668607648</v>
      </c>
      <c r="H137" s="1299" t="s">
        <v>1730</v>
      </c>
    </row>
    <row r="138" spans="2:8" ht="15" customHeight="1" x14ac:dyDescent="0.25">
      <c r="B138" s="80" t="s">
        <v>670</v>
      </c>
      <c r="C138" s="81">
        <v>187</v>
      </c>
      <c r="D138" s="90" t="s">
        <v>193</v>
      </c>
      <c r="E138" s="86">
        <f>(PUER!D107*(1+PUER!D$12))*(1+PUER!D$26)*(1+PUER!D$27)</f>
        <v>2589.3698263221017</v>
      </c>
      <c r="F138" s="87">
        <f>E138*(1+PUER!E$10)</f>
        <v>2693.7214303228825</v>
      </c>
      <c r="G138" s="87">
        <f>F138*1+PUER!F$10</f>
        <v>2693.7589803228825</v>
      </c>
      <c r="H138" s="1299" t="s">
        <v>1730</v>
      </c>
    </row>
    <row r="139" spans="2:8" ht="15" customHeight="1" x14ac:dyDescent="0.25">
      <c r="B139" s="80" t="s">
        <v>671</v>
      </c>
      <c r="C139" s="81">
        <v>188</v>
      </c>
      <c r="D139" s="90" t="s">
        <v>194</v>
      </c>
      <c r="E139" s="86">
        <f>(PUER!D108*(1+PUER!D$12))*(1+PUER!D$26)*(1+PUER!D$27)</f>
        <v>9735.1952663819666</v>
      </c>
      <c r="F139" s="87">
        <f>E139*(1+PUER!E$10)</f>
        <v>10127.523635617159</v>
      </c>
      <c r="G139" s="87">
        <f>F139*1+PUER!F$10</f>
        <v>10127.561185617158</v>
      </c>
      <c r="H139" s="1299" t="s">
        <v>1730</v>
      </c>
    </row>
    <row r="140" spans="2:8" ht="15" customHeight="1" x14ac:dyDescent="0.25">
      <c r="B140" s="80" t="s">
        <v>672</v>
      </c>
      <c r="C140" s="81">
        <v>189</v>
      </c>
      <c r="D140" s="90" t="s">
        <v>195</v>
      </c>
      <c r="E140" s="86">
        <f>(PUER!D109*(1+PUER!D$12))*(1+PUER!D$26)*(1+PUER!D$27)</f>
        <v>1.2529208837042429</v>
      </c>
      <c r="F140" s="87">
        <f>E140*(1+PUER!E$10)</f>
        <v>1.3034135953175239</v>
      </c>
      <c r="G140" s="87">
        <f>F140*1+PUER!F$10</f>
        <v>1.3409635953175238</v>
      </c>
      <c r="H140" s="1299" t="s">
        <v>1730</v>
      </c>
    </row>
    <row r="141" spans="2:8" ht="15" customHeight="1" x14ac:dyDescent="0.25">
      <c r="B141" s="80" t="s">
        <v>673</v>
      </c>
      <c r="C141" s="81">
        <v>190</v>
      </c>
      <c r="D141" s="90" t="s">
        <v>196</v>
      </c>
      <c r="E141" s="86">
        <f>(PUER!D110*(1+PUER!D$12))*(1+PUER!D$26)*(1+PUER!D$27)</f>
        <v>2312.8522754900487</v>
      </c>
      <c r="F141" s="87">
        <f>E141*(1+PUER!E$10)</f>
        <v>2406.0602221922977</v>
      </c>
      <c r="G141" s="87">
        <f>F141*1+PUER!F$10</f>
        <v>2406.0977721922977</v>
      </c>
      <c r="H141" s="1299" t="s">
        <v>1730</v>
      </c>
    </row>
    <row r="142" spans="2:8" s="74" customFormat="1" ht="15" customHeight="1" x14ac:dyDescent="0.25">
      <c r="B142" s="73" t="s">
        <v>674</v>
      </c>
      <c r="D142" s="75" t="s">
        <v>675</v>
      </c>
      <c r="E142" s="77">
        <f>SUM(E143:E153)-0.02</f>
        <v>35.450190217667107</v>
      </c>
      <c r="F142" s="77">
        <f t="shared" ref="F142:G142" si="12">SUM(F143:F153)+0.01</f>
        <v>36.909638883439094</v>
      </c>
      <c r="G142" s="77">
        <f t="shared" si="12"/>
        <v>37.322688883439106</v>
      </c>
      <c r="H142" s="1298"/>
    </row>
    <row r="143" spans="2:8" ht="15" customHeight="1" x14ac:dyDescent="0.25">
      <c r="B143" s="80" t="s">
        <v>676</v>
      </c>
      <c r="C143" s="81">
        <v>200</v>
      </c>
      <c r="D143" s="88" t="s">
        <v>677</v>
      </c>
      <c r="E143" s="86">
        <f>(PUER!D111*(1+PUER!D$12))*(1+PUER!D$26)*(1+PUER!D$27)</f>
        <v>1.2529208837042429</v>
      </c>
      <c r="F143" s="87">
        <f>E143*(1+PUER!E$10)</f>
        <v>1.3034135953175239</v>
      </c>
      <c r="G143" s="87">
        <f>F143*1+PUER!F$10</f>
        <v>1.3409635953175238</v>
      </c>
      <c r="H143" s="1299" t="s">
        <v>1730</v>
      </c>
    </row>
    <row r="144" spans="2:8" ht="15" customHeight="1" x14ac:dyDescent="0.25">
      <c r="B144" s="80" t="s">
        <v>678</v>
      </c>
      <c r="C144" s="81">
        <v>201</v>
      </c>
      <c r="D144" s="90" t="s">
        <v>679</v>
      </c>
      <c r="E144" s="86">
        <f>(PUER!D112*(1+PUER!D$12))*(1+PUER!D$26)*(1+PUER!D$27)</f>
        <v>1.2529208837042429</v>
      </c>
      <c r="F144" s="87">
        <f>E144*(1+PUER!E$10)</f>
        <v>1.3034135953175239</v>
      </c>
      <c r="G144" s="87">
        <f>F144*1+PUER!F$10</f>
        <v>1.3409635953175238</v>
      </c>
      <c r="H144" s="1299" t="s">
        <v>1730</v>
      </c>
    </row>
    <row r="145" spans="2:8" ht="15" customHeight="1" x14ac:dyDescent="0.25">
      <c r="B145" s="80" t="s">
        <v>680</v>
      </c>
      <c r="C145" s="81">
        <v>202</v>
      </c>
      <c r="D145" s="90" t="s">
        <v>199</v>
      </c>
      <c r="E145" s="86">
        <f>(PUER!D113*(1+PUER!D$12))*(1+PUER!D$26)*(1+PUER!D$27)</f>
        <v>7.9393419997392192</v>
      </c>
      <c r="F145" s="87">
        <f>E145*(1+PUER!E$10)</f>
        <v>8.2592974823287104</v>
      </c>
      <c r="G145" s="87">
        <f>F145*1+PUER!F$10</f>
        <v>8.2968474823287099</v>
      </c>
      <c r="H145" s="1299" t="s">
        <v>1730</v>
      </c>
    </row>
    <row r="146" spans="2:8" ht="15" customHeight="1" x14ac:dyDescent="0.25">
      <c r="B146" s="80" t="s">
        <v>681</v>
      </c>
      <c r="C146" s="81">
        <v>203</v>
      </c>
      <c r="D146" s="90" t="s">
        <v>200</v>
      </c>
      <c r="E146" s="86">
        <f>(PUER!D114*(1+PUER!D$12))*(1+PUER!D$26)*(1+PUER!D$27)</f>
        <v>9.6057267750658628</v>
      </c>
      <c r="F146" s="87">
        <f>E146*(1+PUER!E$10)</f>
        <v>9.9928375641010163</v>
      </c>
      <c r="G146" s="87">
        <f>F146*1+PUER!F$10</f>
        <v>10.030387564101016</v>
      </c>
      <c r="H146" s="1299" t="s">
        <v>1730</v>
      </c>
    </row>
    <row r="147" spans="2:8" ht="15" customHeight="1" x14ac:dyDescent="0.25">
      <c r="B147" s="80" t="s">
        <v>682</v>
      </c>
      <c r="C147" s="81">
        <v>204</v>
      </c>
      <c r="D147" s="90" t="s">
        <v>201</v>
      </c>
      <c r="E147" s="86">
        <f>(PUER!D115*(1+PUER!D$12))*(1+PUER!D$26)*(1+PUER!D$27)</f>
        <v>1.2529208837042429</v>
      </c>
      <c r="F147" s="87">
        <f>E147*(1+PUER!E$10)</f>
        <v>1.3034135953175239</v>
      </c>
      <c r="G147" s="87">
        <f>F147*1+PUER!F$10</f>
        <v>1.3409635953175238</v>
      </c>
      <c r="H147" s="1299" t="s">
        <v>1730</v>
      </c>
    </row>
    <row r="148" spans="2:8" ht="15" customHeight="1" x14ac:dyDescent="0.25">
      <c r="B148" s="80" t="s">
        <v>683</v>
      </c>
      <c r="C148" s="81">
        <v>205</v>
      </c>
      <c r="D148" s="90" t="s">
        <v>202</v>
      </c>
      <c r="E148" s="86">
        <f>(PUER!D116*(1+PUER!D$12))*(1+PUER!D$26)*(1+PUER!D$27)</f>
        <v>1.2529208837042429</v>
      </c>
      <c r="F148" s="87">
        <f>E148*(1+PUER!E$10)</f>
        <v>1.3034135953175239</v>
      </c>
      <c r="G148" s="87">
        <f>F148*1+PUER!F$10</f>
        <v>1.3409635953175238</v>
      </c>
      <c r="H148" s="1299" t="s">
        <v>1730</v>
      </c>
    </row>
    <row r="149" spans="2:8" ht="15" customHeight="1" x14ac:dyDescent="0.25">
      <c r="B149" s="80" t="s">
        <v>684</v>
      </c>
      <c r="C149" s="81">
        <v>206</v>
      </c>
      <c r="D149" s="89" t="s">
        <v>203</v>
      </c>
      <c r="E149" s="86">
        <f>(PUER!D117*(1+PUER!D$12))*(1+PUER!D$26)*(1+PUER!D$27)</f>
        <v>1.2529208837042429</v>
      </c>
      <c r="F149" s="87">
        <f>E149*(1+PUER!E$10)</f>
        <v>1.3034135953175239</v>
      </c>
      <c r="G149" s="87">
        <f>F149*1+PUER!F$10</f>
        <v>1.3409635953175238</v>
      </c>
      <c r="H149" s="1299" t="s">
        <v>1730</v>
      </c>
    </row>
    <row r="150" spans="2:8" ht="15" customHeight="1" x14ac:dyDescent="0.25">
      <c r="B150" s="80" t="s">
        <v>685</v>
      </c>
      <c r="C150" s="81">
        <v>207</v>
      </c>
      <c r="D150" s="89" t="s">
        <v>204</v>
      </c>
      <c r="E150" s="86">
        <f>(PUER!D118*(1+PUER!D$12))*(1+PUER!D$26)*(1+PUER!D$27)</f>
        <v>1.2529208837042429</v>
      </c>
      <c r="F150" s="87">
        <f>E150*(1+PUER!E$10)</f>
        <v>1.3034135953175239</v>
      </c>
      <c r="G150" s="87">
        <f>F150*1+PUER!F$10</f>
        <v>1.3409635953175238</v>
      </c>
      <c r="H150" s="1299" t="s">
        <v>1730</v>
      </c>
    </row>
    <row r="151" spans="2:8" ht="15" customHeight="1" x14ac:dyDescent="0.25">
      <c r="B151" s="80" t="s">
        <v>686</v>
      </c>
      <c r="C151" s="81">
        <v>208</v>
      </c>
      <c r="D151" s="90" t="s">
        <v>205</v>
      </c>
      <c r="E151" s="86">
        <f>(PUER!D119*(1+PUER!D$12))*(1+PUER!D$26)*(1+PUER!D$27)</f>
        <v>1.2529208837042429</v>
      </c>
      <c r="F151" s="87">
        <f>E151*(1+PUER!E$10)</f>
        <v>1.3034135953175239</v>
      </c>
      <c r="G151" s="87">
        <f>F151*1+PUER!F$10</f>
        <v>1.3409635953175238</v>
      </c>
      <c r="H151" s="1299" t="s">
        <v>1730</v>
      </c>
    </row>
    <row r="152" spans="2:8" ht="15" customHeight="1" x14ac:dyDescent="0.25">
      <c r="B152" s="80" t="s">
        <v>687</v>
      </c>
      <c r="C152" s="81">
        <v>209</v>
      </c>
      <c r="D152" s="89" t="s">
        <v>206</v>
      </c>
      <c r="E152" s="86">
        <f>(PUER!D120*(1+PUER!D$12))*(1+PUER!D$26)*(1+PUER!D$27)</f>
        <v>1.2529208837042429</v>
      </c>
      <c r="F152" s="87">
        <f>E152*(1+PUER!E$10)</f>
        <v>1.3034135953175239</v>
      </c>
      <c r="G152" s="87">
        <f>F152*1+PUER!F$10</f>
        <v>1.3409635953175238</v>
      </c>
      <c r="H152" s="1299" t="s">
        <v>1730</v>
      </c>
    </row>
    <row r="153" spans="2:8" ht="15" customHeight="1" x14ac:dyDescent="0.25">
      <c r="B153" s="80" t="s">
        <v>688</v>
      </c>
      <c r="C153" s="81">
        <v>210</v>
      </c>
      <c r="D153" s="90" t="s">
        <v>689</v>
      </c>
      <c r="E153" s="86">
        <f>(PUER!D121*(1+PUER!D$12))*(1+PUER!D$26)*(1+PUER!D$27)</f>
        <v>7.9017543732280933</v>
      </c>
      <c r="F153" s="87">
        <f>E153*(1+PUER!E$10)</f>
        <v>8.220195074469185</v>
      </c>
      <c r="G153" s="87">
        <f>F153*1+PUER!F$10</f>
        <v>8.2577450744691845</v>
      </c>
      <c r="H153" s="1299" t="s">
        <v>1730</v>
      </c>
    </row>
    <row r="154" spans="2:8" s="74" customFormat="1" ht="15" customHeight="1" x14ac:dyDescent="0.25">
      <c r="B154" s="73" t="s">
        <v>690</v>
      </c>
      <c r="D154" s="75" t="s">
        <v>691</v>
      </c>
      <c r="E154" s="77">
        <f>SUM(E155:E165)-0.02</f>
        <v>84.932212318093377</v>
      </c>
      <c r="F154" s="77">
        <f t="shared" ref="F154:G154" si="13">SUM(F155:F165)+0.02</f>
        <v>88.395786474512491</v>
      </c>
      <c r="G154" s="77">
        <f t="shared" si="13"/>
        <v>88.808836474512461</v>
      </c>
      <c r="H154" s="1298"/>
    </row>
    <row r="155" spans="2:8" ht="15" customHeight="1" x14ac:dyDescent="0.25">
      <c r="B155" s="80" t="s">
        <v>692</v>
      </c>
      <c r="C155" s="81">
        <v>220</v>
      </c>
      <c r="D155" s="90" t="s">
        <v>693</v>
      </c>
      <c r="E155" s="86">
        <f>(PUER!D122*(1+PUER!D$12))*(1+PUER!D$26)*(1+PUER!D$27)</f>
        <v>1.2529208837042429</v>
      </c>
      <c r="F155" s="87">
        <f>E155*(1+PUER!E$10)</f>
        <v>1.3034135953175239</v>
      </c>
      <c r="G155" s="87">
        <f>F155*1+PUER!F$10</f>
        <v>1.3409635953175238</v>
      </c>
      <c r="H155" s="1299" t="s">
        <v>1730</v>
      </c>
    </row>
    <row r="156" spans="2:8" ht="15" customHeight="1" x14ac:dyDescent="0.25">
      <c r="B156" s="80" t="s">
        <v>694</v>
      </c>
      <c r="C156" s="81">
        <v>221</v>
      </c>
      <c r="D156" s="90" t="s">
        <v>695</v>
      </c>
      <c r="E156" s="86">
        <f>(PUER!D123*(1+PUER!D$12))*(1+PUER!D$26)*(1+PUER!D$27)</f>
        <v>1.2529208837042429</v>
      </c>
      <c r="F156" s="87">
        <f>E156*(1+PUER!E$10)</f>
        <v>1.3034135953175239</v>
      </c>
      <c r="G156" s="87">
        <f>F156*1+PUER!F$10</f>
        <v>1.3409635953175238</v>
      </c>
      <c r="H156" s="1299" t="s">
        <v>1730</v>
      </c>
    </row>
    <row r="157" spans="2:8" ht="15" customHeight="1" x14ac:dyDescent="0.25">
      <c r="B157" s="80" t="s">
        <v>696</v>
      </c>
      <c r="C157" s="81">
        <v>222</v>
      </c>
      <c r="D157" s="90" t="s">
        <v>697</v>
      </c>
      <c r="E157" s="86">
        <f>(PUER!D124*(1+PUER!D$12))*(1+PUER!D$26)*(1+PUER!D$27)</f>
        <v>45.39958822102323</v>
      </c>
      <c r="F157" s="87">
        <f>E157*(1+PUER!E$10)</f>
        <v>47.229191626330469</v>
      </c>
      <c r="G157" s="87">
        <f>F157*1+PUER!F$10</f>
        <v>47.266741626330472</v>
      </c>
      <c r="H157" s="1299" t="s">
        <v>1730</v>
      </c>
    </row>
    <row r="158" spans="2:8" ht="15" customHeight="1" x14ac:dyDescent="0.25">
      <c r="B158" s="80" t="s">
        <v>698</v>
      </c>
      <c r="C158" s="81">
        <v>223</v>
      </c>
      <c r="D158" s="90" t="s">
        <v>699</v>
      </c>
      <c r="E158" s="86">
        <f>(PUER!D125*(1+PUER!D$12))*(1+PUER!D$26)*(1+PUER!D$27)</f>
        <v>28.276336143731921</v>
      </c>
      <c r="F158" s="87">
        <f>E158*(1+PUER!E$10)</f>
        <v>29.415872490324318</v>
      </c>
      <c r="G158" s="87">
        <f>F158*1+PUER!F$10</f>
        <v>29.453422490324318</v>
      </c>
      <c r="H158" s="1299" t="s">
        <v>1730</v>
      </c>
    </row>
    <row r="159" spans="2:8" ht="15" customHeight="1" x14ac:dyDescent="0.25">
      <c r="B159" s="80" t="s">
        <v>700</v>
      </c>
      <c r="C159" s="81">
        <v>224</v>
      </c>
      <c r="D159" s="90" t="s">
        <v>701</v>
      </c>
      <c r="E159" s="86">
        <f>(PUER!D126*(1+PUER!D$12))*(1+PUER!D$26)*(1+PUER!D$27)</f>
        <v>1.2529208837042429</v>
      </c>
      <c r="F159" s="87">
        <f>E159*(1+PUER!E$10)</f>
        <v>1.3034135953175239</v>
      </c>
      <c r="G159" s="87">
        <f>F159*1+PUER!F$10</f>
        <v>1.3409635953175238</v>
      </c>
      <c r="H159" s="1299" t="s">
        <v>1730</v>
      </c>
    </row>
    <row r="160" spans="2:8" ht="15" customHeight="1" x14ac:dyDescent="0.25">
      <c r="B160" s="80" t="s">
        <v>702</v>
      </c>
      <c r="C160" s="81">
        <v>225</v>
      </c>
      <c r="D160" s="90" t="s">
        <v>703</v>
      </c>
      <c r="E160" s="86">
        <f>(PUER!D127*(1+PUER!D$12))*(1+PUER!D$26)*(1+PUER!D$27)</f>
        <v>1.2529208837042429</v>
      </c>
      <c r="F160" s="87">
        <f>E160*(1+PUER!E$10)</f>
        <v>1.3034135953175239</v>
      </c>
      <c r="G160" s="87">
        <f>F160*1+PUER!F$10</f>
        <v>1.3409635953175238</v>
      </c>
      <c r="H160" s="1299" t="s">
        <v>1730</v>
      </c>
    </row>
    <row r="161" spans="2:8" ht="15" customHeight="1" x14ac:dyDescent="0.25">
      <c r="B161" s="80" t="s">
        <v>704</v>
      </c>
      <c r="C161" s="81">
        <v>226</v>
      </c>
      <c r="D161" s="90" t="s">
        <v>705</v>
      </c>
      <c r="E161" s="86">
        <f>(PUER!D128*(1+PUER!D$12))*(1+PUER!D$26)*(1+PUER!D$27)</f>
        <v>1.2529208837042429</v>
      </c>
      <c r="F161" s="87">
        <f>E161*(1+PUER!E$10)</f>
        <v>1.3034135953175239</v>
      </c>
      <c r="G161" s="87">
        <f>F161*1+PUER!F$10</f>
        <v>1.3409635953175238</v>
      </c>
      <c r="H161" s="1299" t="s">
        <v>1730</v>
      </c>
    </row>
    <row r="162" spans="2:8" ht="15" customHeight="1" x14ac:dyDescent="0.25">
      <c r="B162" s="80" t="s">
        <v>706</v>
      </c>
      <c r="C162" s="81">
        <v>227</v>
      </c>
      <c r="D162" s="89" t="s">
        <v>707</v>
      </c>
      <c r="E162" s="86">
        <f>(PUER!D129*(1+PUER!D$12))*(1+PUER!D$26)*(1+PUER!D$27)</f>
        <v>1.2529208837042429</v>
      </c>
      <c r="F162" s="87">
        <f>E162*(1+PUER!E$10)</f>
        <v>1.3034135953175239</v>
      </c>
      <c r="G162" s="87">
        <f>F162*1+PUER!F$10</f>
        <v>1.3409635953175238</v>
      </c>
      <c r="H162" s="1299" t="s">
        <v>1730</v>
      </c>
    </row>
    <row r="163" spans="2:8" ht="15" customHeight="1" x14ac:dyDescent="0.25">
      <c r="B163" s="80" t="s">
        <v>708</v>
      </c>
      <c r="C163" s="81">
        <v>228</v>
      </c>
      <c r="D163" s="90" t="s">
        <v>709</v>
      </c>
      <c r="E163" s="86">
        <f>(PUER!D130*(1+PUER!D$12))*(1+PUER!D$26)*(1+PUER!D$27)</f>
        <v>1.2529208837042429</v>
      </c>
      <c r="F163" s="87">
        <f>E163*(1+PUER!E$10)</f>
        <v>1.3034135953175239</v>
      </c>
      <c r="G163" s="87">
        <f>F163*1+PUER!F$10</f>
        <v>1.3409635953175238</v>
      </c>
      <c r="H163" s="1299" t="s">
        <v>1730</v>
      </c>
    </row>
    <row r="164" spans="2:8" ht="15" customHeight="1" x14ac:dyDescent="0.25">
      <c r="B164" s="80" t="s">
        <v>710</v>
      </c>
      <c r="C164" s="81">
        <v>229</v>
      </c>
      <c r="D164" s="90" t="s">
        <v>711</v>
      </c>
      <c r="E164" s="86">
        <f>(PUER!D131*(1+PUER!D$12))*(1+PUER!D$26)*(1+PUER!D$27)</f>
        <v>1.2529208837042429</v>
      </c>
      <c r="F164" s="87">
        <f>E164*(1+PUER!E$10)</f>
        <v>1.3034135953175239</v>
      </c>
      <c r="G164" s="87">
        <f>F164*1+PUER!F$10</f>
        <v>1.3409635953175238</v>
      </c>
      <c r="H164" s="1299" t="s">
        <v>1730</v>
      </c>
    </row>
    <row r="165" spans="2:8" ht="15" customHeight="1" x14ac:dyDescent="0.25">
      <c r="B165" s="80" t="s">
        <v>712</v>
      </c>
      <c r="C165" s="81">
        <v>230</v>
      </c>
      <c r="D165" s="90" t="s">
        <v>713</v>
      </c>
      <c r="E165" s="86">
        <f>(PUER!D132*(1+PUER!D$12))*(1+PUER!D$26)*(1+PUER!D$27)</f>
        <v>1.2529208837042429</v>
      </c>
      <c r="F165" s="87">
        <f>E165*(1+PUER!E$10)</f>
        <v>1.3034135953175239</v>
      </c>
      <c r="G165" s="87">
        <f>F165*1+PUER!F$10</f>
        <v>1.3409635953175238</v>
      </c>
      <c r="H165" s="1299" t="s">
        <v>1730</v>
      </c>
    </row>
    <row r="166" spans="2:8" s="74" customFormat="1" ht="15" customHeight="1" x14ac:dyDescent="0.25">
      <c r="B166" s="73" t="s">
        <v>714</v>
      </c>
      <c r="D166" s="75" t="s">
        <v>715</v>
      </c>
      <c r="E166" s="77">
        <f>SUM(E167:E177)-0.03</f>
        <v>56.169766238553805</v>
      </c>
      <c r="F166" s="77">
        <f t="shared" ref="F166:G166" si="14">SUM(F167:F177)+0.02</f>
        <v>58.484616817967527</v>
      </c>
      <c r="G166" s="77">
        <f t="shared" si="14"/>
        <v>58.897666817967547</v>
      </c>
      <c r="H166" s="1298"/>
    </row>
    <row r="167" spans="2:8" ht="15" customHeight="1" x14ac:dyDescent="0.25">
      <c r="B167" s="80" t="s">
        <v>716</v>
      </c>
      <c r="C167" s="81">
        <v>240</v>
      </c>
      <c r="D167" s="89" t="s">
        <v>717</v>
      </c>
      <c r="E167" s="86">
        <f>(PUER!D133*(1+PUER!D$12))*(1+PUER!D$26)*(1+PUER!D$27)</f>
        <v>1.2529208837042429</v>
      </c>
      <c r="F167" s="87">
        <f>E167*(1+PUER!E$10)</f>
        <v>1.3034135953175239</v>
      </c>
      <c r="G167" s="87">
        <f>F167*1+PUER!F$10</f>
        <v>1.3409635953175238</v>
      </c>
      <c r="H167" s="1299" t="s">
        <v>1730</v>
      </c>
    </row>
    <row r="168" spans="2:8" ht="15" customHeight="1" x14ac:dyDescent="0.25">
      <c r="B168" s="80" t="s">
        <v>718</v>
      </c>
      <c r="C168" s="81">
        <v>241</v>
      </c>
      <c r="D168" s="90" t="s">
        <v>719</v>
      </c>
      <c r="E168" s="86">
        <f>(PUER!D134*(1+PUER!D$12))*(1+PUER!D$26)*(1+PUER!D$27)</f>
        <v>1.2529208837042429</v>
      </c>
      <c r="F168" s="87">
        <f>E168*(1+PUER!E$10)</f>
        <v>1.3034135953175239</v>
      </c>
      <c r="G168" s="87">
        <f>F168*1+PUER!F$10</f>
        <v>1.3409635953175238</v>
      </c>
      <c r="H168" s="1299" t="s">
        <v>1730</v>
      </c>
    </row>
    <row r="169" spans="2:8" ht="15" customHeight="1" x14ac:dyDescent="0.25">
      <c r="B169" s="80" t="s">
        <v>720</v>
      </c>
      <c r="C169" s="81">
        <v>242</v>
      </c>
      <c r="D169" s="90" t="s">
        <v>721</v>
      </c>
      <c r="E169" s="86">
        <f>(PUER!D135*(1+PUER!D$12))*(1+PUER!D$26)*(1+PUER!D$27)</f>
        <v>25.720377540975264</v>
      </c>
      <c r="F169" s="87">
        <f>E169*(1+PUER!E$10)</f>
        <v>26.756908755876566</v>
      </c>
      <c r="G169" s="87">
        <f>F169*1+PUER!F$10</f>
        <v>26.794458755876565</v>
      </c>
      <c r="H169" s="1299" t="s">
        <v>1730</v>
      </c>
    </row>
    <row r="170" spans="2:8" ht="15" customHeight="1" x14ac:dyDescent="0.25">
      <c r="B170" s="80" t="s">
        <v>722</v>
      </c>
      <c r="C170" s="81">
        <v>243</v>
      </c>
      <c r="D170" s="90" t="s">
        <v>723</v>
      </c>
      <c r="E170" s="86">
        <f>(PUER!D136*(1+PUER!D$12))*(1+PUER!D$26)*(1+PUER!D$27)</f>
        <v>19.203100744240363</v>
      </c>
      <c r="F170" s="87">
        <f>E170*(1+PUER!E$10)</f>
        <v>19.97698570423325</v>
      </c>
      <c r="G170" s="87">
        <f>F170*1+PUER!F$10</f>
        <v>20.01453570423325</v>
      </c>
      <c r="H170" s="1299" t="s">
        <v>1730</v>
      </c>
    </row>
    <row r="171" spans="2:8" ht="15" customHeight="1" x14ac:dyDescent="0.25">
      <c r="B171" s="80" t="s">
        <v>724</v>
      </c>
      <c r="C171" s="81">
        <v>244</v>
      </c>
      <c r="D171" s="89" t="s">
        <v>725</v>
      </c>
      <c r="E171" s="86">
        <f>(PUER!D137*(1+PUER!D$12))*(1+PUER!D$26)*(1+PUER!D$27)</f>
        <v>1.2529208837042429</v>
      </c>
      <c r="F171" s="87">
        <f>E171*(1+PUER!E$10)</f>
        <v>1.3034135953175239</v>
      </c>
      <c r="G171" s="87">
        <f>F171*1+PUER!F$10</f>
        <v>1.3409635953175238</v>
      </c>
      <c r="H171" s="1299" t="s">
        <v>1730</v>
      </c>
    </row>
    <row r="172" spans="2:8" ht="15" customHeight="1" x14ac:dyDescent="0.25">
      <c r="B172" s="80" t="s">
        <v>726</v>
      </c>
      <c r="C172" s="81">
        <v>245</v>
      </c>
      <c r="D172" s="90" t="s">
        <v>727</v>
      </c>
      <c r="E172" s="86">
        <f>(PUER!D138*(1+PUER!D$12))*(1+PUER!D$26)*(1+PUER!D$27)</f>
        <v>1.2529208837042429</v>
      </c>
      <c r="F172" s="87">
        <f>E172*(1+PUER!E$10)</f>
        <v>1.3034135953175239</v>
      </c>
      <c r="G172" s="87">
        <f>F172*1+PUER!F$10</f>
        <v>1.3409635953175238</v>
      </c>
      <c r="H172" s="1299" t="s">
        <v>1730</v>
      </c>
    </row>
    <row r="173" spans="2:8" ht="15" customHeight="1" x14ac:dyDescent="0.25">
      <c r="B173" s="80" t="s">
        <v>728</v>
      </c>
      <c r="C173" s="81">
        <v>246</v>
      </c>
      <c r="D173" s="89" t="s">
        <v>729</v>
      </c>
      <c r="E173" s="86">
        <f>(PUER!D139*(1+PUER!D$12))*(1+PUER!D$26)*(1+PUER!D$27)</f>
        <v>1.2529208837042429</v>
      </c>
      <c r="F173" s="87">
        <f>E173*(1+PUER!E$10)</f>
        <v>1.3034135953175239</v>
      </c>
      <c r="G173" s="87">
        <f>F173*1+PUER!F$10</f>
        <v>1.3409635953175238</v>
      </c>
      <c r="H173" s="1299" t="s">
        <v>1730</v>
      </c>
    </row>
    <row r="174" spans="2:8" ht="15" customHeight="1" x14ac:dyDescent="0.25">
      <c r="B174" s="80" t="s">
        <v>730</v>
      </c>
      <c r="C174" s="81">
        <v>247</v>
      </c>
      <c r="D174" s="89" t="s">
        <v>731</v>
      </c>
      <c r="E174" s="86">
        <f>(PUER!D140*(1+PUER!D$12))*(1+PUER!D$26)*(1+PUER!D$27)</f>
        <v>1.2529208837042429</v>
      </c>
      <c r="F174" s="87">
        <f>E174*(1+PUER!E$10)</f>
        <v>1.3034135953175239</v>
      </c>
      <c r="G174" s="87">
        <f>F174*1+PUER!F$10</f>
        <v>1.3409635953175238</v>
      </c>
      <c r="H174" s="1299" t="s">
        <v>1730</v>
      </c>
    </row>
    <row r="175" spans="2:8" ht="15" customHeight="1" x14ac:dyDescent="0.25">
      <c r="B175" s="80" t="s">
        <v>732</v>
      </c>
      <c r="C175" s="81">
        <v>248</v>
      </c>
      <c r="D175" s="89" t="s">
        <v>731</v>
      </c>
      <c r="E175" s="86">
        <f>(PUER!D141*(1+PUER!D$12))*(1+PUER!D$26)*(1+PUER!D$27)</f>
        <v>1.2529208837042429</v>
      </c>
      <c r="F175" s="87">
        <f>E175*(1+PUER!E$10)</f>
        <v>1.3034135953175239</v>
      </c>
      <c r="G175" s="87">
        <f>F175*1+PUER!F$10</f>
        <v>1.3409635953175238</v>
      </c>
      <c r="H175" s="1299" t="s">
        <v>1730</v>
      </c>
    </row>
    <row r="176" spans="2:8" ht="15" customHeight="1" x14ac:dyDescent="0.25">
      <c r="B176" s="80" t="s">
        <v>733</v>
      </c>
      <c r="C176" s="81">
        <v>249</v>
      </c>
      <c r="D176" s="90" t="s">
        <v>734</v>
      </c>
      <c r="E176" s="86">
        <f>(PUER!D142*(1+PUER!D$12))*(1+PUER!D$26)*(1+PUER!D$27)</f>
        <v>1.2529208837042429</v>
      </c>
      <c r="F176" s="87">
        <f>E176*(1+PUER!E$10)</f>
        <v>1.3034135953175239</v>
      </c>
      <c r="G176" s="87">
        <f>F176*1+PUER!F$10</f>
        <v>1.3409635953175238</v>
      </c>
      <c r="H176" s="1299" t="s">
        <v>1730</v>
      </c>
    </row>
    <row r="177" spans="2:8" ht="15" customHeight="1" x14ac:dyDescent="0.25">
      <c r="B177" s="80" t="s">
        <v>735</v>
      </c>
      <c r="C177" s="81">
        <v>250</v>
      </c>
      <c r="D177" s="89" t="s">
        <v>736</v>
      </c>
      <c r="E177" s="86">
        <f>(PUER!D143*(1+PUER!D$12))*(1+PUER!D$26)*(1+PUER!D$27)</f>
        <v>1.2529208837042429</v>
      </c>
      <c r="F177" s="87">
        <f>E177*(1+PUER!E$10)</f>
        <v>1.3034135953175239</v>
      </c>
      <c r="G177" s="87">
        <f>F177*1+PUER!F$10</f>
        <v>1.3409635953175238</v>
      </c>
      <c r="H177" s="1299" t="s">
        <v>1730</v>
      </c>
    </row>
    <row r="178" spans="2:8" s="74" customFormat="1" ht="15" customHeight="1" x14ac:dyDescent="0.25">
      <c r="B178" s="73" t="s">
        <v>737</v>
      </c>
      <c r="D178" s="75" t="s">
        <v>738</v>
      </c>
      <c r="E178" s="76">
        <f>E179</f>
        <v>5.0016835348169719</v>
      </c>
      <c r="F178" s="76">
        <f t="shared" ref="F178:G178" si="15">F179</f>
        <v>5.2036543812700957</v>
      </c>
      <c r="G178" s="76">
        <f t="shared" si="15"/>
        <v>5.3538543812700956</v>
      </c>
      <c r="H178" s="1298"/>
    </row>
    <row r="179" spans="2:8" s="74" customFormat="1" ht="15" customHeight="1" x14ac:dyDescent="0.25">
      <c r="B179" s="73" t="s">
        <v>739</v>
      </c>
      <c r="D179" s="75" t="s">
        <v>740</v>
      </c>
      <c r="E179" s="77">
        <f>E180+E182+E184+E186-0.01</f>
        <v>5.0016835348169719</v>
      </c>
      <c r="F179" s="77">
        <f t="shared" ref="F179:G179" si="16">F180+F182+F184+F186-0.01</f>
        <v>5.2036543812700957</v>
      </c>
      <c r="G179" s="77">
        <f t="shared" si="16"/>
        <v>5.3538543812700956</v>
      </c>
      <c r="H179" s="1298"/>
    </row>
    <row r="180" spans="2:8" s="74" customFormat="1" ht="15" customHeight="1" x14ac:dyDescent="0.25">
      <c r="B180" s="73" t="s">
        <v>741</v>
      </c>
      <c r="D180" s="75" t="s">
        <v>742</v>
      </c>
      <c r="E180" s="77">
        <f>SUM(E181)</f>
        <v>1.2529208837042429</v>
      </c>
      <c r="F180" s="77">
        <f>SUM(F181)</f>
        <v>1.3034135953175239</v>
      </c>
      <c r="G180" s="77">
        <f>SUM(G181)</f>
        <v>1.3409635953175238</v>
      </c>
      <c r="H180" s="1298"/>
    </row>
    <row r="181" spans="2:8" ht="15" customHeight="1" x14ac:dyDescent="0.25">
      <c r="B181" s="80" t="s">
        <v>743</v>
      </c>
      <c r="C181" s="81">
        <v>260</v>
      </c>
      <c r="D181" s="89" t="s">
        <v>230</v>
      </c>
      <c r="E181" s="86">
        <f>(PUER!D142*(1+PUER!D$12))*(1+PUER!D$26)*(1+PUER!D$27)</f>
        <v>1.2529208837042429</v>
      </c>
      <c r="F181" s="87">
        <f>E181*(1+PUER!E$10)</f>
        <v>1.3034135953175239</v>
      </c>
      <c r="G181" s="87">
        <f>F181*1+PUER!F$10</f>
        <v>1.3409635953175238</v>
      </c>
      <c r="H181" s="1299" t="s">
        <v>1730</v>
      </c>
    </row>
    <row r="182" spans="2:8" s="74" customFormat="1" ht="15" customHeight="1" x14ac:dyDescent="0.25">
      <c r="B182" s="73" t="s">
        <v>744</v>
      </c>
      <c r="D182" s="75" t="s">
        <v>745</v>
      </c>
      <c r="E182" s="77">
        <f>SUM(E183)</f>
        <v>1.2529208837042429</v>
      </c>
      <c r="F182" s="77">
        <f>SUM(F183)</f>
        <v>1.3034135953175239</v>
      </c>
      <c r="G182" s="77">
        <f>SUM(G183)</f>
        <v>1.3409635953175238</v>
      </c>
      <c r="H182" s="1298"/>
    </row>
    <row r="183" spans="2:8" ht="15" customHeight="1" x14ac:dyDescent="0.25">
      <c r="B183" s="80" t="s">
        <v>746</v>
      </c>
      <c r="C183" s="81">
        <v>270</v>
      </c>
      <c r="D183" s="89" t="s">
        <v>231</v>
      </c>
      <c r="E183" s="86">
        <f>(PUER!D143*(1+PUER!D$12))*(1+PUER!D$26)*(1+PUER!D$27)</f>
        <v>1.2529208837042429</v>
      </c>
      <c r="F183" s="87">
        <f>E183*(1+PUER!E$10)</f>
        <v>1.3034135953175239</v>
      </c>
      <c r="G183" s="87">
        <f>F183*1+PUER!F$10</f>
        <v>1.3409635953175238</v>
      </c>
      <c r="H183" s="1299" t="s">
        <v>1730</v>
      </c>
    </row>
    <row r="184" spans="2:8" s="74" customFormat="1" ht="15" customHeight="1" x14ac:dyDescent="0.25">
      <c r="B184" s="73" t="s">
        <v>747</v>
      </c>
      <c r="D184" s="75" t="s">
        <v>748</v>
      </c>
      <c r="E184" s="77">
        <f>SUM(E185)</f>
        <v>1.2529208837042429</v>
      </c>
      <c r="F184" s="77">
        <f>SUM(F185)</f>
        <v>1.3034135953175239</v>
      </c>
      <c r="G184" s="77">
        <f>SUM(G185)</f>
        <v>1.3409635953175238</v>
      </c>
      <c r="H184" s="1298"/>
    </row>
    <row r="185" spans="2:8" ht="15" customHeight="1" x14ac:dyDescent="0.25">
      <c r="B185" s="80" t="s">
        <v>749</v>
      </c>
      <c r="C185" s="81">
        <v>280</v>
      </c>
      <c r="D185" s="90" t="s">
        <v>232</v>
      </c>
      <c r="E185" s="86">
        <f>(PUER!D144*(1+PUER!D$12))*(1+PUER!D$26)*(1+PUER!D$27)</f>
        <v>1.2529208837042429</v>
      </c>
      <c r="F185" s="87">
        <f>E185*(1+PUER!E$10)</f>
        <v>1.3034135953175239</v>
      </c>
      <c r="G185" s="87">
        <f>F185*1+PUER!F$10</f>
        <v>1.3409635953175238</v>
      </c>
      <c r="H185" s="1299" t="s">
        <v>1730</v>
      </c>
    </row>
    <row r="186" spans="2:8" s="74" customFormat="1" ht="15" customHeight="1" x14ac:dyDescent="0.25">
      <c r="B186" s="73" t="s">
        <v>750</v>
      </c>
      <c r="D186" s="75" t="s">
        <v>751</v>
      </c>
      <c r="E186" s="77">
        <f>SUM(E187)</f>
        <v>1.2529208837042429</v>
      </c>
      <c r="F186" s="77">
        <f>SUM(F187)</f>
        <v>1.3034135953175239</v>
      </c>
      <c r="G186" s="77">
        <f>SUM(G187)</f>
        <v>1.3409635953175238</v>
      </c>
      <c r="H186" s="1298"/>
    </row>
    <row r="187" spans="2:8" ht="15" customHeight="1" x14ac:dyDescent="0.25">
      <c r="B187" s="80" t="s">
        <v>752</v>
      </c>
      <c r="C187" s="81">
        <v>290</v>
      </c>
      <c r="D187" s="89" t="s">
        <v>233</v>
      </c>
      <c r="E187" s="86">
        <f>(PUER!D145*(1+PUER!D$12))*(1+PUER!D$26)*(1+PUER!D$27)</f>
        <v>1.2529208837042429</v>
      </c>
      <c r="F187" s="87">
        <f>E187*(1+PUER!E$10)</f>
        <v>1.3034135953175239</v>
      </c>
      <c r="G187" s="87">
        <f>F187*1+PUER!F$10</f>
        <v>1.3409635953175238</v>
      </c>
      <c r="H187" s="1299" t="s">
        <v>1730</v>
      </c>
    </row>
    <row r="188" spans="2:8" s="74" customFormat="1" ht="15" customHeight="1" x14ac:dyDescent="0.25">
      <c r="B188" s="73" t="s">
        <v>753</v>
      </c>
      <c r="D188" s="75" t="s">
        <v>754</v>
      </c>
      <c r="E188" s="76">
        <f>E189</f>
        <v>33525.620708269133</v>
      </c>
      <c r="F188" s="76">
        <f>F189</f>
        <v>34876.703222812379</v>
      </c>
      <c r="G188" s="76">
        <f>G189</f>
        <v>34876.74077281238</v>
      </c>
      <c r="H188" s="1298"/>
    </row>
    <row r="189" spans="2:8" s="74" customFormat="1" ht="15" customHeight="1" x14ac:dyDescent="0.25">
      <c r="B189" s="73" t="s">
        <v>755</v>
      </c>
      <c r="D189" s="75" t="s">
        <v>756</v>
      </c>
      <c r="E189" s="77">
        <f>SUM(E190)</f>
        <v>33525.620708269133</v>
      </c>
      <c r="F189" s="77">
        <f>SUM(F190)</f>
        <v>34876.703222812379</v>
      </c>
      <c r="G189" s="77">
        <f>SUM(G190)</f>
        <v>34876.74077281238</v>
      </c>
      <c r="H189" s="1298"/>
    </row>
    <row r="190" spans="2:8" ht="15" customHeight="1" x14ac:dyDescent="0.25">
      <c r="B190" s="80" t="s">
        <v>757</v>
      </c>
      <c r="C190" s="81">
        <v>300</v>
      </c>
      <c r="D190" s="90" t="s">
        <v>234</v>
      </c>
      <c r="E190" s="86">
        <f>(PUER!D148*(1+PUER!D$12))*(1+PUER!D$26)*(1+PUER!D$28)</f>
        <v>33525.620708269133</v>
      </c>
      <c r="F190" s="87">
        <f>E190*(1+PUER!E$10)</f>
        <v>34876.703222812379</v>
      </c>
      <c r="G190" s="87">
        <f>F190*1+PUER!F$10</f>
        <v>34876.74077281238</v>
      </c>
      <c r="H190" s="1299" t="s">
        <v>1730</v>
      </c>
    </row>
    <row r="191" spans="2:8" s="74" customFormat="1" ht="15" customHeight="1" x14ac:dyDescent="0.25">
      <c r="B191" s="73" t="s">
        <v>758</v>
      </c>
      <c r="D191" s="75" t="s">
        <v>123</v>
      </c>
      <c r="E191" s="77">
        <f>E193+E231</f>
        <v>132960.05508344073</v>
      </c>
      <c r="F191" s="77">
        <f>F193+F231-0.01</f>
        <v>138319.31237930339</v>
      </c>
      <c r="G191" s="77">
        <f>G193+G231-0.01</f>
        <v>138320.70172930337</v>
      </c>
      <c r="H191" s="1298"/>
    </row>
    <row r="192" spans="2:8" s="74" customFormat="1" ht="15" customHeight="1" x14ac:dyDescent="0.25">
      <c r="B192" s="73" t="s">
        <v>759</v>
      </c>
      <c r="D192" s="75" t="s">
        <v>760</v>
      </c>
      <c r="E192" s="77">
        <f>E193</f>
        <v>100766.76833175264</v>
      </c>
      <c r="F192" s="77">
        <f>F193</f>
        <v>104828.62576852227</v>
      </c>
      <c r="G192" s="77">
        <f>G193</f>
        <v>104829.86491852226</v>
      </c>
      <c r="H192" s="1298"/>
    </row>
    <row r="193" spans="2:8" s="74" customFormat="1" ht="15" customHeight="1" x14ac:dyDescent="0.25">
      <c r="B193" s="73" t="s">
        <v>761</v>
      </c>
      <c r="D193" s="75" t="s">
        <v>762</v>
      </c>
      <c r="E193" s="77">
        <f>E194+E229-0.01</f>
        <v>100766.76833175264</v>
      </c>
      <c r="F193" s="77">
        <f>F194+F229</f>
        <v>104828.62576852227</v>
      </c>
      <c r="G193" s="77">
        <f>G194+G229</f>
        <v>104829.86491852226</v>
      </c>
      <c r="H193" s="1298"/>
    </row>
    <row r="194" spans="2:8" s="74" customFormat="1" ht="15" customHeight="1" x14ac:dyDescent="0.25">
      <c r="B194" s="73" t="s">
        <v>763</v>
      </c>
      <c r="D194" s="75" t="s">
        <v>764</v>
      </c>
      <c r="E194" s="77">
        <f>E195+E227+0.01</f>
        <v>100765.68583736889</v>
      </c>
      <c r="F194" s="77">
        <f t="shared" ref="F194:G194" si="17">F195+F227</f>
        <v>104827.48924661486</v>
      </c>
      <c r="G194" s="77">
        <f t="shared" si="17"/>
        <v>104828.69084661486</v>
      </c>
      <c r="H194" s="1298"/>
    </row>
    <row r="195" spans="2:8" s="74" customFormat="1" ht="15" customHeight="1" x14ac:dyDescent="0.25">
      <c r="B195" s="73" t="s">
        <v>765</v>
      </c>
      <c r="D195" s="75" t="s">
        <v>766</v>
      </c>
      <c r="E195" s="77">
        <f>SUM(E196:E226)-0.91</f>
        <v>57602.88878979985</v>
      </c>
      <c r="F195" s="77">
        <f>SUM(F196:F226)+0.01</f>
        <v>59925.241881028785</v>
      </c>
      <c r="G195" s="77">
        <f>SUM(G196:G226)+0.01</f>
        <v>59926.405931028778</v>
      </c>
      <c r="H195" s="1298"/>
    </row>
    <row r="196" spans="2:8" ht="15" customHeight="1" x14ac:dyDescent="0.25">
      <c r="B196" s="80" t="s">
        <v>767</v>
      </c>
      <c r="C196" s="81">
        <v>320</v>
      </c>
      <c r="D196" s="89" t="s">
        <v>235</v>
      </c>
      <c r="E196" s="86">
        <f>(PUER!D149*(1+PUER!D$12))*(1+PUER!D$26)*(1+PUER!D$29)</f>
        <v>1.0924943837384016</v>
      </c>
      <c r="F196" s="87">
        <f>E196*(1+PUER!E$10)</f>
        <v>1.1365219074030593</v>
      </c>
      <c r="G196" s="87">
        <f>F196*1+PUER!F$10</f>
        <v>1.1740719074030592</v>
      </c>
      <c r="H196" s="1299" t="s">
        <v>1730</v>
      </c>
    </row>
    <row r="197" spans="2:8" ht="15" customHeight="1" x14ac:dyDescent="0.25">
      <c r="B197" s="80" t="s">
        <v>768</v>
      </c>
      <c r="C197" s="81">
        <v>330</v>
      </c>
      <c r="D197" s="89" t="s">
        <v>236</v>
      </c>
      <c r="E197" s="86">
        <f>(PUER!D150*(1+PUER!D$12))*(1+PUER!D$26)*(1+PUER!D$29)</f>
        <v>24852.142357535966</v>
      </c>
      <c r="F197" s="87">
        <f>E197*(1+PUER!E$10)</f>
        <v>25853.683694544667</v>
      </c>
      <c r="G197" s="87">
        <f>F197*1+PUER!F$10</f>
        <v>25853.721244544668</v>
      </c>
      <c r="H197" s="1299" t="s">
        <v>1770</v>
      </c>
    </row>
    <row r="198" spans="2:8" ht="15" customHeight="1" x14ac:dyDescent="0.25">
      <c r="B198" s="80" t="s">
        <v>769</v>
      </c>
      <c r="C198" s="81">
        <v>340</v>
      </c>
      <c r="D198" s="82" t="s">
        <v>237</v>
      </c>
      <c r="E198" s="86">
        <f>(PUER!D151*(1+PUER!D$12))*(1+PUER!D$26)*(1+PUER!D$29)</f>
        <v>6771.7426796997288</v>
      </c>
      <c r="F198" s="87">
        <f>E198*(1+PUER!E$10)</f>
        <v>7044.6439096916283</v>
      </c>
      <c r="G198" s="87">
        <f>F198*1+PUER!F$10</f>
        <v>7044.6814596916283</v>
      </c>
      <c r="H198" s="1299" t="s">
        <v>1731</v>
      </c>
    </row>
    <row r="199" spans="2:8" ht="15" customHeight="1" x14ac:dyDescent="0.25">
      <c r="B199" s="80" t="s">
        <v>770</v>
      </c>
      <c r="C199" s="81">
        <v>341</v>
      </c>
      <c r="D199" s="82" t="s">
        <v>238</v>
      </c>
      <c r="E199" s="86">
        <f>(PUER!D152*(1+PUER!D$12))*(1+PUER!D$26)*(1+PUER!D$29)</f>
        <v>221.70170611600668</v>
      </c>
      <c r="F199" s="87">
        <f>E199*(1+PUER!E$10)</f>
        <v>230.63628487248175</v>
      </c>
      <c r="G199" s="87">
        <f>F199*1+PUER!F$10</f>
        <v>230.67383487248176</v>
      </c>
      <c r="H199" s="1299" t="s">
        <v>1732</v>
      </c>
    </row>
    <row r="200" spans="2:8" ht="15" customHeight="1" x14ac:dyDescent="0.25">
      <c r="B200" s="80" t="s">
        <v>771</v>
      </c>
      <c r="C200" s="81">
        <v>342</v>
      </c>
      <c r="D200" s="82" t="s">
        <v>239</v>
      </c>
      <c r="E200" s="86">
        <f>(PUER!D153*(1+PUER!D$12))*(1+PUER!D$26)*(1+PUER!D$29)</f>
        <v>1947.2383188636791</v>
      </c>
      <c r="F200" s="87">
        <f>E200*(1+PUER!E$10)</f>
        <v>2025.7120231138854</v>
      </c>
      <c r="G200" s="87">
        <f>F200*1+PUER!F$10</f>
        <v>2025.7495731138854</v>
      </c>
      <c r="H200" s="1299" t="s">
        <v>1734</v>
      </c>
    </row>
    <row r="201" spans="2:8" ht="15" customHeight="1" x14ac:dyDescent="0.25">
      <c r="B201" s="80" t="s">
        <v>772</v>
      </c>
      <c r="C201" s="81">
        <v>343</v>
      </c>
      <c r="D201" s="82" t="s">
        <v>240</v>
      </c>
      <c r="E201" s="86">
        <f>(PUER!D154*(1+PUER!D$12))*(1+PUER!D$26)*(1+PUER!D$29)</f>
        <v>1.0924943837384016</v>
      </c>
      <c r="F201" s="87">
        <f>E201*(1+PUER!E$10)</f>
        <v>1.1365219074030593</v>
      </c>
      <c r="G201" s="87">
        <f>F201*1+PUER!F$10</f>
        <v>1.1740719074030592</v>
      </c>
      <c r="H201" s="1299" t="s">
        <v>1756</v>
      </c>
    </row>
    <row r="202" spans="2:8" ht="15" customHeight="1" x14ac:dyDescent="0.25">
      <c r="B202" s="80" t="s">
        <v>773</v>
      </c>
      <c r="C202" s="81">
        <v>344</v>
      </c>
      <c r="D202" s="82" t="s">
        <v>241</v>
      </c>
      <c r="E202" s="86">
        <f>(PUER!D155*(1+PUER!D$12))*(1+PUER!D$26)*(1+PUER!D$29)</f>
        <v>99.926819632605799</v>
      </c>
      <c r="F202" s="87">
        <f>E202*(1+PUER!E$10)</f>
        <v>103.95387046379982</v>
      </c>
      <c r="G202" s="87">
        <f>F202*1+PUER!F$10</f>
        <v>103.99142046379981</v>
      </c>
      <c r="H202" s="1299" t="s">
        <v>1754</v>
      </c>
    </row>
    <row r="203" spans="2:8" ht="15" customHeight="1" x14ac:dyDescent="0.25">
      <c r="B203" s="80" t="s">
        <v>774</v>
      </c>
      <c r="C203" s="81">
        <v>345</v>
      </c>
      <c r="D203" s="82" t="s">
        <v>242</v>
      </c>
      <c r="E203" s="86">
        <f>(PUER!D156*(1+PUER!D$12))*(1+PUER!D$26)*(1+PUER!D$29)</f>
        <v>140.02864681169669</v>
      </c>
      <c r="F203" s="87">
        <f>E203*(1+PUER!E$10)</f>
        <v>145.67180127820808</v>
      </c>
      <c r="G203" s="87">
        <f>F203*1+PUER!F$10</f>
        <v>145.70935127820809</v>
      </c>
      <c r="H203" s="1299" t="s">
        <v>7323</v>
      </c>
    </row>
    <row r="204" spans="2:8" ht="15" customHeight="1" x14ac:dyDescent="0.25">
      <c r="B204" s="80" t="s">
        <v>775</v>
      </c>
      <c r="C204" s="81">
        <v>346</v>
      </c>
      <c r="D204" s="82" t="s">
        <v>243</v>
      </c>
      <c r="E204" s="86">
        <f>(PUER!D157*(1+PUER!D$12))*(1+PUER!D$26)*(1+PUER!D$29)</f>
        <v>938.08669001273449</v>
      </c>
      <c r="F204" s="87">
        <f>E204*(1+PUER!E$10)</f>
        <v>975.89158362024773</v>
      </c>
      <c r="G204" s="87">
        <f>F204*1+PUER!F$10</f>
        <v>975.92913362024774</v>
      </c>
      <c r="H204" s="1299" t="s">
        <v>1755</v>
      </c>
    </row>
    <row r="205" spans="2:8" ht="15" customHeight="1" x14ac:dyDescent="0.25">
      <c r="B205" s="80" t="s">
        <v>776</v>
      </c>
      <c r="C205" s="81">
        <v>347</v>
      </c>
      <c r="D205" s="82" t="s">
        <v>244</v>
      </c>
      <c r="E205" s="86">
        <f>(PUER!D158*(1+PUER!D$12))*(1+PUER!D$26)*(1+PUER!D$29)</f>
        <v>599.43710176547768</v>
      </c>
      <c r="F205" s="87">
        <f>E205*(1+PUER!E$10)</f>
        <v>623.59441696662645</v>
      </c>
      <c r="G205" s="87">
        <f>F205*1+PUER!F$10</f>
        <v>623.63196696662646</v>
      </c>
      <c r="H205" s="1299" t="s">
        <v>7322</v>
      </c>
    </row>
    <row r="206" spans="2:8" ht="15" customHeight="1" x14ac:dyDescent="0.25">
      <c r="B206" s="80" t="s">
        <v>777</v>
      </c>
      <c r="C206" s="81">
        <v>348</v>
      </c>
      <c r="D206" s="82" t="s">
        <v>245</v>
      </c>
      <c r="E206" s="86">
        <f>(PUER!D159*(1+PUER!D$12))*(1+PUER!D$26)*(1+PUER!D$29)</f>
        <v>1089.5737820858742</v>
      </c>
      <c r="F206" s="87">
        <f>E206*(1+PUER!E$10)</f>
        <v>1133.483605503935</v>
      </c>
      <c r="G206" s="87">
        <f>F206*1+PUER!F$10</f>
        <v>1133.521155503935</v>
      </c>
      <c r="H206" s="1299" t="s">
        <v>1735</v>
      </c>
    </row>
    <row r="207" spans="2:8" ht="15" customHeight="1" x14ac:dyDescent="0.25">
      <c r="B207" s="80" t="s">
        <v>778</v>
      </c>
      <c r="C207" s="81">
        <v>360</v>
      </c>
      <c r="D207" s="82" t="s">
        <v>246</v>
      </c>
      <c r="E207" s="86">
        <f>(PUER!D160*(1+PUER!D$12))*(1+PUER!D$26)*(1+PUER!D$29)</f>
        <v>563.4922157165114</v>
      </c>
      <c r="F207" s="87">
        <f>E207*(1+PUER!E$10)</f>
        <v>586.20095200988681</v>
      </c>
      <c r="G207" s="87">
        <f>F207*1+PUER!F$10</f>
        <v>586.23850200988682</v>
      </c>
      <c r="H207" s="1299" t="s">
        <v>1771</v>
      </c>
    </row>
    <row r="208" spans="2:8" ht="15" customHeight="1" x14ac:dyDescent="0.25">
      <c r="B208" s="80" t="s">
        <v>779</v>
      </c>
      <c r="C208" s="81">
        <v>370</v>
      </c>
      <c r="D208" s="82" t="s">
        <v>247</v>
      </c>
      <c r="E208" s="86">
        <f>(PUER!D161*(1+PUER!D$12))*(1+PUER!D$26)*(1+PUER!D$29)</f>
        <v>3618.9550166204517</v>
      </c>
      <c r="F208" s="87">
        <f>E208*(1+PUER!E$10)</f>
        <v>3764.7989037902557</v>
      </c>
      <c r="G208" s="87">
        <f>F208*1+PUER!F$10</f>
        <v>3764.8364537902557</v>
      </c>
      <c r="H208" s="1299" t="s">
        <v>1738</v>
      </c>
    </row>
    <row r="209" spans="2:8" ht="15" customHeight="1" x14ac:dyDescent="0.25">
      <c r="B209" s="80" t="s">
        <v>780</v>
      </c>
      <c r="C209" s="81">
        <v>380</v>
      </c>
      <c r="D209" s="82" t="s">
        <v>248</v>
      </c>
      <c r="E209" s="86">
        <f>(PUER!D162*(1+PUER!D$12))*(1+PUER!D$26)*(1+PUER!D$29)</f>
        <v>269.39090679016084</v>
      </c>
      <c r="F209" s="87">
        <f>E209*(1+PUER!E$10)</f>
        <v>280.24736033380435</v>
      </c>
      <c r="G209" s="87">
        <f>F209*1+PUER!F$10</f>
        <v>280.28491033380436</v>
      </c>
      <c r="H209" s="1299" t="s">
        <v>1736</v>
      </c>
    </row>
    <row r="210" spans="2:8" ht="15" customHeight="1" x14ac:dyDescent="0.25">
      <c r="B210" s="80" t="s">
        <v>781</v>
      </c>
      <c r="C210" s="81">
        <v>390</v>
      </c>
      <c r="D210" s="82" t="s">
        <v>249</v>
      </c>
      <c r="E210" s="86">
        <f>(PUER!D163*(1+PUER!D$12))*(1+PUER!D$26)*(1+PUER!D$29)</f>
        <v>2798.0711240951737</v>
      </c>
      <c r="F210" s="87">
        <f>E210*(1+PUER!E$10)</f>
        <v>2910.8333903962093</v>
      </c>
      <c r="G210" s="87">
        <f>F210*1+PUER!F$10</f>
        <v>2910.8709403962093</v>
      </c>
      <c r="H210" s="1299" t="s">
        <v>1737</v>
      </c>
    </row>
    <row r="211" spans="2:8" ht="15" customHeight="1" x14ac:dyDescent="0.25">
      <c r="B211" s="80" t="s">
        <v>782</v>
      </c>
      <c r="C211" s="81">
        <v>391</v>
      </c>
      <c r="D211" s="88" t="s">
        <v>250</v>
      </c>
      <c r="E211" s="86">
        <f>(PUER!D164*(1+PUER!D$12))*(1+PUER!D$26)*(1+PUER!D$29)</f>
        <v>119.71371374608117</v>
      </c>
      <c r="F211" s="87">
        <f>E211*(1+PUER!E$10)</f>
        <v>124.53817641004824</v>
      </c>
      <c r="G211" s="87">
        <f>F211*1+PUER!F$10</f>
        <v>124.57572641004823</v>
      </c>
      <c r="H211" s="1299" t="s">
        <v>1739</v>
      </c>
    </row>
    <row r="212" spans="2:8" ht="15" customHeight="1" x14ac:dyDescent="0.25">
      <c r="B212" s="80" t="s">
        <v>783</v>
      </c>
      <c r="C212" s="81">
        <v>392</v>
      </c>
      <c r="D212" s="89" t="s">
        <v>251</v>
      </c>
      <c r="E212" s="86">
        <f>(PUER!D165*(1+PUER!D$12))*(1+PUER!D$26)*(1+PUER!D$29)</f>
        <v>1100.8574282459192</v>
      </c>
      <c r="F212" s="87">
        <f>E212*(1+PUER!E$10)</f>
        <v>1145.2219826042297</v>
      </c>
      <c r="G212" s="87">
        <f>F212*1+PUER!F$10</f>
        <v>1145.2595326042297</v>
      </c>
      <c r="H212" s="1299" t="s">
        <v>1740</v>
      </c>
    </row>
    <row r="213" spans="2:8" ht="15" customHeight="1" x14ac:dyDescent="0.25">
      <c r="B213" s="80" t="s">
        <v>784</v>
      </c>
      <c r="C213" s="81">
        <v>393</v>
      </c>
      <c r="D213" s="82" t="s">
        <v>252</v>
      </c>
      <c r="E213" s="86">
        <f>(PUER!D166*(1+PUER!D$12))*(1+PUER!D$26)*(1+PUER!D$29)</f>
        <v>379.40327040864503</v>
      </c>
      <c r="F213" s="87">
        <f>E213*(1+PUER!E$10)</f>
        <v>394.69322220611343</v>
      </c>
      <c r="G213" s="87">
        <f>F213*1+PUER!F$10</f>
        <v>394.73077220611344</v>
      </c>
      <c r="H213" s="1299" t="s">
        <v>1741</v>
      </c>
    </row>
    <row r="214" spans="2:8" ht="15" customHeight="1" x14ac:dyDescent="0.25">
      <c r="B214" s="80" t="s">
        <v>785</v>
      </c>
      <c r="C214" s="81">
        <v>394</v>
      </c>
      <c r="D214" s="82" t="s">
        <v>253</v>
      </c>
      <c r="E214" s="86">
        <f>(PUER!D167*(1+PUER!D$12))*(1+PUER!D$26)*(1+PUER!D$29)</f>
        <v>581.21247462074825</v>
      </c>
      <c r="F214" s="87">
        <f>E214*(1+PUER!E$10)</f>
        <v>604.63533734796442</v>
      </c>
      <c r="G214" s="87">
        <f>F214*1+PUER!F$10</f>
        <v>604.67288734796443</v>
      </c>
      <c r="H214" s="1299" t="s">
        <v>1742</v>
      </c>
    </row>
    <row r="215" spans="2:8" ht="15" customHeight="1" x14ac:dyDescent="0.25">
      <c r="B215" s="80" t="s">
        <v>786</v>
      </c>
      <c r="C215" s="81">
        <v>420</v>
      </c>
      <c r="D215" s="82" t="s">
        <v>254</v>
      </c>
      <c r="E215" s="86">
        <f>(PUER!D168*(1+PUER!D$12))*(1+PUER!D$26)*(1+PUER!D$29)</f>
        <v>2062.9626072851424</v>
      </c>
      <c r="F215" s="87">
        <f>E215*(1+PUER!E$10)</f>
        <v>2146.1000003587337</v>
      </c>
      <c r="G215" s="87">
        <f>F215*1+PUER!F$10</f>
        <v>2146.1375503587337</v>
      </c>
      <c r="H215" s="1299" t="s">
        <v>1743</v>
      </c>
    </row>
    <row r="216" spans="2:8" ht="15" customHeight="1" x14ac:dyDescent="0.25">
      <c r="B216" s="80" t="s">
        <v>787</v>
      </c>
      <c r="C216" s="81">
        <v>421</v>
      </c>
      <c r="D216" s="82" t="s">
        <v>255</v>
      </c>
      <c r="E216" s="86">
        <f>(PUER!D169*(1+PUER!D$12))*(1+PUER!D$26)*(1+PUER!D$29)</f>
        <v>961.03999701507837</v>
      </c>
      <c r="F216" s="87">
        <f>E216*(1+PUER!E$10)</f>
        <v>999.769908894786</v>
      </c>
      <c r="G216" s="87">
        <f>F216*1+PUER!F$10</f>
        <v>999.80745889478601</v>
      </c>
      <c r="H216" s="1299" t="s">
        <v>1744</v>
      </c>
    </row>
    <row r="217" spans="2:8" ht="15" customHeight="1" x14ac:dyDescent="0.25">
      <c r="B217" s="80" t="s">
        <v>788</v>
      </c>
      <c r="C217" s="81">
        <v>422</v>
      </c>
      <c r="D217" s="82" t="s">
        <v>256</v>
      </c>
      <c r="E217" s="86">
        <f>(PUER!D170*(1+PUER!D$12))*(1+PUER!D$26)*(1+PUER!D$29)</f>
        <v>1363.8627053631292</v>
      </c>
      <c r="F217" s="87">
        <f>E217*(1+PUER!E$10)</f>
        <v>1418.8263723892633</v>
      </c>
      <c r="G217" s="87">
        <f>F217*1+PUER!F$10</f>
        <v>1418.8639223892633</v>
      </c>
      <c r="H217" s="1299" t="s">
        <v>1745</v>
      </c>
    </row>
    <row r="218" spans="2:8" ht="15" customHeight="1" x14ac:dyDescent="0.25">
      <c r="B218" s="80" t="s">
        <v>789</v>
      </c>
      <c r="C218" s="81">
        <v>423</v>
      </c>
      <c r="D218" s="82" t="s">
        <v>257</v>
      </c>
      <c r="E218" s="86">
        <f>(PUER!D171*(1+PUER!D$12))*(1+PUER!D$26)*(1+PUER!D$29)</f>
        <v>1.5568044968272219</v>
      </c>
      <c r="F218" s="87">
        <f>E218*(1+PUER!E$10)</f>
        <v>1.619543718049359</v>
      </c>
      <c r="G218" s="87">
        <f>F218*1+PUER!F$10</f>
        <v>1.657093718049359</v>
      </c>
      <c r="H218" s="1299" t="s">
        <v>1746</v>
      </c>
    </row>
    <row r="219" spans="2:8" ht="15" customHeight="1" x14ac:dyDescent="0.25">
      <c r="B219" s="80" t="s">
        <v>790</v>
      </c>
      <c r="C219" s="81">
        <v>424</v>
      </c>
      <c r="D219" s="82" t="s">
        <v>258</v>
      </c>
      <c r="E219" s="86">
        <f>(PUER!D172*(1+PUER!D$12))*(1+PUER!D$26)*(1+PUER!D$29)</f>
        <v>208.62090669471226</v>
      </c>
      <c r="F219" s="87">
        <f>E219*(1+PUER!E$10)</f>
        <v>217.02832923450916</v>
      </c>
      <c r="G219" s="87">
        <f>F219*1+PUER!F$10</f>
        <v>217.06587923450917</v>
      </c>
      <c r="H219" s="1299" t="s">
        <v>1747</v>
      </c>
    </row>
    <row r="220" spans="2:8" ht="15" customHeight="1" x14ac:dyDescent="0.25">
      <c r="B220" s="80" t="s">
        <v>791</v>
      </c>
      <c r="C220" s="81">
        <v>446</v>
      </c>
      <c r="D220" s="82" t="s">
        <v>259</v>
      </c>
      <c r="E220" s="86">
        <f>(PUER!D173*(1+PUER!D$12))*(1+PUER!D$26)*(1+PUER!D$29)</f>
        <v>7.1412716217033507</v>
      </c>
      <c r="F220" s="87">
        <f>E220*(1+PUER!E$10)</f>
        <v>7.4290648680579956</v>
      </c>
      <c r="G220" s="87">
        <f>F220*1+PUER!F$10</f>
        <v>7.466614868057996</v>
      </c>
      <c r="H220" s="1299" t="s">
        <v>1748</v>
      </c>
    </row>
    <row r="221" spans="2:8" ht="15" customHeight="1" x14ac:dyDescent="0.25">
      <c r="B221" s="80" t="s">
        <v>792</v>
      </c>
      <c r="C221" s="81">
        <v>440</v>
      </c>
      <c r="D221" s="82" t="s">
        <v>260</v>
      </c>
      <c r="E221" s="86">
        <f>(PUER!D174*(1+PUER!D$12))*(1+PUER!D$26)*(1+PUER!D$29)</f>
        <v>4975.2467359042739</v>
      </c>
      <c r="F221" s="87">
        <f>E221*(1+PUER!E$10)</f>
        <v>5175.7491793612162</v>
      </c>
      <c r="G221" s="87">
        <f>F221*1+PUER!F$10</f>
        <v>5175.7867293612162</v>
      </c>
      <c r="H221" s="1299" t="s">
        <v>1749</v>
      </c>
    </row>
    <row r="222" spans="2:8" ht="15" customHeight="1" x14ac:dyDescent="0.25">
      <c r="B222" s="80" t="s">
        <v>793</v>
      </c>
      <c r="C222" s="81">
        <v>441</v>
      </c>
      <c r="D222" s="82" t="s">
        <v>261</v>
      </c>
      <c r="E222" s="86">
        <f>(PUER!D175*(1+PUER!D$12))*(1+PUER!D$26)+1*(1+PUER!D$29)</f>
        <v>1</v>
      </c>
      <c r="F222" s="87">
        <f>E222*(1+PUER!E$10)</f>
        <v>1.0403</v>
      </c>
      <c r="G222" s="87">
        <f>F222*1+PUER!F$10</f>
        <v>1.07785</v>
      </c>
      <c r="H222" s="1299" t="s">
        <v>1730</v>
      </c>
    </row>
    <row r="223" spans="2:8" ht="15" customHeight="1" x14ac:dyDescent="0.25">
      <c r="B223" s="80" t="s">
        <v>794</v>
      </c>
      <c r="C223" s="81">
        <v>442</v>
      </c>
      <c r="D223" s="82" t="s">
        <v>262</v>
      </c>
      <c r="E223" s="86">
        <f>(PUER!D176*(1+PUER!D$12))*(1+PUER!D$26)*(1+PUER!D$29)</f>
        <v>1.0924943837384016</v>
      </c>
      <c r="F223" s="87">
        <f>E223*(1+PUER!E$10)</f>
        <v>1.1365219074030593</v>
      </c>
      <c r="G223" s="87">
        <f>F223*1+PUER!F$10</f>
        <v>1.1740719074030592</v>
      </c>
      <c r="H223" s="1299" t="s">
        <v>1730</v>
      </c>
    </row>
    <row r="224" spans="2:8" ht="15" customHeight="1" x14ac:dyDescent="0.25">
      <c r="B224" s="80" t="s">
        <v>795</v>
      </c>
      <c r="C224" s="81">
        <v>443</v>
      </c>
      <c r="D224" s="82" t="s">
        <v>263</v>
      </c>
      <c r="E224" s="86">
        <f>(PUER!D177*(1+PUER!D$12))*(1+PUER!D$26)*(1+PUER!D$29)</f>
        <v>25.606247530855235</v>
      </c>
      <c r="F224" s="87">
        <f>E224*(1+PUER!E$10)</f>
        <v>26.6381793063487</v>
      </c>
      <c r="G224" s="87">
        <f>F224*1+PUER!F$10</f>
        <v>26.6757293063487</v>
      </c>
      <c r="H224" s="1299" t="s">
        <v>1752</v>
      </c>
    </row>
    <row r="225" spans="2:8" ht="15" customHeight="1" x14ac:dyDescent="0.25">
      <c r="B225" s="80" t="s">
        <v>796</v>
      </c>
      <c r="C225" s="81">
        <v>444</v>
      </c>
      <c r="D225" s="89" t="s">
        <v>264</v>
      </c>
      <c r="E225" s="86">
        <f>(PUER!D178*(1+PUER!D$12))*(1+PUER!D$26)*(1+PUER!D$29)</f>
        <v>421.17115152293695</v>
      </c>
      <c r="F225" s="87">
        <f>E225*(1+PUER!E$10)</f>
        <v>438.14434892931132</v>
      </c>
      <c r="G225" s="87">
        <f>F225*1+PUER!F$10</f>
        <v>438.18189892931133</v>
      </c>
      <c r="H225" s="1299" t="s">
        <v>1750</v>
      </c>
    </row>
    <row r="226" spans="2:8" ht="15" customHeight="1" x14ac:dyDescent="0.25">
      <c r="B226" s="80" t="s">
        <v>797</v>
      </c>
      <c r="C226" s="81">
        <v>445</v>
      </c>
      <c r="D226" s="82" t="s">
        <v>265</v>
      </c>
      <c r="E226" s="86">
        <f>(PUER!D179*(1+PUER!D$12))*(1+PUER!D$26)*(1+PUER!D$29)</f>
        <v>1481.3386264465189</v>
      </c>
      <c r="F226" s="87">
        <f>E226*(1+PUER!E$10)</f>
        <v>1541.0365730923136</v>
      </c>
      <c r="G226" s="87">
        <f>F226*1+PUER!F$10</f>
        <v>1541.0741230923136</v>
      </c>
      <c r="H226" s="1299" t="s">
        <v>1751</v>
      </c>
    </row>
    <row r="227" spans="2:8" s="74" customFormat="1" ht="15" customHeight="1" x14ac:dyDescent="0.25">
      <c r="B227" s="73" t="s">
        <v>798</v>
      </c>
      <c r="D227" s="75" t="s">
        <v>799</v>
      </c>
      <c r="E227" s="77">
        <f>SUM(E228)</f>
        <v>43162.787047569043</v>
      </c>
      <c r="F227" s="77">
        <f>SUM(F228)</f>
        <v>44902.247365586074</v>
      </c>
      <c r="G227" s="77">
        <f>SUM(G228)</f>
        <v>44902.284915586075</v>
      </c>
      <c r="H227" s="1298"/>
    </row>
    <row r="228" spans="2:8" ht="15" customHeight="1" x14ac:dyDescent="0.25">
      <c r="B228" s="80" t="s">
        <v>800</v>
      </c>
      <c r="C228" s="81">
        <v>460</v>
      </c>
      <c r="D228" s="90" t="s">
        <v>266</v>
      </c>
      <c r="E228" s="86">
        <f>(PUER!D180*(1+PUER!D$12))*(1+PUER!D$26)*(1+PUER!D$29)</f>
        <v>43162.787047569043</v>
      </c>
      <c r="F228" s="87">
        <f>E228*(1+PUER!E$10)</f>
        <v>44902.247365586074</v>
      </c>
      <c r="G228" s="87">
        <f>F228*1+PUER!F$10</f>
        <v>44902.284915586075</v>
      </c>
      <c r="H228" s="1299" t="s">
        <v>1730</v>
      </c>
    </row>
    <row r="229" spans="2:8" s="74" customFormat="1" ht="15" customHeight="1" x14ac:dyDescent="0.25">
      <c r="B229" s="73" t="s">
        <v>801</v>
      </c>
      <c r="D229" s="75" t="s">
        <v>802</v>
      </c>
      <c r="E229" s="77">
        <f>SUM(E230)</f>
        <v>1.0924943837384016</v>
      </c>
      <c r="F229" s="77">
        <f>SUM(F230)</f>
        <v>1.1365219074030593</v>
      </c>
      <c r="G229" s="77">
        <f>SUM(G230)</f>
        <v>1.1740719074030592</v>
      </c>
      <c r="H229" s="1298"/>
    </row>
    <row r="230" spans="2:8" ht="15" customHeight="1" x14ac:dyDescent="0.25">
      <c r="B230" s="80" t="s">
        <v>803</v>
      </c>
      <c r="C230" s="81">
        <v>470</v>
      </c>
      <c r="D230" s="90" t="s">
        <v>267</v>
      </c>
      <c r="E230" s="86">
        <f>(PUER!D181*(1+PUER!D$12))*(1+PUER!D$26)*(1+PUER!D$29)</f>
        <v>1.0924943837384016</v>
      </c>
      <c r="F230" s="87">
        <f>E230*(1+PUER!E$10)</f>
        <v>1.1365219074030593</v>
      </c>
      <c r="G230" s="87">
        <f>F230*1+PUER!F$10</f>
        <v>1.1740719074030592</v>
      </c>
      <c r="H230" s="1299" t="s">
        <v>1730</v>
      </c>
    </row>
    <row r="231" spans="2:8" s="74" customFormat="1" ht="15" customHeight="1" x14ac:dyDescent="0.25">
      <c r="B231" s="73" t="s">
        <v>804</v>
      </c>
      <c r="D231" s="75" t="s">
        <v>805</v>
      </c>
      <c r="E231" s="77">
        <f>E232+E234+E236+E238-0.01</f>
        <v>32193.286751688094</v>
      </c>
      <c r="F231" s="77">
        <f>F232+F234+F236+F238+0.01</f>
        <v>33490.696610781117</v>
      </c>
      <c r="G231" s="77">
        <f>G232+G234+G236+G238+0.01</f>
        <v>33490.84681078112</v>
      </c>
      <c r="H231" s="1298"/>
    </row>
    <row r="232" spans="2:8" s="74" customFormat="1" ht="15" customHeight="1" x14ac:dyDescent="0.25">
      <c r="B232" s="73" t="s">
        <v>806</v>
      </c>
      <c r="D232" s="75" t="s">
        <v>807</v>
      </c>
      <c r="E232" s="77">
        <f>SUM(E233)</f>
        <v>32190.019268536878</v>
      </c>
      <c r="F232" s="77">
        <f>SUM(F233)</f>
        <v>33487.277045058916</v>
      </c>
      <c r="G232" s="77">
        <f>SUM(G233)</f>
        <v>33487.314595058917</v>
      </c>
      <c r="H232" s="1298"/>
    </row>
    <row r="233" spans="2:8" ht="15" customHeight="1" x14ac:dyDescent="0.25">
      <c r="B233" s="80" t="s">
        <v>808</v>
      </c>
      <c r="C233" s="81">
        <v>480</v>
      </c>
      <c r="D233" s="90" t="s">
        <v>268</v>
      </c>
      <c r="E233" s="86">
        <f>(PUER!D182*(1+PUER!D$12))*(1+PUER!D$26)*(1+PUER!D$29)</f>
        <v>32190.019268536878</v>
      </c>
      <c r="F233" s="87">
        <f>E233*(1+PUER!E$10)</f>
        <v>33487.277045058916</v>
      </c>
      <c r="G233" s="87">
        <f>F233*1+PUER!F$10</f>
        <v>33487.314595058917</v>
      </c>
      <c r="H233" s="1299" t="s">
        <v>1730</v>
      </c>
    </row>
    <row r="234" spans="2:8" s="74" customFormat="1" ht="15" customHeight="1" x14ac:dyDescent="0.25">
      <c r="B234" s="73" t="s">
        <v>809</v>
      </c>
      <c r="D234" s="75" t="s">
        <v>810</v>
      </c>
      <c r="E234" s="77">
        <f>SUM(E235)</f>
        <v>1.0924943837384016</v>
      </c>
      <c r="F234" s="77">
        <f>SUM(F235)</f>
        <v>1.1365219074030593</v>
      </c>
      <c r="G234" s="77">
        <f>SUM(G235)</f>
        <v>1.1740719074030592</v>
      </c>
      <c r="H234" s="1298"/>
    </row>
    <row r="235" spans="2:8" ht="15" customHeight="1" x14ac:dyDescent="0.25">
      <c r="B235" s="80" t="s">
        <v>811</v>
      </c>
      <c r="C235" s="81">
        <v>481</v>
      </c>
      <c r="D235" s="90" t="s">
        <v>269</v>
      </c>
      <c r="E235" s="86">
        <f>(PUER!D183*(1+PUER!D$12))*(1+PUER!D$26)*(1+PUER!D$29)</f>
        <v>1.0924943837384016</v>
      </c>
      <c r="F235" s="87">
        <f>E235*(1+PUER!E$10)</f>
        <v>1.1365219074030593</v>
      </c>
      <c r="G235" s="87">
        <f>F235*1+PUER!F$10</f>
        <v>1.1740719074030592</v>
      </c>
      <c r="H235" s="1299" t="s">
        <v>1730</v>
      </c>
    </row>
    <row r="236" spans="2:8" s="74" customFormat="1" ht="15" customHeight="1" x14ac:dyDescent="0.25">
      <c r="B236" s="73" t="s">
        <v>812</v>
      </c>
      <c r="D236" s="75" t="s">
        <v>813</v>
      </c>
      <c r="E236" s="77">
        <f>SUM(E237)</f>
        <v>1.0924943837384016</v>
      </c>
      <c r="F236" s="77">
        <f>SUM(F237)</f>
        <v>1.1365219074030593</v>
      </c>
      <c r="G236" s="77">
        <f>SUM(G237)</f>
        <v>1.1740719074030592</v>
      </c>
      <c r="H236" s="1298"/>
    </row>
    <row r="237" spans="2:8" ht="15" customHeight="1" x14ac:dyDescent="0.25">
      <c r="B237" s="80" t="s">
        <v>814</v>
      </c>
      <c r="C237" s="81">
        <v>482</v>
      </c>
      <c r="D237" s="90" t="s">
        <v>270</v>
      </c>
      <c r="E237" s="86">
        <f>(PUER!D184*(1+PUER!D$12))*(1+PUER!D$26)*(1+PUER!D$29)</f>
        <v>1.0924943837384016</v>
      </c>
      <c r="F237" s="87">
        <f>E237*(1+PUER!E$10)</f>
        <v>1.1365219074030593</v>
      </c>
      <c r="G237" s="87">
        <f>F237*1+PUER!F$10</f>
        <v>1.1740719074030592</v>
      </c>
      <c r="H237" s="1299" t="s">
        <v>1730</v>
      </c>
    </row>
    <row r="238" spans="2:8" s="74" customFormat="1" ht="15" customHeight="1" x14ac:dyDescent="0.25">
      <c r="B238" s="73" t="s">
        <v>815</v>
      </c>
      <c r="D238" s="75" t="s">
        <v>816</v>
      </c>
      <c r="E238" s="77">
        <f>SUM(E239)</f>
        <v>1.0924943837384016</v>
      </c>
      <c r="F238" s="77">
        <f>SUM(F239)</f>
        <v>1.1365219074030593</v>
      </c>
      <c r="G238" s="77">
        <f>SUM(G239)</f>
        <v>1.1740719074030592</v>
      </c>
      <c r="H238" s="1298"/>
    </row>
    <row r="239" spans="2:8" ht="15" customHeight="1" x14ac:dyDescent="0.25">
      <c r="B239" s="80" t="s">
        <v>817</v>
      </c>
      <c r="C239" s="81">
        <v>483</v>
      </c>
      <c r="D239" s="90" t="s">
        <v>271</v>
      </c>
      <c r="E239" s="86">
        <f>(PUER!D185*(1+PUER!D$12))*(1+PUER!D$26)*(1+PUER!D$29)</f>
        <v>1.0924943837384016</v>
      </c>
      <c r="F239" s="87">
        <f>E239*(1+PUER!E$10)</f>
        <v>1.1365219074030593</v>
      </c>
      <c r="G239" s="87">
        <f>F239*1+PUER!F$10</f>
        <v>1.1740719074030592</v>
      </c>
      <c r="H239" s="1299" t="s">
        <v>1730</v>
      </c>
    </row>
    <row r="240" spans="2:8" s="74" customFormat="1" ht="15" customHeight="1" x14ac:dyDescent="0.25">
      <c r="B240" s="73" t="s">
        <v>818</v>
      </c>
      <c r="D240" s="75" t="s">
        <v>819</v>
      </c>
      <c r="E240" s="76">
        <f>E241</f>
        <v>126636.77027073521</v>
      </c>
      <c r="F240" s="76">
        <f>F241</f>
        <v>131740.1146899458</v>
      </c>
      <c r="G240" s="76">
        <f>G241</f>
        <v>131743.11868994581</v>
      </c>
      <c r="H240" s="1298"/>
    </row>
    <row r="241" spans="2:8" s="74" customFormat="1" ht="15" customHeight="1" x14ac:dyDescent="0.25">
      <c r="B241" s="73" t="s">
        <v>820</v>
      </c>
      <c r="D241" s="75" t="s">
        <v>821</v>
      </c>
      <c r="E241" s="77">
        <f>E242+E260-0.011</f>
        <v>126636.77027073521</v>
      </c>
      <c r="F241" s="77">
        <f>F242+F260-0.01</f>
        <v>131740.1146899458</v>
      </c>
      <c r="G241" s="77">
        <f>G242+G260-0.01</f>
        <v>131743.11868994581</v>
      </c>
      <c r="H241" s="1298"/>
    </row>
    <row r="242" spans="2:8" s="74" customFormat="1" ht="15" customHeight="1" x14ac:dyDescent="0.25">
      <c r="B242" s="73" t="s">
        <v>822</v>
      </c>
      <c r="D242" s="75" t="s">
        <v>821</v>
      </c>
      <c r="E242" s="77">
        <f>E243+E246+E249+E252+E255-0.01</f>
        <v>16.43254360984492</v>
      </c>
      <c r="F242" s="77">
        <f>F243+F246+F249+F252+F255-0.01</f>
        <v>17.043163117321672</v>
      </c>
      <c r="G242" s="77">
        <f>G243+G246+G249+G252+G255-0.01</f>
        <v>17.493763117321674</v>
      </c>
      <c r="H242" s="1298"/>
    </row>
    <row r="243" spans="2:8" s="74" customFormat="1" ht="15" customHeight="1" x14ac:dyDescent="0.25">
      <c r="B243" s="73" t="s">
        <v>823</v>
      </c>
      <c r="D243" s="75" t="s">
        <v>824</v>
      </c>
      <c r="E243" s="77">
        <f>SUM(E244:E245)+0.01</f>
        <v>2.7420906016408204</v>
      </c>
      <c r="F243" s="77">
        <f>SUM(F244:F245)</f>
        <v>2.8421938528869459</v>
      </c>
      <c r="G243" s="77">
        <f>SUM(G244:G245)</f>
        <v>2.9172938528869459</v>
      </c>
      <c r="H243" s="1298"/>
    </row>
    <row r="244" spans="2:8" ht="15" customHeight="1" x14ac:dyDescent="0.25">
      <c r="B244" s="80" t="s">
        <v>825</v>
      </c>
      <c r="C244" s="81">
        <v>500</v>
      </c>
      <c r="D244" s="90" t="s">
        <v>272</v>
      </c>
      <c r="E244" s="86">
        <f>(PUER!D186*(1+PUER!D$12))*(1+PUER!D$26)*(1+PUER!D$30)</f>
        <v>1.3660453008204103</v>
      </c>
      <c r="F244" s="87">
        <f>E244*(1+PUER!E$10)</f>
        <v>1.421096926443473</v>
      </c>
      <c r="G244" s="87">
        <f>F244*1+PUER!F$10</f>
        <v>1.4586469264434729</v>
      </c>
      <c r="H244" s="1299" t="s">
        <v>1730</v>
      </c>
    </row>
    <row r="245" spans="2:8" ht="15" customHeight="1" x14ac:dyDescent="0.25">
      <c r="B245" s="80" t="s">
        <v>826</v>
      </c>
      <c r="C245" s="81">
        <v>501</v>
      </c>
      <c r="D245" s="90" t="s">
        <v>273</v>
      </c>
      <c r="E245" s="86">
        <f>(PUER!D187*(1+PUER!D$12))*(1+PUER!D$26)*(1+PUER!D$30)</f>
        <v>1.3660453008204103</v>
      </c>
      <c r="F245" s="87">
        <f>E245*(1+PUER!E$10)</f>
        <v>1.421096926443473</v>
      </c>
      <c r="G245" s="87">
        <f>F245*1+PUER!F$10</f>
        <v>1.4586469264434729</v>
      </c>
      <c r="H245" s="1299" t="s">
        <v>1730</v>
      </c>
    </row>
    <row r="246" spans="2:8" s="74" customFormat="1" ht="15" customHeight="1" x14ac:dyDescent="0.25">
      <c r="B246" s="73" t="s">
        <v>827</v>
      </c>
      <c r="D246" s="75" t="s">
        <v>828</v>
      </c>
      <c r="E246" s="77">
        <f>SUM(E247:E248)+0.01</f>
        <v>2.7420906016408204</v>
      </c>
      <c r="F246" s="77">
        <f>SUM(F247:F248)</f>
        <v>2.8421938528869459</v>
      </c>
      <c r="G246" s="77">
        <f>SUM(G247:G248)</f>
        <v>2.9172938528869459</v>
      </c>
      <c r="H246" s="1298"/>
    </row>
    <row r="247" spans="2:8" ht="15" customHeight="1" x14ac:dyDescent="0.25">
      <c r="B247" s="80" t="s">
        <v>829</v>
      </c>
      <c r="C247" s="81">
        <v>520</v>
      </c>
      <c r="D247" s="90" t="s">
        <v>272</v>
      </c>
      <c r="E247" s="86">
        <f>(PUER!D188*(1+PUER!D$12))*(1+PUER!D$26)*(1+PUER!D$30)</f>
        <v>1.3660453008204103</v>
      </c>
      <c r="F247" s="87">
        <f>E247*(1+PUER!E$10)</f>
        <v>1.421096926443473</v>
      </c>
      <c r="G247" s="87">
        <f>F247*1+PUER!F$10</f>
        <v>1.4586469264434729</v>
      </c>
      <c r="H247" s="1299" t="s">
        <v>1730</v>
      </c>
    </row>
    <row r="248" spans="2:8" ht="15" customHeight="1" x14ac:dyDescent="0.25">
      <c r="B248" s="80" t="s">
        <v>830</v>
      </c>
      <c r="C248" s="81">
        <v>521</v>
      </c>
      <c r="D248" s="90" t="s">
        <v>831</v>
      </c>
      <c r="E248" s="86">
        <f>(PUER!D189*(1+PUER!D$12))*(1+PUER!D$26)*(1+PUER!D$30)</f>
        <v>1.3660453008204103</v>
      </c>
      <c r="F248" s="87">
        <f>E248*(1+PUER!E$10)</f>
        <v>1.421096926443473</v>
      </c>
      <c r="G248" s="87">
        <f>F248*1+PUER!F$10</f>
        <v>1.4586469264434729</v>
      </c>
      <c r="H248" s="1299" t="s">
        <v>1730</v>
      </c>
    </row>
    <row r="249" spans="2:8" s="74" customFormat="1" ht="15" customHeight="1" x14ac:dyDescent="0.25">
      <c r="B249" s="73" t="s">
        <v>832</v>
      </c>
      <c r="D249" s="75" t="s">
        <v>833</v>
      </c>
      <c r="E249" s="77">
        <f>SUM(E250:E251)+0.01</f>
        <v>2.7420906016408204</v>
      </c>
      <c r="F249" s="77">
        <f>SUM(F250:F251)</f>
        <v>2.8421938528869459</v>
      </c>
      <c r="G249" s="77">
        <f>SUM(G250:G251)</f>
        <v>2.9172938528869459</v>
      </c>
      <c r="H249" s="1298"/>
    </row>
    <row r="250" spans="2:8" ht="15" customHeight="1" x14ac:dyDescent="0.25">
      <c r="B250" s="80" t="s">
        <v>834</v>
      </c>
      <c r="C250" s="81">
        <v>540</v>
      </c>
      <c r="D250" s="90" t="s">
        <v>835</v>
      </c>
      <c r="E250" s="86">
        <f>(PUER!D190*(1+PUER!D$12))*(1+PUER!D$26)*(1+PUER!D$30)</f>
        <v>1.3660453008204103</v>
      </c>
      <c r="F250" s="87">
        <f>E250*(1+PUER!E$10)</f>
        <v>1.421096926443473</v>
      </c>
      <c r="G250" s="87">
        <f>F250*1+PUER!F$10</f>
        <v>1.4586469264434729</v>
      </c>
      <c r="H250" s="1299" t="s">
        <v>1730</v>
      </c>
    </row>
    <row r="251" spans="2:8" ht="15" customHeight="1" x14ac:dyDescent="0.25">
      <c r="B251" s="80" t="s">
        <v>836</v>
      </c>
      <c r="C251" s="81">
        <v>541</v>
      </c>
      <c r="D251" s="90" t="s">
        <v>837</v>
      </c>
      <c r="E251" s="86">
        <f>(PUER!D191*(1+PUER!D$12))*(1+PUER!D$26)*(1+PUER!D$30)</f>
        <v>1.3660453008204103</v>
      </c>
      <c r="F251" s="87">
        <f>E251*(1+PUER!E$10)</f>
        <v>1.421096926443473</v>
      </c>
      <c r="G251" s="87">
        <f>F251*1+PUER!F$10</f>
        <v>1.4586469264434729</v>
      </c>
      <c r="H251" s="1299" t="s">
        <v>1730</v>
      </c>
    </row>
    <row r="252" spans="2:8" s="74" customFormat="1" ht="15" customHeight="1" x14ac:dyDescent="0.25">
      <c r="B252" s="73" t="s">
        <v>838</v>
      </c>
      <c r="D252" s="75" t="s">
        <v>839</v>
      </c>
      <c r="E252" s="77">
        <f>SUM(E253:E254)+0.01</f>
        <v>2.7420906016408204</v>
      </c>
      <c r="F252" s="77">
        <f>SUM(F253:F254)</f>
        <v>2.8421938528869459</v>
      </c>
      <c r="G252" s="77">
        <f>SUM(G253:G254)</f>
        <v>2.9172938528869459</v>
      </c>
      <c r="H252" s="1298"/>
    </row>
    <row r="253" spans="2:8" ht="15" customHeight="1" x14ac:dyDescent="0.25">
      <c r="B253" s="80" t="s">
        <v>840</v>
      </c>
      <c r="C253" s="81">
        <v>560</v>
      </c>
      <c r="D253" s="90" t="s">
        <v>841</v>
      </c>
      <c r="E253" s="86">
        <f>(PUER!D192*(1+PUER!D$12))*(1+PUER!D$26)*(1+PUER!D$30)</f>
        <v>1.3660453008204103</v>
      </c>
      <c r="F253" s="87">
        <f>E253*(1+PUER!E$10)</f>
        <v>1.421096926443473</v>
      </c>
      <c r="G253" s="87">
        <f>F253*1+PUER!F$10</f>
        <v>1.4586469264434729</v>
      </c>
      <c r="H253" s="1299" t="s">
        <v>1730</v>
      </c>
    </row>
    <row r="254" spans="2:8" ht="15" customHeight="1" x14ac:dyDescent="0.25">
      <c r="B254" s="80" t="s">
        <v>842</v>
      </c>
      <c r="C254" s="81">
        <v>561</v>
      </c>
      <c r="D254" s="89" t="s">
        <v>843</v>
      </c>
      <c r="E254" s="86">
        <f>(PUER!D193*(1+PUER!D$12))*(1+PUER!D$26)*(1+PUER!D$30)</f>
        <v>1.3660453008204103</v>
      </c>
      <c r="F254" s="87">
        <f>E254*(1+PUER!E$10)</f>
        <v>1.421096926443473</v>
      </c>
      <c r="G254" s="87">
        <f>F254*1+PUER!F$10</f>
        <v>1.4586469264434729</v>
      </c>
      <c r="H254" s="1299" t="s">
        <v>1730</v>
      </c>
    </row>
    <row r="255" spans="2:8" s="74" customFormat="1" ht="15" customHeight="1" x14ac:dyDescent="0.25">
      <c r="B255" s="73" t="s">
        <v>844</v>
      </c>
      <c r="D255" s="75" t="s">
        <v>845</v>
      </c>
      <c r="E255" s="77">
        <f>SUM(E256:E259)+0.01</f>
        <v>5.474181203281641</v>
      </c>
      <c r="F255" s="77">
        <f>SUM(F256:F259)</f>
        <v>5.6843877057738919</v>
      </c>
      <c r="G255" s="77">
        <f>SUM(G256:G259)</f>
        <v>5.8345877057738917</v>
      </c>
      <c r="H255" s="1298"/>
    </row>
    <row r="256" spans="2:8" ht="15" customHeight="1" x14ac:dyDescent="0.25">
      <c r="B256" s="80" t="s">
        <v>846</v>
      </c>
      <c r="C256" s="81">
        <v>580</v>
      </c>
      <c r="D256" s="90" t="s">
        <v>280</v>
      </c>
      <c r="E256" s="86">
        <f>(PUER!D194*(1+PUER!D$12))*(1+PUER!D$26)*(1+PUER!D$30)</f>
        <v>1.3660453008204103</v>
      </c>
      <c r="F256" s="87">
        <f>E256*(1+PUER!E$10)</f>
        <v>1.421096926443473</v>
      </c>
      <c r="G256" s="87">
        <f>F256*1+PUER!F$10</f>
        <v>1.4586469264434729</v>
      </c>
      <c r="H256" s="1299" t="s">
        <v>1730</v>
      </c>
    </row>
    <row r="257" spans="2:8" ht="15" customHeight="1" x14ac:dyDescent="0.25">
      <c r="B257" s="80" t="s">
        <v>847</v>
      </c>
      <c r="C257" s="81">
        <v>581</v>
      </c>
      <c r="D257" s="90" t="s">
        <v>281</v>
      </c>
      <c r="E257" s="86">
        <f>(PUER!D195*(1+PUER!D$12))*(1+PUER!D$26)*(1+PUER!D$30)</f>
        <v>1.3660453008204103</v>
      </c>
      <c r="F257" s="87">
        <f>E257*(1+PUER!E$10)</f>
        <v>1.421096926443473</v>
      </c>
      <c r="G257" s="87">
        <f>F257*1+PUER!F$10</f>
        <v>1.4586469264434729</v>
      </c>
      <c r="H257" s="1299" t="s">
        <v>1730</v>
      </c>
    </row>
    <row r="258" spans="2:8" ht="15" customHeight="1" x14ac:dyDescent="0.25">
      <c r="B258" s="80" t="s">
        <v>848</v>
      </c>
      <c r="C258" s="81">
        <v>582</v>
      </c>
      <c r="D258" s="90" t="s">
        <v>282</v>
      </c>
      <c r="E258" s="86">
        <f>(PUER!D196*(1+PUER!D$12))*(1+PUER!D$26)*(1+PUER!D$30)</f>
        <v>1.3660453008204103</v>
      </c>
      <c r="F258" s="87">
        <f>E258*(1+PUER!E$10)</f>
        <v>1.421096926443473</v>
      </c>
      <c r="G258" s="87">
        <f>F258*1+PUER!F$10</f>
        <v>1.4586469264434729</v>
      </c>
      <c r="H258" s="1299" t="s">
        <v>1730</v>
      </c>
    </row>
    <row r="259" spans="2:8" ht="15" customHeight="1" x14ac:dyDescent="0.25">
      <c r="B259" s="80" t="s">
        <v>849</v>
      </c>
      <c r="C259" s="81">
        <v>583</v>
      </c>
      <c r="D259" s="90" t="s">
        <v>283</v>
      </c>
      <c r="E259" s="86">
        <f>(PUER!D197*(1+PUER!D$12))*(1+PUER!D$26)*(1+PUER!D$30)</f>
        <v>1.3660453008204103</v>
      </c>
      <c r="F259" s="87">
        <f>E259*(1+PUER!E$10)</f>
        <v>1.421096926443473</v>
      </c>
      <c r="G259" s="87">
        <f>F259*1+PUER!F$10</f>
        <v>1.4586469264434729</v>
      </c>
      <c r="H259" s="1299" t="s">
        <v>1730</v>
      </c>
    </row>
    <row r="260" spans="2:8" s="74" customFormat="1" ht="15" customHeight="1" x14ac:dyDescent="0.25">
      <c r="B260" s="73" t="s">
        <v>850</v>
      </c>
      <c r="D260" s="75" t="s">
        <v>851</v>
      </c>
      <c r="E260" s="77">
        <f>E261</f>
        <v>126620.34872712537</v>
      </c>
      <c r="F260" s="77">
        <f>F261</f>
        <v>131723.08152682849</v>
      </c>
      <c r="G260" s="77">
        <f>G261</f>
        <v>131725.6349268285</v>
      </c>
      <c r="H260" s="1298"/>
    </row>
    <row r="261" spans="2:8" s="74" customFormat="1" ht="15" customHeight="1" x14ac:dyDescent="0.25">
      <c r="B261" s="73" t="s">
        <v>852</v>
      </c>
      <c r="D261" s="75" t="s">
        <v>851</v>
      </c>
      <c r="E261" s="77">
        <f>E262+E280+E298+E316</f>
        <v>126620.34872712537</v>
      </c>
      <c r="F261" s="77">
        <f>F262+F280+F298+F316</f>
        <v>131723.08152682849</v>
      </c>
      <c r="G261" s="77">
        <f>G262+G280+G298+G316</f>
        <v>131725.6349268285</v>
      </c>
      <c r="H261" s="1298"/>
    </row>
    <row r="262" spans="2:8" s="74" customFormat="1" ht="15" customHeight="1" x14ac:dyDescent="0.25">
      <c r="B262" s="73" t="s">
        <v>853</v>
      </c>
      <c r="D262" s="75" t="s">
        <v>854</v>
      </c>
      <c r="E262" s="77">
        <f>SUM(E263:E279)</f>
        <v>126349.00645817035</v>
      </c>
      <c r="F262" s="77">
        <f>SUM(F263:F279)</f>
        <v>131440.87141843457</v>
      </c>
      <c r="G262" s="77">
        <f>SUM(G263:G279)</f>
        <v>131441.5097684346</v>
      </c>
      <c r="H262" s="1298"/>
    </row>
    <row r="263" spans="2:8" ht="15" customHeight="1" x14ac:dyDescent="0.25">
      <c r="B263" s="80" t="s">
        <v>855</v>
      </c>
      <c r="C263" s="81">
        <v>600</v>
      </c>
      <c r="D263" s="90" t="s">
        <v>284</v>
      </c>
      <c r="E263" s="86">
        <f>(((PUER!D198*(1+PUER!D$12))*(1+PUER!D$26)))*(1+PUER!D$30)</f>
        <v>36227.466735945251</v>
      </c>
      <c r="F263" s="87">
        <f>E263*(1+PUER!E$10)</f>
        <v>37687.433645403842</v>
      </c>
      <c r="G263" s="87">
        <f>F263*1+PUER!F$10</f>
        <v>37687.471195403843</v>
      </c>
      <c r="H263" s="1299" t="s">
        <v>1730</v>
      </c>
    </row>
    <row r="264" spans="2:8" ht="15" customHeight="1" x14ac:dyDescent="0.25">
      <c r="B264" s="80" t="s">
        <v>856</v>
      </c>
      <c r="C264" s="81">
        <v>601</v>
      </c>
      <c r="D264" s="90" t="s">
        <v>285</v>
      </c>
      <c r="E264" s="86">
        <f>(((PUER!D199*(1+PUER!D$12))*(1+PUER!D$26)))*(1+PUER!D$30)</f>
        <v>66278.339153551497</v>
      </c>
      <c r="F264" s="87">
        <f>E264*(1+PUER!E$10)</f>
        <v>68949.356221439622</v>
      </c>
      <c r="G264" s="87">
        <f>F264*1+PUER!F$10</f>
        <v>68949.393771439616</v>
      </c>
      <c r="H264" s="1299" t="s">
        <v>1730</v>
      </c>
    </row>
    <row r="265" spans="2:8" ht="15" customHeight="1" x14ac:dyDescent="0.25">
      <c r="B265" s="80" t="s">
        <v>857</v>
      </c>
      <c r="C265" s="81">
        <v>602</v>
      </c>
      <c r="D265" s="90" t="s">
        <v>286</v>
      </c>
      <c r="E265" s="86">
        <f>(((PUER!D200*(1+PUER!D$12))*(1+PUER!D$26)))*(1+PUER!D$30)</f>
        <v>131.1403488787594</v>
      </c>
      <c r="F265" s="87">
        <f>E265*(1+PUER!E$10)</f>
        <v>136.42530493857339</v>
      </c>
      <c r="G265" s="87">
        <f>F265*1+PUER!F$10</f>
        <v>136.4628549385734</v>
      </c>
      <c r="H265" s="1299" t="s">
        <v>1730</v>
      </c>
    </row>
    <row r="266" spans="2:8" ht="15" customHeight="1" x14ac:dyDescent="0.25">
      <c r="B266" s="80" t="s">
        <v>858</v>
      </c>
      <c r="C266" s="81">
        <v>603</v>
      </c>
      <c r="D266" s="90" t="s">
        <v>287</v>
      </c>
      <c r="E266" s="86">
        <f>(((PUER!D201*(1+PUER!D$12))*(1+PUER!D$26)))*(1+PUER!D$30)</f>
        <v>1.3660453008204103</v>
      </c>
      <c r="F266" s="87">
        <f>E266*(1+PUER!E$10)</f>
        <v>1.421096926443473</v>
      </c>
      <c r="G266" s="87">
        <f>F266*1+PUER!F$10</f>
        <v>1.4586469264434729</v>
      </c>
      <c r="H266" s="1299" t="s">
        <v>1730</v>
      </c>
    </row>
    <row r="267" spans="2:8" ht="15" customHeight="1" x14ac:dyDescent="0.25">
      <c r="B267" s="80" t="s">
        <v>859</v>
      </c>
      <c r="C267" s="81">
        <v>604</v>
      </c>
      <c r="D267" s="90" t="s">
        <v>288</v>
      </c>
      <c r="E267" s="86">
        <f>(((PUER!D202*(1+PUER!D$12))*(1+PUER!D$26)))*(1+PUER!D$30)</f>
        <v>47.014725769902455</v>
      </c>
      <c r="F267" s="87">
        <f>E267*(1+PUER!E$10)</f>
        <v>48.909419218429527</v>
      </c>
      <c r="G267" s="87">
        <f>F267*1+PUER!F$10</f>
        <v>48.94696921842953</v>
      </c>
      <c r="H267" s="1299" t="s">
        <v>1730</v>
      </c>
    </row>
    <row r="268" spans="2:8" ht="15" customHeight="1" x14ac:dyDescent="0.25">
      <c r="B268" s="80" t="s">
        <v>860</v>
      </c>
      <c r="C268" s="81">
        <v>605</v>
      </c>
      <c r="D268" s="90" t="s">
        <v>289</v>
      </c>
      <c r="E268" s="86">
        <f>(PUER!D203*(1+PUER!D$12))*(1+PUER!D$26)*(1+PUER!D$30)</f>
        <v>1997.8412524498501</v>
      </c>
      <c r="F268" s="87">
        <f>E268*(1+PUER!E$10)</f>
        <v>2078.354254923579</v>
      </c>
      <c r="G268" s="87">
        <f>F268*1+PUER!F$10</f>
        <v>2078.391804923579</v>
      </c>
      <c r="H268" s="1299" t="s">
        <v>1730</v>
      </c>
    </row>
    <row r="269" spans="2:8" ht="15" customHeight="1" x14ac:dyDescent="0.25">
      <c r="B269" s="80" t="s">
        <v>861</v>
      </c>
      <c r="C269" s="81">
        <v>606</v>
      </c>
      <c r="D269" s="90" t="s">
        <v>290</v>
      </c>
      <c r="E269" s="86">
        <f>(PUER!D204*(1+PUER!D$12))*(1+PUER!D$26)*(1+PUER!D$30)</f>
        <v>398.70308846611704</v>
      </c>
      <c r="F269" s="87">
        <f>E269*(1+PUER!E$10)</f>
        <v>414.77082293130155</v>
      </c>
      <c r="G269" s="87">
        <f>F269*1+PUER!F$10</f>
        <v>414.80837293130156</v>
      </c>
      <c r="H269" s="1299" t="s">
        <v>1730</v>
      </c>
    </row>
    <row r="270" spans="2:8" ht="15" customHeight="1" x14ac:dyDescent="0.25">
      <c r="B270" s="80" t="s">
        <v>862</v>
      </c>
      <c r="C270" s="81">
        <v>607</v>
      </c>
      <c r="D270" s="89" t="s">
        <v>291</v>
      </c>
      <c r="E270" s="86">
        <f>(PUER!D205*(1+PUER!D$12))*(1+PUER!D$26)*(1+PUER!D$30)</f>
        <v>471.19455909632018</v>
      </c>
      <c r="F270" s="87">
        <f>E270*(1+PUER!E$10)</f>
        <v>490.18369982790188</v>
      </c>
      <c r="G270" s="87">
        <f>F270*1+PUER!F$10</f>
        <v>490.22124982790189</v>
      </c>
      <c r="H270" s="1299" t="s">
        <v>1730</v>
      </c>
    </row>
    <row r="271" spans="2:8" ht="15" customHeight="1" x14ac:dyDescent="0.25">
      <c r="B271" s="80" t="s">
        <v>863</v>
      </c>
      <c r="C271" s="81">
        <v>608</v>
      </c>
      <c r="D271" s="90" t="s">
        <v>292</v>
      </c>
      <c r="E271" s="86">
        <f>(PUER!D206*(1+PUER!D$12))*(1+PUER!D$26)*(1+PUER!D$30)</f>
        <v>789.06874711289356</v>
      </c>
      <c r="F271" s="87">
        <f>E271*(1+PUER!E$10)</f>
        <v>820.86821762154318</v>
      </c>
      <c r="G271" s="87">
        <f>F271*1+PUER!F$10</f>
        <v>820.90576762154319</v>
      </c>
      <c r="H271" s="1299" t="s">
        <v>1730</v>
      </c>
    </row>
    <row r="272" spans="2:8" ht="15" customHeight="1" x14ac:dyDescent="0.25">
      <c r="B272" s="80" t="s">
        <v>864</v>
      </c>
      <c r="C272" s="81">
        <v>609</v>
      </c>
      <c r="D272" s="90" t="s">
        <v>293</v>
      </c>
      <c r="E272" s="86">
        <f>(PUER!D207*(1+PUER!D$12))*(1+PUER!D$26)*(1+PUER!D$30)</f>
        <v>122.12444989334472</v>
      </c>
      <c r="F272" s="87">
        <f>E272*(1+PUER!E$10)</f>
        <v>127.04606522404652</v>
      </c>
      <c r="G272" s="87">
        <f>F272*1+PUER!F$10</f>
        <v>127.08361522404651</v>
      </c>
      <c r="H272" s="1299" t="s">
        <v>1730</v>
      </c>
    </row>
    <row r="273" spans="2:8" ht="15" customHeight="1" x14ac:dyDescent="0.25">
      <c r="B273" s="80" t="s">
        <v>865</v>
      </c>
      <c r="C273" s="81">
        <v>610</v>
      </c>
      <c r="D273" s="90" t="s">
        <v>294</v>
      </c>
      <c r="E273" s="86">
        <f>(PUER!D208*(1+PUER!D$12))*(1+PUER!D$26)*(1+PUER!D$30)</f>
        <v>72.491470630203096</v>
      </c>
      <c r="F273" s="87">
        <f>E273*(1+PUER!E$10)</f>
        <v>75.412876896600281</v>
      </c>
      <c r="G273" s="87">
        <f>F273*1+PUER!F$10</f>
        <v>75.450426896600277</v>
      </c>
      <c r="H273" s="1299" t="s">
        <v>1730</v>
      </c>
    </row>
    <row r="274" spans="2:8" ht="15" customHeight="1" x14ac:dyDescent="0.25">
      <c r="B274" s="80" t="s">
        <v>866</v>
      </c>
      <c r="C274" s="81">
        <v>611</v>
      </c>
      <c r="D274" s="90" t="s">
        <v>295</v>
      </c>
      <c r="E274" s="86">
        <f>(PUER!D209*(1+PUER!D$12))*(1+PUER!D$26)*(1+PUER!D$30)</f>
        <v>1.3660453008204103</v>
      </c>
      <c r="F274" s="87">
        <f>E274*(1+PUER!E$10)</f>
        <v>1.421096926443473</v>
      </c>
      <c r="G274" s="87">
        <f>F274*1+PUER!F$10</f>
        <v>1.4586469264434729</v>
      </c>
      <c r="H274" s="1299" t="s">
        <v>1730</v>
      </c>
    </row>
    <row r="275" spans="2:8" ht="15" customHeight="1" x14ac:dyDescent="0.25">
      <c r="B275" s="80" t="s">
        <v>867</v>
      </c>
      <c r="C275" s="81">
        <v>612</v>
      </c>
      <c r="D275" s="90" t="s">
        <v>296</v>
      </c>
      <c r="E275" s="86">
        <f>(PUER!D210*(1+PUER!D$12))*(1+PUER!D$26)*(1+PUER!D$30)</f>
        <v>1.3660453008204103</v>
      </c>
      <c r="F275" s="87">
        <f>E275*(1+PUER!E$10)</f>
        <v>1.421096926443473</v>
      </c>
      <c r="G275" s="87">
        <f>F275*1+PUER!F$10</f>
        <v>1.4586469264434729</v>
      </c>
      <c r="H275" s="1299" t="s">
        <v>1730</v>
      </c>
    </row>
    <row r="276" spans="2:8" ht="15" customHeight="1" x14ac:dyDescent="0.25">
      <c r="B276" s="80" t="s">
        <v>868</v>
      </c>
      <c r="C276" s="81">
        <v>613</v>
      </c>
      <c r="D276" s="90" t="s">
        <v>297</v>
      </c>
      <c r="E276" s="86">
        <f>(((PUER!D211*(1+PUER!D$12))*(1+PUER!D$26)))*(1+PUER!D$30)</f>
        <v>1.3660453008204103</v>
      </c>
      <c r="F276" s="87">
        <f>E276*(1+PUER!E$10)</f>
        <v>1.421096926443473</v>
      </c>
      <c r="G276" s="87">
        <f>F276*1+PUER!F$10</f>
        <v>1.4586469264434729</v>
      </c>
      <c r="H276" s="1299" t="s">
        <v>1730</v>
      </c>
    </row>
    <row r="277" spans="2:8" ht="15" customHeight="1" x14ac:dyDescent="0.25">
      <c r="B277" s="80" t="s">
        <v>869</v>
      </c>
      <c r="C277" s="81">
        <v>614</v>
      </c>
      <c r="D277" s="90" t="s">
        <v>298</v>
      </c>
      <c r="E277" s="86">
        <f>(((PUER!D212*(1+PUER!D$12))*(1+PUER!D$26)))*(1+PUER!D$30)</f>
        <v>3291.2584781099754</v>
      </c>
      <c r="F277" s="87">
        <f>E277*(1+PUER!E$10)</f>
        <v>3423.8961947778075</v>
      </c>
      <c r="G277" s="87">
        <f>F277*1+PUER!F$10</f>
        <v>3423.9337447778075</v>
      </c>
      <c r="H277" s="1299" t="s">
        <v>1730</v>
      </c>
    </row>
    <row r="278" spans="2:8" ht="15" customHeight="1" x14ac:dyDescent="0.25">
      <c r="B278" s="80" t="s">
        <v>870</v>
      </c>
      <c r="C278" s="81">
        <v>615</v>
      </c>
      <c r="D278" s="90" t="s">
        <v>299</v>
      </c>
      <c r="E278" s="86">
        <f>(((PUER!D213*(1+PUER!D$12))*(1+PUER!D$26)))*(1+PUER!D$30)</f>
        <v>4701.4725769902452</v>
      </c>
      <c r="F278" s="87">
        <f>E278*(1+PUER!E$10)</f>
        <v>4890.9419218429521</v>
      </c>
      <c r="G278" s="87">
        <f>F278*1+PUER!F$10</f>
        <v>4890.9794718429521</v>
      </c>
      <c r="H278" s="1299" t="s">
        <v>1730</v>
      </c>
    </row>
    <row r="279" spans="2:8" ht="15" customHeight="1" x14ac:dyDescent="0.25">
      <c r="B279" s="80" t="s">
        <v>871</v>
      </c>
      <c r="C279" s="81">
        <v>616</v>
      </c>
      <c r="D279" s="90" t="s">
        <v>300</v>
      </c>
      <c r="E279" s="86">
        <f>(((PUER!D214*(1+PUER!D$12))*(1+PUER!D$26)))*(1+PUER!D$30)</f>
        <v>11815.426690072696</v>
      </c>
      <c r="F279" s="87">
        <f>E279*(1+PUER!E$10)</f>
        <v>12291.588385682626</v>
      </c>
      <c r="G279" s="87">
        <f>F279*1+PUER!F$10</f>
        <v>12291.625935682625</v>
      </c>
      <c r="H279" s="1299" t="s">
        <v>1730</v>
      </c>
    </row>
    <row r="280" spans="2:8" s="74" customFormat="1" ht="15" customHeight="1" x14ac:dyDescent="0.25">
      <c r="B280" s="73" t="s">
        <v>872</v>
      </c>
      <c r="D280" s="75" t="s">
        <v>873</v>
      </c>
      <c r="E280" s="77">
        <f>SUM(E281:E297)+0.06</f>
        <v>82.641991918929961</v>
      </c>
      <c r="F280" s="77">
        <f>SUM(F281:F297)+0.04</f>
        <v>85.950046193262693</v>
      </c>
      <c r="G280" s="77">
        <f>SUM(G281:G297)+0.04</f>
        <v>86.588396193262824</v>
      </c>
      <c r="H280" s="1298"/>
    </row>
    <row r="281" spans="2:8" ht="15" customHeight="1" x14ac:dyDescent="0.25">
      <c r="B281" s="80" t="s">
        <v>874</v>
      </c>
      <c r="C281" s="81">
        <v>640</v>
      </c>
      <c r="D281" s="90" t="s">
        <v>875</v>
      </c>
      <c r="E281" s="86">
        <f>(((PUER!D215*(1+PUER!D$12))*(1+PUER!D$26)))*(1+PUER!D$30)</f>
        <v>1.3660453008204103</v>
      </c>
      <c r="F281" s="87">
        <f>E281*(1+PUER!E$10)</f>
        <v>1.421096926443473</v>
      </c>
      <c r="G281" s="87">
        <f>F281*1+PUER!F$10</f>
        <v>1.4586469264434729</v>
      </c>
      <c r="H281" s="1299" t="s">
        <v>1730</v>
      </c>
    </row>
    <row r="282" spans="2:8" ht="15" customHeight="1" x14ac:dyDescent="0.25">
      <c r="B282" s="80" t="s">
        <v>876</v>
      </c>
      <c r="C282" s="81">
        <v>641</v>
      </c>
      <c r="D282" s="90" t="s">
        <v>877</v>
      </c>
      <c r="E282" s="86">
        <f>(((PUER!D216*(1+PUER!D$12))*(1+PUER!D$26)))*(1+PUER!D$30)</f>
        <v>19.737077854686895</v>
      </c>
      <c r="F282" s="87">
        <f>E282*(1+PUER!E$10)</f>
        <v>20.532482092230776</v>
      </c>
      <c r="G282" s="87">
        <f>F282*1+PUER!F$10</f>
        <v>20.570032092230775</v>
      </c>
      <c r="H282" s="1299" t="s">
        <v>1730</v>
      </c>
    </row>
    <row r="283" spans="2:8" ht="15" customHeight="1" x14ac:dyDescent="0.25">
      <c r="B283" s="80" t="s">
        <v>878</v>
      </c>
      <c r="C283" s="81">
        <v>642</v>
      </c>
      <c r="D283" s="89" t="s">
        <v>879</v>
      </c>
      <c r="E283" s="86">
        <f>(((PUER!D217*(1+PUER!D$12))*(1+PUER!D$26)))*(1+PUER!D$30)</f>
        <v>40.182222523632369</v>
      </c>
      <c r="F283" s="87">
        <f>E283*(1+PUER!E$10)</f>
        <v>41.801566091334756</v>
      </c>
      <c r="G283" s="87">
        <f>F283*1+PUER!F$10</f>
        <v>41.839116091334759</v>
      </c>
      <c r="H283" s="1299" t="s">
        <v>1730</v>
      </c>
    </row>
    <row r="284" spans="2:8" ht="15" customHeight="1" x14ac:dyDescent="0.25">
      <c r="B284" s="80" t="s">
        <v>880</v>
      </c>
      <c r="C284" s="81">
        <v>643</v>
      </c>
      <c r="D284" s="90" t="s">
        <v>881</v>
      </c>
      <c r="E284" s="86">
        <f>(((PUER!D218*(1+PUER!D$12))*(1+PUER!D$26)))*(1+PUER!D$30)</f>
        <v>3.5380573291248623</v>
      </c>
      <c r="F284" s="87">
        <f>E284*(1+PUER!E$10)</f>
        <v>3.6806410394885942</v>
      </c>
      <c r="G284" s="87">
        <f>F284*1+PUER!F$10</f>
        <v>3.7181910394885942</v>
      </c>
      <c r="H284" s="1299" t="s">
        <v>1730</v>
      </c>
    </row>
    <row r="285" spans="2:8" ht="15" customHeight="1" x14ac:dyDescent="0.25">
      <c r="B285" s="80" t="s">
        <v>882</v>
      </c>
      <c r="C285" s="81">
        <v>644</v>
      </c>
      <c r="D285" s="90" t="s">
        <v>883</v>
      </c>
      <c r="E285" s="86">
        <f>(((PUER!D219*(1+PUER!D$12))*(1+PUER!D$26)))*(1+PUER!D$30)</f>
        <v>1.3660453008204103</v>
      </c>
      <c r="F285" s="87">
        <f>E285*(1+PUER!E$10)</f>
        <v>1.421096926443473</v>
      </c>
      <c r="G285" s="87">
        <f>F285*1+PUER!F$10</f>
        <v>1.4586469264434729</v>
      </c>
      <c r="H285" s="1299" t="s">
        <v>1730</v>
      </c>
    </row>
    <row r="286" spans="2:8" ht="15" customHeight="1" x14ac:dyDescent="0.25">
      <c r="B286" s="80" t="s">
        <v>884</v>
      </c>
      <c r="C286" s="81">
        <v>645</v>
      </c>
      <c r="D286" s="89" t="s">
        <v>885</v>
      </c>
      <c r="E286" s="86">
        <f>(PUER!D220*(1+PUER!D$12))*(1+PUER!D$26)*(1+PUER!D$30)</f>
        <v>1.3660453008204103</v>
      </c>
      <c r="F286" s="87">
        <f>E286*(1+PUER!E$10)</f>
        <v>1.421096926443473</v>
      </c>
      <c r="G286" s="87">
        <f>F286*1+PUER!F$10</f>
        <v>1.4586469264434729</v>
      </c>
      <c r="H286" s="1299" t="s">
        <v>1730</v>
      </c>
    </row>
    <row r="287" spans="2:8" ht="15" customHeight="1" x14ac:dyDescent="0.25">
      <c r="B287" s="80" t="s">
        <v>886</v>
      </c>
      <c r="C287" s="81">
        <v>646</v>
      </c>
      <c r="D287" s="89" t="s">
        <v>887</v>
      </c>
      <c r="E287" s="86">
        <f>(PUER!D221*(1+PUER!D$12))*(1+PUER!D$26)*(1+PUER!D$30)</f>
        <v>1.3660453008204103</v>
      </c>
      <c r="F287" s="87">
        <f>E287*(1+PUER!E$10)</f>
        <v>1.421096926443473</v>
      </c>
      <c r="G287" s="87">
        <f>F287*1+PUER!F$10</f>
        <v>1.4586469264434729</v>
      </c>
      <c r="H287" s="1299" t="s">
        <v>1730</v>
      </c>
    </row>
    <row r="288" spans="2:8" ht="15" customHeight="1" x14ac:dyDescent="0.25">
      <c r="B288" s="80" t="s">
        <v>888</v>
      </c>
      <c r="C288" s="81">
        <v>647</v>
      </c>
      <c r="D288" s="90" t="s">
        <v>889</v>
      </c>
      <c r="E288" s="86">
        <f>(PUER!D222*(1+PUER!D$12))*(1+PUER!D$26)*(1+PUER!D$30)</f>
        <v>1.3660453008204103</v>
      </c>
      <c r="F288" s="87">
        <f>E288*(1+PUER!E$10)</f>
        <v>1.421096926443473</v>
      </c>
      <c r="G288" s="87">
        <f>F288*1+PUER!F$10</f>
        <v>1.4586469264434729</v>
      </c>
      <c r="H288" s="1299" t="s">
        <v>1730</v>
      </c>
    </row>
    <row r="289" spans="2:8" ht="15" customHeight="1" x14ac:dyDescent="0.25">
      <c r="B289" s="80" t="s">
        <v>890</v>
      </c>
      <c r="C289" s="81">
        <v>648</v>
      </c>
      <c r="D289" s="90" t="s">
        <v>891</v>
      </c>
      <c r="E289" s="86">
        <f>(PUER!D223*(1+PUER!D$12))*(1+PUER!D$26)*(1+PUER!D$30)</f>
        <v>1.3660453008204103</v>
      </c>
      <c r="F289" s="87">
        <f>E289*(1+PUER!E$10)</f>
        <v>1.421096926443473</v>
      </c>
      <c r="G289" s="87">
        <f>F289*1+PUER!F$10</f>
        <v>1.4586469264434729</v>
      </c>
      <c r="H289" s="1299" t="s">
        <v>1730</v>
      </c>
    </row>
    <row r="290" spans="2:8" ht="15" customHeight="1" x14ac:dyDescent="0.25">
      <c r="B290" s="80" t="s">
        <v>892</v>
      </c>
      <c r="C290" s="81">
        <v>649</v>
      </c>
      <c r="D290" s="90" t="s">
        <v>893</v>
      </c>
      <c r="E290" s="86">
        <f>(PUER!D224*(1+PUER!D$12))*(1+PUER!D$26)*(1+PUER!D$30)</f>
        <v>1.3660453008204103</v>
      </c>
      <c r="F290" s="87">
        <f>E290*(1+PUER!E$10)</f>
        <v>1.421096926443473</v>
      </c>
      <c r="G290" s="87">
        <f>F290*1+PUER!F$10</f>
        <v>1.4586469264434729</v>
      </c>
      <c r="H290" s="1299" t="s">
        <v>1730</v>
      </c>
    </row>
    <row r="291" spans="2:8" ht="15" customHeight="1" x14ac:dyDescent="0.25">
      <c r="B291" s="80" t="s">
        <v>894</v>
      </c>
      <c r="C291" s="81">
        <v>650</v>
      </c>
      <c r="D291" s="90" t="s">
        <v>895</v>
      </c>
      <c r="E291" s="86">
        <f>(PUER!D225*(1+PUER!D$12))*(1+PUER!D$26)*(1+PUER!D$30)</f>
        <v>1.3660453008204103</v>
      </c>
      <c r="F291" s="87">
        <f>E291*(1+PUER!E$10)</f>
        <v>1.421096926443473</v>
      </c>
      <c r="G291" s="87">
        <f>F291*1+PUER!F$10</f>
        <v>1.4586469264434729</v>
      </c>
      <c r="H291" s="1299" t="s">
        <v>1730</v>
      </c>
    </row>
    <row r="292" spans="2:8" ht="15" customHeight="1" x14ac:dyDescent="0.25">
      <c r="B292" s="80" t="s">
        <v>896</v>
      </c>
      <c r="C292" s="81">
        <v>651</v>
      </c>
      <c r="D292" s="90" t="s">
        <v>897</v>
      </c>
      <c r="E292" s="86">
        <f>(PUER!D226*(1+PUER!D$12))*(1+PUER!D$26)*(1+PUER!D$30)</f>
        <v>1.3660453008204103</v>
      </c>
      <c r="F292" s="87">
        <f>E292*(1+PUER!E$10)</f>
        <v>1.421096926443473</v>
      </c>
      <c r="G292" s="87">
        <f>F292*1+PUER!F$10</f>
        <v>1.4586469264434729</v>
      </c>
      <c r="H292" s="1299" t="s">
        <v>1730</v>
      </c>
    </row>
    <row r="293" spans="2:8" ht="15" customHeight="1" x14ac:dyDescent="0.25">
      <c r="B293" s="80" t="s">
        <v>898</v>
      </c>
      <c r="C293" s="81">
        <v>652</v>
      </c>
      <c r="D293" s="89" t="s">
        <v>899</v>
      </c>
      <c r="E293" s="86">
        <f>(PUER!D227*(1+PUER!D$12))*(1+PUER!D$26)*(1+PUER!D$30)</f>
        <v>1.3660453008204103</v>
      </c>
      <c r="F293" s="87">
        <f>E293*(1+PUER!E$10)</f>
        <v>1.421096926443473</v>
      </c>
      <c r="G293" s="87">
        <f>F293*1+PUER!F$10</f>
        <v>1.4586469264434729</v>
      </c>
      <c r="H293" s="1299" t="s">
        <v>1730</v>
      </c>
    </row>
    <row r="294" spans="2:8" ht="15" customHeight="1" x14ac:dyDescent="0.25">
      <c r="B294" s="80" t="s">
        <v>900</v>
      </c>
      <c r="C294" s="81">
        <v>653</v>
      </c>
      <c r="D294" s="90" t="s">
        <v>901</v>
      </c>
      <c r="E294" s="86">
        <f>(((PUER!D228*(1+PUER!D$12))*(1+PUER!D$26)))*(1+PUER!D$30)</f>
        <v>1.3660453008204103</v>
      </c>
      <c r="F294" s="87">
        <f>E294*(1+PUER!E$10)</f>
        <v>1.421096926443473</v>
      </c>
      <c r="G294" s="87">
        <f>F294*1+PUER!F$10</f>
        <v>1.4586469264434729</v>
      </c>
      <c r="H294" s="1299" t="s">
        <v>1730</v>
      </c>
    </row>
    <row r="295" spans="2:8" ht="15" customHeight="1" x14ac:dyDescent="0.25">
      <c r="B295" s="80" t="s">
        <v>902</v>
      </c>
      <c r="C295" s="81">
        <v>654</v>
      </c>
      <c r="D295" s="90" t="s">
        <v>903</v>
      </c>
      <c r="E295" s="86">
        <f>(((PUER!D229*(1+PUER!D$12))*(1+PUER!D$26)))*(1+PUER!D$30)</f>
        <v>1.3660453008204103</v>
      </c>
      <c r="F295" s="87">
        <f>E295*(1+PUER!E$10)</f>
        <v>1.421096926443473</v>
      </c>
      <c r="G295" s="87">
        <f>F295*1+PUER!F$10</f>
        <v>1.4586469264434729</v>
      </c>
      <c r="H295" s="1299" t="s">
        <v>1730</v>
      </c>
    </row>
    <row r="296" spans="2:8" ht="15" customHeight="1" x14ac:dyDescent="0.25">
      <c r="B296" s="80" t="s">
        <v>904</v>
      </c>
      <c r="C296" s="81">
        <v>655</v>
      </c>
      <c r="D296" s="90" t="s">
        <v>905</v>
      </c>
      <c r="E296" s="86">
        <f>(((PUER!D230*(1+PUER!D$12))*(1+PUER!D$26)))*(1+PUER!D$30)</f>
        <v>1.3660453008204103</v>
      </c>
      <c r="F296" s="87">
        <f>E296*(1+PUER!E$10)</f>
        <v>1.421096926443473</v>
      </c>
      <c r="G296" s="87">
        <f>F296*1+PUER!F$10</f>
        <v>1.4586469264434729</v>
      </c>
      <c r="H296" s="1299" t="s">
        <v>1730</v>
      </c>
    </row>
    <row r="297" spans="2:8" ht="15" customHeight="1" x14ac:dyDescent="0.25">
      <c r="B297" s="80" t="s">
        <v>906</v>
      </c>
      <c r="C297" s="81">
        <v>656</v>
      </c>
      <c r="D297" s="89" t="s">
        <v>907</v>
      </c>
      <c r="E297" s="86">
        <f>(((PUER!D231*(1+PUER!D$12))*(1+PUER!D$26)))*(1+PUER!D$30)</f>
        <v>1.3660453008204103</v>
      </c>
      <c r="F297" s="87">
        <f>E297*(1+PUER!E$10)</f>
        <v>1.421096926443473</v>
      </c>
      <c r="G297" s="87">
        <f>F297*1+PUER!F$10</f>
        <v>1.4586469264434729</v>
      </c>
      <c r="H297" s="1299" t="s">
        <v>1730</v>
      </c>
    </row>
    <row r="298" spans="2:8" s="74" customFormat="1" ht="15" customHeight="1" x14ac:dyDescent="0.25">
      <c r="B298" s="73" t="s">
        <v>908</v>
      </c>
      <c r="D298" s="75" t="s">
        <v>909</v>
      </c>
      <c r="E298" s="77">
        <f>SUM(E299:E315)+0.06</f>
        <v>121.82244788862738</v>
      </c>
      <c r="F298" s="77">
        <f t="shared" ref="F298:G298" si="18">SUM(F299:F315)+0.04</f>
        <v>126.7094745385389</v>
      </c>
      <c r="G298" s="77">
        <f t="shared" si="18"/>
        <v>127.34782453853904</v>
      </c>
      <c r="H298" s="1298"/>
    </row>
    <row r="299" spans="2:8" ht="15" customHeight="1" x14ac:dyDescent="0.25">
      <c r="B299" s="80" t="s">
        <v>910</v>
      </c>
      <c r="C299" s="81">
        <v>680</v>
      </c>
      <c r="D299" s="90" t="s">
        <v>911</v>
      </c>
      <c r="E299" s="86">
        <f>(((PUER!D232*(1+PUER!D$12))*(1+PUER!D$26)))*(1+PUER!D$30)</f>
        <v>1.3660453008204103</v>
      </c>
      <c r="F299" s="87">
        <f>E299*(1+PUER!E$10)</f>
        <v>1.421096926443473</v>
      </c>
      <c r="G299" s="87">
        <f>F299*1+PUER!F$10</f>
        <v>1.4586469264434729</v>
      </c>
      <c r="H299" s="1299" t="s">
        <v>1730</v>
      </c>
    </row>
    <row r="300" spans="2:8" ht="15" customHeight="1" x14ac:dyDescent="0.25">
      <c r="B300" s="80" t="s">
        <v>912</v>
      </c>
      <c r="C300" s="81">
        <v>681</v>
      </c>
      <c r="D300" s="90" t="s">
        <v>913</v>
      </c>
      <c r="E300" s="86">
        <f>(((PUER!D233*(1+PUER!D$12))*(1+PUER!D$26)))*(1+PUER!D$30)</f>
        <v>96.647705033044033</v>
      </c>
      <c r="F300" s="87">
        <f>E300*(1+PUER!E$10)</f>
        <v>100.54260754587571</v>
      </c>
      <c r="G300" s="87">
        <f>F300*1+PUER!F$10</f>
        <v>100.58015754587571</v>
      </c>
      <c r="H300" s="1299" t="s">
        <v>1730</v>
      </c>
    </row>
    <row r="301" spans="2:8" ht="15" customHeight="1" x14ac:dyDescent="0.25">
      <c r="B301" s="80" t="s">
        <v>914</v>
      </c>
      <c r="C301" s="81">
        <v>682</v>
      </c>
      <c r="D301" s="90" t="s">
        <v>915</v>
      </c>
      <c r="E301" s="86">
        <f>(((PUER!D234*(1+PUER!D$12))*(1+PUER!D$26)))*(1+PUER!D$30)</f>
        <v>4.6240633432770881</v>
      </c>
      <c r="F301" s="87">
        <f>E301*(1+PUER!E$10)</f>
        <v>4.8104130960111551</v>
      </c>
      <c r="G301" s="87">
        <f>F301*1+PUER!F$10</f>
        <v>4.8479630960111555</v>
      </c>
      <c r="H301" s="1299" t="s">
        <v>1730</v>
      </c>
    </row>
    <row r="302" spans="2:8" ht="15" customHeight="1" x14ac:dyDescent="0.25">
      <c r="B302" s="80" t="s">
        <v>916</v>
      </c>
      <c r="C302" s="81">
        <v>683</v>
      </c>
      <c r="D302" s="90" t="s">
        <v>917</v>
      </c>
      <c r="E302" s="86">
        <f>(((PUER!D235*(1+PUER!D$12))*(1+PUER!D$26)))*(1+PUER!D$30)</f>
        <v>1.3660453008204103</v>
      </c>
      <c r="F302" s="87">
        <f>E302*(1+PUER!E$10)</f>
        <v>1.421096926443473</v>
      </c>
      <c r="G302" s="87">
        <f>F302*1+PUER!F$10</f>
        <v>1.4586469264434729</v>
      </c>
      <c r="H302" s="1299" t="s">
        <v>1730</v>
      </c>
    </row>
    <row r="303" spans="2:8" ht="15" customHeight="1" x14ac:dyDescent="0.25">
      <c r="B303" s="80" t="s">
        <v>918</v>
      </c>
      <c r="C303" s="81">
        <v>684</v>
      </c>
      <c r="D303" s="90" t="s">
        <v>919</v>
      </c>
      <c r="E303" s="86">
        <f>(((PUER!D236*(1+PUER!D$12))*(1+PUER!D$26)))*(1+PUER!D$30)</f>
        <v>1.3660453008204103</v>
      </c>
      <c r="F303" s="87">
        <f>E303*(1+PUER!E$10)</f>
        <v>1.421096926443473</v>
      </c>
      <c r="G303" s="87">
        <f>F303*1+PUER!F$10</f>
        <v>1.4586469264434729</v>
      </c>
      <c r="H303" s="1299" t="s">
        <v>1730</v>
      </c>
    </row>
    <row r="304" spans="2:8" ht="15" customHeight="1" x14ac:dyDescent="0.25">
      <c r="B304" s="80" t="s">
        <v>920</v>
      </c>
      <c r="C304" s="81">
        <v>685</v>
      </c>
      <c r="D304" s="89" t="s">
        <v>921</v>
      </c>
      <c r="E304" s="86">
        <f>(PUER!D237*(1+PUER!D$12))*(1+PUER!D$26)*(1+PUER!D$30)</f>
        <v>1.3660453008204103</v>
      </c>
      <c r="F304" s="87">
        <f>E304*(1+PUER!E$10)</f>
        <v>1.421096926443473</v>
      </c>
      <c r="G304" s="87">
        <f>F304*1+PUER!F$10</f>
        <v>1.4586469264434729</v>
      </c>
      <c r="H304" s="1299" t="s">
        <v>1730</v>
      </c>
    </row>
    <row r="305" spans="2:8" ht="15" customHeight="1" x14ac:dyDescent="0.25">
      <c r="B305" s="80" t="s">
        <v>922</v>
      </c>
      <c r="C305" s="81">
        <v>686</v>
      </c>
      <c r="D305" s="89" t="s">
        <v>923</v>
      </c>
      <c r="E305" s="86">
        <f>(PUER!D238*(1+PUER!D$12))*(1+PUER!D$26)*(1+PUER!D$30)</f>
        <v>1.3660453008204103</v>
      </c>
      <c r="F305" s="87">
        <f>E305*(1+PUER!E$10)</f>
        <v>1.421096926443473</v>
      </c>
      <c r="G305" s="87">
        <f>F305*1+PUER!F$10</f>
        <v>1.4586469264434729</v>
      </c>
      <c r="H305" s="1299" t="s">
        <v>1730</v>
      </c>
    </row>
    <row r="306" spans="2:8" ht="15" customHeight="1" x14ac:dyDescent="0.25">
      <c r="B306" s="80" t="s">
        <v>924</v>
      </c>
      <c r="C306" s="81">
        <v>687</v>
      </c>
      <c r="D306" s="90" t="s">
        <v>925</v>
      </c>
      <c r="E306" s="86">
        <f>(PUER!D239*(1+PUER!D$12))*(1+PUER!D$26)*(1+PUER!D$30)</f>
        <v>1.3660453008204103</v>
      </c>
      <c r="F306" s="87">
        <f>E306*(1+PUER!E$10)</f>
        <v>1.421096926443473</v>
      </c>
      <c r="G306" s="87">
        <f>F306*1+PUER!F$10</f>
        <v>1.4586469264434729</v>
      </c>
      <c r="H306" s="1299" t="s">
        <v>1730</v>
      </c>
    </row>
    <row r="307" spans="2:8" ht="15" customHeight="1" x14ac:dyDescent="0.25">
      <c r="B307" s="80" t="s">
        <v>926</v>
      </c>
      <c r="C307" s="81">
        <v>688</v>
      </c>
      <c r="D307" s="90" t="s">
        <v>927</v>
      </c>
      <c r="E307" s="86">
        <f>(PUER!D240*(1+PUER!D$12))*(1+PUER!D$26)*(1+PUER!D$30)</f>
        <v>1.3660453008204103</v>
      </c>
      <c r="F307" s="87">
        <f>E307*(1+PUER!E$10)</f>
        <v>1.421096926443473</v>
      </c>
      <c r="G307" s="87">
        <f>F307*1+PUER!F$10</f>
        <v>1.4586469264434729</v>
      </c>
      <c r="H307" s="1299" t="s">
        <v>1730</v>
      </c>
    </row>
    <row r="308" spans="2:8" ht="15" customHeight="1" x14ac:dyDescent="0.25">
      <c r="B308" s="80" t="s">
        <v>928</v>
      </c>
      <c r="C308" s="81">
        <v>689</v>
      </c>
      <c r="D308" s="90" t="s">
        <v>929</v>
      </c>
      <c r="E308" s="86">
        <f>(PUER!D241*(1+PUER!D$12))*(1+PUER!D$26)*(1+PUER!D$30)</f>
        <v>1.3660453008204103</v>
      </c>
      <c r="F308" s="87">
        <f>E308*(1+PUER!E$10)</f>
        <v>1.421096926443473</v>
      </c>
      <c r="G308" s="87">
        <f>F308*1+PUER!F$10</f>
        <v>1.4586469264434729</v>
      </c>
      <c r="H308" s="1299" t="s">
        <v>1730</v>
      </c>
    </row>
    <row r="309" spans="2:8" ht="15" customHeight="1" x14ac:dyDescent="0.25">
      <c r="B309" s="80" t="s">
        <v>930</v>
      </c>
      <c r="C309" s="81">
        <v>690</v>
      </c>
      <c r="D309" s="90" t="s">
        <v>931</v>
      </c>
      <c r="E309" s="86">
        <f>(PUER!D243*(1+PUER!D$12))*(1+PUER!D$26)*(1+PUER!D$30)</f>
        <v>1.3660453008204103</v>
      </c>
      <c r="F309" s="87">
        <f>E309*(1+PUER!E$10)</f>
        <v>1.421096926443473</v>
      </c>
      <c r="G309" s="87">
        <f>F309*1+PUER!F$10</f>
        <v>1.4586469264434729</v>
      </c>
      <c r="H309" s="1299" t="s">
        <v>1730</v>
      </c>
    </row>
    <row r="310" spans="2:8" ht="15" customHeight="1" x14ac:dyDescent="0.25">
      <c r="B310" s="80" t="s">
        <v>932</v>
      </c>
      <c r="C310" s="81">
        <v>691</v>
      </c>
      <c r="D310" s="90" t="s">
        <v>933</v>
      </c>
      <c r="E310" s="86">
        <f>(PUER!D243*(1+PUER!D$12))*(1+PUER!D$26)*(1+PUER!D$30)</f>
        <v>1.3660453008204103</v>
      </c>
      <c r="F310" s="87">
        <f>E310*(1+PUER!E$10)</f>
        <v>1.421096926443473</v>
      </c>
      <c r="G310" s="87">
        <f>F310*1+PUER!F$10</f>
        <v>1.4586469264434729</v>
      </c>
      <c r="H310" s="1299" t="s">
        <v>1730</v>
      </c>
    </row>
    <row r="311" spans="2:8" ht="15" customHeight="1" x14ac:dyDescent="0.25">
      <c r="B311" s="80" t="s">
        <v>934</v>
      </c>
      <c r="C311" s="81">
        <v>692</v>
      </c>
      <c r="D311" s="90" t="s">
        <v>935</v>
      </c>
      <c r="E311" s="86">
        <f>(PUER!D244*(1+PUER!D$12))*(1+PUER!D$26)*(1+PUER!D$30)</f>
        <v>1.3660453008204103</v>
      </c>
      <c r="F311" s="87">
        <f>E311*(1+PUER!E$10)</f>
        <v>1.421096926443473</v>
      </c>
      <c r="G311" s="87">
        <f>F311*1+PUER!F$10</f>
        <v>1.4586469264434729</v>
      </c>
      <c r="H311" s="1299" t="s">
        <v>1730</v>
      </c>
    </row>
    <row r="312" spans="2:8" ht="15" customHeight="1" x14ac:dyDescent="0.25">
      <c r="B312" s="80" t="s">
        <v>936</v>
      </c>
      <c r="C312" s="81">
        <v>693</v>
      </c>
      <c r="D312" s="90" t="s">
        <v>937</v>
      </c>
      <c r="E312" s="86">
        <f>(((PUER!D245*(1+PUER!D$12))*(1+PUER!D$26)))*(1+PUER!D$30)</f>
        <v>1.3660453008204103</v>
      </c>
      <c r="F312" s="87">
        <f>E312*(1+PUER!E$10)</f>
        <v>1.421096926443473</v>
      </c>
      <c r="G312" s="87">
        <f>F312*1+PUER!F$10</f>
        <v>1.4586469264434729</v>
      </c>
      <c r="H312" s="1299" t="s">
        <v>1730</v>
      </c>
    </row>
    <row r="313" spans="2:8" ht="15" customHeight="1" x14ac:dyDescent="0.25">
      <c r="B313" s="80" t="s">
        <v>938</v>
      </c>
      <c r="C313" s="81">
        <v>694</v>
      </c>
      <c r="D313" s="90" t="s">
        <v>939</v>
      </c>
      <c r="E313" s="86">
        <f>(((PUER!D246*(1+PUER!D$12))*(1+PUER!D$26)))*(1+PUER!D$30)</f>
        <v>1.3660453008204103</v>
      </c>
      <c r="F313" s="87">
        <f>E313*(1+PUER!E$10)</f>
        <v>1.421096926443473</v>
      </c>
      <c r="G313" s="87">
        <f>F313*1+PUER!F$10</f>
        <v>1.4586469264434729</v>
      </c>
      <c r="H313" s="1299" t="s">
        <v>1730</v>
      </c>
    </row>
    <row r="314" spans="2:8" ht="15" customHeight="1" x14ac:dyDescent="0.25">
      <c r="B314" s="80" t="s">
        <v>940</v>
      </c>
      <c r="C314" s="81">
        <v>695</v>
      </c>
      <c r="D314" s="90" t="s">
        <v>941</v>
      </c>
      <c r="E314" s="86">
        <f>(((PUER!D247*(1+PUER!D$12))*(1+PUER!D$26)))*(1+PUER!D$30)</f>
        <v>1.3660453008204103</v>
      </c>
      <c r="F314" s="87">
        <f>E314*(1+PUER!E$10)</f>
        <v>1.421096926443473</v>
      </c>
      <c r="G314" s="87">
        <f>F314*1+PUER!F$10</f>
        <v>1.4586469264434729</v>
      </c>
      <c r="H314" s="1299" t="s">
        <v>1730</v>
      </c>
    </row>
    <row r="315" spans="2:8" ht="15" customHeight="1" x14ac:dyDescent="0.25">
      <c r="B315" s="80" t="s">
        <v>942</v>
      </c>
      <c r="C315" s="81">
        <v>696</v>
      </c>
      <c r="D315" s="90" t="s">
        <v>943</v>
      </c>
      <c r="E315" s="86">
        <f>(((PUER!D248*(1+PUER!D$12))*(1+PUER!D$26)))*(1+PUER!D$30)</f>
        <v>1.3660453008204103</v>
      </c>
      <c r="F315" s="87">
        <f>E315*(1+PUER!E$10)</f>
        <v>1.421096926443473</v>
      </c>
      <c r="G315" s="87">
        <f>F315*1+PUER!F$10</f>
        <v>1.4586469264434729</v>
      </c>
      <c r="H315" s="1299" t="s">
        <v>1730</v>
      </c>
    </row>
    <row r="316" spans="2:8" s="74" customFormat="1" ht="15" customHeight="1" x14ac:dyDescent="0.25">
      <c r="B316" s="73" t="s">
        <v>944</v>
      </c>
      <c r="D316" s="75" t="s">
        <v>945</v>
      </c>
      <c r="E316" s="77">
        <f>SUM(E317:E333)+0.06</f>
        <v>66.87782914746235</v>
      </c>
      <c r="F316" s="77">
        <f>SUM(F317:F333)+0.04</f>
        <v>69.550587662105087</v>
      </c>
      <c r="G316" s="77">
        <f>SUM(G317:G333)+0.04</f>
        <v>70.18893766210509</v>
      </c>
      <c r="H316" s="1298"/>
    </row>
    <row r="317" spans="2:8" ht="15" customHeight="1" x14ac:dyDescent="0.25">
      <c r="B317" s="80" t="s">
        <v>946</v>
      </c>
      <c r="C317" s="81">
        <v>720</v>
      </c>
      <c r="D317" s="89" t="s">
        <v>947</v>
      </c>
      <c r="E317" s="86">
        <f>(((PUER!D249*(1+PUER!D$12))*(1+PUER!D$26)))*(1+PUER!D$30)</f>
        <v>1.3660453008204103</v>
      </c>
      <c r="F317" s="87">
        <f>E317*(1+PUER!E$10)</f>
        <v>1.421096926443473</v>
      </c>
      <c r="G317" s="87">
        <f>F317*1+PUER!F$10</f>
        <v>1.4586469264434729</v>
      </c>
      <c r="H317" s="1299" t="s">
        <v>1730</v>
      </c>
    </row>
    <row r="318" spans="2:8" ht="15" customHeight="1" x14ac:dyDescent="0.25">
      <c r="B318" s="80" t="s">
        <v>948</v>
      </c>
      <c r="C318" s="81">
        <v>721</v>
      </c>
      <c r="D318" s="90" t="s">
        <v>949</v>
      </c>
      <c r="E318" s="86">
        <f>(((PUER!D250*(1+PUER!D$12))*(1+PUER!D$26)))*(1+PUER!D$30)</f>
        <v>44.961104334335772</v>
      </c>
      <c r="F318" s="87">
        <f>E318*(1+PUER!E$10)</f>
        <v>46.773036839009507</v>
      </c>
      <c r="G318" s="87">
        <f>F318*1+PUER!F$10</f>
        <v>46.81058683900951</v>
      </c>
      <c r="H318" s="1299" t="s">
        <v>1730</v>
      </c>
    </row>
    <row r="319" spans="2:8" ht="15" customHeight="1" x14ac:dyDescent="0.25">
      <c r="B319" s="80" t="s">
        <v>950</v>
      </c>
      <c r="C319" s="81">
        <v>722</v>
      </c>
      <c r="D319" s="90" t="s">
        <v>951</v>
      </c>
      <c r="E319" s="86">
        <f>(((PUER!D251*(1+PUER!D$12))*(1+PUER!D$26)))*(1+PUER!D$30)</f>
        <v>1.3660453008204103</v>
      </c>
      <c r="F319" s="87">
        <f>E319*(1+PUER!E$10)</f>
        <v>1.421096926443473</v>
      </c>
      <c r="G319" s="87">
        <f>F319*1+PUER!F$10</f>
        <v>1.4586469264434729</v>
      </c>
      <c r="H319" s="1299" t="s">
        <v>1730</v>
      </c>
    </row>
    <row r="320" spans="2:8" ht="15" customHeight="1" x14ac:dyDescent="0.25">
      <c r="B320" s="80" t="s">
        <v>952</v>
      </c>
      <c r="C320" s="81">
        <v>723</v>
      </c>
      <c r="D320" s="90" t="s">
        <v>953</v>
      </c>
      <c r="E320" s="86">
        <f>(((PUER!D252*(1+PUER!D$12))*(1+PUER!D$26)))*(1+PUER!D$30)</f>
        <v>1.3660453008204103</v>
      </c>
      <c r="F320" s="87">
        <f>E320*(1+PUER!E$10)</f>
        <v>1.421096926443473</v>
      </c>
      <c r="G320" s="87">
        <f>F320*1+PUER!F$10</f>
        <v>1.4586469264434729</v>
      </c>
      <c r="H320" s="1299" t="s">
        <v>1730</v>
      </c>
    </row>
    <row r="321" spans="2:8" ht="15" customHeight="1" x14ac:dyDescent="0.25">
      <c r="B321" s="80" t="s">
        <v>954</v>
      </c>
      <c r="C321" s="81">
        <v>724</v>
      </c>
      <c r="D321" s="90" t="s">
        <v>955</v>
      </c>
      <c r="E321" s="86">
        <f>(((PUER!D253*(1+PUER!D$12))*(1+PUER!D$26)))*(1+PUER!D$30)</f>
        <v>1.3660453008204103</v>
      </c>
      <c r="F321" s="87">
        <f>E321*(1+PUER!E$10)</f>
        <v>1.421096926443473</v>
      </c>
      <c r="G321" s="87">
        <f>F321*1+PUER!F$10</f>
        <v>1.4586469264434729</v>
      </c>
      <c r="H321" s="1299" t="s">
        <v>1730</v>
      </c>
    </row>
    <row r="322" spans="2:8" ht="15" customHeight="1" x14ac:dyDescent="0.25">
      <c r="B322" s="80" t="s">
        <v>956</v>
      </c>
      <c r="C322" s="81">
        <v>725</v>
      </c>
      <c r="D322" s="90" t="s">
        <v>957</v>
      </c>
      <c r="E322" s="86">
        <f>(PUER!D254*(1+PUER!D$12))*(1+PUER!D$26)*(1+PUER!D$30)</f>
        <v>1.3660453008204103</v>
      </c>
      <c r="F322" s="87">
        <f>E322*(1+PUER!E$10)</f>
        <v>1.421096926443473</v>
      </c>
      <c r="G322" s="87">
        <f>F322*1+PUER!F$10</f>
        <v>1.4586469264434729</v>
      </c>
      <c r="H322" s="1299" t="s">
        <v>1730</v>
      </c>
    </row>
    <row r="323" spans="2:8" ht="15" customHeight="1" x14ac:dyDescent="0.25">
      <c r="B323" s="80" t="s">
        <v>958</v>
      </c>
      <c r="C323" s="81">
        <v>726</v>
      </c>
      <c r="D323" s="90" t="s">
        <v>959</v>
      </c>
      <c r="E323" s="86">
        <f>(PUER!D255*(1+PUER!D$12))*(1+PUER!D$26)*(1+PUER!D$30)</f>
        <v>1.3660453008204103</v>
      </c>
      <c r="F323" s="87">
        <f>E323*(1+PUER!E$10)</f>
        <v>1.421096926443473</v>
      </c>
      <c r="G323" s="87">
        <f>F323*1+PUER!F$10</f>
        <v>1.4586469264434729</v>
      </c>
      <c r="H323" s="1299" t="s">
        <v>1730</v>
      </c>
    </row>
    <row r="324" spans="2:8" ht="15" customHeight="1" x14ac:dyDescent="0.25">
      <c r="B324" s="80" t="s">
        <v>960</v>
      </c>
      <c r="C324" s="81">
        <v>727</v>
      </c>
      <c r="D324" s="90" t="s">
        <v>961</v>
      </c>
      <c r="E324" s="86">
        <f>(PUER!D256*(1+PUER!D$12))*(1+PUER!D$26)*(1+PUER!D$30)</f>
        <v>1.3660453008204103</v>
      </c>
      <c r="F324" s="87">
        <f>E324*(1+PUER!E$10)</f>
        <v>1.421096926443473</v>
      </c>
      <c r="G324" s="87">
        <f>F324*1+PUER!F$10</f>
        <v>1.4586469264434729</v>
      </c>
      <c r="H324" s="1299" t="s">
        <v>1730</v>
      </c>
    </row>
    <row r="325" spans="2:8" ht="15" customHeight="1" x14ac:dyDescent="0.25">
      <c r="B325" s="80" t="s">
        <v>962</v>
      </c>
      <c r="C325" s="81">
        <v>728</v>
      </c>
      <c r="D325" s="90" t="s">
        <v>963</v>
      </c>
      <c r="E325" s="86">
        <f>(PUER!D257*(1+PUER!D$12))*(1+PUER!D$26)*(1+PUER!D$30)</f>
        <v>1.3660453008204103</v>
      </c>
      <c r="F325" s="87">
        <f>E325*(1+PUER!E$10)</f>
        <v>1.421096926443473</v>
      </c>
      <c r="G325" s="87">
        <f>F325*1+PUER!F$10</f>
        <v>1.4586469264434729</v>
      </c>
      <c r="H325" s="1299" t="s">
        <v>1730</v>
      </c>
    </row>
    <row r="326" spans="2:8" ht="15" customHeight="1" x14ac:dyDescent="0.25">
      <c r="B326" s="80" t="s">
        <v>964</v>
      </c>
      <c r="C326" s="81">
        <v>729</v>
      </c>
      <c r="D326" s="90" t="s">
        <v>965</v>
      </c>
      <c r="E326" s="86">
        <f>(PUER!D258*(1+PUER!D$12))*(1+PUER!D$26)*(1+PUER!D$30)</f>
        <v>1.3660453008204103</v>
      </c>
      <c r="F326" s="87">
        <f>E326*(1+PUER!E$10)</f>
        <v>1.421096926443473</v>
      </c>
      <c r="G326" s="87">
        <f>F326*1+PUER!F$10</f>
        <v>1.4586469264434729</v>
      </c>
      <c r="H326" s="1299" t="s">
        <v>1730</v>
      </c>
    </row>
    <row r="327" spans="2:8" ht="15" customHeight="1" x14ac:dyDescent="0.25">
      <c r="B327" s="80" t="s">
        <v>966</v>
      </c>
      <c r="C327" s="81">
        <v>730</v>
      </c>
      <c r="D327" s="90" t="s">
        <v>967</v>
      </c>
      <c r="E327" s="86">
        <f>(PUER!D259*(1+PUER!D$12))*(1+PUER!D$26)*(1+PUER!D$30)</f>
        <v>1.3660453008204103</v>
      </c>
      <c r="F327" s="87">
        <f>E327*(1+PUER!E$10)</f>
        <v>1.421096926443473</v>
      </c>
      <c r="G327" s="87">
        <f>F327*1+PUER!F$10</f>
        <v>1.4586469264434729</v>
      </c>
      <c r="H327" s="1299" t="s">
        <v>1730</v>
      </c>
    </row>
    <row r="328" spans="2:8" ht="15" customHeight="1" x14ac:dyDescent="0.25">
      <c r="B328" s="80" t="s">
        <v>968</v>
      </c>
      <c r="C328" s="81">
        <v>731</v>
      </c>
      <c r="D328" s="90" t="s">
        <v>969</v>
      </c>
      <c r="E328" s="86">
        <f>(PUER!D260*(1+PUER!D$12))*(1+PUER!D$26)*(1+PUER!D$30)</f>
        <v>1.3660453008204103</v>
      </c>
      <c r="F328" s="87">
        <f>E328*(1+PUER!E$10)</f>
        <v>1.421096926443473</v>
      </c>
      <c r="G328" s="87">
        <f>F328*1+PUER!F$10</f>
        <v>1.4586469264434729</v>
      </c>
      <c r="H328" s="1299" t="s">
        <v>1730</v>
      </c>
    </row>
    <row r="329" spans="2:8" ht="15" customHeight="1" x14ac:dyDescent="0.25">
      <c r="B329" s="80" t="s">
        <v>970</v>
      </c>
      <c r="C329" s="81">
        <v>732</v>
      </c>
      <c r="D329" s="90" t="s">
        <v>971</v>
      </c>
      <c r="E329" s="86">
        <f>(PUER!D261*(1+PUER!D$12))*(1+PUER!D$26)*(1+PUER!D$30)</f>
        <v>1.3660453008204103</v>
      </c>
      <c r="F329" s="87">
        <f>E329*(1+PUER!E$10)</f>
        <v>1.421096926443473</v>
      </c>
      <c r="G329" s="87">
        <f>F329*1+PUER!F$10</f>
        <v>1.4586469264434729</v>
      </c>
      <c r="H329" s="1299" t="s">
        <v>1730</v>
      </c>
    </row>
    <row r="330" spans="2:8" ht="15" customHeight="1" x14ac:dyDescent="0.25">
      <c r="B330" s="80" t="s">
        <v>972</v>
      </c>
      <c r="C330" s="81">
        <v>733</v>
      </c>
      <c r="D330" s="90" t="s">
        <v>973</v>
      </c>
      <c r="E330" s="86">
        <f>(((PUER!D262*(1+PUER!D$12))*(1+PUER!D$26)))*(1+PUER!D$30)</f>
        <v>1.3660453008204103</v>
      </c>
      <c r="F330" s="87">
        <f>E330*(1+PUER!E$10)</f>
        <v>1.421096926443473</v>
      </c>
      <c r="G330" s="87">
        <f>F330*1+PUER!F$10</f>
        <v>1.4586469264434729</v>
      </c>
      <c r="H330" s="1299" t="s">
        <v>1730</v>
      </c>
    </row>
    <row r="331" spans="2:8" ht="15" customHeight="1" x14ac:dyDescent="0.25">
      <c r="B331" s="80" t="s">
        <v>974</v>
      </c>
      <c r="C331" s="81">
        <v>734</v>
      </c>
      <c r="D331" s="90" t="s">
        <v>975</v>
      </c>
      <c r="E331" s="86">
        <f>(((PUER!D263*(1+PUER!D$12))*(1+PUER!D$26)))*(1+PUER!D$30)</f>
        <v>1.3660453008204103</v>
      </c>
      <c r="F331" s="87">
        <f>E331*(1+PUER!E$10)</f>
        <v>1.421096926443473</v>
      </c>
      <c r="G331" s="87">
        <f>F331*1+PUER!F$10</f>
        <v>1.4586469264434729</v>
      </c>
      <c r="H331" s="1299" t="s">
        <v>1730</v>
      </c>
    </row>
    <row r="332" spans="2:8" ht="15" customHeight="1" x14ac:dyDescent="0.25">
      <c r="B332" s="80" t="s">
        <v>976</v>
      </c>
      <c r="C332" s="81">
        <v>735</v>
      </c>
      <c r="D332" s="90" t="s">
        <v>977</v>
      </c>
      <c r="E332" s="86">
        <f>(((PUER!D264*(1+PUER!D$12))*(1+PUER!D$26)))*(1+PUER!D$30)</f>
        <v>1.3660453008204103</v>
      </c>
      <c r="F332" s="87">
        <f>E332*(1+PUER!E$10)</f>
        <v>1.421096926443473</v>
      </c>
      <c r="G332" s="87">
        <f>F332*1+PUER!F$10</f>
        <v>1.4586469264434729</v>
      </c>
      <c r="H332" s="1299" t="s">
        <v>1730</v>
      </c>
    </row>
    <row r="333" spans="2:8" ht="15" customHeight="1" x14ac:dyDescent="0.25">
      <c r="B333" s="80" t="s">
        <v>978</v>
      </c>
      <c r="C333" s="81">
        <v>736</v>
      </c>
      <c r="D333" s="89" t="s">
        <v>979</v>
      </c>
      <c r="E333" s="86">
        <f>(((PUER!D265*(1+PUER!D$12))*(1+PUER!D$26)))*(1+PUER!D$30)</f>
        <v>1.3660453008204103</v>
      </c>
      <c r="F333" s="87">
        <f>E333*(1+PUER!E$10)</f>
        <v>1.421096926443473</v>
      </c>
      <c r="G333" s="87">
        <f>F333*1+PUER!F$10</f>
        <v>1.4586469264434729</v>
      </c>
      <c r="H333" s="1299" t="s">
        <v>1730</v>
      </c>
    </row>
    <row r="334" spans="2:8" s="74" customFormat="1" ht="15" customHeight="1" x14ac:dyDescent="0.25">
      <c r="B334" s="73" t="s">
        <v>980</v>
      </c>
      <c r="D334" s="75" t="s">
        <v>981</v>
      </c>
      <c r="E334" s="76">
        <f>E335+E392+E422+E437+0.01</f>
        <v>24710551.548154566</v>
      </c>
      <c r="F334" s="76">
        <f>F335+F392+F422+F437</f>
        <v>25663295.210256089</v>
      </c>
      <c r="G334" s="76">
        <f>G335+G392+G422+G437</f>
        <v>26144005.925962605</v>
      </c>
      <c r="H334" s="1298"/>
    </row>
    <row r="335" spans="2:8" s="74" customFormat="1" ht="15" customHeight="1" x14ac:dyDescent="0.25">
      <c r="B335" s="73" t="s">
        <v>982</v>
      </c>
      <c r="D335" s="75" t="s">
        <v>983</v>
      </c>
      <c r="E335" s="76">
        <f>E336</f>
        <v>13586841.297638372</v>
      </c>
      <c r="F335" s="76">
        <f>F336</f>
        <v>14091300.466138085</v>
      </c>
      <c r="G335" s="76">
        <f>G336</f>
        <v>14137482.778827472</v>
      </c>
      <c r="H335" s="1298"/>
    </row>
    <row r="336" spans="2:8" s="74" customFormat="1" ht="15" customHeight="1" x14ac:dyDescent="0.25">
      <c r="B336" s="73" t="s">
        <v>984</v>
      </c>
      <c r="D336" s="75" t="s">
        <v>985</v>
      </c>
      <c r="E336" s="77">
        <f>E337+E356+E359+E367+E374+E382+E388-0.01</f>
        <v>13586841.297638372</v>
      </c>
      <c r="F336" s="77">
        <f>F337+F356+F359+F367+F374+F382+F388+0.01</f>
        <v>14091300.466138085</v>
      </c>
      <c r="G336" s="77">
        <f>G337+G356+G359+G367+G374+G382+G388+0.01</f>
        <v>14137482.778827472</v>
      </c>
      <c r="H336" s="1298"/>
    </row>
    <row r="337" spans="2:8" s="74" customFormat="1" ht="15" customHeight="1" x14ac:dyDescent="0.25">
      <c r="B337" s="73" t="s">
        <v>986</v>
      </c>
      <c r="D337" s="75" t="s">
        <v>987</v>
      </c>
      <c r="E337" s="77">
        <f>E338+E343+E347+E351</f>
        <v>12363179.812621882</v>
      </c>
      <c r="F337" s="77">
        <f>F338+F343+F347+F351+0.01</f>
        <v>12861415.969070544</v>
      </c>
      <c r="G337" s="77">
        <f>G338+G343+G347+G351+0.01</f>
        <v>12861416.119270544</v>
      </c>
      <c r="H337" s="1298"/>
    </row>
    <row r="338" spans="2:8" s="74" customFormat="1" ht="15" customHeight="1" x14ac:dyDescent="0.25">
      <c r="B338" s="73" t="s">
        <v>988</v>
      </c>
      <c r="D338" s="75" t="s">
        <v>352</v>
      </c>
      <c r="E338" s="85">
        <f>((((((PUER!D266*(1+PUER!D$12))*(1+PUER!D$26))*(1+PUER!D$13))*(1+PUER!D$16))*(1+PUER!D$26)))*(1+PUER!D$31)*(1+PUER!D$35)-0.01</f>
        <v>11363678.696726494</v>
      </c>
      <c r="F338" s="79">
        <f>E338*(1+PUER!E$10)</f>
        <v>11821634.948204571</v>
      </c>
      <c r="G338" s="79">
        <f>F338*1+PUER!F$10</f>
        <v>11821634.985754572</v>
      </c>
      <c r="H338" s="1298"/>
    </row>
    <row r="339" spans="2:8" ht="15" customHeight="1" x14ac:dyDescent="0.25">
      <c r="B339" s="80" t="s">
        <v>989</v>
      </c>
      <c r="C339" s="81">
        <v>800</v>
      </c>
      <c r="D339" s="82" t="s">
        <v>990</v>
      </c>
      <c r="E339" s="83">
        <f>E338*(PUER!D$17)</f>
        <v>6136386.4962323066</v>
      </c>
      <c r="F339" s="84">
        <f>E339*((1+PUER!E$10))</f>
        <v>6383682.8720304687</v>
      </c>
      <c r="G339" s="84">
        <f>F339*(1+PUER!F$10)</f>
        <v>6623390.1638752129</v>
      </c>
      <c r="H339" s="1299" t="s">
        <v>1730</v>
      </c>
    </row>
    <row r="340" spans="2:8" ht="15" customHeight="1" x14ac:dyDescent="0.25">
      <c r="B340" s="80" t="s">
        <v>991</v>
      </c>
      <c r="C340" s="81">
        <v>801</v>
      </c>
      <c r="D340" s="82" t="s">
        <v>992</v>
      </c>
      <c r="E340" s="83">
        <f>E338*(PUER!D$21)</f>
        <v>681820.72180358961</v>
      </c>
      <c r="F340" s="84">
        <f>E340*((1+PUER!E$10))</f>
        <v>709298.09689227422</v>
      </c>
      <c r="G340" s="84">
        <f>F340*(1+PUER!F$10)</f>
        <v>735932.24043057906</v>
      </c>
      <c r="H340" s="1299" t="s">
        <v>1771</v>
      </c>
    </row>
    <row r="341" spans="2:8" ht="15" customHeight="1" x14ac:dyDescent="0.25">
      <c r="B341" s="80" t="s">
        <v>993</v>
      </c>
      <c r="C341" s="81">
        <v>802</v>
      </c>
      <c r="D341" s="82" t="s">
        <v>994</v>
      </c>
      <c r="E341" s="83">
        <f>E338*(PUER!D$24+PUER!D$25)</f>
        <v>2272735.7393452986</v>
      </c>
      <c r="F341" s="84">
        <f>E341*((1+PUER!E$10))</f>
        <v>2364326.9896409144</v>
      </c>
      <c r="G341" s="84">
        <f>F341*(1+PUER!F$10)</f>
        <v>2453107.4681019308</v>
      </c>
      <c r="H341" s="1299" t="s">
        <v>1738</v>
      </c>
    </row>
    <row r="342" spans="2:8" ht="15" customHeight="1" x14ac:dyDescent="0.25">
      <c r="B342" s="80" t="s">
        <v>995</v>
      </c>
      <c r="C342" s="81">
        <v>803</v>
      </c>
      <c r="D342" s="82" t="s">
        <v>996</v>
      </c>
      <c r="E342" s="83">
        <f>E338*(PUER!D$23)</f>
        <v>2272735.7393452986</v>
      </c>
      <c r="F342" s="84">
        <f>E342*((1+PUER!E$10))</f>
        <v>2364326.9896409144</v>
      </c>
      <c r="G342" s="84">
        <f>F342*(1+PUER!F$10)</f>
        <v>2453107.4681019308</v>
      </c>
      <c r="H342" s="1299" t="s">
        <v>1770</v>
      </c>
    </row>
    <row r="343" spans="2:8" s="74" customFormat="1" ht="15" customHeight="1" x14ac:dyDescent="0.25">
      <c r="B343" s="73" t="s">
        <v>997</v>
      </c>
      <c r="D343" s="75" t="s">
        <v>353</v>
      </c>
      <c r="E343" s="85">
        <f>(((((PUER!D267*(1+PUER!D$12))*(1+PUER!D$26))*(1+PUER!D$13))*(1+PUER!D$16))*(1+PUER!D$26))*(1+PUER!D$31)*(1+PUER!D$35)</f>
        <v>493092.80286585086</v>
      </c>
      <c r="F343" s="79">
        <f>E343*(1+PUER!E$10)</f>
        <v>512964.44282134465</v>
      </c>
      <c r="G343" s="79">
        <f>F343*1+PUER!F$10</f>
        <v>512964.48037134466</v>
      </c>
      <c r="H343" s="1298"/>
    </row>
    <row r="344" spans="2:8" ht="15" customHeight="1" x14ac:dyDescent="0.25">
      <c r="B344" s="80" t="s">
        <v>998</v>
      </c>
      <c r="C344" s="81">
        <v>804</v>
      </c>
      <c r="D344" s="89" t="s">
        <v>999</v>
      </c>
      <c r="E344" s="83">
        <f>E343*PUER!D$17</f>
        <v>266270.11354755948</v>
      </c>
      <c r="F344" s="84">
        <f>E344*((1+PUER!E$10))</f>
        <v>277000.79912352614</v>
      </c>
      <c r="G344" s="84">
        <f>F344*(1+PUER!F$10)</f>
        <v>287402.17913061456</v>
      </c>
      <c r="H344" s="1299" t="s">
        <v>1730</v>
      </c>
    </row>
    <row r="345" spans="2:8" ht="15" customHeight="1" x14ac:dyDescent="0.25">
      <c r="B345" s="80" t="s">
        <v>1000</v>
      </c>
      <c r="C345" s="81">
        <v>805</v>
      </c>
      <c r="D345" s="90" t="s">
        <v>1001</v>
      </c>
      <c r="E345" s="83">
        <f>E343*(PUER!D$19+PUER!D$20)</f>
        <v>128204.12874512123</v>
      </c>
      <c r="F345" s="84">
        <f>E345*((1+PUER!E$10))</f>
        <v>133370.75513354962</v>
      </c>
      <c r="G345" s="84">
        <f>F345*(1+PUER!F$10)</f>
        <v>138378.8269888144</v>
      </c>
      <c r="H345" s="1299" t="s">
        <v>1771</v>
      </c>
    </row>
    <row r="346" spans="2:8" ht="15" customHeight="1" x14ac:dyDescent="0.25">
      <c r="B346" s="80" t="s">
        <v>1002</v>
      </c>
      <c r="C346" s="81">
        <v>806</v>
      </c>
      <c r="D346" s="90" t="s">
        <v>1003</v>
      </c>
      <c r="E346" s="83">
        <f>E343*(PUER!D$24+PUER!D$25)</f>
        <v>98618.56057317018</v>
      </c>
      <c r="F346" s="84">
        <f>E346*((1+PUER!E$10))</f>
        <v>102592.88856426894</v>
      </c>
      <c r="G346" s="84">
        <f>F346*(1+PUER!F$10)</f>
        <v>106445.25152985724</v>
      </c>
      <c r="H346" s="1299" t="s">
        <v>1738</v>
      </c>
    </row>
    <row r="347" spans="2:8" s="74" customFormat="1" ht="15" customHeight="1" x14ac:dyDescent="0.25">
      <c r="B347" s="73" t="s">
        <v>1004</v>
      </c>
      <c r="D347" s="75" t="s">
        <v>1005</v>
      </c>
      <c r="E347" s="85">
        <f>((((PUER!D268*(1+PUER!D$12))*(1+PUER!D$26))*(1+PUER!D21))*(1+PUER!D25))*(1+PUER!D$31)*(1+PUER!D$35)</f>
        <v>488336.4883871213</v>
      </c>
      <c r="F347" s="79">
        <f>E347*(1+PUER!E$10)</f>
        <v>508016.44886912231</v>
      </c>
      <c r="G347" s="79">
        <f>F347*1+PUER!F$10</f>
        <v>508016.48641912232</v>
      </c>
      <c r="H347" s="1299"/>
    </row>
    <row r="348" spans="2:8" ht="15" customHeight="1" x14ac:dyDescent="0.25">
      <c r="B348" s="80" t="s">
        <v>1006</v>
      </c>
      <c r="C348" s="81">
        <v>809</v>
      </c>
      <c r="D348" s="90" t="s">
        <v>1007</v>
      </c>
      <c r="E348" s="83">
        <f>E347*PUER!D$17</f>
        <v>263701.70372904552</v>
      </c>
      <c r="F348" s="84">
        <f>E348*((1+PUER!E$10))</f>
        <v>274328.88238932606</v>
      </c>
      <c r="G348" s="84">
        <f>F348*(1+PUER!F$10)</f>
        <v>284629.93192304525</v>
      </c>
      <c r="H348" s="1299" t="s">
        <v>1730</v>
      </c>
    </row>
    <row r="349" spans="2:8" ht="15" customHeight="1" x14ac:dyDescent="0.25">
      <c r="B349" s="80" t="s">
        <v>1008</v>
      </c>
      <c r="C349" s="81">
        <v>810</v>
      </c>
      <c r="D349" s="90" t="s">
        <v>1009</v>
      </c>
      <c r="E349" s="83">
        <f>E347*(PUER!D$19+PUER!D$20)</f>
        <v>126967.48698065153</v>
      </c>
      <c r="F349" s="84">
        <f>E349*((1+PUER!E$10))</f>
        <v>132084.2767059718</v>
      </c>
      <c r="G349" s="84">
        <f>F349*(1+PUER!F$10)</f>
        <v>137044.04129628104</v>
      </c>
      <c r="H349" s="1299" t="s">
        <v>1771</v>
      </c>
    </row>
    <row r="350" spans="2:8" ht="15" customHeight="1" x14ac:dyDescent="0.25">
      <c r="B350" s="80" t="s">
        <v>1010</v>
      </c>
      <c r="C350" s="81">
        <v>811</v>
      </c>
      <c r="D350" s="90" t="s">
        <v>1011</v>
      </c>
      <c r="E350" s="83">
        <f>E347*(PUER!D$24+PUER!D$25)</f>
        <v>97667.297677424271</v>
      </c>
      <c r="F350" s="84">
        <f>E350*((1+PUER!E$10))</f>
        <v>101603.28977382446</v>
      </c>
      <c r="G350" s="84">
        <f>F350*(1+PUER!F$10)</f>
        <v>105418.49330483157</v>
      </c>
      <c r="H350" s="1299" t="s">
        <v>1738</v>
      </c>
    </row>
    <row r="351" spans="2:8" s="74" customFormat="1" ht="15" customHeight="1" x14ac:dyDescent="0.25">
      <c r="B351" s="73" t="s">
        <v>1012</v>
      </c>
      <c r="D351" s="75" t="s">
        <v>356</v>
      </c>
      <c r="E351" s="85">
        <f>(((((PUER!D269*(1+PUER!D$12))*(1+PUER!D$26))*(1+PUER!D$13))*(1+PUER!D$16)))*(1+PUER!D$31)*(1+PUER!D$36)</f>
        <v>18071.824642416803</v>
      </c>
      <c r="F351" s="79">
        <f>E351*(1+PUER!E$10)</f>
        <v>18800.119175506199</v>
      </c>
      <c r="G351" s="79">
        <f>F351*1+PUER!F$10</f>
        <v>18800.1567255062</v>
      </c>
      <c r="H351" s="1298"/>
    </row>
    <row r="352" spans="2:8" ht="15" customHeight="1" x14ac:dyDescent="0.25">
      <c r="B352" s="80" t="s">
        <v>1013</v>
      </c>
      <c r="C352" s="81">
        <v>812</v>
      </c>
      <c r="D352" s="90" t="s">
        <v>1014</v>
      </c>
      <c r="E352" s="83">
        <f>E351*PUER!D$17</f>
        <v>9758.7853069050743</v>
      </c>
      <c r="F352" s="84">
        <f>E352*((1+PUER!E$10))</f>
        <v>10152.064354773349</v>
      </c>
      <c r="G352" s="84">
        <f>F352*(1+PUER!F$10)</f>
        <v>10533.274371295089</v>
      </c>
      <c r="H352" s="1299" t="s">
        <v>1730</v>
      </c>
    </row>
    <row r="353" spans="2:8" ht="15" customHeight="1" x14ac:dyDescent="0.25">
      <c r="B353" s="80" t="s">
        <v>1015</v>
      </c>
      <c r="C353" s="81">
        <v>813</v>
      </c>
      <c r="D353" s="90" t="s">
        <v>1016</v>
      </c>
      <c r="E353" s="83">
        <f>E351*(PUER!D$21)</f>
        <v>1084.3094785450082</v>
      </c>
      <c r="F353" s="84">
        <f>E353*((1+PUER!E$10))</f>
        <v>1128.007150530372</v>
      </c>
      <c r="G353" s="84">
        <f>F353*(1+PUER!F$10)</f>
        <v>1170.3638190327874</v>
      </c>
      <c r="H353" s="1299" t="s">
        <v>1771</v>
      </c>
    </row>
    <row r="354" spans="2:8" ht="15" customHeight="1" x14ac:dyDescent="0.25">
      <c r="B354" s="80" t="s">
        <v>1017</v>
      </c>
      <c r="C354" s="81">
        <v>814</v>
      </c>
      <c r="D354" s="90" t="s">
        <v>1018</v>
      </c>
      <c r="E354" s="83">
        <f>E351*(PUER!D$24+PUER!D$25)</f>
        <v>3614.3649284833609</v>
      </c>
      <c r="F354" s="84">
        <f>E354*((1+PUER!E$10))</f>
        <v>3760.0238351012404</v>
      </c>
      <c r="G354" s="84">
        <f>F354*(1+PUER!F$10)</f>
        <v>3901.2127301092919</v>
      </c>
      <c r="H354" s="1299" t="s">
        <v>1738</v>
      </c>
    </row>
    <row r="355" spans="2:8" ht="15" customHeight="1" x14ac:dyDescent="0.25">
      <c r="B355" s="80" t="s">
        <v>1019</v>
      </c>
      <c r="C355" s="81">
        <v>815</v>
      </c>
      <c r="D355" s="90" t="s">
        <v>1020</v>
      </c>
      <c r="E355" s="83">
        <f>E351*(PUER!D$23)</f>
        <v>3614.3649284833609</v>
      </c>
      <c r="F355" s="84">
        <f>E355*((1+PUER!E$10))</f>
        <v>3760.0238351012404</v>
      </c>
      <c r="G355" s="84">
        <f>F355*(1+PUER!F$10)</f>
        <v>3901.2127301092919</v>
      </c>
      <c r="H355" s="1299" t="s">
        <v>1770</v>
      </c>
    </row>
    <row r="356" spans="2:8" s="74" customFormat="1" ht="15" customHeight="1" x14ac:dyDescent="0.25">
      <c r="B356" s="73" t="s">
        <v>1021</v>
      </c>
      <c r="D356" s="75" t="s">
        <v>1022</v>
      </c>
      <c r="E356" s="77">
        <f>SUM(E357:E358)</f>
        <v>143438.5983303627</v>
      </c>
      <c r="F356" s="77">
        <f t="shared" ref="F356:G356" si="19">SUM(F357:F358)</f>
        <v>149219.17384307634</v>
      </c>
      <c r="G356" s="77">
        <f t="shared" si="19"/>
        <v>154822.35382088384</v>
      </c>
      <c r="H356" s="1298"/>
    </row>
    <row r="357" spans="2:8" ht="15" customHeight="1" x14ac:dyDescent="0.25">
      <c r="B357" s="80" t="s">
        <v>1023</v>
      </c>
      <c r="C357" s="81">
        <v>816</v>
      </c>
      <c r="D357" s="82" t="s">
        <v>357</v>
      </c>
      <c r="E357" s="86">
        <f>(((((PUER!D270*(1+PUER!D$12))*(1+PUER!D$26))*(1+PUER!D$13))*(1+PUER!D$16)))*(1+PUER!D$26)*(1+PUER!D$31)*(1+PUER!D$38)</f>
        <v>17201.715744442405</v>
      </c>
      <c r="F357" s="87">
        <f>E357*((1+PUER!E$10))</f>
        <v>17894.944888943435</v>
      </c>
      <c r="G357" s="87">
        <f>F357*(1+PUER!F$10)</f>
        <v>18566.900069523261</v>
      </c>
      <c r="H357" s="1299" t="s">
        <v>1730</v>
      </c>
    </row>
    <row r="358" spans="2:8" ht="15" customHeight="1" x14ac:dyDescent="0.25">
      <c r="B358" s="80" t="s">
        <v>1024</v>
      </c>
      <c r="C358" s="81">
        <v>820</v>
      </c>
      <c r="D358" s="82" t="s">
        <v>358</v>
      </c>
      <c r="E358" s="86">
        <f>(((((PUER!D271*(1+PUER!D$12))*(1+PUER!D$26))*(1+PUER!D$13))*(1+PUER!D$16)))*(1+PUER!D$26)*(1+PUER!D$31)*(1+PUER!D$37)</f>
        <v>126236.88258592031</v>
      </c>
      <c r="F358" s="87">
        <f>E358*((1+PUER!E$10))</f>
        <v>131324.22895413291</v>
      </c>
      <c r="G358" s="87">
        <f>F358*(1+PUER!F$10)</f>
        <v>136255.45375136059</v>
      </c>
      <c r="H358" s="1299" t="s">
        <v>1730</v>
      </c>
    </row>
    <row r="359" spans="2:8" s="74" customFormat="1" ht="15" customHeight="1" x14ac:dyDescent="0.25">
      <c r="B359" s="73" t="s">
        <v>1025</v>
      </c>
      <c r="D359" s="75" t="s">
        <v>1026</v>
      </c>
      <c r="E359" s="77">
        <f>E360</f>
        <v>360669.57599237387</v>
      </c>
      <c r="F359" s="77">
        <f t="shared" ref="F359:G359" si="20">F360</f>
        <v>375204.57030786667</v>
      </c>
      <c r="G359" s="77">
        <f t="shared" si="20"/>
        <v>389293.50192292698</v>
      </c>
      <c r="H359" s="1298"/>
    </row>
    <row r="360" spans="2:8" s="74" customFormat="1" ht="15" customHeight="1" x14ac:dyDescent="0.25">
      <c r="B360" s="73" t="s">
        <v>1027</v>
      </c>
      <c r="D360" s="75" t="s">
        <v>1026</v>
      </c>
      <c r="E360" s="77">
        <f>SUM(E361:E366)-0.01</f>
        <v>360669.57599237387</v>
      </c>
      <c r="F360" s="77">
        <f t="shared" ref="F360:G360" si="21">SUM(F361:F366)</f>
        <v>375204.57030786667</v>
      </c>
      <c r="G360" s="77">
        <f t="shared" si="21"/>
        <v>389293.50192292698</v>
      </c>
      <c r="H360" s="1298"/>
    </row>
    <row r="361" spans="2:8" ht="15" customHeight="1" x14ac:dyDescent="0.25">
      <c r="B361" s="80" t="s">
        <v>1028</v>
      </c>
      <c r="C361" s="81">
        <v>830</v>
      </c>
      <c r="D361" s="82" t="s">
        <v>1724</v>
      </c>
      <c r="E361" s="83">
        <f>PUER!D272*((1+PUER!D$12))*(1+PUER!D$31)</f>
        <v>292644.17166740645</v>
      </c>
      <c r="F361" s="84">
        <f>E361*((1+PUER!E$10))</f>
        <v>304437.73178560293</v>
      </c>
      <c r="G361" s="84">
        <f>F361*(1+PUER!F$10)</f>
        <v>315869.36861415231</v>
      </c>
      <c r="H361" s="1299" t="s">
        <v>1731</v>
      </c>
    </row>
    <row r="362" spans="2:8" ht="15" customHeight="1" x14ac:dyDescent="0.25">
      <c r="B362" s="80" t="s">
        <v>1029</v>
      </c>
      <c r="C362" s="81">
        <v>831</v>
      </c>
      <c r="D362" s="82" t="s">
        <v>1725</v>
      </c>
      <c r="E362" s="83">
        <f>PUER!D273*((1+PUER!D$12))*(1+PUER!D$31)</f>
        <v>35750.366584812</v>
      </c>
      <c r="F362" s="84">
        <f>E362*((1+PUER!E$10))</f>
        <v>37191.106358179924</v>
      </c>
      <c r="G362" s="84">
        <f>F362*(1+PUER!F$10)</f>
        <v>38587.632401929579</v>
      </c>
      <c r="H362" s="1299" t="s">
        <v>1734</v>
      </c>
    </row>
    <row r="363" spans="2:8" ht="15" customHeight="1" x14ac:dyDescent="0.25">
      <c r="B363" s="80" t="s">
        <v>1030</v>
      </c>
      <c r="C363" s="81">
        <v>832</v>
      </c>
      <c r="D363" s="82" t="s">
        <v>1726</v>
      </c>
      <c r="E363" s="83">
        <f>PUER!D274*((1+PUER!D$12))*(1+PUER!D$31)</f>
        <v>32271.711065695741</v>
      </c>
      <c r="F363" s="84">
        <f>E363*((1+PUER!E$10))</f>
        <v>33572.26102164328</v>
      </c>
      <c r="G363" s="84">
        <f>F363*(1+PUER!F$10)</f>
        <v>34832.899423005983</v>
      </c>
      <c r="H363" s="1299" t="s">
        <v>1732</v>
      </c>
    </row>
    <row r="364" spans="2:8" ht="15" customHeight="1" x14ac:dyDescent="0.25">
      <c r="B364" s="80" t="s">
        <v>1031</v>
      </c>
      <c r="C364" s="81">
        <v>833</v>
      </c>
      <c r="D364" s="82" t="s">
        <v>1727</v>
      </c>
      <c r="E364" s="83">
        <f>PUER!D275*((1+PUER!D$12))*(1+PUER!D$31)</f>
        <v>1.1122248199102067</v>
      </c>
      <c r="F364" s="84">
        <f>E364*((1+PUER!E$10))</f>
        <v>1.1570474801525881</v>
      </c>
      <c r="G364" s="84">
        <f>F364*(1+PUER!F$10)</f>
        <v>1.2004946130323177</v>
      </c>
      <c r="H364" s="1299" t="s">
        <v>1729</v>
      </c>
    </row>
    <row r="365" spans="2:8" ht="15" customHeight="1" x14ac:dyDescent="0.25">
      <c r="B365" s="80" t="s">
        <v>1032</v>
      </c>
      <c r="C365" s="81">
        <v>834</v>
      </c>
      <c r="D365" s="82" t="s">
        <v>1728</v>
      </c>
      <c r="E365" s="83">
        <f>PUER!D276*((1+PUER!D$12))*(1+PUER!D$31)</f>
        <v>1.1122248199102067</v>
      </c>
      <c r="F365" s="84">
        <f>E365*((1+PUER!E$10))</f>
        <v>1.1570474801525881</v>
      </c>
      <c r="G365" s="84">
        <f>F365*(1+PUER!F$10)</f>
        <v>1.2004946130323177</v>
      </c>
      <c r="H365" s="1299" t="s">
        <v>1733</v>
      </c>
    </row>
    <row r="366" spans="2:8" ht="15" customHeight="1" x14ac:dyDescent="0.25">
      <c r="B366" s="80" t="s">
        <v>1032</v>
      </c>
      <c r="C366" s="81">
        <v>835</v>
      </c>
      <c r="D366" s="82" t="s">
        <v>7317</v>
      </c>
      <c r="E366" s="83">
        <f>PUER!D277*((1+PUER!D$12))*(1+PUER!D$31)</f>
        <v>1.1122248199102067</v>
      </c>
      <c r="F366" s="84">
        <f>E366*((1+PUER!E$10))</f>
        <v>1.1570474801525881</v>
      </c>
      <c r="G366" s="84">
        <f>F366*(1+PUER!F$10)</f>
        <v>1.2004946130323177</v>
      </c>
      <c r="H366" s="1299" t="s">
        <v>1731</v>
      </c>
    </row>
    <row r="367" spans="2:8" s="74" customFormat="1" ht="15" customHeight="1" x14ac:dyDescent="0.25">
      <c r="B367" s="73" t="s">
        <v>1033</v>
      </c>
      <c r="D367" s="75" t="s">
        <v>1034</v>
      </c>
      <c r="E367" s="77">
        <f>E368</f>
        <v>105295.63983360285</v>
      </c>
      <c r="F367" s="77">
        <f t="shared" ref="F367:G367" si="22">F368</f>
        <v>109539.05411889705</v>
      </c>
      <c r="G367" s="77">
        <f t="shared" si="22"/>
        <v>113652.24560106162</v>
      </c>
      <c r="H367" s="1298"/>
    </row>
    <row r="368" spans="2:8" s="74" customFormat="1" ht="15" customHeight="1" x14ac:dyDescent="0.25">
      <c r="B368" s="73" t="s">
        <v>1035</v>
      </c>
      <c r="D368" s="75" t="s">
        <v>1034</v>
      </c>
      <c r="E368" s="77">
        <f>SUM(E369:E373)</f>
        <v>105295.63983360285</v>
      </c>
      <c r="F368" s="77">
        <f t="shared" ref="F368:G368" si="23">SUM(F369:F373)</f>
        <v>109539.05411889705</v>
      </c>
      <c r="G368" s="77">
        <f t="shared" si="23"/>
        <v>113652.24560106162</v>
      </c>
      <c r="H368" s="1298"/>
    </row>
    <row r="369" spans="2:8" ht="15" customHeight="1" x14ac:dyDescent="0.25">
      <c r="B369" s="80" t="s">
        <v>1036</v>
      </c>
      <c r="C369" s="81">
        <v>900</v>
      </c>
      <c r="D369" s="90" t="s">
        <v>359</v>
      </c>
      <c r="E369" s="83">
        <f>PUER!D278*((1+PUER!D$12))*(1+PUER!D$31)</f>
        <v>1.1122248199102067</v>
      </c>
      <c r="F369" s="84">
        <f>E369*((1+PUER!E$10))</f>
        <v>1.1570474801525881</v>
      </c>
      <c r="G369" s="84">
        <f>F369*(1+PUER!F$10)</f>
        <v>1.2004946130323177</v>
      </c>
      <c r="H369" s="1299" t="s">
        <v>1742</v>
      </c>
    </row>
    <row r="370" spans="2:8" ht="15" customHeight="1" x14ac:dyDescent="0.25">
      <c r="B370" s="80" t="s">
        <v>1037</v>
      </c>
      <c r="C370" s="81">
        <v>901</v>
      </c>
      <c r="D370" s="89" t="s">
        <v>360</v>
      </c>
      <c r="E370" s="83">
        <f>PUER!D279*((1+PUER!D$12))*(1+PUER!D$31)</f>
        <v>80170.099287976438</v>
      </c>
      <c r="F370" s="84">
        <f>E370*((1+PUER!E$10))</f>
        <v>83400.954289281886</v>
      </c>
      <c r="G370" s="84">
        <f>F370*(1+PUER!F$10)</f>
        <v>86532.66012284442</v>
      </c>
      <c r="H370" s="1299" t="s">
        <v>1737</v>
      </c>
    </row>
    <row r="371" spans="2:8" ht="15" customHeight="1" x14ac:dyDescent="0.25">
      <c r="B371" s="80" t="s">
        <v>1038</v>
      </c>
      <c r="C371" s="81">
        <v>902</v>
      </c>
      <c r="D371" s="89" t="s">
        <v>361</v>
      </c>
      <c r="E371" s="83">
        <f>PUER!D280*((1+PUER!D$12))*(1+PUER!D$31)</f>
        <v>1005.6366080021452</v>
      </c>
      <c r="F371" s="84">
        <f>E371*((1+PUER!E$10))</f>
        <v>1046.1637633046316</v>
      </c>
      <c r="G371" s="84">
        <f>F371*(1+PUER!F$10)</f>
        <v>1085.4472126167204</v>
      </c>
      <c r="H371" s="1299" t="s">
        <v>1739</v>
      </c>
    </row>
    <row r="372" spans="2:8" ht="15" customHeight="1" x14ac:dyDescent="0.25">
      <c r="B372" s="80" t="s">
        <v>1039</v>
      </c>
      <c r="C372" s="81">
        <v>903</v>
      </c>
      <c r="D372" s="89" t="s">
        <v>362</v>
      </c>
      <c r="E372" s="83">
        <f>PUER!D281*((1+PUER!D$12))*(1+PUER!D$31)</f>
        <v>19574.152120665654</v>
      </c>
      <c r="F372" s="84">
        <f>E372*((1+PUER!E$10))</f>
        <v>20362.99045112848</v>
      </c>
      <c r="G372" s="84">
        <f>F372*(1+PUER!F$10)</f>
        <v>21127.620742568353</v>
      </c>
      <c r="H372" s="1299" t="s">
        <v>1740</v>
      </c>
    </row>
    <row r="373" spans="2:8" ht="15" customHeight="1" x14ac:dyDescent="0.25">
      <c r="B373" s="80" t="s">
        <v>1040</v>
      </c>
      <c r="C373" s="81">
        <v>904</v>
      </c>
      <c r="D373" s="90" t="s">
        <v>363</v>
      </c>
      <c r="E373" s="83">
        <f>PUER!D282*((1+PUER!D$12))*(1+PUER!D$31)</f>
        <v>4544.6395921386975</v>
      </c>
      <c r="F373" s="84">
        <f>E373*((1+PUER!E$10))</f>
        <v>4727.7885677018867</v>
      </c>
      <c r="G373" s="84">
        <f>F373*(1+PUER!F$10)</f>
        <v>4905.3170284190928</v>
      </c>
      <c r="H373" s="1299" t="s">
        <v>1741</v>
      </c>
    </row>
    <row r="374" spans="2:8" s="74" customFormat="1" ht="15" customHeight="1" x14ac:dyDescent="0.25">
      <c r="B374" s="73" t="s">
        <v>1041</v>
      </c>
      <c r="D374" s="75" t="s">
        <v>1042</v>
      </c>
      <c r="E374" s="77">
        <f>SUM(E375:E378)+E379</f>
        <v>614254.59156589431</v>
      </c>
      <c r="F374" s="77">
        <f t="shared" ref="F374:G374" si="24">SUM(F375:F378)</f>
        <v>595918.47500488593</v>
      </c>
      <c r="G374" s="77">
        <f t="shared" si="24"/>
        <v>618295.21374131949</v>
      </c>
      <c r="H374" s="1298"/>
    </row>
    <row r="375" spans="2:8" ht="15" customHeight="1" x14ac:dyDescent="0.25">
      <c r="B375" s="80" t="s">
        <v>1043</v>
      </c>
      <c r="C375" s="81">
        <v>950</v>
      </c>
      <c r="D375" s="90" t="s">
        <v>364</v>
      </c>
      <c r="E375" s="84">
        <f>PUER!D295*(PUER!D283+PUER!D284+PUER!D285+PUER!D286+PUER!D287+PUER!D288+PUER!D289)*(1+PUER!D$31)*(1+PUER!D$39)</f>
        <v>332737.01328548108</v>
      </c>
      <c r="F375" s="84">
        <f>E375*((1+PUER!E$10))</f>
        <v>346146.31492088595</v>
      </c>
      <c r="G375" s="84">
        <f>F375*(1+PUER!F$10)</f>
        <v>359144.10904616519</v>
      </c>
      <c r="H375" s="1299" t="s">
        <v>1743</v>
      </c>
    </row>
    <row r="376" spans="2:8" ht="15" customHeight="1" x14ac:dyDescent="0.25">
      <c r="B376" s="80" t="s">
        <v>1044</v>
      </c>
      <c r="C376" s="81">
        <v>951</v>
      </c>
      <c r="D376" s="89" t="s">
        <v>365</v>
      </c>
      <c r="E376" s="91">
        <f>CIG!G316</f>
        <v>1215</v>
      </c>
      <c r="F376" s="84">
        <f>E376*((1+PUER!E$10))</f>
        <v>1263.9645</v>
      </c>
      <c r="G376" s="84">
        <f>F376*(1+PUER!F$10)</f>
        <v>1311.4263669750001</v>
      </c>
      <c r="H376" s="1299" t="s">
        <v>1748</v>
      </c>
    </row>
    <row r="377" spans="2:8" ht="15" customHeight="1" x14ac:dyDescent="0.25">
      <c r="B377" s="80" t="s">
        <v>1045</v>
      </c>
      <c r="C377" s="81">
        <v>960</v>
      </c>
      <c r="D377" s="90" t="s">
        <v>366</v>
      </c>
      <c r="E377" s="84">
        <f>PNAE!F67</f>
        <v>60730</v>
      </c>
      <c r="F377" s="84">
        <f>E377*((1+PUER!E$10))</f>
        <v>63177.419000000002</v>
      </c>
      <c r="G377" s="84">
        <f>F377*(1+PUER!F$10)</f>
        <v>65549.731083449995</v>
      </c>
      <c r="H377" s="1299" t="s">
        <v>1744</v>
      </c>
    </row>
    <row r="378" spans="2:8" ht="15" customHeight="1" x14ac:dyDescent="0.25">
      <c r="B378" s="80" t="s">
        <v>1046</v>
      </c>
      <c r="C378" s="81">
        <v>970</v>
      </c>
      <c r="D378" s="90" t="s">
        <v>367</v>
      </c>
      <c r="E378" s="84">
        <f>((PUER!D302+PUER!D303+PUER!D304)*(1+20%))*PUER!D305</f>
        <v>178151.28</v>
      </c>
      <c r="F378" s="84">
        <f>E378*((1+PUER!E$10))</f>
        <v>185330.77658400001</v>
      </c>
      <c r="G378" s="84">
        <f>F378*(1+PUER!F$10)</f>
        <v>192289.94724472921</v>
      </c>
      <c r="H378" s="1299" t="s">
        <v>1745</v>
      </c>
    </row>
    <row r="379" spans="2:8" s="74" customFormat="1" ht="15" customHeight="1" x14ac:dyDescent="0.25">
      <c r="B379" s="73" t="s">
        <v>1047</v>
      </c>
      <c r="D379" s="75" t="s">
        <v>1048</v>
      </c>
      <c r="E379" s="77">
        <f>SUM(E380:E381)</f>
        <v>41421.298280413219</v>
      </c>
      <c r="F379" s="77">
        <f t="shared" ref="F379:G379" si="25">SUM(F380:F381)</f>
        <v>43090.576601113869</v>
      </c>
      <c r="G379" s="77">
        <f t="shared" si="25"/>
        <v>44708.627752485692</v>
      </c>
      <c r="H379" s="1298"/>
    </row>
    <row r="380" spans="2:8" ht="15" customHeight="1" x14ac:dyDescent="0.25">
      <c r="B380" s="80" t="s">
        <v>1049</v>
      </c>
      <c r="C380" s="81">
        <v>971</v>
      </c>
      <c r="D380" s="90" t="s">
        <v>368</v>
      </c>
      <c r="E380" s="91">
        <f>PUER!D306*(1+PUER!D$31)</f>
        <v>34.530162593163347</v>
      </c>
      <c r="F380" s="84">
        <f>E380*((1+PUER!E$10))</f>
        <v>35.921728145667828</v>
      </c>
      <c r="G380" s="84">
        <f>F380*(1+PUER!F$10)</f>
        <v>37.270589037537654</v>
      </c>
      <c r="H380" s="1299" t="s">
        <v>1746</v>
      </c>
    </row>
    <row r="381" spans="2:8" ht="15" customHeight="1" x14ac:dyDescent="0.25">
      <c r="B381" s="80" t="s">
        <v>1050</v>
      </c>
      <c r="C381" s="81">
        <v>972</v>
      </c>
      <c r="D381" s="90" t="s">
        <v>369</v>
      </c>
      <c r="E381" s="91">
        <f>PUER!D307*(1+PUER!D$31)</f>
        <v>41386.768117820058</v>
      </c>
      <c r="F381" s="84">
        <f>E381*((1+PUER!E$10))</f>
        <v>43054.654872968204</v>
      </c>
      <c r="G381" s="84">
        <f>F381*(1+PUER!F$10)</f>
        <v>44671.357163448156</v>
      </c>
      <c r="H381" s="1299" t="s">
        <v>1747</v>
      </c>
    </row>
    <row r="382" spans="2:8" s="74" customFormat="1" ht="15" customHeight="1" x14ac:dyDescent="0.25">
      <c r="B382" s="73" t="s">
        <v>1051</v>
      </c>
      <c r="D382" s="75" t="s">
        <v>1052</v>
      </c>
      <c r="E382" s="77">
        <f>E383</f>
        <v>1.0446546729843194</v>
      </c>
      <c r="F382" s="77">
        <f t="shared" ref="F382:G382" si="26">F383</f>
        <v>1.0867542563055874</v>
      </c>
      <c r="G382" s="77">
        <f t="shared" si="26"/>
        <v>1.1275618786298622</v>
      </c>
      <c r="H382" s="1298"/>
    </row>
    <row r="383" spans="2:8" s="74" customFormat="1" ht="15" customHeight="1" x14ac:dyDescent="0.25">
      <c r="B383" s="73" t="s">
        <v>1053</v>
      </c>
      <c r="D383" s="75" t="s">
        <v>370</v>
      </c>
      <c r="E383" s="77">
        <f>((PUER!D309*PUER!D308)*(1+PUER!D$12)*(1+PUER!D$13)*(1+PUER!D$16)*(1+PUER!D$26))*(1+PUER!D$26)*(1+PUER!D20)+1*(1+PUER!D$31)*(1+PUER!D$40)</f>
        <v>1.0446546729843194</v>
      </c>
      <c r="F383" s="92">
        <f>E383*((1+PUER!E$10))</f>
        <v>1.0867542563055874</v>
      </c>
      <c r="G383" s="92">
        <f>F383*(1+PUER!F$10)</f>
        <v>1.1275618786298622</v>
      </c>
      <c r="H383" s="1298"/>
    </row>
    <row r="384" spans="2:8" ht="15" customHeight="1" x14ac:dyDescent="0.25">
      <c r="B384" s="80" t="s">
        <v>1054</v>
      </c>
      <c r="C384" s="81">
        <v>980</v>
      </c>
      <c r="D384" s="82" t="s">
        <v>1055</v>
      </c>
      <c r="E384" s="83">
        <f>E383*(PUER!D$17)</f>
        <v>0.56411352341153254</v>
      </c>
      <c r="F384" s="84">
        <f>E384*((1+PUER!E$10))</f>
        <v>0.58684729840501726</v>
      </c>
      <c r="G384" s="84">
        <f>F384*(1+PUER!F$10)</f>
        <v>0.60888341446012562</v>
      </c>
      <c r="H384" s="1299" t="s">
        <v>1730</v>
      </c>
    </row>
    <row r="385" spans="2:8" ht="15" customHeight="1" x14ac:dyDescent="0.25">
      <c r="B385" s="80" t="s">
        <v>1056</v>
      </c>
      <c r="C385" s="81">
        <v>981</v>
      </c>
      <c r="D385" s="82" t="s">
        <v>1057</v>
      </c>
      <c r="E385" s="83">
        <f>E383*(PUER!D$21)</f>
        <v>6.2679280379059163E-2</v>
      </c>
      <c r="F385" s="84">
        <f>E385*((1+PUER!E$10))</f>
        <v>6.5205255378335242E-2</v>
      </c>
      <c r="G385" s="84">
        <f>F385*(1+PUER!F$10)</f>
        <v>6.7653712717791734E-2</v>
      </c>
      <c r="H385" s="1299" t="s">
        <v>1771</v>
      </c>
    </row>
    <row r="386" spans="2:8" ht="15" customHeight="1" x14ac:dyDescent="0.25">
      <c r="B386" s="80" t="s">
        <v>1058</v>
      </c>
      <c r="C386" s="81">
        <v>982</v>
      </c>
      <c r="D386" s="82" t="s">
        <v>1059</v>
      </c>
      <c r="E386" s="83">
        <f>E383*(PUER!D$24+PUER!D$25)</f>
        <v>0.20893093459686388</v>
      </c>
      <c r="F386" s="84">
        <f>E386*((1+PUER!E$10))</f>
        <v>0.2173508512611175</v>
      </c>
      <c r="G386" s="84">
        <f>F386*(1+PUER!F$10)</f>
        <v>0.22551237572597246</v>
      </c>
      <c r="H386" s="1299" t="s">
        <v>1738</v>
      </c>
    </row>
    <row r="387" spans="2:8" ht="15" customHeight="1" x14ac:dyDescent="0.25">
      <c r="B387" s="80" t="s">
        <v>1060</v>
      </c>
      <c r="C387" s="81">
        <v>983</v>
      </c>
      <c r="D387" s="82" t="s">
        <v>1061</v>
      </c>
      <c r="E387" s="83">
        <f>E383*(PUER!D$23)</f>
        <v>0.20893093459686388</v>
      </c>
      <c r="F387" s="84">
        <f>E387*((1+PUER!E$10))</f>
        <v>0.2173508512611175</v>
      </c>
      <c r="G387" s="84">
        <f>F387*(1+PUER!F$10)</f>
        <v>0.22551237572597246</v>
      </c>
      <c r="H387" s="1299" t="s">
        <v>1770</v>
      </c>
    </row>
    <row r="388" spans="2:8" s="74" customFormat="1" ht="15" customHeight="1" x14ac:dyDescent="0.25">
      <c r="B388" s="73" t="s">
        <v>1062</v>
      </c>
      <c r="D388" s="75" t="s">
        <v>1063</v>
      </c>
      <c r="E388" s="77">
        <f>E389</f>
        <v>2.0446395830174042</v>
      </c>
      <c r="F388" s="77">
        <f t="shared" ref="F388:G388" si="27">F389</f>
        <v>2.1270385582130054</v>
      </c>
      <c r="G388" s="77">
        <f t="shared" si="27"/>
        <v>2.2069088560739036</v>
      </c>
      <c r="H388" s="1298"/>
    </row>
    <row r="389" spans="2:8" s="74" customFormat="1" ht="15" customHeight="1" x14ac:dyDescent="0.25">
      <c r="B389" s="73" t="s">
        <v>1064</v>
      </c>
      <c r="D389" s="75" t="s">
        <v>1065</v>
      </c>
      <c r="E389" s="77">
        <f>E390+E391</f>
        <v>2.0446395830174042</v>
      </c>
      <c r="F389" s="77">
        <f t="shared" ref="F389:G389" si="28">F390+F391</f>
        <v>2.1270385582130054</v>
      </c>
      <c r="G389" s="77">
        <f t="shared" si="28"/>
        <v>2.2069088560739036</v>
      </c>
      <c r="H389" s="1298"/>
    </row>
    <row r="390" spans="2:8" ht="15" customHeight="1" x14ac:dyDescent="0.25">
      <c r="B390" s="80" t="s">
        <v>1066</v>
      </c>
      <c r="C390" s="81">
        <v>990</v>
      </c>
      <c r="D390" s="82" t="s">
        <v>371</v>
      </c>
      <c r="E390" s="96">
        <f>((PUER!D310*PUER!D308)*(1+PUER!D$12)*(1+PUER!D$13)*(1+PUER!D$16)*(1+PUER!D$26))*(1+PUER!D20)+1*(1+PUER!D$31)*(1+PUER!D$45)</f>
        <v>1.0446395830174042</v>
      </c>
      <c r="F390" s="84">
        <f>E390*((1+PUER!E$10))</f>
        <v>1.0867385582130056</v>
      </c>
      <c r="G390" s="84">
        <f>F390*(1+PUER!F$10)</f>
        <v>1.1275455910739038</v>
      </c>
      <c r="H390" s="1299" t="s">
        <v>1730</v>
      </c>
    </row>
    <row r="391" spans="2:8" ht="15" customHeight="1" x14ac:dyDescent="0.25">
      <c r="B391" s="80" t="s">
        <v>7301</v>
      </c>
      <c r="C391" s="81">
        <v>991</v>
      </c>
      <c r="D391" s="82" t="s">
        <v>6828</v>
      </c>
      <c r="E391" s="96">
        <f>PUER!D3221+1</f>
        <v>1</v>
      </c>
      <c r="F391" s="84">
        <f>E391*((1+PUER!E$10))</f>
        <v>1.0403</v>
      </c>
      <c r="G391" s="84">
        <f>F391*(1+PUER!F$10)</f>
        <v>1.079363265</v>
      </c>
      <c r="H391" s="1299" t="s">
        <v>1730</v>
      </c>
    </row>
    <row r="392" spans="2:8" s="74" customFormat="1" ht="15" customHeight="1" x14ac:dyDescent="0.25">
      <c r="B392" s="73" t="s">
        <v>1067</v>
      </c>
      <c r="D392" s="75" t="s">
        <v>1068</v>
      </c>
      <c r="E392" s="76">
        <f>E393</f>
        <v>6808985.9233964104</v>
      </c>
      <c r="F392" s="76">
        <f>F393</f>
        <v>7083387.0162122855</v>
      </c>
      <c r="G392" s="76">
        <f>G393</f>
        <v>7349368.1990465578</v>
      </c>
      <c r="H392" s="1298"/>
    </row>
    <row r="393" spans="2:8" s="74" customFormat="1" ht="15" customHeight="1" x14ac:dyDescent="0.25">
      <c r="B393" s="73" t="s">
        <v>1069</v>
      </c>
      <c r="D393" s="75" t="s">
        <v>1070</v>
      </c>
      <c r="E393" s="77">
        <f>E394+E411+E414+E417</f>
        <v>6808985.9233964104</v>
      </c>
      <c r="F393" s="77">
        <f t="shared" ref="F393:G393" si="29">F394+F411+F414+F417</f>
        <v>7083387.0162122855</v>
      </c>
      <c r="G393" s="77">
        <f t="shared" si="29"/>
        <v>7349368.1990465578</v>
      </c>
      <c r="H393" s="1299"/>
    </row>
    <row r="394" spans="2:8" s="74" customFormat="1" ht="15" customHeight="1" x14ac:dyDescent="0.25">
      <c r="B394" s="73" t="s">
        <v>1071</v>
      </c>
      <c r="D394" s="75" t="s">
        <v>1072</v>
      </c>
      <c r="E394" s="77">
        <f>E395+E400+E405+E410-0.01</f>
        <v>6174779.5381421046</v>
      </c>
      <c r="F394" s="77">
        <f t="shared" ref="F394:G394" si="30">F395+F400+F405+F410-0.01</f>
        <v>6423623.1539322315</v>
      </c>
      <c r="G394" s="77">
        <f t="shared" si="30"/>
        <v>6664830.2037378876</v>
      </c>
      <c r="H394" s="1298"/>
    </row>
    <row r="395" spans="2:8" s="74" customFormat="1" ht="15" customHeight="1" x14ac:dyDescent="0.25">
      <c r="B395" s="73" t="s">
        <v>1073</v>
      </c>
      <c r="D395" s="75" t="s">
        <v>372</v>
      </c>
      <c r="E395" s="77">
        <f>((PUER!D311*PUER!D308))*(1+PUER!D$12)*(1+PUER!D$13)*(1+PUER!D$16)*(1+PUER!D$26)*(1+PUER!D$26)+0.02*(1+PUER!D$31)*(1+PUER!D$41)</f>
        <v>5586108.0264563644</v>
      </c>
      <c r="F395" s="92">
        <f>E395*((1+PUER!E$10))</f>
        <v>5811228.1799225556</v>
      </c>
      <c r="G395" s="92">
        <f>F395*(1+PUER!F$10)</f>
        <v>6029439.7980786478</v>
      </c>
      <c r="H395" s="1298"/>
    </row>
    <row r="396" spans="2:8" ht="15" customHeight="1" x14ac:dyDescent="0.25">
      <c r="B396" s="80" t="s">
        <v>1074</v>
      </c>
      <c r="C396" s="81">
        <v>1100</v>
      </c>
      <c r="D396" s="90" t="s">
        <v>1075</v>
      </c>
      <c r="E396" s="83">
        <f>E395*(PUER!D$17)</f>
        <v>3016498.3342864369</v>
      </c>
      <c r="F396" s="84">
        <f>E396*((1+PUER!E$10))</f>
        <v>3138063.2171581802</v>
      </c>
      <c r="G396" s="84">
        <f>F396*(1+PUER!F$10)</f>
        <v>3255897.49096247</v>
      </c>
      <c r="H396" s="1299" t="s">
        <v>1730</v>
      </c>
    </row>
    <row r="397" spans="2:8" ht="15" customHeight="1" x14ac:dyDescent="0.25">
      <c r="B397" s="80" t="s">
        <v>1076</v>
      </c>
      <c r="C397" s="81">
        <v>1101</v>
      </c>
      <c r="D397" s="90" t="s">
        <v>1077</v>
      </c>
      <c r="E397" s="83">
        <f>E395*(PUER!D$21)</f>
        <v>335166.48158738186</v>
      </c>
      <c r="F397" s="84">
        <f>E397*((1+PUER!E$10))</f>
        <v>348673.69079535332</v>
      </c>
      <c r="G397" s="84">
        <f>F397*(1+PUER!F$10)</f>
        <v>361766.38788471883</v>
      </c>
      <c r="H397" s="1299" t="s">
        <v>1771</v>
      </c>
    </row>
    <row r="398" spans="2:8" ht="15" customHeight="1" x14ac:dyDescent="0.25">
      <c r="B398" s="80" t="s">
        <v>1078</v>
      </c>
      <c r="C398" s="81">
        <v>1102</v>
      </c>
      <c r="D398" s="90" t="s">
        <v>1079</v>
      </c>
      <c r="E398" s="83">
        <f>E395*(PUER!D$24+PUER!D$25)</f>
        <v>1117221.605291273</v>
      </c>
      <c r="F398" s="84">
        <f>E398*((1+PUER!E$10))</f>
        <v>1162245.6359845113</v>
      </c>
      <c r="G398" s="84">
        <f>F398*(1+PUER!F$10)</f>
        <v>1205887.9596157297</v>
      </c>
      <c r="H398" s="1299" t="s">
        <v>1738</v>
      </c>
    </row>
    <row r="399" spans="2:8" ht="15" customHeight="1" x14ac:dyDescent="0.25">
      <c r="B399" s="80" t="s">
        <v>1080</v>
      </c>
      <c r="C399" s="81">
        <v>1103</v>
      </c>
      <c r="D399" s="90" t="s">
        <v>1081</v>
      </c>
      <c r="E399" s="83">
        <f>E395*(PUER!D$23)</f>
        <v>1117221.605291273</v>
      </c>
      <c r="F399" s="84">
        <f>E399*((1+PUER!E$10))</f>
        <v>1162245.6359845113</v>
      </c>
      <c r="G399" s="84">
        <f>F399*(1+PUER!F$10)</f>
        <v>1205887.9596157297</v>
      </c>
      <c r="H399" s="1299" t="s">
        <v>1770</v>
      </c>
    </row>
    <row r="400" spans="2:8" s="74" customFormat="1" ht="15" customHeight="1" x14ac:dyDescent="0.25">
      <c r="B400" s="73" t="s">
        <v>1082</v>
      </c>
      <c r="D400" s="75" t="s">
        <v>373</v>
      </c>
      <c r="E400" s="77">
        <f>((PUER!D312)*(1+PUER!D$12)*(1+PUER!D$313))*(1+PUER!D$31)*(1+PUER!D$42)-0.01</f>
        <v>580358.35123503162</v>
      </c>
      <c r="F400" s="92">
        <f>E400*((1+PUER!E$10))</f>
        <v>603746.79278980335</v>
      </c>
      <c r="G400" s="92">
        <f>F400*(1+PUER!F$10)</f>
        <v>626417.4848590605</v>
      </c>
      <c r="H400" s="1298"/>
    </row>
    <row r="401" spans="2:8" ht="15" customHeight="1" x14ac:dyDescent="0.25">
      <c r="B401" s="80" t="s">
        <v>1083</v>
      </c>
      <c r="C401" s="81">
        <v>1104</v>
      </c>
      <c r="D401" s="90" t="s">
        <v>1084</v>
      </c>
      <c r="E401" s="83">
        <f>E400*(PUER!D$17)</f>
        <v>313393.50966691709</v>
      </c>
      <c r="F401" s="84">
        <f>E401*((1+PUER!E$10))</f>
        <v>326023.26810649387</v>
      </c>
      <c r="G401" s="84">
        <f>F401*(1+PUER!F$10)</f>
        <v>338265.4418238927</v>
      </c>
      <c r="H401" s="1299" t="s">
        <v>1730</v>
      </c>
    </row>
    <row r="402" spans="2:8" ht="15" customHeight="1" x14ac:dyDescent="0.25">
      <c r="B402" s="80" t="s">
        <v>1085</v>
      </c>
      <c r="C402" s="81">
        <v>1105</v>
      </c>
      <c r="D402" s="90" t="s">
        <v>1086</v>
      </c>
      <c r="E402" s="83">
        <f>E400*(PUER!D$21)</f>
        <v>34821.501074101892</v>
      </c>
      <c r="F402" s="84">
        <f>E402*((1+PUER!E$10))</f>
        <v>36224.807567388198</v>
      </c>
      <c r="G402" s="84">
        <f>F402*(1+PUER!F$10)</f>
        <v>37585.049091543624</v>
      </c>
      <c r="H402" s="1299" t="s">
        <v>1771</v>
      </c>
    </row>
    <row r="403" spans="2:8" ht="15" customHeight="1" x14ac:dyDescent="0.25">
      <c r="B403" s="80" t="s">
        <v>1087</v>
      </c>
      <c r="C403" s="81">
        <v>1106</v>
      </c>
      <c r="D403" s="90" t="s">
        <v>1088</v>
      </c>
      <c r="E403" s="83">
        <f>E400*(PUER!D$24+PUER!D$25)</f>
        <v>116071.67024700633</v>
      </c>
      <c r="F403" s="84">
        <f>E403*((1+PUER!E$10))</f>
        <v>120749.35855796069</v>
      </c>
      <c r="G403" s="84">
        <f>F403*(1+PUER!F$10)</f>
        <v>125283.49697181211</v>
      </c>
      <c r="H403" s="1299" t="s">
        <v>1738</v>
      </c>
    </row>
    <row r="404" spans="2:8" ht="15" customHeight="1" x14ac:dyDescent="0.25">
      <c r="B404" s="80" t="s">
        <v>1089</v>
      </c>
      <c r="C404" s="81">
        <v>1107</v>
      </c>
      <c r="D404" s="90" t="s">
        <v>1090</v>
      </c>
      <c r="E404" s="83">
        <f>E400*(PUER!D$23)</f>
        <v>116071.67024700633</v>
      </c>
      <c r="F404" s="84">
        <f>E404*((1+PUER!E$10))</f>
        <v>120749.35855796069</v>
      </c>
      <c r="G404" s="84">
        <f>F404*(1+PUER!F$10)</f>
        <v>125283.49697181211</v>
      </c>
      <c r="H404" s="1299" t="s">
        <v>1770</v>
      </c>
    </row>
    <row r="405" spans="2:8" s="74" customFormat="1" ht="15" customHeight="1" x14ac:dyDescent="0.25">
      <c r="B405" s="73" t="s">
        <v>1091</v>
      </c>
      <c r="D405" s="75" t="s">
        <v>374</v>
      </c>
      <c r="E405" s="77">
        <f>((PUER!D314*PUER!D308)*(1+PUER!D$12)*(1+PUER!D$13)*(1+PUER!D$16)*(1+PUER!D$26))*(1+PUER!D$26)-0.01*(1+PUER!D$31)*(1+PUER!D$43)</f>
        <v>83.222082755894462</v>
      </c>
      <c r="F405" s="92">
        <f>E405*((1+PUER!E$10))</f>
        <v>86.575932690957004</v>
      </c>
      <c r="G405" s="92">
        <f>F405*(1+PUER!F$10)</f>
        <v>89.826858963502431</v>
      </c>
      <c r="H405" s="1298"/>
    </row>
    <row r="406" spans="2:8" ht="15" customHeight="1" x14ac:dyDescent="0.25">
      <c r="B406" s="80" t="s">
        <v>1092</v>
      </c>
      <c r="C406" s="81">
        <v>1108</v>
      </c>
      <c r="D406" s="90" t="s">
        <v>1093</v>
      </c>
      <c r="E406" s="83">
        <f>E405*(PUER!D$17)+0.01</f>
        <v>44.94992468818301</v>
      </c>
      <c r="F406" s="84">
        <f>E406*((1+PUER!E$10))</f>
        <v>46.761406653116786</v>
      </c>
      <c r="G406" s="84">
        <f>F406*(1+PUER!F$10)</f>
        <v>48.517297472941323</v>
      </c>
      <c r="H406" s="1299" t="s">
        <v>1730</v>
      </c>
    </row>
    <row r="407" spans="2:8" ht="15" customHeight="1" x14ac:dyDescent="0.25">
      <c r="B407" s="80" t="s">
        <v>1094</v>
      </c>
      <c r="C407" s="81">
        <v>1109</v>
      </c>
      <c r="D407" s="90" t="s">
        <v>1095</v>
      </c>
      <c r="E407" s="83">
        <f>E405*(PUER!D$21)</f>
        <v>4.9933249653536675</v>
      </c>
      <c r="F407" s="84">
        <f>E407*((1+PUER!E$10))</f>
        <v>5.1945559614574206</v>
      </c>
      <c r="G407" s="84">
        <f>F407*(1+PUER!F$10)</f>
        <v>5.389611537810147</v>
      </c>
      <c r="H407" s="1299" t="s">
        <v>1771</v>
      </c>
    </row>
    <row r="408" spans="2:8" ht="15" customHeight="1" x14ac:dyDescent="0.25">
      <c r="B408" s="80" t="s">
        <v>1096</v>
      </c>
      <c r="C408" s="81">
        <v>1110</v>
      </c>
      <c r="D408" s="90" t="s">
        <v>1097</v>
      </c>
      <c r="E408" s="83">
        <f>E405*(PUER!D$24+PUER!D$25)</f>
        <v>16.644416551178892</v>
      </c>
      <c r="F408" s="84">
        <f>E408*((1+PUER!E$10))</f>
        <v>17.315186538191401</v>
      </c>
      <c r="G408" s="84">
        <f>F408*(1+PUER!F$10)</f>
        <v>17.965371792700488</v>
      </c>
      <c r="H408" s="1299" t="s">
        <v>1738</v>
      </c>
    </row>
    <row r="409" spans="2:8" ht="15" customHeight="1" x14ac:dyDescent="0.25">
      <c r="B409" s="80" t="s">
        <v>1098</v>
      </c>
      <c r="C409" s="81">
        <v>1111</v>
      </c>
      <c r="D409" s="90" t="s">
        <v>1099</v>
      </c>
      <c r="E409" s="83">
        <f>E405*(PUER!D$23)</f>
        <v>16.644416551178892</v>
      </c>
      <c r="F409" s="84">
        <f>E409*((1+PUER!E$10))</f>
        <v>17.315186538191401</v>
      </c>
      <c r="G409" s="84">
        <f>F409*(1+PUER!F$10)</f>
        <v>17.965371792700488</v>
      </c>
      <c r="H409" s="1299" t="s">
        <v>1770</v>
      </c>
    </row>
    <row r="410" spans="2:8" ht="15" customHeight="1" x14ac:dyDescent="0.25">
      <c r="B410" s="80" t="s">
        <v>1100</v>
      </c>
      <c r="C410" s="81">
        <v>1112</v>
      </c>
      <c r="D410" s="90" t="s">
        <v>1101</v>
      </c>
      <c r="E410" s="91">
        <f>PUER!D315*PUER!D316</f>
        <v>8229.9483679533332</v>
      </c>
      <c r="F410" s="84">
        <f>E410*((1+PUER!E$10))</f>
        <v>8561.6152871818522</v>
      </c>
      <c r="G410" s="84">
        <f>F410*(1+PUER!F$10)</f>
        <v>8883.1039412155296</v>
      </c>
      <c r="H410" s="1299" t="s">
        <v>1736</v>
      </c>
    </row>
    <row r="411" spans="2:8" s="74" customFormat="1" ht="15" customHeight="1" x14ac:dyDescent="0.25">
      <c r="B411" s="73" t="s">
        <v>1102</v>
      </c>
      <c r="D411" s="75" t="s">
        <v>1103</v>
      </c>
      <c r="E411" s="77">
        <f>SUM(E412:E413)</f>
        <v>2</v>
      </c>
      <c r="F411" s="77">
        <f t="shared" ref="F411:G411" si="31">SUM(F412:F413)</f>
        <v>2.0806</v>
      </c>
      <c r="G411" s="77">
        <f t="shared" si="31"/>
        <v>2.15872653</v>
      </c>
      <c r="H411" s="1298"/>
    </row>
    <row r="412" spans="2:8" ht="15" customHeight="1" x14ac:dyDescent="0.25">
      <c r="B412" s="80" t="s">
        <v>1104</v>
      </c>
      <c r="C412" s="81">
        <v>1114</v>
      </c>
      <c r="D412" s="90" t="s">
        <v>375</v>
      </c>
      <c r="E412" s="91">
        <f>PUER!D317</f>
        <v>1</v>
      </c>
      <c r="F412" s="84">
        <f>E412*((1+PUER!E$10))</f>
        <v>1.0403</v>
      </c>
      <c r="G412" s="84">
        <f>F412*(1+PUER!F$10)</f>
        <v>1.079363265</v>
      </c>
      <c r="H412" s="1299" t="s">
        <v>1751</v>
      </c>
    </row>
    <row r="413" spans="2:8" ht="15" customHeight="1" x14ac:dyDescent="0.25">
      <c r="B413" s="80" t="s">
        <v>1104</v>
      </c>
      <c r="C413" s="81">
        <v>1113</v>
      </c>
      <c r="D413" s="90" t="s">
        <v>376</v>
      </c>
      <c r="E413" s="91">
        <f>PUER!D318</f>
        <v>1</v>
      </c>
      <c r="F413" s="84">
        <f>E413*((1+PUER!E$10))</f>
        <v>1.0403</v>
      </c>
      <c r="G413" s="84">
        <f>F413*(1+PUER!F$10)</f>
        <v>1.079363265</v>
      </c>
      <c r="H413" s="1299" t="s">
        <v>1752</v>
      </c>
    </row>
    <row r="414" spans="2:8" s="74" customFormat="1" ht="15" customHeight="1" x14ac:dyDescent="0.25">
      <c r="B414" s="73" t="s">
        <v>1105</v>
      </c>
      <c r="D414" s="75" t="s">
        <v>1106</v>
      </c>
      <c r="E414" s="77">
        <f>E415</f>
        <v>598989.36222222226</v>
      </c>
      <c r="F414" s="77">
        <f t="shared" ref="F414:G414" si="32">F415</f>
        <v>623128.6335197778</v>
      </c>
      <c r="G414" s="77">
        <f t="shared" si="32"/>
        <v>646527.11370844545</v>
      </c>
      <c r="H414" s="1298"/>
    </row>
    <row r="415" spans="2:8" s="74" customFormat="1" ht="15" customHeight="1" x14ac:dyDescent="0.25">
      <c r="B415" s="73" t="s">
        <v>1107</v>
      </c>
      <c r="D415" s="75" t="s">
        <v>1108</v>
      </c>
      <c r="E415" s="77">
        <f>E416</f>
        <v>598989.36222222226</v>
      </c>
      <c r="F415" s="77">
        <f t="shared" ref="F415:G415" si="33">F416</f>
        <v>623128.6335197778</v>
      </c>
      <c r="G415" s="77">
        <f t="shared" si="33"/>
        <v>646527.11370844545</v>
      </c>
      <c r="H415" s="1298"/>
    </row>
    <row r="416" spans="2:8" ht="15" customHeight="1" x14ac:dyDescent="0.25">
      <c r="B416" s="80" t="s">
        <v>1109</v>
      </c>
      <c r="C416" s="81">
        <v>1150</v>
      </c>
      <c r="D416" s="90" t="s">
        <v>377</v>
      </c>
      <c r="E416" s="91">
        <f>PUER!D319</f>
        <v>598989.36222222226</v>
      </c>
      <c r="F416" s="84">
        <f>E416*((1+PUER!E$10))</f>
        <v>623128.6335197778</v>
      </c>
      <c r="G416" s="84">
        <f>F416*(1+PUER!F$10)</f>
        <v>646527.11370844545</v>
      </c>
      <c r="H416" s="1299" t="s">
        <v>1749</v>
      </c>
    </row>
    <row r="417" spans="2:8" s="74" customFormat="1" ht="15" customHeight="1" x14ac:dyDescent="0.25">
      <c r="B417" s="73" t="s">
        <v>1110</v>
      </c>
      <c r="D417" s="75" t="s">
        <v>1111</v>
      </c>
      <c r="E417" s="77">
        <f>E418</f>
        <v>35215.02303208322</v>
      </c>
      <c r="F417" s="77">
        <f t="shared" ref="F417:G417" si="34">F418</f>
        <v>36633.148160276171</v>
      </c>
      <c r="G417" s="77">
        <f t="shared" si="34"/>
        <v>38008.72287369454</v>
      </c>
      <c r="H417" s="1298"/>
    </row>
    <row r="418" spans="2:8" s="74" customFormat="1" ht="15" customHeight="1" x14ac:dyDescent="0.25">
      <c r="B418" s="73" t="s">
        <v>1112</v>
      </c>
      <c r="D418" s="75" t="s">
        <v>1113</v>
      </c>
      <c r="E418" s="77">
        <f>SUM(E419:E421)</f>
        <v>35215.02303208322</v>
      </c>
      <c r="F418" s="77">
        <f t="shared" ref="F418:G418" si="35">SUM(F419:F420)</f>
        <v>36633.148160276171</v>
      </c>
      <c r="G418" s="77">
        <f t="shared" si="35"/>
        <v>38008.72287369454</v>
      </c>
      <c r="H418" s="1299"/>
    </row>
    <row r="419" spans="2:8" ht="15" customHeight="1" x14ac:dyDescent="0.25">
      <c r="B419" s="80" t="s">
        <v>1114</v>
      </c>
      <c r="C419" s="81">
        <v>1200</v>
      </c>
      <c r="D419" s="90" t="s">
        <v>378</v>
      </c>
      <c r="E419" s="91">
        <f>PUER!D320*(1+PUER!D$31)</f>
        <v>64.391688508365732</v>
      </c>
      <c r="F419" s="84">
        <f>E419*((1+PUER!E$10))</f>
        <v>66.986673555252878</v>
      </c>
      <c r="G419" s="84">
        <f>F419*(1+PUER!F$10)</f>
        <v>69.502023147252615</v>
      </c>
      <c r="H419" s="1299" t="s">
        <v>1730</v>
      </c>
    </row>
    <row r="420" spans="2:8" ht="15" customHeight="1" x14ac:dyDescent="0.25">
      <c r="B420" s="80" t="s">
        <v>1115</v>
      </c>
      <c r="C420" s="81">
        <v>1201</v>
      </c>
      <c r="D420" s="90" t="s">
        <v>379</v>
      </c>
      <c r="E420" s="91">
        <f>PUER!D321*(1+PUER!D$31)</f>
        <v>35149.631343574853</v>
      </c>
      <c r="F420" s="84">
        <f>E420*((1+PUER!E$10))</f>
        <v>36566.161486720921</v>
      </c>
      <c r="G420" s="84">
        <f>F420*(1+PUER!F$10)</f>
        <v>37939.220850547288</v>
      </c>
      <c r="H420" s="1299" t="s">
        <v>1730</v>
      </c>
    </row>
    <row r="421" spans="2:8" ht="15" customHeight="1" x14ac:dyDescent="0.25">
      <c r="B421" s="80" t="s">
        <v>7302</v>
      </c>
      <c r="C421" s="81">
        <v>1202</v>
      </c>
      <c r="D421" s="90" t="s">
        <v>6828</v>
      </c>
      <c r="E421" s="91">
        <f>PUER!D322</f>
        <v>1</v>
      </c>
      <c r="F421" s="84">
        <f>E421*((1+PUER!E$10))</f>
        <v>1.0403</v>
      </c>
      <c r="G421" s="84">
        <f>F421*(1+PUER!F$10)</f>
        <v>1.079363265</v>
      </c>
      <c r="H421" s="1299" t="s">
        <v>1730</v>
      </c>
    </row>
    <row r="422" spans="2:8" s="74" customFormat="1" ht="15" customHeight="1" x14ac:dyDescent="0.25">
      <c r="B422" s="73" t="s">
        <v>1116</v>
      </c>
      <c r="D422" s="75" t="s">
        <v>1117</v>
      </c>
      <c r="E422" s="76">
        <f t="shared" ref="E422:G424" si="36">E423</f>
        <v>233188.95256651365</v>
      </c>
      <c r="F422" s="76">
        <f t="shared" si="36"/>
        <v>242586.48816094417</v>
      </c>
      <c r="G422" s="76">
        <f t="shared" si="36"/>
        <v>251695.61079138759</v>
      </c>
      <c r="H422" s="1298"/>
    </row>
    <row r="423" spans="2:8" s="74" customFormat="1" ht="15" customHeight="1" x14ac:dyDescent="0.25">
      <c r="B423" s="73" t="s">
        <v>1118</v>
      </c>
      <c r="D423" s="75" t="s">
        <v>1119</v>
      </c>
      <c r="E423" s="77">
        <f t="shared" si="36"/>
        <v>233188.95256651365</v>
      </c>
      <c r="F423" s="77">
        <f t="shared" si="36"/>
        <v>242586.48816094417</v>
      </c>
      <c r="G423" s="77">
        <f t="shared" si="36"/>
        <v>251695.61079138759</v>
      </c>
      <c r="H423" s="1298"/>
    </row>
    <row r="424" spans="2:8" s="74" customFormat="1" ht="15" customHeight="1" x14ac:dyDescent="0.25">
      <c r="B424" s="73" t="s">
        <v>1120</v>
      </c>
      <c r="D424" s="75" t="s">
        <v>1121</v>
      </c>
      <c r="E424" s="77">
        <f t="shared" si="36"/>
        <v>233188.95256651365</v>
      </c>
      <c r="F424" s="77">
        <f t="shared" si="36"/>
        <v>242586.48816094417</v>
      </c>
      <c r="G424" s="77">
        <f t="shared" si="36"/>
        <v>251695.61079138759</v>
      </c>
      <c r="H424" s="1298"/>
    </row>
    <row r="425" spans="2:8" s="74" customFormat="1" ht="15" customHeight="1" x14ac:dyDescent="0.25">
      <c r="B425" s="73" t="s">
        <v>1122</v>
      </c>
      <c r="D425" s="75" t="s">
        <v>1123</v>
      </c>
      <c r="E425" s="77">
        <f>SUM(E426:E436)-0.02</f>
        <v>233188.95256651365</v>
      </c>
      <c r="F425" s="77">
        <f t="shared" ref="F425:G425" si="37">SUM(F426:F436)</f>
        <v>242586.48816094417</v>
      </c>
      <c r="G425" s="77">
        <f t="shared" si="37"/>
        <v>251695.61079138759</v>
      </c>
      <c r="H425" s="1298"/>
    </row>
    <row r="426" spans="2:8" ht="15" customHeight="1" x14ac:dyDescent="0.25">
      <c r="B426" s="80" t="s">
        <v>1124</v>
      </c>
      <c r="C426" s="81">
        <v>1250</v>
      </c>
      <c r="D426" s="90" t="s">
        <v>381</v>
      </c>
      <c r="E426" s="91">
        <f>PUER!D324*(1+PUER!D$31)</f>
        <v>1.0440484557497482</v>
      </c>
      <c r="F426" s="84">
        <f>E426*((1+PUER!E$10))</f>
        <v>1.0861236085164632</v>
      </c>
      <c r="G426" s="84">
        <f>F426*(1+PUER!F$10)</f>
        <v>1.1269075500162564</v>
      </c>
      <c r="H426" s="1299" t="s">
        <v>1753</v>
      </c>
    </row>
    <row r="427" spans="2:8" ht="15" customHeight="1" x14ac:dyDescent="0.25">
      <c r="B427" s="80" t="s">
        <v>1125</v>
      </c>
      <c r="C427" s="81">
        <v>1251</v>
      </c>
      <c r="D427" s="90" t="s">
        <v>382</v>
      </c>
      <c r="E427" s="91">
        <f>PUER!D325*(1+PUER!D$31)</f>
        <v>1.0440484557497482</v>
      </c>
      <c r="F427" s="84">
        <f>E427*((1+PUER!E$10))</f>
        <v>1.0861236085164632</v>
      </c>
      <c r="G427" s="84">
        <f>F427*(1+PUER!F$10)</f>
        <v>1.1269075500162564</v>
      </c>
      <c r="H427" s="1299" t="s">
        <v>1754</v>
      </c>
    </row>
    <row r="428" spans="2:8" ht="15" customHeight="1" x14ac:dyDescent="0.25">
      <c r="B428" s="80" t="s">
        <v>1126</v>
      </c>
      <c r="C428" s="81">
        <v>1252</v>
      </c>
      <c r="D428" s="90" t="s">
        <v>383</v>
      </c>
      <c r="E428" s="91">
        <f>PUER!D326*(1+PUER!D$31)</f>
        <v>1.0440484557497482</v>
      </c>
      <c r="F428" s="84">
        <f>E428*((1+PUER!E$10))</f>
        <v>1.0861236085164632</v>
      </c>
      <c r="G428" s="84">
        <f>F428*(1+PUER!F$10)</f>
        <v>1.1269075500162564</v>
      </c>
      <c r="H428" s="1299" t="s">
        <v>1757</v>
      </c>
    </row>
    <row r="429" spans="2:8" ht="15" customHeight="1" x14ac:dyDescent="0.25">
      <c r="B429" s="80" t="s">
        <v>1127</v>
      </c>
      <c r="C429" s="81">
        <v>1253</v>
      </c>
      <c r="D429" s="90" t="s">
        <v>384</v>
      </c>
      <c r="E429" s="91">
        <f>PUER!D327*(1+PUER!D$31)</f>
        <v>84567.924915729614</v>
      </c>
      <c r="F429" s="84">
        <f>E429*((1+PUER!E$10))</f>
        <v>87976.012289833525</v>
      </c>
      <c r="G429" s="84">
        <f>F429*(1+PUER!F$10)</f>
        <v>91279.511551316769</v>
      </c>
      <c r="H429" s="1299" t="s">
        <v>7322</v>
      </c>
    </row>
    <row r="430" spans="2:8" ht="15" customHeight="1" x14ac:dyDescent="0.25">
      <c r="B430" s="80" t="s">
        <v>1128</v>
      </c>
      <c r="C430" s="81">
        <v>1254</v>
      </c>
      <c r="D430" s="90" t="s">
        <v>385</v>
      </c>
      <c r="E430" s="91">
        <f>PUER!D328*(1+PUER!D$31)</f>
        <v>1.0440484557497482</v>
      </c>
      <c r="F430" s="84">
        <f>E430*((1+PUER!E$10))</f>
        <v>1.0861236085164632</v>
      </c>
      <c r="G430" s="84">
        <f>F430*(1+PUER!F$10)</f>
        <v>1.1269075500162564</v>
      </c>
      <c r="H430" s="1299" t="s">
        <v>1757</v>
      </c>
    </row>
    <row r="431" spans="2:8" ht="15" customHeight="1" x14ac:dyDescent="0.25">
      <c r="B431" s="80" t="s">
        <v>1129</v>
      </c>
      <c r="C431" s="81">
        <v>1255</v>
      </c>
      <c r="D431" s="90" t="s">
        <v>386</v>
      </c>
      <c r="E431" s="91">
        <f>PUER!D329*(1+PUER!D$31)</f>
        <v>84426.835687581101</v>
      </c>
      <c r="F431" s="84">
        <f>E431*((1+PUER!E$10))</f>
        <v>87829.237165790619</v>
      </c>
      <c r="G431" s="84">
        <f>F431*(1+PUER!F$10)</f>
        <v>91127.225021366059</v>
      </c>
      <c r="H431" s="1299" t="s">
        <v>1755</v>
      </c>
    </row>
    <row r="432" spans="2:8" ht="15" customHeight="1" x14ac:dyDescent="0.25">
      <c r="B432" s="80" t="s">
        <v>1130</v>
      </c>
      <c r="C432" s="81">
        <v>1256</v>
      </c>
      <c r="D432" s="90" t="s">
        <v>387</v>
      </c>
      <c r="E432" s="91">
        <f>PUER!D330*(1+PUER!D$31)</f>
        <v>11368.372182060513</v>
      </c>
      <c r="F432" s="84">
        <f>E432*((1+PUER!E$10))</f>
        <v>11826.517580997552</v>
      </c>
      <c r="G432" s="84">
        <f>F432*(1+PUER!F$10)</f>
        <v>12270.60331616401</v>
      </c>
      <c r="H432" s="1299" t="s">
        <v>7323</v>
      </c>
    </row>
    <row r="433" spans="2:8" ht="15" customHeight="1" x14ac:dyDescent="0.25">
      <c r="B433" s="80" t="s">
        <v>1131</v>
      </c>
      <c r="C433" s="81">
        <v>1257</v>
      </c>
      <c r="D433" s="90" t="s">
        <v>388</v>
      </c>
      <c r="E433" s="91">
        <f>PUER!D331*(1+PUER!D$31)</f>
        <v>41825.745251363071</v>
      </c>
      <c r="F433" s="84">
        <f>E433*((1+PUER!E$10))</f>
        <v>43511.322784993004</v>
      </c>
      <c r="G433" s="84">
        <f>F433*(1+PUER!F$10)</f>
        <v>45145.172955569491</v>
      </c>
      <c r="H433" s="1299" t="s">
        <v>1755</v>
      </c>
    </row>
    <row r="434" spans="2:8" ht="15" customHeight="1" x14ac:dyDescent="0.25">
      <c r="B434" s="80" t="s">
        <v>1132</v>
      </c>
      <c r="C434" s="81">
        <v>1258</v>
      </c>
      <c r="D434" s="90" t="s">
        <v>389</v>
      </c>
      <c r="E434" s="91">
        <f>PUER!D332*(1+PUER!D$31)</f>
        <v>10993.83023904485</v>
      </c>
      <c r="F434" s="84">
        <f>E434*((1+PUER!E$10))</f>
        <v>11436.881597678357</v>
      </c>
      <c r="G434" s="84">
        <f>F434*(1+PUER!F$10)</f>
        <v>11866.33650167118</v>
      </c>
      <c r="H434" s="1299" t="s">
        <v>1754</v>
      </c>
    </row>
    <row r="435" spans="2:8" ht="15" customHeight="1" x14ac:dyDescent="0.25">
      <c r="B435" s="80" t="s">
        <v>1133</v>
      </c>
      <c r="C435" s="81">
        <v>1259</v>
      </c>
      <c r="D435" s="90" t="s">
        <v>390</v>
      </c>
      <c r="E435" s="91">
        <f>PUER!D333*(1+PUER!D$31)</f>
        <v>1.0440484557497482</v>
      </c>
      <c r="F435" s="84">
        <f>E435*((1+PUER!E$10))</f>
        <v>1.0861236085164632</v>
      </c>
      <c r="G435" s="84">
        <f>F435*(1+PUER!F$10)</f>
        <v>1.1269075500162564</v>
      </c>
      <c r="H435" s="1299" t="s">
        <v>1735</v>
      </c>
    </row>
    <row r="436" spans="2:8" ht="15" customHeight="1" x14ac:dyDescent="0.25">
      <c r="B436" s="80" t="s">
        <v>1134</v>
      </c>
      <c r="C436" s="81">
        <v>1260</v>
      </c>
      <c r="D436" s="90" t="s">
        <v>391</v>
      </c>
      <c r="E436" s="91">
        <f>PUER!D334*(1+PUER!D$31)</f>
        <v>1.0440484557497482</v>
      </c>
      <c r="F436" s="84">
        <f>E436*((1+PUER!E$10))</f>
        <v>1.0861236085164632</v>
      </c>
      <c r="G436" s="84">
        <f>F436*(1+PUER!F$10)</f>
        <v>1.1269075500162564</v>
      </c>
      <c r="H436" s="1299" t="s">
        <v>1755</v>
      </c>
    </row>
    <row r="437" spans="2:8" s="74" customFormat="1" ht="15" customHeight="1" x14ac:dyDescent="0.25">
      <c r="B437" s="73" t="s">
        <v>1135</v>
      </c>
      <c r="D437" s="75" t="s">
        <v>1136</v>
      </c>
      <c r="E437" s="77">
        <f>E438</f>
        <v>4081535.3645532732</v>
      </c>
      <c r="F437" s="77">
        <f t="shared" ref="F437:G438" si="38">F438</f>
        <v>4246021.2397447703</v>
      </c>
      <c r="G437" s="77">
        <f t="shared" si="38"/>
        <v>4405459.3372971863</v>
      </c>
      <c r="H437" s="1298"/>
    </row>
    <row r="438" spans="2:8" s="74" customFormat="1" ht="15" customHeight="1" x14ac:dyDescent="0.25">
      <c r="B438" s="73" t="s">
        <v>1137</v>
      </c>
      <c r="D438" s="75" t="s">
        <v>1138</v>
      </c>
      <c r="E438" s="77">
        <f>E439</f>
        <v>4081535.3645532732</v>
      </c>
      <c r="F438" s="77">
        <f t="shared" si="38"/>
        <v>4246021.2397447703</v>
      </c>
      <c r="G438" s="77">
        <f t="shared" si="38"/>
        <v>4405459.3372971863</v>
      </c>
      <c r="H438" s="1298"/>
    </row>
    <row r="439" spans="2:8" s="74" customFormat="1" ht="15" customHeight="1" x14ac:dyDescent="0.25">
      <c r="B439" s="73" t="s">
        <v>1139</v>
      </c>
      <c r="D439" s="75" t="s">
        <v>1140</v>
      </c>
      <c r="E439" s="77">
        <f>E440</f>
        <v>4081535.3645532732</v>
      </c>
      <c r="F439" s="77">
        <f t="shared" ref="F439:G439" si="39">F440</f>
        <v>4246021.2397447703</v>
      </c>
      <c r="G439" s="77">
        <f t="shared" si="39"/>
        <v>4405459.3372971863</v>
      </c>
      <c r="H439" s="1298"/>
    </row>
    <row r="440" spans="2:8" ht="15" customHeight="1" x14ac:dyDescent="0.25">
      <c r="B440" s="80" t="s">
        <v>1141</v>
      </c>
      <c r="C440" s="81">
        <v>1300</v>
      </c>
      <c r="D440" s="90" t="s">
        <v>392</v>
      </c>
      <c r="E440" s="91">
        <f>PUER!D335*(1+PUER!D$31)*(1+PUER!D$46)</f>
        <v>4081535.3645532732</v>
      </c>
      <c r="F440" s="84">
        <f>E440*((1+PUER!E$10))</f>
        <v>4246021.2397447703</v>
      </c>
      <c r="G440" s="84">
        <f>F440*(1+PUER!F$10)</f>
        <v>4405459.3372971863</v>
      </c>
      <c r="H440" s="1299" t="s">
        <v>1770</v>
      </c>
    </row>
    <row r="441" spans="2:8" s="74" customFormat="1" ht="15" customHeight="1" x14ac:dyDescent="0.25">
      <c r="B441" s="73" t="s">
        <v>1142</v>
      </c>
      <c r="D441" s="75" t="s">
        <v>1143</v>
      </c>
      <c r="E441" s="76">
        <f>E442+E448+E477</f>
        <v>465254.9516666666</v>
      </c>
      <c r="F441" s="76">
        <f>F442+F448+F477</f>
        <v>473598.57410983328</v>
      </c>
      <c r="G441" s="76">
        <f>G442+G448+G477</f>
        <v>491382.20056765765</v>
      </c>
      <c r="H441" s="1298"/>
    </row>
    <row r="442" spans="2:8" s="74" customFormat="1" ht="15" customHeight="1" x14ac:dyDescent="0.25">
      <c r="B442" s="73" t="s">
        <v>1144</v>
      </c>
      <c r="D442" s="75" t="s">
        <v>1145</v>
      </c>
      <c r="E442" s="77">
        <f>E443+E445</f>
        <v>3</v>
      </c>
      <c r="F442" s="77">
        <f>F443+F445</f>
        <v>3.1208999999999998</v>
      </c>
      <c r="G442" s="77">
        <f>G443+G445</f>
        <v>3.238089795</v>
      </c>
      <c r="H442" s="1298"/>
    </row>
    <row r="443" spans="2:8" s="74" customFormat="1" ht="15" customHeight="1" x14ac:dyDescent="0.25">
      <c r="B443" s="73" t="s">
        <v>1146</v>
      </c>
      <c r="D443" s="75" t="s">
        <v>1147</v>
      </c>
      <c r="E443" s="77">
        <f>E444</f>
        <v>1</v>
      </c>
      <c r="F443" s="77">
        <f t="shared" ref="F443:G443" si="40">F444</f>
        <v>1.0403</v>
      </c>
      <c r="G443" s="77">
        <f t="shared" si="40"/>
        <v>1.079363265</v>
      </c>
      <c r="H443" s="1298"/>
    </row>
    <row r="444" spans="2:8" ht="15" customHeight="1" x14ac:dyDescent="0.25">
      <c r="B444" s="80" t="s">
        <v>1148</v>
      </c>
      <c r="C444" s="81">
        <v>1400</v>
      </c>
      <c r="D444" s="90" t="s">
        <v>393</v>
      </c>
      <c r="E444" s="91">
        <f>PUER!D336*(1+PUER!D$32)</f>
        <v>1</v>
      </c>
      <c r="F444" s="84">
        <f>E444*((1+PUER!E$10))</f>
        <v>1.0403</v>
      </c>
      <c r="G444" s="84">
        <f>F444*(1+PUER!F$10)</f>
        <v>1.079363265</v>
      </c>
      <c r="H444" s="1299" t="s">
        <v>1730</v>
      </c>
    </row>
    <row r="445" spans="2:8" s="74" customFormat="1" ht="15" customHeight="1" x14ac:dyDescent="0.25">
      <c r="B445" s="73" t="s">
        <v>1149</v>
      </c>
      <c r="D445" s="75" t="s">
        <v>1150</v>
      </c>
      <c r="E445" s="77">
        <f>SUM(E446:E447)</f>
        <v>2</v>
      </c>
      <c r="F445" s="77">
        <f t="shared" ref="F445:G445" si="41">SUM(F446:F447)</f>
        <v>2.0806</v>
      </c>
      <c r="G445" s="77">
        <f t="shared" si="41"/>
        <v>2.15872653</v>
      </c>
      <c r="H445" s="1298"/>
    </row>
    <row r="446" spans="2:8" ht="15" customHeight="1" x14ac:dyDescent="0.25">
      <c r="B446" s="80" t="s">
        <v>1151</v>
      </c>
      <c r="C446" s="81">
        <v>1420</v>
      </c>
      <c r="D446" s="90" t="s">
        <v>394</v>
      </c>
      <c r="E446" s="91">
        <f>PUER!D337*(1+PUER!D$32)</f>
        <v>1</v>
      </c>
      <c r="F446" s="84">
        <f>E446*((1+PUER!E$10))</f>
        <v>1.0403</v>
      </c>
      <c r="G446" s="84">
        <f>F446*(1+PUER!F$10)</f>
        <v>1.079363265</v>
      </c>
      <c r="H446" s="1299" t="s">
        <v>1730</v>
      </c>
    </row>
    <row r="447" spans="2:8" ht="15" customHeight="1" x14ac:dyDescent="0.25">
      <c r="B447" s="80" t="s">
        <v>1152</v>
      </c>
      <c r="C447" s="81">
        <v>1421</v>
      </c>
      <c r="D447" s="90" t="s">
        <v>395</v>
      </c>
      <c r="E447" s="91">
        <f>PUER!D338*(1+PUER!D$32)</f>
        <v>1</v>
      </c>
      <c r="F447" s="84">
        <f>E447*((1+PUER!E$10))</f>
        <v>1.0403</v>
      </c>
      <c r="G447" s="84">
        <f>F447*(1+PUER!F$10)</f>
        <v>1.079363265</v>
      </c>
      <c r="H447" s="1299" t="s">
        <v>1730</v>
      </c>
    </row>
    <row r="448" spans="2:8" s="74" customFormat="1" ht="15" customHeight="1" x14ac:dyDescent="0.25">
      <c r="B448" s="73" t="s">
        <v>1153</v>
      </c>
      <c r="D448" s="75" t="s">
        <v>1154</v>
      </c>
      <c r="E448" s="77">
        <f t="shared" ref="E448:G449" si="42">E449</f>
        <v>81234.429999999993</v>
      </c>
      <c r="F448" s="77">
        <f t="shared" si="42"/>
        <v>84507.126825999978</v>
      </c>
      <c r="G448" s="77">
        <f t="shared" si="42"/>
        <v>87680.369438316295</v>
      </c>
      <c r="H448" s="1298"/>
    </row>
    <row r="449" spans="2:8" s="74" customFormat="1" ht="15" customHeight="1" x14ac:dyDescent="0.25">
      <c r="B449" s="73" t="s">
        <v>1155</v>
      </c>
      <c r="D449" s="75" t="s">
        <v>118</v>
      </c>
      <c r="E449" s="77">
        <f t="shared" si="42"/>
        <v>81234.429999999993</v>
      </c>
      <c r="F449" s="77">
        <f t="shared" si="42"/>
        <v>84507.126825999978</v>
      </c>
      <c r="G449" s="77">
        <f t="shared" si="42"/>
        <v>87680.369438316295</v>
      </c>
      <c r="H449" s="1298"/>
    </row>
    <row r="450" spans="2:8" s="74" customFormat="1" ht="15" customHeight="1" x14ac:dyDescent="0.25">
      <c r="B450" s="73" t="s">
        <v>1156</v>
      </c>
      <c r="D450" s="75" t="s">
        <v>1157</v>
      </c>
      <c r="E450" s="77">
        <f>E451+E458+E464+E470</f>
        <v>81234.429999999993</v>
      </c>
      <c r="F450" s="77">
        <f t="shared" ref="F450:G450" si="43">F451+F458+F464+F470</f>
        <v>84507.126825999978</v>
      </c>
      <c r="G450" s="77">
        <f t="shared" si="43"/>
        <v>87680.369438316295</v>
      </c>
      <c r="H450" s="1298"/>
    </row>
    <row r="451" spans="2:8" s="74" customFormat="1" ht="15" customHeight="1" x14ac:dyDescent="0.25">
      <c r="B451" s="73" t="s">
        <v>1158</v>
      </c>
      <c r="D451" s="75" t="s">
        <v>1159</v>
      </c>
      <c r="E451" s="77">
        <f>SUM(E452:E457)+0.01</f>
        <v>77388.191666666666</v>
      </c>
      <c r="F451" s="77">
        <f t="shared" ref="F451:G451" si="44">SUM(F452:F457)</f>
        <v>80506.925387833311</v>
      </c>
      <c r="G451" s="77">
        <f t="shared" si="44"/>
        <v>83529.960436146488</v>
      </c>
      <c r="H451" s="1298"/>
    </row>
    <row r="452" spans="2:8" ht="15" customHeight="1" x14ac:dyDescent="0.25">
      <c r="B452" s="80" t="s">
        <v>1160</v>
      </c>
      <c r="C452" s="81">
        <v>1460</v>
      </c>
      <c r="D452" s="82" t="s">
        <v>396</v>
      </c>
      <c r="E452" s="91">
        <f>PUER!D339*(1+PUER!D$32)</f>
        <v>1</v>
      </c>
      <c r="F452" s="84">
        <f>E452*((1+PUER!E$10))</f>
        <v>1.0403</v>
      </c>
      <c r="G452" s="84">
        <f>F452*(1+PUER!F$10)</f>
        <v>1.079363265</v>
      </c>
      <c r="H452" s="1299" t="s">
        <v>1730</v>
      </c>
    </row>
    <row r="453" spans="2:8" ht="15" customHeight="1" x14ac:dyDescent="0.25">
      <c r="B453" s="80" t="s">
        <v>1161</v>
      </c>
      <c r="C453" s="81">
        <v>1461</v>
      </c>
      <c r="D453" s="82" t="s">
        <v>397</v>
      </c>
      <c r="E453" s="91">
        <f>PUER!D340*(1+PUER!D$32)</f>
        <v>70766.166666666672</v>
      </c>
      <c r="F453" s="84">
        <f>E453*((1+PUER!E$10))</f>
        <v>73618.043183333342</v>
      </c>
      <c r="G453" s="84">
        <f>F453*(1+PUER!F$10)</f>
        <v>76382.400704867512</v>
      </c>
      <c r="H453" s="1299" t="s">
        <v>1730</v>
      </c>
    </row>
    <row r="454" spans="2:8" ht="15" customHeight="1" x14ac:dyDescent="0.25">
      <c r="B454" s="80" t="s">
        <v>1162</v>
      </c>
      <c r="C454" s="81">
        <v>1462</v>
      </c>
      <c r="D454" s="82" t="s">
        <v>398</v>
      </c>
      <c r="E454" s="91">
        <f>PUER!D341*(1+PUER!D$32)</f>
        <v>1</v>
      </c>
      <c r="F454" s="84">
        <f>E454*((1+PUER!E$10))</f>
        <v>1.0403</v>
      </c>
      <c r="G454" s="84">
        <f>F454*(1+PUER!F$10)</f>
        <v>1.079363265</v>
      </c>
      <c r="H454" s="1299" t="s">
        <v>1730</v>
      </c>
    </row>
    <row r="455" spans="2:8" ht="15" customHeight="1" x14ac:dyDescent="0.25">
      <c r="B455" s="80" t="s">
        <v>1163</v>
      </c>
      <c r="C455" s="81">
        <v>1463</v>
      </c>
      <c r="D455" s="82" t="s">
        <v>399</v>
      </c>
      <c r="E455" s="91">
        <f>PUER!D342*(1+PUER!D$32)</f>
        <v>1</v>
      </c>
      <c r="F455" s="84">
        <f>E455*((1+PUER!E$10))</f>
        <v>1.0403</v>
      </c>
      <c r="G455" s="84">
        <f>F455*(1+PUER!F$10)</f>
        <v>1.079363265</v>
      </c>
      <c r="H455" s="1299" t="s">
        <v>1730</v>
      </c>
    </row>
    <row r="456" spans="2:8" ht="15" customHeight="1" x14ac:dyDescent="0.25">
      <c r="B456" s="80" t="s">
        <v>1164</v>
      </c>
      <c r="C456" s="81">
        <v>1464</v>
      </c>
      <c r="D456" s="88" t="s">
        <v>400</v>
      </c>
      <c r="E456" s="91">
        <f>PUER!D343*(1+PUER!D$32)</f>
        <v>6618.0149999999994</v>
      </c>
      <c r="F456" s="84">
        <f>E456*((1+PUER!E$10))</f>
        <v>6884.7210044999993</v>
      </c>
      <c r="G456" s="84">
        <f>F456*(1+PUER!F$10)</f>
        <v>7143.2422782189742</v>
      </c>
      <c r="H456" s="1299" t="s">
        <v>1730</v>
      </c>
    </row>
    <row r="457" spans="2:8" ht="15" customHeight="1" x14ac:dyDescent="0.25">
      <c r="B457" s="80" t="s">
        <v>1165</v>
      </c>
      <c r="C457" s="81">
        <v>1465</v>
      </c>
      <c r="D457" s="90" t="s">
        <v>401</v>
      </c>
      <c r="E457" s="91">
        <f>PUER!D344*(1+PUER!D$32)</f>
        <v>1</v>
      </c>
      <c r="F457" s="84">
        <f>E457*((1+PUER!E$10))</f>
        <v>1.0403</v>
      </c>
      <c r="G457" s="84">
        <f>F457*(1+PUER!F$10)</f>
        <v>1.079363265</v>
      </c>
      <c r="H457" s="1299" t="s">
        <v>1730</v>
      </c>
    </row>
    <row r="458" spans="2:8" s="74" customFormat="1" ht="15" customHeight="1" x14ac:dyDescent="0.25">
      <c r="B458" s="73" t="s">
        <v>1166</v>
      </c>
      <c r="D458" s="75" t="s">
        <v>1167</v>
      </c>
      <c r="E458" s="77">
        <f>SUM(E459:E463)</f>
        <v>2001.8083333333332</v>
      </c>
      <c r="F458" s="77">
        <f t="shared" ref="F458:G458" si="45">SUM(F459:F463)</f>
        <v>2082.4812091666668</v>
      </c>
      <c r="G458" s="77">
        <f t="shared" si="45"/>
        <v>2160.6783785708753</v>
      </c>
      <c r="H458" s="1298"/>
    </row>
    <row r="459" spans="2:8" ht="15" customHeight="1" x14ac:dyDescent="0.25">
      <c r="B459" s="80" t="s">
        <v>1168</v>
      </c>
      <c r="C459" s="81">
        <v>1480</v>
      </c>
      <c r="D459" s="90" t="s">
        <v>1169</v>
      </c>
      <c r="E459" s="91">
        <f>PUER!D344*(1+PUER!D$32)</f>
        <v>1</v>
      </c>
      <c r="F459" s="84">
        <f>E459*((1+PUER!E$10))</f>
        <v>1.0403</v>
      </c>
      <c r="G459" s="84">
        <f>F459*(1+PUER!F$10)</f>
        <v>1.079363265</v>
      </c>
      <c r="H459" s="1299" t="s">
        <v>1730</v>
      </c>
    </row>
    <row r="460" spans="2:8" ht="15" customHeight="1" x14ac:dyDescent="0.25">
      <c r="B460" s="80" t="s">
        <v>1170</v>
      </c>
      <c r="C460" s="81">
        <v>1481</v>
      </c>
      <c r="D460" s="90" t="s">
        <v>1171</v>
      </c>
      <c r="E460" s="91">
        <f>PUER!D345*(1+PUER!D$32)</f>
        <v>1997.8083333333332</v>
      </c>
      <c r="F460" s="84">
        <f>E460*((1+PUER!E$10))</f>
        <v>2078.3200091666663</v>
      </c>
      <c r="G460" s="84">
        <f>F460*(1+PUER!F$10)</f>
        <v>2156.3609255108745</v>
      </c>
      <c r="H460" s="1299" t="s">
        <v>1730</v>
      </c>
    </row>
    <row r="461" spans="2:8" ht="15" customHeight="1" x14ac:dyDescent="0.25">
      <c r="B461" s="80" t="s">
        <v>1172</v>
      </c>
      <c r="C461" s="81">
        <v>1482</v>
      </c>
      <c r="D461" s="90" t="s">
        <v>1173</v>
      </c>
      <c r="E461" s="91">
        <f>PUER!D346*(1+PUER!D$32)</f>
        <v>1</v>
      </c>
      <c r="F461" s="84">
        <f>E461*((1+PUER!E$10))</f>
        <v>1.0403</v>
      </c>
      <c r="G461" s="84">
        <f>F461*(1+PUER!F$10)</f>
        <v>1.079363265</v>
      </c>
      <c r="H461" s="1299" t="s">
        <v>1730</v>
      </c>
    </row>
    <row r="462" spans="2:8" ht="15" customHeight="1" x14ac:dyDescent="0.25">
      <c r="B462" s="80" t="s">
        <v>1174</v>
      </c>
      <c r="C462" s="81">
        <v>1483</v>
      </c>
      <c r="D462" s="89" t="s">
        <v>1175</v>
      </c>
      <c r="E462" s="91">
        <f>PUER!D347*(1+PUER!D$32)</f>
        <v>1</v>
      </c>
      <c r="F462" s="84">
        <f>E462*((1+PUER!E$10))</f>
        <v>1.0403</v>
      </c>
      <c r="G462" s="84">
        <f>F462*(1+PUER!F$10)</f>
        <v>1.079363265</v>
      </c>
      <c r="H462" s="1299" t="s">
        <v>1730</v>
      </c>
    </row>
    <row r="463" spans="2:8" ht="15" customHeight="1" x14ac:dyDescent="0.25">
      <c r="B463" s="80" t="s">
        <v>1176</v>
      </c>
      <c r="C463" s="81">
        <v>1484</v>
      </c>
      <c r="D463" s="95" t="s">
        <v>1177</v>
      </c>
      <c r="E463" s="91">
        <f>PUER!D348*(1+PUER!D$32)</f>
        <v>1</v>
      </c>
      <c r="F463" s="84">
        <f>E463*((1+PUER!E$10))</f>
        <v>1.0403</v>
      </c>
      <c r="G463" s="84">
        <f>F463*(1+PUER!F$10)</f>
        <v>1.079363265</v>
      </c>
      <c r="H463" s="1299" t="s">
        <v>1730</v>
      </c>
    </row>
    <row r="464" spans="2:8" s="74" customFormat="1" ht="15" customHeight="1" x14ac:dyDescent="0.25">
      <c r="B464" s="73" t="s">
        <v>1178</v>
      </c>
      <c r="D464" s="74" t="s">
        <v>1179</v>
      </c>
      <c r="E464" s="77">
        <f>SUM(E465:E469)</f>
        <v>1169.3999999999999</v>
      </c>
      <c r="F464" s="77">
        <f t="shared" ref="F464:G464" si="46">SUM(F465:F469)</f>
        <v>1216.5268199999996</v>
      </c>
      <c r="G464" s="77">
        <f t="shared" si="46"/>
        <v>1262.2074020909999</v>
      </c>
      <c r="H464" s="1298"/>
    </row>
    <row r="465" spans="2:8" ht="15" customHeight="1" x14ac:dyDescent="0.25">
      <c r="B465" s="80" t="s">
        <v>1180</v>
      </c>
      <c r="C465" s="81">
        <v>1500</v>
      </c>
      <c r="D465" s="82" t="s">
        <v>1181</v>
      </c>
      <c r="E465" s="83">
        <f>PUER!D349*(1+PUER!D$32)</f>
        <v>1</v>
      </c>
      <c r="F465" s="84">
        <f>E465*((1+PUER!E$10))</f>
        <v>1.0403</v>
      </c>
      <c r="G465" s="84">
        <f>F465*(1+PUER!F$10)</f>
        <v>1.079363265</v>
      </c>
      <c r="H465" s="1299" t="s">
        <v>1730</v>
      </c>
    </row>
    <row r="466" spans="2:8" ht="15" customHeight="1" x14ac:dyDescent="0.25">
      <c r="B466" s="80" t="s">
        <v>1182</v>
      </c>
      <c r="C466" s="81">
        <v>1501</v>
      </c>
      <c r="D466" s="82" t="s">
        <v>1183</v>
      </c>
      <c r="E466" s="83">
        <f>PUER!D350*(1+PUER!D$32)</f>
        <v>1144.0666666666666</v>
      </c>
      <c r="F466" s="84">
        <f>E466*((1+PUER!E$10))</f>
        <v>1190.1725533333333</v>
      </c>
      <c r="G466" s="84">
        <f>F466*(1+PUER!F$10)</f>
        <v>1234.8635327110001</v>
      </c>
      <c r="H466" s="1299" t="s">
        <v>1730</v>
      </c>
    </row>
    <row r="467" spans="2:8" ht="15" customHeight="1" x14ac:dyDescent="0.25">
      <c r="B467" s="80" t="s">
        <v>1184</v>
      </c>
      <c r="C467" s="81">
        <v>1502</v>
      </c>
      <c r="D467" s="82" t="s">
        <v>1185</v>
      </c>
      <c r="E467" s="83">
        <f>PUER!D351*(1+PUER!D$32)</f>
        <v>22.333333333333332</v>
      </c>
      <c r="F467" s="84">
        <f>E467*((1+PUER!E$10))</f>
        <v>23.233366666666665</v>
      </c>
      <c r="G467" s="84">
        <f>F467*(1+PUER!F$10)</f>
        <v>24.105779584999997</v>
      </c>
      <c r="H467" s="1299" t="s">
        <v>1730</v>
      </c>
    </row>
    <row r="468" spans="2:8" ht="15" customHeight="1" x14ac:dyDescent="0.25">
      <c r="B468" s="80" t="s">
        <v>1186</v>
      </c>
      <c r="C468" s="81">
        <v>1503</v>
      </c>
      <c r="D468" s="82" t="s">
        <v>1187</v>
      </c>
      <c r="E468" s="83">
        <f>PUER!D352*(1+PUER!D$32)</f>
        <v>1</v>
      </c>
      <c r="F468" s="84">
        <f>E468*((1+PUER!E$10))</f>
        <v>1.0403</v>
      </c>
      <c r="G468" s="84">
        <f>F468*(1+PUER!F$10)</f>
        <v>1.079363265</v>
      </c>
      <c r="H468" s="1299" t="s">
        <v>1730</v>
      </c>
    </row>
    <row r="469" spans="2:8" ht="15" customHeight="1" x14ac:dyDescent="0.25">
      <c r="B469" s="80" t="s">
        <v>1188</v>
      </c>
      <c r="C469" s="81">
        <v>1504</v>
      </c>
      <c r="D469" s="89" t="s">
        <v>1189</v>
      </c>
      <c r="E469" s="83">
        <f>PUER!D353*(1+PUER!D$32)</f>
        <v>1</v>
      </c>
      <c r="F469" s="84">
        <f>E469*((1+PUER!E$10))</f>
        <v>1.0403</v>
      </c>
      <c r="G469" s="84">
        <f>F469*(1+PUER!F$10)</f>
        <v>1.079363265</v>
      </c>
      <c r="H469" s="1299" t="s">
        <v>1730</v>
      </c>
    </row>
    <row r="470" spans="2:8" s="74" customFormat="1" ht="15" customHeight="1" x14ac:dyDescent="0.25">
      <c r="B470" s="73" t="s">
        <v>1190</v>
      </c>
      <c r="D470" s="75" t="s">
        <v>1191</v>
      </c>
      <c r="E470" s="77">
        <f>SUM(E471:E476)</f>
        <v>675.03</v>
      </c>
      <c r="F470" s="77">
        <f t="shared" ref="F470:G470" si="47">SUM(F471:F475)</f>
        <v>701.19340899999997</v>
      </c>
      <c r="G470" s="77">
        <f t="shared" si="47"/>
        <v>727.52322150794987</v>
      </c>
      <c r="H470" s="1298"/>
    </row>
    <row r="471" spans="2:8" ht="15" customHeight="1" x14ac:dyDescent="0.25">
      <c r="B471" s="80" t="s">
        <v>1192</v>
      </c>
      <c r="C471" s="81">
        <v>1520</v>
      </c>
      <c r="D471" s="89" t="s">
        <v>1193</v>
      </c>
      <c r="E471" s="91">
        <f>PUER!D354*(1+PUER!D$32)</f>
        <v>1</v>
      </c>
      <c r="F471" s="84">
        <f>E471*((1+PUER!E$10))</f>
        <v>1.0403</v>
      </c>
      <c r="G471" s="84">
        <f>F471*(1+PUER!F$10)</f>
        <v>1.079363265</v>
      </c>
      <c r="H471" s="1299" t="s">
        <v>1730</v>
      </c>
    </row>
    <row r="472" spans="2:8" ht="15" customHeight="1" x14ac:dyDescent="0.25">
      <c r="B472" s="80" t="s">
        <v>1194</v>
      </c>
      <c r="C472" s="81">
        <v>1521</v>
      </c>
      <c r="D472" s="90" t="s">
        <v>1195</v>
      </c>
      <c r="E472" s="91">
        <f>PUER!D355*(1+PUER!D$32)</f>
        <v>670.03</v>
      </c>
      <c r="F472" s="84">
        <f>E472*((1+PUER!E$10))</f>
        <v>697.03220899999997</v>
      </c>
      <c r="G472" s="84">
        <f>F472*(1+PUER!F$10)</f>
        <v>723.20576844794994</v>
      </c>
      <c r="H472" s="1299" t="s">
        <v>1730</v>
      </c>
    </row>
    <row r="473" spans="2:8" ht="15" customHeight="1" x14ac:dyDescent="0.25">
      <c r="B473" s="80" t="s">
        <v>1196</v>
      </c>
      <c r="C473" s="81">
        <v>1522</v>
      </c>
      <c r="D473" s="89" t="s">
        <v>1197</v>
      </c>
      <c r="E473" s="91">
        <f>PUER!D356*(1+PUER!D$32)</f>
        <v>1</v>
      </c>
      <c r="F473" s="84">
        <f>E473*((1+PUER!E$10))</f>
        <v>1.0403</v>
      </c>
      <c r="G473" s="84">
        <f>F473*(1+PUER!F$10)</f>
        <v>1.079363265</v>
      </c>
      <c r="H473" s="1299" t="s">
        <v>1730</v>
      </c>
    </row>
    <row r="474" spans="2:8" ht="15" customHeight="1" x14ac:dyDescent="0.25">
      <c r="B474" s="80" t="s">
        <v>1198</v>
      </c>
      <c r="C474" s="81">
        <v>1523</v>
      </c>
      <c r="D474" s="89" t="s">
        <v>1199</v>
      </c>
      <c r="E474" s="91">
        <f>PUER!D357*(1+PUER!D$32)</f>
        <v>1</v>
      </c>
      <c r="F474" s="84">
        <f>E474*((1+PUER!E$10))</f>
        <v>1.0403</v>
      </c>
      <c r="G474" s="84">
        <f>F474*(1+PUER!F$10)</f>
        <v>1.079363265</v>
      </c>
      <c r="H474" s="1299" t="s">
        <v>1730</v>
      </c>
    </row>
    <row r="475" spans="2:8" ht="15" customHeight="1" x14ac:dyDescent="0.25">
      <c r="B475" s="80" t="s">
        <v>1200</v>
      </c>
      <c r="C475" s="81">
        <v>1524</v>
      </c>
      <c r="D475" s="90" t="s">
        <v>1201</v>
      </c>
      <c r="E475" s="91">
        <f>PUER!D358*(1+PUER!D$32)</f>
        <v>1</v>
      </c>
      <c r="F475" s="84">
        <f>E475*((1+PUER!E$10))</f>
        <v>1.0403</v>
      </c>
      <c r="G475" s="84">
        <f>F475*(1+PUER!F$10)</f>
        <v>1.079363265</v>
      </c>
      <c r="H475" s="1299" t="s">
        <v>1730</v>
      </c>
    </row>
    <row r="476" spans="2:8" ht="15" customHeight="1" x14ac:dyDescent="0.25">
      <c r="B476" s="80" t="s">
        <v>1200</v>
      </c>
      <c r="C476" s="81">
        <v>1525</v>
      </c>
      <c r="D476" s="90" t="s">
        <v>7096</v>
      </c>
      <c r="E476" s="91">
        <f>PUER!D359*(1+PUER!D$32)</f>
        <v>1</v>
      </c>
      <c r="F476" s="84">
        <f>E476*((1+PUER!E$10))</f>
        <v>1.0403</v>
      </c>
      <c r="G476" s="84">
        <f>F476*(1+PUER!F$10)</f>
        <v>1.079363265</v>
      </c>
      <c r="H476" s="1299" t="s">
        <v>1730</v>
      </c>
    </row>
    <row r="477" spans="2:8" s="74" customFormat="1" ht="15" customHeight="1" x14ac:dyDescent="0.25">
      <c r="B477" s="73" t="s">
        <v>1202</v>
      </c>
      <c r="D477" s="75" t="s">
        <v>1203</v>
      </c>
      <c r="E477" s="77">
        <f t="shared" ref="E477:G478" si="48">E478</f>
        <v>384017.52166666661</v>
      </c>
      <c r="F477" s="77">
        <f t="shared" si="48"/>
        <v>389088.32638383331</v>
      </c>
      <c r="G477" s="77">
        <f t="shared" si="48"/>
        <v>403698.59303954634</v>
      </c>
      <c r="H477" s="1298"/>
    </row>
    <row r="478" spans="2:8" s="74" customFormat="1" ht="15" customHeight="1" x14ac:dyDescent="0.25">
      <c r="B478" s="73" t="s">
        <v>1204</v>
      </c>
      <c r="D478" s="75" t="s">
        <v>1205</v>
      </c>
      <c r="E478" s="77">
        <f t="shared" si="48"/>
        <v>384017.52166666661</v>
      </c>
      <c r="F478" s="77">
        <f t="shared" si="48"/>
        <v>389088.32638383331</v>
      </c>
      <c r="G478" s="77">
        <f t="shared" si="48"/>
        <v>403698.59303954634</v>
      </c>
      <c r="H478" s="1298"/>
    </row>
    <row r="479" spans="2:8" s="74" customFormat="1" ht="15" customHeight="1" x14ac:dyDescent="0.25">
      <c r="B479" s="73" t="s">
        <v>1206</v>
      </c>
      <c r="D479" s="75" t="s">
        <v>1207</v>
      </c>
      <c r="E479" s="77">
        <f>E480+E500+E490+E491+E494+E495+E496+E497+E498+E499+E492+E493</f>
        <v>384017.52166666661</v>
      </c>
      <c r="F479" s="77">
        <f>F480+F500+F490+F491+F494+F495+F496+F497+F498+F499</f>
        <v>389088.32638383331</v>
      </c>
      <c r="G479" s="77">
        <f>G480+G500+G490+G491+G494+G495+G496+G497+G498+G499</f>
        <v>403698.59303954634</v>
      </c>
      <c r="H479" s="1298"/>
    </row>
    <row r="480" spans="2:8" s="74" customFormat="1" ht="15" customHeight="1" x14ac:dyDescent="0.25">
      <c r="B480" s="73" t="s">
        <v>1208</v>
      </c>
      <c r="D480" s="75" t="s">
        <v>1209</v>
      </c>
      <c r="E480" s="77">
        <f>SUM(E481:E489)+0.02</f>
        <v>131473.05333333332</v>
      </c>
      <c r="F480" s="77">
        <f>SUM(F481:F489)</f>
        <v>136771.39657666668</v>
      </c>
      <c r="G480" s="77">
        <f>SUM(G481:G489)</f>
        <v>141907.16251812052</v>
      </c>
      <c r="H480" s="1298"/>
    </row>
    <row r="481" spans="2:8" ht="15" customHeight="1" x14ac:dyDescent="0.25">
      <c r="B481" s="80" t="s">
        <v>1210</v>
      </c>
      <c r="C481" s="81">
        <v>1700</v>
      </c>
      <c r="D481" s="90" t="s">
        <v>417</v>
      </c>
      <c r="E481" s="91">
        <f>PUER!D360*(1+PUER!D$32)</f>
        <v>3266.6666666666665</v>
      </c>
      <c r="F481" s="84">
        <f>E481*((1+PUER!E$10))</f>
        <v>3398.313333333333</v>
      </c>
      <c r="G481" s="84">
        <f>F481*(1+PUER!F$10)</f>
        <v>3525.9199989999997</v>
      </c>
      <c r="H481" s="1299" t="s">
        <v>1730</v>
      </c>
    </row>
    <row r="482" spans="2:8" ht="15" customHeight="1" x14ac:dyDescent="0.25">
      <c r="B482" s="80" t="s">
        <v>1211</v>
      </c>
      <c r="C482" s="81">
        <v>1701</v>
      </c>
      <c r="D482" s="90" t="s">
        <v>418</v>
      </c>
      <c r="E482" s="91">
        <f>PUER!D361*(1+PUER!D$32)</f>
        <v>31690.166666666668</v>
      </c>
      <c r="F482" s="84">
        <f>E482*((1+PUER!E$10))</f>
        <v>32967.280383333338</v>
      </c>
      <c r="G482" s="84">
        <f>F482*(1+PUER!F$10)</f>
        <v>34205.201761727505</v>
      </c>
      <c r="H482" s="1299" t="s">
        <v>1730</v>
      </c>
    </row>
    <row r="483" spans="2:8" ht="15" customHeight="1" x14ac:dyDescent="0.25">
      <c r="B483" s="80" t="s">
        <v>1212</v>
      </c>
      <c r="C483" s="81">
        <v>1702</v>
      </c>
      <c r="D483" s="90" t="s">
        <v>419</v>
      </c>
      <c r="E483" s="91">
        <f>PUER!D362*(1+PUER!D$32)</f>
        <v>910</v>
      </c>
      <c r="F483" s="84">
        <f>E483*((1+PUER!E$10))</f>
        <v>946.673</v>
      </c>
      <c r="G483" s="84">
        <f>F483*(1+PUER!F$10)</f>
        <v>982.22057114999996</v>
      </c>
      <c r="H483" s="1299" t="s">
        <v>1730</v>
      </c>
    </row>
    <row r="484" spans="2:8" ht="15" customHeight="1" x14ac:dyDescent="0.25">
      <c r="B484" s="80" t="s">
        <v>1213</v>
      </c>
      <c r="C484" s="81">
        <v>1703</v>
      </c>
      <c r="D484" s="90" t="s">
        <v>420</v>
      </c>
      <c r="E484" s="91">
        <f>PUER!D363*(1+PUER!D$32)</f>
        <v>14551.666666666666</v>
      </c>
      <c r="F484" s="84">
        <f>E484*((1+PUER!E$10))</f>
        <v>15138.098833333333</v>
      </c>
      <c r="G484" s="84">
        <f>F484*(1+PUER!F$10)</f>
        <v>15706.534444524999</v>
      </c>
      <c r="H484" s="1299" t="s">
        <v>1730</v>
      </c>
    </row>
    <row r="485" spans="2:8" ht="15" customHeight="1" x14ac:dyDescent="0.25">
      <c r="B485" s="80" t="s">
        <v>1214</v>
      </c>
      <c r="C485" s="81">
        <v>1704</v>
      </c>
      <c r="D485" s="89" t="s">
        <v>421</v>
      </c>
      <c r="E485" s="91">
        <f>PUER!D364*(1+PUER!D$32)</f>
        <v>11666.666666666666</v>
      </c>
      <c r="F485" s="84">
        <f>E485*((1+PUER!E$10))</f>
        <v>12136.833333333332</v>
      </c>
      <c r="G485" s="84">
        <f>F485*(1+PUER!F$10)</f>
        <v>12592.571424999998</v>
      </c>
      <c r="H485" s="1299" t="s">
        <v>1730</v>
      </c>
    </row>
    <row r="486" spans="2:8" ht="15" customHeight="1" x14ac:dyDescent="0.25">
      <c r="B486" s="80" t="s">
        <v>1215</v>
      </c>
      <c r="C486" s="81">
        <v>1705</v>
      </c>
      <c r="D486" s="90" t="s">
        <v>422</v>
      </c>
      <c r="E486" s="91">
        <f>PUER!D365*(1+PUER!D$32)</f>
        <v>36630.700000000004</v>
      </c>
      <c r="F486" s="84">
        <f>E486*((1+PUER!E$10))</f>
        <v>38106.917210000007</v>
      </c>
      <c r="G486" s="84">
        <f>F486*(1+PUER!F$10)</f>
        <v>39537.831951235508</v>
      </c>
      <c r="H486" s="1299" t="s">
        <v>1730</v>
      </c>
    </row>
    <row r="487" spans="2:8" ht="15" customHeight="1" x14ac:dyDescent="0.25">
      <c r="B487" s="80" t="s">
        <v>1216</v>
      </c>
      <c r="C487" s="81">
        <v>1706</v>
      </c>
      <c r="D487" s="89" t="s">
        <v>423</v>
      </c>
      <c r="E487" s="91">
        <f>PUER!D366*(1+PUER!D$32)</f>
        <v>7570.5</v>
      </c>
      <c r="F487" s="84">
        <f>E487*((1+PUER!E$10))</f>
        <v>7875.5911500000002</v>
      </c>
      <c r="G487" s="84">
        <f>F487*(1+PUER!F$10)</f>
        <v>8171.3195976825</v>
      </c>
      <c r="H487" s="1299" t="s">
        <v>1730</v>
      </c>
    </row>
    <row r="488" spans="2:8" ht="15" customHeight="1" x14ac:dyDescent="0.25">
      <c r="B488" s="80" t="s">
        <v>1217</v>
      </c>
      <c r="C488" s="81">
        <v>1707</v>
      </c>
      <c r="D488" s="89" t="s">
        <v>424</v>
      </c>
      <c r="E488" s="91">
        <f>PUER!D367*(1+PUER!D$32)</f>
        <v>9100</v>
      </c>
      <c r="F488" s="84">
        <f>E488*((1+PUER!E$10))</f>
        <v>9466.73</v>
      </c>
      <c r="G488" s="84">
        <f>F488*(1+PUER!F$10)</f>
        <v>9822.2057114999989</v>
      </c>
      <c r="H488" s="1299" t="s">
        <v>1730</v>
      </c>
    </row>
    <row r="489" spans="2:8" ht="15" customHeight="1" x14ac:dyDescent="0.25">
      <c r="B489" s="80" t="s">
        <v>1218</v>
      </c>
      <c r="C489" s="81">
        <v>1708</v>
      </c>
      <c r="D489" s="90" t="s">
        <v>425</v>
      </c>
      <c r="E489" s="91">
        <f>PUER!D368*(1+PUER!D$32)</f>
        <v>16086.666666666666</v>
      </c>
      <c r="F489" s="84">
        <f>E489*((1+PUER!E$10))</f>
        <v>16734.959333333332</v>
      </c>
      <c r="G489" s="84">
        <f>F489*(1+PUER!F$10)</f>
        <v>17363.357056299999</v>
      </c>
      <c r="H489" s="1299" t="s">
        <v>1730</v>
      </c>
    </row>
    <row r="490" spans="2:8" ht="15" customHeight="1" x14ac:dyDescent="0.25">
      <c r="B490" s="80" t="s">
        <v>1219</v>
      </c>
      <c r="C490" s="81">
        <v>1750</v>
      </c>
      <c r="D490" s="90" t="s">
        <v>426</v>
      </c>
      <c r="E490" s="91">
        <f>PUER!D369*(1+PUER!D$32)</f>
        <v>10066.416666666666</v>
      </c>
      <c r="F490" s="84">
        <f>E490*((1+PUER!E$10))</f>
        <v>10472.093258333332</v>
      </c>
      <c r="G490" s="84">
        <f>F490*(1+PUER!F$10)</f>
        <v>10865.320360183749</v>
      </c>
      <c r="H490" s="1299" t="s">
        <v>1730</v>
      </c>
    </row>
    <row r="491" spans="2:8" ht="15" customHeight="1" x14ac:dyDescent="0.25">
      <c r="B491" s="80" t="s">
        <v>1220</v>
      </c>
      <c r="C491" s="81">
        <v>1760</v>
      </c>
      <c r="D491" s="90" t="s">
        <v>427</v>
      </c>
      <c r="E491" s="91">
        <f>PUER!D370*(1+PUER!D$32)</f>
        <v>13231.5</v>
      </c>
      <c r="F491" s="84">
        <f>E491*((1+PUER!E$10))</f>
        <v>13764.729450000001</v>
      </c>
      <c r="G491" s="84">
        <f>F491*(1+PUER!F$10)</f>
        <v>14281.5950408475</v>
      </c>
      <c r="H491" s="1299" t="s">
        <v>1730</v>
      </c>
    </row>
    <row r="492" spans="2:8" ht="15" customHeight="1" x14ac:dyDescent="0.25">
      <c r="B492" s="80" t="s">
        <v>1220</v>
      </c>
      <c r="C492" s="81">
        <v>1765</v>
      </c>
      <c r="D492" s="90" t="s">
        <v>7318</v>
      </c>
      <c r="E492" s="91">
        <f>PUER!D371*(1+PUER!D$32)</f>
        <v>1</v>
      </c>
      <c r="F492" s="84">
        <f>E492*((1+PUER!E$10))</f>
        <v>1.0403</v>
      </c>
      <c r="G492" s="84">
        <f>F492*(1+PUER!F$10)</f>
        <v>1.079363265</v>
      </c>
      <c r="H492" s="1299" t="s">
        <v>1730</v>
      </c>
    </row>
    <row r="493" spans="2:8" ht="15" customHeight="1" x14ac:dyDescent="0.25">
      <c r="B493" s="80" t="s">
        <v>1220</v>
      </c>
      <c r="C493" s="81">
        <v>1766</v>
      </c>
      <c r="D493" s="90" t="s">
        <v>7319</v>
      </c>
      <c r="E493" s="91">
        <f>PUER!D372*(1+PUER!D$32)</f>
        <v>1</v>
      </c>
      <c r="F493" s="84">
        <f>E493*((1+PUER!E$10))</f>
        <v>1.0403</v>
      </c>
      <c r="G493" s="84">
        <f>F493*(1+PUER!F$10)</f>
        <v>1.079363265</v>
      </c>
      <c r="H493" s="1299" t="s">
        <v>1730</v>
      </c>
    </row>
    <row r="494" spans="2:8" ht="15" customHeight="1" x14ac:dyDescent="0.25">
      <c r="B494" s="80" t="s">
        <v>1221</v>
      </c>
      <c r="C494" s="81">
        <v>1770</v>
      </c>
      <c r="D494" s="90" t="s">
        <v>428</v>
      </c>
      <c r="E494" s="91">
        <f>PUER!D373*(1+PUER!D$32)</f>
        <v>4944.8500000000004</v>
      </c>
      <c r="F494" s="84">
        <f>E494*((1+PUER!E$10))</f>
        <v>5144.1274550000007</v>
      </c>
      <c r="G494" s="84">
        <f>F494*(1+PUER!F$10)</f>
        <v>5337.2894409352502</v>
      </c>
      <c r="H494" s="1299" t="s">
        <v>1730</v>
      </c>
    </row>
    <row r="495" spans="2:8" ht="15" customHeight="1" x14ac:dyDescent="0.25">
      <c r="B495" s="80" t="s">
        <v>1222</v>
      </c>
      <c r="C495" s="81">
        <v>1761</v>
      </c>
      <c r="D495" s="90" t="s">
        <v>429</v>
      </c>
      <c r="E495" s="91">
        <f>PUER!D374*(1+PUER!D$32)</f>
        <v>1</v>
      </c>
      <c r="F495" s="84">
        <f>E495*((1+PUER!E$10))</f>
        <v>1.0403</v>
      </c>
      <c r="G495" s="84">
        <f>F495*(1+PUER!F$10)</f>
        <v>1.079363265</v>
      </c>
      <c r="H495" s="1299" t="s">
        <v>1730</v>
      </c>
    </row>
    <row r="496" spans="2:8" s="1329" customFormat="1" ht="15" customHeight="1" x14ac:dyDescent="0.25">
      <c r="B496" s="1323" t="s">
        <v>2443</v>
      </c>
      <c r="C496" s="1324">
        <v>1771</v>
      </c>
      <c r="D496" s="1325" t="s">
        <v>2444</v>
      </c>
      <c r="E496" s="1326">
        <f>PUER!D375-0.01*(1+PUER!D$32)</f>
        <v>8074.05</v>
      </c>
      <c r="F496" s="1327">
        <f>E496*((1+PUER!E$10))</f>
        <v>8399.4342149999993</v>
      </c>
      <c r="G496" s="1327">
        <f>F496*(1+PUER!F$10)</f>
        <v>8714.8329697732497</v>
      </c>
      <c r="H496" s="1328" t="s">
        <v>1730</v>
      </c>
    </row>
    <row r="497" spans="2:9" ht="15" customHeight="1" x14ac:dyDescent="0.25">
      <c r="B497" s="80" t="s">
        <v>7303</v>
      </c>
      <c r="C497" s="81">
        <v>1772</v>
      </c>
      <c r="D497" s="90" t="s">
        <v>6883</v>
      </c>
      <c r="E497" s="91">
        <f>PUER!D376*(1+PUER!D$32)</f>
        <v>1</v>
      </c>
      <c r="F497" s="84">
        <f>E497*((1+PUER!E$10))</f>
        <v>1.0403</v>
      </c>
      <c r="G497" s="84">
        <f>F497*(1+PUER!F$10)</f>
        <v>1.079363265</v>
      </c>
      <c r="H497" s="1299" t="s">
        <v>1730</v>
      </c>
    </row>
    <row r="498" spans="2:9" ht="15" customHeight="1" x14ac:dyDescent="0.25">
      <c r="B498" s="80" t="s">
        <v>7304</v>
      </c>
      <c r="C498" s="81">
        <v>1773</v>
      </c>
      <c r="D498" s="90" t="s">
        <v>6884</v>
      </c>
      <c r="E498" s="91">
        <f>PUER!D377*(1+PUER!D$32)</f>
        <v>1</v>
      </c>
      <c r="F498" s="84">
        <f>E498*((1+PUER!E$10))</f>
        <v>1.0403</v>
      </c>
      <c r="G498" s="84">
        <f>F498*(1+PUER!F$10)</f>
        <v>1.079363265</v>
      </c>
      <c r="H498" s="1299" t="s">
        <v>1730</v>
      </c>
    </row>
    <row r="499" spans="2:9" ht="15" customHeight="1" x14ac:dyDescent="0.25">
      <c r="B499" s="80" t="s">
        <v>7305</v>
      </c>
      <c r="C499" s="81">
        <v>1774</v>
      </c>
      <c r="D499" s="90" t="s">
        <v>6885</v>
      </c>
      <c r="E499" s="91">
        <f>PUER!D378*(1+PUER!D$32)</f>
        <v>1</v>
      </c>
      <c r="F499" s="84">
        <f>E499*((1+PUER!E$10))</f>
        <v>1.0403</v>
      </c>
      <c r="G499" s="84">
        <f>F499*(1+PUER!F$10)</f>
        <v>1.079363265</v>
      </c>
      <c r="H499" s="1299" t="s">
        <v>1730</v>
      </c>
    </row>
    <row r="500" spans="2:9" s="94" customFormat="1" ht="15" customHeight="1" x14ac:dyDescent="0.25">
      <c r="B500" s="73" t="s">
        <v>1223</v>
      </c>
      <c r="D500" s="75" t="s">
        <v>430</v>
      </c>
      <c r="E500" s="93">
        <f>E501+E503+E502</f>
        <v>216221.65166666664</v>
      </c>
      <c r="F500" s="93">
        <f>F501+F503</f>
        <v>214532.38422883331</v>
      </c>
      <c r="G500" s="93">
        <f>G501+G503</f>
        <v>222588.07525662598</v>
      </c>
      <c r="H500" s="1300"/>
    </row>
    <row r="501" spans="2:9" ht="15" customHeight="1" x14ac:dyDescent="0.25">
      <c r="B501" s="80" t="s">
        <v>1224</v>
      </c>
      <c r="C501" s="81">
        <v>1762</v>
      </c>
      <c r="D501" s="90" t="s">
        <v>431</v>
      </c>
      <c r="E501" s="91">
        <f>PUER!D379*(1+PUER!D$32)</f>
        <v>6957</v>
      </c>
      <c r="F501" s="84">
        <f>E501*((1+PUER!E$10))</f>
        <v>7237.3671000000004</v>
      </c>
      <c r="G501" s="84">
        <f>F501*(1+PUER!F$10)</f>
        <v>7509.1302346050006</v>
      </c>
      <c r="H501" s="1299" t="s">
        <v>1730</v>
      </c>
    </row>
    <row r="502" spans="2:9" ht="15" customHeight="1" x14ac:dyDescent="0.25">
      <c r="B502" s="80" t="s">
        <v>7320</v>
      </c>
      <c r="C502" s="81">
        <v>1764</v>
      </c>
      <c r="D502" s="90" t="s">
        <v>7097</v>
      </c>
      <c r="E502" s="91">
        <f>PUER!D380*(1+PUER!D$32)</f>
        <v>10000</v>
      </c>
      <c r="F502" s="84">
        <f>E502*((1+PUER!E$10))</f>
        <v>10403</v>
      </c>
      <c r="G502" s="84">
        <f>F502*(1+PUER!F$10)</f>
        <v>10793.63265</v>
      </c>
      <c r="H502" s="1299" t="s">
        <v>1730</v>
      </c>
    </row>
    <row r="503" spans="2:9" ht="15" customHeight="1" x14ac:dyDescent="0.25">
      <c r="B503" s="80" t="s">
        <v>7306</v>
      </c>
      <c r="C503" s="1324">
        <v>1763</v>
      </c>
      <c r="D503" s="1325" t="s">
        <v>6886</v>
      </c>
      <c r="E503" s="1326">
        <f>PUER!D381-PUER!D446*(1+PUER!D$32)</f>
        <v>199264.65166666664</v>
      </c>
      <c r="F503" s="1327">
        <f>E503*((1+PUER!E$10))</f>
        <v>207295.01712883331</v>
      </c>
      <c r="G503" s="1327">
        <f>F503*(1+PUER!F$10)</f>
        <v>215078.94502202098</v>
      </c>
      <c r="H503" s="1328" t="s">
        <v>1730</v>
      </c>
      <c r="I503" s="91"/>
    </row>
    <row r="504" spans="2:9" s="74" customFormat="1" ht="15" customHeight="1" x14ac:dyDescent="0.25">
      <c r="B504" s="73" t="s">
        <v>1225</v>
      </c>
      <c r="D504" s="75" t="s">
        <v>1226</v>
      </c>
      <c r="E504" s="76">
        <f>E505+E511+E522+E554</f>
        <v>4879677.07</v>
      </c>
      <c r="F504" s="76">
        <f>F505+F511+F522+F554</f>
        <v>2236095.8776449994</v>
      </c>
      <c r="G504" s="76">
        <f>G505+G511+G522+G554</f>
        <v>2320061.2778505697</v>
      </c>
      <c r="H504" s="1298"/>
    </row>
    <row r="505" spans="2:9" s="74" customFormat="1" ht="15" customHeight="1" x14ac:dyDescent="0.25">
      <c r="B505" s="73" t="s">
        <v>1227</v>
      </c>
      <c r="D505" s="75" t="s">
        <v>1228</v>
      </c>
      <c r="E505" s="76">
        <f t="shared" ref="E505:G507" si="49">E506</f>
        <v>2</v>
      </c>
      <c r="F505" s="76">
        <f t="shared" si="49"/>
        <v>2.0806</v>
      </c>
      <c r="G505" s="76">
        <f t="shared" si="49"/>
        <v>2.15872653</v>
      </c>
      <c r="H505" s="1298"/>
    </row>
    <row r="506" spans="2:9" s="74" customFormat="1" ht="15" customHeight="1" x14ac:dyDescent="0.25">
      <c r="B506" s="73" t="s">
        <v>1229</v>
      </c>
      <c r="D506" s="75" t="s">
        <v>1230</v>
      </c>
      <c r="E506" s="76">
        <f t="shared" si="49"/>
        <v>2</v>
      </c>
      <c r="F506" s="76">
        <f t="shared" si="49"/>
        <v>2.0806</v>
      </c>
      <c r="G506" s="76">
        <f t="shared" si="49"/>
        <v>2.15872653</v>
      </c>
      <c r="H506" s="1298"/>
    </row>
    <row r="507" spans="2:9" s="74" customFormat="1" ht="15" customHeight="1" x14ac:dyDescent="0.25">
      <c r="B507" s="73" t="s">
        <v>1231</v>
      </c>
      <c r="D507" s="75" t="s">
        <v>1232</v>
      </c>
      <c r="E507" s="77">
        <f t="shared" si="49"/>
        <v>2</v>
      </c>
      <c r="F507" s="77">
        <f t="shared" si="49"/>
        <v>2.0806</v>
      </c>
      <c r="G507" s="77">
        <f t="shared" si="49"/>
        <v>2.15872653</v>
      </c>
      <c r="H507" s="1298"/>
    </row>
    <row r="508" spans="2:9" s="74" customFormat="1" ht="15" customHeight="1" x14ac:dyDescent="0.25">
      <c r="B508" s="73" t="s">
        <v>1233</v>
      </c>
      <c r="D508" s="75" t="s">
        <v>1234</v>
      </c>
      <c r="E508" s="77">
        <f>SUM(E509:E510)</f>
        <v>2</v>
      </c>
      <c r="F508" s="77">
        <f t="shared" ref="F508:G508" si="50">SUM(F509:F510)</f>
        <v>2.0806</v>
      </c>
      <c r="G508" s="77">
        <f t="shared" si="50"/>
        <v>2.15872653</v>
      </c>
      <c r="H508" s="1298"/>
    </row>
    <row r="509" spans="2:9" ht="15" customHeight="1" x14ac:dyDescent="0.25">
      <c r="B509" s="80" t="s">
        <v>1235</v>
      </c>
      <c r="C509" s="81">
        <v>1900</v>
      </c>
      <c r="D509" s="90" t="s">
        <v>432</v>
      </c>
      <c r="E509" s="91">
        <f>PUER!D382</f>
        <v>1</v>
      </c>
      <c r="F509" s="84">
        <f>E509*((1+PUER!E$10))</f>
        <v>1.0403</v>
      </c>
      <c r="G509" s="84">
        <f>F509*(1+PUER!F$10)</f>
        <v>1.079363265</v>
      </c>
      <c r="H509" s="1299" t="s">
        <v>1730</v>
      </c>
    </row>
    <row r="510" spans="2:9" ht="15" customHeight="1" x14ac:dyDescent="0.25">
      <c r="B510" s="80" t="s">
        <v>1236</v>
      </c>
      <c r="C510" s="81">
        <v>1910</v>
      </c>
      <c r="D510" s="89" t="s">
        <v>433</v>
      </c>
      <c r="E510" s="91">
        <f>PUER!D383</f>
        <v>1</v>
      </c>
      <c r="F510" s="84">
        <f>E510*((1+PUER!E$10))</f>
        <v>1.0403</v>
      </c>
      <c r="G510" s="84">
        <f>F510*(1+PUER!F$10)</f>
        <v>1.079363265</v>
      </c>
      <c r="H510" s="1299" t="s">
        <v>1730</v>
      </c>
    </row>
    <row r="511" spans="2:9" s="74" customFormat="1" ht="15" customHeight="1" x14ac:dyDescent="0.25">
      <c r="B511" s="73" t="s">
        <v>1237</v>
      </c>
      <c r="D511" s="75" t="s">
        <v>1238</v>
      </c>
      <c r="E511" s="77">
        <f t="shared" ref="E511:G514" si="51">E512</f>
        <v>6</v>
      </c>
      <c r="F511" s="77">
        <f t="shared" si="51"/>
        <v>6.2418000000000005</v>
      </c>
      <c r="G511" s="77">
        <f t="shared" si="51"/>
        <v>6.4761795899999992</v>
      </c>
      <c r="H511" s="1298"/>
    </row>
    <row r="512" spans="2:9" s="74" customFormat="1" ht="15" customHeight="1" x14ac:dyDescent="0.25">
      <c r="B512" s="73" t="s">
        <v>1239</v>
      </c>
      <c r="D512" s="75" t="s">
        <v>1240</v>
      </c>
      <c r="E512" s="77">
        <f t="shared" si="51"/>
        <v>6</v>
      </c>
      <c r="F512" s="77">
        <f t="shared" si="51"/>
        <v>6.2418000000000005</v>
      </c>
      <c r="G512" s="77">
        <f t="shared" si="51"/>
        <v>6.4761795899999992</v>
      </c>
      <c r="H512" s="1298"/>
    </row>
    <row r="513" spans="2:8" s="74" customFormat="1" ht="15" customHeight="1" x14ac:dyDescent="0.25">
      <c r="B513" s="73" t="s">
        <v>1241</v>
      </c>
      <c r="D513" s="75" t="s">
        <v>1242</v>
      </c>
      <c r="E513" s="77">
        <f t="shared" si="51"/>
        <v>6</v>
      </c>
      <c r="F513" s="77">
        <f t="shared" si="51"/>
        <v>6.2418000000000005</v>
      </c>
      <c r="G513" s="77">
        <f t="shared" si="51"/>
        <v>6.4761795899999992</v>
      </c>
      <c r="H513" s="1298"/>
    </row>
    <row r="514" spans="2:8" s="74" customFormat="1" ht="15" customHeight="1" x14ac:dyDescent="0.25">
      <c r="B514" s="73" t="s">
        <v>1243</v>
      </c>
      <c r="D514" s="75" t="s">
        <v>1244</v>
      </c>
      <c r="E514" s="77">
        <f t="shared" si="51"/>
        <v>6</v>
      </c>
      <c r="F514" s="77">
        <f t="shared" si="51"/>
        <v>6.2418000000000005</v>
      </c>
      <c r="G514" s="77">
        <f t="shared" si="51"/>
        <v>6.4761795899999992</v>
      </c>
      <c r="H514" s="1298"/>
    </row>
    <row r="515" spans="2:8" s="74" customFormat="1" ht="15" customHeight="1" x14ac:dyDescent="0.25">
      <c r="B515" s="73" t="s">
        <v>1245</v>
      </c>
      <c r="D515" s="75" t="s">
        <v>1246</v>
      </c>
      <c r="E515" s="77">
        <f>SUM(,E517,E518,E519,E520,E521,E516)</f>
        <v>6</v>
      </c>
      <c r="F515" s="77">
        <f t="shared" ref="F515:G515" si="52">SUM(,F517,F518,F519,F520,F521,F516)</f>
        <v>6.2418000000000005</v>
      </c>
      <c r="G515" s="77">
        <f t="shared" si="52"/>
        <v>6.4761795899999992</v>
      </c>
      <c r="H515" s="1298"/>
    </row>
    <row r="516" spans="2:8" ht="15" customHeight="1" x14ac:dyDescent="0.25">
      <c r="B516" s="80" t="s">
        <v>1247</v>
      </c>
      <c r="C516" s="81">
        <v>1920</v>
      </c>
      <c r="D516" s="90" t="s">
        <v>3390</v>
      </c>
      <c r="E516" s="91">
        <f>PUER!D384</f>
        <v>1</v>
      </c>
      <c r="F516" s="84">
        <f>E516*((1+PUER!E$10))</f>
        <v>1.0403</v>
      </c>
      <c r="G516" s="84">
        <f>F516*(1+PUER!F$10)</f>
        <v>1.079363265</v>
      </c>
      <c r="H516" s="1299" t="s">
        <v>7926</v>
      </c>
    </row>
    <row r="517" spans="2:8" ht="15" customHeight="1" x14ac:dyDescent="0.25">
      <c r="B517" s="80" t="s">
        <v>1247</v>
      </c>
      <c r="C517" s="81">
        <v>1924</v>
      </c>
      <c r="D517" s="90" t="s">
        <v>3388</v>
      </c>
      <c r="E517" s="91">
        <f>PUER!D385</f>
        <v>1</v>
      </c>
      <c r="F517" s="84">
        <f>E517*((1+PUER!E$10))</f>
        <v>1.0403</v>
      </c>
      <c r="G517" s="84">
        <f>F517*(1+PUER!F$10)</f>
        <v>1.079363265</v>
      </c>
      <c r="H517" s="1299" t="s">
        <v>3369</v>
      </c>
    </row>
    <row r="518" spans="2:8" ht="15" customHeight="1" x14ac:dyDescent="0.25">
      <c r="B518" s="80" t="s">
        <v>1247</v>
      </c>
      <c r="C518" s="81">
        <v>1925</v>
      </c>
      <c r="D518" s="90" t="s">
        <v>3389</v>
      </c>
      <c r="E518" s="91">
        <f>PUER!D386</f>
        <v>1</v>
      </c>
      <c r="F518" s="84">
        <f>E518*((1+PUER!E$10))</f>
        <v>1.0403</v>
      </c>
      <c r="G518" s="84">
        <f>F518*(1+PUER!F$10)</f>
        <v>1.079363265</v>
      </c>
      <c r="H518" s="1299" t="s">
        <v>3385</v>
      </c>
    </row>
    <row r="519" spans="2:8" ht="15" customHeight="1" x14ac:dyDescent="0.25">
      <c r="B519" s="80" t="s">
        <v>1248</v>
      </c>
      <c r="C519" s="81">
        <v>1921</v>
      </c>
      <c r="D519" s="90" t="s">
        <v>435</v>
      </c>
      <c r="E519" s="91">
        <f>PUER!D387</f>
        <v>1</v>
      </c>
      <c r="F519" s="84">
        <f>E519*((1+PUER!E$10))</f>
        <v>1.0403</v>
      </c>
      <c r="G519" s="84">
        <f>F519*(1+PUER!F$10)</f>
        <v>1.079363265</v>
      </c>
      <c r="H519" s="1299" t="s">
        <v>1730</v>
      </c>
    </row>
    <row r="520" spans="2:8" ht="15" customHeight="1" x14ac:dyDescent="0.25">
      <c r="B520" s="80" t="s">
        <v>1249</v>
      </c>
      <c r="C520" s="81">
        <v>1922</v>
      </c>
      <c r="D520" s="90" t="s">
        <v>436</v>
      </c>
      <c r="E520" s="91">
        <f>PUER!D388</f>
        <v>1</v>
      </c>
      <c r="F520" s="84">
        <f>E520*((1+PUER!E$10))</f>
        <v>1.0403</v>
      </c>
      <c r="G520" s="84">
        <f>F520*(1+PUER!F$10)</f>
        <v>1.079363265</v>
      </c>
      <c r="H520" s="1299" t="s">
        <v>1730</v>
      </c>
    </row>
    <row r="521" spans="2:8" ht="15" customHeight="1" x14ac:dyDescent="0.25">
      <c r="B521" s="80" t="s">
        <v>1250</v>
      </c>
      <c r="C521" s="81">
        <v>1923</v>
      </c>
      <c r="D521" s="90" t="s">
        <v>437</v>
      </c>
      <c r="E521" s="91">
        <f>PUER!D389</f>
        <v>1</v>
      </c>
      <c r="F521" s="84">
        <f>E521*((1+PUER!E$10))</f>
        <v>1.0403</v>
      </c>
      <c r="G521" s="84">
        <f>F521*(1+PUER!F$10)</f>
        <v>1.079363265</v>
      </c>
      <c r="H521" s="1299" t="s">
        <v>1730</v>
      </c>
    </row>
    <row r="522" spans="2:8" s="74" customFormat="1" ht="15" customHeight="1" x14ac:dyDescent="0.25">
      <c r="B522" s="73" t="s">
        <v>1251</v>
      </c>
      <c r="D522" s="75" t="s">
        <v>1252</v>
      </c>
      <c r="E522" s="76">
        <f>E523+E537+E547</f>
        <v>4879637.07</v>
      </c>
      <c r="F522" s="76">
        <f>F523+F537+F547</f>
        <v>2236055.3059449997</v>
      </c>
      <c r="G522" s="76">
        <f>G523+G537+G547</f>
        <v>2320019.1826832346</v>
      </c>
      <c r="H522" s="1298"/>
    </row>
    <row r="523" spans="2:8" s="74" customFormat="1" ht="15" customHeight="1" x14ac:dyDescent="0.25">
      <c r="B523" s="73" t="s">
        <v>1253</v>
      </c>
      <c r="D523" s="75" t="s">
        <v>983</v>
      </c>
      <c r="E523" s="77">
        <f>E524</f>
        <v>4427521.07</v>
      </c>
      <c r="F523" s="77">
        <f>F524</f>
        <v>1765725.2729449999</v>
      </c>
      <c r="G523" s="77">
        <f>G524</f>
        <v>1832028.2569440848</v>
      </c>
      <c r="H523" s="1298"/>
    </row>
    <row r="524" spans="2:8" s="74" customFormat="1" ht="15" customHeight="1" x14ac:dyDescent="0.25">
      <c r="B524" s="73" t="s">
        <v>1254</v>
      </c>
      <c r="D524" s="75" t="s">
        <v>1255</v>
      </c>
      <c r="E524" s="77">
        <f>SUM(E525:E536)</f>
        <v>4427521.07</v>
      </c>
      <c r="F524" s="77">
        <f>SUM(F525:F532)</f>
        <v>1765725.2729449999</v>
      </c>
      <c r="G524" s="77">
        <f>SUM(G525:G532)</f>
        <v>1832028.2569440848</v>
      </c>
      <c r="H524" s="1298"/>
    </row>
    <row r="525" spans="2:8" s="622" customFormat="1" ht="15" customHeight="1" x14ac:dyDescent="0.25">
      <c r="B525" s="617" t="s">
        <v>1256</v>
      </c>
      <c r="C525" s="618">
        <v>1950</v>
      </c>
      <c r="D525" s="619" t="s">
        <v>438</v>
      </c>
      <c r="E525" s="620">
        <f>PUER!D390</f>
        <v>100000</v>
      </c>
      <c r="F525" s="621">
        <f>E525*((1+PUER!E$10))</f>
        <v>104030</v>
      </c>
      <c r="G525" s="621">
        <f>F525*(1+PUER!F$10)</f>
        <v>107936.3265</v>
      </c>
      <c r="H525" s="1301" t="s">
        <v>1758</v>
      </c>
    </row>
    <row r="526" spans="2:8" ht="15" customHeight="1" x14ac:dyDescent="0.25">
      <c r="B526" s="80" t="s">
        <v>1257</v>
      </c>
      <c r="C526" s="81">
        <v>1954</v>
      </c>
      <c r="D526" s="89" t="s">
        <v>442</v>
      </c>
      <c r="E526" s="91">
        <f>PUER!D391</f>
        <v>334630</v>
      </c>
      <c r="F526" s="84">
        <f>E526*((1+PUER!E$10))</f>
        <v>348115.58899999998</v>
      </c>
      <c r="G526" s="84">
        <f>F526*(1+PUER!F$10)</f>
        <v>361187.32936694997</v>
      </c>
      <c r="H526" s="1299" t="s">
        <v>1761</v>
      </c>
    </row>
    <row r="527" spans="2:8" ht="15" customHeight="1" x14ac:dyDescent="0.25">
      <c r="B527" s="80" t="s">
        <v>1257</v>
      </c>
      <c r="C527" s="81">
        <v>1955</v>
      </c>
      <c r="D527" s="89" t="s">
        <v>443</v>
      </c>
      <c r="E527" s="91">
        <f>PUER!D392</f>
        <v>150000</v>
      </c>
      <c r="F527" s="84">
        <f>E527*((1+PUER!E$10))</f>
        <v>156045</v>
      </c>
      <c r="G527" s="84">
        <f>F527*(1+PUER!F$10)</f>
        <v>161904.48975000001</v>
      </c>
      <c r="H527" s="1299" t="s">
        <v>1761</v>
      </c>
    </row>
    <row r="528" spans="2:8" s="622" customFormat="1" ht="15" customHeight="1" x14ac:dyDescent="0.25">
      <c r="B528" s="617" t="s">
        <v>2266</v>
      </c>
      <c r="C528" s="618">
        <v>1956</v>
      </c>
      <c r="D528" s="619" t="s">
        <v>7725</v>
      </c>
      <c r="E528" s="620">
        <f>PUER!D393</f>
        <v>250000</v>
      </c>
      <c r="F528" s="621">
        <f>E528*((1+PUER!E$10))</f>
        <v>260075</v>
      </c>
      <c r="G528" s="621">
        <f>F528*(1+PUER!F$10)</f>
        <v>269840.81624999997</v>
      </c>
      <c r="H528" s="1301" t="s">
        <v>2272</v>
      </c>
    </row>
    <row r="529" spans="2:8" s="622" customFormat="1" ht="15" customHeight="1" x14ac:dyDescent="0.25">
      <c r="B529" s="617" t="s">
        <v>2268</v>
      </c>
      <c r="C529" s="618">
        <v>1957</v>
      </c>
      <c r="D529" s="619" t="s">
        <v>2269</v>
      </c>
      <c r="E529" s="620">
        <f>PUER!D394</f>
        <v>100000</v>
      </c>
      <c r="F529" s="621">
        <f>E529*((1+PUER!E$10))</f>
        <v>104030</v>
      </c>
      <c r="G529" s="621">
        <f>F529*(1+PUER!F$10)</f>
        <v>107936.3265</v>
      </c>
      <c r="H529" s="1301" t="s">
        <v>2272</v>
      </c>
    </row>
    <row r="530" spans="2:8" s="622" customFormat="1" ht="15" customHeight="1" x14ac:dyDescent="0.25">
      <c r="B530" s="617" t="s">
        <v>2273</v>
      </c>
      <c r="C530" s="618">
        <v>1958</v>
      </c>
      <c r="D530" s="619" t="s">
        <v>2274</v>
      </c>
      <c r="E530" s="620">
        <f>PUER!D395</f>
        <v>344000</v>
      </c>
      <c r="F530" s="621">
        <f>E530*((1+PUER!E$10))</f>
        <v>357863.2</v>
      </c>
      <c r="G530" s="621">
        <f>F530*(1+PUER!F$10)</f>
        <v>371300.96315999998</v>
      </c>
      <c r="H530" s="1301" t="s">
        <v>2272</v>
      </c>
    </row>
    <row r="531" spans="2:8" s="622" customFormat="1" ht="15" customHeight="1" x14ac:dyDescent="0.25">
      <c r="B531" s="617" t="s">
        <v>2276</v>
      </c>
      <c r="C531" s="618">
        <v>1959</v>
      </c>
      <c r="D531" s="619" t="s">
        <v>2275</v>
      </c>
      <c r="E531" s="620">
        <f>PUER!D396</f>
        <v>110000</v>
      </c>
      <c r="F531" s="621">
        <f>E531*((1+PUER!E$10))</f>
        <v>114433</v>
      </c>
      <c r="G531" s="621">
        <f>F531*(1+PUER!F$10)</f>
        <v>118729.95915</v>
      </c>
      <c r="H531" s="1301" t="s">
        <v>2272</v>
      </c>
    </row>
    <row r="532" spans="2:8" ht="15" customHeight="1" x14ac:dyDescent="0.25">
      <c r="B532" s="80" t="s">
        <v>2536</v>
      </c>
      <c r="C532" s="81">
        <v>1960</v>
      </c>
      <c r="D532" s="89" t="s">
        <v>2537</v>
      </c>
      <c r="E532" s="91">
        <f>PUER!D397</f>
        <v>308693.15000000002</v>
      </c>
      <c r="F532" s="84">
        <f>E532*((1+PUER!E$10))</f>
        <v>321133.48394500004</v>
      </c>
      <c r="G532" s="84">
        <f>F532*(1+PUER!F$10)</f>
        <v>333192.04626713478</v>
      </c>
      <c r="H532" s="1299" t="s">
        <v>2272</v>
      </c>
    </row>
    <row r="533" spans="2:8" ht="15" customHeight="1" x14ac:dyDescent="0.25">
      <c r="B533" s="80" t="s">
        <v>7311</v>
      </c>
      <c r="C533" s="81">
        <v>1962</v>
      </c>
      <c r="D533" s="1317" t="s">
        <v>7307</v>
      </c>
      <c r="E533" s="91">
        <f>PUER!D398</f>
        <v>250000</v>
      </c>
      <c r="F533" s="84">
        <f>E533*((1+PUER!E$10))</f>
        <v>260075</v>
      </c>
      <c r="G533" s="84">
        <f>F533*(1+PUER!F$10)</f>
        <v>269840.81624999997</v>
      </c>
      <c r="H533" s="1299" t="s">
        <v>2272</v>
      </c>
    </row>
    <row r="534" spans="2:8" ht="15" customHeight="1" x14ac:dyDescent="0.25">
      <c r="B534" s="80" t="s">
        <v>7312</v>
      </c>
      <c r="C534" s="81">
        <v>1963</v>
      </c>
      <c r="D534" s="1317" t="s">
        <v>7308</v>
      </c>
      <c r="E534" s="91">
        <f>PUER!D399</f>
        <v>1306500</v>
      </c>
      <c r="F534" s="84">
        <f>E534*((1+PUER!E$10))</f>
        <v>1359151.95</v>
      </c>
      <c r="G534" s="84">
        <f>F534*(1+PUER!F$10)</f>
        <v>1410188.1057225</v>
      </c>
      <c r="H534" s="1299" t="s">
        <v>2272</v>
      </c>
    </row>
    <row r="535" spans="2:8" ht="15" customHeight="1" x14ac:dyDescent="0.25">
      <c r="B535" s="80" t="s">
        <v>7313</v>
      </c>
      <c r="C535" s="81">
        <v>1964</v>
      </c>
      <c r="D535" s="1317" t="s">
        <v>7309</v>
      </c>
      <c r="E535" s="91">
        <f>PUER!D400</f>
        <v>925000</v>
      </c>
      <c r="F535" s="84">
        <f>E535*((1+PUER!E$10))</f>
        <v>962277.5</v>
      </c>
      <c r="G535" s="84">
        <f>F535*(1+PUER!F$10)</f>
        <v>998411.02012499992</v>
      </c>
      <c r="H535" s="1299" t="s">
        <v>2272</v>
      </c>
    </row>
    <row r="536" spans="2:8" ht="15" customHeight="1" x14ac:dyDescent="0.25">
      <c r="B536" s="80" t="s">
        <v>7314</v>
      </c>
      <c r="C536" s="81">
        <v>1965</v>
      </c>
      <c r="D536" s="1317" t="s">
        <v>7310</v>
      </c>
      <c r="E536" s="91">
        <f>PUER!D401</f>
        <v>248697.92</v>
      </c>
      <c r="F536" s="84">
        <f>E536*((1+PUER!E$10))</f>
        <v>258720.44617600003</v>
      </c>
      <c r="G536" s="84">
        <f>F536*(1+PUER!F$10)</f>
        <v>268435.39892990881</v>
      </c>
      <c r="H536" s="1299" t="s">
        <v>2272</v>
      </c>
    </row>
    <row r="537" spans="2:8" s="74" customFormat="1" ht="15" customHeight="1" x14ac:dyDescent="0.25">
      <c r="B537" s="73" t="s">
        <v>1258</v>
      </c>
      <c r="D537" s="75" t="s">
        <v>1259</v>
      </c>
      <c r="E537" s="77">
        <f>E538+E545</f>
        <v>346807</v>
      </c>
      <c r="F537" s="77">
        <f>F538+F545</f>
        <v>360777.08029999997</v>
      </c>
      <c r="G537" s="77">
        <f>G538+G545</f>
        <v>374324.25966526498</v>
      </c>
      <c r="H537" s="1298"/>
    </row>
    <row r="538" spans="2:8" s="74" customFormat="1" ht="15" customHeight="1" x14ac:dyDescent="0.25">
      <c r="B538" s="73" t="s">
        <v>1260</v>
      </c>
      <c r="D538" s="75" t="s">
        <v>1261</v>
      </c>
      <c r="E538" s="77">
        <f>SUM(E539:E544)</f>
        <v>7</v>
      </c>
      <c r="F538" s="77">
        <f t="shared" ref="F538:G538" si="53">F539</f>
        <v>1.0403</v>
      </c>
      <c r="G538" s="77">
        <f t="shared" si="53"/>
        <v>1.079363265</v>
      </c>
      <c r="H538" s="1298"/>
    </row>
    <row r="539" spans="2:8" ht="15" customHeight="1" x14ac:dyDescent="0.25">
      <c r="B539" s="80" t="s">
        <v>1262</v>
      </c>
      <c r="C539" s="81">
        <v>2000</v>
      </c>
      <c r="D539" s="89" t="s">
        <v>5522</v>
      </c>
      <c r="E539" s="91">
        <f>PUER!D402</f>
        <v>1</v>
      </c>
      <c r="F539" s="84">
        <f>E539*((1+PUER!E$10))</f>
        <v>1.0403</v>
      </c>
      <c r="G539" s="84">
        <f>F539*(1+PUER!F$10)</f>
        <v>1.079363265</v>
      </c>
      <c r="H539" s="1299" t="s">
        <v>5517</v>
      </c>
    </row>
    <row r="540" spans="2:8" ht="15" customHeight="1" x14ac:dyDescent="0.25">
      <c r="B540" s="80" t="s">
        <v>1262</v>
      </c>
      <c r="C540" s="81">
        <v>2001</v>
      </c>
      <c r="D540" s="89" t="s">
        <v>5523</v>
      </c>
      <c r="E540" s="91">
        <f>PUER!D403</f>
        <v>1</v>
      </c>
      <c r="F540" s="84">
        <f>E540*((1+PUER!E$10))</f>
        <v>1.0403</v>
      </c>
      <c r="G540" s="84">
        <f>F540*(1+PUER!F$10)</f>
        <v>1.079363265</v>
      </c>
      <c r="H540" s="1299" t="s">
        <v>5518</v>
      </c>
    </row>
    <row r="541" spans="2:8" ht="15" customHeight="1" x14ac:dyDescent="0.25">
      <c r="B541" s="80" t="s">
        <v>1262</v>
      </c>
      <c r="C541" s="81">
        <v>2002</v>
      </c>
      <c r="D541" s="89" t="s">
        <v>5524</v>
      </c>
      <c r="E541" s="91">
        <f>PUER!D404</f>
        <v>1</v>
      </c>
      <c r="F541" s="84">
        <f>E541*((1+PUER!E$10))</f>
        <v>1.0403</v>
      </c>
      <c r="G541" s="84">
        <f>F541*(1+PUER!F$10)</f>
        <v>1.079363265</v>
      </c>
      <c r="H541" s="1299" t="s">
        <v>5519</v>
      </c>
    </row>
    <row r="542" spans="2:8" ht="15" customHeight="1" x14ac:dyDescent="0.25">
      <c r="B542" s="80" t="s">
        <v>1262</v>
      </c>
      <c r="C542" s="81">
        <v>2003</v>
      </c>
      <c r="D542" s="89" t="s">
        <v>5525</v>
      </c>
      <c r="E542" s="91">
        <f>PUER!D405</f>
        <v>1</v>
      </c>
      <c r="F542" s="84">
        <f>E542*((1+PUER!E$10))</f>
        <v>1.0403</v>
      </c>
      <c r="G542" s="84">
        <f>F542*(1+PUER!F$10)</f>
        <v>1.079363265</v>
      </c>
      <c r="H542" s="1299" t="s">
        <v>5520</v>
      </c>
    </row>
    <row r="543" spans="2:8" ht="15" customHeight="1" x14ac:dyDescent="0.25">
      <c r="B543" s="80" t="s">
        <v>1262</v>
      </c>
      <c r="C543" s="81">
        <v>2004</v>
      </c>
      <c r="D543" s="89" t="s">
        <v>5526</v>
      </c>
      <c r="E543" s="91">
        <f>PUER!D406</f>
        <v>1</v>
      </c>
      <c r="F543" s="84">
        <f>E543*((1+PUER!E$10))</f>
        <v>1.0403</v>
      </c>
      <c r="G543" s="84">
        <f>F543*(1+PUER!F$10)</f>
        <v>1.079363265</v>
      </c>
      <c r="H543" s="1299" t="s">
        <v>5521</v>
      </c>
    </row>
    <row r="544" spans="2:8" ht="15" customHeight="1" x14ac:dyDescent="0.25">
      <c r="B544" s="80" t="s">
        <v>1262</v>
      </c>
      <c r="C544" s="81">
        <v>2005</v>
      </c>
      <c r="D544" s="89" t="s">
        <v>5527</v>
      </c>
      <c r="E544" s="91">
        <f>PUER!D407+1</f>
        <v>2</v>
      </c>
      <c r="F544" s="84">
        <f>E544*((1+PUER!E$10))</f>
        <v>2.0806</v>
      </c>
      <c r="G544" s="84">
        <f>F544*(1+PUER!F$10)</f>
        <v>2.15872653</v>
      </c>
      <c r="H544" s="1299" t="s">
        <v>1762</v>
      </c>
    </row>
    <row r="545" spans="2:8" s="74" customFormat="1" ht="15" customHeight="1" x14ac:dyDescent="0.25">
      <c r="B545" s="73" t="s">
        <v>1263</v>
      </c>
      <c r="D545" s="75" t="s">
        <v>2258</v>
      </c>
      <c r="E545" s="77">
        <f>E546</f>
        <v>346800</v>
      </c>
      <c r="F545" s="77">
        <f t="shared" ref="F545:G545" si="54">F546</f>
        <v>360776.04</v>
      </c>
      <c r="G545" s="77">
        <f t="shared" si="54"/>
        <v>374323.18030199996</v>
      </c>
      <c r="H545" s="1298"/>
    </row>
    <row r="546" spans="2:8" ht="15" customHeight="1" x14ac:dyDescent="0.25">
      <c r="B546" s="80" t="s">
        <v>1264</v>
      </c>
      <c r="C546" s="81">
        <v>2050</v>
      </c>
      <c r="D546" s="90" t="s">
        <v>447</v>
      </c>
      <c r="E546" s="96">
        <f>PUER!D409</f>
        <v>346800</v>
      </c>
      <c r="F546" s="84">
        <f>E546*((1+PUER!E$10))</f>
        <v>360776.04</v>
      </c>
      <c r="G546" s="84">
        <f>F546*(1+PUER!F$10)</f>
        <v>374323.18030199996</v>
      </c>
      <c r="H546" s="1299" t="s">
        <v>1763</v>
      </c>
    </row>
    <row r="547" spans="2:8" s="74" customFormat="1" ht="15" customHeight="1" x14ac:dyDescent="0.25">
      <c r="B547" s="73" t="s">
        <v>1265</v>
      </c>
      <c r="D547" s="75" t="s">
        <v>1068</v>
      </c>
      <c r="E547" s="77">
        <f t="shared" ref="E547:G548" si="55">E548</f>
        <v>105309</v>
      </c>
      <c r="F547" s="77">
        <f t="shared" si="55"/>
        <v>109552.95269999999</v>
      </c>
      <c r="G547" s="77">
        <f t="shared" si="55"/>
        <v>113666.666073885</v>
      </c>
      <c r="H547" s="1298"/>
    </row>
    <row r="548" spans="2:8" s="74" customFormat="1" ht="15" customHeight="1" x14ac:dyDescent="0.25">
      <c r="B548" s="73" t="s">
        <v>1266</v>
      </c>
      <c r="D548" s="75" t="s">
        <v>1267</v>
      </c>
      <c r="E548" s="77">
        <f t="shared" si="55"/>
        <v>105309</v>
      </c>
      <c r="F548" s="77">
        <f t="shared" si="55"/>
        <v>109552.95269999999</v>
      </c>
      <c r="G548" s="77">
        <f t="shared" si="55"/>
        <v>113666.666073885</v>
      </c>
      <c r="H548" s="1298"/>
    </row>
    <row r="549" spans="2:8" s="74" customFormat="1" ht="15" customHeight="1" x14ac:dyDescent="0.25">
      <c r="B549" s="73" t="s">
        <v>1268</v>
      </c>
      <c r="D549" s="75" t="s">
        <v>2259</v>
      </c>
      <c r="E549" s="77">
        <f>SUM(E550:E553)</f>
        <v>105309</v>
      </c>
      <c r="F549" s="77">
        <f>SUM(F550:F553)</f>
        <v>109552.95269999999</v>
      </c>
      <c r="G549" s="77">
        <f>SUM(G550:G553)</f>
        <v>113666.666073885</v>
      </c>
      <c r="H549" s="1298"/>
    </row>
    <row r="550" spans="2:8" ht="15" customHeight="1" x14ac:dyDescent="0.25">
      <c r="B550" s="80" t="s">
        <v>1269</v>
      </c>
      <c r="C550" s="81">
        <v>2100</v>
      </c>
      <c r="D550" s="90" t="s">
        <v>448</v>
      </c>
      <c r="E550" s="91">
        <f>PUER!D410</f>
        <v>30000</v>
      </c>
      <c r="F550" s="84">
        <f>E550*((1+PUER!E$10))</f>
        <v>31209</v>
      </c>
      <c r="G550" s="84">
        <f>F550*(1+PUER!F$10)</f>
        <v>32380.897949999999</v>
      </c>
      <c r="H550" s="1299" t="s">
        <v>1764</v>
      </c>
    </row>
    <row r="551" spans="2:8" ht="15" customHeight="1" x14ac:dyDescent="0.25">
      <c r="B551" s="80" t="s">
        <v>2256</v>
      </c>
      <c r="C551" s="81">
        <v>2101</v>
      </c>
      <c r="D551" s="90" t="s">
        <v>2257</v>
      </c>
      <c r="E551" s="91">
        <f>PUER!D411</f>
        <v>28691</v>
      </c>
      <c r="F551" s="84">
        <f>E551*((1+PUER!E$10))</f>
        <v>29847.247299999999</v>
      </c>
      <c r="G551" s="84">
        <f>F551*(1+PUER!F$10)</f>
        <v>30968.011436114997</v>
      </c>
      <c r="H551" s="1299" t="s">
        <v>7321</v>
      </c>
    </row>
    <row r="552" spans="2:8" ht="15" customHeight="1" x14ac:dyDescent="0.25">
      <c r="B552" s="80" t="s">
        <v>2260</v>
      </c>
      <c r="C552" s="81">
        <v>2102</v>
      </c>
      <c r="D552" s="90" t="s">
        <v>2261</v>
      </c>
      <c r="E552" s="91">
        <f>PUER!D412</f>
        <v>46617</v>
      </c>
      <c r="F552" s="84">
        <f>E552*((1+PUER!E$10))</f>
        <v>48495.665099999998</v>
      </c>
      <c r="G552" s="84">
        <f>F552*(1+PUER!F$10)</f>
        <v>50316.677324504999</v>
      </c>
      <c r="H552" s="1299" t="s">
        <v>1751</v>
      </c>
    </row>
    <row r="553" spans="2:8" ht="15" customHeight="1" x14ac:dyDescent="0.25">
      <c r="B553" s="80" t="s">
        <v>7315</v>
      </c>
      <c r="C553" s="81">
        <v>2104</v>
      </c>
      <c r="D553" s="90" t="s">
        <v>6827</v>
      </c>
      <c r="E553" s="91">
        <f>PUER!D413</f>
        <v>1</v>
      </c>
      <c r="F553" s="84">
        <f>E553*((1+PUER!E$10))</f>
        <v>1.0403</v>
      </c>
      <c r="G553" s="84">
        <f>F553*(1+PUER!F$10)</f>
        <v>1.079363265</v>
      </c>
      <c r="H553" s="1299" t="s">
        <v>1730</v>
      </c>
    </row>
    <row r="554" spans="2:8" s="74" customFormat="1" ht="15" customHeight="1" x14ac:dyDescent="0.25">
      <c r="B554" s="73" t="s">
        <v>1270</v>
      </c>
      <c r="D554" s="75" t="s">
        <v>1271</v>
      </c>
      <c r="E554" s="77">
        <f t="shared" ref="E554:G556" si="56">E555</f>
        <v>32</v>
      </c>
      <c r="F554" s="77">
        <f t="shared" si="56"/>
        <v>32.249299999999977</v>
      </c>
      <c r="G554" s="77">
        <f t="shared" si="56"/>
        <v>33.46026121500001</v>
      </c>
      <c r="H554" s="1298"/>
    </row>
    <row r="555" spans="2:8" s="74" customFormat="1" ht="15" customHeight="1" x14ac:dyDescent="0.25">
      <c r="B555" s="73" t="s">
        <v>1272</v>
      </c>
      <c r="D555" s="75" t="s">
        <v>1273</v>
      </c>
      <c r="E555" s="77">
        <f t="shared" si="56"/>
        <v>32</v>
      </c>
      <c r="F555" s="77">
        <f t="shared" si="56"/>
        <v>32.249299999999977</v>
      </c>
      <c r="G555" s="77">
        <f t="shared" si="56"/>
        <v>33.46026121500001</v>
      </c>
      <c r="H555" s="1298"/>
    </row>
    <row r="556" spans="2:8" s="74" customFormat="1" ht="15" customHeight="1" x14ac:dyDescent="0.25">
      <c r="B556" s="73" t="s">
        <v>1274</v>
      </c>
      <c r="D556" s="75" t="s">
        <v>1275</v>
      </c>
      <c r="E556" s="77">
        <f t="shared" si="56"/>
        <v>32</v>
      </c>
      <c r="F556" s="77">
        <f t="shared" si="56"/>
        <v>32.249299999999977</v>
      </c>
      <c r="G556" s="77">
        <f t="shared" si="56"/>
        <v>33.46026121500001</v>
      </c>
      <c r="H556" s="1298"/>
    </row>
    <row r="557" spans="2:8" s="74" customFormat="1" ht="15" customHeight="1" x14ac:dyDescent="0.25">
      <c r="B557" s="73" t="s">
        <v>1276</v>
      </c>
      <c r="D557" s="75" t="s">
        <v>764</v>
      </c>
      <c r="E557" s="77">
        <f>SUM(E558:E589)</f>
        <v>32</v>
      </c>
      <c r="F557" s="77">
        <f>SUM(F558:F588)</f>
        <v>32.249299999999977</v>
      </c>
      <c r="G557" s="77">
        <f>SUM(G558:G588)</f>
        <v>33.46026121500001</v>
      </c>
      <c r="H557" s="1298"/>
    </row>
    <row r="558" spans="2:8" ht="15" customHeight="1" x14ac:dyDescent="0.25">
      <c r="B558" s="80" t="s">
        <v>1277</v>
      </c>
      <c r="C558" s="81">
        <v>2200</v>
      </c>
      <c r="D558" s="90" t="s">
        <v>450</v>
      </c>
      <c r="E558" s="91">
        <f>PUER!D414</f>
        <v>1</v>
      </c>
      <c r="F558" s="84">
        <f>E558*((1+PUER!E$10))</f>
        <v>1.0403</v>
      </c>
      <c r="G558" s="84">
        <f>F558*(1+PUER!F$10)</f>
        <v>1.079363265</v>
      </c>
      <c r="H558" s="1299" t="s">
        <v>1762</v>
      </c>
    </row>
    <row r="559" spans="2:8" ht="15" customHeight="1" x14ac:dyDescent="0.25">
      <c r="B559" s="80" t="s">
        <v>1277</v>
      </c>
      <c r="C559" s="81">
        <v>2217</v>
      </c>
      <c r="D559" s="90" t="s">
        <v>451</v>
      </c>
      <c r="E559" s="91">
        <f>PUER!D415</f>
        <v>1</v>
      </c>
      <c r="F559" s="84">
        <f>E559*((1+PUER!E$10))</f>
        <v>1.0403</v>
      </c>
      <c r="G559" s="84">
        <f>F559*(1+PUER!F$10)</f>
        <v>1.079363265</v>
      </c>
      <c r="H559" s="1299" t="s">
        <v>1762</v>
      </c>
    </row>
    <row r="560" spans="2:8" ht="15" customHeight="1" x14ac:dyDescent="0.25">
      <c r="B560" s="80" t="s">
        <v>1277</v>
      </c>
      <c r="C560" s="81">
        <v>2230</v>
      </c>
      <c r="D560" s="90" t="s">
        <v>7316</v>
      </c>
      <c r="E560" s="91">
        <v>1</v>
      </c>
      <c r="F560" s="84">
        <f>E560*((1+PUER!E$10))</f>
        <v>1.0403</v>
      </c>
      <c r="G560" s="84">
        <f>F560*(1+PUER!F$10)</f>
        <v>1.079363265</v>
      </c>
      <c r="H560" s="1299" t="s">
        <v>5517</v>
      </c>
    </row>
    <row r="561" spans="2:8" ht="15" customHeight="1" x14ac:dyDescent="0.25">
      <c r="B561" s="80" t="s">
        <v>1278</v>
      </c>
      <c r="C561" s="81">
        <v>2201</v>
      </c>
      <c r="D561" s="90" t="s">
        <v>452</v>
      </c>
      <c r="E561" s="91">
        <f>PUER!D416</f>
        <v>1</v>
      </c>
      <c r="F561" s="84">
        <f>E561*((1+PUER!E$10))</f>
        <v>1.0403</v>
      </c>
      <c r="G561" s="84">
        <f>F561*(1+PUER!F$10)</f>
        <v>1.079363265</v>
      </c>
      <c r="H561" s="1299" t="s">
        <v>1765</v>
      </c>
    </row>
    <row r="562" spans="2:8" ht="15" customHeight="1" x14ac:dyDescent="0.25">
      <c r="B562" s="80" t="s">
        <v>1279</v>
      </c>
      <c r="C562" s="81">
        <v>2202</v>
      </c>
      <c r="D562" s="90" t="s">
        <v>453</v>
      </c>
      <c r="E562" s="91">
        <f>PUER!D417</f>
        <v>1</v>
      </c>
      <c r="F562" s="84">
        <f>E562*((1+PUER!E$10))</f>
        <v>1.0403</v>
      </c>
      <c r="G562" s="84">
        <f>F562*(1+PUER!F$10)</f>
        <v>1.079363265</v>
      </c>
      <c r="H562" s="1299" t="s">
        <v>1766</v>
      </c>
    </row>
    <row r="563" spans="2:8" ht="15" customHeight="1" x14ac:dyDescent="0.25">
      <c r="B563" s="80" t="s">
        <v>1280</v>
      </c>
      <c r="C563" s="81">
        <v>2203</v>
      </c>
      <c r="D563" s="90" t="s">
        <v>454</v>
      </c>
      <c r="E563" s="91">
        <f>PUER!D418</f>
        <v>1</v>
      </c>
      <c r="F563" s="84">
        <f>E563*((1+PUER!E$10))</f>
        <v>1.0403</v>
      </c>
      <c r="G563" s="84">
        <f>F563*(1+PUER!F$10)</f>
        <v>1.079363265</v>
      </c>
      <c r="H563" s="1299" t="s">
        <v>1767</v>
      </c>
    </row>
    <row r="564" spans="2:8" ht="15" customHeight="1" x14ac:dyDescent="0.25">
      <c r="B564" s="80" t="s">
        <v>1281</v>
      </c>
      <c r="C564" s="81">
        <v>2204</v>
      </c>
      <c r="D564" s="89" t="s">
        <v>455</v>
      </c>
      <c r="E564" s="91">
        <f>PUER!D419</f>
        <v>1</v>
      </c>
      <c r="F564" s="84">
        <f>E564*((1+PUER!E$10))</f>
        <v>1.0403</v>
      </c>
      <c r="G564" s="84">
        <f>F564*(1+PUER!F$10)</f>
        <v>1.079363265</v>
      </c>
      <c r="H564" s="1299" t="s">
        <v>1768</v>
      </c>
    </row>
    <row r="565" spans="2:8" s="622" customFormat="1" ht="15" customHeight="1" x14ac:dyDescent="0.25">
      <c r="B565" s="617" t="s">
        <v>1282</v>
      </c>
      <c r="C565" s="618">
        <v>2205</v>
      </c>
      <c r="D565" s="619" t="s">
        <v>456</v>
      </c>
      <c r="E565" s="620">
        <f>PUER!D420</f>
        <v>1</v>
      </c>
      <c r="F565" s="621">
        <f>E565*((1+PUER!E$10))</f>
        <v>1.0403</v>
      </c>
      <c r="G565" s="621">
        <f>F565*(1+PUER!F$10)</f>
        <v>1.079363265</v>
      </c>
      <c r="H565" s="1301" t="s">
        <v>1769</v>
      </c>
    </row>
    <row r="566" spans="2:8" s="622" customFormat="1" ht="15" customHeight="1" x14ac:dyDescent="0.25">
      <c r="B566" s="617" t="s">
        <v>1283</v>
      </c>
      <c r="C566" s="618">
        <v>2206</v>
      </c>
      <c r="D566" s="619" t="s">
        <v>457</v>
      </c>
      <c r="E566" s="620">
        <f>PUER!D421</f>
        <v>1</v>
      </c>
      <c r="F566" s="621">
        <f>E566*((1+PUER!E$10))</f>
        <v>1.0403</v>
      </c>
      <c r="G566" s="621">
        <f>F566*(1+PUER!F$10)</f>
        <v>1.079363265</v>
      </c>
      <c r="H566" s="1301" t="s">
        <v>1769</v>
      </c>
    </row>
    <row r="567" spans="2:8" s="622" customFormat="1" ht="15" customHeight="1" x14ac:dyDescent="0.25">
      <c r="B567" s="617" t="s">
        <v>1284</v>
      </c>
      <c r="C567" s="618">
        <v>2207</v>
      </c>
      <c r="D567" s="619" t="s">
        <v>458</v>
      </c>
      <c r="E567" s="620">
        <f>PUER!D422</f>
        <v>1</v>
      </c>
      <c r="F567" s="621">
        <f>E567*((1+PUER!E$10))</f>
        <v>1.0403</v>
      </c>
      <c r="G567" s="621">
        <f>F567*(1+PUER!F$10)</f>
        <v>1.079363265</v>
      </c>
      <c r="H567" s="1301" t="s">
        <v>1758</v>
      </c>
    </row>
    <row r="568" spans="2:8" s="622" customFormat="1" ht="15" customHeight="1" x14ac:dyDescent="0.25">
      <c r="B568" s="617" t="s">
        <v>1285</v>
      </c>
      <c r="C568" s="618">
        <v>2208</v>
      </c>
      <c r="D568" s="619" t="s">
        <v>459</v>
      </c>
      <c r="E568" s="620">
        <f>PUER!D423</f>
        <v>1</v>
      </c>
      <c r="F568" s="621">
        <f>E568*((1+PUER!E$10))</f>
        <v>1.0403</v>
      </c>
      <c r="G568" s="621">
        <f>F568*(1+PUER!F$10)</f>
        <v>1.079363265</v>
      </c>
      <c r="H568" s="1301" t="s">
        <v>1764</v>
      </c>
    </row>
    <row r="569" spans="2:8" ht="15" customHeight="1" x14ac:dyDescent="0.25">
      <c r="B569" s="80" t="s">
        <v>1286</v>
      </c>
      <c r="C569" s="81">
        <v>2209</v>
      </c>
      <c r="D569" s="89" t="s">
        <v>460</v>
      </c>
      <c r="E569" s="91">
        <f>PUER!D424</f>
        <v>1</v>
      </c>
      <c r="F569" s="84">
        <f>E569*((1+PUER!E$10))</f>
        <v>1.0403</v>
      </c>
      <c r="G569" s="84">
        <f>F569*(1+PUER!F$10)</f>
        <v>1.079363265</v>
      </c>
      <c r="H569" s="1299" t="s">
        <v>1763</v>
      </c>
    </row>
    <row r="570" spans="2:8" s="622" customFormat="1" ht="15" customHeight="1" x14ac:dyDescent="0.25">
      <c r="B570" s="617" t="s">
        <v>1287</v>
      </c>
      <c r="C570" s="618">
        <v>2210</v>
      </c>
      <c r="D570" s="619" t="s">
        <v>461</v>
      </c>
      <c r="E570" s="620">
        <f>PUER!D425</f>
        <v>1</v>
      </c>
      <c r="F570" s="621">
        <f>E570*((1+PUER!E$10))</f>
        <v>1.0403</v>
      </c>
      <c r="G570" s="621">
        <f>F570*(1+PUER!F$10)</f>
        <v>1.079363265</v>
      </c>
      <c r="H570" s="1301" t="s">
        <v>1759</v>
      </c>
    </row>
    <row r="571" spans="2:8" s="622" customFormat="1" ht="15" customHeight="1" x14ac:dyDescent="0.25">
      <c r="B571" s="617" t="s">
        <v>1288</v>
      </c>
      <c r="C571" s="618">
        <v>2211</v>
      </c>
      <c r="D571" s="619" t="s">
        <v>462</v>
      </c>
      <c r="E571" s="620">
        <f>PUER!D426</f>
        <v>1</v>
      </c>
      <c r="F571" s="621">
        <f>E571*((1+PUER!E$10))</f>
        <v>1.0403</v>
      </c>
      <c r="G571" s="621">
        <f>F571*(1+PUER!F$10)</f>
        <v>1.079363265</v>
      </c>
      <c r="H571" s="1301" t="s">
        <v>1759</v>
      </c>
    </row>
    <row r="572" spans="2:8" s="622" customFormat="1" ht="15" customHeight="1" x14ac:dyDescent="0.25">
      <c r="B572" s="617" t="s">
        <v>1289</v>
      </c>
      <c r="C572" s="618">
        <v>2212</v>
      </c>
      <c r="D572" s="619" t="s">
        <v>463</v>
      </c>
      <c r="E572" s="620">
        <f>PUER!D427</f>
        <v>1</v>
      </c>
      <c r="F572" s="621">
        <f>E572*((1+PUER!E$10))</f>
        <v>1.0403</v>
      </c>
      <c r="G572" s="621">
        <f>F572*(1+PUER!F$10)</f>
        <v>1.079363265</v>
      </c>
      <c r="H572" s="1301" t="s">
        <v>1760</v>
      </c>
    </row>
    <row r="573" spans="2:8" ht="15" customHeight="1" x14ac:dyDescent="0.25">
      <c r="B573" s="80" t="s">
        <v>1290</v>
      </c>
      <c r="C573" s="81">
        <v>2213</v>
      </c>
      <c r="D573" s="89" t="s">
        <v>464</v>
      </c>
      <c r="E573" s="91">
        <f>PUER!D428</f>
        <v>1</v>
      </c>
      <c r="F573" s="84">
        <f>E573*((1+PUER!E$10))</f>
        <v>1.0403</v>
      </c>
      <c r="G573" s="84">
        <f>F573*(1+PUER!F$10)</f>
        <v>1.079363265</v>
      </c>
      <c r="H573" s="1299" t="s">
        <v>1761</v>
      </c>
    </row>
    <row r="574" spans="2:8" ht="15" customHeight="1" x14ac:dyDescent="0.25">
      <c r="B574" s="80" t="s">
        <v>1291</v>
      </c>
      <c r="C574" s="81">
        <v>2214</v>
      </c>
      <c r="D574" s="89" t="s">
        <v>465</v>
      </c>
      <c r="E574" s="91">
        <f>PUER!D429</f>
        <v>1</v>
      </c>
      <c r="F574" s="84">
        <f>E574*((1+PUER!E$10))</f>
        <v>1.0403</v>
      </c>
      <c r="G574" s="84">
        <f>F574*(1+PUER!F$10)</f>
        <v>1.079363265</v>
      </c>
      <c r="H574" s="1299" t="s">
        <v>1761</v>
      </c>
    </row>
    <row r="575" spans="2:8" ht="15" customHeight="1" x14ac:dyDescent="0.25">
      <c r="B575" s="80" t="s">
        <v>1292</v>
      </c>
      <c r="C575" s="81">
        <v>2215</v>
      </c>
      <c r="D575" s="89" t="s">
        <v>466</v>
      </c>
      <c r="E575" s="91">
        <f>PUER!D430</f>
        <v>1</v>
      </c>
      <c r="F575" s="84">
        <f>E575*((1+PUER!E$10))</f>
        <v>1.0403</v>
      </c>
      <c r="G575" s="84">
        <f>F575*(1+PUER!F$10)</f>
        <v>1.079363265</v>
      </c>
      <c r="H575" s="1299" t="s">
        <v>1767</v>
      </c>
    </row>
    <row r="576" spans="2:8" ht="15" customHeight="1" x14ac:dyDescent="0.25">
      <c r="B576" s="80" t="s">
        <v>1293</v>
      </c>
      <c r="C576" s="81">
        <v>2216</v>
      </c>
      <c r="D576" s="89" t="s">
        <v>467</v>
      </c>
      <c r="E576" s="91">
        <f>PUER!D431</f>
        <v>1</v>
      </c>
      <c r="F576" s="84">
        <f>E576*((1+PUER!E$10))</f>
        <v>1.0403</v>
      </c>
      <c r="G576" s="84">
        <f>F576*(1+PUER!F$10)</f>
        <v>1.079363265</v>
      </c>
      <c r="H576" s="1299" t="s">
        <v>5509</v>
      </c>
    </row>
    <row r="577" spans="2:9" s="622" customFormat="1" ht="15" customHeight="1" x14ac:dyDescent="0.25">
      <c r="B577" s="617" t="s">
        <v>1294</v>
      </c>
      <c r="C577" s="618">
        <v>2218</v>
      </c>
      <c r="D577" s="619" t="s">
        <v>468</v>
      </c>
      <c r="E577" s="620">
        <f>PUER!D432</f>
        <v>1</v>
      </c>
      <c r="F577" s="621">
        <f>E577*((1+PUER!E$10))</f>
        <v>1.0403</v>
      </c>
      <c r="G577" s="621">
        <f>F577*(1+PUER!F$10)</f>
        <v>1.079363265</v>
      </c>
      <c r="H577" s="1301" t="s">
        <v>1764</v>
      </c>
    </row>
    <row r="578" spans="2:9" s="622" customFormat="1" ht="15" customHeight="1" x14ac:dyDescent="0.25">
      <c r="B578" s="617" t="s">
        <v>2281</v>
      </c>
      <c r="C578" s="618">
        <v>2219</v>
      </c>
      <c r="D578" s="619" t="s">
        <v>2277</v>
      </c>
      <c r="E578" s="620">
        <f>PUER!D433</f>
        <v>1</v>
      </c>
      <c r="F578" s="621">
        <f>E578*((1+PUER!E$10))</f>
        <v>1.0403</v>
      </c>
      <c r="G578" s="621">
        <f>F578*(1+PUER!F$10)</f>
        <v>1.079363265</v>
      </c>
      <c r="H578" s="1301" t="s">
        <v>2272</v>
      </c>
    </row>
    <row r="579" spans="2:9" s="622" customFormat="1" ht="15" customHeight="1" x14ac:dyDescent="0.25">
      <c r="B579" s="617" t="s">
        <v>2281</v>
      </c>
      <c r="C579" s="618">
        <v>2220</v>
      </c>
      <c r="D579" s="619" t="s">
        <v>2278</v>
      </c>
      <c r="E579" s="620">
        <f>PUER!D434</f>
        <v>1</v>
      </c>
      <c r="F579" s="621">
        <f>E579*((1+PUER!E$10))</f>
        <v>1.0403</v>
      </c>
      <c r="G579" s="621">
        <f>F579*(1+PUER!F$10)</f>
        <v>1.079363265</v>
      </c>
      <c r="H579" s="1301" t="s">
        <v>2272</v>
      </c>
    </row>
    <row r="580" spans="2:9" s="622" customFormat="1" ht="15" customHeight="1" x14ac:dyDescent="0.25">
      <c r="B580" s="617" t="s">
        <v>2281</v>
      </c>
      <c r="C580" s="618">
        <v>2221</v>
      </c>
      <c r="D580" s="619" t="s">
        <v>2279</v>
      </c>
      <c r="E580" s="620">
        <f>PUER!D435</f>
        <v>1</v>
      </c>
      <c r="F580" s="621">
        <f>E580*((1+PUER!E$10))</f>
        <v>1.0403</v>
      </c>
      <c r="G580" s="621">
        <f>F580*(1+PUER!F$10)</f>
        <v>1.079363265</v>
      </c>
      <c r="H580" s="1301" t="s">
        <v>2272</v>
      </c>
    </row>
    <row r="581" spans="2:9" s="622" customFormat="1" ht="33" customHeight="1" x14ac:dyDescent="0.25">
      <c r="B581" s="617" t="s">
        <v>2281</v>
      </c>
      <c r="C581" s="618">
        <v>2222</v>
      </c>
      <c r="D581" s="619" t="s">
        <v>2280</v>
      </c>
      <c r="E581" s="620">
        <f>PUER!D436</f>
        <v>1</v>
      </c>
      <c r="F581" s="621">
        <f>E581*((1+PUER!E$10))</f>
        <v>1.0403</v>
      </c>
      <c r="G581" s="621">
        <f>F581*(1+PUER!F$10)</f>
        <v>1.079363265</v>
      </c>
      <c r="H581" s="1301" t="s">
        <v>2272</v>
      </c>
    </row>
    <row r="582" spans="2:9" s="622" customFormat="1" ht="33" customHeight="1" x14ac:dyDescent="0.25">
      <c r="B582" s="617" t="s">
        <v>2281</v>
      </c>
      <c r="C582" s="618">
        <v>2229</v>
      </c>
      <c r="D582" s="89" t="s">
        <v>2537</v>
      </c>
      <c r="E582" s="620">
        <f>PUER!D437</f>
        <v>1</v>
      </c>
      <c r="F582" s="621">
        <f>E582*((1+PUER!E$10))</f>
        <v>1.0403</v>
      </c>
      <c r="G582" s="621">
        <f>F582*(1+PUER!F$10)</f>
        <v>1.079363265</v>
      </c>
      <c r="H582" s="1301" t="s">
        <v>2272</v>
      </c>
      <c r="I582" s="620"/>
    </row>
    <row r="583" spans="2:9" s="622" customFormat="1" ht="33" customHeight="1" x14ac:dyDescent="0.25">
      <c r="B583" s="617" t="s">
        <v>2281</v>
      </c>
      <c r="C583" s="618">
        <v>2231</v>
      </c>
      <c r="D583" s="1317" t="s">
        <v>7307</v>
      </c>
      <c r="E583" s="620">
        <f>PUER!D438</f>
        <v>1</v>
      </c>
      <c r="F583" s="621">
        <f>E583*((1+PUER!E$10))</f>
        <v>1.0403</v>
      </c>
      <c r="G583" s="621">
        <f>F583*(1+PUER!F$10)</f>
        <v>1.079363265</v>
      </c>
      <c r="H583" s="1301" t="s">
        <v>2272</v>
      </c>
    </row>
    <row r="584" spans="2:9" s="622" customFormat="1" ht="33" customHeight="1" x14ac:dyDescent="0.25">
      <c r="B584" s="617" t="s">
        <v>2281</v>
      </c>
      <c r="C584" s="618">
        <v>2232</v>
      </c>
      <c r="D584" s="1317" t="s">
        <v>7308</v>
      </c>
      <c r="E584" s="620">
        <f>PUER!D439</f>
        <v>1</v>
      </c>
      <c r="F584" s="621">
        <f>E584*((1+PUER!E$10))</f>
        <v>1.0403</v>
      </c>
      <c r="G584" s="621">
        <f>F584*(1+PUER!F$10)</f>
        <v>1.079363265</v>
      </c>
      <c r="H584" s="1301" t="s">
        <v>2272</v>
      </c>
    </row>
    <row r="585" spans="2:9" s="622" customFormat="1" ht="33" customHeight="1" x14ac:dyDescent="0.25">
      <c r="B585" s="617" t="s">
        <v>2281</v>
      </c>
      <c r="C585" s="618">
        <v>2233</v>
      </c>
      <c r="D585" s="1317" t="s">
        <v>7309</v>
      </c>
      <c r="E585" s="620">
        <f>PUER!D440</f>
        <v>1</v>
      </c>
      <c r="F585" s="621">
        <f>E585*((1+PUER!E$10))</f>
        <v>1.0403</v>
      </c>
      <c r="G585" s="621">
        <f>F585*(1+PUER!F$10)</f>
        <v>1.079363265</v>
      </c>
      <c r="H585" s="1301" t="s">
        <v>2272</v>
      </c>
    </row>
    <row r="586" spans="2:9" s="622" customFormat="1" ht="33" customHeight="1" x14ac:dyDescent="0.25">
      <c r="B586" s="617" t="s">
        <v>2281</v>
      </c>
      <c r="C586" s="618">
        <v>2234</v>
      </c>
      <c r="D586" s="1317" t="s">
        <v>7310</v>
      </c>
      <c r="E586" s="620">
        <f>PUER!D441</f>
        <v>1</v>
      </c>
      <c r="F586" s="621">
        <f>E586*((1+PUER!E$10))</f>
        <v>1.0403</v>
      </c>
      <c r="G586" s="621">
        <f>F586*(1+PUER!F$10)</f>
        <v>1.079363265</v>
      </c>
      <c r="H586" s="1301" t="s">
        <v>2272</v>
      </c>
      <c r="I586" s="620"/>
    </row>
    <row r="587" spans="2:9" ht="15" customHeight="1" x14ac:dyDescent="0.25">
      <c r="B587" s="80" t="s">
        <v>2282</v>
      </c>
      <c r="C587" s="81">
        <v>2223</v>
      </c>
      <c r="D587" s="90" t="s">
        <v>2283</v>
      </c>
      <c r="E587" s="91">
        <f>PUER!D437</f>
        <v>1</v>
      </c>
      <c r="F587" s="84">
        <f>E587*((1+PUER!E$10))</f>
        <v>1.0403</v>
      </c>
      <c r="G587" s="84">
        <f>F587*(1+PUER!F$10)</f>
        <v>1.079363265</v>
      </c>
      <c r="H587" s="1299" t="s">
        <v>1750</v>
      </c>
    </row>
    <row r="588" spans="2:9" ht="15" customHeight="1" x14ac:dyDescent="0.25">
      <c r="B588" s="80" t="s">
        <v>2282</v>
      </c>
      <c r="C588" s="81">
        <v>2224</v>
      </c>
      <c r="D588" s="90" t="s">
        <v>2284</v>
      </c>
      <c r="E588" s="91">
        <f>PUER!D438</f>
        <v>1</v>
      </c>
      <c r="F588" s="84">
        <f>E588*((1+PUER!E$10))</f>
        <v>1.0403</v>
      </c>
      <c r="G588" s="84">
        <f>F588*(1+PUER!F$10)</f>
        <v>1.079363265</v>
      </c>
      <c r="H588" s="1299" t="s">
        <v>1751</v>
      </c>
    </row>
    <row r="589" spans="2:9" s="639" customFormat="1" ht="36" customHeight="1" x14ac:dyDescent="0.25">
      <c r="B589" s="636" t="s">
        <v>2282</v>
      </c>
      <c r="C589" s="640">
        <v>2228</v>
      </c>
      <c r="D589" s="637" t="s">
        <v>4743</v>
      </c>
      <c r="E589" s="641">
        <f>PUER!D439</f>
        <v>1</v>
      </c>
      <c r="F589" s="638">
        <f>E589*((1+PUER!E$10))</f>
        <v>1.0403</v>
      </c>
      <c r="G589" s="638">
        <f>F589*(1+PUER!F$10)</f>
        <v>1.079363265</v>
      </c>
      <c r="H589" s="1302" t="s">
        <v>4742</v>
      </c>
    </row>
    <row r="590" spans="2:9" s="74" customFormat="1" ht="15" customHeight="1" x14ac:dyDescent="0.25">
      <c r="B590" s="567" t="s">
        <v>3364</v>
      </c>
      <c r="D590" s="75" t="s">
        <v>3370</v>
      </c>
      <c r="E590" s="76">
        <f>E591</f>
        <v>2</v>
      </c>
      <c r="F590" s="76">
        <f>F591</f>
        <v>2.0806</v>
      </c>
      <c r="G590" s="76">
        <f>G591</f>
        <v>2.15872653</v>
      </c>
      <c r="H590" s="1298"/>
    </row>
    <row r="591" spans="2:9" ht="15" customHeight="1" x14ac:dyDescent="0.25">
      <c r="B591" s="567" t="s">
        <v>3365</v>
      </c>
      <c r="C591" s="74"/>
      <c r="D591" s="75" t="s">
        <v>3371</v>
      </c>
      <c r="E591" s="77">
        <f t="shared" ref="E591:G594" si="57">E592</f>
        <v>2</v>
      </c>
      <c r="F591" s="77">
        <f t="shared" si="57"/>
        <v>2.0806</v>
      </c>
      <c r="G591" s="77">
        <f t="shared" si="57"/>
        <v>2.15872653</v>
      </c>
      <c r="H591" s="1298"/>
    </row>
    <row r="592" spans="2:9" ht="15" customHeight="1" x14ac:dyDescent="0.25">
      <c r="B592" s="567" t="s">
        <v>3366</v>
      </c>
      <c r="C592" s="74"/>
      <c r="D592" s="75" t="s">
        <v>3372</v>
      </c>
      <c r="E592" s="77">
        <f t="shared" si="57"/>
        <v>2</v>
      </c>
      <c r="F592" s="77">
        <f t="shared" si="57"/>
        <v>2.0806</v>
      </c>
      <c r="G592" s="77">
        <f t="shared" si="57"/>
        <v>2.15872653</v>
      </c>
      <c r="H592" s="1298"/>
    </row>
    <row r="593" spans="2:8" ht="15" customHeight="1" x14ac:dyDescent="0.25">
      <c r="B593" s="567" t="s">
        <v>3362</v>
      </c>
      <c r="C593" s="74"/>
      <c r="D593" s="75" t="s">
        <v>3373</v>
      </c>
      <c r="E593" s="77">
        <f t="shared" si="57"/>
        <v>2</v>
      </c>
      <c r="F593" s="77">
        <f t="shared" si="57"/>
        <v>2.0806</v>
      </c>
      <c r="G593" s="77">
        <f t="shared" si="57"/>
        <v>2.15872653</v>
      </c>
      <c r="H593" s="1298"/>
    </row>
    <row r="594" spans="2:8" ht="15" customHeight="1" x14ac:dyDescent="0.25">
      <c r="B594" s="567" t="s">
        <v>3367</v>
      </c>
      <c r="C594" s="74"/>
      <c r="D594" s="75" t="s">
        <v>3374</v>
      </c>
      <c r="E594" s="77">
        <f t="shared" si="57"/>
        <v>2</v>
      </c>
      <c r="F594" s="77">
        <f t="shared" si="57"/>
        <v>2.0806</v>
      </c>
      <c r="G594" s="77">
        <f t="shared" si="57"/>
        <v>2.15872653</v>
      </c>
      <c r="H594" s="1298"/>
    </row>
    <row r="595" spans="2:8" ht="15" customHeight="1" x14ac:dyDescent="0.25">
      <c r="B595" s="567" t="s">
        <v>3363</v>
      </c>
      <c r="C595" s="74"/>
      <c r="D595" s="75" t="s">
        <v>3375</v>
      </c>
      <c r="E595" s="77">
        <f>SUM(E596,E597,)</f>
        <v>2</v>
      </c>
      <c r="F595" s="77">
        <f t="shared" ref="F595:G595" si="58">SUM(F596,F597,)</f>
        <v>2.0806</v>
      </c>
      <c r="G595" s="77">
        <f t="shared" si="58"/>
        <v>2.15872653</v>
      </c>
      <c r="H595" s="1298"/>
    </row>
    <row r="596" spans="2:8" ht="15" customHeight="1" x14ac:dyDescent="0.25">
      <c r="B596" s="80" t="s">
        <v>3368</v>
      </c>
      <c r="C596" s="81">
        <v>2225</v>
      </c>
      <c r="D596" s="90" t="s">
        <v>3386</v>
      </c>
      <c r="E596" s="91">
        <f>PUER!D440</f>
        <v>1</v>
      </c>
      <c r="F596" s="84">
        <f>E596*((1+PUER!E$10))</f>
        <v>1.0403</v>
      </c>
      <c r="G596" s="84">
        <f>F596*(1+PUER!F$10)</f>
        <v>1.079363265</v>
      </c>
      <c r="H596" s="1299" t="s">
        <v>3369</v>
      </c>
    </row>
    <row r="597" spans="2:8" ht="15" customHeight="1" x14ac:dyDescent="0.25">
      <c r="B597" s="80" t="s">
        <v>3368</v>
      </c>
      <c r="C597" s="81">
        <v>2226</v>
      </c>
      <c r="D597" s="90" t="s">
        <v>3387</v>
      </c>
      <c r="E597" s="91">
        <f>PUER!D441</f>
        <v>1</v>
      </c>
      <c r="F597" s="84">
        <f>E597*((1+PUER!E$10))</f>
        <v>1.0403</v>
      </c>
      <c r="G597" s="84">
        <f>F597*(1+PUER!F$10)</f>
        <v>1.079363265</v>
      </c>
      <c r="H597" s="1299" t="s">
        <v>3385</v>
      </c>
    </row>
    <row r="598" spans="2:8" s="74" customFormat="1" ht="15" customHeight="1" x14ac:dyDescent="0.25">
      <c r="B598" s="73" t="s">
        <v>1295</v>
      </c>
      <c r="D598" s="75" t="s">
        <v>1296</v>
      </c>
      <c r="E598" s="76">
        <f>E599+E617</f>
        <v>3519225.844826214</v>
      </c>
      <c r="F598" s="76">
        <f>F599+F617</f>
        <v>3661050.6463727099</v>
      </c>
      <c r="G598" s="76">
        <f>G599+G617</f>
        <v>3661424.5356961321</v>
      </c>
      <c r="H598" s="1298"/>
    </row>
    <row r="599" spans="2:8" s="74" customFormat="1" ht="15" customHeight="1" x14ac:dyDescent="0.25">
      <c r="B599" s="73" t="s">
        <v>1297</v>
      </c>
      <c r="D599" s="75" t="s">
        <v>1298</v>
      </c>
      <c r="E599" s="77">
        <f t="shared" ref="E599:G601" si="59">E600</f>
        <v>9565.6116666666676</v>
      </c>
      <c r="F599" s="77">
        <f t="shared" si="59"/>
        <v>9951.1058168333348</v>
      </c>
      <c r="G599" s="77">
        <f t="shared" si="59"/>
        <v>10324.769840255425</v>
      </c>
      <c r="H599" s="1298"/>
    </row>
    <row r="600" spans="2:8" s="74" customFormat="1" ht="15" customHeight="1" x14ac:dyDescent="0.25">
      <c r="B600" s="73" t="s">
        <v>1299</v>
      </c>
      <c r="D600" s="75" t="s">
        <v>1300</v>
      </c>
      <c r="E600" s="77">
        <f t="shared" si="59"/>
        <v>9565.6116666666676</v>
      </c>
      <c r="F600" s="77">
        <f t="shared" si="59"/>
        <v>9951.1058168333348</v>
      </c>
      <c r="G600" s="77">
        <f t="shared" si="59"/>
        <v>10324.769840255425</v>
      </c>
      <c r="H600" s="1298"/>
    </row>
    <row r="601" spans="2:8" s="74" customFormat="1" ht="15" customHeight="1" x14ac:dyDescent="0.25">
      <c r="B601" s="73" t="s">
        <v>1301</v>
      </c>
      <c r="D601" s="75" t="s">
        <v>1302</v>
      </c>
      <c r="E601" s="77">
        <f t="shared" si="59"/>
        <v>9565.6116666666676</v>
      </c>
      <c r="F601" s="77">
        <f t="shared" si="59"/>
        <v>9951.1058168333348</v>
      </c>
      <c r="G601" s="77">
        <f t="shared" si="59"/>
        <v>10324.769840255425</v>
      </c>
      <c r="H601" s="1298"/>
    </row>
    <row r="602" spans="2:8" s="74" customFormat="1" ht="15" customHeight="1" x14ac:dyDescent="0.25">
      <c r="B602" s="73" t="s">
        <v>1303</v>
      </c>
      <c r="D602" s="75" t="s">
        <v>1304</v>
      </c>
      <c r="E602" s="77">
        <f>E603+E612</f>
        <v>9565.6116666666676</v>
      </c>
      <c r="F602" s="77">
        <f t="shared" ref="F602:G602" si="60">F603+F612</f>
        <v>9951.1058168333348</v>
      </c>
      <c r="G602" s="77">
        <f t="shared" si="60"/>
        <v>10324.769840255425</v>
      </c>
      <c r="H602" s="1298"/>
    </row>
    <row r="603" spans="2:8" s="74" customFormat="1" ht="15" customHeight="1" x14ac:dyDescent="0.25">
      <c r="B603" s="73" t="s">
        <v>1305</v>
      </c>
      <c r="D603" s="75" t="s">
        <v>1306</v>
      </c>
      <c r="E603" s="77">
        <f>E604+E608</f>
        <v>9564.6116666666676</v>
      </c>
      <c r="F603" s="77">
        <f>F604+F608</f>
        <v>9950.0655168333342</v>
      </c>
      <c r="G603" s="77">
        <f>G604+G608</f>
        <v>10323.690476990425</v>
      </c>
      <c r="H603" s="1298"/>
    </row>
    <row r="604" spans="2:8" s="74" customFormat="1" ht="15" customHeight="1" x14ac:dyDescent="0.25">
      <c r="B604" s="73" t="s">
        <v>1307</v>
      </c>
      <c r="D604" s="75" t="s">
        <v>469</v>
      </c>
      <c r="E604" s="77">
        <f>PUER!D443+0.01</f>
        <v>9563.6116666666676</v>
      </c>
      <c r="F604" s="92">
        <f>E604*((1+PUER!E$10))</f>
        <v>9949.0252168333336</v>
      </c>
      <c r="G604" s="92">
        <f>F604*(1+PUER!F$10)</f>
        <v>10322.611113725425</v>
      </c>
      <c r="H604" s="1298"/>
    </row>
    <row r="605" spans="2:8" ht="15" customHeight="1" x14ac:dyDescent="0.25">
      <c r="B605" s="80" t="s">
        <v>1308</v>
      </c>
      <c r="C605" s="81">
        <v>3000</v>
      </c>
      <c r="D605" s="90" t="s">
        <v>1309</v>
      </c>
      <c r="E605" s="83">
        <f>E604*PUER!D$17</f>
        <v>5164.350300000001</v>
      </c>
      <c r="F605" s="84">
        <f>E605*(1+PUER!E$10)</f>
        <v>5372.4736170900014</v>
      </c>
      <c r="G605" s="84">
        <f>F605*1+PUER!F$10</f>
        <v>5372.5111670900014</v>
      </c>
      <c r="H605" s="1299" t="s">
        <v>1730</v>
      </c>
    </row>
    <row r="606" spans="2:8" ht="15" customHeight="1" x14ac:dyDescent="0.25">
      <c r="B606" s="80" t="s">
        <v>1310</v>
      </c>
      <c r="C606" s="81">
        <v>3001</v>
      </c>
      <c r="D606" s="90" t="s">
        <v>1311</v>
      </c>
      <c r="E606" s="83">
        <f>E604*(PUER!D$19+PUER!D$20)-0.01</f>
        <v>2486.5290333333332</v>
      </c>
      <c r="F606" s="84">
        <f>E606*(1+PUER!E$10)</f>
        <v>2586.7361533766666</v>
      </c>
      <c r="G606" s="84">
        <f>F606*1+PUER!F$10</f>
        <v>2586.7737033766666</v>
      </c>
      <c r="H606" s="1299" t="s">
        <v>1771</v>
      </c>
    </row>
    <row r="607" spans="2:8" ht="15" customHeight="1" x14ac:dyDescent="0.25">
      <c r="B607" s="80" t="s">
        <v>1312</v>
      </c>
      <c r="C607" s="81">
        <v>3002</v>
      </c>
      <c r="D607" s="90" t="s">
        <v>1313</v>
      </c>
      <c r="E607" s="83">
        <f>E604*(PUER!D$24+PUER!D$25)+0.01</f>
        <v>1912.7323333333336</v>
      </c>
      <c r="F607" s="84">
        <f>E607*(1+PUER!E$10)</f>
        <v>1989.8154463666669</v>
      </c>
      <c r="G607" s="84">
        <f>F607*1+PUER!F$10</f>
        <v>1989.852996366667</v>
      </c>
      <c r="H607" s="1299" t="s">
        <v>1738</v>
      </c>
    </row>
    <row r="608" spans="2:8" s="74" customFormat="1" ht="15" customHeight="1" x14ac:dyDescent="0.25">
      <c r="B608" s="73" t="s">
        <v>1314</v>
      </c>
      <c r="D608" s="75" t="s">
        <v>470</v>
      </c>
      <c r="E608" s="77">
        <f>PUER!D444</f>
        <v>1</v>
      </c>
      <c r="F608" s="92">
        <f>E608*((1+PUER!E$10))</f>
        <v>1.0403</v>
      </c>
      <c r="G608" s="92">
        <f>F608*(1+PUER!F$10)</f>
        <v>1.079363265</v>
      </c>
      <c r="H608" s="1298"/>
    </row>
    <row r="609" spans="2:8" ht="15" customHeight="1" x14ac:dyDescent="0.25">
      <c r="B609" s="80" t="s">
        <v>1315</v>
      </c>
      <c r="C609" s="81">
        <v>3003</v>
      </c>
      <c r="D609" s="90" t="s">
        <v>1316</v>
      </c>
      <c r="E609" s="83">
        <f>E608*PUER!D$17</f>
        <v>0.54</v>
      </c>
      <c r="F609" s="84">
        <f>E609*(1+PUER!E$10)</f>
        <v>0.56176199999999998</v>
      </c>
      <c r="G609" s="84">
        <f>F609*1+PUER!F$10</f>
        <v>0.59931199999999996</v>
      </c>
      <c r="H609" s="1299" t="s">
        <v>1730</v>
      </c>
    </row>
    <row r="610" spans="2:8" ht="15" customHeight="1" x14ac:dyDescent="0.25">
      <c r="B610" s="80" t="s">
        <v>1317</v>
      </c>
      <c r="C610" s="81">
        <v>3004</v>
      </c>
      <c r="D610" s="90" t="s">
        <v>1318</v>
      </c>
      <c r="E610" s="83">
        <f>E608*(PUER!D$19+PUER!D$20)</f>
        <v>0.26</v>
      </c>
      <c r="F610" s="84">
        <f>E610*(1+PUER!E$10)</f>
        <v>0.270478</v>
      </c>
      <c r="G610" s="84">
        <f>F610*1+PUER!F$10</f>
        <v>0.30802799999999997</v>
      </c>
      <c r="H610" s="1299" t="s">
        <v>1771</v>
      </c>
    </row>
    <row r="611" spans="2:8" ht="15" customHeight="1" x14ac:dyDescent="0.25">
      <c r="B611" s="80" t="s">
        <v>1319</v>
      </c>
      <c r="C611" s="81">
        <v>3005</v>
      </c>
      <c r="D611" s="90" t="s">
        <v>1320</v>
      </c>
      <c r="E611" s="83">
        <f>E608*(PUER!D$24+PUER!D$25)</f>
        <v>0.2</v>
      </c>
      <c r="F611" s="84">
        <f>E611*(1+PUER!E$10)</f>
        <v>0.20806000000000002</v>
      </c>
      <c r="G611" s="84">
        <f>F611*1+PUER!F$10</f>
        <v>0.24561000000000002</v>
      </c>
      <c r="H611" s="1299" t="s">
        <v>1738</v>
      </c>
    </row>
    <row r="612" spans="2:8" s="74" customFormat="1" ht="15" customHeight="1" x14ac:dyDescent="0.25">
      <c r="B612" s="73" t="s">
        <v>1321</v>
      </c>
      <c r="D612" s="75" t="s">
        <v>1322</v>
      </c>
      <c r="E612" s="77">
        <f>E613</f>
        <v>1</v>
      </c>
      <c r="F612" s="77">
        <f t="shared" ref="F612:G612" si="61">F613</f>
        <v>1.0403</v>
      </c>
      <c r="G612" s="77">
        <f t="shared" si="61"/>
        <v>1.079363265</v>
      </c>
      <c r="H612" s="1298"/>
    </row>
    <row r="613" spans="2:8" s="74" customFormat="1" ht="15" customHeight="1" x14ac:dyDescent="0.25">
      <c r="B613" s="73" t="s">
        <v>1323</v>
      </c>
      <c r="D613" s="75" t="s">
        <v>471</v>
      </c>
      <c r="E613" s="77">
        <f>PUER!D445</f>
        <v>1</v>
      </c>
      <c r="F613" s="92">
        <f>E613*((1+PUER!E$10))</f>
        <v>1.0403</v>
      </c>
      <c r="G613" s="92">
        <f>F613*(1+PUER!F$10)</f>
        <v>1.079363265</v>
      </c>
      <c r="H613" s="1298"/>
    </row>
    <row r="614" spans="2:8" ht="15" customHeight="1" x14ac:dyDescent="0.25">
      <c r="B614" s="80" t="s">
        <v>1324</v>
      </c>
      <c r="C614" s="81">
        <v>3006</v>
      </c>
      <c r="D614" s="90" t="s">
        <v>1325</v>
      </c>
      <c r="E614" s="83">
        <f>E613*PUER!D$17</f>
        <v>0.54</v>
      </c>
      <c r="F614" s="84">
        <f>E614*(1+PUER!E$10)</f>
        <v>0.56176199999999998</v>
      </c>
      <c r="G614" s="84">
        <f>F614*1+PUER!F$10</f>
        <v>0.59931199999999996</v>
      </c>
      <c r="H614" s="1299" t="s">
        <v>1730</v>
      </c>
    </row>
    <row r="615" spans="2:8" ht="15" customHeight="1" x14ac:dyDescent="0.25">
      <c r="B615" s="80" t="s">
        <v>1326</v>
      </c>
      <c r="C615" s="81">
        <v>3007</v>
      </c>
      <c r="D615" s="90" t="s">
        <v>1327</v>
      </c>
      <c r="E615" s="83">
        <f>E613*(PUER!D$19+PUER!D$20)</f>
        <v>0.26</v>
      </c>
      <c r="F615" s="84">
        <f>E615*(1+PUER!E$10)</f>
        <v>0.270478</v>
      </c>
      <c r="G615" s="84">
        <f>F615*1+PUER!F$10</f>
        <v>0.30802799999999997</v>
      </c>
      <c r="H615" s="1299" t="s">
        <v>1771</v>
      </c>
    </row>
    <row r="616" spans="2:8" ht="15" customHeight="1" x14ac:dyDescent="0.25">
      <c r="B616" s="80" t="s">
        <v>1328</v>
      </c>
      <c r="C616" s="81">
        <v>3008</v>
      </c>
      <c r="D616" s="90" t="s">
        <v>1329</v>
      </c>
      <c r="E616" s="83">
        <f>E613*(PUER!D$24+PUER!D$25)</f>
        <v>0.2</v>
      </c>
      <c r="F616" s="84">
        <f>E616*(1+PUER!E$10)</f>
        <v>0.20806000000000002</v>
      </c>
      <c r="G616" s="84">
        <f>F616*1+PUER!F$10</f>
        <v>0.24561000000000002</v>
      </c>
      <c r="H616" s="1299" t="s">
        <v>1738</v>
      </c>
    </row>
    <row r="617" spans="2:8" s="74" customFormat="1" ht="15" customHeight="1" x14ac:dyDescent="0.25">
      <c r="B617" s="73" t="s">
        <v>1330</v>
      </c>
      <c r="D617" s="75" t="s">
        <v>1331</v>
      </c>
      <c r="E617" s="76">
        <f>E618+E628</f>
        <v>3509660.2331595472</v>
      </c>
      <c r="F617" s="76">
        <f>F618+F628+0.01</f>
        <v>3651099.5405558767</v>
      </c>
      <c r="G617" s="76">
        <f>G618+G628+0.01</f>
        <v>3651099.7658558767</v>
      </c>
      <c r="H617" s="1298"/>
    </row>
    <row r="618" spans="2:8" s="74" customFormat="1" ht="15" customHeight="1" x14ac:dyDescent="0.25">
      <c r="B618" s="73" t="s">
        <v>1332</v>
      </c>
      <c r="D618" s="75" t="s">
        <v>1333</v>
      </c>
      <c r="E618" s="76">
        <f>E619</f>
        <v>2276350.3132047169</v>
      </c>
      <c r="F618" s="76">
        <f>F619</f>
        <v>2368087.2308268668</v>
      </c>
      <c r="G618" s="76">
        <f>G619</f>
        <v>2368087.3434768668</v>
      </c>
      <c r="H618" s="1298"/>
    </row>
    <row r="619" spans="2:8" s="74" customFormat="1" ht="15" customHeight="1" x14ac:dyDescent="0.25">
      <c r="B619" s="73" t="s">
        <v>1334</v>
      </c>
      <c r="D619" s="75" t="s">
        <v>1335</v>
      </c>
      <c r="E619" s="77">
        <f>E620+E625</f>
        <v>2276350.3132047169</v>
      </c>
      <c r="F619" s="77">
        <f>F620+F625-0.01</f>
        <v>2368087.2308268668</v>
      </c>
      <c r="G619" s="77">
        <f>G620+G625-0.01</f>
        <v>2368087.3434768668</v>
      </c>
      <c r="H619" s="1298"/>
    </row>
    <row r="620" spans="2:8" s="74" customFormat="1" ht="15" customHeight="1" x14ac:dyDescent="0.25">
      <c r="B620" s="73" t="s">
        <v>1336</v>
      </c>
      <c r="D620" s="75" t="s">
        <v>1337</v>
      </c>
      <c r="E620" s="77">
        <f>E622+E623</f>
        <v>2276350.1042737821</v>
      </c>
      <c r="F620" s="77">
        <f>F622+F623+0.01</f>
        <v>2368087.0234760153</v>
      </c>
      <c r="G620" s="77">
        <f>G622+G623+0.01</f>
        <v>2368087.0985760153</v>
      </c>
      <c r="H620" s="1298"/>
    </row>
    <row r="621" spans="2:8" s="74" customFormat="1" ht="15" customHeight="1" x14ac:dyDescent="0.25">
      <c r="B621" s="73" t="s">
        <v>1338</v>
      </c>
      <c r="D621" s="75" t="s">
        <v>1339</v>
      </c>
      <c r="E621" s="77">
        <f>SUM(E622)</f>
        <v>2272735.7393452986</v>
      </c>
      <c r="F621" s="77">
        <f t="shared" ref="F621:G621" si="62">SUM(F622)</f>
        <v>2364326.9896409144</v>
      </c>
      <c r="G621" s="77">
        <f t="shared" si="62"/>
        <v>2364327.0271909144</v>
      </c>
      <c r="H621" s="1298"/>
    </row>
    <row r="622" spans="2:8" ht="15" customHeight="1" x14ac:dyDescent="0.25">
      <c r="B622" s="80" t="s">
        <v>1340</v>
      </c>
      <c r="C622" s="81">
        <v>3050</v>
      </c>
      <c r="D622" s="90" t="s">
        <v>1341</v>
      </c>
      <c r="E622" s="91">
        <f>FUNDEB!C83</f>
        <v>2272735.7393452986</v>
      </c>
      <c r="F622" s="84">
        <f>E622*(1+PUER!E$10)</f>
        <v>2364326.9896409144</v>
      </c>
      <c r="G622" s="84">
        <f>F622*1+PUER!F$10</f>
        <v>2364327.0271909144</v>
      </c>
      <c r="H622" s="1299" t="s">
        <v>1770</v>
      </c>
    </row>
    <row r="623" spans="2:8" s="74" customFormat="1" ht="15" customHeight="1" x14ac:dyDescent="0.25">
      <c r="B623" s="73" t="s">
        <v>1342</v>
      </c>
      <c r="D623" s="75" t="s">
        <v>1343</v>
      </c>
      <c r="E623" s="77">
        <f>SUM(E624)</f>
        <v>3614.3649284833609</v>
      </c>
      <c r="F623" s="77">
        <f t="shared" ref="F623:G623" si="63">SUM(F624)</f>
        <v>3760.0238351012404</v>
      </c>
      <c r="G623" s="77">
        <f t="shared" si="63"/>
        <v>3760.0613851012404</v>
      </c>
      <c r="H623" s="1298"/>
    </row>
    <row r="624" spans="2:8" ht="15" customHeight="1" x14ac:dyDescent="0.25">
      <c r="B624" s="80" t="s">
        <v>1344</v>
      </c>
      <c r="C624" s="81">
        <v>3051</v>
      </c>
      <c r="D624" s="90" t="s">
        <v>1345</v>
      </c>
      <c r="E624" s="91">
        <f>FUNDEB!C84</f>
        <v>3614.3649284833609</v>
      </c>
      <c r="F624" s="84">
        <f>E624*(1+PUER!E$10)</f>
        <v>3760.0238351012404</v>
      </c>
      <c r="G624" s="84">
        <f>F624*1+PUER!F$10</f>
        <v>3760.0613851012404</v>
      </c>
      <c r="H624" s="1299" t="s">
        <v>1770</v>
      </c>
    </row>
    <row r="625" spans="2:8" s="74" customFormat="1" ht="15" customHeight="1" x14ac:dyDescent="0.25">
      <c r="B625" s="73" t="s">
        <v>1346</v>
      </c>
      <c r="D625" s="75" t="s">
        <v>1347</v>
      </c>
      <c r="E625" s="77">
        <f>E626</f>
        <v>0.20893093459686388</v>
      </c>
      <c r="F625" s="77">
        <f>F626</f>
        <v>0.2173508512611175</v>
      </c>
      <c r="G625" s="77">
        <f>G626</f>
        <v>0.2549008512611175</v>
      </c>
      <c r="H625" s="1298"/>
    </row>
    <row r="626" spans="2:8" s="74" customFormat="1" ht="15" customHeight="1" x14ac:dyDescent="0.25">
      <c r="B626" s="73" t="s">
        <v>1348</v>
      </c>
      <c r="D626" s="75" t="s">
        <v>1349</v>
      </c>
      <c r="E626" s="77">
        <f>SUM(E627)</f>
        <v>0.20893093459686388</v>
      </c>
      <c r="F626" s="77">
        <f t="shared" ref="F626:G626" si="64">SUM(F627)</f>
        <v>0.2173508512611175</v>
      </c>
      <c r="G626" s="77">
        <f t="shared" si="64"/>
        <v>0.2549008512611175</v>
      </c>
      <c r="H626" s="1298"/>
    </row>
    <row r="627" spans="2:8" ht="15" customHeight="1" x14ac:dyDescent="0.25">
      <c r="B627" s="80" t="s">
        <v>1350</v>
      </c>
      <c r="C627" s="81">
        <v>3052</v>
      </c>
      <c r="D627" s="89" t="s">
        <v>1351</v>
      </c>
      <c r="E627" s="91">
        <f>FUNDEB!C85</f>
        <v>0.20893093459686388</v>
      </c>
      <c r="F627" s="84">
        <f>E627*(1+PUER!E$10)</f>
        <v>0.2173508512611175</v>
      </c>
      <c r="G627" s="84">
        <f>F627*1+PUER!F$10</f>
        <v>0.2549008512611175</v>
      </c>
      <c r="H627" s="1299" t="s">
        <v>1770</v>
      </c>
    </row>
    <row r="628" spans="2:8" s="74" customFormat="1" ht="15" customHeight="1" x14ac:dyDescent="0.25">
      <c r="B628" s="73" t="s">
        <v>1352</v>
      </c>
      <c r="D628" s="75" t="s">
        <v>1353</v>
      </c>
      <c r="E628" s="77">
        <f t="shared" ref="E628:G629" si="65">E629</f>
        <v>1233309.9199548303</v>
      </c>
      <c r="F628" s="77">
        <f t="shared" si="65"/>
        <v>1283012.2997290103</v>
      </c>
      <c r="G628" s="77">
        <f t="shared" si="65"/>
        <v>1283012.4123790103</v>
      </c>
      <c r="H628" s="1298"/>
    </row>
    <row r="629" spans="2:8" s="74" customFormat="1" ht="15" customHeight="1" x14ac:dyDescent="0.25">
      <c r="B629" s="73" t="s">
        <v>1354</v>
      </c>
      <c r="D629" s="75" t="s">
        <v>1355</v>
      </c>
      <c r="E629" s="77">
        <f t="shared" si="65"/>
        <v>1233309.9199548303</v>
      </c>
      <c r="F629" s="77">
        <f t="shared" si="65"/>
        <v>1283012.2997290103</v>
      </c>
      <c r="G629" s="77">
        <f t="shared" si="65"/>
        <v>1283012.4123790103</v>
      </c>
      <c r="H629" s="1298"/>
    </row>
    <row r="630" spans="2:8" s="74" customFormat="1" ht="15" customHeight="1" x14ac:dyDescent="0.25">
      <c r="B630" s="73" t="s">
        <v>1356</v>
      </c>
      <c r="D630" s="75" t="s">
        <v>1357</v>
      </c>
      <c r="E630" s="77">
        <f>E631+E633+E635</f>
        <v>1233309.9199548303</v>
      </c>
      <c r="F630" s="77">
        <f>F631+F633+F635-0.01</f>
        <v>1283012.2997290103</v>
      </c>
      <c r="G630" s="77">
        <f>G631+G633+G635-0.01</f>
        <v>1283012.4123790103</v>
      </c>
      <c r="H630" s="1298"/>
    </row>
    <row r="631" spans="2:8" s="74" customFormat="1" ht="15" customHeight="1" x14ac:dyDescent="0.25">
      <c r="B631" s="73" t="s">
        <v>1358</v>
      </c>
      <c r="D631" s="75" t="s">
        <v>1359</v>
      </c>
      <c r="E631" s="77">
        <f>SUM(E632)</f>
        <v>1117221.605291273</v>
      </c>
      <c r="F631" s="77">
        <f t="shared" ref="F631:G631" si="66">SUM(F632)</f>
        <v>1162245.6359845113</v>
      </c>
      <c r="G631" s="77">
        <f t="shared" si="66"/>
        <v>1162245.6735345114</v>
      </c>
      <c r="H631" s="1299"/>
    </row>
    <row r="632" spans="2:8" ht="15" customHeight="1" x14ac:dyDescent="0.25">
      <c r="B632" s="80" t="s">
        <v>1360</v>
      </c>
      <c r="C632" s="81">
        <v>3080</v>
      </c>
      <c r="D632" s="90" t="s">
        <v>1361</v>
      </c>
      <c r="E632" s="91">
        <f>FUNDEB!C86</f>
        <v>1117221.605291273</v>
      </c>
      <c r="F632" s="84">
        <f>E632*(1+PUER!E$10)</f>
        <v>1162245.6359845113</v>
      </c>
      <c r="G632" s="84">
        <f>F632*1+PUER!F$10</f>
        <v>1162245.6735345114</v>
      </c>
      <c r="H632" s="1299" t="s">
        <v>1770</v>
      </c>
    </row>
    <row r="633" spans="2:8" s="74" customFormat="1" ht="15" customHeight="1" x14ac:dyDescent="0.25">
      <c r="B633" s="73" t="s">
        <v>1362</v>
      </c>
      <c r="D633" s="75" t="s">
        <v>1363</v>
      </c>
      <c r="E633" s="77">
        <f>SUM(E634)</f>
        <v>116071.67024700633</v>
      </c>
      <c r="F633" s="77">
        <f t="shared" ref="F633:G633" si="67">SUM(F634)</f>
        <v>120749.35855796069</v>
      </c>
      <c r="G633" s="77">
        <f t="shared" si="67"/>
        <v>120749.39610796068</v>
      </c>
      <c r="H633" s="1298"/>
    </row>
    <row r="634" spans="2:8" ht="15" customHeight="1" x14ac:dyDescent="0.25">
      <c r="B634" s="80" t="s">
        <v>1364</v>
      </c>
      <c r="C634" s="81">
        <v>3081</v>
      </c>
      <c r="D634" s="90" t="s">
        <v>1365</v>
      </c>
      <c r="E634" s="91">
        <f>FUNDEB!C87</f>
        <v>116071.67024700633</v>
      </c>
      <c r="F634" s="84">
        <f>E634*(1+PUER!E$10)</f>
        <v>120749.35855796069</v>
      </c>
      <c r="G634" s="84">
        <f>F634*1+PUER!F$10</f>
        <v>120749.39610796068</v>
      </c>
      <c r="H634" s="1299" t="s">
        <v>1770</v>
      </c>
    </row>
    <row r="635" spans="2:8" s="74" customFormat="1" ht="15" customHeight="1" x14ac:dyDescent="0.25">
      <c r="B635" s="73" t="s">
        <v>1366</v>
      </c>
      <c r="D635" s="75" t="s">
        <v>1367</v>
      </c>
      <c r="E635" s="77">
        <f>SUM(E636)</f>
        <v>16.644416551178892</v>
      </c>
      <c r="F635" s="77">
        <f t="shared" ref="F635:G635" si="68">SUM(F636)</f>
        <v>17.315186538191401</v>
      </c>
      <c r="G635" s="77">
        <f t="shared" si="68"/>
        <v>17.352736538191401</v>
      </c>
      <c r="H635" s="1298"/>
    </row>
    <row r="636" spans="2:8" ht="15" customHeight="1" x14ac:dyDescent="0.25">
      <c r="B636" s="80" t="s">
        <v>1368</v>
      </c>
      <c r="C636" s="81">
        <v>3082</v>
      </c>
      <c r="D636" s="90" t="s">
        <v>1369</v>
      </c>
      <c r="E636" s="91">
        <f>FUNDEB!C88</f>
        <v>16.644416551178892</v>
      </c>
      <c r="F636" s="84">
        <f>E636*(1+PUER!E$10)</f>
        <v>17.315186538191401</v>
      </c>
      <c r="G636" s="84">
        <f>F636*1+PUER!F$10</f>
        <v>17.352736538191401</v>
      </c>
      <c r="H636" s="1299" t="s">
        <v>1770</v>
      </c>
    </row>
    <row r="637" spans="2:8" s="94" customFormat="1" ht="15" customHeight="1" x14ac:dyDescent="0.25">
      <c r="B637" s="1509" t="s">
        <v>1772</v>
      </c>
      <c r="C637" s="1509"/>
      <c r="D637" s="1509"/>
      <c r="E637" s="93">
        <f>E9-E598</f>
        <v>27736997.967646588</v>
      </c>
      <c r="F637" s="93">
        <f>F9-F598</f>
        <v>25961070.146572936</v>
      </c>
      <c r="G637" s="93">
        <f>G9-G598</f>
        <v>26543164.18551942</v>
      </c>
      <c r="H637" s="1300"/>
    </row>
    <row r="638" spans="2:8" ht="15" customHeight="1" x14ac:dyDescent="0.25">
      <c r="H638" s="1299"/>
    </row>
    <row r="639" spans="2:8" ht="15" customHeight="1" x14ac:dyDescent="0.25">
      <c r="D639" s="98" t="s">
        <v>2285</v>
      </c>
      <c r="E639" s="91">
        <f>E10+0.03</f>
        <v>26376546.772472803</v>
      </c>
      <c r="F639" s="91">
        <f>F10</f>
        <v>27386024.915300645</v>
      </c>
      <c r="G639" s="91">
        <f>G10</f>
        <v>27884527.443364985</v>
      </c>
      <c r="H639" s="1299"/>
    </row>
    <row r="640" spans="2:8" ht="15" customHeight="1" x14ac:dyDescent="0.25">
      <c r="D640" s="98"/>
      <c r="H640" s="1299"/>
    </row>
    <row r="641" spans="3:11" ht="15" customHeight="1" x14ac:dyDescent="0.25">
      <c r="D641" s="98" t="s">
        <v>2286</v>
      </c>
      <c r="E641" s="91">
        <f>E504</f>
        <v>4879677.07</v>
      </c>
      <c r="F641" s="91">
        <f>F504</f>
        <v>2236095.8776449994</v>
      </c>
      <c r="G641" s="91">
        <f>G504</f>
        <v>2320061.2778505697</v>
      </c>
      <c r="H641" s="1299"/>
    </row>
    <row r="642" spans="3:11" ht="15" customHeight="1" x14ac:dyDescent="0.25">
      <c r="D642" s="98"/>
      <c r="H642" s="1299"/>
    </row>
    <row r="643" spans="3:11" ht="15" customHeight="1" x14ac:dyDescent="0.25">
      <c r="D643" s="98" t="s">
        <v>2287</v>
      </c>
      <c r="E643" s="91">
        <f>E590</f>
        <v>2</v>
      </c>
      <c r="F643" s="91">
        <f>F590</f>
        <v>2.0806</v>
      </c>
      <c r="G643" s="91">
        <f>G590</f>
        <v>2.15872653</v>
      </c>
      <c r="H643" s="1299"/>
    </row>
    <row r="644" spans="3:11" ht="15" customHeight="1" x14ac:dyDescent="0.25">
      <c r="D644" s="98"/>
      <c r="H644" s="1299"/>
    </row>
    <row r="645" spans="3:11" ht="15" customHeight="1" x14ac:dyDescent="0.25">
      <c r="D645" s="98" t="s">
        <v>2288</v>
      </c>
      <c r="E645" s="91">
        <f>E598</f>
        <v>3519225.844826214</v>
      </c>
      <c r="F645" s="91">
        <f>F598</f>
        <v>3661050.6463727099</v>
      </c>
      <c r="G645" s="91">
        <f>G598</f>
        <v>3661424.5356961321</v>
      </c>
      <c r="H645" s="1299"/>
    </row>
    <row r="646" spans="3:11" ht="15" customHeight="1" x14ac:dyDescent="0.25">
      <c r="H646" s="1299"/>
    </row>
    <row r="647" spans="3:11" s="94" customFormat="1" ht="15" customHeight="1" x14ac:dyDescent="0.25">
      <c r="D647" s="99" t="s">
        <v>2289</v>
      </c>
      <c r="E647" s="93">
        <f>E639+E641+E643-E645</f>
        <v>27736999.997646589</v>
      </c>
      <c r="F647" s="93">
        <f>F639+F641+F643-F645</f>
        <v>25961072.227172937</v>
      </c>
      <c r="G647" s="93">
        <f>G639+G641+G643-G645</f>
        <v>26543166.344245948</v>
      </c>
      <c r="H647" s="1300"/>
      <c r="I647" s="93"/>
    </row>
    <row r="648" spans="3:11" s="94" customFormat="1" ht="15" customHeight="1" x14ac:dyDescent="0.25">
      <c r="D648" s="99"/>
      <c r="E648" s="93"/>
      <c r="F648" s="93"/>
      <c r="G648" s="93"/>
      <c r="H648" s="1300"/>
    </row>
    <row r="649" spans="3:11" s="94" customFormat="1" ht="15" customHeight="1" x14ac:dyDescent="0.25">
      <c r="D649" s="99" t="s">
        <v>7299</v>
      </c>
      <c r="E649" s="93">
        <f>SUM(E650:E702)-1.06</f>
        <v>27736999.997646589</v>
      </c>
      <c r="F649" s="93">
        <f>SUM(F650:F702)</f>
        <v>25809161.024750579</v>
      </c>
      <c r="G649" s="93">
        <f>SUM(G650:G702)</f>
        <v>26864289.238529149</v>
      </c>
      <c r="H649" s="1300"/>
    </row>
    <row r="650" spans="3:11" s="94" customFormat="1" ht="15" customHeight="1" x14ac:dyDescent="0.25">
      <c r="D650" s="1319" t="s">
        <v>1730</v>
      </c>
      <c r="E650" s="91">
        <f>E17+E21+E26+E30+E36+E40+E44+E48+E52+E56+E60+E64+E69+E73+E77+E81+E88+E89+E90+E91+E92+E93+E94+E95+E97+E98+E99+E100+E101+E102+E103+E104+E106+E107+E108+E109+E110+E111+E112+E113+E115+E116+E117+E118+E119+E120+E121+E122+E124+E125+E126+E127+E131+E132+E133+E134+E135+E136+E137+E138+E139+E140+E141+E143+E144+E145+E146+E147+E148+E149+E150+E151+E152+E153+E155+E156+E157+E158+E159+E160+E161+E162+E163+E164+E165+E167+E168+E169+E170+E171+E172+E173+E174+E175+E176+E177+E181+E183+E185+E187+E190+E196+E222+E223+E228+E230+E233+E235+E237+E239+E244+E245+E247+E248+E250+E251+E253+E254+E256+E257+E258+E259+E263+E264+E265+E266+E267+E268+E269+E270+E271+E272+E273+E274+E275+E276+E277+E278+E279+E281+E282+E283+E284+E285+E286+E287+E288+E289+E290+E291+E292+E293+E294+E295+E296+E297+E299+E300+E301+E302+E303+E304+E305+E306+E307+E308+E309+E310+E311+E312+E313+E314+E315+E317+E318+E319+E321+E320+E322+E323+E324+E325+E326+E327+E328+E329+E330+E331+E332+E333+E339+E344+E348+E352+E357+E358+E384+E390+E391+E396+E401+E406+E419+E420+E421+E444+E446+E447+E452+E453+E454+E455+E456+E457+E459+E460+E461+E462+E463+E465+E466+E467+E468+E469+E471+E472+E473+E474+E475+E476+E481+E482+E483+E484+E485+E486+E487+E488+E489+E490+E492+E491+E493+E494+E495+E496+E497+E498+E499+E501+E503+E509+E502+E510+E519+E520+E521+E553+-E605-E609-E614+0.11+E516</f>
        <v>11401688.474694073</v>
      </c>
      <c r="F650" s="91">
        <f>F17+F21+F26+F30+F36+F40+F44+F48+F52+F56+F60+F64+F69+F73+F77+F81+F88+F89+F90+F91+F92+F93+F94+F95+F97+F98+F99+F100+F101+F102+F103+F104+F106+F107+F108+F109+F110+F111+F112+F113+F115+F116+F117+F118+F119+F120+F121+F122+F124+F125+F126+F127+F131+F132+F133+F134+F135+F136+F137+F138+F139+F140+F141+F143+F144+F145+F146+F147+F148+F149+F150+F151+F152+F153+F155+F156+F157+F158+F159+F160+F161+F162+F163+F164+F165+F167+F168+F169+F170+F171+F172+F173+F174+F175+F176+F177+F181+F183+F185+F187+F190+F196+F222+F223+F228+F230+F233+F235+F237+F239+F244+F245+F247+F248+F250+F251+F253+F254+F256+F257+F258+F259+F263+F264+F265+F266+F267+F268+F269+F270+F271+F272+F273+F274+F275+F276+F277+F278+F279+F281+F282+F283+F284+F285+F286+F287+F288+F289+F290+F291+F292+F293+F294+F295+F296+F297+F299+F300+F301+F302+F303+F304+F305+F306+F307+F308+F309+F310+F311+F312+F313+F314+F315+F317+F318+F319+F321+F320+F322+F323+F324+F325+F326+F327+F328+F329+F330+F331+F332+F333+F339+F344+F348+F352+F357+F358+F384+F390+F391+F396+F401+F406+F419+F420+F421+F444+F446+F447+F452+F453+F454+F455+F456+F457+F459+F460+F461+F462+F463+F465+F466+F467+F468+F469+F471+F472+F473+F474+F475+F476+F481+F482+F483+F484+F485+F486+F487+F488+F489+F490+F492+F491+F493+F494+F495+F496+F497+F498+F499+F501+F503+F509+F502+F510+F519+F520+F521+F553+-F605-F609-F614+0.11+F516</f>
        <v>11861176.515791256</v>
      </c>
      <c r="G650" s="91">
        <f>G17+G21+G26+G30+G36+G40+G44+G48+G52+G56+G60+G64+G69+G73+G77+G81+G88+G89+G90+G91+G92+G93+G94+G95+G97+G98+G99+G100+G101+G102+G103+G104+G106+G107+G108+G109+G110+G111+G112+G113+G115+G116+G117+G118+G119+G120+G121+G122+G124+G125+G126+G127+G131+G132+G133+G134+G135+G136+G137+G138+G139+G140+G141+G143+G144+G145+G146+G147+G148+G149+G150+G151+G152+G153+G155+G156+G157+G158+G159+G160+G161+G162+G163+G164+G165+G167+G168+G169+G170+G171+G172+G173+G174+G175+G176+G177+G181+G183+G185+G187+G190+G196+G222+G223+G228+G230+G233+G235+G237+G239+G244+G245+G247+G248+G250+G251+G253+G254+G256+G257+G258+G259+G263+G264+G265+G266+G267+G268+G269+G270+G271+G272+G273+G274+G275+G276+G277+G278+G279+G281+G282+G283+G284+G285+G286+G287+G288+G289+G290+G291+G292+G293+G294+G295+G296+G297+G299+G300+G301+G302+G303+G304+G305+G306+G307+G308+G309+G310+G311+G312+G313+G314+G315+G317+G318+G319+G321+G320+G322+G323+G324+G325+G326+G327+G328+G329+G330+G331+G332+G333+G339+G344+G348+G352+G357+G358+G384+G390+G391+G396+G401+G406+G419+G420+G421+G444+G446+G447+G452+G453+G454+G455+G456+G457+G459+G460+G461+G462+G463+G465+G466+G467+G468+G469+G471+G472+G473+G474+G475+G476+G481+G482+G483+G484+G485+G486+G487+G488+G489+G490+G492+G491+G493+G494+G495+G496+G497+G498+G499+G501+G503+G509+G502+G510+G519+G520+G521+G553+-G605-G609-G614+0.11+G516</f>
        <v>12277206.217857171</v>
      </c>
      <c r="H650" s="92"/>
      <c r="I650" s="93"/>
    </row>
    <row r="651" spans="3:11" ht="15" customHeight="1" x14ac:dyDescent="0.25">
      <c r="C651" s="97"/>
      <c r="D651" s="1319" t="s">
        <v>1771</v>
      </c>
      <c r="E651" s="1303">
        <f>E18+E22+E27+E31+E37+E41+E45+E49+E53+E57+E61+E65+E70+E74+E78+E82+E207+E340+E345+E349+E353+E385+E397+E402+E407-E606-E610-E615+0.01-0.03</f>
        <v>1524466.3041309339</v>
      </c>
      <c r="F651" s="1303">
        <f>F18+F22+F27+F31+F37+F41+F45+F49+F53+F57+F61+F65+F70+F74+F78+F82+F207+F340+F345+F349+F353+F385+F397+F402+F407-F606-F610-F615</f>
        <v>1585902.3169934107</v>
      </c>
      <c r="G651" s="1303">
        <f>G18+G22+G27+G31+G37+G41+G45+G49+G53+G57+G61+G65+G70+G74+G78+G82+G207+G340+G345+G349+G353+G385+G397+G402+G407-G606-G610-G615</f>
        <v>1637000.3154633464</v>
      </c>
      <c r="H651" s="1318"/>
      <c r="I651" s="93"/>
      <c r="J651" s="97"/>
      <c r="K651" s="97"/>
    </row>
    <row r="652" spans="3:11" ht="15" customHeight="1" x14ac:dyDescent="0.25">
      <c r="D652" s="1319" t="s">
        <v>1770</v>
      </c>
      <c r="E652" s="86">
        <f>E197+E342+E355+E387+E399+E404+E409+E440-E622-E624-E627-E632-E634-E636-0.01</f>
        <v>4106387.4969108086</v>
      </c>
      <c r="F652" s="86">
        <f>F197+F342+F355+F387+F399+F404+F409+F440-F622-F624-F627-F631</f>
        <v>4392641.5971838152</v>
      </c>
      <c r="G652" s="86">
        <f>G197+G342+G355+G387+G399+G404+G409+G440-G622-G624-G627-G631</f>
        <v>4689178.3698341018</v>
      </c>
      <c r="H652" s="84"/>
      <c r="I652" s="93"/>
    </row>
    <row r="653" spans="3:11" x14ac:dyDescent="0.25">
      <c r="D653" s="1319" t="s">
        <v>1738</v>
      </c>
      <c r="E653" s="91">
        <f>E19+E23+E28+E32+E38+E42+E46+E50+E54+E58+E62+E66+E71+E75+E79+E83+E208+E341+E346+E350+E354+E386+E398+E403+E408-E607-E611-E616+0.09</f>
        <v>3875590.5771510545</v>
      </c>
      <c r="F653" s="91">
        <f>F19+F23+F28+F32+F38+F42+F46+F50+F54+F58+F62+F66+F71+F75+F79+F83+F208+F341+F346+F350+F354+F386+F398+F403+F408-F607-F611-F616</f>
        <v>4031776.783783243</v>
      </c>
      <c r="G653" s="91">
        <f>G19+G23+G28+G32+G38+G42+G46+G50+G54+G58+G62+G66+G71+G75+G79+G83+G208+G341+G346+G350+G354+G386+G398+G403+G408-G607-G611-G616</f>
        <v>4176543.6637277105</v>
      </c>
      <c r="H653" s="84"/>
      <c r="I653" s="93"/>
    </row>
    <row r="654" spans="3:11" x14ac:dyDescent="0.25">
      <c r="D654" s="1319" t="s">
        <v>1748</v>
      </c>
      <c r="E654" s="91">
        <f>E220+E376</f>
        <v>1222.1412716217033</v>
      </c>
      <c r="F654" s="91">
        <f>F220+F376</f>
        <v>1271.3935648680581</v>
      </c>
      <c r="G654" s="91">
        <f>G220+G376</f>
        <v>1318.8929818430581</v>
      </c>
      <c r="H654" s="84"/>
      <c r="I654" s="93"/>
    </row>
    <row r="655" spans="3:11" x14ac:dyDescent="0.25">
      <c r="D655" s="1319" t="s">
        <v>1744</v>
      </c>
      <c r="E655" s="91">
        <f>E216+E377</f>
        <v>61691.039997015076</v>
      </c>
      <c r="F655" s="91">
        <f>F216+F377</f>
        <v>64177.188908894786</v>
      </c>
      <c r="G655" s="91">
        <f>G216+G377</f>
        <v>66549.538542344788</v>
      </c>
      <c r="H655" s="84"/>
      <c r="I655" s="93"/>
    </row>
    <row r="656" spans="3:11" x14ac:dyDescent="0.25">
      <c r="D656" s="1319" t="s">
        <v>1743</v>
      </c>
      <c r="E656" s="91">
        <f>E215+E375</f>
        <v>334799.9758927662</v>
      </c>
      <c r="F656" s="91">
        <f>F215+F375</f>
        <v>348292.41492124466</v>
      </c>
      <c r="G656" s="91">
        <f>G215+G375</f>
        <v>361290.24659652391</v>
      </c>
      <c r="H656" s="84"/>
      <c r="I656" s="93"/>
    </row>
    <row r="657" spans="3:9" x14ac:dyDescent="0.25">
      <c r="D657" s="1319" t="s">
        <v>1749</v>
      </c>
      <c r="E657" s="91">
        <f>E221+E416</f>
        <v>603964.60895812651</v>
      </c>
      <c r="F657" s="91">
        <f>F221+F416</f>
        <v>628304.38269913907</v>
      </c>
      <c r="G657" s="91">
        <f>G221+G416</f>
        <v>651702.90043780662</v>
      </c>
      <c r="H657" s="84"/>
      <c r="I657" s="93"/>
    </row>
    <row r="658" spans="3:9" x14ac:dyDescent="0.25">
      <c r="D658" s="1319" t="s">
        <v>2272</v>
      </c>
      <c r="E658" s="91">
        <f>E528+E529+E530+E531+E532+E533+E534+E535+E536+E578+E579+E580+E581+E582+E583+E584+E585+E586</f>
        <v>3842900.07</v>
      </c>
      <c r="F658" s="91">
        <f>F528+F529+F530+F531+F532+F578+F579+F580+F581</f>
        <v>1157538.8451449999</v>
      </c>
      <c r="G658" s="91">
        <f>G528+G529+G530+G531+G532+G578+G579+G580+G581</f>
        <v>1201004.4287801951</v>
      </c>
      <c r="H658" s="84"/>
      <c r="I658" s="93"/>
    </row>
    <row r="659" spans="3:9" x14ac:dyDescent="0.25">
      <c r="D659" s="1319" t="s">
        <v>3385</v>
      </c>
      <c r="E659" s="91">
        <f>E518+E597</f>
        <v>2</v>
      </c>
      <c r="F659" s="91">
        <f>F518+F597</f>
        <v>2.0806</v>
      </c>
      <c r="G659" s="91">
        <f>G518+G597</f>
        <v>2.15872653</v>
      </c>
      <c r="H659" s="84"/>
      <c r="I659" s="93"/>
    </row>
    <row r="660" spans="3:9" ht="15" customHeight="1" x14ac:dyDescent="0.25">
      <c r="C660" s="95"/>
      <c r="D660" s="1320" t="s">
        <v>4742</v>
      </c>
      <c r="E660" s="96">
        <f>+E589</f>
        <v>1</v>
      </c>
      <c r="F660" s="96">
        <f>+F589</f>
        <v>1.0403</v>
      </c>
      <c r="G660" s="96">
        <f>+G589</f>
        <v>1.079363265</v>
      </c>
      <c r="H660" s="84"/>
      <c r="I660" s="93"/>
    </row>
    <row r="661" spans="3:9" ht="15" customHeight="1" x14ac:dyDescent="0.25">
      <c r="C661" s="95"/>
      <c r="D661" s="1319" t="s">
        <v>1736</v>
      </c>
      <c r="E661" s="91">
        <f>E209+E410+0.01</f>
        <v>8499.3492747434939</v>
      </c>
      <c r="F661" s="91">
        <f>F209+F410</f>
        <v>8841.8626475156561</v>
      </c>
      <c r="G661" s="91">
        <f>G209+G410</f>
        <v>9163.3888515493345</v>
      </c>
      <c r="H661" s="84"/>
      <c r="I661" s="93"/>
    </row>
    <row r="662" spans="3:9" ht="15" customHeight="1" x14ac:dyDescent="0.25">
      <c r="C662" s="95"/>
      <c r="D662" s="1320" t="s">
        <v>1745</v>
      </c>
      <c r="E662" s="96">
        <f>E217+E378</f>
        <v>179515.14270536313</v>
      </c>
      <c r="F662" s="96">
        <f>F217+F378</f>
        <v>186749.60295638928</v>
      </c>
      <c r="G662" s="96">
        <f>G217+G378</f>
        <v>193708.81116711846</v>
      </c>
      <c r="H662" s="84"/>
      <c r="I662" s="93"/>
    </row>
    <row r="663" spans="3:9" ht="15" customHeight="1" x14ac:dyDescent="0.25">
      <c r="C663" s="95"/>
      <c r="D663" s="1320" t="s">
        <v>1765</v>
      </c>
      <c r="E663" s="96">
        <f>E561</f>
        <v>1</v>
      </c>
      <c r="F663" s="96">
        <f t="shared" ref="F663:G663" si="69">F561</f>
        <v>1.0403</v>
      </c>
      <c r="G663" s="96">
        <f t="shared" si="69"/>
        <v>1.079363265</v>
      </c>
      <c r="H663" s="84"/>
      <c r="I663" s="93"/>
    </row>
    <row r="664" spans="3:9" ht="15" customHeight="1" x14ac:dyDescent="0.25">
      <c r="C664" s="95"/>
      <c r="D664" s="1320" t="s">
        <v>1766</v>
      </c>
      <c r="E664" s="96">
        <f>E413</f>
        <v>1</v>
      </c>
      <c r="F664" s="96">
        <f>F413</f>
        <v>1.0403</v>
      </c>
      <c r="G664" s="96">
        <f>G413</f>
        <v>1.079363265</v>
      </c>
      <c r="H664" s="84"/>
      <c r="I664" s="93"/>
    </row>
    <row r="665" spans="3:9" ht="15" customHeight="1" x14ac:dyDescent="0.25">
      <c r="C665" s="95"/>
      <c r="D665" s="1320" t="s">
        <v>1752</v>
      </c>
      <c r="E665" s="96">
        <f>E224+E413</f>
        <v>26.606247530855235</v>
      </c>
      <c r="F665" s="96">
        <f>F224+F413</f>
        <v>27.678479306348699</v>
      </c>
      <c r="G665" s="96">
        <f>G224+G413</f>
        <v>27.755092571348701</v>
      </c>
      <c r="H665" s="84"/>
      <c r="I665" s="93"/>
    </row>
    <row r="666" spans="3:9" ht="15" customHeight="1" x14ac:dyDescent="0.25">
      <c r="C666" s="95"/>
      <c r="D666" s="1320" t="s">
        <v>1768</v>
      </c>
      <c r="E666" s="96">
        <f>E564</f>
        <v>1</v>
      </c>
      <c r="F666" s="96">
        <f t="shared" ref="F666:G666" si="70">F564</f>
        <v>1.0403</v>
      </c>
      <c r="G666" s="96">
        <f t="shared" si="70"/>
        <v>1.079363265</v>
      </c>
      <c r="H666" s="84"/>
      <c r="I666" s="93"/>
    </row>
    <row r="667" spans="3:9" ht="15" customHeight="1" x14ac:dyDescent="0.25">
      <c r="C667" s="95"/>
      <c r="D667" s="1320" t="s">
        <v>1742</v>
      </c>
      <c r="E667" s="96">
        <f>E214+E369</f>
        <v>582.32469944065849</v>
      </c>
      <c r="F667" s="96">
        <f>F214+F369</f>
        <v>605.79238482811706</v>
      </c>
      <c r="G667" s="96">
        <f>G214+G369</f>
        <v>605.87338196099677</v>
      </c>
      <c r="H667" s="84"/>
      <c r="I667" s="93"/>
    </row>
    <row r="668" spans="3:9" ht="15" customHeight="1" x14ac:dyDescent="0.25">
      <c r="C668" s="95"/>
      <c r="D668" s="1320" t="s">
        <v>1769</v>
      </c>
      <c r="E668" s="96">
        <f>E565+E566</f>
        <v>2</v>
      </c>
      <c r="F668" s="96">
        <f t="shared" ref="F668:G668" si="71">F565+F566</f>
        <v>2.0806</v>
      </c>
      <c r="G668" s="96">
        <f t="shared" si="71"/>
        <v>2.15872653</v>
      </c>
      <c r="H668" s="84"/>
      <c r="I668" s="93"/>
    </row>
    <row r="669" spans="3:9" ht="15" customHeight="1" x14ac:dyDescent="0.25">
      <c r="C669" s="95"/>
      <c r="D669" s="1320" t="s">
        <v>1758</v>
      </c>
      <c r="E669" s="96">
        <f>E525+E567</f>
        <v>100001</v>
      </c>
      <c r="F669" s="96">
        <f>F525+F567</f>
        <v>104031.04029999999</v>
      </c>
      <c r="G669" s="96">
        <f>G525+G567</f>
        <v>107937.405863265</v>
      </c>
      <c r="H669" s="84"/>
      <c r="I669" s="93"/>
    </row>
    <row r="670" spans="3:9" ht="15" customHeight="1" x14ac:dyDescent="0.25">
      <c r="C670" s="95"/>
      <c r="D670" s="1320" t="s">
        <v>1737</v>
      </c>
      <c r="E670" s="96">
        <f t="shared" ref="E670:G672" si="72">E210+E370</f>
        <v>82968.170412071617</v>
      </c>
      <c r="F670" s="96">
        <f t="shared" si="72"/>
        <v>86311.787679678091</v>
      </c>
      <c r="G670" s="96">
        <f t="shared" si="72"/>
        <v>89443.531063240633</v>
      </c>
      <c r="H670" s="84"/>
      <c r="I670" s="93"/>
    </row>
    <row r="671" spans="3:9" ht="15" customHeight="1" x14ac:dyDescent="0.25">
      <c r="C671" s="95"/>
      <c r="D671" s="1320" t="s">
        <v>1739</v>
      </c>
      <c r="E671" s="96">
        <f t="shared" si="72"/>
        <v>1125.3503217482264</v>
      </c>
      <c r="F671" s="96">
        <f t="shared" si="72"/>
        <v>1170.7019397146798</v>
      </c>
      <c r="G671" s="96">
        <f t="shared" si="72"/>
        <v>1210.0229390267687</v>
      </c>
      <c r="H671" s="84"/>
      <c r="I671" s="93"/>
    </row>
    <row r="672" spans="3:9" ht="15" customHeight="1" x14ac:dyDescent="0.25">
      <c r="C672" s="95"/>
      <c r="D672" s="1320" t="s">
        <v>1740</v>
      </c>
      <c r="E672" s="96">
        <f t="shared" si="72"/>
        <v>20675.009548911574</v>
      </c>
      <c r="F672" s="96">
        <f t="shared" si="72"/>
        <v>21508.212433732711</v>
      </c>
      <c r="G672" s="96">
        <f t="shared" si="72"/>
        <v>22272.880275172582</v>
      </c>
      <c r="H672" s="84"/>
      <c r="I672" s="93"/>
    </row>
    <row r="673" spans="3:9" ht="15" customHeight="1" x14ac:dyDescent="0.25">
      <c r="C673" s="95"/>
      <c r="D673" s="1320" t="s">
        <v>1741</v>
      </c>
      <c r="E673" s="96">
        <f>E213+E373-0.01</f>
        <v>4924.0328625473421</v>
      </c>
      <c r="F673" s="96">
        <f>F213+F373</f>
        <v>5122.4817899079999</v>
      </c>
      <c r="G673" s="96">
        <f>G213+G373</f>
        <v>5300.047800625206</v>
      </c>
      <c r="H673" s="84"/>
      <c r="I673" s="93"/>
    </row>
    <row r="674" spans="3:9" ht="15" customHeight="1" x14ac:dyDescent="0.25">
      <c r="C674" s="95"/>
      <c r="D674" s="1321" t="s">
        <v>1759</v>
      </c>
      <c r="E674" s="96">
        <f>+E570+E571</f>
        <v>2</v>
      </c>
      <c r="F674" s="96">
        <f t="shared" ref="F674:G674" si="73">+F570+F571</f>
        <v>2.0806</v>
      </c>
      <c r="G674" s="96">
        <f t="shared" si="73"/>
        <v>2.15872653</v>
      </c>
      <c r="H674" s="84"/>
      <c r="I674" s="93"/>
    </row>
    <row r="675" spans="3:9" ht="15" customHeight="1" x14ac:dyDescent="0.25">
      <c r="C675" s="95"/>
      <c r="D675" s="1321" t="s">
        <v>1760</v>
      </c>
      <c r="E675" s="96">
        <f>+E572</f>
        <v>1</v>
      </c>
      <c r="F675" s="96">
        <f t="shared" ref="F675:G675" si="74">+F572</f>
        <v>1.0403</v>
      </c>
      <c r="G675" s="96">
        <f t="shared" si="74"/>
        <v>1.079363265</v>
      </c>
      <c r="H675" s="84"/>
      <c r="I675" s="93"/>
    </row>
    <row r="676" spans="3:9" ht="15" customHeight="1" x14ac:dyDescent="0.25">
      <c r="C676" s="95"/>
      <c r="D676" s="1321" t="s">
        <v>1761</v>
      </c>
      <c r="E676" s="96">
        <f>E526+E527+E573+E574</f>
        <v>484632</v>
      </c>
      <c r="F676" s="96">
        <f>F526+F527+F573+F574</f>
        <v>504162.66959999996</v>
      </c>
      <c r="G676" s="96">
        <f>G526+G527+G573+G574</f>
        <v>523093.97784348001</v>
      </c>
      <c r="H676" s="84"/>
      <c r="I676" s="93"/>
    </row>
    <row r="677" spans="3:9" ht="15" customHeight="1" x14ac:dyDescent="0.25">
      <c r="C677" s="95"/>
      <c r="D677" s="1322" t="s">
        <v>1763</v>
      </c>
      <c r="E677" s="96">
        <f>E546+E569</f>
        <v>346801</v>
      </c>
      <c r="F677" s="96">
        <f>F546+F569</f>
        <v>360777.08029999997</v>
      </c>
      <c r="G677" s="96">
        <f>G546+G569</f>
        <v>374324.25966526498</v>
      </c>
      <c r="H677" s="84"/>
      <c r="I677" s="93"/>
    </row>
    <row r="678" spans="3:9" ht="15" customHeight="1" x14ac:dyDescent="0.25">
      <c r="C678" s="95"/>
      <c r="D678" s="1322" t="s">
        <v>1764</v>
      </c>
      <c r="E678" s="96">
        <f>E550+E568+E577</f>
        <v>30002</v>
      </c>
      <c r="F678" s="96">
        <f>F550+F568+F577</f>
        <v>31211.080600000001</v>
      </c>
      <c r="G678" s="96">
        <f>G550+G568+G577</f>
        <v>32383.056676529995</v>
      </c>
      <c r="H678" s="84"/>
      <c r="I678" s="93"/>
    </row>
    <row r="679" spans="3:9" ht="15" customHeight="1" x14ac:dyDescent="0.25">
      <c r="C679" s="95"/>
      <c r="D679" s="1322" t="s">
        <v>1746</v>
      </c>
      <c r="E679" s="96">
        <f>E218+E380</f>
        <v>36.086967089990566</v>
      </c>
      <c r="F679" s="96">
        <f>F218+F380</f>
        <v>37.541271863717185</v>
      </c>
      <c r="G679" s="96">
        <f>G218+G380</f>
        <v>38.927682755587014</v>
      </c>
      <c r="H679" s="84"/>
      <c r="I679" s="93"/>
    </row>
    <row r="680" spans="3:9" ht="15" customHeight="1" x14ac:dyDescent="0.25">
      <c r="C680" s="95"/>
      <c r="D680" s="1322" t="s">
        <v>1750</v>
      </c>
      <c r="E680" s="96">
        <f>E225+E551+E587</f>
        <v>29113.171151522936</v>
      </c>
      <c r="F680" s="96">
        <f>F225</f>
        <v>438.14434892931132</v>
      </c>
      <c r="G680" s="96">
        <f>G225</f>
        <v>438.18189892931133</v>
      </c>
      <c r="H680" s="84"/>
      <c r="I680" s="93"/>
    </row>
    <row r="681" spans="3:9" ht="15" customHeight="1" x14ac:dyDescent="0.25">
      <c r="C681" s="95"/>
      <c r="D681" s="1322" t="s">
        <v>1747</v>
      </c>
      <c r="E681" s="96">
        <f>E219+E381+0.01</f>
        <v>41595.399024514772</v>
      </c>
      <c r="F681" s="96">
        <f>F219+F381</f>
        <v>43271.683202202716</v>
      </c>
      <c r="G681" s="96">
        <f>G219+G381</f>
        <v>44888.423042682662</v>
      </c>
      <c r="H681" s="84"/>
      <c r="I681" s="93"/>
    </row>
    <row r="682" spans="3:9" ht="15" customHeight="1" x14ac:dyDescent="0.25">
      <c r="C682" s="95"/>
      <c r="D682" s="1322" t="s">
        <v>1751</v>
      </c>
      <c r="E682" s="96">
        <f>E226+E412+E552+E588</f>
        <v>48100.338626446523</v>
      </c>
      <c r="F682" s="96">
        <f>F226+F412</f>
        <v>1542.0768730923135</v>
      </c>
      <c r="G682" s="96">
        <f>G226+G412</f>
        <v>1542.1534863573136</v>
      </c>
      <c r="H682" s="84"/>
      <c r="I682" s="93"/>
    </row>
    <row r="683" spans="3:9" ht="15" customHeight="1" x14ac:dyDescent="0.25">
      <c r="C683" s="95"/>
      <c r="D683" s="1320" t="s">
        <v>3369</v>
      </c>
      <c r="E683" s="96">
        <f>E517+E596</f>
        <v>2</v>
      </c>
      <c r="F683" s="96">
        <f>F517+F596</f>
        <v>2.0806</v>
      </c>
      <c r="G683" s="96">
        <f>G517+G596</f>
        <v>2.15872653</v>
      </c>
      <c r="H683" s="84"/>
      <c r="I683" s="93"/>
    </row>
    <row r="684" spans="3:9" ht="15" customHeight="1" x14ac:dyDescent="0.25">
      <c r="C684" s="95"/>
      <c r="D684" s="1320" t="s">
        <v>1755</v>
      </c>
      <c r="E684" s="96">
        <f>E204+E431+E433+E436</f>
        <v>127191.71167741265</v>
      </c>
      <c r="F684" s="96">
        <f>F204+F205+F429+F431+F433+F436</f>
        <v>220917.14436481256</v>
      </c>
      <c r="G684" s="96">
        <f>G204+G205+G429+G431+G433+G436</f>
        <v>229152.59753638919</v>
      </c>
      <c r="H684" s="84"/>
      <c r="I684" s="93"/>
    </row>
    <row r="685" spans="3:9" ht="15" customHeight="1" x14ac:dyDescent="0.25">
      <c r="C685" s="95"/>
      <c r="D685" s="1322" t="s">
        <v>1754</v>
      </c>
      <c r="E685" s="96">
        <f>E202+E427+E434</f>
        <v>11094.801107133206</v>
      </c>
      <c r="F685" s="96">
        <f>F202+F203+F427+F432+F434</f>
        <v>23514.110974026433</v>
      </c>
      <c r="G685" s="96">
        <f>G202+G203+G427+G432+G434</f>
        <v>24387.767497127214</v>
      </c>
      <c r="H685" s="84"/>
      <c r="I685" s="93"/>
    </row>
    <row r="686" spans="3:9" ht="15" customHeight="1" x14ac:dyDescent="0.25">
      <c r="C686" s="95"/>
      <c r="D686" s="1322" t="s">
        <v>7323</v>
      </c>
      <c r="E686" s="96">
        <f>E432+E203</f>
        <v>11508.400828872211</v>
      </c>
      <c r="F686" s="96">
        <f>F432+F203</f>
        <v>11972.189382275759</v>
      </c>
      <c r="G686" s="96">
        <f>G432+G203</f>
        <v>12416.312667442218</v>
      </c>
      <c r="H686" s="84"/>
      <c r="I686" s="93"/>
    </row>
    <row r="687" spans="3:9" ht="15" customHeight="1" x14ac:dyDescent="0.25">
      <c r="C687" s="95"/>
      <c r="D687" s="1322" t="s">
        <v>7322</v>
      </c>
      <c r="E687" s="96">
        <f>E205+E429</f>
        <v>85167.362017495092</v>
      </c>
      <c r="F687" s="96">
        <f>F203+F204+F428+F433+F435</f>
        <v>44635.058417108492</v>
      </c>
      <c r="G687" s="96">
        <f>G203+G204+G428+G433+G435</f>
        <v>46269.065255567977</v>
      </c>
      <c r="H687" s="84"/>
      <c r="I687" s="93"/>
    </row>
    <row r="688" spans="3:9" ht="15" customHeight="1" x14ac:dyDescent="0.25">
      <c r="C688" s="95"/>
      <c r="D688" s="1322" t="s">
        <v>1735</v>
      </c>
      <c r="E688" s="96">
        <f>E206+E435</f>
        <v>1090.617830541624</v>
      </c>
      <c r="F688" s="96">
        <f>F206+F435</f>
        <v>1134.5697291124516</v>
      </c>
      <c r="G688" s="96">
        <f>G206+G435</f>
        <v>1134.6480630539513</v>
      </c>
      <c r="H688" s="84"/>
      <c r="I688" s="93"/>
    </row>
    <row r="689" spans="3:9" ht="15" customHeight="1" x14ac:dyDescent="0.25">
      <c r="C689" s="95"/>
      <c r="D689" s="1322" t="s">
        <v>1756</v>
      </c>
      <c r="E689" s="96">
        <f>E201+E428+E430</f>
        <v>3.1805912952378979</v>
      </c>
      <c r="F689" s="96">
        <f>F201+F428+F430</f>
        <v>3.3087691244359854</v>
      </c>
      <c r="G689" s="96">
        <f>G201+G428+G430</f>
        <v>3.4278870074355723</v>
      </c>
      <c r="H689" s="84"/>
      <c r="I689" s="93"/>
    </row>
    <row r="690" spans="3:9" ht="15" customHeight="1" x14ac:dyDescent="0.25">
      <c r="C690" s="95"/>
      <c r="D690" s="1322" t="s">
        <v>1753</v>
      </c>
      <c r="E690" s="96">
        <f>E426</f>
        <v>1.0440484557497482</v>
      </c>
      <c r="F690" s="96">
        <f>F426</f>
        <v>1.0861236085164632</v>
      </c>
      <c r="G690" s="96">
        <f>G426</f>
        <v>1.1269075500162564</v>
      </c>
      <c r="H690" s="84"/>
      <c r="I690" s="93"/>
    </row>
    <row r="691" spans="3:9" ht="15" customHeight="1" x14ac:dyDescent="0.25">
      <c r="C691" s="95"/>
      <c r="D691" s="1322" t="s">
        <v>1767</v>
      </c>
      <c r="E691" s="96">
        <f>E563+E575</f>
        <v>2</v>
      </c>
      <c r="F691" s="96">
        <f t="shared" ref="F691:G691" si="75">F563+F575</f>
        <v>2.0806</v>
      </c>
      <c r="G691" s="96">
        <f t="shared" si="75"/>
        <v>2.15872653</v>
      </c>
      <c r="H691" s="84"/>
      <c r="I691" s="93"/>
    </row>
    <row r="692" spans="3:9" ht="15" customHeight="1" x14ac:dyDescent="0.25">
      <c r="D692" s="1322" t="s">
        <v>1731</v>
      </c>
      <c r="E692" s="86">
        <f>E198+E361+E366</f>
        <v>299417.02657192608</v>
      </c>
      <c r="F692" s="86">
        <f>F198</f>
        <v>7044.6439096916283</v>
      </c>
      <c r="G692" s="86">
        <f>G198</f>
        <v>7044.6814596916283</v>
      </c>
      <c r="H692" s="84"/>
      <c r="I692" s="93"/>
    </row>
    <row r="693" spans="3:9" ht="15" customHeight="1" x14ac:dyDescent="0.25">
      <c r="C693" s="95"/>
      <c r="D693" s="1322" t="s">
        <v>1733</v>
      </c>
      <c r="E693" s="84">
        <f>E365</f>
        <v>1.1122248199102067</v>
      </c>
      <c r="F693" s="84">
        <f>F365</f>
        <v>1.1570474801525881</v>
      </c>
      <c r="G693" s="84">
        <f>G365</f>
        <v>1.2004946130323177</v>
      </c>
      <c r="H693" s="84"/>
      <c r="I693" s="93"/>
    </row>
    <row r="694" spans="3:9" ht="15" customHeight="1" x14ac:dyDescent="0.25">
      <c r="D694" s="1322" t="s">
        <v>1734</v>
      </c>
      <c r="E694" s="84">
        <f>E200+E362</f>
        <v>37697.604903675681</v>
      </c>
      <c r="F694" s="84">
        <f>F200+F362</f>
        <v>39216.818381293808</v>
      </c>
      <c r="G694" s="84">
        <f>G200+G362</f>
        <v>40613.381975043463</v>
      </c>
      <c r="H694" s="84"/>
      <c r="I694" s="93"/>
    </row>
    <row r="695" spans="3:9" ht="15" customHeight="1" x14ac:dyDescent="0.25">
      <c r="D695" s="1322" t="s">
        <v>1732</v>
      </c>
      <c r="E695" s="84">
        <f>E199+E363</f>
        <v>32493.412771811749</v>
      </c>
      <c r="F695" s="84">
        <f>F199+F363</f>
        <v>33802.897306515762</v>
      </c>
      <c r="G695" s="84">
        <f>G199+G363</f>
        <v>35063.573257878466</v>
      </c>
      <c r="H695" s="84"/>
      <c r="I695" s="93"/>
    </row>
    <row r="696" spans="3:9" ht="15" customHeight="1" x14ac:dyDescent="0.25">
      <c r="D696" s="1322" t="s">
        <v>1729</v>
      </c>
      <c r="E696" s="84">
        <f>E364</f>
        <v>1.1122248199102067</v>
      </c>
      <c r="F696" s="84">
        <f>F364</f>
        <v>1.1570474801525881</v>
      </c>
      <c r="G696" s="84">
        <f>G364</f>
        <v>1.2004946130323177</v>
      </c>
      <c r="H696" s="84"/>
      <c r="I696" s="93"/>
    </row>
    <row r="697" spans="3:9" ht="15" customHeight="1" x14ac:dyDescent="0.25">
      <c r="D697" s="1322" t="s">
        <v>5517</v>
      </c>
      <c r="E697" s="84">
        <f>E539+E560</f>
        <v>2</v>
      </c>
      <c r="F697" s="84">
        <f t="shared" ref="E697:G701" si="76">F539</f>
        <v>1.0403</v>
      </c>
      <c r="G697" s="84">
        <f t="shared" si="76"/>
        <v>1.079363265</v>
      </c>
      <c r="H697" s="84"/>
      <c r="I697" s="93"/>
    </row>
    <row r="698" spans="3:9" ht="15" customHeight="1" x14ac:dyDescent="0.25">
      <c r="D698" s="1322" t="s">
        <v>5518</v>
      </c>
      <c r="E698" s="84">
        <f t="shared" si="76"/>
        <v>1</v>
      </c>
      <c r="F698" s="84">
        <f t="shared" si="76"/>
        <v>1.0403</v>
      </c>
      <c r="G698" s="84">
        <f t="shared" si="76"/>
        <v>1.079363265</v>
      </c>
      <c r="H698" s="84"/>
      <c r="I698" s="93"/>
    </row>
    <row r="699" spans="3:9" ht="15" customHeight="1" x14ac:dyDescent="0.25">
      <c r="D699" s="1322" t="s">
        <v>5519</v>
      </c>
      <c r="E699" s="84">
        <f t="shared" si="76"/>
        <v>1</v>
      </c>
      <c r="F699" s="84">
        <f t="shared" si="76"/>
        <v>1.0403</v>
      </c>
      <c r="G699" s="84">
        <f t="shared" si="76"/>
        <v>1.079363265</v>
      </c>
      <c r="H699" s="84"/>
      <c r="I699" s="93"/>
    </row>
    <row r="700" spans="3:9" ht="15" customHeight="1" x14ac:dyDescent="0.25">
      <c r="D700" s="1322" t="s">
        <v>5520</v>
      </c>
      <c r="E700" s="1304">
        <f t="shared" si="76"/>
        <v>1</v>
      </c>
      <c r="F700" s="1304">
        <f t="shared" si="76"/>
        <v>1.0403</v>
      </c>
      <c r="G700" s="1304">
        <f t="shared" si="76"/>
        <v>1.079363265</v>
      </c>
      <c r="H700" s="84"/>
      <c r="I700" s="93"/>
    </row>
    <row r="701" spans="3:9" ht="15" customHeight="1" x14ac:dyDescent="0.25">
      <c r="D701" s="1322" t="s">
        <v>5521</v>
      </c>
      <c r="E701" s="1304">
        <f t="shared" si="76"/>
        <v>1</v>
      </c>
      <c r="F701" s="1304">
        <f t="shared" si="76"/>
        <v>1.0403</v>
      </c>
      <c r="G701" s="1304">
        <f t="shared" si="76"/>
        <v>1.079363265</v>
      </c>
      <c r="H701" s="84"/>
      <c r="I701" s="93"/>
    </row>
    <row r="702" spans="3:9" ht="15" customHeight="1" x14ac:dyDescent="0.25">
      <c r="D702" s="1322" t="s">
        <v>1762</v>
      </c>
      <c r="E702" s="1304">
        <f>E544+E558+E559+E576</f>
        <v>5</v>
      </c>
      <c r="F702" s="1304">
        <f>F544+F558+F559+F576</f>
        <v>5.2015000000000002</v>
      </c>
      <c r="G702" s="1304">
        <f>G544+G558+G559+G576</f>
        <v>5.3968163249999996</v>
      </c>
      <c r="H702" s="84"/>
      <c r="I702" s="93"/>
    </row>
    <row r="703" spans="3:9" x14ac:dyDescent="0.25">
      <c r="E703" s="84"/>
      <c r="F703" s="84"/>
      <c r="G703" s="84"/>
    </row>
    <row r="705" spans="5:5" x14ac:dyDescent="0.25">
      <c r="E705" s="84"/>
    </row>
  </sheetData>
  <autoFilter ref="B7:H647">
    <filterColumn colId="3" showButton="0"/>
    <filterColumn colId="4" showButton="0"/>
  </autoFilter>
  <mergeCells count="10">
    <mergeCell ref="B1:H1"/>
    <mergeCell ref="B3:H3"/>
    <mergeCell ref="B5:H5"/>
    <mergeCell ref="B637:D637"/>
    <mergeCell ref="B6:E6"/>
    <mergeCell ref="B7:B8"/>
    <mergeCell ref="C7:C8"/>
    <mergeCell ref="D7:D8"/>
    <mergeCell ref="E7:G7"/>
    <mergeCell ref="H7:H8"/>
  </mergeCells>
  <pageMargins left="0.11811023622047245" right="0.19685039370078741" top="0.78740157480314965" bottom="0.78740157480314965" header="0.31496062992125984" footer="0.31496062992125984"/>
  <pageSetup paperSize="9" scale="40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7"/>
  <sheetViews>
    <sheetView zoomScale="66" zoomScaleNormal="66" workbookViewId="0">
      <selection activeCell="B7" sqref="B7:F7"/>
    </sheetView>
  </sheetViews>
  <sheetFormatPr defaultRowHeight="15" x14ac:dyDescent="0.25"/>
  <cols>
    <col min="1" max="1" width="2.28515625" customWidth="1"/>
    <col min="2" max="2" width="37.28515625" customWidth="1"/>
    <col min="3" max="3" width="14.42578125" style="287" customWidth="1"/>
    <col min="4" max="4" width="10" style="286" customWidth="1"/>
    <col min="5" max="5" width="17.28515625" style="26" customWidth="1"/>
    <col min="6" max="6" width="17" customWidth="1"/>
  </cols>
  <sheetData>
    <row r="1" spans="2:1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413"/>
      <c r="H1" s="413"/>
      <c r="I1" s="413"/>
      <c r="J1" s="413"/>
    </row>
    <row r="2" spans="2:10" s="410" customFormat="1" ht="12.75" customHeight="1" x14ac:dyDescent="0.35">
      <c r="C2" s="412"/>
      <c r="D2" s="411"/>
      <c r="G2" s="412"/>
    </row>
    <row r="3" spans="2:1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413"/>
      <c r="H3" s="413"/>
      <c r="I3" s="413"/>
      <c r="J3" s="413"/>
    </row>
    <row r="4" spans="2:10" s="410" customFormat="1" ht="10.5" customHeight="1" x14ac:dyDescent="0.35">
      <c r="C4" s="412"/>
      <c r="D4" s="411"/>
      <c r="G4" s="412"/>
    </row>
    <row r="5" spans="2:1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414"/>
      <c r="H5" s="414"/>
      <c r="I5" s="414"/>
      <c r="J5" s="414"/>
    </row>
    <row r="6" spans="2:10" x14ac:dyDescent="0.25">
      <c r="B6" s="202"/>
      <c r="C6" s="290"/>
      <c r="D6" s="285"/>
      <c r="E6" s="202"/>
    </row>
    <row r="7" spans="2:10" ht="21" x14ac:dyDescent="0.35">
      <c r="B7" s="1516" t="s">
        <v>7065</v>
      </c>
      <c r="C7" s="1516"/>
      <c r="D7" s="1516"/>
      <c r="E7" s="1516"/>
      <c r="F7" s="1516"/>
    </row>
    <row r="8" spans="2:10" x14ac:dyDescent="0.25">
      <c r="B8" s="31"/>
      <c r="C8" s="290"/>
      <c r="D8" s="285"/>
      <c r="E8" s="31"/>
    </row>
    <row r="9" spans="2:10" s="30" customFormat="1" ht="44.25" customHeight="1" x14ac:dyDescent="0.25">
      <c r="B9" s="27" t="s">
        <v>1777</v>
      </c>
      <c r="C9" s="28" t="s">
        <v>1803</v>
      </c>
      <c r="D9" s="28" t="s">
        <v>1780</v>
      </c>
      <c r="E9" s="29" t="s">
        <v>1805</v>
      </c>
      <c r="F9" s="29" t="s">
        <v>1804</v>
      </c>
    </row>
    <row r="10" spans="2:10" x14ac:dyDescent="0.25">
      <c r="B10" s="12" t="s">
        <v>1781</v>
      </c>
      <c r="C10" s="289">
        <f>PUER!D297</f>
        <v>1.07</v>
      </c>
      <c r="D10" s="524">
        <f>PUER!D283</f>
        <v>31</v>
      </c>
      <c r="E10" s="25">
        <f>D10*C10</f>
        <v>33.17</v>
      </c>
      <c r="F10" s="15">
        <f>E10*PUER!D$294</f>
        <v>6634</v>
      </c>
    </row>
    <row r="11" spans="2:10" x14ac:dyDescent="0.25">
      <c r="C11" s="523"/>
    </row>
    <row r="12" spans="2:10" x14ac:dyDescent="0.25">
      <c r="C12" s="523"/>
    </row>
    <row r="13" spans="2:10" x14ac:dyDescent="0.25">
      <c r="B13" t="s">
        <v>1782</v>
      </c>
      <c r="C13" s="523">
        <v>0</v>
      </c>
      <c r="D13" s="286">
        <v>0</v>
      </c>
      <c r="E13" s="26">
        <f>D13*C13</f>
        <v>0</v>
      </c>
      <c r="F13" s="15">
        <f>E13*PUER!D$294</f>
        <v>0</v>
      </c>
    </row>
    <row r="14" spans="2:10" x14ac:dyDescent="0.25">
      <c r="C14" s="523"/>
    </row>
    <row r="15" spans="2:10" x14ac:dyDescent="0.25">
      <c r="C15" s="523"/>
    </row>
    <row r="16" spans="2:10" x14ac:dyDescent="0.25">
      <c r="B16" t="s">
        <v>1783</v>
      </c>
      <c r="C16" s="523">
        <v>0</v>
      </c>
      <c r="D16" s="286">
        <v>0</v>
      </c>
      <c r="E16" s="26">
        <f>D16*C16</f>
        <v>0</v>
      </c>
      <c r="F16" s="15">
        <f>E16*PUER!D$294</f>
        <v>0</v>
      </c>
    </row>
    <row r="17" spans="2:6" x14ac:dyDescent="0.25">
      <c r="C17" s="523"/>
    </row>
    <row r="18" spans="2:6" x14ac:dyDescent="0.25">
      <c r="C18" s="523"/>
    </row>
    <row r="19" spans="2:6" x14ac:dyDescent="0.25">
      <c r="B19" t="s">
        <v>1784</v>
      </c>
      <c r="C19" s="523">
        <v>0</v>
      </c>
      <c r="D19" s="286">
        <v>0</v>
      </c>
      <c r="E19" s="26">
        <f>D19*C19</f>
        <v>0</v>
      </c>
      <c r="F19" s="15">
        <f>E19*PUER!D$294</f>
        <v>0</v>
      </c>
    </row>
    <row r="20" spans="2:6" x14ac:dyDescent="0.25">
      <c r="C20" s="523"/>
    </row>
    <row r="21" spans="2:6" x14ac:dyDescent="0.25">
      <c r="C21" s="523"/>
    </row>
    <row r="22" spans="2:6" x14ac:dyDescent="0.25">
      <c r="B22" t="s">
        <v>1785</v>
      </c>
      <c r="C22" s="523">
        <v>0</v>
      </c>
      <c r="D22" s="286">
        <v>0</v>
      </c>
      <c r="E22" s="26">
        <f>D22*C22</f>
        <v>0</v>
      </c>
      <c r="F22" s="15">
        <f>E22*PUER!D$294</f>
        <v>0</v>
      </c>
    </row>
    <row r="23" spans="2:6" x14ac:dyDescent="0.25">
      <c r="C23" s="523"/>
    </row>
    <row r="24" spans="2:6" x14ac:dyDescent="0.25">
      <c r="C24" s="523"/>
    </row>
    <row r="25" spans="2:6" x14ac:dyDescent="0.25">
      <c r="B25" t="s">
        <v>1786</v>
      </c>
      <c r="C25" s="523">
        <f>PUER!D301</f>
        <v>0.53</v>
      </c>
      <c r="D25" s="525">
        <f>PUER!D284</f>
        <v>117</v>
      </c>
      <c r="E25" s="26">
        <f>D25*C25</f>
        <v>62.010000000000005</v>
      </c>
      <c r="F25" s="15">
        <f>E25*PUER!D$294</f>
        <v>12402.000000000002</v>
      </c>
    </row>
    <row r="26" spans="2:6" x14ac:dyDescent="0.25">
      <c r="C26" s="523"/>
    </row>
    <row r="27" spans="2:6" x14ac:dyDescent="0.25">
      <c r="C27" s="523"/>
    </row>
    <row r="28" spans="2:6" x14ac:dyDescent="0.25">
      <c r="B28" t="s">
        <v>1787</v>
      </c>
      <c r="C28" s="523">
        <v>0</v>
      </c>
      <c r="D28" s="286">
        <v>0</v>
      </c>
      <c r="E28" s="26">
        <f>D28*C28</f>
        <v>0</v>
      </c>
      <c r="F28" s="15">
        <f>E28*PUER!D$294</f>
        <v>0</v>
      </c>
    </row>
    <row r="29" spans="2:6" x14ac:dyDescent="0.25">
      <c r="C29" s="523"/>
    </row>
    <row r="30" spans="2:6" x14ac:dyDescent="0.25">
      <c r="C30" s="523"/>
    </row>
    <row r="31" spans="2:6" x14ac:dyDescent="0.25">
      <c r="B31" t="s">
        <v>1788</v>
      </c>
      <c r="C31" s="523">
        <f>PUER!D300</f>
        <v>0.36</v>
      </c>
      <c r="D31" s="525">
        <f>PUER!D285</f>
        <v>253</v>
      </c>
      <c r="E31" s="26">
        <f>D31*C31</f>
        <v>91.08</v>
      </c>
      <c r="F31" s="15">
        <f>E31*PUER!D$294</f>
        <v>18216</v>
      </c>
    </row>
    <row r="32" spans="2:6" x14ac:dyDescent="0.25">
      <c r="C32" s="523"/>
    </row>
    <row r="33" spans="2:6" x14ac:dyDescent="0.25">
      <c r="C33" s="523"/>
    </row>
    <row r="34" spans="2:6" x14ac:dyDescent="0.25">
      <c r="B34" t="s">
        <v>1789</v>
      </c>
      <c r="C34" s="523">
        <v>0</v>
      </c>
      <c r="D34" s="286">
        <v>0</v>
      </c>
      <c r="E34" s="26">
        <f>D34*C34</f>
        <v>0</v>
      </c>
      <c r="F34" s="15">
        <f>E34*PUER!D$294</f>
        <v>0</v>
      </c>
    </row>
    <row r="35" spans="2:6" x14ac:dyDescent="0.25">
      <c r="C35" s="523"/>
    </row>
    <row r="36" spans="2:6" x14ac:dyDescent="0.25">
      <c r="C36" s="523"/>
    </row>
    <row r="37" spans="2:6" x14ac:dyDescent="0.25">
      <c r="B37" t="s">
        <v>1790</v>
      </c>
      <c r="C37" s="523">
        <f>PUER!D300</f>
        <v>0.36</v>
      </c>
      <c r="D37" s="525">
        <f>PUER!D287</f>
        <v>224</v>
      </c>
      <c r="E37" s="26">
        <f>D37*C37</f>
        <v>80.64</v>
      </c>
      <c r="F37" s="15">
        <f>E37*PUER!D$294</f>
        <v>16128</v>
      </c>
    </row>
    <row r="38" spans="2:6" x14ac:dyDescent="0.25">
      <c r="C38" s="523"/>
    </row>
    <row r="39" spans="2:6" x14ac:dyDescent="0.25">
      <c r="C39" s="523"/>
    </row>
    <row r="40" spans="2:6" x14ac:dyDescent="0.25">
      <c r="B40" t="s">
        <v>1791</v>
      </c>
      <c r="C40" s="523">
        <v>0</v>
      </c>
      <c r="D40" s="286">
        <v>0</v>
      </c>
      <c r="E40" s="26">
        <f>D40*C40</f>
        <v>0</v>
      </c>
      <c r="F40" s="15">
        <f>E40*PUER!D$294</f>
        <v>0</v>
      </c>
    </row>
    <row r="41" spans="2:6" x14ac:dyDescent="0.25">
      <c r="C41" s="523"/>
    </row>
    <row r="42" spans="2:6" x14ac:dyDescent="0.25">
      <c r="C42" s="523"/>
    </row>
    <row r="43" spans="2:6" x14ac:dyDescent="0.25">
      <c r="B43" t="s">
        <v>1792</v>
      </c>
      <c r="C43" s="523">
        <v>0</v>
      </c>
      <c r="D43" s="286">
        <v>0</v>
      </c>
      <c r="E43" s="26">
        <f>D43*C43</f>
        <v>0</v>
      </c>
      <c r="F43" s="15">
        <f>E43*PUER!D$294</f>
        <v>0</v>
      </c>
    </row>
    <row r="44" spans="2:6" x14ac:dyDescent="0.25">
      <c r="C44" s="523"/>
    </row>
    <row r="45" spans="2:6" x14ac:dyDescent="0.25">
      <c r="C45" s="523"/>
    </row>
    <row r="46" spans="2:6" x14ac:dyDescent="0.25">
      <c r="B46" t="s">
        <v>1793</v>
      </c>
      <c r="C46" s="523">
        <v>0</v>
      </c>
      <c r="D46" s="286">
        <v>0</v>
      </c>
      <c r="E46" s="26">
        <f>D46*C46</f>
        <v>0</v>
      </c>
      <c r="F46" s="15">
        <f>E46*PUER!D$294</f>
        <v>0</v>
      </c>
    </row>
    <row r="47" spans="2:6" x14ac:dyDescent="0.25">
      <c r="C47" s="523"/>
    </row>
    <row r="48" spans="2:6" x14ac:dyDescent="0.25">
      <c r="C48" s="523"/>
    </row>
    <row r="49" spans="2:6" x14ac:dyDescent="0.25">
      <c r="B49" t="s">
        <v>1794</v>
      </c>
      <c r="C49" s="523">
        <v>0</v>
      </c>
      <c r="D49" s="286">
        <v>0</v>
      </c>
      <c r="E49" s="26">
        <f>D49*C49</f>
        <v>0</v>
      </c>
      <c r="F49" s="15">
        <f>E49*PUER!D$294</f>
        <v>0</v>
      </c>
    </row>
    <row r="50" spans="2:6" x14ac:dyDescent="0.25">
      <c r="C50" s="523"/>
    </row>
    <row r="51" spans="2:6" x14ac:dyDescent="0.25">
      <c r="C51" s="523"/>
    </row>
    <row r="52" spans="2:6" x14ac:dyDescent="0.25">
      <c r="C52" s="523"/>
    </row>
    <row r="53" spans="2:6" x14ac:dyDescent="0.25">
      <c r="B53" t="s">
        <v>1795</v>
      </c>
      <c r="C53" s="523">
        <v>0</v>
      </c>
      <c r="D53" s="286">
        <v>0</v>
      </c>
      <c r="E53" s="26">
        <f>D53*C53</f>
        <v>0</v>
      </c>
      <c r="F53" s="15">
        <f>E53*PUER!D$294</f>
        <v>0</v>
      </c>
    </row>
    <row r="54" spans="2:6" x14ac:dyDescent="0.25">
      <c r="C54" s="523"/>
    </row>
    <row r="55" spans="2:6" x14ac:dyDescent="0.25">
      <c r="C55" s="523"/>
    </row>
    <row r="56" spans="2:6" x14ac:dyDescent="0.25">
      <c r="B56" t="s">
        <v>1796</v>
      </c>
      <c r="C56" s="523">
        <f>PUER!D299</f>
        <v>0.53</v>
      </c>
      <c r="D56" s="525">
        <f>PUER!D289</f>
        <v>47</v>
      </c>
      <c r="E56" s="26">
        <f>D56*C56</f>
        <v>24.91</v>
      </c>
      <c r="F56" s="15">
        <f>E56*PUER!D$294</f>
        <v>4982</v>
      </c>
    </row>
    <row r="57" spans="2:6" x14ac:dyDescent="0.25">
      <c r="C57" s="523"/>
    </row>
    <row r="58" spans="2:6" x14ac:dyDescent="0.25">
      <c r="C58" s="523"/>
    </row>
    <row r="59" spans="2:6" x14ac:dyDescent="0.25">
      <c r="B59" t="s">
        <v>1797</v>
      </c>
      <c r="C59" s="523">
        <v>0</v>
      </c>
      <c r="D59" s="286">
        <v>0</v>
      </c>
      <c r="E59" s="26">
        <f>D59*C59</f>
        <v>0</v>
      </c>
      <c r="F59" s="15">
        <f>E59*PUER!D$294</f>
        <v>0</v>
      </c>
    </row>
    <row r="60" spans="2:6" x14ac:dyDescent="0.25">
      <c r="C60" s="523"/>
    </row>
    <row r="61" spans="2:6" x14ac:dyDescent="0.25">
      <c r="C61" s="523"/>
    </row>
    <row r="62" spans="2:6" x14ac:dyDescent="0.25">
      <c r="B62" t="s">
        <v>1798</v>
      </c>
      <c r="C62" s="523">
        <f>PUER!D298</f>
        <v>0.32</v>
      </c>
      <c r="D62" s="525">
        <f>PUER!D288</f>
        <v>37</v>
      </c>
      <c r="E62" s="26">
        <f>D62*C62</f>
        <v>11.84</v>
      </c>
      <c r="F62" s="15">
        <f>E62*PUER!D$294</f>
        <v>2368</v>
      </c>
    </row>
    <row r="63" spans="2:6" x14ac:dyDescent="0.25">
      <c r="C63" s="523"/>
    </row>
    <row r="64" spans="2:6" x14ac:dyDescent="0.25">
      <c r="C64" s="523"/>
    </row>
    <row r="65" spans="2:6" x14ac:dyDescent="0.25">
      <c r="B65" t="s">
        <v>1799</v>
      </c>
      <c r="C65" s="523">
        <v>0</v>
      </c>
      <c r="D65" s="286">
        <v>0</v>
      </c>
      <c r="E65" s="26">
        <f>D65*C65</f>
        <v>0</v>
      </c>
      <c r="F65" s="15">
        <f>E65*PUER!D$294</f>
        <v>0</v>
      </c>
    </row>
    <row r="67" spans="2:6" x14ac:dyDescent="0.25">
      <c r="B67" s="1515" t="s">
        <v>1575</v>
      </c>
      <c r="C67" s="1515"/>
      <c r="D67" s="285">
        <f>SUM(D10:D65)</f>
        <v>709</v>
      </c>
      <c r="E67" s="25">
        <f>SUM(E10:E66)</f>
        <v>303.64999999999998</v>
      </c>
      <c r="F67" s="25">
        <f>SUM(F10:F66)</f>
        <v>60730</v>
      </c>
    </row>
  </sheetData>
  <mergeCells count="5">
    <mergeCell ref="B1:F1"/>
    <mergeCell ref="B3:F3"/>
    <mergeCell ref="B5:F5"/>
    <mergeCell ref="B67:C67"/>
    <mergeCell ref="B7:F7"/>
  </mergeCells>
  <pageMargins left="0.51181102362204722" right="0.51181102362204722" top="0.78740157480314965" bottom="0.39370078740157483" header="0.31496062992125984" footer="0.31496062992125984"/>
  <pageSetup paperSize="9" scale="70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topLeftCell="A79" workbookViewId="0">
      <selection activeCell="E94" sqref="E94"/>
    </sheetView>
  </sheetViews>
  <sheetFormatPr defaultRowHeight="15" x14ac:dyDescent="0.25"/>
  <cols>
    <col min="1" max="1" width="2.28515625" style="372" customWidth="1"/>
    <col min="2" max="2" width="37.85546875" style="372" customWidth="1"/>
    <col min="3" max="3" width="21.5703125" style="372" customWidth="1"/>
    <col min="4" max="4" width="21.42578125" style="372" customWidth="1"/>
    <col min="5" max="5" width="16" style="372" customWidth="1"/>
    <col min="6" max="6" width="11.140625" style="330" customWidth="1"/>
    <col min="7" max="7" width="19.7109375" style="502" customWidth="1"/>
    <col min="8" max="8" width="9.140625" style="372"/>
    <col min="9" max="11" width="17.42578125" style="372" bestFit="1" customWidth="1"/>
    <col min="12" max="16384" width="9.140625" style="372"/>
  </cols>
  <sheetData>
    <row r="1" spans="2:11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413"/>
      <c r="I1" s="413"/>
    </row>
    <row r="2" spans="2:11" s="410" customFormat="1" ht="12.75" customHeight="1" x14ac:dyDescent="0.35">
      <c r="C2" s="411"/>
      <c r="F2" s="412"/>
    </row>
    <row r="3" spans="2:11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413"/>
      <c r="I3" s="413"/>
    </row>
    <row r="4" spans="2:11" s="410" customFormat="1" ht="10.5" customHeight="1" x14ac:dyDescent="0.35">
      <c r="C4" s="411"/>
      <c r="F4" s="412"/>
    </row>
    <row r="5" spans="2:11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414"/>
      <c r="I5" s="414"/>
    </row>
    <row r="7" spans="2:11" ht="18.75" x14ac:dyDescent="0.3">
      <c r="B7" s="1518" t="s">
        <v>7066</v>
      </c>
      <c r="C7" s="1518"/>
      <c r="D7" s="1518"/>
      <c r="E7" s="1518"/>
      <c r="F7" s="1518"/>
      <c r="G7" s="1518"/>
    </row>
    <row r="8" spans="2:11" ht="18.75" x14ac:dyDescent="0.3">
      <c r="B8" s="522"/>
      <c r="C8" s="522"/>
      <c r="D8" s="522"/>
      <c r="E8" s="522"/>
      <c r="F8" s="522"/>
      <c r="G8" s="522"/>
    </row>
    <row r="9" spans="2:11" x14ac:dyDescent="0.25">
      <c r="B9" s="1471" t="s">
        <v>7065</v>
      </c>
      <c r="C9" s="1471"/>
      <c r="D9" s="1471"/>
      <c r="E9" s="1471"/>
      <c r="F9" s="1471"/>
      <c r="G9" s="1471"/>
    </row>
    <row r="10" spans="2:11" x14ac:dyDescent="0.25">
      <c r="B10" s="331"/>
      <c r="C10" s="331"/>
      <c r="D10" s="331"/>
      <c r="E10" s="331"/>
      <c r="F10" s="331"/>
      <c r="G10" s="331"/>
    </row>
    <row r="11" spans="2:11" s="501" customFormat="1" ht="73.5" customHeight="1" x14ac:dyDescent="0.25">
      <c r="B11" s="498" t="s">
        <v>1777</v>
      </c>
      <c r="C11" s="499" t="s">
        <v>1778</v>
      </c>
      <c r="D11" s="499" t="s">
        <v>1779</v>
      </c>
      <c r="E11" s="499" t="s">
        <v>7102</v>
      </c>
      <c r="F11" s="499" t="s">
        <v>1780</v>
      </c>
      <c r="G11" s="500" t="s">
        <v>1800</v>
      </c>
    </row>
    <row r="12" spans="2:11" x14ac:dyDescent="0.25">
      <c r="B12" s="337" t="s">
        <v>1781</v>
      </c>
      <c r="C12" s="337">
        <v>1.3</v>
      </c>
      <c r="D12" s="338">
        <v>5389.36</v>
      </c>
      <c r="E12" s="338">
        <v>5947.11</v>
      </c>
      <c r="F12" s="519">
        <f>PUER!D283</f>
        <v>31</v>
      </c>
      <c r="G12" s="338">
        <f>F12*E12</f>
        <v>184360.41</v>
      </c>
      <c r="I12" s="666"/>
      <c r="J12" s="666"/>
      <c r="K12" s="666"/>
    </row>
    <row r="13" spans="2:11" x14ac:dyDescent="0.25">
      <c r="D13" s="502"/>
      <c r="E13" s="502"/>
    </row>
    <row r="14" spans="2:11" x14ac:dyDescent="0.25">
      <c r="D14" s="502"/>
      <c r="E14" s="502"/>
    </row>
    <row r="15" spans="2:11" x14ac:dyDescent="0.25">
      <c r="B15" s="372" t="s">
        <v>1782</v>
      </c>
      <c r="C15" s="372">
        <v>1</v>
      </c>
      <c r="D15" s="502">
        <v>4145.66</v>
      </c>
      <c r="E15" s="338">
        <v>5260.91</v>
      </c>
      <c r="F15" s="330">
        <v>0</v>
      </c>
      <c r="G15" s="502">
        <f>F15*E15</f>
        <v>0</v>
      </c>
    </row>
    <row r="16" spans="2:11" x14ac:dyDescent="0.25">
      <c r="D16" s="502"/>
      <c r="E16" s="502"/>
    </row>
    <row r="17" spans="2:11" x14ac:dyDescent="0.25">
      <c r="D17" s="502"/>
      <c r="E17" s="502"/>
    </row>
    <row r="18" spans="2:11" x14ac:dyDescent="0.25">
      <c r="B18" s="372" t="s">
        <v>1783</v>
      </c>
      <c r="C18" s="372">
        <v>1.1000000000000001</v>
      </c>
      <c r="D18" s="502">
        <v>4560.2299999999996</v>
      </c>
      <c r="E18" s="338">
        <v>5032.18</v>
      </c>
      <c r="F18" s="330">
        <v>0</v>
      </c>
      <c r="G18" s="502">
        <f>F18*E18</f>
        <v>0</v>
      </c>
    </row>
    <row r="19" spans="2:11" x14ac:dyDescent="0.25">
      <c r="D19" s="502"/>
      <c r="E19" s="338"/>
    </row>
    <row r="20" spans="2:11" x14ac:dyDescent="0.25">
      <c r="D20" s="502"/>
      <c r="E20" s="502"/>
    </row>
    <row r="21" spans="2:11" x14ac:dyDescent="0.25">
      <c r="B21" s="372" t="s">
        <v>1784</v>
      </c>
      <c r="C21" s="372">
        <v>0.8</v>
      </c>
      <c r="D21" s="502">
        <v>3316.53</v>
      </c>
      <c r="E21" s="338">
        <v>3659.76</v>
      </c>
      <c r="F21" s="330">
        <v>0</v>
      </c>
      <c r="G21" s="502">
        <f>F21*E21</f>
        <v>0</v>
      </c>
    </row>
    <row r="22" spans="2:11" x14ac:dyDescent="0.25">
      <c r="D22" s="502"/>
      <c r="E22" s="502"/>
    </row>
    <row r="23" spans="2:11" x14ac:dyDescent="0.25">
      <c r="D23" s="502"/>
      <c r="E23" s="502"/>
    </row>
    <row r="24" spans="2:11" x14ac:dyDescent="0.25">
      <c r="B24" s="372" t="s">
        <v>1785</v>
      </c>
      <c r="C24" s="372">
        <v>1.3</v>
      </c>
      <c r="D24" s="502">
        <v>5389.36</v>
      </c>
      <c r="E24" s="338">
        <v>5947.11</v>
      </c>
      <c r="F24" s="330">
        <v>0</v>
      </c>
      <c r="G24" s="502">
        <f>F24*E24</f>
        <v>0</v>
      </c>
    </row>
    <row r="25" spans="2:11" x14ac:dyDescent="0.25">
      <c r="D25" s="502"/>
      <c r="E25" s="502"/>
    </row>
    <row r="26" spans="2:11" x14ac:dyDescent="0.25">
      <c r="D26" s="502"/>
      <c r="E26" s="502"/>
    </row>
    <row r="27" spans="2:11" x14ac:dyDescent="0.25">
      <c r="B27" s="372" t="s">
        <v>1786</v>
      </c>
      <c r="C27" s="372">
        <v>1.05</v>
      </c>
      <c r="D27" s="502">
        <v>4145.66</v>
      </c>
      <c r="E27" s="338">
        <v>4803.4399999999996</v>
      </c>
      <c r="F27" s="520">
        <f>PUER!D284</f>
        <v>117</v>
      </c>
      <c r="G27" s="502">
        <f>F27*E27</f>
        <v>562002.48</v>
      </c>
      <c r="K27" s="666"/>
    </row>
    <row r="28" spans="2:11" x14ac:dyDescent="0.25">
      <c r="D28" s="502"/>
      <c r="E28" s="502"/>
      <c r="J28" s="666"/>
    </row>
    <row r="29" spans="2:11" x14ac:dyDescent="0.25">
      <c r="D29" s="502"/>
      <c r="E29" s="502"/>
      <c r="J29" s="666"/>
    </row>
    <row r="30" spans="2:11" x14ac:dyDescent="0.25">
      <c r="B30" s="372" t="s">
        <v>1787</v>
      </c>
      <c r="C30" s="372">
        <v>1</v>
      </c>
      <c r="D30" s="502">
        <v>4145.66</v>
      </c>
      <c r="E30" s="338">
        <v>4574.7</v>
      </c>
      <c r="F30" s="330">
        <v>0</v>
      </c>
      <c r="G30" s="502">
        <f>F30*E30</f>
        <v>0</v>
      </c>
    </row>
    <row r="31" spans="2:11" x14ac:dyDescent="0.25">
      <c r="D31" s="502"/>
      <c r="E31" s="502"/>
    </row>
    <row r="32" spans="2:11" x14ac:dyDescent="0.25">
      <c r="D32" s="502"/>
      <c r="E32" s="502"/>
    </row>
    <row r="33" spans="2:11" x14ac:dyDescent="0.25">
      <c r="B33" s="372" t="s">
        <v>1788</v>
      </c>
      <c r="C33" s="372">
        <v>1.1499999999999999</v>
      </c>
      <c r="D33" s="502">
        <v>4767.51</v>
      </c>
      <c r="E33" s="338">
        <v>5260.91</v>
      </c>
      <c r="F33" s="520">
        <f>PUER!D285</f>
        <v>253</v>
      </c>
      <c r="G33" s="502">
        <f>F33*E33</f>
        <v>1331010.23</v>
      </c>
      <c r="I33" s="666"/>
    </row>
    <row r="34" spans="2:11" x14ac:dyDescent="0.25">
      <c r="D34" s="502"/>
      <c r="E34" s="502"/>
    </row>
    <row r="35" spans="2:11" x14ac:dyDescent="0.25">
      <c r="D35" s="502"/>
      <c r="E35" s="502"/>
    </row>
    <row r="36" spans="2:11" x14ac:dyDescent="0.25">
      <c r="B36" s="372" t="s">
        <v>1789</v>
      </c>
      <c r="C36" s="372">
        <v>1.1000000000000001</v>
      </c>
      <c r="D36" s="502">
        <v>4560.2299999999996</v>
      </c>
      <c r="E36" s="338">
        <v>5032.18</v>
      </c>
      <c r="F36" s="330">
        <v>0</v>
      </c>
      <c r="G36" s="502">
        <f>F36*E36</f>
        <v>0</v>
      </c>
    </row>
    <row r="37" spans="2:11" x14ac:dyDescent="0.25">
      <c r="D37" s="502"/>
      <c r="E37" s="502"/>
    </row>
    <row r="38" spans="2:11" x14ac:dyDescent="0.25">
      <c r="D38" s="502"/>
      <c r="E38" s="502"/>
      <c r="K38" s="667"/>
    </row>
    <row r="39" spans="2:11" x14ac:dyDescent="0.25">
      <c r="B39" s="372" t="s">
        <v>1790</v>
      </c>
      <c r="C39" s="372">
        <v>1.2</v>
      </c>
      <c r="D39" s="502">
        <v>4974.8</v>
      </c>
      <c r="E39" s="338">
        <v>5489.65</v>
      </c>
      <c r="F39" s="520">
        <f>PUER!D287</f>
        <v>224</v>
      </c>
      <c r="G39" s="502">
        <f>F39*E39</f>
        <v>1229681.5999999999</v>
      </c>
      <c r="I39" s="666"/>
      <c r="J39" s="666"/>
      <c r="K39" s="666"/>
    </row>
    <row r="40" spans="2:11" x14ac:dyDescent="0.25">
      <c r="D40" s="502"/>
      <c r="E40" s="502"/>
    </row>
    <row r="41" spans="2:11" x14ac:dyDescent="0.25">
      <c r="D41" s="502"/>
      <c r="E41" s="502"/>
      <c r="K41" s="666"/>
    </row>
    <row r="42" spans="2:11" x14ac:dyDescent="0.25">
      <c r="B42" s="372" t="s">
        <v>1791</v>
      </c>
      <c r="C42" s="372">
        <v>1.3</v>
      </c>
      <c r="D42" s="502">
        <v>5389.36</v>
      </c>
      <c r="E42" s="338">
        <v>5947.11</v>
      </c>
      <c r="F42" s="330">
        <v>0</v>
      </c>
      <c r="G42" s="502">
        <f>F42*E42</f>
        <v>0</v>
      </c>
    </row>
    <row r="43" spans="2:11" x14ac:dyDescent="0.25">
      <c r="D43" s="502"/>
      <c r="E43" s="502"/>
    </row>
    <row r="44" spans="2:11" x14ac:dyDescent="0.25">
      <c r="D44" s="502"/>
      <c r="E44" s="502"/>
    </row>
    <row r="45" spans="2:11" x14ac:dyDescent="0.25">
      <c r="B45" s="372" t="s">
        <v>1792</v>
      </c>
      <c r="C45" s="372">
        <v>1.25</v>
      </c>
      <c r="D45" s="502">
        <v>5182.08</v>
      </c>
      <c r="E45" s="338">
        <v>5707.68</v>
      </c>
      <c r="F45" s="330">
        <v>0</v>
      </c>
      <c r="G45" s="502">
        <f>F45*E45</f>
        <v>0</v>
      </c>
      <c r="K45" s="666"/>
    </row>
    <row r="46" spans="2:11" x14ac:dyDescent="0.25">
      <c r="D46" s="502"/>
      <c r="E46" s="502"/>
    </row>
    <row r="47" spans="2:11" x14ac:dyDescent="0.25">
      <c r="D47" s="502"/>
      <c r="E47" s="502"/>
    </row>
    <row r="48" spans="2:11" x14ac:dyDescent="0.25">
      <c r="B48" s="372" t="s">
        <v>1793</v>
      </c>
      <c r="C48" s="372">
        <v>1.3</v>
      </c>
      <c r="D48" s="502">
        <v>5389.36</v>
      </c>
      <c r="E48" s="338">
        <v>5947.11</v>
      </c>
      <c r="F48" s="330">
        <v>0</v>
      </c>
      <c r="G48" s="502">
        <f>F48*E48</f>
        <v>0</v>
      </c>
    </row>
    <row r="49" spans="2:11" x14ac:dyDescent="0.25">
      <c r="D49" s="502"/>
      <c r="E49" s="502"/>
    </row>
    <row r="50" spans="2:11" x14ac:dyDescent="0.25">
      <c r="D50" s="502"/>
      <c r="E50" s="502"/>
    </row>
    <row r="51" spans="2:11" x14ac:dyDescent="0.25">
      <c r="B51" s="372" t="s">
        <v>1794</v>
      </c>
      <c r="C51" s="372">
        <v>1.3</v>
      </c>
      <c r="D51" s="502">
        <v>5389.36</v>
      </c>
      <c r="E51" s="338">
        <v>5947.11</v>
      </c>
      <c r="F51" s="330">
        <v>0</v>
      </c>
      <c r="G51" s="502">
        <f>F51*E51</f>
        <v>0</v>
      </c>
    </row>
    <row r="52" spans="2:11" x14ac:dyDescent="0.25">
      <c r="D52" s="502"/>
      <c r="E52" s="502"/>
    </row>
    <row r="53" spans="2:11" x14ac:dyDescent="0.25">
      <c r="D53" s="502"/>
      <c r="E53" s="502"/>
    </row>
    <row r="54" spans="2:11" x14ac:dyDescent="0.25">
      <c r="D54" s="502"/>
      <c r="E54" s="502"/>
    </row>
    <row r="55" spans="2:11" x14ac:dyDescent="0.25">
      <c r="B55" s="372" t="s">
        <v>1795</v>
      </c>
      <c r="C55" s="372">
        <v>1.3</v>
      </c>
      <c r="D55" s="502">
        <v>5389.36</v>
      </c>
      <c r="E55" s="338">
        <v>5947.11</v>
      </c>
      <c r="F55" s="330">
        <v>0</v>
      </c>
      <c r="G55" s="502">
        <f>F55*E55</f>
        <v>0</v>
      </c>
    </row>
    <row r="56" spans="2:11" x14ac:dyDescent="0.25">
      <c r="D56" s="502"/>
      <c r="E56" s="502"/>
    </row>
    <row r="57" spans="2:11" x14ac:dyDescent="0.25">
      <c r="D57" s="502"/>
      <c r="E57" s="502"/>
    </row>
    <row r="58" spans="2:11" x14ac:dyDescent="0.25">
      <c r="B58" s="372" t="s">
        <v>1796</v>
      </c>
      <c r="C58" s="372">
        <v>1.2</v>
      </c>
      <c r="D58" s="502">
        <v>4974.8</v>
      </c>
      <c r="E58" s="338">
        <v>5489.65</v>
      </c>
      <c r="F58" s="520">
        <f>PUER!D289</f>
        <v>47</v>
      </c>
      <c r="G58" s="502">
        <f>F58*E58</f>
        <v>258013.55</v>
      </c>
      <c r="J58" s="666"/>
      <c r="K58" s="666"/>
    </row>
    <row r="59" spans="2:11" x14ac:dyDescent="0.25">
      <c r="D59" s="502"/>
      <c r="E59" s="502"/>
    </row>
    <row r="60" spans="2:11" x14ac:dyDescent="0.25">
      <c r="D60" s="502"/>
      <c r="E60" s="502"/>
    </row>
    <row r="61" spans="2:11" x14ac:dyDescent="0.25">
      <c r="B61" s="372" t="s">
        <v>1797</v>
      </c>
      <c r="C61" s="372">
        <v>1.2</v>
      </c>
      <c r="D61" s="502">
        <v>4974.8</v>
      </c>
      <c r="E61" s="338">
        <v>5489.65</v>
      </c>
      <c r="F61" s="330">
        <v>0</v>
      </c>
      <c r="G61" s="502">
        <f>F61*E61</f>
        <v>0</v>
      </c>
    </row>
    <row r="62" spans="2:11" x14ac:dyDescent="0.25">
      <c r="D62" s="502"/>
      <c r="E62" s="502"/>
    </row>
    <row r="63" spans="2:11" s="497" customFormat="1" x14ac:dyDescent="0.25">
      <c r="D63" s="692"/>
      <c r="E63" s="692"/>
      <c r="F63" s="693"/>
      <c r="G63" s="692"/>
    </row>
    <row r="64" spans="2:11" s="497" customFormat="1" x14ac:dyDescent="0.25">
      <c r="B64" s="497" t="s">
        <v>1798</v>
      </c>
      <c r="C64" s="497">
        <v>0.8</v>
      </c>
      <c r="D64" s="692">
        <v>3316.53</v>
      </c>
      <c r="E64" s="694">
        <v>3659.83</v>
      </c>
      <c r="F64" s="695">
        <f>PUER!D288</f>
        <v>37</v>
      </c>
      <c r="G64" s="692">
        <f>F64*E64</f>
        <v>135413.71</v>
      </c>
      <c r="J64" s="696"/>
      <c r="K64" s="696"/>
    </row>
    <row r="65" spans="2:11" s="497" customFormat="1" x14ac:dyDescent="0.25">
      <c r="D65" s="692"/>
      <c r="E65" s="692"/>
      <c r="F65" s="693"/>
      <c r="G65" s="692"/>
    </row>
    <row r="66" spans="2:11" x14ac:dyDescent="0.25">
      <c r="D66" s="502"/>
      <c r="E66" s="502"/>
    </row>
    <row r="67" spans="2:11" s="497" customFormat="1" x14ac:dyDescent="0.25">
      <c r="B67" s="497" t="s">
        <v>1799</v>
      </c>
      <c r="C67" s="497">
        <v>1.2</v>
      </c>
      <c r="D67" s="692">
        <v>4974.8</v>
      </c>
      <c r="E67" s="694">
        <v>5489.65</v>
      </c>
      <c r="F67" s="693">
        <v>0</v>
      </c>
      <c r="G67" s="692">
        <f>F67*E67</f>
        <v>0</v>
      </c>
    </row>
    <row r="68" spans="2:11" x14ac:dyDescent="0.25">
      <c r="K68" s="666"/>
    </row>
    <row r="69" spans="2:11" x14ac:dyDescent="0.25">
      <c r="B69" s="1471" t="s">
        <v>1575</v>
      </c>
      <c r="C69" s="1471"/>
      <c r="D69" s="1471"/>
      <c r="E69" s="1471"/>
      <c r="F69" s="331">
        <f>SUM(F12:F67)</f>
        <v>709</v>
      </c>
      <c r="G69" s="338">
        <f>SUM(G12:G68)</f>
        <v>3700481.9799999995</v>
      </c>
    </row>
    <row r="71" spans="2:11" s="505" customFormat="1" ht="30" x14ac:dyDescent="0.25">
      <c r="B71" s="503" t="s">
        <v>1576</v>
      </c>
      <c r="C71" s="499" t="s">
        <v>1574</v>
      </c>
      <c r="D71" s="504" t="s">
        <v>1801</v>
      </c>
      <c r="F71" s="521"/>
      <c r="G71" s="506"/>
    </row>
    <row r="72" spans="2:11" x14ac:dyDescent="0.25">
      <c r="B72" s="507" t="s">
        <v>83</v>
      </c>
      <c r="C72" s="502">
        <f>ER!E338</f>
        <v>11363678.696726494</v>
      </c>
      <c r="D72" s="508">
        <f t="shared" ref="D72:D79" si="0">C72/C$79</f>
        <v>0.64756574379260756</v>
      </c>
    </row>
    <row r="73" spans="2:11" x14ac:dyDescent="0.25">
      <c r="B73" s="507" t="s">
        <v>84</v>
      </c>
      <c r="C73" s="502">
        <f>ER!E351</f>
        <v>18071.824642416803</v>
      </c>
      <c r="D73" s="508">
        <f t="shared" si="0"/>
        <v>1.0298332853803211E-3</v>
      </c>
    </row>
    <row r="74" spans="2:11" x14ac:dyDescent="0.25">
      <c r="B74" s="507" t="s">
        <v>1577</v>
      </c>
      <c r="C74" s="502">
        <f>ER!E383</f>
        <v>1.0446546729843194</v>
      </c>
      <c r="D74" s="508">
        <f t="shared" si="0"/>
        <v>5.9530245299208135E-8</v>
      </c>
    </row>
    <row r="75" spans="2:11" x14ac:dyDescent="0.25">
      <c r="B75" s="507" t="s">
        <v>88</v>
      </c>
      <c r="C75" s="502">
        <f>ER!E395</f>
        <v>5586108.0264563644</v>
      </c>
      <c r="D75" s="508">
        <f t="shared" si="0"/>
        <v>0.31832756764762438</v>
      </c>
    </row>
    <row r="76" spans="2:11" x14ac:dyDescent="0.25">
      <c r="B76" s="507" t="s">
        <v>89</v>
      </c>
      <c r="C76" s="502">
        <f>ER!E400</f>
        <v>580358.35123503162</v>
      </c>
      <c r="D76" s="508">
        <f t="shared" si="0"/>
        <v>3.3072053286056585E-2</v>
      </c>
    </row>
    <row r="77" spans="2:11" x14ac:dyDescent="0.25">
      <c r="B77" s="507" t="s">
        <v>1578</v>
      </c>
      <c r="C77" s="502">
        <f>ER!E405</f>
        <v>83.222082755894462</v>
      </c>
      <c r="D77" s="508">
        <f t="shared" si="0"/>
        <v>4.7424580858058936E-6</v>
      </c>
    </row>
    <row r="78" spans="2:11" x14ac:dyDescent="0.25">
      <c r="B78" s="507" t="s">
        <v>1579</v>
      </c>
      <c r="C78" s="502">
        <v>0</v>
      </c>
      <c r="D78" s="508">
        <f t="shared" si="0"/>
        <v>0</v>
      </c>
    </row>
    <row r="79" spans="2:11" x14ac:dyDescent="0.25">
      <c r="B79" s="509" t="s">
        <v>1575</v>
      </c>
      <c r="C79" s="510">
        <f>SUM(C72:C78)</f>
        <v>17548301.165797736</v>
      </c>
      <c r="D79" s="511">
        <f t="shared" si="0"/>
        <v>1</v>
      </c>
    </row>
    <row r="81" spans="2:4" x14ac:dyDescent="0.25">
      <c r="B81" s="1517" t="s">
        <v>1580</v>
      </c>
      <c r="C81" s="1517"/>
      <c r="D81" s="1517"/>
    </row>
    <row r="83" spans="2:4" x14ac:dyDescent="0.25">
      <c r="B83" s="512" t="s">
        <v>83</v>
      </c>
      <c r="C83" s="513">
        <f>C72*D83</f>
        <v>2272735.7393452986</v>
      </c>
      <c r="D83" s="514">
        <v>0.2</v>
      </c>
    </row>
    <row r="84" spans="2:4" x14ac:dyDescent="0.25">
      <c r="B84" s="512" t="s">
        <v>84</v>
      </c>
      <c r="C84" s="513">
        <f t="shared" ref="C84:C88" si="1">C73*D84</f>
        <v>3614.3649284833609</v>
      </c>
      <c r="D84" s="514">
        <v>0.2</v>
      </c>
    </row>
    <row r="85" spans="2:4" x14ac:dyDescent="0.25">
      <c r="B85" s="512" t="s">
        <v>1577</v>
      </c>
      <c r="C85" s="513">
        <f t="shared" si="1"/>
        <v>0.20893093459686388</v>
      </c>
      <c r="D85" s="514">
        <v>0.2</v>
      </c>
    </row>
    <row r="86" spans="2:4" x14ac:dyDescent="0.25">
      <c r="B86" s="512" t="s">
        <v>88</v>
      </c>
      <c r="C86" s="513">
        <f>C75*D86</f>
        <v>1117221.605291273</v>
      </c>
      <c r="D86" s="514">
        <v>0.2</v>
      </c>
    </row>
    <row r="87" spans="2:4" x14ac:dyDescent="0.25">
      <c r="B87" s="512" t="s">
        <v>89</v>
      </c>
      <c r="C87" s="513">
        <f t="shared" si="1"/>
        <v>116071.67024700633</v>
      </c>
      <c r="D87" s="514">
        <v>0.2</v>
      </c>
    </row>
    <row r="88" spans="2:4" x14ac:dyDescent="0.25">
      <c r="B88" s="512" t="s">
        <v>1578</v>
      </c>
      <c r="C88" s="513">
        <f t="shared" si="1"/>
        <v>16.644416551178892</v>
      </c>
      <c r="D88" s="514">
        <v>0.2</v>
      </c>
    </row>
    <row r="89" spans="2:4" x14ac:dyDescent="0.25">
      <c r="B89" s="515" t="s">
        <v>1575</v>
      </c>
      <c r="C89" s="1519">
        <f>SUM(C83:C88)</f>
        <v>3509660.2331595472</v>
      </c>
      <c r="D89" s="1519"/>
    </row>
    <row r="91" spans="2:4" x14ac:dyDescent="0.25">
      <c r="B91" s="1517" t="s">
        <v>1581</v>
      </c>
      <c r="C91" s="1517"/>
      <c r="D91" s="1517"/>
    </row>
    <row r="92" spans="2:4" x14ac:dyDescent="0.25">
      <c r="B92" s="516" t="s">
        <v>1582</v>
      </c>
      <c r="C92" s="517">
        <f>G69-C89:C89</f>
        <v>190821.74684045231</v>
      </c>
      <c r="D92" s="518">
        <f>C92/G69</f>
        <v>5.1566727759191071E-2</v>
      </c>
    </row>
  </sheetData>
  <mergeCells count="9">
    <mergeCell ref="B1:G1"/>
    <mergeCell ref="B3:G3"/>
    <mergeCell ref="B5:G5"/>
    <mergeCell ref="B91:D91"/>
    <mergeCell ref="B7:G7"/>
    <mergeCell ref="B9:G9"/>
    <mergeCell ref="B69:E69"/>
    <mergeCell ref="B81:D81"/>
    <mergeCell ref="C89:D89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52"/>
  <sheetViews>
    <sheetView topLeftCell="A436" workbookViewId="0">
      <selection activeCell="H426" sqref="H426"/>
    </sheetView>
  </sheetViews>
  <sheetFormatPr defaultRowHeight="15" x14ac:dyDescent="0.25"/>
  <cols>
    <col min="1" max="1" width="2.42578125" customWidth="1"/>
    <col min="3" max="3" width="18.7109375" customWidth="1"/>
    <col min="4" max="4" width="16.28515625" customWidth="1"/>
    <col min="7" max="7" width="14.85546875" customWidth="1"/>
    <col min="8" max="8" width="18.42578125" customWidth="1"/>
    <col min="10" max="10" width="10.85546875" customWidth="1"/>
  </cols>
  <sheetData>
    <row r="1" spans="2:11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</row>
    <row r="2" spans="2:11" s="410" customFormat="1" ht="12.75" customHeight="1" x14ac:dyDescent="0.35">
      <c r="C2" s="412"/>
      <c r="D2" s="411"/>
      <c r="G2" s="412"/>
    </row>
    <row r="3" spans="2:11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</row>
    <row r="4" spans="2:11" s="410" customFormat="1" ht="10.5" customHeight="1" x14ac:dyDescent="0.35">
      <c r="C4" s="412"/>
      <c r="D4" s="411"/>
      <c r="G4" s="412"/>
    </row>
    <row r="5" spans="2:11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</row>
    <row r="7" spans="2:11" ht="15.75" x14ac:dyDescent="0.25">
      <c r="B7" s="1522" t="s">
        <v>2322</v>
      </c>
      <c r="C7" s="1522"/>
      <c r="D7" s="1522"/>
      <c r="E7" s="1522"/>
      <c r="F7" s="1522"/>
      <c r="G7" s="1522"/>
      <c r="H7" s="1522"/>
      <c r="I7" s="1522"/>
      <c r="J7" s="1522"/>
      <c r="K7" s="125"/>
    </row>
    <row r="9" spans="2:11" ht="34.5" customHeight="1" x14ac:dyDescent="0.25">
      <c r="B9" s="1521" t="s">
        <v>7882</v>
      </c>
      <c r="C9" s="1521"/>
      <c r="D9" s="1521"/>
      <c r="E9" s="1521"/>
      <c r="F9" s="1521"/>
      <c r="G9" s="1521"/>
      <c r="H9" s="1521"/>
      <c r="I9" s="1521"/>
      <c r="J9" s="1521"/>
      <c r="K9" s="119"/>
    </row>
    <row r="11" spans="2:11" ht="33" customHeight="1" x14ac:dyDescent="0.25">
      <c r="B11" s="1521" t="s">
        <v>7883</v>
      </c>
      <c r="C11" s="1521"/>
      <c r="D11" s="1521"/>
      <c r="E11" s="1521"/>
      <c r="F11" s="1521"/>
      <c r="G11" s="1521"/>
      <c r="H11" s="1521"/>
      <c r="I11" s="1521"/>
      <c r="J11" s="1521"/>
      <c r="K11" s="119"/>
    </row>
    <row r="13" spans="2:11" ht="26.25" customHeight="1" x14ac:dyDescent="0.25">
      <c r="B13" s="1521" t="s">
        <v>7884</v>
      </c>
      <c r="C13" s="1521"/>
      <c r="D13" s="1521"/>
      <c r="E13" s="1521"/>
      <c r="F13" s="1521"/>
      <c r="G13" s="1521"/>
      <c r="H13" s="1521"/>
      <c r="I13" s="1521"/>
      <c r="J13" s="1521"/>
      <c r="K13" s="119"/>
    </row>
    <row r="15" spans="2:11" ht="99" customHeight="1" x14ac:dyDescent="0.25">
      <c r="B15" s="1523" t="s">
        <v>7885</v>
      </c>
      <c r="C15" s="1523"/>
      <c r="D15" s="1523"/>
      <c r="E15" s="1523"/>
      <c r="F15" s="1523"/>
      <c r="G15" s="1523"/>
      <c r="H15" s="1523"/>
      <c r="I15" s="1523"/>
      <c r="J15" s="1523"/>
      <c r="K15" s="124"/>
    </row>
    <row r="16" spans="2:11" x14ac:dyDescent="0.25">
      <c r="B16" s="1520" t="s">
        <v>1</v>
      </c>
      <c r="C16" s="1520"/>
      <c r="D16" s="1520"/>
      <c r="E16" s="1520"/>
      <c r="F16" s="1520"/>
      <c r="G16" s="1520"/>
      <c r="H16" s="126">
        <v>2020</v>
      </c>
      <c r="I16" s="126">
        <v>2021</v>
      </c>
      <c r="J16" s="126">
        <v>2022</v>
      </c>
    </row>
    <row r="17" spans="2:10" x14ac:dyDescent="0.25">
      <c r="B17" s="1521" t="str">
        <f>PUER!C10</f>
        <v>MEDIA DA Variação do IPCA  E IGP-DI para 2020</v>
      </c>
      <c r="C17" s="1521"/>
      <c r="D17" s="1521"/>
      <c r="E17" s="1521"/>
      <c r="F17" s="1521"/>
      <c r="G17" s="1521"/>
      <c r="H17" s="123">
        <f>PUER!D10</f>
        <v>5.2099999999999994E-2</v>
      </c>
      <c r="I17" s="123">
        <f>PUER!E10</f>
        <v>4.0300000000000002E-2</v>
      </c>
      <c r="J17" s="123">
        <f>PUER!F10</f>
        <v>3.755E-2</v>
      </c>
    </row>
    <row r="18" spans="2:10" x14ac:dyDescent="0.25">
      <c r="B18" s="1521" t="str">
        <f>PUER!C11</f>
        <v>Variação do IPCA base Sistema de Expectativas de Mercado Famurs</v>
      </c>
      <c r="C18" s="1521"/>
      <c r="D18" s="1521"/>
      <c r="E18" s="1521"/>
      <c r="F18" s="1521"/>
      <c r="G18" s="1521"/>
      <c r="H18" s="123">
        <f>PUER!D11</f>
        <v>3.8899999999999997E-2</v>
      </c>
      <c r="I18" s="123">
        <f>PUER!E11</f>
        <v>0.04</v>
      </c>
      <c r="J18" s="123">
        <f>PUER!F11</f>
        <v>3.6999999999999998E-2</v>
      </c>
    </row>
    <row r="19" spans="2:10" x14ac:dyDescent="0.25">
      <c r="B19" s="1521" t="str">
        <f>PUER!C12</f>
        <v>Variação do IGP - DI  base Sistema de Expectativas de Mercado BACEN</v>
      </c>
      <c r="C19" s="1521"/>
      <c r="D19" s="1521"/>
      <c r="E19" s="1521"/>
      <c r="F19" s="1521"/>
      <c r="G19" s="1521"/>
      <c r="H19" s="123">
        <f>PUER!D12</f>
        <v>6.5299999999999997E-2</v>
      </c>
      <c r="I19" s="123">
        <f>PUER!E12</f>
        <v>4.0599999999999997E-2</v>
      </c>
      <c r="J19" s="123">
        <f>PUER!F12</f>
        <v>3.8100000000000002E-2</v>
      </c>
    </row>
    <row r="20" spans="2:10" x14ac:dyDescent="0.25">
      <c r="B20" s="1521" t="str">
        <f>PUER!C13</f>
        <v>Crescimento do PIB ( Variação Anual)  base Sistema de Expectativas de Mercado FAMURS</v>
      </c>
      <c r="C20" s="1521"/>
      <c r="D20" s="1521"/>
      <c r="E20" s="1521"/>
      <c r="F20" s="1521"/>
      <c r="G20" s="1521"/>
      <c r="H20" s="123">
        <f>PUER!D13</f>
        <v>2.1999999999999999E-2</v>
      </c>
      <c r="I20" s="123">
        <f>PUER!E13</f>
        <v>2.7E-2</v>
      </c>
      <c r="J20" s="123">
        <f>PUER!F13</f>
        <v>2.5999999999999999E-2</v>
      </c>
    </row>
    <row r="21" spans="2:10" x14ac:dyDescent="0.25">
      <c r="B21" s="1521" t="str">
        <f>PUER!C14</f>
        <v>Crescimento do PIB  RS ( Variação Anual)  base FAMURS</v>
      </c>
      <c r="C21" s="1521"/>
      <c r="D21" s="1521"/>
      <c r="E21" s="1521"/>
      <c r="F21" s="1521"/>
      <c r="G21" s="1521"/>
      <c r="H21" s="123">
        <f>PUER!D14</f>
        <v>2.1999999999999999E-2</v>
      </c>
      <c r="I21" s="123">
        <f>PUER!E14</f>
        <v>2.7E-2</v>
      </c>
      <c r="J21" s="123">
        <f>PUER!F14</f>
        <v>2.5999999999999999E-2</v>
      </c>
    </row>
    <row r="22" spans="2:10" x14ac:dyDescent="0.25">
      <c r="B22" s="1521" t="str">
        <f>PUER!C15</f>
        <v>Taxa SELIC ( Média) Base Sistema de Expectativas de Mercado BACEN</v>
      </c>
      <c r="C22" s="1521"/>
      <c r="D22" s="1521"/>
      <c r="E22" s="1521"/>
      <c r="F22" s="1521"/>
      <c r="G22" s="1521"/>
      <c r="H22" s="123">
        <f>PUER!D15</f>
        <v>7.2499999999999995E-2</v>
      </c>
      <c r="I22" s="123">
        <f>PUER!E15</f>
        <v>8.2500000000000004E-2</v>
      </c>
      <c r="J22" s="123">
        <f>PUER!F15</f>
        <v>8.5000000000000006E-2</v>
      </c>
    </row>
    <row r="23" spans="2:10" x14ac:dyDescent="0.25">
      <c r="B23" s="1521" t="str">
        <f>PUER!C16</f>
        <v>Taxa de Câmbio (R$/US$) – dez  Base Sistema de Expectativas de Mercado BACEN</v>
      </c>
      <c r="C23" s="1521"/>
      <c r="D23" s="1521"/>
      <c r="E23" s="1521"/>
      <c r="F23" s="1521"/>
      <c r="G23" s="1521"/>
      <c r="H23" s="123">
        <f>PUER!D16</f>
        <v>4.2999999999999997E-2</v>
      </c>
      <c r="I23" s="123">
        <f>PUER!E16</f>
        <v>4.4999999999999998E-2</v>
      </c>
      <c r="J23" s="123">
        <f>PUER!F16</f>
        <v>4.6399999999999997E-2</v>
      </c>
    </row>
    <row r="24" spans="2:10" x14ac:dyDescent="0.25">
      <c r="B24" s="1521" t="str">
        <f>PUER!C17</f>
        <v>Estimativa de Percentual de para Aplicação de Recursos Livres</v>
      </c>
      <c r="C24" s="1521"/>
      <c r="D24" s="1521"/>
      <c r="E24" s="1521"/>
      <c r="F24" s="1521"/>
      <c r="G24" s="1521"/>
      <c r="H24" s="123">
        <f>PUER!D17</f>
        <v>0.54</v>
      </c>
      <c r="I24" s="123">
        <f>PUER!E17</f>
        <v>0.54</v>
      </c>
      <c r="J24" s="123">
        <f>PUER!F17</f>
        <v>0.54</v>
      </c>
    </row>
    <row r="25" spans="2:10" x14ac:dyDescent="0.25">
      <c r="B25" s="1521" t="str">
        <f>PUER!C18</f>
        <v xml:space="preserve">Estimativa de Percentual de para Aplicação de Recursos Livres FPM 1% </v>
      </c>
      <c r="C25" s="1521"/>
      <c r="D25" s="1521"/>
      <c r="E25" s="1521"/>
      <c r="F25" s="1521"/>
      <c r="G25" s="1521"/>
      <c r="H25" s="123">
        <f>PUER!D18</f>
        <v>0.54</v>
      </c>
      <c r="I25" s="123">
        <f>PUER!E18</f>
        <v>0.54</v>
      </c>
      <c r="J25" s="123">
        <f>PUER!F18</f>
        <v>0.54</v>
      </c>
    </row>
    <row r="26" spans="2:10" x14ac:dyDescent="0.25">
      <c r="B26" s="1521" t="str">
        <f>PUER!C19</f>
        <v>Estimativa de Percentual de Repasse para  o MDE S/(Impostos Municipais)</v>
      </c>
      <c r="C26" s="1521"/>
      <c r="D26" s="1521"/>
      <c r="E26" s="1521"/>
      <c r="F26" s="1521"/>
      <c r="G26" s="1521"/>
      <c r="H26" s="123">
        <f>PUER!D19</f>
        <v>0.25</v>
      </c>
      <c r="I26" s="123">
        <f>PUER!E19</f>
        <v>0.25</v>
      </c>
      <c r="J26" s="123">
        <f>PUER!F19</f>
        <v>0.25</v>
      </c>
    </row>
    <row r="27" spans="2:10" x14ac:dyDescent="0.25">
      <c r="B27" s="1521" t="str">
        <f>PUER!C20</f>
        <v>Estimativa de Percentual de Repasse para  o MDE S/(Impostos Municipais) Complemento</v>
      </c>
      <c r="C27" s="1521"/>
      <c r="D27" s="1521"/>
      <c r="E27" s="1521"/>
      <c r="F27" s="1521"/>
      <c r="G27" s="1521"/>
      <c r="H27" s="123">
        <f>PUER!D20</f>
        <v>0.01</v>
      </c>
      <c r="I27" s="123">
        <f>PUER!E20</f>
        <v>0.01</v>
      </c>
      <c r="J27" s="123">
        <f>PUER!F20</f>
        <v>0.01</v>
      </c>
    </row>
    <row r="28" spans="2:10" x14ac:dyDescent="0.25">
      <c r="B28" s="1521" t="str">
        <f>PUER!C21</f>
        <v>Estimativa de Percentual de Repasse para  o MDE S/(FPM, ITR, LEI 87/96, ICMS, IPVA,  IPI/EXP)</v>
      </c>
      <c r="C28" s="1521"/>
      <c r="D28" s="1521"/>
      <c r="E28" s="1521"/>
      <c r="F28" s="1521"/>
      <c r="G28" s="1521"/>
      <c r="H28" s="123">
        <f>PUER!D21</f>
        <v>0.06</v>
      </c>
      <c r="I28" s="123">
        <f>PUER!E21</f>
        <v>0.06</v>
      </c>
      <c r="J28" s="123">
        <f>PUER!F21</f>
        <v>0.06</v>
      </c>
    </row>
    <row r="29" spans="2:10" x14ac:dyDescent="0.25">
      <c r="B29" s="1521" t="str">
        <f>PUER!C22</f>
        <v>Estimativa de Percentual de Repasse para  o MDE S/FPM 1%</v>
      </c>
      <c r="C29" s="1521"/>
      <c r="D29" s="1521"/>
      <c r="E29" s="1521"/>
      <c r="F29" s="1521"/>
      <c r="G29" s="1521"/>
      <c r="H29" s="123">
        <f>PUER!D22</f>
        <v>0.26</v>
      </c>
      <c r="I29" s="123">
        <f>PUER!E22</f>
        <v>0.26</v>
      </c>
      <c r="J29" s="123">
        <f>PUER!F22</f>
        <v>0.26</v>
      </c>
    </row>
    <row r="30" spans="2:10" x14ac:dyDescent="0.25">
      <c r="B30" s="1521" t="str">
        <f>PUER!C23</f>
        <v>Estimativa de Percentual de Repasse para  o Fundeb S/FUNDEB S/(FPM, ITR, LEI 87/96, ICMS, IPVA,  IPI/EXP)</v>
      </c>
      <c r="C30" s="1521"/>
      <c r="D30" s="1521"/>
      <c r="E30" s="1521"/>
      <c r="F30" s="1521"/>
      <c r="G30" s="1521"/>
      <c r="H30" s="123">
        <f>PUER!D23</f>
        <v>0.2</v>
      </c>
      <c r="I30" s="123">
        <f>PUER!E23</f>
        <v>0.2</v>
      </c>
      <c r="J30" s="123">
        <f>PUER!F23</f>
        <v>0.2</v>
      </c>
    </row>
    <row r="31" spans="2:10" x14ac:dyDescent="0.25">
      <c r="B31" s="1521" t="str">
        <f>PUER!C24</f>
        <v>Estimativa de Percentual de Repasse para  o ASPS</v>
      </c>
      <c r="C31" s="1521"/>
      <c r="D31" s="1521"/>
      <c r="E31" s="1521"/>
      <c r="F31" s="1521"/>
      <c r="G31" s="1521"/>
      <c r="H31" s="123">
        <f>PUER!D24</f>
        <v>0.15</v>
      </c>
      <c r="I31" s="123">
        <f>PUER!E24</f>
        <v>0.15</v>
      </c>
      <c r="J31" s="123">
        <f>PUER!F24</f>
        <v>0.15</v>
      </c>
    </row>
    <row r="32" spans="2:10" x14ac:dyDescent="0.25">
      <c r="B32" s="1521" t="str">
        <f>PUER!C25</f>
        <v>Estimativa de Percentual de Repasse para  o ASPS Complemento</v>
      </c>
      <c r="C32" s="1521"/>
      <c r="D32" s="1521"/>
      <c r="E32" s="1521"/>
      <c r="F32" s="1521"/>
      <c r="G32" s="1521"/>
      <c r="H32" s="123">
        <f>PUER!D25</f>
        <v>0.05</v>
      </c>
      <c r="I32" s="123">
        <f>PUER!E25</f>
        <v>0.05</v>
      </c>
      <c r="J32" s="123">
        <f>PUER!F25</f>
        <v>0.05</v>
      </c>
    </row>
    <row r="33" spans="2:10" ht="15" customHeight="1" x14ac:dyDescent="0.25">
      <c r="B33" s="1521" t="str">
        <f>PUER!C26</f>
        <v>Percentual de Crescimento Médio da Arrecadação Geral</v>
      </c>
      <c r="C33" s="1521"/>
      <c r="D33" s="1521"/>
      <c r="E33" s="1521"/>
      <c r="F33" s="1521"/>
      <c r="G33" s="1521"/>
      <c r="H33" s="123">
        <f>PUER!D26</f>
        <v>2.5527441789544303E-2</v>
      </c>
      <c r="I33" s="123">
        <f>PUER!E26</f>
        <v>2.8500509707804468E-2</v>
      </c>
      <c r="J33" s="123">
        <f>PUER!F26</f>
        <v>3.1747296903000821E-2</v>
      </c>
    </row>
    <row r="34" spans="2:10" ht="15" customHeight="1" x14ac:dyDescent="0.25">
      <c r="B34" s="1521" t="str">
        <f>PUER!C27</f>
        <v>Percentual de Crescimento Médio da Arrecadação Tributária</v>
      </c>
      <c r="C34" s="1521"/>
      <c r="D34" s="1521"/>
      <c r="E34" s="1521"/>
      <c r="F34" s="1521"/>
      <c r="G34" s="1521"/>
      <c r="H34" s="123">
        <f>PUER!D27</f>
        <v>0.14684423311804928</v>
      </c>
      <c r="I34" s="123">
        <f>PUER!E27</f>
        <v>0.16394652962171247</v>
      </c>
      <c r="J34" s="123">
        <f>PUER!F27</f>
        <v>0.18262337079157032</v>
      </c>
    </row>
    <row r="35" spans="2:10" ht="15" customHeight="1" x14ac:dyDescent="0.25">
      <c r="B35" s="1521" t="str">
        <f>PUER!C28</f>
        <v>Percentual de Crescimento Médio da Arrecadação de Contribuição</v>
      </c>
      <c r="C35" s="1521"/>
      <c r="D35" s="1521"/>
      <c r="E35" s="1521"/>
      <c r="F35" s="1521"/>
      <c r="G35" s="1521"/>
      <c r="H35" s="123">
        <f>PUER!D28</f>
        <v>0.11369403566924158</v>
      </c>
      <c r="I35" s="123">
        <f>PUER!E28</f>
        <v>0.12693547571374292</v>
      </c>
      <c r="J35" s="123">
        <f>PUER!F28</f>
        <v>0.14139600576702407</v>
      </c>
    </row>
    <row r="36" spans="2:10" ht="15" customHeight="1" x14ac:dyDescent="0.25">
      <c r="B36" s="1521" t="str">
        <f>PUER!C29</f>
        <v>Percentual de Crescimento Médio da Arrecadação Patrimonial</v>
      </c>
      <c r="C36" s="1521"/>
      <c r="D36" s="1521"/>
      <c r="E36" s="1521"/>
      <c r="F36" s="1521"/>
      <c r="G36" s="1521"/>
      <c r="H36" s="123">
        <f>PUER!D29</f>
        <v>0</v>
      </c>
      <c r="I36" s="123">
        <f>PUER!E29</f>
        <v>0</v>
      </c>
      <c r="J36" s="123">
        <f>PUER!F29</f>
        <v>0</v>
      </c>
    </row>
    <row r="37" spans="2:10" ht="15" customHeight="1" x14ac:dyDescent="0.25">
      <c r="B37" s="1521" t="str">
        <f>PUER!C30</f>
        <v>Percentual de Crescimento Médio da Arrecadação de Receita de Serviços</v>
      </c>
      <c r="C37" s="1521"/>
      <c r="D37" s="1521"/>
      <c r="E37" s="1521"/>
      <c r="F37" s="1521"/>
      <c r="G37" s="1521"/>
      <c r="H37" s="123">
        <f>PUER!D30</f>
        <v>0.25039114264912393</v>
      </c>
      <c r="I37" s="123">
        <f>PUER!E30</f>
        <v>0.27955308842355414</v>
      </c>
      <c r="J37" s="123">
        <f>PUER!F30</f>
        <v>0.31139986580321072</v>
      </c>
    </row>
    <row r="38" spans="2:10" ht="15" customHeight="1" x14ac:dyDescent="0.25">
      <c r="B38" s="1521" t="str">
        <f>PUER!C31</f>
        <v>Percentual de Crescimento Médio da Arrecadação de Receita de Transferencias Correntes</v>
      </c>
      <c r="C38" s="1521"/>
      <c r="D38" s="1521"/>
      <c r="E38" s="1521"/>
      <c r="F38" s="1521"/>
      <c r="G38" s="1521"/>
      <c r="H38" s="123">
        <f>PUER!D31</f>
        <v>4.4048455749748361E-2</v>
      </c>
      <c r="I38" s="123">
        <f>PUER!E31</f>
        <v>4.9178584013996073E-2</v>
      </c>
      <c r="J38" s="123">
        <f>PUER!F31</f>
        <v>5.4781024057754535E-2</v>
      </c>
    </row>
    <row r="39" spans="2:10" ht="15" customHeight="1" x14ac:dyDescent="0.25">
      <c r="B39" s="1521" t="str">
        <f>PUER!C32</f>
        <v>Percentual de Crescimento Médio da Arrecadação de Receita de Outras Receitas de Transferencias Correntes</v>
      </c>
      <c r="C39" s="1521"/>
      <c r="D39" s="1521"/>
      <c r="E39" s="1521"/>
      <c r="F39" s="1521"/>
      <c r="G39" s="1521"/>
      <c r="H39" s="123">
        <f>PUER!D32</f>
        <v>0</v>
      </c>
      <c r="I39" s="123">
        <f>PUER!E32</f>
        <v>0</v>
      </c>
      <c r="J39" s="123">
        <f>PUER!F32</f>
        <v>0</v>
      </c>
    </row>
    <row r="40" spans="2:10" x14ac:dyDescent="0.25">
      <c r="B40" s="1521" t="str">
        <f>PUER!C33</f>
        <v>Percentual de Crescimento Médio da Arrecadação de Receita de Receitas de Transferencias de Capital</v>
      </c>
      <c r="C40" s="1521"/>
      <c r="D40" s="1521"/>
      <c r="E40" s="1521"/>
      <c r="F40" s="1521"/>
      <c r="G40" s="1521"/>
      <c r="H40" s="123">
        <f>PUER!D33</f>
        <v>0.30261233794468922</v>
      </c>
      <c r="I40" s="123">
        <f>PUER!E33</f>
        <v>0.33785625470808217</v>
      </c>
      <c r="J40" s="123">
        <f>PUER!F33</f>
        <v>0.3763449474665424</v>
      </c>
    </row>
    <row r="41" spans="2:10" x14ac:dyDescent="0.25">
      <c r="B41" s="1521" t="str">
        <f>PUER!C34</f>
        <v>Percentual de Crescimento Médio da Arrecadação de Receita de Outras Receitas de Capital</v>
      </c>
      <c r="C41" s="1521"/>
      <c r="D41" s="1521"/>
      <c r="E41" s="1521"/>
      <c r="F41" s="1521"/>
      <c r="G41" s="1521"/>
      <c r="H41" s="123">
        <f>PUER!D34</f>
        <v>0</v>
      </c>
      <c r="I41" s="123">
        <f>PUER!E34</f>
        <v>0</v>
      </c>
      <c r="J41" s="123">
        <f>PUER!F34</f>
        <v>0</v>
      </c>
    </row>
    <row r="42" spans="2:10" x14ac:dyDescent="0.25">
      <c r="B42" s="1521" t="str">
        <f>PUER!C35</f>
        <v>Percentual de Crescimento Médio da Arrecadação de FPM</v>
      </c>
      <c r="C42" s="1521"/>
      <c r="D42" s="1521"/>
      <c r="E42" s="1521"/>
      <c r="F42" s="1521"/>
      <c r="G42" s="1521"/>
      <c r="H42" s="123">
        <f>PUER!D35</f>
        <v>8.6118663791703298E-2</v>
      </c>
      <c r="I42" s="123">
        <f>PUER!E35</f>
        <v>9.6148522584189725E-2</v>
      </c>
      <c r="J42" s="123">
        <f>PUER!F35</f>
        <v>0.10710179307527537</v>
      </c>
    </row>
    <row r="43" spans="2:10" x14ac:dyDescent="0.25">
      <c r="B43" s="1521" t="str">
        <f>PUER!C36</f>
        <v>Percentual de Crescimento Médio da Arrecadação de ITR</v>
      </c>
      <c r="C43" s="1521"/>
      <c r="D43" s="1521"/>
      <c r="E43" s="1521"/>
      <c r="F43" s="1521"/>
      <c r="G43" s="1521"/>
      <c r="H43" s="123">
        <f>PUER!D36</f>
        <v>0</v>
      </c>
      <c r="I43" s="123">
        <f>PUER!E36</f>
        <v>0</v>
      </c>
      <c r="J43" s="123">
        <f>PUER!F36</f>
        <v>0</v>
      </c>
    </row>
    <row r="44" spans="2:10" x14ac:dyDescent="0.25">
      <c r="B44" s="1521" t="str">
        <f>PUER!C37</f>
        <v>Percentual de Crescimento Médio da Arrecadação de FEP</v>
      </c>
      <c r="C44" s="1521"/>
      <c r="D44" s="1521"/>
      <c r="E44" s="1521"/>
      <c r="F44" s="1521"/>
      <c r="G44" s="1521"/>
      <c r="H44" s="123">
        <f>PUER!D37</f>
        <v>0.25969857454231959</v>
      </c>
      <c r="I44" s="123">
        <f>PUER!E37</f>
        <v>0.28994451562623608</v>
      </c>
      <c r="J44" s="123">
        <f>PUER!F37</f>
        <v>0.32297508772140415</v>
      </c>
    </row>
    <row r="45" spans="2:10" x14ac:dyDescent="0.25">
      <c r="B45" s="1521" t="str">
        <f>PUER!C38</f>
        <v>Percentual de Crescimento Médio da Arrecadação de CFEM</v>
      </c>
      <c r="C45" s="1521"/>
      <c r="D45" s="1521"/>
      <c r="E45" s="1521"/>
      <c r="F45" s="1521"/>
      <c r="G45" s="1521"/>
      <c r="H45" s="123">
        <f>PUER!D38</f>
        <v>0</v>
      </c>
      <c r="I45" s="123">
        <f>PUER!E38</f>
        <v>0</v>
      </c>
      <c r="J45" s="123">
        <f>PUER!F38</f>
        <v>0</v>
      </c>
    </row>
    <row r="46" spans="2:10" x14ac:dyDescent="0.25">
      <c r="B46" s="1521" t="str">
        <f>PUER!C39</f>
        <v>Percentual de Crescimento Médio da Arrecadação de Q.S.E.</v>
      </c>
      <c r="C46" s="1521"/>
      <c r="D46" s="1521"/>
      <c r="E46" s="1521"/>
      <c r="F46" s="1521"/>
      <c r="G46" s="1521"/>
      <c r="H46" s="123">
        <f>PUER!D39</f>
        <v>5.4185473532854744E-2</v>
      </c>
      <c r="I46" s="123">
        <f>PUER!E39</f>
        <v>6.0496215295558473E-2</v>
      </c>
      <c r="J46" s="123">
        <f>PUER!F39</f>
        <v>6.7387963520176161E-2</v>
      </c>
    </row>
    <row r="47" spans="2:10" x14ac:dyDescent="0.25">
      <c r="B47" s="1521" t="str">
        <f>PUER!C40</f>
        <v>Percentual de Crescimento Médio da Arrecadação de L.C. 87/96</v>
      </c>
      <c r="C47" s="1521"/>
      <c r="D47" s="1521"/>
      <c r="E47" s="1521"/>
      <c r="F47" s="1521"/>
      <c r="G47" s="1521"/>
      <c r="H47" s="123">
        <f>PUER!D40</f>
        <v>0</v>
      </c>
      <c r="I47" s="123">
        <f>PUER!E40</f>
        <v>0</v>
      </c>
      <c r="J47" s="123">
        <f>PUER!F40</f>
        <v>0</v>
      </c>
    </row>
    <row r="48" spans="2:10" x14ac:dyDescent="0.25">
      <c r="B48" s="1521" t="str">
        <f>PUER!C41</f>
        <v>Percentual de Crescimento Médio da Arrecadação de ICMS</v>
      </c>
      <c r="C48" s="1521"/>
      <c r="D48" s="1521"/>
      <c r="E48" s="1521"/>
      <c r="F48" s="1521"/>
      <c r="G48" s="1521"/>
      <c r="H48" s="123">
        <f>PUER!D41</f>
        <v>3.206570602904546E-2</v>
      </c>
      <c r="I48" s="123">
        <f>PUER!E41</f>
        <v>3.5800256582809289E-2</v>
      </c>
      <c r="J48" s="123">
        <f>PUER!F41</f>
        <v>3.987863328026111E-2</v>
      </c>
    </row>
    <row r="49" spans="2:10" x14ac:dyDescent="0.25">
      <c r="B49" s="1521" t="str">
        <f>PUER!C42</f>
        <v>Percentual de Crescimento Médio da Arrecadação de IPVA</v>
      </c>
      <c r="C49" s="1521"/>
      <c r="D49" s="1521"/>
      <c r="E49" s="1521"/>
      <c r="F49" s="1521"/>
      <c r="G49" s="1521"/>
      <c r="H49" s="123">
        <f>PUER!D42</f>
        <v>0.33282657913461178</v>
      </c>
      <c r="I49" s="123">
        <f>PUER!E42</f>
        <v>0.37158941455412825</v>
      </c>
      <c r="J49" s="123">
        <f>PUER!F42</f>
        <v>0.41392099968765583</v>
      </c>
    </row>
    <row r="50" spans="2:10" x14ac:dyDescent="0.25">
      <c r="B50" s="1521" t="str">
        <f>PUER!C43</f>
        <v>Percentual de Crescimento Médio da Arrecadação de IPI EXP.</v>
      </c>
      <c r="C50" s="1521"/>
      <c r="D50" s="1521"/>
      <c r="E50" s="1521"/>
      <c r="F50" s="1521"/>
      <c r="G50" s="1521"/>
      <c r="H50" s="123">
        <f>PUER!D43</f>
        <v>5.0290678269424238E-2</v>
      </c>
      <c r="I50" s="123">
        <f>PUER!E43</f>
        <v>5.6147810503160603E-2</v>
      </c>
      <c r="J50" s="123">
        <f>PUER!F43</f>
        <v>6.2544187060947318E-2</v>
      </c>
    </row>
    <row r="51" spans="2:10" x14ac:dyDescent="0.25">
      <c r="B51" s="1521" t="str">
        <f>PUER!C44</f>
        <v>Percentual de Crescimento Médio da Arrecadação de CIDE</v>
      </c>
      <c r="C51" s="1521"/>
      <c r="D51" s="1521"/>
      <c r="E51" s="1521"/>
      <c r="F51" s="1521"/>
      <c r="G51" s="1521"/>
      <c r="H51" s="123">
        <f>PUER!D44</f>
        <v>0</v>
      </c>
      <c r="I51" s="123">
        <f>PUER!E44</f>
        <v>0</v>
      </c>
      <c r="J51" s="123">
        <f>PUER!F44</f>
        <v>0</v>
      </c>
    </row>
    <row r="52" spans="2:10" x14ac:dyDescent="0.25">
      <c r="B52" s="1521" t="str">
        <f>PUER!C45</f>
        <v>Percentual de Crescimento Médio da Arrecadação de FEX</v>
      </c>
      <c r="C52" s="1521"/>
      <c r="D52" s="1521"/>
      <c r="E52" s="1521"/>
      <c r="F52" s="1521"/>
      <c r="G52" s="1521"/>
      <c r="H52" s="123">
        <f>PUER!D45</f>
        <v>0</v>
      </c>
      <c r="I52" s="123">
        <f>PUER!E45</f>
        <v>0</v>
      </c>
      <c r="J52" s="123">
        <f>PUER!F45</f>
        <v>0</v>
      </c>
    </row>
    <row r="53" spans="2:10" x14ac:dyDescent="0.25">
      <c r="B53" s="1521" t="str">
        <f>PUER!C46</f>
        <v>Percentual de Crescimento Médio da Arrecadação de FUNDEB</v>
      </c>
      <c r="C53" s="1521"/>
      <c r="D53" s="1521"/>
      <c r="E53" s="1521"/>
      <c r="F53" s="1521"/>
      <c r="G53" s="1521"/>
      <c r="H53" s="123">
        <f>PUER!D46</f>
        <v>5.6439460509527639E-2</v>
      </c>
      <c r="I53" s="123">
        <f>PUER!E46</f>
        <v>6.3012714137845233E-2</v>
      </c>
      <c r="J53" s="123">
        <f>PUER!F46</f>
        <v>7.0191142716661159E-2</v>
      </c>
    </row>
    <row r="54" spans="2:10" x14ac:dyDescent="0.25">
      <c r="B54" s="1521" t="str">
        <f>PUER!C47</f>
        <v>População do Municipio conforme dados do IBGE</v>
      </c>
      <c r="C54" s="1521"/>
      <c r="D54" s="1521"/>
      <c r="E54" s="1521"/>
      <c r="F54" s="1521"/>
      <c r="G54" s="1521"/>
      <c r="H54" s="32">
        <f>PUER!D47</f>
        <v>5441</v>
      </c>
      <c r="I54" s="123" t="str">
        <f>PUER!E47</f>
        <v>XXXXXXX</v>
      </c>
      <c r="J54" s="123" t="str">
        <f>PUER!F47</f>
        <v>XXXXXXXX</v>
      </c>
    </row>
    <row r="55" spans="2:10" x14ac:dyDescent="0.25">
      <c r="B55" s="1521" t="str">
        <f>PUER!C48</f>
        <v>Média de Arrecadação - IRRF S/Folha Pagamento Poder Executivo</v>
      </c>
      <c r="C55" s="1521"/>
      <c r="D55" s="1521"/>
      <c r="E55" s="1521"/>
      <c r="F55" s="1521"/>
      <c r="G55" s="1521"/>
      <c r="H55" s="127">
        <f>PUER!D48</f>
        <v>319926.09666666668</v>
      </c>
      <c r="I55" s="123" t="str">
        <f>PUER!E48</f>
        <v>XXXXXXX</v>
      </c>
      <c r="J55" s="123" t="str">
        <f>PUER!F48</f>
        <v>XXXXXXXX</v>
      </c>
    </row>
    <row r="56" spans="2:10" x14ac:dyDescent="0.25">
      <c r="B56" s="1521" t="str">
        <f>PUER!C49</f>
        <v>Média de Arrecadação - IRRF S/Folha Pagamento Poder Legislativo</v>
      </c>
      <c r="C56" s="1521"/>
      <c r="D56" s="1521"/>
      <c r="E56" s="1521"/>
      <c r="F56" s="1521"/>
      <c r="G56" s="1521"/>
      <c r="H56" s="127">
        <f>PUER!D49</f>
        <v>70398.191666666666</v>
      </c>
      <c r="I56" s="123" t="str">
        <f>PUER!E49</f>
        <v>XXXXXXX</v>
      </c>
      <c r="J56" s="123" t="str">
        <f>PUER!F49</f>
        <v>XXXXXXXX</v>
      </c>
    </row>
    <row r="57" spans="2:10" x14ac:dyDescent="0.25">
      <c r="B57" s="1521" t="str">
        <f>PUER!C50</f>
        <v xml:space="preserve">Média de Arrecadação - IRRF S/Serv. Poder Executivo  </v>
      </c>
      <c r="C57" s="1521"/>
      <c r="D57" s="1521"/>
      <c r="E57" s="1521"/>
      <c r="F57" s="1521"/>
      <c r="G57" s="1521"/>
      <c r="H57" s="127">
        <f>PUER!D50</f>
        <v>19550.578333333335</v>
      </c>
      <c r="I57" s="123" t="str">
        <f>PUER!E50</f>
        <v>XXXXXXX</v>
      </c>
      <c r="J57" s="123" t="str">
        <f>PUER!F50</f>
        <v>XXXXXXXX</v>
      </c>
    </row>
    <row r="58" spans="2:10" x14ac:dyDescent="0.25">
      <c r="B58" s="1521" t="str">
        <f>PUER!C51</f>
        <v xml:space="preserve">Média de Arrecadação - IRRF S/Serv. Poder Legislativo </v>
      </c>
      <c r="C58" s="1521"/>
      <c r="D58" s="1521"/>
      <c r="E58" s="1521"/>
      <c r="F58" s="1521"/>
      <c r="G58" s="1521"/>
      <c r="H58" s="127">
        <f>PUER!D51</f>
        <v>225.2166666666667</v>
      </c>
      <c r="I58" s="123" t="str">
        <f>PUER!E51</f>
        <v>XXXXXXX</v>
      </c>
      <c r="J58" s="123" t="str">
        <f>PUER!F51</f>
        <v>XXXXXXXX</v>
      </c>
    </row>
    <row r="59" spans="2:10" x14ac:dyDescent="0.25">
      <c r="B59" s="1521" t="str">
        <f>PUER!C52</f>
        <v>Média de Arrecadação - IPTU</v>
      </c>
      <c r="C59" s="1521"/>
      <c r="D59" s="1521"/>
      <c r="E59" s="1521"/>
      <c r="F59" s="1521"/>
      <c r="G59" s="1521"/>
      <c r="H59" s="127">
        <f>PUER!D52</f>
        <v>59979.94</v>
      </c>
      <c r="I59" s="123" t="str">
        <f>PUER!E52</f>
        <v>XXXXXXX</v>
      </c>
      <c r="J59" s="123" t="str">
        <f>PUER!F52</f>
        <v>XXXXXXXX</v>
      </c>
    </row>
    <row r="60" spans="2:10" x14ac:dyDescent="0.25">
      <c r="B60" s="1521" t="str">
        <f>PUER!C53</f>
        <v>Média de Arrecadação - IPTU Multa e Juros</v>
      </c>
      <c r="C60" s="1521"/>
      <c r="D60" s="1521"/>
      <c r="E60" s="1521"/>
      <c r="F60" s="1521"/>
      <c r="G60" s="1521"/>
      <c r="H60" s="127">
        <f>PUER!D53</f>
        <v>263.07333333333332</v>
      </c>
      <c r="I60" s="123" t="str">
        <f>PUER!E53</f>
        <v>XXXXXXX</v>
      </c>
      <c r="J60" s="123" t="str">
        <f>PUER!F53</f>
        <v>XXXXXXXX</v>
      </c>
    </row>
    <row r="61" spans="2:10" x14ac:dyDescent="0.25">
      <c r="B61" s="1521" t="str">
        <f>PUER!C54</f>
        <v>Média de Arrecadação - IPTU Divida Ativa</v>
      </c>
      <c r="C61" s="1521"/>
      <c r="D61" s="1521"/>
      <c r="E61" s="1521"/>
      <c r="F61" s="1521"/>
      <c r="G61" s="1521"/>
      <c r="H61" s="127">
        <f>PUER!D54</f>
        <v>787.66166666666652</v>
      </c>
      <c r="I61" s="123" t="str">
        <f>PUER!E54</f>
        <v>XXXXXXX</v>
      </c>
      <c r="J61" s="123" t="str">
        <f>PUER!F54</f>
        <v>XXXXXXXX</v>
      </c>
    </row>
    <row r="62" spans="2:10" x14ac:dyDescent="0.25">
      <c r="B62" s="1521" t="str">
        <f>PUER!C55</f>
        <v>Média de Arrecadação - IPTU Divida Ativa Multa e Juros</v>
      </c>
      <c r="C62" s="1521"/>
      <c r="D62" s="1521"/>
      <c r="E62" s="1521"/>
      <c r="F62" s="1521"/>
      <c r="G62" s="1521"/>
      <c r="H62" s="127">
        <f>PUER!D55</f>
        <v>259.12333333333333</v>
      </c>
      <c r="I62" s="123" t="str">
        <f>PUER!E55</f>
        <v>XXXXXXX</v>
      </c>
      <c r="J62" s="123" t="str">
        <f>PUER!F55</f>
        <v>XXXXXXXX</v>
      </c>
    </row>
    <row r="63" spans="2:10" x14ac:dyDescent="0.25">
      <c r="B63" s="1521" t="str">
        <f>PUER!C56</f>
        <v>Média de Arrecadação - ITBI</v>
      </c>
      <c r="C63" s="1521"/>
      <c r="D63" s="1521"/>
      <c r="E63" s="1521"/>
      <c r="F63" s="1521"/>
      <c r="G63" s="1521"/>
      <c r="H63" s="127">
        <f>PUER!D56</f>
        <v>38382.97</v>
      </c>
      <c r="I63" s="123" t="str">
        <f>PUER!E56</f>
        <v>XXXXXXX</v>
      </c>
      <c r="J63" s="123" t="str">
        <f>PUER!F56</f>
        <v>XXXXXXXX</v>
      </c>
    </row>
    <row r="64" spans="2:10" x14ac:dyDescent="0.25">
      <c r="B64" s="1521" t="str">
        <f>PUER!C57</f>
        <v>Média de Arrecadação - ITBI Multa e Juros</v>
      </c>
      <c r="C64" s="1521"/>
      <c r="D64" s="1521"/>
      <c r="E64" s="1521"/>
      <c r="F64" s="1521"/>
      <c r="G64" s="1521"/>
      <c r="H64" s="127">
        <f>PUER!D57</f>
        <v>1</v>
      </c>
      <c r="I64" s="123" t="str">
        <f>PUER!E57</f>
        <v>XXXXXXX</v>
      </c>
      <c r="J64" s="123" t="str">
        <f>PUER!F57</f>
        <v>XXXXXXXX</v>
      </c>
    </row>
    <row r="65" spans="2:10" x14ac:dyDescent="0.25">
      <c r="B65" s="1521" t="str">
        <f>PUER!C58</f>
        <v>Média de Arrecadação - ITBI Divida Ativa</v>
      </c>
      <c r="C65" s="1521"/>
      <c r="D65" s="1521"/>
      <c r="E65" s="1521"/>
      <c r="F65" s="1521"/>
      <c r="G65" s="1521"/>
      <c r="H65" s="127">
        <f>PUER!D58</f>
        <v>1</v>
      </c>
      <c r="I65" s="123" t="str">
        <f>PUER!E58</f>
        <v>XXXXXXX</v>
      </c>
      <c r="J65" s="123" t="str">
        <f>PUER!F58</f>
        <v>XXXXXXXX</v>
      </c>
    </row>
    <row r="66" spans="2:10" x14ac:dyDescent="0.25">
      <c r="B66" s="1521" t="str">
        <f>PUER!C59</f>
        <v>Média de Arrecadação - ITBI Divida Ativa Multa e Juros</v>
      </c>
      <c r="C66" s="1521"/>
      <c r="D66" s="1521"/>
      <c r="E66" s="1521"/>
      <c r="F66" s="1521"/>
      <c r="G66" s="1521"/>
      <c r="H66" s="127">
        <f>PUER!D59</f>
        <v>129.19333333333333</v>
      </c>
      <c r="I66" s="123" t="str">
        <f>PUER!E59</f>
        <v>XXXXXXX</v>
      </c>
      <c r="J66" s="123" t="str">
        <f>PUER!F59</f>
        <v>XXXXXXXX</v>
      </c>
    </row>
    <row r="67" spans="2:10" x14ac:dyDescent="0.25">
      <c r="B67" s="1521" t="str">
        <f>PUER!C60</f>
        <v>Média de Arrecadação - ISS</v>
      </c>
      <c r="C67" s="1521"/>
      <c r="D67" s="1521"/>
      <c r="E67" s="1521"/>
      <c r="F67" s="1521"/>
      <c r="G67" s="1521"/>
      <c r="H67" s="127">
        <f>PUER!D60</f>
        <v>160073.19666666666</v>
      </c>
      <c r="I67" s="123" t="str">
        <f>PUER!E60</f>
        <v>XXXXXXX</v>
      </c>
      <c r="J67" s="123" t="str">
        <f>PUER!F60</f>
        <v>XXXXXXXX</v>
      </c>
    </row>
    <row r="68" spans="2:10" x14ac:dyDescent="0.25">
      <c r="B68" s="1521" t="str">
        <f>PUER!C61</f>
        <v>Média de Arrecadação - ISS Multa e Juros</v>
      </c>
      <c r="C68" s="1521"/>
      <c r="D68" s="1521"/>
      <c r="E68" s="1521"/>
      <c r="F68" s="1521"/>
      <c r="G68" s="1521"/>
      <c r="H68" s="127">
        <f>PUER!D61</f>
        <v>179.03</v>
      </c>
      <c r="I68" s="123" t="str">
        <f>PUER!E61</f>
        <v>XXXXXXX</v>
      </c>
      <c r="J68" s="123" t="str">
        <f>PUER!F61</f>
        <v>XXXXXXXX</v>
      </c>
    </row>
    <row r="69" spans="2:10" x14ac:dyDescent="0.25">
      <c r="B69" s="1521" t="str">
        <f>PUER!C62</f>
        <v>Média de Arrecadação - ISS Divida Ativa</v>
      </c>
      <c r="C69" s="1521"/>
      <c r="D69" s="1521"/>
      <c r="E69" s="1521"/>
      <c r="F69" s="1521"/>
      <c r="G69" s="1521"/>
      <c r="H69" s="127">
        <f>PUER!D62</f>
        <v>24.173333333333332</v>
      </c>
      <c r="I69" s="123" t="str">
        <f>PUER!E62</f>
        <v>XXXXXXX</v>
      </c>
      <c r="J69" s="123" t="str">
        <f>PUER!F62</f>
        <v>XXXXXXXX</v>
      </c>
    </row>
    <row r="70" spans="2:10" x14ac:dyDescent="0.25">
      <c r="B70" s="1521" t="str">
        <f>PUER!C63</f>
        <v>Média de Arrecadação - ISS Divida Ativa Multa e Juros</v>
      </c>
      <c r="C70" s="1521"/>
      <c r="D70" s="1521"/>
      <c r="E70" s="1521"/>
      <c r="F70" s="1521"/>
      <c r="G70" s="1521"/>
      <c r="H70" s="127">
        <f>PUER!D63</f>
        <v>7.9533333333333331</v>
      </c>
      <c r="I70" s="123" t="str">
        <f>PUER!E63</f>
        <v>XXXXXXX</v>
      </c>
      <c r="J70" s="123" t="str">
        <f>PUER!F63</f>
        <v>XXXXXXXX</v>
      </c>
    </row>
    <row r="71" spans="2:10" x14ac:dyDescent="0.25">
      <c r="B71" s="1521" t="str">
        <f>PUER!C64</f>
        <v>Estimativa de  Arrecadação de Taxa de Fiscalização de Vilancia Sanitária - Principal</v>
      </c>
      <c r="C71" s="1521"/>
      <c r="D71" s="1521"/>
      <c r="E71" s="1521"/>
      <c r="F71" s="1521"/>
      <c r="G71" s="1521"/>
      <c r="H71" s="127">
        <f>PUER!D64</f>
        <v>639.04999999999995</v>
      </c>
      <c r="I71" s="123" t="str">
        <f>PUER!E64</f>
        <v>XXXXXXX</v>
      </c>
      <c r="J71" s="123" t="str">
        <f>PUER!F64</f>
        <v>XXXXXXXX</v>
      </c>
    </row>
    <row r="72" spans="2:10" x14ac:dyDescent="0.25">
      <c r="B72" s="1521" t="str">
        <f>PUER!C65</f>
        <v>Estimativa de  Arrecadação de Taxa De Licenca Para Funcion. de Estabelec. Comerciais,  Industriais e Prestadora De Serviços - Principal</v>
      </c>
      <c r="C72" s="1521"/>
      <c r="D72" s="1521"/>
      <c r="E72" s="1521"/>
      <c r="F72" s="1521"/>
      <c r="G72" s="1521"/>
      <c r="H72" s="127">
        <f>PUER!D65</f>
        <v>15786.195</v>
      </c>
      <c r="I72" s="123" t="str">
        <f>PUER!E65</f>
        <v>XXXXXXX</v>
      </c>
      <c r="J72" s="123" t="str">
        <f>PUER!F65</f>
        <v>XXXXXXXX</v>
      </c>
    </row>
    <row r="73" spans="2:10" x14ac:dyDescent="0.25">
      <c r="B73" s="1521" t="str">
        <f>PUER!C66</f>
        <v>Estimativa de  Arrecadação de Taxa De Apreensao e Deposito - Principal</v>
      </c>
      <c r="C73" s="1521"/>
      <c r="D73" s="1521"/>
      <c r="E73" s="1521"/>
      <c r="F73" s="1521"/>
      <c r="G73" s="1521"/>
      <c r="H73" s="127">
        <f>PUER!D66</f>
        <v>1</v>
      </c>
      <c r="I73" s="123" t="str">
        <f>PUER!E66</f>
        <v>XXXXXXX</v>
      </c>
      <c r="J73" s="123" t="str">
        <f>PUER!F66</f>
        <v>XXXXXXXX</v>
      </c>
    </row>
    <row r="74" spans="2:10" x14ac:dyDescent="0.25">
      <c r="B74" s="1521" t="str">
        <f>PUER!C67</f>
        <v>Estimativa de  Arrecadação de Taxa De Funcionamento De Estabelecimentos Em Horario Especial - Principal</v>
      </c>
      <c r="C74" s="1521"/>
      <c r="D74" s="1521"/>
      <c r="E74" s="1521"/>
      <c r="F74" s="1521"/>
      <c r="G74" s="1521"/>
      <c r="H74" s="127">
        <f>PUER!D67</f>
        <v>1</v>
      </c>
      <c r="I74" s="123" t="str">
        <f>PUER!E67</f>
        <v>XXXXXXX</v>
      </c>
      <c r="J74" s="123" t="str">
        <f>PUER!F67</f>
        <v>XXXXXXXX</v>
      </c>
    </row>
    <row r="75" spans="2:10" x14ac:dyDescent="0.25">
      <c r="B75" s="1521" t="str">
        <f>PUER!C68</f>
        <v>Estimativa de  Arrecadação de Taxa De Licenca P/ Execucao De Obras - Principal</v>
      </c>
      <c r="C75" s="1521"/>
      <c r="D75" s="1521"/>
      <c r="E75" s="1521"/>
      <c r="F75" s="1521"/>
      <c r="G75" s="1521"/>
      <c r="H75" s="127">
        <f>PUER!D68</f>
        <v>2706.1766666666667</v>
      </c>
      <c r="I75" s="123" t="str">
        <f>PUER!E68</f>
        <v>XXXXXXX</v>
      </c>
      <c r="J75" s="123" t="str">
        <f>PUER!F68</f>
        <v>XXXXXXXX</v>
      </c>
    </row>
    <row r="76" spans="2:10" x14ac:dyDescent="0.25">
      <c r="B76" s="1521" t="str">
        <f>PUER!C69</f>
        <v>Estimativa de  Arrecadação de Taxa De Autorizacao de Funcionamento De Transporte - Principal</v>
      </c>
      <c r="C76" s="1521"/>
      <c r="D76" s="1521"/>
      <c r="E76" s="1521"/>
      <c r="F76" s="1521"/>
      <c r="G76" s="1521"/>
      <c r="H76" s="127">
        <f>PUER!D69</f>
        <v>1</v>
      </c>
      <c r="I76" s="123" t="str">
        <f>PUER!E69</f>
        <v>XXXXXXX</v>
      </c>
      <c r="J76" s="123" t="str">
        <f>PUER!F69</f>
        <v>XXXXXXXX</v>
      </c>
    </row>
    <row r="77" spans="2:10" x14ac:dyDescent="0.25">
      <c r="B77" s="1521" t="str">
        <f>PUER!C70</f>
        <v>Estimativa de  Arrecadação de Taxa De Utilizacao De Area de Dominio Publico - Principal</v>
      </c>
      <c r="C77" s="1521"/>
      <c r="D77" s="1521"/>
      <c r="E77" s="1521"/>
      <c r="F77" s="1521"/>
      <c r="G77" s="1521"/>
      <c r="H77" s="127">
        <f>PUER!D70</f>
        <v>1</v>
      </c>
      <c r="I77" s="123" t="str">
        <f>PUER!E70</f>
        <v>XXXXXXX</v>
      </c>
      <c r="J77" s="123" t="str">
        <f>PUER!F70</f>
        <v>XXXXXXXX</v>
      </c>
    </row>
    <row r="78" spans="2:10" x14ac:dyDescent="0.25">
      <c r="B78" s="1521" t="str">
        <f>PUER!C71</f>
        <v>Estimativa de  Arrecadação de Taxa De Aprovacao Do Projeto De Construcao Civil - Principal</v>
      </c>
      <c r="C78" s="1521"/>
      <c r="D78" s="1521"/>
      <c r="E78" s="1521"/>
      <c r="F78" s="1521"/>
      <c r="G78" s="1521"/>
      <c r="H78" s="127">
        <f>PUER!D71</f>
        <v>64.850000000000009</v>
      </c>
      <c r="I78" s="123" t="str">
        <f>PUER!E71</f>
        <v>XXXXXXX</v>
      </c>
      <c r="J78" s="123" t="str">
        <f>PUER!F71</f>
        <v>XXXXXXXX</v>
      </c>
    </row>
    <row r="79" spans="2:10" x14ac:dyDescent="0.25">
      <c r="B79" s="1521" t="str">
        <f>PUER!C72</f>
        <v>Estimativa de  Arrecadação de Taxa de Fiscalização de Vilancia Sanitária - Multa e Juros</v>
      </c>
      <c r="C79" s="1521"/>
      <c r="D79" s="1521"/>
      <c r="E79" s="1521"/>
      <c r="F79" s="1521"/>
      <c r="G79" s="1521"/>
      <c r="H79" s="127">
        <f>PUER!D72</f>
        <v>8.41</v>
      </c>
      <c r="I79" s="123" t="str">
        <f>PUER!E72</f>
        <v>XXXXXXX</v>
      </c>
      <c r="J79" s="123" t="str">
        <f>PUER!F72</f>
        <v>XXXXXXXX</v>
      </c>
    </row>
    <row r="80" spans="2:10" x14ac:dyDescent="0.25">
      <c r="B80" s="1521" t="str">
        <f>PUER!C73</f>
        <v>Estimativa de  Arrecadação de Taxa De Licenca Para Funcion. de Estabelec. Comerciais,  Industriais e Prestadora De Serviços - Multa e Juros</v>
      </c>
      <c r="C80" s="1521"/>
      <c r="D80" s="1521"/>
      <c r="E80" s="1521"/>
      <c r="F80" s="1521"/>
      <c r="G80" s="1521"/>
      <c r="H80" s="127">
        <f>PUER!D73</f>
        <v>1034.4116666666666</v>
      </c>
      <c r="I80" s="123" t="str">
        <f>PUER!E73</f>
        <v>XXXXXXX</v>
      </c>
      <c r="J80" s="123" t="str">
        <f>PUER!F73</f>
        <v>XXXXXXXX</v>
      </c>
    </row>
    <row r="81" spans="2:10" x14ac:dyDescent="0.25">
      <c r="B81" s="1521" t="str">
        <f>PUER!C74</f>
        <v>Estimativa de  Arrecadação de Taxa De Apreensao e Deposito - Multa e Juros</v>
      </c>
      <c r="C81" s="1521"/>
      <c r="D81" s="1521"/>
      <c r="E81" s="1521"/>
      <c r="F81" s="1521"/>
      <c r="G81" s="1521"/>
      <c r="H81" s="127">
        <f>PUER!D74</f>
        <v>1</v>
      </c>
      <c r="I81" s="123" t="str">
        <f>PUER!E74</f>
        <v>XXXXXXX</v>
      </c>
      <c r="J81" s="123" t="str">
        <f>PUER!F74</f>
        <v>XXXXXXXX</v>
      </c>
    </row>
    <row r="82" spans="2:10" x14ac:dyDescent="0.25">
      <c r="B82" s="1521" t="str">
        <f>PUER!C75</f>
        <v>Estimativa de  Arrecadação de Taxa De Funcionamento De Estabelecimentos Em Horario Especial - Multa e Juros</v>
      </c>
      <c r="C82" s="1521"/>
      <c r="D82" s="1521"/>
      <c r="E82" s="1521"/>
      <c r="F82" s="1521"/>
      <c r="G82" s="1521"/>
      <c r="H82" s="127">
        <f>PUER!D75</f>
        <v>1</v>
      </c>
      <c r="I82" s="123" t="str">
        <f>PUER!E75</f>
        <v>XXXXXXX</v>
      </c>
      <c r="J82" s="123" t="str">
        <f>PUER!F75</f>
        <v>XXXXXXXX</v>
      </c>
    </row>
    <row r="83" spans="2:10" x14ac:dyDescent="0.25">
      <c r="B83" s="1521" t="str">
        <f>PUER!C76</f>
        <v>Estimativa de  Arrecadação de Taxa De Licenca P/ Execucao De Obras - Multa e Juros</v>
      </c>
      <c r="C83" s="1521"/>
      <c r="D83" s="1521"/>
      <c r="E83" s="1521"/>
      <c r="F83" s="1521"/>
      <c r="G83" s="1521"/>
      <c r="H83" s="127">
        <f>PUER!D76</f>
        <v>1</v>
      </c>
      <c r="I83" s="123" t="str">
        <f>PUER!E76</f>
        <v>XXXXXXX</v>
      </c>
      <c r="J83" s="123" t="str">
        <f>PUER!F76</f>
        <v>XXXXXXXX</v>
      </c>
    </row>
    <row r="84" spans="2:10" x14ac:dyDescent="0.25">
      <c r="B84" s="1521" t="str">
        <f>PUER!C77</f>
        <v>Estimativa de  Arrecadação de Taxa De Autorizacao de Funcionamento De Transporte - Multa e Juros</v>
      </c>
      <c r="C84" s="1521"/>
      <c r="D84" s="1521"/>
      <c r="E84" s="1521"/>
      <c r="F84" s="1521"/>
      <c r="G84" s="1521"/>
      <c r="H84" s="127">
        <f>PUER!D77</f>
        <v>1</v>
      </c>
      <c r="I84" s="123" t="str">
        <f>PUER!E77</f>
        <v>XXXXXXX</v>
      </c>
      <c r="J84" s="123" t="str">
        <f>PUER!F77</f>
        <v>XXXXXXXX</v>
      </c>
    </row>
    <row r="85" spans="2:10" x14ac:dyDescent="0.25">
      <c r="B85" s="1521" t="str">
        <f>PUER!C78</f>
        <v>Estimativa de  Arrecadação de Taxa De Utilizacao De Area de Dominio Publico - Multa e Juros</v>
      </c>
      <c r="C85" s="1521"/>
      <c r="D85" s="1521"/>
      <c r="E85" s="1521"/>
      <c r="F85" s="1521"/>
      <c r="G85" s="1521"/>
      <c r="H85" s="127">
        <f>PUER!D78</f>
        <v>1</v>
      </c>
      <c r="I85" s="123" t="str">
        <f>PUER!E78</f>
        <v>XXXXXXX</v>
      </c>
      <c r="J85" s="123" t="str">
        <f>PUER!F78</f>
        <v>XXXXXXXX</v>
      </c>
    </row>
    <row r="86" spans="2:10" x14ac:dyDescent="0.25">
      <c r="B86" s="1521" t="str">
        <f>PUER!C79</f>
        <v>Estimativa de  Arrecadação de Taxa De Aprovacao Do Projeto De Construcao Civil - Multa e Juros</v>
      </c>
      <c r="C86" s="1521"/>
      <c r="D86" s="1521"/>
      <c r="E86" s="1521"/>
      <c r="F86" s="1521"/>
      <c r="G86" s="1521"/>
      <c r="H86" s="127">
        <f>PUER!D79</f>
        <v>1</v>
      </c>
      <c r="I86" s="123" t="str">
        <f>PUER!E79</f>
        <v>XXXXXXX</v>
      </c>
      <c r="J86" s="123" t="str">
        <f>PUER!F79</f>
        <v>XXXXXXXX</v>
      </c>
    </row>
    <row r="87" spans="2:10" x14ac:dyDescent="0.25">
      <c r="B87" s="1521" t="str">
        <f>PUER!C80</f>
        <v>Estimativa de  Arrecadação de Taxa de Fiscalização de Vilancia Sanitária - Dívida Ativa</v>
      </c>
      <c r="C87" s="1521"/>
      <c r="D87" s="1521"/>
      <c r="E87" s="1521"/>
      <c r="F87" s="1521"/>
      <c r="G87" s="1521"/>
      <c r="H87" s="127">
        <f>PUER!D80</f>
        <v>1</v>
      </c>
      <c r="I87" s="123" t="str">
        <f>PUER!E80</f>
        <v>XXXXXXX</v>
      </c>
      <c r="J87" s="123" t="str">
        <f>PUER!F80</f>
        <v>XXXXXXXX</v>
      </c>
    </row>
    <row r="88" spans="2:10" x14ac:dyDescent="0.25">
      <c r="B88" s="1521" t="str">
        <f>PUER!C81</f>
        <v>Estimativa de  Arrecadação de Taxa De Licenca Para Funcion. de Estabelec. Comerciais,  Industriais e Prestadora De Serviços - Dívida Ativa</v>
      </c>
      <c r="C88" s="1521"/>
      <c r="D88" s="1521"/>
      <c r="E88" s="1521"/>
      <c r="F88" s="1521"/>
      <c r="G88" s="1521"/>
      <c r="H88" s="127">
        <f>PUER!D81</f>
        <v>317.94166666666666</v>
      </c>
      <c r="I88" s="123" t="str">
        <f>PUER!E81</f>
        <v>XXXXXXX</v>
      </c>
      <c r="J88" s="123" t="str">
        <f>PUER!F81</f>
        <v>XXXXXXXX</v>
      </c>
    </row>
    <row r="89" spans="2:10" x14ac:dyDescent="0.25">
      <c r="B89" s="1521" t="str">
        <f>PUER!C82</f>
        <v>Estimativa de  Arrecadação de Taxa De Apreensao e Deposito - Dívida Ativa</v>
      </c>
      <c r="C89" s="1521"/>
      <c r="D89" s="1521"/>
      <c r="E89" s="1521"/>
      <c r="F89" s="1521"/>
      <c r="G89" s="1521"/>
      <c r="H89" s="127">
        <f>PUER!D82</f>
        <v>1</v>
      </c>
      <c r="I89" s="123" t="str">
        <f>PUER!E82</f>
        <v>XXXXXXX</v>
      </c>
      <c r="J89" s="123" t="str">
        <f>PUER!F82</f>
        <v>XXXXXXXX</v>
      </c>
    </row>
    <row r="90" spans="2:10" x14ac:dyDescent="0.25">
      <c r="B90" s="1521" t="str">
        <f>PUER!C83</f>
        <v>Estimativa de  Arrecadação de Taxa De Funcionamento De Estabelecimentos Em Horario Especial - Dívida Ativa</v>
      </c>
      <c r="C90" s="1521"/>
      <c r="D90" s="1521"/>
      <c r="E90" s="1521"/>
      <c r="F90" s="1521"/>
      <c r="G90" s="1521"/>
      <c r="H90" s="127">
        <f>PUER!D83</f>
        <v>1</v>
      </c>
      <c r="I90" s="123" t="str">
        <f>PUER!E83</f>
        <v>XXXXXXX</v>
      </c>
      <c r="J90" s="123" t="str">
        <f>PUER!F83</f>
        <v>XXXXXXXX</v>
      </c>
    </row>
    <row r="91" spans="2:10" x14ac:dyDescent="0.25">
      <c r="B91" s="1521" t="str">
        <f>PUER!C84</f>
        <v>Estimativa de  Arrecadação de Taxa De Licenca P/ Execucao De Obras - Dívida Ativa</v>
      </c>
      <c r="C91" s="1521"/>
      <c r="D91" s="1521"/>
      <c r="E91" s="1521"/>
      <c r="F91" s="1521"/>
      <c r="G91" s="1521"/>
      <c r="H91" s="127">
        <f>PUER!D84</f>
        <v>1</v>
      </c>
      <c r="I91" s="123" t="str">
        <f>PUER!E84</f>
        <v>XXXXXXX</v>
      </c>
      <c r="J91" s="123" t="str">
        <f>PUER!F84</f>
        <v>XXXXXXXX</v>
      </c>
    </row>
    <row r="92" spans="2:10" x14ac:dyDescent="0.25">
      <c r="B92" s="1521" t="str">
        <f>PUER!C85</f>
        <v>Estimativa de  Arrecadação de Taxa De Autorizacao de Funcionamento De Transporte - Dívida Ativa</v>
      </c>
      <c r="C92" s="1521"/>
      <c r="D92" s="1521"/>
      <c r="E92" s="1521"/>
      <c r="F92" s="1521"/>
      <c r="G92" s="1521"/>
      <c r="H92" s="127">
        <f>PUER!D85</f>
        <v>1</v>
      </c>
      <c r="I92" s="123" t="str">
        <f>PUER!E85</f>
        <v>XXXXXXX</v>
      </c>
      <c r="J92" s="123" t="str">
        <f>PUER!F85</f>
        <v>XXXXXXXX</v>
      </c>
    </row>
    <row r="93" spans="2:10" x14ac:dyDescent="0.25">
      <c r="B93" s="1521" t="str">
        <f>PUER!C86</f>
        <v>Estimativa de  Arrecadação de Taxa De Utilizacao De Area de Dominio Publico - Dívida Ativa</v>
      </c>
      <c r="C93" s="1521"/>
      <c r="D93" s="1521"/>
      <c r="E93" s="1521"/>
      <c r="F93" s="1521"/>
      <c r="G93" s="1521"/>
      <c r="H93" s="127">
        <f>PUER!D86</f>
        <v>1</v>
      </c>
      <c r="I93" s="123" t="str">
        <f>PUER!E86</f>
        <v>XXXXXXX</v>
      </c>
      <c r="J93" s="123" t="str">
        <f>PUER!F86</f>
        <v>XXXXXXXX</v>
      </c>
    </row>
    <row r="94" spans="2:10" x14ac:dyDescent="0.25">
      <c r="B94" s="1521" t="str">
        <f>PUER!C87</f>
        <v>Estimativa de  Arrecadação de Taxa De Aprovacao Do Projeto De Construcao Civil - Dívida Ativa</v>
      </c>
      <c r="C94" s="1521"/>
      <c r="D94" s="1521"/>
      <c r="E94" s="1521"/>
      <c r="F94" s="1521"/>
      <c r="G94" s="1521"/>
      <c r="H94" s="127">
        <f>PUER!D87</f>
        <v>1</v>
      </c>
      <c r="I94" s="123" t="str">
        <f>PUER!E87</f>
        <v>XXXXXXX</v>
      </c>
      <c r="J94" s="123" t="str">
        <f>PUER!F87</f>
        <v>XXXXXXXX</v>
      </c>
    </row>
    <row r="95" spans="2:10" x14ac:dyDescent="0.25">
      <c r="B95" s="1521" t="str">
        <f>PUER!C88</f>
        <v>Estimativa de  Arrecadação de Taxa de Fiscalização de Vilancia Sanitária - Dívida Ativa Multa e Juros</v>
      </c>
      <c r="C95" s="1521"/>
      <c r="D95" s="1521"/>
      <c r="E95" s="1521"/>
      <c r="F95" s="1521"/>
      <c r="G95" s="1521"/>
      <c r="H95" s="127">
        <f>PUER!D88</f>
        <v>1</v>
      </c>
      <c r="I95" s="123" t="str">
        <f>PUER!E88</f>
        <v>XXXXXXX</v>
      </c>
      <c r="J95" s="123" t="str">
        <f>PUER!F88</f>
        <v>XXXXXXXX</v>
      </c>
    </row>
    <row r="96" spans="2:10" x14ac:dyDescent="0.25">
      <c r="B96" s="1521" t="str">
        <f>PUER!C89</f>
        <v>Estimativa de  Arrecadação de Taxa De Licenca Para Funcion. de Estabelec. Comerciais,  Industriais e Prestadora De Serviços - Dívida Ativa Multa e Juros</v>
      </c>
      <c r="C96" s="1521"/>
      <c r="D96" s="1521"/>
      <c r="E96" s="1521"/>
      <c r="F96" s="1521"/>
      <c r="G96" s="1521"/>
      <c r="H96" s="127">
        <f>PUER!D89</f>
        <v>204.52</v>
      </c>
      <c r="I96" s="123" t="str">
        <f>PUER!E89</f>
        <v>XXXXXXX</v>
      </c>
      <c r="J96" s="123" t="str">
        <f>PUER!F89</f>
        <v>XXXXXXXX</v>
      </c>
    </row>
    <row r="97" spans="2:10" x14ac:dyDescent="0.25">
      <c r="B97" s="1521" t="str">
        <f>PUER!C90</f>
        <v>Estimativa de  Arrecadação de Taxa De Apreensao e Deposito - Dívida Ativa Multa e Juros</v>
      </c>
      <c r="C97" s="1521"/>
      <c r="D97" s="1521"/>
      <c r="E97" s="1521"/>
      <c r="F97" s="1521"/>
      <c r="G97" s="1521"/>
      <c r="H97" s="127">
        <f>PUER!D90</f>
        <v>1</v>
      </c>
      <c r="I97" s="123" t="str">
        <f>PUER!E90</f>
        <v>XXXXXXX</v>
      </c>
      <c r="J97" s="123" t="str">
        <f>PUER!F90</f>
        <v>XXXXXXXX</v>
      </c>
    </row>
    <row r="98" spans="2:10" x14ac:dyDescent="0.25">
      <c r="B98" s="1521" t="str">
        <f>PUER!C91</f>
        <v>Estimativa de  Arrecadação de Taxa De Funcionamento De Estabelecimentos Em Horario Especial - Dívida Ativa Multa e Juros</v>
      </c>
      <c r="C98" s="1521"/>
      <c r="D98" s="1521"/>
      <c r="E98" s="1521"/>
      <c r="F98" s="1521"/>
      <c r="G98" s="1521"/>
      <c r="H98" s="127">
        <f>PUER!D91</f>
        <v>1</v>
      </c>
      <c r="I98" s="123" t="str">
        <f>PUER!E91</f>
        <v>XXXXXXX</v>
      </c>
      <c r="J98" s="123" t="str">
        <f>PUER!F91</f>
        <v>XXXXXXXX</v>
      </c>
    </row>
    <row r="99" spans="2:10" x14ac:dyDescent="0.25">
      <c r="B99" s="1521" t="str">
        <f>PUER!C92</f>
        <v>Estimativa de  Arrecadação de Taxa De Licenca P/ Execucao De Obras - Dívida Ativa Multa e Juros</v>
      </c>
      <c r="C99" s="1521"/>
      <c r="D99" s="1521"/>
      <c r="E99" s="1521"/>
      <c r="F99" s="1521"/>
      <c r="G99" s="1521"/>
      <c r="H99" s="127">
        <f>PUER!D92</f>
        <v>1</v>
      </c>
      <c r="I99" s="123" t="str">
        <f>PUER!E92</f>
        <v>XXXXXXX</v>
      </c>
      <c r="J99" s="123" t="str">
        <f>PUER!F92</f>
        <v>XXXXXXXX</v>
      </c>
    </row>
    <row r="100" spans="2:10" x14ac:dyDescent="0.25">
      <c r="B100" s="1521" t="str">
        <f>PUER!C93</f>
        <v>Estimativa de  Arrecadação de Taxa De Autorizacao de Funcionamento De Transporte - Dívida Ativa Multa e Juros</v>
      </c>
      <c r="C100" s="1521"/>
      <c r="D100" s="1521"/>
      <c r="E100" s="1521"/>
      <c r="F100" s="1521"/>
      <c r="G100" s="1521"/>
      <c r="H100" s="127">
        <f>PUER!D93</f>
        <v>1</v>
      </c>
      <c r="I100" s="123" t="str">
        <f>PUER!E93</f>
        <v>XXXXXXX</v>
      </c>
      <c r="J100" s="123" t="str">
        <f>PUER!F93</f>
        <v>XXXXXXXX</v>
      </c>
    </row>
    <row r="101" spans="2:10" x14ac:dyDescent="0.25">
      <c r="B101" s="1521" t="str">
        <f>PUER!C94</f>
        <v>Estimativa de  Arrecadação de Taxa De Utilizacao De Area de Dominio Publico - Dívida Ativa Multa e Juros</v>
      </c>
      <c r="C101" s="1521"/>
      <c r="D101" s="1521"/>
      <c r="E101" s="1521"/>
      <c r="F101" s="1521"/>
      <c r="G101" s="1521"/>
      <c r="H101" s="127">
        <f>PUER!D94</f>
        <v>1</v>
      </c>
      <c r="I101" s="123" t="str">
        <f>PUER!E94</f>
        <v>XXXXXXX</v>
      </c>
      <c r="J101" s="123" t="str">
        <f>PUER!F94</f>
        <v>XXXXXXXX</v>
      </c>
    </row>
    <row r="102" spans="2:10" x14ac:dyDescent="0.25">
      <c r="B102" s="1521" t="str">
        <f>PUER!C95</f>
        <v>Estimativa de  Arrecadação de Taxa De Aprovacao Do Projeto De Construcao Civil - Dívida Ativa Multa e Juros</v>
      </c>
      <c r="C102" s="1521"/>
      <c r="D102" s="1521"/>
      <c r="E102" s="1521"/>
      <c r="F102" s="1521"/>
      <c r="G102" s="1521"/>
      <c r="H102" s="127">
        <f>PUER!D95</f>
        <v>1</v>
      </c>
      <c r="I102" s="123" t="str">
        <f>PUER!E95</f>
        <v>XXXXXXX</v>
      </c>
      <c r="J102" s="123" t="str">
        <f>PUER!F95</f>
        <v>XXXXXXXX</v>
      </c>
    </row>
    <row r="103" spans="2:10" x14ac:dyDescent="0.25">
      <c r="B103" s="1521" t="str">
        <f>PUER!C96</f>
        <v>Estimativa de  Arrecadação de Taxa De Controle E Fiscalizacao Ambiental - Principal</v>
      </c>
      <c r="C103" s="1521"/>
      <c r="D103" s="1521"/>
      <c r="E103" s="1521"/>
      <c r="F103" s="1521"/>
      <c r="G103" s="1521"/>
      <c r="H103" s="127">
        <f>PUER!D96</f>
        <v>4102.34</v>
      </c>
      <c r="I103" s="123" t="str">
        <f>PUER!E96</f>
        <v>XXXXXXX</v>
      </c>
      <c r="J103" s="123" t="str">
        <f>PUER!F96</f>
        <v>XXXXXXXX</v>
      </c>
    </row>
    <row r="104" spans="2:10" x14ac:dyDescent="0.25">
      <c r="B104" s="1521" t="str">
        <f>PUER!C97</f>
        <v>Estimativa de  Arrecadação de Controle E Fiscalizacao Ambiental - Multa e Juros</v>
      </c>
      <c r="C104" s="1521"/>
      <c r="D104" s="1521"/>
      <c r="E104" s="1521"/>
      <c r="F104" s="1521"/>
      <c r="G104" s="1521"/>
      <c r="H104" s="127">
        <f>PUER!D97</f>
        <v>1</v>
      </c>
      <c r="I104" s="123" t="str">
        <f>PUER!E97</f>
        <v>XXXXXXX</v>
      </c>
      <c r="J104" s="123" t="str">
        <f>PUER!F97</f>
        <v>XXXXXXXX</v>
      </c>
    </row>
    <row r="105" spans="2:10" x14ac:dyDescent="0.25">
      <c r="B105" s="1521" t="str">
        <f>PUER!C98</f>
        <v>Estimativa de  Arrecadação de Taxa De Controle E Fiscalizacao Ambiental - Div. Ativa</v>
      </c>
      <c r="C105" s="1521"/>
      <c r="D105" s="1521"/>
      <c r="E105" s="1521"/>
      <c r="F105" s="1521"/>
      <c r="G105" s="1521"/>
      <c r="H105" s="127">
        <f>PUER!D98</f>
        <v>1</v>
      </c>
      <c r="I105" s="123" t="str">
        <f>PUER!E98</f>
        <v>XXXXXXX</v>
      </c>
      <c r="J105" s="123" t="str">
        <f>PUER!F98</f>
        <v>XXXXXXXX</v>
      </c>
    </row>
    <row r="106" spans="2:10" x14ac:dyDescent="0.25">
      <c r="B106" s="1521" t="str">
        <f>PUER!C99</f>
        <v>Estimativa de  Arrecadação de  Taxa De Controle E Fiscalizacao Ambiental - Div. Ativa Multa e Juros</v>
      </c>
      <c r="C106" s="1521"/>
      <c r="D106" s="1521"/>
      <c r="E106" s="1521"/>
      <c r="F106" s="1521"/>
      <c r="G106" s="1521"/>
      <c r="H106" s="127">
        <f>PUER!D99</f>
        <v>1</v>
      </c>
      <c r="I106" s="123" t="str">
        <f>PUER!E99</f>
        <v>XXXXXXX</v>
      </c>
      <c r="J106" s="123" t="str">
        <f>PUER!F99</f>
        <v>XXXXXXXX</v>
      </c>
    </row>
    <row r="107" spans="2:10" x14ac:dyDescent="0.25">
      <c r="B107" s="1521" t="str">
        <f>PUER!C100</f>
        <v>Estimativa de Arrecadação de Emolumentos e Custas Processuais Administrativas  - Principal</v>
      </c>
      <c r="C107" s="1521"/>
      <c r="D107" s="1521"/>
      <c r="E107" s="1521"/>
      <c r="F107" s="1521"/>
      <c r="G107" s="1521"/>
      <c r="H107" s="127">
        <f>PUER!D100</f>
        <v>1</v>
      </c>
      <c r="I107" s="123" t="str">
        <f>PUER!E100</f>
        <v>XXXXXXX</v>
      </c>
      <c r="J107" s="123" t="str">
        <f>PUER!F100</f>
        <v>XXXXXXXX</v>
      </c>
    </row>
    <row r="108" spans="2:10" x14ac:dyDescent="0.25">
      <c r="B108" s="1521" t="str">
        <f>PUER!C101</f>
        <v>Estimativa de Arrecadação de Taxas de Serviços Cadastrais  - Principal</v>
      </c>
      <c r="C108" s="1521"/>
      <c r="D108" s="1521"/>
      <c r="E108" s="1521"/>
      <c r="F108" s="1521"/>
      <c r="G108" s="1521"/>
      <c r="H108" s="127">
        <f>PUER!D101</f>
        <v>44.216666666666669</v>
      </c>
      <c r="I108" s="123" t="str">
        <f>PUER!E101</f>
        <v>XXXXXXX</v>
      </c>
      <c r="J108" s="123" t="str">
        <f>PUER!F101</f>
        <v>XXXXXXXX</v>
      </c>
    </row>
    <row r="109" spans="2:10" x14ac:dyDescent="0.25">
      <c r="B109" s="1521" t="str">
        <f>PUER!C102</f>
        <v>Estimativa de Arrecadação de Taxas de Coleta de Lixo  - Principal</v>
      </c>
      <c r="C109" s="1521"/>
      <c r="D109" s="1521"/>
      <c r="E109" s="1521"/>
      <c r="F109" s="1521"/>
      <c r="G109" s="1521"/>
      <c r="H109" s="127">
        <f>PUER!D102</f>
        <v>2777.9616666666666</v>
      </c>
      <c r="I109" s="123" t="str">
        <f>PUER!E102</f>
        <v>XXXXXXX</v>
      </c>
      <c r="J109" s="123" t="str">
        <f>PUER!F102</f>
        <v>XXXXXXXX</v>
      </c>
    </row>
    <row r="110" spans="2:10" x14ac:dyDescent="0.25">
      <c r="B110" s="1521" t="str">
        <f>PUER!C103</f>
        <v>Estimativa de Arrecadação de Taxa de Expediente  Serviços, Certidões e Outros - Principal</v>
      </c>
      <c r="C110" s="1521"/>
      <c r="D110" s="1521"/>
      <c r="E110" s="1521"/>
      <c r="F110" s="1521"/>
      <c r="G110" s="1521"/>
      <c r="H110" s="127">
        <f>PUER!D103</f>
        <v>9662.3433333333323</v>
      </c>
      <c r="I110" s="123" t="str">
        <f>PUER!E103</f>
        <v>XXXXXXX</v>
      </c>
      <c r="J110" s="123" t="str">
        <f>PUER!F103</f>
        <v>XXXXXXXX</v>
      </c>
    </row>
    <row r="111" spans="2:10" x14ac:dyDescent="0.25">
      <c r="B111" s="1521" t="str">
        <f>PUER!C104</f>
        <v>Estimativa de Arrecadação de Taxa de Inscrição de Outros Eventos Esportivos - Principal</v>
      </c>
      <c r="C111" s="1521"/>
      <c r="D111" s="1521"/>
      <c r="E111" s="1521"/>
      <c r="F111" s="1521"/>
      <c r="G111" s="1521"/>
      <c r="H111" s="127">
        <f>PUER!D104</f>
        <v>1</v>
      </c>
      <c r="I111" s="123" t="str">
        <f>PUER!E104</f>
        <v>XXXXXXX</v>
      </c>
      <c r="J111" s="123" t="str">
        <f>PUER!F104</f>
        <v>XXXXXXXX</v>
      </c>
    </row>
    <row r="112" spans="2:10" x14ac:dyDescent="0.25">
      <c r="B112" s="1521" t="str">
        <f>PUER!C105</f>
        <v>Estimativa de Arrecadação de Taxa de Inscrição de Seminários de Educação  - Principal</v>
      </c>
      <c r="C112" s="1521"/>
      <c r="D112" s="1521"/>
      <c r="E112" s="1521"/>
      <c r="F112" s="1521"/>
      <c r="G112" s="1521"/>
      <c r="H112" s="127">
        <f>PUER!D105</f>
        <v>66.666666666666671</v>
      </c>
      <c r="I112" s="123" t="str">
        <f>PUER!E105</f>
        <v>XXXXXXX</v>
      </c>
      <c r="J112" s="123" t="str">
        <f>PUER!F105</f>
        <v>XXXXXXXX</v>
      </c>
    </row>
    <row r="113" spans="2:10" x14ac:dyDescent="0.25">
      <c r="B113" s="1521" t="str">
        <f>PUER!C106</f>
        <v>Estimativa de Arrecadação de Taxa de Inscrição de Campeonato Intercolonial de Fudebol Sete - Principal</v>
      </c>
      <c r="C113" s="1521"/>
      <c r="D113" s="1521"/>
      <c r="E113" s="1521"/>
      <c r="F113" s="1521"/>
      <c r="G113" s="1521"/>
      <c r="H113" s="127">
        <f>PUER!D106</f>
        <v>4941.666666666667</v>
      </c>
      <c r="I113" s="123" t="str">
        <f>PUER!E106</f>
        <v>XXXXXXX</v>
      </c>
      <c r="J113" s="123" t="str">
        <f>PUER!F106</f>
        <v>XXXXXXXX</v>
      </c>
    </row>
    <row r="114" spans="2:10" x14ac:dyDescent="0.25">
      <c r="B114" s="1521" t="str">
        <f>PUER!C107</f>
        <v>Estimativa de Arrecadação de Taxa de Inscrição de Campeonato Futebol de Campo - Principal</v>
      </c>
      <c r="C114" s="1521"/>
      <c r="D114" s="1521"/>
      <c r="E114" s="1521"/>
      <c r="F114" s="1521"/>
      <c r="G114" s="1521"/>
      <c r="H114" s="127">
        <f>PUER!D107</f>
        <v>2066.6666666666665</v>
      </c>
      <c r="I114" s="123" t="str">
        <f>PUER!E107</f>
        <v>XXXXXXX</v>
      </c>
      <c r="J114" s="123" t="str">
        <f>PUER!F107</f>
        <v>XXXXXXXX</v>
      </c>
    </row>
    <row r="115" spans="2:10" x14ac:dyDescent="0.25">
      <c r="B115" s="1521" t="str">
        <f>PUER!C108</f>
        <v>Estimativa de Arrecadação de Taxa de Inscrição de Campeonato Praiano - Principal</v>
      </c>
      <c r="C115" s="1521"/>
      <c r="D115" s="1521"/>
      <c r="E115" s="1521"/>
      <c r="F115" s="1521"/>
      <c r="G115" s="1521"/>
      <c r="H115" s="127">
        <f>PUER!D108</f>
        <v>7770</v>
      </c>
      <c r="I115" s="123" t="str">
        <f>PUER!E108</f>
        <v>XXXXXXX</v>
      </c>
      <c r="J115" s="123" t="str">
        <f>PUER!F108</f>
        <v>XXXXXXXX</v>
      </c>
    </row>
    <row r="116" spans="2:10" x14ac:dyDescent="0.25">
      <c r="B116" s="1521" t="str">
        <f>PUER!C109</f>
        <v>Estimativa de Arrecadação de Taxa de Inscrição de Campeonato Municipal Futsal - Principal</v>
      </c>
      <c r="C116" s="1521"/>
      <c r="D116" s="1521"/>
      <c r="E116" s="1521"/>
      <c r="F116" s="1521"/>
      <c r="G116" s="1521"/>
      <c r="H116" s="127">
        <f>PUER!D109</f>
        <v>1</v>
      </c>
      <c r="I116" s="123" t="str">
        <f>PUER!E109</f>
        <v>XXXXXXX</v>
      </c>
      <c r="J116" s="123" t="str">
        <f>PUER!F109</f>
        <v>XXXXXXXX</v>
      </c>
    </row>
    <row r="117" spans="2:10" x14ac:dyDescent="0.25">
      <c r="B117" s="1521" t="str">
        <f>PUER!C110</f>
        <v>Estimativa de Arrecadação de Taxa de Manutenção do Centro de Eventos - Principal</v>
      </c>
      <c r="C117" s="1521"/>
      <c r="D117" s="1521"/>
      <c r="E117" s="1521"/>
      <c r="F117" s="1521"/>
      <c r="G117" s="1521"/>
      <c r="H117" s="127">
        <f>PUER!D110</f>
        <v>1845.9683333333335</v>
      </c>
      <c r="I117" s="123" t="str">
        <f>PUER!E110</f>
        <v>XXXXXXX</v>
      </c>
      <c r="J117" s="123" t="str">
        <f>PUER!F110</f>
        <v>XXXXXXXX</v>
      </c>
    </row>
    <row r="118" spans="2:10" x14ac:dyDescent="0.25">
      <c r="B118" s="1521" t="str">
        <f>PUER!C111</f>
        <v>Estimativa de Arrecadação de Emolumentos e Custas Processuais Administrativas  - Multa e Juros</v>
      </c>
      <c r="C118" s="1521"/>
      <c r="D118" s="1521"/>
      <c r="E118" s="1521"/>
      <c r="F118" s="1521"/>
      <c r="G118" s="1521"/>
      <c r="H118" s="127">
        <f>PUER!D111</f>
        <v>1</v>
      </c>
      <c r="I118" s="123" t="str">
        <f>PUER!E111</f>
        <v>XXXXXXX</v>
      </c>
      <c r="J118" s="123" t="str">
        <f>PUER!F111</f>
        <v>XXXXXXXX</v>
      </c>
    </row>
    <row r="119" spans="2:10" x14ac:dyDescent="0.25">
      <c r="B119" s="1521" t="str">
        <f>PUER!C112</f>
        <v>Estimativa de Arrecadação de Taxas de Serviços Cadastrais  - Multa e Juros</v>
      </c>
      <c r="C119" s="1521"/>
      <c r="D119" s="1521"/>
      <c r="E119" s="1521"/>
      <c r="F119" s="1521"/>
      <c r="G119" s="1521"/>
      <c r="H119" s="127">
        <f>PUER!D112</f>
        <v>1</v>
      </c>
      <c r="I119" s="123" t="str">
        <f>PUER!E112</f>
        <v>XXXXXXX</v>
      </c>
      <c r="J119" s="123" t="str">
        <f>PUER!F112</f>
        <v>XXXXXXXX</v>
      </c>
    </row>
    <row r="120" spans="2:10" x14ac:dyDescent="0.25">
      <c r="B120" s="1521" t="str">
        <f>PUER!C113</f>
        <v>Estimativa de Arrecadação de Taxas de Coleta de Lixo  - Multa e Juros</v>
      </c>
      <c r="C120" s="1521"/>
      <c r="D120" s="1521"/>
      <c r="E120" s="1521"/>
      <c r="F120" s="1521"/>
      <c r="G120" s="1521"/>
      <c r="H120" s="127">
        <f>PUER!D113</f>
        <v>6.336666666666666</v>
      </c>
      <c r="I120" s="123" t="str">
        <f>PUER!E113</f>
        <v>XXXXXXX</v>
      </c>
      <c r="J120" s="123" t="str">
        <f>PUER!F113</f>
        <v>XXXXXXXX</v>
      </c>
    </row>
    <row r="121" spans="2:10" x14ac:dyDescent="0.25">
      <c r="B121" s="1521" t="str">
        <f>PUER!C114</f>
        <v>Estimativa de Arrecadação de Taxa de Expediente  Serviços, Certidões e Outros - Multa e Juros</v>
      </c>
      <c r="C121" s="1521"/>
      <c r="D121" s="1521"/>
      <c r="E121" s="1521"/>
      <c r="F121" s="1521"/>
      <c r="G121" s="1521"/>
      <c r="H121" s="127">
        <f>PUER!D114</f>
        <v>7.666666666666667</v>
      </c>
      <c r="I121" s="123" t="str">
        <f>PUER!E114</f>
        <v>XXXXXXX</v>
      </c>
      <c r="J121" s="123" t="str">
        <f>PUER!F114</f>
        <v>XXXXXXXX</v>
      </c>
    </row>
    <row r="122" spans="2:10" x14ac:dyDescent="0.25">
      <c r="B122" s="1521" t="str">
        <f>PUER!C115</f>
        <v>Estimativa de Arrecadação de Taxa de Inscrição de Outros Eventos Esportivos - Multa e Juros</v>
      </c>
      <c r="C122" s="1521"/>
      <c r="D122" s="1521"/>
      <c r="E122" s="1521"/>
      <c r="F122" s="1521"/>
      <c r="G122" s="1521"/>
      <c r="H122" s="127">
        <f>PUER!D115</f>
        <v>1</v>
      </c>
      <c r="I122" s="123" t="str">
        <f>PUER!E115</f>
        <v>XXXXXXX</v>
      </c>
      <c r="J122" s="123" t="str">
        <f>PUER!F115</f>
        <v>XXXXXXXX</v>
      </c>
    </row>
    <row r="123" spans="2:10" x14ac:dyDescent="0.25">
      <c r="B123" s="1521" t="str">
        <f>PUER!C116</f>
        <v>Estimativa de Arrecadação de Taxa de Inscrição de Seminários de Educação  - Multa e Juros</v>
      </c>
      <c r="C123" s="1521"/>
      <c r="D123" s="1521"/>
      <c r="E123" s="1521"/>
      <c r="F123" s="1521"/>
      <c r="G123" s="1521"/>
      <c r="H123" s="127">
        <f>PUER!D116</f>
        <v>1</v>
      </c>
      <c r="I123" s="123" t="str">
        <f>PUER!E116</f>
        <v>XXXXXXX</v>
      </c>
      <c r="J123" s="123" t="str">
        <f>PUER!F116</f>
        <v>XXXXXXXX</v>
      </c>
    </row>
    <row r="124" spans="2:10" x14ac:dyDescent="0.25">
      <c r="B124" s="1521" t="str">
        <f>PUER!C117</f>
        <v>Estimativa de Arrecadação de Taxa de Inscrição de Campeonato Intercolonial de Fudebol Sete - Multa e Juros</v>
      </c>
      <c r="C124" s="1521"/>
      <c r="D124" s="1521"/>
      <c r="E124" s="1521"/>
      <c r="F124" s="1521"/>
      <c r="G124" s="1521"/>
      <c r="H124" s="127">
        <f>PUER!D117</f>
        <v>1</v>
      </c>
      <c r="I124" s="123" t="str">
        <f>PUER!E117</f>
        <v>XXXXXXX</v>
      </c>
      <c r="J124" s="123" t="str">
        <f>PUER!F117</f>
        <v>XXXXXXXX</v>
      </c>
    </row>
    <row r="125" spans="2:10" x14ac:dyDescent="0.25">
      <c r="B125" s="1521" t="str">
        <f>PUER!C118</f>
        <v>Estimativa de Arrecadação de Taxa de Inscrição de Campeonato Futebol de Campo - Multa e Juros</v>
      </c>
      <c r="C125" s="1521"/>
      <c r="D125" s="1521"/>
      <c r="E125" s="1521"/>
      <c r="F125" s="1521"/>
      <c r="G125" s="1521"/>
      <c r="H125" s="127">
        <f>PUER!D118</f>
        <v>1</v>
      </c>
      <c r="I125" s="123" t="str">
        <f>PUER!E118</f>
        <v>XXXXXXX</v>
      </c>
      <c r="J125" s="123" t="str">
        <f>PUER!F118</f>
        <v>XXXXXXXX</v>
      </c>
    </row>
    <row r="126" spans="2:10" x14ac:dyDescent="0.25">
      <c r="B126" s="1521" t="str">
        <f>PUER!C119</f>
        <v>Estimativa de Arrecadação de Taxa de Inscrição de Campeonato Praiano - Multa e Juros</v>
      </c>
      <c r="C126" s="1521"/>
      <c r="D126" s="1521"/>
      <c r="E126" s="1521"/>
      <c r="F126" s="1521"/>
      <c r="G126" s="1521"/>
      <c r="H126" s="127">
        <f>PUER!D119</f>
        <v>1</v>
      </c>
      <c r="I126" s="123" t="str">
        <f>PUER!E119</f>
        <v>XXXXXXX</v>
      </c>
      <c r="J126" s="123" t="str">
        <f>PUER!F119</f>
        <v>XXXXXXXX</v>
      </c>
    </row>
    <row r="127" spans="2:10" x14ac:dyDescent="0.25">
      <c r="B127" s="1521" t="str">
        <f>PUER!C120</f>
        <v>Estimativa de Arrecadação de Taxa de Inscrição de Campeonato Municipal Futsal - Multa e Juros</v>
      </c>
      <c r="C127" s="1521"/>
      <c r="D127" s="1521"/>
      <c r="E127" s="1521"/>
      <c r="F127" s="1521"/>
      <c r="G127" s="1521"/>
      <c r="H127" s="127">
        <f>PUER!D120</f>
        <v>1</v>
      </c>
      <c r="I127" s="123" t="str">
        <f>PUER!E120</f>
        <v>XXXXXXX</v>
      </c>
      <c r="J127" s="123" t="str">
        <f>PUER!F120</f>
        <v>XXXXXXXX</v>
      </c>
    </row>
    <row r="128" spans="2:10" x14ac:dyDescent="0.25">
      <c r="B128" s="1521" t="str">
        <f>PUER!C121</f>
        <v>Estimativa de Arrecadação de Taxa de Manutenção do Centro de Eventos - Multa e Juros</v>
      </c>
      <c r="C128" s="1521"/>
      <c r="D128" s="1521"/>
      <c r="E128" s="1521"/>
      <c r="F128" s="1521"/>
      <c r="G128" s="1521"/>
      <c r="H128" s="127">
        <f>PUER!D121</f>
        <v>6.3066666666666675</v>
      </c>
      <c r="I128" s="123" t="str">
        <f>PUER!E121</f>
        <v>XXXXXXX</v>
      </c>
      <c r="J128" s="123" t="str">
        <f>PUER!F121</f>
        <v>XXXXXXXX</v>
      </c>
    </row>
    <row r="129" spans="2:10" x14ac:dyDescent="0.25">
      <c r="B129" s="1521" t="str">
        <f>PUER!C122</f>
        <v>Estimativa de Arrecadação de Emolumentos e Custas Processuais Administrativas  - Dívida Ativa</v>
      </c>
      <c r="C129" s="1521"/>
      <c r="D129" s="1521"/>
      <c r="E129" s="1521"/>
      <c r="F129" s="1521"/>
      <c r="G129" s="1521"/>
      <c r="H129" s="127">
        <f>PUER!D122</f>
        <v>1</v>
      </c>
      <c r="I129" s="123" t="str">
        <f>PUER!E122</f>
        <v>XXXXXXX</v>
      </c>
      <c r="J129" s="123" t="str">
        <f>PUER!F122</f>
        <v>XXXXXXXX</v>
      </c>
    </row>
    <row r="130" spans="2:10" x14ac:dyDescent="0.25">
      <c r="B130" s="1521" t="str">
        <f>PUER!C123</f>
        <v>Estimativa de Arrecadação de Taxas de Serviços Cadastrais  - Dívida Ativa</v>
      </c>
      <c r="C130" s="1521"/>
      <c r="D130" s="1521"/>
      <c r="E130" s="1521"/>
      <c r="F130" s="1521"/>
      <c r="G130" s="1521"/>
      <c r="H130" s="127">
        <f>PUER!D123</f>
        <v>1</v>
      </c>
      <c r="I130" s="123" t="str">
        <f>PUER!E123</f>
        <v>XXXXXXX</v>
      </c>
      <c r="J130" s="123" t="str">
        <f>PUER!F123</f>
        <v>XXXXXXXX</v>
      </c>
    </row>
    <row r="131" spans="2:10" x14ac:dyDescent="0.25">
      <c r="B131" s="1521" t="str">
        <f>PUER!C124</f>
        <v>Estimativa de Arrecadação de Taxas de Coleta de Lixo  - Dívida Ativa</v>
      </c>
      <c r="C131" s="1521"/>
      <c r="D131" s="1521"/>
      <c r="E131" s="1521"/>
      <c r="F131" s="1521"/>
      <c r="G131" s="1521"/>
      <c r="H131" s="127">
        <f>PUER!D124</f>
        <v>36.234999999999992</v>
      </c>
      <c r="I131" s="123" t="str">
        <f>PUER!E124</f>
        <v>XXXXXXX</v>
      </c>
      <c r="J131" s="123" t="str">
        <f>PUER!F124</f>
        <v>XXXXXXXX</v>
      </c>
    </row>
    <row r="132" spans="2:10" x14ac:dyDescent="0.25">
      <c r="B132" s="1521" t="str">
        <f>PUER!C125</f>
        <v>Estimativa de Arrecadação de Taxa de Expediente  Serviços, Certidões e Outros - Dívida Ativa</v>
      </c>
      <c r="C132" s="1521"/>
      <c r="D132" s="1521"/>
      <c r="E132" s="1521"/>
      <c r="F132" s="1521"/>
      <c r="G132" s="1521"/>
      <c r="H132" s="127">
        <f>PUER!D125</f>
        <v>22.568333333333332</v>
      </c>
      <c r="I132" s="123" t="str">
        <f>PUER!E125</f>
        <v>XXXXXXX</v>
      </c>
      <c r="J132" s="123" t="str">
        <f>PUER!F125</f>
        <v>XXXXXXXX</v>
      </c>
    </row>
    <row r="133" spans="2:10" x14ac:dyDescent="0.25">
      <c r="B133" s="1521" t="str">
        <f>PUER!C126</f>
        <v>Estimativa de Arrecadação de Taxa de Inscrição de Outros Eventos Esportivos - Dívida Ativa</v>
      </c>
      <c r="C133" s="1521"/>
      <c r="D133" s="1521"/>
      <c r="E133" s="1521"/>
      <c r="F133" s="1521"/>
      <c r="G133" s="1521"/>
      <c r="H133" s="127">
        <f>PUER!D126</f>
        <v>1</v>
      </c>
      <c r="I133" s="123" t="str">
        <f>PUER!E126</f>
        <v>XXXXXXX</v>
      </c>
      <c r="J133" s="123" t="str">
        <f>PUER!F126</f>
        <v>XXXXXXXX</v>
      </c>
    </row>
    <row r="134" spans="2:10" x14ac:dyDescent="0.25">
      <c r="B134" s="1521" t="str">
        <f>PUER!C127</f>
        <v>Estimativa de Arrecadação de Taxa de Inscrição de Seminários de Educação  - Dívida Ativa</v>
      </c>
      <c r="C134" s="1521"/>
      <c r="D134" s="1521"/>
      <c r="E134" s="1521"/>
      <c r="F134" s="1521"/>
      <c r="G134" s="1521"/>
      <c r="H134" s="127">
        <f>PUER!D127</f>
        <v>1</v>
      </c>
      <c r="I134" s="123" t="str">
        <f>PUER!E127</f>
        <v>XXXXXXX</v>
      </c>
      <c r="J134" s="123" t="str">
        <f>PUER!F127</f>
        <v>XXXXXXXX</v>
      </c>
    </row>
    <row r="135" spans="2:10" x14ac:dyDescent="0.25">
      <c r="B135" s="1521" t="str">
        <f>PUER!C128</f>
        <v>Estimativa de Arrecadação de Taxa de Inscrição de Campeonato Intercolonial de Fudebol Sete - Dívida Ativa</v>
      </c>
      <c r="C135" s="1521"/>
      <c r="D135" s="1521"/>
      <c r="E135" s="1521"/>
      <c r="F135" s="1521"/>
      <c r="G135" s="1521"/>
      <c r="H135" s="127">
        <f>PUER!D128</f>
        <v>1</v>
      </c>
      <c r="I135" s="123" t="str">
        <f>PUER!E128</f>
        <v>XXXXXXX</v>
      </c>
      <c r="J135" s="123" t="str">
        <f>PUER!F128</f>
        <v>XXXXXXXX</v>
      </c>
    </row>
    <row r="136" spans="2:10" x14ac:dyDescent="0.25">
      <c r="B136" s="1521" t="str">
        <f>PUER!C129</f>
        <v>Estimativa de Arrecadação de Taxa de Inscrição de Campeonato Futebol de Campo - Dívida Ativa</v>
      </c>
      <c r="C136" s="1521"/>
      <c r="D136" s="1521"/>
      <c r="E136" s="1521"/>
      <c r="F136" s="1521"/>
      <c r="G136" s="1521"/>
      <c r="H136" s="127">
        <f>PUER!D129</f>
        <v>1</v>
      </c>
      <c r="I136" s="123" t="str">
        <f>PUER!E129</f>
        <v>XXXXXXX</v>
      </c>
      <c r="J136" s="123" t="str">
        <f>PUER!F129</f>
        <v>XXXXXXXX</v>
      </c>
    </row>
    <row r="137" spans="2:10" x14ac:dyDescent="0.25">
      <c r="B137" s="1521" t="str">
        <f>PUER!C130</f>
        <v>Estimativa de Arrecadação de Taxa de Inscrição de Campeonato Praiano - Dívida Ativa</v>
      </c>
      <c r="C137" s="1521"/>
      <c r="D137" s="1521"/>
      <c r="E137" s="1521"/>
      <c r="F137" s="1521"/>
      <c r="G137" s="1521"/>
      <c r="H137" s="127">
        <f>PUER!D130</f>
        <v>1</v>
      </c>
      <c r="I137" s="123" t="str">
        <f>PUER!E130</f>
        <v>XXXXXXX</v>
      </c>
      <c r="J137" s="123" t="str">
        <f>PUER!F130</f>
        <v>XXXXXXXX</v>
      </c>
    </row>
    <row r="138" spans="2:10" x14ac:dyDescent="0.25">
      <c r="B138" s="1521" t="str">
        <f>PUER!C131</f>
        <v>Estimativa de Arrecadação de Taxa de Inscrição de Campeonato Municipal Futsal - Dívida Ativa</v>
      </c>
      <c r="C138" s="1521"/>
      <c r="D138" s="1521"/>
      <c r="E138" s="1521"/>
      <c r="F138" s="1521"/>
      <c r="G138" s="1521"/>
      <c r="H138" s="127">
        <f>PUER!D131</f>
        <v>1</v>
      </c>
      <c r="I138" s="123" t="str">
        <f>PUER!E131</f>
        <v>XXXXXXX</v>
      </c>
      <c r="J138" s="123" t="str">
        <f>PUER!F131</f>
        <v>XXXXXXXX</v>
      </c>
    </row>
    <row r="139" spans="2:10" x14ac:dyDescent="0.25">
      <c r="B139" s="1521" t="str">
        <f>PUER!C132</f>
        <v>Estimativa de Arrecadação de Taxa de Manutenção do Centro de Eventos - Dívida Ativa</v>
      </c>
      <c r="C139" s="1521"/>
      <c r="D139" s="1521"/>
      <c r="E139" s="1521"/>
      <c r="F139" s="1521"/>
      <c r="G139" s="1521"/>
      <c r="H139" s="127">
        <f>PUER!D132</f>
        <v>1</v>
      </c>
      <c r="I139" s="123" t="str">
        <f>PUER!E132</f>
        <v>XXXXXXX</v>
      </c>
      <c r="J139" s="123" t="str">
        <f>PUER!F132</f>
        <v>XXXXXXXX</v>
      </c>
    </row>
    <row r="140" spans="2:10" x14ac:dyDescent="0.25">
      <c r="B140" s="1521" t="str">
        <f>PUER!C133</f>
        <v>Estimativa de Arrecadação de Emolumentos e Custas Processuais Administrativas  - Dívida Ativa Multa e Juros</v>
      </c>
      <c r="C140" s="1521"/>
      <c r="D140" s="1521"/>
      <c r="E140" s="1521"/>
      <c r="F140" s="1521"/>
      <c r="G140" s="1521"/>
      <c r="H140" s="127">
        <f>PUER!D133</f>
        <v>1</v>
      </c>
      <c r="I140" s="123" t="str">
        <f>PUER!E133</f>
        <v>XXXXXXX</v>
      </c>
      <c r="J140" s="123" t="str">
        <f>PUER!F133</f>
        <v>XXXXXXXX</v>
      </c>
    </row>
    <row r="141" spans="2:10" x14ac:dyDescent="0.25">
      <c r="B141" s="1521" t="str">
        <f>PUER!C134</f>
        <v>Estimativa de Arrecadação de Taxas de Serviços Cadastrais  - Dívida Ativa Multa e Juros</v>
      </c>
      <c r="C141" s="1521"/>
      <c r="D141" s="1521"/>
      <c r="E141" s="1521"/>
      <c r="F141" s="1521"/>
      <c r="G141" s="1521"/>
      <c r="H141" s="127">
        <f>PUER!D134</f>
        <v>1</v>
      </c>
      <c r="I141" s="123" t="str">
        <f>PUER!E134</f>
        <v>XXXXXXX</v>
      </c>
      <c r="J141" s="123" t="str">
        <f>PUER!F134</f>
        <v>XXXXXXXX</v>
      </c>
    </row>
    <row r="142" spans="2:10" x14ac:dyDescent="0.25">
      <c r="B142" s="1521" t="str">
        <f>PUER!C135</f>
        <v>Estimativa de Arrecadação de Taxas de Coleta de Lixo  - Dívida Ativa Multa e Juros</v>
      </c>
      <c r="C142" s="1521"/>
      <c r="D142" s="1521"/>
      <c r="E142" s="1521"/>
      <c r="F142" s="1521"/>
      <c r="G142" s="1521"/>
      <c r="H142" s="127">
        <f>PUER!D135</f>
        <v>20.528333333333332</v>
      </c>
      <c r="I142" s="123" t="str">
        <f>PUER!E135</f>
        <v>XXXXXXX</v>
      </c>
      <c r="J142" s="123" t="str">
        <f>PUER!F135</f>
        <v>XXXXXXXX</v>
      </c>
    </row>
    <row r="143" spans="2:10" x14ac:dyDescent="0.25">
      <c r="B143" s="1521" t="str">
        <f>PUER!C136</f>
        <v>Estimativa de Arrecadação de Taxa de Expediente  Serviços, Certidões e Outros - Dívida Ativa Multa e Juros</v>
      </c>
      <c r="C143" s="1521"/>
      <c r="D143" s="1521"/>
      <c r="E143" s="1521"/>
      <c r="F143" s="1521"/>
      <c r="G143" s="1521"/>
      <c r="H143" s="127">
        <f>PUER!D136</f>
        <v>15.326666666666668</v>
      </c>
      <c r="I143" s="123" t="str">
        <f>PUER!E136</f>
        <v>XXXXXXX</v>
      </c>
      <c r="J143" s="123" t="str">
        <f>PUER!F136</f>
        <v>XXXXXXXX</v>
      </c>
    </row>
    <row r="144" spans="2:10" x14ac:dyDescent="0.25">
      <c r="B144" s="1521" t="str">
        <f>PUER!C137</f>
        <v>Estimativa de Arrecadação de Taxa de Inscrição de Outros Eventos Esportivos - Dívida Ativa Multa e Juros</v>
      </c>
      <c r="C144" s="1521"/>
      <c r="D144" s="1521"/>
      <c r="E144" s="1521"/>
      <c r="F144" s="1521"/>
      <c r="G144" s="1521"/>
      <c r="H144" s="127">
        <f>PUER!D137</f>
        <v>1</v>
      </c>
      <c r="I144" s="123" t="str">
        <f>PUER!E137</f>
        <v>XXXXXXX</v>
      </c>
      <c r="J144" s="123" t="str">
        <f>PUER!F137</f>
        <v>XXXXXXXX</v>
      </c>
    </row>
    <row r="145" spans="2:10" x14ac:dyDescent="0.25">
      <c r="B145" s="1521" t="str">
        <f>PUER!C138</f>
        <v>Estimativa de Arrecadação de Taxa de Inscrição de Seminários de Educação  - Dívida Ativa Multa e Juros</v>
      </c>
      <c r="C145" s="1521"/>
      <c r="D145" s="1521"/>
      <c r="E145" s="1521"/>
      <c r="F145" s="1521"/>
      <c r="G145" s="1521"/>
      <c r="H145" s="127">
        <f>PUER!D138</f>
        <v>1</v>
      </c>
      <c r="I145" s="123" t="str">
        <f>PUER!E138</f>
        <v>XXXXXXX</v>
      </c>
      <c r="J145" s="123" t="str">
        <f>PUER!F138</f>
        <v>XXXXXXXX</v>
      </c>
    </row>
    <row r="146" spans="2:10" x14ac:dyDescent="0.25">
      <c r="B146" s="1521" t="str">
        <f>PUER!C139</f>
        <v>Estimativa de Arrecadação de Taxa de Inscrição de Campeonato Intercolonial de Fudebol Sete - Dívida Ativa Multa e Juros</v>
      </c>
      <c r="C146" s="1521"/>
      <c r="D146" s="1521"/>
      <c r="E146" s="1521"/>
      <c r="F146" s="1521"/>
      <c r="G146" s="1521"/>
      <c r="H146" s="127">
        <f>PUER!D139</f>
        <v>1</v>
      </c>
      <c r="I146" s="123" t="str">
        <f>PUER!E139</f>
        <v>XXXXXXX</v>
      </c>
      <c r="J146" s="123" t="str">
        <f>PUER!F139</f>
        <v>XXXXXXXX</v>
      </c>
    </row>
    <row r="147" spans="2:10" x14ac:dyDescent="0.25">
      <c r="B147" s="1521" t="str">
        <f>PUER!C140</f>
        <v>Estimativa de Arrecadação de Taxa de Inscrição de Campeonato Futebol de Campo - Dívida Ativa Multa e Juros</v>
      </c>
      <c r="C147" s="1521"/>
      <c r="D147" s="1521"/>
      <c r="E147" s="1521"/>
      <c r="F147" s="1521"/>
      <c r="G147" s="1521"/>
      <c r="H147" s="127">
        <f>PUER!D140</f>
        <v>1</v>
      </c>
      <c r="I147" s="123" t="str">
        <f>PUER!E140</f>
        <v>XXXXXXX</v>
      </c>
      <c r="J147" s="123" t="str">
        <f>PUER!F140</f>
        <v>XXXXXXXX</v>
      </c>
    </row>
    <row r="148" spans="2:10" x14ac:dyDescent="0.25">
      <c r="B148" s="1521" t="str">
        <f>PUER!C141</f>
        <v>Estimativa de Arrecadação de Taxa de Inscrição de Campeonato Praiano - Dívida Ativa Multa e Juros</v>
      </c>
      <c r="C148" s="1521"/>
      <c r="D148" s="1521"/>
      <c r="E148" s="1521"/>
      <c r="F148" s="1521"/>
      <c r="G148" s="1521"/>
      <c r="H148" s="127">
        <f>PUER!D141</f>
        <v>1</v>
      </c>
      <c r="I148" s="123" t="str">
        <f>PUER!E141</f>
        <v>XXXXXXX</v>
      </c>
      <c r="J148" s="123" t="str">
        <f>PUER!F141</f>
        <v>XXXXXXXX</v>
      </c>
    </row>
    <row r="149" spans="2:10" x14ac:dyDescent="0.25">
      <c r="B149" s="1521" t="str">
        <f>PUER!C142</f>
        <v>Estimativa de Arrecadação de Taxa de Inscrição de Campeonato Municipal Futsal - Dívida Ativa Multa e Juros</v>
      </c>
      <c r="C149" s="1521"/>
      <c r="D149" s="1521"/>
      <c r="E149" s="1521"/>
      <c r="F149" s="1521"/>
      <c r="G149" s="1521"/>
      <c r="H149" s="127">
        <f>PUER!D142</f>
        <v>1</v>
      </c>
      <c r="I149" s="123" t="str">
        <f>PUER!E142</f>
        <v>XXXXXXX</v>
      </c>
      <c r="J149" s="123" t="str">
        <f>PUER!F142</f>
        <v>XXXXXXXX</v>
      </c>
    </row>
    <row r="150" spans="2:10" x14ac:dyDescent="0.25">
      <c r="B150" s="1521" t="str">
        <f>PUER!C143</f>
        <v>Estimativa de Arrecadação de Taxa de Manutenção do Centro de Eventos - Dívida Ativa Multa e Juros</v>
      </c>
      <c r="C150" s="1521"/>
      <c r="D150" s="1521"/>
      <c r="E150" s="1521"/>
      <c r="F150" s="1521"/>
      <c r="G150" s="1521"/>
      <c r="H150" s="127">
        <f>PUER!D143</f>
        <v>1</v>
      </c>
      <c r="I150" s="123" t="str">
        <f>PUER!E143</f>
        <v>XXXXXXX</v>
      </c>
      <c r="J150" s="123" t="str">
        <f>PUER!F143</f>
        <v>XXXXXXXX</v>
      </c>
    </row>
    <row r="151" spans="2:10" x14ac:dyDescent="0.25">
      <c r="B151" s="1521" t="str">
        <f>PUER!C144</f>
        <v>Estimativa de  Arrecadação de Contribuicao De  Melhoria Para Expansao Da Rede De  Agua Potavel E Esgoto Sanitario</v>
      </c>
      <c r="C151" s="1521"/>
      <c r="D151" s="1521"/>
      <c r="E151" s="1521"/>
      <c r="F151" s="1521"/>
      <c r="G151" s="1521"/>
      <c r="H151" s="127">
        <f>PUER!D144</f>
        <v>1</v>
      </c>
      <c r="I151" s="123" t="str">
        <f>PUER!E144</f>
        <v>XXXXXXX</v>
      </c>
      <c r="J151" s="123" t="str">
        <f>PUER!F144</f>
        <v>XXXXXXXX</v>
      </c>
    </row>
    <row r="152" spans="2:10" x14ac:dyDescent="0.25">
      <c r="B152" s="1521" t="str">
        <f>PUER!C145</f>
        <v>Estimativa de  Arrecadação de Contribuicao De  Melhoria Para Expansao Da Rede De  Iluminacao Publica Na Cidade</v>
      </c>
      <c r="C152" s="1521"/>
      <c r="D152" s="1521"/>
      <c r="E152" s="1521"/>
      <c r="F152" s="1521"/>
      <c r="G152" s="1521"/>
      <c r="H152" s="127">
        <f>PUER!D145</f>
        <v>1</v>
      </c>
      <c r="I152" s="123" t="str">
        <f>PUER!E145</f>
        <v>XXXXXXX</v>
      </c>
      <c r="J152" s="123" t="str">
        <f>PUER!F145</f>
        <v>XXXXXXXX</v>
      </c>
    </row>
    <row r="153" spans="2:10" x14ac:dyDescent="0.25">
      <c r="B153" s="1521" t="str">
        <f>PUER!C146</f>
        <v>Estimativa de  Arrecadação de Contribuicao De  Melhoria Para Expansao Da Rede De  Iluminacao Publica Rural</v>
      </c>
      <c r="C153" s="1521"/>
      <c r="D153" s="1521"/>
      <c r="E153" s="1521"/>
      <c r="F153" s="1521"/>
      <c r="G153" s="1521"/>
      <c r="H153" s="127">
        <f>PUER!D146</f>
        <v>1086.8533333333332</v>
      </c>
      <c r="I153" s="123" t="str">
        <f>PUER!E146</f>
        <v>XXXXXXX</v>
      </c>
      <c r="J153" s="123" t="str">
        <f>PUER!F146</f>
        <v>XXXXXXXX</v>
      </c>
    </row>
    <row r="154" spans="2:10" x14ac:dyDescent="0.25">
      <c r="B154" s="1521" t="str">
        <f>PUER!C147</f>
        <v>Estimativa de  Arrecadação de Contribuicao De  Melhoria Para Pavimentacao E Obras Complementares</v>
      </c>
      <c r="C154" s="1521"/>
      <c r="D154" s="1521"/>
      <c r="E154" s="1521"/>
      <c r="F154" s="1521"/>
      <c r="G154" s="1521"/>
      <c r="H154" s="127">
        <f>PUER!D147</f>
        <v>1</v>
      </c>
      <c r="I154" s="123" t="str">
        <f>PUER!E147</f>
        <v>XXXXXXX</v>
      </c>
      <c r="J154" s="123" t="str">
        <f>PUER!F147</f>
        <v>XXXXXXXX</v>
      </c>
    </row>
    <row r="155" spans="2:10" x14ac:dyDescent="0.25">
      <c r="B155" s="1521" t="str">
        <f>PUER!C148</f>
        <v xml:space="preserve">Estimativa de  Arrecadação de Contribuicao Custeio do Serviço de Iluminacao Publica </v>
      </c>
      <c r="C155" s="1521"/>
      <c r="D155" s="1521"/>
      <c r="E155" s="1521"/>
      <c r="F155" s="1521"/>
      <c r="G155" s="1521"/>
      <c r="H155" s="127">
        <f>PUER!D148</f>
        <v>27554.448333333334</v>
      </c>
      <c r="I155" s="123" t="str">
        <f>PUER!E148</f>
        <v>XXXXXXX</v>
      </c>
      <c r="J155" s="123" t="str">
        <f>PUER!F148</f>
        <v>XXXXXXXX</v>
      </c>
    </row>
    <row r="156" spans="2:10" x14ac:dyDescent="0.25">
      <c r="B156" s="1521" t="str">
        <f>PUER!C149</f>
        <v>Estimativa de Remuneração de Depósitos de Recursos Vinculados - Royalties - Principal</v>
      </c>
      <c r="C156" s="1521"/>
      <c r="D156" s="1521"/>
      <c r="E156" s="1521"/>
      <c r="F156" s="1521"/>
      <c r="G156" s="1521"/>
      <c r="H156" s="127">
        <f>PUER!D149</f>
        <v>1</v>
      </c>
      <c r="I156" s="123" t="str">
        <f>PUER!E149</f>
        <v>XXXXXXX</v>
      </c>
      <c r="J156" s="123" t="str">
        <f>PUER!F149</f>
        <v>XXXXXXXX</v>
      </c>
    </row>
    <row r="157" spans="2:10" x14ac:dyDescent="0.25">
      <c r="B157" s="1521" t="str">
        <f>PUER!C150</f>
        <v>Estimativa de  Arrecadação de Receita De Remuneracao De Depositos  Bancarios De Recursos Vinculados - Fundeb</v>
      </c>
      <c r="C157" s="1521"/>
      <c r="D157" s="1521"/>
      <c r="E157" s="1521"/>
      <c r="F157" s="1521"/>
      <c r="G157" s="1521"/>
      <c r="H157" s="127">
        <f>PUER!D150</f>
        <v>22748.073333333334</v>
      </c>
      <c r="I157" s="123" t="str">
        <f>PUER!E150</f>
        <v>XXXXXXX</v>
      </c>
      <c r="J157" s="123" t="str">
        <f>PUER!F150</f>
        <v>XXXXXXXX</v>
      </c>
    </row>
    <row r="158" spans="2:10" x14ac:dyDescent="0.25">
      <c r="B158" s="1521" t="str">
        <f>PUER!C151</f>
        <v>Estimativa de Remun. de Depósitos Banc. - PAB FIXO</v>
      </c>
      <c r="C158" s="1521"/>
      <c r="D158" s="1521"/>
      <c r="E158" s="1521"/>
      <c r="F158" s="1521"/>
      <c r="G158" s="1521"/>
      <c r="H158" s="127">
        <f>PUER!D151</f>
        <v>6198.4233333333332</v>
      </c>
      <c r="I158" s="123" t="str">
        <f>PUER!E151</f>
        <v>XXXXXXX</v>
      </c>
      <c r="J158" s="123" t="str">
        <f>PUER!F151</f>
        <v>XXXXXXXX</v>
      </c>
    </row>
    <row r="159" spans="2:10" x14ac:dyDescent="0.25">
      <c r="B159" s="1521" t="str">
        <f>PUER!C152</f>
        <v>Estimativa de Remun. de Depósitos Banc. -  Assist. Farm. Básica União</v>
      </c>
      <c r="C159" s="1521"/>
      <c r="D159" s="1521"/>
      <c r="E159" s="1521"/>
      <c r="F159" s="1521"/>
      <c r="G159" s="1521"/>
      <c r="H159" s="127">
        <f>PUER!D152</f>
        <v>202.93166666666664</v>
      </c>
      <c r="I159" s="123" t="str">
        <f>PUER!E152</f>
        <v>XXXXXXX</v>
      </c>
      <c r="J159" s="123" t="str">
        <f>PUER!F152</f>
        <v>XXXXXXXX</v>
      </c>
    </row>
    <row r="160" spans="2:10" x14ac:dyDescent="0.25">
      <c r="B160" s="1521" t="str">
        <f>PUER!C153</f>
        <v>Estimativa de Remun. de Depósitos Banc. -  Vig. Sanitária</v>
      </c>
      <c r="C160" s="1521"/>
      <c r="D160" s="1521"/>
      <c r="E160" s="1521"/>
      <c r="F160" s="1521"/>
      <c r="G160" s="1521"/>
      <c r="H160" s="127">
        <f>PUER!D153</f>
        <v>1782.3783333333333</v>
      </c>
      <c r="I160" s="123" t="str">
        <f>PUER!E153</f>
        <v>XXXXXXX</v>
      </c>
      <c r="J160" s="123" t="str">
        <f>PUER!F153</f>
        <v>XXXXXXXX</v>
      </c>
    </row>
    <row r="161" spans="2:10" x14ac:dyDescent="0.25">
      <c r="B161" s="1521" t="str">
        <f>PUER!C154</f>
        <v>Estimativa de Remun. de Depósitos Banc. -  Vig. Epidemiológica</v>
      </c>
      <c r="C161" s="1521"/>
      <c r="D161" s="1521"/>
      <c r="E161" s="1521"/>
      <c r="F161" s="1521"/>
      <c r="G161" s="1521"/>
      <c r="H161" s="127">
        <f>PUER!D154</f>
        <v>1</v>
      </c>
      <c r="I161" s="123" t="str">
        <f>PUER!E154</f>
        <v>XXXXXXX</v>
      </c>
      <c r="J161" s="123" t="str">
        <f>PUER!F154</f>
        <v>XXXXXXXX</v>
      </c>
    </row>
    <row r="162" spans="2:10" x14ac:dyDescent="0.25">
      <c r="B162" s="1521" t="str">
        <f>PUER!C155</f>
        <v>Estimativa de Remun. de Depósitos Banc. -  Assist. Farm. Básica Estado</v>
      </c>
      <c r="C162" s="1521"/>
      <c r="D162" s="1521"/>
      <c r="E162" s="1521"/>
      <c r="F162" s="1521"/>
      <c r="G162" s="1521"/>
      <c r="H162" s="127">
        <f>PUER!D155</f>
        <v>91.466666666666683</v>
      </c>
      <c r="I162" s="123" t="str">
        <f>PUER!E155</f>
        <v>XXXXXXX</v>
      </c>
      <c r="J162" s="123" t="str">
        <f>PUER!F155</f>
        <v>XXXXXXXX</v>
      </c>
    </row>
    <row r="163" spans="2:10" x14ac:dyDescent="0.25">
      <c r="B163" s="1521" t="str">
        <f>PUER!C156</f>
        <v>Estimativa de Remun. de Depósitos Banc. -  Diabete Melitus</v>
      </c>
      <c r="C163" s="1521"/>
      <c r="D163" s="1521"/>
      <c r="E163" s="1521"/>
      <c r="F163" s="1521"/>
      <c r="G163" s="1521"/>
      <c r="H163" s="127">
        <f>PUER!D156</f>
        <v>128.17333333333332</v>
      </c>
      <c r="I163" s="123" t="str">
        <f>PUER!E156</f>
        <v>XXXXXXX</v>
      </c>
      <c r="J163" s="123" t="str">
        <f>PUER!F156</f>
        <v>XXXXXXXX</v>
      </c>
    </row>
    <row r="164" spans="2:10" x14ac:dyDescent="0.25">
      <c r="B164" s="1521" t="str">
        <f>PUER!C157</f>
        <v>Estimativa de Remun. de Depósitos Banc. -  Pies</v>
      </c>
      <c r="C164" s="1521"/>
      <c r="D164" s="1521"/>
      <c r="E164" s="1521"/>
      <c r="F164" s="1521"/>
      <c r="G164" s="1521"/>
      <c r="H164" s="127">
        <f>PUER!D157</f>
        <v>858.66499999999996</v>
      </c>
      <c r="I164" s="123" t="str">
        <f>PUER!E157</f>
        <v>XXXXXXX</v>
      </c>
      <c r="J164" s="123" t="str">
        <f>PUER!F157</f>
        <v>XXXXXXXX</v>
      </c>
    </row>
    <row r="165" spans="2:10" x14ac:dyDescent="0.25">
      <c r="B165" s="1521" t="str">
        <f>PUER!C158</f>
        <v>Estimativa de Remun. de Depósitos Banc. -  Saúde Mental</v>
      </c>
      <c r="C165" s="1521"/>
      <c r="D165" s="1521"/>
      <c r="E165" s="1521"/>
      <c r="F165" s="1521"/>
      <c r="G165" s="1521"/>
      <c r="H165" s="127">
        <f>PUER!D158</f>
        <v>548.68666666666661</v>
      </c>
      <c r="I165" s="123" t="str">
        <f>PUER!E158</f>
        <v>XXXXXXX</v>
      </c>
      <c r="J165" s="123" t="str">
        <f>PUER!F158</f>
        <v>XXXXXXXX</v>
      </c>
    </row>
    <row r="166" spans="2:10" x14ac:dyDescent="0.25">
      <c r="B166" s="1521" t="str">
        <f>PUER!C159</f>
        <v>Estimativa de Remun. de  Depósitos Banc. -  Saúde da Família</v>
      </c>
      <c r="C166" s="1521"/>
      <c r="D166" s="1521"/>
      <c r="E166" s="1521"/>
      <c r="F166" s="1521"/>
      <c r="G166" s="1521"/>
      <c r="H166" s="127">
        <f>PUER!D159</f>
        <v>997.32666666666671</v>
      </c>
      <c r="I166" s="123" t="str">
        <f>PUER!E159</f>
        <v>XXXXXXX</v>
      </c>
      <c r="J166" s="123" t="str">
        <f>PUER!F159</f>
        <v>XXXXXXXX</v>
      </c>
    </row>
    <row r="167" spans="2:10" x14ac:dyDescent="0.25">
      <c r="B167" s="1521" t="str">
        <f>PUER!C160</f>
        <v>Estimativa de Remun. de Depósitos  Banc. - MDE - Principal</v>
      </c>
      <c r="C167" s="1521"/>
      <c r="D167" s="1521"/>
      <c r="E167" s="1521"/>
      <c r="F167" s="1521"/>
      <c r="G167" s="1521"/>
      <c r="H167" s="127">
        <f>PUER!D160</f>
        <v>515.78499999999997</v>
      </c>
      <c r="I167" s="123" t="str">
        <f>PUER!E160</f>
        <v>XXXXXXX</v>
      </c>
      <c r="J167" s="123" t="str">
        <f>PUER!F160</f>
        <v>XXXXXXXX</v>
      </c>
    </row>
    <row r="168" spans="2:10" x14ac:dyDescent="0.25">
      <c r="B168" s="1521" t="str">
        <f>PUER!C161</f>
        <v>Estimativa de Remun. de Depósitos  Banc. - ASPS - Principal</v>
      </c>
      <c r="C168" s="1521"/>
      <c r="D168" s="1521"/>
      <c r="E168" s="1521"/>
      <c r="F168" s="1521"/>
      <c r="G168" s="1521"/>
      <c r="H168" s="127">
        <f>PUER!D161</f>
        <v>3312.5616666666665</v>
      </c>
      <c r="I168" s="123" t="str">
        <f>PUER!E161</f>
        <v>XXXXXXX</v>
      </c>
      <c r="J168" s="123" t="str">
        <f>PUER!F161</f>
        <v>XXXXXXXX</v>
      </c>
    </row>
    <row r="169" spans="2:10" x14ac:dyDescent="0.25">
      <c r="B169" s="1521" t="str">
        <f>PUER!C162</f>
        <v>Estimativa de Remun. de Depósitos  Banc. - CIDE - Principal</v>
      </c>
      <c r="C169" s="1521"/>
      <c r="D169" s="1521"/>
      <c r="E169" s="1521"/>
      <c r="F169" s="1521"/>
      <c r="G169" s="1521"/>
      <c r="H169" s="127">
        <f>PUER!D162</f>
        <v>246.58333333333334</v>
      </c>
      <c r="I169" s="123" t="str">
        <f>PUER!E162</f>
        <v>XXXXXXX</v>
      </c>
      <c r="J169" s="123" t="str">
        <f>PUER!F162</f>
        <v>XXXXXXXX</v>
      </c>
    </row>
    <row r="170" spans="2:10" x14ac:dyDescent="0.25">
      <c r="B170" s="1521" t="str">
        <f>PUER!C163</f>
        <v>Estimativa de Remun. de Depósitos Banc. -  B.P.S.B. Bloco Assist. Social Básica</v>
      </c>
      <c r="C170" s="1521"/>
      <c r="D170" s="1521"/>
      <c r="E170" s="1521"/>
      <c r="F170" s="1521"/>
      <c r="G170" s="1521"/>
      <c r="H170" s="127">
        <f>PUER!D163</f>
        <v>2561.1766666666667</v>
      </c>
      <c r="I170" s="123" t="str">
        <f>PUER!E163</f>
        <v>XXXXXXX</v>
      </c>
      <c r="J170" s="123" t="str">
        <f>PUER!F163</f>
        <v>XXXXXXXX</v>
      </c>
    </row>
    <row r="171" spans="2:10" x14ac:dyDescent="0.25">
      <c r="B171" s="1521" t="str">
        <f>PUER!C164</f>
        <v>Estimativa de Remun. de Depósitos Banc. -  B.P.E.M.C. Bloco Proteção Esp. Med. Complex.</v>
      </c>
      <c r="C171" s="1521"/>
      <c r="D171" s="1521"/>
      <c r="E171" s="1521"/>
      <c r="F171" s="1521"/>
      <c r="G171" s="1521"/>
      <c r="H171" s="127">
        <f>PUER!D164</f>
        <v>109.57833333333336</v>
      </c>
      <c r="I171" s="123" t="str">
        <f>PUER!E164</f>
        <v>XXXXXXX</v>
      </c>
      <c r="J171" s="123" t="str">
        <f>PUER!F164</f>
        <v>XXXXXXXX</v>
      </c>
    </row>
    <row r="172" spans="2:10" x14ac:dyDescent="0.25">
      <c r="B172" s="1521" t="str">
        <f>PUER!C165</f>
        <v>Estimativa de Remun. de Depósitos Banc. - B.G.P.B.F.- Bloc. Gest. Prog. Bolsa Familia</v>
      </c>
      <c r="C172" s="1521"/>
      <c r="D172" s="1521"/>
      <c r="E172" s="1521"/>
      <c r="F172" s="1521"/>
      <c r="G172" s="1521"/>
      <c r="H172" s="127">
        <f>PUER!D165</f>
        <v>1007.6550000000001</v>
      </c>
      <c r="I172" s="123" t="str">
        <f>PUER!E165</f>
        <v>XXXXXXX</v>
      </c>
      <c r="J172" s="123" t="str">
        <f>PUER!F165</f>
        <v>XXXXXXXX</v>
      </c>
    </row>
    <row r="173" spans="2:10" x14ac:dyDescent="0.25">
      <c r="B173" s="1521" t="str">
        <f>PUER!C166</f>
        <v>Estimativa de Remun. de Depósitos Banc. - B.G.S. - Bloco de Gestão do SUAS</v>
      </c>
      <c r="C173" s="1521"/>
      <c r="D173" s="1521"/>
      <c r="E173" s="1521"/>
      <c r="F173" s="1521"/>
      <c r="G173" s="1521"/>
      <c r="H173" s="127">
        <f>PUER!D166</f>
        <v>347.28166666666669</v>
      </c>
      <c r="I173" s="123" t="str">
        <f>PUER!E166</f>
        <v>XXXXXXX</v>
      </c>
      <c r="J173" s="123" t="str">
        <f>PUER!F166</f>
        <v>XXXXXXXX</v>
      </c>
    </row>
    <row r="174" spans="2:10" x14ac:dyDescent="0.25">
      <c r="B174" s="1521" t="str">
        <f>PUER!C167</f>
        <v>Estimativa de Remun. de Depósitos Banc. - ACESSUAS</v>
      </c>
      <c r="C174" s="1521"/>
      <c r="D174" s="1521"/>
      <c r="E174" s="1521"/>
      <c r="F174" s="1521"/>
      <c r="G174" s="1521"/>
      <c r="H174" s="127">
        <f>PUER!D167</f>
        <v>532.005</v>
      </c>
      <c r="I174" s="123" t="str">
        <f>PUER!E167</f>
        <v>XXXXXXX</v>
      </c>
      <c r="J174" s="123" t="str">
        <f>PUER!F167</f>
        <v>XXXXXXXX</v>
      </c>
    </row>
    <row r="175" spans="2:10" x14ac:dyDescent="0.25">
      <c r="B175" s="1521" t="str">
        <f>PUER!C168</f>
        <v>Estimativa de Remun. de Depósitos Banc. - Q.S.E.</v>
      </c>
      <c r="C175" s="1521"/>
      <c r="D175" s="1521"/>
      <c r="E175" s="1521"/>
      <c r="F175" s="1521"/>
      <c r="G175" s="1521"/>
      <c r="H175" s="127">
        <f>PUER!D168</f>
        <v>1888.3050000000001</v>
      </c>
      <c r="I175" s="123" t="str">
        <f>PUER!E168</f>
        <v>XXXXXXX</v>
      </c>
      <c r="J175" s="123" t="str">
        <f>PUER!F168</f>
        <v>XXXXXXXX</v>
      </c>
    </row>
    <row r="176" spans="2:10" x14ac:dyDescent="0.25">
      <c r="B176" s="1521" t="str">
        <f>PUER!C169</f>
        <v>Estimativa de Remun. de Depósitos Banc. - P.N.A.E.</v>
      </c>
      <c r="C176" s="1521"/>
      <c r="D176" s="1521"/>
      <c r="E176" s="1521"/>
      <c r="F176" s="1521"/>
      <c r="G176" s="1521"/>
      <c r="H176" s="127">
        <f>PUER!D169</f>
        <v>879.67500000000007</v>
      </c>
      <c r="I176" s="123" t="str">
        <f>PUER!E169</f>
        <v>XXXXXXX</v>
      </c>
      <c r="J176" s="123" t="str">
        <f>PUER!F169</f>
        <v>XXXXXXXX</v>
      </c>
    </row>
    <row r="177" spans="2:10" x14ac:dyDescent="0.25">
      <c r="B177" s="1521" t="str">
        <f>PUER!C170</f>
        <v>Estimativa de Remun. de Depósitos Banc. - P.N.A.T.E.</v>
      </c>
      <c r="C177" s="1521"/>
      <c r="D177" s="1521"/>
      <c r="E177" s="1521"/>
      <c r="F177" s="1521"/>
      <c r="G177" s="1521"/>
      <c r="H177" s="127">
        <f>PUER!D170</f>
        <v>1248.3933333333334</v>
      </c>
      <c r="I177" s="123" t="str">
        <f>PUER!E170</f>
        <v>XXXXXXX</v>
      </c>
      <c r="J177" s="123" t="str">
        <f>PUER!F170</f>
        <v>XXXXXXXX</v>
      </c>
    </row>
    <row r="178" spans="2:10" x14ac:dyDescent="0.25">
      <c r="B178" s="1521" t="str">
        <f>PUER!C171</f>
        <v>Estimativa de Remun. de Depósitos Banc. - MEC FNDE BRASIL CARINHOSO</v>
      </c>
      <c r="C178" s="1521"/>
      <c r="D178" s="1521"/>
      <c r="E178" s="1521"/>
      <c r="F178" s="1521"/>
      <c r="G178" s="1521"/>
      <c r="H178" s="127">
        <f>PUER!D171</f>
        <v>1.4249999999999998</v>
      </c>
      <c r="I178" s="123" t="str">
        <f>PUER!E171</f>
        <v>XXXXXXX</v>
      </c>
      <c r="J178" s="123" t="str">
        <f>PUER!F171</f>
        <v>XXXXXXXX</v>
      </c>
    </row>
    <row r="179" spans="2:10" x14ac:dyDescent="0.25">
      <c r="B179" s="1521" t="str">
        <f>PUER!C172</f>
        <v>Estimativa de Remun. de Depositos Banc. - Transf. MP 815/2017</v>
      </c>
      <c r="C179" s="1521"/>
      <c r="D179" s="1521"/>
      <c r="E179" s="1521"/>
      <c r="F179" s="1521"/>
      <c r="G179" s="1521"/>
      <c r="H179" s="127">
        <f>PUER!D172</f>
        <v>190.95833333333334</v>
      </c>
      <c r="I179" s="123" t="str">
        <f>PUER!E172</f>
        <v>XXXXXXX</v>
      </c>
      <c r="J179" s="123" t="str">
        <f>PUER!F172</f>
        <v>XXXXXXXX</v>
      </c>
    </row>
    <row r="180" spans="2:10" x14ac:dyDescent="0.25">
      <c r="B180" s="1521" t="str">
        <f>PUER!C173</f>
        <v>Estimativa de Remun. de Depósitos Banc. - P.D.D.E.</v>
      </c>
      <c r="C180" s="1521"/>
      <c r="D180" s="1521"/>
      <c r="E180" s="1521"/>
      <c r="F180" s="1521"/>
      <c r="G180" s="1521"/>
      <c r="H180" s="127">
        <f>PUER!D173</f>
        <v>6.5366666666666662</v>
      </c>
      <c r="I180" s="123" t="str">
        <f>PUER!E173</f>
        <v>XXXXXXX</v>
      </c>
      <c r="J180" s="123" t="str">
        <f>PUER!F173</f>
        <v>XXXXXXXX</v>
      </c>
    </row>
    <row r="181" spans="2:10" x14ac:dyDescent="0.25">
      <c r="B181" s="1521" t="str">
        <f>PUER!C174</f>
        <v>Estimativa de Remun. de Depósitos Banc. - P.E.A.T.E./RS</v>
      </c>
      <c r="C181" s="1521"/>
      <c r="D181" s="1521"/>
      <c r="E181" s="1521"/>
      <c r="F181" s="1521"/>
      <c r="G181" s="1521"/>
      <c r="H181" s="127">
        <f>PUER!D174</f>
        <v>4554.0250000000005</v>
      </c>
      <c r="I181" s="123" t="str">
        <f>PUER!E174</f>
        <v>XXXXXXX</v>
      </c>
      <c r="J181" s="123" t="str">
        <f>PUER!F174</f>
        <v>XXXXXXXX</v>
      </c>
    </row>
    <row r="182" spans="2:10" x14ac:dyDescent="0.25">
      <c r="B182" s="1521" t="str">
        <f>PUER!C175</f>
        <v>Estimativa de Remun. de Depósitos Banc. - F.E.P.E.</v>
      </c>
      <c r="C182" s="1521"/>
      <c r="D182" s="1521"/>
      <c r="E182" s="1521"/>
      <c r="F182" s="1521"/>
      <c r="G182" s="1521"/>
      <c r="H182" s="127">
        <f>PUER!D175</f>
        <v>0</v>
      </c>
      <c r="I182" s="123" t="str">
        <f>PUER!E175</f>
        <v>XXXXXXX</v>
      </c>
      <c r="J182" s="123" t="str">
        <f>PUER!F175</f>
        <v>XXXXXXXX</v>
      </c>
    </row>
    <row r="183" spans="2:10" x14ac:dyDescent="0.25">
      <c r="B183" s="1521" t="str">
        <f>PUER!C176</f>
        <v>Estimativa de Remun. de Depósitos Banc. - F.M.C.A.</v>
      </c>
      <c r="C183" s="1521"/>
      <c r="D183" s="1521"/>
      <c r="E183" s="1521"/>
      <c r="F183" s="1521"/>
      <c r="G183" s="1521"/>
      <c r="H183" s="127">
        <f>PUER!D176</f>
        <v>1</v>
      </c>
      <c r="I183" s="123" t="str">
        <f>PUER!E176</f>
        <v>XXXXXXX</v>
      </c>
      <c r="J183" s="123" t="str">
        <f>PUER!F176</f>
        <v>XXXXXXXX</v>
      </c>
    </row>
    <row r="184" spans="2:10" x14ac:dyDescent="0.25">
      <c r="B184" s="1521" t="str">
        <f>PUER!C177</f>
        <v>Estimativa de Remun. de Depósitos Banc. - FEAS</v>
      </c>
      <c r="C184" s="1521"/>
      <c r="D184" s="1521"/>
      <c r="E184" s="1521"/>
      <c r="F184" s="1521"/>
      <c r="G184" s="1521"/>
      <c r="H184" s="127">
        <f>PUER!D177</f>
        <v>23.438333333333333</v>
      </c>
      <c r="I184" s="123" t="str">
        <f>PUER!E177</f>
        <v>XXXXXXX</v>
      </c>
      <c r="J184" s="123" t="str">
        <f>PUER!F177</f>
        <v>XXXXXXXX</v>
      </c>
    </row>
    <row r="185" spans="2:10" x14ac:dyDescent="0.25">
      <c r="B185" s="1521" t="str">
        <f>PUER!C178</f>
        <v>Estimativa de Remun. de Depósitos Banc. -  Transf. Estado P/Aquis. Insumos Agric.</v>
      </c>
      <c r="C185" s="1521"/>
      <c r="D185" s="1521"/>
      <c r="E185" s="1521"/>
      <c r="F185" s="1521"/>
      <c r="G185" s="1521"/>
      <c r="H185" s="127">
        <f>PUER!D178</f>
        <v>385.51333333333332</v>
      </c>
      <c r="I185" s="123" t="str">
        <f>PUER!E178</f>
        <v>XXXXXXX</v>
      </c>
      <c r="J185" s="123" t="str">
        <f>PUER!F178</f>
        <v>XXXXXXXX</v>
      </c>
    </row>
    <row r="186" spans="2:10" x14ac:dyDescent="0.25">
      <c r="B186" s="1521" t="str">
        <f>PUER!C179</f>
        <v>Estimativa de Remun. de Depósitos Banc. -  Transf. Estado P/FECA</v>
      </c>
      <c r="C186" s="1521"/>
      <c r="D186" s="1521"/>
      <c r="E186" s="1521"/>
      <c r="F186" s="1521"/>
      <c r="G186" s="1521"/>
      <c r="H186" s="127">
        <f>PUER!D179</f>
        <v>1355.9233333333332</v>
      </c>
      <c r="I186" s="123" t="str">
        <f>PUER!E179</f>
        <v>XXXXXXX</v>
      </c>
      <c r="J186" s="123" t="str">
        <f>PUER!F179</f>
        <v>XXXXXXXX</v>
      </c>
    </row>
    <row r="187" spans="2:10" x14ac:dyDescent="0.25">
      <c r="B187" s="1521" t="str">
        <f>PUER!C180</f>
        <v>Estimativa de  Arrecadação de Remun. Depósitos Banc. - Poder Executivo</v>
      </c>
      <c r="C187" s="1521"/>
      <c r="D187" s="1521"/>
      <c r="E187" s="1521"/>
      <c r="F187" s="1521"/>
      <c r="G187" s="1521"/>
      <c r="H187" s="127">
        <f>PUER!D180</f>
        <v>39508.474999999999</v>
      </c>
      <c r="I187" s="123" t="str">
        <f>PUER!E180</f>
        <v>XXXXXXX</v>
      </c>
      <c r="J187" s="123" t="str">
        <f>PUER!F180</f>
        <v>XXXXXXXX</v>
      </c>
    </row>
    <row r="188" spans="2:10" x14ac:dyDescent="0.25">
      <c r="B188" s="1521" t="str">
        <f>PUER!C181</f>
        <v>Estimativa de  Arrecadação de Titulos de Responsabilidade do Governo Federal - TDA</v>
      </c>
      <c r="C188" s="1521"/>
      <c r="D188" s="1521"/>
      <c r="E188" s="1521"/>
      <c r="F188" s="1521"/>
      <c r="G188" s="1521"/>
      <c r="H188" s="127">
        <f>PUER!D181</f>
        <v>1</v>
      </c>
      <c r="I188" s="123" t="str">
        <f>PUER!E181</f>
        <v>XXXXXXX</v>
      </c>
      <c r="J188" s="123" t="str">
        <f>PUER!F181</f>
        <v>XXXXXXXX</v>
      </c>
    </row>
    <row r="189" spans="2:10" x14ac:dyDescent="0.25">
      <c r="B189" s="1521" t="str">
        <f>PUER!C182</f>
        <v>Estimativa de  Arrecadação de receita de  locação do Centro de Eventos - Principal</v>
      </c>
      <c r="C189" s="1521"/>
      <c r="D189" s="1521"/>
      <c r="E189" s="1521"/>
      <c r="F189" s="1521"/>
      <c r="G189" s="1521"/>
      <c r="H189" s="127">
        <f>PUER!D182</f>
        <v>29464.7</v>
      </c>
      <c r="I189" s="123" t="str">
        <f>PUER!E182</f>
        <v>XXXXXXX</v>
      </c>
      <c r="J189" s="123" t="str">
        <f>PUER!F182</f>
        <v>XXXXXXXX</v>
      </c>
    </row>
    <row r="190" spans="2:10" x14ac:dyDescent="0.25">
      <c r="B190" s="1521" t="str">
        <f>PUER!C183</f>
        <v>Estimativa de  Arrecadação de receita de  locação do Centro de Eventos - Multas e Juros</v>
      </c>
      <c r="C190" s="1521"/>
      <c r="D190" s="1521"/>
      <c r="E190" s="1521"/>
      <c r="F190" s="1521"/>
      <c r="G190" s="1521"/>
      <c r="H190" s="127">
        <f>PUER!D183</f>
        <v>1</v>
      </c>
      <c r="I190" s="123" t="str">
        <f>PUER!E183</f>
        <v>XXXXXXX</v>
      </c>
      <c r="J190" s="123" t="str">
        <f>PUER!F183</f>
        <v>XXXXXXXX</v>
      </c>
    </row>
    <row r="191" spans="2:10" x14ac:dyDescent="0.25">
      <c r="B191" s="1521" t="str">
        <f>PUER!C184</f>
        <v>Estimativa de  Arrecadação de receita de  locação do Centro de Eventos - Div. Ativa</v>
      </c>
      <c r="C191" s="1521"/>
      <c r="D191" s="1521"/>
      <c r="E191" s="1521"/>
      <c r="F191" s="1521"/>
      <c r="G191" s="1521"/>
      <c r="H191" s="127">
        <f>PUER!D184</f>
        <v>1</v>
      </c>
      <c r="I191" s="123" t="str">
        <f>PUER!E184</f>
        <v>XXXXXXX</v>
      </c>
      <c r="J191" s="123" t="str">
        <f>PUER!F184</f>
        <v>XXXXXXXX</v>
      </c>
    </row>
    <row r="192" spans="2:10" x14ac:dyDescent="0.25">
      <c r="B192" s="1521" t="str">
        <f>PUER!C185</f>
        <v>Estimativa de  Arrecadação de receita de  locação do Centro de Eventos - Multas e Juros Div. Ativa</v>
      </c>
      <c r="C192" s="1521"/>
      <c r="D192" s="1521"/>
      <c r="E192" s="1521"/>
      <c r="F192" s="1521"/>
      <c r="G192" s="1521"/>
      <c r="H192" s="127">
        <f>PUER!D185</f>
        <v>1</v>
      </c>
      <c r="I192" s="123" t="str">
        <f>PUER!E185</f>
        <v>XXXXXXX</v>
      </c>
      <c r="J192" s="123" t="str">
        <f>PUER!F185</f>
        <v>XXXXXXXX</v>
      </c>
    </row>
    <row r="193" spans="2:10" x14ac:dyDescent="0.25">
      <c r="B193" s="1521" t="str">
        <f>PUER!C186</f>
        <v>Estimativa de  Arrecadação de Servicos De Vistorias De Veiculos - Principal</v>
      </c>
      <c r="C193" s="1521"/>
      <c r="D193" s="1521"/>
      <c r="E193" s="1521"/>
      <c r="F193" s="1521"/>
      <c r="G193" s="1521"/>
      <c r="H193" s="127">
        <f>PUER!D186</f>
        <v>1</v>
      </c>
      <c r="I193" s="123" t="str">
        <f>PUER!E186</f>
        <v>XXXXXXX</v>
      </c>
      <c r="J193" s="123" t="str">
        <f>PUER!F186</f>
        <v>XXXXXXXX</v>
      </c>
    </row>
    <row r="194" spans="2:10" x14ac:dyDescent="0.25">
      <c r="B194" s="1521" t="str">
        <f>PUER!C187</f>
        <v>Estimativa de  Arrecadação de Vistorias de Veiculos - Principal</v>
      </c>
      <c r="C194" s="1521"/>
      <c r="D194" s="1521"/>
      <c r="E194" s="1521"/>
      <c r="F194" s="1521"/>
      <c r="G194" s="1521"/>
      <c r="H194" s="127">
        <f>PUER!D187</f>
        <v>1</v>
      </c>
      <c r="I194" s="123" t="str">
        <f>PUER!E187</f>
        <v>XXXXXXX</v>
      </c>
      <c r="J194" s="123" t="str">
        <f>PUER!F187</f>
        <v>XXXXXXXX</v>
      </c>
    </row>
    <row r="195" spans="2:10" x14ac:dyDescent="0.25">
      <c r="B195" s="1521" t="str">
        <f>PUER!C188</f>
        <v>Estimativa de  Arrecadação de Fotocopias E/ou Copias Heliograficas - Principal</v>
      </c>
      <c r="C195" s="1521"/>
      <c r="D195" s="1521"/>
      <c r="E195" s="1521"/>
      <c r="F195" s="1521"/>
      <c r="G195" s="1521"/>
      <c r="H195" s="127">
        <f>PUER!D188</f>
        <v>1</v>
      </c>
      <c r="I195" s="123" t="str">
        <f>PUER!E188</f>
        <v>XXXXXXX</v>
      </c>
      <c r="J195" s="123" t="str">
        <f>PUER!F188</f>
        <v>XXXXXXXX</v>
      </c>
    </row>
    <row r="196" spans="2:10" x14ac:dyDescent="0.25">
      <c r="B196" s="1521" t="str">
        <f>PUER!C189</f>
        <v>Estimativa de  Arrecadação de Vistorias de Veiculos - Multa e Juros</v>
      </c>
      <c r="C196" s="1521"/>
      <c r="D196" s="1521"/>
      <c r="E196" s="1521"/>
      <c r="F196" s="1521"/>
      <c r="G196" s="1521"/>
      <c r="H196" s="127">
        <f>PUER!D189</f>
        <v>1</v>
      </c>
      <c r="I196" s="123" t="str">
        <f>PUER!E189</f>
        <v>XXXXXXX</v>
      </c>
      <c r="J196" s="123" t="str">
        <f>PUER!F189</f>
        <v>XXXXXXXX</v>
      </c>
    </row>
    <row r="197" spans="2:10" x14ac:dyDescent="0.25">
      <c r="B197" s="1521" t="str">
        <f>PUER!C190</f>
        <v>Estimativa de  Arrecadação de Vistorias de Veiculos - Divida Ativa</v>
      </c>
      <c r="C197" s="1521"/>
      <c r="D197" s="1521"/>
      <c r="E197" s="1521"/>
      <c r="F197" s="1521"/>
      <c r="G197" s="1521"/>
      <c r="H197" s="127">
        <f>PUER!D190</f>
        <v>1</v>
      </c>
      <c r="I197" s="123" t="str">
        <f>PUER!E190</f>
        <v>XXXXXXX</v>
      </c>
      <c r="J197" s="123" t="str">
        <f>PUER!F190</f>
        <v>XXXXXXXX</v>
      </c>
    </row>
    <row r="198" spans="2:10" x14ac:dyDescent="0.25">
      <c r="B198" s="1521" t="str">
        <f>PUER!C191</f>
        <v>Estimativa de  Arrecadação de Fotocopias E/ou Copias Heliograficas -  Divida Ativa</v>
      </c>
      <c r="C198" s="1521"/>
      <c r="D198" s="1521"/>
      <c r="E198" s="1521"/>
      <c r="F198" s="1521"/>
      <c r="G198" s="1521"/>
      <c r="H198" s="127">
        <f>PUER!D191</f>
        <v>1</v>
      </c>
      <c r="I198" s="123" t="str">
        <f>PUER!E191</f>
        <v>XXXXXXX</v>
      </c>
      <c r="J198" s="123" t="str">
        <f>PUER!F191</f>
        <v>XXXXXXXX</v>
      </c>
    </row>
    <row r="199" spans="2:10" x14ac:dyDescent="0.25">
      <c r="B199" s="1521" t="str">
        <f>PUER!C192</f>
        <v xml:space="preserve">Estimativa de  Arrecadação de Vistorias de Veiculos - Divida Ativa Multa e Juros </v>
      </c>
      <c r="C199" s="1521"/>
      <c r="D199" s="1521"/>
      <c r="E199" s="1521"/>
      <c r="F199" s="1521"/>
      <c r="G199" s="1521"/>
      <c r="H199" s="127">
        <f>PUER!D192</f>
        <v>1</v>
      </c>
      <c r="I199" s="123" t="str">
        <f>PUER!E192</f>
        <v>XXXXXXX</v>
      </c>
      <c r="J199" s="123" t="str">
        <f>PUER!F192</f>
        <v>XXXXXXXX</v>
      </c>
    </row>
    <row r="200" spans="2:10" x14ac:dyDescent="0.25">
      <c r="B200" s="1521" t="str">
        <f>PUER!C193</f>
        <v xml:space="preserve">Estimativa de  Arrecadação de Fotocopias E/ou Copias Heliograficas - Divida Ativa Multa e Juros </v>
      </c>
      <c r="C200" s="1521"/>
      <c r="D200" s="1521"/>
      <c r="E200" s="1521"/>
      <c r="F200" s="1521"/>
      <c r="G200" s="1521"/>
      <c r="H200" s="127">
        <f>PUER!D193</f>
        <v>1</v>
      </c>
      <c r="I200" s="123" t="str">
        <f>PUER!E193</f>
        <v>XXXXXXX</v>
      </c>
      <c r="J200" s="123" t="str">
        <f>PUER!F193</f>
        <v>XXXXXXXX</v>
      </c>
    </row>
    <row r="201" spans="2:10" x14ac:dyDescent="0.25">
      <c r="B201" s="1521" t="str">
        <f>PUER!C194</f>
        <v>Estimativa de  Arrecadação Inscrição em Concursos e Processos Seletivos - Principal</v>
      </c>
      <c r="C201" s="1521"/>
      <c r="D201" s="1521"/>
      <c r="E201" s="1521"/>
      <c r="F201" s="1521"/>
      <c r="G201" s="1521"/>
      <c r="H201" s="127">
        <f>PUER!D194</f>
        <v>1</v>
      </c>
      <c r="I201" s="123" t="str">
        <f>PUER!E194</f>
        <v>XXXXXXX</v>
      </c>
      <c r="J201" s="123" t="str">
        <f>PUER!F194</f>
        <v>XXXXXXXX</v>
      </c>
    </row>
    <row r="202" spans="2:10" x14ac:dyDescent="0.25">
      <c r="B202" s="1521" t="str">
        <f>PUER!C195</f>
        <v>Estimativa de  Arrecadação Inscrição em Concursos e Processos Seletivos - Multas e Juros</v>
      </c>
      <c r="C202" s="1521"/>
      <c r="D202" s="1521"/>
      <c r="E202" s="1521"/>
      <c r="F202" s="1521"/>
      <c r="G202" s="1521"/>
      <c r="H202" s="127">
        <f>PUER!D195</f>
        <v>1</v>
      </c>
      <c r="I202" s="123" t="str">
        <f>PUER!E195</f>
        <v>XXXXXXX</v>
      </c>
      <c r="J202" s="123" t="str">
        <f>PUER!F195</f>
        <v>XXXXXXXX</v>
      </c>
    </row>
    <row r="203" spans="2:10" x14ac:dyDescent="0.25">
      <c r="B203" s="1521" t="str">
        <f>PUER!C196</f>
        <v>Estimativa de  Arrecadação Inscrição em Concursos e Processos Seletivos - Div. Ativa</v>
      </c>
      <c r="C203" s="1521"/>
      <c r="D203" s="1521"/>
      <c r="E203" s="1521"/>
      <c r="F203" s="1521"/>
      <c r="G203" s="1521"/>
      <c r="H203" s="127">
        <f>PUER!D196</f>
        <v>1</v>
      </c>
      <c r="I203" s="123" t="str">
        <f>PUER!E196</f>
        <v>XXXXXXX</v>
      </c>
      <c r="J203" s="123" t="str">
        <f>PUER!F196</f>
        <v>XXXXXXXX</v>
      </c>
    </row>
    <row r="204" spans="2:10" x14ac:dyDescent="0.25">
      <c r="B204" s="1521" t="str">
        <f>PUER!C197</f>
        <v>Estimativa de  Arrecadação Inscrição em Concursos e Processos Seletivos -  Multas e Juros Div. Ativa</v>
      </c>
      <c r="C204" s="1521"/>
      <c r="D204" s="1521"/>
      <c r="E204" s="1521"/>
      <c r="F204" s="1521"/>
      <c r="G204" s="1521"/>
      <c r="H204" s="127">
        <f>PUER!D197</f>
        <v>1</v>
      </c>
      <c r="I204" s="123" t="str">
        <f>PUER!E197</f>
        <v>XXXXXXX</v>
      </c>
      <c r="J204" s="123" t="str">
        <f>PUER!F197</f>
        <v>XXXXXXXX</v>
      </c>
    </row>
    <row r="205" spans="2:10" x14ac:dyDescent="0.25">
      <c r="B205" s="1521" t="str">
        <f>PUER!C198</f>
        <v xml:space="preserve"> Estimativa de  Arrecadação de Servicos em Prop. Partic/Retroescavadeira - Principal</v>
      </c>
      <c r="C205" s="1521"/>
      <c r="D205" s="1521"/>
      <c r="E205" s="1521"/>
      <c r="F205" s="1521"/>
      <c r="G205" s="1521"/>
      <c r="H205" s="127">
        <f>PUER!D198</f>
        <v>26519.960000000003</v>
      </c>
      <c r="I205" s="123" t="str">
        <f>PUER!E198</f>
        <v>XXXXXXX</v>
      </c>
      <c r="J205" s="123" t="str">
        <f>PUER!F198</f>
        <v>XXXXXXXX</v>
      </c>
    </row>
    <row r="206" spans="2:10" x14ac:dyDescent="0.25">
      <c r="B206" s="1521" t="str">
        <f>PUER!C199</f>
        <v xml:space="preserve"> Estimativa de  Arrecadação de Servicos em Prop. Partic/Trator/Discagem - Principal</v>
      </c>
      <c r="C206" s="1521"/>
      <c r="D206" s="1521"/>
      <c r="E206" s="1521"/>
      <c r="F206" s="1521"/>
      <c r="G206" s="1521"/>
      <c r="H206" s="127">
        <f>PUER!D199</f>
        <v>48518.404999999999</v>
      </c>
      <c r="I206" s="123" t="str">
        <f>PUER!E199</f>
        <v>XXXXXXX</v>
      </c>
      <c r="J206" s="123" t="str">
        <f>PUER!F199</f>
        <v>XXXXXXXX</v>
      </c>
    </row>
    <row r="207" spans="2:10" x14ac:dyDescent="0.25">
      <c r="B207" s="1521" t="str">
        <f>PUER!C200</f>
        <v xml:space="preserve"> Estimativa de  Arrecadação de Servicos em Prop. Partic/Trator/Escalificação - Principal</v>
      </c>
      <c r="C207" s="1521"/>
      <c r="D207" s="1521"/>
      <c r="E207" s="1521"/>
      <c r="F207" s="1521"/>
      <c r="G207" s="1521"/>
      <c r="H207" s="127">
        <f>PUER!D200</f>
        <v>96</v>
      </c>
      <c r="I207" s="123" t="str">
        <f>PUER!E200</f>
        <v>XXXXXXX</v>
      </c>
      <c r="J207" s="123" t="str">
        <f>PUER!F200</f>
        <v>XXXXXXXX</v>
      </c>
    </row>
    <row r="208" spans="2:10" x14ac:dyDescent="0.25">
      <c r="B208" s="1521" t="str">
        <f>PUER!C201</f>
        <v xml:space="preserve"> Estimativa de  Arrecadação de Servicos em Prop. Partic/Trator/Screip - Principal </v>
      </c>
      <c r="C208" s="1521"/>
      <c r="D208" s="1521"/>
      <c r="E208" s="1521"/>
      <c r="F208" s="1521"/>
      <c r="G208" s="1521"/>
      <c r="H208" s="127">
        <f>PUER!D201</f>
        <v>1</v>
      </c>
      <c r="I208" s="123" t="str">
        <f>PUER!E201</f>
        <v>XXXXXXX</v>
      </c>
      <c r="J208" s="123" t="str">
        <f>PUER!F201</f>
        <v>XXXXXXXX</v>
      </c>
    </row>
    <row r="209" spans="2:10" x14ac:dyDescent="0.25">
      <c r="B209" s="1521" t="str">
        <f>PUER!C202</f>
        <v xml:space="preserve"> Estimativa de  Arrecadação de Servicos em Prop. Partic/Trator/Esteira - Principal </v>
      </c>
      <c r="C209" s="1521"/>
      <c r="D209" s="1521"/>
      <c r="E209" s="1521"/>
      <c r="F209" s="1521"/>
      <c r="G209" s="1521"/>
      <c r="H209" s="127">
        <f>PUER!D202</f>
        <v>34.416666666666664</v>
      </c>
      <c r="I209" s="123" t="str">
        <f>PUER!E202</f>
        <v>XXXXXXX</v>
      </c>
      <c r="J209" s="123" t="str">
        <f>PUER!F202</f>
        <v>XXXXXXXX</v>
      </c>
    </row>
    <row r="210" spans="2:10" x14ac:dyDescent="0.25">
      <c r="B210" s="1521" t="str">
        <f>PUER!C203</f>
        <v xml:space="preserve"> Estimativa de  Arrecadação de Servicos em Prop. Partic/Trator/Batedeira de Cereais - Principal </v>
      </c>
      <c r="C210" s="1521"/>
      <c r="D210" s="1521"/>
      <c r="E210" s="1521"/>
      <c r="F210" s="1521"/>
      <c r="G210" s="1521"/>
      <c r="H210" s="127">
        <f>PUER!D203</f>
        <v>1462.5</v>
      </c>
      <c r="I210" s="123" t="str">
        <f>PUER!E203</f>
        <v>XXXXXXX</v>
      </c>
      <c r="J210" s="123" t="str">
        <f>PUER!F203</f>
        <v>XXXXXXXX</v>
      </c>
    </row>
    <row r="211" spans="2:10" x14ac:dyDescent="0.25">
      <c r="B211" s="1521" t="str">
        <f>PUER!C204</f>
        <v xml:space="preserve"> Estimativa de  Arrecadação de Servicos em Prop. Partic/Trator/Carreta Agricola  - Principal </v>
      </c>
      <c r="C211" s="1521"/>
      <c r="D211" s="1521"/>
      <c r="E211" s="1521"/>
      <c r="F211" s="1521"/>
      <c r="G211" s="1521"/>
      <c r="H211" s="127">
        <f>PUER!D204</f>
        <v>291.86666666666667</v>
      </c>
      <c r="I211" s="123" t="str">
        <f>PUER!E204</f>
        <v>XXXXXXX</v>
      </c>
      <c r="J211" s="123" t="str">
        <f>PUER!F204</f>
        <v>XXXXXXXX</v>
      </c>
    </row>
    <row r="212" spans="2:10" x14ac:dyDescent="0.25">
      <c r="B212" s="1521" t="str">
        <f>PUER!C205</f>
        <v xml:space="preserve"> Estimativa de  Arrecadação de  Servicos em Prop. Partic/Trator/Distribuidor de Esterco - Principal </v>
      </c>
      <c r="C212" s="1521"/>
      <c r="D212" s="1521"/>
      <c r="E212" s="1521"/>
      <c r="F212" s="1521"/>
      <c r="G212" s="1521"/>
      <c r="H212" s="127">
        <f>PUER!D205</f>
        <v>344.93333333333334</v>
      </c>
      <c r="I212" s="123" t="str">
        <f>PUER!E205</f>
        <v>XXXXXXX</v>
      </c>
      <c r="J212" s="123" t="str">
        <f>PUER!F205</f>
        <v>XXXXXXXX</v>
      </c>
    </row>
    <row r="213" spans="2:10" x14ac:dyDescent="0.25">
      <c r="B213" s="1521" t="str">
        <f>PUER!C206</f>
        <v xml:space="preserve"> Estimativa de  Arrecadação de Servicos em Prop. Partic/Trator/Semeadeira de Calcário - Principal </v>
      </c>
      <c r="C213" s="1521"/>
      <c r="D213" s="1521"/>
      <c r="E213" s="1521"/>
      <c r="F213" s="1521"/>
      <c r="G213" s="1521"/>
      <c r="H213" s="127">
        <f>PUER!D206</f>
        <v>577.63</v>
      </c>
      <c r="I213" s="123" t="str">
        <f>PUER!E206</f>
        <v>XXXXXXX</v>
      </c>
      <c r="J213" s="123" t="str">
        <f>PUER!F206</f>
        <v>XXXXXXXX</v>
      </c>
    </row>
    <row r="214" spans="2:10" x14ac:dyDescent="0.25">
      <c r="B214" s="1521" t="str">
        <f>PUER!C207</f>
        <v>Estimativa de  Arrecadação deServiços em Prop. Particular - Implem./Carreta Agricula - Principal</v>
      </c>
      <c r="C214" s="1521"/>
      <c r="D214" s="1521"/>
      <c r="E214" s="1521"/>
      <c r="F214" s="1521"/>
      <c r="G214" s="1521"/>
      <c r="H214" s="127">
        <f>PUER!D207</f>
        <v>89.40000000000002</v>
      </c>
      <c r="I214" s="123" t="str">
        <f>PUER!E207</f>
        <v>XXXXXXX</v>
      </c>
      <c r="J214" s="123" t="str">
        <f>PUER!F207</f>
        <v>XXXXXXXX</v>
      </c>
    </row>
    <row r="215" spans="2:10" x14ac:dyDescent="0.25">
      <c r="B215" s="1521" t="str">
        <f>PUER!C208</f>
        <v>Estimativa de  Arrecadação deServiços em Prop. Particular - Implem./Screip - Principal</v>
      </c>
      <c r="C215" s="1521"/>
      <c r="D215" s="1521"/>
      <c r="E215" s="1521"/>
      <c r="F215" s="1521"/>
      <c r="G215" s="1521"/>
      <c r="H215" s="127">
        <f>PUER!D208</f>
        <v>53.066666666666663</v>
      </c>
      <c r="I215" s="123" t="str">
        <f>PUER!E208</f>
        <v>XXXXXXX</v>
      </c>
      <c r="J215" s="123" t="str">
        <f>PUER!F208</f>
        <v>XXXXXXXX</v>
      </c>
    </row>
    <row r="216" spans="2:10" x14ac:dyDescent="0.25">
      <c r="B216" s="1521" t="str">
        <f>PUER!C209</f>
        <v>Estimativa de Serviços em Prop. Particular - Implem./Grades - Principal</v>
      </c>
      <c r="C216" s="1521"/>
      <c r="D216" s="1521"/>
      <c r="E216" s="1521"/>
      <c r="F216" s="1521"/>
      <c r="G216" s="1521"/>
      <c r="H216" s="127">
        <f>PUER!D209</f>
        <v>1</v>
      </c>
      <c r="I216" s="123" t="str">
        <f>PUER!E209</f>
        <v>XXXXXXX</v>
      </c>
      <c r="J216" s="123" t="str">
        <f>PUER!F209</f>
        <v>XXXXXXXX</v>
      </c>
    </row>
    <row r="217" spans="2:10" x14ac:dyDescent="0.25">
      <c r="B217" s="1521" t="str">
        <f>PUER!C210</f>
        <v>Estimativa de Serviços em Prop. Particular - Implem./Escalificador - Principal</v>
      </c>
      <c r="C217" s="1521"/>
      <c r="D217" s="1521"/>
      <c r="E217" s="1521"/>
      <c r="F217" s="1521"/>
      <c r="G217" s="1521"/>
      <c r="H217" s="127">
        <f>PUER!D210</f>
        <v>1</v>
      </c>
      <c r="I217" s="123" t="str">
        <f>PUER!E210</f>
        <v>XXXXXXX</v>
      </c>
      <c r="J217" s="123" t="str">
        <f>PUER!F210</f>
        <v>XXXXXXXX</v>
      </c>
    </row>
    <row r="218" spans="2:10" x14ac:dyDescent="0.25">
      <c r="B218" s="1521" t="str">
        <f>PUER!C211</f>
        <v>Estimativa de Serviços em Prop. Particular - Implem./Escavadeira - Principal</v>
      </c>
      <c r="C218" s="1521"/>
      <c r="D218" s="1521"/>
      <c r="E218" s="1521"/>
      <c r="F218" s="1521"/>
      <c r="G218" s="1521"/>
      <c r="H218" s="127">
        <f>PUER!D211</f>
        <v>1</v>
      </c>
      <c r="I218" s="123" t="str">
        <f>PUER!E211</f>
        <v>XXXXXXX</v>
      </c>
      <c r="J218" s="123" t="str">
        <f>PUER!F211</f>
        <v>XXXXXXXX</v>
      </c>
    </row>
    <row r="219" spans="2:10" x14ac:dyDescent="0.25">
      <c r="B219" s="1521" t="str">
        <f>PUER!C212</f>
        <v>Estimativa de Serviços em Prop. Particular - Motoniveladora - Principal</v>
      </c>
      <c r="C219" s="1521"/>
      <c r="D219" s="1521"/>
      <c r="E219" s="1521"/>
      <c r="F219" s="1521"/>
      <c r="G219" s="1521"/>
      <c r="H219" s="127">
        <f>PUER!D212</f>
        <v>2409.3333333333335</v>
      </c>
      <c r="I219" s="123" t="str">
        <f>PUER!E212</f>
        <v>XXXXXXX</v>
      </c>
      <c r="J219" s="123" t="str">
        <f>PUER!F212</f>
        <v>XXXXXXXX</v>
      </c>
    </row>
    <row r="220" spans="2:10" x14ac:dyDescent="0.25">
      <c r="B220" s="1521" t="str">
        <f>PUER!C213</f>
        <v>Estimativa de Serviços em Prop. Particular - Carga de Cascalho - Principal</v>
      </c>
      <c r="C220" s="1521"/>
      <c r="D220" s="1521"/>
      <c r="E220" s="1521"/>
      <c r="F220" s="1521"/>
      <c r="G220" s="1521"/>
      <c r="H220" s="127">
        <f>PUER!D213</f>
        <v>3441.6666666666665</v>
      </c>
      <c r="I220" s="123" t="str">
        <f>PUER!E213</f>
        <v>XXXXXXX</v>
      </c>
      <c r="J220" s="123" t="str">
        <f>PUER!F213</f>
        <v>XXXXXXXX</v>
      </c>
    </row>
    <row r="221" spans="2:10" x14ac:dyDescent="0.25">
      <c r="B221" s="1521" t="str">
        <f>PUER!C214</f>
        <v>Estimativa de Serviços em Prop. Particular - Caminhão Basculante - Principal</v>
      </c>
      <c r="C221" s="1521"/>
      <c r="D221" s="1521"/>
      <c r="E221" s="1521"/>
      <c r="F221" s="1521"/>
      <c r="G221" s="1521"/>
      <c r="H221" s="127">
        <f>PUER!D214</f>
        <v>8649.3666666666668</v>
      </c>
      <c r="I221" s="123" t="str">
        <f>PUER!E214</f>
        <v>XXXXXXX</v>
      </c>
      <c r="J221" s="123" t="str">
        <f>PUER!F214</f>
        <v>XXXXXXXX</v>
      </c>
    </row>
    <row r="222" spans="2:10" x14ac:dyDescent="0.25">
      <c r="B222" s="1521" t="str">
        <f>PUER!C215</f>
        <v>Estimativa de Serviços em Prop. Particular - Retroescavadeira - Multas e Juros</v>
      </c>
      <c r="C222" s="1521"/>
      <c r="D222" s="1521"/>
      <c r="E222" s="1521"/>
      <c r="F222" s="1521"/>
      <c r="G222" s="1521"/>
      <c r="H222" s="127">
        <f>PUER!D215</f>
        <v>1</v>
      </c>
      <c r="I222" s="123" t="str">
        <f>PUER!E215</f>
        <v>XXXXXXX</v>
      </c>
      <c r="J222" s="123" t="str">
        <f>PUER!F215</f>
        <v>XXXXXXXX</v>
      </c>
    </row>
    <row r="223" spans="2:10" x14ac:dyDescent="0.25">
      <c r="B223" s="1521" t="str">
        <f>PUER!C216</f>
        <v>Estimativa de Serviços em Prop. Particular - Trator/Discagem - Multas e Juros</v>
      </c>
      <c r="C223" s="1521"/>
      <c r="D223" s="1521"/>
      <c r="E223" s="1521"/>
      <c r="F223" s="1521"/>
      <c r="G223" s="1521"/>
      <c r="H223" s="127">
        <f>PUER!D216</f>
        <v>14.448333333333332</v>
      </c>
      <c r="I223" s="123" t="str">
        <f>PUER!E216</f>
        <v>XXXXXXX</v>
      </c>
      <c r="J223" s="123" t="str">
        <f>PUER!F216</f>
        <v>XXXXXXXX</v>
      </c>
    </row>
    <row r="224" spans="2:10" x14ac:dyDescent="0.25">
      <c r="B224" s="1521" t="str">
        <f>PUER!C217</f>
        <v>Estimativa de Serviços em Prop. Particular - Trator/Escalificação - Multas e Juros</v>
      </c>
      <c r="C224" s="1521"/>
      <c r="D224" s="1521"/>
      <c r="E224" s="1521"/>
      <c r="F224" s="1521"/>
      <c r="G224" s="1521"/>
      <c r="H224" s="127">
        <f>PUER!D217</f>
        <v>29.415000000000003</v>
      </c>
      <c r="I224" s="123" t="str">
        <f>PUER!E217</f>
        <v>XXXXXXX</v>
      </c>
      <c r="J224" s="123" t="str">
        <f>PUER!F217</f>
        <v>XXXXXXXX</v>
      </c>
    </row>
    <row r="225" spans="2:10" x14ac:dyDescent="0.25">
      <c r="B225" s="1521" t="str">
        <f>PUER!C218</f>
        <v>Estimativa de Serviços em Prop. Particular - Trator/Escreip - Multas e Juros</v>
      </c>
      <c r="C225" s="1521"/>
      <c r="D225" s="1521"/>
      <c r="E225" s="1521"/>
      <c r="F225" s="1521"/>
      <c r="G225" s="1521"/>
      <c r="H225" s="127">
        <f>PUER!D218</f>
        <v>2.59</v>
      </c>
      <c r="I225" s="123" t="str">
        <f>PUER!E218</f>
        <v>XXXXXXX</v>
      </c>
      <c r="J225" s="123" t="str">
        <f>PUER!F218</f>
        <v>XXXXXXXX</v>
      </c>
    </row>
    <row r="226" spans="2:10" x14ac:dyDescent="0.25">
      <c r="B226" s="1521" t="str">
        <f>PUER!C219</f>
        <v>Estimativa de Serviços em Prop. Particular - Trator/Esteira - Multas e Juros</v>
      </c>
      <c r="C226" s="1521"/>
      <c r="D226" s="1521"/>
      <c r="E226" s="1521"/>
      <c r="F226" s="1521"/>
      <c r="G226" s="1521"/>
      <c r="H226" s="127">
        <f>PUER!D219</f>
        <v>1</v>
      </c>
      <c r="I226" s="123" t="str">
        <f>PUER!E219</f>
        <v>XXXXXXX</v>
      </c>
      <c r="J226" s="123" t="str">
        <f>PUER!F219</f>
        <v>XXXXXXXX</v>
      </c>
    </row>
    <row r="227" spans="2:10" x14ac:dyDescent="0.25">
      <c r="B227" s="1521" t="str">
        <f>PUER!C220</f>
        <v>Estimativa de Serviços em Prop. Particular - Implem./Bat. de Cereais - Multas e Juros</v>
      </c>
      <c r="C227" s="1521"/>
      <c r="D227" s="1521"/>
      <c r="E227" s="1521"/>
      <c r="F227" s="1521"/>
      <c r="G227" s="1521"/>
      <c r="H227" s="127">
        <f>PUER!D220</f>
        <v>1</v>
      </c>
      <c r="I227" s="123" t="str">
        <f>PUER!E220</f>
        <v>XXXXXXX</v>
      </c>
      <c r="J227" s="123" t="str">
        <f>PUER!F220</f>
        <v>XXXXXXXX</v>
      </c>
    </row>
    <row r="228" spans="2:10" x14ac:dyDescent="0.25">
      <c r="B228" s="1521" t="str">
        <f>PUER!C221</f>
        <v>Estimativa de Serviços em Prop. Particular - Implem./Carreta Agricola - Multas e Juros</v>
      </c>
      <c r="C228" s="1521"/>
      <c r="D228" s="1521"/>
      <c r="E228" s="1521"/>
      <c r="F228" s="1521"/>
      <c r="G228" s="1521"/>
      <c r="H228" s="127">
        <f>PUER!D221</f>
        <v>1</v>
      </c>
      <c r="I228" s="123" t="str">
        <f>PUER!E221</f>
        <v>XXXXXXX</v>
      </c>
      <c r="J228" s="123" t="str">
        <f>PUER!F221</f>
        <v>XXXXXXXX</v>
      </c>
    </row>
    <row r="229" spans="2:10" x14ac:dyDescent="0.25">
      <c r="B229" s="1521" t="str">
        <f>PUER!C222</f>
        <v>Estimativa de Serviços em Prop. Particular - Implem./Distrib. de Esterco - Multas e Juros</v>
      </c>
      <c r="C229" s="1521"/>
      <c r="D229" s="1521"/>
      <c r="E229" s="1521"/>
      <c r="F229" s="1521"/>
      <c r="G229" s="1521"/>
      <c r="H229" s="127">
        <f>PUER!D222</f>
        <v>1</v>
      </c>
      <c r="I229" s="123" t="str">
        <f>PUER!E222</f>
        <v>XXXXXXX</v>
      </c>
      <c r="J229" s="123" t="str">
        <f>PUER!F222</f>
        <v>XXXXXXXX</v>
      </c>
    </row>
    <row r="230" spans="2:10" x14ac:dyDescent="0.25">
      <c r="B230" s="1521" t="str">
        <f>PUER!C223</f>
        <v>Estimativa de Serviços em Prop. Particular - Implem./Distribuidor de Calcario - Multas e Juros</v>
      </c>
      <c r="C230" s="1521"/>
      <c r="D230" s="1521"/>
      <c r="E230" s="1521"/>
      <c r="F230" s="1521"/>
      <c r="G230" s="1521"/>
      <c r="H230" s="127">
        <f>PUER!D223</f>
        <v>1</v>
      </c>
      <c r="I230" s="123" t="str">
        <f>PUER!E223</f>
        <v>XXXXXXX</v>
      </c>
      <c r="J230" s="123" t="str">
        <f>PUER!F223</f>
        <v>XXXXXXXX</v>
      </c>
    </row>
    <row r="231" spans="2:10" x14ac:dyDescent="0.25">
      <c r="B231" s="1521" t="str">
        <f>PUER!C224</f>
        <v>Estimativa de Serviços em Prop. Particular - Implem./Carreta Agrícola - Multas e Juros</v>
      </c>
      <c r="C231" s="1521"/>
      <c r="D231" s="1521"/>
      <c r="E231" s="1521"/>
      <c r="F231" s="1521"/>
      <c r="G231" s="1521"/>
      <c r="H231" s="127">
        <f>PUER!D224</f>
        <v>1</v>
      </c>
      <c r="I231" s="123" t="str">
        <f>PUER!E224</f>
        <v>XXXXXXX</v>
      </c>
      <c r="J231" s="123" t="str">
        <f>PUER!F224</f>
        <v>XXXXXXXX</v>
      </c>
    </row>
    <row r="232" spans="2:10" x14ac:dyDescent="0.25">
      <c r="B232" s="1521" t="str">
        <f>PUER!C225</f>
        <v>Estimativa de Serviços em Prop. Particular - Implem./Screip - Multas e Juros</v>
      </c>
      <c r="C232" s="1521"/>
      <c r="D232" s="1521"/>
      <c r="E232" s="1521"/>
      <c r="F232" s="1521"/>
      <c r="G232" s="1521"/>
      <c r="H232" s="127">
        <f>PUER!D225</f>
        <v>1</v>
      </c>
      <c r="I232" s="123" t="str">
        <f>PUER!E225</f>
        <v>XXXXXXX</v>
      </c>
      <c r="J232" s="123" t="str">
        <f>PUER!F225</f>
        <v>XXXXXXXX</v>
      </c>
    </row>
    <row r="233" spans="2:10" x14ac:dyDescent="0.25">
      <c r="B233" s="1521" t="str">
        <f>PUER!C226</f>
        <v>Estimativa de Serviços em Prop. Particular - Implem./Grades - Multas e Juros</v>
      </c>
      <c r="C233" s="1521"/>
      <c r="D233" s="1521"/>
      <c r="E233" s="1521"/>
      <c r="F233" s="1521"/>
      <c r="G233" s="1521"/>
      <c r="H233" s="127">
        <f>PUER!D226</f>
        <v>1</v>
      </c>
      <c r="I233" s="123" t="str">
        <f>PUER!E226</f>
        <v>XXXXXXX</v>
      </c>
      <c r="J233" s="123" t="str">
        <f>PUER!F226</f>
        <v>XXXXXXXX</v>
      </c>
    </row>
    <row r="234" spans="2:10" x14ac:dyDescent="0.25">
      <c r="B234" s="1521" t="str">
        <f>PUER!C227</f>
        <v>Estimativa de Serviços em Prop. Particular - Implem./Escalificador - Multas e Juros</v>
      </c>
      <c r="C234" s="1521"/>
      <c r="D234" s="1521"/>
      <c r="E234" s="1521"/>
      <c r="F234" s="1521"/>
      <c r="G234" s="1521"/>
      <c r="H234" s="127">
        <f>PUER!D227</f>
        <v>1</v>
      </c>
      <c r="I234" s="123" t="str">
        <f>PUER!E227</f>
        <v>XXXXXXX</v>
      </c>
      <c r="J234" s="123" t="str">
        <f>PUER!F227</f>
        <v>XXXXXXXX</v>
      </c>
    </row>
    <row r="235" spans="2:10" x14ac:dyDescent="0.25">
      <c r="B235" s="1521" t="str">
        <f>PUER!C228</f>
        <v>Estimativa de Serviços em Prop. Particular - Implem./Escavadeira - Multas e Juros</v>
      </c>
      <c r="C235" s="1521"/>
      <c r="D235" s="1521"/>
      <c r="E235" s="1521"/>
      <c r="F235" s="1521"/>
      <c r="G235" s="1521"/>
      <c r="H235" s="127">
        <f>PUER!D228</f>
        <v>1</v>
      </c>
      <c r="I235" s="123" t="str">
        <f>PUER!E228</f>
        <v>XXXXXXX</v>
      </c>
      <c r="J235" s="123" t="str">
        <f>PUER!F228</f>
        <v>XXXXXXXX</v>
      </c>
    </row>
    <row r="236" spans="2:10" x14ac:dyDescent="0.25">
      <c r="B236" s="1521" t="str">
        <f>PUER!C229</f>
        <v>Estimativa de Serviços em Prop. Particular - Motoniveladora - Multas e Juros</v>
      </c>
      <c r="C236" s="1521"/>
      <c r="D236" s="1521"/>
      <c r="E236" s="1521"/>
      <c r="F236" s="1521"/>
      <c r="G236" s="1521"/>
      <c r="H236" s="127">
        <f>PUER!D229</f>
        <v>1</v>
      </c>
      <c r="I236" s="123" t="str">
        <f>PUER!E229</f>
        <v>XXXXXXX</v>
      </c>
      <c r="J236" s="123" t="str">
        <f>PUER!F229</f>
        <v>XXXXXXXX</v>
      </c>
    </row>
    <row r="237" spans="2:10" x14ac:dyDescent="0.25">
      <c r="B237" s="1521" t="str">
        <f>PUER!C230</f>
        <v>Estimativa de Serviços em Prop. Particular - Carga de Cascalho - Multas e Juros</v>
      </c>
      <c r="C237" s="1521"/>
      <c r="D237" s="1521"/>
      <c r="E237" s="1521"/>
      <c r="F237" s="1521"/>
      <c r="G237" s="1521"/>
      <c r="H237" s="127">
        <f>PUER!D230</f>
        <v>1</v>
      </c>
      <c r="I237" s="123" t="str">
        <f>PUER!E230</f>
        <v>XXXXXXX</v>
      </c>
      <c r="J237" s="123" t="str">
        <f>PUER!F230</f>
        <v>XXXXXXXX</v>
      </c>
    </row>
    <row r="238" spans="2:10" x14ac:dyDescent="0.25">
      <c r="B238" s="1521" t="str">
        <f>PUER!C231</f>
        <v>Estimativa de Serviços em Prop. Particular - Caminhão Basculante - Multas e Juros</v>
      </c>
      <c r="C238" s="1521"/>
      <c r="D238" s="1521"/>
      <c r="E238" s="1521"/>
      <c r="F238" s="1521"/>
      <c r="G238" s="1521"/>
      <c r="H238" s="127">
        <f>PUER!D231</f>
        <v>1</v>
      </c>
      <c r="I238" s="123" t="str">
        <f>PUER!E231</f>
        <v>XXXXXXX</v>
      </c>
      <c r="J238" s="123" t="str">
        <f>PUER!F231</f>
        <v>XXXXXXXX</v>
      </c>
    </row>
    <row r="239" spans="2:10" x14ac:dyDescent="0.25">
      <c r="B239" s="1521" t="str">
        <f>PUER!C232</f>
        <v>Serviços em Prop. Particular - Retroescavadeira - Dívida Ativa</v>
      </c>
      <c r="C239" s="1521"/>
      <c r="D239" s="1521"/>
      <c r="E239" s="1521"/>
      <c r="F239" s="1521"/>
      <c r="G239" s="1521"/>
      <c r="H239" s="127">
        <f>PUER!D232</f>
        <v>1</v>
      </c>
      <c r="I239" s="123" t="str">
        <f>PUER!E232</f>
        <v>XXXXXXX</v>
      </c>
      <c r="J239" s="123" t="str">
        <f>PUER!F232</f>
        <v>XXXXXXXX</v>
      </c>
    </row>
    <row r="240" spans="2:10" x14ac:dyDescent="0.25">
      <c r="B240" s="1521" t="str">
        <f>PUER!C233</f>
        <v>Serviços em Prop. Particular - Trator/Discagem - Dívida Ativa</v>
      </c>
      <c r="C240" s="1521"/>
      <c r="D240" s="1521"/>
      <c r="E240" s="1521"/>
      <c r="F240" s="1521"/>
      <c r="G240" s="1521"/>
      <c r="H240" s="127">
        <f>PUER!D233</f>
        <v>70.75</v>
      </c>
      <c r="I240" s="123" t="str">
        <f>PUER!E233</f>
        <v>XXXXXXX</v>
      </c>
      <c r="J240" s="123" t="str">
        <f>PUER!F233</f>
        <v>XXXXXXXX</v>
      </c>
    </row>
    <row r="241" spans="2:10" x14ac:dyDescent="0.25">
      <c r="B241" s="1521" t="str">
        <f>PUER!C234</f>
        <v>Serviços em Prop. Particular - Trator/Escalificação - Dívida Ativa</v>
      </c>
      <c r="C241" s="1521"/>
      <c r="D241" s="1521"/>
      <c r="E241" s="1521"/>
      <c r="F241" s="1521"/>
      <c r="G241" s="1521"/>
      <c r="H241" s="127">
        <f>PUER!D234</f>
        <v>3.3849999999999998</v>
      </c>
      <c r="I241" s="123" t="str">
        <f>PUER!E234</f>
        <v>XXXXXXX</v>
      </c>
      <c r="J241" s="123" t="str">
        <f>PUER!F234</f>
        <v>XXXXXXXX</v>
      </c>
    </row>
    <row r="242" spans="2:10" x14ac:dyDescent="0.25">
      <c r="B242" s="1521" t="str">
        <f>PUER!C235</f>
        <v>Serviços em Prop. Particular - Trator/Escreip - Dívida Ativa</v>
      </c>
      <c r="C242" s="1521"/>
      <c r="D242" s="1521"/>
      <c r="E242" s="1521"/>
      <c r="F242" s="1521"/>
      <c r="G242" s="1521"/>
      <c r="H242" s="127">
        <f>PUER!D235</f>
        <v>1</v>
      </c>
      <c r="I242" s="123" t="str">
        <f>PUER!E235</f>
        <v>XXXXXXX</v>
      </c>
      <c r="J242" s="123" t="str">
        <f>PUER!F235</f>
        <v>XXXXXXXX</v>
      </c>
    </row>
    <row r="243" spans="2:10" x14ac:dyDescent="0.25">
      <c r="B243" s="1521" t="str">
        <f>PUER!C236</f>
        <v>Serviços em Prop. Particular - Trator/Esteira - Dívida Ativa</v>
      </c>
      <c r="C243" s="1521"/>
      <c r="D243" s="1521"/>
      <c r="E243" s="1521"/>
      <c r="F243" s="1521"/>
      <c r="G243" s="1521"/>
      <c r="H243" s="127">
        <f>PUER!D236</f>
        <v>1</v>
      </c>
      <c r="I243" s="123" t="str">
        <f>PUER!E236</f>
        <v>XXXXXXX</v>
      </c>
      <c r="J243" s="123" t="str">
        <f>PUER!F236</f>
        <v>XXXXXXXX</v>
      </c>
    </row>
    <row r="244" spans="2:10" x14ac:dyDescent="0.25">
      <c r="B244" s="1521" t="str">
        <f>PUER!C237</f>
        <v>Serviços em Prop. Particular - Implem./Bat. de Cereais - Dívida Ativa</v>
      </c>
      <c r="C244" s="1521"/>
      <c r="D244" s="1521"/>
      <c r="E244" s="1521"/>
      <c r="F244" s="1521"/>
      <c r="G244" s="1521"/>
      <c r="H244" s="127">
        <f>PUER!D237</f>
        <v>1</v>
      </c>
      <c r="I244" s="123" t="str">
        <f>PUER!E237</f>
        <v>XXXXXXX</v>
      </c>
      <c r="J244" s="123" t="str">
        <f>PUER!F237</f>
        <v>XXXXXXXX</v>
      </c>
    </row>
    <row r="245" spans="2:10" x14ac:dyDescent="0.25">
      <c r="B245" s="1521" t="str">
        <f>PUER!C238</f>
        <v>Serviços em Prop. Particular - Implem./Carreta Agricola - Dívida Ativa</v>
      </c>
      <c r="C245" s="1521"/>
      <c r="D245" s="1521"/>
      <c r="E245" s="1521"/>
      <c r="F245" s="1521"/>
      <c r="G245" s="1521"/>
      <c r="H245" s="127">
        <f>PUER!D238</f>
        <v>1</v>
      </c>
      <c r="I245" s="123" t="str">
        <f>PUER!E238</f>
        <v>XXXXXXX</v>
      </c>
      <c r="J245" s="123" t="str">
        <f>PUER!F238</f>
        <v>XXXXXXXX</v>
      </c>
    </row>
    <row r="246" spans="2:10" x14ac:dyDescent="0.25">
      <c r="B246" s="1521" t="str">
        <f>PUER!C239</f>
        <v>Serviços em Prop. Particular - Implem./Distrib. de Esterco - Dívida Ativa</v>
      </c>
      <c r="C246" s="1521"/>
      <c r="D246" s="1521"/>
      <c r="E246" s="1521"/>
      <c r="F246" s="1521"/>
      <c r="G246" s="1521"/>
      <c r="H246" s="127">
        <f>PUER!D239</f>
        <v>1</v>
      </c>
      <c r="I246" s="123" t="str">
        <f>PUER!E239</f>
        <v>XXXXXXX</v>
      </c>
      <c r="J246" s="123" t="str">
        <f>PUER!F239</f>
        <v>XXXXXXXX</v>
      </c>
    </row>
    <row r="247" spans="2:10" x14ac:dyDescent="0.25">
      <c r="B247" s="1521" t="str">
        <f>PUER!C240</f>
        <v>Serviços em Prop. Particular - Implem./Distribuidor de Calcario - Dívida Ativa</v>
      </c>
      <c r="C247" s="1521"/>
      <c r="D247" s="1521"/>
      <c r="E247" s="1521"/>
      <c r="F247" s="1521"/>
      <c r="G247" s="1521"/>
      <c r="H247" s="127">
        <f>PUER!D240</f>
        <v>1</v>
      </c>
      <c r="I247" s="123" t="str">
        <f>PUER!E240</f>
        <v>XXXXXXX</v>
      </c>
      <c r="J247" s="123" t="str">
        <f>PUER!F240</f>
        <v>XXXXXXXX</v>
      </c>
    </row>
    <row r="248" spans="2:10" x14ac:dyDescent="0.25">
      <c r="B248" s="1521" t="str">
        <f>PUER!C241</f>
        <v>Serviços em Prop. Particular - Implem./Carreta Agrícola - Dívida Ativa</v>
      </c>
      <c r="C248" s="1521"/>
      <c r="D248" s="1521"/>
      <c r="E248" s="1521"/>
      <c r="F248" s="1521"/>
      <c r="G248" s="1521"/>
      <c r="H248" s="127">
        <f>PUER!D241</f>
        <v>1</v>
      </c>
      <c r="I248" s="123" t="str">
        <f>PUER!E241</f>
        <v>XXXXXXX</v>
      </c>
      <c r="J248" s="123" t="str">
        <f>PUER!F241</f>
        <v>XXXXXXXX</v>
      </c>
    </row>
    <row r="249" spans="2:10" x14ac:dyDescent="0.25">
      <c r="B249" s="1521" t="str">
        <f>PUER!C242</f>
        <v>Serviços em Prop. Particular - Implem./Screip - Dívida Ativa</v>
      </c>
      <c r="C249" s="1521"/>
      <c r="D249" s="1521"/>
      <c r="E249" s="1521"/>
      <c r="F249" s="1521"/>
      <c r="G249" s="1521"/>
      <c r="H249" s="127">
        <f>PUER!D242</f>
        <v>1</v>
      </c>
      <c r="I249" s="123" t="str">
        <f>PUER!E242</f>
        <v>XXXXXXX</v>
      </c>
      <c r="J249" s="123" t="str">
        <f>PUER!F242</f>
        <v>XXXXXXXX</v>
      </c>
    </row>
    <row r="250" spans="2:10" x14ac:dyDescent="0.25">
      <c r="B250" s="1521" t="str">
        <f>PUER!C243</f>
        <v>Serviços em Prop. Particular - Implem./Grades - Dívida Ativa</v>
      </c>
      <c r="C250" s="1521"/>
      <c r="D250" s="1521"/>
      <c r="E250" s="1521"/>
      <c r="F250" s="1521"/>
      <c r="G250" s="1521"/>
      <c r="H250" s="127">
        <f>PUER!D243</f>
        <v>1</v>
      </c>
      <c r="I250" s="123" t="str">
        <f>PUER!E243</f>
        <v>XXXXXXX</v>
      </c>
      <c r="J250" s="123" t="str">
        <f>PUER!F243</f>
        <v>XXXXXXXX</v>
      </c>
    </row>
    <row r="251" spans="2:10" x14ac:dyDescent="0.25">
      <c r="B251" s="1521" t="str">
        <f>PUER!C244</f>
        <v>Serviços em Prop. Particular - Implem./Escalificador - Dívida Ativa</v>
      </c>
      <c r="C251" s="1521"/>
      <c r="D251" s="1521"/>
      <c r="E251" s="1521"/>
      <c r="F251" s="1521"/>
      <c r="G251" s="1521"/>
      <c r="H251" s="127">
        <f>PUER!D244</f>
        <v>1</v>
      </c>
      <c r="I251" s="123" t="str">
        <f>PUER!E244</f>
        <v>XXXXXXX</v>
      </c>
      <c r="J251" s="123" t="str">
        <f>PUER!F244</f>
        <v>XXXXXXXX</v>
      </c>
    </row>
    <row r="252" spans="2:10" x14ac:dyDescent="0.25">
      <c r="B252" s="1521" t="str">
        <f>PUER!C245</f>
        <v>Serviços em Prop. Particular - Implem./Escavadeira - Dívida Ativa</v>
      </c>
      <c r="C252" s="1521"/>
      <c r="D252" s="1521"/>
      <c r="E252" s="1521"/>
      <c r="F252" s="1521"/>
      <c r="G252" s="1521"/>
      <c r="H252" s="127">
        <f>PUER!D245</f>
        <v>1</v>
      </c>
      <c r="I252" s="123" t="str">
        <f>PUER!E245</f>
        <v>XXXXXXX</v>
      </c>
      <c r="J252" s="123" t="str">
        <f>PUER!F245</f>
        <v>XXXXXXXX</v>
      </c>
    </row>
    <row r="253" spans="2:10" x14ac:dyDescent="0.25">
      <c r="B253" s="1521" t="str">
        <f>PUER!C246</f>
        <v>Serviços em Prop. Particular - Motoniveladora - Dívida Ativa</v>
      </c>
      <c r="C253" s="1521"/>
      <c r="D253" s="1521"/>
      <c r="E253" s="1521"/>
      <c r="F253" s="1521"/>
      <c r="G253" s="1521"/>
      <c r="H253" s="127">
        <f>PUER!D246</f>
        <v>1</v>
      </c>
      <c r="I253" s="123" t="str">
        <f>PUER!E246</f>
        <v>XXXXXXX</v>
      </c>
      <c r="J253" s="123" t="str">
        <f>PUER!F246</f>
        <v>XXXXXXXX</v>
      </c>
    </row>
    <row r="254" spans="2:10" x14ac:dyDescent="0.25">
      <c r="B254" s="1521" t="str">
        <f>PUER!C247</f>
        <v>Serviços em Prop. Particular - Carga de Cascalho - Dívida Ativa</v>
      </c>
      <c r="C254" s="1521"/>
      <c r="D254" s="1521"/>
      <c r="E254" s="1521"/>
      <c r="F254" s="1521"/>
      <c r="G254" s="1521"/>
      <c r="H254" s="127">
        <f>PUER!D247</f>
        <v>1</v>
      </c>
      <c r="I254" s="123" t="str">
        <f>PUER!E247</f>
        <v>XXXXXXX</v>
      </c>
      <c r="J254" s="123" t="str">
        <f>PUER!F247</f>
        <v>XXXXXXXX</v>
      </c>
    </row>
    <row r="255" spans="2:10" x14ac:dyDescent="0.25">
      <c r="B255" s="1521" t="str">
        <f>PUER!C248</f>
        <v>Serviços em Prop. Particular - Caminhão Basculante - Dívida Ativa</v>
      </c>
      <c r="C255" s="1521"/>
      <c r="D255" s="1521"/>
      <c r="E255" s="1521"/>
      <c r="F255" s="1521"/>
      <c r="G255" s="1521"/>
      <c r="H255" s="127">
        <f>PUER!D248</f>
        <v>1</v>
      </c>
      <c r="I255" s="123" t="str">
        <f>PUER!E248</f>
        <v>XXXXXXX</v>
      </c>
      <c r="J255" s="123" t="str">
        <f>PUER!F248</f>
        <v>XXXXXXXX</v>
      </c>
    </row>
    <row r="256" spans="2:10" x14ac:dyDescent="0.25">
      <c r="B256" s="1521" t="str">
        <f>PUER!C249</f>
        <v>Serviços em Prop. Particular - Retroescavadeira - Dívida Ativa - Multas e Juros</v>
      </c>
      <c r="C256" s="1521"/>
      <c r="D256" s="1521"/>
      <c r="E256" s="1521"/>
      <c r="F256" s="1521"/>
      <c r="G256" s="1521"/>
      <c r="H256" s="127">
        <f>PUER!D249</f>
        <v>1</v>
      </c>
      <c r="I256" s="123" t="str">
        <f>PUER!E249</f>
        <v>XXXXXXX</v>
      </c>
      <c r="J256" s="123" t="str">
        <f>PUER!F249</f>
        <v>XXXXXXXX</v>
      </c>
    </row>
    <row r="257" spans="2:10" x14ac:dyDescent="0.25">
      <c r="B257" s="1521" t="str">
        <f>PUER!C250</f>
        <v>Serviços em Prop. Particular - Trator/Discagem - Dívida Ativa - Multas e Juros</v>
      </c>
      <c r="C257" s="1521"/>
      <c r="D257" s="1521"/>
      <c r="E257" s="1521"/>
      <c r="F257" s="1521"/>
      <c r="G257" s="1521"/>
      <c r="H257" s="127">
        <f>PUER!D250</f>
        <v>32.913333333333334</v>
      </c>
      <c r="I257" s="123" t="str">
        <f>PUER!E250</f>
        <v>XXXXXXX</v>
      </c>
      <c r="J257" s="123" t="str">
        <f>PUER!F250</f>
        <v>XXXXXXXX</v>
      </c>
    </row>
    <row r="258" spans="2:10" x14ac:dyDescent="0.25">
      <c r="B258" s="1521" t="str">
        <f>PUER!C251</f>
        <v>Serviços em Prop. Particular - Trator/Escalificação - Dívida Ativa - Multas e Juros</v>
      </c>
      <c r="C258" s="1521"/>
      <c r="D258" s="1521"/>
      <c r="E258" s="1521"/>
      <c r="F258" s="1521"/>
      <c r="G258" s="1521"/>
      <c r="H258" s="127">
        <f>PUER!D251</f>
        <v>1</v>
      </c>
      <c r="I258" s="123" t="str">
        <f>PUER!E251</f>
        <v>XXXXXXX</v>
      </c>
      <c r="J258" s="123" t="str">
        <f>PUER!F251</f>
        <v>XXXXXXXX</v>
      </c>
    </row>
    <row r="259" spans="2:10" x14ac:dyDescent="0.25">
      <c r="B259" s="1521" t="str">
        <f>PUER!C252</f>
        <v>Serviços em Prop. Particular - Trator/Escreip - Dívida Ativa - Multas e Juros</v>
      </c>
      <c r="C259" s="1521"/>
      <c r="D259" s="1521"/>
      <c r="E259" s="1521"/>
      <c r="F259" s="1521"/>
      <c r="G259" s="1521"/>
      <c r="H259" s="127">
        <f>PUER!D252</f>
        <v>1</v>
      </c>
      <c r="I259" s="123" t="str">
        <f>PUER!E252</f>
        <v>XXXXXXX</v>
      </c>
      <c r="J259" s="123" t="str">
        <f>PUER!F252</f>
        <v>XXXXXXXX</v>
      </c>
    </row>
    <row r="260" spans="2:10" x14ac:dyDescent="0.25">
      <c r="B260" s="1521" t="str">
        <f>PUER!C253</f>
        <v>Serviços em Prop. Particular - Trator/Esteira - Dívida Ativa - Multas e Juros</v>
      </c>
      <c r="C260" s="1521"/>
      <c r="D260" s="1521"/>
      <c r="E260" s="1521"/>
      <c r="F260" s="1521"/>
      <c r="G260" s="1521"/>
      <c r="H260" s="127">
        <f>PUER!D253</f>
        <v>1</v>
      </c>
      <c r="I260" s="123" t="str">
        <f>PUER!E253</f>
        <v>XXXXXXX</v>
      </c>
      <c r="J260" s="123" t="str">
        <f>PUER!F253</f>
        <v>XXXXXXXX</v>
      </c>
    </row>
    <row r="261" spans="2:10" x14ac:dyDescent="0.25">
      <c r="B261" s="1521" t="str">
        <f>PUER!C254</f>
        <v>Serviços em Prop. Particular - Implem./Bat. de Cereais - Dívida Ativa - Multas e Juros</v>
      </c>
      <c r="C261" s="1521"/>
      <c r="D261" s="1521"/>
      <c r="E261" s="1521"/>
      <c r="F261" s="1521"/>
      <c r="G261" s="1521"/>
      <c r="H261" s="127">
        <f>PUER!D254</f>
        <v>1</v>
      </c>
      <c r="I261" s="123" t="str">
        <f>PUER!E254</f>
        <v>XXXXXXX</v>
      </c>
      <c r="J261" s="123" t="str">
        <f>PUER!F254</f>
        <v>XXXXXXXX</v>
      </c>
    </row>
    <row r="262" spans="2:10" x14ac:dyDescent="0.25">
      <c r="B262" s="1521" t="str">
        <f>PUER!C255</f>
        <v>Serviços em Prop. Particular - Implem./Carreta Agricola - Dívida Ativa - Multas e Juros</v>
      </c>
      <c r="C262" s="1521"/>
      <c r="D262" s="1521"/>
      <c r="E262" s="1521"/>
      <c r="F262" s="1521"/>
      <c r="G262" s="1521"/>
      <c r="H262" s="127">
        <f>PUER!D255</f>
        <v>1</v>
      </c>
      <c r="I262" s="123" t="str">
        <f>PUER!E255</f>
        <v>XXXXXXX</v>
      </c>
      <c r="J262" s="123" t="str">
        <f>PUER!F255</f>
        <v>XXXXXXXX</v>
      </c>
    </row>
    <row r="263" spans="2:10" x14ac:dyDescent="0.25">
      <c r="B263" s="1521" t="str">
        <f>PUER!C256</f>
        <v>Serviços em Prop. Particular - Implem./Distrib. de Esterco - Dívida Ativa - Multas e Juros</v>
      </c>
      <c r="C263" s="1521"/>
      <c r="D263" s="1521"/>
      <c r="E263" s="1521"/>
      <c r="F263" s="1521"/>
      <c r="G263" s="1521"/>
      <c r="H263" s="127">
        <f>PUER!D256</f>
        <v>1</v>
      </c>
      <c r="I263" s="123" t="str">
        <f>PUER!E256</f>
        <v>XXXXXXX</v>
      </c>
      <c r="J263" s="123" t="str">
        <f>PUER!F256</f>
        <v>XXXXXXXX</v>
      </c>
    </row>
    <row r="264" spans="2:10" x14ac:dyDescent="0.25">
      <c r="B264" s="1521" t="str">
        <f>PUER!C257</f>
        <v>Serviços em Prop. Particular - Implem./Distribuidor de Calcario - Dívida Ativa - Multas e Juros</v>
      </c>
      <c r="C264" s="1521"/>
      <c r="D264" s="1521"/>
      <c r="E264" s="1521"/>
      <c r="F264" s="1521"/>
      <c r="G264" s="1521"/>
      <c r="H264" s="127">
        <f>PUER!D257</f>
        <v>1</v>
      </c>
      <c r="I264" s="123" t="str">
        <f>PUER!E257</f>
        <v>XXXXXXX</v>
      </c>
      <c r="J264" s="123" t="str">
        <f>PUER!F257</f>
        <v>XXXXXXXX</v>
      </c>
    </row>
    <row r="265" spans="2:10" x14ac:dyDescent="0.25">
      <c r="B265" s="1521" t="str">
        <f>PUER!C258</f>
        <v>Serviços em Prop. Particular - Implem./Carreta Agrícola - Dívida Ativa - Multas e Juros</v>
      </c>
      <c r="C265" s="1521"/>
      <c r="D265" s="1521"/>
      <c r="E265" s="1521"/>
      <c r="F265" s="1521"/>
      <c r="G265" s="1521"/>
      <c r="H265" s="127">
        <f>PUER!D258</f>
        <v>1</v>
      </c>
      <c r="I265" s="123" t="str">
        <f>PUER!E258</f>
        <v>XXXXXXX</v>
      </c>
      <c r="J265" s="123" t="str">
        <f>PUER!F258</f>
        <v>XXXXXXXX</v>
      </c>
    </row>
    <row r="266" spans="2:10" x14ac:dyDescent="0.25">
      <c r="B266" s="1521" t="str">
        <f>PUER!C259</f>
        <v>Serviços em Prop. Particular - Implem./Screip - Dívida Ativa - Multas e Juros</v>
      </c>
      <c r="C266" s="1521"/>
      <c r="D266" s="1521"/>
      <c r="E266" s="1521"/>
      <c r="F266" s="1521"/>
      <c r="G266" s="1521"/>
      <c r="H266" s="127">
        <f>PUER!D259</f>
        <v>1</v>
      </c>
      <c r="I266" s="123" t="str">
        <f>PUER!E259</f>
        <v>XXXXXXX</v>
      </c>
      <c r="J266" s="123" t="str">
        <f>PUER!F259</f>
        <v>XXXXXXXX</v>
      </c>
    </row>
    <row r="267" spans="2:10" x14ac:dyDescent="0.25">
      <c r="B267" s="1521" t="str">
        <f>PUER!C260</f>
        <v>Serviços em Prop. Particular - Implem./Grades - Dívida Ativa - Multas e Juros</v>
      </c>
      <c r="C267" s="1521"/>
      <c r="D267" s="1521"/>
      <c r="E267" s="1521"/>
      <c r="F267" s="1521"/>
      <c r="G267" s="1521"/>
      <c r="H267" s="127">
        <f>PUER!D260</f>
        <v>1</v>
      </c>
      <c r="I267" s="123" t="str">
        <f>PUER!E260</f>
        <v>XXXXXXX</v>
      </c>
      <c r="J267" s="123" t="str">
        <f>PUER!F260</f>
        <v>XXXXXXXX</v>
      </c>
    </row>
    <row r="268" spans="2:10" x14ac:dyDescent="0.25">
      <c r="B268" s="1521" t="str">
        <f>PUER!C261</f>
        <v>Serviços em Prop. Particular - Implem./Escalificador - Dívida Ativa - Multas e Juros</v>
      </c>
      <c r="C268" s="1521"/>
      <c r="D268" s="1521"/>
      <c r="E268" s="1521"/>
      <c r="F268" s="1521"/>
      <c r="G268" s="1521"/>
      <c r="H268" s="127">
        <f>PUER!D261</f>
        <v>1</v>
      </c>
      <c r="I268" s="123" t="str">
        <f>PUER!E261</f>
        <v>XXXXXXX</v>
      </c>
      <c r="J268" s="123" t="str">
        <f>PUER!F261</f>
        <v>XXXXXXXX</v>
      </c>
    </row>
    <row r="269" spans="2:10" x14ac:dyDescent="0.25">
      <c r="B269" s="1521" t="str">
        <f>PUER!C262</f>
        <v>Serviços em Prop. Particular - Implem./Escavadeira - Dívida Ativa - Multas e Juros</v>
      </c>
      <c r="C269" s="1521"/>
      <c r="D269" s="1521"/>
      <c r="E269" s="1521"/>
      <c r="F269" s="1521"/>
      <c r="G269" s="1521"/>
      <c r="H269" s="127">
        <f>PUER!D262</f>
        <v>1</v>
      </c>
      <c r="I269" s="123" t="str">
        <f>PUER!E262</f>
        <v>XXXXXXX</v>
      </c>
      <c r="J269" s="123" t="str">
        <f>PUER!F262</f>
        <v>XXXXXXXX</v>
      </c>
    </row>
    <row r="270" spans="2:10" x14ac:dyDescent="0.25">
      <c r="B270" s="1521" t="str">
        <f>PUER!C263</f>
        <v>Serviços em Prop. Particular - Motoniveladora - Dívida Ativa - Multas e Juros</v>
      </c>
      <c r="C270" s="1521"/>
      <c r="D270" s="1521"/>
      <c r="E270" s="1521"/>
      <c r="F270" s="1521"/>
      <c r="G270" s="1521"/>
      <c r="H270" s="127">
        <f>PUER!D263</f>
        <v>1</v>
      </c>
      <c r="I270" s="123" t="str">
        <f>PUER!E263</f>
        <v>XXXXXXX</v>
      </c>
      <c r="J270" s="123" t="str">
        <f>PUER!F263</f>
        <v>XXXXXXXX</v>
      </c>
    </row>
    <row r="271" spans="2:10" x14ac:dyDescent="0.25">
      <c r="B271" s="1521" t="str">
        <f>PUER!C264</f>
        <v>Serviços em Prop. Particular - Carga de Cascalho - Dívida Ativa - Multas e Juros</v>
      </c>
      <c r="C271" s="1521"/>
      <c r="D271" s="1521"/>
      <c r="E271" s="1521"/>
      <c r="F271" s="1521"/>
      <c r="G271" s="1521"/>
      <c r="H271" s="127">
        <f>PUER!D264</f>
        <v>1</v>
      </c>
      <c r="I271" s="123" t="str">
        <f>PUER!E264</f>
        <v>XXXXXXX</v>
      </c>
      <c r="J271" s="123" t="str">
        <f>PUER!F264</f>
        <v>XXXXXXXX</v>
      </c>
    </row>
    <row r="272" spans="2:10" x14ac:dyDescent="0.25">
      <c r="B272" s="1521" t="str">
        <f>PUER!C265</f>
        <v>Serviços em Prop. Particular - Caminhão Basculante - Dívida Ativa - Multas e Juros</v>
      </c>
      <c r="C272" s="1521"/>
      <c r="D272" s="1521"/>
      <c r="E272" s="1521"/>
      <c r="F272" s="1521"/>
      <c r="G272" s="1521"/>
      <c r="H272" s="127">
        <f>PUER!D265</f>
        <v>1</v>
      </c>
      <c r="I272" s="123" t="str">
        <f>PUER!E265</f>
        <v>XXXXXXX</v>
      </c>
      <c r="J272" s="123" t="str">
        <f>PUER!F265</f>
        <v>XXXXXXXX</v>
      </c>
    </row>
    <row r="273" spans="2:10" x14ac:dyDescent="0.25">
      <c r="B273" s="1521" t="str">
        <f>PUER!C266</f>
        <v>Estimativa de valor do FPM - 2017 pelo coeficiente 0.6</v>
      </c>
      <c r="C273" s="1521"/>
      <c r="D273" s="1521"/>
      <c r="E273" s="1521"/>
      <c r="F273" s="1521"/>
      <c r="G273" s="1521"/>
      <c r="H273" s="127">
        <f>PUER!D266</f>
        <v>8391108</v>
      </c>
      <c r="I273" s="123" t="str">
        <f>PUER!E266</f>
        <v>XXXXXXX</v>
      </c>
      <c r="J273" s="123" t="str">
        <f>PUER!F266</f>
        <v>XXXXXXXX</v>
      </c>
    </row>
    <row r="274" spans="2:10" x14ac:dyDescent="0.25">
      <c r="B274" s="1521" t="str">
        <f>PUER!C267</f>
        <v>Estimativa de valor do FPM - 2017 cota extra de 1% - Dezembro</v>
      </c>
      <c r="C274" s="1521"/>
      <c r="D274" s="1521"/>
      <c r="E274" s="1521"/>
      <c r="F274" s="1521"/>
      <c r="G274" s="1521"/>
      <c r="H274" s="127">
        <f>PUER!D267</f>
        <v>364107</v>
      </c>
      <c r="I274" s="123" t="str">
        <f>PUER!E267</f>
        <v>XXXXXXX</v>
      </c>
      <c r="J274" s="123" t="str">
        <f>PUER!F267</f>
        <v>XXXXXXXX</v>
      </c>
    </row>
    <row r="275" spans="2:10" x14ac:dyDescent="0.25">
      <c r="B275" s="1521" t="str">
        <f>PUER!C268</f>
        <v>Estimativa de valor do FPM - 2017 cota extra de 1% - Julho</v>
      </c>
      <c r="C275" s="1521"/>
      <c r="D275" s="1521"/>
      <c r="E275" s="1521"/>
      <c r="F275" s="1521"/>
      <c r="G275" s="1521"/>
      <c r="H275" s="127">
        <f>PUER!D268</f>
        <v>354166</v>
      </c>
      <c r="I275" s="123" t="str">
        <f>PUER!E268</f>
        <v>XXXXXXX</v>
      </c>
      <c r="J275" s="123" t="str">
        <f>PUER!F268</f>
        <v>XXXXXXXX</v>
      </c>
    </row>
    <row r="276" spans="2:10" x14ac:dyDescent="0.25">
      <c r="B276" s="1521" t="str">
        <f>PUER!C269</f>
        <v>Média de arrecadação 2015 a 2017 - ITR</v>
      </c>
      <c r="C276" s="1521"/>
      <c r="D276" s="1521"/>
      <c r="E276" s="1521"/>
      <c r="F276" s="1521"/>
      <c r="G276" s="1521"/>
      <c r="H276" s="127">
        <f>PUER!D269</f>
        <v>14863.7</v>
      </c>
      <c r="I276" s="123" t="str">
        <f>PUER!E269</f>
        <v>XXXXXXX</v>
      </c>
      <c r="J276" s="123" t="str">
        <f>PUER!F269</f>
        <v>XXXXXXXX</v>
      </c>
    </row>
    <row r="277" spans="2:10" x14ac:dyDescent="0.25">
      <c r="B277" s="1521" t="str">
        <f>PUER!C270</f>
        <v>Estimativa de Receita cota Parte CFM</v>
      </c>
      <c r="C277" s="1521"/>
      <c r="D277" s="1521"/>
      <c r="E277" s="1521"/>
      <c r="F277" s="1521"/>
      <c r="G277" s="1521"/>
      <c r="H277" s="127">
        <f>PUER!D270</f>
        <v>13795.88</v>
      </c>
      <c r="I277" s="123" t="str">
        <f>PUER!E270</f>
        <v>XXXXXXX</v>
      </c>
      <c r="J277" s="123" t="str">
        <f>PUER!F270</f>
        <v>XXXXXXXX</v>
      </c>
    </row>
    <row r="278" spans="2:10" x14ac:dyDescent="0.25">
      <c r="B278" s="1521" t="str">
        <f>PUER!C271</f>
        <v>Média de arrecadação 2015 a 2017 - Fep</v>
      </c>
      <c r="C278" s="1521"/>
      <c r="D278" s="1521"/>
      <c r="E278" s="1521"/>
      <c r="F278" s="1521"/>
      <c r="G278" s="1521"/>
      <c r="H278" s="127">
        <f>PUER!D271</f>
        <v>80370.61</v>
      </c>
      <c r="I278" s="123" t="str">
        <f>PUER!E271</f>
        <v>XXXXXXX</v>
      </c>
      <c r="J278" s="123" t="str">
        <f>PUER!F271</f>
        <v>XXXXXXXX</v>
      </c>
    </row>
    <row r="279" spans="2:10" x14ac:dyDescent="0.25">
      <c r="B279" s="1521" t="str">
        <f>PUER!C272</f>
        <v>Transferencias do SUS - Bloco de Custeio da Atenção Básica</v>
      </c>
      <c r="C279" s="1521"/>
      <c r="D279" s="1521"/>
      <c r="E279" s="1521"/>
      <c r="F279" s="1521"/>
      <c r="G279" s="1521"/>
      <c r="H279" s="127">
        <f>PUER!D272</f>
        <v>263116.02333333337</v>
      </c>
      <c r="I279" s="123" t="str">
        <f>PUER!E272</f>
        <v>XXXXXXX</v>
      </c>
      <c r="J279" s="123" t="str">
        <f>PUER!F272</f>
        <v>XXXXXXXX</v>
      </c>
    </row>
    <row r="280" spans="2:10" x14ac:dyDescent="0.25">
      <c r="B280" s="1521" t="str">
        <f>PUER!C273</f>
        <v>Transferencias do SUS - Bloco de Custeio da Vigilância Sanitária</v>
      </c>
      <c r="C280" s="1521"/>
      <c r="D280" s="1521"/>
      <c r="E280" s="1521"/>
      <c r="F280" s="1521"/>
      <c r="G280" s="1521"/>
      <c r="H280" s="127">
        <f>PUER!D273</f>
        <v>32143.111666666668</v>
      </c>
      <c r="I280" s="123" t="str">
        <f>PUER!E273</f>
        <v>XXXXXXX</v>
      </c>
      <c r="J280" s="123" t="str">
        <f>PUER!F273</f>
        <v>XXXXXXXX</v>
      </c>
    </row>
    <row r="281" spans="2:10" x14ac:dyDescent="0.25">
      <c r="B281" s="1521" t="str">
        <f>PUER!C274</f>
        <v>Transferencias do SUS - Bloco de Custeio da Assistência Farmaceutica Básica</v>
      </c>
      <c r="C281" s="1521"/>
      <c r="D281" s="1521"/>
      <c r="E281" s="1521"/>
      <c r="F281" s="1521"/>
      <c r="G281" s="1521"/>
      <c r="H281" s="127">
        <f>PUER!D274</f>
        <v>29015.456666666665</v>
      </c>
      <c r="I281" s="123" t="str">
        <f>PUER!E274</f>
        <v>XXXXXXX</v>
      </c>
      <c r="J281" s="123" t="str">
        <f>PUER!F274</f>
        <v>XXXXXXXX</v>
      </c>
    </row>
    <row r="282" spans="2:10" x14ac:dyDescent="0.25">
      <c r="B282" s="1521" t="str">
        <f>PUER!C275</f>
        <v>Transferencias do SUS - Bloco de Custeio do Cadastro SUS</v>
      </c>
      <c r="C282" s="1521"/>
      <c r="D282" s="1521"/>
      <c r="E282" s="1521"/>
      <c r="F282" s="1521"/>
      <c r="G282" s="1521"/>
      <c r="H282" s="127">
        <f>PUER!D275</f>
        <v>1</v>
      </c>
      <c r="I282" s="123" t="str">
        <f>PUER!E275</f>
        <v>XXXXXXX</v>
      </c>
      <c r="J282" s="123" t="str">
        <f>PUER!F275</f>
        <v>XXXXXXXX</v>
      </c>
    </row>
    <row r="283" spans="2:10" x14ac:dyDescent="0.25">
      <c r="B283" s="1521" t="str">
        <f>PUER!C276</f>
        <v>Transferencias do SUS -  Bloco de Custeio da Atenção de média e alta complexidade</v>
      </c>
      <c r="C283" s="1521"/>
      <c r="D283" s="1521"/>
      <c r="E283" s="1521"/>
      <c r="F283" s="1521"/>
      <c r="G283" s="1521"/>
      <c r="H283" s="127">
        <f>PUER!D276</f>
        <v>1</v>
      </c>
      <c r="I283" s="123" t="str">
        <f>PUER!E276</f>
        <v>XXXXXXX</v>
      </c>
      <c r="J283" s="123" t="str">
        <f>PUER!F276</f>
        <v>XXXXXXXX</v>
      </c>
    </row>
    <row r="284" spans="2:10" x14ac:dyDescent="0.25">
      <c r="B284" s="1521" t="str">
        <f>PUER!C278</f>
        <v>Transferencias De Convenios- Fnas ACESSUAS</v>
      </c>
      <c r="C284" s="1521"/>
      <c r="D284" s="1521"/>
      <c r="E284" s="1521"/>
      <c r="F284" s="1521"/>
      <c r="G284" s="1521"/>
      <c r="H284" s="127">
        <f>PUER!D278</f>
        <v>1</v>
      </c>
      <c r="I284" s="123" t="str">
        <f>PUER!E278</f>
        <v>XXXXXXX</v>
      </c>
      <c r="J284" s="123" t="str">
        <f>PUER!F278</f>
        <v>XXXXXXXX</v>
      </c>
    </row>
    <row r="285" spans="2:10" x14ac:dyDescent="0.25">
      <c r="B285" s="1521" t="str">
        <f>PUER!C279</f>
        <v>Transferências P/B.P.S.B. -Bloco de Proteção Social Básica</v>
      </c>
      <c r="C285" s="1521"/>
      <c r="D285" s="1521"/>
      <c r="E285" s="1521"/>
      <c r="F285" s="1521"/>
      <c r="G285" s="1521"/>
      <c r="H285" s="127">
        <f>PUER!D279</f>
        <v>72080.840000000011</v>
      </c>
      <c r="I285" s="123" t="str">
        <f>PUER!E279</f>
        <v>XXXXXXX</v>
      </c>
      <c r="J285" s="123" t="str">
        <f>PUER!F279</f>
        <v>XXXXXXXX</v>
      </c>
    </row>
    <row r="286" spans="2:10" x14ac:dyDescent="0.25">
      <c r="B286" s="1521" t="str">
        <f>PUER!C280</f>
        <v>Transferências Bloco Proteção Esp. Med. Complexidade</v>
      </c>
      <c r="C286" s="1521"/>
      <c r="D286" s="1521"/>
      <c r="E286" s="1521"/>
      <c r="F286" s="1521"/>
      <c r="G286" s="1521"/>
      <c r="H286" s="127">
        <f>PUER!D280</f>
        <v>904.16666666666663</v>
      </c>
      <c r="I286" s="123" t="str">
        <f>PUER!E280</f>
        <v>XXXXXXX</v>
      </c>
      <c r="J286" s="123" t="str">
        <f>PUER!F280</f>
        <v>XXXXXXXX</v>
      </c>
    </row>
    <row r="287" spans="2:10" x14ac:dyDescent="0.25">
      <c r="B287" s="1521" t="str">
        <f>PUER!C281</f>
        <v>Transferências B.G.P.B.F. - Bloco Gestao Prog. Bolsa Familia</v>
      </c>
      <c r="C287" s="1521"/>
      <c r="D287" s="1521"/>
      <c r="E287" s="1521"/>
      <c r="F287" s="1521"/>
      <c r="G287" s="1521"/>
      <c r="H287" s="127">
        <f>PUER!D281</f>
        <v>17599.096666666668</v>
      </c>
      <c r="I287" s="123" t="str">
        <f>PUER!E281</f>
        <v>XXXXXXX</v>
      </c>
      <c r="J287" s="123" t="str">
        <f>PUER!F281</f>
        <v>XXXXXXXX</v>
      </c>
    </row>
    <row r="288" spans="2:10" x14ac:dyDescent="0.25">
      <c r="B288" s="1521" t="str">
        <f>PUER!C282</f>
        <v>Transferências do B.G.S. - Bloco de Gestão do  SUAS</v>
      </c>
      <c r="C288" s="1521"/>
      <c r="D288" s="1521"/>
      <c r="E288" s="1521"/>
      <c r="F288" s="1521"/>
      <c r="G288" s="1521"/>
      <c r="H288" s="127">
        <f>PUER!D282</f>
        <v>4086.08</v>
      </c>
      <c r="I288" s="123" t="str">
        <f>PUER!E282</f>
        <v>XXXXXXX</v>
      </c>
      <c r="J288" s="123" t="str">
        <f>PUER!F282</f>
        <v>XXXXXXXX</v>
      </c>
    </row>
    <row r="289" spans="2:10" x14ac:dyDescent="0.25">
      <c r="B289" s="1521" t="str">
        <f>PUER!C283</f>
        <v>Matriculas base censo escolar 2019 - FONTE DADOS PARCIAIS DO INEP - CRECHE INTEGRAL RURAL</v>
      </c>
      <c r="C289" s="1521"/>
      <c r="D289" s="1521"/>
      <c r="E289" s="1521"/>
      <c r="F289" s="1521"/>
      <c r="G289" s="1521"/>
      <c r="H289" s="32">
        <f>PUER!D283</f>
        <v>31</v>
      </c>
      <c r="I289" s="123" t="str">
        <f>PUER!E283</f>
        <v>XXXXXXX</v>
      </c>
      <c r="J289" s="123" t="str">
        <f>PUER!F283</f>
        <v>XXXXXXXX</v>
      </c>
    </row>
    <row r="290" spans="2:10" x14ac:dyDescent="0.25">
      <c r="B290" s="1521" t="str">
        <f>PUER!C284</f>
        <v>Matriculas base censo escolar 2019 - FONTE DADOS PARCIAIS DO INEP - PREESCOLA PARCIAL RURAL</v>
      </c>
      <c r="C290" s="1521"/>
      <c r="D290" s="1521"/>
      <c r="E290" s="1521"/>
      <c r="F290" s="1521"/>
      <c r="G290" s="1521"/>
      <c r="H290" s="32">
        <f>PUER!D284</f>
        <v>117</v>
      </c>
      <c r="I290" s="123" t="str">
        <f>PUER!E284</f>
        <v>XXXXXXX</v>
      </c>
      <c r="J290" s="123" t="str">
        <f>PUER!F284</f>
        <v>XXXXXXXX</v>
      </c>
    </row>
    <row r="291" spans="2:10" x14ac:dyDescent="0.25">
      <c r="B291" s="1521" t="str">
        <f>PUER!C285</f>
        <v>Matriculas base censo escolar 2019 - FONTE DADOS PARCIAIS DO INEP - ENS. FUND. ANOS INICIAIS PARCIAL RURAL</v>
      </c>
      <c r="C291" s="1521"/>
      <c r="D291" s="1521"/>
      <c r="E291" s="1521"/>
      <c r="F291" s="1521"/>
      <c r="G291" s="1521"/>
      <c r="H291" s="32">
        <f>PUER!D285</f>
        <v>253</v>
      </c>
      <c r="I291" s="123" t="str">
        <f>PUER!E285</f>
        <v>XXXXXXX</v>
      </c>
      <c r="J291" s="123" t="str">
        <f>PUER!F285</f>
        <v>XXXXXXXX</v>
      </c>
    </row>
    <row r="292" spans="2:10" x14ac:dyDescent="0.25">
      <c r="B292" s="1521" t="str">
        <f>PUER!C286</f>
        <v>Matriculas base censo escolar 2019 - FONTE DADOS PARCIAIS DO INEP - ENS. FUND. ANOS INICIAIS INTEG. RURAL</v>
      </c>
      <c r="C292" s="1521"/>
      <c r="D292" s="1521"/>
      <c r="E292" s="1521"/>
      <c r="F292" s="1521"/>
      <c r="G292" s="1521"/>
      <c r="H292" s="32">
        <f>PUER!D286</f>
        <v>0</v>
      </c>
      <c r="I292" s="123" t="str">
        <f>PUER!E286</f>
        <v>XXXXXXX</v>
      </c>
      <c r="J292" s="123" t="str">
        <f>PUER!F286</f>
        <v>XXXXXXXX</v>
      </c>
    </row>
    <row r="293" spans="2:10" x14ac:dyDescent="0.25">
      <c r="B293" s="1521" t="str">
        <f>PUER!C287</f>
        <v>Matriculas base censo escolar 2019 - FONTE DADOS PARCIAIS DO INEP - ENS. FUND. ANOS FINAIS PARCIAL RURAL</v>
      </c>
      <c r="C293" s="1521"/>
      <c r="D293" s="1521"/>
      <c r="E293" s="1521"/>
      <c r="F293" s="1521"/>
      <c r="G293" s="1521"/>
      <c r="H293" s="32">
        <f>PUER!D287</f>
        <v>224</v>
      </c>
      <c r="I293" s="123" t="str">
        <f>PUER!E287</f>
        <v>XXXXXXX</v>
      </c>
      <c r="J293" s="123" t="str">
        <f>PUER!F287</f>
        <v>XXXXXXXX</v>
      </c>
    </row>
    <row r="294" spans="2:10" x14ac:dyDescent="0.25">
      <c r="B294" s="1521" t="str">
        <f>PUER!C288</f>
        <v>Matriculas base censo escolar 2019 - FONTE DADOS PARCIAIS DO INEP - EJA FUND. PRESENCIAL RURAL</v>
      </c>
      <c r="C294" s="1521"/>
      <c r="D294" s="1521"/>
      <c r="E294" s="1521"/>
      <c r="F294" s="1521"/>
      <c r="G294" s="1521"/>
      <c r="H294" s="32">
        <f>PUER!D288</f>
        <v>37</v>
      </c>
      <c r="I294" s="123" t="str">
        <f>PUER!E288</f>
        <v>XXXXXXX</v>
      </c>
      <c r="J294" s="123" t="str">
        <f>PUER!F288</f>
        <v>XXXXXXXX</v>
      </c>
    </row>
    <row r="295" spans="2:10" x14ac:dyDescent="0.25">
      <c r="B295" s="1521" t="str">
        <f>PUER!C289</f>
        <v>Matriculas base censo escolar 2019 - FONTE DADOS PARCIAIS DO INEP - EDUCACAO ESPECIAL RURAL</v>
      </c>
      <c r="C295" s="1521"/>
      <c r="D295" s="1521"/>
      <c r="E295" s="1521"/>
      <c r="F295" s="1521"/>
      <c r="G295" s="1521"/>
      <c r="H295" s="32">
        <f>PUER!D289</f>
        <v>47</v>
      </c>
      <c r="I295" s="123" t="str">
        <f>PUER!E289</f>
        <v>XXXXXXX</v>
      </c>
      <c r="J295" s="123" t="str">
        <f>PUER!F289</f>
        <v>XXXXXXXX</v>
      </c>
    </row>
    <row r="296" spans="2:10" x14ac:dyDescent="0.25">
      <c r="B296" s="1521" t="str">
        <f>PUER!C290</f>
        <v>Matriculas base censo escolar 2019 - FONTE DADOS PARCIAIS DO INEP - ENS. FUND. ANOS INICIAIS ESTADO</v>
      </c>
      <c r="C296" s="1521"/>
      <c r="D296" s="1521"/>
      <c r="E296" s="1521"/>
      <c r="F296" s="1521"/>
      <c r="G296" s="1521"/>
      <c r="H296" s="32">
        <f>PUER!D290</f>
        <v>103</v>
      </c>
      <c r="I296" s="123" t="str">
        <f>PUER!E290</f>
        <v>XXXXXXX</v>
      </c>
      <c r="J296" s="123" t="str">
        <f>PUER!F290</f>
        <v>XXXXXXXX</v>
      </c>
    </row>
    <row r="297" spans="2:10" x14ac:dyDescent="0.25">
      <c r="B297" s="1521" t="str">
        <f>PUER!C291</f>
        <v>Matriculas base censo escolar 2019 - FONTE DADOS PARCIAIS DO INEP - ENS. FUND. ANOS FINAIS ESTADO</v>
      </c>
      <c r="C297" s="1521"/>
      <c r="D297" s="1521"/>
      <c r="E297" s="1521"/>
      <c r="F297" s="1521"/>
      <c r="G297" s="1521"/>
      <c r="H297" s="32">
        <f>PUER!D291</f>
        <v>103</v>
      </c>
      <c r="I297" s="123" t="str">
        <f>PUER!E291</f>
        <v>XXXXXXX</v>
      </c>
      <c r="J297" s="123" t="str">
        <f>PUER!F291</f>
        <v>XXXXXXXX</v>
      </c>
    </row>
    <row r="298" spans="2:10" x14ac:dyDescent="0.25">
      <c r="B298" s="1521" t="str">
        <f>PUER!C292</f>
        <v>Matriculas base censo escolar 2019 - FONTE DADOS PARCIAIS DO INEP - ENSINO MEDIO ESTADO</v>
      </c>
      <c r="C298" s="1521"/>
      <c r="D298" s="1521"/>
      <c r="E298" s="1521"/>
      <c r="F298" s="1521"/>
      <c r="G298" s="1521"/>
      <c r="H298" s="32">
        <f>PUER!D292</f>
        <v>177</v>
      </c>
      <c r="I298" s="123" t="str">
        <f>PUER!E292</f>
        <v>XXXXXXX</v>
      </c>
      <c r="J298" s="123" t="str">
        <f>PUER!F292</f>
        <v>XXXXXXXX</v>
      </c>
    </row>
    <row r="299" spans="2:10" x14ac:dyDescent="0.25">
      <c r="B299" s="1521" t="str">
        <f>PUER!C293</f>
        <v>Matriculas base censo escolar 2019 - FONTE DADOS PARCIAIS DO INEP - ENSINO EJA MEDIO ESTADO</v>
      </c>
      <c r="C299" s="1521"/>
      <c r="D299" s="1521"/>
      <c r="E299" s="1521"/>
      <c r="F299" s="1521"/>
      <c r="G299" s="1521"/>
      <c r="H299" s="32">
        <f>PUER!D293</f>
        <v>21</v>
      </c>
      <c r="I299" s="123" t="str">
        <f>PUER!E293</f>
        <v>XXXXXXX</v>
      </c>
      <c r="J299" s="123" t="str">
        <f>PUER!F293</f>
        <v>XXXXXXXX</v>
      </c>
    </row>
    <row r="300" spans="2:10" x14ac:dyDescent="0.25">
      <c r="B300" s="1521" t="str">
        <f>PUER!C294</f>
        <v xml:space="preserve">Estimativa de dias letivos </v>
      </c>
      <c r="C300" s="1521"/>
      <c r="D300" s="1521"/>
      <c r="E300" s="1521"/>
      <c r="F300" s="1521"/>
      <c r="G300" s="1521"/>
      <c r="H300" s="32">
        <f>PUER!D294</f>
        <v>200</v>
      </c>
      <c r="I300" s="123" t="str">
        <f>PUER!E294</f>
        <v>XXXXXXX</v>
      </c>
      <c r="J300" s="123" t="str">
        <f>PUER!F294</f>
        <v>XXXXXXXX</v>
      </c>
    </row>
    <row r="301" spans="2:10" x14ac:dyDescent="0.25">
      <c r="B301" s="1521" t="str">
        <f>PUER!C295</f>
        <v>Estimativa de valor da Quota do Salário Educação</v>
      </c>
      <c r="C301" s="1521"/>
      <c r="D301" s="1521"/>
      <c r="E301" s="1521"/>
      <c r="F301" s="1521"/>
      <c r="G301" s="1521"/>
      <c r="H301" s="127">
        <f>PUER!D295</f>
        <v>426.4</v>
      </c>
      <c r="I301" s="123" t="str">
        <f>PUER!E295</f>
        <v>XXXXXXX</v>
      </c>
      <c r="J301" s="123" t="str">
        <f>PUER!F295</f>
        <v>XXXXXXXX</v>
      </c>
    </row>
    <row r="302" spans="2:10" x14ac:dyDescent="0.25">
      <c r="B302" s="1521" t="str">
        <f>PUER!C296</f>
        <v>Estimativa de valor Programa Dinheiro Direto na Escola</v>
      </c>
      <c r="C302" s="1521"/>
      <c r="D302" s="1521"/>
      <c r="E302" s="1521"/>
      <c r="F302" s="1521"/>
      <c r="G302" s="1521"/>
      <c r="H302" s="127">
        <f>PUER!D296</f>
        <v>0</v>
      </c>
      <c r="I302" s="123">
        <f>PUER!E296</f>
        <v>0</v>
      </c>
      <c r="J302" s="123">
        <f>PUER!F296</f>
        <v>0</v>
      </c>
    </row>
    <row r="303" spans="2:10" x14ac:dyDescent="0.25">
      <c r="B303" s="1521" t="str">
        <f>PUER!C297</f>
        <v>Estimativa de valor da Quota do Programa PNAE - ALIMENTACAO ESCOLAR - CRECHE</v>
      </c>
      <c r="C303" s="1521"/>
      <c r="D303" s="1521"/>
      <c r="E303" s="1521"/>
      <c r="F303" s="1521"/>
      <c r="G303" s="1521"/>
      <c r="H303" s="127">
        <f>PUER!D297</f>
        <v>1.07</v>
      </c>
      <c r="I303" s="123" t="str">
        <f>PUER!E297</f>
        <v>XXXXXXX</v>
      </c>
      <c r="J303" s="123" t="str">
        <f>PUER!F297</f>
        <v>XXXXXXXX</v>
      </c>
    </row>
    <row r="304" spans="2:10" x14ac:dyDescent="0.25">
      <c r="B304" s="1521" t="str">
        <f>PUER!C298</f>
        <v>Estimativa de valor da Quota do Programa PNAE - ALIMENTACAO ESCOLAR - EJA</v>
      </c>
      <c r="C304" s="1521"/>
      <c r="D304" s="1521"/>
      <c r="E304" s="1521"/>
      <c r="F304" s="1521"/>
      <c r="G304" s="1521"/>
      <c r="H304" s="127">
        <f>PUER!D298</f>
        <v>0.32</v>
      </c>
      <c r="I304" s="123" t="str">
        <f>PUER!E298</f>
        <v>XXXXXXX</v>
      </c>
      <c r="J304" s="123" t="str">
        <f>PUER!F298</f>
        <v>XXXXXXXX</v>
      </c>
    </row>
    <row r="305" spans="2:10" x14ac:dyDescent="0.25">
      <c r="B305" s="1521" t="str">
        <f>PUER!C299</f>
        <v>Estimativa de valor da Quota do Programa PNAE - ALIMENTACAO ESCOLAR - AEE</v>
      </c>
      <c r="C305" s="1521"/>
      <c r="D305" s="1521"/>
      <c r="E305" s="1521"/>
      <c r="F305" s="1521"/>
      <c r="G305" s="1521"/>
      <c r="H305" s="127">
        <f>PUER!D299</f>
        <v>0.53</v>
      </c>
      <c r="I305" s="123" t="str">
        <f>PUER!E299</f>
        <v>XXXXXXX</v>
      </c>
      <c r="J305" s="123" t="str">
        <f>PUER!F299</f>
        <v>XXXXXXXX</v>
      </c>
    </row>
    <row r="306" spans="2:10" x14ac:dyDescent="0.25">
      <c r="B306" s="1521" t="str">
        <f>PUER!C300</f>
        <v xml:space="preserve">Estimativa de valor da Quota do Programa PNAE - ALIMENTACÃO ESCOLAR - ENSINO FUNDAMENTAL  </v>
      </c>
      <c r="C306" s="1521"/>
      <c r="D306" s="1521"/>
      <c r="E306" s="1521"/>
      <c r="F306" s="1521"/>
      <c r="G306" s="1521"/>
      <c r="H306" s="127">
        <f>PUER!D300</f>
        <v>0.36</v>
      </c>
      <c r="I306" s="123" t="str">
        <f>PUER!E300</f>
        <v>XXXXXXX</v>
      </c>
      <c r="J306" s="123" t="str">
        <f>PUER!F300</f>
        <v>XXXXXXXX</v>
      </c>
    </row>
    <row r="307" spans="2:10" x14ac:dyDescent="0.25">
      <c r="B307" s="1521" t="str">
        <f>PUER!C301</f>
        <v>Estimativa de valor da Quota do Programa PNAE -ALIMENTACÃO ESCOLAR - PRÉ-ESCOLA</v>
      </c>
      <c r="C307" s="1521"/>
      <c r="D307" s="1521"/>
      <c r="E307" s="1521"/>
      <c r="F307" s="1521"/>
      <c r="G307" s="1521"/>
      <c r="H307" s="127">
        <f>PUER!D301</f>
        <v>0.53</v>
      </c>
      <c r="I307" s="123" t="str">
        <f>PUER!E301</f>
        <v>XXXXXXX</v>
      </c>
      <c r="J307" s="123" t="str">
        <f>PUER!F301</f>
        <v>XXXXXXXX</v>
      </c>
    </row>
    <row r="308" spans="2:10" x14ac:dyDescent="0.25">
      <c r="B308" s="1521" t="str">
        <f>PUER!C302</f>
        <v>Estimativa de valor da Quota do PNATE - TRANSPORTE ESCOLAR INFANTIL</v>
      </c>
      <c r="C308" s="1521"/>
      <c r="D308" s="1521"/>
      <c r="E308" s="1521"/>
      <c r="F308" s="1521"/>
      <c r="G308" s="1521"/>
      <c r="H308" s="127">
        <f>PUER!D302</f>
        <v>1221.8900000000001</v>
      </c>
      <c r="I308" s="123" t="str">
        <f>PUER!E302</f>
        <v>XXXXXXX</v>
      </c>
      <c r="J308" s="123" t="str">
        <f>PUER!F302</f>
        <v>XXXXXXXX</v>
      </c>
    </row>
    <row r="309" spans="2:10" x14ac:dyDescent="0.25">
      <c r="B309" s="1521" t="str">
        <f>PUER!C303</f>
        <v>Estimativa de valor da Quota do PNATE - TRANSPORTE ESCOLAR FUNDAMENTAL</v>
      </c>
      <c r="C309" s="1521"/>
      <c r="D309" s="1521"/>
      <c r="E309" s="1521"/>
      <c r="F309" s="1521"/>
      <c r="G309" s="1521"/>
      <c r="H309" s="127">
        <f>PUER!D303</f>
        <v>11287.19</v>
      </c>
      <c r="I309" s="123" t="str">
        <f>PUER!E303</f>
        <v>XXXXXXX</v>
      </c>
      <c r="J309" s="123" t="str">
        <f>PUER!F303</f>
        <v>XXXXXXXX</v>
      </c>
    </row>
    <row r="310" spans="2:10" x14ac:dyDescent="0.25">
      <c r="B310" s="1521" t="str">
        <f>PUER!C304</f>
        <v>Estimativa de valor da Quota do PNATE - TRANSPORTE ESCOLAR MEDIO</v>
      </c>
      <c r="C310" s="1521"/>
      <c r="D310" s="1521"/>
      <c r="E310" s="1521"/>
      <c r="F310" s="1521"/>
      <c r="G310" s="1521"/>
      <c r="H310" s="127">
        <f>PUER!D304</f>
        <v>2336.86</v>
      </c>
      <c r="I310" s="123" t="str">
        <f>PUER!E304</f>
        <v>XXXXXXX</v>
      </c>
      <c r="J310" s="123" t="str">
        <f>PUER!F304</f>
        <v>XXXXXXXX</v>
      </c>
    </row>
    <row r="311" spans="2:10" x14ac:dyDescent="0.25">
      <c r="B311" s="1521" t="str">
        <f>PUER!C305</f>
        <v>Estimativa de Quantidade de parcelas do PNATE - PROGRAMA NACIONAL DE APOIO AO TRANSP DO ESCOLAR</v>
      </c>
      <c r="C311" s="1521"/>
      <c r="D311" s="1521"/>
      <c r="E311" s="1521"/>
      <c r="F311" s="1521"/>
      <c r="G311" s="1521"/>
      <c r="H311" s="127">
        <f>PUER!D305</f>
        <v>10</v>
      </c>
      <c r="I311" s="123" t="str">
        <f>PUER!E305</f>
        <v>XXXXXXX</v>
      </c>
      <c r="J311" s="123" t="str">
        <f>PUER!F305</f>
        <v>XXXXXXXX</v>
      </c>
    </row>
    <row r="312" spans="2:10" x14ac:dyDescent="0.25">
      <c r="B312" s="1521" t="str">
        <f>PUER!C306</f>
        <v>Estimativa de Transferencias Programa Brasil Carinhoso Apoio a Creches</v>
      </c>
      <c r="C312" s="1521"/>
      <c r="D312" s="1521"/>
      <c r="E312" s="1521"/>
      <c r="F312" s="1521"/>
      <c r="G312" s="1521"/>
      <c r="H312" s="127">
        <f>PUER!D306</f>
        <v>33.073333333333338</v>
      </c>
      <c r="I312" s="123" t="str">
        <f>PUER!E306</f>
        <v>XXXXXXX</v>
      </c>
      <c r="J312" s="123" t="str">
        <f>PUER!F306</f>
        <v>XXXXXXXX</v>
      </c>
    </row>
    <row r="313" spans="2:10" x14ac:dyDescent="0.25">
      <c r="B313" s="1521" t="str">
        <f>PUER!C307</f>
        <v>Estimativa de Transferencias MP 815/2017</v>
      </c>
      <c r="C313" s="1521"/>
      <c r="D313" s="1521"/>
      <c r="E313" s="1521"/>
      <c r="F313" s="1521"/>
      <c r="G313" s="1521"/>
      <c r="H313" s="123">
        <f>PUER!D307</f>
        <v>39640.658333333333</v>
      </c>
      <c r="I313" s="123" t="str">
        <f>PUER!E307</f>
        <v>XXXXXXX</v>
      </c>
      <c r="J313" s="123" t="str">
        <f>PUER!F307</f>
        <v>XXXXXXXX</v>
      </c>
    </row>
    <row r="314" spans="2:10" x14ac:dyDescent="0.25">
      <c r="B314" s="1521" t="str">
        <f>PUER!C308</f>
        <v>Estimativa de INDICE DO ICMS PARA 2020</v>
      </c>
      <c r="C314" s="1521"/>
      <c r="D314" s="1521"/>
      <c r="E314" s="1521"/>
      <c r="F314" s="1521"/>
      <c r="G314" s="1521"/>
      <c r="H314" s="128">
        <f>PUER!D308</f>
        <v>5.0257999999999998E-4</v>
      </c>
      <c r="I314" s="123" t="str">
        <f>PUER!E308</f>
        <v>XXXXXXX</v>
      </c>
      <c r="J314" s="123" t="str">
        <f>PUER!F308</f>
        <v>XXXXXXXX</v>
      </c>
    </row>
    <row r="315" spans="2:10" x14ac:dyDescent="0.25">
      <c r="B315" s="1521" t="str">
        <f>PUER!C309</f>
        <v>Estimativa de transferencias da Lei 87/96 valor bruto</v>
      </c>
      <c r="C315" s="1521"/>
      <c r="D315" s="1521"/>
      <c r="E315" s="1521"/>
      <c r="F315" s="1521"/>
      <c r="G315" s="1521"/>
      <c r="H315" s="127">
        <f>PUER!D309</f>
        <v>1</v>
      </c>
      <c r="I315" s="123" t="str">
        <f>PUER!E309</f>
        <v>XXXXXXX</v>
      </c>
      <c r="J315" s="123" t="str">
        <f>PUER!F309</f>
        <v>XXXXXXXX</v>
      </c>
    </row>
    <row r="316" spans="2:10" x14ac:dyDescent="0.25">
      <c r="B316" s="1521" t="str">
        <f>PUER!C310</f>
        <v>Estimativa de transferencias do Auxilio financeiro Esforço exportador - FEX</v>
      </c>
      <c r="C316" s="1521"/>
      <c r="D316" s="1521"/>
      <c r="E316" s="1521"/>
      <c r="F316" s="1521"/>
      <c r="G316" s="1521"/>
      <c r="H316" s="127">
        <f>PUER!D310</f>
        <v>1</v>
      </c>
      <c r="I316" s="123" t="str">
        <f>PUER!E310</f>
        <v>XXXXXXX</v>
      </c>
      <c r="J316" s="123" t="str">
        <f>PUER!F310</f>
        <v>XXXXXXXX</v>
      </c>
    </row>
    <row r="317" spans="2:10" x14ac:dyDescent="0.25">
      <c r="B317" s="1521" t="str">
        <f>PUER!C311</f>
        <v xml:space="preserve">Estimativa de Transferencias do Estado - ICMS </v>
      </c>
      <c r="C317" s="1521"/>
      <c r="D317" s="1521"/>
      <c r="E317" s="1521"/>
      <c r="F317" s="1521"/>
      <c r="G317" s="1521"/>
      <c r="H317" s="127">
        <f>PUER!D311</f>
        <v>9306843757</v>
      </c>
      <c r="I317" s="123" t="str">
        <f>PUER!E311</f>
        <v>XXXXXXX</v>
      </c>
      <c r="J317" s="123" t="str">
        <f>PUER!F311</f>
        <v>XXXXXXXX</v>
      </c>
    </row>
    <row r="318" spans="2:10" x14ac:dyDescent="0.25">
      <c r="B318" s="1521" t="str">
        <f>PUER!C312</f>
        <v>Estimativa de Transferencias do Estado - IPVA</v>
      </c>
      <c r="C318" s="1521"/>
      <c r="D318" s="1521"/>
      <c r="E318" s="1521"/>
      <c r="F318" s="1521"/>
      <c r="G318" s="1521"/>
      <c r="H318" s="127">
        <f>PUER!D312</f>
        <v>376803.10333333333</v>
      </c>
      <c r="I318" s="123" t="str">
        <f>PUER!E312</f>
        <v>XXXXXXX</v>
      </c>
      <c r="J318" s="123" t="str">
        <f>PUER!F312</f>
        <v>XXXXXXXX</v>
      </c>
    </row>
    <row r="319" spans="2:10" x14ac:dyDescent="0.25">
      <c r="B319" s="1521" t="str">
        <f>PUER!C313</f>
        <v>Estimativa de taxa de Crescimento - IPVA</v>
      </c>
      <c r="C319" s="1521"/>
      <c r="D319" s="1521"/>
      <c r="E319" s="1521"/>
      <c r="F319" s="1521"/>
      <c r="G319" s="1521"/>
      <c r="H319" s="123">
        <f>PUER!D313</f>
        <v>3.9E-2</v>
      </c>
      <c r="I319" s="123" t="str">
        <f>PUER!E313</f>
        <v>XXXXXXX</v>
      </c>
      <c r="J319" s="123" t="str">
        <f>PUER!F313</f>
        <v>XXXXXXXX</v>
      </c>
    </row>
    <row r="320" spans="2:10" x14ac:dyDescent="0.25">
      <c r="B320" s="1521" t="str">
        <f>PUER!C314</f>
        <v>Estimativa de Transferencias do Estado - IPI/EXP.</v>
      </c>
      <c r="C320" s="1521"/>
      <c r="D320" s="1521"/>
      <c r="E320" s="1521"/>
      <c r="F320" s="1521"/>
      <c r="G320" s="1521"/>
      <c r="H320" s="127">
        <f>PUER!D314</f>
        <v>138672.03700000001</v>
      </c>
      <c r="I320" s="123" t="str">
        <f>PUER!E314</f>
        <v>XXXXXXX</v>
      </c>
      <c r="J320" s="123" t="str">
        <f>PUER!F314</f>
        <v>XXXXXXXX</v>
      </c>
    </row>
    <row r="321" spans="2:10" x14ac:dyDescent="0.25">
      <c r="B321" s="1521" t="str">
        <f>PUER!C315</f>
        <v>Estimativa de Transferencias do Estado - CIDE</v>
      </c>
      <c r="C321" s="1521"/>
      <c r="D321" s="1521"/>
      <c r="E321" s="1521"/>
      <c r="F321" s="1521"/>
      <c r="G321" s="1521"/>
      <c r="H321" s="127">
        <f>PUER!D315</f>
        <v>10579337</v>
      </c>
      <c r="I321" s="123" t="str">
        <f>PUER!E315</f>
        <v>XXXXXXX</v>
      </c>
      <c r="J321" s="123" t="str">
        <f>PUER!F315</f>
        <v>XXXXXXXX</v>
      </c>
    </row>
    <row r="322" spans="2:10" x14ac:dyDescent="0.25">
      <c r="B322" s="1521" t="str">
        <f>PUER!C316</f>
        <v>Estimativa de INDICE DA CIDE PARA 2020</v>
      </c>
      <c r="C322" s="1521"/>
      <c r="D322" s="1521"/>
      <c r="E322" s="1521"/>
      <c r="F322" s="1521"/>
      <c r="G322" s="1521"/>
      <c r="H322" s="129">
        <f>PUER!D316</f>
        <v>7.7792666666666671E-4</v>
      </c>
      <c r="I322" s="123" t="str">
        <f>PUER!E316</f>
        <v>XXXXXXX</v>
      </c>
      <c r="J322" s="123" t="str">
        <f>PUER!F316</f>
        <v>XXXXXXXX</v>
      </c>
    </row>
    <row r="323" spans="2:10" x14ac:dyDescent="0.25">
      <c r="B323" s="1521" t="str">
        <f>PUER!C317</f>
        <v>Estimativa de Transferencias do FECA</v>
      </c>
      <c r="C323" s="1521"/>
      <c r="D323" s="1521"/>
      <c r="E323" s="1521"/>
      <c r="F323" s="1521"/>
      <c r="G323" s="1521"/>
      <c r="H323" s="127">
        <f>PUER!D317</f>
        <v>1</v>
      </c>
      <c r="I323" s="123" t="str">
        <f>PUER!E317</f>
        <v>XXXXXXX</v>
      </c>
      <c r="J323" s="123" t="str">
        <f>PUER!F317</f>
        <v>XXXXXXXX</v>
      </c>
    </row>
    <row r="324" spans="2:10" x14ac:dyDescent="0.25">
      <c r="B324" s="1521" t="str">
        <f>PUER!C318</f>
        <v>Estimativa de Transferencias do FEAS</v>
      </c>
      <c r="C324" s="1521"/>
      <c r="D324" s="1521"/>
      <c r="E324" s="1521"/>
      <c r="F324" s="1521"/>
      <c r="G324" s="1521"/>
      <c r="H324" s="127">
        <f>PUER!D318</f>
        <v>1</v>
      </c>
      <c r="I324" s="123" t="str">
        <f>PUER!E318</f>
        <v>XXXXXXX</v>
      </c>
      <c r="J324" s="123" t="str">
        <f>PUER!F318</f>
        <v>XXXXXXXX</v>
      </c>
    </row>
    <row r="325" spans="2:10" x14ac:dyDescent="0.25">
      <c r="B325" s="1521" t="str">
        <f>PUER!C319</f>
        <v>Estimativa de Transferencias de Convenios do Estado - Transporte Escolar PEATE/RS</v>
      </c>
      <c r="C325" s="1521"/>
      <c r="D325" s="1521"/>
      <c r="E325" s="1521"/>
      <c r="F325" s="1521"/>
      <c r="G325" s="1521"/>
      <c r="H325" s="127">
        <f>PUER!D319</f>
        <v>598989.36222222226</v>
      </c>
      <c r="I325" s="123" t="str">
        <f>PUER!E319</f>
        <v>XXXXXXX</v>
      </c>
      <c r="J325" s="123" t="str">
        <f>PUER!F319</f>
        <v>XXXXXXXX</v>
      </c>
    </row>
    <row r="326" spans="2:10" x14ac:dyDescent="0.25">
      <c r="B326" s="1521" t="str">
        <f>PUER!C320</f>
        <v>Estimativa de Transferencias do Estado - Quota Multa de Transito</v>
      </c>
      <c r="C326" s="1521"/>
      <c r="D326" s="1521"/>
      <c r="E326" s="1521"/>
      <c r="F326" s="1521"/>
      <c r="G326" s="1521"/>
      <c r="H326" s="127">
        <f>PUER!D320</f>
        <v>61.675000000000004</v>
      </c>
      <c r="I326" s="123" t="str">
        <f>PUER!E320</f>
        <v>XXXXXXX</v>
      </c>
      <c r="J326" s="123" t="str">
        <f>PUER!F320</f>
        <v>XXXXXXXX</v>
      </c>
    </row>
    <row r="327" spans="2:10" x14ac:dyDescent="0.25">
      <c r="B327" s="1521" t="str">
        <f>PUER!C321</f>
        <v>Estimativa de Transferencias do Estado - Programa Integ. Trib. - PIT</v>
      </c>
      <c r="C327" s="1521"/>
      <c r="D327" s="1521"/>
      <c r="E327" s="1521"/>
      <c r="F327" s="1521"/>
      <c r="G327" s="1521"/>
      <c r="H327" s="127">
        <f>PUER!D321</f>
        <v>33666.666666666664</v>
      </c>
      <c r="I327" s="123" t="str">
        <f>PUER!E321</f>
        <v>XXXXXXX</v>
      </c>
      <c r="J327" s="123" t="str">
        <f>PUER!F321</f>
        <v>XXXXXXXX</v>
      </c>
    </row>
    <row r="328" spans="2:10" x14ac:dyDescent="0.25">
      <c r="B328" s="1521" t="str">
        <f>PUER!C323</f>
        <v>Estimativa de Transferencias Estado para Aquisição de Insumos</v>
      </c>
      <c r="C328" s="1521"/>
      <c r="D328" s="1521"/>
      <c r="E328" s="1521"/>
      <c r="F328" s="1521"/>
      <c r="G328" s="1521"/>
      <c r="H328" s="127">
        <f>PUER!D323</f>
        <v>1</v>
      </c>
      <c r="I328" s="123" t="str">
        <f>PUER!E323</f>
        <v>XXXXXXX</v>
      </c>
      <c r="J328" s="123" t="str">
        <f>PUER!F323</f>
        <v>XXXXXXXX</v>
      </c>
    </row>
    <row r="329" spans="2:10" x14ac:dyDescent="0.25">
      <c r="B329" s="1521" t="str">
        <f>PUER!C324</f>
        <v>Estimativa de Transferencia Incentivo Resolução CIB 129/2013</v>
      </c>
      <c r="C329" s="1521"/>
      <c r="D329" s="1521"/>
      <c r="E329" s="1521"/>
      <c r="F329" s="1521"/>
      <c r="G329" s="1521"/>
      <c r="H329" s="127">
        <f>PUER!D324</f>
        <v>1</v>
      </c>
      <c r="I329" s="123" t="str">
        <f>PUER!E324</f>
        <v>XXXXXXX</v>
      </c>
      <c r="J329" s="123" t="str">
        <f>PUER!F324</f>
        <v>XXXXXXXX</v>
      </c>
    </row>
    <row r="330" spans="2:10" x14ac:dyDescent="0.25">
      <c r="B330" s="1521" t="str">
        <f>PUER!C325</f>
        <v>Estimativa de Transferencias do Estado - Assistencia Farmaceutica básica</v>
      </c>
      <c r="C330" s="1521"/>
      <c r="D330" s="1521"/>
      <c r="E330" s="1521"/>
      <c r="F330" s="1521"/>
      <c r="G330" s="1521"/>
      <c r="H330" s="127">
        <f>PUER!D325</f>
        <v>1</v>
      </c>
      <c r="I330" s="123" t="str">
        <f>PUER!E325</f>
        <v>XXXXXXX</v>
      </c>
      <c r="J330" s="123" t="str">
        <f>PUER!F325</f>
        <v>XXXXXXXX</v>
      </c>
    </row>
    <row r="331" spans="2:10" x14ac:dyDescent="0.25">
      <c r="B331" s="1521" t="str">
        <f>PUER!C326</f>
        <v>Estimativa de Transferencias do Estado - Vigilancia Epidemiologica</v>
      </c>
      <c r="C331" s="1521"/>
      <c r="D331" s="1521"/>
      <c r="E331" s="1521"/>
      <c r="F331" s="1521"/>
      <c r="G331" s="1521"/>
      <c r="H331" s="127">
        <f>PUER!D326</f>
        <v>1</v>
      </c>
      <c r="I331" s="123" t="str">
        <f>PUER!E326</f>
        <v>XXXXXXX</v>
      </c>
      <c r="J331" s="123" t="str">
        <f>PUER!F326</f>
        <v>XXXXXXXX</v>
      </c>
    </row>
    <row r="332" spans="2:10" x14ac:dyDescent="0.25">
      <c r="B332" s="1521" t="str">
        <f>PUER!C327</f>
        <v>Estimativa de Transferencias do Estado - Saude Mental</v>
      </c>
      <c r="C332" s="1521"/>
      <c r="D332" s="1521"/>
      <c r="E332" s="1521"/>
      <c r="F332" s="1521"/>
      <c r="G332" s="1521"/>
      <c r="H332" s="127">
        <f>PUER!D327</f>
        <v>81000</v>
      </c>
      <c r="I332" s="123" t="str">
        <f>PUER!E327</f>
        <v>XXXXXXX</v>
      </c>
      <c r="J332" s="123" t="str">
        <f>PUER!F327</f>
        <v>XXXXXXXX</v>
      </c>
    </row>
    <row r="333" spans="2:10" x14ac:dyDescent="0.25">
      <c r="B333" s="1521" t="str">
        <f>PUER!C328</f>
        <v>Estimativa de Transferencias do Estado - Campanha de Vacinação</v>
      </c>
      <c r="C333" s="1521"/>
      <c r="D333" s="1521"/>
      <c r="E333" s="1521"/>
      <c r="F333" s="1521"/>
      <c r="G333" s="1521"/>
      <c r="H333" s="127">
        <f>PUER!D328</f>
        <v>1</v>
      </c>
      <c r="I333" s="123" t="str">
        <f>PUER!E328</f>
        <v>XXXXXXX</v>
      </c>
      <c r="J333" s="123" t="str">
        <f>PUER!F328</f>
        <v>XXXXXXXX</v>
      </c>
    </row>
    <row r="334" spans="2:10" x14ac:dyDescent="0.25">
      <c r="B334" s="1521" t="str">
        <f>PUER!C329</f>
        <v>Estimativa de Transferencias do Estado - Piso de Atenção Básica PIES</v>
      </c>
      <c r="C334" s="1521"/>
      <c r="D334" s="1521"/>
      <c r="E334" s="1521"/>
      <c r="F334" s="1521"/>
      <c r="G334" s="1521"/>
      <c r="H334" s="127">
        <f>PUER!D329</f>
        <v>80864.863333333327</v>
      </c>
      <c r="I334" s="123" t="str">
        <f>PUER!E329</f>
        <v>XXXXXXX</v>
      </c>
      <c r="J334" s="123" t="str">
        <f>PUER!F329</f>
        <v>XXXXXXXX</v>
      </c>
    </row>
    <row r="335" spans="2:10" x14ac:dyDescent="0.25">
      <c r="B335" s="1521" t="str">
        <f>PUER!C330</f>
        <v>Estimativa de Transferencias do Estado - Diabete Mellitus</v>
      </c>
      <c r="C335" s="1521"/>
      <c r="D335" s="1521"/>
      <c r="E335" s="1521"/>
      <c r="F335" s="1521"/>
      <c r="G335" s="1521"/>
      <c r="H335" s="127">
        <f>PUER!D330</f>
        <v>10888.74</v>
      </c>
      <c r="I335" s="123" t="str">
        <f>PUER!E330</f>
        <v>XXXXXXX</v>
      </c>
      <c r="J335" s="123" t="str">
        <f>PUER!F330</f>
        <v>XXXXXXXX</v>
      </c>
    </row>
    <row r="336" spans="2:10" x14ac:dyDescent="0.25">
      <c r="B336" s="1521" t="str">
        <f>PUER!C331</f>
        <v>Estimativa de Transferencias do Estado - S.I.A.  Média Complexidade PIES</v>
      </c>
      <c r="C336" s="1521"/>
      <c r="D336" s="1521"/>
      <c r="E336" s="1521"/>
      <c r="F336" s="1521"/>
      <c r="G336" s="1521"/>
      <c r="H336" s="127">
        <f>PUER!D331</f>
        <v>40061.114999999998</v>
      </c>
      <c r="I336" s="123" t="str">
        <f>PUER!E331</f>
        <v>XXXXXXX</v>
      </c>
      <c r="J336" s="123" t="str">
        <f>PUER!F331</f>
        <v>XXXXXXXX</v>
      </c>
    </row>
    <row r="337" spans="2:10" x14ac:dyDescent="0.25">
      <c r="B337" s="1521" t="str">
        <f>PUER!C332</f>
        <v>Estimativa de Transferencias do Estado - Rede Cegonha</v>
      </c>
      <c r="C337" s="1521"/>
      <c r="D337" s="1521"/>
      <c r="E337" s="1521"/>
      <c r="F337" s="1521"/>
      <c r="G337" s="1521"/>
      <c r="H337" s="127">
        <f>PUER!D332</f>
        <v>10530</v>
      </c>
      <c r="I337" s="123" t="str">
        <f>PUER!E332</f>
        <v>XXXXXXX</v>
      </c>
      <c r="J337" s="123" t="str">
        <f>PUER!F332</f>
        <v>XXXXXXXX</v>
      </c>
    </row>
    <row r="338" spans="2:10" x14ac:dyDescent="0.25">
      <c r="B338" s="1521" t="str">
        <f>PUER!C333</f>
        <v>Estimativa de Transferencias do Estado -  Saúde da Familia</v>
      </c>
      <c r="C338" s="1521"/>
      <c r="D338" s="1521"/>
      <c r="E338" s="1521"/>
      <c r="F338" s="1521"/>
      <c r="G338" s="1521"/>
      <c r="H338" s="127">
        <f>PUER!D333</f>
        <v>1</v>
      </c>
      <c r="I338" s="123" t="str">
        <f>PUER!E333</f>
        <v>XXXXXXX</v>
      </c>
      <c r="J338" s="123" t="str">
        <f>PUER!F333</f>
        <v>XXXXXXXX</v>
      </c>
    </row>
    <row r="339" spans="2:10" x14ac:dyDescent="0.25">
      <c r="B339" s="1521" t="str">
        <f>PUER!C334</f>
        <v>Estimativa de Transferencias do Estado - Prestador de Serviços Sus/Produção</v>
      </c>
      <c r="C339" s="1521"/>
      <c r="D339" s="1521"/>
      <c r="E339" s="1521"/>
      <c r="F339" s="1521"/>
      <c r="G339" s="1521"/>
      <c r="H339" s="127">
        <f>PUER!D334</f>
        <v>1</v>
      </c>
      <c r="I339" s="123" t="str">
        <f>PUER!E334</f>
        <v>XXXXXXX</v>
      </c>
      <c r="J339" s="123" t="str">
        <f>PUER!F334</f>
        <v>XXXXXXXX</v>
      </c>
    </row>
    <row r="340" spans="2:10" x14ac:dyDescent="0.25">
      <c r="B340" s="1521" t="str">
        <f>PUER!C335</f>
        <v>Estimativa de Transferencias do FUNDEB</v>
      </c>
      <c r="C340" s="1521"/>
      <c r="D340" s="1521"/>
      <c r="E340" s="1521"/>
      <c r="F340" s="1521"/>
      <c r="G340" s="1521"/>
      <c r="H340" s="127">
        <f>PUER!D335</f>
        <v>3700481.9799999995</v>
      </c>
      <c r="I340" s="123" t="str">
        <f>PUER!E335</f>
        <v>XXXXXXX</v>
      </c>
      <c r="J340" s="123" t="str">
        <f>PUER!F335</f>
        <v>XXXXXXXX</v>
      </c>
    </row>
    <row r="341" spans="2:10" x14ac:dyDescent="0.25">
      <c r="B341" s="1521" t="str">
        <f>PUER!C336</f>
        <v>Estimativa de Receitas de Restituicoes Determinadas Pelo Tce - Principal</v>
      </c>
      <c r="C341" s="1521"/>
      <c r="D341" s="1521"/>
      <c r="E341" s="1521"/>
      <c r="F341" s="1521"/>
      <c r="G341" s="1521"/>
      <c r="H341" s="127">
        <f>PUER!D336</f>
        <v>1</v>
      </c>
      <c r="I341" s="123" t="str">
        <f>PUER!E336</f>
        <v>XXXXXXX</v>
      </c>
      <c r="J341" s="123" t="str">
        <f>PUER!F336</f>
        <v>XXXXXXXX</v>
      </c>
    </row>
    <row r="342" spans="2:10" x14ac:dyDescent="0.25">
      <c r="B342" s="1521" t="str">
        <f>PUER!C337</f>
        <v>Estimativa de Receitas de Multas E Juros Previstos Em Contrato  - Principal</v>
      </c>
      <c r="C342" s="1521"/>
      <c r="D342" s="1521"/>
      <c r="E342" s="1521"/>
      <c r="F342" s="1521"/>
      <c r="G342" s="1521"/>
      <c r="H342" s="127">
        <f>PUER!D337</f>
        <v>1</v>
      </c>
      <c r="I342" s="123" t="str">
        <f>PUER!E337</f>
        <v>XXXXXXX</v>
      </c>
      <c r="J342" s="123" t="str">
        <f>PUER!F337</f>
        <v>XXXXXXXX</v>
      </c>
    </row>
    <row r="343" spans="2:10" x14ac:dyDescent="0.25">
      <c r="B343" s="1521" t="str">
        <f>PUER!C338</f>
        <v>Estimativa de Receitas de Multas E Juros Previstos Em Contrato Divida Ativa  - Principal</v>
      </c>
      <c r="C343" s="1521"/>
      <c r="D343" s="1521"/>
      <c r="E343" s="1521"/>
      <c r="F343" s="1521"/>
      <c r="G343" s="1521"/>
      <c r="H343" s="127">
        <f>PUER!D338</f>
        <v>1</v>
      </c>
      <c r="I343" s="123" t="str">
        <f>PUER!E338</f>
        <v>XXXXXXX</v>
      </c>
      <c r="J343" s="123" t="str">
        <f>PUER!F338</f>
        <v>XXXXXXXX</v>
      </c>
    </row>
    <row r="344" spans="2:10" x14ac:dyDescent="0.25">
      <c r="B344" s="1521" t="str">
        <f>PUER!C339</f>
        <v xml:space="preserve">Restituições Determinadas pelo TCE - Principal </v>
      </c>
      <c r="C344" s="1521"/>
      <c r="D344" s="1521"/>
      <c r="E344" s="1521"/>
      <c r="F344" s="1521"/>
      <c r="G344" s="1521"/>
      <c r="H344" s="127">
        <f>PUER!D339</f>
        <v>1</v>
      </c>
      <c r="I344" s="123" t="str">
        <f>PUER!E339</f>
        <v>XXXXXXX</v>
      </c>
      <c r="J344" s="123" t="str">
        <f>PUER!F339</f>
        <v>XXXXXXXX</v>
      </c>
    </row>
    <row r="345" spans="2:10" x14ac:dyDescent="0.25">
      <c r="B345" s="1521" t="str">
        <f>PUER!C340</f>
        <v>Estimativa de Receitas de Programa Troca-troca  - Principal</v>
      </c>
      <c r="C345" s="1521"/>
      <c r="D345" s="1521"/>
      <c r="E345" s="1521"/>
      <c r="F345" s="1521"/>
      <c r="G345" s="1521"/>
      <c r="H345" s="127">
        <f>PUER!D340</f>
        <v>70766.166666666672</v>
      </c>
      <c r="I345" s="123" t="str">
        <f>PUER!E340</f>
        <v>XXXXXXX</v>
      </c>
      <c r="J345" s="123" t="str">
        <f>PUER!F340</f>
        <v>XXXXXXXX</v>
      </c>
    </row>
    <row r="346" spans="2:10" x14ac:dyDescent="0.25">
      <c r="B346" s="1521" t="str">
        <f>PUER!C341</f>
        <v>Restituição Pelo Uso de Bens do Município - Principal</v>
      </c>
      <c r="C346" s="1521"/>
      <c r="D346" s="1521"/>
      <c r="E346" s="1521"/>
      <c r="F346" s="1521"/>
      <c r="G346" s="1521"/>
      <c r="H346" s="127">
        <f>PUER!D341</f>
        <v>1</v>
      </c>
      <c r="I346" s="123" t="str">
        <f>PUER!E341</f>
        <v>XXXXXXX</v>
      </c>
      <c r="J346" s="123" t="str">
        <f>PUER!F341</f>
        <v>XXXXXXXX</v>
      </c>
    </row>
    <row r="347" spans="2:10" x14ac:dyDescent="0.25">
      <c r="B347" s="1521" t="str">
        <f>PUER!C342</f>
        <v>Estimativa de Receitas de Restituicao Pelo Pagamento Indevido  - Principal</v>
      </c>
      <c r="C347" s="1521"/>
      <c r="D347" s="1521"/>
      <c r="E347" s="1521"/>
      <c r="F347" s="1521"/>
      <c r="G347" s="1521"/>
      <c r="H347" s="127">
        <f>PUER!D342</f>
        <v>1</v>
      </c>
      <c r="I347" s="123" t="str">
        <f>PUER!E342</f>
        <v>XXXXXXX</v>
      </c>
      <c r="J347" s="123" t="str">
        <f>PUER!F342</f>
        <v>XXXXXXXX</v>
      </c>
    </row>
    <row r="348" spans="2:10" x14ac:dyDescent="0.25">
      <c r="B348" s="1521" t="str">
        <f>PUER!C343</f>
        <v>Estimativa de Receitas de Restituicoes Do Plano De Assistencia Medica Dos Servidores  - Principal</v>
      </c>
      <c r="C348" s="1521"/>
      <c r="D348" s="1521"/>
      <c r="E348" s="1521"/>
      <c r="F348" s="1521"/>
      <c r="G348" s="1521"/>
      <c r="H348" s="127">
        <f>PUER!D343</f>
        <v>6618.0149999999994</v>
      </c>
      <c r="I348" s="123" t="str">
        <f>PUER!E343</f>
        <v>XXXXXXX</v>
      </c>
      <c r="J348" s="123" t="str">
        <f>PUER!F343</f>
        <v>XXXXXXXX</v>
      </c>
    </row>
    <row r="349" spans="2:10" x14ac:dyDescent="0.25">
      <c r="B349" s="1521" t="str">
        <f>PUER!C344</f>
        <v>Restituições Determinadas pelo TCE - Multas e Juros</v>
      </c>
      <c r="C349" s="1521"/>
      <c r="D349" s="1521"/>
      <c r="E349" s="1521"/>
      <c r="F349" s="1521"/>
      <c r="G349" s="1521"/>
      <c r="H349" s="127">
        <f>PUER!D344</f>
        <v>1</v>
      </c>
      <c r="I349" s="123" t="str">
        <f>PUER!E344</f>
        <v>XXXXXXX</v>
      </c>
      <c r="J349" s="123" t="str">
        <f>PUER!F344</f>
        <v>XXXXXXXX</v>
      </c>
    </row>
    <row r="350" spans="2:10" x14ac:dyDescent="0.25">
      <c r="B350" s="1521" t="str">
        <f>PUER!C345</f>
        <v>Programa Troca-troca - Multas e Juros</v>
      </c>
      <c r="C350" s="1521"/>
      <c r="D350" s="1521"/>
      <c r="E350" s="1521"/>
      <c r="F350" s="1521"/>
      <c r="G350" s="1521"/>
      <c r="H350" s="127">
        <f>PUER!D345</f>
        <v>1997.8083333333332</v>
      </c>
      <c r="I350" s="123" t="str">
        <f>PUER!E345</f>
        <v>XXXXXXX</v>
      </c>
      <c r="J350" s="123" t="str">
        <f>PUER!F345</f>
        <v>XXXXXXXX</v>
      </c>
    </row>
    <row r="351" spans="2:10" x14ac:dyDescent="0.25">
      <c r="B351" s="1521" t="str">
        <f>PUER!C346</f>
        <v>Restituição Pelo Uso de Bens do Município - Multas e Juros</v>
      </c>
      <c r="C351" s="1521"/>
      <c r="D351" s="1521"/>
      <c r="E351" s="1521"/>
      <c r="F351" s="1521"/>
      <c r="G351" s="1521"/>
      <c r="H351" s="127">
        <f>PUER!D346</f>
        <v>1</v>
      </c>
      <c r="I351" s="123" t="str">
        <f>PUER!E346</f>
        <v>XXXXXXX</v>
      </c>
      <c r="J351" s="123" t="str">
        <f>PUER!F346</f>
        <v>XXXXXXXX</v>
      </c>
    </row>
    <row r="352" spans="2:10" x14ac:dyDescent="0.25">
      <c r="B352" s="1521" t="str">
        <f>PUER!C347</f>
        <v>Restituição Pelo Pagamento Indevido - Multas e Juros</v>
      </c>
      <c r="C352" s="1521"/>
      <c r="D352" s="1521"/>
      <c r="E352" s="1521"/>
      <c r="F352" s="1521"/>
      <c r="G352" s="1521"/>
      <c r="H352" s="127">
        <f>PUER!D347</f>
        <v>1</v>
      </c>
      <c r="I352" s="123" t="str">
        <f>PUER!E347</f>
        <v>XXXXXXX</v>
      </c>
      <c r="J352" s="123" t="str">
        <f>PUER!F347</f>
        <v>XXXXXXXX</v>
      </c>
    </row>
    <row r="353" spans="2:10" x14ac:dyDescent="0.25">
      <c r="B353" s="1521" t="str">
        <f>PUER!C348</f>
        <v>Restituições do Plano de Assistência Médica dos Servidores - Multas e Juros</v>
      </c>
      <c r="C353" s="1521"/>
      <c r="D353" s="1521"/>
      <c r="E353" s="1521"/>
      <c r="F353" s="1521"/>
      <c r="G353" s="1521"/>
      <c r="H353" s="127">
        <f>PUER!D348</f>
        <v>1</v>
      </c>
      <c r="I353" s="123" t="str">
        <f>PUER!E348</f>
        <v>XXXXXXX</v>
      </c>
      <c r="J353" s="123" t="str">
        <f>PUER!F348</f>
        <v>XXXXXXXX</v>
      </c>
    </row>
    <row r="354" spans="2:10" x14ac:dyDescent="0.25">
      <c r="B354" s="1521" t="str">
        <f>PUER!C349</f>
        <v>Restituições Determinadas pelo TCE - Dívida Ativa</v>
      </c>
      <c r="C354" s="1521"/>
      <c r="D354" s="1521"/>
      <c r="E354" s="1521"/>
      <c r="F354" s="1521"/>
      <c r="G354" s="1521"/>
      <c r="H354" s="127">
        <f>PUER!D349</f>
        <v>1</v>
      </c>
      <c r="I354" s="123" t="str">
        <f>PUER!E349</f>
        <v>XXXXXXX</v>
      </c>
      <c r="J354" s="123" t="str">
        <f>PUER!F349</f>
        <v>XXXXXXXX</v>
      </c>
    </row>
    <row r="355" spans="2:10" x14ac:dyDescent="0.25">
      <c r="B355" s="1521" t="str">
        <f>PUER!C350</f>
        <v>Programa Troca-troca - Dívida Ativa</v>
      </c>
      <c r="C355" s="1521"/>
      <c r="D355" s="1521"/>
      <c r="E355" s="1521"/>
      <c r="F355" s="1521"/>
      <c r="G355" s="1521"/>
      <c r="H355" s="127">
        <f>PUER!D350</f>
        <v>1144.0666666666666</v>
      </c>
      <c r="I355" s="123" t="str">
        <f>PUER!E350</f>
        <v>XXXXXXX</v>
      </c>
      <c r="J355" s="123" t="str">
        <f>PUER!F350</f>
        <v>XXXXXXXX</v>
      </c>
    </row>
    <row r="356" spans="2:10" x14ac:dyDescent="0.25">
      <c r="B356" s="1521" t="str">
        <f>PUER!C351</f>
        <v>Restituição Pelo Uso de Bens do Município - Dívida Ativa</v>
      </c>
      <c r="C356" s="1521"/>
      <c r="D356" s="1521"/>
      <c r="E356" s="1521"/>
      <c r="F356" s="1521"/>
      <c r="G356" s="1521"/>
      <c r="H356" s="127">
        <f>PUER!D351</f>
        <v>22.333333333333332</v>
      </c>
      <c r="I356" s="123" t="str">
        <f>PUER!E351</f>
        <v>XXXXXXX</v>
      </c>
      <c r="J356" s="123" t="str">
        <f>PUER!F351</f>
        <v>XXXXXXXX</v>
      </c>
    </row>
    <row r="357" spans="2:10" x14ac:dyDescent="0.25">
      <c r="B357" s="1521" t="str">
        <f>PUER!C352</f>
        <v>Restituição Pelo Pagamento Indevido - Dívida Ativa</v>
      </c>
      <c r="C357" s="1521"/>
      <c r="D357" s="1521"/>
      <c r="E357" s="1521"/>
      <c r="F357" s="1521"/>
      <c r="G357" s="1521"/>
      <c r="H357" s="127">
        <f>PUER!D352</f>
        <v>1</v>
      </c>
      <c r="I357" s="123" t="str">
        <f>PUER!E352</f>
        <v>XXXXXXX</v>
      </c>
      <c r="J357" s="123" t="str">
        <f>PUER!F352</f>
        <v>XXXXXXXX</v>
      </c>
    </row>
    <row r="358" spans="2:10" x14ac:dyDescent="0.25">
      <c r="B358" s="1521" t="str">
        <f>PUER!C353</f>
        <v>Restituições do Plano de Assistência Médica dos Servidores - Dívida Ativa</v>
      </c>
      <c r="C358" s="1521"/>
      <c r="D358" s="1521"/>
      <c r="E358" s="1521"/>
      <c r="F358" s="1521"/>
      <c r="G358" s="1521"/>
      <c r="H358" s="127">
        <f>PUER!D353</f>
        <v>1</v>
      </c>
      <c r="I358" s="123" t="str">
        <f>PUER!E353</f>
        <v>XXXXXXX</v>
      </c>
      <c r="J358" s="123" t="str">
        <f>PUER!F353</f>
        <v>XXXXXXXX</v>
      </c>
    </row>
    <row r="359" spans="2:10" x14ac:dyDescent="0.25">
      <c r="B359" s="1521" t="str">
        <f>PUER!C354</f>
        <v>Restituições Determinadas pelo TCE - Dívida Ativa - Multas e Juros</v>
      </c>
      <c r="C359" s="1521"/>
      <c r="D359" s="1521"/>
      <c r="E359" s="1521"/>
      <c r="F359" s="1521"/>
      <c r="G359" s="1521"/>
      <c r="H359" s="127">
        <f>PUER!D354</f>
        <v>1</v>
      </c>
      <c r="I359" s="123" t="str">
        <f>PUER!E354</f>
        <v>XXXXXXX</v>
      </c>
      <c r="J359" s="123" t="str">
        <f>PUER!F354</f>
        <v>XXXXXXXX</v>
      </c>
    </row>
    <row r="360" spans="2:10" x14ac:dyDescent="0.25">
      <c r="B360" s="1521" t="str">
        <f>PUER!C355</f>
        <v>Programa Troca-troca - Dívida Ativa - Multas e Juros</v>
      </c>
      <c r="C360" s="1521"/>
      <c r="D360" s="1521"/>
      <c r="E360" s="1521"/>
      <c r="F360" s="1521"/>
      <c r="G360" s="1521"/>
      <c r="H360" s="127">
        <f>PUER!D355</f>
        <v>670.03</v>
      </c>
      <c r="I360" s="123" t="str">
        <f>PUER!E355</f>
        <v>XXXXXXX</v>
      </c>
      <c r="J360" s="123" t="str">
        <f>PUER!F355</f>
        <v>XXXXXXXX</v>
      </c>
    </row>
    <row r="361" spans="2:10" x14ac:dyDescent="0.25">
      <c r="B361" s="1521" t="str">
        <f>PUER!C356</f>
        <v>Restituição Pelo Uso de Bens do Município - Dívida Ativa - Multas e Juros</v>
      </c>
      <c r="C361" s="1521"/>
      <c r="D361" s="1521"/>
      <c r="E361" s="1521"/>
      <c r="F361" s="1521"/>
      <c r="G361" s="1521"/>
      <c r="H361" s="127">
        <f>PUER!D356</f>
        <v>1</v>
      </c>
      <c r="I361" s="123" t="str">
        <f>PUER!E356</f>
        <v>XXXXXXX</v>
      </c>
      <c r="J361" s="123" t="str">
        <f>PUER!F356</f>
        <v>XXXXXXXX</v>
      </c>
    </row>
    <row r="362" spans="2:10" x14ac:dyDescent="0.25">
      <c r="B362" s="1521" t="str">
        <f>PUER!C357</f>
        <v>Restituição Pelo Pagamento Indevido - Dívida Ativa - Multas e Juros</v>
      </c>
      <c r="C362" s="1521"/>
      <c r="D362" s="1521"/>
      <c r="E362" s="1521"/>
      <c r="F362" s="1521"/>
      <c r="G362" s="1521"/>
      <c r="H362" s="127">
        <f>PUER!D357</f>
        <v>1</v>
      </c>
      <c r="I362" s="123" t="str">
        <f>PUER!E357</f>
        <v>XXXXXXX</v>
      </c>
      <c r="J362" s="123" t="str">
        <f>PUER!F357</f>
        <v>XXXXXXXX</v>
      </c>
    </row>
    <row r="363" spans="2:10" x14ac:dyDescent="0.25">
      <c r="B363" s="1521" t="str">
        <f>PUER!C358</f>
        <v>Restituições do Plano de Assistência Médica dos Servidores - Dívida Ativa - Multas e Juros</v>
      </c>
      <c r="C363" s="1521"/>
      <c r="D363" s="1521"/>
      <c r="E363" s="1521"/>
      <c r="F363" s="1521"/>
      <c r="G363" s="1521"/>
      <c r="H363" s="127">
        <f>PUER!D358</f>
        <v>1</v>
      </c>
      <c r="I363" s="123" t="str">
        <f>PUER!E358</f>
        <v>XXXXXXX</v>
      </c>
      <c r="J363" s="123" t="str">
        <f>PUER!F358</f>
        <v>XXXXXXXX</v>
      </c>
    </row>
    <row r="364" spans="2:10" x14ac:dyDescent="0.25">
      <c r="B364" s="1521" t="str">
        <f>PUER!C360</f>
        <v>Agrifest/Fefumo - Patrocinio</v>
      </c>
      <c r="C364" s="1521"/>
      <c r="D364" s="1521"/>
      <c r="E364" s="1521"/>
      <c r="F364" s="1521"/>
      <c r="G364" s="1521"/>
      <c r="H364" s="127">
        <f>PUER!D360</f>
        <v>3266.6666666666665</v>
      </c>
      <c r="I364" s="123" t="str">
        <f>PUER!E360</f>
        <v>XXXXXXX</v>
      </c>
      <c r="J364" s="123" t="str">
        <f>PUER!F360</f>
        <v>XXXXXXXX</v>
      </c>
    </row>
    <row r="365" spans="2:10" x14ac:dyDescent="0.25">
      <c r="B365" s="1521" t="str">
        <f>PUER!C361</f>
        <v>Agrifest/Fefumo - Ingresso Festa</v>
      </c>
      <c r="C365" s="1521"/>
      <c r="D365" s="1521"/>
      <c r="E365" s="1521"/>
      <c r="F365" s="1521"/>
      <c r="G365" s="1521"/>
      <c r="H365" s="127">
        <f>PUER!D361</f>
        <v>31690.166666666668</v>
      </c>
      <c r="I365" s="123" t="str">
        <f>PUER!E361</f>
        <v>XXXXXXX</v>
      </c>
      <c r="J365" s="123" t="str">
        <f>PUER!F361</f>
        <v>XXXXXXXX</v>
      </c>
    </row>
    <row r="366" spans="2:10" x14ac:dyDescent="0.25">
      <c r="B366" s="1521" t="str">
        <f>PUER!C362</f>
        <v>Agrifest/Fefumo - Ingresso Baile Festa</v>
      </c>
      <c r="C366" s="1521"/>
      <c r="D366" s="1521"/>
      <c r="E366" s="1521"/>
      <c r="F366" s="1521"/>
      <c r="G366" s="1521"/>
      <c r="H366" s="127">
        <f>PUER!D362</f>
        <v>910</v>
      </c>
      <c r="I366" s="123" t="str">
        <f>PUER!E362</f>
        <v>XXXXXXX</v>
      </c>
      <c r="J366" s="123" t="str">
        <f>PUER!F362</f>
        <v>XXXXXXXX</v>
      </c>
    </row>
    <row r="367" spans="2:10" x14ac:dyDescent="0.25">
      <c r="B367" s="1521" t="str">
        <f>PUER!C363</f>
        <v xml:space="preserve">Soberanas - Ingresso Domingueira </v>
      </c>
      <c r="C367" s="1521"/>
      <c r="D367" s="1521"/>
      <c r="E367" s="1521"/>
      <c r="F367" s="1521"/>
      <c r="G367" s="1521"/>
      <c r="H367" s="127">
        <f>PUER!D363</f>
        <v>14551.666666666666</v>
      </c>
      <c r="I367" s="123" t="str">
        <f>PUER!E363</f>
        <v>XXXXXXX</v>
      </c>
      <c r="J367" s="123" t="str">
        <f>PUER!F363</f>
        <v>XXXXXXXX</v>
      </c>
    </row>
    <row r="368" spans="2:10" x14ac:dyDescent="0.25">
      <c r="B368" s="1521" t="str">
        <f>PUER!C364</f>
        <v>Agrifest/Fefumo - Ingresso Domingueira Festa</v>
      </c>
      <c r="C368" s="1521"/>
      <c r="D368" s="1521"/>
      <c r="E368" s="1521"/>
      <c r="F368" s="1521"/>
      <c r="G368" s="1521"/>
      <c r="H368" s="127">
        <f>PUER!D364</f>
        <v>11666.666666666666</v>
      </c>
      <c r="I368" s="123" t="str">
        <f>PUER!E364</f>
        <v>XXXXXXX</v>
      </c>
      <c r="J368" s="123" t="str">
        <f>PUER!F364</f>
        <v>XXXXXXXX</v>
      </c>
    </row>
    <row r="369" spans="2:10" x14ac:dyDescent="0.25">
      <c r="B369" s="1521" t="str">
        <f>PUER!C365</f>
        <v>Agrifest/Fefumo - Bebidas/Cozinha Festa</v>
      </c>
      <c r="C369" s="1521"/>
      <c r="D369" s="1521"/>
      <c r="E369" s="1521"/>
      <c r="F369" s="1521"/>
      <c r="G369" s="1521"/>
      <c r="H369" s="127">
        <f>PUER!D365</f>
        <v>36630.700000000004</v>
      </c>
      <c r="I369" s="123" t="str">
        <f>PUER!E365</f>
        <v>XXXXXXX</v>
      </c>
      <c r="J369" s="123" t="str">
        <f>PUER!F365</f>
        <v>XXXXXXXX</v>
      </c>
    </row>
    <row r="370" spans="2:10" x14ac:dyDescent="0.25">
      <c r="B370" s="1521" t="str">
        <f>PUER!C366</f>
        <v>Domingueira - Bebidas/Cozinha Soberanas</v>
      </c>
      <c r="C370" s="1521"/>
      <c r="D370" s="1521"/>
      <c r="E370" s="1521"/>
      <c r="F370" s="1521"/>
      <c r="G370" s="1521"/>
      <c r="H370" s="127">
        <f>PUER!D366</f>
        <v>7570.5</v>
      </c>
      <c r="I370" s="123" t="str">
        <f>PUER!E366</f>
        <v>XXXXXXX</v>
      </c>
      <c r="J370" s="123" t="str">
        <f>PUER!F366</f>
        <v>XXXXXXXX</v>
      </c>
    </row>
    <row r="371" spans="2:10" x14ac:dyDescent="0.25">
      <c r="B371" s="1521" t="str">
        <f>PUER!C367</f>
        <v>Agrifest/Fefumo - Locações : Espaços, Copa, Cozinha e Outros</v>
      </c>
      <c r="C371" s="1521"/>
      <c r="D371" s="1521"/>
      <c r="E371" s="1521"/>
      <c r="F371" s="1521"/>
      <c r="G371" s="1521"/>
      <c r="H371" s="127">
        <f>PUER!D367</f>
        <v>9100</v>
      </c>
      <c r="I371" s="123" t="str">
        <f>PUER!E367</f>
        <v>XXXXXXX</v>
      </c>
      <c r="J371" s="123" t="str">
        <f>PUER!F367</f>
        <v>XXXXXXXX</v>
      </c>
    </row>
    <row r="372" spans="2:10" x14ac:dyDescent="0.25">
      <c r="B372" s="1521" t="str">
        <f>PUER!C368</f>
        <v>Agrifest/Fefumo - Locações : Espaços P/Expositores</v>
      </c>
      <c r="C372" s="1521"/>
      <c r="D372" s="1521"/>
      <c r="E372" s="1521"/>
      <c r="F372" s="1521"/>
      <c r="G372" s="1521"/>
      <c r="H372" s="127">
        <f>PUER!D368</f>
        <v>16086.666666666666</v>
      </c>
      <c r="I372" s="123" t="str">
        <f>PUER!E368</f>
        <v>XXXXXXX</v>
      </c>
      <c r="J372" s="123" t="str">
        <f>PUER!F368</f>
        <v>XXXXXXXX</v>
      </c>
    </row>
    <row r="373" spans="2:10" x14ac:dyDescent="0.25">
      <c r="B373" s="1521" t="str">
        <f>PUER!C369</f>
        <v>Outras Receitas - Copa e Cozinha Semana Farroupilha</v>
      </c>
      <c r="C373" s="1521"/>
      <c r="D373" s="1521"/>
      <c r="E373" s="1521"/>
      <c r="F373" s="1521"/>
      <c r="G373" s="1521"/>
      <c r="H373" s="127">
        <f>PUER!D369</f>
        <v>10066.416666666666</v>
      </c>
      <c r="I373" s="123" t="str">
        <f>PUER!E369</f>
        <v>XXXXXXX</v>
      </c>
      <c r="J373" s="123" t="str">
        <f>PUER!F369</f>
        <v>XXXXXXXX</v>
      </c>
    </row>
    <row r="374" spans="2:10" x14ac:dyDescent="0.25">
      <c r="B374" s="1521" t="str">
        <f>PUER!C370</f>
        <v>Outras Receitas - Eventos GCN Uniao dos Pagos</v>
      </c>
      <c r="C374" s="1521"/>
      <c r="D374" s="1521"/>
      <c r="E374" s="1521"/>
      <c r="F374" s="1521"/>
      <c r="G374" s="1521"/>
      <c r="H374" s="127">
        <f>PUER!D370</f>
        <v>13231.5</v>
      </c>
      <c r="I374" s="123" t="str">
        <f>PUER!E370</f>
        <v>XXXXXXX</v>
      </c>
      <c r="J374" s="123" t="str">
        <f>PUER!F370</f>
        <v>XXXXXXXX</v>
      </c>
    </row>
    <row r="375" spans="2:10" x14ac:dyDescent="0.25">
      <c r="B375" s="1521" t="str">
        <f>PUER!C373</f>
        <v>Outras Receitas  de Copa e Cozinha Campeonato Futebol de Campo</v>
      </c>
      <c r="C375" s="1521"/>
      <c r="D375" s="1521"/>
      <c r="E375" s="1521"/>
      <c r="F375" s="1521"/>
      <c r="G375" s="1521"/>
      <c r="H375" s="127">
        <f>PUER!D373</f>
        <v>4944.8500000000004</v>
      </c>
      <c r="I375" s="123" t="str">
        <f>PUER!E373</f>
        <v>XXXXXXX</v>
      </c>
      <c r="J375" s="123" t="str">
        <f>PUER!F373</f>
        <v>XXXXXXXX</v>
      </c>
    </row>
    <row r="376" spans="2:10" x14ac:dyDescent="0.25">
      <c r="B376" s="1521" t="str">
        <f>PUER!C374</f>
        <v>Outras Receitas  de Eventos Assistencia Social</v>
      </c>
      <c r="C376" s="1521"/>
      <c r="D376" s="1521"/>
      <c r="E376" s="1521"/>
      <c r="F376" s="1521"/>
      <c r="G376" s="1521"/>
      <c r="H376" s="127">
        <f>PUER!D374</f>
        <v>1</v>
      </c>
      <c r="I376" s="123" t="str">
        <f>PUER!E374</f>
        <v>XXXXXXX</v>
      </c>
      <c r="J376" s="123" t="str">
        <f>PUER!F374</f>
        <v>XXXXXXXX</v>
      </c>
    </row>
    <row r="377" spans="2:10" x14ac:dyDescent="0.25">
      <c r="B377" s="1521" t="str">
        <f>PUER!C379</f>
        <v>Outras Receitas  de  Sementes e Mudas</v>
      </c>
      <c r="C377" s="1521"/>
      <c r="D377" s="1521"/>
      <c r="E377" s="1521"/>
      <c r="F377" s="1521"/>
      <c r="G377" s="1521"/>
      <c r="H377" s="127">
        <f>PUER!D379</f>
        <v>6957</v>
      </c>
      <c r="I377" s="123" t="str">
        <f>PUER!E379</f>
        <v>XXXXXXX</v>
      </c>
      <c r="J377" s="123" t="str">
        <f>PUER!F379</f>
        <v>XXXXXXXX</v>
      </c>
    </row>
    <row r="378" spans="2:10" x14ac:dyDescent="0.25">
      <c r="B378" s="1521" t="str">
        <f>PUER!C382</f>
        <v>Estimativa de Operaçção de Crédito P/Educação</v>
      </c>
      <c r="C378" s="1521"/>
      <c r="D378" s="1521"/>
      <c r="E378" s="1521"/>
      <c r="F378" s="1521"/>
      <c r="G378" s="1521"/>
      <c r="H378" s="127">
        <f>PUER!D382</f>
        <v>1</v>
      </c>
      <c r="I378" s="123" t="str">
        <f>PUER!E382</f>
        <v>XXXXXXX</v>
      </c>
      <c r="J378" s="123" t="str">
        <f>PUER!F382</f>
        <v>XXXXXXXX</v>
      </c>
    </row>
    <row r="379" spans="2:10" x14ac:dyDescent="0.25">
      <c r="B379" s="1521" t="str">
        <f>PUER!C383</f>
        <v>Estimativa de Operaçção de Crédito P/Modernização Administrativa</v>
      </c>
      <c r="C379" s="1521"/>
      <c r="D379" s="1521"/>
      <c r="E379" s="1521"/>
      <c r="F379" s="1521"/>
      <c r="G379" s="1521"/>
      <c r="H379" s="127">
        <f>PUER!D383</f>
        <v>1</v>
      </c>
      <c r="I379" s="123" t="str">
        <f>PUER!E383</f>
        <v>XXXXXXX</v>
      </c>
      <c r="J379" s="123" t="str">
        <f>PUER!F383</f>
        <v>XXXXXXXX</v>
      </c>
    </row>
    <row r="380" spans="2:10" x14ac:dyDescent="0.25">
      <c r="B380" s="1521" t="str">
        <f>PUER!C384</f>
        <v>Alienação de Veículos ad. Com Recursos Próprios</v>
      </c>
      <c r="C380" s="1521"/>
      <c r="D380" s="1521"/>
      <c r="E380" s="1521"/>
      <c r="F380" s="1521"/>
      <c r="G380" s="1521"/>
      <c r="H380" s="127">
        <f>PUER!D384</f>
        <v>1</v>
      </c>
      <c r="I380" s="123" t="str">
        <f>PUER!E384</f>
        <v>XXXXXXX</v>
      </c>
      <c r="J380" s="123" t="str">
        <f>PUER!F384</f>
        <v>XXXXXXXX</v>
      </c>
    </row>
    <row r="381" spans="2:10" x14ac:dyDescent="0.25">
      <c r="B381" s="1521" t="str">
        <f>PUER!C387</f>
        <v>Estimativa de alienação de Moveis e Utensilios</v>
      </c>
      <c r="C381" s="1521"/>
      <c r="D381" s="1521"/>
      <c r="E381" s="1521"/>
      <c r="F381" s="1521"/>
      <c r="G381" s="1521"/>
      <c r="H381" s="127">
        <f>PUER!D387</f>
        <v>1</v>
      </c>
      <c r="I381" s="123" t="str">
        <f>PUER!E387</f>
        <v>XXXXXXX</v>
      </c>
      <c r="J381" s="123" t="str">
        <f>PUER!F387</f>
        <v>XXXXXXXX</v>
      </c>
    </row>
    <row r="382" spans="2:10" x14ac:dyDescent="0.25">
      <c r="B382" s="1521" t="str">
        <f>PUER!C388</f>
        <v>Estimativa de alienação de Equipamentos</v>
      </c>
      <c r="C382" s="1521"/>
      <c r="D382" s="1521"/>
      <c r="E382" s="1521"/>
      <c r="F382" s="1521"/>
      <c r="G382" s="1521"/>
      <c r="H382" s="127">
        <f>PUER!D388</f>
        <v>1</v>
      </c>
      <c r="I382" s="123" t="str">
        <f>PUER!E388</f>
        <v>XXXXXXX</v>
      </c>
      <c r="J382" s="123" t="str">
        <f>PUER!F388</f>
        <v>XXXXXXXX</v>
      </c>
    </row>
    <row r="383" spans="2:10" x14ac:dyDescent="0.25">
      <c r="B383" s="1521" t="str">
        <f>PUER!C389</f>
        <v>Estimativa de Alienacao de Sucatas e Materiais Diversos</v>
      </c>
      <c r="C383" s="1521"/>
      <c r="D383" s="1521"/>
      <c r="E383" s="1521"/>
      <c r="F383" s="1521"/>
      <c r="G383" s="1521"/>
      <c r="H383" s="127">
        <f>PUER!D389</f>
        <v>1</v>
      </c>
      <c r="I383" s="123" t="str">
        <f>PUER!E389</f>
        <v>XXXXXXX</v>
      </c>
      <c r="J383" s="123" t="str">
        <f>PUER!F389</f>
        <v>XXXXXXXX</v>
      </c>
    </row>
    <row r="384" spans="2:10" x14ac:dyDescent="0.25">
      <c r="B384" s="1521" t="str">
        <f>PUER!C390</f>
        <v>Transferências Convênio nº 819139/2015 P/Veículo C/Camara Fria</v>
      </c>
      <c r="C384" s="1521"/>
      <c r="D384" s="1521"/>
      <c r="E384" s="1521"/>
      <c r="F384" s="1521"/>
      <c r="G384" s="1521"/>
      <c r="H384" s="127">
        <f>PUER!D390</f>
        <v>100000</v>
      </c>
      <c r="I384" s="123" t="str">
        <f>PUER!E390</f>
        <v>XXXXXXX</v>
      </c>
      <c r="J384" s="123" t="str">
        <f>PUER!F390</f>
        <v>XXXXXXXX</v>
      </c>
    </row>
    <row r="385" spans="2:10" x14ac:dyDescent="0.25">
      <c r="B385" s="1521" t="str">
        <f>PUER!C391</f>
        <v>Transferências MDAS Proposta nº 066103/2017 P/Construção do CRAS</v>
      </c>
      <c r="C385" s="1521"/>
      <c r="D385" s="1521"/>
      <c r="E385" s="1521"/>
      <c r="F385" s="1521"/>
      <c r="G385" s="1521"/>
      <c r="H385" s="127">
        <f>PUER!D391</f>
        <v>334630</v>
      </c>
      <c r="I385" s="123" t="str">
        <f>PUER!E391</f>
        <v>XXXXXXX</v>
      </c>
      <c r="J385" s="123" t="str">
        <f>PUER!F391</f>
        <v>XXXXXXXX</v>
      </c>
    </row>
    <row r="386" spans="2:10" x14ac:dyDescent="0.25">
      <c r="B386" s="1521" t="str">
        <f>PUER!C392</f>
        <v>Transferências MDAS Proposta nº 067294/2017 P/Aquisição Veículo Van Assit. Social</v>
      </c>
      <c r="C386" s="1521"/>
      <c r="D386" s="1521"/>
      <c r="E386" s="1521"/>
      <c r="F386" s="1521"/>
      <c r="G386" s="1521"/>
      <c r="H386" s="127">
        <f>PUER!D392</f>
        <v>150000</v>
      </c>
      <c r="I386" s="123" t="str">
        <f>PUER!E392</f>
        <v>XXXXXXX</v>
      </c>
      <c r="J386" s="123" t="str">
        <f>PUER!F392</f>
        <v>XXXXXXXX</v>
      </c>
    </row>
    <row r="387" spans="2:10" x14ac:dyDescent="0.25">
      <c r="B387" s="1521" t="str">
        <f>PUER!C393</f>
        <v>Transferências Proposta nº 034610/2018 P/Galpao Cooperativa</v>
      </c>
      <c r="C387" s="1521"/>
      <c r="D387" s="1521"/>
      <c r="E387" s="1521"/>
      <c r="F387" s="1521"/>
      <c r="G387" s="1521"/>
      <c r="H387" s="127">
        <f>PUER!D393</f>
        <v>250000</v>
      </c>
      <c r="I387" s="123" t="str">
        <f>PUER!E393</f>
        <v>XXXXXXX</v>
      </c>
      <c r="J387" s="123" t="str">
        <f>PUER!F393</f>
        <v>XXXXXXXX</v>
      </c>
    </row>
    <row r="388" spans="2:10" x14ac:dyDescent="0.25">
      <c r="B388" s="1521" t="str">
        <f>PUER!C394</f>
        <v>Transferências Proposta nº 057560/2018 P/Aquisição de Equipamentos</v>
      </c>
      <c r="C388" s="1521"/>
      <c r="D388" s="1521"/>
      <c r="E388" s="1521"/>
      <c r="F388" s="1521"/>
      <c r="G388" s="1521"/>
      <c r="H388" s="127">
        <f>PUER!D394</f>
        <v>100000</v>
      </c>
      <c r="I388" s="123" t="str">
        <f>PUER!E394</f>
        <v>XXXXXXX</v>
      </c>
      <c r="J388" s="123" t="str">
        <f>PUER!F394</f>
        <v>XXXXXXXX</v>
      </c>
    </row>
    <row r="389" spans="2:10" x14ac:dyDescent="0.25">
      <c r="B389" s="1521" t="str">
        <f>PUER!C395</f>
        <v>Transferências Proposta nº 044520/2018 P/Escavadeira Hidraulica</v>
      </c>
      <c r="C389" s="1521"/>
      <c r="D389" s="1521"/>
      <c r="E389" s="1521"/>
      <c r="F389" s="1521"/>
      <c r="G389" s="1521"/>
      <c r="H389" s="127">
        <f>PUER!D395</f>
        <v>344000</v>
      </c>
      <c r="I389" s="123" t="str">
        <f>PUER!E395</f>
        <v>XXXXXXX</v>
      </c>
      <c r="J389" s="123" t="str">
        <f>PUER!F395</f>
        <v>XXXXXXXX</v>
      </c>
    </row>
    <row r="390" spans="2:10" x14ac:dyDescent="0.25">
      <c r="B390" s="1521" t="str">
        <f>PUER!C396</f>
        <v>Transferências Proposta nº 042585/2018 P/Aquisição de Equipamentos</v>
      </c>
      <c r="C390" s="1521"/>
      <c r="D390" s="1521"/>
      <c r="E390" s="1521"/>
      <c r="F390" s="1521"/>
      <c r="G390" s="1521"/>
      <c r="H390" s="127">
        <f>PUER!D396</f>
        <v>110000</v>
      </c>
      <c r="I390" s="123" t="str">
        <f>PUER!E396</f>
        <v>XXXXXXX</v>
      </c>
      <c r="J390" s="123" t="str">
        <f>PUER!F396</f>
        <v>XXXXXXXX</v>
      </c>
    </row>
    <row r="391" spans="2:10" x14ac:dyDescent="0.25">
      <c r="B391" s="1521" t="str">
        <f>PUER!C402</f>
        <v>Transferências FNS 2019</v>
      </c>
      <c r="C391" s="1521"/>
      <c r="D391" s="1521"/>
      <c r="E391" s="1521"/>
      <c r="F391" s="1521"/>
      <c r="G391" s="1521"/>
      <c r="H391" s="127">
        <f>PUER!D402</f>
        <v>1</v>
      </c>
      <c r="I391" s="123" t="str">
        <f>PUER!E402</f>
        <v>XXXXXXX</v>
      </c>
      <c r="J391" s="123" t="str">
        <f>PUER!F402</f>
        <v>XXXXXXXX</v>
      </c>
    </row>
    <row r="392" spans="2:10" x14ac:dyDescent="0.25">
      <c r="B392" s="1521" t="str">
        <f>PUER!C409</f>
        <v>Transferências Proposta M.J. nº 056994/2017 P/Bens e Serviços</v>
      </c>
      <c r="C392" s="1521"/>
      <c r="D392" s="1521"/>
      <c r="E392" s="1521"/>
      <c r="F392" s="1521"/>
      <c r="G392" s="1521"/>
      <c r="H392" s="127">
        <f>PUER!D409</f>
        <v>346800</v>
      </c>
      <c r="I392" s="123" t="str">
        <f>PUER!E409</f>
        <v>XXXXXXX</v>
      </c>
      <c r="J392" s="123" t="str">
        <f>PUER!F409</f>
        <v>XXXXXXXX</v>
      </c>
    </row>
    <row r="393" spans="2:10" x14ac:dyDescent="0.25">
      <c r="B393" s="1521" t="str">
        <f>PUER!C410</f>
        <v>Transferências Consulta Popular 2017/2018 Desenvolv. Rural</v>
      </c>
      <c r="C393" s="1521"/>
      <c r="D393" s="1521"/>
      <c r="E393" s="1521"/>
      <c r="F393" s="1521"/>
      <c r="G393" s="1521"/>
      <c r="H393" s="127">
        <f>PUER!D410</f>
        <v>30000</v>
      </c>
      <c r="I393" s="123" t="str">
        <f>PUER!E410</f>
        <v>XXXXXXX</v>
      </c>
      <c r="J393" s="123" t="str">
        <f>PUER!F410</f>
        <v>XXXXXXXX</v>
      </c>
    </row>
    <row r="394" spans="2:10" x14ac:dyDescent="0.25">
      <c r="B394" s="1521" t="str">
        <f>PUER!C411</f>
        <v>Transferencias P/Aquisicao de Insumos Convenio FPE 2913/2017</v>
      </c>
      <c r="C394" s="1521"/>
      <c r="D394" s="1521"/>
      <c r="E394" s="1521"/>
      <c r="F394" s="1521"/>
      <c r="G394" s="1521"/>
      <c r="H394" s="127">
        <f>PUER!D411</f>
        <v>28691</v>
      </c>
      <c r="I394" s="123" t="str">
        <f>PUER!E411</f>
        <v>XXXXXXX</v>
      </c>
      <c r="J394" s="123" t="str">
        <f>PUER!F411</f>
        <v>XXXXXXXX</v>
      </c>
    </row>
    <row r="395" spans="2:10" x14ac:dyDescent="0.25">
      <c r="B395" s="1521" t="str">
        <f>PUER!C412</f>
        <v>Transferencias  Convenio 546/2018 FECA-VIVA BEM MAIS</v>
      </c>
      <c r="C395" s="1521"/>
      <c r="D395" s="1521"/>
      <c r="E395" s="1521"/>
      <c r="F395" s="1521"/>
      <c r="G395" s="1521"/>
      <c r="H395" s="127">
        <f>PUER!D412</f>
        <v>46617</v>
      </c>
      <c r="I395" s="123" t="str">
        <f>PUER!E412</f>
        <v>XXXXXXX</v>
      </c>
      <c r="J395" s="123" t="str">
        <f>PUER!F412</f>
        <v>XXXXXXXX</v>
      </c>
    </row>
    <row r="396" spans="2:10" x14ac:dyDescent="0.25">
      <c r="B396" s="1521" t="str">
        <f>PUER!C414</f>
        <v>Remun. de Depósitos Bancarios - FNS P/Aq. van</v>
      </c>
      <c r="C396" s="1521"/>
      <c r="D396" s="1521"/>
      <c r="E396" s="1521"/>
      <c r="F396" s="1521"/>
      <c r="G396" s="1521"/>
      <c r="H396" s="127">
        <f>PUER!D414</f>
        <v>1</v>
      </c>
      <c r="I396" s="123" t="str">
        <f>PUER!E414</f>
        <v>XXXXXXX</v>
      </c>
      <c r="J396" s="123" t="str">
        <f>PUER!F414</f>
        <v>XXXXXXXX</v>
      </c>
    </row>
    <row r="397" spans="2:10" x14ac:dyDescent="0.25">
      <c r="B397" s="1521" t="str">
        <f>PUER!C415</f>
        <v>Remun. de Depósitos Bancarios - FNS P/Aq. Equip.</v>
      </c>
      <c r="C397" s="1521"/>
      <c r="D397" s="1521"/>
      <c r="E397" s="1521"/>
      <c r="F397" s="1521"/>
      <c r="G397" s="1521"/>
      <c r="H397" s="127">
        <f>PUER!D415</f>
        <v>1</v>
      </c>
      <c r="I397" s="123" t="str">
        <f>PUER!E415</f>
        <v>XXXXXXX</v>
      </c>
      <c r="J397" s="123" t="str">
        <f>PUER!F415</f>
        <v>XXXXXXXX</v>
      </c>
    </row>
    <row r="398" spans="2:10" x14ac:dyDescent="0.25">
      <c r="B398" s="1521" t="str">
        <f>PUER!C416</f>
        <v>Remun. de Depósitos Bancarios - CCFGS</v>
      </c>
      <c r="C398" s="1521"/>
      <c r="D398" s="1521"/>
      <c r="E398" s="1521"/>
      <c r="F398" s="1521"/>
      <c r="G398" s="1521"/>
      <c r="H398" s="127">
        <f>PUER!D416</f>
        <v>1</v>
      </c>
      <c r="I398" s="123" t="str">
        <f>PUER!E416</f>
        <v>XXXXXXX</v>
      </c>
      <c r="J398" s="123" t="str">
        <f>PUER!F416</f>
        <v>XXXXXXXX</v>
      </c>
    </row>
    <row r="399" spans="2:10" x14ac:dyDescent="0.25">
      <c r="B399" s="1521" t="str">
        <f>PUER!C417</f>
        <v>Remun. de Depósitos Bancarios - Min. Educação/Esporte</v>
      </c>
      <c r="C399" s="1521"/>
      <c r="D399" s="1521"/>
      <c r="E399" s="1521"/>
      <c r="F399" s="1521"/>
      <c r="G399" s="1521"/>
      <c r="H399" s="127">
        <f>PUER!D417</f>
        <v>1</v>
      </c>
      <c r="I399" s="123" t="str">
        <f>PUER!E417</f>
        <v>XXXXXXX</v>
      </c>
      <c r="J399" s="123" t="str">
        <f>PUER!F417</f>
        <v>XXXXXXXX</v>
      </c>
    </row>
    <row r="400" spans="2:10" x14ac:dyDescent="0.25">
      <c r="B400" s="1521" t="str">
        <f>PUER!C418</f>
        <v>Remun. de Depósitos Bancarios - Em. Parl. P/Ampliacao UBS</v>
      </c>
      <c r="C400" s="1521"/>
      <c r="D400" s="1521"/>
      <c r="E400" s="1521"/>
      <c r="F400" s="1521"/>
      <c r="G400" s="1521"/>
      <c r="H400" s="127">
        <f>PUER!D418</f>
        <v>1</v>
      </c>
      <c r="I400" s="123" t="str">
        <f>PUER!E418</f>
        <v>XXXXXXX</v>
      </c>
      <c r="J400" s="123" t="str">
        <f>PUER!F418</f>
        <v>XXXXXXXX</v>
      </c>
    </row>
    <row r="401" spans="2:10" x14ac:dyDescent="0.25">
      <c r="B401" s="1521" t="str">
        <f>PUER!C419</f>
        <v>Remun. de Depósitos Bancarios - Transf. PAC Const. De Mod. Sanitaria</v>
      </c>
      <c r="C401" s="1521"/>
      <c r="D401" s="1521"/>
      <c r="E401" s="1521"/>
      <c r="F401" s="1521"/>
      <c r="G401" s="1521"/>
      <c r="H401" s="127">
        <f>PUER!D419</f>
        <v>1</v>
      </c>
      <c r="I401" s="123" t="str">
        <f>PUER!E419</f>
        <v>XXXXXXX</v>
      </c>
      <c r="J401" s="123" t="str">
        <f>PUER!F419</f>
        <v>XXXXXXXX</v>
      </c>
    </row>
    <row r="402" spans="2:10" x14ac:dyDescent="0.25">
      <c r="B402" s="1521" t="str">
        <f>PUER!C420</f>
        <v>Remun. de Dep. Banc. - Convênio MAPA P/Aq. de Retroescavadeira</v>
      </c>
      <c r="C402" s="1521"/>
      <c r="D402" s="1521"/>
      <c r="E402" s="1521"/>
      <c r="F402" s="1521"/>
      <c r="G402" s="1521"/>
      <c r="H402" s="127">
        <f>PUER!D420</f>
        <v>1</v>
      </c>
      <c r="I402" s="123" t="str">
        <f>PUER!E420</f>
        <v>XXXXXXX</v>
      </c>
      <c r="J402" s="123" t="str">
        <f>PUER!F420</f>
        <v>XXXXXXXX</v>
      </c>
    </row>
    <row r="403" spans="2:10" x14ac:dyDescent="0.25">
      <c r="B403" s="1521" t="str">
        <f>PUER!C421</f>
        <v>Remun. de Dep. Banc. - Convênio MAPA P/Aq. de Trator e Colh. De Milho</v>
      </c>
      <c r="C403" s="1521"/>
      <c r="D403" s="1521"/>
      <c r="E403" s="1521"/>
      <c r="F403" s="1521"/>
      <c r="G403" s="1521"/>
      <c r="H403" s="127">
        <f>PUER!D421</f>
        <v>1</v>
      </c>
      <c r="I403" s="123" t="str">
        <f>PUER!E421</f>
        <v>XXXXXXX</v>
      </c>
      <c r="J403" s="123" t="str">
        <f>PUER!F421</f>
        <v>XXXXXXXX</v>
      </c>
    </row>
    <row r="404" spans="2:10" x14ac:dyDescent="0.25">
      <c r="B404" s="1521" t="str">
        <f>PUER!C422</f>
        <v>Remun. de Dep. Banc. - Convênio MDA P/Aq. de Pickup C/Câmara Fria</v>
      </c>
      <c r="C404" s="1521"/>
      <c r="D404" s="1521"/>
      <c r="E404" s="1521"/>
      <c r="F404" s="1521"/>
      <c r="G404" s="1521"/>
      <c r="H404" s="127">
        <f>PUER!D422</f>
        <v>1</v>
      </c>
      <c r="I404" s="123" t="str">
        <f>PUER!E422</f>
        <v>XXXXXXX</v>
      </c>
      <c r="J404" s="123" t="str">
        <f>PUER!F422</f>
        <v>XXXXXXXX</v>
      </c>
    </row>
    <row r="405" spans="2:10" x14ac:dyDescent="0.25">
      <c r="B405" s="1521" t="str">
        <f>PUER!C423</f>
        <v>Remun. de Dep. Banc. -Consulta Popular 2017/2018 Desenvolv. Rural</v>
      </c>
      <c r="C405" s="1521"/>
      <c r="D405" s="1521"/>
      <c r="E405" s="1521"/>
      <c r="F405" s="1521"/>
      <c r="G405" s="1521"/>
      <c r="H405" s="127">
        <f>PUER!D423</f>
        <v>1</v>
      </c>
      <c r="I405" s="123" t="str">
        <f>PUER!E423</f>
        <v>XXXXXXX</v>
      </c>
      <c r="J405" s="123" t="str">
        <f>PUER!F423</f>
        <v>XXXXXXXX</v>
      </c>
    </row>
    <row r="406" spans="2:10" x14ac:dyDescent="0.25">
      <c r="B406" s="1521" t="str">
        <f>PUER!C424</f>
        <v>Rem. de Dep. Banc. - Transf. Prop. M.J. nº 056994/2017 P/Bens e Serv.</v>
      </c>
      <c r="C406" s="1521"/>
      <c r="D406" s="1521"/>
      <c r="E406" s="1521"/>
      <c r="F406" s="1521"/>
      <c r="G406" s="1521"/>
      <c r="H406" s="127">
        <f>PUER!D424</f>
        <v>1</v>
      </c>
      <c r="I406" s="123" t="str">
        <f>PUER!E424</f>
        <v>XXXXXXX</v>
      </c>
      <c r="J406" s="123" t="str">
        <f>PUER!F424</f>
        <v>XXXXXXXX</v>
      </c>
    </row>
    <row r="407" spans="2:10" x14ac:dyDescent="0.25">
      <c r="B407" s="1521" t="str">
        <f>PUER!C425</f>
        <v>Rem. Dep. Banc. - Transf. MAPA P. nº 024411/2017 P/Retroesc. e Trator</v>
      </c>
      <c r="C407" s="1521"/>
      <c r="D407" s="1521"/>
      <c r="E407" s="1521"/>
      <c r="F407" s="1521"/>
      <c r="G407" s="1521"/>
      <c r="H407" s="127">
        <f>PUER!D425</f>
        <v>1</v>
      </c>
      <c r="I407" s="123" t="str">
        <f>PUER!E425</f>
        <v>XXXXXXX</v>
      </c>
      <c r="J407" s="123" t="str">
        <f>PUER!F425</f>
        <v>XXXXXXXX</v>
      </c>
    </row>
    <row r="408" spans="2:10" x14ac:dyDescent="0.25">
      <c r="B408" s="1521" t="str">
        <f>PUER!C426</f>
        <v>Rem. D. Banc.-Transf. MAPA P. nº 024467/17 Plant. e Colheit. de Milho</v>
      </c>
      <c r="C408" s="1521"/>
      <c r="D408" s="1521"/>
      <c r="E408" s="1521"/>
      <c r="F408" s="1521"/>
      <c r="G408" s="1521"/>
      <c r="H408" s="127">
        <f>PUER!D426</f>
        <v>1</v>
      </c>
      <c r="I408" s="123" t="str">
        <f>PUER!E426</f>
        <v>XXXXXXX</v>
      </c>
      <c r="J408" s="123" t="str">
        <f>PUER!F426</f>
        <v>XXXXXXXX</v>
      </c>
    </row>
    <row r="409" spans="2:10" x14ac:dyDescent="0.25">
      <c r="B409" s="1521" t="str">
        <f>PUER!C427</f>
        <v>Rem. D. Banc.-Transf. MIN P. nº 047637/217 Retroesc. e Rolo Comp.</v>
      </c>
      <c r="C409" s="1521"/>
      <c r="D409" s="1521"/>
      <c r="E409" s="1521"/>
      <c r="F409" s="1521"/>
      <c r="G409" s="1521"/>
      <c r="H409" s="127">
        <f>PUER!D427</f>
        <v>1</v>
      </c>
      <c r="I409" s="123" t="str">
        <f>PUER!E427</f>
        <v>XXXXXXX</v>
      </c>
      <c r="J409" s="123" t="str">
        <f>PUER!F427</f>
        <v>XXXXXXXX</v>
      </c>
    </row>
    <row r="410" spans="2:10" x14ac:dyDescent="0.25">
      <c r="B410" s="1521" t="str">
        <f>PUER!C428</f>
        <v>Rem. D. Banc.-Transf. MDAS P. nº 066103/2017 P/Construção do CRAS</v>
      </c>
      <c r="C410" s="1521"/>
      <c r="D410" s="1521"/>
      <c r="E410" s="1521"/>
      <c r="F410" s="1521"/>
      <c r="G410" s="1521"/>
      <c r="H410" s="127">
        <f>PUER!D428</f>
        <v>1</v>
      </c>
      <c r="I410" s="123" t="str">
        <f>PUER!E428</f>
        <v>XXXXXXX</v>
      </c>
      <c r="J410" s="123" t="str">
        <f>PUER!F428</f>
        <v>XXXXXXXX</v>
      </c>
    </row>
    <row r="411" spans="2:10" x14ac:dyDescent="0.25">
      <c r="B411" s="1521" t="str">
        <f>PUER!C429</f>
        <v>Rem. D. Banc.-Transf. MDAS P. nº 067294/2017 P/Aq. Van Assit. Social</v>
      </c>
      <c r="C411" s="1521"/>
      <c r="D411" s="1521"/>
      <c r="E411" s="1521"/>
      <c r="F411" s="1521"/>
      <c r="G411" s="1521"/>
      <c r="H411" s="127">
        <f>PUER!D429</f>
        <v>1</v>
      </c>
      <c r="I411" s="123" t="str">
        <f>PUER!E429</f>
        <v>XXXXXXX</v>
      </c>
      <c r="J411" s="123" t="str">
        <f>PUER!F429</f>
        <v>XXXXXXXX</v>
      </c>
    </row>
    <row r="412" spans="2:10" x14ac:dyDescent="0.25">
      <c r="B412" s="1521" t="str">
        <f>PUER!C430</f>
        <v>Remun. de Depósitos Bancarios - Transferências Consulta Popular Saude</v>
      </c>
      <c r="C412" s="1521"/>
      <c r="D412" s="1521"/>
      <c r="E412" s="1521"/>
      <c r="F412" s="1521"/>
      <c r="G412" s="1521"/>
      <c r="H412" s="127">
        <f>PUER!D430</f>
        <v>1</v>
      </c>
      <c r="I412" s="123" t="str">
        <f>PUER!E430</f>
        <v>XXXXXXX</v>
      </c>
      <c r="J412" s="123" t="str">
        <f>PUER!F430</f>
        <v>XXXXXXXX</v>
      </c>
    </row>
    <row r="413" spans="2:10" x14ac:dyDescent="0.25">
      <c r="B413" s="1521" t="str">
        <f>PUER!C431</f>
        <v>Rem. Depositos Bancarios - Em. Parl. P/ampliacao Do Posto De Saúde</v>
      </c>
      <c r="C413" s="1521"/>
      <c r="D413" s="1521"/>
      <c r="E413" s="1521"/>
      <c r="F413" s="1521"/>
      <c r="G413" s="1521"/>
      <c r="H413" s="127">
        <f>PUER!D431</f>
        <v>1</v>
      </c>
      <c r="I413" s="123" t="str">
        <f>PUER!E431</f>
        <v>XXXXXXX</v>
      </c>
      <c r="J413" s="123" t="str">
        <f>PUER!F431</f>
        <v>XXXXXXXX</v>
      </c>
    </row>
    <row r="414" spans="2:10" x14ac:dyDescent="0.25">
      <c r="B414" s="1521" t="str">
        <f>PUER!C432</f>
        <v>Rem. de Dep. Banc. - Transf. Prop. Consulta Popular 17/18 P/Impl. Agr.</v>
      </c>
      <c r="C414" s="1521"/>
      <c r="D414" s="1521"/>
      <c r="E414" s="1521"/>
      <c r="F414" s="1521"/>
      <c r="G414" s="1521"/>
      <c r="H414" s="127">
        <f>PUER!D432</f>
        <v>1</v>
      </c>
      <c r="I414" s="123" t="str">
        <f>PUER!E432</f>
        <v>XXXXXXX</v>
      </c>
      <c r="J414" s="123" t="str">
        <f>PUER!F432</f>
        <v>XXXXXXXX</v>
      </c>
    </row>
    <row r="415" spans="2:10" x14ac:dyDescent="0.25">
      <c r="B415" s="1521" t="str">
        <f>PUER!C433</f>
        <v>Rem. de Dep. Banc. - Transf. Proposta nº 034610/2018 P/Galpao Cooperativa</v>
      </c>
      <c r="C415" s="1521"/>
      <c r="D415" s="1521"/>
      <c r="E415" s="1521"/>
      <c r="F415" s="1521"/>
      <c r="G415" s="1521"/>
      <c r="H415" s="127">
        <f>PUER!D433</f>
        <v>1</v>
      </c>
      <c r="I415" s="123" t="str">
        <f>PUER!E433</f>
        <v>XXXXXXX</v>
      </c>
      <c r="J415" s="123" t="str">
        <f>PUER!F433</f>
        <v>XXXXXXXX</v>
      </c>
    </row>
    <row r="416" spans="2:10" x14ac:dyDescent="0.25">
      <c r="B416" s="1521" t="str">
        <f>PUER!C434</f>
        <v>Rem. de Dep. Banc. - Transf. Proposta nº 057560/2018 P/Aquisição de Equipamentos</v>
      </c>
      <c r="C416" s="1521"/>
      <c r="D416" s="1521"/>
      <c r="E416" s="1521"/>
      <c r="F416" s="1521"/>
      <c r="G416" s="1521"/>
      <c r="H416" s="127">
        <f>PUER!D434</f>
        <v>1</v>
      </c>
      <c r="I416" s="123" t="str">
        <f>PUER!E434</f>
        <v>XXXXXXX</v>
      </c>
      <c r="J416" s="123" t="str">
        <f>PUER!F434</f>
        <v>XXXXXXXX</v>
      </c>
    </row>
    <row r="417" spans="2:10" x14ac:dyDescent="0.25">
      <c r="B417" s="1521" t="str">
        <f>PUER!C435</f>
        <v>Rem. de Dep. Banc. - Transf. Proposta nº 044520/2018 P/Escavadeira Hidraulica</v>
      </c>
      <c r="C417" s="1521"/>
      <c r="D417" s="1521"/>
      <c r="E417" s="1521"/>
      <c r="F417" s="1521"/>
      <c r="G417" s="1521"/>
      <c r="H417" s="127">
        <f>PUER!D435</f>
        <v>1</v>
      </c>
      <c r="I417" s="123" t="str">
        <f>PUER!E435</f>
        <v>XXXXXXX</v>
      </c>
      <c r="J417" s="123" t="str">
        <f>PUER!F435</f>
        <v>XXXXXXXX</v>
      </c>
    </row>
    <row r="418" spans="2:10" x14ac:dyDescent="0.25">
      <c r="B418" s="1521" t="str">
        <f>PUER!C436</f>
        <v>Rem. de Dep. Banc. - Transf. Proposta nº 042585/2018 P/Aquisição de Equipamentos</v>
      </c>
      <c r="C418" s="1521"/>
      <c r="D418" s="1521"/>
      <c r="E418" s="1521"/>
      <c r="F418" s="1521"/>
      <c r="G418" s="1521"/>
      <c r="H418" s="127">
        <f>PUER!D436</f>
        <v>1</v>
      </c>
      <c r="I418" s="123" t="str">
        <f>PUER!E436</f>
        <v>XXXXXXX</v>
      </c>
      <c r="J418" s="123" t="str">
        <f>PUER!F436</f>
        <v>XXXXXXXX</v>
      </c>
    </row>
    <row r="419" spans="2:10" x14ac:dyDescent="0.25">
      <c r="B419" s="1521" t="str">
        <f>PUER!C437</f>
        <v>Rem. de Dep. Banc. - Transf. P/Aquisicao de Insumos Convenio FPE 2913/2017</v>
      </c>
      <c r="C419" s="1521"/>
      <c r="D419" s="1521"/>
      <c r="E419" s="1521"/>
      <c r="F419" s="1521"/>
      <c r="G419" s="1521"/>
      <c r="H419" s="127">
        <f>PUER!D437</f>
        <v>1</v>
      </c>
      <c r="I419" s="123" t="str">
        <f>PUER!E437</f>
        <v>XXXXXXX</v>
      </c>
      <c r="J419" s="123" t="str">
        <f>PUER!F437</f>
        <v>XXXXXXXX</v>
      </c>
    </row>
    <row r="420" spans="2:10" x14ac:dyDescent="0.25">
      <c r="B420" s="1521" t="str">
        <f>PUER!C438</f>
        <v>Rem. de Dep. Banc. - Transf. Convenio 546/2018 FECA-VIVA BEM MAIS</v>
      </c>
      <c r="C420" s="1521"/>
      <c r="D420" s="1521"/>
      <c r="E420" s="1521"/>
      <c r="F420" s="1521"/>
      <c r="G420" s="1521"/>
      <c r="H420" s="127">
        <f>PUER!D438</f>
        <v>1</v>
      </c>
      <c r="I420" s="123" t="str">
        <f>PUER!E438</f>
        <v>XXXXXXX</v>
      </c>
      <c r="J420" s="123" t="str">
        <f>PUER!F438</f>
        <v>XXXXXXXX</v>
      </c>
    </row>
    <row r="421" spans="2:10" x14ac:dyDescent="0.25">
      <c r="B421" s="1521" t="str">
        <f>PUER!C443</f>
        <v>Estimativa de receita - Dedução do IPTU</v>
      </c>
      <c r="C421" s="1521"/>
      <c r="D421" s="1521"/>
      <c r="E421" s="1521"/>
      <c r="F421" s="1521"/>
      <c r="G421" s="1521"/>
      <c r="H421" s="127">
        <f>PUER!D443</f>
        <v>9563.6016666666674</v>
      </c>
      <c r="I421" s="123" t="str">
        <f>PUER!E443</f>
        <v>XXXXXXX</v>
      </c>
      <c r="J421" s="123" t="str">
        <f>PUER!F443</f>
        <v>XXXXXXXX</v>
      </c>
    </row>
    <row r="422" spans="2:10" x14ac:dyDescent="0.25">
      <c r="B422" s="1521" t="str">
        <f>PUER!C444</f>
        <v>Estimativa de receita - Dedução do ITBI</v>
      </c>
      <c r="C422" s="1521"/>
      <c r="D422" s="1521"/>
      <c r="E422" s="1521"/>
      <c r="F422" s="1521"/>
      <c r="G422" s="1521"/>
      <c r="H422" s="127">
        <f>PUER!D444</f>
        <v>1</v>
      </c>
      <c r="I422" s="123" t="str">
        <f>PUER!E444</f>
        <v>XXXXXXX</v>
      </c>
      <c r="J422" s="123" t="str">
        <f>PUER!F444</f>
        <v>XXXXXXXX</v>
      </c>
    </row>
    <row r="423" spans="2:10" x14ac:dyDescent="0.25">
      <c r="B423" s="1521" t="str">
        <f>PUER!C445</f>
        <v>Estimativa de receita -  Dedução do ISS</v>
      </c>
      <c r="C423" s="1521"/>
      <c r="D423" s="1521"/>
      <c r="E423" s="1521"/>
      <c r="F423" s="1521"/>
      <c r="G423" s="1521"/>
      <c r="H423" s="127">
        <f>PUER!D445</f>
        <v>1</v>
      </c>
      <c r="I423" s="123" t="str">
        <f>PUER!E445</f>
        <v>XXXXXXX</v>
      </c>
      <c r="J423" s="123" t="str">
        <f>PUER!F445</f>
        <v>XXXXXXXX</v>
      </c>
    </row>
    <row r="424" spans="2:10" x14ac:dyDescent="0.25">
      <c r="B424" s="1521" t="str">
        <f>PUER!C446</f>
        <v>VALOR ESTIMADO PARA ARREDONDAMENTO</v>
      </c>
      <c r="C424" s="1521"/>
      <c r="D424" s="1521"/>
      <c r="E424" s="1521"/>
      <c r="F424" s="1521"/>
      <c r="G424" s="1521"/>
      <c r="H424" s="123">
        <f>PUER!D446</f>
        <v>1494.87</v>
      </c>
      <c r="I424" s="123" t="str">
        <f>PUER!E446</f>
        <v>XXXXXXX</v>
      </c>
      <c r="J424" s="123" t="str">
        <f>PUER!F446</f>
        <v>XXXXXXXX</v>
      </c>
    </row>
    <row r="425" spans="2:10" x14ac:dyDescent="0.25">
      <c r="B425" s="1467"/>
      <c r="C425" s="1467"/>
      <c r="D425" s="1467"/>
      <c r="E425" s="1467"/>
      <c r="F425" s="1467"/>
      <c r="G425" s="1467"/>
      <c r="H425" s="122"/>
      <c r="I425" s="122"/>
      <c r="J425" s="122"/>
    </row>
    <row r="426" spans="2:10" x14ac:dyDescent="0.25">
      <c r="B426" s="1467" t="s">
        <v>2323</v>
      </c>
      <c r="C426" s="1467"/>
      <c r="D426" s="1467"/>
      <c r="E426" s="1467"/>
      <c r="F426" s="1467"/>
      <c r="G426" s="1467"/>
      <c r="H426" s="122"/>
      <c r="I426" s="122"/>
      <c r="J426" s="122"/>
    </row>
    <row r="427" spans="2:10" x14ac:dyDescent="0.25">
      <c r="B427" s="1467"/>
      <c r="C427" s="1467"/>
      <c r="D427" s="1467"/>
      <c r="E427" s="1467"/>
      <c r="F427" s="1467"/>
      <c r="G427" s="1467"/>
      <c r="H427" s="122"/>
      <c r="I427" s="122"/>
      <c r="J427" s="122"/>
    </row>
    <row r="428" spans="2:10" ht="46.5" customHeight="1" x14ac:dyDescent="0.25">
      <c r="B428" s="1524" t="s">
        <v>2324</v>
      </c>
      <c r="C428" s="1524"/>
      <c r="D428" s="1524"/>
      <c r="E428" s="1524"/>
      <c r="F428" s="1524"/>
      <c r="G428" s="1524"/>
      <c r="H428" s="1524"/>
      <c r="I428" s="1524"/>
      <c r="J428" s="1524"/>
    </row>
    <row r="430" spans="2:10" ht="48.75" customHeight="1" x14ac:dyDescent="0.25">
      <c r="B430" s="1524" t="s">
        <v>2325</v>
      </c>
      <c r="C430" s="1524"/>
      <c r="D430" s="1524"/>
      <c r="E430" s="1524"/>
      <c r="F430" s="1524"/>
      <c r="G430" s="1524"/>
      <c r="H430" s="1524"/>
      <c r="I430" s="1524"/>
      <c r="J430" s="1524"/>
    </row>
    <row r="432" spans="2:10" ht="45.75" customHeight="1" x14ac:dyDescent="0.25">
      <c r="B432" s="1524" t="s">
        <v>2326</v>
      </c>
      <c r="C432" s="1524"/>
      <c r="D432" s="1524"/>
      <c r="E432" s="1524"/>
      <c r="F432" s="1524"/>
      <c r="G432" s="1524"/>
      <c r="H432" s="1524"/>
      <c r="I432" s="1524"/>
      <c r="J432" s="1524"/>
    </row>
    <row r="434" spans="2:10" ht="63.75" customHeight="1" x14ac:dyDescent="0.25">
      <c r="B434" s="1524" t="s">
        <v>2327</v>
      </c>
      <c r="C434" s="1524"/>
      <c r="D434" s="1524"/>
      <c r="E434" s="1524"/>
      <c r="F434" s="1524"/>
      <c r="G434" s="1524"/>
      <c r="H434" s="1524"/>
      <c r="I434" s="1524"/>
      <c r="J434" s="1524"/>
    </row>
    <row r="436" spans="2:10" ht="46.5" customHeight="1" x14ac:dyDescent="0.25">
      <c r="B436" s="1524" t="s">
        <v>2328</v>
      </c>
      <c r="C436" s="1524"/>
      <c r="D436" s="1524"/>
      <c r="E436" s="1524"/>
      <c r="F436" s="1524"/>
      <c r="G436" s="1524"/>
      <c r="H436" s="1524"/>
      <c r="I436" s="1524"/>
      <c r="J436" s="1524"/>
    </row>
    <row r="438" spans="2:10" ht="41.25" customHeight="1" x14ac:dyDescent="0.25">
      <c r="B438" s="1524" t="s">
        <v>7887</v>
      </c>
      <c r="C438" s="1524"/>
      <c r="D438" s="1524"/>
      <c r="E438" s="1524"/>
      <c r="F438" s="1524"/>
      <c r="G438" s="1524"/>
      <c r="H438" s="1524"/>
      <c r="I438" s="1524"/>
      <c r="J438" s="1524"/>
    </row>
    <row r="440" spans="2:10" ht="79.5" customHeight="1" x14ac:dyDescent="0.25">
      <c r="B440" s="1524" t="s">
        <v>7888</v>
      </c>
      <c r="C440" s="1524"/>
      <c r="D440" s="1524"/>
      <c r="E440" s="1524"/>
      <c r="F440" s="1524"/>
      <c r="G440" s="1524"/>
      <c r="H440" s="1524"/>
      <c r="I440" s="1524"/>
      <c r="J440" s="1524"/>
    </row>
    <row r="442" spans="2:10" ht="36" customHeight="1" x14ac:dyDescent="0.25">
      <c r="B442" s="1524" t="s">
        <v>2329</v>
      </c>
      <c r="C442" s="1524"/>
      <c r="D442" s="1524"/>
      <c r="E442" s="1524"/>
      <c r="F442" s="1524"/>
      <c r="G442" s="1524"/>
      <c r="H442" s="1524"/>
      <c r="I442" s="1524"/>
      <c r="J442" s="1524"/>
    </row>
    <row r="444" spans="2:10" ht="41.25" customHeight="1" x14ac:dyDescent="0.25">
      <c r="B444" s="1524" t="s">
        <v>2330</v>
      </c>
      <c r="C444" s="1524"/>
      <c r="D444" s="1524"/>
      <c r="E444" s="1524"/>
      <c r="F444" s="1524"/>
      <c r="G444" s="1524"/>
      <c r="H444" s="1524"/>
      <c r="I444" s="1524"/>
      <c r="J444" s="1524"/>
    </row>
    <row r="446" spans="2:10" ht="51.75" customHeight="1" x14ac:dyDescent="0.25">
      <c r="B446" s="1524" t="s">
        <v>7889</v>
      </c>
      <c r="C446" s="1524"/>
      <c r="D446" s="1524"/>
      <c r="E446" s="1524"/>
      <c r="F446" s="1524"/>
      <c r="G446" s="1524"/>
      <c r="H446" s="1524"/>
      <c r="I446" s="1524"/>
      <c r="J446" s="1524"/>
    </row>
    <row r="448" spans="2:10" ht="54.75" customHeight="1" x14ac:dyDescent="0.25">
      <c r="B448" s="1524" t="s">
        <v>2331</v>
      </c>
      <c r="C448" s="1524"/>
      <c r="D448" s="1524"/>
      <c r="E448" s="1524"/>
      <c r="F448" s="1524"/>
      <c r="G448" s="1524"/>
      <c r="H448" s="1524"/>
      <c r="I448" s="1524"/>
      <c r="J448" s="1524"/>
    </row>
    <row r="450" spans="2:10" ht="83.25" customHeight="1" x14ac:dyDescent="0.25">
      <c r="B450" s="1524" t="s">
        <v>7890</v>
      </c>
      <c r="C450" s="1524"/>
      <c r="D450" s="1524"/>
      <c r="E450" s="1524"/>
      <c r="F450" s="1524"/>
      <c r="G450" s="1524"/>
      <c r="H450" s="1524"/>
      <c r="I450" s="1524"/>
      <c r="J450" s="1524"/>
    </row>
    <row r="452" spans="2:10" ht="56.25" customHeight="1" x14ac:dyDescent="0.25">
      <c r="B452" s="1524" t="s">
        <v>2332</v>
      </c>
      <c r="C452" s="1524"/>
      <c r="D452" s="1524"/>
      <c r="E452" s="1524"/>
      <c r="F452" s="1524"/>
      <c r="G452" s="1524"/>
      <c r="H452" s="1524"/>
      <c r="I452" s="1524"/>
      <c r="J452" s="1524"/>
    </row>
  </sheetData>
  <mergeCells count="433">
    <mergeCell ref="B432:J432"/>
    <mergeCell ref="B434:J434"/>
    <mergeCell ref="B436:J436"/>
    <mergeCell ref="B424:G424"/>
    <mergeCell ref="B425:G425"/>
    <mergeCell ref="B426:G426"/>
    <mergeCell ref="B427:G427"/>
    <mergeCell ref="B450:J450"/>
    <mergeCell ref="B452:J452"/>
    <mergeCell ref="B438:J438"/>
    <mergeCell ref="B440:J440"/>
    <mergeCell ref="B442:J442"/>
    <mergeCell ref="B444:J444"/>
    <mergeCell ref="B446:J446"/>
    <mergeCell ref="B448:J448"/>
    <mergeCell ref="B430:J430"/>
    <mergeCell ref="B428:J428"/>
    <mergeCell ref="B404:G404"/>
    <mergeCell ref="B405:G405"/>
    <mergeCell ref="B406:G406"/>
    <mergeCell ref="B407:G407"/>
    <mergeCell ref="B408:G408"/>
    <mergeCell ref="B409:G409"/>
    <mergeCell ref="B398:G398"/>
    <mergeCell ref="B399:G399"/>
    <mergeCell ref="B400:G400"/>
    <mergeCell ref="B401:G401"/>
    <mergeCell ref="B402:G402"/>
    <mergeCell ref="B403:G403"/>
    <mergeCell ref="B416:G416"/>
    <mergeCell ref="B417:G417"/>
    <mergeCell ref="B418:G418"/>
    <mergeCell ref="B421:G421"/>
    <mergeCell ref="B422:G422"/>
    <mergeCell ref="B423:G423"/>
    <mergeCell ref="B410:G410"/>
    <mergeCell ref="B411:G411"/>
    <mergeCell ref="B412:G412"/>
    <mergeCell ref="B413:G413"/>
    <mergeCell ref="B414:G414"/>
    <mergeCell ref="B415:G415"/>
    <mergeCell ref="B419:G419"/>
    <mergeCell ref="B420:G420"/>
    <mergeCell ref="B392:G392"/>
    <mergeCell ref="B393:G393"/>
    <mergeCell ref="B394:G394"/>
    <mergeCell ref="B395:G395"/>
    <mergeCell ref="B396:G396"/>
    <mergeCell ref="B397:G397"/>
    <mergeCell ref="B386:G386"/>
    <mergeCell ref="B387:G387"/>
    <mergeCell ref="B388:G388"/>
    <mergeCell ref="B389:G389"/>
    <mergeCell ref="B390:G390"/>
    <mergeCell ref="B391:G391"/>
    <mergeCell ref="B383:G383"/>
    <mergeCell ref="B384:G384"/>
    <mergeCell ref="B385:G385"/>
    <mergeCell ref="B377:G377"/>
    <mergeCell ref="B378:G378"/>
    <mergeCell ref="B379:G379"/>
    <mergeCell ref="B380:G380"/>
    <mergeCell ref="B381:G381"/>
    <mergeCell ref="B382:G382"/>
    <mergeCell ref="B371:G371"/>
    <mergeCell ref="B372:G372"/>
    <mergeCell ref="B373:G373"/>
    <mergeCell ref="B374:G374"/>
    <mergeCell ref="B375:G375"/>
    <mergeCell ref="B376:G376"/>
    <mergeCell ref="B365:G365"/>
    <mergeCell ref="B366:G366"/>
    <mergeCell ref="B367:G367"/>
    <mergeCell ref="B368:G368"/>
    <mergeCell ref="B369:G369"/>
    <mergeCell ref="B370:G370"/>
    <mergeCell ref="B359:G359"/>
    <mergeCell ref="B360:G360"/>
    <mergeCell ref="B361:G361"/>
    <mergeCell ref="B362:G362"/>
    <mergeCell ref="B363:G363"/>
    <mergeCell ref="B364:G364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B329:G329"/>
    <mergeCell ref="B330:G330"/>
    <mergeCell ref="B331:G331"/>
    <mergeCell ref="B332:G332"/>
    <mergeCell ref="B333:G333"/>
    <mergeCell ref="B334:G334"/>
    <mergeCell ref="B323:G323"/>
    <mergeCell ref="B324:G324"/>
    <mergeCell ref="B325:G325"/>
    <mergeCell ref="B326:G326"/>
    <mergeCell ref="B327:G327"/>
    <mergeCell ref="B328:G328"/>
    <mergeCell ref="B317:G317"/>
    <mergeCell ref="B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9:G299"/>
    <mergeCell ref="B300:G300"/>
    <mergeCell ref="B301:G301"/>
    <mergeCell ref="B302:G302"/>
    <mergeCell ref="B303:G303"/>
    <mergeCell ref="B304:G304"/>
    <mergeCell ref="B293:G293"/>
    <mergeCell ref="B294:G294"/>
    <mergeCell ref="B295:G295"/>
    <mergeCell ref="B296:G296"/>
    <mergeCell ref="B297:G297"/>
    <mergeCell ref="B298:G298"/>
    <mergeCell ref="B287:G287"/>
    <mergeCell ref="B288:G288"/>
    <mergeCell ref="B289:G289"/>
    <mergeCell ref="B290:G290"/>
    <mergeCell ref="B291:G291"/>
    <mergeCell ref="B292:G292"/>
    <mergeCell ref="B281:G281"/>
    <mergeCell ref="B282:G282"/>
    <mergeCell ref="B283:G283"/>
    <mergeCell ref="B284:G284"/>
    <mergeCell ref="B285:G285"/>
    <mergeCell ref="B286:G286"/>
    <mergeCell ref="B275:G275"/>
    <mergeCell ref="B276:G276"/>
    <mergeCell ref="B277:G277"/>
    <mergeCell ref="B278:G278"/>
    <mergeCell ref="B279:G279"/>
    <mergeCell ref="B280:G280"/>
    <mergeCell ref="B269:G269"/>
    <mergeCell ref="B270:G270"/>
    <mergeCell ref="B271:G271"/>
    <mergeCell ref="B272:G272"/>
    <mergeCell ref="B273:G273"/>
    <mergeCell ref="B274:G274"/>
    <mergeCell ref="B263:G263"/>
    <mergeCell ref="B264:G264"/>
    <mergeCell ref="B265:G265"/>
    <mergeCell ref="B266:G266"/>
    <mergeCell ref="B267:G267"/>
    <mergeCell ref="B268:G268"/>
    <mergeCell ref="B257:G257"/>
    <mergeCell ref="B258:G258"/>
    <mergeCell ref="B259:G259"/>
    <mergeCell ref="B260:G260"/>
    <mergeCell ref="B261:G261"/>
    <mergeCell ref="B262:G262"/>
    <mergeCell ref="B251:G251"/>
    <mergeCell ref="B252:G252"/>
    <mergeCell ref="B253:G253"/>
    <mergeCell ref="B254:G254"/>
    <mergeCell ref="B255:G255"/>
    <mergeCell ref="B256:G256"/>
    <mergeCell ref="B245:G245"/>
    <mergeCell ref="B246:G246"/>
    <mergeCell ref="B247:G247"/>
    <mergeCell ref="B248:G248"/>
    <mergeCell ref="B249:G249"/>
    <mergeCell ref="B250:G250"/>
    <mergeCell ref="B239:G239"/>
    <mergeCell ref="B240:G240"/>
    <mergeCell ref="B241:G241"/>
    <mergeCell ref="B242:G242"/>
    <mergeCell ref="B243:G243"/>
    <mergeCell ref="B244:G244"/>
    <mergeCell ref="B233:G233"/>
    <mergeCell ref="B234:G234"/>
    <mergeCell ref="B235:G235"/>
    <mergeCell ref="B236:G236"/>
    <mergeCell ref="B237:G237"/>
    <mergeCell ref="B238:G238"/>
    <mergeCell ref="B227:G227"/>
    <mergeCell ref="B228:G228"/>
    <mergeCell ref="B229:G229"/>
    <mergeCell ref="B230:G230"/>
    <mergeCell ref="B231:G231"/>
    <mergeCell ref="B232:G232"/>
    <mergeCell ref="B221:G221"/>
    <mergeCell ref="B222:G222"/>
    <mergeCell ref="B223:G223"/>
    <mergeCell ref="B224:G224"/>
    <mergeCell ref="B225:G225"/>
    <mergeCell ref="B226:G226"/>
    <mergeCell ref="B215:G215"/>
    <mergeCell ref="B216:G216"/>
    <mergeCell ref="B217:G217"/>
    <mergeCell ref="B218:G218"/>
    <mergeCell ref="B219:G219"/>
    <mergeCell ref="B220:G220"/>
    <mergeCell ref="B209:G209"/>
    <mergeCell ref="B210:G210"/>
    <mergeCell ref="B211:G211"/>
    <mergeCell ref="B212:G212"/>
    <mergeCell ref="B213:G213"/>
    <mergeCell ref="B214:G214"/>
    <mergeCell ref="B203:G203"/>
    <mergeCell ref="B204:G204"/>
    <mergeCell ref="B205:G205"/>
    <mergeCell ref="B206:G206"/>
    <mergeCell ref="B207:G207"/>
    <mergeCell ref="B208:G208"/>
    <mergeCell ref="B197:G197"/>
    <mergeCell ref="B198:G198"/>
    <mergeCell ref="B199:G199"/>
    <mergeCell ref="B200:G200"/>
    <mergeCell ref="B201:G201"/>
    <mergeCell ref="B202:G202"/>
    <mergeCell ref="B191:G191"/>
    <mergeCell ref="B192:G192"/>
    <mergeCell ref="B193:G193"/>
    <mergeCell ref="B194:G194"/>
    <mergeCell ref="B195:G195"/>
    <mergeCell ref="B196:G196"/>
    <mergeCell ref="B185:G185"/>
    <mergeCell ref="B186:G186"/>
    <mergeCell ref="B187:G187"/>
    <mergeCell ref="B188:G188"/>
    <mergeCell ref="B189:G189"/>
    <mergeCell ref="B190:G190"/>
    <mergeCell ref="B179:G179"/>
    <mergeCell ref="B180:G180"/>
    <mergeCell ref="B181:G181"/>
    <mergeCell ref="B182:G182"/>
    <mergeCell ref="B183:G183"/>
    <mergeCell ref="B184:G184"/>
    <mergeCell ref="B173:G173"/>
    <mergeCell ref="B174:G174"/>
    <mergeCell ref="B175:G175"/>
    <mergeCell ref="B176:G176"/>
    <mergeCell ref="B177:G177"/>
    <mergeCell ref="B178:G178"/>
    <mergeCell ref="B167:G167"/>
    <mergeCell ref="B168:G168"/>
    <mergeCell ref="B169:G169"/>
    <mergeCell ref="B170:G170"/>
    <mergeCell ref="B171:G171"/>
    <mergeCell ref="B172:G172"/>
    <mergeCell ref="B161:G161"/>
    <mergeCell ref="B162:G162"/>
    <mergeCell ref="B163:G163"/>
    <mergeCell ref="B164:G164"/>
    <mergeCell ref="B165:G165"/>
    <mergeCell ref="B166:G166"/>
    <mergeCell ref="B155:G155"/>
    <mergeCell ref="B156:G156"/>
    <mergeCell ref="B157:G157"/>
    <mergeCell ref="B158:G158"/>
    <mergeCell ref="B159:G159"/>
    <mergeCell ref="B160:G160"/>
    <mergeCell ref="B149:G149"/>
    <mergeCell ref="B150:G150"/>
    <mergeCell ref="B151:G151"/>
    <mergeCell ref="B152:G152"/>
    <mergeCell ref="B153:G153"/>
    <mergeCell ref="B154:G154"/>
    <mergeCell ref="B143:G143"/>
    <mergeCell ref="B144:G144"/>
    <mergeCell ref="B145:G145"/>
    <mergeCell ref="B146:G146"/>
    <mergeCell ref="B147:G147"/>
    <mergeCell ref="B148:G148"/>
    <mergeCell ref="B137:G137"/>
    <mergeCell ref="B138:G138"/>
    <mergeCell ref="B139:G139"/>
    <mergeCell ref="B140:G140"/>
    <mergeCell ref="B141:G141"/>
    <mergeCell ref="B142:G142"/>
    <mergeCell ref="B131:G131"/>
    <mergeCell ref="B132:G132"/>
    <mergeCell ref="B133:G133"/>
    <mergeCell ref="B134:G134"/>
    <mergeCell ref="B135:G135"/>
    <mergeCell ref="B136:G136"/>
    <mergeCell ref="B125:G125"/>
    <mergeCell ref="B126:G126"/>
    <mergeCell ref="B127:G127"/>
    <mergeCell ref="B128:G128"/>
    <mergeCell ref="B129:G129"/>
    <mergeCell ref="B130:G130"/>
    <mergeCell ref="B119:G119"/>
    <mergeCell ref="B120:G120"/>
    <mergeCell ref="B121:G121"/>
    <mergeCell ref="B122:G122"/>
    <mergeCell ref="B123:G123"/>
    <mergeCell ref="B124:G124"/>
    <mergeCell ref="B113:G113"/>
    <mergeCell ref="B114:G114"/>
    <mergeCell ref="B115:G115"/>
    <mergeCell ref="B116:G116"/>
    <mergeCell ref="B117:G117"/>
    <mergeCell ref="B118:G118"/>
    <mergeCell ref="B107:G107"/>
    <mergeCell ref="B108:G108"/>
    <mergeCell ref="B109:G109"/>
    <mergeCell ref="B110:G110"/>
    <mergeCell ref="B111:G111"/>
    <mergeCell ref="B112:G112"/>
    <mergeCell ref="B101:G101"/>
    <mergeCell ref="B102:G102"/>
    <mergeCell ref="B103:G103"/>
    <mergeCell ref="B104:G104"/>
    <mergeCell ref="B105:G105"/>
    <mergeCell ref="B106:G106"/>
    <mergeCell ref="B95:G95"/>
    <mergeCell ref="B96:G96"/>
    <mergeCell ref="B97:G97"/>
    <mergeCell ref="B98:G98"/>
    <mergeCell ref="B99:G99"/>
    <mergeCell ref="B100:G100"/>
    <mergeCell ref="B89:G89"/>
    <mergeCell ref="B90:G90"/>
    <mergeCell ref="B91:G91"/>
    <mergeCell ref="B92:G92"/>
    <mergeCell ref="B93:G93"/>
    <mergeCell ref="B94:G94"/>
    <mergeCell ref="B83:G83"/>
    <mergeCell ref="B84:G84"/>
    <mergeCell ref="B85:G85"/>
    <mergeCell ref="B86:G86"/>
    <mergeCell ref="B87:G87"/>
    <mergeCell ref="B88:G88"/>
    <mergeCell ref="B77:G77"/>
    <mergeCell ref="B78:G78"/>
    <mergeCell ref="B79:G79"/>
    <mergeCell ref="B80:G80"/>
    <mergeCell ref="B81:G81"/>
    <mergeCell ref="B82:G82"/>
    <mergeCell ref="B71:G71"/>
    <mergeCell ref="B72:G72"/>
    <mergeCell ref="B73:G73"/>
    <mergeCell ref="B74:G74"/>
    <mergeCell ref="B75:G75"/>
    <mergeCell ref="B76:G76"/>
    <mergeCell ref="B65:G65"/>
    <mergeCell ref="B66:G66"/>
    <mergeCell ref="B67:G67"/>
    <mergeCell ref="B68:G68"/>
    <mergeCell ref="B69:G69"/>
    <mergeCell ref="B70:G70"/>
    <mergeCell ref="B59:G59"/>
    <mergeCell ref="B60:G60"/>
    <mergeCell ref="B61:G61"/>
    <mergeCell ref="B62:G62"/>
    <mergeCell ref="B63:G63"/>
    <mergeCell ref="B64:G64"/>
    <mergeCell ref="B43:G43"/>
    <mergeCell ref="B54:G54"/>
    <mergeCell ref="B55:G55"/>
    <mergeCell ref="B56:G56"/>
    <mergeCell ref="B57:G57"/>
    <mergeCell ref="B58:G58"/>
    <mergeCell ref="B44:G44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37:G37"/>
    <mergeCell ref="B38:G38"/>
    <mergeCell ref="B39:G39"/>
    <mergeCell ref="B40:G40"/>
    <mergeCell ref="B41:G41"/>
    <mergeCell ref="B42:G42"/>
    <mergeCell ref="B31:G31"/>
    <mergeCell ref="B32:G32"/>
    <mergeCell ref="B33:G33"/>
    <mergeCell ref="B34:G34"/>
    <mergeCell ref="B35:G35"/>
    <mergeCell ref="B36:G36"/>
    <mergeCell ref="B25:G25"/>
    <mergeCell ref="B26:G26"/>
    <mergeCell ref="B27:G27"/>
    <mergeCell ref="B28:G28"/>
    <mergeCell ref="B29:G29"/>
    <mergeCell ref="B30:G30"/>
    <mergeCell ref="B19:G19"/>
    <mergeCell ref="B20:G20"/>
    <mergeCell ref="B21:G21"/>
    <mergeCell ref="B22:G22"/>
    <mergeCell ref="B23:G23"/>
    <mergeCell ref="B24:G24"/>
    <mergeCell ref="B16:G16"/>
    <mergeCell ref="B17:G17"/>
    <mergeCell ref="B18:G18"/>
    <mergeCell ref="B13:J13"/>
    <mergeCell ref="B11:J11"/>
    <mergeCell ref="B9:J9"/>
    <mergeCell ref="B1:J1"/>
    <mergeCell ref="B3:J3"/>
    <mergeCell ref="B7:J7"/>
    <mergeCell ref="B15:J15"/>
    <mergeCell ref="B5:J5"/>
  </mergeCells>
  <pageMargins left="0.51181102362204722" right="0.31496062992125984" top="0.78740157480314965" bottom="0.78740157480314965" header="0.31496062992125984" footer="0.31496062992125984"/>
  <pageSetup paperSize="9" scale="8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workbookViewId="0">
      <selection activeCell="L25" sqref="L25"/>
    </sheetView>
  </sheetViews>
  <sheetFormatPr defaultRowHeight="15" x14ac:dyDescent="0.25"/>
  <cols>
    <col min="1" max="1" width="2.28515625" customWidth="1"/>
    <col min="2" max="2" width="9.7109375" customWidth="1"/>
    <col min="6" max="7" width="9.140625" customWidth="1"/>
    <col min="8" max="8" width="19.42578125" customWidth="1"/>
    <col min="9" max="9" width="18.85546875" customWidth="1"/>
  </cols>
  <sheetData>
    <row r="1" spans="2:11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413"/>
    </row>
    <row r="2" spans="2:11" s="410" customFormat="1" ht="12.75" customHeight="1" x14ac:dyDescent="0.35">
      <c r="C2" s="412"/>
      <c r="D2" s="411"/>
      <c r="G2" s="412"/>
    </row>
    <row r="3" spans="2:11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413"/>
    </row>
    <row r="4" spans="2:11" s="410" customFormat="1" ht="10.5" customHeight="1" x14ac:dyDescent="0.35">
      <c r="C4" s="412"/>
      <c r="D4" s="411"/>
      <c r="G4" s="412"/>
    </row>
    <row r="5" spans="2:11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414"/>
    </row>
    <row r="6" spans="2:11" ht="12" customHeight="1" x14ac:dyDescent="0.25">
      <c r="B6" s="288"/>
      <c r="C6" s="288"/>
      <c r="D6" s="288"/>
      <c r="E6" s="288"/>
      <c r="F6" s="288"/>
      <c r="G6" s="288"/>
      <c r="H6" s="65"/>
      <c r="I6" s="65"/>
      <c r="J6" s="65"/>
      <c r="K6" s="65"/>
    </row>
    <row r="7" spans="2:11" ht="15.75" x14ac:dyDescent="0.25">
      <c r="B7" s="1522" t="s">
        <v>2421</v>
      </c>
      <c r="C7" s="1522"/>
      <c r="D7" s="1522"/>
      <c r="E7" s="1522"/>
      <c r="F7" s="1522"/>
      <c r="G7" s="1522"/>
      <c r="H7" s="1522"/>
      <c r="I7" s="1522"/>
      <c r="J7" s="1522"/>
      <c r="K7" s="125"/>
    </row>
    <row r="9" spans="2:11" x14ac:dyDescent="0.25">
      <c r="D9" t="s">
        <v>2422</v>
      </c>
    </row>
    <row r="10" spans="2:11" x14ac:dyDescent="0.25">
      <c r="H10" s="12" t="s">
        <v>2441</v>
      </c>
      <c r="I10" s="12" t="s">
        <v>2441</v>
      </c>
    </row>
    <row r="11" spans="2:11" x14ac:dyDescent="0.25">
      <c r="B11" s="1515" t="s">
        <v>1</v>
      </c>
      <c r="C11" s="1515"/>
      <c r="D11" s="1515"/>
      <c r="E11" s="1515"/>
      <c r="F11" s="1515"/>
      <c r="G11" s="1515"/>
      <c r="H11" s="44">
        <v>2019</v>
      </c>
      <c r="I11" s="12">
        <f>H11+1</f>
        <v>2020</v>
      </c>
    </row>
    <row r="12" spans="2:11" x14ac:dyDescent="0.25">
      <c r="B12" s="1525" t="s">
        <v>2423</v>
      </c>
      <c r="C12" s="1525"/>
      <c r="D12" s="1525"/>
      <c r="E12" s="1525"/>
      <c r="F12" s="1525"/>
      <c r="G12" s="1525"/>
      <c r="H12" s="33">
        <f>SUM(H13:H20)</f>
        <v>18651994.899999999</v>
      </c>
      <c r="I12" s="33">
        <f>SUM(I13:I20)</f>
        <v>26177279.090806134</v>
      </c>
    </row>
    <row r="13" spans="2:11" x14ac:dyDescent="0.25">
      <c r="B13" s="1467" t="s">
        <v>2424</v>
      </c>
      <c r="C13" s="1467"/>
      <c r="D13" s="1467"/>
      <c r="E13" s="1467"/>
      <c r="F13" s="1467"/>
      <c r="G13" s="1467"/>
      <c r="H13" s="15">
        <f>DERF!E13</f>
        <v>697718.45</v>
      </c>
      <c r="I13" s="15">
        <f>ER!E11</f>
        <v>907617.79658912052</v>
      </c>
    </row>
    <row r="14" spans="2:11" x14ac:dyDescent="0.25">
      <c r="B14" s="1467" t="s">
        <v>2425</v>
      </c>
      <c r="C14" s="1467"/>
      <c r="D14" s="1467"/>
      <c r="E14" s="1467"/>
      <c r="F14" s="1467"/>
      <c r="G14" s="1467"/>
      <c r="H14" s="15">
        <f>DERF!E14</f>
        <v>30866.28875</v>
      </c>
      <c r="I14" s="15">
        <f>ER!E188</f>
        <v>33525.620708269133</v>
      </c>
    </row>
    <row r="15" spans="2:11" x14ac:dyDescent="0.25">
      <c r="B15" s="1467" t="s">
        <v>2426</v>
      </c>
      <c r="C15" s="1467"/>
      <c r="D15" s="1467"/>
      <c r="E15" s="1467"/>
      <c r="F15" s="1467"/>
      <c r="G15" s="1467"/>
      <c r="H15" s="15">
        <f>DERF!E15</f>
        <v>97507.41</v>
      </c>
      <c r="I15" s="15">
        <f>ER!E191</f>
        <v>132960.05508344073</v>
      </c>
    </row>
    <row r="16" spans="2:11" x14ac:dyDescent="0.25">
      <c r="B16" s="1467" t="s">
        <v>2427</v>
      </c>
      <c r="C16" s="1467"/>
      <c r="D16" s="1467"/>
      <c r="E16" s="1467"/>
      <c r="F16" s="1467"/>
      <c r="G16" s="1467"/>
      <c r="H16" s="15">
        <f>DERF!E16</f>
        <v>0</v>
      </c>
      <c r="I16">
        <v>0</v>
      </c>
    </row>
    <row r="17" spans="2:9" x14ac:dyDescent="0.25">
      <c r="B17" s="1467" t="s">
        <v>2428</v>
      </c>
      <c r="C17" s="1467"/>
      <c r="D17" s="1467"/>
      <c r="E17" s="1467"/>
      <c r="F17" s="1467"/>
      <c r="G17" s="1467"/>
      <c r="H17" s="15">
        <f>DERF!E17</f>
        <v>0</v>
      </c>
      <c r="I17">
        <v>0</v>
      </c>
    </row>
    <row r="18" spans="2:9" x14ac:dyDescent="0.25">
      <c r="B18" s="1467" t="s">
        <v>2429</v>
      </c>
      <c r="C18" s="1467"/>
      <c r="D18" s="1467"/>
      <c r="E18" s="1467"/>
      <c r="F18" s="1467"/>
      <c r="G18" s="1467"/>
      <c r="H18" s="15">
        <f>DERF!E18</f>
        <v>122531.86</v>
      </c>
      <c r="I18" s="15">
        <f>ER!E240</f>
        <v>126636.77027073521</v>
      </c>
    </row>
    <row r="19" spans="2:9" x14ac:dyDescent="0.25">
      <c r="B19" s="1467" t="s">
        <v>2430</v>
      </c>
      <c r="C19" s="1467"/>
      <c r="D19" s="1467"/>
      <c r="E19" s="1467"/>
      <c r="F19" s="1467"/>
      <c r="G19" s="1467"/>
      <c r="H19" s="15">
        <f>DERF!E19</f>
        <v>17329921.166249998</v>
      </c>
      <c r="I19" s="15">
        <f>ER!E334-ER!E553-ER!E503-ER!E421-ER!E391</f>
        <v>24511283.896487899</v>
      </c>
    </row>
    <row r="20" spans="2:9" x14ac:dyDescent="0.25">
      <c r="B20" s="1467" t="s">
        <v>2431</v>
      </c>
      <c r="C20" s="1467"/>
      <c r="D20" s="1467"/>
      <c r="E20" s="1467"/>
      <c r="F20" s="1467"/>
      <c r="G20" s="1467"/>
      <c r="H20" s="15">
        <f>DERF!E20</f>
        <v>373449.72499999998</v>
      </c>
      <c r="I20" s="15">
        <f>ER!E441</f>
        <v>465254.9516666666</v>
      </c>
    </row>
    <row r="21" spans="2:9" x14ac:dyDescent="0.25">
      <c r="B21" s="1525" t="s">
        <v>2432</v>
      </c>
      <c r="C21" s="1525"/>
      <c r="D21" s="1525"/>
      <c r="E21" s="1525"/>
      <c r="F21" s="1525"/>
      <c r="G21" s="1525"/>
      <c r="H21" s="33">
        <f>SUM(H22:H29)</f>
        <v>2868231.08</v>
      </c>
      <c r="I21" s="33">
        <f>SUM(I22:I29)</f>
        <v>3998705.6754293768</v>
      </c>
    </row>
    <row r="22" spans="2:9" x14ac:dyDescent="0.25">
      <c r="B22" s="1467" t="s">
        <v>2433</v>
      </c>
      <c r="C22" s="1467"/>
      <c r="D22" s="1467"/>
      <c r="E22" s="1467"/>
      <c r="F22" s="1467"/>
      <c r="G22" s="1467"/>
      <c r="H22" s="26">
        <v>0</v>
      </c>
      <c r="I22" s="26">
        <v>0</v>
      </c>
    </row>
    <row r="23" spans="2:9" x14ac:dyDescent="0.25">
      <c r="B23" s="1467" t="s">
        <v>2434</v>
      </c>
      <c r="C23" s="1467"/>
      <c r="D23" s="1467"/>
      <c r="E23" s="1467"/>
      <c r="F23" s="1467"/>
      <c r="G23" s="1467"/>
      <c r="H23" s="26">
        <v>0</v>
      </c>
      <c r="I23" s="26">
        <v>0</v>
      </c>
    </row>
    <row r="24" spans="2:9" x14ac:dyDescent="0.25">
      <c r="B24" s="1467" t="s">
        <v>2435</v>
      </c>
      <c r="C24" s="1467"/>
      <c r="D24" s="1467"/>
      <c r="E24" s="1467"/>
      <c r="F24" s="1467"/>
      <c r="G24" s="1467"/>
      <c r="H24" s="26">
        <v>0</v>
      </c>
      <c r="I24" s="26">
        <v>0</v>
      </c>
    </row>
    <row r="25" spans="2:9" x14ac:dyDescent="0.25">
      <c r="B25" s="1467" t="s">
        <v>2436</v>
      </c>
      <c r="C25" s="1467"/>
      <c r="D25" s="1467"/>
      <c r="E25" s="1467"/>
      <c r="F25" s="1467"/>
      <c r="G25" s="1467"/>
      <c r="H25" s="26">
        <v>0</v>
      </c>
      <c r="I25" s="26">
        <v>0</v>
      </c>
    </row>
    <row r="26" spans="2:9" x14ac:dyDescent="0.25">
      <c r="B26" s="1467" t="s">
        <v>2437</v>
      </c>
      <c r="C26" s="1467"/>
      <c r="D26" s="1467"/>
      <c r="E26" s="1467"/>
      <c r="F26" s="1467"/>
      <c r="G26" s="1467"/>
      <c r="H26" s="26">
        <v>0</v>
      </c>
      <c r="I26" s="26">
        <v>0</v>
      </c>
    </row>
    <row r="27" spans="2:9" x14ac:dyDescent="0.25">
      <c r="B27" s="1467" t="s">
        <v>2438</v>
      </c>
      <c r="C27" s="1467"/>
      <c r="D27" s="1467"/>
      <c r="E27" s="1467"/>
      <c r="F27" s="1467"/>
      <c r="G27" s="1467"/>
      <c r="H27" s="26">
        <f>CIG!G31</f>
        <v>2323485.0649999999</v>
      </c>
      <c r="I27" s="26">
        <f>ER!E617</f>
        <v>3509660.2331595472</v>
      </c>
    </row>
    <row r="28" spans="2:9" x14ac:dyDescent="0.25">
      <c r="B28" s="1467" t="s">
        <v>2439</v>
      </c>
      <c r="C28" s="1467"/>
      <c r="D28" s="1467"/>
      <c r="E28" s="1467"/>
      <c r="F28" s="1467"/>
      <c r="G28" s="1467"/>
      <c r="H28" s="26">
        <v>0</v>
      </c>
      <c r="I28" s="26">
        <v>0</v>
      </c>
    </row>
    <row r="29" spans="2:9" x14ac:dyDescent="0.25">
      <c r="B29" s="1467" t="s">
        <v>2442</v>
      </c>
      <c r="C29" s="1467"/>
      <c r="D29" s="1467"/>
      <c r="E29" s="1467"/>
      <c r="F29" s="1467"/>
      <c r="G29" s="1467"/>
      <c r="H29" s="26">
        <f>CIG!G79+CIG!G80</f>
        <v>544746.01500000001</v>
      </c>
      <c r="I29" s="26">
        <f>ER!E15</f>
        <v>489045.4422698298</v>
      </c>
    </row>
    <row r="30" spans="2:9" x14ac:dyDescent="0.25">
      <c r="B30" s="1525" t="s">
        <v>2440</v>
      </c>
      <c r="C30" s="1525"/>
      <c r="D30" s="1525"/>
      <c r="E30" s="1525"/>
      <c r="F30" s="1525"/>
      <c r="G30" s="1525"/>
      <c r="H30" s="33">
        <f>H12-H21</f>
        <v>15783763.819999998</v>
      </c>
      <c r="I30" s="33">
        <f>I12-I21</f>
        <v>22178573.415376756</v>
      </c>
    </row>
    <row r="31" spans="2:9" x14ac:dyDescent="0.25">
      <c r="B31" s="1525" t="s">
        <v>7891</v>
      </c>
      <c r="C31" s="1525"/>
      <c r="D31" s="1525"/>
      <c r="E31" s="1525"/>
      <c r="F31" s="1525"/>
      <c r="G31" s="1525"/>
      <c r="H31" s="1525"/>
      <c r="I31" s="1525"/>
    </row>
  </sheetData>
  <mergeCells count="25">
    <mergeCell ref="B31:I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30:G30"/>
    <mergeCell ref="B29:G29"/>
    <mergeCell ref="B19:G19"/>
    <mergeCell ref="B12:G12"/>
    <mergeCell ref="B13:G13"/>
    <mergeCell ref="B14:G14"/>
    <mergeCell ref="B15:G15"/>
    <mergeCell ref="B16:G16"/>
    <mergeCell ref="B5:I5"/>
    <mergeCell ref="B3:I3"/>
    <mergeCell ref="B1:I1"/>
    <mergeCell ref="B17:G17"/>
    <mergeCell ref="B18:G18"/>
    <mergeCell ref="B7:J7"/>
    <mergeCell ref="B11:G11"/>
  </mergeCells>
  <pageMargins left="0.51181102362204722" right="0.51181102362204722" top="0.78740157480314965" bottom="0.78740157480314965" header="0.31496062992125984" footer="0.31496062992125984"/>
  <pageSetup paperSize="9" scale="80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6"/>
  <sheetViews>
    <sheetView topLeftCell="A49" workbookViewId="0">
      <selection activeCell="H23" sqref="H23"/>
    </sheetView>
  </sheetViews>
  <sheetFormatPr defaultRowHeight="15" x14ac:dyDescent="0.25"/>
  <cols>
    <col min="1" max="1" width="3" style="133" customWidth="1"/>
    <col min="2" max="2" width="44.85546875" style="133" bestFit="1" customWidth="1"/>
    <col min="3" max="3" width="18.42578125" style="133" bestFit="1" customWidth="1"/>
    <col min="4" max="4" width="39.28515625" style="133" bestFit="1" customWidth="1"/>
    <col min="5" max="5" width="14.42578125" style="134" bestFit="1" customWidth="1"/>
    <col min="6" max="16384" width="9.140625" style="133"/>
  </cols>
  <sheetData>
    <row r="1" spans="2:1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</row>
    <row r="2" spans="2:10" s="410" customFormat="1" ht="12.75" customHeight="1" x14ac:dyDescent="0.35">
      <c r="C2" s="412"/>
      <c r="D2" s="411"/>
      <c r="G2" s="412"/>
    </row>
    <row r="3" spans="2:1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</row>
    <row r="4" spans="2:10" s="410" customFormat="1" ht="10.5" customHeight="1" x14ac:dyDescent="0.35">
      <c r="C4" s="412"/>
      <c r="D4" s="411"/>
      <c r="G4" s="412"/>
    </row>
    <row r="5" spans="2:1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</row>
    <row r="6" spans="2:10" x14ac:dyDescent="0.25">
      <c r="B6" s="4"/>
      <c r="C6" s="4"/>
    </row>
    <row r="7" spans="2:10" x14ac:dyDescent="0.25">
      <c r="B7" s="1528" t="s">
        <v>2333</v>
      </c>
      <c r="C7" s="1528"/>
      <c r="D7" s="1528"/>
      <c r="E7" s="1528"/>
    </row>
    <row r="8" spans="2:10" x14ac:dyDescent="0.25">
      <c r="B8" s="1529"/>
      <c r="C8" s="1529"/>
      <c r="D8" s="1529"/>
      <c r="E8" s="1529"/>
    </row>
    <row r="9" spans="2:10" x14ac:dyDescent="0.25">
      <c r="B9" s="135" t="s">
        <v>2334</v>
      </c>
      <c r="C9" s="135">
        <v>3703</v>
      </c>
      <c r="D9" s="136" t="s">
        <v>2413</v>
      </c>
      <c r="E9" s="163">
        <v>2020</v>
      </c>
    </row>
    <row r="10" spans="2:10" x14ac:dyDescent="0.25">
      <c r="B10" s="137"/>
      <c r="C10" s="137"/>
      <c r="D10" s="137"/>
      <c r="E10" s="138"/>
    </row>
    <row r="11" spans="2:10" x14ac:dyDescent="0.25">
      <c r="B11" s="1536" t="s">
        <v>2335</v>
      </c>
      <c r="C11" s="1536"/>
      <c r="D11" s="1536"/>
      <c r="E11" s="1530" t="s">
        <v>2336</v>
      </c>
    </row>
    <row r="12" spans="2:10" x14ac:dyDescent="0.25">
      <c r="B12" s="1536" t="s">
        <v>2337</v>
      </c>
      <c r="C12" s="1536"/>
      <c r="D12" s="1536"/>
      <c r="E12" s="1530"/>
    </row>
    <row r="13" spans="2:10" x14ac:dyDescent="0.25">
      <c r="B13" s="1531" t="s">
        <v>2338</v>
      </c>
      <c r="C13" s="139" t="s">
        <v>2339</v>
      </c>
      <c r="D13" s="140" t="s">
        <v>2340</v>
      </c>
      <c r="E13" s="141">
        <f>ER!E10</f>
        <v>26376546.742472801</v>
      </c>
    </row>
    <row r="14" spans="2:10" x14ac:dyDescent="0.25">
      <c r="B14" s="1532"/>
      <c r="C14" s="142" t="s">
        <v>2341</v>
      </c>
      <c r="D14" s="143" t="s">
        <v>2342</v>
      </c>
      <c r="E14" s="144">
        <f>ER!E522</f>
        <v>4879637.07</v>
      </c>
    </row>
    <row r="15" spans="2:10" x14ac:dyDescent="0.25">
      <c r="B15" s="1526" t="s">
        <v>2343</v>
      </c>
      <c r="C15" s="1526"/>
      <c r="D15" s="1526"/>
      <c r="E15" s="145">
        <f>SUM(E13:E14)</f>
        <v>31256183.812472802</v>
      </c>
    </row>
    <row r="16" spans="2:10" x14ac:dyDescent="0.25">
      <c r="B16" s="1535" t="s">
        <v>2344</v>
      </c>
      <c r="C16" s="1535"/>
      <c r="D16" s="1535"/>
      <c r="E16" s="1533" t="s">
        <v>2336</v>
      </c>
    </row>
    <row r="17" spans="2:5" x14ac:dyDescent="0.25">
      <c r="B17" s="1535" t="s">
        <v>2345</v>
      </c>
      <c r="C17" s="1535"/>
      <c r="D17" s="1535"/>
      <c r="E17" s="1533"/>
    </row>
    <row r="18" spans="2:5" ht="22.5" x14ac:dyDescent="0.25">
      <c r="B18" s="1534" t="s">
        <v>2346</v>
      </c>
      <c r="C18" s="142" t="s">
        <v>2347</v>
      </c>
      <c r="D18" s="146" t="s">
        <v>2348</v>
      </c>
      <c r="E18" s="144">
        <v>0</v>
      </c>
    </row>
    <row r="19" spans="2:5" ht="22.5" x14ac:dyDescent="0.25">
      <c r="B19" s="1534"/>
      <c r="C19" s="142" t="s">
        <v>2349</v>
      </c>
      <c r="D19" s="146" t="s">
        <v>2350</v>
      </c>
      <c r="E19" s="144">
        <v>0</v>
      </c>
    </row>
    <row r="20" spans="2:5" ht="22.5" x14ac:dyDescent="0.25">
      <c r="B20" s="1534"/>
      <c r="C20" s="142" t="s">
        <v>2351</v>
      </c>
      <c r="D20" s="146" t="s">
        <v>2352</v>
      </c>
      <c r="E20" s="144">
        <f>ER!E414</f>
        <v>598989.36222222226</v>
      </c>
    </row>
    <row r="21" spans="2:5" ht="22.5" x14ac:dyDescent="0.25">
      <c r="B21" s="1534"/>
      <c r="C21" s="142" t="s">
        <v>2353</v>
      </c>
      <c r="D21" s="146" t="s">
        <v>2354</v>
      </c>
      <c r="E21" s="144">
        <v>0</v>
      </c>
    </row>
    <row r="22" spans="2:5" ht="22.5" x14ac:dyDescent="0.25">
      <c r="B22" s="1534"/>
      <c r="C22" s="142" t="s">
        <v>2355</v>
      </c>
      <c r="D22" s="146" t="s">
        <v>2356</v>
      </c>
      <c r="E22" s="144">
        <v>0</v>
      </c>
    </row>
    <row r="23" spans="2:5" ht="22.5" x14ac:dyDescent="0.25">
      <c r="B23" s="1534"/>
      <c r="C23" s="142" t="s">
        <v>2357</v>
      </c>
      <c r="D23" s="146" t="s">
        <v>2358</v>
      </c>
      <c r="E23" s="144">
        <f>ER!E538+ER!E545</f>
        <v>346807</v>
      </c>
    </row>
    <row r="24" spans="2:5" ht="22.5" x14ac:dyDescent="0.25">
      <c r="B24" s="1534"/>
      <c r="C24" s="142" t="s">
        <v>2359</v>
      </c>
      <c r="D24" s="146" t="s">
        <v>2360</v>
      </c>
      <c r="E24" s="144">
        <v>0</v>
      </c>
    </row>
    <row r="25" spans="2:5" ht="22.5" x14ac:dyDescent="0.25">
      <c r="B25" s="1534"/>
      <c r="C25" s="142" t="s">
        <v>2361</v>
      </c>
      <c r="D25" s="146" t="s">
        <v>2362</v>
      </c>
      <c r="E25" s="144">
        <v>0</v>
      </c>
    </row>
    <row r="26" spans="2:5" ht="22.5" x14ac:dyDescent="0.25">
      <c r="B26" s="1534"/>
      <c r="C26" s="142" t="s">
        <v>2363</v>
      </c>
      <c r="D26" s="146" t="s">
        <v>2364</v>
      </c>
      <c r="E26" s="144">
        <v>0</v>
      </c>
    </row>
    <row r="27" spans="2:5" x14ac:dyDescent="0.25">
      <c r="B27" s="1526" t="s">
        <v>2343</v>
      </c>
      <c r="C27" s="1526"/>
      <c r="D27" s="1526"/>
      <c r="E27" s="145">
        <f>SUM(E18:E26)</f>
        <v>945796.36222222226</v>
      </c>
    </row>
    <row r="28" spans="2:5" ht="22.5" x14ac:dyDescent="0.25">
      <c r="B28" s="1537" t="s">
        <v>2365</v>
      </c>
      <c r="C28" s="142" t="s">
        <v>2366</v>
      </c>
      <c r="D28" s="146" t="s">
        <v>2367</v>
      </c>
      <c r="E28" s="144">
        <f>ER!E622</f>
        <v>2272735.7393452986</v>
      </c>
    </row>
    <row r="29" spans="2:5" ht="22.5" x14ac:dyDescent="0.25">
      <c r="B29" s="1539"/>
      <c r="C29" s="142" t="s">
        <v>2368</v>
      </c>
      <c r="D29" s="146" t="s">
        <v>2369</v>
      </c>
      <c r="E29" s="144">
        <f>ER!E624</f>
        <v>3614.3649284833609</v>
      </c>
    </row>
    <row r="30" spans="2:5" ht="22.5" x14ac:dyDescent="0.25">
      <c r="B30" s="1539"/>
      <c r="C30" s="142" t="s">
        <v>2370</v>
      </c>
      <c r="D30" s="146" t="s">
        <v>2371</v>
      </c>
      <c r="E30" s="144">
        <f>ER!E627</f>
        <v>0.20893093459686388</v>
      </c>
    </row>
    <row r="31" spans="2:5" ht="22.5" x14ac:dyDescent="0.25">
      <c r="B31" s="1539"/>
      <c r="C31" s="142" t="s">
        <v>2372</v>
      </c>
      <c r="D31" s="146" t="s">
        <v>2373</v>
      </c>
      <c r="E31" s="144">
        <f>ER!E632</f>
        <v>1117221.605291273</v>
      </c>
    </row>
    <row r="32" spans="2:5" ht="22.5" x14ac:dyDescent="0.25">
      <c r="B32" s="1539"/>
      <c r="C32" s="142" t="s">
        <v>2374</v>
      </c>
      <c r="D32" s="146" t="s">
        <v>2375</v>
      </c>
      <c r="E32" s="144">
        <f>ER!E634</f>
        <v>116071.67024700633</v>
      </c>
    </row>
    <row r="33" spans="2:5" ht="22.5" x14ac:dyDescent="0.25">
      <c r="B33" s="1539"/>
      <c r="C33" s="142" t="s">
        <v>2376</v>
      </c>
      <c r="D33" s="146" t="s">
        <v>2377</v>
      </c>
      <c r="E33" s="144">
        <f>ER!E636</f>
        <v>16.644416551178892</v>
      </c>
    </row>
    <row r="34" spans="2:5" x14ac:dyDescent="0.25">
      <c r="B34" s="1526" t="s">
        <v>2378</v>
      </c>
      <c r="C34" s="1526"/>
      <c r="D34" s="1526"/>
      <c r="E34" s="145">
        <f>SUM(E28:E33)</f>
        <v>3509660.2331595472</v>
      </c>
    </row>
    <row r="35" spans="2:5" ht="56.25" x14ac:dyDescent="0.25">
      <c r="B35" s="147" t="s">
        <v>2379</v>
      </c>
      <c r="C35" s="142"/>
      <c r="D35" s="146"/>
      <c r="E35" s="144">
        <v>0</v>
      </c>
    </row>
    <row r="36" spans="2:5" x14ac:dyDescent="0.25">
      <c r="B36" s="1526" t="s">
        <v>2380</v>
      </c>
      <c r="C36" s="1526"/>
      <c r="D36" s="1526"/>
      <c r="E36" s="145">
        <f>SUM(E35)</f>
        <v>0</v>
      </c>
    </row>
    <row r="37" spans="2:5" x14ac:dyDescent="0.25">
      <c r="B37" s="1534" t="s">
        <v>2381</v>
      </c>
      <c r="C37" s="142"/>
      <c r="D37" s="148" t="s">
        <v>2382</v>
      </c>
      <c r="E37" s="144">
        <v>0</v>
      </c>
    </row>
    <row r="38" spans="2:5" x14ac:dyDescent="0.25">
      <c r="B38" s="1534"/>
      <c r="C38" s="142"/>
      <c r="D38" s="146" t="s">
        <v>2383</v>
      </c>
      <c r="E38" s="144">
        <v>0</v>
      </c>
    </row>
    <row r="39" spans="2:5" x14ac:dyDescent="0.25">
      <c r="B39" s="1534"/>
      <c r="C39" s="142"/>
      <c r="D39" s="146" t="s">
        <v>2384</v>
      </c>
      <c r="E39" s="144">
        <v>0</v>
      </c>
    </row>
    <row r="40" spans="2:5" ht="22.5" x14ac:dyDescent="0.25">
      <c r="B40" s="1534"/>
      <c r="C40" s="142"/>
      <c r="D40" s="146" t="s">
        <v>2385</v>
      </c>
      <c r="E40" s="144">
        <v>0</v>
      </c>
    </row>
    <row r="41" spans="2:5" ht="45" x14ac:dyDescent="0.25">
      <c r="B41" s="1534"/>
      <c r="C41" s="142"/>
      <c r="D41" s="146" t="s">
        <v>2386</v>
      </c>
      <c r="E41" s="144">
        <v>0</v>
      </c>
    </row>
    <row r="42" spans="2:5" ht="45" x14ac:dyDescent="0.25">
      <c r="B42" s="1534"/>
      <c r="C42" s="142"/>
      <c r="D42" s="146" t="s">
        <v>2387</v>
      </c>
      <c r="E42" s="144">
        <v>0</v>
      </c>
    </row>
    <row r="43" spans="2:5" x14ac:dyDescent="0.25">
      <c r="B43" s="1534"/>
      <c r="C43" s="142"/>
      <c r="D43" s="146" t="s">
        <v>2388</v>
      </c>
      <c r="E43" s="144">
        <v>0</v>
      </c>
    </row>
    <row r="44" spans="2:5" x14ac:dyDescent="0.25">
      <c r="B44" s="1534"/>
      <c r="C44" s="142"/>
      <c r="D44" s="146" t="s">
        <v>2389</v>
      </c>
      <c r="E44" s="144">
        <v>0</v>
      </c>
    </row>
    <row r="45" spans="2:5" x14ac:dyDescent="0.25">
      <c r="B45" s="1534"/>
      <c r="C45" s="142"/>
      <c r="D45" s="146" t="s">
        <v>2390</v>
      </c>
      <c r="E45" s="144">
        <v>0</v>
      </c>
    </row>
    <row r="46" spans="2:5" ht="45" x14ac:dyDescent="0.25">
      <c r="B46" s="1534"/>
      <c r="C46" s="142"/>
      <c r="D46" s="146" t="s">
        <v>2391</v>
      </c>
      <c r="E46" s="144">
        <v>0</v>
      </c>
    </row>
    <row r="47" spans="2:5" ht="33.75" x14ac:dyDescent="0.25">
      <c r="B47" s="1534"/>
      <c r="C47" s="142"/>
      <c r="D47" s="146" t="s">
        <v>2392</v>
      </c>
      <c r="E47" s="144">
        <v>0</v>
      </c>
    </row>
    <row r="48" spans="2:5" ht="22.5" x14ac:dyDescent="0.25">
      <c r="B48" s="1534"/>
      <c r="C48" s="142"/>
      <c r="D48" s="146" t="s">
        <v>2393</v>
      </c>
      <c r="E48" s="144">
        <v>0</v>
      </c>
    </row>
    <row r="49" spans="2:5" x14ac:dyDescent="0.25">
      <c r="B49" s="1526" t="s">
        <v>2394</v>
      </c>
      <c r="C49" s="1526"/>
      <c r="D49" s="1526"/>
      <c r="E49" s="145">
        <f>SUM(E37:E48)</f>
        <v>0</v>
      </c>
    </row>
    <row r="50" spans="2:5" x14ac:dyDescent="0.25">
      <c r="B50" s="149" t="s">
        <v>2395</v>
      </c>
      <c r="C50" s="149"/>
      <c r="D50" s="149"/>
      <c r="E50" s="145">
        <f>E49+E36+E34+E27</f>
        <v>4455456.5953817694</v>
      </c>
    </row>
    <row r="51" spans="2:5" x14ac:dyDescent="0.25">
      <c r="B51" s="1540"/>
      <c r="C51" s="1540"/>
      <c r="D51" s="1540"/>
      <c r="E51" s="1540"/>
    </row>
    <row r="52" spans="2:5" x14ac:dyDescent="0.25">
      <c r="B52" s="1526" t="s">
        <v>2396</v>
      </c>
      <c r="C52" s="1526"/>
      <c r="D52" s="1526"/>
      <c r="E52" s="145">
        <f>E15-E50</f>
        <v>26800727.217091031</v>
      </c>
    </row>
    <row r="53" spans="2:5" x14ac:dyDescent="0.25">
      <c r="B53" s="1527" t="s">
        <v>2397</v>
      </c>
      <c r="C53" s="1527"/>
      <c r="D53" s="1527"/>
      <c r="E53" s="150">
        <v>0.01</v>
      </c>
    </row>
    <row r="54" spans="2:5" x14ac:dyDescent="0.25">
      <c r="B54" s="147"/>
      <c r="C54" s="142"/>
      <c r="D54" s="146"/>
      <c r="E54" s="144"/>
    </row>
    <row r="55" spans="2:5" x14ac:dyDescent="0.25">
      <c r="B55" s="1527" t="s">
        <v>2398</v>
      </c>
      <c r="C55" s="1527"/>
      <c r="D55" s="1527"/>
      <c r="E55" s="151">
        <f>E52*E53</f>
        <v>268007.27217091032</v>
      </c>
    </row>
    <row r="56" spans="2:5" x14ac:dyDescent="0.25">
      <c r="B56" s="147"/>
      <c r="C56" s="142"/>
      <c r="D56" s="146"/>
      <c r="E56" s="144"/>
    </row>
    <row r="57" spans="2:5" x14ac:dyDescent="0.25">
      <c r="B57" s="1527" t="s">
        <v>2399</v>
      </c>
      <c r="C57" s="1527"/>
      <c r="D57" s="1527"/>
      <c r="E57" s="151"/>
    </row>
    <row r="58" spans="2:5" x14ac:dyDescent="0.25">
      <c r="B58" s="1537" t="s">
        <v>2400</v>
      </c>
      <c r="C58" s="142" t="s">
        <v>2401</v>
      </c>
      <c r="D58" s="152" t="s">
        <v>2402</v>
      </c>
      <c r="E58" s="144">
        <f>(ER!E338+ER!E343+ER!E347)*1%</f>
        <v>123451.07987979466</v>
      </c>
    </row>
    <row r="59" spans="2:5" x14ac:dyDescent="0.25">
      <c r="B59" s="1537"/>
      <c r="C59" s="142" t="s">
        <v>2401</v>
      </c>
      <c r="D59" s="152" t="s">
        <v>2403</v>
      </c>
      <c r="E59" s="144">
        <f>ER!E351*1%</f>
        <v>180.71824642416803</v>
      </c>
    </row>
    <row r="60" spans="2:5" x14ac:dyDescent="0.25">
      <c r="B60" s="1537"/>
      <c r="C60" s="142" t="s">
        <v>2401</v>
      </c>
      <c r="D60" s="152" t="s">
        <v>2404</v>
      </c>
      <c r="E60" s="144">
        <f>ER!E383*1%</f>
        <v>1.0446546729843194E-2</v>
      </c>
    </row>
    <row r="61" spans="2:5" x14ac:dyDescent="0.25">
      <c r="B61" s="1537"/>
      <c r="C61" s="142" t="s">
        <v>2401</v>
      </c>
      <c r="D61" s="152" t="s">
        <v>2405</v>
      </c>
      <c r="E61" s="144">
        <f>ER!E358*1%</f>
        <v>1262.3688258592031</v>
      </c>
    </row>
    <row r="62" spans="2:5" x14ac:dyDescent="0.25">
      <c r="B62" s="1537"/>
      <c r="C62" s="142" t="s">
        <v>2401</v>
      </c>
      <c r="D62" s="152" t="s">
        <v>2406</v>
      </c>
      <c r="E62" s="144">
        <f>ER!E410*1%</f>
        <v>82.299483679533338</v>
      </c>
    </row>
    <row r="63" spans="2:5" x14ac:dyDescent="0.25">
      <c r="B63" s="1537"/>
      <c r="C63" s="142" t="s">
        <v>2401</v>
      </c>
      <c r="D63" s="152" t="s">
        <v>2407</v>
      </c>
      <c r="E63" s="144">
        <f>ER!E357*1%</f>
        <v>172.01715744442404</v>
      </c>
    </row>
    <row r="64" spans="2:5" x14ac:dyDescent="0.25">
      <c r="B64" s="1537"/>
      <c r="C64" s="142" t="s">
        <v>2401</v>
      </c>
      <c r="D64" s="152" t="s">
        <v>2408</v>
      </c>
      <c r="E64" s="144">
        <f>ER!E390*1%</f>
        <v>1.0446395830174043E-2</v>
      </c>
    </row>
    <row r="65" spans="2:10" x14ac:dyDescent="0.25">
      <c r="B65" s="1526" t="s">
        <v>2409</v>
      </c>
      <c r="C65" s="1526"/>
      <c r="D65" s="1526"/>
      <c r="E65" s="145">
        <f>SUM(E58:E64)</f>
        <v>125148.50448614455</v>
      </c>
      <c r="J65" s="153"/>
    </row>
    <row r="66" spans="2:10" x14ac:dyDescent="0.25">
      <c r="B66" s="1527" t="s">
        <v>2410</v>
      </c>
      <c r="C66" s="1527"/>
      <c r="D66" s="1527"/>
      <c r="E66" s="151">
        <f>E55-E65</f>
        <v>142858.76768476577</v>
      </c>
    </row>
    <row r="67" spans="2:10" x14ac:dyDescent="0.25">
      <c r="B67" s="135"/>
      <c r="C67" s="135"/>
      <c r="D67" s="154"/>
      <c r="E67" s="155"/>
    </row>
    <row r="68" spans="2:10" x14ac:dyDescent="0.25">
      <c r="B68" s="135"/>
      <c r="C68" s="135"/>
      <c r="D68" s="154"/>
      <c r="E68" s="155"/>
    </row>
    <row r="69" spans="2:10" x14ac:dyDescent="0.25">
      <c r="B69" s="156" t="s">
        <v>2411</v>
      </c>
      <c r="C69" s="157"/>
      <c r="D69" s="158"/>
      <c r="E69" s="159"/>
    </row>
    <row r="70" spans="2:10" x14ac:dyDescent="0.25">
      <c r="B70" s="1537" t="s">
        <v>2412</v>
      </c>
      <c r="C70" s="1537"/>
      <c r="D70" s="1537"/>
      <c r="E70" s="1537"/>
    </row>
    <row r="71" spans="2:10" x14ac:dyDescent="0.25">
      <c r="B71" s="1537"/>
      <c r="C71" s="1537"/>
      <c r="D71" s="1537"/>
      <c r="E71" s="1537"/>
    </row>
    <row r="72" spans="2:10" x14ac:dyDescent="0.25">
      <c r="B72" s="1537"/>
      <c r="C72" s="1537"/>
      <c r="D72" s="1537"/>
      <c r="E72" s="1537"/>
    </row>
    <row r="73" spans="2:10" x14ac:dyDescent="0.25">
      <c r="B73" s="1537"/>
      <c r="C73" s="1537"/>
      <c r="D73" s="1537"/>
      <c r="E73" s="1537"/>
    </row>
    <row r="74" spans="2:10" x14ac:dyDescent="0.25">
      <c r="B74" s="160"/>
      <c r="C74" s="160"/>
      <c r="D74" s="161"/>
      <c r="E74" s="162"/>
    </row>
    <row r="75" spans="2:10" x14ac:dyDescent="0.25">
      <c r="B75" s="1538"/>
      <c r="C75" s="1538"/>
      <c r="D75" s="1538"/>
      <c r="E75" s="1538"/>
    </row>
    <row r="76" spans="2:10" x14ac:dyDescent="0.25">
      <c r="B76" s="1538"/>
      <c r="C76" s="1538"/>
      <c r="D76" s="1538"/>
      <c r="E76" s="1538"/>
    </row>
  </sheetData>
  <mergeCells count="31">
    <mergeCell ref="B70:E73"/>
    <mergeCell ref="B75:E75"/>
    <mergeCell ref="B76:E76"/>
    <mergeCell ref="B58:B64"/>
    <mergeCell ref="B27:D27"/>
    <mergeCell ref="B28:B33"/>
    <mergeCell ref="B34:D34"/>
    <mergeCell ref="B36:D36"/>
    <mergeCell ref="B37:B48"/>
    <mergeCell ref="B49:D49"/>
    <mergeCell ref="B51:E51"/>
    <mergeCell ref="B52:D52"/>
    <mergeCell ref="B53:D53"/>
    <mergeCell ref="B55:D55"/>
    <mergeCell ref="B57:D57"/>
    <mergeCell ref="B1:E1"/>
    <mergeCell ref="B3:E3"/>
    <mergeCell ref="B5:E5"/>
    <mergeCell ref="B65:D65"/>
    <mergeCell ref="B66:D66"/>
    <mergeCell ref="B7:E7"/>
    <mergeCell ref="B8:E8"/>
    <mergeCell ref="E11:E12"/>
    <mergeCell ref="B13:B14"/>
    <mergeCell ref="B15:D15"/>
    <mergeCell ref="E16:E17"/>
    <mergeCell ref="B18:B26"/>
    <mergeCell ref="B16:D16"/>
    <mergeCell ref="B17:D17"/>
    <mergeCell ref="B11:D11"/>
    <mergeCell ref="B12:D12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019"/>
  <sheetViews>
    <sheetView topLeftCell="A297" workbookViewId="0">
      <selection activeCell="E205" sqref="E205"/>
    </sheetView>
  </sheetViews>
  <sheetFormatPr defaultRowHeight="15" x14ac:dyDescent="0.25"/>
  <cols>
    <col min="1" max="1" width="2" style="294" customWidth="1"/>
    <col min="2" max="2" width="12.28515625" style="291" customWidth="1"/>
    <col min="3" max="3" width="43.28515625" style="292" customWidth="1"/>
    <col min="4" max="4" width="32.42578125" style="292" customWidth="1"/>
    <col min="5" max="5" width="16.140625" style="292" customWidth="1"/>
    <col min="6" max="6" width="18.28515625" style="292" customWidth="1"/>
    <col min="7" max="7" width="37.85546875" style="293" customWidth="1"/>
    <col min="8" max="10" width="12.28515625" style="291" customWidth="1"/>
    <col min="11" max="11" width="13.5703125" style="294" customWidth="1"/>
    <col min="12" max="12" width="13.5703125" style="327" customWidth="1"/>
    <col min="13" max="13" width="13.5703125" style="291" customWidth="1"/>
    <col min="14" max="14" width="18.140625" style="294" bestFit="1" customWidth="1"/>
    <col min="15" max="15" width="13.5703125" style="328" customWidth="1"/>
    <col min="16" max="16" width="16.7109375" style="298" bestFit="1" customWidth="1"/>
    <col min="17" max="17" width="16.42578125" style="298" customWidth="1"/>
    <col min="18" max="19" width="13.5703125" style="298" customWidth="1"/>
    <col min="20" max="20" width="15.42578125" style="298" bestFit="1" customWidth="1"/>
    <col min="21" max="21" width="19.5703125" style="297" bestFit="1" customWidth="1"/>
    <col min="22" max="22" width="14" style="298" customWidth="1"/>
    <col min="23" max="29" width="13.5703125" style="298" customWidth="1"/>
    <col min="30" max="30" width="19" style="294" customWidth="1"/>
    <col min="31" max="31" width="16.42578125" style="294" customWidth="1"/>
    <col min="32" max="32" width="18.140625" style="294" bestFit="1" customWidth="1"/>
    <col min="33" max="33" width="16.42578125" style="294" customWidth="1"/>
    <col min="34" max="16384" width="9.140625" style="294"/>
  </cols>
  <sheetData>
    <row r="1" spans="2:58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413"/>
      <c r="P1" s="413"/>
      <c r="Q1" s="413"/>
      <c r="R1" s="413"/>
      <c r="S1" s="413"/>
      <c r="T1" s="413"/>
      <c r="U1" s="679"/>
      <c r="V1" s="413"/>
      <c r="W1" s="413"/>
      <c r="X1" s="413"/>
      <c r="Y1" s="413"/>
      <c r="Z1" s="413"/>
      <c r="AA1" s="413"/>
      <c r="AB1" s="413"/>
      <c r="AC1" s="413"/>
      <c r="AD1" s="1466"/>
      <c r="AE1" s="1466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</row>
    <row r="2" spans="2:58" s="410" customFormat="1" ht="12.75" customHeight="1" x14ac:dyDescent="0.35">
      <c r="C2" s="412"/>
      <c r="D2" s="411"/>
      <c r="G2" s="412"/>
      <c r="P2" s="412"/>
      <c r="Q2" s="411"/>
      <c r="T2" s="412"/>
      <c r="U2" s="680"/>
      <c r="AM2" s="412"/>
      <c r="AN2" s="411"/>
      <c r="AQ2" s="412"/>
    </row>
    <row r="3" spans="2:58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413"/>
      <c r="P3" s="413"/>
      <c r="Q3" s="413"/>
      <c r="R3" s="413"/>
      <c r="S3" s="413"/>
      <c r="T3" s="413"/>
      <c r="U3" s="679"/>
      <c r="V3" s="413"/>
      <c r="W3" s="413"/>
      <c r="X3" s="413"/>
      <c r="Y3" s="413"/>
      <c r="Z3" s="413"/>
      <c r="AA3" s="413"/>
      <c r="AB3" s="413"/>
      <c r="AC3" s="413"/>
      <c r="AD3" s="1466"/>
      <c r="AE3" s="1466"/>
      <c r="AF3" s="1466"/>
      <c r="AG3" s="1466"/>
      <c r="AH3" s="1466"/>
      <c r="AI3" s="1466"/>
      <c r="AJ3" s="1466"/>
      <c r="AK3" s="1466"/>
      <c r="AL3" s="1466"/>
      <c r="AM3" s="1466"/>
      <c r="AN3" s="1466"/>
      <c r="AO3" s="1466"/>
      <c r="AP3" s="1466"/>
      <c r="AQ3" s="1466"/>
      <c r="AR3" s="1466"/>
      <c r="AS3" s="1466"/>
      <c r="AT3" s="1466"/>
      <c r="AU3" s="1466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</row>
    <row r="4" spans="2:58" s="410" customFormat="1" ht="10.5" customHeight="1" x14ac:dyDescent="0.35">
      <c r="C4" s="412"/>
      <c r="D4" s="411"/>
      <c r="G4" s="412"/>
      <c r="P4" s="412"/>
      <c r="Q4" s="411"/>
      <c r="T4" s="412"/>
      <c r="U4" s="680"/>
      <c r="AM4" s="412"/>
      <c r="AN4" s="411"/>
      <c r="AQ4" s="412"/>
    </row>
    <row r="5" spans="2:58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414"/>
      <c r="P5" s="414"/>
      <c r="Q5" s="414"/>
      <c r="R5" s="414"/>
      <c r="S5" s="414"/>
      <c r="T5" s="414"/>
      <c r="U5" s="681"/>
      <c r="V5" s="414"/>
      <c r="W5" s="414"/>
      <c r="X5" s="414"/>
      <c r="Y5" s="414"/>
      <c r="Z5" s="414"/>
      <c r="AA5" s="414"/>
      <c r="AB5" s="414"/>
      <c r="AC5" s="414"/>
      <c r="AD5" s="1470"/>
      <c r="AE5" s="1470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  <c r="AQ5" s="1470"/>
      <c r="AR5" s="1470"/>
      <c r="AS5" s="1470"/>
      <c r="AT5" s="1470"/>
      <c r="AU5" s="1470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</row>
    <row r="6" spans="2:58" s="5" customFormat="1" ht="30" customHeight="1" x14ac:dyDescent="0.25">
      <c r="B6" s="354"/>
      <c r="C6" s="270"/>
      <c r="D6" s="270"/>
      <c r="E6" s="270"/>
      <c r="F6" s="270"/>
      <c r="G6" s="352"/>
      <c r="H6" s="354"/>
      <c r="I6" s="354"/>
      <c r="J6" s="354"/>
      <c r="L6" s="277"/>
      <c r="M6" s="354"/>
      <c r="N6" s="354"/>
      <c r="O6" s="354"/>
      <c r="P6" s="270"/>
      <c r="Q6" s="270"/>
      <c r="R6" s="270"/>
      <c r="S6" s="270"/>
      <c r="T6" s="352"/>
      <c r="U6" s="682"/>
      <c r="V6" s="354"/>
      <c r="W6" s="354"/>
      <c r="Y6" s="277"/>
      <c r="Z6" s="354"/>
      <c r="AA6" s="354"/>
      <c r="AB6" s="354"/>
      <c r="AD6" s="354"/>
      <c r="AF6" s="272"/>
      <c r="AG6" s="272"/>
      <c r="AH6" s="272"/>
      <c r="AI6" s="272"/>
      <c r="AJ6" s="272"/>
      <c r="AM6" s="270"/>
      <c r="AN6" s="270"/>
      <c r="AO6" s="270"/>
      <c r="AP6" s="270"/>
      <c r="AQ6" s="352"/>
      <c r="AR6" s="354"/>
      <c r="AS6" s="354"/>
      <c r="AT6" s="354"/>
      <c r="AV6" s="277"/>
      <c r="AW6" s="354"/>
      <c r="BA6" s="272"/>
      <c r="BB6" s="272"/>
      <c r="BC6" s="272"/>
      <c r="BD6" s="272"/>
      <c r="BE6" s="272"/>
    </row>
    <row r="7" spans="2:58" s="5" customFormat="1" ht="30" customHeight="1" x14ac:dyDescent="0.25">
      <c r="B7" s="1543" t="s">
        <v>7191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526"/>
      <c r="P7" s="526"/>
      <c r="Q7" s="526"/>
      <c r="R7" s="526"/>
      <c r="S7" s="526"/>
      <c r="T7" s="526"/>
      <c r="U7" s="683"/>
      <c r="V7" s="526"/>
      <c r="W7" s="526"/>
      <c r="X7" s="526"/>
      <c r="Y7" s="526"/>
      <c r="Z7" s="526"/>
      <c r="AA7" s="526"/>
      <c r="AB7" s="526"/>
      <c r="AC7" s="526"/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3"/>
      <c r="AU7" s="1543"/>
      <c r="AV7" s="526"/>
      <c r="AW7" s="526"/>
      <c r="AX7" s="526"/>
      <c r="AY7" s="526"/>
      <c r="AZ7" s="526"/>
      <c r="BA7" s="526"/>
      <c r="BB7" s="526"/>
      <c r="BC7" s="526"/>
      <c r="BD7" s="526"/>
      <c r="BE7" s="526"/>
      <c r="BF7" s="526"/>
    </row>
    <row r="8" spans="2:58" x14ac:dyDescent="0.25">
      <c r="B8" s="1544"/>
      <c r="C8" s="1544"/>
      <c r="L8" s="295"/>
    </row>
    <row r="9" spans="2:58" ht="38.25" customHeight="1" x14ac:dyDescent="0.25">
      <c r="B9" s="1096" t="s">
        <v>7136</v>
      </c>
      <c r="C9" s="1097" t="s">
        <v>7137</v>
      </c>
      <c r="D9" s="1097" t="s">
        <v>7138</v>
      </c>
      <c r="E9" s="1097" t="s">
        <v>7139</v>
      </c>
      <c r="F9" s="1097" t="s">
        <v>7140</v>
      </c>
      <c r="G9" s="1097" t="s">
        <v>7141</v>
      </c>
      <c r="H9" s="1097" t="s">
        <v>7142</v>
      </c>
      <c r="I9" s="1097" t="s">
        <v>7143</v>
      </c>
      <c r="J9" s="1097" t="s">
        <v>7144</v>
      </c>
      <c r="K9" s="1097" t="s">
        <v>7145</v>
      </c>
      <c r="L9" s="1097" t="s">
        <v>7146</v>
      </c>
      <c r="M9" s="1097" t="s">
        <v>7147</v>
      </c>
      <c r="N9" s="1097" t="s">
        <v>7148</v>
      </c>
      <c r="O9" s="1097" t="s">
        <v>7149</v>
      </c>
      <c r="P9" s="1097" t="s">
        <v>7150</v>
      </c>
      <c r="Q9" s="1097" t="s">
        <v>7151</v>
      </c>
      <c r="R9" s="1097" t="s">
        <v>7152</v>
      </c>
      <c r="S9" s="1097" t="s">
        <v>7153</v>
      </c>
      <c r="T9" s="1097" t="s">
        <v>7154</v>
      </c>
      <c r="U9" s="1378" t="s">
        <v>7155</v>
      </c>
      <c r="V9" s="1097" t="s">
        <v>7156</v>
      </c>
      <c r="W9" s="1097" t="s">
        <v>7157</v>
      </c>
      <c r="X9" s="1097" t="s">
        <v>7158</v>
      </c>
      <c r="Y9" s="1097" t="s">
        <v>7159</v>
      </c>
      <c r="Z9" s="1097" t="s">
        <v>7160</v>
      </c>
      <c r="AA9" s="1097" t="s">
        <v>7161</v>
      </c>
      <c r="AB9" s="1097" t="s">
        <v>7162</v>
      </c>
      <c r="AC9" s="1097" t="s">
        <v>7163</v>
      </c>
      <c r="AD9" s="1097" t="s">
        <v>7164</v>
      </c>
      <c r="AE9" s="1097" t="s">
        <v>7165</v>
      </c>
      <c r="AF9" s="1097" t="s">
        <v>7166</v>
      </c>
      <c r="AG9" s="1100" t="s">
        <v>7167</v>
      </c>
    </row>
    <row r="10" spans="2:58" ht="74.25" x14ac:dyDescent="0.25">
      <c r="B10" s="1096" t="s">
        <v>2719</v>
      </c>
      <c r="C10" s="1097" t="s">
        <v>2622</v>
      </c>
      <c r="D10" s="1097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1097"/>
      <c r="Q10" s="1097"/>
      <c r="R10" s="1097"/>
      <c r="S10" s="1097"/>
      <c r="T10" s="1097"/>
      <c r="U10" s="1378"/>
      <c r="V10" s="1097"/>
      <c r="W10" s="1097"/>
      <c r="X10" s="1097"/>
      <c r="Y10" s="1097"/>
      <c r="Z10" s="1097"/>
      <c r="AA10" s="1097"/>
      <c r="AB10" s="1097"/>
      <c r="AC10" s="1097"/>
      <c r="AD10" s="1097"/>
      <c r="AE10" s="1097"/>
      <c r="AF10" s="1097"/>
      <c r="AG10" s="1100">
        <v>639.66999999999996</v>
      </c>
    </row>
    <row r="11" spans="2:58" s="299" customFormat="1" ht="15" customHeight="1" x14ac:dyDescent="0.25">
      <c r="B11" s="1096"/>
      <c r="C11" s="1097"/>
      <c r="D11" s="1097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1097"/>
      <c r="Q11" s="1097"/>
      <c r="R11" s="1097"/>
      <c r="S11" s="1097"/>
      <c r="T11" s="1097"/>
      <c r="U11" s="1378"/>
      <c r="V11" s="1097"/>
      <c r="W11" s="1097"/>
      <c r="X11" s="1097"/>
      <c r="Y11" s="1097"/>
      <c r="Z11" s="1097"/>
      <c r="AA11" s="1097"/>
      <c r="AB11" s="1097"/>
      <c r="AC11" s="1097"/>
      <c r="AD11" s="1097"/>
      <c r="AE11" s="1097"/>
      <c r="AF11" s="1097"/>
      <c r="AG11" s="1100"/>
    </row>
    <row r="12" spans="2:58" s="299" customFormat="1" ht="50.25" customHeight="1" x14ac:dyDescent="0.25">
      <c r="B12" s="1096"/>
      <c r="C12" s="1091" t="s">
        <v>2623</v>
      </c>
      <c r="D12" s="1091" t="s">
        <v>2624</v>
      </c>
      <c r="E12" s="1091" t="s">
        <v>2722</v>
      </c>
      <c r="F12" s="1091" t="s">
        <v>2593</v>
      </c>
      <c r="G12" s="1101" t="s">
        <v>2765</v>
      </c>
      <c r="H12" s="1102" t="s">
        <v>2729</v>
      </c>
      <c r="I12" s="1091" t="s">
        <v>2625</v>
      </c>
      <c r="J12" s="1096" t="s">
        <v>2738</v>
      </c>
      <c r="K12" s="1096" t="s">
        <v>2626</v>
      </c>
      <c r="L12" s="1091" t="s">
        <v>2627</v>
      </c>
      <c r="M12" s="1092" t="s">
        <v>2629</v>
      </c>
      <c r="N12" s="1092"/>
      <c r="O12" s="1092" t="s">
        <v>2630</v>
      </c>
      <c r="P12" s="1092"/>
      <c r="Q12" s="1093" t="s">
        <v>2740</v>
      </c>
      <c r="R12" s="1093" t="s">
        <v>2814</v>
      </c>
      <c r="S12" s="1093" t="s">
        <v>2741</v>
      </c>
      <c r="T12" s="1093"/>
      <c r="U12" s="1095" t="s">
        <v>2761</v>
      </c>
      <c r="V12" s="1093" t="s">
        <v>2760</v>
      </c>
      <c r="W12" s="1093" t="s">
        <v>2783</v>
      </c>
      <c r="X12" s="1093" t="s">
        <v>2782</v>
      </c>
      <c r="Y12" s="1093" t="s">
        <v>2743</v>
      </c>
      <c r="Z12" s="1093" t="s">
        <v>2744</v>
      </c>
      <c r="AA12" s="1093" t="s">
        <v>2745</v>
      </c>
      <c r="AB12" s="1093" t="s">
        <v>2750</v>
      </c>
      <c r="AC12" s="1093" t="s">
        <v>2742</v>
      </c>
      <c r="AD12" s="1098" t="s">
        <v>2734</v>
      </c>
      <c r="AE12" s="1098" t="s">
        <v>2735</v>
      </c>
      <c r="AF12" s="1099" t="s">
        <v>2736</v>
      </c>
      <c r="AG12" s="1098" t="s">
        <v>2737</v>
      </c>
    </row>
    <row r="13" spans="2:58" s="299" customFormat="1" x14ac:dyDescent="0.25">
      <c r="B13" s="1096"/>
      <c r="C13" s="1091"/>
      <c r="D13" s="1091"/>
      <c r="E13" s="1091"/>
      <c r="F13" s="1091"/>
      <c r="G13" s="1101"/>
      <c r="H13" s="1102"/>
      <c r="I13" s="1091"/>
      <c r="J13" s="1096"/>
      <c r="K13" s="1096"/>
      <c r="L13" s="1091"/>
      <c r="M13" s="1091" t="s">
        <v>2628</v>
      </c>
      <c r="N13" s="1092" t="s">
        <v>2480</v>
      </c>
      <c r="O13" s="1092" t="s">
        <v>97</v>
      </c>
      <c r="P13" s="1092" t="s">
        <v>2480</v>
      </c>
      <c r="Q13" s="1093"/>
      <c r="R13" s="1093"/>
      <c r="S13" s="1093" t="s">
        <v>97</v>
      </c>
      <c r="T13" s="1093" t="s">
        <v>2480</v>
      </c>
      <c r="U13" s="1095"/>
      <c r="V13" s="1093"/>
      <c r="W13" s="1093"/>
      <c r="X13" s="1093"/>
      <c r="Y13" s="1093"/>
      <c r="Z13" s="1093"/>
      <c r="AA13" s="1093"/>
      <c r="AB13" s="1093"/>
      <c r="AC13" s="1093"/>
      <c r="AD13" s="1098"/>
      <c r="AE13" s="1098"/>
      <c r="AF13" s="1099"/>
      <c r="AG13" s="1098"/>
    </row>
    <row r="14" spans="2:58" s="299" customFormat="1" x14ac:dyDescent="0.25">
      <c r="B14" s="1096"/>
      <c r="C14" s="1091"/>
      <c r="D14" s="1091"/>
      <c r="E14" s="1091"/>
      <c r="F14" s="1091"/>
      <c r="G14" s="1101"/>
      <c r="H14" s="1102"/>
      <c r="I14" s="1091"/>
      <c r="J14" s="1096"/>
      <c r="K14" s="1096"/>
      <c r="L14" s="1091"/>
      <c r="M14" s="1091"/>
      <c r="N14" s="1092"/>
      <c r="O14" s="1092"/>
      <c r="P14" s="1092"/>
      <c r="Q14" s="1093"/>
      <c r="R14" s="1093"/>
      <c r="S14" s="1093"/>
      <c r="T14" s="1093"/>
      <c r="U14" s="1095"/>
      <c r="V14" s="1093"/>
      <c r="W14" s="1093"/>
      <c r="X14" s="1093"/>
      <c r="Y14" s="1093"/>
      <c r="Z14" s="1093"/>
      <c r="AA14" s="1093"/>
      <c r="AB14" s="1093"/>
      <c r="AC14" s="1093"/>
      <c r="AD14" s="1098"/>
      <c r="AE14" s="1098"/>
      <c r="AF14" s="1099"/>
      <c r="AG14" s="1098"/>
    </row>
    <row r="15" spans="2:58" s="299" customFormat="1" ht="15.75" x14ac:dyDescent="0.25">
      <c r="B15" s="295" t="s">
        <v>7201</v>
      </c>
      <c r="C15" s="314" t="s">
        <v>7119</v>
      </c>
      <c r="D15" s="304" t="s">
        <v>2654</v>
      </c>
      <c r="E15" s="304" t="s">
        <v>2905</v>
      </c>
      <c r="F15" s="304" t="s">
        <v>2650</v>
      </c>
      <c r="G15" s="304" t="s">
        <v>2906</v>
      </c>
      <c r="H15" s="305">
        <v>40</v>
      </c>
      <c r="I15" s="295">
        <v>44</v>
      </c>
      <c r="J15" s="295" t="s">
        <v>2636</v>
      </c>
      <c r="K15" s="295">
        <v>0</v>
      </c>
      <c r="L15" s="306" t="s">
        <v>7201</v>
      </c>
      <c r="M15" s="295">
        <v>2</v>
      </c>
      <c r="N15" s="307">
        <f>M15*AG10</f>
        <v>1279.3399999999999</v>
      </c>
      <c r="O15" s="333">
        <v>0</v>
      </c>
      <c r="P15" s="311">
        <f>N15*O15</f>
        <v>0</v>
      </c>
      <c r="Q15" s="311">
        <v>0</v>
      </c>
      <c r="R15" s="311">
        <v>0</v>
      </c>
      <c r="S15" s="312">
        <f>76.96/N15</f>
        <v>6.0156017946753793E-2</v>
      </c>
      <c r="T15" s="311">
        <f>N15*S15</f>
        <v>76.959999999999994</v>
      </c>
      <c r="U15" s="310">
        <f>(0/N15)*N15</f>
        <v>0</v>
      </c>
      <c r="V15" s="311">
        <v>0</v>
      </c>
      <c r="W15" s="311">
        <v>0</v>
      </c>
      <c r="X15" s="311"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3">
        <f>(N15+Q15+R15)/3</f>
        <v>426.44666666666666</v>
      </c>
      <c r="AE15" s="313">
        <f>AD15*O15</f>
        <v>0</v>
      </c>
      <c r="AF15" s="313">
        <f>N15</f>
        <v>1279.3399999999999</v>
      </c>
      <c r="AG15" s="313">
        <f>AF15*O15</f>
        <v>0</v>
      </c>
    </row>
    <row r="16" spans="2:58" s="702" customFormat="1" x14ac:dyDescent="0.25">
      <c r="B16" s="1230" t="s">
        <v>7237</v>
      </c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699">
        <f>SUM(N15:N15)</f>
        <v>1279.3399999999999</v>
      </c>
      <c r="O16" s="1237"/>
      <c r="P16" s="699">
        <f t="shared" ref="P16:R16" si="0">SUM(P15:P15)</f>
        <v>0</v>
      </c>
      <c r="Q16" s="699">
        <f t="shared" si="0"/>
        <v>0</v>
      </c>
      <c r="R16" s="699">
        <f t="shared" si="0"/>
        <v>0</v>
      </c>
      <c r="S16" s="1164"/>
      <c r="T16" s="699">
        <f>SUM(T15:T15)</f>
        <v>76.959999999999994</v>
      </c>
      <c r="U16" s="1376">
        <f t="shared" ref="U16:AG16" si="1">SUM(U15:U15)</f>
        <v>0</v>
      </c>
      <c r="V16" s="699">
        <f t="shared" si="1"/>
        <v>0</v>
      </c>
      <c r="W16" s="699">
        <f t="shared" si="1"/>
        <v>0</v>
      </c>
      <c r="X16" s="699">
        <f t="shared" si="1"/>
        <v>0</v>
      </c>
      <c r="Y16" s="699">
        <f t="shared" si="1"/>
        <v>0</v>
      </c>
      <c r="Z16" s="699">
        <f t="shared" si="1"/>
        <v>0</v>
      </c>
      <c r="AA16" s="699">
        <f t="shared" si="1"/>
        <v>0</v>
      </c>
      <c r="AB16" s="699">
        <f t="shared" si="1"/>
        <v>0</v>
      </c>
      <c r="AC16" s="699">
        <f t="shared" si="1"/>
        <v>0</v>
      </c>
      <c r="AD16" s="699">
        <f t="shared" si="1"/>
        <v>426.44666666666666</v>
      </c>
      <c r="AE16" s="699">
        <f t="shared" si="1"/>
        <v>0</v>
      </c>
      <c r="AF16" s="699">
        <f t="shared" si="1"/>
        <v>1279.3399999999999</v>
      </c>
      <c r="AG16" s="699">
        <f t="shared" si="1"/>
        <v>0</v>
      </c>
    </row>
    <row r="17" spans="2:40" s="702" customFormat="1" x14ac:dyDescent="0.25">
      <c r="B17" s="1230"/>
      <c r="C17" s="1234"/>
      <c r="D17" s="1234"/>
      <c r="E17" s="1234"/>
      <c r="F17" s="1234"/>
      <c r="G17" s="1234"/>
      <c r="H17" s="1234"/>
      <c r="I17" s="1234"/>
      <c r="J17" s="1234"/>
      <c r="K17" s="1234"/>
      <c r="L17" s="1234"/>
      <c r="M17" s="1234"/>
      <c r="N17" s="699"/>
      <c r="O17" s="1237"/>
      <c r="P17" s="699"/>
      <c r="Q17" s="699"/>
      <c r="R17" s="699"/>
      <c r="S17" s="1164"/>
      <c r="T17" s="699"/>
      <c r="U17" s="1376"/>
      <c r="V17" s="699"/>
      <c r="W17" s="699"/>
      <c r="X17" s="699"/>
      <c r="Y17" s="699"/>
      <c r="Z17" s="699"/>
      <c r="AA17" s="699"/>
      <c r="AB17" s="699"/>
      <c r="AC17" s="699"/>
      <c r="AD17" s="699"/>
      <c r="AE17" s="699"/>
      <c r="AF17" s="699"/>
      <c r="AG17" s="699"/>
    </row>
    <row r="18" spans="2:40" ht="15.75" x14ac:dyDescent="0.25">
      <c r="B18" s="295">
        <v>1642</v>
      </c>
      <c r="C18" s="314" t="str">
        <f>PROPER("ANA REGINA RIBEIRO ALENCASTRO")</f>
        <v>Ana Regina Ribeiro Alencastro</v>
      </c>
      <c r="D18" s="304" t="s">
        <v>2643</v>
      </c>
      <c r="E18" s="304" t="s">
        <v>2739</v>
      </c>
      <c r="F18" s="304" t="s">
        <v>2650</v>
      </c>
      <c r="G18" s="304" t="s">
        <v>2906</v>
      </c>
      <c r="H18" s="305">
        <v>40</v>
      </c>
      <c r="I18" s="295">
        <v>44</v>
      </c>
      <c r="J18" s="295" t="s">
        <v>2634</v>
      </c>
      <c r="K18" s="295">
        <v>0</v>
      </c>
      <c r="L18" s="306">
        <v>41092</v>
      </c>
      <c r="M18" s="295">
        <v>2.0299999999999998</v>
      </c>
      <c r="N18" s="307">
        <f>M18*AG10</f>
        <v>1298.5300999999997</v>
      </c>
      <c r="O18" s="333">
        <v>0.08</v>
      </c>
      <c r="P18" s="311">
        <f t="shared" ref="P18:P90" si="2">N18*O18</f>
        <v>103.88240799999998</v>
      </c>
      <c r="Q18" s="311">
        <v>0</v>
      </c>
      <c r="R18" s="311">
        <v>0</v>
      </c>
      <c r="S18" s="312">
        <f>127.94/N18</f>
        <v>9.8526788096787304E-2</v>
      </c>
      <c r="T18" s="311">
        <f t="shared" ref="T18:T90" si="3">N18*S18</f>
        <v>127.94</v>
      </c>
      <c r="U18" s="310">
        <f>(0/N18)*N18</f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3">
        <f>(N18+Q18+U18)/3</f>
        <v>432.84336666666655</v>
      </c>
      <c r="AE18" s="313">
        <f t="shared" ref="AE18:AE90" si="4">AD18*O18</f>
        <v>34.627469333333323</v>
      </c>
      <c r="AF18" s="313">
        <f>N18+Q18</f>
        <v>1298.5300999999997</v>
      </c>
      <c r="AG18" s="313">
        <f t="shared" ref="AG18:AG90" si="5">AF18*O18</f>
        <v>103.88240799999998</v>
      </c>
    </row>
    <row r="19" spans="2:40" ht="15.75" x14ac:dyDescent="0.25">
      <c r="B19" s="295" t="s">
        <v>7201</v>
      </c>
      <c r="C19" s="304" t="s">
        <v>7119</v>
      </c>
      <c r="D19" s="304" t="s">
        <v>2654</v>
      </c>
      <c r="E19" s="304" t="s">
        <v>2739</v>
      </c>
      <c r="F19" s="304" t="s">
        <v>2650</v>
      </c>
      <c r="G19" s="304" t="s">
        <v>2906</v>
      </c>
      <c r="H19" s="305">
        <v>40</v>
      </c>
      <c r="I19" s="295">
        <v>44</v>
      </c>
      <c r="J19" s="295" t="s">
        <v>2636</v>
      </c>
      <c r="K19" s="295">
        <v>0</v>
      </c>
      <c r="L19" s="306" t="s">
        <v>7201</v>
      </c>
      <c r="M19" s="295">
        <v>2</v>
      </c>
      <c r="N19" s="307">
        <f>M19*AG10</f>
        <v>1279.3399999999999</v>
      </c>
      <c r="O19" s="333">
        <v>0</v>
      </c>
      <c r="P19" s="311">
        <f t="shared" si="2"/>
        <v>0</v>
      </c>
      <c r="Q19" s="311">
        <v>0</v>
      </c>
      <c r="R19" s="311">
        <v>0</v>
      </c>
      <c r="S19" s="312">
        <f>0/N19</f>
        <v>0</v>
      </c>
      <c r="T19" s="311">
        <f t="shared" si="3"/>
        <v>0</v>
      </c>
      <c r="U19" s="310">
        <f>(0/N19)*N19</f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3">
        <f>(N19+Q19+U19)/3</f>
        <v>426.44666666666666</v>
      </c>
      <c r="AE19" s="313">
        <f t="shared" si="4"/>
        <v>0</v>
      </c>
      <c r="AF19" s="313">
        <f>N19+Q19</f>
        <v>1279.3399999999999</v>
      </c>
      <c r="AG19" s="313">
        <f t="shared" si="5"/>
        <v>0</v>
      </c>
    </row>
    <row r="20" spans="2:40" ht="15.75" x14ac:dyDescent="0.25">
      <c r="B20" s="295">
        <v>1303</v>
      </c>
      <c r="C20" s="304" t="s">
        <v>2656</v>
      </c>
      <c r="D20" s="304" t="s">
        <v>2654</v>
      </c>
      <c r="E20" s="304" t="s">
        <v>2739</v>
      </c>
      <c r="F20" s="304" t="s">
        <v>2650</v>
      </c>
      <c r="G20" s="304" t="s">
        <v>2906</v>
      </c>
      <c r="H20" s="305">
        <v>40</v>
      </c>
      <c r="I20" s="295">
        <v>44</v>
      </c>
      <c r="J20" s="295" t="s">
        <v>2634</v>
      </c>
      <c r="K20" s="295">
        <v>0</v>
      </c>
      <c r="L20" s="306">
        <v>39902</v>
      </c>
      <c r="M20" s="295">
        <v>2.1</v>
      </c>
      <c r="N20" s="307">
        <f>M20*AG10</f>
        <v>1343.307</v>
      </c>
      <c r="O20" s="333">
        <v>0.1</v>
      </c>
      <c r="P20" s="311">
        <f t="shared" si="2"/>
        <v>134.33070000000001</v>
      </c>
      <c r="Q20" s="311">
        <v>0</v>
      </c>
      <c r="R20" s="311">
        <v>0</v>
      </c>
      <c r="S20" s="312">
        <f>71.91/N20</f>
        <v>5.3532066757636186E-2</v>
      </c>
      <c r="T20" s="311">
        <f t="shared" si="3"/>
        <v>71.91</v>
      </c>
      <c r="U20" s="310">
        <f>(80.08/N20)*N20</f>
        <v>80.08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3">
        <f>(N20+Q20+U20)/3</f>
        <v>474.46233333333333</v>
      </c>
      <c r="AE20" s="313">
        <f t="shared" si="4"/>
        <v>47.446233333333339</v>
      </c>
      <c r="AF20" s="313">
        <f>N20+Q20</f>
        <v>1343.307</v>
      </c>
      <c r="AG20" s="313">
        <f t="shared" si="5"/>
        <v>134.33070000000001</v>
      </c>
    </row>
    <row r="21" spans="2:40" ht="15.75" x14ac:dyDescent="0.25">
      <c r="B21" s="295">
        <v>44</v>
      </c>
      <c r="C21" s="314" t="str">
        <f>PROPER("LUCIANE FELIX DA SILVA")</f>
        <v>Luciane Felix Da Silva</v>
      </c>
      <c r="D21" s="304" t="s">
        <v>2652</v>
      </c>
      <c r="E21" s="304" t="s">
        <v>2739</v>
      </c>
      <c r="F21" s="304" t="s">
        <v>2650</v>
      </c>
      <c r="G21" s="304" t="s">
        <v>2906</v>
      </c>
      <c r="H21" s="305">
        <v>40</v>
      </c>
      <c r="I21" s="295">
        <v>40</v>
      </c>
      <c r="J21" s="295" t="s">
        <v>2638</v>
      </c>
      <c r="K21" s="295">
        <v>0</v>
      </c>
      <c r="L21" s="306">
        <v>35585</v>
      </c>
      <c r="M21" s="295">
        <v>2.2200000000000002</v>
      </c>
      <c r="N21" s="307">
        <f>M21*AG10</f>
        <v>1420.0674000000001</v>
      </c>
      <c r="O21" s="333">
        <v>0.23</v>
      </c>
      <c r="P21" s="311">
        <f t="shared" si="2"/>
        <v>326.61550200000005</v>
      </c>
      <c r="Q21" s="311">
        <f>AG10</f>
        <v>639.66999999999996</v>
      </c>
      <c r="R21" s="311">
        <v>0</v>
      </c>
      <c r="S21" s="312">
        <f>0/N21</f>
        <v>0</v>
      </c>
      <c r="T21" s="311">
        <f t="shared" si="3"/>
        <v>0</v>
      </c>
      <c r="U21" s="310">
        <f>(0/N21)*N21</f>
        <v>0</v>
      </c>
      <c r="V21" s="311">
        <v>0</v>
      </c>
      <c r="W21" s="311">
        <f>((23.38)/N21)*N21</f>
        <v>23.38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3">
        <f>(N21+Q21+U21+W21)/3</f>
        <v>694.3724666666667</v>
      </c>
      <c r="AE21" s="313">
        <f t="shared" si="4"/>
        <v>159.70566733333334</v>
      </c>
      <c r="AF21" s="313">
        <f>N21+Q21+W21</f>
        <v>2083.1174000000001</v>
      </c>
      <c r="AG21" s="313">
        <f t="shared" si="5"/>
        <v>479.11700200000001</v>
      </c>
    </row>
    <row r="22" spans="2:40" ht="15.75" x14ac:dyDescent="0.25">
      <c r="B22" s="295">
        <v>1886</v>
      </c>
      <c r="C22" s="304" t="str">
        <f>PROPER("MARCOS VINICIUS PEREIRA STUDZINSKI")</f>
        <v>Marcos Vinicius Pereira Studzinski</v>
      </c>
      <c r="D22" s="304" t="s">
        <v>2673</v>
      </c>
      <c r="E22" s="304" t="s">
        <v>2739</v>
      </c>
      <c r="F22" s="304" t="s">
        <v>2650</v>
      </c>
      <c r="G22" s="304" t="s">
        <v>2906</v>
      </c>
      <c r="H22" s="305">
        <v>40</v>
      </c>
      <c r="I22" s="295">
        <v>40</v>
      </c>
      <c r="J22" s="295" t="s">
        <v>2636</v>
      </c>
      <c r="K22" s="295">
        <v>0</v>
      </c>
      <c r="L22" s="306">
        <v>41955</v>
      </c>
      <c r="M22" s="295">
        <v>1.98</v>
      </c>
      <c r="N22" s="307">
        <f>M22*AG10</f>
        <v>1266.5465999999999</v>
      </c>
      <c r="O22" s="333">
        <v>0.06</v>
      </c>
      <c r="P22" s="311">
        <f t="shared" ref="P22" si="6">N22*O22</f>
        <v>75.992795999999984</v>
      </c>
      <c r="Q22" s="311">
        <v>0</v>
      </c>
      <c r="R22" s="311">
        <v>0</v>
      </c>
      <c r="S22" s="312">
        <f>0/N22</f>
        <v>0</v>
      </c>
      <c r="T22" s="311">
        <f t="shared" ref="T22" si="7">N22*S22</f>
        <v>0</v>
      </c>
      <c r="U22" s="310">
        <f>(0/N22)*N22</f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3">
        <f t="shared" ref="AD22" si="8">(N22+Q22+U22)/3</f>
        <v>422.18219999999997</v>
      </c>
      <c r="AE22" s="313">
        <f t="shared" ref="AE22" si="9">AD22*O22</f>
        <v>25.330931999999997</v>
      </c>
      <c r="AF22" s="313">
        <f t="shared" ref="AF22" si="10">N22+Q22</f>
        <v>1266.5465999999999</v>
      </c>
      <c r="AG22" s="313">
        <f t="shared" ref="AG22" si="11">AF22*O22</f>
        <v>75.992795999999984</v>
      </c>
    </row>
    <row r="23" spans="2:40" ht="15.75" x14ac:dyDescent="0.25">
      <c r="B23" s="295">
        <v>2051</v>
      </c>
      <c r="C23" s="314" t="str">
        <f>PROPER("FRANCIELI BRZOSKOWSKI")</f>
        <v>Francieli Brzoskowski</v>
      </c>
      <c r="D23" s="304" t="s">
        <v>2643</v>
      </c>
      <c r="E23" s="304" t="s">
        <v>2739</v>
      </c>
      <c r="F23" s="304" t="s">
        <v>2650</v>
      </c>
      <c r="G23" s="304" t="s">
        <v>2906</v>
      </c>
      <c r="H23" s="305">
        <v>40</v>
      </c>
      <c r="I23" s="295">
        <v>44</v>
      </c>
      <c r="J23" s="295" t="s">
        <v>2636</v>
      </c>
      <c r="K23" s="295">
        <v>0</v>
      </c>
      <c r="L23" s="306">
        <v>42479</v>
      </c>
      <c r="M23" s="295">
        <v>1.95</v>
      </c>
      <c r="N23" s="307">
        <f>M23*AG10</f>
        <v>1247.3564999999999</v>
      </c>
      <c r="O23" s="333">
        <v>0.05</v>
      </c>
      <c r="P23" s="311">
        <f t="shared" ref="P23:P24" si="12">N23*O23</f>
        <v>62.367824999999996</v>
      </c>
      <c r="Q23" s="311">
        <v>0</v>
      </c>
      <c r="R23" s="311">
        <v>0</v>
      </c>
      <c r="S23" s="312">
        <f>127.94/N23</f>
        <v>0.10256891273665548</v>
      </c>
      <c r="T23" s="311">
        <f t="shared" ref="T23:T24" si="13">N23*S23</f>
        <v>127.94</v>
      </c>
      <c r="U23" s="310">
        <f>(0/N23)*N23</f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3">
        <f t="shared" ref="AD23:AD24" si="14">(N23+Q23+U23)/3</f>
        <v>415.78549999999996</v>
      </c>
      <c r="AE23" s="313">
        <f t="shared" ref="AE23:AE24" si="15">AD23*O23</f>
        <v>20.789275</v>
      </c>
      <c r="AF23" s="313">
        <f t="shared" ref="AF23:AF24" si="16">N23+Q23</f>
        <v>1247.3564999999999</v>
      </c>
      <c r="AG23" s="313">
        <f t="shared" ref="AG23:AG24" si="17">AF23*O23</f>
        <v>62.367824999999996</v>
      </c>
      <c r="AH23" s="298"/>
      <c r="AI23" s="298"/>
      <c r="AJ23" s="311"/>
      <c r="AK23" s="313"/>
      <c r="AL23" s="313"/>
      <c r="AM23" s="313"/>
      <c r="AN23" s="313"/>
    </row>
    <row r="24" spans="2:40" s="299" customFormat="1" ht="15.75" x14ac:dyDescent="0.25">
      <c r="B24" s="295">
        <v>740</v>
      </c>
      <c r="C24" s="304" t="str">
        <f>PROPER("MARIA DENISE LOPES ABREU")</f>
        <v>Maria Denise Lopes Abreu</v>
      </c>
      <c r="D24" s="304" t="s">
        <v>2675</v>
      </c>
      <c r="E24" s="304" t="s">
        <v>2739</v>
      </c>
      <c r="F24" s="304" t="s">
        <v>2650</v>
      </c>
      <c r="G24" s="304" t="s">
        <v>2906</v>
      </c>
      <c r="H24" s="305">
        <v>40</v>
      </c>
      <c r="I24" s="295">
        <v>40</v>
      </c>
      <c r="J24" s="295" t="s">
        <v>2638</v>
      </c>
      <c r="K24" s="295">
        <v>0</v>
      </c>
      <c r="L24" s="306">
        <v>38111</v>
      </c>
      <c r="M24" s="295">
        <v>6.14</v>
      </c>
      <c r="N24" s="307">
        <f>M24*AG10</f>
        <v>3927.5737999999997</v>
      </c>
      <c r="O24" s="333">
        <v>0.21</v>
      </c>
      <c r="P24" s="311">
        <f t="shared" si="12"/>
        <v>824.79049799999984</v>
      </c>
      <c r="Q24" s="311">
        <f>AG10</f>
        <v>639.66999999999996</v>
      </c>
      <c r="R24" s="311">
        <v>0</v>
      </c>
      <c r="S24" s="312">
        <f>0/N24</f>
        <v>0</v>
      </c>
      <c r="T24" s="311">
        <f t="shared" si="13"/>
        <v>0</v>
      </c>
      <c r="U24" s="310">
        <f>(0/N24)*N24</f>
        <v>0</v>
      </c>
      <c r="V24" s="311">
        <v>0</v>
      </c>
      <c r="W24" s="311">
        <v>0</v>
      </c>
      <c r="X24" s="311">
        <v>0</v>
      </c>
      <c r="Y24" s="311">
        <v>0</v>
      </c>
      <c r="Z24" s="311">
        <v>0</v>
      </c>
      <c r="AA24" s="311">
        <v>0</v>
      </c>
      <c r="AB24" s="311">
        <v>0</v>
      </c>
      <c r="AC24" s="311">
        <v>0</v>
      </c>
      <c r="AD24" s="313">
        <f t="shared" si="14"/>
        <v>1522.4145999999998</v>
      </c>
      <c r="AE24" s="313">
        <f t="shared" si="15"/>
        <v>319.70706599999994</v>
      </c>
      <c r="AF24" s="313">
        <f t="shared" si="16"/>
        <v>4567.2437999999993</v>
      </c>
      <c r="AG24" s="313">
        <f t="shared" si="17"/>
        <v>959.12119799999982</v>
      </c>
    </row>
    <row r="25" spans="2:40" s="702" customFormat="1" x14ac:dyDescent="0.25">
      <c r="B25" s="1230" t="s">
        <v>7238</v>
      </c>
      <c r="C25" s="1230"/>
      <c r="D25" s="1230"/>
      <c r="E25" s="1230"/>
      <c r="F25" s="1230"/>
      <c r="G25" s="1230"/>
      <c r="H25" s="1230"/>
      <c r="I25" s="1230"/>
      <c r="J25" s="1230"/>
      <c r="K25" s="1230"/>
      <c r="L25" s="1230"/>
      <c r="M25" s="1230"/>
      <c r="N25" s="1193">
        <f>SUM(N18:N24)</f>
        <v>11782.721399999999</v>
      </c>
      <c r="O25" s="1231"/>
      <c r="P25" s="1193">
        <f>SUM(P18:P24)</f>
        <v>1527.9797289999999</v>
      </c>
      <c r="Q25" s="1193">
        <f>SUM(Q18:Q24)</f>
        <v>1279.3399999999999</v>
      </c>
      <c r="R25" s="1193">
        <f>SUM(R18:R24)</f>
        <v>0</v>
      </c>
      <c r="S25" s="1192"/>
      <c r="T25" s="1193">
        <f t="shared" ref="T25:AG25" si="18">SUM(T18:T24)</f>
        <v>327.78999999999996</v>
      </c>
      <c r="U25" s="1189">
        <f t="shared" si="18"/>
        <v>80.08</v>
      </c>
      <c r="V25" s="1193">
        <f t="shared" si="18"/>
        <v>0</v>
      </c>
      <c r="W25" s="1193">
        <f t="shared" si="18"/>
        <v>23.38</v>
      </c>
      <c r="X25" s="1193">
        <f t="shared" si="18"/>
        <v>0</v>
      </c>
      <c r="Y25" s="1193">
        <f t="shared" si="18"/>
        <v>0</v>
      </c>
      <c r="Z25" s="1193">
        <f t="shared" si="18"/>
        <v>0</v>
      </c>
      <c r="AA25" s="1193">
        <f t="shared" si="18"/>
        <v>0</v>
      </c>
      <c r="AB25" s="1193">
        <f t="shared" si="18"/>
        <v>0</v>
      </c>
      <c r="AC25" s="1193">
        <f t="shared" si="18"/>
        <v>0</v>
      </c>
      <c r="AD25" s="1193">
        <f t="shared" si="18"/>
        <v>4388.5071333333335</v>
      </c>
      <c r="AE25" s="1193">
        <f t="shared" si="18"/>
        <v>607.60664299999985</v>
      </c>
      <c r="AF25" s="1193">
        <f t="shared" si="18"/>
        <v>13085.4414</v>
      </c>
      <c r="AG25" s="1193">
        <f t="shared" si="18"/>
        <v>1814.811929</v>
      </c>
    </row>
    <row r="26" spans="2:40" s="299" customFormat="1" ht="15.75" x14ac:dyDescent="0.25">
      <c r="B26" s="295"/>
      <c r="C26" s="304"/>
      <c r="D26" s="304"/>
      <c r="E26" s="304"/>
      <c r="F26" s="304"/>
      <c r="G26" s="304"/>
      <c r="H26" s="305"/>
      <c r="I26" s="295"/>
      <c r="J26" s="295"/>
      <c r="K26" s="295"/>
      <c r="L26" s="306"/>
      <c r="M26" s="295"/>
      <c r="N26" s="307"/>
      <c r="O26" s="333"/>
      <c r="P26" s="311"/>
      <c r="Q26" s="311"/>
      <c r="R26" s="311"/>
      <c r="S26" s="312"/>
      <c r="T26" s="311"/>
      <c r="U26" s="310"/>
      <c r="V26" s="311"/>
      <c r="W26" s="311"/>
      <c r="X26" s="311"/>
      <c r="Y26" s="311"/>
      <c r="Z26" s="311"/>
      <c r="AA26" s="311"/>
      <c r="AB26" s="311"/>
      <c r="AC26" s="311"/>
      <c r="AD26" s="313"/>
      <c r="AE26" s="313"/>
      <c r="AF26" s="313"/>
      <c r="AG26" s="313"/>
    </row>
    <row r="27" spans="2:40" s="299" customFormat="1" ht="15.75" x14ac:dyDescent="0.25">
      <c r="B27" s="295">
        <v>2346</v>
      </c>
      <c r="C27" s="314" t="s">
        <v>7229</v>
      </c>
      <c r="D27" s="304" t="s">
        <v>2913</v>
      </c>
      <c r="E27" s="304" t="s">
        <v>2723</v>
      </c>
      <c r="F27" s="304" t="s">
        <v>2650</v>
      </c>
      <c r="G27" s="304" t="s">
        <v>2906</v>
      </c>
      <c r="H27" s="305">
        <v>40</v>
      </c>
      <c r="I27" s="295">
        <v>40</v>
      </c>
      <c r="J27" s="295" t="s">
        <v>2636</v>
      </c>
      <c r="K27" s="295">
        <v>0</v>
      </c>
      <c r="L27" s="306">
        <v>43587</v>
      </c>
      <c r="M27" s="316">
        <v>2</v>
      </c>
      <c r="N27" s="307">
        <f>M27*AG10</f>
        <v>1279.3399999999999</v>
      </c>
      <c r="O27" s="333">
        <v>0</v>
      </c>
      <c r="P27" s="311">
        <f>N27*O27</f>
        <v>0</v>
      </c>
      <c r="Q27" s="311">
        <v>0</v>
      </c>
      <c r="R27" s="311">
        <v>0</v>
      </c>
      <c r="S27" s="312">
        <f>0/N27</f>
        <v>0</v>
      </c>
      <c r="T27" s="311">
        <f>N27*S27</f>
        <v>0</v>
      </c>
      <c r="U27" s="310">
        <f>(0/N27)*N27</f>
        <v>0</v>
      </c>
      <c r="V27" s="311">
        <v>0</v>
      </c>
      <c r="W27" s="311">
        <v>0</v>
      </c>
      <c r="X27" s="311">
        <v>0</v>
      </c>
      <c r="Y27" s="311">
        <v>0</v>
      </c>
      <c r="Z27" s="311">
        <v>0</v>
      </c>
      <c r="AA27" s="311">
        <v>0</v>
      </c>
      <c r="AB27" s="311">
        <v>0</v>
      </c>
      <c r="AC27" s="311">
        <v>0</v>
      </c>
      <c r="AD27" s="313">
        <f>(N27+Q27+R27)/3</f>
        <v>426.44666666666666</v>
      </c>
      <c r="AE27" s="313">
        <f>AD27*O27</f>
        <v>0</v>
      </c>
      <c r="AF27" s="313">
        <f>N27</f>
        <v>1279.3399999999999</v>
      </c>
      <c r="AG27" s="313">
        <f>AF27*O27</f>
        <v>0</v>
      </c>
    </row>
    <row r="28" spans="2:40" s="702" customFormat="1" x14ac:dyDescent="0.25">
      <c r="B28" s="1230" t="s">
        <v>7230</v>
      </c>
      <c r="C28" s="1230"/>
      <c r="D28" s="1230"/>
      <c r="E28" s="1230"/>
      <c r="F28" s="1230"/>
      <c r="G28" s="1230"/>
      <c r="H28" s="1230"/>
      <c r="I28" s="1230"/>
      <c r="J28" s="1230"/>
      <c r="K28" s="1230"/>
      <c r="L28" s="1230"/>
      <c r="M28" s="1230"/>
      <c r="N28" s="1193">
        <f>SUM(N27:N27)</f>
        <v>1279.3399999999999</v>
      </c>
      <c r="O28" s="1231"/>
      <c r="P28" s="1193">
        <f t="shared" ref="P28" si="19">SUM(P27:P27)</f>
        <v>0</v>
      </c>
      <c r="Q28" s="1193">
        <f>SUM(Q27:Q27)</f>
        <v>0</v>
      </c>
      <c r="R28" s="1193">
        <f t="shared" ref="R28" si="20">SUM(R27:R27)</f>
        <v>0</v>
      </c>
      <c r="S28" s="1192"/>
      <c r="T28" s="1193">
        <f>SUM(T27:T27)</f>
        <v>0</v>
      </c>
      <c r="U28" s="1189">
        <f t="shared" ref="U28:V28" si="21">SUM(U27:U27)</f>
        <v>0</v>
      </c>
      <c r="V28" s="1193">
        <f t="shared" si="21"/>
        <v>0</v>
      </c>
      <c r="W28" s="1193">
        <f>SUM(W27:W27)</f>
        <v>0</v>
      </c>
      <c r="X28" s="1193">
        <f t="shared" ref="X28:AE28" si="22">SUM(X27:X27)</f>
        <v>0</v>
      </c>
      <c r="Y28" s="1193">
        <f t="shared" si="22"/>
        <v>0</v>
      </c>
      <c r="Z28" s="1193">
        <f t="shared" si="22"/>
        <v>0</v>
      </c>
      <c r="AA28" s="1193">
        <f t="shared" si="22"/>
        <v>0</v>
      </c>
      <c r="AB28" s="1193">
        <f t="shared" si="22"/>
        <v>0</v>
      </c>
      <c r="AC28" s="1193">
        <f t="shared" si="22"/>
        <v>0</v>
      </c>
      <c r="AD28" s="1193">
        <f t="shared" si="22"/>
        <v>426.44666666666666</v>
      </c>
      <c r="AE28" s="1193">
        <f t="shared" si="22"/>
        <v>0</v>
      </c>
      <c r="AF28" s="1193">
        <f>SUM(AF27:AF27)</f>
        <v>1279.3399999999999</v>
      </c>
      <c r="AG28" s="1193">
        <f>SUM(AG27:AG27)</f>
        <v>0</v>
      </c>
    </row>
    <row r="29" spans="2:40" s="299" customFormat="1" ht="15.75" x14ac:dyDescent="0.25">
      <c r="B29" s="295"/>
      <c r="C29" s="304"/>
      <c r="D29" s="304"/>
      <c r="E29" s="304"/>
      <c r="F29" s="304"/>
      <c r="G29" s="304"/>
      <c r="H29" s="305"/>
      <c r="I29" s="295"/>
      <c r="J29" s="295"/>
      <c r="K29" s="295"/>
      <c r="L29" s="306"/>
      <c r="M29" s="295"/>
      <c r="N29" s="307"/>
      <c r="O29" s="333"/>
      <c r="P29" s="311"/>
      <c r="Q29" s="311"/>
      <c r="R29" s="311"/>
      <c r="S29" s="312"/>
      <c r="T29" s="311"/>
      <c r="U29" s="310"/>
      <c r="V29" s="311"/>
      <c r="W29" s="311"/>
      <c r="X29" s="311"/>
      <c r="Y29" s="311"/>
      <c r="Z29" s="311"/>
      <c r="AA29" s="311"/>
      <c r="AB29" s="311"/>
      <c r="AC29" s="311"/>
      <c r="AD29" s="313"/>
      <c r="AE29" s="313"/>
      <c r="AF29" s="313"/>
      <c r="AG29" s="313"/>
    </row>
    <row r="30" spans="2:40" s="299" customFormat="1" ht="15.75" x14ac:dyDescent="0.25">
      <c r="B30" s="295">
        <v>2100</v>
      </c>
      <c r="C30" s="314" t="str">
        <f>PROPER("JULIANO TEJADA")</f>
        <v>Juliano Tejada</v>
      </c>
      <c r="D30" s="304" t="s">
        <v>2908</v>
      </c>
      <c r="E30" s="304" t="s">
        <v>2725</v>
      </c>
      <c r="F30" s="304" t="s">
        <v>2650</v>
      </c>
      <c r="G30" s="304" t="s">
        <v>2906</v>
      </c>
      <c r="H30" s="305">
        <v>40</v>
      </c>
      <c r="I30" s="295">
        <v>40</v>
      </c>
      <c r="J30" s="295" t="s">
        <v>2636</v>
      </c>
      <c r="K30" s="295">
        <v>0</v>
      </c>
      <c r="L30" s="306">
        <v>42737</v>
      </c>
      <c r="M30" s="316">
        <f>4760.1/639.67</f>
        <v>7.441493269967328</v>
      </c>
      <c r="N30" s="307">
        <f>M30*AG10</f>
        <v>4760.1000000000004</v>
      </c>
      <c r="O30" s="333">
        <v>0</v>
      </c>
      <c r="P30" s="311">
        <f>N30*O30</f>
        <v>0</v>
      </c>
      <c r="Q30" s="311">
        <v>0</v>
      </c>
      <c r="R30" s="311">
        <v>0</v>
      </c>
      <c r="S30" s="312">
        <f>0/N30</f>
        <v>0</v>
      </c>
      <c r="T30" s="311">
        <f>N30*S30</f>
        <v>0</v>
      </c>
      <c r="U30" s="310">
        <f>(0/N30)*N30</f>
        <v>0</v>
      </c>
      <c r="V30" s="311">
        <v>0</v>
      </c>
      <c r="W30" s="311">
        <v>0</v>
      </c>
      <c r="X30" s="311">
        <v>0</v>
      </c>
      <c r="Y30" s="311">
        <v>0</v>
      </c>
      <c r="Z30" s="311">
        <v>0</v>
      </c>
      <c r="AA30" s="311">
        <v>0</v>
      </c>
      <c r="AB30" s="311">
        <v>0</v>
      </c>
      <c r="AC30" s="311">
        <v>0</v>
      </c>
      <c r="AD30" s="313">
        <f>(N30+Q30+R30)/3</f>
        <v>1586.7</v>
      </c>
      <c r="AE30" s="313">
        <f>AD30*O30</f>
        <v>0</v>
      </c>
      <c r="AF30" s="313">
        <f>N30</f>
        <v>4760.1000000000004</v>
      </c>
      <c r="AG30" s="313">
        <f t="shared" ref="AG30" si="23">AF30*O30</f>
        <v>0</v>
      </c>
    </row>
    <row r="31" spans="2:40" s="702" customFormat="1" x14ac:dyDescent="0.25">
      <c r="B31" s="1230" t="s">
        <v>7231</v>
      </c>
      <c r="C31" s="1230"/>
      <c r="D31" s="1230"/>
      <c r="E31" s="1230"/>
      <c r="F31" s="1230"/>
      <c r="G31" s="1230"/>
      <c r="H31" s="1230"/>
      <c r="I31" s="1230"/>
      <c r="J31" s="1230"/>
      <c r="K31" s="1230"/>
      <c r="L31" s="306"/>
      <c r="M31" s="1230"/>
      <c r="N31" s="1193">
        <f>SUM(N30:N30)</f>
        <v>4760.1000000000004</v>
      </c>
      <c r="O31" s="1231"/>
      <c r="P31" s="1193">
        <f t="shared" ref="P31" si="24">SUM(P30:P30)</f>
        <v>0</v>
      </c>
      <c r="Q31" s="1193">
        <f>SUM(Q30:Q30)</f>
        <v>0</v>
      </c>
      <c r="R31" s="1193">
        <f t="shared" ref="R31" si="25">SUM(R30:R30)</f>
        <v>0</v>
      </c>
      <c r="S31" s="1192"/>
      <c r="T31" s="1193">
        <f>SUM(T30:T30)</f>
        <v>0</v>
      </c>
      <c r="U31" s="1189">
        <f t="shared" ref="U31" si="26">SUM(U30:U30)</f>
        <v>0</v>
      </c>
      <c r="V31" s="1193">
        <f t="shared" ref="V31" si="27">SUM(V30:V30)</f>
        <v>0</v>
      </c>
      <c r="W31" s="1193">
        <f>SUM(W30:W30)</f>
        <v>0</v>
      </c>
      <c r="X31" s="1193">
        <f t="shared" ref="X31" si="28">SUM(X30:X30)</f>
        <v>0</v>
      </c>
      <c r="Y31" s="1193">
        <f t="shared" ref="Y31" si="29">SUM(Y30:Y30)</f>
        <v>0</v>
      </c>
      <c r="Z31" s="1193">
        <f t="shared" ref="Z31" si="30">SUM(Z30:Z30)</f>
        <v>0</v>
      </c>
      <c r="AA31" s="1193">
        <f t="shared" ref="AA31" si="31">SUM(AA30:AA30)</f>
        <v>0</v>
      </c>
      <c r="AB31" s="1193">
        <f t="shared" ref="AB31" si="32">SUM(AB30:AB30)</f>
        <v>0</v>
      </c>
      <c r="AC31" s="1193">
        <f t="shared" ref="AC31" si="33">SUM(AC30:AC30)</f>
        <v>0</v>
      </c>
      <c r="AD31" s="1193">
        <f t="shared" ref="AD31" si="34">SUM(AD30:AD30)</f>
        <v>1586.7</v>
      </c>
      <c r="AE31" s="1193">
        <f t="shared" ref="AE31" si="35">SUM(AE30:AE30)</f>
        <v>0</v>
      </c>
      <c r="AF31" s="1193">
        <f t="shared" ref="AF31" si="36">SUM(AF30:AF30)</f>
        <v>4760.1000000000004</v>
      </c>
      <c r="AG31" s="1193">
        <f t="shared" ref="AG31" si="37">SUM(AG30:AG30)</f>
        <v>0</v>
      </c>
    </row>
    <row r="32" spans="2:40" x14ac:dyDescent="0.25">
      <c r="L32" s="306"/>
    </row>
    <row r="33" spans="2:33" s="702" customFormat="1" ht="15.75" x14ac:dyDescent="0.25">
      <c r="B33" s="1230" t="s">
        <v>7228</v>
      </c>
      <c r="C33" s="1230"/>
      <c r="D33" s="1232"/>
      <c r="E33" s="1232"/>
      <c r="F33" s="1232"/>
      <c r="G33" s="1232"/>
      <c r="H33" s="1233"/>
      <c r="I33" s="1234"/>
      <c r="J33" s="1234"/>
      <c r="K33" s="1234"/>
      <c r="L33" s="1235"/>
      <c r="M33" s="1234"/>
      <c r="N33" s="698">
        <f>N16+N25+N28+N31</f>
        <v>19101.501400000001</v>
      </c>
      <c r="O33" s="1197"/>
      <c r="P33" s="698">
        <f>P16+P25+P28+P31</f>
        <v>1527.9797289999999</v>
      </c>
      <c r="Q33" s="698">
        <f>Q16+Q25+Q28+Q31</f>
        <v>1279.3399999999999</v>
      </c>
      <c r="R33" s="698">
        <f>R16+R25+R28+R31</f>
        <v>0</v>
      </c>
      <c r="S33" s="1236"/>
      <c r="T33" s="698">
        <f>T16+T25+T28+T31</f>
        <v>404.74999999999994</v>
      </c>
      <c r="U33" s="684">
        <f>U16+U25+U28+U31</f>
        <v>80.08</v>
      </c>
      <c r="V33" s="698">
        <f>V16+V25+V28+V31</f>
        <v>0</v>
      </c>
      <c r="W33" s="698">
        <f>W16+W25+W28+W31</f>
        <v>23.38</v>
      </c>
      <c r="X33" s="698">
        <f t="shared" ref="X33:AG33" si="38">X16+X25+X28+X31</f>
        <v>0</v>
      </c>
      <c r="Y33" s="698">
        <f t="shared" si="38"/>
        <v>0</v>
      </c>
      <c r="Z33" s="698">
        <f t="shared" si="38"/>
        <v>0</v>
      </c>
      <c r="AA33" s="698">
        <f t="shared" si="38"/>
        <v>0</v>
      </c>
      <c r="AB33" s="698">
        <f t="shared" si="38"/>
        <v>0</v>
      </c>
      <c r="AC33" s="698">
        <f t="shared" si="38"/>
        <v>0</v>
      </c>
      <c r="AD33" s="698">
        <f t="shared" si="38"/>
        <v>6828.1004666666668</v>
      </c>
      <c r="AE33" s="698">
        <f t="shared" si="38"/>
        <v>607.60664299999985</v>
      </c>
      <c r="AF33" s="698">
        <f t="shared" si="38"/>
        <v>20404.221400000002</v>
      </c>
      <c r="AG33" s="698">
        <f t="shared" si="38"/>
        <v>1814.811929</v>
      </c>
    </row>
    <row r="34" spans="2:33" ht="15.75" x14ac:dyDescent="0.25">
      <c r="B34" s="295"/>
      <c r="C34" s="314"/>
      <c r="D34" s="304"/>
      <c r="E34" s="304"/>
      <c r="F34" s="304"/>
      <c r="G34" s="304"/>
      <c r="H34" s="305"/>
      <c r="I34" s="295"/>
      <c r="J34" s="295"/>
      <c r="K34" s="295"/>
      <c r="L34" s="306"/>
      <c r="M34" s="295"/>
      <c r="N34" s="307"/>
      <c r="O34" s="333"/>
      <c r="P34" s="311"/>
      <c r="Q34" s="311"/>
      <c r="R34" s="311"/>
      <c r="S34" s="312"/>
      <c r="T34" s="311"/>
      <c r="U34" s="310"/>
      <c r="V34" s="311"/>
      <c r="W34" s="311"/>
      <c r="X34" s="311"/>
      <c r="Y34" s="311"/>
      <c r="Z34" s="311"/>
      <c r="AA34" s="311"/>
      <c r="AB34" s="311"/>
      <c r="AC34" s="311"/>
      <c r="AD34" s="313"/>
      <c r="AE34" s="313"/>
      <c r="AF34" s="313"/>
      <c r="AG34" s="313"/>
    </row>
    <row r="35" spans="2:33" s="1228" customFormat="1" ht="15.75" x14ac:dyDescent="0.25">
      <c r="B35" s="1224" t="s">
        <v>7232</v>
      </c>
      <c r="C35" s="1224"/>
      <c r="D35" s="1249"/>
      <c r="E35" s="1249"/>
      <c r="F35" s="1249"/>
      <c r="G35" s="1249"/>
      <c r="H35" s="1250"/>
      <c r="I35" s="1251"/>
      <c r="J35" s="1251"/>
      <c r="K35" s="1251"/>
      <c r="L35" s="1252"/>
      <c r="M35" s="1251"/>
      <c r="N35" s="1253"/>
      <c r="O35" s="1254"/>
      <c r="P35" s="1255"/>
      <c r="Q35" s="1255"/>
      <c r="R35" s="1255"/>
      <c r="S35" s="1256"/>
      <c r="T35" s="1255"/>
      <c r="U35" s="1379"/>
      <c r="V35" s="1255"/>
      <c r="W35" s="1255"/>
      <c r="X35" s="1255"/>
      <c r="Y35" s="1255"/>
      <c r="Z35" s="1255"/>
      <c r="AA35" s="1255"/>
      <c r="AB35" s="1255"/>
      <c r="AC35" s="1255"/>
      <c r="AD35" s="1257"/>
      <c r="AE35" s="1257"/>
      <c r="AF35" s="1257"/>
      <c r="AG35" s="1257"/>
    </row>
    <row r="36" spans="2:33" s="1248" customFormat="1" ht="15.75" x14ac:dyDescent="0.25">
      <c r="B36" s="1238"/>
      <c r="C36" s="1238"/>
      <c r="D36" s="1239"/>
      <c r="E36" s="1239"/>
      <c r="F36" s="1239"/>
      <c r="G36" s="1239"/>
      <c r="H36" s="1240"/>
      <c r="I36" s="1241"/>
      <c r="J36" s="1241"/>
      <c r="K36" s="1241"/>
      <c r="L36" s="1242"/>
      <c r="M36" s="1241"/>
      <c r="N36" s="1243"/>
      <c r="O36" s="1244"/>
      <c r="P36" s="1245"/>
      <c r="Q36" s="1245"/>
      <c r="R36" s="1245"/>
      <c r="S36" s="1246"/>
      <c r="T36" s="1245"/>
      <c r="U36" s="1379"/>
      <c r="V36" s="1245"/>
      <c r="W36" s="1245"/>
      <c r="X36" s="1245"/>
      <c r="Y36" s="1245"/>
      <c r="Z36" s="1245"/>
      <c r="AA36" s="1245"/>
      <c r="AB36" s="1245"/>
      <c r="AC36" s="1245"/>
      <c r="AD36" s="1247"/>
      <c r="AE36" s="1247"/>
      <c r="AF36" s="1247"/>
      <c r="AG36" s="1247"/>
    </row>
    <row r="37" spans="2:33" s="299" customFormat="1" ht="31.5" x14ac:dyDescent="0.25">
      <c r="B37" s="295">
        <v>2376</v>
      </c>
      <c r="C37" s="314" t="s">
        <v>7233</v>
      </c>
      <c r="D37" s="304" t="s">
        <v>2911</v>
      </c>
      <c r="E37" s="304" t="s">
        <v>2905</v>
      </c>
      <c r="F37" s="304" t="s">
        <v>2650</v>
      </c>
      <c r="G37" s="304" t="s">
        <v>2910</v>
      </c>
      <c r="H37" s="305">
        <v>40</v>
      </c>
      <c r="I37" s="295">
        <v>40</v>
      </c>
      <c r="J37" s="295" t="s">
        <v>2636</v>
      </c>
      <c r="K37" s="295">
        <v>0</v>
      </c>
      <c r="L37" s="306">
        <v>43667</v>
      </c>
      <c r="M37" s="295">
        <v>3</v>
      </c>
      <c r="N37" s="307">
        <f>M37*AG10</f>
        <v>1919.0099999999998</v>
      </c>
      <c r="O37" s="333">
        <v>0</v>
      </c>
      <c r="P37" s="311">
        <f>N37*O37</f>
        <v>0</v>
      </c>
      <c r="Q37" s="311">
        <v>0</v>
      </c>
      <c r="R37" s="311">
        <v>0</v>
      </c>
      <c r="S37" s="312">
        <f>51.18/N37</f>
        <v>2.6670001719636689E-2</v>
      </c>
      <c r="T37" s="311">
        <f>N37*S37</f>
        <v>51.18</v>
      </c>
      <c r="U37" s="310">
        <f>(67.17/N37)*N37</f>
        <v>67.17</v>
      </c>
      <c r="V37" s="311">
        <v>0</v>
      </c>
      <c r="W37" s="311">
        <v>0</v>
      </c>
      <c r="X37" s="311">
        <v>0</v>
      </c>
      <c r="Y37" s="311">
        <v>0</v>
      </c>
      <c r="Z37" s="311">
        <v>0</v>
      </c>
      <c r="AA37" s="311">
        <v>0</v>
      </c>
      <c r="AB37" s="311">
        <v>0</v>
      </c>
      <c r="AC37" s="311">
        <v>0</v>
      </c>
      <c r="AD37" s="313">
        <f>(N37+Q37+U37)/3</f>
        <v>662.06</v>
      </c>
      <c r="AE37" s="313">
        <f>AD37*O37</f>
        <v>0</v>
      </c>
      <c r="AF37" s="313">
        <f>N37+Q37</f>
        <v>1919.0099999999998</v>
      </c>
      <c r="AG37" s="313">
        <f>AF37*O37</f>
        <v>0</v>
      </c>
    </row>
    <row r="38" spans="2:33" s="299" customFormat="1" ht="31.5" x14ac:dyDescent="0.25">
      <c r="B38" s="295">
        <v>2204</v>
      </c>
      <c r="C38" s="314" t="str">
        <f>PROPER("CARLA MARIA BRANDEBURSKI")</f>
        <v>Carla Maria Brandeburski</v>
      </c>
      <c r="D38" s="304" t="s">
        <v>2909</v>
      </c>
      <c r="E38" s="304" t="s">
        <v>2905</v>
      </c>
      <c r="F38" s="304" t="s">
        <v>2650</v>
      </c>
      <c r="G38" s="304" t="s">
        <v>2910</v>
      </c>
      <c r="H38" s="305">
        <v>40</v>
      </c>
      <c r="I38" s="295">
        <v>24</v>
      </c>
      <c r="J38" s="295" t="s">
        <v>2636</v>
      </c>
      <c r="K38" s="295">
        <v>0</v>
      </c>
      <c r="L38" s="306">
        <v>43429</v>
      </c>
      <c r="M38" s="295">
        <v>12</v>
      </c>
      <c r="N38" s="307">
        <f>M38*AG10</f>
        <v>7676.0399999999991</v>
      </c>
      <c r="O38" s="333">
        <v>0</v>
      </c>
      <c r="P38" s="311">
        <f>N38*O38</f>
        <v>0</v>
      </c>
      <c r="Q38" s="311">
        <v>0</v>
      </c>
      <c r="R38" s="311">
        <v>0</v>
      </c>
      <c r="S38" s="312">
        <f>0/N38</f>
        <v>0</v>
      </c>
      <c r="T38" s="311">
        <f>N38*S38</f>
        <v>0</v>
      </c>
      <c r="U38" s="310">
        <f>(268.66/N38)*N38</f>
        <v>268.66000000000003</v>
      </c>
      <c r="V38" s="311">
        <v>0</v>
      </c>
      <c r="W38" s="311">
        <v>0</v>
      </c>
      <c r="X38" s="311">
        <v>0</v>
      </c>
      <c r="Y38" s="311">
        <v>0</v>
      </c>
      <c r="Z38" s="311">
        <v>0</v>
      </c>
      <c r="AA38" s="311">
        <v>0</v>
      </c>
      <c r="AB38" s="311">
        <v>0</v>
      </c>
      <c r="AC38" s="311">
        <v>0</v>
      </c>
      <c r="AD38" s="313">
        <f>(N38+Q38+U38)/3</f>
        <v>2648.2333333333331</v>
      </c>
      <c r="AE38" s="313">
        <f>AD38*O38</f>
        <v>0</v>
      </c>
      <c r="AF38" s="313">
        <f>N38+Q38</f>
        <v>7676.0399999999991</v>
      </c>
      <c r="AG38" s="313">
        <f>AF38*O38</f>
        <v>0</v>
      </c>
    </row>
    <row r="39" spans="2:33" s="299" customFormat="1" ht="31.5" x14ac:dyDescent="0.25">
      <c r="B39" s="295">
        <v>2371</v>
      </c>
      <c r="C39" s="314" t="s">
        <v>7234</v>
      </c>
      <c r="D39" s="304" t="s">
        <v>2710</v>
      </c>
      <c r="E39" s="304" t="s">
        <v>2905</v>
      </c>
      <c r="F39" s="304" t="s">
        <v>2650</v>
      </c>
      <c r="G39" s="304" t="s">
        <v>2910</v>
      </c>
      <c r="H39" s="305">
        <v>40</v>
      </c>
      <c r="I39" s="295">
        <v>40</v>
      </c>
      <c r="J39" s="295" t="s">
        <v>2636</v>
      </c>
      <c r="K39" s="295">
        <v>0</v>
      </c>
      <c r="L39" s="306">
        <v>43651</v>
      </c>
      <c r="M39" s="295">
        <v>6.5</v>
      </c>
      <c r="N39" s="307">
        <f>M39*AG10</f>
        <v>4157.8549999999996</v>
      </c>
      <c r="O39" s="333">
        <v>0</v>
      </c>
      <c r="P39" s="311">
        <f>N39*O39</f>
        <v>0</v>
      </c>
      <c r="Q39" s="311">
        <v>0</v>
      </c>
      <c r="R39" s="311">
        <v>0</v>
      </c>
      <c r="S39" s="312">
        <f>51.18/N39</f>
        <v>1.2309231562909242E-2</v>
      </c>
      <c r="T39" s="311">
        <f>N39*S39</f>
        <v>51.18</v>
      </c>
      <c r="U39" s="310">
        <f>(203.73/N39)*N39</f>
        <v>203.73</v>
      </c>
      <c r="V39" s="311">
        <v>0</v>
      </c>
      <c r="W39" s="311">
        <v>0</v>
      </c>
      <c r="X39" s="311">
        <v>0</v>
      </c>
      <c r="Y39" s="311">
        <v>0</v>
      </c>
      <c r="Z39" s="311">
        <v>0</v>
      </c>
      <c r="AA39" s="311">
        <v>0</v>
      </c>
      <c r="AB39" s="311">
        <v>0</v>
      </c>
      <c r="AC39" s="311">
        <v>0</v>
      </c>
      <c r="AD39" s="313">
        <f>(N39+Q39+U39)/3</f>
        <v>1453.8616666666665</v>
      </c>
      <c r="AE39" s="313">
        <f>AD39*O39</f>
        <v>0</v>
      </c>
      <c r="AF39" s="313">
        <f>N39+Q39</f>
        <v>4157.8549999999996</v>
      </c>
      <c r="AG39" s="313">
        <f>AF39*O39</f>
        <v>0</v>
      </c>
    </row>
    <row r="40" spans="2:33" s="299" customFormat="1" ht="31.5" x14ac:dyDescent="0.25">
      <c r="B40" s="295">
        <v>2382</v>
      </c>
      <c r="C40" s="314" t="str">
        <f>PROPER("JOSE ARMANDO DE SOUZA LEITUNE")</f>
        <v>Jose Armando De Souza Leitune</v>
      </c>
      <c r="D40" s="304" t="s">
        <v>2909</v>
      </c>
      <c r="E40" s="304" t="s">
        <v>2905</v>
      </c>
      <c r="F40" s="304" t="s">
        <v>2650</v>
      </c>
      <c r="G40" s="304" t="s">
        <v>2910</v>
      </c>
      <c r="H40" s="305">
        <v>40</v>
      </c>
      <c r="I40" s="295">
        <v>24</v>
      </c>
      <c r="J40" s="295" t="s">
        <v>2636</v>
      </c>
      <c r="K40" s="295">
        <v>0</v>
      </c>
      <c r="L40" s="306">
        <v>43698</v>
      </c>
      <c r="M40" s="295">
        <v>12</v>
      </c>
      <c r="N40" s="307">
        <f>M40*AG10</f>
        <v>7676.0399999999991</v>
      </c>
      <c r="O40" s="333">
        <v>0</v>
      </c>
      <c r="P40" s="311">
        <f>N40*O40</f>
        <v>0</v>
      </c>
      <c r="Q40" s="311">
        <v>0</v>
      </c>
      <c r="R40" s="311">
        <v>0</v>
      </c>
      <c r="S40" s="312">
        <f>17.06/N40</f>
        <v>2.2225001433030574E-3</v>
      </c>
      <c r="T40" s="311">
        <f>N40*S40</f>
        <v>17.059999999999999</v>
      </c>
      <c r="U40" s="310">
        <f>(626.88/N40)*N40</f>
        <v>626.88</v>
      </c>
      <c r="V40" s="311">
        <v>0</v>
      </c>
      <c r="W40" s="311">
        <v>0</v>
      </c>
      <c r="X40" s="311">
        <v>0</v>
      </c>
      <c r="Y40" s="311">
        <v>0</v>
      </c>
      <c r="Z40" s="311">
        <v>0</v>
      </c>
      <c r="AA40" s="311">
        <v>0</v>
      </c>
      <c r="AB40" s="311">
        <v>0</v>
      </c>
      <c r="AC40" s="311">
        <v>0</v>
      </c>
      <c r="AD40" s="313">
        <f>(N40+Q40+U40)/3</f>
        <v>2767.6399999999994</v>
      </c>
      <c r="AE40" s="313">
        <f>AD40*O40</f>
        <v>0</v>
      </c>
      <c r="AF40" s="313">
        <f>N40+Q40</f>
        <v>7676.0399999999991</v>
      </c>
      <c r="AG40" s="313">
        <f>AF40*O40</f>
        <v>0</v>
      </c>
    </row>
    <row r="41" spans="2:33" s="299" customFormat="1" ht="31.5" x14ac:dyDescent="0.25">
      <c r="B41" s="295">
        <v>2275</v>
      </c>
      <c r="C41" s="314" t="str">
        <f>PROPER("LICIANE MARIA RUTIKOSKI TANSK")</f>
        <v>Liciane Maria Rutikoski Tansk</v>
      </c>
      <c r="D41" s="304" t="s">
        <v>2911</v>
      </c>
      <c r="E41" s="304" t="s">
        <v>2905</v>
      </c>
      <c r="F41" s="304" t="s">
        <v>2650</v>
      </c>
      <c r="G41" s="304" t="s">
        <v>2910</v>
      </c>
      <c r="H41" s="305">
        <v>40</v>
      </c>
      <c r="I41" s="295">
        <v>40</v>
      </c>
      <c r="J41" s="295" t="s">
        <v>2636</v>
      </c>
      <c r="K41" s="295">
        <v>0</v>
      </c>
      <c r="L41" s="306">
        <v>43669</v>
      </c>
      <c r="M41" s="295">
        <v>3</v>
      </c>
      <c r="N41" s="307">
        <f>M41*AG10</f>
        <v>1919.0099999999998</v>
      </c>
      <c r="O41" s="333">
        <v>0</v>
      </c>
      <c r="P41" s="311">
        <f>N41*O41</f>
        <v>0</v>
      </c>
      <c r="Q41" s="311">
        <v>0</v>
      </c>
      <c r="R41" s="311">
        <v>0</v>
      </c>
      <c r="S41" s="312">
        <f>51.18/N41</f>
        <v>2.6670001719636689E-2</v>
      </c>
      <c r="T41" s="311">
        <f>N41*S41</f>
        <v>51.18</v>
      </c>
      <c r="U41" s="310">
        <f>(40.3/N41)*N41</f>
        <v>40.299999999999997</v>
      </c>
      <c r="V41" s="311">
        <v>0</v>
      </c>
      <c r="W41" s="311">
        <v>0</v>
      </c>
      <c r="X41" s="311">
        <v>0</v>
      </c>
      <c r="Y41" s="311">
        <v>0</v>
      </c>
      <c r="Z41" s="311">
        <v>0</v>
      </c>
      <c r="AA41" s="311">
        <v>0</v>
      </c>
      <c r="AB41" s="311">
        <v>0</v>
      </c>
      <c r="AC41" s="311">
        <v>0</v>
      </c>
      <c r="AD41" s="313">
        <f>(N41+Q41+U41)/3</f>
        <v>653.10333333333324</v>
      </c>
      <c r="AE41" s="313">
        <f>AD41*O41</f>
        <v>0</v>
      </c>
      <c r="AF41" s="313">
        <f>N41+Q41</f>
        <v>1919.0099999999998</v>
      </c>
      <c r="AG41" s="313">
        <f>AF41*O41</f>
        <v>0</v>
      </c>
    </row>
    <row r="42" spans="2:33" ht="31.5" x14ac:dyDescent="0.25">
      <c r="B42" s="295">
        <v>2355</v>
      </c>
      <c r="C42" s="304" t="s">
        <v>7235</v>
      </c>
      <c r="D42" s="304" t="s">
        <v>2654</v>
      </c>
      <c r="E42" s="304" t="s">
        <v>2905</v>
      </c>
      <c r="F42" s="304" t="s">
        <v>2650</v>
      </c>
      <c r="G42" s="304" t="s">
        <v>2910</v>
      </c>
      <c r="H42" s="305">
        <v>40</v>
      </c>
      <c r="I42" s="295">
        <v>44</v>
      </c>
      <c r="J42" s="295" t="s">
        <v>2636</v>
      </c>
      <c r="K42" s="295">
        <v>0</v>
      </c>
      <c r="L42" s="306">
        <v>43588</v>
      </c>
      <c r="M42" s="295">
        <v>2</v>
      </c>
      <c r="N42" s="307">
        <f>M42*AG10</f>
        <v>1279.3399999999999</v>
      </c>
      <c r="O42" s="333">
        <v>0</v>
      </c>
      <c r="P42" s="311">
        <f t="shared" ref="P42" si="39">N42*O42</f>
        <v>0</v>
      </c>
      <c r="Q42" s="311">
        <v>0</v>
      </c>
      <c r="R42" s="311">
        <v>0</v>
      </c>
      <c r="S42" s="312">
        <f>76.76/N42</f>
        <v>5.9999687338784066E-2</v>
      </c>
      <c r="T42" s="311">
        <f t="shared" ref="T42" si="40">N42*S42</f>
        <v>76.760000000000005</v>
      </c>
      <c r="U42" s="310">
        <f>(77.34/N42)*N42</f>
        <v>77.34</v>
      </c>
      <c r="V42" s="311">
        <v>0</v>
      </c>
      <c r="W42" s="311">
        <v>0</v>
      </c>
      <c r="X42" s="311">
        <v>0</v>
      </c>
      <c r="Y42" s="311">
        <v>0</v>
      </c>
      <c r="Z42" s="311">
        <v>0</v>
      </c>
      <c r="AA42" s="311">
        <v>0</v>
      </c>
      <c r="AB42" s="311">
        <v>0</v>
      </c>
      <c r="AC42" s="311">
        <v>0</v>
      </c>
      <c r="AD42" s="313">
        <f t="shared" ref="AD42" si="41">(N42+Q42+U42)/3</f>
        <v>452.22666666666663</v>
      </c>
      <c r="AE42" s="313">
        <f t="shared" ref="AE42" si="42">AD42*O42</f>
        <v>0</v>
      </c>
      <c r="AF42" s="313">
        <f t="shared" ref="AF42" si="43">N42+Q42</f>
        <v>1279.3399999999999</v>
      </c>
      <c r="AG42" s="313">
        <f t="shared" ref="AG42" si="44">AF42*O42</f>
        <v>0</v>
      </c>
    </row>
    <row r="43" spans="2:33" s="299" customFormat="1" ht="31.5" x14ac:dyDescent="0.25">
      <c r="B43" s="295">
        <v>2298</v>
      </c>
      <c r="C43" s="314" t="s">
        <v>7236</v>
      </c>
      <c r="D43" s="304" t="s">
        <v>2710</v>
      </c>
      <c r="E43" s="304" t="s">
        <v>2905</v>
      </c>
      <c r="F43" s="304" t="s">
        <v>2650</v>
      </c>
      <c r="G43" s="304" t="s">
        <v>2910</v>
      </c>
      <c r="H43" s="305">
        <v>40</v>
      </c>
      <c r="I43" s="295">
        <v>40</v>
      </c>
      <c r="J43" s="295" t="s">
        <v>2636</v>
      </c>
      <c r="K43" s="295">
        <v>0</v>
      </c>
      <c r="L43" s="306">
        <v>43377</v>
      </c>
      <c r="M43" s="295">
        <v>6.5</v>
      </c>
      <c r="N43" s="307">
        <f>M43*AG10</f>
        <v>4157.8549999999996</v>
      </c>
      <c r="O43" s="333">
        <v>0</v>
      </c>
      <c r="P43" s="311">
        <f>N43*O43</f>
        <v>0</v>
      </c>
      <c r="Q43" s="311">
        <v>0</v>
      </c>
      <c r="R43" s="311">
        <v>0</v>
      </c>
      <c r="S43" s="312">
        <f>51.18/N43</f>
        <v>1.2309231562909242E-2</v>
      </c>
      <c r="T43" s="311">
        <f>N43*S43</f>
        <v>51.18</v>
      </c>
      <c r="U43" s="310">
        <f>(232.84/N43)*N43</f>
        <v>232.84</v>
      </c>
      <c r="V43" s="311">
        <v>0</v>
      </c>
      <c r="W43" s="311">
        <v>0</v>
      </c>
      <c r="X43" s="311">
        <v>0</v>
      </c>
      <c r="Y43" s="311">
        <v>0</v>
      </c>
      <c r="Z43" s="311">
        <v>0</v>
      </c>
      <c r="AA43" s="311">
        <v>0</v>
      </c>
      <c r="AB43" s="311">
        <v>0</v>
      </c>
      <c r="AC43" s="311">
        <v>0</v>
      </c>
      <c r="AD43" s="313">
        <f>(N43+Q43+U43)/3</f>
        <v>1463.5649999999998</v>
      </c>
      <c r="AE43" s="313">
        <f>AD43*O43</f>
        <v>0</v>
      </c>
      <c r="AF43" s="313">
        <f>N43+Q43</f>
        <v>4157.8549999999996</v>
      </c>
      <c r="AG43" s="313">
        <f>AF43*O43</f>
        <v>0</v>
      </c>
    </row>
    <row r="44" spans="2:33" s="1228" customFormat="1" ht="15.75" x14ac:dyDescent="0.25">
      <c r="B44" s="1224" t="s">
        <v>7239</v>
      </c>
      <c r="C44" s="1224"/>
      <c r="D44" s="1249"/>
      <c r="E44" s="1249"/>
      <c r="F44" s="1249"/>
      <c r="G44" s="1249"/>
      <c r="H44" s="1250"/>
      <c r="I44" s="1251"/>
      <c r="J44" s="1251"/>
      <c r="K44" s="1251"/>
      <c r="L44" s="1252"/>
      <c r="M44" s="1251"/>
      <c r="N44" s="1253">
        <f>SUM(N37:N43)</f>
        <v>28785.149999999998</v>
      </c>
      <c r="O44" s="1254"/>
      <c r="P44" s="1253">
        <f t="shared" ref="P44:R44" si="45">SUM(P37:P43)</f>
        <v>0</v>
      </c>
      <c r="Q44" s="1253">
        <f t="shared" si="45"/>
        <v>0</v>
      </c>
      <c r="R44" s="1253">
        <f t="shared" si="45"/>
        <v>0</v>
      </c>
      <c r="S44" s="1256"/>
      <c r="T44" s="1253">
        <f>SUM(T37:T43)</f>
        <v>298.54000000000002</v>
      </c>
      <c r="U44" s="684">
        <f>SUM(U37:U43)</f>
        <v>1516.9199999999998</v>
      </c>
      <c r="V44" s="1253">
        <f t="shared" ref="V44:AG44" si="46">SUM(V37:V43)</f>
        <v>0</v>
      </c>
      <c r="W44" s="1253">
        <f t="shared" si="46"/>
        <v>0</v>
      </c>
      <c r="X44" s="1253">
        <f t="shared" si="46"/>
        <v>0</v>
      </c>
      <c r="Y44" s="1253">
        <f t="shared" si="46"/>
        <v>0</v>
      </c>
      <c r="Z44" s="1253">
        <f t="shared" si="46"/>
        <v>0</v>
      </c>
      <c r="AA44" s="1253">
        <f t="shared" si="46"/>
        <v>0</v>
      </c>
      <c r="AB44" s="1253">
        <f t="shared" si="46"/>
        <v>0</v>
      </c>
      <c r="AC44" s="1253">
        <f t="shared" si="46"/>
        <v>0</v>
      </c>
      <c r="AD44" s="1253">
        <f t="shared" si="46"/>
        <v>10100.69</v>
      </c>
      <c r="AE44" s="1253">
        <f t="shared" si="46"/>
        <v>0</v>
      </c>
      <c r="AF44" s="1253">
        <f t="shared" si="46"/>
        <v>28785.149999999998</v>
      </c>
      <c r="AG44" s="1253">
        <f t="shared" si="46"/>
        <v>0</v>
      </c>
    </row>
    <row r="45" spans="2:33" ht="15.75" x14ac:dyDescent="0.25">
      <c r="B45" s="295"/>
      <c r="C45" s="314"/>
      <c r="D45" s="304"/>
      <c r="E45" s="304"/>
      <c r="F45" s="304"/>
      <c r="G45" s="304"/>
      <c r="H45" s="305"/>
      <c r="I45" s="295"/>
      <c r="J45" s="295"/>
      <c r="K45" s="295"/>
      <c r="L45" s="306"/>
      <c r="M45" s="295"/>
      <c r="N45" s="307"/>
      <c r="O45" s="333"/>
      <c r="P45" s="311"/>
      <c r="Q45" s="311"/>
      <c r="R45" s="311"/>
      <c r="S45" s="312"/>
      <c r="T45" s="311"/>
      <c r="U45" s="310"/>
      <c r="V45" s="311"/>
      <c r="W45" s="311"/>
      <c r="X45" s="311"/>
      <c r="Y45" s="311"/>
      <c r="Z45" s="311"/>
      <c r="AA45" s="311"/>
      <c r="AB45" s="311"/>
      <c r="AC45" s="311"/>
      <c r="AD45" s="313"/>
      <c r="AE45" s="313"/>
      <c r="AF45" s="313"/>
      <c r="AG45" s="313"/>
    </row>
    <row r="46" spans="2:33" ht="31.5" x14ac:dyDescent="0.25">
      <c r="B46" s="295">
        <v>799</v>
      </c>
      <c r="C46" s="304" t="s">
        <v>2709</v>
      </c>
      <c r="D46" s="304" t="s">
        <v>2710</v>
      </c>
      <c r="E46" s="304" t="s">
        <v>2739</v>
      </c>
      <c r="F46" s="304" t="s">
        <v>2650</v>
      </c>
      <c r="G46" s="304" t="s">
        <v>2910</v>
      </c>
      <c r="H46" s="305">
        <v>40</v>
      </c>
      <c r="I46" s="295">
        <v>40</v>
      </c>
      <c r="J46" s="295" t="s">
        <v>2648</v>
      </c>
      <c r="K46" s="295">
        <v>0</v>
      </c>
      <c r="L46" s="306">
        <v>38366</v>
      </c>
      <c r="M46" s="316">
        <f>4579.08/639.67</f>
        <v>7.1585036034205141</v>
      </c>
      <c r="N46" s="307">
        <f>M46*AG10</f>
        <v>4579.08</v>
      </c>
      <c r="O46" s="333">
        <v>0.15</v>
      </c>
      <c r="P46" s="311">
        <f t="shared" ref="P46:P71" si="47">N46*O46</f>
        <v>686.86199999999997</v>
      </c>
      <c r="Q46" s="311">
        <f>AG10</f>
        <v>639.66999999999996</v>
      </c>
      <c r="R46" s="311">
        <v>0</v>
      </c>
      <c r="S46" s="312">
        <f>0/N46</f>
        <v>0</v>
      </c>
      <c r="T46" s="311">
        <f t="shared" ref="T46:T71" si="48">N46*S46</f>
        <v>0</v>
      </c>
      <c r="U46" s="310">
        <f>(288.54/N46)*N46</f>
        <v>288.54000000000008</v>
      </c>
      <c r="V46" s="311">
        <v>0</v>
      </c>
      <c r="W46" s="311">
        <v>0</v>
      </c>
      <c r="X46" s="311">
        <v>0</v>
      </c>
      <c r="Y46" s="311">
        <v>0</v>
      </c>
      <c r="Z46" s="311">
        <v>0</v>
      </c>
      <c r="AA46" s="311">
        <v>0</v>
      </c>
      <c r="AB46" s="311">
        <v>0</v>
      </c>
      <c r="AC46" s="311">
        <v>0</v>
      </c>
      <c r="AD46" s="313">
        <f t="shared" ref="AD46:AD67" si="49">(N46+Q46+U46)/3</f>
        <v>1835.7633333333333</v>
      </c>
      <c r="AE46" s="313">
        <f t="shared" ref="AE46:AE71" si="50">AD46*O46</f>
        <v>275.36449999999996</v>
      </c>
      <c r="AF46" s="313">
        <f t="shared" ref="AF46:AF67" si="51">N46+Q46</f>
        <v>5218.75</v>
      </c>
      <c r="AG46" s="313">
        <f t="shared" ref="AG46:AG71" si="52">AF46*O46</f>
        <v>782.8125</v>
      </c>
    </row>
    <row r="47" spans="2:33" ht="31.5" x14ac:dyDescent="0.25">
      <c r="B47" s="295">
        <v>810</v>
      </c>
      <c r="C47" s="304" t="s">
        <v>2711</v>
      </c>
      <c r="D47" s="304" t="s">
        <v>2710</v>
      </c>
      <c r="E47" s="304" t="s">
        <v>2739</v>
      </c>
      <c r="F47" s="304" t="s">
        <v>2650</v>
      </c>
      <c r="G47" s="304" t="s">
        <v>2910</v>
      </c>
      <c r="H47" s="305">
        <v>40</v>
      </c>
      <c r="I47" s="295">
        <v>40</v>
      </c>
      <c r="J47" s="295" t="s">
        <v>2636</v>
      </c>
      <c r="K47" s="295">
        <v>0</v>
      </c>
      <c r="L47" s="306">
        <v>38369</v>
      </c>
      <c r="M47" s="295">
        <v>6.5</v>
      </c>
      <c r="N47" s="307">
        <f>M47*AG10</f>
        <v>4157.8549999999996</v>
      </c>
      <c r="O47" s="333">
        <v>0.15</v>
      </c>
      <c r="P47" s="311">
        <f t="shared" si="47"/>
        <v>623.67824999999993</v>
      </c>
      <c r="Q47" s="311">
        <v>0</v>
      </c>
      <c r="R47" s="311">
        <v>0</v>
      </c>
      <c r="S47" s="312">
        <f>44.36/N47</f>
        <v>1.0668962722365258E-2</v>
      </c>
      <c r="T47" s="311">
        <f t="shared" si="48"/>
        <v>44.36</v>
      </c>
      <c r="U47" s="310">
        <f>(0/N47)*N47</f>
        <v>0</v>
      </c>
      <c r="V47" s="311">
        <v>0</v>
      </c>
      <c r="W47" s="311">
        <v>0</v>
      </c>
      <c r="X47" s="311">
        <v>0</v>
      </c>
      <c r="Y47" s="311">
        <v>0</v>
      </c>
      <c r="Z47" s="311">
        <v>0</v>
      </c>
      <c r="AA47" s="311">
        <v>0</v>
      </c>
      <c r="AB47" s="311">
        <v>0</v>
      </c>
      <c r="AC47" s="311">
        <v>0</v>
      </c>
      <c r="AD47" s="313">
        <f t="shared" si="49"/>
        <v>1385.9516666666666</v>
      </c>
      <c r="AE47" s="313">
        <f t="shared" si="50"/>
        <v>207.89274999999998</v>
      </c>
      <c r="AF47" s="313">
        <f t="shared" si="51"/>
        <v>4157.8549999999996</v>
      </c>
      <c r="AG47" s="313">
        <f t="shared" si="52"/>
        <v>623.67824999999993</v>
      </c>
    </row>
    <row r="48" spans="2:33" ht="31.5" x14ac:dyDescent="0.25">
      <c r="B48" s="295">
        <v>1958</v>
      </c>
      <c r="C48" s="304" t="s">
        <v>2713</v>
      </c>
      <c r="D48" s="304" t="s">
        <v>2682</v>
      </c>
      <c r="E48" s="304" t="s">
        <v>2739</v>
      </c>
      <c r="F48" s="304" t="s">
        <v>2650</v>
      </c>
      <c r="G48" s="304" t="s">
        <v>2910</v>
      </c>
      <c r="H48" s="305">
        <v>40</v>
      </c>
      <c r="I48" s="295">
        <v>40</v>
      </c>
      <c r="J48" s="295" t="s">
        <v>2636</v>
      </c>
      <c r="K48" s="295">
        <v>0</v>
      </c>
      <c r="L48" s="306">
        <v>42166</v>
      </c>
      <c r="M48" s="295">
        <v>3.15</v>
      </c>
      <c r="N48" s="307">
        <f>M48*AG10</f>
        <v>2014.9604999999999</v>
      </c>
      <c r="O48" s="333">
        <v>0.05</v>
      </c>
      <c r="P48" s="311">
        <f t="shared" si="47"/>
        <v>100.748025</v>
      </c>
      <c r="Q48" s="311">
        <v>0</v>
      </c>
      <c r="R48" s="311">
        <v>0</v>
      </c>
      <c r="S48" s="312">
        <f>51.18/N48</f>
        <v>2.5400001637749227E-2</v>
      </c>
      <c r="T48" s="311">
        <f t="shared" si="48"/>
        <v>51.18</v>
      </c>
      <c r="U48" s="310">
        <f>(0/N48)*N48</f>
        <v>0</v>
      </c>
      <c r="V48" s="311">
        <v>0</v>
      </c>
      <c r="W48" s="311">
        <v>0</v>
      </c>
      <c r="X48" s="311">
        <v>0</v>
      </c>
      <c r="Y48" s="311">
        <v>0</v>
      </c>
      <c r="Z48" s="311">
        <v>0</v>
      </c>
      <c r="AA48" s="311">
        <v>0</v>
      </c>
      <c r="AB48" s="311">
        <v>0</v>
      </c>
      <c r="AC48" s="311">
        <v>0</v>
      </c>
      <c r="AD48" s="313">
        <f t="shared" si="49"/>
        <v>671.65350000000001</v>
      </c>
      <c r="AE48" s="313">
        <f t="shared" si="50"/>
        <v>33.582675000000002</v>
      </c>
      <c r="AF48" s="313">
        <f t="shared" si="51"/>
        <v>2014.9604999999999</v>
      </c>
      <c r="AG48" s="313">
        <f t="shared" si="52"/>
        <v>100.748025</v>
      </c>
    </row>
    <row r="49" spans="2:33" ht="31.5" x14ac:dyDescent="0.25">
      <c r="B49" s="295">
        <v>556</v>
      </c>
      <c r="C49" s="304" t="s">
        <v>2700</v>
      </c>
      <c r="D49" s="304" t="s">
        <v>2701</v>
      </c>
      <c r="E49" s="304" t="s">
        <v>2739</v>
      </c>
      <c r="F49" s="304" t="s">
        <v>2650</v>
      </c>
      <c r="G49" s="304" t="s">
        <v>2910</v>
      </c>
      <c r="H49" s="305">
        <v>40</v>
      </c>
      <c r="I49" s="295">
        <v>40</v>
      </c>
      <c r="J49" s="295" t="s">
        <v>2648</v>
      </c>
      <c r="K49" s="295">
        <v>0</v>
      </c>
      <c r="L49" s="306">
        <v>37477</v>
      </c>
      <c r="M49" s="295">
        <v>2.64</v>
      </c>
      <c r="N49" s="307">
        <f>M49*AG10</f>
        <v>1688.7287999999999</v>
      </c>
      <c r="O49" s="333">
        <v>0.18</v>
      </c>
      <c r="P49" s="311">
        <f t="shared" si="47"/>
        <v>303.97118399999994</v>
      </c>
      <c r="Q49" s="311">
        <v>0</v>
      </c>
      <c r="R49" s="311">
        <v>0</v>
      </c>
      <c r="S49" s="312">
        <f>0/N49</f>
        <v>0</v>
      </c>
      <c r="T49" s="311">
        <f t="shared" si="48"/>
        <v>0</v>
      </c>
      <c r="U49" s="310">
        <f>(94.56/N49)*N49</f>
        <v>94.56</v>
      </c>
      <c r="V49" s="311">
        <v>0</v>
      </c>
      <c r="W49" s="311">
        <v>0</v>
      </c>
      <c r="X49" s="311">
        <v>0</v>
      </c>
      <c r="Y49" s="311">
        <v>0</v>
      </c>
      <c r="Z49" s="311">
        <v>0</v>
      </c>
      <c r="AA49" s="311">
        <v>0</v>
      </c>
      <c r="AB49" s="311">
        <v>0</v>
      </c>
      <c r="AC49" s="311">
        <v>0</v>
      </c>
      <c r="AD49" s="313">
        <f t="shared" si="49"/>
        <v>594.42959999999994</v>
      </c>
      <c r="AE49" s="313">
        <f t="shared" si="50"/>
        <v>106.99732799999998</v>
      </c>
      <c r="AF49" s="313">
        <f t="shared" si="51"/>
        <v>1688.7287999999999</v>
      </c>
      <c r="AG49" s="313">
        <f t="shared" si="52"/>
        <v>303.97118399999994</v>
      </c>
    </row>
    <row r="50" spans="2:33" ht="31.5" x14ac:dyDescent="0.25">
      <c r="B50" s="295">
        <v>1898</v>
      </c>
      <c r="C50" s="304" t="str">
        <f>PROPER("DANIELE NOGUEIRA PEIXOTO")</f>
        <v>Daniele Nogueira Peixoto</v>
      </c>
      <c r="D50" s="304" t="s">
        <v>2703</v>
      </c>
      <c r="E50" s="304" t="s">
        <v>2739</v>
      </c>
      <c r="F50" s="304" t="s">
        <v>2650</v>
      </c>
      <c r="G50" s="304" t="s">
        <v>2910</v>
      </c>
      <c r="H50" s="305">
        <v>40</v>
      </c>
      <c r="I50" s="295">
        <v>40</v>
      </c>
      <c r="J50" s="295" t="s">
        <v>2636</v>
      </c>
      <c r="K50" s="295">
        <v>0</v>
      </c>
      <c r="L50" s="306">
        <v>42037</v>
      </c>
      <c r="M50" s="316">
        <f>2659.04/639.67</f>
        <v>4.1568933981584255</v>
      </c>
      <c r="N50" s="307">
        <f>M50*AG10</f>
        <v>2659.04</v>
      </c>
      <c r="O50" s="333">
        <v>0.05</v>
      </c>
      <c r="P50" s="311">
        <f t="shared" si="47"/>
        <v>132.952</v>
      </c>
      <c r="Q50" s="311">
        <v>0</v>
      </c>
      <c r="R50" s="311">
        <v>0</v>
      </c>
      <c r="S50" s="312">
        <f>51.18/N50</f>
        <v>1.9247547987243516E-2</v>
      </c>
      <c r="T50" s="311">
        <f t="shared" si="48"/>
        <v>51.18</v>
      </c>
      <c r="U50" s="310">
        <f>(126.94/N50)*N50</f>
        <v>126.94</v>
      </c>
      <c r="V50" s="311">
        <v>0</v>
      </c>
      <c r="W50" s="311">
        <v>0</v>
      </c>
      <c r="X50" s="311">
        <v>0</v>
      </c>
      <c r="Y50" s="311">
        <v>0</v>
      </c>
      <c r="Z50" s="311">
        <v>0</v>
      </c>
      <c r="AA50" s="311">
        <v>0</v>
      </c>
      <c r="AB50" s="311">
        <v>0</v>
      </c>
      <c r="AC50" s="311">
        <v>0</v>
      </c>
      <c r="AD50" s="313">
        <f t="shared" si="49"/>
        <v>928.66</v>
      </c>
      <c r="AE50" s="313">
        <f t="shared" si="50"/>
        <v>46.433</v>
      </c>
      <c r="AF50" s="313">
        <f t="shared" si="51"/>
        <v>2659.04</v>
      </c>
      <c r="AG50" s="313">
        <f t="shared" si="52"/>
        <v>132.952</v>
      </c>
    </row>
    <row r="51" spans="2:33" ht="31.5" x14ac:dyDescent="0.25">
      <c r="B51" s="295">
        <v>1064</v>
      </c>
      <c r="C51" s="304" t="str">
        <f>PROPER("DINAIR DA SILVA LACERDA")</f>
        <v>Dinair Da Silva Lacerda</v>
      </c>
      <c r="D51" s="304" t="s">
        <v>2703</v>
      </c>
      <c r="E51" s="304" t="s">
        <v>2739</v>
      </c>
      <c r="F51" s="304" t="s">
        <v>2650</v>
      </c>
      <c r="G51" s="304" t="s">
        <v>2910</v>
      </c>
      <c r="H51" s="305">
        <v>40</v>
      </c>
      <c r="I51" s="295">
        <v>40</v>
      </c>
      <c r="J51" s="295" t="s">
        <v>2634</v>
      </c>
      <c r="K51" s="295">
        <v>0</v>
      </c>
      <c r="L51" s="306">
        <v>39247</v>
      </c>
      <c r="M51" s="295">
        <v>3.15</v>
      </c>
      <c r="N51" s="307">
        <f>M51*AG10</f>
        <v>2014.9604999999999</v>
      </c>
      <c r="O51" s="333">
        <v>0.13</v>
      </c>
      <c r="P51" s="311">
        <f t="shared" si="47"/>
        <v>261.94486499999999</v>
      </c>
      <c r="Q51" s="311">
        <v>0</v>
      </c>
      <c r="R51" s="311">
        <v>0</v>
      </c>
      <c r="S51" s="312">
        <f>51.18/N51</f>
        <v>2.5400001637749227E-2</v>
      </c>
      <c r="T51" s="311">
        <f t="shared" si="48"/>
        <v>51.18</v>
      </c>
      <c r="U51" s="310">
        <f>(0/N51)*N51</f>
        <v>0</v>
      </c>
      <c r="V51" s="311">
        <v>0</v>
      </c>
      <c r="W51" s="311">
        <v>0</v>
      </c>
      <c r="X51" s="311">
        <v>0</v>
      </c>
      <c r="Y51" s="311">
        <v>0</v>
      </c>
      <c r="Z51" s="311">
        <v>0</v>
      </c>
      <c r="AA51" s="311">
        <v>0</v>
      </c>
      <c r="AB51" s="311">
        <v>0</v>
      </c>
      <c r="AC51" s="311">
        <v>0</v>
      </c>
      <c r="AD51" s="313">
        <f t="shared" si="49"/>
        <v>671.65350000000001</v>
      </c>
      <c r="AE51" s="313">
        <f t="shared" si="50"/>
        <v>87.314954999999998</v>
      </c>
      <c r="AF51" s="313">
        <f t="shared" si="51"/>
        <v>2014.9604999999999</v>
      </c>
      <c r="AG51" s="313">
        <f t="shared" si="52"/>
        <v>261.94486499999999</v>
      </c>
    </row>
    <row r="52" spans="2:33" ht="31.5" x14ac:dyDescent="0.25">
      <c r="B52" s="295">
        <v>1647</v>
      </c>
      <c r="C52" s="304" t="s">
        <v>2653</v>
      </c>
      <c r="D52" s="304" t="s">
        <v>2654</v>
      </c>
      <c r="E52" s="304" t="s">
        <v>2739</v>
      </c>
      <c r="F52" s="304" t="s">
        <v>2650</v>
      </c>
      <c r="G52" s="304" t="s">
        <v>2910</v>
      </c>
      <c r="H52" s="305">
        <v>40</v>
      </c>
      <c r="I52" s="295">
        <v>44</v>
      </c>
      <c r="J52" s="295" t="s">
        <v>2634</v>
      </c>
      <c r="K52" s="295">
        <v>0</v>
      </c>
      <c r="L52" s="306">
        <v>41094</v>
      </c>
      <c r="M52" s="295">
        <v>2.1</v>
      </c>
      <c r="N52" s="307">
        <f>M52*AG10</f>
        <v>1343.307</v>
      </c>
      <c r="O52" s="333">
        <v>0.08</v>
      </c>
      <c r="P52" s="311">
        <f t="shared" si="47"/>
        <v>107.46456000000001</v>
      </c>
      <c r="Q52" s="311">
        <v>0</v>
      </c>
      <c r="R52" s="311">
        <v>0</v>
      </c>
      <c r="S52" s="312">
        <f>76.76/N52</f>
        <v>5.7142559370270539E-2</v>
      </c>
      <c r="T52" s="311">
        <f t="shared" si="48"/>
        <v>76.760000000000005</v>
      </c>
      <c r="U52" s="310">
        <f>(1.83/N52)*N52</f>
        <v>1.83</v>
      </c>
      <c r="V52" s="311">
        <v>0</v>
      </c>
      <c r="W52" s="311">
        <v>0</v>
      </c>
      <c r="X52" s="311">
        <v>0</v>
      </c>
      <c r="Y52" s="311">
        <v>0</v>
      </c>
      <c r="Z52" s="311">
        <v>0</v>
      </c>
      <c r="AA52" s="311">
        <v>0</v>
      </c>
      <c r="AB52" s="311">
        <v>0</v>
      </c>
      <c r="AC52" s="311">
        <v>0</v>
      </c>
      <c r="AD52" s="313">
        <f t="shared" si="49"/>
        <v>448.37899999999996</v>
      </c>
      <c r="AE52" s="313">
        <f t="shared" si="50"/>
        <v>35.87032</v>
      </c>
      <c r="AF52" s="313">
        <f t="shared" si="51"/>
        <v>1343.307</v>
      </c>
      <c r="AG52" s="313">
        <f t="shared" si="52"/>
        <v>107.46456000000001</v>
      </c>
    </row>
    <row r="53" spans="2:33" ht="31.5" x14ac:dyDescent="0.25">
      <c r="B53" s="295">
        <v>113</v>
      </c>
      <c r="C53" s="304" t="s">
        <v>2702</v>
      </c>
      <c r="D53" s="304" t="s">
        <v>2701</v>
      </c>
      <c r="E53" s="304" t="s">
        <v>2739</v>
      </c>
      <c r="F53" s="304" t="s">
        <v>2650</v>
      </c>
      <c r="G53" s="304" t="s">
        <v>2910</v>
      </c>
      <c r="H53" s="305">
        <v>40</v>
      </c>
      <c r="I53" s="295">
        <v>40</v>
      </c>
      <c r="J53" s="295" t="s">
        <v>2634</v>
      </c>
      <c r="K53" s="295">
        <v>0</v>
      </c>
      <c r="L53" s="306">
        <v>35800</v>
      </c>
      <c r="M53" s="316">
        <f>1688.78/639.67</f>
        <v>2.6400800412712808</v>
      </c>
      <c r="N53" s="307">
        <f>M53*AG10</f>
        <v>1688.7800000000002</v>
      </c>
      <c r="O53" s="333">
        <v>0.22</v>
      </c>
      <c r="P53" s="311">
        <f t="shared" si="47"/>
        <v>371.53160000000003</v>
      </c>
      <c r="Q53" s="311">
        <v>0</v>
      </c>
      <c r="R53" s="311">
        <v>0</v>
      </c>
      <c r="S53" s="312">
        <f>76.76/N53</f>
        <v>4.5452930517888651E-2</v>
      </c>
      <c r="T53" s="311">
        <f t="shared" si="48"/>
        <v>76.760000000000005</v>
      </c>
      <c r="U53" s="310">
        <f>(0/N53)*N53</f>
        <v>0</v>
      </c>
      <c r="V53" s="311">
        <v>0</v>
      </c>
      <c r="W53" s="311">
        <v>0</v>
      </c>
      <c r="X53" s="311">
        <v>0</v>
      </c>
      <c r="Y53" s="311">
        <v>0</v>
      </c>
      <c r="Z53" s="311">
        <v>0</v>
      </c>
      <c r="AA53" s="311">
        <v>0</v>
      </c>
      <c r="AB53" s="311">
        <v>0</v>
      </c>
      <c r="AC53" s="311">
        <v>0</v>
      </c>
      <c r="AD53" s="313">
        <f t="shared" si="49"/>
        <v>562.92666666666673</v>
      </c>
      <c r="AE53" s="313">
        <f t="shared" si="50"/>
        <v>123.84386666666668</v>
      </c>
      <c r="AF53" s="313">
        <f t="shared" si="51"/>
        <v>1688.7800000000002</v>
      </c>
      <c r="AG53" s="313">
        <f t="shared" si="52"/>
        <v>371.53160000000003</v>
      </c>
    </row>
    <row r="54" spans="2:33" ht="31.5" x14ac:dyDescent="0.25">
      <c r="B54" s="295">
        <v>107</v>
      </c>
      <c r="C54" s="304" t="s">
        <v>7241</v>
      </c>
      <c r="D54" s="304" t="s">
        <v>2654</v>
      </c>
      <c r="E54" s="304" t="s">
        <v>2739</v>
      </c>
      <c r="F54" s="304" t="s">
        <v>2650</v>
      </c>
      <c r="G54" s="304" t="s">
        <v>2910</v>
      </c>
      <c r="H54" s="305">
        <v>40</v>
      </c>
      <c r="I54" s="295">
        <v>44</v>
      </c>
      <c r="J54" s="295" t="s">
        <v>2634</v>
      </c>
      <c r="K54" s="295">
        <v>0</v>
      </c>
      <c r="L54" s="306">
        <v>41094</v>
      </c>
      <c r="M54" s="295">
        <v>2.1</v>
      </c>
      <c r="N54" s="307">
        <f>M54*AG10</f>
        <v>1343.307</v>
      </c>
      <c r="O54" s="333">
        <v>0.22</v>
      </c>
      <c r="P54" s="311">
        <f t="shared" ref="P54" si="53">N54*O54</f>
        <v>295.52753999999999</v>
      </c>
      <c r="Q54" s="311">
        <v>0</v>
      </c>
      <c r="R54" s="311">
        <v>0</v>
      </c>
      <c r="S54" s="312">
        <f>0/N54</f>
        <v>0</v>
      </c>
      <c r="T54" s="311">
        <f t="shared" ref="T54" si="54">N54*S54</f>
        <v>0</v>
      </c>
      <c r="U54" s="310">
        <f>(167.91/N54)*N54</f>
        <v>167.91</v>
      </c>
      <c r="V54" s="311">
        <v>0</v>
      </c>
      <c r="W54" s="311">
        <v>0</v>
      </c>
      <c r="X54" s="311">
        <v>0</v>
      </c>
      <c r="Y54" s="311">
        <v>0</v>
      </c>
      <c r="Z54" s="311">
        <v>0</v>
      </c>
      <c r="AA54" s="311">
        <v>0</v>
      </c>
      <c r="AB54" s="311">
        <v>0</v>
      </c>
      <c r="AC54" s="311">
        <v>0</v>
      </c>
      <c r="AD54" s="313">
        <f t="shared" ref="AD54" si="55">(N54+Q54+U54)/3</f>
        <v>503.73900000000003</v>
      </c>
      <c r="AE54" s="313">
        <f t="shared" ref="AE54" si="56">AD54*O54</f>
        <v>110.82258</v>
      </c>
      <c r="AF54" s="313">
        <f t="shared" ref="AF54" si="57">N54+Q54</f>
        <v>1343.307</v>
      </c>
      <c r="AG54" s="313">
        <f t="shared" ref="AG54" si="58">AF54*O54</f>
        <v>295.52753999999999</v>
      </c>
    </row>
    <row r="55" spans="2:33" ht="31.5" x14ac:dyDescent="0.25">
      <c r="B55" s="295">
        <v>774</v>
      </c>
      <c r="C55" s="304" t="s">
        <v>2912</v>
      </c>
      <c r="D55" s="304" t="s">
        <v>2654</v>
      </c>
      <c r="E55" s="304" t="s">
        <v>2739</v>
      </c>
      <c r="F55" s="304" t="s">
        <v>2650</v>
      </c>
      <c r="G55" s="304" t="s">
        <v>2910</v>
      </c>
      <c r="H55" s="305">
        <v>40</v>
      </c>
      <c r="I55" s="295">
        <v>44</v>
      </c>
      <c r="J55" s="295" t="s">
        <v>2634</v>
      </c>
      <c r="K55" s="295">
        <v>0</v>
      </c>
      <c r="L55" s="306">
        <v>41094</v>
      </c>
      <c r="M55" s="295">
        <v>2.1</v>
      </c>
      <c r="N55" s="307">
        <f>M55*AG10</f>
        <v>1343.307</v>
      </c>
      <c r="O55" s="333">
        <v>0.15</v>
      </c>
      <c r="P55" s="311">
        <f t="shared" si="47"/>
        <v>201.49605</v>
      </c>
      <c r="Q55" s="311">
        <v>0</v>
      </c>
      <c r="R55" s="311">
        <v>0</v>
      </c>
      <c r="S55" s="312">
        <f>76.76/N55</f>
        <v>5.7142559370270539E-2</v>
      </c>
      <c r="T55" s="311">
        <f t="shared" si="48"/>
        <v>76.760000000000005</v>
      </c>
      <c r="U55" s="310">
        <f>(25.65/N55)*N55</f>
        <v>25.65</v>
      </c>
      <c r="V55" s="311">
        <v>0</v>
      </c>
      <c r="W55" s="311">
        <v>0</v>
      </c>
      <c r="X55" s="311">
        <v>0</v>
      </c>
      <c r="Y55" s="311">
        <v>0</v>
      </c>
      <c r="Z55" s="311">
        <v>0</v>
      </c>
      <c r="AA55" s="311">
        <v>0</v>
      </c>
      <c r="AB55" s="311">
        <v>0</v>
      </c>
      <c r="AC55" s="311">
        <v>0</v>
      </c>
      <c r="AD55" s="313">
        <f t="shared" si="49"/>
        <v>456.31900000000002</v>
      </c>
      <c r="AE55" s="313">
        <f t="shared" si="50"/>
        <v>68.447850000000003</v>
      </c>
      <c r="AF55" s="313">
        <f t="shared" si="51"/>
        <v>1343.307</v>
      </c>
      <c r="AG55" s="313">
        <f t="shared" si="52"/>
        <v>201.49605</v>
      </c>
    </row>
    <row r="56" spans="2:33" ht="31.5" x14ac:dyDescent="0.25">
      <c r="B56" s="295">
        <v>501</v>
      </c>
      <c r="C56" s="304" t="s">
        <v>2704</v>
      </c>
      <c r="D56" s="304" t="s">
        <v>2705</v>
      </c>
      <c r="E56" s="304" t="s">
        <v>2739</v>
      </c>
      <c r="F56" s="304" t="s">
        <v>2650</v>
      </c>
      <c r="G56" s="304" t="s">
        <v>2910</v>
      </c>
      <c r="H56" s="305">
        <v>40</v>
      </c>
      <c r="I56" s="295">
        <v>24</v>
      </c>
      <c r="J56" s="295" t="s">
        <v>2638</v>
      </c>
      <c r="K56" s="295">
        <v>0</v>
      </c>
      <c r="L56" s="306">
        <v>37301</v>
      </c>
      <c r="M56" s="295">
        <v>13.2</v>
      </c>
      <c r="N56" s="307">
        <f>M56*AG10</f>
        <v>8443.6439999999984</v>
      </c>
      <c r="O56" s="333">
        <v>0.18</v>
      </c>
      <c r="P56" s="311">
        <f t="shared" si="47"/>
        <v>1519.8559199999997</v>
      </c>
      <c r="Q56" s="311">
        <v>0</v>
      </c>
      <c r="R56" s="311">
        <v>0</v>
      </c>
      <c r="S56" s="312">
        <f>0/N56</f>
        <v>0</v>
      </c>
      <c r="T56" s="311">
        <f t="shared" si="48"/>
        <v>0</v>
      </c>
      <c r="U56" s="310">
        <f>(295.63/N56)*N56</f>
        <v>295.63</v>
      </c>
      <c r="V56" s="311">
        <f>(438.13/N56)*N56</f>
        <v>438.13</v>
      </c>
      <c r="W56" s="311">
        <v>0</v>
      </c>
      <c r="X56" s="311">
        <v>0</v>
      </c>
      <c r="Y56" s="311">
        <v>0</v>
      </c>
      <c r="Z56" s="311">
        <v>0</v>
      </c>
      <c r="AA56" s="311">
        <v>0</v>
      </c>
      <c r="AB56" s="311">
        <v>0</v>
      </c>
      <c r="AC56" s="311">
        <v>0</v>
      </c>
      <c r="AD56" s="313">
        <f t="shared" si="49"/>
        <v>2913.0913333333324</v>
      </c>
      <c r="AE56" s="313">
        <f t="shared" si="50"/>
        <v>524.35643999999979</v>
      </c>
      <c r="AF56" s="313">
        <f t="shared" si="51"/>
        <v>8443.6439999999984</v>
      </c>
      <c r="AG56" s="313">
        <f t="shared" si="52"/>
        <v>1519.8559199999997</v>
      </c>
    </row>
    <row r="57" spans="2:33" ht="31.5" x14ac:dyDescent="0.25">
      <c r="B57" s="295">
        <v>383</v>
      </c>
      <c r="C57" s="304" t="s">
        <v>2704</v>
      </c>
      <c r="D57" s="304" t="s">
        <v>2705</v>
      </c>
      <c r="E57" s="304" t="s">
        <v>2739</v>
      </c>
      <c r="F57" s="304" t="s">
        <v>2650</v>
      </c>
      <c r="G57" s="304" t="s">
        <v>2910</v>
      </c>
      <c r="H57" s="305">
        <v>40</v>
      </c>
      <c r="I57" s="295">
        <v>24</v>
      </c>
      <c r="J57" s="295" t="s">
        <v>2638</v>
      </c>
      <c r="K57" s="295">
        <v>0</v>
      </c>
      <c r="L57" s="306">
        <v>36923</v>
      </c>
      <c r="M57" s="295">
        <v>13.2</v>
      </c>
      <c r="N57" s="307">
        <f>M57*AG10</f>
        <v>8443.6439999999984</v>
      </c>
      <c r="O57" s="333">
        <v>0.19</v>
      </c>
      <c r="P57" s="311">
        <f t="shared" si="47"/>
        <v>1604.2923599999997</v>
      </c>
      <c r="Q57" s="311">
        <v>0</v>
      </c>
      <c r="R57" s="311">
        <v>0</v>
      </c>
      <c r="S57" s="312">
        <f>51.18/N57</f>
        <v>6.0613640271901578E-3</v>
      </c>
      <c r="T57" s="311">
        <f t="shared" si="48"/>
        <v>51.18</v>
      </c>
      <c r="U57" s="310">
        <f>(394.04/N57)*N57</f>
        <v>394.04</v>
      </c>
      <c r="V57" s="311">
        <f>(182.68/N57)*N57</f>
        <v>182.68000000000004</v>
      </c>
      <c r="W57" s="311">
        <v>0</v>
      </c>
      <c r="X57" s="311">
        <v>0</v>
      </c>
      <c r="Y57" s="311">
        <v>0</v>
      </c>
      <c r="Z57" s="311">
        <v>0</v>
      </c>
      <c r="AA57" s="311">
        <v>0</v>
      </c>
      <c r="AB57" s="311">
        <v>0</v>
      </c>
      <c r="AC57" s="311">
        <v>0</v>
      </c>
      <c r="AD57" s="313">
        <f t="shared" si="49"/>
        <v>2945.8946666666666</v>
      </c>
      <c r="AE57" s="313">
        <f t="shared" si="50"/>
        <v>559.71998666666661</v>
      </c>
      <c r="AF57" s="313">
        <f t="shared" si="51"/>
        <v>8443.6439999999984</v>
      </c>
      <c r="AG57" s="313">
        <f t="shared" si="52"/>
        <v>1604.2923599999997</v>
      </c>
    </row>
    <row r="58" spans="2:33" ht="31.5" x14ac:dyDescent="0.25">
      <c r="B58" s="295">
        <v>212</v>
      </c>
      <c r="C58" s="304" t="s">
        <v>2706</v>
      </c>
      <c r="D58" s="304" t="s">
        <v>2705</v>
      </c>
      <c r="E58" s="304" t="s">
        <v>2739</v>
      </c>
      <c r="F58" s="304" t="s">
        <v>2650</v>
      </c>
      <c r="G58" s="304" t="s">
        <v>2910</v>
      </c>
      <c r="H58" s="305">
        <v>40</v>
      </c>
      <c r="I58" s="295">
        <v>24</v>
      </c>
      <c r="J58" s="295" t="s">
        <v>2638</v>
      </c>
      <c r="K58" s="295">
        <v>1</v>
      </c>
      <c r="L58" s="306">
        <v>36220</v>
      </c>
      <c r="M58" s="295">
        <v>13.2</v>
      </c>
      <c r="N58" s="307">
        <f>M58*AG10</f>
        <v>8443.6439999999984</v>
      </c>
      <c r="O58" s="333">
        <v>0.22</v>
      </c>
      <c r="P58" s="311">
        <f t="shared" si="47"/>
        <v>1857.6016799999998</v>
      </c>
      <c r="Q58" s="311">
        <f>AG10</f>
        <v>639.66999999999996</v>
      </c>
      <c r="R58" s="311">
        <v>0</v>
      </c>
      <c r="S58" s="312">
        <f>51.18/N58</f>
        <v>6.0613640271901578E-3</v>
      </c>
      <c r="T58" s="311">
        <f t="shared" si="48"/>
        <v>51.18</v>
      </c>
      <c r="U58" s="310">
        <f>(295.63/N58)*N58</f>
        <v>295.63</v>
      </c>
      <c r="V58" s="311">
        <f>(0/N58)*N58</f>
        <v>0</v>
      </c>
      <c r="W58" s="311">
        <v>0</v>
      </c>
      <c r="X58" s="311">
        <v>0</v>
      </c>
      <c r="Y58" s="311">
        <v>0</v>
      </c>
      <c r="Z58" s="311">
        <v>0</v>
      </c>
      <c r="AA58" s="311">
        <v>0</v>
      </c>
      <c r="AB58" s="311">
        <v>0</v>
      </c>
      <c r="AC58" s="311">
        <v>0</v>
      </c>
      <c r="AD58" s="313">
        <f t="shared" si="49"/>
        <v>3126.3146666666657</v>
      </c>
      <c r="AE58" s="313">
        <f t="shared" si="50"/>
        <v>687.78922666666642</v>
      </c>
      <c r="AF58" s="313">
        <f t="shared" si="51"/>
        <v>9083.3139999999985</v>
      </c>
      <c r="AG58" s="313">
        <f t="shared" si="52"/>
        <v>1998.3290799999997</v>
      </c>
    </row>
    <row r="59" spans="2:33" ht="31.5" x14ac:dyDescent="0.25">
      <c r="B59" s="295">
        <v>506</v>
      </c>
      <c r="C59" s="304" t="str">
        <f>PROPER("LIDIA MARIA PEREITA PEDRO")</f>
        <v>Lidia Maria Pereita Pedro</v>
      </c>
      <c r="D59" s="304" t="s">
        <v>2701</v>
      </c>
      <c r="E59" s="304" t="s">
        <v>2739</v>
      </c>
      <c r="F59" s="304" t="s">
        <v>2650</v>
      </c>
      <c r="G59" s="304" t="s">
        <v>2910</v>
      </c>
      <c r="H59" s="305">
        <v>40</v>
      </c>
      <c r="I59" s="295">
        <v>40</v>
      </c>
      <c r="J59" s="295" t="s">
        <v>2638</v>
      </c>
      <c r="K59" s="295">
        <v>1</v>
      </c>
      <c r="L59" s="306">
        <v>37361</v>
      </c>
      <c r="M59" s="295">
        <v>2.76</v>
      </c>
      <c r="N59" s="307">
        <f>M59*AG10</f>
        <v>1765.4891999999998</v>
      </c>
      <c r="O59" s="333">
        <v>0.18</v>
      </c>
      <c r="P59" s="311">
        <f t="shared" si="47"/>
        <v>317.78805599999993</v>
      </c>
      <c r="Q59" s="311">
        <v>0</v>
      </c>
      <c r="R59" s="311">
        <v>0</v>
      </c>
      <c r="S59" s="312">
        <f>76.76/N59</f>
        <v>4.3478034303466723E-2</v>
      </c>
      <c r="T59" s="311">
        <f t="shared" si="48"/>
        <v>76.760000000000005</v>
      </c>
      <c r="U59" s="310">
        <f>(111.23/N59)*N59</f>
        <v>111.22999999999999</v>
      </c>
      <c r="V59" s="311">
        <f>(254.31/N59)*N59</f>
        <v>254.31</v>
      </c>
      <c r="W59" s="311">
        <v>0</v>
      </c>
      <c r="X59" s="311">
        <v>0</v>
      </c>
      <c r="Y59" s="311">
        <v>0</v>
      </c>
      <c r="Z59" s="311">
        <v>0</v>
      </c>
      <c r="AA59" s="311">
        <v>0</v>
      </c>
      <c r="AB59" s="311">
        <v>0</v>
      </c>
      <c r="AC59" s="311">
        <v>0</v>
      </c>
      <c r="AD59" s="313">
        <f t="shared" si="49"/>
        <v>625.57306666666659</v>
      </c>
      <c r="AE59" s="313">
        <f t="shared" si="50"/>
        <v>112.60315199999998</v>
      </c>
      <c r="AF59" s="313">
        <f t="shared" si="51"/>
        <v>1765.4891999999998</v>
      </c>
      <c r="AG59" s="313">
        <f t="shared" si="52"/>
        <v>317.78805599999993</v>
      </c>
    </row>
    <row r="60" spans="2:33" s="299" customFormat="1" ht="31.5" x14ac:dyDescent="0.25">
      <c r="B60" s="295">
        <v>530</v>
      </c>
      <c r="C60" s="304" t="s">
        <v>2707</v>
      </c>
      <c r="D60" s="304" t="s">
        <v>2705</v>
      </c>
      <c r="E60" s="304" t="s">
        <v>2739</v>
      </c>
      <c r="F60" s="304" t="s">
        <v>2650</v>
      </c>
      <c r="G60" s="304" t="s">
        <v>2910</v>
      </c>
      <c r="H60" s="305">
        <v>40</v>
      </c>
      <c r="I60" s="295">
        <v>24</v>
      </c>
      <c r="J60" s="295" t="s">
        <v>2638</v>
      </c>
      <c r="K60" s="295">
        <v>1</v>
      </c>
      <c r="L60" s="306">
        <v>37368</v>
      </c>
      <c r="M60" s="295">
        <v>13.2</v>
      </c>
      <c r="N60" s="307">
        <f>M60*AG10</f>
        <v>8443.6439999999984</v>
      </c>
      <c r="O60" s="333">
        <v>0.18</v>
      </c>
      <c r="P60" s="311">
        <f t="shared" si="47"/>
        <v>1519.8559199999997</v>
      </c>
      <c r="Q60" s="311">
        <v>0</v>
      </c>
      <c r="R60" s="311">
        <v>0</v>
      </c>
      <c r="S60" s="312">
        <f>51.18/N60</f>
        <v>6.0613640271901578E-3</v>
      </c>
      <c r="T60" s="311">
        <f t="shared" si="48"/>
        <v>51.18</v>
      </c>
      <c r="U60" s="310">
        <f>(394.04/N60)*N60</f>
        <v>394.04</v>
      </c>
      <c r="V60" s="311">
        <f t="shared" ref="V60:V67" si="59">(0/N60)*N60</f>
        <v>0</v>
      </c>
      <c r="W60" s="311">
        <v>0</v>
      </c>
      <c r="X60" s="311">
        <v>0</v>
      </c>
      <c r="Y60" s="311">
        <v>0</v>
      </c>
      <c r="Z60" s="311">
        <v>0</v>
      </c>
      <c r="AA60" s="311">
        <v>0</v>
      </c>
      <c r="AB60" s="311">
        <v>0</v>
      </c>
      <c r="AC60" s="311">
        <v>0</v>
      </c>
      <c r="AD60" s="313">
        <f t="shared" si="49"/>
        <v>2945.8946666666666</v>
      </c>
      <c r="AE60" s="313">
        <f t="shared" si="50"/>
        <v>530.26103999999998</v>
      </c>
      <c r="AF60" s="313">
        <f t="shared" si="51"/>
        <v>8443.6439999999984</v>
      </c>
      <c r="AG60" s="313">
        <f t="shared" si="52"/>
        <v>1519.8559199999997</v>
      </c>
    </row>
    <row r="61" spans="2:33" ht="31.5" x14ac:dyDescent="0.25">
      <c r="B61" s="295">
        <v>542</v>
      </c>
      <c r="C61" s="314" t="str">
        <f>PROPER("NEUZA DOMBORWSKI")</f>
        <v>Neuza Domborwski</v>
      </c>
      <c r="D61" s="304" t="s">
        <v>2643</v>
      </c>
      <c r="E61" s="304" t="s">
        <v>2739</v>
      </c>
      <c r="F61" s="304" t="s">
        <v>2650</v>
      </c>
      <c r="G61" s="304" t="s">
        <v>2910</v>
      </c>
      <c r="H61" s="305">
        <v>40</v>
      </c>
      <c r="I61" s="295">
        <v>44</v>
      </c>
      <c r="J61" s="295" t="s">
        <v>2648</v>
      </c>
      <c r="K61" s="295">
        <v>0</v>
      </c>
      <c r="L61" s="306">
        <v>37410</v>
      </c>
      <c r="M61" s="295">
        <v>2.11</v>
      </c>
      <c r="N61" s="307">
        <f>M61*AG10</f>
        <v>1349.7036999999998</v>
      </c>
      <c r="O61" s="333">
        <v>0.18</v>
      </c>
      <c r="P61" s="311">
        <f t="shared" si="47"/>
        <v>242.94666599999996</v>
      </c>
      <c r="Q61" s="311">
        <v>0</v>
      </c>
      <c r="R61" s="311">
        <v>0</v>
      </c>
      <c r="S61" s="312">
        <f>124.94/N61</f>
        <v>9.2568465212031367E-2</v>
      </c>
      <c r="T61" s="311">
        <f t="shared" si="48"/>
        <v>124.94</v>
      </c>
      <c r="U61" s="310">
        <f>(0/N61)*N61</f>
        <v>0</v>
      </c>
      <c r="V61" s="311">
        <f t="shared" si="59"/>
        <v>0</v>
      </c>
      <c r="W61" s="311">
        <v>0</v>
      </c>
      <c r="X61" s="311">
        <v>0</v>
      </c>
      <c r="Y61" s="311">
        <v>0</v>
      </c>
      <c r="Z61" s="311">
        <v>0</v>
      </c>
      <c r="AA61" s="311">
        <v>0</v>
      </c>
      <c r="AB61" s="311">
        <v>0</v>
      </c>
      <c r="AC61" s="311">
        <v>0</v>
      </c>
      <c r="AD61" s="313">
        <f t="shared" si="49"/>
        <v>449.90123333333327</v>
      </c>
      <c r="AE61" s="313">
        <f t="shared" si="50"/>
        <v>80.982221999999979</v>
      </c>
      <c r="AF61" s="313">
        <f t="shared" si="51"/>
        <v>1349.7036999999998</v>
      </c>
      <c r="AG61" s="313">
        <f t="shared" si="52"/>
        <v>242.94666599999996</v>
      </c>
    </row>
    <row r="62" spans="2:33" ht="31.5" x14ac:dyDescent="0.25">
      <c r="B62" s="295">
        <v>43</v>
      </c>
      <c r="C62" s="314" t="str">
        <f>PROPER("NILVA SAMPAIO UEBEL")</f>
        <v>Nilva Sampaio Uebel</v>
      </c>
      <c r="D62" s="304" t="s">
        <v>2652</v>
      </c>
      <c r="E62" s="304" t="s">
        <v>2739</v>
      </c>
      <c r="F62" s="304" t="s">
        <v>2650</v>
      </c>
      <c r="G62" s="304" t="s">
        <v>2910</v>
      </c>
      <c r="H62" s="305">
        <v>40</v>
      </c>
      <c r="I62" s="295">
        <v>0</v>
      </c>
      <c r="J62" s="295" t="s">
        <v>2648</v>
      </c>
      <c r="K62" s="295">
        <v>0</v>
      </c>
      <c r="L62" s="306">
        <v>35744</v>
      </c>
      <c r="M62" s="295">
        <v>2.13</v>
      </c>
      <c r="N62" s="307">
        <f>M62*AG10</f>
        <v>1362.4970999999998</v>
      </c>
      <c r="O62" s="333">
        <v>0.22</v>
      </c>
      <c r="P62" s="311">
        <f>N62*O62</f>
        <v>299.74936199999996</v>
      </c>
      <c r="Q62" s="311">
        <v>0</v>
      </c>
      <c r="R62" s="311">
        <v>0</v>
      </c>
      <c r="S62" s="312">
        <f>0/N62</f>
        <v>0</v>
      </c>
      <c r="T62" s="311">
        <f>N62*S62</f>
        <v>0</v>
      </c>
      <c r="U62" s="310">
        <f>(0/N62)*N62</f>
        <v>0</v>
      </c>
      <c r="V62" s="311">
        <v>0</v>
      </c>
      <c r="W62" s="311">
        <v>0</v>
      </c>
      <c r="X62" s="311">
        <v>0</v>
      </c>
      <c r="Y62" s="311">
        <v>0</v>
      </c>
      <c r="Z62" s="311">
        <v>0</v>
      </c>
      <c r="AA62" s="311">
        <v>0</v>
      </c>
      <c r="AB62" s="311">
        <v>0</v>
      </c>
      <c r="AC62" s="311">
        <v>0</v>
      </c>
      <c r="AD62" s="313">
        <f>(N62+Q62+U62)/3</f>
        <v>454.16569999999996</v>
      </c>
      <c r="AE62" s="313">
        <f>AD62*O62</f>
        <v>99.916453999999987</v>
      </c>
      <c r="AF62" s="313">
        <f>N62+Q62</f>
        <v>1362.4970999999998</v>
      </c>
      <c r="AG62" s="313">
        <f>AF62*O62</f>
        <v>299.74936199999996</v>
      </c>
    </row>
    <row r="63" spans="2:33" ht="31.5" x14ac:dyDescent="0.25">
      <c r="B63" s="295">
        <v>1556</v>
      </c>
      <c r="C63" s="304" t="str">
        <f>PROPER("PRISCILA MOURA SERRATE")</f>
        <v>Priscila Moura Serrate</v>
      </c>
      <c r="D63" s="304" t="s">
        <v>2703</v>
      </c>
      <c r="E63" s="304" t="s">
        <v>2739</v>
      </c>
      <c r="F63" s="304" t="s">
        <v>2650</v>
      </c>
      <c r="G63" s="304" t="s">
        <v>2910</v>
      </c>
      <c r="H63" s="305">
        <v>40</v>
      </c>
      <c r="I63" s="295">
        <v>40</v>
      </c>
      <c r="J63" s="295" t="s">
        <v>2634</v>
      </c>
      <c r="K63" s="295">
        <v>1</v>
      </c>
      <c r="L63" s="306">
        <v>40848</v>
      </c>
      <c r="M63" s="295">
        <v>3.15</v>
      </c>
      <c r="N63" s="307">
        <f>M63*AG10</f>
        <v>2014.9604999999999</v>
      </c>
      <c r="O63" s="333">
        <v>0.08</v>
      </c>
      <c r="P63" s="311">
        <f t="shared" si="47"/>
        <v>161.19684000000001</v>
      </c>
      <c r="Q63" s="311">
        <v>0</v>
      </c>
      <c r="R63" s="311">
        <v>0</v>
      </c>
      <c r="S63" s="312">
        <f>51.18/N63</f>
        <v>2.5400001637749227E-2</v>
      </c>
      <c r="T63" s="311">
        <f t="shared" si="48"/>
        <v>51.18</v>
      </c>
      <c r="U63" s="310">
        <f>(79.28/N63)*N63</f>
        <v>79.28</v>
      </c>
      <c r="V63" s="311">
        <f>(112.84/N63)*N63</f>
        <v>112.84</v>
      </c>
      <c r="W63" s="311">
        <v>0</v>
      </c>
      <c r="X63" s="311">
        <v>0</v>
      </c>
      <c r="Y63" s="311">
        <v>0</v>
      </c>
      <c r="Z63" s="311">
        <v>0</v>
      </c>
      <c r="AA63" s="311">
        <v>0</v>
      </c>
      <c r="AB63" s="311">
        <v>0</v>
      </c>
      <c r="AC63" s="311">
        <v>0</v>
      </c>
      <c r="AD63" s="313">
        <f t="shared" si="49"/>
        <v>698.08016666666663</v>
      </c>
      <c r="AE63" s="313">
        <f t="shared" si="50"/>
        <v>55.846413333333331</v>
      </c>
      <c r="AF63" s="313">
        <f t="shared" si="51"/>
        <v>2014.9604999999999</v>
      </c>
      <c r="AG63" s="313">
        <f t="shared" si="52"/>
        <v>161.19684000000001</v>
      </c>
    </row>
    <row r="64" spans="2:33" ht="31.5" x14ac:dyDescent="0.25">
      <c r="B64" s="295">
        <v>2072</v>
      </c>
      <c r="C64" s="304" t="str">
        <f>PROPER("RAYMUNDO LUIS DOS SANTOS WROTNY")</f>
        <v>Raymundo Luis Dos Santos Wrotny</v>
      </c>
      <c r="D64" s="304" t="s">
        <v>2703</v>
      </c>
      <c r="E64" s="304" t="s">
        <v>2739</v>
      </c>
      <c r="F64" s="304" t="s">
        <v>2650</v>
      </c>
      <c r="G64" s="304" t="s">
        <v>2910</v>
      </c>
      <c r="H64" s="305">
        <v>40</v>
      </c>
      <c r="I64" s="295">
        <v>40</v>
      </c>
      <c r="J64" s="295" t="s">
        <v>2636</v>
      </c>
      <c r="K64" s="295">
        <v>1</v>
      </c>
      <c r="L64" s="306">
        <v>42523</v>
      </c>
      <c r="M64" s="295">
        <v>3</v>
      </c>
      <c r="N64" s="307">
        <f>M64*AG10</f>
        <v>1919.0099999999998</v>
      </c>
      <c r="O64" s="333">
        <v>0.12</v>
      </c>
      <c r="P64" s="311">
        <f t="shared" si="47"/>
        <v>230.28119999999996</v>
      </c>
      <c r="Q64" s="311">
        <v>0</v>
      </c>
      <c r="R64" s="311">
        <v>0</v>
      </c>
      <c r="S64" s="312">
        <f>51.18/N64</f>
        <v>2.6670001719636689E-2</v>
      </c>
      <c r="T64" s="311">
        <f t="shared" si="48"/>
        <v>51.18</v>
      </c>
      <c r="U64" s="310">
        <f>(107.46/N64)*N64</f>
        <v>107.46</v>
      </c>
      <c r="V64" s="311">
        <f t="shared" si="59"/>
        <v>0</v>
      </c>
      <c r="W64" s="311">
        <v>0</v>
      </c>
      <c r="X64" s="311">
        <v>0</v>
      </c>
      <c r="Y64" s="311">
        <v>0</v>
      </c>
      <c r="Z64" s="311">
        <v>0</v>
      </c>
      <c r="AA64" s="311">
        <v>0</v>
      </c>
      <c r="AB64" s="311">
        <v>0</v>
      </c>
      <c r="AC64" s="311">
        <v>0</v>
      </c>
      <c r="AD64" s="313">
        <f t="shared" si="49"/>
        <v>675.4899999999999</v>
      </c>
      <c r="AE64" s="313">
        <f t="shared" si="50"/>
        <v>81.058799999999991</v>
      </c>
      <c r="AF64" s="313">
        <f t="shared" si="51"/>
        <v>1919.0099999999998</v>
      </c>
      <c r="AG64" s="313">
        <f t="shared" si="52"/>
        <v>230.28119999999996</v>
      </c>
    </row>
    <row r="65" spans="2:33" ht="31.5" x14ac:dyDescent="0.25">
      <c r="B65" s="295">
        <v>1063</v>
      </c>
      <c r="C65" s="304" t="str">
        <f>PROPER("RENATA LUCIENE LOPES HOFSTATER")</f>
        <v>Renata Luciene Lopes Hofstater</v>
      </c>
      <c r="D65" s="304" t="s">
        <v>2703</v>
      </c>
      <c r="E65" s="304" t="s">
        <v>2739</v>
      </c>
      <c r="F65" s="304" t="s">
        <v>2650</v>
      </c>
      <c r="G65" s="304" t="s">
        <v>2910</v>
      </c>
      <c r="H65" s="305">
        <v>40</v>
      </c>
      <c r="I65" s="295">
        <v>40</v>
      </c>
      <c r="J65" s="295" t="s">
        <v>2648</v>
      </c>
      <c r="K65" s="295">
        <v>1</v>
      </c>
      <c r="L65" s="306">
        <v>39247</v>
      </c>
      <c r="M65" s="295">
        <v>3.3</v>
      </c>
      <c r="N65" s="307">
        <f>M65*AG10</f>
        <v>2110.9109999999996</v>
      </c>
      <c r="O65" s="333">
        <v>0.13</v>
      </c>
      <c r="P65" s="311">
        <f t="shared" si="47"/>
        <v>274.41842999999994</v>
      </c>
      <c r="Q65" s="311">
        <v>0</v>
      </c>
      <c r="R65" s="311">
        <v>0</v>
      </c>
      <c r="S65" s="312">
        <f>51.18/N65</f>
        <v>2.4245456108760631E-2</v>
      </c>
      <c r="T65" s="311">
        <f t="shared" si="48"/>
        <v>51.18</v>
      </c>
      <c r="U65" s="310">
        <f>(0/N65)*N65</f>
        <v>0</v>
      </c>
      <c r="V65" s="311">
        <f t="shared" si="59"/>
        <v>0</v>
      </c>
      <c r="W65" s="311">
        <v>0</v>
      </c>
      <c r="X65" s="311">
        <v>0</v>
      </c>
      <c r="Y65" s="311">
        <v>0</v>
      </c>
      <c r="Z65" s="311">
        <v>0</v>
      </c>
      <c r="AA65" s="311">
        <v>0</v>
      </c>
      <c r="AB65" s="311">
        <v>0</v>
      </c>
      <c r="AC65" s="311">
        <v>0</v>
      </c>
      <c r="AD65" s="313">
        <f t="shared" si="49"/>
        <v>703.63699999999983</v>
      </c>
      <c r="AE65" s="313">
        <f t="shared" si="50"/>
        <v>91.472809999999981</v>
      </c>
      <c r="AF65" s="313">
        <f t="shared" si="51"/>
        <v>2110.9109999999996</v>
      </c>
      <c r="AG65" s="313">
        <f t="shared" si="52"/>
        <v>274.41842999999994</v>
      </c>
    </row>
    <row r="66" spans="2:33" s="299" customFormat="1" ht="31.5" x14ac:dyDescent="0.25">
      <c r="B66" s="295">
        <v>736</v>
      </c>
      <c r="C66" s="304" t="s">
        <v>2708</v>
      </c>
      <c r="D66" s="304" t="s">
        <v>2705</v>
      </c>
      <c r="E66" s="304" t="s">
        <v>2739</v>
      </c>
      <c r="F66" s="304" t="s">
        <v>2650</v>
      </c>
      <c r="G66" s="304" t="s">
        <v>2910</v>
      </c>
      <c r="H66" s="305">
        <v>40</v>
      </c>
      <c r="I66" s="295">
        <v>24</v>
      </c>
      <c r="J66" s="295" t="s">
        <v>2648</v>
      </c>
      <c r="K66" s="295">
        <v>1</v>
      </c>
      <c r="L66" s="306">
        <v>38111</v>
      </c>
      <c r="M66" s="295">
        <v>13.2</v>
      </c>
      <c r="N66" s="307">
        <f>M66*AG10</f>
        <v>8443.6439999999984</v>
      </c>
      <c r="O66" s="333">
        <v>0.16</v>
      </c>
      <c r="P66" s="311">
        <f t="shared" si="47"/>
        <v>1350.9830399999998</v>
      </c>
      <c r="Q66" s="311">
        <v>0</v>
      </c>
      <c r="R66" s="311">
        <v>0</v>
      </c>
      <c r="S66" s="312">
        <f>51.18/N66</f>
        <v>6.0613640271901578E-3</v>
      </c>
      <c r="T66" s="311">
        <f t="shared" si="48"/>
        <v>51.18</v>
      </c>
      <c r="U66" s="310">
        <f>(394.04/N66)*N66</f>
        <v>394.04</v>
      </c>
      <c r="V66" s="311">
        <f t="shared" si="59"/>
        <v>0</v>
      </c>
      <c r="W66" s="311">
        <v>0</v>
      </c>
      <c r="X66" s="311">
        <v>0</v>
      </c>
      <c r="Y66" s="311">
        <v>0</v>
      </c>
      <c r="Z66" s="311">
        <v>0</v>
      </c>
      <c r="AA66" s="311">
        <v>0</v>
      </c>
      <c r="AB66" s="311">
        <v>0</v>
      </c>
      <c r="AC66" s="311">
        <v>0</v>
      </c>
      <c r="AD66" s="313">
        <f t="shared" si="49"/>
        <v>2945.8946666666666</v>
      </c>
      <c r="AE66" s="313">
        <f t="shared" si="50"/>
        <v>471.34314666666666</v>
      </c>
      <c r="AF66" s="313">
        <f t="shared" si="51"/>
        <v>8443.6439999999984</v>
      </c>
      <c r="AG66" s="313">
        <f t="shared" si="52"/>
        <v>1350.9830399999998</v>
      </c>
    </row>
    <row r="67" spans="2:33" ht="31.5" x14ac:dyDescent="0.25">
      <c r="B67" s="295">
        <v>503</v>
      </c>
      <c r="C67" s="314" t="str">
        <f>PROPER("SYRLEY PEREIRA XAVIER")</f>
        <v>Syrley Pereira Xavier</v>
      </c>
      <c r="D67" s="304" t="s">
        <v>2643</v>
      </c>
      <c r="E67" s="304" t="s">
        <v>2739</v>
      </c>
      <c r="F67" s="304" t="s">
        <v>2650</v>
      </c>
      <c r="G67" s="304" t="s">
        <v>2910</v>
      </c>
      <c r="H67" s="305">
        <v>40</v>
      </c>
      <c r="I67" s="295">
        <v>44</v>
      </c>
      <c r="J67" s="295" t="s">
        <v>2638</v>
      </c>
      <c r="K67" s="295">
        <v>0</v>
      </c>
      <c r="L67" s="306">
        <v>37361</v>
      </c>
      <c r="M67" s="295">
        <v>2.2000000000000002</v>
      </c>
      <c r="N67" s="307">
        <f>M67*AG10</f>
        <v>1407.2740000000001</v>
      </c>
      <c r="O67" s="333">
        <v>0.18</v>
      </c>
      <c r="P67" s="311">
        <f t="shared" si="47"/>
        <v>253.30932000000001</v>
      </c>
      <c r="Q67" s="311">
        <v>0</v>
      </c>
      <c r="R67" s="311">
        <v>0</v>
      </c>
      <c r="S67" s="312">
        <f>127.94/N67</f>
        <v>9.0913354471126445E-2</v>
      </c>
      <c r="T67" s="311">
        <f t="shared" si="48"/>
        <v>127.94000000000001</v>
      </c>
      <c r="U67" s="310">
        <f>(0/N67)*N67</f>
        <v>0</v>
      </c>
      <c r="V67" s="311">
        <f t="shared" si="59"/>
        <v>0</v>
      </c>
      <c r="W67" s="311">
        <v>0</v>
      </c>
      <c r="X67" s="311">
        <v>0</v>
      </c>
      <c r="Y67" s="311">
        <v>0</v>
      </c>
      <c r="Z67" s="311">
        <v>0</v>
      </c>
      <c r="AA67" s="311">
        <v>0</v>
      </c>
      <c r="AB67" s="311">
        <v>0</v>
      </c>
      <c r="AC67" s="311">
        <v>0</v>
      </c>
      <c r="AD67" s="313">
        <f t="shared" si="49"/>
        <v>469.09133333333335</v>
      </c>
      <c r="AE67" s="313">
        <f t="shared" si="50"/>
        <v>84.436440000000005</v>
      </c>
      <c r="AF67" s="313">
        <f t="shared" si="51"/>
        <v>1407.2740000000001</v>
      </c>
      <c r="AG67" s="313">
        <f t="shared" si="52"/>
        <v>253.30932000000001</v>
      </c>
    </row>
    <row r="68" spans="2:33" ht="31.5" x14ac:dyDescent="0.25">
      <c r="B68" s="295">
        <v>0</v>
      </c>
      <c r="C68" s="304" t="s">
        <v>2730</v>
      </c>
      <c r="D68" s="304" t="s">
        <v>2715</v>
      </c>
      <c r="E68" s="304" t="s">
        <v>2739</v>
      </c>
      <c r="F68" s="304" t="s">
        <v>2650</v>
      </c>
      <c r="G68" s="304" t="s">
        <v>2910</v>
      </c>
      <c r="H68" s="305">
        <v>40</v>
      </c>
      <c r="I68" s="295">
        <v>20</v>
      </c>
      <c r="J68" s="295" t="s">
        <v>2636</v>
      </c>
      <c r="K68" s="295">
        <v>1</v>
      </c>
      <c r="L68" s="306">
        <v>0</v>
      </c>
      <c r="M68" s="295">
        <v>6</v>
      </c>
      <c r="N68" s="307">
        <f>M68*AG10</f>
        <v>3838.0199999999995</v>
      </c>
      <c r="O68" s="333">
        <v>0</v>
      </c>
      <c r="P68" s="311">
        <f t="shared" si="47"/>
        <v>0</v>
      </c>
      <c r="Q68" s="311">
        <v>0</v>
      </c>
      <c r="R68" s="311">
        <v>0</v>
      </c>
      <c r="S68" s="312">
        <f>0/N68</f>
        <v>0</v>
      </c>
      <c r="T68" s="311">
        <f t="shared" si="48"/>
        <v>0</v>
      </c>
      <c r="U68" s="310">
        <f>(0/N68)*N68</f>
        <v>0</v>
      </c>
      <c r="V68" s="311">
        <v>0</v>
      </c>
      <c r="W68" s="311">
        <v>0</v>
      </c>
      <c r="X68" s="311">
        <v>0</v>
      </c>
      <c r="Y68" s="311">
        <v>0</v>
      </c>
      <c r="Z68" s="311">
        <v>0</v>
      </c>
      <c r="AA68" s="311">
        <v>0</v>
      </c>
      <c r="AB68" s="311">
        <v>0</v>
      </c>
      <c r="AC68" s="311">
        <v>0</v>
      </c>
      <c r="AD68" s="313">
        <f>(N68+Q68+R68)/3</f>
        <v>1279.3399999999999</v>
      </c>
      <c r="AE68" s="313">
        <f t="shared" si="50"/>
        <v>0</v>
      </c>
      <c r="AF68" s="313">
        <f>N68</f>
        <v>3838.0199999999995</v>
      </c>
      <c r="AG68" s="313">
        <f t="shared" si="52"/>
        <v>0</v>
      </c>
    </row>
    <row r="69" spans="2:33" ht="31.5" x14ac:dyDescent="0.25">
      <c r="B69" s="295">
        <v>0</v>
      </c>
      <c r="C69" s="304" t="s">
        <v>2730</v>
      </c>
      <c r="D69" s="304" t="s">
        <v>2716</v>
      </c>
      <c r="E69" s="304" t="s">
        <v>2739</v>
      </c>
      <c r="F69" s="304" t="s">
        <v>2650</v>
      </c>
      <c r="G69" s="304" t="s">
        <v>2910</v>
      </c>
      <c r="H69" s="305">
        <v>40</v>
      </c>
      <c r="I69" s="295">
        <v>20</v>
      </c>
      <c r="J69" s="295" t="s">
        <v>2636</v>
      </c>
      <c r="K69" s="295">
        <v>1</v>
      </c>
      <c r="L69" s="306">
        <v>0</v>
      </c>
      <c r="M69" s="295">
        <v>6</v>
      </c>
      <c r="N69" s="307">
        <f>M69*AG10</f>
        <v>3838.0199999999995</v>
      </c>
      <c r="O69" s="333">
        <v>0</v>
      </c>
      <c r="P69" s="311">
        <f t="shared" si="47"/>
        <v>0</v>
      </c>
      <c r="Q69" s="311">
        <v>0</v>
      </c>
      <c r="R69" s="311">
        <v>0</v>
      </c>
      <c r="S69" s="312">
        <f>0/N69</f>
        <v>0</v>
      </c>
      <c r="T69" s="311">
        <f t="shared" si="48"/>
        <v>0</v>
      </c>
      <c r="U69" s="310">
        <f>(0/N69)*N69</f>
        <v>0</v>
      </c>
      <c r="V69" s="311">
        <v>0</v>
      </c>
      <c r="W69" s="311">
        <v>0</v>
      </c>
      <c r="X69" s="311">
        <v>0</v>
      </c>
      <c r="Y69" s="311">
        <v>0</v>
      </c>
      <c r="Z69" s="311">
        <v>0</v>
      </c>
      <c r="AA69" s="311">
        <v>0</v>
      </c>
      <c r="AB69" s="311">
        <v>0</v>
      </c>
      <c r="AC69" s="311">
        <v>0</v>
      </c>
      <c r="AD69" s="313">
        <f>(N69+Q69+R69)/3</f>
        <v>1279.3399999999999</v>
      </c>
      <c r="AE69" s="313">
        <f t="shared" si="50"/>
        <v>0</v>
      </c>
      <c r="AF69" s="313">
        <f>N69</f>
        <v>3838.0199999999995</v>
      </c>
      <c r="AG69" s="313">
        <f t="shared" si="52"/>
        <v>0</v>
      </c>
    </row>
    <row r="70" spans="2:33" ht="31.5" x14ac:dyDescent="0.25">
      <c r="B70" s="295">
        <v>0</v>
      </c>
      <c r="C70" s="304" t="s">
        <v>2730</v>
      </c>
      <c r="D70" s="304" t="s">
        <v>2915</v>
      </c>
      <c r="E70" s="304" t="s">
        <v>2739</v>
      </c>
      <c r="F70" s="304" t="s">
        <v>2650</v>
      </c>
      <c r="G70" s="304" t="s">
        <v>2910</v>
      </c>
      <c r="H70" s="305">
        <v>40</v>
      </c>
      <c r="I70" s="295">
        <v>20</v>
      </c>
      <c r="J70" s="295" t="s">
        <v>2636</v>
      </c>
      <c r="K70" s="295">
        <v>1</v>
      </c>
      <c r="L70" s="306">
        <v>0</v>
      </c>
      <c r="M70" s="295">
        <v>3</v>
      </c>
      <c r="N70" s="307">
        <f>M70*AG10</f>
        <v>1919.0099999999998</v>
      </c>
      <c r="O70" s="333">
        <v>0</v>
      </c>
      <c r="P70" s="311">
        <f t="shared" si="47"/>
        <v>0</v>
      </c>
      <c r="Q70" s="311">
        <v>0</v>
      </c>
      <c r="R70" s="311">
        <v>0</v>
      </c>
      <c r="S70" s="312">
        <f>0/N70</f>
        <v>0</v>
      </c>
      <c r="T70" s="311">
        <f t="shared" si="48"/>
        <v>0</v>
      </c>
      <c r="U70" s="310">
        <f>(0/N70)*N70</f>
        <v>0</v>
      </c>
      <c r="V70" s="311">
        <v>0</v>
      </c>
      <c r="W70" s="311">
        <v>0</v>
      </c>
      <c r="X70" s="311">
        <v>0</v>
      </c>
      <c r="Y70" s="311">
        <v>0</v>
      </c>
      <c r="Z70" s="311">
        <v>0</v>
      </c>
      <c r="AA70" s="311">
        <v>0</v>
      </c>
      <c r="AB70" s="311">
        <v>0</v>
      </c>
      <c r="AC70" s="311">
        <v>0</v>
      </c>
      <c r="AD70" s="313">
        <f>(N70+Q70+R70)/3</f>
        <v>639.66999999999996</v>
      </c>
      <c r="AE70" s="313">
        <f t="shared" si="50"/>
        <v>0</v>
      </c>
      <c r="AF70" s="313">
        <f>N70</f>
        <v>1919.0099999999998</v>
      </c>
      <c r="AG70" s="313">
        <f t="shared" si="52"/>
        <v>0</v>
      </c>
    </row>
    <row r="71" spans="2:33" s="299" customFormat="1" ht="31.5" x14ac:dyDescent="0.25">
      <c r="B71" s="295">
        <v>1677</v>
      </c>
      <c r="C71" s="304" t="s">
        <v>2712</v>
      </c>
      <c r="D71" s="304" t="s">
        <v>2710</v>
      </c>
      <c r="E71" s="304" t="s">
        <v>2739</v>
      </c>
      <c r="F71" s="304" t="s">
        <v>2650</v>
      </c>
      <c r="G71" s="304" t="s">
        <v>2910</v>
      </c>
      <c r="H71" s="305">
        <v>40</v>
      </c>
      <c r="I71" s="295">
        <v>40</v>
      </c>
      <c r="J71" s="295" t="s">
        <v>2634</v>
      </c>
      <c r="K71" s="295">
        <v>1</v>
      </c>
      <c r="L71" s="306">
        <v>41306</v>
      </c>
      <c r="M71" s="295">
        <v>6.82</v>
      </c>
      <c r="N71" s="307">
        <f>M71*AG10</f>
        <v>4362.5493999999999</v>
      </c>
      <c r="O71" s="333">
        <v>7.0000000000000007E-2</v>
      </c>
      <c r="P71" s="311">
        <f t="shared" si="47"/>
        <v>305.37845800000002</v>
      </c>
      <c r="Q71" s="311">
        <v>0</v>
      </c>
      <c r="R71" s="311">
        <v>0</v>
      </c>
      <c r="S71" s="312">
        <f>0/N71</f>
        <v>0</v>
      </c>
      <c r="T71" s="311">
        <f t="shared" si="48"/>
        <v>0</v>
      </c>
      <c r="U71" s="310">
        <f>(213.76/N71)*N71</f>
        <v>213.76</v>
      </c>
      <c r="V71" s="311">
        <f>(0/N71)*N71</f>
        <v>0</v>
      </c>
      <c r="W71" s="311">
        <v>0</v>
      </c>
      <c r="X71" s="311">
        <v>0</v>
      </c>
      <c r="Y71" s="311">
        <v>0</v>
      </c>
      <c r="Z71" s="311">
        <v>0</v>
      </c>
      <c r="AA71" s="311">
        <v>0</v>
      </c>
      <c r="AB71" s="311">
        <v>0</v>
      </c>
      <c r="AC71" s="311">
        <v>0</v>
      </c>
      <c r="AD71" s="313">
        <f>(N71+Q71+U71)/3</f>
        <v>1525.4364666666668</v>
      </c>
      <c r="AE71" s="313">
        <f t="shared" si="50"/>
        <v>106.78055266666668</v>
      </c>
      <c r="AF71" s="313">
        <f>N71+Q71</f>
        <v>4362.5493999999999</v>
      </c>
      <c r="AG71" s="313">
        <f t="shared" si="52"/>
        <v>305.37845800000002</v>
      </c>
    </row>
    <row r="72" spans="2:33" s="1228" customFormat="1" x14ac:dyDescent="0.25">
      <c r="B72" s="1224" t="s">
        <v>7240</v>
      </c>
      <c r="C72" s="1251"/>
      <c r="D72" s="1251"/>
      <c r="E72" s="1251"/>
      <c r="F72" s="1251"/>
      <c r="G72" s="1251"/>
      <c r="H72" s="1251"/>
      <c r="I72" s="1251"/>
      <c r="J72" s="1251"/>
      <c r="K72" s="1251"/>
      <c r="L72" s="1251"/>
      <c r="M72" s="1251"/>
      <c r="N72" s="1258">
        <f>SUM(N46:N71)</f>
        <v>90938.990700000009</v>
      </c>
      <c r="O72" s="1259"/>
      <c r="P72" s="1258">
        <f>SUM(P46:P71)</f>
        <v>13023.833325999998</v>
      </c>
      <c r="Q72" s="1258">
        <f>SUM(Q46:Q71)</f>
        <v>1279.3399999999999</v>
      </c>
      <c r="R72" s="1258">
        <f>SUM(R46:R71)</f>
        <v>0</v>
      </c>
      <c r="S72" s="1260"/>
      <c r="T72" s="1258">
        <f t="shared" ref="T72:AG72" si="60">SUM(T46:T71)</f>
        <v>1116.0799999999997</v>
      </c>
      <c r="U72" s="1376">
        <f t="shared" si="60"/>
        <v>2990.54</v>
      </c>
      <c r="V72" s="1258">
        <f t="shared" si="60"/>
        <v>987.96000000000015</v>
      </c>
      <c r="W72" s="1258">
        <f t="shared" si="60"/>
        <v>0</v>
      </c>
      <c r="X72" s="1258">
        <f t="shared" si="60"/>
        <v>0</v>
      </c>
      <c r="Y72" s="1258">
        <f t="shared" si="60"/>
        <v>0</v>
      </c>
      <c r="Z72" s="1258">
        <f t="shared" si="60"/>
        <v>0</v>
      </c>
      <c r="AA72" s="1258">
        <f t="shared" si="60"/>
        <v>0</v>
      </c>
      <c r="AB72" s="1258">
        <f t="shared" si="60"/>
        <v>0</v>
      </c>
      <c r="AC72" s="1258">
        <f t="shared" si="60"/>
        <v>0</v>
      </c>
      <c r="AD72" s="1258">
        <f t="shared" si="60"/>
        <v>31736.290233333337</v>
      </c>
      <c r="AE72" s="1258">
        <f t="shared" si="60"/>
        <v>4583.1365086666674</v>
      </c>
      <c r="AF72" s="1258">
        <f t="shared" si="60"/>
        <v>92218.330699999991</v>
      </c>
      <c r="AG72" s="1258">
        <f t="shared" si="60"/>
        <v>13260.511225999997</v>
      </c>
    </row>
    <row r="73" spans="2:33" ht="15.75" x14ac:dyDescent="0.25">
      <c r="B73" s="295"/>
      <c r="C73" s="314"/>
      <c r="D73" s="304"/>
      <c r="E73" s="304"/>
      <c r="F73" s="304"/>
      <c r="G73" s="304"/>
      <c r="H73" s="305"/>
      <c r="I73" s="295"/>
      <c r="J73" s="295"/>
      <c r="K73" s="295"/>
      <c r="L73" s="306"/>
      <c r="M73" s="295"/>
      <c r="N73" s="307"/>
      <c r="O73" s="333"/>
      <c r="P73" s="311"/>
      <c r="Q73" s="311"/>
      <c r="R73" s="311"/>
      <c r="S73" s="312"/>
      <c r="T73" s="311"/>
      <c r="U73" s="310"/>
      <c r="V73" s="311"/>
      <c r="W73" s="311"/>
      <c r="X73" s="311"/>
      <c r="Y73" s="311"/>
      <c r="Z73" s="311"/>
      <c r="AA73" s="311"/>
      <c r="AB73" s="311"/>
      <c r="AC73" s="311"/>
      <c r="AD73" s="313"/>
      <c r="AE73" s="313"/>
      <c r="AF73" s="313"/>
      <c r="AG73" s="313"/>
    </row>
    <row r="74" spans="2:33" ht="15.75" x14ac:dyDescent="0.25">
      <c r="B74" s="295">
        <v>2205</v>
      </c>
      <c r="C74" s="304" t="str">
        <f>PROPER("PATRICIA DOS SANTOS MATHUCHESKI")</f>
        <v>Patricia Dos Santos Mathucheski</v>
      </c>
      <c r="D74" s="304" t="s">
        <v>2714</v>
      </c>
      <c r="E74" s="304" t="s">
        <v>2905</v>
      </c>
      <c r="F74" s="304" t="s">
        <v>2650</v>
      </c>
      <c r="G74" s="304" t="s">
        <v>2914</v>
      </c>
      <c r="H74" s="305">
        <v>40</v>
      </c>
      <c r="I74" s="295">
        <v>20</v>
      </c>
      <c r="J74" s="295" t="s">
        <v>2636</v>
      </c>
      <c r="K74" s="295">
        <v>0</v>
      </c>
      <c r="L74" s="306">
        <v>43399</v>
      </c>
      <c r="M74" s="295">
        <v>4</v>
      </c>
      <c r="N74" s="307">
        <f>M74*AG10</f>
        <v>2558.6799999999998</v>
      </c>
      <c r="O74" s="333">
        <v>0</v>
      </c>
      <c r="P74" s="311">
        <f>N74*O74</f>
        <v>0</v>
      </c>
      <c r="Q74" s="311">
        <v>0</v>
      </c>
      <c r="R74" s="311">
        <v>0</v>
      </c>
      <c r="S74" s="312">
        <f>0/N74</f>
        <v>0</v>
      </c>
      <c r="T74" s="311">
        <f>N74*S74</f>
        <v>0</v>
      </c>
      <c r="U74" s="310">
        <f>(0/N74)*N74</f>
        <v>0</v>
      </c>
      <c r="V74" s="311">
        <v>0</v>
      </c>
      <c r="W74" s="311">
        <v>0</v>
      </c>
      <c r="X74" s="311">
        <v>0</v>
      </c>
      <c r="Y74" s="311">
        <v>0</v>
      </c>
      <c r="Z74" s="311">
        <v>0</v>
      </c>
      <c r="AA74" s="311">
        <v>0</v>
      </c>
      <c r="AB74" s="311">
        <v>0</v>
      </c>
      <c r="AC74" s="311">
        <v>0</v>
      </c>
      <c r="AD74" s="313">
        <f>(N74+Q74+R74)/3</f>
        <v>852.89333333333332</v>
      </c>
      <c r="AE74" s="313">
        <f>AD74*O74</f>
        <v>0</v>
      </c>
      <c r="AF74" s="313">
        <f>N74</f>
        <v>2558.6799999999998</v>
      </c>
      <c r="AG74" s="313">
        <f>AF74*O74</f>
        <v>0</v>
      </c>
    </row>
    <row r="75" spans="2:33" s="299" customFormat="1" ht="15.75" x14ac:dyDescent="0.25">
      <c r="B75" s="295">
        <v>2207</v>
      </c>
      <c r="C75" s="304" t="str">
        <f>PROPER("PATRICIA DOS SANTOS MATHUCHESKI")</f>
        <v>Patricia Dos Santos Mathucheski</v>
      </c>
      <c r="D75" s="304" t="s">
        <v>2714</v>
      </c>
      <c r="E75" s="304" t="s">
        <v>2905</v>
      </c>
      <c r="F75" s="304" t="s">
        <v>2650</v>
      </c>
      <c r="G75" s="304" t="s">
        <v>2914</v>
      </c>
      <c r="H75" s="305">
        <v>40</v>
      </c>
      <c r="I75" s="295">
        <v>20</v>
      </c>
      <c r="J75" s="295" t="s">
        <v>2636</v>
      </c>
      <c r="K75" s="295">
        <v>0</v>
      </c>
      <c r="L75" s="306">
        <v>43438</v>
      </c>
      <c r="M75" s="295">
        <v>4</v>
      </c>
      <c r="N75" s="307">
        <f>M75*AG10</f>
        <v>2558.6799999999998</v>
      </c>
      <c r="O75" s="333">
        <v>0</v>
      </c>
      <c r="P75" s="311">
        <f>N75*O75</f>
        <v>0</v>
      </c>
      <c r="Q75" s="311">
        <v>0</v>
      </c>
      <c r="R75" s="311">
        <v>0</v>
      </c>
      <c r="S75" s="312">
        <f>0/N75</f>
        <v>0</v>
      </c>
      <c r="T75" s="311">
        <f>N75*S75</f>
        <v>0</v>
      </c>
      <c r="U75" s="310">
        <f>(0/N75)*N75</f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3">
        <f>(N75+Q75+R75)/3</f>
        <v>852.89333333333332</v>
      </c>
      <c r="AE75" s="313">
        <f>AD75*O75</f>
        <v>0</v>
      </c>
      <c r="AF75" s="313">
        <f>N75</f>
        <v>2558.6799999999998</v>
      </c>
      <c r="AG75" s="313">
        <f>AF75*O75</f>
        <v>0</v>
      </c>
    </row>
    <row r="76" spans="2:33" s="1229" customFormat="1" x14ac:dyDescent="0.25">
      <c r="B76" s="1224" t="s">
        <v>7242</v>
      </c>
      <c r="C76" s="1224"/>
      <c r="D76" s="1224"/>
      <c r="E76" s="1224"/>
      <c r="F76" s="1224"/>
      <c r="G76" s="1224"/>
      <c r="H76" s="1224"/>
      <c r="I76" s="1224"/>
      <c r="J76" s="1224"/>
      <c r="K76" s="1224"/>
      <c r="L76" s="1224"/>
      <c r="M76" s="1224"/>
      <c r="N76" s="1225">
        <f>SUM(N74:N75)</f>
        <v>5117.3599999999997</v>
      </c>
      <c r="O76" s="1226"/>
      <c r="P76" s="1225">
        <f t="shared" ref="P76:R76" si="61">SUM(P74:P75)</f>
        <v>0</v>
      </c>
      <c r="Q76" s="1225">
        <f t="shared" si="61"/>
        <v>0</v>
      </c>
      <c r="R76" s="1225">
        <f t="shared" si="61"/>
        <v>0</v>
      </c>
      <c r="S76" s="1227"/>
      <c r="T76" s="1225">
        <f t="shared" ref="T76:AG76" si="62">SUM(T74:T75)</f>
        <v>0</v>
      </c>
      <c r="U76" s="1189">
        <f t="shared" si="62"/>
        <v>0</v>
      </c>
      <c r="V76" s="1225">
        <f t="shared" si="62"/>
        <v>0</v>
      </c>
      <c r="W76" s="1225">
        <f t="shared" si="62"/>
        <v>0</v>
      </c>
      <c r="X76" s="1225">
        <f t="shared" si="62"/>
        <v>0</v>
      </c>
      <c r="Y76" s="1225">
        <f t="shared" si="62"/>
        <v>0</v>
      </c>
      <c r="Z76" s="1225">
        <f t="shared" si="62"/>
        <v>0</v>
      </c>
      <c r="AA76" s="1225">
        <f t="shared" si="62"/>
        <v>0</v>
      </c>
      <c r="AB76" s="1225">
        <f t="shared" si="62"/>
        <v>0</v>
      </c>
      <c r="AC76" s="1225">
        <f t="shared" si="62"/>
        <v>0</v>
      </c>
      <c r="AD76" s="1225">
        <f t="shared" si="62"/>
        <v>1705.7866666666666</v>
      </c>
      <c r="AE76" s="1225">
        <f t="shared" si="62"/>
        <v>0</v>
      </c>
      <c r="AF76" s="1225">
        <f t="shared" si="62"/>
        <v>5117.3599999999997</v>
      </c>
      <c r="AG76" s="1225">
        <f t="shared" si="62"/>
        <v>0</v>
      </c>
    </row>
    <row r="77" spans="2:33" ht="15.75" x14ac:dyDescent="0.25">
      <c r="B77" s="295"/>
      <c r="C77" s="314"/>
      <c r="D77" s="304"/>
      <c r="E77" s="304"/>
      <c r="F77" s="304"/>
      <c r="G77" s="304"/>
      <c r="H77" s="305"/>
      <c r="I77" s="295"/>
      <c r="J77" s="295"/>
      <c r="K77" s="295"/>
      <c r="L77" s="306"/>
      <c r="M77" s="295"/>
      <c r="N77" s="307"/>
      <c r="O77" s="333"/>
      <c r="P77" s="311"/>
      <c r="Q77" s="311"/>
      <c r="R77" s="311"/>
      <c r="S77" s="312"/>
      <c r="T77" s="311"/>
      <c r="U77" s="310"/>
      <c r="V77" s="311"/>
      <c r="W77" s="311"/>
      <c r="X77" s="311"/>
      <c r="Y77" s="311"/>
      <c r="Z77" s="311"/>
      <c r="AA77" s="311"/>
      <c r="AB77" s="311"/>
      <c r="AC77" s="311"/>
      <c r="AD77" s="313"/>
      <c r="AE77" s="313"/>
      <c r="AF77" s="313"/>
      <c r="AG77" s="313"/>
    </row>
    <row r="78" spans="2:33" ht="15.75" x14ac:dyDescent="0.25">
      <c r="B78" s="295">
        <v>512</v>
      </c>
      <c r="C78" s="304" t="s">
        <v>2717</v>
      </c>
      <c r="D78" s="304" t="s">
        <v>2718</v>
      </c>
      <c r="E78" s="304" t="s">
        <v>2739</v>
      </c>
      <c r="F78" s="304" t="s">
        <v>2650</v>
      </c>
      <c r="G78" s="304" t="s">
        <v>2916</v>
      </c>
      <c r="H78" s="305">
        <v>40</v>
      </c>
      <c r="I78" s="295">
        <v>40</v>
      </c>
      <c r="J78" s="295" t="s">
        <v>2638</v>
      </c>
      <c r="K78" s="295">
        <v>1</v>
      </c>
      <c r="L78" s="306">
        <v>37363</v>
      </c>
      <c r="M78" s="295">
        <v>9.1999999999999993</v>
      </c>
      <c r="N78" s="307">
        <f>M78*AG10</f>
        <v>5884.963999999999</v>
      </c>
      <c r="O78" s="333">
        <v>0.18</v>
      </c>
      <c r="P78" s="311">
        <f>N78*O78</f>
        <v>1059.2935199999997</v>
      </c>
      <c r="Q78" s="311">
        <v>0</v>
      </c>
      <c r="R78" s="311">
        <v>0</v>
      </c>
      <c r="S78" s="312">
        <f>51.18/N78</f>
        <v>8.6967396911858778E-3</v>
      </c>
      <c r="T78" s="311">
        <f>N78*S78</f>
        <v>51.18</v>
      </c>
      <c r="U78" s="310">
        <f>(0/N78)*N78</f>
        <v>0</v>
      </c>
      <c r="V78" s="311">
        <v>0</v>
      </c>
      <c r="W78" s="311">
        <v>0</v>
      </c>
      <c r="X78" s="311">
        <v>0</v>
      </c>
      <c r="Y78" s="311">
        <v>0</v>
      </c>
      <c r="Z78" s="311">
        <v>0</v>
      </c>
      <c r="AA78" s="311">
        <v>0</v>
      </c>
      <c r="AB78" s="311">
        <v>0</v>
      </c>
      <c r="AC78" s="311">
        <v>0</v>
      </c>
      <c r="AD78" s="313">
        <f>(N78+Q78+R78)/3</f>
        <v>1961.6546666666663</v>
      </c>
      <c r="AE78" s="313">
        <f>AD78*O78</f>
        <v>353.09783999999991</v>
      </c>
      <c r="AF78" s="313">
        <f>N78</f>
        <v>5884.963999999999</v>
      </c>
      <c r="AG78" s="313">
        <f>AF78*O78</f>
        <v>1059.2935199999997</v>
      </c>
    </row>
    <row r="79" spans="2:33" s="299" customFormat="1" ht="15.75" x14ac:dyDescent="0.25">
      <c r="B79" s="295">
        <v>108</v>
      </c>
      <c r="C79" s="304" t="str">
        <f>PROPER("LILIAN DA PORCINCULA PACHECO")</f>
        <v>Lilian Da Porcincula Pacheco</v>
      </c>
      <c r="D79" s="304" t="s">
        <v>2718</v>
      </c>
      <c r="E79" s="304" t="s">
        <v>2739</v>
      </c>
      <c r="F79" s="304" t="s">
        <v>2650</v>
      </c>
      <c r="G79" s="304" t="s">
        <v>2916</v>
      </c>
      <c r="H79" s="305">
        <v>40</v>
      </c>
      <c r="I79" s="295">
        <v>40</v>
      </c>
      <c r="J79" s="295" t="s">
        <v>2638</v>
      </c>
      <c r="K79" s="295">
        <v>1</v>
      </c>
      <c r="L79" s="306">
        <v>35807</v>
      </c>
      <c r="M79" s="295">
        <v>9.1999999999999993</v>
      </c>
      <c r="N79" s="307">
        <f>M79*AG10</f>
        <v>5884.963999999999</v>
      </c>
      <c r="O79" s="333">
        <v>0.22</v>
      </c>
      <c r="P79" s="311">
        <f>N79*O79</f>
        <v>1294.6920799999998</v>
      </c>
      <c r="Q79" s="311">
        <v>0</v>
      </c>
      <c r="R79" s="311">
        <v>0</v>
      </c>
      <c r="S79" s="312">
        <f>51.18/N79</f>
        <v>8.6967396911858778E-3</v>
      </c>
      <c r="T79" s="311">
        <f>N79*S79</f>
        <v>51.18</v>
      </c>
      <c r="U79" s="310">
        <f>(0/N79)*N79</f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</v>
      </c>
      <c r="AA79" s="311">
        <v>0</v>
      </c>
      <c r="AB79" s="311">
        <v>0</v>
      </c>
      <c r="AC79" s="311">
        <v>0</v>
      </c>
      <c r="AD79" s="313">
        <f>(N79+Q79+R79)/3</f>
        <v>1961.6546666666663</v>
      </c>
      <c r="AE79" s="313">
        <f>AD79*O79</f>
        <v>431.56402666666662</v>
      </c>
      <c r="AF79" s="313">
        <f>N79</f>
        <v>5884.963999999999</v>
      </c>
      <c r="AG79" s="313">
        <f>AF79*O79</f>
        <v>1294.6920799999998</v>
      </c>
    </row>
    <row r="80" spans="2:33" s="1228" customFormat="1" x14ac:dyDescent="0.25">
      <c r="B80" s="1224" t="s">
        <v>7243</v>
      </c>
      <c r="C80" s="1251"/>
      <c r="D80" s="1251"/>
      <c r="E80" s="1251"/>
      <c r="F80" s="1251"/>
      <c r="G80" s="1251"/>
      <c r="H80" s="1251"/>
      <c r="I80" s="1251"/>
      <c r="J80" s="1251"/>
      <c r="K80" s="1251"/>
      <c r="L80" s="1251"/>
      <c r="M80" s="1251"/>
      <c r="N80" s="1258">
        <f>SUM(N78:N79)</f>
        <v>11769.927999999998</v>
      </c>
      <c r="O80" s="1259"/>
      <c r="P80" s="1258">
        <f t="shared" ref="P80" si="63">SUM(P78:P79)</f>
        <v>2353.9855999999995</v>
      </c>
      <c r="Q80" s="1258">
        <f t="shared" ref="Q80" si="64">SUM(Q78:Q79)</f>
        <v>0</v>
      </c>
      <c r="R80" s="1258">
        <f t="shared" ref="R80" si="65">SUM(R78:R79)</f>
        <v>0</v>
      </c>
      <c r="S80" s="1260"/>
      <c r="T80" s="1258">
        <f t="shared" ref="T80" si="66">SUM(T78:T79)</f>
        <v>102.36</v>
      </c>
      <c r="U80" s="1376">
        <f t="shared" ref="U80" si="67">SUM(U78:U79)</f>
        <v>0</v>
      </c>
      <c r="V80" s="1258">
        <f t="shared" ref="V80" si="68">SUM(V78:V79)</f>
        <v>0</v>
      </c>
      <c r="W80" s="1258">
        <f t="shared" ref="W80" si="69">SUM(W78:W79)</f>
        <v>0</v>
      </c>
      <c r="X80" s="1258">
        <f t="shared" ref="X80" si="70">SUM(X78:X79)</f>
        <v>0</v>
      </c>
      <c r="Y80" s="1258">
        <f t="shared" ref="Y80" si="71">SUM(Y78:Y79)</f>
        <v>0</v>
      </c>
      <c r="Z80" s="1258">
        <f t="shared" ref="Z80" si="72">SUM(Z78:Z79)</f>
        <v>0</v>
      </c>
      <c r="AA80" s="1258">
        <f t="shared" ref="AA80" si="73">SUM(AA78:AA79)</f>
        <v>0</v>
      </c>
      <c r="AB80" s="1258">
        <f t="shared" ref="AB80" si="74">SUM(AB78:AB79)</f>
        <v>0</v>
      </c>
      <c r="AC80" s="1258">
        <f t="shared" ref="AC80" si="75">SUM(AC78:AC79)</f>
        <v>0</v>
      </c>
      <c r="AD80" s="1258">
        <f t="shared" ref="AD80" si="76">SUM(AD78:AD79)</f>
        <v>3923.3093333333327</v>
      </c>
      <c r="AE80" s="1258">
        <f t="shared" ref="AE80" si="77">SUM(AE78:AE79)</f>
        <v>784.66186666666658</v>
      </c>
      <c r="AF80" s="1258">
        <f t="shared" ref="AF80" si="78">SUM(AF78:AF79)</f>
        <v>11769.927999999998</v>
      </c>
      <c r="AG80" s="1258">
        <f t="shared" ref="AG80" si="79">SUM(AG78:AG79)</f>
        <v>2353.9855999999995</v>
      </c>
    </row>
    <row r="81" spans="2:33" ht="15.75" x14ac:dyDescent="0.25">
      <c r="B81" s="295"/>
      <c r="C81" s="314"/>
      <c r="D81" s="304"/>
      <c r="E81" s="304"/>
      <c r="F81" s="304"/>
      <c r="G81" s="304"/>
      <c r="H81" s="305"/>
      <c r="I81" s="295"/>
      <c r="J81" s="295"/>
      <c r="K81" s="295"/>
      <c r="L81" s="306"/>
      <c r="M81" s="295"/>
      <c r="N81" s="307"/>
      <c r="O81" s="333"/>
      <c r="P81" s="311"/>
      <c r="Q81" s="311"/>
      <c r="R81" s="311"/>
      <c r="S81" s="312"/>
      <c r="T81" s="311"/>
      <c r="U81" s="310"/>
      <c r="V81" s="311"/>
      <c r="W81" s="311"/>
      <c r="X81" s="311"/>
      <c r="Y81" s="311"/>
      <c r="Z81" s="311"/>
      <c r="AA81" s="311"/>
      <c r="AB81" s="311"/>
      <c r="AC81" s="311"/>
      <c r="AD81" s="313"/>
      <c r="AE81" s="313"/>
      <c r="AF81" s="313"/>
      <c r="AG81" s="313"/>
    </row>
    <row r="82" spans="2:33" s="299" customFormat="1" ht="15.75" x14ac:dyDescent="0.25">
      <c r="B82" s="295">
        <v>735</v>
      </c>
      <c r="C82" s="304" t="str">
        <f>PROPER("ROSANETE DA SILVA PERES")</f>
        <v>Rosanete Da Silva Peres</v>
      </c>
      <c r="D82" s="304" t="s">
        <v>2699</v>
      </c>
      <c r="E82" s="304" t="s">
        <v>2739</v>
      </c>
      <c r="F82" s="304" t="s">
        <v>2650</v>
      </c>
      <c r="G82" s="304" t="s">
        <v>2917</v>
      </c>
      <c r="H82" s="305">
        <v>40</v>
      </c>
      <c r="I82" s="295">
        <v>40</v>
      </c>
      <c r="J82" s="295" t="s">
        <v>2648</v>
      </c>
      <c r="K82" s="295">
        <v>1</v>
      </c>
      <c r="L82" s="306">
        <v>38111</v>
      </c>
      <c r="M82" s="316">
        <f>2942.48/639.67</f>
        <v>4.5999968733878411</v>
      </c>
      <c r="N82" s="307">
        <f>M82*AG10</f>
        <v>2942.48</v>
      </c>
      <c r="O82" s="333">
        <v>0.16</v>
      </c>
      <c r="P82" s="311">
        <f>N82*O82</f>
        <v>470.79680000000002</v>
      </c>
      <c r="Q82" s="311">
        <v>0</v>
      </c>
      <c r="R82" s="311">
        <v>0</v>
      </c>
      <c r="S82" s="312">
        <f>51.18/N82</f>
        <v>1.7393491204698078E-2</v>
      </c>
      <c r="T82" s="311">
        <f>N82*S82</f>
        <v>51.18</v>
      </c>
      <c r="U82" s="310">
        <f>(0/N82)*N82</f>
        <v>0</v>
      </c>
      <c r="V82" s="311">
        <v>0</v>
      </c>
      <c r="W82" s="311">
        <v>0</v>
      </c>
      <c r="X82" s="311">
        <v>0</v>
      </c>
      <c r="Y82" s="311">
        <v>0</v>
      </c>
      <c r="Z82" s="311">
        <v>0</v>
      </c>
      <c r="AA82" s="311">
        <v>0</v>
      </c>
      <c r="AB82" s="311">
        <v>0</v>
      </c>
      <c r="AC82" s="311">
        <v>0</v>
      </c>
      <c r="AD82" s="313">
        <f>(N82+Q82+R82)/3</f>
        <v>980.82666666666671</v>
      </c>
      <c r="AE82" s="313">
        <f>AD82*O82</f>
        <v>156.93226666666666</v>
      </c>
      <c r="AF82" s="313">
        <f>N82</f>
        <v>2942.48</v>
      </c>
      <c r="AG82" s="313">
        <f>AF82*O82</f>
        <v>470.79680000000002</v>
      </c>
    </row>
    <row r="83" spans="2:33" s="1261" customFormat="1" x14ac:dyDescent="0.25">
      <c r="B83" s="1224" t="s">
        <v>7244</v>
      </c>
      <c r="C83" s="1224"/>
      <c r="D83" s="1224"/>
      <c r="E83" s="1224"/>
      <c r="F83" s="1224"/>
      <c r="G83" s="1224"/>
      <c r="H83" s="1224"/>
      <c r="I83" s="1224"/>
      <c r="J83" s="1224"/>
      <c r="K83" s="1224"/>
      <c r="L83" s="1224"/>
      <c r="M83" s="1224"/>
      <c r="N83" s="1225">
        <f>SUM(N82:N82)</f>
        <v>2942.48</v>
      </c>
      <c r="O83" s="1226"/>
      <c r="P83" s="1225">
        <f t="shared" ref="P83" si="80">SUM(P82:P82)</f>
        <v>470.79680000000002</v>
      </c>
      <c r="Q83" s="1225">
        <f t="shared" ref="Q83" si="81">SUM(Q82:Q82)</f>
        <v>0</v>
      </c>
      <c r="R83" s="1225">
        <f t="shared" ref="R83" si="82">SUM(R82:R82)</f>
        <v>0</v>
      </c>
      <c r="S83" s="1227"/>
      <c r="T83" s="1225">
        <f>SUM(T82:T82)</f>
        <v>51.18</v>
      </c>
      <c r="U83" s="1189">
        <f t="shared" ref="U83" si="83">SUM(U82:U82)</f>
        <v>0</v>
      </c>
      <c r="V83" s="1225">
        <f t="shared" ref="V83" si="84">SUM(V82:V82)</f>
        <v>0</v>
      </c>
      <c r="W83" s="1225">
        <f t="shared" ref="W83" si="85">SUM(W82:W82)</f>
        <v>0</v>
      </c>
      <c r="X83" s="1225">
        <f t="shared" ref="X83" si="86">SUM(X82:X82)</f>
        <v>0</v>
      </c>
      <c r="Y83" s="1225">
        <f t="shared" ref="Y83" si="87">SUM(Y82:Y82)</f>
        <v>0</v>
      </c>
      <c r="Z83" s="1225">
        <f t="shared" ref="Z83" si="88">SUM(Z82:Z82)</f>
        <v>0</v>
      </c>
      <c r="AA83" s="1225">
        <f t="shared" ref="AA83" si="89">SUM(AA82:AA82)</f>
        <v>0</v>
      </c>
      <c r="AB83" s="1225">
        <f t="shared" ref="AB83" si="90">SUM(AB82:AB82)</f>
        <v>0</v>
      </c>
      <c r="AC83" s="1225">
        <f t="shared" ref="AC83" si="91">SUM(AC82:AC82)</f>
        <v>0</v>
      </c>
      <c r="AD83" s="1225">
        <f t="shared" ref="AD83" si="92">SUM(AD82:AD82)</f>
        <v>980.82666666666671</v>
      </c>
      <c r="AE83" s="1225">
        <f t="shared" ref="AE83" si="93">SUM(AE82:AE82)</f>
        <v>156.93226666666666</v>
      </c>
      <c r="AF83" s="1225">
        <f t="shared" ref="AF83" si="94">SUM(AF82:AF82)</f>
        <v>2942.48</v>
      </c>
      <c r="AG83" s="1225">
        <f t="shared" ref="AG83" si="95">SUM(AG82:AG82)</f>
        <v>470.79680000000002</v>
      </c>
    </row>
    <row r="84" spans="2:33" ht="15.75" x14ac:dyDescent="0.25">
      <c r="B84" s="295"/>
      <c r="C84" s="314"/>
      <c r="D84" s="304"/>
      <c r="E84" s="304"/>
      <c r="F84" s="304"/>
      <c r="G84" s="304"/>
      <c r="H84" s="305"/>
      <c r="I84" s="295"/>
      <c r="J84" s="295"/>
      <c r="K84" s="295"/>
      <c r="L84" s="306"/>
      <c r="M84" s="295"/>
      <c r="N84" s="307"/>
      <c r="O84" s="333"/>
      <c r="P84" s="311"/>
      <c r="Q84" s="311"/>
      <c r="R84" s="311"/>
      <c r="S84" s="312"/>
      <c r="T84" s="311"/>
      <c r="U84" s="310"/>
      <c r="V84" s="311"/>
      <c r="W84" s="311"/>
      <c r="X84" s="311"/>
      <c r="Y84" s="311"/>
      <c r="Z84" s="311"/>
      <c r="AA84" s="311"/>
      <c r="AB84" s="311"/>
      <c r="AC84" s="311"/>
      <c r="AD84" s="313"/>
      <c r="AE84" s="313"/>
      <c r="AF84" s="313"/>
      <c r="AG84" s="313"/>
    </row>
    <row r="85" spans="2:33" s="1228" customFormat="1" ht="15.75" x14ac:dyDescent="0.25">
      <c r="B85" s="1224" t="s">
        <v>7245</v>
      </c>
      <c r="C85" s="1224"/>
      <c r="D85" s="1249"/>
      <c r="E85" s="1249"/>
      <c r="F85" s="1249"/>
      <c r="G85" s="1249"/>
      <c r="H85" s="1250"/>
      <c r="I85" s="1251"/>
      <c r="J85" s="1251"/>
      <c r="K85" s="1251"/>
      <c r="L85" s="1252"/>
      <c r="M85" s="1251"/>
      <c r="N85" s="1253">
        <f>N83+N80+N76+N72+N44</f>
        <v>139553.9087</v>
      </c>
      <c r="O85" s="1254"/>
      <c r="P85" s="1253">
        <f>P83+P80+P76+P72+P44</f>
        <v>15848.615725999998</v>
      </c>
      <c r="Q85" s="1253">
        <f>Q83+Q80+Q76+Q72+Q44</f>
        <v>1279.3399999999999</v>
      </c>
      <c r="R85" s="1253">
        <f>R83+R80+R76+R72+R44</f>
        <v>0</v>
      </c>
      <c r="S85" s="1256"/>
      <c r="T85" s="1253">
        <f>T83+T80+T76+T72+T44</f>
        <v>1568.1599999999996</v>
      </c>
      <c r="U85" s="684">
        <f t="shared" ref="U85:AG85" si="96">U83+U80+U76+U72+U44</f>
        <v>4507.46</v>
      </c>
      <c r="V85" s="1253">
        <f t="shared" si="96"/>
        <v>987.96000000000015</v>
      </c>
      <c r="W85" s="1253">
        <f t="shared" si="96"/>
        <v>0</v>
      </c>
      <c r="X85" s="1253">
        <f t="shared" si="96"/>
        <v>0</v>
      </c>
      <c r="Y85" s="1253">
        <f t="shared" si="96"/>
        <v>0</v>
      </c>
      <c r="Z85" s="1253">
        <f t="shared" si="96"/>
        <v>0</v>
      </c>
      <c r="AA85" s="1253">
        <f t="shared" si="96"/>
        <v>0</v>
      </c>
      <c r="AB85" s="1253">
        <f t="shared" si="96"/>
        <v>0</v>
      </c>
      <c r="AC85" s="1253">
        <f t="shared" si="96"/>
        <v>0</v>
      </c>
      <c r="AD85" s="1253">
        <f t="shared" si="96"/>
        <v>48446.902900000008</v>
      </c>
      <c r="AE85" s="1253">
        <f t="shared" si="96"/>
        <v>5524.7306420000004</v>
      </c>
      <c r="AF85" s="1253">
        <f t="shared" si="96"/>
        <v>140833.2487</v>
      </c>
      <c r="AG85" s="1253">
        <f t="shared" si="96"/>
        <v>16085.293625999997</v>
      </c>
    </row>
    <row r="86" spans="2:33" ht="15.75" x14ac:dyDescent="0.25">
      <c r="B86" s="295"/>
      <c r="C86" s="314"/>
      <c r="D86" s="304"/>
      <c r="E86" s="304"/>
      <c r="F86" s="304"/>
      <c r="G86" s="304"/>
      <c r="H86" s="305"/>
      <c r="I86" s="295"/>
      <c r="J86" s="295"/>
      <c r="K86" s="295"/>
      <c r="L86" s="306"/>
      <c r="M86" s="295"/>
      <c r="N86" s="307"/>
      <c r="O86" s="333"/>
      <c r="P86" s="311"/>
      <c r="Q86" s="311"/>
      <c r="R86" s="311"/>
      <c r="S86" s="312"/>
      <c r="T86" s="311"/>
      <c r="U86" s="310"/>
      <c r="V86" s="311"/>
      <c r="W86" s="311"/>
      <c r="X86" s="311"/>
      <c r="Y86" s="311"/>
      <c r="Z86" s="311"/>
      <c r="AA86" s="311"/>
      <c r="AB86" s="311"/>
      <c r="AC86" s="311"/>
      <c r="AD86" s="313"/>
      <c r="AE86" s="313"/>
      <c r="AF86" s="313"/>
      <c r="AG86" s="313"/>
    </row>
    <row r="87" spans="2:33" ht="15.75" x14ac:dyDescent="0.25">
      <c r="B87" s="1224" t="s">
        <v>7246</v>
      </c>
      <c r="C87" s="314"/>
      <c r="D87" s="304"/>
      <c r="E87" s="304"/>
      <c r="F87" s="304"/>
      <c r="G87" s="304"/>
      <c r="H87" s="305"/>
      <c r="I87" s="295"/>
      <c r="J87" s="295"/>
      <c r="K87" s="295"/>
      <c r="L87" s="306"/>
      <c r="M87" s="295"/>
      <c r="N87" s="307"/>
      <c r="O87" s="333"/>
      <c r="P87" s="311"/>
      <c r="Q87" s="311"/>
      <c r="R87" s="311"/>
      <c r="S87" s="312"/>
      <c r="T87" s="311"/>
      <c r="U87" s="310"/>
      <c r="V87" s="311"/>
      <c r="W87" s="311"/>
      <c r="X87" s="311"/>
      <c r="Y87" s="311"/>
      <c r="Z87" s="311"/>
      <c r="AA87" s="311"/>
      <c r="AB87" s="311"/>
      <c r="AC87" s="311"/>
      <c r="AD87" s="313"/>
      <c r="AE87" s="313"/>
      <c r="AF87" s="313"/>
      <c r="AG87" s="313"/>
    </row>
    <row r="88" spans="2:33" ht="15.75" x14ac:dyDescent="0.25">
      <c r="B88" s="295"/>
      <c r="C88" s="314"/>
      <c r="D88" s="304"/>
      <c r="E88" s="304"/>
      <c r="F88" s="304"/>
      <c r="G88" s="304"/>
      <c r="H88" s="305"/>
      <c r="I88" s="295"/>
      <c r="J88" s="295"/>
      <c r="K88" s="295"/>
      <c r="L88" s="306"/>
      <c r="M88" s="295"/>
      <c r="N88" s="307"/>
      <c r="O88" s="333"/>
      <c r="P88" s="311"/>
      <c r="Q88" s="311"/>
      <c r="R88" s="311"/>
      <c r="S88" s="312"/>
      <c r="T88" s="311"/>
      <c r="U88" s="310"/>
      <c r="V88" s="311"/>
      <c r="W88" s="311"/>
      <c r="X88" s="311"/>
      <c r="Y88" s="311"/>
      <c r="Z88" s="311"/>
      <c r="AA88" s="311"/>
      <c r="AB88" s="311"/>
      <c r="AC88" s="311"/>
      <c r="AD88" s="313"/>
      <c r="AE88" s="313"/>
      <c r="AF88" s="313"/>
      <c r="AG88" s="313"/>
    </row>
    <row r="89" spans="2:33" ht="15.75" x14ac:dyDescent="0.25">
      <c r="B89" s="295">
        <v>1303</v>
      </c>
      <c r="C89" s="304" t="s">
        <v>2656</v>
      </c>
      <c r="D89" s="304" t="s">
        <v>2654</v>
      </c>
      <c r="E89" s="304" t="s">
        <v>2739</v>
      </c>
      <c r="F89" s="304" t="s">
        <v>2650</v>
      </c>
      <c r="G89" s="304" t="s">
        <v>7247</v>
      </c>
      <c r="H89" s="305">
        <v>40</v>
      </c>
      <c r="I89" s="295">
        <v>44</v>
      </c>
      <c r="J89" s="295" t="s">
        <v>2648</v>
      </c>
      <c r="K89" s="295">
        <v>0</v>
      </c>
      <c r="L89" s="306">
        <v>39902</v>
      </c>
      <c r="M89" s="295">
        <v>2.2000000000000002</v>
      </c>
      <c r="N89" s="307">
        <f>M89*AG10</f>
        <v>1407.2740000000001</v>
      </c>
      <c r="O89" s="333">
        <v>0.11</v>
      </c>
      <c r="P89" s="311">
        <f t="shared" ref="P89" si="97">N89*O89</f>
        <v>154.80014000000003</v>
      </c>
      <c r="Q89" s="311">
        <v>0</v>
      </c>
      <c r="R89" s="311">
        <v>0</v>
      </c>
      <c r="S89" s="312">
        <f>76.76/N89</f>
        <v>5.4545170307985509E-2</v>
      </c>
      <c r="T89" s="311">
        <f t="shared" ref="T89" si="98">N89*S89</f>
        <v>76.760000000000005</v>
      </c>
      <c r="U89" s="310">
        <f>(81.24/N89)*N89</f>
        <v>81.239999999999995</v>
      </c>
      <c r="V89" s="311">
        <v>0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0</v>
      </c>
      <c r="AC89" s="311">
        <v>0</v>
      </c>
      <c r="AD89" s="313">
        <f t="shared" ref="AD89" si="99">(N89+Q89+U89)/3</f>
        <v>496.17133333333339</v>
      </c>
      <c r="AE89" s="313">
        <f t="shared" ref="AE89" si="100">AD89*O89</f>
        <v>54.578846666666671</v>
      </c>
      <c r="AF89" s="313">
        <f t="shared" ref="AF89" si="101">N89+Q89</f>
        <v>1407.2740000000001</v>
      </c>
      <c r="AG89" s="313">
        <f t="shared" ref="AG89" si="102">AF89*O89</f>
        <v>154.80014000000003</v>
      </c>
    </row>
    <row r="90" spans="2:33" ht="15.75" x14ac:dyDescent="0.25">
      <c r="B90" s="295">
        <v>745</v>
      </c>
      <c r="C90" s="304" t="s">
        <v>2657</v>
      </c>
      <c r="D90" s="304" t="s">
        <v>2654</v>
      </c>
      <c r="E90" s="304" t="s">
        <v>2739</v>
      </c>
      <c r="F90" s="304" t="s">
        <v>2650</v>
      </c>
      <c r="G90" s="304" t="s">
        <v>7247</v>
      </c>
      <c r="H90" s="305">
        <v>40</v>
      </c>
      <c r="I90" s="295">
        <v>44</v>
      </c>
      <c r="J90" s="295" t="s">
        <v>2648</v>
      </c>
      <c r="K90" s="295">
        <v>0</v>
      </c>
      <c r="L90" s="306">
        <v>38107</v>
      </c>
      <c r="M90" s="316">
        <f>1471.24/639.67</f>
        <v>2.2999984366939206</v>
      </c>
      <c r="N90" s="307">
        <f>M90*AG10</f>
        <v>1471.24</v>
      </c>
      <c r="O90" s="333">
        <v>0.16</v>
      </c>
      <c r="P90" s="311">
        <f t="shared" si="2"/>
        <v>235.39840000000001</v>
      </c>
      <c r="Q90" s="311">
        <v>0</v>
      </c>
      <c r="R90" s="311">
        <v>0</v>
      </c>
      <c r="S90" s="312">
        <f>0/N90</f>
        <v>0</v>
      </c>
      <c r="T90" s="311">
        <f t="shared" si="3"/>
        <v>0</v>
      </c>
      <c r="U90" s="310">
        <f>(10.03/N90)*N90</f>
        <v>10.029999999999999</v>
      </c>
      <c r="V90" s="311">
        <v>0</v>
      </c>
      <c r="W90" s="311">
        <v>0</v>
      </c>
      <c r="X90" s="311">
        <v>0</v>
      </c>
      <c r="Y90" s="311">
        <v>0</v>
      </c>
      <c r="Z90" s="311">
        <v>0</v>
      </c>
      <c r="AA90" s="311">
        <v>0</v>
      </c>
      <c r="AB90" s="311">
        <v>0</v>
      </c>
      <c r="AC90" s="311">
        <v>0</v>
      </c>
      <c r="AD90" s="313">
        <f t="shared" ref="AD90" si="103">(N90+Q90+U90)/3</f>
        <v>493.75666666666666</v>
      </c>
      <c r="AE90" s="313">
        <f t="shared" si="4"/>
        <v>79.001066666666674</v>
      </c>
      <c r="AF90" s="313">
        <f t="shared" ref="AF90" si="104">N90+Q90</f>
        <v>1471.24</v>
      </c>
      <c r="AG90" s="313">
        <f t="shared" si="5"/>
        <v>235.39840000000001</v>
      </c>
    </row>
    <row r="91" spans="2:33" ht="15.75" x14ac:dyDescent="0.25">
      <c r="B91" s="295">
        <v>737</v>
      </c>
      <c r="C91" s="304" t="s">
        <v>2658</v>
      </c>
      <c r="D91" s="304" t="s">
        <v>2654</v>
      </c>
      <c r="E91" s="304" t="s">
        <v>2739</v>
      </c>
      <c r="F91" s="304" t="s">
        <v>2650</v>
      </c>
      <c r="G91" s="304" t="s">
        <v>7247</v>
      </c>
      <c r="H91" s="305">
        <v>40</v>
      </c>
      <c r="I91" s="295">
        <v>44</v>
      </c>
      <c r="J91" s="295" t="s">
        <v>2648</v>
      </c>
      <c r="K91" s="295">
        <v>0</v>
      </c>
      <c r="L91" s="306">
        <v>38104</v>
      </c>
      <c r="M91" s="295">
        <v>2.2000000000000002</v>
      </c>
      <c r="N91" s="307">
        <f>M91*AG10</f>
        <v>1407.2740000000001</v>
      </c>
      <c r="O91" s="333">
        <v>0.16</v>
      </c>
      <c r="P91" s="311">
        <f>N91*O91</f>
        <v>225.16384000000002</v>
      </c>
      <c r="Q91" s="311">
        <v>0</v>
      </c>
      <c r="R91" s="311">
        <v>0</v>
      </c>
      <c r="S91" s="312">
        <f>0/N91</f>
        <v>0</v>
      </c>
      <c r="T91" s="311">
        <f>N91*S91</f>
        <v>0</v>
      </c>
      <c r="U91" s="310">
        <f>(19.19/N91)*N91</f>
        <v>19.190000000000001</v>
      </c>
      <c r="V91" s="311">
        <v>0</v>
      </c>
      <c r="W91" s="311">
        <v>0</v>
      </c>
      <c r="X91" s="311">
        <v>0</v>
      </c>
      <c r="Y91" s="311">
        <v>0</v>
      </c>
      <c r="Z91" s="311">
        <v>0</v>
      </c>
      <c r="AA91" s="311">
        <v>0</v>
      </c>
      <c r="AB91" s="311">
        <v>0</v>
      </c>
      <c r="AC91" s="311">
        <v>0</v>
      </c>
      <c r="AD91" s="313">
        <f>(N91+Q91+U91)/3</f>
        <v>475.48800000000006</v>
      </c>
      <c r="AE91" s="313">
        <f>AD91*O91</f>
        <v>76.078080000000014</v>
      </c>
      <c r="AF91" s="313">
        <f>N91+Q91</f>
        <v>1407.2740000000001</v>
      </c>
      <c r="AG91" s="313">
        <f>AF91*O91</f>
        <v>225.16384000000002</v>
      </c>
    </row>
    <row r="92" spans="2:33" s="299" customFormat="1" ht="15.75" x14ac:dyDescent="0.25">
      <c r="B92" s="295">
        <v>743</v>
      </c>
      <c r="C92" s="304" t="s">
        <v>2659</v>
      </c>
      <c r="D92" s="304" t="s">
        <v>2654</v>
      </c>
      <c r="E92" s="304" t="s">
        <v>2739</v>
      </c>
      <c r="F92" s="304" t="s">
        <v>2650</v>
      </c>
      <c r="G92" s="304" t="s">
        <v>7247</v>
      </c>
      <c r="H92" s="305">
        <v>40</v>
      </c>
      <c r="I92" s="295">
        <v>44</v>
      </c>
      <c r="J92" s="295" t="s">
        <v>2636</v>
      </c>
      <c r="K92" s="295">
        <v>0</v>
      </c>
      <c r="L92" s="306">
        <v>38111</v>
      </c>
      <c r="M92" s="295">
        <v>2</v>
      </c>
      <c r="N92" s="307">
        <f>M92*AG10</f>
        <v>1279.3399999999999</v>
      </c>
      <c r="O92" s="333">
        <v>0.16</v>
      </c>
      <c r="P92" s="311">
        <f>N92*O92</f>
        <v>204.6944</v>
      </c>
      <c r="Q92" s="311">
        <v>0</v>
      </c>
      <c r="R92" s="311">
        <v>0</v>
      </c>
      <c r="S92" s="312">
        <f>0/N92</f>
        <v>0</v>
      </c>
      <c r="T92" s="311">
        <f>N92*S92</f>
        <v>0</v>
      </c>
      <c r="U92" s="310">
        <f>(50/N92)*N92</f>
        <v>50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3">
        <f>(N92+Q92+U92)/3</f>
        <v>443.11333333333329</v>
      </c>
      <c r="AE92" s="313">
        <f>AD92*O92</f>
        <v>70.898133333333334</v>
      </c>
      <c r="AF92" s="313">
        <f>N92+Q92</f>
        <v>1279.3399999999999</v>
      </c>
      <c r="AG92" s="313">
        <f>AF92*O92</f>
        <v>204.6944</v>
      </c>
    </row>
    <row r="93" spans="2:33" s="1228" customFormat="1" x14ac:dyDescent="0.25">
      <c r="B93" s="1224" t="s">
        <v>7252</v>
      </c>
      <c r="C93" s="1224"/>
      <c r="D93" s="1224"/>
      <c r="E93" s="1224"/>
      <c r="F93" s="1224"/>
      <c r="G93" s="1224"/>
      <c r="H93" s="1224"/>
      <c r="I93" s="1224"/>
      <c r="J93" s="1224"/>
      <c r="K93" s="1224"/>
      <c r="L93" s="1224"/>
      <c r="M93" s="1224"/>
      <c r="N93" s="1225">
        <f>SUM(N89:N92)</f>
        <v>5565.1280000000006</v>
      </c>
      <c r="O93" s="1226"/>
      <c r="P93" s="1225">
        <f>SUM(P89:P92)</f>
        <v>820.05678</v>
      </c>
      <c r="Q93" s="1225">
        <f>SUM(Q89:Q92)</f>
        <v>0</v>
      </c>
      <c r="R93" s="1225">
        <f>SUM(R89:R92)</f>
        <v>0</v>
      </c>
      <c r="S93" s="1227"/>
      <c r="T93" s="1225">
        <f t="shared" ref="T93:AG93" si="105">SUM(T89:T92)</f>
        <v>76.760000000000005</v>
      </c>
      <c r="U93" s="1189">
        <f t="shared" si="105"/>
        <v>160.45999999999998</v>
      </c>
      <c r="V93" s="1225">
        <f t="shared" si="105"/>
        <v>0</v>
      </c>
      <c r="W93" s="1225">
        <f t="shared" si="105"/>
        <v>0</v>
      </c>
      <c r="X93" s="1225">
        <f t="shared" si="105"/>
        <v>0</v>
      </c>
      <c r="Y93" s="1225">
        <f t="shared" si="105"/>
        <v>0</v>
      </c>
      <c r="Z93" s="1225">
        <f t="shared" si="105"/>
        <v>0</v>
      </c>
      <c r="AA93" s="1225">
        <f t="shared" si="105"/>
        <v>0</v>
      </c>
      <c r="AB93" s="1225">
        <f t="shared" si="105"/>
        <v>0</v>
      </c>
      <c r="AC93" s="1225">
        <f t="shared" si="105"/>
        <v>0</v>
      </c>
      <c r="AD93" s="1225">
        <f t="shared" si="105"/>
        <v>1908.5293333333334</v>
      </c>
      <c r="AE93" s="1225">
        <f t="shared" si="105"/>
        <v>280.55612666666673</v>
      </c>
      <c r="AF93" s="1225">
        <f t="shared" si="105"/>
        <v>5565.1280000000006</v>
      </c>
      <c r="AG93" s="1225">
        <f t="shared" si="105"/>
        <v>820.05678</v>
      </c>
    </row>
    <row r="94" spans="2:33" x14ac:dyDescent="0.25">
      <c r="L94" s="294"/>
    </row>
    <row r="95" spans="2:33" s="1223" customFormat="1" ht="15.75" x14ac:dyDescent="0.25">
      <c r="B95" s="1198">
        <v>2348</v>
      </c>
      <c r="C95" s="1202" t="s">
        <v>7249</v>
      </c>
      <c r="D95" s="1199" t="s">
        <v>2654</v>
      </c>
      <c r="E95" s="1199" t="s">
        <v>2905</v>
      </c>
      <c r="F95" s="1199" t="s">
        <v>2650</v>
      </c>
      <c r="G95" s="1199" t="s">
        <v>7247</v>
      </c>
      <c r="H95" s="1200">
        <v>40</v>
      </c>
      <c r="I95" s="1198">
        <v>44</v>
      </c>
      <c r="J95" s="1198" t="s">
        <v>2636</v>
      </c>
      <c r="K95" s="1198">
        <v>0</v>
      </c>
      <c r="L95" s="1201">
        <v>43588</v>
      </c>
      <c r="M95" s="1198">
        <v>2</v>
      </c>
      <c r="N95" s="1262">
        <f>M95*AG10</f>
        <v>1279.3399999999999</v>
      </c>
      <c r="O95" s="1205">
        <v>0</v>
      </c>
      <c r="P95" s="1263">
        <f t="shared" ref="P95" si="106">N95*O95</f>
        <v>0</v>
      </c>
      <c r="Q95" s="1263">
        <v>0</v>
      </c>
      <c r="R95" s="1263">
        <v>0</v>
      </c>
      <c r="S95" s="1203">
        <f>76.76/N95</f>
        <v>5.9999687338784066E-2</v>
      </c>
      <c r="T95" s="1263">
        <f t="shared" ref="T95" si="107">N95*S95</f>
        <v>76.760000000000005</v>
      </c>
      <c r="U95" s="310">
        <f>(2.33/N95)*N95</f>
        <v>2.33</v>
      </c>
      <c r="V95" s="1263">
        <v>0</v>
      </c>
      <c r="W95" s="1263">
        <v>0</v>
      </c>
      <c r="X95" s="1263">
        <v>0</v>
      </c>
      <c r="Y95" s="1263">
        <v>0</v>
      </c>
      <c r="Z95" s="1263">
        <v>0</v>
      </c>
      <c r="AA95" s="1263">
        <v>0</v>
      </c>
      <c r="AB95" s="1263">
        <v>0</v>
      </c>
      <c r="AC95" s="1263">
        <v>0</v>
      </c>
      <c r="AD95" s="1204">
        <f>(N95+Q95+R95)/3</f>
        <v>426.44666666666666</v>
      </c>
      <c r="AE95" s="1204">
        <f t="shared" ref="AE95" si="108">AD95*O95</f>
        <v>0</v>
      </c>
      <c r="AF95" s="1204">
        <f>N95</f>
        <v>1279.3399999999999</v>
      </c>
      <c r="AG95" s="1204">
        <f t="shared" ref="AG95" si="109">AF95*O95</f>
        <v>0</v>
      </c>
    </row>
    <row r="96" spans="2:33" s="1223" customFormat="1" ht="15.75" x14ac:dyDescent="0.25">
      <c r="B96" s="1198">
        <v>2350</v>
      </c>
      <c r="C96" s="1202" t="s">
        <v>7250</v>
      </c>
      <c r="D96" s="1199" t="s">
        <v>2654</v>
      </c>
      <c r="E96" s="1199" t="s">
        <v>2905</v>
      </c>
      <c r="F96" s="1199" t="s">
        <v>2650</v>
      </c>
      <c r="G96" s="1199" t="s">
        <v>7247</v>
      </c>
      <c r="H96" s="1200">
        <v>40</v>
      </c>
      <c r="I96" s="1198">
        <v>44</v>
      </c>
      <c r="J96" s="1198" t="s">
        <v>2636</v>
      </c>
      <c r="K96" s="1198">
        <v>0</v>
      </c>
      <c r="L96" s="1201">
        <v>43588</v>
      </c>
      <c r="M96" s="1198">
        <v>2</v>
      </c>
      <c r="N96" s="1262">
        <f>M96*AG10</f>
        <v>1279.3399999999999</v>
      </c>
      <c r="O96" s="1205">
        <v>0</v>
      </c>
      <c r="P96" s="1263">
        <f t="shared" ref="P96" si="110">N96*O96</f>
        <v>0</v>
      </c>
      <c r="Q96" s="1263">
        <v>0</v>
      </c>
      <c r="R96" s="1263">
        <v>0</v>
      </c>
      <c r="S96" s="1203">
        <f>76.76/N96</f>
        <v>5.9999687338784066E-2</v>
      </c>
      <c r="T96" s="1263">
        <f t="shared" ref="T96" si="111">N96*S96</f>
        <v>76.760000000000005</v>
      </c>
      <c r="U96" s="310">
        <f>(4.07/N96)*N96</f>
        <v>4.07</v>
      </c>
      <c r="V96" s="1263">
        <v>0</v>
      </c>
      <c r="W96" s="1263">
        <v>0</v>
      </c>
      <c r="X96" s="1263">
        <v>0</v>
      </c>
      <c r="Y96" s="1263">
        <v>0</v>
      </c>
      <c r="Z96" s="1263">
        <v>0</v>
      </c>
      <c r="AA96" s="1263">
        <v>0</v>
      </c>
      <c r="AB96" s="1263">
        <v>0</v>
      </c>
      <c r="AC96" s="1263">
        <v>0</v>
      </c>
      <c r="AD96" s="1204">
        <f>(N96+Q96+R96)/3</f>
        <v>426.44666666666666</v>
      </c>
      <c r="AE96" s="1204">
        <f t="shared" ref="AE96" si="112">AD96*O96</f>
        <v>0</v>
      </c>
      <c r="AF96" s="1204">
        <f>N96</f>
        <v>1279.3399999999999</v>
      </c>
      <c r="AG96" s="1204">
        <f t="shared" ref="AG96" si="113">AF96*O96</f>
        <v>0</v>
      </c>
    </row>
    <row r="97" spans="2:33" s="1228" customFormat="1" x14ac:dyDescent="0.25">
      <c r="B97" s="1224" t="s">
        <v>7251</v>
      </c>
      <c r="C97" s="1224"/>
      <c r="D97" s="1224"/>
      <c r="E97" s="1224"/>
      <c r="F97" s="1224"/>
      <c r="G97" s="1224"/>
      <c r="H97" s="1224"/>
      <c r="I97" s="1224"/>
      <c r="J97" s="1224"/>
      <c r="K97" s="1224"/>
      <c r="L97" s="1224"/>
      <c r="M97" s="1224"/>
      <c r="N97" s="1225">
        <f>SUM(N95:N96)</f>
        <v>2558.6799999999998</v>
      </c>
      <c r="O97" s="1226"/>
      <c r="P97" s="1225">
        <f>SUM(P95:P96)</f>
        <v>0</v>
      </c>
      <c r="Q97" s="1225">
        <f>SUM(Q95:Q96)</f>
        <v>0</v>
      </c>
      <c r="R97" s="1225">
        <f>SUM(R95:R96)</f>
        <v>0</v>
      </c>
      <c r="S97" s="1227"/>
      <c r="T97" s="1225">
        <f t="shared" ref="T97:AG97" si="114">SUM(T95:T96)</f>
        <v>153.52000000000001</v>
      </c>
      <c r="U97" s="1189">
        <f t="shared" si="114"/>
        <v>6.4</v>
      </c>
      <c r="V97" s="1225">
        <f t="shared" si="114"/>
        <v>0</v>
      </c>
      <c r="W97" s="1225">
        <f t="shared" si="114"/>
        <v>0</v>
      </c>
      <c r="X97" s="1225">
        <f t="shared" si="114"/>
        <v>0</v>
      </c>
      <c r="Y97" s="1225">
        <f t="shared" si="114"/>
        <v>0</v>
      </c>
      <c r="Z97" s="1225">
        <f t="shared" si="114"/>
        <v>0</v>
      </c>
      <c r="AA97" s="1225">
        <f t="shared" si="114"/>
        <v>0</v>
      </c>
      <c r="AB97" s="1225">
        <f t="shared" si="114"/>
        <v>0</v>
      </c>
      <c r="AC97" s="1225">
        <f t="shared" si="114"/>
        <v>0</v>
      </c>
      <c r="AD97" s="1225">
        <f t="shared" si="114"/>
        <v>852.89333333333332</v>
      </c>
      <c r="AE97" s="1225">
        <f t="shared" si="114"/>
        <v>0</v>
      </c>
      <c r="AF97" s="1225">
        <f t="shared" si="114"/>
        <v>2558.6799999999998</v>
      </c>
      <c r="AG97" s="1225">
        <f t="shared" si="114"/>
        <v>0</v>
      </c>
    </row>
    <row r="98" spans="2:33" s="1228" customFormat="1" x14ac:dyDescent="0.25">
      <c r="B98" s="1224"/>
      <c r="C98" s="1224"/>
      <c r="D98" s="1224"/>
      <c r="E98" s="1224"/>
      <c r="F98" s="1224"/>
      <c r="G98" s="1224"/>
      <c r="H98" s="1224"/>
      <c r="I98" s="1224"/>
      <c r="J98" s="1224"/>
      <c r="K98" s="1224"/>
      <c r="L98" s="1224"/>
      <c r="M98" s="1224"/>
      <c r="N98" s="1225"/>
      <c r="O98" s="1226"/>
      <c r="P98" s="1225"/>
      <c r="Q98" s="1225"/>
      <c r="R98" s="1225"/>
      <c r="S98" s="1227"/>
      <c r="T98" s="1225"/>
      <c r="U98" s="1189"/>
      <c r="V98" s="1225"/>
      <c r="W98" s="1225"/>
      <c r="X98" s="1225"/>
      <c r="Y98" s="1225"/>
      <c r="Z98" s="1225"/>
      <c r="AA98" s="1225"/>
      <c r="AB98" s="1225"/>
      <c r="AC98" s="1225"/>
      <c r="AD98" s="1225"/>
      <c r="AE98" s="1225"/>
      <c r="AF98" s="1225"/>
      <c r="AG98" s="1225"/>
    </row>
    <row r="99" spans="2:33" s="1272" customFormat="1" ht="15.75" x14ac:dyDescent="0.25">
      <c r="B99" s="1264" t="s">
        <v>7253</v>
      </c>
      <c r="C99" s="1264"/>
      <c r="D99" s="1265"/>
      <c r="E99" s="1265"/>
      <c r="F99" s="1265"/>
      <c r="G99" s="1265"/>
      <c r="H99" s="1266"/>
      <c r="I99" s="1267"/>
      <c r="J99" s="1267"/>
      <c r="K99" s="1267"/>
      <c r="L99" s="1268"/>
      <c r="M99" s="1267"/>
      <c r="N99" s="1269">
        <f>N97+N93</f>
        <v>8123.8080000000009</v>
      </c>
      <c r="O99" s="1270"/>
      <c r="P99" s="1269">
        <f>P97+P93</f>
        <v>820.05678</v>
      </c>
      <c r="Q99" s="1269">
        <f>Q97+Q93</f>
        <v>0</v>
      </c>
      <c r="R99" s="1269">
        <f>R97+R93</f>
        <v>0</v>
      </c>
      <c r="S99" s="1271"/>
      <c r="T99" s="1269">
        <f t="shared" ref="T99:AG99" si="115">T97+T93</f>
        <v>230.28000000000003</v>
      </c>
      <c r="U99" s="684">
        <f t="shared" si="115"/>
        <v>166.85999999999999</v>
      </c>
      <c r="V99" s="1269">
        <f t="shared" si="115"/>
        <v>0</v>
      </c>
      <c r="W99" s="1269">
        <f t="shared" si="115"/>
        <v>0</v>
      </c>
      <c r="X99" s="1269">
        <f t="shared" si="115"/>
        <v>0</v>
      </c>
      <c r="Y99" s="1269">
        <f t="shared" si="115"/>
        <v>0</v>
      </c>
      <c r="Z99" s="1269">
        <f t="shared" si="115"/>
        <v>0</v>
      </c>
      <c r="AA99" s="1269">
        <f t="shared" si="115"/>
        <v>0</v>
      </c>
      <c r="AB99" s="1269">
        <f t="shared" si="115"/>
        <v>0</v>
      </c>
      <c r="AC99" s="1269">
        <f t="shared" si="115"/>
        <v>0</v>
      </c>
      <c r="AD99" s="1269">
        <f t="shared" si="115"/>
        <v>2761.4226666666668</v>
      </c>
      <c r="AE99" s="1269">
        <f t="shared" si="115"/>
        <v>280.55612666666673</v>
      </c>
      <c r="AF99" s="1269">
        <f t="shared" si="115"/>
        <v>8123.8080000000009</v>
      </c>
      <c r="AG99" s="1269">
        <f t="shared" si="115"/>
        <v>820.05678</v>
      </c>
    </row>
    <row r="100" spans="2:33" s="1228" customFormat="1" x14ac:dyDescent="0.25">
      <c r="B100" s="1224"/>
      <c r="C100" s="1224"/>
      <c r="D100" s="1224"/>
      <c r="E100" s="1224"/>
      <c r="F100" s="1224"/>
      <c r="G100" s="1224"/>
      <c r="H100" s="1224"/>
      <c r="I100" s="1224"/>
      <c r="J100" s="1224"/>
      <c r="K100" s="1224"/>
      <c r="L100" s="1224"/>
      <c r="M100" s="1224"/>
      <c r="N100" s="1225"/>
      <c r="O100" s="1226"/>
      <c r="P100" s="1225"/>
      <c r="Q100" s="1225"/>
      <c r="R100" s="1225"/>
      <c r="S100" s="1227"/>
      <c r="T100" s="1225"/>
      <c r="U100" s="1189"/>
      <c r="V100" s="1225"/>
      <c r="W100" s="1225"/>
      <c r="X100" s="1225"/>
      <c r="Y100" s="1225"/>
      <c r="Z100" s="1225"/>
      <c r="AA100" s="1225"/>
      <c r="AB100" s="1225"/>
      <c r="AC100" s="1225"/>
      <c r="AD100" s="1225"/>
      <c r="AE100" s="1225"/>
      <c r="AF100" s="1225"/>
      <c r="AG100" s="1225"/>
    </row>
    <row r="101" spans="2:33" s="1272" customFormat="1" ht="15.75" x14ac:dyDescent="0.25">
      <c r="B101" s="1264" t="s">
        <v>7254</v>
      </c>
      <c r="C101" s="1264"/>
      <c r="D101" s="1265"/>
      <c r="E101" s="1265"/>
      <c r="F101" s="1265"/>
      <c r="G101" s="1265"/>
      <c r="H101" s="1266"/>
      <c r="I101" s="1267"/>
      <c r="J101" s="1267"/>
      <c r="K101" s="1267"/>
      <c r="L101" s="1268"/>
      <c r="M101" s="1267"/>
      <c r="N101" s="1269">
        <f>N99+N85+N33</f>
        <v>166779.2181</v>
      </c>
      <c r="O101" s="1270"/>
      <c r="P101" s="1269">
        <f>P99+P85+P33</f>
        <v>18196.652234999998</v>
      </c>
      <c r="Q101" s="1269">
        <f t="shared" ref="Q101:R101" si="116">Q99+Q85+Q33</f>
        <v>2558.6799999999998</v>
      </c>
      <c r="R101" s="1269">
        <f t="shared" si="116"/>
        <v>0</v>
      </c>
      <c r="S101" s="1271"/>
      <c r="T101" s="1269">
        <f t="shared" ref="T101:AG101" si="117">T99+T85+T33</f>
        <v>2203.1899999999996</v>
      </c>
      <c r="U101" s="684">
        <f t="shared" si="117"/>
        <v>4754.3999999999996</v>
      </c>
      <c r="V101" s="1269">
        <f t="shared" si="117"/>
        <v>987.96000000000015</v>
      </c>
      <c r="W101" s="1269">
        <f t="shared" si="117"/>
        <v>23.38</v>
      </c>
      <c r="X101" s="1269">
        <f t="shared" si="117"/>
        <v>0</v>
      </c>
      <c r="Y101" s="1269">
        <f t="shared" si="117"/>
        <v>0</v>
      </c>
      <c r="Z101" s="1269">
        <f t="shared" si="117"/>
        <v>0</v>
      </c>
      <c r="AA101" s="1269">
        <f t="shared" si="117"/>
        <v>0</v>
      </c>
      <c r="AB101" s="1269">
        <f t="shared" si="117"/>
        <v>0</v>
      </c>
      <c r="AC101" s="1269">
        <f t="shared" si="117"/>
        <v>0</v>
      </c>
      <c r="AD101" s="1269">
        <f t="shared" si="117"/>
        <v>58036.426033333337</v>
      </c>
      <c r="AE101" s="1269">
        <f t="shared" si="117"/>
        <v>6412.8934116666669</v>
      </c>
      <c r="AF101" s="1269">
        <f t="shared" si="117"/>
        <v>169361.2781</v>
      </c>
      <c r="AG101" s="1269">
        <f t="shared" si="117"/>
        <v>18720.162334999997</v>
      </c>
    </row>
    <row r="102" spans="2:33" s="299" customFormat="1" ht="15.75" x14ac:dyDescent="0.25">
      <c r="B102" s="295"/>
      <c r="C102" s="314"/>
      <c r="D102" s="304"/>
      <c r="E102" s="304"/>
      <c r="F102" s="304"/>
      <c r="G102" s="304"/>
      <c r="H102" s="305"/>
      <c r="I102" s="295"/>
      <c r="J102" s="295"/>
      <c r="K102" s="295"/>
      <c r="L102" s="306"/>
      <c r="M102" s="295"/>
      <c r="N102" s="307"/>
      <c r="O102" s="333"/>
      <c r="P102" s="311"/>
      <c r="Q102" s="311"/>
      <c r="R102" s="311"/>
      <c r="S102" s="312"/>
      <c r="T102" s="311"/>
      <c r="U102" s="310"/>
      <c r="V102" s="311"/>
      <c r="W102" s="311"/>
      <c r="X102" s="311"/>
      <c r="Y102" s="311"/>
      <c r="Z102" s="311"/>
      <c r="AA102" s="311"/>
      <c r="AB102" s="311"/>
      <c r="AC102" s="311"/>
      <c r="AD102" s="313"/>
      <c r="AE102" s="313"/>
      <c r="AF102" s="313"/>
      <c r="AG102" s="313"/>
    </row>
    <row r="103" spans="2:33" s="299" customFormat="1" ht="15.75" x14ac:dyDescent="0.25">
      <c r="B103" s="295"/>
      <c r="C103" s="314"/>
      <c r="D103" s="304"/>
      <c r="E103" s="304"/>
      <c r="F103" s="304"/>
      <c r="G103" s="304"/>
      <c r="H103" s="305"/>
      <c r="I103" s="295"/>
      <c r="J103" s="295"/>
      <c r="K103" s="295"/>
      <c r="L103" s="306"/>
      <c r="M103" s="295"/>
      <c r="N103" s="307"/>
      <c r="O103" s="333"/>
      <c r="P103" s="311"/>
      <c r="Q103" s="311"/>
      <c r="R103" s="311"/>
      <c r="S103" s="312"/>
      <c r="T103" s="311"/>
      <c r="U103" s="310"/>
      <c r="V103" s="311"/>
      <c r="W103" s="311"/>
      <c r="X103" s="311"/>
      <c r="Y103" s="311"/>
      <c r="Z103" s="311"/>
      <c r="AA103" s="311"/>
      <c r="AB103" s="311"/>
      <c r="AC103" s="311"/>
      <c r="AD103" s="313"/>
      <c r="AE103" s="313"/>
      <c r="AF103" s="313"/>
      <c r="AG103" s="313"/>
    </row>
    <row r="104" spans="2:33" s="1371" customFormat="1" ht="57" customHeight="1" x14ac:dyDescent="0.25">
      <c r="B104" s="1369" t="s">
        <v>7754</v>
      </c>
      <c r="C104" s="1370" t="s">
        <v>2623</v>
      </c>
      <c r="D104" s="1370" t="s">
        <v>2624</v>
      </c>
      <c r="E104" s="1370" t="s">
        <v>2722</v>
      </c>
      <c r="F104" s="1370" t="s">
        <v>2593</v>
      </c>
      <c r="G104" s="1373" t="s">
        <v>2765</v>
      </c>
      <c r="H104" s="1375" t="s">
        <v>2729</v>
      </c>
      <c r="I104" s="1370" t="s">
        <v>2625</v>
      </c>
      <c r="J104" s="1369" t="s">
        <v>2738</v>
      </c>
      <c r="K104" s="1369" t="s">
        <v>2626</v>
      </c>
      <c r="L104" s="1370" t="s">
        <v>2627</v>
      </c>
      <c r="M104" s="1541" t="s">
        <v>2629</v>
      </c>
      <c r="N104" s="1541"/>
      <c r="O104" s="1541" t="s">
        <v>2630</v>
      </c>
      <c r="P104" s="1541"/>
      <c r="Q104" s="1372" t="s">
        <v>2740</v>
      </c>
      <c r="R104" s="1372" t="s">
        <v>2814</v>
      </c>
      <c r="S104" s="1542" t="s">
        <v>2741</v>
      </c>
      <c r="T104" s="1542"/>
      <c r="U104" s="1095" t="s">
        <v>2761</v>
      </c>
      <c r="V104" s="1372" t="s">
        <v>2760</v>
      </c>
      <c r="W104" s="1372" t="s">
        <v>2783</v>
      </c>
      <c r="X104" s="1372" t="s">
        <v>2782</v>
      </c>
      <c r="Y104" s="1372" t="s">
        <v>2743</v>
      </c>
      <c r="Z104" s="1372" t="s">
        <v>2744</v>
      </c>
      <c r="AA104" s="1372" t="s">
        <v>2745</v>
      </c>
      <c r="AB104" s="1372" t="s">
        <v>2750</v>
      </c>
      <c r="AC104" s="1372" t="s">
        <v>2742</v>
      </c>
      <c r="AD104" s="1374" t="s">
        <v>2734</v>
      </c>
      <c r="AE104" s="1374" t="s">
        <v>2735</v>
      </c>
      <c r="AF104" s="1371" t="s">
        <v>2736</v>
      </c>
      <c r="AG104" s="1374" t="s">
        <v>2737</v>
      </c>
    </row>
    <row r="105" spans="2:33" ht="38.25" customHeight="1" x14ac:dyDescent="0.25">
      <c r="B105" s="1096" t="s">
        <v>7136</v>
      </c>
      <c r="C105" s="1097" t="s">
        <v>7137</v>
      </c>
      <c r="D105" s="1097" t="s">
        <v>7138</v>
      </c>
      <c r="E105" s="1097" t="s">
        <v>7139</v>
      </c>
      <c r="F105" s="1097" t="s">
        <v>7140</v>
      </c>
      <c r="G105" s="1097" t="s">
        <v>7141</v>
      </c>
      <c r="H105" s="1097" t="s">
        <v>7142</v>
      </c>
      <c r="I105" s="1097" t="s">
        <v>7143</v>
      </c>
      <c r="J105" s="1097" t="s">
        <v>7144</v>
      </c>
      <c r="K105" s="1097" t="s">
        <v>7145</v>
      </c>
      <c r="L105" s="1097" t="s">
        <v>7146</v>
      </c>
      <c r="M105" s="1097" t="s">
        <v>7147</v>
      </c>
      <c r="N105" s="1097" t="s">
        <v>7148</v>
      </c>
      <c r="O105" s="1097" t="s">
        <v>7149</v>
      </c>
      <c r="P105" s="1097" t="s">
        <v>7150</v>
      </c>
      <c r="Q105" s="1097" t="s">
        <v>7151</v>
      </c>
      <c r="R105" s="1097" t="s">
        <v>7152</v>
      </c>
      <c r="S105" s="1097" t="s">
        <v>7153</v>
      </c>
      <c r="T105" s="1097" t="s">
        <v>7154</v>
      </c>
      <c r="U105" s="1378" t="s">
        <v>7155</v>
      </c>
      <c r="V105" s="1097" t="s">
        <v>7156</v>
      </c>
      <c r="W105" s="1097" t="s">
        <v>7157</v>
      </c>
      <c r="X105" s="1097" t="s">
        <v>7158</v>
      </c>
      <c r="Y105" s="1097" t="s">
        <v>7159</v>
      </c>
      <c r="Z105" s="1097" t="s">
        <v>7160</v>
      </c>
      <c r="AA105" s="1097" t="s">
        <v>7161</v>
      </c>
      <c r="AB105" s="1097" t="s">
        <v>7162</v>
      </c>
      <c r="AC105" s="1097" t="s">
        <v>7163</v>
      </c>
      <c r="AD105" s="1097" t="s">
        <v>7164</v>
      </c>
      <c r="AE105" s="1097" t="s">
        <v>7165</v>
      </c>
      <c r="AF105" s="1097" t="s">
        <v>7166</v>
      </c>
      <c r="AG105" s="1100" t="s">
        <v>7167</v>
      </c>
    </row>
    <row r="106" spans="2:33" ht="74.25" x14ac:dyDescent="0.25">
      <c r="B106" s="1096" t="s">
        <v>2719</v>
      </c>
      <c r="C106" s="1097" t="s">
        <v>2622</v>
      </c>
      <c r="D106" s="1097"/>
      <c r="E106" s="1097"/>
      <c r="F106" s="1097"/>
      <c r="G106" s="1097"/>
      <c r="H106" s="1097"/>
      <c r="I106" s="1097"/>
      <c r="J106" s="1097"/>
      <c r="K106" s="1097"/>
      <c r="L106" s="1097"/>
      <c r="M106" s="1097"/>
      <c r="N106" s="1097"/>
      <c r="O106" s="1097"/>
      <c r="P106" s="1097"/>
      <c r="Q106" s="1097"/>
      <c r="R106" s="1097"/>
      <c r="S106" s="1097"/>
      <c r="T106" s="1097"/>
      <c r="U106" s="1378"/>
      <c r="V106" s="1097"/>
      <c r="W106" s="1097"/>
      <c r="X106" s="1097"/>
      <c r="Y106" s="1097"/>
      <c r="Z106" s="1097"/>
      <c r="AA106" s="1097"/>
      <c r="AB106" s="1097"/>
      <c r="AC106" s="1097"/>
      <c r="AD106" s="1097"/>
      <c r="AE106" s="1097"/>
      <c r="AF106" s="1097"/>
      <c r="AG106" s="1100">
        <f>PUCFD!E17</f>
        <v>695.43992848243033</v>
      </c>
    </row>
    <row r="107" spans="2:33" s="299" customFormat="1" ht="15" customHeight="1" x14ac:dyDescent="0.25">
      <c r="B107" s="1096"/>
      <c r="C107" s="1097"/>
      <c r="D107" s="1097"/>
      <c r="E107" s="1097"/>
      <c r="F107" s="1097"/>
      <c r="G107" s="1097"/>
      <c r="H107" s="1097"/>
      <c r="I107" s="1097"/>
      <c r="J107" s="1097"/>
      <c r="K107" s="1097"/>
      <c r="L107" s="1097"/>
      <c r="M107" s="1097"/>
      <c r="N107" s="1097"/>
      <c r="O107" s="1097"/>
      <c r="P107" s="1097"/>
      <c r="Q107" s="1097"/>
      <c r="R107" s="1097"/>
      <c r="S107" s="1097"/>
      <c r="T107" s="1097"/>
      <c r="U107" s="1378"/>
      <c r="V107" s="1097"/>
      <c r="W107" s="1097"/>
      <c r="X107" s="1097"/>
      <c r="Y107" s="1097"/>
      <c r="Z107" s="1097"/>
      <c r="AA107" s="1097"/>
      <c r="AB107" s="1097"/>
      <c r="AC107" s="1097"/>
      <c r="AD107" s="1097"/>
      <c r="AE107" s="1097"/>
      <c r="AF107" s="1097"/>
      <c r="AG107" s="1100"/>
    </row>
    <row r="108" spans="2:33" s="299" customFormat="1" ht="50.25" customHeight="1" x14ac:dyDescent="0.25">
      <c r="B108" s="1096"/>
      <c r="C108" s="1091" t="s">
        <v>2623</v>
      </c>
      <c r="D108" s="1091" t="s">
        <v>2624</v>
      </c>
      <c r="E108" s="1091" t="s">
        <v>2722</v>
      </c>
      <c r="F108" s="1091" t="s">
        <v>2593</v>
      </c>
      <c r="G108" s="1101" t="s">
        <v>2765</v>
      </c>
      <c r="H108" s="1102" t="s">
        <v>2729</v>
      </c>
      <c r="I108" s="1091" t="s">
        <v>2625</v>
      </c>
      <c r="J108" s="1096" t="s">
        <v>2738</v>
      </c>
      <c r="K108" s="1096" t="s">
        <v>2626</v>
      </c>
      <c r="L108" s="1091" t="s">
        <v>2627</v>
      </c>
      <c r="M108" s="1092" t="s">
        <v>2629</v>
      </c>
      <c r="N108" s="1092"/>
      <c r="O108" s="1092" t="s">
        <v>2630</v>
      </c>
      <c r="P108" s="1092"/>
      <c r="Q108" s="1093" t="s">
        <v>2740</v>
      </c>
      <c r="R108" s="1093" t="s">
        <v>2814</v>
      </c>
      <c r="S108" s="1093" t="s">
        <v>2741</v>
      </c>
      <c r="T108" s="1093"/>
      <c r="U108" s="1095" t="s">
        <v>2761</v>
      </c>
      <c r="V108" s="1093" t="s">
        <v>2760</v>
      </c>
      <c r="W108" s="1093" t="s">
        <v>2783</v>
      </c>
      <c r="X108" s="1093" t="s">
        <v>2782</v>
      </c>
      <c r="Y108" s="1093" t="s">
        <v>2743</v>
      </c>
      <c r="Z108" s="1093" t="s">
        <v>2744</v>
      </c>
      <c r="AA108" s="1093" t="s">
        <v>2745</v>
      </c>
      <c r="AB108" s="1093" t="s">
        <v>2750</v>
      </c>
      <c r="AC108" s="1093" t="s">
        <v>2742</v>
      </c>
      <c r="AD108" s="1098" t="s">
        <v>2734</v>
      </c>
      <c r="AE108" s="1098" t="s">
        <v>2735</v>
      </c>
      <c r="AF108" s="1099" t="s">
        <v>2736</v>
      </c>
      <c r="AG108" s="1098" t="s">
        <v>2737</v>
      </c>
    </row>
    <row r="109" spans="2:33" s="299" customFormat="1" x14ac:dyDescent="0.25">
      <c r="B109" s="1096"/>
      <c r="C109" s="1091"/>
      <c r="D109" s="1091"/>
      <c r="E109" s="1091"/>
      <c r="F109" s="1091"/>
      <c r="G109" s="1101"/>
      <c r="H109" s="1102"/>
      <c r="I109" s="1091"/>
      <c r="J109" s="1096"/>
      <c r="K109" s="1096"/>
      <c r="L109" s="1091"/>
      <c r="M109" s="1091" t="s">
        <v>2628</v>
      </c>
      <c r="N109" s="1092" t="s">
        <v>2480</v>
      </c>
      <c r="O109" s="1092" t="s">
        <v>97</v>
      </c>
      <c r="P109" s="1092" t="s">
        <v>2480</v>
      </c>
      <c r="Q109" s="1093"/>
      <c r="R109" s="1093"/>
      <c r="S109" s="1093" t="s">
        <v>97</v>
      </c>
      <c r="T109" s="1093" t="s">
        <v>2480</v>
      </c>
      <c r="U109" s="1095"/>
      <c r="V109" s="1093"/>
      <c r="W109" s="1093"/>
      <c r="X109" s="1093"/>
      <c r="Y109" s="1093"/>
      <c r="Z109" s="1093"/>
      <c r="AA109" s="1093"/>
      <c r="AB109" s="1093"/>
      <c r="AC109" s="1093"/>
      <c r="AD109" s="1098"/>
      <c r="AE109" s="1098"/>
      <c r="AF109" s="1099"/>
      <c r="AG109" s="1098"/>
    </row>
    <row r="110" spans="2:33" s="299" customFormat="1" x14ac:dyDescent="0.25">
      <c r="B110" s="1096"/>
      <c r="C110" s="1091"/>
      <c r="D110" s="1091"/>
      <c r="E110" s="1091"/>
      <c r="F110" s="1091"/>
      <c r="G110" s="1101"/>
      <c r="H110" s="1102"/>
      <c r="I110" s="1091"/>
      <c r="J110" s="1096"/>
      <c r="K110" s="1096"/>
      <c r="L110" s="1091"/>
      <c r="M110" s="1091"/>
      <c r="N110" s="1092"/>
      <c r="O110" s="1092"/>
      <c r="P110" s="1092"/>
      <c r="Q110" s="1093"/>
      <c r="R110" s="1093"/>
      <c r="S110" s="1093"/>
      <c r="T110" s="1093"/>
      <c r="U110" s="1095"/>
      <c r="V110" s="1093"/>
      <c r="W110" s="1093"/>
      <c r="X110" s="1093"/>
      <c r="Y110" s="1093"/>
      <c r="Z110" s="1093"/>
      <c r="AA110" s="1093"/>
      <c r="AB110" s="1093"/>
      <c r="AC110" s="1093"/>
      <c r="AD110" s="1098"/>
      <c r="AE110" s="1098"/>
      <c r="AF110" s="1099"/>
      <c r="AG110" s="1098"/>
    </row>
    <row r="111" spans="2:33" s="299" customFormat="1" ht="15.75" x14ac:dyDescent="0.25">
      <c r="B111" s="295" t="s">
        <v>7201</v>
      </c>
      <c r="C111" s="314" t="s">
        <v>7119</v>
      </c>
      <c r="D111" s="304" t="s">
        <v>2654</v>
      </c>
      <c r="E111" s="304" t="s">
        <v>2905</v>
      </c>
      <c r="F111" s="304" t="s">
        <v>2650</v>
      </c>
      <c r="G111" s="304" t="s">
        <v>2906</v>
      </c>
      <c r="H111" s="305">
        <v>40</v>
      </c>
      <c r="I111" s="295">
        <v>44</v>
      </c>
      <c r="J111" s="295" t="s">
        <v>2636</v>
      </c>
      <c r="K111" s="295">
        <v>0</v>
      </c>
      <c r="L111" s="306" t="s">
        <v>7201</v>
      </c>
      <c r="M111" s="295">
        <v>2</v>
      </c>
      <c r="N111" s="307">
        <f>M111*AG106</f>
        <v>1390.8798569648607</v>
      </c>
      <c r="O111" s="333">
        <v>0</v>
      </c>
      <c r="P111" s="311">
        <f>N111*O111</f>
        <v>0</v>
      </c>
      <c r="Q111" s="311">
        <v>0</v>
      </c>
      <c r="R111" s="311">
        <v>0</v>
      </c>
      <c r="S111" s="312">
        <f>76.96/N111</f>
        <v>5.5331881912460766E-2</v>
      </c>
      <c r="T111" s="311">
        <f>N111*S111</f>
        <v>76.959999999999994</v>
      </c>
      <c r="U111" s="310">
        <f>(0/N111)*N111</f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3">
        <f>(N111+Q111+R111)/3</f>
        <v>463.62661898828691</v>
      </c>
      <c r="AE111" s="313">
        <f>AD111*O111</f>
        <v>0</v>
      </c>
      <c r="AF111" s="313">
        <f>N111</f>
        <v>1390.8798569648607</v>
      </c>
      <c r="AG111" s="313">
        <f>AF111*O111</f>
        <v>0</v>
      </c>
    </row>
    <row r="112" spans="2:33" s="702" customFormat="1" x14ac:dyDescent="0.25">
      <c r="B112" s="1230" t="s">
        <v>7237</v>
      </c>
      <c r="C112" s="1234"/>
      <c r="D112" s="1234"/>
      <c r="E112" s="1234"/>
      <c r="F112" s="1234"/>
      <c r="G112" s="1234"/>
      <c r="H112" s="1234"/>
      <c r="I112" s="1234"/>
      <c r="J112" s="1234"/>
      <c r="K112" s="1234"/>
      <c r="L112" s="1234"/>
      <c r="M112" s="1234"/>
      <c r="N112" s="699">
        <f>SUM(N111:N111)</f>
        <v>1390.8798569648607</v>
      </c>
      <c r="O112" s="1237"/>
      <c r="P112" s="699">
        <f t="shared" ref="P112:R112" si="118">SUM(P111:P111)</f>
        <v>0</v>
      </c>
      <c r="Q112" s="699">
        <f t="shared" si="118"/>
        <v>0</v>
      </c>
      <c r="R112" s="699">
        <f t="shared" si="118"/>
        <v>0</v>
      </c>
      <c r="S112" s="1164"/>
      <c r="T112" s="699">
        <f>SUM(T111:T111)</f>
        <v>76.959999999999994</v>
      </c>
      <c r="U112" s="1376">
        <f t="shared" ref="U112:AG112" si="119">SUM(U111:U111)</f>
        <v>0</v>
      </c>
      <c r="V112" s="699">
        <f t="shared" si="119"/>
        <v>0</v>
      </c>
      <c r="W112" s="699">
        <f t="shared" si="119"/>
        <v>0</v>
      </c>
      <c r="X112" s="699">
        <f t="shared" si="119"/>
        <v>0</v>
      </c>
      <c r="Y112" s="699">
        <f t="shared" si="119"/>
        <v>0</v>
      </c>
      <c r="Z112" s="699">
        <f t="shared" si="119"/>
        <v>0</v>
      </c>
      <c r="AA112" s="699">
        <f t="shared" si="119"/>
        <v>0</v>
      </c>
      <c r="AB112" s="699">
        <f t="shared" si="119"/>
        <v>0</v>
      </c>
      <c r="AC112" s="699">
        <f t="shared" si="119"/>
        <v>0</v>
      </c>
      <c r="AD112" s="699">
        <f t="shared" si="119"/>
        <v>463.62661898828691</v>
      </c>
      <c r="AE112" s="699">
        <f t="shared" si="119"/>
        <v>0</v>
      </c>
      <c r="AF112" s="699">
        <f t="shared" si="119"/>
        <v>1390.8798569648607</v>
      </c>
      <c r="AG112" s="699">
        <f t="shared" si="119"/>
        <v>0</v>
      </c>
    </row>
    <row r="113" spans="2:40" s="702" customFormat="1" x14ac:dyDescent="0.25">
      <c r="B113" s="1230"/>
      <c r="C113" s="1234"/>
      <c r="D113" s="1234"/>
      <c r="E113" s="1234"/>
      <c r="F113" s="1234"/>
      <c r="G113" s="1234"/>
      <c r="H113" s="1234"/>
      <c r="I113" s="1234"/>
      <c r="J113" s="1234"/>
      <c r="K113" s="1234"/>
      <c r="L113" s="1234"/>
      <c r="M113" s="1234"/>
      <c r="N113" s="699"/>
      <c r="O113" s="1237"/>
      <c r="P113" s="699"/>
      <c r="Q113" s="699"/>
      <c r="R113" s="699"/>
      <c r="S113" s="1164"/>
      <c r="T113" s="699"/>
      <c r="U113" s="1376"/>
      <c r="V113" s="699"/>
      <c r="W113" s="699"/>
      <c r="X113" s="699"/>
      <c r="Y113" s="699"/>
      <c r="Z113" s="699"/>
      <c r="AA113" s="699"/>
      <c r="AB113" s="699"/>
      <c r="AC113" s="699"/>
      <c r="AD113" s="699"/>
      <c r="AE113" s="699"/>
      <c r="AF113" s="699"/>
      <c r="AG113" s="699"/>
    </row>
    <row r="114" spans="2:40" ht="15.75" x14ac:dyDescent="0.25">
      <c r="B114" s="295">
        <v>1642</v>
      </c>
      <c r="C114" s="314" t="str">
        <f>PROPER("ANA REGINA RIBEIRO ALENCASTRO")</f>
        <v>Ana Regina Ribeiro Alencastro</v>
      </c>
      <c r="D114" s="304" t="s">
        <v>2643</v>
      </c>
      <c r="E114" s="304" t="s">
        <v>2739</v>
      </c>
      <c r="F114" s="304" t="s">
        <v>2650</v>
      </c>
      <c r="G114" s="304" t="s">
        <v>2906</v>
      </c>
      <c r="H114" s="305">
        <v>40</v>
      </c>
      <c r="I114" s="295">
        <v>44</v>
      </c>
      <c r="J114" s="295" t="s">
        <v>2634</v>
      </c>
      <c r="K114" s="295">
        <v>0</v>
      </c>
      <c r="L114" s="306">
        <v>41092</v>
      </c>
      <c r="M114" s="295">
        <v>2.0299999999999998</v>
      </c>
      <c r="N114" s="307">
        <f>M114*AG106</f>
        <v>1411.7430548193333</v>
      </c>
      <c r="O114" s="333">
        <v>0.08</v>
      </c>
      <c r="P114" s="311">
        <f t="shared" ref="P114:P120" si="120">N114*O114</f>
        <v>112.93944438554666</v>
      </c>
      <c r="Q114" s="311">
        <v>0</v>
      </c>
      <c r="R114" s="311">
        <v>0</v>
      </c>
      <c r="S114" s="312">
        <f>127.94/N114</f>
        <v>9.0625556515575009E-2</v>
      </c>
      <c r="T114" s="311">
        <f t="shared" ref="T114:T120" si="121">N114*S114</f>
        <v>127.94</v>
      </c>
      <c r="U114" s="310">
        <f>(0/N114)*N114</f>
        <v>0</v>
      </c>
      <c r="V114" s="311">
        <v>0</v>
      </c>
      <c r="W114" s="311">
        <v>0</v>
      </c>
      <c r="X114" s="311">
        <v>0</v>
      </c>
      <c r="Y114" s="311">
        <v>0</v>
      </c>
      <c r="Z114" s="311">
        <v>0</v>
      </c>
      <c r="AA114" s="311">
        <v>0</v>
      </c>
      <c r="AB114" s="311">
        <v>0</v>
      </c>
      <c r="AC114" s="311">
        <v>0</v>
      </c>
      <c r="AD114" s="313">
        <f>(N114+Q114+U114)/3</f>
        <v>470.58101827311111</v>
      </c>
      <c r="AE114" s="313">
        <f t="shared" ref="AE114:AE120" si="122">AD114*O114</f>
        <v>37.646481461848893</v>
      </c>
      <c r="AF114" s="313">
        <f>N114+Q114</f>
        <v>1411.7430548193333</v>
      </c>
      <c r="AG114" s="313">
        <f t="shared" ref="AG114:AG120" si="123">AF114*O114</f>
        <v>112.93944438554666</v>
      </c>
    </row>
    <row r="115" spans="2:40" ht="15.75" x14ac:dyDescent="0.25">
      <c r="B115" s="295" t="s">
        <v>7201</v>
      </c>
      <c r="C115" s="304" t="s">
        <v>7119</v>
      </c>
      <c r="D115" s="304" t="s">
        <v>2654</v>
      </c>
      <c r="E115" s="304" t="s">
        <v>2739</v>
      </c>
      <c r="F115" s="304" t="s">
        <v>2650</v>
      </c>
      <c r="G115" s="304" t="s">
        <v>2906</v>
      </c>
      <c r="H115" s="305">
        <v>40</v>
      </c>
      <c r="I115" s="295">
        <v>44</v>
      </c>
      <c r="J115" s="295" t="s">
        <v>2636</v>
      </c>
      <c r="K115" s="295">
        <v>0</v>
      </c>
      <c r="L115" s="306" t="s">
        <v>7201</v>
      </c>
      <c r="M115" s="295">
        <v>2</v>
      </c>
      <c r="N115" s="307">
        <f>M115*AG106</f>
        <v>1390.8798569648607</v>
      </c>
      <c r="O115" s="333">
        <v>0</v>
      </c>
      <c r="P115" s="311">
        <f t="shared" si="120"/>
        <v>0</v>
      </c>
      <c r="Q115" s="311">
        <v>0</v>
      </c>
      <c r="R115" s="311">
        <v>0</v>
      </c>
      <c r="S115" s="312">
        <f>0/N115</f>
        <v>0</v>
      </c>
      <c r="T115" s="311">
        <f t="shared" si="121"/>
        <v>0</v>
      </c>
      <c r="U115" s="310">
        <f>(0/N115)*N115</f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3">
        <f>(N115+Q115+U115)/3</f>
        <v>463.62661898828691</v>
      </c>
      <c r="AE115" s="313">
        <f t="shared" si="122"/>
        <v>0</v>
      </c>
      <c r="AF115" s="313">
        <f>N115+Q115</f>
        <v>1390.8798569648607</v>
      </c>
      <c r="AG115" s="313">
        <f t="shared" si="123"/>
        <v>0</v>
      </c>
    </row>
    <row r="116" spans="2:40" ht="15.75" x14ac:dyDescent="0.25">
      <c r="B116" s="295">
        <v>1303</v>
      </c>
      <c r="C116" s="304" t="s">
        <v>2656</v>
      </c>
      <c r="D116" s="304" t="s">
        <v>2654</v>
      </c>
      <c r="E116" s="304" t="s">
        <v>2739</v>
      </c>
      <c r="F116" s="304" t="s">
        <v>2650</v>
      </c>
      <c r="G116" s="304" t="s">
        <v>2906</v>
      </c>
      <c r="H116" s="305">
        <v>40</v>
      </c>
      <c r="I116" s="295">
        <v>44</v>
      </c>
      <c r="J116" s="295" t="s">
        <v>2634</v>
      </c>
      <c r="K116" s="295">
        <v>0</v>
      </c>
      <c r="L116" s="306">
        <v>39902</v>
      </c>
      <c r="M116" s="295">
        <v>2.1</v>
      </c>
      <c r="N116" s="307">
        <f>M116*AG106</f>
        <v>1460.4238498131037</v>
      </c>
      <c r="O116" s="333">
        <v>0.1</v>
      </c>
      <c r="P116" s="311">
        <f t="shared" si="120"/>
        <v>146.04238498131039</v>
      </c>
      <c r="Q116" s="311">
        <v>0</v>
      </c>
      <c r="R116" s="311">
        <v>0</v>
      </c>
      <c r="S116" s="312">
        <f>71.91/N116</f>
        <v>4.9239130139652677E-2</v>
      </c>
      <c r="T116" s="311">
        <f t="shared" si="121"/>
        <v>71.91</v>
      </c>
      <c r="U116" s="310">
        <f>(80.08/N116)*N116</f>
        <v>80.08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3">
        <f>(N116+Q116+U116)/3</f>
        <v>513.50128327103459</v>
      </c>
      <c r="AE116" s="313">
        <f t="shared" si="122"/>
        <v>51.350128327103462</v>
      </c>
      <c r="AF116" s="313">
        <f>N116+Q116</f>
        <v>1460.4238498131037</v>
      </c>
      <c r="AG116" s="313">
        <f t="shared" si="123"/>
        <v>146.04238498131039</v>
      </c>
    </row>
    <row r="117" spans="2:40" ht="15.75" x14ac:dyDescent="0.25">
      <c r="B117" s="295">
        <v>44</v>
      </c>
      <c r="C117" s="314" t="str">
        <f>PROPER("LUCIANE FELIX DA SILVA")</f>
        <v>Luciane Felix Da Silva</v>
      </c>
      <c r="D117" s="304" t="s">
        <v>2652</v>
      </c>
      <c r="E117" s="304" t="s">
        <v>2739</v>
      </c>
      <c r="F117" s="304" t="s">
        <v>2650</v>
      </c>
      <c r="G117" s="304" t="s">
        <v>2906</v>
      </c>
      <c r="H117" s="305">
        <v>40</v>
      </c>
      <c r="I117" s="295">
        <v>40</v>
      </c>
      <c r="J117" s="295" t="s">
        <v>2638</v>
      </c>
      <c r="K117" s="295">
        <v>0</v>
      </c>
      <c r="L117" s="306">
        <v>35585</v>
      </c>
      <c r="M117" s="295">
        <v>2.2200000000000002</v>
      </c>
      <c r="N117" s="307">
        <f>M117*AG106</f>
        <v>1543.8766412309956</v>
      </c>
      <c r="O117" s="333">
        <v>0.23</v>
      </c>
      <c r="P117" s="311">
        <f t="shared" si="120"/>
        <v>355.091627483129</v>
      </c>
      <c r="Q117" s="311">
        <f>AG106</f>
        <v>695.43992848243033</v>
      </c>
      <c r="R117" s="311">
        <v>0</v>
      </c>
      <c r="S117" s="312">
        <f>0/N117</f>
        <v>0</v>
      </c>
      <c r="T117" s="311">
        <f t="shared" si="121"/>
        <v>0</v>
      </c>
      <c r="U117" s="310">
        <f>(0/N117)*N117</f>
        <v>0</v>
      </c>
      <c r="V117" s="311">
        <v>0</v>
      </c>
      <c r="W117" s="311">
        <f>((23.38)/N117)*N117</f>
        <v>23.38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3">
        <f>(N117+Q117+U117+W117)/3</f>
        <v>754.23218990447538</v>
      </c>
      <c r="AE117" s="313">
        <f t="shared" si="122"/>
        <v>173.47340367802934</v>
      </c>
      <c r="AF117" s="313">
        <f>N117+Q117+W117</f>
        <v>2262.696569713426</v>
      </c>
      <c r="AG117" s="313">
        <f t="shared" si="123"/>
        <v>520.42021103408797</v>
      </c>
    </row>
    <row r="118" spans="2:40" ht="15.75" x14ac:dyDescent="0.25">
      <c r="B118" s="295">
        <v>1886</v>
      </c>
      <c r="C118" s="304" t="str">
        <f>PROPER("MARCOS VINICIUS PEREIRA STUDZINSKI")</f>
        <v>Marcos Vinicius Pereira Studzinski</v>
      </c>
      <c r="D118" s="304" t="s">
        <v>2673</v>
      </c>
      <c r="E118" s="304" t="s">
        <v>2739</v>
      </c>
      <c r="F118" s="304" t="s">
        <v>2650</v>
      </c>
      <c r="G118" s="304" t="s">
        <v>2906</v>
      </c>
      <c r="H118" s="305">
        <v>40</v>
      </c>
      <c r="I118" s="295">
        <v>40</v>
      </c>
      <c r="J118" s="295" t="s">
        <v>2636</v>
      </c>
      <c r="K118" s="295">
        <v>0</v>
      </c>
      <c r="L118" s="306">
        <v>41955</v>
      </c>
      <c r="M118" s="295">
        <v>1.98</v>
      </c>
      <c r="N118" s="307">
        <f>M118*AG106</f>
        <v>1376.9710583952121</v>
      </c>
      <c r="O118" s="333">
        <v>0.06</v>
      </c>
      <c r="P118" s="311">
        <f t="shared" si="120"/>
        <v>82.618263503712726</v>
      </c>
      <c r="Q118" s="311">
        <v>0</v>
      </c>
      <c r="R118" s="311">
        <v>0</v>
      </c>
      <c r="S118" s="312">
        <f>0/N118</f>
        <v>0</v>
      </c>
      <c r="T118" s="311">
        <f t="shared" si="121"/>
        <v>0</v>
      </c>
      <c r="U118" s="310">
        <f>(0/N118)*N118</f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3">
        <f t="shared" ref="AD118:AD120" si="124">(N118+Q118+U118)/3</f>
        <v>458.99035279840405</v>
      </c>
      <c r="AE118" s="313">
        <f t="shared" si="122"/>
        <v>27.539421167904241</v>
      </c>
      <c r="AF118" s="313">
        <f t="shared" ref="AF118:AF120" si="125">N118+Q118</f>
        <v>1376.9710583952121</v>
      </c>
      <c r="AG118" s="313">
        <f t="shared" si="123"/>
        <v>82.618263503712726</v>
      </c>
    </row>
    <row r="119" spans="2:40" ht="15.75" x14ac:dyDescent="0.25">
      <c r="B119" s="295">
        <v>2051</v>
      </c>
      <c r="C119" s="314" t="str">
        <f>PROPER("FRANCIELI BRZOSKOWSKI")</f>
        <v>Francieli Brzoskowski</v>
      </c>
      <c r="D119" s="304" t="s">
        <v>2643</v>
      </c>
      <c r="E119" s="304" t="s">
        <v>2739</v>
      </c>
      <c r="F119" s="304" t="s">
        <v>2650</v>
      </c>
      <c r="G119" s="304" t="s">
        <v>2906</v>
      </c>
      <c r="H119" s="305">
        <v>40</v>
      </c>
      <c r="I119" s="295">
        <v>44</v>
      </c>
      <c r="J119" s="295" t="s">
        <v>2636</v>
      </c>
      <c r="K119" s="295">
        <v>0</v>
      </c>
      <c r="L119" s="306">
        <v>42479</v>
      </c>
      <c r="M119" s="295">
        <v>1.95</v>
      </c>
      <c r="N119" s="307">
        <f>M119*AG106</f>
        <v>1356.107860540739</v>
      </c>
      <c r="O119" s="333">
        <v>0.05</v>
      </c>
      <c r="P119" s="311">
        <f t="shared" si="120"/>
        <v>67.805393027036956</v>
      </c>
      <c r="Q119" s="311">
        <v>0</v>
      </c>
      <c r="R119" s="311">
        <v>0</v>
      </c>
      <c r="S119" s="312">
        <f>127.94/N119</f>
        <v>9.4343528064931917E-2</v>
      </c>
      <c r="T119" s="311">
        <f t="shared" si="121"/>
        <v>127.93999999999998</v>
      </c>
      <c r="U119" s="310">
        <f>(0/N119)*N119</f>
        <v>0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3">
        <f t="shared" si="124"/>
        <v>452.03595351357967</v>
      </c>
      <c r="AE119" s="313">
        <f t="shared" si="122"/>
        <v>22.601797675678984</v>
      </c>
      <c r="AF119" s="313">
        <f t="shared" si="125"/>
        <v>1356.107860540739</v>
      </c>
      <c r="AG119" s="313">
        <f t="shared" si="123"/>
        <v>67.805393027036956</v>
      </c>
      <c r="AH119" s="298"/>
      <c r="AI119" s="298"/>
      <c r="AJ119" s="311"/>
      <c r="AK119" s="313"/>
      <c r="AL119" s="313"/>
      <c r="AM119" s="313"/>
      <c r="AN119" s="313"/>
    </row>
    <row r="120" spans="2:40" s="299" customFormat="1" ht="15.75" x14ac:dyDescent="0.25">
      <c r="B120" s="295">
        <v>740</v>
      </c>
      <c r="C120" s="304" t="str">
        <f>PROPER("MARIA DENISE LOPES ABREU")</f>
        <v>Maria Denise Lopes Abreu</v>
      </c>
      <c r="D120" s="304" t="s">
        <v>2675</v>
      </c>
      <c r="E120" s="304" t="s">
        <v>2739</v>
      </c>
      <c r="F120" s="304" t="s">
        <v>2650</v>
      </c>
      <c r="G120" s="304" t="s">
        <v>2906</v>
      </c>
      <c r="H120" s="305">
        <v>40</v>
      </c>
      <c r="I120" s="295">
        <v>40</v>
      </c>
      <c r="J120" s="295" t="s">
        <v>2638</v>
      </c>
      <c r="K120" s="295">
        <v>0</v>
      </c>
      <c r="L120" s="306">
        <v>38111</v>
      </c>
      <c r="M120" s="295">
        <v>6.14</v>
      </c>
      <c r="N120" s="307">
        <f>M120*AG106</f>
        <v>4270.0011608821223</v>
      </c>
      <c r="O120" s="333">
        <v>0.21</v>
      </c>
      <c r="P120" s="311">
        <f t="shared" si="120"/>
        <v>896.70024378524568</v>
      </c>
      <c r="Q120" s="311">
        <f>AG106</f>
        <v>695.43992848243033</v>
      </c>
      <c r="R120" s="311">
        <v>0</v>
      </c>
      <c r="S120" s="312">
        <f>0/N120</f>
        <v>0</v>
      </c>
      <c r="T120" s="311">
        <f t="shared" si="121"/>
        <v>0</v>
      </c>
      <c r="U120" s="310">
        <f>(0/N120)*N120</f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3">
        <f t="shared" si="124"/>
        <v>1655.1470297881842</v>
      </c>
      <c r="AE120" s="313">
        <f t="shared" si="122"/>
        <v>347.58087625551866</v>
      </c>
      <c r="AF120" s="313">
        <f t="shared" si="125"/>
        <v>4965.4410893645527</v>
      </c>
      <c r="AG120" s="313">
        <f t="shared" si="123"/>
        <v>1042.742628766556</v>
      </c>
    </row>
    <row r="121" spans="2:40" s="702" customFormat="1" x14ac:dyDescent="0.25">
      <c r="B121" s="1230" t="s">
        <v>7238</v>
      </c>
      <c r="C121" s="1230"/>
      <c r="D121" s="1230"/>
      <c r="E121" s="1230"/>
      <c r="F121" s="1230"/>
      <c r="G121" s="1230"/>
      <c r="H121" s="1230"/>
      <c r="I121" s="1230"/>
      <c r="J121" s="1230"/>
      <c r="K121" s="1230"/>
      <c r="L121" s="1230"/>
      <c r="M121" s="1230"/>
      <c r="N121" s="1193">
        <f>SUM(N114:N120)</f>
        <v>12810.003482646367</v>
      </c>
      <c r="O121" s="1231"/>
      <c r="P121" s="1193">
        <f>SUM(P114:P120)</f>
        <v>1661.1973571659814</v>
      </c>
      <c r="Q121" s="1193">
        <f>SUM(Q114:Q120)</f>
        <v>1390.8798569648607</v>
      </c>
      <c r="R121" s="1193">
        <f>SUM(R114:R120)</f>
        <v>0</v>
      </c>
      <c r="S121" s="1192"/>
      <c r="T121" s="1193">
        <f t="shared" ref="T121:AG121" si="126">SUM(T114:T120)</f>
        <v>327.78999999999996</v>
      </c>
      <c r="U121" s="1189">
        <f t="shared" si="126"/>
        <v>80.08</v>
      </c>
      <c r="V121" s="1193">
        <f t="shared" si="126"/>
        <v>0</v>
      </c>
      <c r="W121" s="1193">
        <f t="shared" si="126"/>
        <v>23.38</v>
      </c>
      <c r="X121" s="1193">
        <f t="shared" si="126"/>
        <v>0</v>
      </c>
      <c r="Y121" s="1193">
        <f t="shared" si="126"/>
        <v>0</v>
      </c>
      <c r="Z121" s="1193">
        <f t="shared" si="126"/>
        <v>0</v>
      </c>
      <c r="AA121" s="1193">
        <f t="shared" si="126"/>
        <v>0</v>
      </c>
      <c r="AB121" s="1193">
        <f t="shared" si="126"/>
        <v>0</v>
      </c>
      <c r="AC121" s="1193">
        <f t="shared" si="126"/>
        <v>0</v>
      </c>
      <c r="AD121" s="1193">
        <f t="shared" si="126"/>
        <v>4768.1144465370762</v>
      </c>
      <c r="AE121" s="1193">
        <f t="shared" si="126"/>
        <v>660.19210856608356</v>
      </c>
      <c r="AF121" s="1193">
        <f t="shared" si="126"/>
        <v>14224.263339611227</v>
      </c>
      <c r="AG121" s="1193">
        <f t="shared" si="126"/>
        <v>1972.5683256982506</v>
      </c>
    </row>
    <row r="122" spans="2:40" s="299" customFormat="1" ht="15.75" x14ac:dyDescent="0.25">
      <c r="B122" s="295"/>
      <c r="C122" s="304"/>
      <c r="D122" s="304"/>
      <c r="E122" s="304"/>
      <c r="F122" s="304"/>
      <c r="G122" s="304"/>
      <c r="H122" s="305"/>
      <c r="I122" s="295"/>
      <c r="J122" s="295"/>
      <c r="K122" s="295"/>
      <c r="L122" s="306"/>
      <c r="M122" s="295"/>
      <c r="N122" s="307"/>
      <c r="O122" s="333"/>
      <c r="P122" s="311"/>
      <c r="Q122" s="311"/>
      <c r="R122" s="311"/>
      <c r="S122" s="312"/>
      <c r="T122" s="311"/>
      <c r="U122" s="310"/>
      <c r="V122" s="311"/>
      <c r="W122" s="311"/>
      <c r="X122" s="311"/>
      <c r="Y122" s="311"/>
      <c r="Z122" s="311"/>
      <c r="AA122" s="311"/>
      <c r="AB122" s="311"/>
      <c r="AC122" s="311"/>
      <c r="AD122" s="313"/>
      <c r="AE122" s="313"/>
      <c r="AF122" s="313"/>
      <c r="AG122" s="313"/>
    </row>
    <row r="123" spans="2:40" s="299" customFormat="1" ht="15.75" x14ac:dyDescent="0.25">
      <c r="B123" s="295">
        <v>2346</v>
      </c>
      <c r="C123" s="314" t="s">
        <v>7229</v>
      </c>
      <c r="D123" s="304" t="s">
        <v>2913</v>
      </c>
      <c r="E123" s="304" t="s">
        <v>2723</v>
      </c>
      <c r="F123" s="304" t="s">
        <v>2650</v>
      </c>
      <c r="G123" s="304" t="s">
        <v>2906</v>
      </c>
      <c r="H123" s="305">
        <v>40</v>
      </c>
      <c r="I123" s="295">
        <v>40</v>
      </c>
      <c r="J123" s="295" t="s">
        <v>2636</v>
      </c>
      <c r="K123" s="295">
        <v>0</v>
      </c>
      <c r="L123" s="306">
        <v>43587</v>
      </c>
      <c r="M123" s="316">
        <v>2</v>
      </c>
      <c r="N123" s="307">
        <f>M123*AG106</f>
        <v>1390.8798569648607</v>
      </c>
      <c r="O123" s="333">
        <v>0</v>
      </c>
      <c r="P123" s="311">
        <f>N123*O123</f>
        <v>0</v>
      </c>
      <c r="Q123" s="311">
        <v>0</v>
      </c>
      <c r="R123" s="311">
        <v>0</v>
      </c>
      <c r="S123" s="312">
        <f>0/N123</f>
        <v>0</v>
      </c>
      <c r="T123" s="311">
        <f>N123*S123</f>
        <v>0</v>
      </c>
      <c r="U123" s="310">
        <f>(0/N123)*N123</f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3">
        <f>(N123+Q123+R123)/3</f>
        <v>463.62661898828691</v>
      </c>
      <c r="AE123" s="313">
        <f>AD123*O123</f>
        <v>0</v>
      </c>
      <c r="AF123" s="313">
        <f>N123</f>
        <v>1390.8798569648607</v>
      </c>
      <c r="AG123" s="313">
        <f>AF123*O123</f>
        <v>0</v>
      </c>
    </row>
    <row r="124" spans="2:40" s="702" customFormat="1" x14ac:dyDescent="0.25">
      <c r="B124" s="1230" t="s">
        <v>7230</v>
      </c>
      <c r="C124" s="1230"/>
      <c r="D124" s="1230"/>
      <c r="E124" s="1230"/>
      <c r="F124" s="1230"/>
      <c r="G124" s="1230"/>
      <c r="H124" s="1230"/>
      <c r="I124" s="1230"/>
      <c r="J124" s="1230"/>
      <c r="K124" s="1230"/>
      <c r="L124" s="1230"/>
      <c r="M124" s="1230"/>
      <c r="N124" s="1193">
        <f>SUM(N123:N123)</f>
        <v>1390.8798569648607</v>
      </c>
      <c r="O124" s="1231"/>
      <c r="P124" s="1193">
        <f t="shared" ref="P124" si="127">SUM(P123:P123)</f>
        <v>0</v>
      </c>
      <c r="Q124" s="1193">
        <f>SUM(Q123:Q123)</f>
        <v>0</v>
      </c>
      <c r="R124" s="1193">
        <f t="shared" ref="R124" si="128">SUM(R123:R123)</f>
        <v>0</v>
      </c>
      <c r="S124" s="1192"/>
      <c r="T124" s="1193">
        <f>SUM(T123:T123)</f>
        <v>0</v>
      </c>
      <c r="U124" s="1189">
        <f t="shared" ref="U124:V124" si="129">SUM(U123:U123)</f>
        <v>0</v>
      </c>
      <c r="V124" s="1193">
        <f t="shared" si="129"/>
        <v>0</v>
      </c>
      <c r="W124" s="1193">
        <f>SUM(W123:W123)</f>
        <v>0</v>
      </c>
      <c r="X124" s="1193">
        <f t="shared" ref="X124:AE124" si="130">SUM(X123:X123)</f>
        <v>0</v>
      </c>
      <c r="Y124" s="1193">
        <f t="shared" si="130"/>
        <v>0</v>
      </c>
      <c r="Z124" s="1193">
        <f t="shared" si="130"/>
        <v>0</v>
      </c>
      <c r="AA124" s="1193">
        <f t="shared" si="130"/>
        <v>0</v>
      </c>
      <c r="AB124" s="1193">
        <f t="shared" si="130"/>
        <v>0</v>
      </c>
      <c r="AC124" s="1193">
        <f t="shared" si="130"/>
        <v>0</v>
      </c>
      <c r="AD124" s="1193">
        <f t="shared" si="130"/>
        <v>463.62661898828691</v>
      </c>
      <c r="AE124" s="1193">
        <f t="shared" si="130"/>
        <v>0</v>
      </c>
      <c r="AF124" s="1193">
        <f>SUM(AF123:AF123)</f>
        <v>1390.8798569648607</v>
      </c>
      <c r="AG124" s="1193">
        <f>SUM(AG123:AG123)</f>
        <v>0</v>
      </c>
    </row>
    <row r="125" spans="2:40" s="299" customFormat="1" ht="15.75" x14ac:dyDescent="0.25">
      <c r="B125" s="295"/>
      <c r="C125" s="304"/>
      <c r="D125" s="304"/>
      <c r="E125" s="304"/>
      <c r="F125" s="304"/>
      <c r="G125" s="304"/>
      <c r="H125" s="305"/>
      <c r="I125" s="295"/>
      <c r="J125" s="295"/>
      <c r="K125" s="295"/>
      <c r="L125" s="306"/>
      <c r="M125" s="295"/>
      <c r="N125" s="307"/>
      <c r="O125" s="333"/>
      <c r="P125" s="311"/>
      <c r="Q125" s="311"/>
      <c r="R125" s="311"/>
      <c r="S125" s="312"/>
      <c r="T125" s="311"/>
      <c r="U125" s="310"/>
      <c r="V125" s="311"/>
      <c r="W125" s="311"/>
      <c r="X125" s="311"/>
      <c r="Y125" s="311"/>
      <c r="Z125" s="311"/>
      <c r="AA125" s="311"/>
      <c r="AB125" s="311"/>
      <c r="AC125" s="311"/>
      <c r="AD125" s="313"/>
      <c r="AE125" s="313"/>
      <c r="AF125" s="313"/>
      <c r="AG125" s="313"/>
    </row>
    <row r="126" spans="2:40" s="299" customFormat="1" ht="15.75" x14ac:dyDescent="0.25">
      <c r="B126" s="295">
        <v>2100</v>
      </c>
      <c r="C126" s="314" t="str">
        <f>PROPER("JULIANO TEJADA")</f>
        <v>Juliano Tejada</v>
      </c>
      <c r="D126" s="304" t="s">
        <v>2908</v>
      </c>
      <c r="E126" s="304" t="s">
        <v>2725</v>
      </c>
      <c r="F126" s="304" t="s">
        <v>2650</v>
      </c>
      <c r="G126" s="304" t="s">
        <v>2906</v>
      </c>
      <c r="H126" s="305">
        <v>40</v>
      </c>
      <c r="I126" s="295">
        <v>40</v>
      </c>
      <c r="J126" s="295" t="s">
        <v>2636</v>
      </c>
      <c r="K126" s="295">
        <v>0</v>
      </c>
      <c r="L126" s="306">
        <v>42737</v>
      </c>
      <c r="M126" s="316">
        <f>4760.1/639.67</f>
        <v>7.441493269967328</v>
      </c>
      <c r="N126" s="307">
        <f>M126*AG106</f>
        <v>5175.1115474685648</v>
      </c>
      <c r="O126" s="333">
        <v>0</v>
      </c>
      <c r="P126" s="311">
        <f>N126*O126</f>
        <v>0</v>
      </c>
      <c r="Q126" s="311">
        <v>0</v>
      </c>
      <c r="R126" s="311">
        <v>0</v>
      </c>
      <c r="S126" s="312">
        <f>0/N126</f>
        <v>0</v>
      </c>
      <c r="T126" s="311">
        <f>N126*S126</f>
        <v>0</v>
      </c>
      <c r="U126" s="310">
        <f>(0/N126)*N126</f>
        <v>0</v>
      </c>
      <c r="V126" s="311">
        <v>0</v>
      </c>
      <c r="W126" s="311">
        <v>0</v>
      </c>
      <c r="X126" s="311">
        <v>0</v>
      </c>
      <c r="Y126" s="311">
        <v>0</v>
      </c>
      <c r="Z126" s="311">
        <v>0</v>
      </c>
      <c r="AA126" s="311">
        <v>0</v>
      </c>
      <c r="AB126" s="311">
        <v>0</v>
      </c>
      <c r="AC126" s="311">
        <v>0</v>
      </c>
      <c r="AD126" s="313">
        <f>(N126+Q126+R126)/3</f>
        <v>1725.0371824895217</v>
      </c>
      <c r="AE126" s="313">
        <f>AD126*O126</f>
        <v>0</v>
      </c>
      <c r="AF126" s="313">
        <f>N126</f>
        <v>5175.1115474685648</v>
      </c>
      <c r="AG126" s="313">
        <f t="shared" ref="AG126" si="131">AF126*O126</f>
        <v>0</v>
      </c>
    </row>
    <row r="127" spans="2:40" s="702" customFormat="1" x14ac:dyDescent="0.25">
      <c r="B127" s="1230" t="s">
        <v>7231</v>
      </c>
      <c r="C127" s="1230"/>
      <c r="D127" s="1230"/>
      <c r="E127" s="1230"/>
      <c r="F127" s="1230"/>
      <c r="G127" s="1230"/>
      <c r="H127" s="1230"/>
      <c r="I127" s="1230"/>
      <c r="J127" s="1230"/>
      <c r="K127" s="1230"/>
      <c r="L127" s="306"/>
      <c r="M127" s="1230"/>
      <c r="N127" s="1193">
        <f>SUM(N126:N126)</f>
        <v>5175.1115474685648</v>
      </c>
      <c r="O127" s="1231"/>
      <c r="P127" s="1193">
        <f t="shared" ref="P127" si="132">SUM(P126:P126)</f>
        <v>0</v>
      </c>
      <c r="Q127" s="1193">
        <f>SUM(Q126:Q126)</f>
        <v>0</v>
      </c>
      <c r="R127" s="1193">
        <f t="shared" ref="R127" si="133">SUM(R126:R126)</f>
        <v>0</v>
      </c>
      <c r="S127" s="1192"/>
      <c r="T127" s="1193">
        <f>SUM(T126:T126)</f>
        <v>0</v>
      </c>
      <c r="U127" s="1189">
        <f t="shared" ref="U127:V127" si="134">SUM(U126:U126)</f>
        <v>0</v>
      </c>
      <c r="V127" s="1193">
        <f t="shared" si="134"/>
        <v>0</v>
      </c>
      <c r="W127" s="1193">
        <f>SUM(W126:W126)</f>
        <v>0</v>
      </c>
      <c r="X127" s="1193">
        <f t="shared" ref="X127:AG127" si="135">SUM(X126:X126)</f>
        <v>0</v>
      </c>
      <c r="Y127" s="1193">
        <f t="shared" si="135"/>
        <v>0</v>
      </c>
      <c r="Z127" s="1193">
        <f t="shared" si="135"/>
        <v>0</v>
      </c>
      <c r="AA127" s="1193">
        <f t="shared" si="135"/>
        <v>0</v>
      </c>
      <c r="AB127" s="1193">
        <f t="shared" si="135"/>
        <v>0</v>
      </c>
      <c r="AC127" s="1193">
        <f t="shared" si="135"/>
        <v>0</v>
      </c>
      <c r="AD127" s="1193">
        <f t="shared" si="135"/>
        <v>1725.0371824895217</v>
      </c>
      <c r="AE127" s="1193">
        <f t="shared" si="135"/>
        <v>0</v>
      </c>
      <c r="AF127" s="1193">
        <f t="shared" si="135"/>
        <v>5175.1115474685648</v>
      </c>
      <c r="AG127" s="1193">
        <f t="shared" si="135"/>
        <v>0</v>
      </c>
    </row>
    <row r="128" spans="2:40" x14ac:dyDescent="0.25">
      <c r="L128" s="306"/>
    </row>
    <row r="129" spans="2:33" s="702" customFormat="1" ht="15.75" x14ac:dyDescent="0.25">
      <c r="B129" s="1230" t="s">
        <v>7228</v>
      </c>
      <c r="C129" s="1230"/>
      <c r="D129" s="1232"/>
      <c r="E129" s="1232"/>
      <c r="F129" s="1232"/>
      <c r="G129" s="1232"/>
      <c r="H129" s="1233"/>
      <c r="I129" s="1234"/>
      <c r="J129" s="1234"/>
      <c r="K129" s="1234"/>
      <c r="L129" s="1235"/>
      <c r="M129" s="1234"/>
      <c r="N129" s="698">
        <f>N112+N121+N124+N127</f>
        <v>20766.874744044653</v>
      </c>
      <c r="O129" s="1197"/>
      <c r="P129" s="698">
        <f>P112+P121+P124+P127</f>
        <v>1661.1973571659814</v>
      </c>
      <c r="Q129" s="698">
        <f>Q112+Q121+Q124+Q127</f>
        <v>1390.8798569648607</v>
      </c>
      <c r="R129" s="698">
        <f>R112+R121+R124+R127</f>
        <v>0</v>
      </c>
      <c r="S129" s="1236"/>
      <c r="T129" s="698">
        <f>T112+T121+T124+T127</f>
        <v>404.74999999999994</v>
      </c>
      <c r="U129" s="684">
        <f>U112+U121+U124+U127</f>
        <v>80.08</v>
      </c>
      <c r="V129" s="698">
        <f>V112+V121+V124+V127</f>
        <v>0</v>
      </c>
      <c r="W129" s="698">
        <f>W112+W121+W124+W127</f>
        <v>23.38</v>
      </c>
      <c r="X129" s="698">
        <f t="shared" ref="X129:AG129" si="136">X112+X121+X124+X127</f>
        <v>0</v>
      </c>
      <c r="Y129" s="698">
        <f t="shared" si="136"/>
        <v>0</v>
      </c>
      <c r="Z129" s="698">
        <f t="shared" si="136"/>
        <v>0</v>
      </c>
      <c r="AA129" s="698">
        <f t="shared" si="136"/>
        <v>0</v>
      </c>
      <c r="AB129" s="698">
        <f t="shared" si="136"/>
        <v>0</v>
      </c>
      <c r="AC129" s="698">
        <f t="shared" si="136"/>
        <v>0</v>
      </c>
      <c r="AD129" s="698">
        <f t="shared" si="136"/>
        <v>7420.4048670031725</v>
      </c>
      <c r="AE129" s="698">
        <f t="shared" si="136"/>
        <v>660.19210856608356</v>
      </c>
      <c r="AF129" s="698">
        <f t="shared" si="136"/>
        <v>22181.134601009515</v>
      </c>
      <c r="AG129" s="698">
        <f t="shared" si="136"/>
        <v>1972.5683256982506</v>
      </c>
    </row>
    <row r="130" spans="2:33" ht="15.75" x14ac:dyDescent="0.25">
      <c r="B130" s="295"/>
      <c r="C130" s="314"/>
      <c r="D130" s="304"/>
      <c r="E130" s="304"/>
      <c r="F130" s="304"/>
      <c r="G130" s="304"/>
      <c r="H130" s="305"/>
      <c r="I130" s="295"/>
      <c r="J130" s="295"/>
      <c r="K130" s="295"/>
      <c r="L130" s="306"/>
      <c r="M130" s="295"/>
      <c r="N130" s="307"/>
      <c r="O130" s="333"/>
      <c r="P130" s="311"/>
      <c r="Q130" s="311"/>
      <c r="R130" s="311"/>
      <c r="S130" s="312"/>
      <c r="T130" s="311"/>
      <c r="U130" s="310"/>
      <c r="V130" s="311"/>
      <c r="W130" s="311"/>
      <c r="X130" s="311"/>
      <c r="Y130" s="311"/>
      <c r="Z130" s="311"/>
      <c r="AA130" s="311"/>
      <c r="AB130" s="311"/>
      <c r="AC130" s="311"/>
      <c r="AD130" s="313"/>
      <c r="AE130" s="313"/>
      <c r="AF130" s="313"/>
      <c r="AG130" s="313"/>
    </row>
    <row r="131" spans="2:33" s="1228" customFormat="1" ht="15.75" x14ac:dyDescent="0.25">
      <c r="B131" s="1224" t="s">
        <v>7232</v>
      </c>
      <c r="C131" s="1224"/>
      <c r="D131" s="1249"/>
      <c r="E131" s="1249"/>
      <c r="F131" s="1249"/>
      <c r="G131" s="1249"/>
      <c r="H131" s="1250"/>
      <c r="I131" s="1251"/>
      <c r="J131" s="1251"/>
      <c r="K131" s="1251"/>
      <c r="L131" s="1252"/>
      <c r="M131" s="1251"/>
      <c r="N131" s="1253"/>
      <c r="O131" s="1254"/>
      <c r="P131" s="1255"/>
      <c r="Q131" s="1255"/>
      <c r="R131" s="1255"/>
      <c r="S131" s="1256"/>
      <c r="T131" s="1255"/>
      <c r="U131" s="1379"/>
      <c r="V131" s="1255"/>
      <c r="W131" s="1255"/>
      <c r="X131" s="1255"/>
      <c r="Y131" s="1255"/>
      <c r="Z131" s="1255"/>
      <c r="AA131" s="1255"/>
      <c r="AB131" s="1255"/>
      <c r="AC131" s="1255"/>
      <c r="AD131" s="1257"/>
      <c r="AE131" s="1257"/>
      <c r="AF131" s="1257"/>
      <c r="AG131" s="1257"/>
    </row>
    <row r="132" spans="2:33" s="1248" customFormat="1" ht="15.75" x14ac:dyDescent="0.25">
      <c r="B132" s="1238"/>
      <c r="C132" s="1238"/>
      <c r="D132" s="1239"/>
      <c r="E132" s="1239"/>
      <c r="F132" s="1239"/>
      <c r="G132" s="1239"/>
      <c r="H132" s="1240"/>
      <c r="I132" s="1241"/>
      <c r="J132" s="1241"/>
      <c r="K132" s="1241"/>
      <c r="L132" s="1242"/>
      <c r="M132" s="1241"/>
      <c r="N132" s="1243"/>
      <c r="O132" s="1244"/>
      <c r="P132" s="1245"/>
      <c r="Q132" s="1245"/>
      <c r="R132" s="1245"/>
      <c r="S132" s="1246"/>
      <c r="T132" s="1245"/>
      <c r="U132" s="1379"/>
      <c r="V132" s="1245"/>
      <c r="W132" s="1245"/>
      <c r="X132" s="1245"/>
      <c r="Y132" s="1245"/>
      <c r="Z132" s="1245"/>
      <c r="AA132" s="1245"/>
      <c r="AB132" s="1245"/>
      <c r="AC132" s="1245"/>
      <c r="AD132" s="1247"/>
      <c r="AE132" s="1247"/>
      <c r="AF132" s="1247"/>
      <c r="AG132" s="1247"/>
    </row>
    <row r="133" spans="2:33" s="299" customFormat="1" ht="31.5" x14ac:dyDescent="0.25">
      <c r="B133" s="295">
        <v>2376</v>
      </c>
      <c r="C133" s="314" t="s">
        <v>7233</v>
      </c>
      <c r="D133" s="304" t="s">
        <v>2911</v>
      </c>
      <c r="E133" s="304" t="s">
        <v>2905</v>
      </c>
      <c r="F133" s="304" t="s">
        <v>2650</v>
      </c>
      <c r="G133" s="304" t="s">
        <v>2910</v>
      </c>
      <c r="H133" s="305">
        <v>40</v>
      </c>
      <c r="I133" s="295">
        <v>40</v>
      </c>
      <c r="J133" s="295" t="s">
        <v>2636</v>
      </c>
      <c r="K133" s="295">
        <v>0</v>
      </c>
      <c r="L133" s="306">
        <v>43667</v>
      </c>
      <c r="M133" s="295">
        <v>3</v>
      </c>
      <c r="N133" s="307">
        <f>M133*AG106</f>
        <v>2086.319785447291</v>
      </c>
      <c r="O133" s="333">
        <v>0</v>
      </c>
      <c r="P133" s="311">
        <f>N133*O133</f>
        <v>0</v>
      </c>
      <c r="Q133" s="311">
        <v>0</v>
      </c>
      <c r="R133" s="311">
        <v>0</v>
      </c>
      <c r="S133" s="312">
        <f>51.18/N133</f>
        <v>2.4531234548507818E-2</v>
      </c>
      <c r="T133" s="311">
        <f>N133*S133</f>
        <v>51.180000000000007</v>
      </c>
      <c r="U133" s="310">
        <f>(67.17/N133)*N133</f>
        <v>67.17</v>
      </c>
      <c r="V133" s="311">
        <v>0</v>
      </c>
      <c r="W133" s="311">
        <v>0</v>
      </c>
      <c r="X133" s="311">
        <v>0</v>
      </c>
      <c r="Y133" s="311">
        <v>0</v>
      </c>
      <c r="Z133" s="311">
        <v>0</v>
      </c>
      <c r="AA133" s="311">
        <v>0</v>
      </c>
      <c r="AB133" s="311">
        <v>0</v>
      </c>
      <c r="AC133" s="311">
        <v>0</v>
      </c>
      <c r="AD133" s="313">
        <f>(N133+Q133+U133)/3</f>
        <v>717.82992848243032</v>
      </c>
      <c r="AE133" s="313">
        <f>AD133*O133</f>
        <v>0</v>
      </c>
      <c r="AF133" s="313">
        <f>N133+Q133</f>
        <v>2086.319785447291</v>
      </c>
      <c r="AG133" s="313">
        <f>AF133*O133</f>
        <v>0</v>
      </c>
    </row>
    <row r="134" spans="2:33" s="299" customFormat="1" ht="31.5" x14ac:dyDescent="0.25">
      <c r="B134" s="295">
        <v>2204</v>
      </c>
      <c r="C134" s="314" t="str">
        <f>PROPER("CARLA MARIA BRANDEBURSKI")</f>
        <v>Carla Maria Brandeburski</v>
      </c>
      <c r="D134" s="304" t="s">
        <v>2909</v>
      </c>
      <c r="E134" s="304" t="s">
        <v>2905</v>
      </c>
      <c r="F134" s="304" t="s">
        <v>2650</v>
      </c>
      <c r="G134" s="304" t="s">
        <v>2910</v>
      </c>
      <c r="H134" s="305">
        <v>40</v>
      </c>
      <c r="I134" s="295">
        <v>24</v>
      </c>
      <c r="J134" s="295" t="s">
        <v>2636</v>
      </c>
      <c r="K134" s="295">
        <v>0</v>
      </c>
      <c r="L134" s="306">
        <v>43429</v>
      </c>
      <c r="M134" s="295">
        <v>12</v>
      </c>
      <c r="N134" s="307">
        <f>M134*AG106</f>
        <v>8345.279141789164</v>
      </c>
      <c r="O134" s="333">
        <v>0</v>
      </c>
      <c r="P134" s="311">
        <f>N134*O134</f>
        <v>0</v>
      </c>
      <c r="Q134" s="311">
        <v>0</v>
      </c>
      <c r="R134" s="311">
        <v>0</v>
      </c>
      <c r="S134" s="312">
        <f>0/N134</f>
        <v>0</v>
      </c>
      <c r="T134" s="311">
        <f>N134*S134</f>
        <v>0</v>
      </c>
      <c r="U134" s="310">
        <f>(268.66/N134)*N134</f>
        <v>268.66000000000003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3">
        <f>(N134+Q134+U134)/3</f>
        <v>2871.3130472630546</v>
      </c>
      <c r="AE134" s="313">
        <f>AD134*O134</f>
        <v>0</v>
      </c>
      <c r="AF134" s="313">
        <f>N134+Q134</f>
        <v>8345.279141789164</v>
      </c>
      <c r="AG134" s="313">
        <f>AF134*O134</f>
        <v>0</v>
      </c>
    </row>
    <row r="135" spans="2:33" s="299" customFormat="1" ht="31.5" x14ac:dyDescent="0.25">
      <c r="B135" s="295">
        <v>2371</v>
      </c>
      <c r="C135" s="314" t="s">
        <v>7234</v>
      </c>
      <c r="D135" s="304" t="s">
        <v>2710</v>
      </c>
      <c r="E135" s="304" t="s">
        <v>2905</v>
      </c>
      <c r="F135" s="304" t="s">
        <v>2650</v>
      </c>
      <c r="G135" s="304" t="s">
        <v>2910</v>
      </c>
      <c r="H135" s="305">
        <v>40</v>
      </c>
      <c r="I135" s="295">
        <v>40</v>
      </c>
      <c r="J135" s="295" t="s">
        <v>2636</v>
      </c>
      <c r="K135" s="295">
        <v>0</v>
      </c>
      <c r="L135" s="306">
        <v>43651</v>
      </c>
      <c r="M135" s="295">
        <v>6.5</v>
      </c>
      <c r="N135" s="307">
        <f>M135*AG106</f>
        <v>4520.3595351357972</v>
      </c>
      <c r="O135" s="333">
        <v>0</v>
      </c>
      <c r="P135" s="311">
        <f>N135*O135</f>
        <v>0</v>
      </c>
      <c r="Q135" s="311">
        <v>0</v>
      </c>
      <c r="R135" s="311">
        <v>0</v>
      </c>
      <c r="S135" s="312">
        <f>51.18/N135</f>
        <v>1.1322108253157454E-2</v>
      </c>
      <c r="T135" s="311">
        <f>N135*S135</f>
        <v>51.18</v>
      </c>
      <c r="U135" s="310">
        <f>(203.73/N135)*N135</f>
        <v>203.73</v>
      </c>
      <c r="V135" s="311">
        <v>0</v>
      </c>
      <c r="W135" s="311">
        <v>0</v>
      </c>
      <c r="X135" s="311">
        <v>0</v>
      </c>
      <c r="Y135" s="311">
        <v>0</v>
      </c>
      <c r="Z135" s="311">
        <v>0</v>
      </c>
      <c r="AA135" s="311">
        <v>0</v>
      </c>
      <c r="AB135" s="311">
        <v>0</v>
      </c>
      <c r="AC135" s="311">
        <v>0</v>
      </c>
      <c r="AD135" s="313">
        <f>(N135+Q135+U135)/3</f>
        <v>1574.6965117119323</v>
      </c>
      <c r="AE135" s="313">
        <f>AD135*O135</f>
        <v>0</v>
      </c>
      <c r="AF135" s="313">
        <f>N135+Q135</f>
        <v>4520.3595351357972</v>
      </c>
      <c r="AG135" s="313">
        <f>AF135*O135</f>
        <v>0</v>
      </c>
    </row>
    <row r="136" spans="2:33" s="299" customFormat="1" ht="31.5" x14ac:dyDescent="0.25">
      <c r="B136" s="295">
        <v>2382</v>
      </c>
      <c r="C136" s="314" t="str">
        <f>PROPER("JOSE ARMANDO DE SOUZA LEITUNE")</f>
        <v>Jose Armando De Souza Leitune</v>
      </c>
      <c r="D136" s="304" t="s">
        <v>2909</v>
      </c>
      <c r="E136" s="304" t="s">
        <v>2905</v>
      </c>
      <c r="F136" s="304" t="s">
        <v>2650</v>
      </c>
      <c r="G136" s="304" t="s">
        <v>2910</v>
      </c>
      <c r="H136" s="305">
        <v>40</v>
      </c>
      <c r="I136" s="295">
        <v>24</v>
      </c>
      <c r="J136" s="295" t="s">
        <v>2636</v>
      </c>
      <c r="K136" s="295">
        <v>0</v>
      </c>
      <c r="L136" s="306">
        <v>43698</v>
      </c>
      <c r="M136" s="295">
        <v>12</v>
      </c>
      <c r="N136" s="307">
        <f>M136*AG106</f>
        <v>8345.279141789164</v>
      </c>
      <c r="O136" s="333">
        <v>0</v>
      </c>
      <c r="P136" s="311">
        <f>N136*O136</f>
        <v>0</v>
      </c>
      <c r="Q136" s="311">
        <v>0</v>
      </c>
      <c r="R136" s="311">
        <v>0</v>
      </c>
      <c r="S136" s="312">
        <f>17.06/N136</f>
        <v>2.0442695457089845E-3</v>
      </c>
      <c r="T136" s="311">
        <f>N136*S136</f>
        <v>17.059999999999999</v>
      </c>
      <c r="U136" s="310">
        <f>(626.88/N136)*N136</f>
        <v>626.88</v>
      </c>
      <c r="V136" s="311">
        <v>0</v>
      </c>
      <c r="W136" s="311">
        <v>0</v>
      </c>
      <c r="X136" s="311">
        <v>0</v>
      </c>
      <c r="Y136" s="311">
        <v>0</v>
      </c>
      <c r="Z136" s="311">
        <v>0</v>
      </c>
      <c r="AA136" s="311">
        <v>0</v>
      </c>
      <c r="AB136" s="311">
        <v>0</v>
      </c>
      <c r="AC136" s="311">
        <v>0</v>
      </c>
      <c r="AD136" s="313">
        <f>(N136+Q136+U136)/3</f>
        <v>2990.7197139297209</v>
      </c>
      <c r="AE136" s="313">
        <f>AD136*O136</f>
        <v>0</v>
      </c>
      <c r="AF136" s="313">
        <f>N136+Q136</f>
        <v>8345.279141789164</v>
      </c>
      <c r="AG136" s="313">
        <f>AF136*O136</f>
        <v>0</v>
      </c>
    </row>
    <row r="137" spans="2:33" s="299" customFormat="1" ht="31.5" x14ac:dyDescent="0.25">
      <c r="B137" s="295">
        <v>2275</v>
      </c>
      <c r="C137" s="314" t="str">
        <f>PROPER("LICIANE MARIA RUTIKOSKI TANSK")</f>
        <v>Liciane Maria Rutikoski Tansk</v>
      </c>
      <c r="D137" s="304" t="s">
        <v>2911</v>
      </c>
      <c r="E137" s="304" t="s">
        <v>2905</v>
      </c>
      <c r="F137" s="304" t="s">
        <v>2650</v>
      </c>
      <c r="G137" s="304" t="s">
        <v>2910</v>
      </c>
      <c r="H137" s="305">
        <v>40</v>
      </c>
      <c r="I137" s="295">
        <v>40</v>
      </c>
      <c r="J137" s="295" t="s">
        <v>2636</v>
      </c>
      <c r="K137" s="295">
        <v>0</v>
      </c>
      <c r="L137" s="306">
        <v>43669</v>
      </c>
      <c r="M137" s="295">
        <v>3</v>
      </c>
      <c r="N137" s="307">
        <f>M137*AG106</f>
        <v>2086.319785447291</v>
      </c>
      <c r="O137" s="333">
        <v>0</v>
      </c>
      <c r="P137" s="311">
        <f>N137*O137</f>
        <v>0</v>
      </c>
      <c r="Q137" s="311">
        <v>0</v>
      </c>
      <c r="R137" s="311">
        <v>0</v>
      </c>
      <c r="S137" s="312">
        <f>51.18/N137</f>
        <v>2.4531234548507818E-2</v>
      </c>
      <c r="T137" s="311">
        <f>N137*S137</f>
        <v>51.180000000000007</v>
      </c>
      <c r="U137" s="310">
        <f>(40.3/N137)*N137</f>
        <v>40.299999999999997</v>
      </c>
      <c r="V137" s="311">
        <v>0</v>
      </c>
      <c r="W137" s="311">
        <v>0</v>
      </c>
      <c r="X137" s="311">
        <v>0</v>
      </c>
      <c r="Y137" s="311">
        <v>0</v>
      </c>
      <c r="Z137" s="311">
        <v>0</v>
      </c>
      <c r="AA137" s="311">
        <v>0</v>
      </c>
      <c r="AB137" s="311">
        <v>0</v>
      </c>
      <c r="AC137" s="311">
        <v>0</v>
      </c>
      <c r="AD137" s="313">
        <f>(N137+Q137+U137)/3</f>
        <v>708.87326181576373</v>
      </c>
      <c r="AE137" s="313">
        <f>AD137*O137</f>
        <v>0</v>
      </c>
      <c r="AF137" s="313">
        <f>N137+Q137</f>
        <v>2086.319785447291</v>
      </c>
      <c r="AG137" s="313">
        <f>AF137*O137</f>
        <v>0</v>
      </c>
    </row>
    <row r="138" spans="2:33" ht="31.5" x14ac:dyDescent="0.25">
      <c r="B138" s="295">
        <v>2355</v>
      </c>
      <c r="C138" s="304" t="s">
        <v>7235</v>
      </c>
      <c r="D138" s="304" t="s">
        <v>2654</v>
      </c>
      <c r="E138" s="304" t="s">
        <v>2905</v>
      </c>
      <c r="F138" s="304" t="s">
        <v>2650</v>
      </c>
      <c r="G138" s="304" t="s">
        <v>2910</v>
      </c>
      <c r="H138" s="305">
        <v>40</v>
      </c>
      <c r="I138" s="295">
        <v>44</v>
      </c>
      <c r="J138" s="295" t="s">
        <v>2636</v>
      </c>
      <c r="K138" s="295">
        <v>0</v>
      </c>
      <c r="L138" s="306">
        <v>43588</v>
      </c>
      <c r="M138" s="295">
        <v>2</v>
      </c>
      <c r="N138" s="307">
        <f>M138*AG106</f>
        <v>1390.8798569648607</v>
      </c>
      <c r="O138" s="333">
        <v>0</v>
      </c>
      <c r="P138" s="311">
        <f t="shared" ref="P138" si="137">N138*O138</f>
        <v>0</v>
      </c>
      <c r="Q138" s="311">
        <v>0</v>
      </c>
      <c r="R138" s="311">
        <v>0</v>
      </c>
      <c r="S138" s="312">
        <f>76.76/N138</f>
        <v>5.5188088040546895E-2</v>
      </c>
      <c r="T138" s="311">
        <f t="shared" ref="T138" si="138">N138*S138</f>
        <v>76.760000000000005</v>
      </c>
      <c r="U138" s="310">
        <f>(77.34/N138)*N138</f>
        <v>77.34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3">
        <f t="shared" ref="AD138" si="139">(N138+Q138+U138)/3</f>
        <v>489.40661898828688</v>
      </c>
      <c r="AE138" s="313">
        <f t="shared" ref="AE138" si="140">AD138*O138</f>
        <v>0</v>
      </c>
      <c r="AF138" s="313">
        <f t="shared" ref="AF138" si="141">N138+Q138</f>
        <v>1390.8798569648607</v>
      </c>
      <c r="AG138" s="313">
        <f t="shared" ref="AG138" si="142">AF138*O138</f>
        <v>0</v>
      </c>
    </row>
    <row r="139" spans="2:33" s="299" customFormat="1" ht="31.5" x14ac:dyDescent="0.25">
      <c r="B139" s="295">
        <v>2298</v>
      </c>
      <c r="C139" s="314" t="s">
        <v>7236</v>
      </c>
      <c r="D139" s="304" t="s">
        <v>2710</v>
      </c>
      <c r="E139" s="304" t="s">
        <v>2905</v>
      </c>
      <c r="F139" s="304" t="s">
        <v>2650</v>
      </c>
      <c r="G139" s="304" t="s">
        <v>2910</v>
      </c>
      <c r="H139" s="305">
        <v>40</v>
      </c>
      <c r="I139" s="295">
        <v>40</v>
      </c>
      <c r="J139" s="295" t="s">
        <v>2636</v>
      </c>
      <c r="K139" s="295">
        <v>0</v>
      </c>
      <c r="L139" s="306">
        <v>43377</v>
      </c>
      <c r="M139" s="295">
        <v>6.5</v>
      </c>
      <c r="N139" s="307">
        <f>M139*AG106</f>
        <v>4520.3595351357972</v>
      </c>
      <c r="O139" s="333">
        <v>0</v>
      </c>
      <c r="P139" s="311">
        <f>N139*O139</f>
        <v>0</v>
      </c>
      <c r="Q139" s="311">
        <v>0</v>
      </c>
      <c r="R139" s="311">
        <v>0</v>
      </c>
      <c r="S139" s="312">
        <f>51.18/N139</f>
        <v>1.1322108253157454E-2</v>
      </c>
      <c r="T139" s="311">
        <f>N139*S139</f>
        <v>51.18</v>
      </c>
      <c r="U139" s="310">
        <f>(232.84/N139)*N139</f>
        <v>232.84</v>
      </c>
      <c r="V139" s="311">
        <v>0</v>
      </c>
      <c r="W139" s="311">
        <v>0</v>
      </c>
      <c r="X139" s="311">
        <v>0</v>
      </c>
      <c r="Y139" s="311">
        <v>0</v>
      </c>
      <c r="Z139" s="311">
        <v>0</v>
      </c>
      <c r="AA139" s="311">
        <v>0</v>
      </c>
      <c r="AB139" s="311">
        <v>0</v>
      </c>
      <c r="AC139" s="311">
        <v>0</v>
      </c>
      <c r="AD139" s="313">
        <f>(N139+Q139+U139)/3</f>
        <v>1584.3998450452657</v>
      </c>
      <c r="AE139" s="313">
        <f>AD139*O139</f>
        <v>0</v>
      </c>
      <c r="AF139" s="313">
        <f>N139+Q139</f>
        <v>4520.3595351357972</v>
      </c>
      <c r="AG139" s="313">
        <f>AF139*O139</f>
        <v>0</v>
      </c>
    </row>
    <row r="140" spans="2:33" s="1228" customFormat="1" ht="15.75" x14ac:dyDescent="0.25">
      <c r="B140" s="1224" t="s">
        <v>7239</v>
      </c>
      <c r="C140" s="1224"/>
      <c r="D140" s="1249"/>
      <c r="E140" s="1249"/>
      <c r="F140" s="1249"/>
      <c r="G140" s="1249"/>
      <c r="H140" s="1250"/>
      <c r="I140" s="1251"/>
      <c r="J140" s="1251"/>
      <c r="K140" s="1251"/>
      <c r="L140" s="1252"/>
      <c r="M140" s="1251"/>
      <c r="N140" s="1253">
        <f>SUM(N133:N139)</f>
        <v>31294.796781709367</v>
      </c>
      <c r="O140" s="1254"/>
      <c r="P140" s="1253">
        <f t="shared" ref="P140" si="143">SUM(P133:P139)</f>
        <v>0</v>
      </c>
      <c r="Q140" s="1253">
        <f t="shared" ref="Q140" si="144">SUM(Q133:Q139)</f>
        <v>0</v>
      </c>
      <c r="R140" s="1253">
        <f t="shared" ref="R140" si="145">SUM(R133:R139)</f>
        <v>0</v>
      </c>
      <c r="S140" s="1256"/>
      <c r="T140" s="1253">
        <f>SUM(T133:T139)</f>
        <v>298.54000000000002</v>
      </c>
      <c r="U140" s="684">
        <f>SUM(U133:U139)</f>
        <v>1516.9199999999998</v>
      </c>
      <c r="V140" s="1253">
        <f t="shared" ref="V140" si="146">SUM(V133:V139)</f>
        <v>0</v>
      </c>
      <c r="W140" s="1253">
        <f t="shared" ref="W140" si="147">SUM(W133:W139)</f>
        <v>0</v>
      </c>
      <c r="X140" s="1253">
        <f t="shared" ref="X140" si="148">SUM(X133:X139)</f>
        <v>0</v>
      </c>
      <c r="Y140" s="1253">
        <f t="shared" ref="Y140" si="149">SUM(Y133:Y139)</f>
        <v>0</v>
      </c>
      <c r="Z140" s="1253">
        <f t="shared" ref="Z140" si="150">SUM(Z133:Z139)</f>
        <v>0</v>
      </c>
      <c r="AA140" s="1253">
        <f t="shared" ref="AA140" si="151">SUM(AA133:AA139)</f>
        <v>0</v>
      </c>
      <c r="AB140" s="1253">
        <f t="shared" ref="AB140" si="152">SUM(AB133:AB139)</f>
        <v>0</v>
      </c>
      <c r="AC140" s="1253">
        <f t="shared" ref="AC140" si="153">SUM(AC133:AC139)</f>
        <v>0</v>
      </c>
      <c r="AD140" s="1253">
        <f t="shared" ref="AD140" si="154">SUM(AD133:AD139)</f>
        <v>10937.238927236454</v>
      </c>
      <c r="AE140" s="1253">
        <f t="shared" ref="AE140" si="155">SUM(AE133:AE139)</f>
        <v>0</v>
      </c>
      <c r="AF140" s="1253">
        <f t="shared" ref="AF140" si="156">SUM(AF133:AF139)</f>
        <v>31294.796781709367</v>
      </c>
      <c r="AG140" s="1253">
        <f t="shared" ref="AG140" si="157">SUM(AG133:AG139)</f>
        <v>0</v>
      </c>
    </row>
    <row r="141" spans="2:33" ht="15.75" x14ac:dyDescent="0.25">
      <c r="B141" s="295"/>
      <c r="C141" s="314"/>
      <c r="D141" s="304"/>
      <c r="E141" s="304"/>
      <c r="F141" s="304"/>
      <c r="G141" s="304"/>
      <c r="H141" s="305"/>
      <c r="I141" s="295"/>
      <c r="J141" s="295"/>
      <c r="K141" s="295"/>
      <c r="L141" s="306"/>
      <c r="M141" s="295"/>
      <c r="N141" s="307"/>
      <c r="O141" s="333"/>
      <c r="P141" s="311"/>
      <c r="Q141" s="311"/>
      <c r="R141" s="311"/>
      <c r="S141" s="312"/>
      <c r="T141" s="311"/>
      <c r="U141" s="310"/>
      <c r="V141" s="311"/>
      <c r="W141" s="311"/>
      <c r="X141" s="311"/>
      <c r="Y141" s="311"/>
      <c r="Z141" s="311"/>
      <c r="AA141" s="311"/>
      <c r="AB141" s="311"/>
      <c r="AC141" s="311"/>
      <c r="AD141" s="313"/>
      <c r="AE141" s="313"/>
      <c r="AF141" s="313"/>
      <c r="AG141" s="313"/>
    </row>
    <row r="142" spans="2:33" ht="31.5" x14ac:dyDescent="0.25">
      <c r="B142" s="295">
        <v>799</v>
      </c>
      <c r="C142" s="304" t="s">
        <v>2709</v>
      </c>
      <c r="D142" s="304" t="s">
        <v>2710</v>
      </c>
      <c r="E142" s="304" t="s">
        <v>2739</v>
      </c>
      <c r="F142" s="304" t="s">
        <v>2650</v>
      </c>
      <c r="G142" s="304" t="s">
        <v>2910</v>
      </c>
      <c r="H142" s="305">
        <v>40</v>
      </c>
      <c r="I142" s="295">
        <v>40</v>
      </c>
      <c r="J142" s="295" t="s">
        <v>2648</v>
      </c>
      <c r="K142" s="295">
        <v>0</v>
      </c>
      <c r="L142" s="306">
        <v>38366</v>
      </c>
      <c r="M142" s="316">
        <f>4579.08/639.67</f>
        <v>7.1585036034205141</v>
      </c>
      <c r="N142" s="307">
        <f>M142*AG106</f>
        <v>4978.3092340039821</v>
      </c>
      <c r="O142" s="333">
        <v>0.15</v>
      </c>
      <c r="P142" s="311">
        <f t="shared" ref="P142:P157" si="158">N142*O142</f>
        <v>746.74638510059731</v>
      </c>
      <c r="Q142" s="311">
        <f>AG106</f>
        <v>695.43992848243033</v>
      </c>
      <c r="R142" s="311">
        <v>0</v>
      </c>
      <c r="S142" s="312">
        <f>0/N142</f>
        <v>0</v>
      </c>
      <c r="T142" s="311">
        <f t="shared" ref="T142:T157" si="159">N142*S142</f>
        <v>0</v>
      </c>
      <c r="U142" s="310">
        <f>(288.54/N142)*N142</f>
        <v>288.54000000000002</v>
      </c>
      <c r="V142" s="311">
        <v>0</v>
      </c>
      <c r="W142" s="311">
        <v>0</v>
      </c>
      <c r="X142" s="311">
        <v>0</v>
      </c>
      <c r="Y142" s="311">
        <v>0</v>
      </c>
      <c r="Z142" s="311">
        <v>0</v>
      </c>
      <c r="AA142" s="311">
        <v>0</v>
      </c>
      <c r="AB142" s="311">
        <v>0</v>
      </c>
      <c r="AC142" s="311">
        <v>0</v>
      </c>
      <c r="AD142" s="313">
        <f t="shared" ref="AD142:AD157" si="160">(N142+Q142+U142)/3</f>
        <v>1987.4297208288042</v>
      </c>
      <c r="AE142" s="313">
        <f t="shared" ref="AE142:AE157" si="161">AD142*O142</f>
        <v>298.11445812432061</v>
      </c>
      <c r="AF142" s="313">
        <f t="shared" ref="AF142:AF157" si="162">N142+Q142</f>
        <v>5673.7491624864124</v>
      </c>
      <c r="AG142" s="313">
        <f t="shared" ref="AG142:AG157" si="163">AF142*O142</f>
        <v>851.06237437296181</v>
      </c>
    </row>
    <row r="143" spans="2:33" ht="31.5" x14ac:dyDescent="0.25">
      <c r="B143" s="295">
        <v>810</v>
      </c>
      <c r="C143" s="304" t="s">
        <v>2711</v>
      </c>
      <c r="D143" s="304" t="s">
        <v>2710</v>
      </c>
      <c r="E143" s="304" t="s">
        <v>2739</v>
      </c>
      <c r="F143" s="304" t="s">
        <v>2650</v>
      </c>
      <c r="G143" s="304" t="s">
        <v>2910</v>
      </c>
      <c r="H143" s="305">
        <v>40</v>
      </c>
      <c r="I143" s="295">
        <v>40</v>
      </c>
      <c r="J143" s="295" t="s">
        <v>2636</v>
      </c>
      <c r="K143" s="295">
        <v>0</v>
      </c>
      <c r="L143" s="306">
        <v>38369</v>
      </c>
      <c r="M143" s="295">
        <v>6.5</v>
      </c>
      <c r="N143" s="307">
        <f>M143*AG106</f>
        <v>4520.3595351357972</v>
      </c>
      <c r="O143" s="333">
        <v>0.15</v>
      </c>
      <c r="P143" s="311">
        <f t="shared" si="158"/>
        <v>678.05393027036951</v>
      </c>
      <c r="Q143" s="311">
        <v>0</v>
      </c>
      <c r="R143" s="311">
        <v>0</v>
      </c>
      <c r="S143" s="312">
        <f>44.36/N143</f>
        <v>9.8133787047687496E-3</v>
      </c>
      <c r="T143" s="311">
        <f t="shared" si="159"/>
        <v>44.36</v>
      </c>
      <c r="U143" s="310">
        <f>(0/N143)*N143</f>
        <v>0</v>
      </c>
      <c r="V143" s="311">
        <v>0</v>
      </c>
      <c r="W143" s="311">
        <v>0</v>
      </c>
      <c r="X143" s="311">
        <v>0</v>
      </c>
      <c r="Y143" s="311">
        <v>0</v>
      </c>
      <c r="Z143" s="311">
        <v>0</v>
      </c>
      <c r="AA143" s="311">
        <v>0</v>
      </c>
      <c r="AB143" s="311">
        <v>0</v>
      </c>
      <c r="AC143" s="311">
        <v>0</v>
      </c>
      <c r="AD143" s="313">
        <f t="shared" si="160"/>
        <v>1506.7865117119325</v>
      </c>
      <c r="AE143" s="313">
        <f t="shared" si="161"/>
        <v>226.01797675678986</v>
      </c>
      <c r="AF143" s="313">
        <f t="shared" si="162"/>
        <v>4520.3595351357972</v>
      </c>
      <c r="AG143" s="313">
        <f t="shared" si="163"/>
        <v>678.05393027036951</v>
      </c>
    </row>
    <row r="144" spans="2:33" s="326" customFormat="1" ht="31.5" x14ac:dyDescent="0.25">
      <c r="B144" s="1383">
        <v>1958</v>
      </c>
      <c r="C144" s="1384" t="s">
        <v>2713</v>
      </c>
      <c r="D144" s="1384" t="s">
        <v>2682</v>
      </c>
      <c r="E144" s="1384" t="s">
        <v>2739</v>
      </c>
      <c r="F144" s="1384" t="s">
        <v>2650</v>
      </c>
      <c r="G144" s="1384" t="s">
        <v>2910</v>
      </c>
      <c r="H144" s="1385">
        <v>40</v>
      </c>
      <c r="I144" s="1383">
        <v>40</v>
      </c>
      <c r="J144" s="1383" t="s">
        <v>2636</v>
      </c>
      <c r="K144" s="1383">
        <v>0</v>
      </c>
      <c r="L144" s="1386">
        <v>42166</v>
      </c>
      <c r="M144" s="1383">
        <v>3.15</v>
      </c>
      <c r="N144" s="319">
        <f>M144*AG106</f>
        <v>2190.6357747196553</v>
      </c>
      <c r="O144" s="309">
        <v>0.05</v>
      </c>
      <c r="P144" s="310">
        <f t="shared" si="158"/>
        <v>109.53178873598277</v>
      </c>
      <c r="Q144" s="310">
        <v>0</v>
      </c>
      <c r="R144" s="310">
        <v>0</v>
      </c>
      <c r="S144" s="1387">
        <f>51.18/N144</f>
        <v>2.3363080522388398E-2</v>
      </c>
      <c r="T144" s="310">
        <f t="shared" si="159"/>
        <v>51.18</v>
      </c>
      <c r="U144" s="310">
        <f>(0/N144)*N144</f>
        <v>0</v>
      </c>
      <c r="V144" s="310">
        <v>0</v>
      </c>
      <c r="W144" s="310">
        <v>0</v>
      </c>
      <c r="X144" s="310">
        <v>0</v>
      </c>
      <c r="Y144" s="310">
        <v>0</v>
      </c>
      <c r="Z144" s="310">
        <v>0</v>
      </c>
      <c r="AA144" s="310">
        <v>0</v>
      </c>
      <c r="AB144" s="310">
        <v>0</v>
      </c>
      <c r="AC144" s="310">
        <v>0</v>
      </c>
      <c r="AD144" s="1388">
        <f t="shared" si="160"/>
        <v>730.21192490655176</v>
      </c>
      <c r="AE144" s="1388">
        <f t="shared" si="161"/>
        <v>36.510596245327591</v>
      </c>
      <c r="AF144" s="1388">
        <f t="shared" si="162"/>
        <v>2190.6357747196553</v>
      </c>
      <c r="AG144" s="1388">
        <f t="shared" si="163"/>
        <v>109.53178873598277</v>
      </c>
    </row>
    <row r="145" spans="2:33" ht="31.5" x14ac:dyDescent="0.25">
      <c r="B145" s="295">
        <v>556</v>
      </c>
      <c r="C145" s="304" t="s">
        <v>2700</v>
      </c>
      <c r="D145" s="304" t="s">
        <v>2701</v>
      </c>
      <c r="E145" s="304" t="s">
        <v>2739</v>
      </c>
      <c r="F145" s="304" t="s">
        <v>2650</v>
      </c>
      <c r="G145" s="304" t="s">
        <v>2910</v>
      </c>
      <c r="H145" s="305">
        <v>40</v>
      </c>
      <c r="I145" s="295">
        <v>40</v>
      </c>
      <c r="J145" s="295" t="s">
        <v>2648</v>
      </c>
      <c r="K145" s="295">
        <v>0</v>
      </c>
      <c r="L145" s="306">
        <v>37477</v>
      </c>
      <c r="M145" s="295">
        <v>2.64</v>
      </c>
      <c r="N145" s="307">
        <f>M145*AG106</f>
        <v>1835.9614111936162</v>
      </c>
      <c r="O145" s="333">
        <v>0.18</v>
      </c>
      <c r="P145" s="311">
        <f t="shared" si="158"/>
        <v>330.4730540148509</v>
      </c>
      <c r="Q145" s="311">
        <v>0</v>
      </c>
      <c r="R145" s="311">
        <v>0</v>
      </c>
      <c r="S145" s="312">
        <f>0/N145</f>
        <v>0</v>
      </c>
      <c r="T145" s="311">
        <f t="shared" si="159"/>
        <v>0</v>
      </c>
      <c r="U145" s="310">
        <f>(94.56/N145)*N145</f>
        <v>94.56</v>
      </c>
      <c r="V145" s="311">
        <v>0</v>
      </c>
      <c r="W145" s="311">
        <v>0</v>
      </c>
      <c r="X145" s="311">
        <v>0</v>
      </c>
      <c r="Y145" s="311">
        <v>0</v>
      </c>
      <c r="Z145" s="311">
        <v>0</v>
      </c>
      <c r="AA145" s="311">
        <v>0</v>
      </c>
      <c r="AB145" s="311">
        <v>0</v>
      </c>
      <c r="AC145" s="311">
        <v>0</v>
      </c>
      <c r="AD145" s="313">
        <f t="shared" si="160"/>
        <v>643.50713706453871</v>
      </c>
      <c r="AE145" s="313">
        <f t="shared" si="161"/>
        <v>115.83128467161697</v>
      </c>
      <c r="AF145" s="313">
        <f t="shared" si="162"/>
        <v>1835.9614111936162</v>
      </c>
      <c r="AG145" s="313">
        <f t="shared" si="163"/>
        <v>330.4730540148509</v>
      </c>
    </row>
    <row r="146" spans="2:33" ht="31.5" x14ac:dyDescent="0.25">
      <c r="B146" s="295">
        <v>1898</v>
      </c>
      <c r="C146" s="304" t="str">
        <f>PROPER("DANIELE NOGUEIRA PEIXOTO")</f>
        <v>Daniele Nogueira Peixoto</v>
      </c>
      <c r="D146" s="304" t="s">
        <v>2703</v>
      </c>
      <c r="E146" s="304" t="s">
        <v>2739</v>
      </c>
      <c r="F146" s="304" t="s">
        <v>2650</v>
      </c>
      <c r="G146" s="304" t="s">
        <v>2910</v>
      </c>
      <c r="H146" s="305">
        <v>40</v>
      </c>
      <c r="I146" s="295">
        <v>40</v>
      </c>
      <c r="J146" s="295" t="s">
        <v>2636</v>
      </c>
      <c r="K146" s="295">
        <v>0</v>
      </c>
      <c r="L146" s="306">
        <v>42037</v>
      </c>
      <c r="M146" s="316">
        <f>2659.04/639.67</f>
        <v>4.1568933981584255</v>
      </c>
      <c r="N146" s="307">
        <f>M146*AG106</f>
        <v>2890.8696475243823</v>
      </c>
      <c r="O146" s="333">
        <v>0.05</v>
      </c>
      <c r="P146" s="311">
        <f t="shared" si="158"/>
        <v>144.54348237621912</v>
      </c>
      <c r="Q146" s="311">
        <v>0</v>
      </c>
      <c r="R146" s="311">
        <v>0</v>
      </c>
      <c r="S146" s="312">
        <f>51.18/N146</f>
        <v>1.7704015137392434E-2</v>
      </c>
      <c r="T146" s="311">
        <f t="shared" si="159"/>
        <v>51.179999999999993</v>
      </c>
      <c r="U146" s="310">
        <f>(126.94/N146)*N146</f>
        <v>126.94</v>
      </c>
      <c r="V146" s="311">
        <v>0</v>
      </c>
      <c r="W146" s="311">
        <v>0</v>
      </c>
      <c r="X146" s="311">
        <v>0</v>
      </c>
      <c r="Y146" s="311">
        <v>0</v>
      </c>
      <c r="Z146" s="311">
        <v>0</v>
      </c>
      <c r="AA146" s="311">
        <v>0</v>
      </c>
      <c r="AB146" s="311">
        <v>0</v>
      </c>
      <c r="AC146" s="311">
        <v>0</v>
      </c>
      <c r="AD146" s="313">
        <f t="shared" si="160"/>
        <v>1005.9365491747941</v>
      </c>
      <c r="AE146" s="313">
        <f t="shared" si="161"/>
        <v>50.296827458739706</v>
      </c>
      <c r="AF146" s="313">
        <f t="shared" si="162"/>
        <v>2890.8696475243823</v>
      </c>
      <c r="AG146" s="313">
        <f t="shared" si="163"/>
        <v>144.54348237621912</v>
      </c>
    </row>
    <row r="147" spans="2:33" ht="31.5" x14ac:dyDescent="0.25">
      <c r="B147" s="295">
        <v>1064</v>
      </c>
      <c r="C147" s="304" t="str">
        <f>PROPER("DINAIR DA SILVA LACERDA")</f>
        <v>Dinair Da Silva Lacerda</v>
      </c>
      <c r="D147" s="304" t="s">
        <v>2703</v>
      </c>
      <c r="E147" s="304" t="s">
        <v>2739</v>
      </c>
      <c r="F147" s="304" t="s">
        <v>2650</v>
      </c>
      <c r="G147" s="304" t="s">
        <v>2910</v>
      </c>
      <c r="H147" s="305">
        <v>40</v>
      </c>
      <c r="I147" s="295">
        <v>40</v>
      </c>
      <c r="J147" s="295" t="s">
        <v>2634</v>
      </c>
      <c r="K147" s="295">
        <v>0</v>
      </c>
      <c r="L147" s="306">
        <v>39247</v>
      </c>
      <c r="M147" s="295">
        <v>3.15</v>
      </c>
      <c r="N147" s="307">
        <f>M147*AG106</f>
        <v>2190.6357747196553</v>
      </c>
      <c r="O147" s="333">
        <v>0.13</v>
      </c>
      <c r="P147" s="311">
        <f t="shared" si="158"/>
        <v>284.7826507135552</v>
      </c>
      <c r="Q147" s="311">
        <v>0</v>
      </c>
      <c r="R147" s="311">
        <v>0</v>
      </c>
      <c r="S147" s="312">
        <f>51.18/N147</f>
        <v>2.3363080522388398E-2</v>
      </c>
      <c r="T147" s="311">
        <f t="shared" si="159"/>
        <v>51.18</v>
      </c>
      <c r="U147" s="310">
        <f>(0/N147)*N147</f>
        <v>0</v>
      </c>
      <c r="V147" s="311">
        <v>0</v>
      </c>
      <c r="W147" s="311">
        <v>0</v>
      </c>
      <c r="X147" s="311">
        <v>0</v>
      </c>
      <c r="Y147" s="311">
        <v>0</v>
      </c>
      <c r="Z147" s="311">
        <v>0</v>
      </c>
      <c r="AA147" s="311">
        <v>0</v>
      </c>
      <c r="AB147" s="311">
        <v>0</v>
      </c>
      <c r="AC147" s="311">
        <v>0</v>
      </c>
      <c r="AD147" s="313">
        <f t="shared" si="160"/>
        <v>730.21192490655176</v>
      </c>
      <c r="AE147" s="313">
        <f t="shared" si="161"/>
        <v>94.927550237851733</v>
      </c>
      <c r="AF147" s="313">
        <f t="shared" si="162"/>
        <v>2190.6357747196553</v>
      </c>
      <c r="AG147" s="313">
        <f t="shared" si="163"/>
        <v>284.7826507135552</v>
      </c>
    </row>
    <row r="148" spans="2:33" ht="31.5" x14ac:dyDescent="0.25">
      <c r="B148" s="295">
        <v>1647</v>
      </c>
      <c r="C148" s="304" t="s">
        <v>2653</v>
      </c>
      <c r="D148" s="304" t="s">
        <v>2654</v>
      </c>
      <c r="E148" s="304" t="s">
        <v>2739</v>
      </c>
      <c r="F148" s="304" t="s">
        <v>2650</v>
      </c>
      <c r="G148" s="304" t="s">
        <v>2910</v>
      </c>
      <c r="H148" s="305">
        <v>40</v>
      </c>
      <c r="I148" s="295">
        <v>44</v>
      </c>
      <c r="J148" s="295" t="s">
        <v>2634</v>
      </c>
      <c r="K148" s="295">
        <v>0</v>
      </c>
      <c r="L148" s="306">
        <v>41094</v>
      </c>
      <c r="M148" s="295">
        <v>2.1</v>
      </c>
      <c r="N148" s="307">
        <f>M148*AG106</f>
        <v>1460.4238498131037</v>
      </c>
      <c r="O148" s="333">
        <v>0.08</v>
      </c>
      <c r="P148" s="311">
        <f t="shared" si="158"/>
        <v>116.8339079850483</v>
      </c>
      <c r="Q148" s="311">
        <v>0</v>
      </c>
      <c r="R148" s="311">
        <v>0</v>
      </c>
      <c r="S148" s="312">
        <f>76.76/N148</f>
        <v>5.2560083848139899E-2</v>
      </c>
      <c r="T148" s="311">
        <f t="shared" si="159"/>
        <v>76.760000000000005</v>
      </c>
      <c r="U148" s="310">
        <f>(1.83/N148)*N148</f>
        <v>1.83</v>
      </c>
      <c r="V148" s="311">
        <v>0</v>
      </c>
      <c r="W148" s="311">
        <v>0</v>
      </c>
      <c r="X148" s="311">
        <v>0</v>
      </c>
      <c r="Y148" s="311">
        <v>0</v>
      </c>
      <c r="Z148" s="311">
        <v>0</v>
      </c>
      <c r="AA148" s="311">
        <v>0</v>
      </c>
      <c r="AB148" s="311">
        <v>0</v>
      </c>
      <c r="AC148" s="311">
        <v>0</v>
      </c>
      <c r="AD148" s="313">
        <f t="shared" si="160"/>
        <v>487.41794993770122</v>
      </c>
      <c r="AE148" s="313">
        <f t="shared" si="161"/>
        <v>38.9934359950161</v>
      </c>
      <c r="AF148" s="313">
        <f t="shared" si="162"/>
        <v>1460.4238498131037</v>
      </c>
      <c r="AG148" s="313">
        <f t="shared" si="163"/>
        <v>116.8339079850483</v>
      </c>
    </row>
    <row r="149" spans="2:33" ht="31.5" x14ac:dyDescent="0.25">
      <c r="B149" s="295">
        <v>113</v>
      </c>
      <c r="C149" s="304" t="s">
        <v>2702</v>
      </c>
      <c r="D149" s="304" t="s">
        <v>2701</v>
      </c>
      <c r="E149" s="304" t="s">
        <v>2739</v>
      </c>
      <c r="F149" s="304" t="s">
        <v>2650</v>
      </c>
      <c r="G149" s="304" t="s">
        <v>2910</v>
      </c>
      <c r="H149" s="305">
        <v>40</v>
      </c>
      <c r="I149" s="295">
        <v>40</v>
      </c>
      <c r="J149" s="295" t="s">
        <v>2634</v>
      </c>
      <c r="K149" s="295">
        <v>0</v>
      </c>
      <c r="L149" s="306">
        <v>35800</v>
      </c>
      <c r="M149" s="316">
        <f>1688.78/639.67</f>
        <v>2.6400800412712808</v>
      </c>
      <c r="N149" s="307">
        <f>M149*AG106</f>
        <v>1836.0170750895913</v>
      </c>
      <c r="O149" s="333">
        <v>0.22</v>
      </c>
      <c r="P149" s="311">
        <f t="shared" si="158"/>
        <v>403.92375651971008</v>
      </c>
      <c r="Q149" s="311">
        <v>0</v>
      </c>
      <c r="R149" s="311">
        <v>0</v>
      </c>
      <c r="S149" s="312">
        <f>76.76/N149</f>
        <v>4.1807890047130626E-2</v>
      </c>
      <c r="T149" s="311">
        <f t="shared" si="159"/>
        <v>76.760000000000005</v>
      </c>
      <c r="U149" s="310">
        <f>(0/N149)*N149</f>
        <v>0</v>
      </c>
      <c r="V149" s="311">
        <v>0</v>
      </c>
      <c r="W149" s="311">
        <v>0</v>
      </c>
      <c r="X149" s="311">
        <v>0</v>
      </c>
      <c r="Y149" s="311">
        <v>0</v>
      </c>
      <c r="Z149" s="311">
        <v>0</v>
      </c>
      <c r="AA149" s="311">
        <v>0</v>
      </c>
      <c r="AB149" s="311">
        <v>0</v>
      </c>
      <c r="AC149" s="311">
        <v>0</v>
      </c>
      <c r="AD149" s="313">
        <f t="shared" si="160"/>
        <v>612.00569169653045</v>
      </c>
      <c r="AE149" s="313">
        <f t="shared" si="161"/>
        <v>134.64125217323669</v>
      </c>
      <c r="AF149" s="313">
        <f t="shared" si="162"/>
        <v>1836.0170750895913</v>
      </c>
      <c r="AG149" s="313">
        <f t="shared" si="163"/>
        <v>403.92375651971008</v>
      </c>
    </row>
    <row r="150" spans="2:33" ht="31.5" x14ac:dyDescent="0.25">
      <c r="B150" s="295">
        <v>107</v>
      </c>
      <c r="C150" s="304" t="s">
        <v>7241</v>
      </c>
      <c r="D150" s="304" t="s">
        <v>2654</v>
      </c>
      <c r="E150" s="304" t="s">
        <v>2739</v>
      </c>
      <c r="F150" s="304" t="s">
        <v>2650</v>
      </c>
      <c r="G150" s="304" t="s">
        <v>2910</v>
      </c>
      <c r="H150" s="305">
        <v>40</v>
      </c>
      <c r="I150" s="295">
        <v>44</v>
      </c>
      <c r="J150" s="295" t="s">
        <v>2634</v>
      </c>
      <c r="K150" s="295">
        <v>0</v>
      </c>
      <c r="L150" s="306">
        <v>41094</v>
      </c>
      <c r="M150" s="295">
        <v>2.1</v>
      </c>
      <c r="N150" s="307">
        <f>M150*AG106</f>
        <v>1460.4238498131037</v>
      </c>
      <c r="O150" s="333">
        <v>0.22</v>
      </c>
      <c r="P150" s="311">
        <f t="shared" si="158"/>
        <v>321.29324695888283</v>
      </c>
      <c r="Q150" s="311">
        <v>0</v>
      </c>
      <c r="R150" s="311">
        <v>0</v>
      </c>
      <c r="S150" s="312">
        <f>0/N150</f>
        <v>0</v>
      </c>
      <c r="T150" s="311">
        <f t="shared" si="159"/>
        <v>0</v>
      </c>
      <c r="U150" s="310">
        <f>(167.91/N150)*N150</f>
        <v>167.91</v>
      </c>
      <c r="V150" s="311">
        <v>0</v>
      </c>
      <c r="W150" s="311">
        <v>0</v>
      </c>
      <c r="X150" s="311">
        <v>0</v>
      </c>
      <c r="Y150" s="311">
        <v>0</v>
      </c>
      <c r="Z150" s="311">
        <v>0</v>
      </c>
      <c r="AA150" s="311">
        <v>0</v>
      </c>
      <c r="AB150" s="311">
        <v>0</v>
      </c>
      <c r="AC150" s="311">
        <v>0</v>
      </c>
      <c r="AD150" s="313">
        <f t="shared" si="160"/>
        <v>542.77794993770124</v>
      </c>
      <c r="AE150" s="313">
        <f t="shared" si="161"/>
        <v>119.41114898629428</v>
      </c>
      <c r="AF150" s="313">
        <f t="shared" si="162"/>
        <v>1460.4238498131037</v>
      </c>
      <c r="AG150" s="313">
        <f t="shared" si="163"/>
        <v>321.29324695888283</v>
      </c>
    </row>
    <row r="151" spans="2:33" ht="31.5" x14ac:dyDescent="0.25">
      <c r="B151" s="295">
        <v>774</v>
      </c>
      <c r="C151" s="304" t="s">
        <v>2912</v>
      </c>
      <c r="D151" s="304" t="s">
        <v>2654</v>
      </c>
      <c r="E151" s="304" t="s">
        <v>2739</v>
      </c>
      <c r="F151" s="304" t="s">
        <v>2650</v>
      </c>
      <c r="G151" s="304" t="s">
        <v>2910</v>
      </c>
      <c r="H151" s="305">
        <v>40</v>
      </c>
      <c r="I151" s="295">
        <v>44</v>
      </c>
      <c r="J151" s="295" t="s">
        <v>2634</v>
      </c>
      <c r="K151" s="295">
        <v>0</v>
      </c>
      <c r="L151" s="306">
        <v>41094</v>
      </c>
      <c r="M151" s="295">
        <v>2.1</v>
      </c>
      <c r="N151" s="307">
        <f>M151*AG106</f>
        <v>1460.4238498131037</v>
      </c>
      <c r="O151" s="333">
        <v>0.15</v>
      </c>
      <c r="P151" s="311">
        <f t="shared" si="158"/>
        <v>219.06357747196554</v>
      </c>
      <c r="Q151" s="311">
        <v>0</v>
      </c>
      <c r="R151" s="311">
        <v>0</v>
      </c>
      <c r="S151" s="312">
        <f>76.76/N151</f>
        <v>5.2560083848139899E-2</v>
      </c>
      <c r="T151" s="311">
        <f t="shared" si="159"/>
        <v>76.760000000000005</v>
      </c>
      <c r="U151" s="310">
        <f>(25.65/N151)*N151</f>
        <v>25.65</v>
      </c>
      <c r="V151" s="311">
        <v>0</v>
      </c>
      <c r="W151" s="311">
        <v>0</v>
      </c>
      <c r="X151" s="311">
        <v>0</v>
      </c>
      <c r="Y151" s="311">
        <v>0</v>
      </c>
      <c r="Z151" s="311">
        <v>0</v>
      </c>
      <c r="AA151" s="311">
        <v>0</v>
      </c>
      <c r="AB151" s="311">
        <v>0</v>
      </c>
      <c r="AC151" s="311">
        <v>0</v>
      </c>
      <c r="AD151" s="313">
        <f t="shared" si="160"/>
        <v>495.35794993770128</v>
      </c>
      <c r="AE151" s="313">
        <f t="shared" si="161"/>
        <v>74.303692490655195</v>
      </c>
      <c r="AF151" s="313">
        <f t="shared" si="162"/>
        <v>1460.4238498131037</v>
      </c>
      <c r="AG151" s="313">
        <f t="shared" si="163"/>
        <v>219.06357747196554</v>
      </c>
    </row>
    <row r="152" spans="2:33" ht="31.5" x14ac:dyDescent="0.25">
      <c r="B152" s="295">
        <v>501</v>
      </c>
      <c r="C152" s="304" t="s">
        <v>2704</v>
      </c>
      <c r="D152" s="304" t="s">
        <v>2705</v>
      </c>
      <c r="E152" s="304" t="s">
        <v>2739</v>
      </c>
      <c r="F152" s="304" t="s">
        <v>2650</v>
      </c>
      <c r="G152" s="304" t="s">
        <v>2910</v>
      </c>
      <c r="H152" s="305">
        <v>40</v>
      </c>
      <c r="I152" s="295">
        <v>24</v>
      </c>
      <c r="J152" s="295" t="s">
        <v>2638</v>
      </c>
      <c r="K152" s="295">
        <v>0</v>
      </c>
      <c r="L152" s="306">
        <v>37301</v>
      </c>
      <c r="M152" s="295">
        <v>13.2</v>
      </c>
      <c r="N152" s="307">
        <f>M152*AG106</f>
        <v>9179.80705596808</v>
      </c>
      <c r="O152" s="333">
        <v>0.18</v>
      </c>
      <c r="P152" s="311">
        <f t="shared" si="158"/>
        <v>1652.3652700742543</v>
      </c>
      <c r="Q152" s="311">
        <v>0</v>
      </c>
      <c r="R152" s="311">
        <v>0</v>
      </c>
      <c r="S152" s="312">
        <f>0/N152</f>
        <v>0</v>
      </c>
      <c r="T152" s="311">
        <f t="shared" si="159"/>
        <v>0</v>
      </c>
      <c r="U152" s="310">
        <f>(295.63/N152)*N152</f>
        <v>295.63</v>
      </c>
      <c r="V152" s="311">
        <f>(438.13/N152)*N152</f>
        <v>438.13</v>
      </c>
      <c r="W152" s="311">
        <v>0</v>
      </c>
      <c r="X152" s="311">
        <v>0</v>
      </c>
      <c r="Y152" s="311">
        <v>0</v>
      </c>
      <c r="Z152" s="311">
        <v>0</v>
      </c>
      <c r="AA152" s="311">
        <v>0</v>
      </c>
      <c r="AB152" s="311">
        <v>0</v>
      </c>
      <c r="AC152" s="311">
        <v>0</v>
      </c>
      <c r="AD152" s="313">
        <f t="shared" si="160"/>
        <v>3158.4790186560263</v>
      </c>
      <c r="AE152" s="313">
        <f t="shared" si="161"/>
        <v>568.52622335808474</v>
      </c>
      <c r="AF152" s="313">
        <f t="shared" si="162"/>
        <v>9179.80705596808</v>
      </c>
      <c r="AG152" s="313">
        <f t="shared" si="163"/>
        <v>1652.3652700742543</v>
      </c>
    </row>
    <row r="153" spans="2:33" ht="31.5" x14ac:dyDescent="0.25">
      <c r="B153" s="295">
        <v>383</v>
      </c>
      <c r="C153" s="304" t="s">
        <v>2704</v>
      </c>
      <c r="D153" s="304" t="s">
        <v>2705</v>
      </c>
      <c r="E153" s="304" t="s">
        <v>2739</v>
      </c>
      <c r="F153" s="304" t="s">
        <v>2650</v>
      </c>
      <c r="G153" s="304" t="s">
        <v>2910</v>
      </c>
      <c r="H153" s="305">
        <v>40</v>
      </c>
      <c r="I153" s="295">
        <v>24</v>
      </c>
      <c r="J153" s="295" t="s">
        <v>2638</v>
      </c>
      <c r="K153" s="295">
        <v>0</v>
      </c>
      <c r="L153" s="306">
        <v>36923</v>
      </c>
      <c r="M153" s="295">
        <v>13.2</v>
      </c>
      <c r="N153" s="307">
        <f>M153*AG106</f>
        <v>9179.80705596808</v>
      </c>
      <c r="O153" s="333">
        <v>0.19</v>
      </c>
      <c r="P153" s="311">
        <f t="shared" si="158"/>
        <v>1744.1633406339351</v>
      </c>
      <c r="Q153" s="311">
        <v>0</v>
      </c>
      <c r="R153" s="311">
        <v>0</v>
      </c>
      <c r="S153" s="312">
        <f>51.18/N153</f>
        <v>5.575280579206322E-3</v>
      </c>
      <c r="T153" s="311">
        <f t="shared" si="159"/>
        <v>51.18</v>
      </c>
      <c r="U153" s="310">
        <f>(394.04/N153)*N153</f>
        <v>394.04</v>
      </c>
      <c r="V153" s="311">
        <f>(182.68/N153)*N153</f>
        <v>182.68</v>
      </c>
      <c r="W153" s="311">
        <v>0</v>
      </c>
      <c r="X153" s="311">
        <v>0</v>
      </c>
      <c r="Y153" s="311">
        <v>0</v>
      </c>
      <c r="Z153" s="311">
        <v>0</v>
      </c>
      <c r="AA153" s="311">
        <v>0</v>
      </c>
      <c r="AB153" s="311">
        <v>0</v>
      </c>
      <c r="AC153" s="311">
        <v>0</v>
      </c>
      <c r="AD153" s="313">
        <f t="shared" si="160"/>
        <v>3191.2823519893604</v>
      </c>
      <c r="AE153" s="313">
        <f t="shared" si="161"/>
        <v>606.34364687797847</v>
      </c>
      <c r="AF153" s="313">
        <f t="shared" si="162"/>
        <v>9179.80705596808</v>
      </c>
      <c r="AG153" s="313">
        <f t="shared" si="163"/>
        <v>1744.1633406339351</v>
      </c>
    </row>
    <row r="154" spans="2:33" ht="31.5" x14ac:dyDescent="0.25">
      <c r="B154" s="295">
        <v>212</v>
      </c>
      <c r="C154" s="304" t="s">
        <v>2706</v>
      </c>
      <c r="D154" s="304" t="s">
        <v>2705</v>
      </c>
      <c r="E154" s="304" t="s">
        <v>2739</v>
      </c>
      <c r="F154" s="304" t="s">
        <v>2650</v>
      </c>
      <c r="G154" s="304" t="s">
        <v>2910</v>
      </c>
      <c r="H154" s="305">
        <v>40</v>
      </c>
      <c r="I154" s="295">
        <v>24</v>
      </c>
      <c r="J154" s="295" t="s">
        <v>2638</v>
      </c>
      <c r="K154" s="295">
        <v>1</v>
      </c>
      <c r="L154" s="306">
        <v>36220</v>
      </c>
      <c r="M154" s="295">
        <v>13.2</v>
      </c>
      <c r="N154" s="307">
        <f>M154*AG106</f>
        <v>9179.80705596808</v>
      </c>
      <c r="O154" s="333">
        <v>0.22</v>
      </c>
      <c r="P154" s="311">
        <f t="shared" si="158"/>
        <v>2019.5575523129776</v>
      </c>
      <c r="Q154" s="311">
        <f>AG106</f>
        <v>695.43992848243033</v>
      </c>
      <c r="R154" s="311">
        <v>0</v>
      </c>
      <c r="S154" s="312">
        <f>51.18/N154</f>
        <v>5.575280579206322E-3</v>
      </c>
      <c r="T154" s="311">
        <f t="shared" si="159"/>
        <v>51.18</v>
      </c>
      <c r="U154" s="310">
        <f>(295.63/N154)*N154</f>
        <v>295.63</v>
      </c>
      <c r="V154" s="311">
        <f>(0/N154)*N154</f>
        <v>0</v>
      </c>
      <c r="W154" s="311">
        <v>0</v>
      </c>
      <c r="X154" s="311">
        <v>0</v>
      </c>
      <c r="Y154" s="311">
        <v>0</v>
      </c>
      <c r="Z154" s="311">
        <v>0</v>
      </c>
      <c r="AA154" s="311">
        <v>0</v>
      </c>
      <c r="AB154" s="311">
        <v>0</v>
      </c>
      <c r="AC154" s="311">
        <v>0</v>
      </c>
      <c r="AD154" s="313">
        <f t="shared" si="160"/>
        <v>3390.2923281501699</v>
      </c>
      <c r="AE154" s="313">
        <f t="shared" si="161"/>
        <v>745.86431219303734</v>
      </c>
      <c r="AF154" s="313">
        <f t="shared" si="162"/>
        <v>9875.2469844505104</v>
      </c>
      <c r="AG154" s="313">
        <f t="shared" si="163"/>
        <v>2172.5543365791123</v>
      </c>
    </row>
    <row r="155" spans="2:33" ht="31.5" x14ac:dyDescent="0.25">
      <c r="B155" s="295">
        <v>506</v>
      </c>
      <c r="C155" s="304" t="str">
        <f>PROPER("LIDIA MARIA PEREITA PEDRO")</f>
        <v>Lidia Maria Pereita Pedro</v>
      </c>
      <c r="D155" s="304" t="s">
        <v>2701</v>
      </c>
      <c r="E155" s="304" t="s">
        <v>2739</v>
      </c>
      <c r="F155" s="304" t="s">
        <v>2650</v>
      </c>
      <c r="G155" s="304" t="s">
        <v>2910</v>
      </c>
      <c r="H155" s="305">
        <v>40</v>
      </c>
      <c r="I155" s="295">
        <v>40</v>
      </c>
      <c r="J155" s="295" t="s">
        <v>2638</v>
      </c>
      <c r="K155" s="295">
        <v>1</v>
      </c>
      <c r="L155" s="306">
        <v>37361</v>
      </c>
      <c r="M155" s="295">
        <v>2.76</v>
      </c>
      <c r="N155" s="307">
        <f>M155*AG106</f>
        <v>1919.4142026115076</v>
      </c>
      <c r="O155" s="333">
        <v>0.18</v>
      </c>
      <c r="P155" s="311">
        <f t="shared" si="158"/>
        <v>345.49455647007136</v>
      </c>
      <c r="Q155" s="311">
        <v>0</v>
      </c>
      <c r="R155" s="311">
        <v>0</v>
      </c>
      <c r="S155" s="312">
        <f>76.76/N155</f>
        <v>3.9991368145323843E-2</v>
      </c>
      <c r="T155" s="311">
        <f t="shared" si="159"/>
        <v>76.760000000000005</v>
      </c>
      <c r="U155" s="310">
        <f>(111.23/N155)*N155</f>
        <v>111.23</v>
      </c>
      <c r="V155" s="311">
        <f>(254.31/N155)*N155</f>
        <v>254.31</v>
      </c>
      <c r="W155" s="311">
        <v>0</v>
      </c>
      <c r="X155" s="311">
        <v>0</v>
      </c>
      <c r="Y155" s="311">
        <v>0</v>
      </c>
      <c r="Z155" s="311">
        <v>0</v>
      </c>
      <c r="AA155" s="311">
        <v>0</v>
      </c>
      <c r="AB155" s="311">
        <v>0</v>
      </c>
      <c r="AC155" s="311">
        <v>0</v>
      </c>
      <c r="AD155" s="313">
        <f t="shared" si="160"/>
        <v>676.88140087050249</v>
      </c>
      <c r="AE155" s="313">
        <f t="shared" si="161"/>
        <v>121.83865215669044</v>
      </c>
      <c r="AF155" s="313">
        <f t="shared" si="162"/>
        <v>1919.4142026115076</v>
      </c>
      <c r="AG155" s="313">
        <f t="shared" si="163"/>
        <v>345.49455647007136</v>
      </c>
    </row>
    <row r="156" spans="2:33" s="299" customFormat="1" ht="31.5" x14ac:dyDescent="0.25">
      <c r="B156" s="295">
        <v>530</v>
      </c>
      <c r="C156" s="304" t="s">
        <v>2707</v>
      </c>
      <c r="D156" s="304" t="s">
        <v>2705</v>
      </c>
      <c r="E156" s="304" t="s">
        <v>2739</v>
      </c>
      <c r="F156" s="304" t="s">
        <v>2650</v>
      </c>
      <c r="G156" s="304" t="s">
        <v>2910</v>
      </c>
      <c r="H156" s="305">
        <v>40</v>
      </c>
      <c r="I156" s="295">
        <v>24</v>
      </c>
      <c r="J156" s="295" t="s">
        <v>2638</v>
      </c>
      <c r="K156" s="295">
        <v>1</v>
      </c>
      <c r="L156" s="306">
        <v>37368</v>
      </c>
      <c r="M156" s="295">
        <v>13.2</v>
      </c>
      <c r="N156" s="307">
        <f>M156*AG106</f>
        <v>9179.80705596808</v>
      </c>
      <c r="O156" s="333">
        <v>0.18</v>
      </c>
      <c r="P156" s="311">
        <f t="shared" si="158"/>
        <v>1652.3652700742543</v>
      </c>
      <c r="Q156" s="311">
        <v>0</v>
      </c>
      <c r="R156" s="311">
        <v>0</v>
      </c>
      <c r="S156" s="312">
        <f>51.18/N156</f>
        <v>5.575280579206322E-3</v>
      </c>
      <c r="T156" s="311">
        <f t="shared" si="159"/>
        <v>51.18</v>
      </c>
      <c r="U156" s="310">
        <f>(394.04/N156)*N156</f>
        <v>394.04</v>
      </c>
      <c r="V156" s="311">
        <f t="shared" ref="V156:V157" si="164">(0/N156)*N156</f>
        <v>0</v>
      </c>
      <c r="W156" s="311">
        <v>0</v>
      </c>
      <c r="X156" s="311">
        <v>0</v>
      </c>
      <c r="Y156" s="311">
        <v>0</v>
      </c>
      <c r="Z156" s="311">
        <v>0</v>
      </c>
      <c r="AA156" s="311">
        <v>0</v>
      </c>
      <c r="AB156" s="311">
        <v>0</v>
      </c>
      <c r="AC156" s="311">
        <v>0</v>
      </c>
      <c r="AD156" s="313">
        <f t="shared" si="160"/>
        <v>3191.2823519893604</v>
      </c>
      <c r="AE156" s="313">
        <f t="shared" si="161"/>
        <v>574.43082335808481</v>
      </c>
      <c r="AF156" s="313">
        <f t="shared" si="162"/>
        <v>9179.80705596808</v>
      </c>
      <c r="AG156" s="313">
        <f t="shared" si="163"/>
        <v>1652.3652700742543</v>
      </c>
    </row>
    <row r="157" spans="2:33" ht="31.5" x14ac:dyDescent="0.25">
      <c r="B157" s="295">
        <v>542</v>
      </c>
      <c r="C157" s="314" t="str">
        <f>PROPER("NEUZA DOMBORWSKI")</f>
        <v>Neuza Domborwski</v>
      </c>
      <c r="D157" s="304" t="s">
        <v>2643</v>
      </c>
      <c r="E157" s="304" t="s">
        <v>2739</v>
      </c>
      <c r="F157" s="304" t="s">
        <v>2650</v>
      </c>
      <c r="G157" s="304" t="s">
        <v>2910</v>
      </c>
      <c r="H157" s="305">
        <v>40</v>
      </c>
      <c r="I157" s="295">
        <v>44</v>
      </c>
      <c r="J157" s="295" t="s">
        <v>2648</v>
      </c>
      <c r="K157" s="295">
        <v>0</v>
      </c>
      <c r="L157" s="306">
        <v>37410</v>
      </c>
      <c r="M157" s="295">
        <v>2.11</v>
      </c>
      <c r="N157" s="307">
        <f>M157*AG106</f>
        <v>1467.3782490979279</v>
      </c>
      <c r="O157" s="333">
        <v>0.18</v>
      </c>
      <c r="P157" s="311">
        <f t="shared" si="158"/>
        <v>264.128084837627</v>
      </c>
      <c r="Q157" s="311">
        <v>0</v>
      </c>
      <c r="R157" s="311">
        <v>0</v>
      </c>
      <c r="S157" s="312">
        <f>124.94/N157</f>
        <v>8.5145053824265807E-2</v>
      </c>
      <c r="T157" s="311">
        <f t="shared" si="159"/>
        <v>124.93999999999998</v>
      </c>
      <c r="U157" s="310">
        <f>(0/N157)*N157</f>
        <v>0</v>
      </c>
      <c r="V157" s="311">
        <f t="shared" si="164"/>
        <v>0</v>
      </c>
      <c r="W157" s="311">
        <v>0</v>
      </c>
      <c r="X157" s="311">
        <v>0</v>
      </c>
      <c r="Y157" s="311">
        <v>0</v>
      </c>
      <c r="Z157" s="311">
        <v>0</v>
      </c>
      <c r="AA157" s="311">
        <v>0</v>
      </c>
      <c r="AB157" s="311">
        <v>0</v>
      </c>
      <c r="AC157" s="311">
        <v>0</v>
      </c>
      <c r="AD157" s="313">
        <f t="shared" si="160"/>
        <v>489.12608303264261</v>
      </c>
      <c r="AE157" s="313">
        <f t="shared" si="161"/>
        <v>88.042694945875667</v>
      </c>
      <c r="AF157" s="313">
        <f t="shared" si="162"/>
        <v>1467.3782490979279</v>
      </c>
      <c r="AG157" s="313">
        <f t="shared" si="163"/>
        <v>264.128084837627</v>
      </c>
    </row>
    <row r="158" spans="2:33" ht="31.5" x14ac:dyDescent="0.25">
      <c r="B158" s="295">
        <v>43</v>
      </c>
      <c r="C158" s="314" t="str">
        <f>PROPER("NILVA SAMPAIO UEBEL")</f>
        <v>Nilva Sampaio Uebel</v>
      </c>
      <c r="D158" s="304" t="s">
        <v>2652</v>
      </c>
      <c r="E158" s="304" t="s">
        <v>2739</v>
      </c>
      <c r="F158" s="304" t="s">
        <v>2650</v>
      </c>
      <c r="G158" s="304" t="s">
        <v>2910</v>
      </c>
      <c r="H158" s="305">
        <v>40</v>
      </c>
      <c r="I158" s="295">
        <v>0</v>
      </c>
      <c r="J158" s="295" t="s">
        <v>2648</v>
      </c>
      <c r="K158" s="295">
        <v>0</v>
      </c>
      <c r="L158" s="306">
        <v>35744</v>
      </c>
      <c r="M158" s="295">
        <v>2.13</v>
      </c>
      <c r="N158" s="307">
        <f>M158*AG106</f>
        <v>1481.2870476675766</v>
      </c>
      <c r="O158" s="333">
        <v>0.22</v>
      </c>
      <c r="P158" s="311">
        <f>N158*O158</f>
        <v>325.88315048686684</v>
      </c>
      <c r="Q158" s="311">
        <v>0</v>
      </c>
      <c r="R158" s="311">
        <v>0</v>
      </c>
      <c r="S158" s="312">
        <f>0/N158</f>
        <v>0</v>
      </c>
      <c r="T158" s="311">
        <f>N158*S158</f>
        <v>0</v>
      </c>
      <c r="U158" s="310">
        <f>(0/N158)*N158</f>
        <v>0</v>
      </c>
      <c r="V158" s="311">
        <v>0</v>
      </c>
      <c r="W158" s="311">
        <v>0</v>
      </c>
      <c r="X158" s="311">
        <v>0</v>
      </c>
      <c r="Y158" s="311">
        <v>0</v>
      </c>
      <c r="Z158" s="311">
        <v>0</v>
      </c>
      <c r="AA158" s="311">
        <v>0</v>
      </c>
      <c r="AB158" s="311">
        <v>0</v>
      </c>
      <c r="AC158" s="311">
        <v>0</v>
      </c>
      <c r="AD158" s="313">
        <f>(N158+Q158+U158)/3</f>
        <v>493.76234922252553</v>
      </c>
      <c r="AE158" s="313">
        <f>AD158*O158</f>
        <v>108.62771682895561</v>
      </c>
      <c r="AF158" s="313">
        <f>N158+Q158</f>
        <v>1481.2870476675766</v>
      </c>
      <c r="AG158" s="313">
        <f>AF158*O158</f>
        <v>325.88315048686684</v>
      </c>
    </row>
    <row r="159" spans="2:33" ht="31.5" x14ac:dyDescent="0.25">
      <c r="B159" s="295">
        <v>1556</v>
      </c>
      <c r="C159" s="304" t="str">
        <f>PROPER("PRISCILA MOURA SERRATE")</f>
        <v>Priscila Moura Serrate</v>
      </c>
      <c r="D159" s="304" t="s">
        <v>2703</v>
      </c>
      <c r="E159" s="304" t="s">
        <v>2739</v>
      </c>
      <c r="F159" s="304" t="s">
        <v>2650</v>
      </c>
      <c r="G159" s="304" t="s">
        <v>2910</v>
      </c>
      <c r="H159" s="305">
        <v>40</v>
      </c>
      <c r="I159" s="295">
        <v>40</v>
      </c>
      <c r="J159" s="295" t="s">
        <v>2634</v>
      </c>
      <c r="K159" s="295">
        <v>1</v>
      </c>
      <c r="L159" s="306">
        <v>40848</v>
      </c>
      <c r="M159" s="295">
        <v>3.15</v>
      </c>
      <c r="N159" s="307">
        <f>M159*AG106</f>
        <v>2190.6357747196553</v>
      </c>
      <c r="O159" s="333">
        <v>0.08</v>
      </c>
      <c r="P159" s="311">
        <f t="shared" ref="P159:P167" si="165">N159*O159</f>
        <v>175.25086197757241</v>
      </c>
      <c r="Q159" s="311">
        <v>0</v>
      </c>
      <c r="R159" s="311">
        <v>0</v>
      </c>
      <c r="S159" s="312">
        <f>51.18/N159</f>
        <v>2.3363080522388398E-2</v>
      </c>
      <c r="T159" s="311">
        <f t="shared" ref="T159:T167" si="166">N159*S159</f>
        <v>51.18</v>
      </c>
      <c r="U159" s="310">
        <f>(79.28/N159)*N159</f>
        <v>79.28</v>
      </c>
      <c r="V159" s="311">
        <f>(112.84/N159)*N159</f>
        <v>112.84</v>
      </c>
      <c r="W159" s="311">
        <v>0</v>
      </c>
      <c r="X159" s="311">
        <v>0</v>
      </c>
      <c r="Y159" s="311">
        <v>0</v>
      </c>
      <c r="Z159" s="311">
        <v>0</v>
      </c>
      <c r="AA159" s="311">
        <v>0</v>
      </c>
      <c r="AB159" s="311">
        <v>0</v>
      </c>
      <c r="AC159" s="311">
        <v>0</v>
      </c>
      <c r="AD159" s="313">
        <f t="shared" ref="AD159:AD163" si="167">(N159+Q159+U159)/3</f>
        <v>756.63859157321849</v>
      </c>
      <c r="AE159" s="313">
        <f t="shared" ref="AE159:AE167" si="168">AD159*O159</f>
        <v>60.531087325857477</v>
      </c>
      <c r="AF159" s="313">
        <f t="shared" ref="AF159:AF163" si="169">N159+Q159</f>
        <v>2190.6357747196553</v>
      </c>
      <c r="AG159" s="313">
        <f t="shared" ref="AG159:AG167" si="170">AF159*O159</f>
        <v>175.25086197757241</v>
      </c>
    </row>
    <row r="160" spans="2:33" ht="31.5" x14ac:dyDescent="0.25">
      <c r="B160" s="295">
        <v>2072</v>
      </c>
      <c r="C160" s="304" t="str">
        <f>PROPER("RAYMUNDO LUIS DOS SANTOS WROTNY")</f>
        <v>Raymundo Luis Dos Santos Wrotny</v>
      </c>
      <c r="D160" s="304" t="s">
        <v>2703</v>
      </c>
      <c r="E160" s="304" t="s">
        <v>2739</v>
      </c>
      <c r="F160" s="304" t="s">
        <v>2650</v>
      </c>
      <c r="G160" s="304" t="s">
        <v>2910</v>
      </c>
      <c r="H160" s="305">
        <v>40</v>
      </c>
      <c r="I160" s="295">
        <v>40</v>
      </c>
      <c r="J160" s="295" t="s">
        <v>2636</v>
      </c>
      <c r="K160" s="295">
        <v>1</v>
      </c>
      <c r="L160" s="306">
        <v>42523</v>
      </c>
      <c r="M160" s="295">
        <v>3</v>
      </c>
      <c r="N160" s="307">
        <f>M160*AG106</f>
        <v>2086.319785447291</v>
      </c>
      <c r="O160" s="333">
        <v>0.12</v>
      </c>
      <c r="P160" s="311">
        <f t="shared" si="165"/>
        <v>250.35837425367492</v>
      </c>
      <c r="Q160" s="311">
        <v>0</v>
      </c>
      <c r="R160" s="311">
        <v>0</v>
      </c>
      <c r="S160" s="312">
        <f>51.18/N160</f>
        <v>2.4531234548507818E-2</v>
      </c>
      <c r="T160" s="311">
        <f t="shared" si="166"/>
        <v>51.180000000000007</v>
      </c>
      <c r="U160" s="310">
        <f>(107.46/N160)*N160</f>
        <v>107.46</v>
      </c>
      <c r="V160" s="311">
        <f t="shared" ref="V160:V163" si="171">(0/N160)*N160</f>
        <v>0</v>
      </c>
      <c r="W160" s="311">
        <v>0</v>
      </c>
      <c r="X160" s="311">
        <v>0</v>
      </c>
      <c r="Y160" s="311">
        <v>0</v>
      </c>
      <c r="Z160" s="311">
        <v>0</v>
      </c>
      <c r="AA160" s="311">
        <v>0</v>
      </c>
      <c r="AB160" s="311">
        <v>0</v>
      </c>
      <c r="AC160" s="311">
        <v>0</v>
      </c>
      <c r="AD160" s="313">
        <f t="shared" si="167"/>
        <v>731.25992848243038</v>
      </c>
      <c r="AE160" s="313">
        <f t="shared" si="168"/>
        <v>87.751191417891647</v>
      </c>
      <c r="AF160" s="313">
        <f t="shared" si="169"/>
        <v>2086.319785447291</v>
      </c>
      <c r="AG160" s="313">
        <f t="shared" si="170"/>
        <v>250.35837425367492</v>
      </c>
    </row>
    <row r="161" spans="2:33" ht="31.5" x14ac:dyDescent="0.25">
      <c r="B161" s="295">
        <v>1063</v>
      </c>
      <c r="C161" s="304" t="str">
        <f>PROPER("RENATA LUCIENE LOPES HOFSTATER")</f>
        <v>Renata Luciene Lopes Hofstater</v>
      </c>
      <c r="D161" s="304" t="s">
        <v>2703</v>
      </c>
      <c r="E161" s="304" t="s">
        <v>2739</v>
      </c>
      <c r="F161" s="304" t="s">
        <v>2650</v>
      </c>
      <c r="G161" s="304" t="s">
        <v>2910</v>
      </c>
      <c r="H161" s="305">
        <v>40</v>
      </c>
      <c r="I161" s="295">
        <v>40</v>
      </c>
      <c r="J161" s="295" t="s">
        <v>2648</v>
      </c>
      <c r="K161" s="295">
        <v>1</v>
      </c>
      <c r="L161" s="306">
        <v>39247</v>
      </c>
      <c r="M161" s="295">
        <v>3.3</v>
      </c>
      <c r="N161" s="307">
        <f>M161*AG106</f>
        <v>2294.95176399202</v>
      </c>
      <c r="O161" s="333">
        <v>0.13</v>
      </c>
      <c r="P161" s="311">
        <f t="shared" si="165"/>
        <v>298.34372931896263</v>
      </c>
      <c r="Q161" s="311">
        <v>0</v>
      </c>
      <c r="R161" s="311">
        <v>0</v>
      </c>
      <c r="S161" s="312">
        <f>51.18/N161</f>
        <v>2.2301122316825288E-2</v>
      </c>
      <c r="T161" s="311">
        <f t="shared" si="166"/>
        <v>51.18</v>
      </c>
      <c r="U161" s="310">
        <f>(0/N161)*N161</f>
        <v>0</v>
      </c>
      <c r="V161" s="311">
        <f t="shared" si="171"/>
        <v>0</v>
      </c>
      <c r="W161" s="311">
        <v>0</v>
      </c>
      <c r="X161" s="311">
        <v>0</v>
      </c>
      <c r="Y161" s="311">
        <v>0</v>
      </c>
      <c r="Z161" s="311">
        <v>0</v>
      </c>
      <c r="AA161" s="311">
        <v>0</v>
      </c>
      <c r="AB161" s="311">
        <v>0</v>
      </c>
      <c r="AC161" s="311">
        <v>0</v>
      </c>
      <c r="AD161" s="313">
        <f t="shared" si="167"/>
        <v>764.9839213306733</v>
      </c>
      <c r="AE161" s="313">
        <f t="shared" si="168"/>
        <v>99.447909772987529</v>
      </c>
      <c r="AF161" s="313">
        <f t="shared" si="169"/>
        <v>2294.95176399202</v>
      </c>
      <c r="AG161" s="313">
        <f t="shared" si="170"/>
        <v>298.34372931896263</v>
      </c>
    </row>
    <row r="162" spans="2:33" s="299" customFormat="1" ht="31.5" x14ac:dyDescent="0.25">
      <c r="B162" s="295">
        <v>736</v>
      </c>
      <c r="C162" s="304" t="s">
        <v>2708</v>
      </c>
      <c r="D162" s="304" t="s">
        <v>2705</v>
      </c>
      <c r="E162" s="304" t="s">
        <v>2739</v>
      </c>
      <c r="F162" s="304" t="s">
        <v>2650</v>
      </c>
      <c r="G162" s="304" t="s">
        <v>2910</v>
      </c>
      <c r="H162" s="305">
        <v>40</v>
      </c>
      <c r="I162" s="295">
        <v>24</v>
      </c>
      <c r="J162" s="295" t="s">
        <v>2648</v>
      </c>
      <c r="K162" s="295">
        <v>1</v>
      </c>
      <c r="L162" s="306">
        <v>38111</v>
      </c>
      <c r="M162" s="295">
        <v>13.2</v>
      </c>
      <c r="N162" s="307">
        <f>M162*AG106</f>
        <v>9179.80705596808</v>
      </c>
      <c r="O162" s="333">
        <v>0.16</v>
      </c>
      <c r="P162" s="311">
        <f t="shared" si="165"/>
        <v>1468.7691289548927</v>
      </c>
      <c r="Q162" s="311">
        <v>0</v>
      </c>
      <c r="R162" s="311">
        <v>0</v>
      </c>
      <c r="S162" s="312">
        <f>51.18/N162</f>
        <v>5.575280579206322E-3</v>
      </c>
      <c r="T162" s="311">
        <f t="shared" si="166"/>
        <v>51.18</v>
      </c>
      <c r="U162" s="310">
        <f>(394.04/N162)*N162</f>
        <v>394.04</v>
      </c>
      <c r="V162" s="311">
        <f t="shared" si="171"/>
        <v>0</v>
      </c>
      <c r="W162" s="311">
        <v>0</v>
      </c>
      <c r="X162" s="311">
        <v>0</v>
      </c>
      <c r="Y162" s="311">
        <v>0</v>
      </c>
      <c r="Z162" s="311">
        <v>0</v>
      </c>
      <c r="AA162" s="311">
        <v>0</v>
      </c>
      <c r="AB162" s="311">
        <v>0</v>
      </c>
      <c r="AC162" s="311">
        <v>0</v>
      </c>
      <c r="AD162" s="313">
        <f t="shared" si="167"/>
        <v>3191.2823519893604</v>
      </c>
      <c r="AE162" s="313">
        <f t="shared" si="168"/>
        <v>510.60517631829771</v>
      </c>
      <c r="AF162" s="313">
        <f t="shared" si="169"/>
        <v>9179.80705596808</v>
      </c>
      <c r="AG162" s="313">
        <f t="shared" si="170"/>
        <v>1468.7691289548927</v>
      </c>
    </row>
    <row r="163" spans="2:33" ht="31.5" x14ac:dyDescent="0.25">
      <c r="B163" s="295">
        <v>503</v>
      </c>
      <c r="C163" s="314" t="str">
        <f>PROPER("SYRLEY PEREIRA XAVIER")</f>
        <v>Syrley Pereira Xavier</v>
      </c>
      <c r="D163" s="304" t="s">
        <v>2643</v>
      </c>
      <c r="E163" s="304" t="s">
        <v>2739</v>
      </c>
      <c r="F163" s="304" t="s">
        <v>2650</v>
      </c>
      <c r="G163" s="304" t="s">
        <v>2910</v>
      </c>
      <c r="H163" s="305">
        <v>40</v>
      </c>
      <c r="I163" s="295">
        <v>44</v>
      </c>
      <c r="J163" s="295" t="s">
        <v>2638</v>
      </c>
      <c r="K163" s="295">
        <v>0</v>
      </c>
      <c r="L163" s="306">
        <v>37361</v>
      </c>
      <c r="M163" s="295">
        <v>2.2000000000000002</v>
      </c>
      <c r="N163" s="307">
        <f>M163*AG106</f>
        <v>1529.9678426613468</v>
      </c>
      <c r="O163" s="333">
        <v>0.18</v>
      </c>
      <c r="P163" s="311">
        <f t="shared" si="165"/>
        <v>275.39421167904243</v>
      </c>
      <c r="Q163" s="311">
        <v>0</v>
      </c>
      <c r="R163" s="311">
        <v>0</v>
      </c>
      <c r="S163" s="312">
        <f>127.94/N163</f>
        <v>8.3622672603007833E-2</v>
      </c>
      <c r="T163" s="311">
        <f t="shared" si="166"/>
        <v>127.94000000000001</v>
      </c>
      <c r="U163" s="310">
        <f>(0/N163)*N163</f>
        <v>0</v>
      </c>
      <c r="V163" s="311">
        <f t="shared" si="171"/>
        <v>0</v>
      </c>
      <c r="W163" s="311">
        <v>0</v>
      </c>
      <c r="X163" s="311">
        <v>0</v>
      </c>
      <c r="Y163" s="311">
        <v>0</v>
      </c>
      <c r="Z163" s="311">
        <v>0</v>
      </c>
      <c r="AA163" s="311">
        <v>0</v>
      </c>
      <c r="AB163" s="311">
        <v>0</v>
      </c>
      <c r="AC163" s="311">
        <v>0</v>
      </c>
      <c r="AD163" s="313">
        <f t="shared" si="167"/>
        <v>509.98928088711563</v>
      </c>
      <c r="AE163" s="313">
        <f t="shared" si="168"/>
        <v>91.798070559680809</v>
      </c>
      <c r="AF163" s="313">
        <f t="shared" si="169"/>
        <v>1529.9678426613468</v>
      </c>
      <c r="AG163" s="313">
        <f t="shared" si="170"/>
        <v>275.39421167904243</v>
      </c>
    </row>
    <row r="164" spans="2:33" ht="31.5" x14ac:dyDescent="0.25">
      <c r="B164" s="295">
        <v>0</v>
      </c>
      <c r="C164" s="304" t="s">
        <v>2730</v>
      </c>
      <c r="D164" s="304" t="s">
        <v>2715</v>
      </c>
      <c r="E164" s="304" t="s">
        <v>2739</v>
      </c>
      <c r="F164" s="304" t="s">
        <v>2650</v>
      </c>
      <c r="G164" s="304" t="s">
        <v>2910</v>
      </c>
      <c r="H164" s="305">
        <v>40</v>
      </c>
      <c r="I164" s="295">
        <v>20</v>
      </c>
      <c r="J164" s="295" t="s">
        <v>2636</v>
      </c>
      <c r="K164" s="295">
        <v>1</v>
      </c>
      <c r="L164" s="306">
        <v>0</v>
      </c>
      <c r="M164" s="295">
        <v>6</v>
      </c>
      <c r="N164" s="307">
        <f>M164*AG106</f>
        <v>4172.639570894582</v>
      </c>
      <c r="O164" s="333">
        <v>0</v>
      </c>
      <c r="P164" s="311">
        <f t="shared" si="165"/>
        <v>0</v>
      </c>
      <c r="Q164" s="311">
        <v>0</v>
      </c>
      <c r="R164" s="311">
        <v>0</v>
      </c>
      <c r="S164" s="312">
        <f>0/N164</f>
        <v>0</v>
      </c>
      <c r="T164" s="311">
        <f t="shared" si="166"/>
        <v>0</v>
      </c>
      <c r="U164" s="310">
        <f>(0/N164)*N164</f>
        <v>0</v>
      </c>
      <c r="V164" s="311">
        <v>0</v>
      </c>
      <c r="W164" s="311">
        <v>0</v>
      </c>
      <c r="X164" s="311">
        <v>0</v>
      </c>
      <c r="Y164" s="311">
        <v>0</v>
      </c>
      <c r="Z164" s="311">
        <v>0</v>
      </c>
      <c r="AA164" s="311">
        <v>0</v>
      </c>
      <c r="AB164" s="311">
        <v>0</v>
      </c>
      <c r="AC164" s="311">
        <v>0</v>
      </c>
      <c r="AD164" s="313">
        <f>(N164+Q164+R164)/3</f>
        <v>1390.8798569648607</v>
      </c>
      <c r="AE164" s="313">
        <f t="shared" si="168"/>
        <v>0</v>
      </c>
      <c r="AF164" s="313">
        <f>N164</f>
        <v>4172.639570894582</v>
      </c>
      <c r="AG164" s="313">
        <f t="shared" si="170"/>
        <v>0</v>
      </c>
    </row>
    <row r="165" spans="2:33" ht="31.5" x14ac:dyDescent="0.25">
      <c r="B165" s="295">
        <v>0</v>
      </c>
      <c r="C165" s="304" t="s">
        <v>2730</v>
      </c>
      <c r="D165" s="304" t="s">
        <v>2716</v>
      </c>
      <c r="E165" s="304" t="s">
        <v>2739</v>
      </c>
      <c r="F165" s="304" t="s">
        <v>2650</v>
      </c>
      <c r="G165" s="304" t="s">
        <v>2910</v>
      </c>
      <c r="H165" s="305">
        <v>40</v>
      </c>
      <c r="I165" s="295">
        <v>20</v>
      </c>
      <c r="J165" s="295" t="s">
        <v>2636</v>
      </c>
      <c r="K165" s="295">
        <v>1</v>
      </c>
      <c r="L165" s="306">
        <v>0</v>
      </c>
      <c r="M165" s="295">
        <v>6</v>
      </c>
      <c r="N165" s="307">
        <f>M165*AG106</f>
        <v>4172.639570894582</v>
      </c>
      <c r="O165" s="333">
        <v>0</v>
      </c>
      <c r="P165" s="311">
        <f t="shared" si="165"/>
        <v>0</v>
      </c>
      <c r="Q165" s="311">
        <v>0</v>
      </c>
      <c r="R165" s="311">
        <v>0</v>
      </c>
      <c r="S165" s="312">
        <f>0/N165</f>
        <v>0</v>
      </c>
      <c r="T165" s="311">
        <f t="shared" si="166"/>
        <v>0</v>
      </c>
      <c r="U165" s="310">
        <f>(0/N165)*N165</f>
        <v>0</v>
      </c>
      <c r="V165" s="311">
        <v>0</v>
      </c>
      <c r="W165" s="311">
        <v>0</v>
      </c>
      <c r="X165" s="311">
        <v>0</v>
      </c>
      <c r="Y165" s="311">
        <v>0</v>
      </c>
      <c r="Z165" s="311">
        <v>0</v>
      </c>
      <c r="AA165" s="311">
        <v>0</v>
      </c>
      <c r="AB165" s="311">
        <v>0</v>
      </c>
      <c r="AC165" s="311">
        <v>0</v>
      </c>
      <c r="AD165" s="313">
        <f>(N165+Q165+R165)/3</f>
        <v>1390.8798569648607</v>
      </c>
      <c r="AE165" s="313">
        <f t="shared" si="168"/>
        <v>0</v>
      </c>
      <c r="AF165" s="313">
        <f>N165</f>
        <v>4172.639570894582</v>
      </c>
      <c r="AG165" s="313">
        <f t="shared" si="170"/>
        <v>0</v>
      </c>
    </row>
    <row r="166" spans="2:33" ht="31.5" x14ac:dyDescent="0.25">
      <c r="B166" s="295">
        <v>0</v>
      </c>
      <c r="C166" s="304" t="s">
        <v>2730</v>
      </c>
      <c r="D166" s="304" t="s">
        <v>2915</v>
      </c>
      <c r="E166" s="304" t="s">
        <v>2739</v>
      </c>
      <c r="F166" s="304" t="s">
        <v>2650</v>
      </c>
      <c r="G166" s="304" t="s">
        <v>2910</v>
      </c>
      <c r="H166" s="305">
        <v>40</v>
      </c>
      <c r="I166" s="295">
        <v>20</v>
      </c>
      <c r="J166" s="295" t="s">
        <v>2636</v>
      </c>
      <c r="K166" s="295">
        <v>1</v>
      </c>
      <c r="L166" s="306">
        <v>0</v>
      </c>
      <c r="M166" s="295">
        <v>3</v>
      </c>
      <c r="N166" s="307">
        <f>M166*AG106</f>
        <v>2086.319785447291</v>
      </c>
      <c r="O166" s="333">
        <v>0</v>
      </c>
      <c r="P166" s="311">
        <f t="shared" si="165"/>
        <v>0</v>
      </c>
      <c r="Q166" s="311">
        <v>0</v>
      </c>
      <c r="R166" s="311">
        <v>0</v>
      </c>
      <c r="S166" s="312">
        <f>0/N166</f>
        <v>0</v>
      </c>
      <c r="T166" s="311">
        <f t="shared" si="166"/>
        <v>0</v>
      </c>
      <c r="U166" s="310">
        <f>(0/N166)*N166</f>
        <v>0</v>
      </c>
      <c r="V166" s="311">
        <v>0</v>
      </c>
      <c r="W166" s="311">
        <v>0</v>
      </c>
      <c r="X166" s="311">
        <v>0</v>
      </c>
      <c r="Y166" s="311">
        <v>0</v>
      </c>
      <c r="Z166" s="311">
        <v>0</v>
      </c>
      <c r="AA166" s="311">
        <v>0</v>
      </c>
      <c r="AB166" s="311">
        <v>0</v>
      </c>
      <c r="AC166" s="311">
        <v>0</v>
      </c>
      <c r="AD166" s="313">
        <f>(N166+Q166+R166)/3</f>
        <v>695.43992848243033</v>
      </c>
      <c r="AE166" s="313">
        <f t="shared" si="168"/>
        <v>0</v>
      </c>
      <c r="AF166" s="313">
        <f>N166</f>
        <v>2086.319785447291</v>
      </c>
      <c r="AG166" s="313">
        <f t="shared" si="170"/>
        <v>0</v>
      </c>
    </row>
    <row r="167" spans="2:33" s="299" customFormat="1" ht="31.5" x14ac:dyDescent="0.25">
      <c r="B167" s="295">
        <v>1677</v>
      </c>
      <c r="C167" s="304" t="s">
        <v>2712</v>
      </c>
      <c r="D167" s="304" t="s">
        <v>2710</v>
      </c>
      <c r="E167" s="304" t="s">
        <v>2739</v>
      </c>
      <c r="F167" s="304" t="s">
        <v>2650</v>
      </c>
      <c r="G167" s="304" t="s">
        <v>2910</v>
      </c>
      <c r="H167" s="305">
        <v>40</v>
      </c>
      <c r="I167" s="295">
        <v>40</v>
      </c>
      <c r="J167" s="295" t="s">
        <v>2634</v>
      </c>
      <c r="K167" s="295">
        <v>1</v>
      </c>
      <c r="L167" s="306">
        <v>41306</v>
      </c>
      <c r="M167" s="295">
        <v>6.82</v>
      </c>
      <c r="N167" s="307">
        <f>M167*AG106</f>
        <v>4742.9003122501754</v>
      </c>
      <c r="O167" s="333">
        <v>7.0000000000000007E-2</v>
      </c>
      <c r="P167" s="311">
        <f t="shared" si="165"/>
        <v>332.00302185751229</v>
      </c>
      <c r="Q167" s="311">
        <v>0</v>
      </c>
      <c r="R167" s="311">
        <v>0</v>
      </c>
      <c r="S167" s="312">
        <f>0/N167</f>
        <v>0</v>
      </c>
      <c r="T167" s="311">
        <f t="shared" si="166"/>
        <v>0</v>
      </c>
      <c r="U167" s="310">
        <f>(213.76/N167)*N167</f>
        <v>213.76</v>
      </c>
      <c r="V167" s="311">
        <f>(0/N167)*N167</f>
        <v>0</v>
      </c>
      <c r="W167" s="311">
        <v>0</v>
      </c>
      <c r="X167" s="311">
        <v>0</v>
      </c>
      <c r="Y167" s="311">
        <v>0</v>
      </c>
      <c r="Z167" s="311">
        <v>0</v>
      </c>
      <c r="AA167" s="311">
        <v>0</v>
      </c>
      <c r="AB167" s="311">
        <v>0</v>
      </c>
      <c r="AC167" s="311">
        <v>0</v>
      </c>
      <c r="AD167" s="313">
        <f>(N167+Q167+U167)/3</f>
        <v>1652.2201040833918</v>
      </c>
      <c r="AE167" s="313">
        <f t="shared" si="168"/>
        <v>115.65540728583744</v>
      </c>
      <c r="AF167" s="313">
        <f>N167+Q167</f>
        <v>4742.9003122501754</v>
      </c>
      <c r="AG167" s="313">
        <f t="shared" si="170"/>
        <v>332.00302185751229</v>
      </c>
    </row>
    <row r="168" spans="2:33" s="1228" customFormat="1" x14ac:dyDescent="0.25">
      <c r="B168" s="1224" t="s">
        <v>7240</v>
      </c>
      <c r="C168" s="1251"/>
      <c r="D168" s="1251"/>
      <c r="E168" s="1251"/>
      <c r="F168" s="1251"/>
      <c r="G168" s="1251"/>
      <c r="H168" s="1251"/>
      <c r="I168" s="1251"/>
      <c r="J168" s="1251"/>
      <c r="K168" s="1251"/>
      <c r="L168" s="1251"/>
      <c r="M168" s="1251"/>
      <c r="N168" s="1258">
        <f>SUM(N142:N167)</f>
        <v>98867.549187350363</v>
      </c>
      <c r="O168" s="1259"/>
      <c r="P168" s="1258">
        <f>SUM(P142:P167)</f>
        <v>14159.322333078826</v>
      </c>
      <c r="Q168" s="1258">
        <f>SUM(Q142:Q167)</f>
        <v>1390.8798569648607</v>
      </c>
      <c r="R168" s="1258">
        <f>SUM(R142:R167)</f>
        <v>0</v>
      </c>
      <c r="S168" s="1260"/>
      <c r="T168" s="1258">
        <f t="shared" ref="T168:AG168" si="172">SUM(T142:T167)</f>
        <v>1116.0799999999997</v>
      </c>
      <c r="U168" s="1376">
        <f t="shared" si="172"/>
        <v>2990.54</v>
      </c>
      <c r="V168" s="1258">
        <f t="shared" si="172"/>
        <v>987.95999999999992</v>
      </c>
      <c r="W168" s="1258">
        <f t="shared" si="172"/>
        <v>0</v>
      </c>
      <c r="X168" s="1258">
        <f t="shared" si="172"/>
        <v>0</v>
      </c>
      <c r="Y168" s="1258">
        <f t="shared" si="172"/>
        <v>0</v>
      </c>
      <c r="Z168" s="1258">
        <f t="shared" si="172"/>
        <v>0</v>
      </c>
      <c r="AA168" s="1258">
        <f t="shared" si="172"/>
        <v>0</v>
      </c>
      <c r="AB168" s="1258">
        <f t="shared" si="172"/>
        <v>0</v>
      </c>
      <c r="AC168" s="1258">
        <f t="shared" si="172"/>
        <v>0</v>
      </c>
      <c r="AD168" s="1258">
        <f t="shared" si="172"/>
        <v>34416.323014771733</v>
      </c>
      <c r="AE168" s="1258">
        <f t="shared" si="172"/>
        <v>4968.5111355391082</v>
      </c>
      <c r="AF168" s="1258">
        <f t="shared" si="172"/>
        <v>100258.42904431523</v>
      </c>
      <c r="AG168" s="1258">
        <f t="shared" si="172"/>
        <v>14416.635106617325</v>
      </c>
    </row>
    <row r="169" spans="2:33" ht="15.75" x14ac:dyDescent="0.25">
      <c r="B169" s="295"/>
      <c r="C169" s="314"/>
      <c r="D169" s="304"/>
      <c r="E169" s="304"/>
      <c r="F169" s="304"/>
      <c r="G169" s="304"/>
      <c r="H169" s="305"/>
      <c r="I169" s="295"/>
      <c r="J169" s="295"/>
      <c r="K169" s="295"/>
      <c r="L169" s="306"/>
      <c r="M169" s="295"/>
      <c r="N169" s="307"/>
      <c r="O169" s="333"/>
      <c r="P169" s="311"/>
      <c r="Q169" s="311"/>
      <c r="R169" s="311"/>
      <c r="S169" s="312"/>
      <c r="T169" s="311"/>
      <c r="U169" s="310"/>
      <c r="V169" s="311"/>
      <c r="W169" s="311"/>
      <c r="X169" s="311"/>
      <c r="Y169" s="311"/>
      <c r="Z169" s="311"/>
      <c r="AA169" s="311"/>
      <c r="AB169" s="311"/>
      <c r="AC169" s="311"/>
      <c r="AD169" s="313"/>
      <c r="AE169" s="313"/>
      <c r="AF169" s="313"/>
      <c r="AG169" s="313"/>
    </row>
    <row r="170" spans="2:33" ht="15.75" x14ac:dyDescent="0.25">
      <c r="B170" s="295">
        <v>2205</v>
      </c>
      <c r="C170" s="304" t="str">
        <f>PROPER("PATRICIA DOS SANTOS MATHUCHESKI")</f>
        <v>Patricia Dos Santos Mathucheski</v>
      </c>
      <c r="D170" s="304" t="s">
        <v>2714</v>
      </c>
      <c r="E170" s="304" t="s">
        <v>2905</v>
      </c>
      <c r="F170" s="304" t="s">
        <v>2650</v>
      </c>
      <c r="G170" s="304" t="s">
        <v>2914</v>
      </c>
      <c r="H170" s="305">
        <v>40</v>
      </c>
      <c r="I170" s="295">
        <v>20</v>
      </c>
      <c r="J170" s="295" t="s">
        <v>2636</v>
      </c>
      <c r="K170" s="295">
        <v>0</v>
      </c>
      <c r="L170" s="306">
        <v>43399</v>
      </c>
      <c r="M170" s="295">
        <v>4</v>
      </c>
      <c r="N170" s="307">
        <f>M170*AG106</f>
        <v>2781.7597139297213</v>
      </c>
      <c r="O170" s="333">
        <v>0</v>
      </c>
      <c r="P170" s="311">
        <f>N170*O170</f>
        <v>0</v>
      </c>
      <c r="Q170" s="311">
        <v>0</v>
      </c>
      <c r="R170" s="311">
        <v>0</v>
      </c>
      <c r="S170" s="312">
        <f>0/N170</f>
        <v>0</v>
      </c>
      <c r="T170" s="311">
        <f>N170*S170</f>
        <v>0</v>
      </c>
      <c r="U170" s="310">
        <f>(0/N170)*N170</f>
        <v>0</v>
      </c>
      <c r="V170" s="311">
        <v>0</v>
      </c>
      <c r="W170" s="311">
        <v>0</v>
      </c>
      <c r="X170" s="311">
        <v>0</v>
      </c>
      <c r="Y170" s="311">
        <v>0</v>
      </c>
      <c r="Z170" s="311">
        <v>0</v>
      </c>
      <c r="AA170" s="311">
        <v>0</v>
      </c>
      <c r="AB170" s="311">
        <v>0</v>
      </c>
      <c r="AC170" s="311">
        <v>0</v>
      </c>
      <c r="AD170" s="313">
        <f>(N170+Q170+R170)/3</f>
        <v>927.25323797657381</v>
      </c>
      <c r="AE170" s="313">
        <f>AD170*O170</f>
        <v>0</v>
      </c>
      <c r="AF170" s="313">
        <f>N170</f>
        <v>2781.7597139297213</v>
      </c>
      <c r="AG170" s="313">
        <f>AF170*O170</f>
        <v>0</v>
      </c>
    </row>
    <row r="171" spans="2:33" s="299" customFormat="1" ht="15.75" x14ac:dyDescent="0.25">
      <c r="B171" s="295">
        <v>2207</v>
      </c>
      <c r="C171" s="304" t="str">
        <f>PROPER("PATRICIA DOS SANTOS MATHUCHESKI")</f>
        <v>Patricia Dos Santos Mathucheski</v>
      </c>
      <c r="D171" s="304" t="s">
        <v>2714</v>
      </c>
      <c r="E171" s="304" t="s">
        <v>2905</v>
      </c>
      <c r="F171" s="304" t="s">
        <v>2650</v>
      </c>
      <c r="G171" s="304" t="s">
        <v>2914</v>
      </c>
      <c r="H171" s="305">
        <v>40</v>
      </c>
      <c r="I171" s="295">
        <v>20</v>
      </c>
      <c r="J171" s="295" t="s">
        <v>2636</v>
      </c>
      <c r="K171" s="295">
        <v>0</v>
      </c>
      <c r="L171" s="306">
        <v>43438</v>
      </c>
      <c r="M171" s="295">
        <v>4</v>
      </c>
      <c r="N171" s="307">
        <f>M171*AG106</f>
        <v>2781.7597139297213</v>
      </c>
      <c r="O171" s="333">
        <v>0</v>
      </c>
      <c r="P171" s="311">
        <f>N171*O171</f>
        <v>0</v>
      </c>
      <c r="Q171" s="311">
        <v>0</v>
      </c>
      <c r="R171" s="311">
        <v>0</v>
      </c>
      <c r="S171" s="312">
        <f>0/N171</f>
        <v>0</v>
      </c>
      <c r="T171" s="311">
        <f>N171*S171</f>
        <v>0</v>
      </c>
      <c r="U171" s="310">
        <f>(0/N171)*N171</f>
        <v>0</v>
      </c>
      <c r="V171" s="311">
        <v>0</v>
      </c>
      <c r="W171" s="311">
        <v>0</v>
      </c>
      <c r="X171" s="311">
        <v>0</v>
      </c>
      <c r="Y171" s="311">
        <v>0</v>
      </c>
      <c r="Z171" s="311">
        <v>0</v>
      </c>
      <c r="AA171" s="311">
        <v>0</v>
      </c>
      <c r="AB171" s="311">
        <v>0</v>
      </c>
      <c r="AC171" s="311">
        <v>0</v>
      </c>
      <c r="AD171" s="313">
        <f>(N171+Q171+R171)/3</f>
        <v>927.25323797657381</v>
      </c>
      <c r="AE171" s="313">
        <f>AD171*O171</f>
        <v>0</v>
      </c>
      <c r="AF171" s="313">
        <f>N171</f>
        <v>2781.7597139297213</v>
      </c>
      <c r="AG171" s="313">
        <f>AF171*O171</f>
        <v>0</v>
      </c>
    </row>
    <row r="172" spans="2:33" s="1229" customFormat="1" x14ac:dyDescent="0.25">
      <c r="B172" s="1224" t="s">
        <v>7242</v>
      </c>
      <c r="C172" s="1224"/>
      <c r="D172" s="1224"/>
      <c r="E172" s="1224"/>
      <c r="F172" s="1224"/>
      <c r="G172" s="1224"/>
      <c r="H172" s="1224"/>
      <c r="I172" s="1224"/>
      <c r="J172" s="1224"/>
      <c r="K172" s="1224"/>
      <c r="L172" s="1224"/>
      <c r="M172" s="1224"/>
      <c r="N172" s="1225">
        <f>SUM(N170:N171)</f>
        <v>5563.5194278594427</v>
      </c>
      <c r="O172" s="1226"/>
      <c r="P172" s="1225">
        <f t="shared" ref="P172:R172" si="173">SUM(P170:P171)</f>
        <v>0</v>
      </c>
      <c r="Q172" s="1225">
        <f t="shared" si="173"/>
        <v>0</v>
      </c>
      <c r="R172" s="1225">
        <f t="shared" si="173"/>
        <v>0</v>
      </c>
      <c r="S172" s="1227"/>
      <c r="T172" s="1225">
        <f t="shared" ref="T172:AG172" si="174">SUM(T170:T171)</f>
        <v>0</v>
      </c>
      <c r="U172" s="1189">
        <f t="shared" si="174"/>
        <v>0</v>
      </c>
      <c r="V172" s="1225">
        <f t="shared" si="174"/>
        <v>0</v>
      </c>
      <c r="W172" s="1225">
        <f t="shared" si="174"/>
        <v>0</v>
      </c>
      <c r="X172" s="1225">
        <f t="shared" si="174"/>
        <v>0</v>
      </c>
      <c r="Y172" s="1225">
        <f t="shared" si="174"/>
        <v>0</v>
      </c>
      <c r="Z172" s="1225">
        <f t="shared" si="174"/>
        <v>0</v>
      </c>
      <c r="AA172" s="1225">
        <f t="shared" si="174"/>
        <v>0</v>
      </c>
      <c r="AB172" s="1225">
        <f t="shared" si="174"/>
        <v>0</v>
      </c>
      <c r="AC172" s="1225">
        <f t="shared" si="174"/>
        <v>0</v>
      </c>
      <c r="AD172" s="1225">
        <f t="shared" si="174"/>
        <v>1854.5064759531476</v>
      </c>
      <c r="AE172" s="1225">
        <f t="shared" si="174"/>
        <v>0</v>
      </c>
      <c r="AF172" s="1225">
        <f t="shared" si="174"/>
        <v>5563.5194278594427</v>
      </c>
      <c r="AG172" s="1225">
        <f t="shared" si="174"/>
        <v>0</v>
      </c>
    </row>
    <row r="173" spans="2:33" ht="15.75" x14ac:dyDescent="0.25">
      <c r="B173" s="295"/>
      <c r="C173" s="314"/>
      <c r="D173" s="304"/>
      <c r="E173" s="304"/>
      <c r="F173" s="304"/>
      <c r="G173" s="304"/>
      <c r="H173" s="305"/>
      <c r="I173" s="295"/>
      <c r="J173" s="295"/>
      <c r="K173" s="295"/>
      <c r="L173" s="306"/>
      <c r="M173" s="295"/>
      <c r="N173" s="307"/>
      <c r="O173" s="333"/>
      <c r="P173" s="311"/>
      <c r="Q173" s="311"/>
      <c r="R173" s="311"/>
      <c r="S173" s="312"/>
      <c r="T173" s="311"/>
      <c r="U173" s="310"/>
      <c r="V173" s="311"/>
      <c r="W173" s="311"/>
      <c r="X173" s="311"/>
      <c r="Y173" s="311"/>
      <c r="Z173" s="311"/>
      <c r="AA173" s="311"/>
      <c r="AB173" s="311"/>
      <c r="AC173" s="311"/>
      <c r="AD173" s="313"/>
      <c r="AE173" s="313"/>
      <c r="AF173" s="313"/>
      <c r="AG173" s="313"/>
    </row>
    <row r="174" spans="2:33" ht="15.75" x14ac:dyDescent="0.25">
      <c r="B174" s="295">
        <v>512</v>
      </c>
      <c r="C174" s="304" t="s">
        <v>2717</v>
      </c>
      <c r="D174" s="304" t="s">
        <v>2718</v>
      </c>
      <c r="E174" s="304" t="s">
        <v>2739</v>
      </c>
      <c r="F174" s="304" t="s">
        <v>2650</v>
      </c>
      <c r="G174" s="304" t="s">
        <v>2916</v>
      </c>
      <c r="H174" s="305">
        <v>40</v>
      </c>
      <c r="I174" s="295">
        <v>40</v>
      </c>
      <c r="J174" s="295" t="s">
        <v>2638</v>
      </c>
      <c r="K174" s="295">
        <v>1</v>
      </c>
      <c r="L174" s="306">
        <v>37363</v>
      </c>
      <c r="M174" s="295">
        <v>9.1999999999999993</v>
      </c>
      <c r="N174" s="307">
        <f>M174*AG106</f>
        <v>6398.0473420383587</v>
      </c>
      <c r="O174" s="333">
        <v>0.18</v>
      </c>
      <c r="P174" s="311">
        <f>N174*O174</f>
        <v>1151.6485215669045</v>
      </c>
      <c r="Q174" s="311">
        <v>0</v>
      </c>
      <c r="R174" s="311">
        <v>0</v>
      </c>
      <c r="S174" s="312">
        <f>51.18/N174</f>
        <v>7.9993156136438544E-3</v>
      </c>
      <c r="T174" s="311">
        <f>N174*S174</f>
        <v>51.180000000000007</v>
      </c>
      <c r="U174" s="310">
        <f>(0/N174)*N174</f>
        <v>0</v>
      </c>
      <c r="V174" s="311">
        <v>0</v>
      </c>
      <c r="W174" s="311">
        <v>0</v>
      </c>
      <c r="X174" s="311">
        <v>0</v>
      </c>
      <c r="Y174" s="311">
        <v>0</v>
      </c>
      <c r="Z174" s="311">
        <v>0</v>
      </c>
      <c r="AA174" s="311">
        <v>0</v>
      </c>
      <c r="AB174" s="311">
        <v>0</v>
      </c>
      <c r="AC174" s="311">
        <v>0</v>
      </c>
      <c r="AD174" s="313">
        <f>(N174+Q174+R174)/3</f>
        <v>2132.6824473461197</v>
      </c>
      <c r="AE174" s="313">
        <f>AD174*O174</f>
        <v>383.88284052230154</v>
      </c>
      <c r="AF174" s="313">
        <f>N174</f>
        <v>6398.0473420383587</v>
      </c>
      <c r="AG174" s="313">
        <f>AF174*O174</f>
        <v>1151.6485215669045</v>
      </c>
    </row>
    <row r="175" spans="2:33" s="299" customFormat="1" ht="15.75" x14ac:dyDescent="0.25">
      <c r="B175" s="295">
        <v>108</v>
      </c>
      <c r="C175" s="304" t="str">
        <f>PROPER("LILIAN DA PORCINCULA PACHECO")</f>
        <v>Lilian Da Porcincula Pacheco</v>
      </c>
      <c r="D175" s="304" t="s">
        <v>2718</v>
      </c>
      <c r="E175" s="304" t="s">
        <v>2739</v>
      </c>
      <c r="F175" s="304" t="s">
        <v>2650</v>
      </c>
      <c r="G175" s="304" t="s">
        <v>2916</v>
      </c>
      <c r="H175" s="305">
        <v>40</v>
      </c>
      <c r="I175" s="295">
        <v>40</v>
      </c>
      <c r="J175" s="295" t="s">
        <v>2638</v>
      </c>
      <c r="K175" s="295">
        <v>1</v>
      </c>
      <c r="L175" s="306">
        <v>35807</v>
      </c>
      <c r="M175" s="295">
        <v>9.1999999999999993</v>
      </c>
      <c r="N175" s="307">
        <f>M175*AG106</f>
        <v>6398.0473420383587</v>
      </c>
      <c r="O175" s="333">
        <v>0.22</v>
      </c>
      <c r="P175" s="311">
        <f>N175*O175</f>
        <v>1407.5704152484388</v>
      </c>
      <c r="Q175" s="311">
        <v>0</v>
      </c>
      <c r="R175" s="311">
        <v>0</v>
      </c>
      <c r="S175" s="312">
        <f>51.18/N175</f>
        <v>7.9993156136438544E-3</v>
      </c>
      <c r="T175" s="311">
        <f>N175*S175</f>
        <v>51.180000000000007</v>
      </c>
      <c r="U175" s="310">
        <f>(0/N175)*N175</f>
        <v>0</v>
      </c>
      <c r="V175" s="311">
        <v>0</v>
      </c>
      <c r="W175" s="311">
        <v>0</v>
      </c>
      <c r="X175" s="311">
        <v>0</v>
      </c>
      <c r="Y175" s="311">
        <v>0</v>
      </c>
      <c r="Z175" s="311">
        <v>0</v>
      </c>
      <c r="AA175" s="311">
        <v>0</v>
      </c>
      <c r="AB175" s="311">
        <v>0</v>
      </c>
      <c r="AC175" s="311">
        <v>0</v>
      </c>
      <c r="AD175" s="313">
        <f>(N175+Q175+R175)/3</f>
        <v>2132.6824473461197</v>
      </c>
      <c r="AE175" s="313">
        <f>AD175*O175</f>
        <v>469.19013841614634</v>
      </c>
      <c r="AF175" s="313">
        <f>N175</f>
        <v>6398.0473420383587</v>
      </c>
      <c r="AG175" s="313">
        <f>AF175*O175</f>
        <v>1407.5704152484388</v>
      </c>
    </row>
    <row r="176" spans="2:33" s="1228" customFormat="1" x14ac:dyDescent="0.25">
      <c r="B176" s="1224" t="s">
        <v>7243</v>
      </c>
      <c r="C176" s="1251"/>
      <c r="D176" s="1251"/>
      <c r="E176" s="1251"/>
      <c r="F176" s="1251"/>
      <c r="G176" s="1251"/>
      <c r="H176" s="1251"/>
      <c r="I176" s="1251"/>
      <c r="J176" s="1251"/>
      <c r="K176" s="1251"/>
      <c r="L176" s="1251"/>
      <c r="M176" s="1251"/>
      <c r="N176" s="1258">
        <f>SUM(N174:N175)</f>
        <v>12796.094684076717</v>
      </c>
      <c r="O176" s="1259"/>
      <c r="P176" s="1258">
        <f t="shared" ref="P176:R176" si="175">SUM(P174:P175)</f>
        <v>2559.2189368153431</v>
      </c>
      <c r="Q176" s="1258">
        <f t="shared" si="175"/>
        <v>0</v>
      </c>
      <c r="R176" s="1258">
        <f t="shared" si="175"/>
        <v>0</v>
      </c>
      <c r="S176" s="1260"/>
      <c r="T176" s="1258">
        <f t="shared" ref="T176:AG176" si="176">SUM(T174:T175)</f>
        <v>102.36000000000001</v>
      </c>
      <c r="U176" s="1376">
        <f t="shared" si="176"/>
        <v>0</v>
      </c>
      <c r="V176" s="1258">
        <f t="shared" si="176"/>
        <v>0</v>
      </c>
      <c r="W176" s="1258">
        <f t="shared" si="176"/>
        <v>0</v>
      </c>
      <c r="X176" s="1258">
        <f t="shared" si="176"/>
        <v>0</v>
      </c>
      <c r="Y176" s="1258">
        <f t="shared" si="176"/>
        <v>0</v>
      </c>
      <c r="Z176" s="1258">
        <f t="shared" si="176"/>
        <v>0</v>
      </c>
      <c r="AA176" s="1258">
        <f t="shared" si="176"/>
        <v>0</v>
      </c>
      <c r="AB176" s="1258">
        <f t="shared" si="176"/>
        <v>0</v>
      </c>
      <c r="AC176" s="1258">
        <f t="shared" si="176"/>
        <v>0</v>
      </c>
      <c r="AD176" s="1258">
        <f t="shared" si="176"/>
        <v>4265.3648946922394</v>
      </c>
      <c r="AE176" s="1258">
        <f t="shared" si="176"/>
        <v>853.07297893844793</v>
      </c>
      <c r="AF176" s="1258">
        <f t="shared" si="176"/>
        <v>12796.094684076717</v>
      </c>
      <c r="AG176" s="1258">
        <f t="shared" si="176"/>
        <v>2559.2189368153431</v>
      </c>
    </row>
    <row r="177" spans="2:33" ht="15.75" x14ac:dyDescent="0.25">
      <c r="B177" s="295"/>
      <c r="C177" s="314"/>
      <c r="D177" s="304"/>
      <c r="E177" s="304"/>
      <c r="F177" s="304"/>
      <c r="G177" s="304"/>
      <c r="H177" s="305"/>
      <c r="I177" s="295"/>
      <c r="J177" s="295"/>
      <c r="K177" s="295"/>
      <c r="L177" s="306"/>
      <c r="M177" s="295"/>
      <c r="N177" s="307"/>
      <c r="O177" s="333"/>
      <c r="P177" s="311"/>
      <c r="Q177" s="311"/>
      <c r="R177" s="311"/>
      <c r="S177" s="312"/>
      <c r="T177" s="311"/>
      <c r="U177" s="310"/>
      <c r="V177" s="311"/>
      <c r="W177" s="311"/>
      <c r="X177" s="311"/>
      <c r="Y177" s="311"/>
      <c r="Z177" s="311"/>
      <c r="AA177" s="311"/>
      <c r="AB177" s="311"/>
      <c r="AC177" s="311"/>
      <c r="AD177" s="313"/>
      <c r="AE177" s="313"/>
      <c r="AF177" s="313"/>
      <c r="AG177" s="313"/>
    </row>
    <row r="178" spans="2:33" s="299" customFormat="1" ht="15.75" x14ac:dyDescent="0.25">
      <c r="B178" s="295">
        <v>735</v>
      </c>
      <c r="C178" s="304" t="str">
        <f>PROPER("ROSANETE DA SILVA PERES")</f>
        <v>Rosanete Da Silva Peres</v>
      </c>
      <c r="D178" s="304" t="s">
        <v>2699</v>
      </c>
      <c r="E178" s="304" t="s">
        <v>2739</v>
      </c>
      <c r="F178" s="304" t="s">
        <v>2650</v>
      </c>
      <c r="G178" s="304" t="s">
        <v>2917</v>
      </c>
      <c r="H178" s="305">
        <v>40</v>
      </c>
      <c r="I178" s="295">
        <v>40</v>
      </c>
      <c r="J178" s="295" t="s">
        <v>2648</v>
      </c>
      <c r="K178" s="295">
        <v>1</v>
      </c>
      <c r="L178" s="306">
        <v>38111</v>
      </c>
      <c r="M178" s="316">
        <f>2942.48/639.67</f>
        <v>4.5999968733878411</v>
      </c>
      <c r="N178" s="307">
        <f>M178*AG106</f>
        <v>3199.0214966482436</v>
      </c>
      <c r="O178" s="333">
        <v>0.16</v>
      </c>
      <c r="P178" s="311">
        <f>N178*O178</f>
        <v>511.84343946371899</v>
      </c>
      <c r="Q178" s="311">
        <v>0</v>
      </c>
      <c r="R178" s="311">
        <v>0</v>
      </c>
      <c r="S178" s="312">
        <f>51.18/N178</f>
        <v>1.599864210153747E-2</v>
      </c>
      <c r="T178" s="311">
        <f>N178*S178</f>
        <v>51.18</v>
      </c>
      <c r="U178" s="310">
        <f>(0/N178)*N178</f>
        <v>0</v>
      </c>
      <c r="V178" s="311">
        <v>0</v>
      </c>
      <c r="W178" s="311">
        <v>0</v>
      </c>
      <c r="X178" s="311">
        <v>0</v>
      </c>
      <c r="Y178" s="311">
        <v>0</v>
      </c>
      <c r="Z178" s="311">
        <v>0</v>
      </c>
      <c r="AA178" s="311">
        <v>0</v>
      </c>
      <c r="AB178" s="311">
        <v>0</v>
      </c>
      <c r="AC178" s="311">
        <v>0</v>
      </c>
      <c r="AD178" s="313">
        <f>(N178+Q178+R178)/3</f>
        <v>1066.3404988827479</v>
      </c>
      <c r="AE178" s="313">
        <f>AD178*O178</f>
        <v>170.61447982123966</v>
      </c>
      <c r="AF178" s="313">
        <f>N178</f>
        <v>3199.0214966482436</v>
      </c>
      <c r="AG178" s="313">
        <f>AF178*O178</f>
        <v>511.84343946371899</v>
      </c>
    </row>
    <row r="179" spans="2:33" s="1261" customFormat="1" x14ac:dyDescent="0.25">
      <c r="B179" s="1224" t="s">
        <v>7244</v>
      </c>
      <c r="C179" s="1224"/>
      <c r="D179" s="1224"/>
      <c r="E179" s="1224"/>
      <c r="F179" s="1224"/>
      <c r="G179" s="1224"/>
      <c r="H179" s="1224"/>
      <c r="I179" s="1224"/>
      <c r="J179" s="1224"/>
      <c r="K179" s="1224"/>
      <c r="L179" s="1224"/>
      <c r="M179" s="1224"/>
      <c r="N179" s="1225">
        <f>SUM(N178:N178)</f>
        <v>3199.0214966482436</v>
      </c>
      <c r="O179" s="1226"/>
      <c r="P179" s="1225">
        <f t="shared" ref="P179:R179" si="177">SUM(P178:P178)</f>
        <v>511.84343946371899</v>
      </c>
      <c r="Q179" s="1225">
        <f t="shared" si="177"/>
        <v>0</v>
      </c>
      <c r="R179" s="1225">
        <f t="shared" si="177"/>
        <v>0</v>
      </c>
      <c r="S179" s="1227"/>
      <c r="T179" s="1225">
        <f>SUM(T178:T178)</f>
        <v>51.18</v>
      </c>
      <c r="U179" s="1189">
        <f t="shared" ref="U179:AG179" si="178">SUM(U178:U178)</f>
        <v>0</v>
      </c>
      <c r="V179" s="1225">
        <f t="shared" si="178"/>
        <v>0</v>
      </c>
      <c r="W179" s="1225">
        <f t="shared" si="178"/>
        <v>0</v>
      </c>
      <c r="X179" s="1225">
        <f t="shared" si="178"/>
        <v>0</v>
      </c>
      <c r="Y179" s="1225">
        <f t="shared" si="178"/>
        <v>0</v>
      </c>
      <c r="Z179" s="1225">
        <f t="shared" si="178"/>
        <v>0</v>
      </c>
      <c r="AA179" s="1225">
        <f t="shared" si="178"/>
        <v>0</v>
      </c>
      <c r="AB179" s="1225">
        <f t="shared" si="178"/>
        <v>0</v>
      </c>
      <c r="AC179" s="1225">
        <f t="shared" si="178"/>
        <v>0</v>
      </c>
      <c r="AD179" s="1225">
        <f t="shared" si="178"/>
        <v>1066.3404988827479</v>
      </c>
      <c r="AE179" s="1225">
        <f t="shared" si="178"/>
        <v>170.61447982123966</v>
      </c>
      <c r="AF179" s="1225">
        <f t="shared" si="178"/>
        <v>3199.0214966482436</v>
      </c>
      <c r="AG179" s="1225">
        <f t="shared" si="178"/>
        <v>511.84343946371899</v>
      </c>
    </row>
    <row r="180" spans="2:33" ht="15.75" x14ac:dyDescent="0.25">
      <c r="B180" s="295"/>
      <c r="C180" s="314"/>
      <c r="D180" s="304"/>
      <c r="E180" s="304"/>
      <c r="F180" s="304"/>
      <c r="G180" s="304"/>
      <c r="H180" s="305"/>
      <c r="I180" s="295"/>
      <c r="J180" s="295"/>
      <c r="K180" s="295"/>
      <c r="L180" s="306"/>
      <c r="M180" s="295"/>
      <c r="N180" s="307"/>
      <c r="O180" s="333"/>
      <c r="P180" s="311"/>
      <c r="Q180" s="311"/>
      <c r="R180" s="311"/>
      <c r="S180" s="312"/>
      <c r="T180" s="311"/>
      <c r="U180" s="310"/>
      <c r="V180" s="311"/>
      <c r="W180" s="311"/>
      <c r="X180" s="311"/>
      <c r="Y180" s="311"/>
      <c r="Z180" s="311"/>
      <c r="AA180" s="311"/>
      <c r="AB180" s="311"/>
      <c r="AC180" s="311"/>
      <c r="AD180" s="313"/>
      <c r="AE180" s="313"/>
      <c r="AF180" s="313"/>
      <c r="AG180" s="313"/>
    </row>
    <row r="181" spans="2:33" s="1228" customFormat="1" ht="15.75" x14ac:dyDescent="0.25">
      <c r="B181" s="1224" t="s">
        <v>7245</v>
      </c>
      <c r="C181" s="1224"/>
      <c r="D181" s="1249"/>
      <c r="E181" s="1249"/>
      <c r="F181" s="1249"/>
      <c r="G181" s="1249"/>
      <c r="H181" s="1250"/>
      <c r="I181" s="1251"/>
      <c r="J181" s="1251"/>
      <c r="K181" s="1251"/>
      <c r="L181" s="1252"/>
      <c r="M181" s="1251"/>
      <c r="N181" s="1253">
        <f>N179+N176+N172+N168+N140</f>
        <v>151720.98157764412</v>
      </c>
      <c r="O181" s="1254"/>
      <c r="P181" s="1253">
        <f>P179+P176+P172+P168+P140</f>
        <v>17230.384709357888</v>
      </c>
      <c r="Q181" s="1253">
        <f>Q179+Q176+Q172+Q168+Q140</f>
        <v>1390.8798569648607</v>
      </c>
      <c r="R181" s="1253">
        <f>R179+R176+R172+R168+R140</f>
        <v>0</v>
      </c>
      <c r="S181" s="1256"/>
      <c r="T181" s="1253">
        <f>T179+T176+T172+T168+T140</f>
        <v>1568.1599999999996</v>
      </c>
      <c r="U181" s="684">
        <f t="shared" ref="U181:AG181" si="179">U179+U176+U172+U168+U140</f>
        <v>4507.46</v>
      </c>
      <c r="V181" s="1253">
        <f t="shared" si="179"/>
        <v>987.95999999999992</v>
      </c>
      <c r="W181" s="1253">
        <f t="shared" si="179"/>
        <v>0</v>
      </c>
      <c r="X181" s="1253">
        <f t="shared" si="179"/>
        <v>0</v>
      </c>
      <c r="Y181" s="1253">
        <f t="shared" si="179"/>
        <v>0</v>
      </c>
      <c r="Z181" s="1253">
        <f t="shared" si="179"/>
        <v>0</v>
      </c>
      <c r="AA181" s="1253">
        <f t="shared" si="179"/>
        <v>0</v>
      </c>
      <c r="AB181" s="1253">
        <f t="shared" si="179"/>
        <v>0</v>
      </c>
      <c r="AC181" s="1253">
        <f t="shared" si="179"/>
        <v>0</v>
      </c>
      <c r="AD181" s="1253">
        <f t="shared" si="179"/>
        <v>52539.773811536317</v>
      </c>
      <c r="AE181" s="1253">
        <f t="shared" si="179"/>
        <v>5992.1985942987958</v>
      </c>
      <c r="AF181" s="1253">
        <f t="shared" si="179"/>
        <v>153111.86143460899</v>
      </c>
      <c r="AG181" s="1253">
        <f t="shared" si="179"/>
        <v>17487.697482896387</v>
      </c>
    </row>
    <row r="182" spans="2:33" ht="15.75" x14ac:dyDescent="0.25">
      <c r="B182" s="295"/>
      <c r="C182" s="314"/>
      <c r="D182" s="304"/>
      <c r="E182" s="304"/>
      <c r="F182" s="304"/>
      <c r="G182" s="304"/>
      <c r="H182" s="305"/>
      <c r="I182" s="295"/>
      <c r="J182" s="295"/>
      <c r="K182" s="295"/>
      <c r="L182" s="306"/>
      <c r="M182" s="295"/>
      <c r="N182" s="307"/>
      <c r="O182" s="333"/>
      <c r="P182" s="311"/>
      <c r="Q182" s="311"/>
      <c r="R182" s="311"/>
      <c r="S182" s="312"/>
      <c r="T182" s="311"/>
      <c r="U182" s="310"/>
      <c r="V182" s="311"/>
      <c r="W182" s="311"/>
      <c r="X182" s="311"/>
      <c r="Y182" s="311"/>
      <c r="Z182" s="311"/>
      <c r="AA182" s="311"/>
      <c r="AB182" s="311"/>
      <c r="AC182" s="311"/>
      <c r="AD182" s="313"/>
      <c r="AE182" s="313"/>
      <c r="AF182" s="313"/>
      <c r="AG182" s="313"/>
    </row>
    <row r="183" spans="2:33" ht="15.75" x14ac:dyDescent="0.25">
      <c r="B183" s="1224" t="s">
        <v>7246</v>
      </c>
      <c r="C183" s="314"/>
      <c r="D183" s="304"/>
      <c r="E183" s="304"/>
      <c r="F183" s="304"/>
      <c r="G183" s="304"/>
      <c r="H183" s="305"/>
      <c r="I183" s="295"/>
      <c r="J183" s="295"/>
      <c r="K183" s="295"/>
      <c r="L183" s="306"/>
      <c r="M183" s="295"/>
      <c r="N183" s="307"/>
      <c r="O183" s="333"/>
      <c r="P183" s="311"/>
      <c r="Q183" s="311"/>
      <c r="R183" s="311"/>
      <c r="S183" s="312"/>
      <c r="T183" s="311"/>
      <c r="U183" s="310"/>
      <c r="V183" s="311"/>
      <c r="W183" s="311"/>
      <c r="X183" s="311"/>
      <c r="Y183" s="311"/>
      <c r="Z183" s="311"/>
      <c r="AA183" s="311"/>
      <c r="AB183" s="311"/>
      <c r="AC183" s="311"/>
      <c r="AD183" s="313"/>
      <c r="AE183" s="313"/>
      <c r="AF183" s="313"/>
      <c r="AG183" s="313"/>
    </row>
    <row r="184" spans="2:33" ht="15.75" x14ac:dyDescent="0.25">
      <c r="B184" s="295"/>
      <c r="C184" s="314"/>
      <c r="D184" s="304"/>
      <c r="E184" s="304"/>
      <c r="F184" s="304"/>
      <c r="G184" s="304"/>
      <c r="H184" s="305"/>
      <c r="I184" s="295"/>
      <c r="J184" s="295"/>
      <c r="K184" s="295"/>
      <c r="L184" s="306"/>
      <c r="M184" s="295"/>
      <c r="N184" s="307"/>
      <c r="O184" s="333"/>
      <c r="P184" s="311"/>
      <c r="Q184" s="311"/>
      <c r="R184" s="311"/>
      <c r="S184" s="312"/>
      <c r="T184" s="311"/>
      <c r="U184" s="310"/>
      <c r="V184" s="311"/>
      <c r="W184" s="311"/>
      <c r="X184" s="311"/>
      <c r="Y184" s="311"/>
      <c r="Z184" s="311"/>
      <c r="AA184" s="311"/>
      <c r="AB184" s="311"/>
      <c r="AC184" s="311"/>
      <c r="AD184" s="313"/>
      <c r="AE184" s="313"/>
      <c r="AF184" s="313"/>
      <c r="AG184" s="313"/>
    </row>
    <row r="185" spans="2:33" ht="15.75" x14ac:dyDescent="0.25">
      <c r="B185" s="295">
        <v>1303</v>
      </c>
      <c r="C185" s="304" t="s">
        <v>2656</v>
      </c>
      <c r="D185" s="304" t="s">
        <v>2654</v>
      </c>
      <c r="E185" s="304" t="s">
        <v>2739</v>
      </c>
      <c r="F185" s="304" t="s">
        <v>2650</v>
      </c>
      <c r="G185" s="304" t="s">
        <v>7247</v>
      </c>
      <c r="H185" s="305">
        <v>40</v>
      </c>
      <c r="I185" s="295">
        <v>44</v>
      </c>
      <c r="J185" s="295" t="s">
        <v>2648</v>
      </c>
      <c r="K185" s="295">
        <v>0</v>
      </c>
      <c r="L185" s="306">
        <v>39902</v>
      </c>
      <c r="M185" s="295">
        <v>2.2000000000000002</v>
      </c>
      <c r="N185" s="307">
        <f>M185*AG106</f>
        <v>1529.9678426613468</v>
      </c>
      <c r="O185" s="333">
        <v>0.11</v>
      </c>
      <c r="P185" s="311">
        <f t="shared" ref="P185:P186" si="180">N185*O185</f>
        <v>168.29646269274815</v>
      </c>
      <c r="Q185" s="311">
        <v>0</v>
      </c>
      <c r="R185" s="311">
        <v>0</v>
      </c>
      <c r="S185" s="312">
        <f>76.76/N185</f>
        <v>5.0170989127769905E-2</v>
      </c>
      <c r="T185" s="311">
        <f t="shared" ref="T185:T186" si="181">N185*S185</f>
        <v>76.760000000000005</v>
      </c>
      <c r="U185" s="310">
        <f>(81.24/N185)*N185</f>
        <v>81.239999999999995</v>
      </c>
      <c r="V185" s="311">
        <v>0</v>
      </c>
      <c r="W185" s="311">
        <v>0</v>
      </c>
      <c r="X185" s="311">
        <v>0</v>
      </c>
      <c r="Y185" s="311">
        <v>0</v>
      </c>
      <c r="Z185" s="311">
        <v>0</v>
      </c>
      <c r="AA185" s="311">
        <v>0</v>
      </c>
      <c r="AB185" s="311">
        <v>0</v>
      </c>
      <c r="AC185" s="311">
        <v>0</v>
      </c>
      <c r="AD185" s="313">
        <f t="shared" ref="AD185:AD186" si="182">(N185+Q185+U185)/3</f>
        <v>537.06928088711561</v>
      </c>
      <c r="AE185" s="313">
        <f t="shared" ref="AE185:AE186" si="183">AD185*O185</f>
        <v>59.077620897582719</v>
      </c>
      <c r="AF185" s="313">
        <f t="shared" ref="AF185:AF186" si="184">N185+Q185</f>
        <v>1529.9678426613468</v>
      </c>
      <c r="AG185" s="313">
        <f t="shared" ref="AG185:AG186" si="185">AF185*O185</f>
        <v>168.29646269274815</v>
      </c>
    </row>
    <row r="186" spans="2:33" ht="15.75" x14ac:dyDescent="0.25">
      <c r="B186" s="295">
        <v>745</v>
      </c>
      <c r="C186" s="304" t="s">
        <v>2657</v>
      </c>
      <c r="D186" s="304" t="s">
        <v>2654</v>
      </c>
      <c r="E186" s="304" t="s">
        <v>2739</v>
      </c>
      <c r="F186" s="304" t="s">
        <v>2650</v>
      </c>
      <c r="G186" s="304" t="s">
        <v>7247</v>
      </c>
      <c r="H186" s="305">
        <v>40</v>
      </c>
      <c r="I186" s="295">
        <v>44</v>
      </c>
      <c r="J186" s="295" t="s">
        <v>2648</v>
      </c>
      <c r="K186" s="295">
        <v>0</v>
      </c>
      <c r="L186" s="306">
        <v>38107</v>
      </c>
      <c r="M186" s="316">
        <f>1471.24/639.67</f>
        <v>2.2999984366939206</v>
      </c>
      <c r="N186" s="307">
        <f>M186*AG106</f>
        <v>1599.5107483241218</v>
      </c>
      <c r="O186" s="333">
        <v>0.16</v>
      </c>
      <c r="P186" s="311">
        <f t="shared" si="180"/>
        <v>255.9217197318595</v>
      </c>
      <c r="Q186" s="311">
        <v>0</v>
      </c>
      <c r="R186" s="311">
        <v>0</v>
      </c>
      <c r="S186" s="312">
        <f>0/N186</f>
        <v>0</v>
      </c>
      <c r="T186" s="311">
        <f t="shared" si="181"/>
        <v>0</v>
      </c>
      <c r="U186" s="310">
        <f>(10.03/N186)*N186</f>
        <v>10.029999999999999</v>
      </c>
      <c r="V186" s="311">
        <v>0</v>
      </c>
      <c r="W186" s="311">
        <v>0</v>
      </c>
      <c r="X186" s="311">
        <v>0</v>
      </c>
      <c r="Y186" s="311">
        <v>0</v>
      </c>
      <c r="Z186" s="311">
        <v>0</v>
      </c>
      <c r="AA186" s="311">
        <v>0</v>
      </c>
      <c r="AB186" s="311">
        <v>0</v>
      </c>
      <c r="AC186" s="311">
        <v>0</v>
      </c>
      <c r="AD186" s="313">
        <f t="shared" si="182"/>
        <v>536.51358277470729</v>
      </c>
      <c r="AE186" s="313">
        <f t="shared" si="183"/>
        <v>85.84217324395317</v>
      </c>
      <c r="AF186" s="313">
        <f t="shared" si="184"/>
        <v>1599.5107483241218</v>
      </c>
      <c r="AG186" s="313">
        <f t="shared" si="185"/>
        <v>255.9217197318595</v>
      </c>
    </row>
    <row r="187" spans="2:33" ht="15.75" x14ac:dyDescent="0.25">
      <c r="B187" s="295">
        <v>737</v>
      </c>
      <c r="C187" s="304" t="s">
        <v>2658</v>
      </c>
      <c r="D187" s="304" t="s">
        <v>2654</v>
      </c>
      <c r="E187" s="304" t="s">
        <v>2739</v>
      </c>
      <c r="F187" s="304" t="s">
        <v>2650</v>
      </c>
      <c r="G187" s="304" t="s">
        <v>7247</v>
      </c>
      <c r="H187" s="305">
        <v>40</v>
      </c>
      <c r="I187" s="295">
        <v>44</v>
      </c>
      <c r="J187" s="295" t="s">
        <v>2648</v>
      </c>
      <c r="K187" s="295">
        <v>0</v>
      </c>
      <c r="L187" s="306">
        <v>38104</v>
      </c>
      <c r="M187" s="295">
        <v>2.2000000000000002</v>
      </c>
      <c r="N187" s="307">
        <f>M187*AG106</f>
        <v>1529.9678426613468</v>
      </c>
      <c r="O187" s="333">
        <v>0.16</v>
      </c>
      <c r="P187" s="311">
        <f>N187*O187</f>
        <v>244.79485482581549</v>
      </c>
      <c r="Q187" s="311">
        <v>0</v>
      </c>
      <c r="R187" s="311">
        <v>0</v>
      </c>
      <c r="S187" s="312">
        <f>0/N187</f>
        <v>0</v>
      </c>
      <c r="T187" s="311">
        <f>N187*S187</f>
        <v>0</v>
      </c>
      <c r="U187" s="310">
        <f>(19.19/N187)*N187</f>
        <v>19.190000000000001</v>
      </c>
      <c r="V187" s="311">
        <v>0</v>
      </c>
      <c r="W187" s="311">
        <v>0</v>
      </c>
      <c r="X187" s="311">
        <v>0</v>
      </c>
      <c r="Y187" s="311">
        <v>0</v>
      </c>
      <c r="Z187" s="311">
        <v>0</v>
      </c>
      <c r="AA187" s="311">
        <v>0</v>
      </c>
      <c r="AB187" s="311">
        <v>0</v>
      </c>
      <c r="AC187" s="311">
        <v>0</v>
      </c>
      <c r="AD187" s="313">
        <f>(N187+Q187+U187)/3</f>
        <v>516.38594755378233</v>
      </c>
      <c r="AE187" s="313">
        <f>AD187*O187</f>
        <v>82.62175160860518</v>
      </c>
      <c r="AF187" s="313">
        <f>N187+Q187</f>
        <v>1529.9678426613468</v>
      </c>
      <c r="AG187" s="313">
        <f>AF187*O187</f>
        <v>244.79485482581549</v>
      </c>
    </row>
    <row r="188" spans="2:33" s="299" customFormat="1" ht="15.75" x14ac:dyDescent="0.25">
      <c r="B188" s="295">
        <v>743</v>
      </c>
      <c r="C188" s="304" t="s">
        <v>2659</v>
      </c>
      <c r="D188" s="304" t="s">
        <v>2654</v>
      </c>
      <c r="E188" s="304" t="s">
        <v>2739</v>
      </c>
      <c r="F188" s="304" t="s">
        <v>2650</v>
      </c>
      <c r="G188" s="304" t="s">
        <v>7247</v>
      </c>
      <c r="H188" s="305">
        <v>40</v>
      </c>
      <c r="I188" s="295">
        <v>44</v>
      </c>
      <c r="J188" s="295" t="s">
        <v>2636</v>
      </c>
      <c r="K188" s="295">
        <v>0</v>
      </c>
      <c r="L188" s="306">
        <v>38111</v>
      </c>
      <c r="M188" s="295">
        <v>2</v>
      </c>
      <c r="N188" s="307">
        <f>M188*AG106</f>
        <v>1390.8798569648607</v>
      </c>
      <c r="O188" s="333">
        <v>0.16</v>
      </c>
      <c r="P188" s="311">
        <f>N188*O188</f>
        <v>222.5407771143777</v>
      </c>
      <c r="Q188" s="311">
        <v>0</v>
      </c>
      <c r="R188" s="311">
        <v>0</v>
      </c>
      <c r="S188" s="312">
        <f>0/N188</f>
        <v>0</v>
      </c>
      <c r="T188" s="311">
        <f>N188*S188</f>
        <v>0</v>
      </c>
      <c r="U188" s="310">
        <f>(50/N188)*N188</f>
        <v>50</v>
      </c>
      <c r="V188" s="311">
        <v>0</v>
      </c>
      <c r="W188" s="311">
        <v>0</v>
      </c>
      <c r="X188" s="311">
        <v>0</v>
      </c>
      <c r="Y188" s="311">
        <v>0</v>
      </c>
      <c r="Z188" s="311">
        <v>0</v>
      </c>
      <c r="AA188" s="311">
        <v>0</v>
      </c>
      <c r="AB188" s="311">
        <v>0</v>
      </c>
      <c r="AC188" s="311">
        <v>0</v>
      </c>
      <c r="AD188" s="313">
        <f>(N188+Q188+U188)/3</f>
        <v>480.29328565495354</v>
      </c>
      <c r="AE188" s="313">
        <f>AD188*O188</f>
        <v>76.846925704792568</v>
      </c>
      <c r="AF188" s="313">
        <f>N188+Q188</f>
        <v>1390.8798569648607</v>
      </c>
      <c r="AG188" s="313">
        <f>AF188*O188</f>
        <v>222.5407771143777</v>
      </c>
    </row>
    <row r="189" spans="2:33" s="1228" customFormat="1" x14ac:dyDescent="0.25">
      <c r="B189" s="1224" t="s">
        <v>7252</v>
      </c>
      <c r="C189" s="1224"/>
      <c r="D189" s="1224"/>
      <c r="E189" s="1224"/>
      <c r="F189" s="1224"/>
      <c r="G189" s="1224"/>
      <c r="H189" s="1224"/>
      <c r="I189" s="1224"/>
      <c r="J189" s="1224"/>
      <c r="K189" s="1224"/>
      <c r="L189" s="1224"/>
      <c r="M189" s="1224"/>
      <c r="N189" s="1225">
        <f>SUM(N185:N188)</f>
        <v>6050.3262906116761</v>
      </c>
      <c r="O189" s="1226"/>
      <c r="P189" s="1225">
        <f>SUM(P185:P188)</f>
        <v>891.55381436480093</v>
      </c>
      <c r="Q189" s="1225">
        <f>SUM(Q185:Q188)</f>
        <v>0</v>
      </c>
      <c r="R189" s="1225">
        <f>SUM(R185:R188)</f>
        <v>0</v>
      </c>
      <c r="S189" s="1227"/>
      <c r="T189" s="1225">
        <f t="shared" ref="T189" si="186">SUM(T185:T188)</f>
        <v>76.760000000000005</v>
      </c>
      <c r="U189" s="1189">
        <f t="shared" ref="U189" si="187">SUM(U185:U188)</f>
        <v>160.45999999999998</v>
      </c>
      <c r="V189" s="1225">
        <f t="shared" ref="V189" si="188">SUM(V185:V188)</f>
        <v>0</v>
      </c>
      <c r="W189" s="1225">
        <f t="shared" ref="W189" si="189">SUM(W185:W188)</f>
        <v>0</v>
      </c>
      <c r="X189" s="1225">
        <f t="shared" ref="X189" si="190">SUM(X185:X188)</f>
        <v>0</v>
      </c>
      <c r="Y189" s="1225">
        <f t="shared" ref="Y189" si="191">SUM(Y185:Y188)</f>
        <v>0</v>
      </c>
      <c r="Z189" s="1225">
        <f t="shared" ref="Z189" si="192">SUM(Z185:Z188)</f>
        <v>0</v>
      </c>
      <c r="AA189" s="1225">
        <f t="shared" ref="AA189" si="193">SUM(AA185:AA188)</f>
        <v>0</v>
      </c>
      <c r="AB189" s="1225">
        <f t="shared" ref="AB189" si="194">SUM(AB185:AB188)</f>
        <v>0</v>
      </c>
      <c r="AC189" s="1225">
        <f t="shared" ref="AC189" si="195">SUM(AC185:AC188)</f>
        <v>0</v>
      </c>
      <c r="AD189" s="1225">
        <f t="shared" ref="AD189" si="196">SUM(AD185:AD188)</f>
        <v>2070.2620968705592</v>
      </c>
      <c r="AE189" s="1225">
        <f t="shared" ref="AE189" si="197">SUM(AE185:AE188)</f>
        <v>304.38847145493361</v>
      </c>
      <c r="AF189" s="1225">
        <f t="shared" ref="AF189" si="198">SUM(AF185:AF188)</f>
        <v>6050.3262906116761</v>
      </c>
      <c r="AG189" s="1225">
        <f t="shared" ref="AG189" si="199">SUM(AG185:AG188)</f>
        <v>891.55381436480093</v>
      </c>
    </row>
    <row r="190" spans="2:33" x14ac:dyDescent="0.25">
      <c r="L190" s="294"/>
    </row>
    <row r="191" spans="2:33" s="1223" customFormat="1" ht="15.75" x14ac:dyDescent="0.25">
      <c r="B191" s="1198">
        <v>2348</v>
      </c>
      <c r="C191" s="1202" t="s">
        <v>7249</v>
      </c>
      <c r="D191" s="1199" t="s">
        <v>2654</v>
      </c>
      <c r="E191" s="1199" t="s">
        <v>2905</v>
      </c>
      <c r="F191" s="1199" t="s">
        <v>2650</v>
      </c>
      <c r="G191" s="1199" t="s">
        <v>7247</v>
      </c>
      <c r="H191" s="1200">
        <v>40</v>
      </c>
      <c r="I191" s="1198">
        <v>44</v>
      </c>
      <c r="J191" s="1198" t="s">
        <v>2636</v>
      </c>
      <c r="K191" s="1198">
        <v>0</v>
      </c>
      <c r="L191" s="1201">
        <v>43588</v>
      </c>
      <c r="M191" s="1198">
        <v>2</v>
      </c>
      <c r="N191" s="1262">
        <f>M191*AG106</f>
        <v>1390.8798569648607</v>
      </c>
      <c r="O191" s="1205">
        <v>0</v>
      </c>
      <c r="P191" s="1263">
        <f t="shared" ref="P191:P192" si="200">N191*O191</f>
        <v>0</v>
      </c>
      <c r="Q191" s="1263">
        <v>0</v>
      </c>
      <c r="R191" s="1263">
        <v>0</v>
      </c>
      <c r="S191" s="1203">
        <f>76.76/N191</f>
        <v>5.5188088040546895E-2</v>
      </c>
      <c r="T191" s="1263">
        <f t="shared" ref="T191:T192" si="201">N191*S191</f>
        <v>76.760000000000005</v>
      </c>
      <c r="U191" s="310">
        <f>(2.33/N191)*N191</f>
        <v>2.33</v>
      </c>
      <c r="V191" s="1263">
        <v>0</v>
      </c>
      <c r="W191" s="1263">
        <v>0</v>
      </c>
      <c r="X191" s="1263">
        <v>0</v>
      </c>
      <c r="Y191" s="1263">
        <v>0</v>
      </c>
      <c r="Z191" s="1263">
        <v>0</v>
      </c>
      <c r="AA191" s="1263">
        <v>0</v>
      </c>
      <c r="AB191" s="1263">
        <v>0</v>
      </c>
      <c r="AC191" s="1263">
        <v>0</v>
      </c>
      <c r="AD191" s="1204">
        <f>(N191+Q191+R191)/3</f>
        <v>463.62661898828691</v>
      </c>
      <c r="AE191" s="1204">
        <f t="shared" ref="AE191:AE192" si="202">AD191*O191</f>
        <v>0</v>
      </c>
      <c r="AF191" s="1204">
        <f>N191</f>
        <v>1390.8798569648607</v>
      </c>
      <c r="AG191" s="1204">
        <f t="shared" ref="AG191:AG192" si="203">AF191*O191</f>
        <v>0</v>
      </c>
    </row>
    <row r="192" spans="2:33" s="1223" customFormat="1" ht="15.75" x14ac:dyDescent="0.25">
      <c r="B192" s="1198">
        <v>2350</v>
      </c>
      <c r="C192" s="1202" t="s">
        <v>7250</v>
      </c>
      <c r="D192" s="1199" t="s">
        <v>2654</v>
      </c>
      <c r="E192" s="1199" t="s">
        <v>2905</v>
      </c>
      <c r="F192" s="1199" t="s">
        <v>2650</v>
      </c>
      <c r="G192" s="1199" t="s">
        <v>7247</v>
      </c>
      <c r="H192" s="1200">
        <v>40</v>
      </c>
      <c r="I192" s="1198">
        <v>44</v>
      </c>
      <c r="J192" s="1198" t="s">
        <v>2636</v>
      </c>
      <c r="K192" s="1198">
        <v>0</v>
      </c>
      <c r="L192" s="1201">
        <v>43588</v>
      </c>
      <c r="M192" s="1198">
        <v>2</v>
      </c>
      <c r="N192" s="1262">
        <f>M192*AG106</f>
        <v>1390.8798569648607</v>
      </c>
      <c r="O192" s="1205">
        <v>0</v>
      </c>
      <c r="P192" s="1263">
        <f t="shared" si="200"/>
        <v>0</v>
      </c>
      <c r="Q192" s="1263">
        <v>0</v>
      </c>
      <c r="R192" s="1263">
        <v>0</v>
      </c>
      <c r="S192" s="1203">
        <f>76.76/N192</f>
        <v>5.5188088040546895E-2</v>
      </c>
      <c r="T192" s="1263">
        <f t="shared" si="201"/>
        <v>76.760000000000005</v>
      </c>
      <c r="U192" s="310">
        <f>(4.07/N192)*N192</f>
        <v>4.07</v>
      </c>
      <c r="V192" s="1263">
        <v>0</v>
      </c>
      <c r="W192" s="1263">
        <v>0</v>
      </c>
      <c r="X192" s="1263">
        <v>0</v>
      </c>
      <c r="Y192" s="1263">
        <v>0</v>
      </c>
      <c r="Z192" s="1263">
        <v>0</v>
      </c>
      <c r="AA192" s="1263">
        <v>0</v>
      </c>
      <c r="AB192" s="1263">
        <v>0</v>
      </c>
      <c r="AC192" s="1263">
        <v>0</v>
      </c>
      <c r="AD192" s="1204">
        <f>(N192+Q192+R192)/3</f>
        <v>463.62661898828691</v>
      </c>
      <c r="AE192" s="1204">
        <f t="shared" si="202"/>
        <v>0</v>
      </c>
      <c r="AF192" s="1204">
        <f>N192</f>
        <v>1390.8798569648607</v>
      </c>
      <c r="AG192" s="1204">
        <f t="shared" si="203"/>
        <v>0</v>
      </c>
    </row>
    <row r="193" spans="2:33" s="1228" customFormat="1" x14ac:dyDescent="0.25">
      <c r="B193" s="1224" t="s">
        <v>7251</v>
      </c>
      <c r="C193" s="1224"/>
      <c r="D193" s="1224"/>
      <c r="E193" s="1224"/>
      <c r="F193" s="1224"/>
      <c r="G193" s="1224"/>
      <c r="H193" s="1224"/>
      <c r="I193" s="1224"/>
      <c r="J193" s="1224"/>
      <c r="K193" s="1224"/>
      <c r="L193" s="1224"/>
      <c r="M193" s="1224"/>
      <c r="N193" s="1225">
        <f>SUM(N191:N192)</f>
        <v>2781.7597139297213</v>
      </c>
      <c r="O193" s="1226"/>
      <c r="P193" s="1225">
        <f>SUM(P191:P192)</f>
        <v>0</v>
      </c>
      <c r="Q193" s="1225">
        <f>SUM(Q191:Q192)</f>
        <v>0</v>
      </c>
      <c r="R193" s="1225">
        <f>SUM(R191:R192)</f>
        <v>0</v>
      </c>
      <c r="S193" s="1227"/>
      <c r="T193" s="1225">
        <f t="shared" ref="T193" si="204">SUM(T191:T192)</f>
        <v>153.52000000000001</v>
      </c>
      <c r="U193" s="1189">
        <f t="shared" ref="U193" si="205">SUM(U191:U192)</f>
        <v>6.4</v>
      </c>
      <c r="V193" s="1225">
        <f t="shared" ref="V193" si="206">SUM(V191:V192)</f>
        <v>0</v>
      </c>
      <c r="W193" s="1225">
        <f t="shared" ref="W193" si="207">SUM(W191:W192)</f>
        <v>0</v>
      </c>
      <c r="X193" s="1225">
        <f t="shared" ref="X193" si="208">SUM(X191:X192)</f>
        <v>0</v>
      </c>
      <c r="Y193" s="1225">
        <f t="shared" ref="Y193" si="209">SUM(Y191:Y192)</f>
        <v>0</v>
      </c>
      <c r="Z193" s="1225">
        <f t="shared" ref="Z193" si="210">SUM(Z191:Z192)</f>
        <v>0</v>
      </c>
      <c r="AA193" s="1225">
        <f t="shared" ref="AA193" si="211">SUM(AA191:AA192)</f>
        <v>0</v>
      </c>
      <c r="AB193" s="1225">
        <f t="shared" ref="AB193" si="212">SUM(AB191:AB192)</f>
        <v>0</v>
      </c>
      <c r="AC193" s="1225">
        <f t="shared" ref="AC193" si="213">SUM(AC191:AC192)</f>
        <v>0</v>
      </c>
      <c r="AD193" s="1225">
        <f t="shared" ref="AD193" si="214">SUM(AD191:AD192)</f>
        <v>927.25323797657381</v>
      </c>
      <c r="AE193" s="1225">
        <f t="shared" ref="AE193" si="215">SUM(AE191:AE192)</f>
        <v>0</v>
      </c>
      <c r="AF193" s="1225">
        <f t="shared" ref="AF193" si="216">SUM(AF191:AF192)</f>
        <v>2781.7597139297213</v>
      </c>
      <c r="AG193" s="1225">
        <f t="shared" ref="AG193" si="217">SUM(AG191:AG192)</f>
        <v>0</v>
      </c>
    </row>
    <row r="194" spans="2:33" s="1228" customFormat="1" x14ac:dyDescent="0.25">
      <c r="B194" s="1224"/>
      <c r="C194" s="1224"/>
      <c r="D194" s="1224"/>
      <c r="E194" s="1224"/>
      <c r="F194" s="1224"/>
      <c r="G194" s="1224"/>
      <c r="H194" s="1224"/>
      <c r="I194" s="1224"/>
      <c r="J194" s="1224"/>
      <c r="K194" s="1224"/>
      <c r="L194" s="1224"/>
      <c r="M194" s="1224"/>
      <c r="N194" s="1225"/>
      <c r="O194" s="1226"/>
      <c r="P194" s="1225"/>
      <c r="Q194" s="1225"/>
      <c r="R194" s="1225"/>
      <c r="S194" s="1227"/>
      <c r="T194" s="1225"/>
      <c r="U194" s="1189"/>
      <c r="V194" s="1225"/>
      <c r="W194" s="1225"/>
      <c r="X194" s="1225"/>
      <c r="Y194" s="1225"/>
      <c r="Z194" s="1225"/>
      <c r="AA194" s="1225"/>
      <c r="AB194" s="1225"/>
      <c r="AC194" s="1225"/>
      <c r="AD194" s="1225"/>
      <c r="AE194" s="1225"/>
      <c r="AF194" s="1225"/>
      <c r="AG194" s="1225"/>
    </row>
    <row r="195" spans="2:33" s="1272" customFormat="1" ht="15.75" x14ac:dyDescent="0.25">
      <c r="B195" s="1264" t="s">
        <v>7253</v>
      </c>
      <c r="C195" s="1264"/>
      <c r="D195" s="1265"/>
      <c r="E195" s="1265"/>
      <c r="F195" s="1265"/>
      <c r="G195" s="1265"/>
      <c r="H195" s="1266"/>
      <c r="I195" s="1267"/>
      <c r="J195" s="1267"/>
      <c r="K195" s="1267"/>
      <c r="L195" s="1268"/>
      <c r="M195" s="1267"/>
      <c r="N195" s="1269">
        <f>N193+N189</f>
        <v>8832.0860045413974</v>
      </c>
      <c r="O195" s="1270"/>
      <c r="P195" s="1269">
        <f>P193+P189</f>
        <v>891.55381436480093</v>
      </c>
      <c r="Q195" s="1269">
        <f>Q193+Q189</f>
        <v>0</v>
      </c>
      <c r="R195" s="1269">
        <f>R193+R189</f>
        <v>0</v>
      </c>
      <c r="S195" s="1271"/>
      <c r="T195" s="1269">
        <f t="shared" ref="T195:AG195" si="218">T193+T189</f>
        <v>230.28000000000003</v>
      </c>
      <c r="U195" s="684">
        <f t="shared" si="218"/>
        <v>166.85999999999999</v>
      </c>
      <c r="V195" s="1269">
        <f t="shared" si="218"/>
        <v>0</v>
      </c>
      <c r="W195" s="1269">
        <f t="shared" si="218"/>
        <v>0</v>
      </c>
      <c r="X195" s="1269">
        <f t="shared" si="218"/>
        <v>0</v>
      </c>
      <c r="Y195" s="1269">
        <f t="shared" si="218"/>
        <v>0</v>
      </c>
      <c r="Z195" s="1269">
        <f t="shared" si="218"/>
        <v>0</v>
      </c>
      <c r="AA195" s="1269">
        <f t="shared" si="218"/>
        <v>0</v>
      </c>
      <c r="AB195" s="1269">
        <f t="shared" si="218"/>
        <v>0</v>
      </c>
      <c r="AC195" s="1269">
        <f t="shared" si="218"/>
        <v>0</v>
      </c>
      <c r="AD195" s="1269">
        <f t="shared" si="218"/>
        <v>2997.5153348471331</v>
      </c>
      <c r="AE195" s="1269">
        <f t="shared" si="218"/>
        <v>304.38847145493361</v>
      </c>
      <c r="AF195" s="1269">
        <f t="shared" si="218"/>
        <v>8832.0860045413974</v>
      </c>
      <c r="AG195" s="1269">
        <f t="shared" si="218"/>
        <v>891.55381436480093</v>
      </c>
    </row>
    <row r="196" spans="2:33" s="1228" customFormat="1" x14ac:dyDescent="0.25">
      <c r="B196" s="1224"/>
      <c r="C196" s="1224"/>
      <c r="D196" s="1224"/>
      <c r="E196" s="1224"/>
      <c r="F196" s="1224"/>
      <c r="G196" s="1224"/>
      <c r="H196" s="1224"/>
      <c r="I196" s="1224"/>
      <c r="J196" s="1224"/>
      <c r="K196" s="1224"/>
      <c r="L196" s="1224"/>
      <c r="M196" s="1224"/>
      <c r="N196" s="1225"/>
      <c r="O196" s="1226"/>
      <c r="P196" s="1225"/>
      <c r="Q196" s="1225"/>
      <c r="R196" s="1225"/>
      <c r="S196" s="1227"/>
      <c r="T196" s="1225"/>
      <c r="U196" s="1189"/>
      <c r="V196" s="1225"/>
      <c r="W196" s="1225"/>
      <c r="X196" s="1225"/>
      <c r="Y196" s="1225"/>
      <c r="Z196" s="1225"/>
      <c r="AA196" s="1225"/>
      <c r="AB196" s="1225"/>
      <c r="AC196" s="1225"/>
      <c r="AD196" s="1225"/>
      <c r="AE196" s="1225"/>
      <c r="AF196" s="1225"/>
      <c r="AG196" s="1225"/>
    </row>
    <row r="197" spans="2:33" s="1272" customFormat="1" ht="15.75" x14ac:dyDescent="0.25">
      <c r="B197" s="1264" t="s">
        <v>7254</v>
      </c>
      <c r="C197" s="1264"/>
      <c r="D197" s="1265"/>
      <c r="E197" s="1265"/>
      <c r="F197" s="1265"/>
      <c r="G197" s="1265"/>
      <c r="H197" s="1266"/>
      <c r="I197" s="1267"/>
      <c r="J197" s="1267"/>
      <c r="K197" s="1267"/>
      <c r="L197" s="1268"/>
      <c r="M197" s="1267"/>
      <c r="N197" s="1269">
        <f>N195+N181+N129</f>
        <v>181319.94232623017</v>
      </c>
      <c r="O197" s="1270"/>
      <c r="P197" s="1269">
        <f>P195+P181+P129</f>
        <v>19783.135880888669</v>
      </c>
      <c r="Q197" s="1269">
        <f t="shared" ref="Q197:R197" si="219">Q195+Q181+Q129</f>
        <v>2781.7597139297213</v>
      </c>
      <c r="R197" s="1269">
        <f t="shared" si="219"/>
        <v>0</v>
      </c>
      <c r="S197" s="1271"/>
      <c r="T197" s="1269">
        <f t="shared" ref="T197:AG197" si="220">T195+T181+T129</f>
        <v>2203.1899999999996</v>
      </c>
      <c r="U197" s="684">
        <f t="shared" si="220"/>
        <v>4754.3999999999996</v>
      </c>
      <c r="V197" s="1269">
        <f t="shared" si="220"/>
        <v>987.95999999999992</v>
      </c>
      <c r="W197" s="1269">
        <f t="shared" si="220"/>
        <v>23.38</v>
      </c>
      <c r="X197" s="1269">
        <f t="shared" si="220"/>
        <v>0</v>
      </c>
      <c r="Y197" s="1269">
        <f t="shared" si="220"/>
        <v>0</v>
      </c>
      <c r="Z197" s="1269">
        <f t="shared" si="220"/>
        <v>0</v>
      </c>
      <c r="AA197" s="1269">
        <f t="shared" si="220"/>
        <v>0</v>
      </c>
      <c r="AB197" s="1269">
        <f t="shared" si="220"/>
        <v>0</v>
      </c>
      <c r="AC197" s="1269">
        <f t="shared" si="220"/>
        <v>0</v>
      </c>
      <c r="AD197" s="1269">
        <f t="shared" si="220"/>
        <v>62957.694013386623</v>
      </c>
      <c r="AE197" s="1269">
        <f t="shared" si="220"/>
        <v>6956.7791743198131</v>
      </c>
      <c r="AF197" s="1269">
        <f t="shared" si="220"/>
        <v>184125.0820401599</v>
      </c>
      <c r="AG197" s="1269">
        <f t="shared" si="220"/>
        <v>20351.81962295944</v>
      </c>
    </row>
    <row r="198" spans="2:33" s="299" customFormat="1" ht="15.75" x14ac:dyDescent="0.25">
      <c r="B198" s="295"/>
      <c r="C198" s="314"/>
      <c r="D198" s="304"/>
      <c r="E198" s="304"/>
      <c r="F198" s="304"/>
      <c r="G198" s="304"/>
      <c r="H198" s="305"/>
      <c r="I198" s="295"/>
      <c r="J198" s="295"/>
      <c r="K198" s="295"/>
      <c r="L198" s="306"/>
      <c r="M198" s="295"/>
      <c r="N198" s="307"/>
      <c r="O198" s="333"/>
      <c r="P198" s="311"/>
      <c r="Q198" s="311"/>
      <c r="R198" s="311"/>
      <c r="S198" s="312"/>
      <c r="T198" s="311"/>
      <c r="U198" s="310"/>
      <c r="V198" s="311"/>
      <c r="W198" s="311"/>
      <c r="X198" s="311"/>
      <c r="Y198" s="311"/>
      <c r="Z198" s="311"/>
      <c r="AA198" s="311"/>
      <c r="AB198" s="311"/>
      <c r="AC198" s="311"/>
      <c r="AD198" s="313"/>
      <c r="AE198" s="313"/>
      <c r="AF198" s="313"/>
      <c r="AG198" s="313"/>
    </row>
    <row r="199" spans="2:33" x14ac:dyDescent="0.25">
      <c r="B199" s="294"/>
      <c r="C199" s="294"/>
      <c r="D199" s="294"/>
      <c r="E199" s="294"/>
      <c r="F199" s="294"/>
      <c r="G199" s="294"/>
      <c r="H199" s="294"/>
      <c r="I199" s="294"/>
      <c r="J199" s="294"/>
      <c r="L199" s="295"/>
      <c r="M199" s="294"/>
      <c r="O199" s="294"/>
      <c r="P199" s="294"/>
      <c r="Q199" s="294"/>
      <c r="R199" s="294"/>
      <c r="S199" s="294"/>
      <c r="T199" s="294"/>
      <c r="U199" s="326"/>
      <c r="V199" s="294"/>
      <c r="W199" s="294"/>
      <c r="X199" s="294"/>
      <c r="Y199" s="294"/>
      <c r="Z199" s="294"/>
      <c r="AA199" s="294"/>
      <c r="AB199" s="294"/>
      <c r="AC199" s="294"/>
    </row>
    <row r="200" spans="2:33" x14ac:dyDescent="0.25">
      <c r="B200" s="294"/>
      <c r="C200" s="294"/>
      <c r="D200" s="294"/>
      <c r="E200" s="294"/>
      <c r="F200" s="294"/>
      <c r="G200" s="294"/>
      <c r="H200" s="294"/>
      <c r="I200" s="294"/>
      <c r="J200" s="294"/>
      <c r="L200" s="295"/>
      <c r="M200" s="294"/>
      <c r="O200" s="294"/>
      <c r="P200" s="294"/>
      <c r="Q200" s="294"/>
      <c r="R200" s="294"/>
      <c r="S200" s="294"/>
      <c r="T200" s="294"/>
      <c r="U200" s="326"/>
      <c r="V200" s="294"/>
      <c r="W200" s="294"/>
      <c r="X200" s="294"/>
      <c r="Y200" s="294"/>
      <c r="Z200" s="294"/>
      <c r="AA200" s="294"/>
      <c r="AB200" s="294"/>
      <c r="AC200" s="294"/>
    </row>
    <row r="201" spans="2:33" x14ac:dyDescent="0.25">
      <c r="B201" s="299" t="s">
        <v>7751</v>
      </c>
      <c r="C201" s="294"/>
      <c r="D201" s="294"/>
      <c r="E201" s="294"/>
      <c r="F201" s="294"/>
      <c r="G201" s="294"/>
      <c r="H201" s="294"/>
      <c r="I201" s="294"/>
      <c r="J201" s="294"/>
      <c r="L201" s="295"/>
      <c r="M201" s="294"/>
      <c r="O201" s="294"/>
      <c r="P201" s="294"/>
      <c r="Q201" s="294"/>
      <c r="R201" s="294"/>
      <c r="S201" s="294"/>
      <c r="T201" s="294"/>
      <c r="U201" s="326"/>
      <c r="V201" s="294"/>
      <c r="W201" s="294"/>
      <c r="X201" s="294"/>
      <c r="Y201" s="294"/>
      <c r="Z201" s="294"/>
      <c r="AA201" s="294"/>
      <c r="AB201" s="294"/>
      <c r="AC201" s="294"/>
    </row>
    <row r="202" spans="2:33" x14ac:dyDescent="0.25">
      <c r="B202" s="294"/>
      <c r="C202" s="299" t="s">
        <v>7752</v>
      </c>
      <c r="E202" s="294"/>
      <c r="F202" s="294"/>
      <c r="G202" s="294"/>
      <c r="H202" s="294"/>
      <c r="I202" s="294"/>
      <c r="J202" s="294"/>
      <c r="L202" s="295"/>
      <c r="M202" s="294"/>
      <c r="O202" s="294"/>
      <c r="P202" s="294"/>
      <c r="Q202" s="294"/>
      <c r="R202" s="294"/>
      <c r="S202" s="294"/>
      <c r="T202" s="294"/>
      <c r="U202" s="326"/>
      <c r="V202" s="294"/>
      <c r="W202" s="294"/>
      <c r="X202" s="294"/>
      <c r="Y202" s="294"/>
      <c r="Z202" s="294"/>
      <c r="AA202" s="294"/>
      <c r="AB202" s="294"/>
      <c r="AC202" s="294"/>
    </row>
    <row r="203" spans="2:33" x14ac:dyDescent="0.25">
      <c r="B203" s="294"/>
      <c r="C203" s="294" t="s">
        <v>3075</v>
      </c>
      <c r="D203" s="313">
        <f>N111</f>
        <v>1390.8798569648607</v>
      </c>
      <c r="E203" s="294"/>
      <c r="F203" s="294"/>
      <c r="G203" s="294"/>
      <c r="H203" s="294"/>
      <c r="I203" s="294"/>
      <c r="J203" s="294"/>
      <c r="L203" s="295"/>
      <c r="M203" s="294"/>
      <c r="O203" s="294"/>
      <c r="P203" s="294"/>
      <c r="Q203" s="294"/>
      <c r="R203" s="294"/>
      <c r="S203" s="294"/>
      <c r="T203" s="294"/>
      <c r="U203" s="326"/>
      <c r="V203" s="294"/>
      <c r="W203" s="294"/>
      <c r="X203" s="294"/>
      <c r="Y203" s="294"/>
      <c r="Z203" s="294"/>
      <c r="AA203" s="294"/>
      <c r="AB203" s="294"/>
      <c r="AC203" s="294"/>
    </row>
    <row r="204" spans="2:33" x14ac:dyDescent="0.25">
      <c r="B204" s="294"/>
      <c r="C204" s="294" t="s">
        <v>2761</v>
      </c>
      <c r="D204" s="313">
        <f>U112</f>
        <v>0</v>
      </c>
      <c r="E204" s="294"/>
      <c r="F204" s="294"/>
      <c r="G204" s="294"/>
      <c r="H204" s="294"/>
      <c r="I204" s="294"/>
      <c r="J204" s="294"/>
      <c r="L204" s="295"/>
      <c r="M204" s="294"/>
      <c r="O204" s="294"/>
      <c r="P204" s="294"/>
      <c r="Q204" s="294"/>
      <c r="R204" s="294"/>
      <c r="S204" s="294"/>
      <c r="T204" s="294"/>
      <c r="U204" s="326"/>
      <c r="V204" s="294"/>
      <c r="W204" s="294"/>
      <c r="X204" s="294"/>
      <c r="Y204" s="294"/>
      <c r="Z204" s="294"/>
      <c r="AA204" s="294"/>
      <c r="AB204" s="294"/>
      <c r="AC204" s="294"/>
    </row>
    <row r="205" spans="2:33" x14ac:dyDescent="0.25">
      <c r="B205" s="294"/>
      <c r="C205" s="294" t="s">
        <v>4519</v>
      </c>
      <c r="D205" s="313">
        <f>AD111</f>
        <v>463.62661898828691</v>
      </c>
      <c r="E205" s="294"/>
      <c r="F205" s="294"/>
      <c r="G205" s="294"/>
      <c r="H205" s="294"/>
      <c r="I205" s="294"/>
      <c r="J205" s="294"/>
      <c r="L205" s="295"/>
      <c r="M205" s="294"/>
      <c r="O205" s="294"/>
      <c r="P205" s="294"/>
      <c r="Q205" s="294"/>
      <c r="R205" s="294"/>
      <c r="S205" s="294"/>
      <c r="T205" s="294"/>
      <c r="U205" s="326"/>
      <c r="V205" s="294"/>
      <c r="W205" s="294"/>
      <c r="X205" s="294"/>
      <c r="Y205" s="294"/>
      <c r="Z205" s="294"/>
      <c r="AA205" s="294"/>
      <c r="AB205" s="294"/>
      <c r="AC205" s="294"/>
    </row>
    <row r="206" spans="2:33" x14ac:dyDescent="0.25">
      <c r="B206" s="294"/>
      <c r="C206" s="294" t="s">
        <v>2736</v>
      </c>
      <c r="D206" s="313">
        <f>AF111</f>
        <v>1390.8798569648607</v>
      </c>
      <c r="E206" s="294"/>
      <c r="F206" s="294"/>
      <c r="G206" s="294"/>
      <c r="H206" s="294"/>
      <c r="I206" s="294"/>
      <c r="J206" s="294"/>
      <c r="L206" s="295"/>
      <c r="M206" s="294"/>
      <c r="O206" s="294"/>
      <c r="P206" s="294"/>
      <c r="Q206" s="294"/>
      <c r="R206" s="294"/>
      <c r="S206" s="294"/>
      <c r="T206" s="294"/>
      <c r="U206" s="326"/>
      <c r="V206" s="294"/>
      <c r="W206" s="294"/>
      <c r="X206" s="294"/>
      <c r="Y206" s="294"/>
      <c r="Z206" s="294"/>
      <c r="AA206" s="294"/>
      <c r="AB206" s="294"/>
      <c r="AC206" s="294"/>
    </row>
    <row r="207" spans="2:33" x14ac:dyDescent="0.25">
      <c r="B207" s="294"/>
      <c r="C207" s="294" t="s">
        <v>2741</v>
      </c>
      <c r="D207" s="313">
        <f>T111</f>
        <v>76.959999999999994</v>
      </c>
      <c r="E207" s="294"/>
      <c r="F207" s="294"/>
      <c r="G207" s="294"/>
      <c r="H207" s="294"/>
      <c r="I207" s="294"/>
      <c r="J207" s="294"/>
      <c r="L207" s="295"/>
      <c r="M207" s="294"/>
      <c r="O207" s="294"/>
      <c r="P207" s="294"/>
      <c r="Q207" s="294"/>
      <c r="R207" s="294"/>
      <c r="S207" s="294"/>
      <c r="T207" s="294"/>
      <c r="U207" s="326"/>
      <c r="V207" s="294"/>
      <c r="W207" s="294"/>
      <c r="X207" s="294"/>
      <c r="Y207" s="294"/>
      <c r="Z207" s="294"/>
      <c r="AA207" s="294"/>
      <c r="AB207" s="294"/>
      <c r="AC207" s="294"/>
    </row>
    <row r="208" spans="2:33" x14ac:dyDescent="0.25">
      <c r="B208" s="294"/>
      <c r="C208" s="294"/>
      <c r="D208" s="294"/>
      <c r="E208" s="294"/>
      <c r="F208" s="294"/>
      <c r="G208" s="294"/>
      <c r="H208" s="294"/>
      <c r="I208" s="294"/>
      <c r="J208" s="294"/>
      <c r="L208" s="295"/>
      <c r="M208" s="294"/>
      <c r="O208" s="294"/>
      <c r="P208" s="294"/>
      <c r="Q208" s="294"/>
      <c r="R208" s="294"/>
      <c r="S208" s="294"/>
      <c r="T208" s="294"/>
      <c r="U208" s="326"/>
      <c r="V208" s="294"/>
      <c r="W208" s="294"/>
      <c r="X208" s="294"/>
      <c r="Y208" s="294"/>
      <c r="Z208" s="294"/>
      <c r="AA208" s="294"/>
      <c r="AB208" s="294"/>
      <c r="AC208" s="294"/>
    </row>
    <row r="209" spans="2:29" x14ac:dyDescent="0.25">
      <c r="B209" s="294"/>
      <c r="C209" s="299" t="s">
        <v>7753</v>
      </c>
      <c r="D209" s="294"/>
      <c r="E209" s="294"/>
      <c r="F209" s="294"/>
      <c r="G209" s="294"/>
      <c r="H209" s="294"/>
      <c r="I209" s="294"/>
      <c r="J209" s="294"/>
      <c r="L209" s="295"/>
      <c r="M209" s="294"/>
      <c r="O209" s="294"/>
      <c r="P209" s="294"/>
      <c r="Q209" s="294"/>
      <c r="R209" s="294"/>
      <c r="S209" s="294"/>
      <c r="T209" s="294"/>
      <c r="U209" s="326"/>
      <c r="V209" s="294"/>
      <c r="W209" s="294"/>
      <c r="X209" s="294"/>
      <c r="Y209" s="294"/>
      <c r="Z209" s="294"/>
      <c r="AA209" s="294"/>
      <c r="AB209" s="294"/>
      <c r="AC209" s="294"/>
    </row>
    <row r="210" spans="2:29" x14ac:dyDescent="0.25">
      <c r="B210" s="294"/>
      <c r="C210" s="294" t="s">
        <v>3075</v>
      </c>
      <c r="D210" s="313">
        <f>N114+N115+N116+N117+N118+N119+N120</f>
        <v>12810.003482646367</v>
      </c>
      <c r="E210" s="294"/>
      <c r="F210" s="294"/>
      <c r="G210" s="294"/>
      <c r="H210" s="294"/>
      <c r="I210" s="294"/>
      <c r="J210" s="294"/>
      <c r="L210" s="295"/>
      <c r="M210" s="294"/>
      <c r="O210" s="294"/>
      <c r="P210" s="294"/>
      <c r="Q210" s="294"/>
      <c r="R210" s="294"/>
      <c r="S210" s="294"/>
      <c r="T210" s="294"/>
      <c r="U210" s="326"/>
      <c r="V210" s="294"/>
      <c r="W210" s="294"/>
      <c r="X210" s="294"/>
      <c r="Y210" s="294"/>
      <c r="Z210" s="294"/>
      <c r="AA210" s="294"/>
      <c r="AB210" s="294"/>
      <c r="AC210" s="294"/>
    </row>
    <row r="211" spans="2:29" x14ac:dyDescent="0.25">
      <c r="B211" s="294"/>
      <c r="C211" s="294" t="s">
        <v>2783</v>
      </c>
      <c r="D211" s="313">
        <f>W114+W115+W116+W117+W118+W119+W120</f>
        <v>23.38</v>
      </c>
      <c r="E211" s="294"/>
      <c r="F211" s="294"/>
      <c r="G211" s="294"/>
      <c r="H211" s="294"/>
      <c r="I211" s="294"/>
      <c r="J211" s="294"/>
      <c r="L211" s="295"/>
      <c r="M211" s="294"/>
      <c r="O211" s="294"/>
      <c r="P211" s="294"/>
      <c r="Q211" s="294"/>
      <c r="R211" s="294"/>
      <c r="S211" s="294"/>
      <c r="T211" s="294"/>
      <c r="U211" s="326"/>
      <c r="V211" s="294"/>
      <c r="W211" s="294"/>
      <c r="X211" s="294"/>
      <c r="Y211" s="294"/>
      <c r="Z211" s="294"/>
      <c r="AA211" s="294"/>
      <c r="AB211" s="294"/>
      <c r="AC211" s="294"/>
    </row>
    <row r="212" spans="2:29" x14ac:dyDescent="0.25">
      <c r="B212" s="294"/>
      <c r="C212" s="294" t="s">
        <v>2761</v>
      </c>
      <c r="D212" s="313">
        <f>U114+U115+U116+U117+U118+U119+U120</f>
        <v>80.08</v>
      </c>
      <c r="E212" s="294"/>
      <c r="F212" s="294"/>
      <c r="G212" s="294"/>
      <c r="H212" s="294"/>
      <c r="I212" s="294"/>
      <c r="J212" s="294"/>
      <c r="L212" s="295"/>
      <c r="M212" s="294"/>
      <c r="O212" s="294"/>
      <c r="P212" s="294"/>
      <c r="Q212" s="294"/>
      <c r="R212" s="294"/>
      <c r="S212" s="294"/>
      <c r="T212" s="294"/>
      <c r="U212" s="326"/>
      <c r="V212" s="294"/>
      <c r="W212" s="294"/>
      <c r="X212" s="294"/>
      <c r="Y212" s="294"/>
      <c r="Z212" s="294"/>
      <c r="AA212" s="294"/>
      <c r="AB212" s="294"/>
      <c r="AC212" s="294"/>
    </row>
    <row r="213" spans="2:29" x14ac:dyDescent="0.25">
      <c r="B213" s="294"/>
      <c r="C213" s="294" t="s">
        <v>3411</v>
      </c>
      <c r="D213" s="313">
        <f>P114+P115+P116+P117+P118+P119+P120</f>
        <v>1661.1973571659814</v>
      </c>
      <c r="E213" s="294"/>
      <c r="F213" s="294"/>
      <c r="G213" s="294"/>
      <c r="H213" s="294"/>
      <c r="I213" s="294"/>
      <c r="J213" s="294"/>
      <c r="L213" s="295"/>
      <c r="M213" s="294"/>
      <c r="O213" s="294"/>
      <c r="P213" s="294"/>
      <c r="Q213" s="294"/>
      <c r="R213" s="294"/>
      <c r="S213" s="294"/>
      <c r="T213" s="294"/>
      <c r="U213" s="326"/>
      <c r="V213" s="294"/>
      <c r="W213" s="294"/>
      <c r="X213" s="294"/>
      <c r="Y213" s="294"/>
      <c r="Z213" s="294"/>
      <c r="AA213" s="294"/>
      <c r="AB213" s="294"/>
      <c r="AC213" s="294"/>
    </row>
    <row r="214" spans="2:29" x14ac:dyDescent="0.25">
      <c r="B214" s="294"/>
      <c r="C214" s="294" t="s">
        <v>4847</v>
      </c>
      <c r="D214" s="313">
        <f>AE114+AE115+AE116+AE117+AE118+AE119+AE120</f>
        <v>660.19210856608356</v>
      </c>
      <c r="E214" s="294"/>
      <c r="F214" s="294"/>
      <c r="G214" s="294"/>
      <c r="H214" s="294"/>
      <c r="I214" s="294"/>
      <c r="J214" s="294"/>
      <c r="L214" s="295"/>
      <c r="M214" s="294"/>
      <c r="O214" s="294"/>
      <c r="P214" s="294"/>
      <c r="Q214" s="294"/>
      <c r="R214" s="294"/>
      <c r="S214" s="294"/>
      <c r="T214" s="294"/>
      <c r="U214" s="326"/>
      <c r="V214" s="294"/>
      <c r="W214" s="294"/>
      <c r="X214" s="294"/>
      <c r="Y214" s="294"/>
      <c r="Z214" s="294"/>
      <c r="AA214" s="294"/>
      <c r="AB214" s="294"/>
      <c r="AC214" s="294"/>
    </row>
    <row r="215" spans="2:29" x14ac:dyDescent="0.25">
      <c r="B215" s="294"/>
      <c r="C215" s="294" t="s">
        <v>5298</v>
      </c>
      <c r="D215" s="313">
        <f>AG114+AG115+AG116+AG117+AG118+AG119+AG120</f>
        <v>1972.5683256982506</v>
      </c>
      <c r="E215" s="294"/>
      <c r="F215" s="294"/>
      <c r="G215" s="294"/>
      <c r="H215" s="294"/>
      <c r="I215" s="294"/>
      <c r="J215" s="294"/>
      <c r="L215" s="295"/>
      <c r="M215" s="294"/>
      <c r="O215" s="294"/>
      <c r="P215" s="294"/>
      <c r="Q215" s="294"/>
      <c r="R215" s="294"/>
      <c r="S215" s="294"/>
      <c r="T215" s="294"/>
      <c r="U215" s="326"/>
      <c r="V215" s="294"/>
      <c r="W215" s="294"/>
      <c r="X215" s="294"/>
      <c r="Y215" s="294"/>
      <c r="Z215" s="294"/>
      <c r="AA215" s="294"/>
      <c r="AB215" s="294"/>
      <c r="AC215" s="294"/>
    </row>
    <row r="216" spans="2:29" x14ac:dyDescent="0.25">
      <c r="B216" s="294"/>
      <c r="C216" s="294" t="s">
        <v>2740</v>
      </c>
      <c r="D216" s="313">
        <f>Q114+Q115+Q116+Q117+Q118+Q119+Q120</f>
        <v>1390.8798569648607</v>
      </c>
      <c r="E216" s="294"/>
      <c r="F216" s="294"/>
      <c r="G216" s="294"/>
      <c r="H216" s="294"/>
      <c r="I216" s="294"/>
      <c r="J216" s="294"/>
      <c r="L216" s="295"/>
      <c r="M216" s="294"/>
      <c r="O216" s="294"/>
      <c r="P216" s="294"/>
      <c r="Q216" s="294"/>
      <c r="R216" s="294"/>
      <c r="S216" s="294"/>
      <c r="T216" s="294"/>
      <c r="U216" s="326"/>
      <c r="V216" s="294"/>
      <c r="W216" s="294"/>
      <c r="X216" s="294"/>
      <c r="Y216" s="294"/>
      <c r="Z216" s="294"/>
      <c r="AA216" s="294"/>
      <c r="AB216" s="294"/>
      <c r="AC216" s="294"/>
    </row>
    <row r="217" spans="2:29" x14ac:dyDescent="0.25">
      <c r="B217" s="294"/>
      <c r="C217" s="294" t="s">
        <v>4519</v>
      </c>
      <c r="D217" s="313">
        <f>AD114+AD115+AD116+AD117+AD118+AD119+AD120</f>
        <v>4768.1144465370762</v>
      </c>
      <c r="E217" s="294"/>
      <c r="F217" s="294"/>
      <c r="G217" s="294"/>
      <c r="H217" s="294"/>
      <c r="I217" s="294"/>
      <c r="J217" s="294"/>
      <c r="L217" s="295"/>
      <c r="M217" s="294"/>
      <c r="O217" s="294"/>
      <c r="P217" s="294"/>
      <c r="Q217" s="294"/>
      <c r="R217" s="294"/>
      <c r="S217" s="294"/>
      <c r="T217" s="294"/>
      <c r="U217" s="326"/>
      <c r="V217" s="294"/>
      <c r="W217" s="294"/>
      <c r="X217" s="294"/>
      <c r="Y217" s="294"/>
      <c r="Z217" s="294"/>
      <c r="AA217" s="294"/>
      <c r="AB217" s="294"/>
      <c r="AC217" s="294"/>
    </row>
    <row r="218" spans="2:29" x14ac:dyDescent="0.25">
      <c r="B218" s="294"/>
      <c r="C218" s="294" t="s">
        <v>2736</v>
      </c>
      <c r="D218" s="313">
        <f>AF114+AF115+AF116+AF117+AF118+AF119+AF120</f>
        <v>14224.263339611227</v>
      </c>
      <c r="E218" s="294"/>
      <c r="F218" s="294"/>
      <c r="G218" s="294"/>
      <c r="H218" s="294"/>
      <c r="I218" s="294"/>
      <c r="J218" s="294"/>
      <c r="L218" s="295"/>
      <c r="M218" s="294"/>
      <c r="O218" s="294"/>
      <c r="P218" s="294"/>
      <c r="Q218" s="294"/>
      <c r="R218" s="294"/>
      <c r="S218" s="294"/>
      <c r="T218" s="294"/>
      <c r="U218" s="326"/>
      <c r="V218" s="294"/>
      <c r="W218" s="294"/>
      <c r="X218" s="294"/>
      <c r="Y218" s="294"/>
      <c r="Z218" s="294"/>
      <c r="AA218" s="294"/>
      <c r="AB218" s="294"/>
      <c r="AC218" s="294"/>
    </row>
    <row r="219" spans="2:29" x14ac:dyDescent="0.25">
      <c r="B219" s="294"/>
      <c r="C219" s="294" t="s">
        <v>2741</v>
      </c>
      <c r="D219" s="313">
        <f>T114+T115+T116+T117+T118+T119+T120</f>
        <v>327.78999999999996</v>
      </c>
      <c r="E219" s="294"/>
      <c r="F219" s="294"/>
      <c r="G219" s="294"/>
      <c r="H219" s="294"/>
      <c r="I219" s="294"/>
      <c r="J219" s="294"/>
      <c r="L219" s="295"/>
      <c r="M219" s="294"/>
      <c r="O219" s="294"/>
      <c r="P219" s="294"/>
      <c r="Q219" s="294"/>
      <c r="R219" s="294"/>
      <c r="S219" s="294"/>
      <c r="T219" s="294"/>
      <c r="U219" s="326"/>
      <c r="V219" s="294"/>
      <c r="W219" s="294"/>
      <c r="X219" s="294"/>
      <c r="Y219" s="294"/>
      <c r="Z219" s="294"/>
      <c r="AA219" s="294"/>
      <c r="AB219" s="294"/>
      <c r="AC219" s="294"/>
    </row>
    <row r="220" spans="2:29" x14ac:dyDescent="0.25">
      <c r="B220" s="294"/>
      <c r="C220" s="294"/>
      <c r="D220" s="294"/>
      <c r="E220" s="294"/>
      <c r="F220" s="294"/>
      <c r="G220" s="294"/>
      <c r="H220" s="294"/>
      <c r="I220" s="294"/>
      <c r="J220" s="294"/>
      <c r="L220" s="295"/>
      <c r="M220" s="294"/>
      <c r="O220" s="294"/>
      <c r="P220" s="294"/>
      <c r="Q220" s="294"/>
      <c r="R220" s="294"/>
      <c r="S220" s="294"/>
      <c r="T220" s="294"/>
      <c r="U220" s="326"/>
      <c r="V220" s="294"/>
      <c r="W220" s="294"/>
      <c r="X220" s="294"/>
      <c r="Y220" s="294"/>
      <c r="Z220" s="294"/>
      <c r="AA220" s="294"/>
      <c r="AB220" s="294"/>
      <c r="AC220" s="294"/>
    </row>
    <row r="221" spans="2:29" x14ac:dyDescent="0.25">
      <c r="B221" s="294"/>
      <c r="C221" s="299" t="s">
        <v>7755</v>
      </c>
      <c r="D221" s="294"/>
      <c r="E221" s="294"/>
      <c r="F221" s="294"/>
      <c r="G221" s="294"/>
      <c r="H221" s="294"/>
      <c r="I221" s="294"/>
      <c r="J221" s="294"/>
      <c r="L221" s="295"/>
      <c r="M221" s="294"/>
      <c r="O221" s="294"/>
      <c r="P221" s="294"/>
      <c r="Q221" s="294"/>
      <c r="R221" s="294"/>
      <c r="S221" s="294"/>
      <c r="T221" s="294"/>
      <c r="U221" s="326"/>
      <c r="V221" s="294"/>
      <c r="W221" s="294"/>
      <c r="X221" s="294"/>
      <c r="Y221" s="294"/>
      <c r="Z221" s="294"/>
      <c r="AA221" s="294"/>
      <c r="AB221" s="294"/>
      <c r="AC221" s="294"/>
    </row>
    <row r="222" spans="2:29" x14ac:dyDescent="0.25">
      <c r="B222" s="294"/>
      <c r="C222" s="294" t="s">
        <v>3075</v>
      </c>
      <c r="D222" s="313">
        <f>N123</f>
        <v>1390.8798569648607</v>
      </c>
      <c r="E222" s="294"/>
      <c r="F222" s="294"/>
      <c r="G222" s="294"/>
      <c r="H222" s="294"/>
      <c r="I222" s="294"/>
      <c r="J222" s="294"/>
      <c r="L222" s="295"/>
      <c r="M222" s="294"/>
      <c r="O222" s="294"/>
      <c r="P222" s="294"/>
      <c r="Q222" s="294"/>
      <c r="R222" s="294"/>
      <c r="S222" s="294"/>
      <c r="T222" s="294"/>
      <c r="U222" s="326"/>
      <c r="V222" s="294"/>
      <c r="W222" s="294"/>
      <c r="X222" s="294"/>
      <c r="Y222" s="294"/>
      <c r="Z222" s="294"/>
      <c r="AA222" s="294"/>
      <c r="AB222" s="294"/>
      <c r="AC222" s="294"/>
    </row>
    <row r="223" spans="2:29" x14ac:dyDescent="0.25">
      <c r="B223" s="294"/>
      <c r="C223" s="294" t="s">
        <v>4519</v>
      </c>
      <c r="D223" s="313">
        <f>AD123</f>
        <v>463.62661898828691</v>
      </c>
      <c r="E223" s="294"/>
      <c r="F223" s="294"/>
      <c r="G223" s="294"/>
      <c r="H223" s="294"/>
      <c r="I223" s="294"/>
      <c r="J223" s="294"/>
      <c r="L223" s="295"/>
      <c r="M223" s="294"/>
      <c r="O223" s="294"/>
      <c r="P223" s="294"/>
      <c r="Q223" s="294"/>
      <c r="R223" s="294"/>
      <c r="S223" s="294"/>
      <c r="T223" s="294"/>
      <c r="U223" s="326"/>
      <c r="V223" s="294"/>
      <c r="W223" s="294"/>
      <c r="X223" s="294"/>
      <c r="Y223" s="294"/>
      <c r="Z223" s="294"/>
      <c r="AA223" s="294"/>
      <c r="AB223" s="294"/>
      <c r="AC223" s="294"/>
    </row>
    <row r="224" spans="2:29" x14ac:dyDescent="0.25">
      <c r="B224" s="294"/>
      <c r="C224" s="294" t="s">
        <v>2736</v>
      </c>
      <c r="D224" s="313">
        <f>AF123</f>
        <v>1390.8798569648607</v>
      </c>
      <c r="E224" s="294"/>
      <c r="F224" s="294"/>
      <c r="G224" s="294"/>
      <c r="H224" s="294"/>
      <c r="I224" s="294"/>
      <c r="J224" s="294"/>
      <c r="L224" s="295"/>
      <c r="M224" s="294"/>
      <c r="O224" s="294"/>
      <c r="P224" s="294"/>
      <c r="Q224" s="294"/>
      <c r="R224" s="294"/>
      <c r="S224" s="294"/>
      <c r="T224" s="294"/>
      <c r="U224" s="326"/>
      <c r="V224" s="294"/>
      <c r="W224" s="294"/>
      <c r="X224" s="294"/>
      <c r="Y224" s="294"/>
      <c r="Z224" s="294"/>
      <c r="AA224" s="294"/>
      <c r="AB224" s="294"/>
      <c r="AC224" s="294"/>
    </row>
    <row r="225" spans="2:29" x14ac:dyDescent="0.25">
      <c r="B225" s="294"/>
      <c r="C225" s="294"/>
      <c r="D225" s="294"/>
      <c r="E225" s="294"/>
      <c r="F225" s="294"/>
      <c r="G225" s="294"/>
      <c r="H225" s="294"/>
      <c r="I225" s="294"/>
      <c r="J225" s="294"/>
      <c r="L225" s="295"/>
      <c r="M225" s="294"/>
      <c r="O225" s="294"/>
      <c r="P225" s="294"/>
      <c r="Q225" s="294"/>
      <c r="R225" s="294"/>
      <c r="S225" s="294"/>
      <c r="T225" s="294"/>
      <c r="U225" s="326"/>
      <c r="V225" s="294"/>
      <c r="W225" s="294"/>
      <c r="X225" s="294"/>
      <c r="Y225" s="294"/>
      <c r="Z225" s="294"/>
      <c r="AA225" s="294"/>
      <c r="AB225" s="294"/>
      <c r="AC225" s="294"/>
    </row>
    <row r="226" spans="2:29" x14ac:dyDescent="0.25">
      <c r="B226" s="294"/>
      <c r="C226" s="299" t="s">
        <v>7756</v>
      </c>
      <c r="D226" s="294"/>
      <c r="E226" s="294"/>
      <c r="F226" s="294"/>
      <c r="G226" s="294"/>
      <c r="H226" s="294"/>
      <c r="I226" s="294"/>
      <c r="J226" s="294"/>
      <c r="L226" s="295"/>
      <c r="M226" s="294"/>
      <c r="O226" s="294"/>
      <c r="P226" s="294"/>
      <c r="Q226" s="294"/>
      <c r="R226" s="294"/>
      <c r="S226" s="294"/>
      <c r="T226" s="294"/>
      <c r="U226" s="326"/>
      <c r="V226" s="294"/>
      <c r="W226" s="294"/>
      <c r="X226" s="294"/>
      <c r="Y226" s="294"/>
      <c r="Z226" s="294"/>
      <c r="AA226" s="294"/>
      <c r="AB226" s="294"/>
      <c r="AC226" s="294"/>
    </row>
    <row r="227" spans="2:29" x14ac:dyDescent="0.25">
      <c r="B227" s="294"/>
      <c r="C227" s="294" t="s">
        <v>3075</v>
      </c>
      <c r="D227" s="313">
        <f>N126</f>
        <v>5175.1115474685648</v>
      </c>
      <c r="E227" s="294"/>
      <c r="F227" s="294"/>
      <c r="G227" s="294"/>
      <c r="H227" s="294"/>
      <c r="I227" s="294"/>
      <c r="J227" s="294"/>
      <c r="L227" s="295"/>
      <c r="M227" s="294"/>
      <c r="O227" s="294"/>
      <c r="P227" s="294"/>
      <c r="Q227" s="294"/>
      <c r="R227" s="294"/>
      <c r="S227" s="294"/>
      <c r="T227" s="294"/>
      <c r="U227" s="326"/>
      <c r="V227" s="294"/>
      <c r="W227" s="294"/>
      <c r="X227" s="294"/>
      <c r="Y227" s="294"/>
      <c r="Z227" s="294"/>
      <c r="AA227" s="294"/>
      <c r="AB227" s="294"/>
      <c r="AC227" s="294"/>
    </row>
    <row r="228" spans="2:29" x14ac:dyDescent="0.25">
      <c r="B228" s="294"/>
      <c r="C228" s="294" t="s">
        <v>4519</v>
      </c>
      <c r="D228" s="313">
        <f>AD126</f>
        <v>1725.0371824895217</v>
      </c>
      <c r="E228" s="294"/>
      <c r="F228" s="294"/>
      <c r="G228" s="294"/>
      <c r="H228" s="294"/>
      <c r="I228" s="294"/>
      <c r="J228" s="294"/>
      <c r="L228" s="295"/>
      <c r="M228" s="294"/>
      <c r="O228" s="294"/>
      <c r="P228" s="294"/>
      <c r="Q228" s="294"/>
      <c r="R228" s="294"/>
      <c r="S228" s="294"/>
      <c r="T228" s="294"/>
      <c r="U228" s="326"/>
      <c r="V228" s="294"/>
      <c r="W228" s="294"/>
      <c r="X228" s="294"/>
      <c r="Y228" s="294"/>
      <c r="Z228" s="294"/>
      <c r="AA228" s="294"/>
      <c r="AB228" s="294"/>
      <c r="AC228" s="294"/>
    </row>
    <row r="229" spans="2:29" x14ac:dyDescent="0.25">
      <c r="B229" s="294"/>
      <c r="C229" s="294" t="s">
        <v>2736</v>
      </c>
      <c r="D229" s="313">
        <f>AF126</f>
        <v>5175.1115474685648</v>
      </c>
      <c r="E229" s="294"/>
      <c r="F229" s="294"/>
      <c r="G229" s="294"/>
      <c r="H229" s="294"/>
      <c r="I229" s="294"/>
      <c r="J229" s="294"/>
      <c r="L229" s="295"/>
      <c r="M229" s="294"/>
      <c r="O229" s="294"/>
      <c r="P229" s="294"/>
      <c r="Q229" s="294"/>
      <c r="R229" s="294"/>
      <c r="S229" s="294"/>
      <c r="T229" s="294"/>
      <c r="U229" s="326"/>
      <c r="V229" s="294"/>
      <c r="W229" s="294"/>
      <c r="X229" s="294"/>
      <c r="Y229" s="294"/>
      <c r="Z229" s="294"/>
      <c r="AA229" s="294"/>
      <c r="AB229" s="294"/>
      <c r="AC229" s="294"/>
    </row>
    <row r="230" spans="2:29" x14ac:dyDescent="0.25">
      <c r="B230" s="294"/>
      <c r="C230" s="294"/>
      <c r="D230" s="294"/>
      <c r="E230" s="294"/>
      <c r="F230" s="294"/>
      <c r="G230" s="294"/>
      <c r="H230" s="294"/>
      <c r="I230" s="294"/>
      <c r="J230" s="294"/>
      <c r="L230" s="295"/>
      <c r="M230" s="294"/>
      <c r="O230" s="294"/>
      <c r="P230" s="294"/>
      <c r="Q230" s="294"/>
      <c r="R230" s="294"/>
      <c r="S230" s="294"/>
      <c r="T230" s="294"/>
      <c r="U230" s="326"/>
      <c r="V230" s="294"/>
      <c r="W230" s="294"/>
      <c r="X230" s="294"/>
      <c r="Y230" s="294"/>
      <c r="Z230" s="294"/>
      <c r="AA230" s="294"/>
      <c r="AB230" s="294"/>
      <c r="AC230" s="294"/>
    </row>
    <row r="231" spans="2:29" x14ac:dyDescent="0.25">
      <c r="B231" s="299" t="s">
        <v>7757</v>
      </c>
      <c r="C231" s="294"/>
      <c r="D231" s="294"/>
      <c r="E231" s="294"/>
      <c r="F231" s="294"/>
      <c r="G231" s="294"/>
      <c r="H231" s="294"/>
      <c r="I231" s="294"/>
      <c r="J231" s="294"/>
      <c r="L231" s="295"/>
      <c r="M231" s="294"/>
      <c r="O231" s="294"/>
      <c r="P231" s="294"/>
      <c r="Q231" s="294"/>
      <c r="R231" s="294"/>
      <c r="S231" s="294"/>
      <c r="T231" s="294"/>
      <c r="U231" s="326"/>
      <c r="V231" s="294"/>
      <c r="W231" s="294"/>
      <c r="X231" s="294"/>
      <c r="Y231" s="294"/>
      <c r="Z231" s="294"/>
      <c r="AA231" s="294"/>
      <c r="AB231" s="294"/>
      <c r="AC231" s="294"/>
    </row>
    <row r="232" spans="2:29" x14ac:dyDescent="0.25">
      <c r="B232" s="294"/>
      <c r="C232" s="299" t="s">
        <v>7752</v>
      </c>
      <c r="E232" s="294"/>
      <c r="F232" s="294"/>
      <c r="G232" s="294"/>
      <c r="H232" s="294"/>
      <c r="I232" s="294"/>
      <c r="J232" s="294"/>
      <c r="L232" s="295"/>
      <c r="M232" s="294"/>
      <c r="O232" s="294"/>
      <c r="P232" s="294"/>
      <c r="Q232" s="294"/>
      <c r="R232" s="294"/>
      <c r="S232" s="294"/>
      <c r="T232" s="294"/>
      <c r="U232" s="326"/>
      <c r="V232" s="294"/>
      <c r="W232" s="294"/>
      <c r="X232" s="294"/>
      <c r="Y232" s="294"/>
      <c r="Z232" s="294"/>
      <c r="AA232" s="294"/>
      <c r="AB232" s="294"/>
      <c r="AC232" s="294"/>
    </row>
    <row r="233" spans="2:29" x14ac:dyDescent="0.25">
      <c r="B233" s="294"/>
      <c r="C233" s="294" t="s">
        <v>3075</v>
      </c>
      <c r="D233" s="313">
        <f>N133+N134+N135+N136+N137+N138+N139</f>
        <v>31294.796781709367</v>
      </c>
      <c r="E233" s="294"/>
      <c r="F233" s="294"/>
      <c r="G233" s="294"/>
      <c r="H233" s="294"/>
      <c r="I233" s="294"/>
      <c r="J233" s="294"/>
      <c r="L233" s="295"/>
      <c r="M233" s="294"/>
      <c r="O233" s="294"/>
      <c r="P233" s="294"/>
      <c r="Q233" s="294"/>
      <c r="R233" s="294"/>
      <c r="S233" s="294"/>
      <c r="T233" s="294"/>
      <c r="U233" s="326"/>
      <c r="V233" s="294"/>
      <c r="W233" s="294"/>
      <c r="X233" s="294"/>
      <c r="Y233" s="294"/>
      <c r="Z233" s="294"/>
      <c r="AA233" s="294"/>
      <c r="AB233" s="294"/>
      <c r="AC233" s="294"/>
    </row>
    <row r="234" spans="2:29" x14ac:dyDescent="0.25">
      <c r="B234" s="294"/>
      <c r="C234" s="294" t="s">
        <v>2761</v>
      </c>
      <c r="D234" s="313">
        <f>U133+U134+U135+U136+U137+U138+U139</f>
        <v>1516.9199999999998</v>
      </c>
      <c r="E234" s="294"/>
      <c r="F234" s="294"/>
      <c r="G234" s="294"/>
      <c r="H234" s="294"/>
      <c r="I234" s="294"/>
      <c r="J234" s="294"/>
      <c r="L234" s="295"/>
      <c r="M234" s="294"/>
      <c r="O234" s="294"/>
      <c r="P234" s="294"/>
      <c r="Q234" s="294"/>
      <c r="R234" s="294"/>
      <c r="S234" s="294"/>
      <c r="T234" s="294"/>
      <c r="U234" s="326"/>
      <c r="V234" s="294"/>
      <c r="W234" s="294"/>
      <c r="X234" s="294"/>
      <c r="Y234" s="294"/>
      <c r="Z234" s="294"/>
      <c r="AA234" s="294"/>
      <c r="AB234" s="294"/>
      <c r="AC234" s="294"/>
    </row>
    <row r="235" spans="2:29" x14ac:dyDescent="0.25">
      <c r="B235" s="294"/>
      <c r="C235" s="294" t="s">
        <v>4519</v>
      </c>
      <c r="D235" s="313">
        <f>AD133+AD134+AD135+AD136+AD137+AD138+AD139</f>
        <v>10937.238927236454</v>
      </c>
      <c r="E235" s="294"/>
      <c r="F235" s="294"/>
      <c r="G235" s="294"/>
      <c r="H235" s="294"/>
      <c r="I235" s="294"/>
      <c r="J235" s="294"/>
      <c r="L235" s="295"/>
      <c r="M235" s="294"/>
      <c r="O235" s="294"/>
      <c r="P235" s="294"/>
      <c r="Q235" s="294"/>
      <c r="R235" s="294"/>
      <c r="S235" s="294"/>
      <c r="T235" s="294"/>
      <c r="U235" s="326"/>
      <c r="V235" s="294"/>
      <c r="W235" s="294"/>
      <c r="X235" s="294"/>
      <c r="Y235" s="294"/>
      <c r="Z235" s="294"/>
      <c r="AA235" s="294"/>
      <c r="AB235" s="294"/>
      <c r="AC235" s="294"/>
    </row>
    <row r="236" spans="2:29" x14ac:dyDescent="0.25">
      <c r="B236" s="294"/>
      <c r="C236" s="294" t="s">
        <v>2736</v>
      </c>
      <c r="D236" s="313">
        <f>AF133+AF134+AF135+AF136+AF137+AF138+AF139</f>
        <v>31294.796781709367</v>
      </c>
      <c r="E236" s="294"/>
      <c r="F236" s="294"/>
      <c r="G236" s="294"/>
      <c r="H236" s="294"/>
      <c r="I236" s="294"/>
      <c r="J236" s="294"/>
      <c r="L236" s="295"/>
      <c r="M236" s="294"/>
      <c r="O236" s="294"/>
      <c r="P236" s="294"/>
      <c r="Q236" s="294"/>
      <c r="R236" s="294"/>
      <c r="S236" s="294"/>
      <c r="T236" s="294"/>
      <c r="U236" s="326"/>
      <c r="V236" s="294"/>
      <c r="W236" s="294"/>
      <c r="X236" s="294"/>
      <c r="Y236" s="294"/>
      <c r="Z236" s="294"/>
      <c r="AA236" s="294"/>
      <c r="AB236" s="294"/>
      <c r="AC236" s="294"/>
    </row>
    <row r="237" spans="2:29" x14ac:dyDescent="0.25">
      <c r="B237" s="294"/>
      <c r="C237" s="294" t="s">
        <v>2741</v>
      </c>
      <c r="D237" s="313">
        <f>T133+T134+T135+T136+T137+T138+T139</f>
        <v>298.54000000000002</v>
      </c>
      <c r="E237" s="294"/>
      <c r="F237" s="294"/>
      <c r="G237" s="294"/>
      <c r="H237" s="294"/>
      <c r="I237" s="294"/>
      <c r="J237" s="294"/>
      <c r="L237" s="295"/>
      <c r="M237" s="294"/>
      <c r="O237" s="294"/>
      <c r="P237" s="294"/>
      <c r="Q237" s="294"/>
      <c r="R237" s="294"/>
      <c r="S237" s="294"/>
      <c r="T237" s="294"/>
      <c r="U237" s="326"/>
      <c r="V237" s="294"/>
      <c r="W237" s="294"/>
      <c r="X237" s="294"/>
      <c r="Y237" s="294"/>
      <c r="Z237" s="294"/>
      <c r="AA237" s="294"/>
      <c r="AB237" s="294"/>
      <c r="AC237" s="294"/>
    </row>
    <row r="238" spans="2:29" x14ac:dyDescent="0.25">
      <c r="B238" s="294"/>
      <c r="C238" s="294"/>
      <c r="D238" s="294"/>
      <c r="E238" s="294"/>
      <c r="F238" s="294"/>
      <c r="G238" s="294"/>
      <c r="H238" s="294"/>
      <c r="I238" s="294"/>
      <c r="J238" s="294"/>
      <c r="L238" s="295"/>
      <c r="M238" s="294"/>
      <c r="O238" s="294"/>
      <c r="P238" s="294"/>
      <c r="Q238" s="294"/>
      <c r="R238" s="294"/>
      <c r="S238" s="294"/>
      <c r="T238" s="294"/>
      <c r="U238" s="326"/>
      <c r="V238" s="294"/>
      <c r="W238" s="294"/>
      <c r="X238" s="294"/>
      <c r="Y238" s="294"/>
      <c r="Z238" s="294"/>
      <c r="AA238" s="294"/>
      <c r="AB238" s="294"/>
      <c r="AC238" s="294"/>
    </row>
    <row r="239" spans="2:29" x14ac:dyDescent="0.25">
      <c r="B239" s="294"/>
      <c r="C239" s="299" t="s">
        <v>7753</v>
      </c>
      <c r="D239" s="294"/>
      <c r="E239" s="294"/>
      <c r="F239" s="294"/>
      <c r="G239" s="294"/>
      <c r="H239" s="294"/>
      <c r="I239" s="294"/>
      <c r="J239" s="294"/>
      <c r="L239" s="295"/>
      <c r="M239" s="294"/>
      <c r="O239" s="294"/>
      <c r="P239" s="294"/>
      <c r="Q239" s="294"/>
      <c r="R239" s="294"/>
      <c r="S239" s="294"/>
      <c r="T239" s="294"/>
      <c r="U239" s="326"/>
      <c r="V239" s="294"/>
      <c r="W239" s="294"/>
      <c r="X239" s="294"/>
      <c r="Y239" s="294"/>
      <c r="Z239" s="294"/>
      <c r="AA239" s="294"/>
      <c r="AB239" s="294"/>
      <c r="AC239" s="294"/>
    </row>
    <row r="240" spans="2:29" x14ac:dyDescent="0.25">
      <c r="B240" s="294"/>
      <c r="C240" s="294" t="s">
        <v>3075</v>
      </c>
      <c r="D240" s="313">
        <f>N142+N143+N144+N145+N146+N147+N148+N149+N150+N151+N152+N153+N154+N155+N156+N157+N158+N159+N160+N161+N162+N163+N164+N165+N166+N167</f>
        <v>98867.549187350363</v>
      </c>
      <c r="E240" s="294"/>
      <c r="F240" s="294"/>
      <c r="G240" s="294"/>
      <c r="H240" s="294"/>
      <c r="I240" s="294"/>
      <c r="J240" s="294"/>
      <c r="L240" s="295"/>
      <c r="M240" s="294"/>
      <c r="O240" s="294"/>
      <c r="P240" s="294"/>
      <c r="Q240" s="294"/>
      <c r="R240" s="294"/>
      <c r="S240" s="294"/>
      <c r="T240" s="294"/>
      <c r="U240" s="326"/>
      <c r="V240" s="294"/>
      <c r="W240" s="294"/>
      <c r="X240" s="294"/>
      <c r="Y240" s="294"/>
      <c r="Z240" s="294"/>
      <c r="AA240" s="294"/>
      <c r="AB240" s="294"/>
      <c r="AC240" s="294"/>
    </row>
    <row r="241" spans="2:29" x14ac:dyDescent="0.25">
      <c r="B241" s="294"/>
      <c r="C241" s="294" t="s">
        <v>2783</v>
      </c>
      <c r="D241" s="313">
        <f>W142+W143+W144+W145+W146+W147+W148+W149+W150+W151+W152+W153+W154+W155+W156+W157+W158+W159+W160+W161+W162+W163+W164+W165+W166+W167</f>
        <v>0</v>
      </c>
      <c r="E241" s="294"/>
      <c r="F241" s="294"/>
      <c r="G241" s="294"/>
      <c r="H241" s="294"/>
      <c r="I241" s="294"/>
      <c r="J241" s="294"/>
      <c r="L241" s="295"/>
      <c r="M241" s="294"/>
      <c r="O241" s="294"/>
      <c r="P241" s="294"/>
      <c r="Q241" s="294"/>
      <c r="R241" s="294"/>
      <c r="S241" s="294"/>
      <c r="T241" s="294"/>
      <c r="U241" s="326"/>
      <c r="V241" s="294"/>
      <c r="W241" s="294"/>
      <c r="X241" s="294"/>
      <c r="Y241" s="294"/>
      <c r="Z241" s="294"/>
      <c r="AA241" s="294"/>
      <c r="AB241" s="294"/>
      <c r="AC241" s="294"/>
    </row>
    <row r="242" spans="2:29" x14ac:dyDescent="0.25">
      <c r="B242" s="294"/>
      <c r="C242" s="294" t="s">
        <v>2760</v>
      </c>
      <c r="D242" s="313">
        <f>V142+V143+V144+V145+V146+V147+V148+V149+V150+V151+V152+V153+V154+V155+V156+V157+V158+V159+V160+V161+V162+V163+V164+V165+V166+V167</f>
        <v>987.95999999999992</v>
      </c>
      <c r="E242" s="294"/>
      <c r="F242" s="294"/>
      <c r="G242" s="294"/>
      <c r="H242" s="294"/>
      <c r="I242" s="294"/>
      <c r="J242" s="294"/>
      <c r="L242" s="295"/>
      <c r="M242" s="294"/>
      <c r="O242" s="294"/>
      <c r="P242" s="294"/>
      <c r="Q242" s="294"/>
      <c r="R242" s="294"/>
      <c r="S242" s="294"/>
      <c r="T242" s="294"/>
      <c r="U242" s="326"/>
      <c r="V242" s="294"/>
      <c r="W242" s="294"/>
      <c r="X242" s="294"/>
      <c r="Y242" s="294"/>
      <c r="Z242" s="294"/>
      <c r="AA242" s="294"/>
      <c r="AB242" s="294"/>
      <c r="AC242" s="294"/>
    </row>
    <row r="243" spans="2:29" x14ac:dyDescent="0.25">
      <c r="B243" s="294"/>
      <c r="C243" s="294" t="s">
        <v>2761</v>
      </c>
      <c r="D243" s="313">
        <f>U142+U143+U144+U145+U146+U147+U148+U149+U150+U151+U152+U153+U154+U155+U156+U157+U158+U159+U160+U161+U162+U163+U164+U165+U166+U167</f>
        <v>2990.54</v>
      </c>
      <c r="E243" s="294"/>
      <c r="F243" s="294"/>
      <c r="G243" s="294"/>
      <c r="H243" s="294"/>
      <c r="I243" s="294"/>
      <c r="J243" s="294"/>
      <c r="L243" s="295"/>
      <c r="M243" s="294"/>
      <c r="O243" s="294"/>
      <c r="P243" s="294"/>
      <c r="Q243" s="294"/>
      <c r="R243" s="294"/>
      <c r="S243" s="294"/>
      <c r="T243" s="294"/>
      <c r="U243" s="326"/>
      <c r="V243" s="294"/>
      <c r="W243" s="294"/>
      <c r="X243" s="294"/>
      <c r="Y243" s="294"/>
      <c r="Z243" s="294"/>
      <c r="AA243" s="294"/>
      <c r="AB243" s="294"/>
      <c r="AC243" s="294"/>
    </row>
    <row r="244" spans="2:29" x14ac:dyDescent="0.25">
      <c r="B244" s="294"/>
      <c r="C244" s="294" t="s">
        <v>3411</v>
      </c>
      <c r="D244" s="313">
        <f>P142+P143+P144+P145+P146+P147+P148+P149+P150+P151+P152+P153+P154+P155+P156+P157+P158+P159+P160+P161+P162+P163+P164+P165+P166+P167</f>
        <v>14159.322333078826</v>
      </c>
      <c r="E244" s="294"/>
      <c r="F244" s="294"/>
      <c r="G244" s="294"/>
      <c r="H244" s="294"/>
      <c r="I244" s="294"/>
      <c r="J244" s="294"/>
      <c r="L244" s="295"/>
      <c r="M244" s="294"/>
      <c r="O244" s="294"/>
      <c r="P244" s="294"/>
      <c r="Q244" s="294"/>
      <c r="R244" s="294"/>
      <c r="S244" s="294"/>
      <c r="T244" s="294"/>
      <c r="U244" s="326"/>
      <c r="V244" s="294"/>
      <c r="W244" s="294"/>
      <c r="X244" s="294"/>
      <c r="Y244" s="294"/>
      <c r="Z244" s="294"/>
      <c r="AA244" s="294"/>
      <c r="AB244" s="294"/>
      <c r="AC244" s="294"/>
    </row>
    <row r="245" spans="2:29" x14ac:dyDescent="0.25">
      <c r="B245" s="294"/>
      <c r="C245" s="294" t="s">
        <v>4847</v>
      </c>
      <c r="D245" s="313">
        <f>AE142+AE143+AE144+AE145+AE146+AE147+AE148+AE149+AE150+AE151+AE152+AE153+AE154+AE155+AE156+AE157+AE158+AE159+AE160+AE161+AE162+AE163+AE164+AE165+AE166+AE167</f>
        <v>4968.5111355391082</v>
      </c>
      <c r="E245" s="294"/>
      <c r="F245" s="294"/>
      <c r="G245" s="294"/>
      <c r="H245" s="294"/>
      <c r="I245" s="294"/>
      <c r="J245" s="294"/>
      <c r="L245" s="295"/>
      <c r="M245" s="294"/>
      <c r="O245" s="294"/>
      <c r="P245" s="294"/>
      <c r="Q245" s="294"/>
      <c r="R245" s="294"/>
      <c r="S245" s="294"/>
      <c r="T245" s="294"/>
      <c r="U245" s="326"/>
      <c r="V245" s="294"/>
      <c r="W245" s="294"/>
      <c r="X245" s="294"/>
      <c r="Y245" s="294"/>
      <c r="Z245" s="294"/>
      <c r="AA245" s="294"/>
      <c r="AB245" s="294"/>
      <c r="AC245" s="294"/>
    </row>
    <row r="246" spans="2:29" x14ac:dyDescent="0.25">
      <c r="B246" s="294"/>
      <c r="C246" s="294" t="s">
        <v>5298</v>
      </c>
      <c r="D246" s="313">
        <f>AG142+AG143+AG144+AG145+AG146+AG147+AG148+AG149+AG150+AG151+AG152+AG153+AG154+AG155+AG156+AG157+AG158+AG159+AG160+AG161+AG162+AG163+AG164+AG165+AG166+AG167</f>
        <v>14416.635106617325</v>
      </c>
      <c r="E246" s="294"/>
      <c r="F246" s="294"/>
      <c r="G246" s="294"/>
      <c r="H246" s="294"/>
      <c r="I246" s="294"/>
      <c r="J246" s="294"/>
      <c r="L246" s="295"/>
      <c r="M246" s="294"/>
      <c r="O246" s="294"/>
      <c r="P246" s="294"/>
      <c r="Q246" s="294"/>
      <c r="R246" s="294"/>
      <c r="S246" s="294"/>
      <c r="T246" s="294"/>
      <c r="U246" s="326"/>
      <c r="V246" s="294"/>
      <c r="W246" s="294"/>
      <c r="X246" s="294"/>
      <c r="Y246" s="294"/>
      <c r="Z246" s="294"/>
      <c r="AA246" s="294"/>
      <c r="AB246" s="294"/>
      <c r="AC246" s="294"/>
    </row>
    <row r="247" spans="2:29" x14ac:dyDescent="0.25">
      <c r="B247" s="294"/>
      <c r="C247" s="294" t="s">
        <v>2740</v>
      </c>
      <c r="D247" s="313">
        <f>Q142+Q143+Q144+Q145+Q146+Q147+Q148+Q149+Q150+Q151+Q152+Q153+Q154+Q155+Q156+Q157+Q158+Q159+Q160+Q161+Q162+Q163+Q164+Q165+Q166+Q167</f>
        <v>1390.8798569648607</v>
      </c>
      <c r="E247" s="294"/>
      <c r="F247" s="294"/>
      <c r="G247" s="294"/>
      <c r="H247" s="294"/>
      <c r="I247" s="294"/>
      <c r="J247" s="294"/>
      <c r="L247" s="295"/>
      <c r="M247" s="294"/>
      <c r="O247" s="294"/>
      <c r="P247" s="294"/>
      <c r="Q247" s="294"/>
      <c r="R247" s="294"/>
      <c r="S247" s="294"/>
      <c r="T247" s="294"/>
      <c r="U247" s="326"/>
      <c r="V247" s="294"/>
      <c r="W247" s="294"/>
      <c r="X247" s="294"/>
      <c r="Y247" s="294"/>
      <c r="Z247" s="294"/>
      <c r="AA247" s="294"/>
      <c r="AB247" s="294"/>
      <c r="AC247" s="294"/>
    </row>
    <row r="248" spans="2:29" x14ac:dyDescent="0.25">
      <c r="B248" s="294"/>
      <c r="C248" s="294" t="s">
        <v>4519</v>
      </c>
      <c r="D248" s="313">
        <f>AD142+AD143+AD144+AD145+AD146+AD147+AD148+AD149+AD150+AD151+AD152+AD153+AD154+AD155+AD156+AD157+AD158+AD159+AD160+AD161+AD162+AD163+AD164+AD165+AD166+AD167</f>
        <v>34416.323014771733</v>
      </c>
      <c r="E248" s="294"/>
      <c r="F248" s="294"/>
      <c r="G248" s="294"/>
      <c r="H248" s="294"/>
      <c r="I248" s="294"/>
      <c r="J248" s="294"/>
      <c r="L248" s="295"/>
      <c r="M248" s="294"/>
      <c r="O248" s="294"/>
      <c r="P248" s="294"/>
      <c r="Q248" s="294"/>
      <c r="R248" s="294"/>
      <c r="S248" s="294"/>
      <c r="T248" s="294"/>
      <c r="U248" s="326"/>
      <c r="V248" s="294"/>
      <c r="W248" s="294"/>
      <c r="X248" s="294"/>
      <c r="Y248" s="294"/>
      <c r="Z248" s="294"/>
      <c r="AA248" s="294"/>
      <c r="AB248" s="294"/>
      <c r="AC248" s="294"/>
    </row>
    <row r="249" spans="2:29" x14ac:dyDescent="0.25">
      <c r="B249" s="294"/>
      <c r="C249" s="294" t="s">
        <v>2736</v>
      </c>
      <c r="D249" s="313">
        <f>AF144+AF145+AF146+AF147+AF148+AF149+AF150</f>
        <v>13864.967382873108</v>
      </c>
      <c r="E249" s="294"/>
      <c r="F249" s="294"/>
      <c r="G249" s="294"/>
      <c r="H249" s="294"/>
      <c r="I249" s="294"/>
      <c r="J249" s="294"/>
      <c r="L249" s="295"/>
      <c r="M249" s="294"/>
      <c r="O249" s="294"/>
      <c r="P249" s="294"/>
      <c r="Q249" s="294"/>
      <c r="R249" s="294"/>
      <c r="S249" s="294"/>
      <c r="T249" s="294"/>
      <c r="U249" s="326"/>
      <c r="V249" s="294"/>
      <c r="W249" s="294"/>
      <c r="X249" s="294"/>
      <c r="Y249" s="294"/>
      <c r="Z249" s="294"/>
      <c r="AA249" s="294"/>
      <c r="AB249" s="294"/>
      <c r="AC249" s="294"/>
    </row>
    <row r="250" spans="2:29" x14ac:dyDescent="0.25">
      <c r="B250" s="294"/>
      <c r="C250" s="294" t="s">
        <v>2741</v>
      </c>
      <c r="D250" s="313">
        <f>T142+T143+T144+T145+T146+T147+T148+T149+T150+T151+T152+T153+T154+T155+T156+T157+T158+T159+T160+T161+T162+T163+T164+T165+T166+T167</f>
        <v>1116.0799999999997</v>
      </c>
      <c r="E250" s="294"/>
      <c r="F250" s="294"/>
      <c r="G250" s="294"/>
      <c r="H250" s="294"/>
      <c r="I250" s="294"/>
      <c r="J250" s="294"/>
      <c r="L250" s="295"/>
      <c r="M250" s="294"/>
      <c r="O250" s="294"/>
      <c r="P250" s="294"/>
      <c r="Q250" s="294"/>
      <c r="R250" s="294"/>
      <c r="S250" s="294"/>
      <c r="T250" s="294"/>
      <c r="U250" s="326"/>
      <c r="V250" s="294"/>
      <c r="W250" s="294"/>
      <c r="X250" s="294"/>
      <c r="Y250" s="294"/>
      <c r="Z250" s="294"/>
      <c r="AA250" s="294"/>
      <c r="AB250" s="294"/>
      <c r="AC250" s="294"/>
    </row>
    <row r="251" spans="2:29" x14ac:dyDescent="0.25">
      <c r="B251" s="294"/>
      <c r="C251" s="294"/>
      <c r="D251" s="294"/>
      <c r="E251" s="294"/>
      <c r="F251" s="294"/>
      <c r="G251" s="294"/>
      <c r="H251" s="294"/>
      <c r="I251" s="294"/>
      <c r="J251" s="294"/>
      <c r="L251" s="295"/>
      <c r="M251" s="294"/>
      <c r="O251" s="294"/>
      <c r="P251" s="294"/>
      <c r="Q251" s="294"/>
      <c r="R251" s="294"/>
      <c r="S251" s="294"/>
      <c r="T251" s="294"/>
      <c r="U251" s="326"/>
      <c r="V251" s="294"/>
      <c r="W251" s="294"/>
      <c r="X251" s="294"/>
      <c r="Y251" s="294"/>
      <c r="Z251" s="294"/>
      <c r="AA251" s="294"/>
      <c r="AB251" s="294"/>
      <c r="AC251" s="294"/>
    </row>
    <row r="252" spans="2:29" x14ac:dyDescent="0.25">
      <c r="B252" s="294"/>
      <c r="C252" s="299" t="s">
        <v>7755</v>
      </c>
      <c r="D252" s="294"/>
      <c r="E252" s="294"/>
      <c r="F252" s="294"/>
      <c r="G252" s="294"/>
      <c r="H252" s="294"/>
      <c r="I252" s="294"/>
      <c r="J252" s="294"/>
      <c r="L252" s="295"/>
      <c r="M252" s="294"/>
      <c r="O252" s="294"/>
      <c r="P252" s="294"/>
      <c r="Q252" s="294"/>
      <c r="R252" s="294"/>
      <c r="S252" s="294"/>
      <c r="T252" s="294"/>
      <c r="U252" s="326"/>
      <c r="V252" s="294"/>
      <c r="W252" s="294"/>
      <c r="X252" s="294"/>
      <c r="Y252" s="294"/>
      <c r="Z252" s="294"/>
      <c r="AA252" s="294"/>
      <c r="AB252" s="294"/>
      <c r="AC252" s="294"/>
    </row>
    <row r="253" spans="2:29" x14ac:dyDescent="0.25">
      <c r="B253" s="294"/>
      <c r="C253" s="294" t="s">
        <v>3075</v>
      </c>
      <c r="D253" s="313">
        <v>0</v>
      </c>
      <c r="E253" s="294"/>
      <c r="F253" s="294"/>
      <c r="G253" s="294"/>
      <c r="H253" s="294"/>
      <c r="I253" s="294"/>
      <c r="J253" s="294"/>
      <c r="L253" s="295"/>
      <c r="M253" s="294"/>
      <c r="O253" s="294"/>
      <c r="P253" s="294"/>
      <c r="Q253" s="294"/>
      <c r="R253" s="294"/>
      <c r="S253" s="294"/>
      <c r="T253" s="294"/>
      <c r="U253" s="326"/>
      <c r="V253" s="294"/>
      <c r="W253" s="294"/>
      <c r="X253" s="294"/>
      <c r="Y253" s="294"/>
      <c r="Z253" s="294"/>
      <c r="AA253" s="294"/>
      <c r="AB253" s="294"/>
      <c r="AC253" s="294"/>
    </row>
    <row r="254" spans="2:29" x14ac:dyDescent="0.25">
      <c r="B254" s="294"/>
      <c r="C254" s="294" t="s">
        <v>4519</v>
      </c>
      <c r="D254" s="313">
        <v>0</v>
      </c>
      <c r="E254" s="294"/>
      <c r="F254" s="294"/>
      <c r="G254" s="294"/>
      <c r="H254" s="294"/>
      <c r="I254" s="294"/>
      <c r="J254" s="294"/>
      <c r="L254" s="295"/>
      <c r="M254" s="294"/>
      <c r="O254" s="294"/>
      <c r="P254" s="294"/>
      <c r="Q254" s="294"/>
      <c r="R254" s="294"/>
      <c r="S254" s="294"/>
      <c r="T254" s="294"/>
      <c r="U254" s="326"/>
      <c r="V254" s="294"/>
      <c r="W254" s="294"/>
      <c r="X254" s="294"/>
      <c r="Y254" s="294"/>
      <c r="Z254" s="294"/>
      <c r="AA254" s="294"/>
      <c r="AB254" s="294"/>
      <c r="AC254" s="294"/>
    </row>
    <row r="255" spans="2:29" x14ac:dyDescent="0.25">
      <c r="B255" s="294"/>
      <c r="C255" s="294" t="s">
        <v>2736</v>
      </c>
      <c r="D255" s="313">
        <v>0</v>
      </c>
      <c r="E255" s="294"/>
      <c r="F255" s="294"/>
      <c r="G255" s="294"/>
      <c r="H255" s="294"/>
      <c r="I255" s="294"/>
      <c r="J255" s="294"/>
      <c r="L255" s="295"/>
      <c r="M255" s="294"/>
      <c r="O255" s="294"/>
      <c r="P255" s="294"/>
      <c r="Q255" s="294"/>
      <c r="R255" s="294"/>
      <c r="S255" s="294"/>
      <c r="T255" s="294"/>
      <c r="U255" s="326"/>
      <c r="V255" s="294"/>
      <c r="W255" s="294"/>
      <c r="X255" s="294"/>
      <c r="Y255" s="294"/>
      <c r="Z255" s="294"/>
      <c r="AA255" s="294"/>
      <c r="AB255" s="294"/>
      <c r="AC255" s="294"/>
    </row>
    <row r="256" spans="2:29" x14ac:dyDescent="0.25">
      <c r="B256" s="294"/>
      <c r="C256" s="294"/>
      <c r="D256" s="294"/>
      <c r="E256" s="294"/>
      <c r="F256" s="294"/>
      <c r="G256" s="294"/>
      <c r="H256" s="294"/>
      <c r="I256" s="294"/>
      <c r="J256" s="294"/>
      <c r="L256" s="295"/>
      <c r="M256" s="294"/>
      <c r="O256" s="294"/>
      <c r="P256" s="294"/>
      <c r="Q256" s="294"/>
      <c r="R256" s="294"/>
      <c r="S256" s="294"/>
      <c r="T256" s="294"/>
      <c r="U256" s="326"/>
      <c r="V256" s="294"/>
      <c r="W256" s="294"/>
      <c r="X256" s="294"/>
      <c r="Y256" s="294"/>
      <c r="Z256" s="294"/>
      <c r="AA256" s="294"/>
      <c r="AB256" s="294"/>
      <c r="AC256" s="294"/>
    </row>
    <row r="257" spans="2:29" x14ac:dyDescent="0.25">
      <c r="B257" s="299" t="s">
        <v>7761</v>
      </c>
      <c r="C257" s="294"/>
      <c r="D257" s="294"/>
      <c r="E257" s="294"/>
      <c r="F257" s="294"/>
      <c r="G257" s="294"/>
      <c r="H257" s="294"/>
      <c r="I257" s="294"/>
      <c r="J257" s="294"/>
      <c r="L257" s="295"/>
      <c r="M257" s="294"/>
      <c r="O257" s="294"/>
      <c r="P257" s="294"/>
      <c r="Q257" s="294"/>
      <c r="R257" s="294"/>
      <c r="S257" s="294"/>
      <c r="T257" s="294"/>
      <c r="U257" s="326"/>
      <c r="V257" s="294"/>
      <c r="W257" s="294"/>
      <c r="X257" s="294"/>
      <c r="Y257" s="294"/>
      <c r="Z257" s="294"/>
      <c r="AA257" s="294"/>
      <c r="AB257" s="294"/>
      <c r="AC257" s="294"/>
    </row>
    <row r="258" spans="2:29" x14ac:dyDescent="0.25">
      <c r="B258" s="294"/>
      <c r="C258" s="299" t="s">
        <v>7752</v>
      </c>
      <c r="E258" s="294"/>
      <c r="F258" s="294"/>
      <c r="G258" s="294"/>
      <c r="H258" s="294"/>
      <c r="I258" s="294"/>
      <c r="J258" s="294"/>
      <c r="L258" s="295"/>
      <c r="M258" s="294"/>
      <c r="O258" s="294"/>
      <c r="P258" s="294"/>
      <c r="Q258" s="294"/>
      <c r="R258" s="294"/>
      <c r="S258" s="294"/>
      <c r="T258" s="294"/>
      <c r="U258" s="326"/>
      <c r="V258" s="294"/>
      <c r="W258" s="294"/>
      <c r="X258" s="294"/>
      <c r="Y258" s="294"/>
      <c r="Z258" s="294"/>
      <c r="AA258" s="294"/>
      <c r="AB258" s="294"/>
      <c r="AC258" s="294"/>
    </row>
    <row r="259" spans="2:29" x14ac:dyDescent="0.25">
      <c r="B259" s="294"/>
      <c r="C259" s="294" t="s">
        <v>3075</v>
      </c>
      <c r="D259" s="313">
        <v>0</v>
      </c>
      <c r="E259" s="294"/>
      <c r="F259" s="294"/>
      <c r="G259" s="294"/>
      <c r="H259" s="294"/>
      <c r="I259" s="294"/>
      <c r="J259" s="294"/>
      <c r="L259" s="295"/>
      <c r="M259" s="294"/>
      <c r="O259" s="294"/>
      <c r="P259" s="294"/>
      <c r="Q259" s="294"/>
      <c r="R259" s="294"/>
      <c r="S259" s="294"/>
      <c r="T259" s="294"/>
      <c r="U259" s="326"/>
      <c r="V259" s="294"/>
      <c r="W259" s="294"/>
      <c r="X259" s="294"/>
      <c r="Y259" s="294"/>
      <c r="Z259" s="294"/>
      <c r="AA259" s="294"/>
      <c r="AB259" s="294"/>
      <c r="AC259" s="294"/>
    </row>
    <row r="260" spans="2:29" x14ac:dyDescent="0.25">
      <c r="B260" s="294"/>
      <c r="C260" s="294" t="s">
        <v>2761</v>
      </c>
      <c r="D260" s="313">
        <v>0</v>
      </c>
      <c r="E260" s="294"/>
      <c r="F260" s="294"/>
      <c r="G260" s="294"/>
      <c r="H260" s="294"/>
      <c r="I260" s="294"/>
      <c r="J260" s="294"/>
      <c r="L260" s="295"/>
      <c r="M260" s="294"/>
      <c r="O260" s="294"/>
      <c r="P260" s="294"/>
      <c r="Q260" s="294"/>
      <c r="R260" s="294"/>
      <c r="S260" s="294"/>
      <c r="T260" s="294"/>
      <c r="U260" s="326"/>
      <c r="V260" s="294"/>
      <c r="W260" s="294"/>
      <c r="X260" s="294"/>
      <c r="Y260" s="294"/>
      <c r="Z260" s="294"/>
      <c r="AA260" s="294"/>
      <c r="AB260" s="294"/>
      <c r="AC260" s="294"/>
    </row>
    <row r="261" spans="2:29" x14ac:dyDescent="0.25">
      <c r="B261" s="294"/>
      <c r="C261" s="294" t="s">
        <v>4519</v>
      </c>
      <c r="D261" s="313">
        <v>0</v>
      </c>
      <c r="E261" s="294"/>
      <c r="F261" s="294"/>
      <c r="G261" s="294"/>
      <c r="H261" s="294"/>
      <c r="I261" s="294"/>
      <c r="J261" s="294"/>
      <c r="L261" s="295"/>
      <c r="M261" s="294"/>
      <c r="O261" s="294"/>
      <c r="P261" s="294"/>
      <c r="Q261" s="294"/>
      <c r="R261" s="294"/>
      <c r="S261" s="294"/>
      <c r="T261" s="294"/>
      <c r="U261" s="326"/>
      <c r="V261" s="294"/>
      <c r="W261" s="294"/>
      <c r="X261" s="294"/>
      <c r="Y261" s="294"/>
      <c r="Z261" s="294"/>
      <c r="AA261" s="294"/>
      <c r="AB261" s="294"/>
      <c r="AC261" s="294"/>
    </row>
    <row r="262" spans="2:29" x14ac:dyDescent="0.25">
      <c r="B262" s="294"/>
      <c r="C262" s="294" t="s">
        <v>2736</v>
      </c>
      <c r="D262" s="313">
        <v>0</v>
      </c>
      <c r="E262" s="294"/>
      <c r="F262" s="294"/>
      <c r="G262" s="294"/>
      <c r="H262" s="294"/>
      <c r="I262" s="294"/>
      <c r="J262" s="294"/>
      <c r="L262" s="295"/>
      <c r="M262" s="294"/>
      <c r="O262" s="294"/>
      <c r="P262" s="294"/>
      <c r="Q262" s="294"/>
      <c r="R262" s="294"/>
      <c r="S262" s="294"/>
      <c r="T262" s="294"/>
      <c r="U262" s="326"/>
      <c r="V262" s="294"/>
      <c r="W262" s="294"/>
      <c r="X262" s="294"/>
      <c r="Y262" s="294"/>
      <c r="Z262" s="294"/>
      <c r="AA262" s="294"/>
      <c r="AB262" s="294"/>
      <c r="AC262" s="294"/>
    </row>
    <row r="263" spans="2:29" x14ac:dyDescent="0.25">
      <c r="B263" s="294"/>
      <c r="C263" s="294" t="s">
        <v>2741</v>
      </c>
      <c r="D263" s="313">
        <v>0</v>
      </c>
      <c r="E263" s="294"/>
      <c r="F263" s="294"/>
      <c r="G263" s="294"/>
      <c r="H263" s="294"/>
      <c r="I263" s="294"/>
      <c r="J263" s="294"/>
      <c r="L263" s="295"/>
      <c r="M263" s="294"/>
      <c r="O263" s="294"/>
      <c r="P263" s="294"/>
      <c r="Q263" s="294"/>
      <c r="R263" s="294"/>
      <c r="S263" s="294"/>
      <c r="T263" s="294"/>
      <c r="U263" s="326"/>
      <c r="V263" s="294"/>
      <c r="W263" s="294"/>
      <c r="X263" s="294"/>
      <c r="Y263" s="294"/>
      <c r="Z263" s="294"/>
      <c r="AA263" s="294"/>
      <c r="AB263" s="294"/>
      <c r="AC263" s="294"/>
    </row>
    <row r="264" spans="2:29" x14ac:dyDescent="0.25">
      <c r="B264" s="294"/>
      <c r="C264" s="294"/>
      <c r="D264" s="294"/>
      <c r="E264" s="294"/>
      <c r="F264" s="294"/>
      <c r="G264" s="294"/>
      <c r="H264" s="294"/>
      <c r="I264" s="294"/>
      <c r="J264" s="294"/>
      <c r="L264" s="295"/>
      <c r="M264" s="294"/>
      <c r="O264" s="294"/>
      <c r="P264" s="294"/>
      <c r="Q264" s="294"/>
      <c r="R264" s="294"/>
      <c r="S264" s="294"/>
      <c r="T264" s="294"/>
      <c r="U264" s="326"/>
      <c r="V264" s="294"/>
      <c r="W264" s="294"/>
      <c r="X264" s="294"/>
      <c r="Y264" s="294"/>
      <c r="Z264" s="294"/>
      <c r="AA264" s="294"/>
      <c r="AB264" s="294"/>
      <c r="AC264" s="294"/>
    </row>
    <row r="265" spans="2:29" x14ac:dyDescent="0.25">
      <c r="B265" s="294"/>
      <c r="C265" s="299" t="s">
        <v>7753</v>
      </c>
      <c r="D265" s="294"/>
      <c r="E265" s="294"/>
      <c r="F265" s="294"/>
      <c r="G265" s="294"/>
      <c r="H265" s="294"/>
      <c r="I265" s="294"/>
      <c r="J265" s="294"/>
      <c r="L265" s="295"/>
      <c r="M265" s="294"/>
      <c r="O265" s="294"/>
      <c r="P265" s="294"/>
      <c r="Q265" s="294"/>
      <c r="R265" s="294"/>
      <c r="S265" s="294"/>
      <c r="T265" s="294"/>
      <c r="U265" s="326"/>
      <c r="V265" s="294"/>
      <c r="W265" s="294"/>
      <c r="X265" s="294"/>
      <c r="Y265" s="294"/>
      <c r="Z265" s="294"/>
      <c r="AA265" s="294"/>
      <c r="AB265" s="294"/>
      <c r="AC265" s="294"/>
    </row>
    <row r="266" spans="2:29" x14ac:dyDescent="0.25">
      <c r="B266" s="294"/>
      <c r="C266" s="294" t="s">
        <v>3075</v>
      </c>
      <c r="D266" s="313">
        <f>N174+N175</f>
        <v>12796.094684076717</v>
      </c>
      <c r="E266" s="294"/>
      <c r="F266" s="294"/>
      <c r="G266" s="294"/>
      <c r="H266" s="294"/>
      <c r="I266" s="294"/>
      <c r="J266" s="294"/>
      <c r="L266" s="295"/>
      <c r="M266" s="294"/>
      <c r="O266" s="294"/>
      <c r="P266" s="294"/>
      <c r="Q266" s="294"/>
      <c r="R266" s="294"/>
      <c r="S266" s="294"/>
      <c r="T266" s="294"/>
      <c r="U266" s="326"/>
      <c r="V266" s="294"/>
      <c r="W266" s="294"/>
      <c r="X266" s="294"/>
      <c r="Y266" s="294"/>
      <c r="Z266" s="294"/>
      <c r="AA266" s="294"/>
      <c r="AB266" s="294"/>
      <c r="AC266" s="294"/>
    </row>
    <row r="267" spans="2:29" x14ac:dyDescent="0.25">
      <c r="B267" s="294"/>
      <c r="C267" s="294" t="s">
        <v>2783</v>
      </c>
      <c r="D267" s="313">
        <f>W174+W175</f>
        <v>0</v>
      </c>
      <c r="E267" s="294"/>
      <c r="F267" s="294"/>
      <c r="G267" s="294"/>
      <c r="H267" s="294"/>
      <c r="I267" s="294"/>
      <c r="J267" s="294"/>
      <c r="L267" s="295"/>
      <c r="M267" s="294"/>
      <c r="O267" s="294"/>
      <c r="P267" s="294"/>
      <c r="Q267" s="294"/>
      <c r="R267" s="294"/>
      <c r="S267" s="294"/>
      <c r="T267" s="294"/>
      <c r="U267" s="326"/>
      <c r="V267" s="294"/>
      <c r="W267" s="294"/>
      <c r="X267" s="294"/>
      <c r="Y267" s="294"/>
      <c r="Z267" s="294"/>
      <c r="AA267" s="294"/>
      <c r="AB267" s="294"/>
      <c r="AC267" s="294"/>
    </row>
    <row r="268" spans="2:29" x14ac:dyDescent="0.25">
      <c r="B268" s="294"/>
      <c r="C268" s="294" t="s">
        <v>2760</v>
      </c>
      <c r="D268" s="313">
        <f>V174+V175</f>
        <v>0</v>
      </c>
      <c r="E268" s="294"/>
      <c r="F268" s="294"/>
      <c r="G268" s="294"/>
      <c r="H268" s="294"/>
      <c r="I268" s="294"/>
      <c r="J268" s="294"/>
      <c r="L268" s="295"/>
      <c r="M268" s="294"/>
      <c r="O268" s="294"/>
      <c r="P268" s="294"/>
      <c r="Q268" s="294"/>
      <c r="R268" s="294"/>
      <c r="S268" s="294"/>
      <c r="T268" s="294"/>
      <c r="U268" s="326"/>
      <c r="V268" s="294"/>
      <c r="W268" s="294"/>
      <c r="X268" s="294"/>
      <c r="Y268" s="294"/>
      <c r="Z268" s="294"/>
      <c r="AA268" s="294"/>
      <c r="AB268" s="294"/>
      <c r="AC268" s="294"/>
    </row>
    <row r="269" spans="2:29" x14ac:dyDescent="0.25">
      <c r="B269" s="294"/>
      <c r="C269" s="294" t="s">
        <v>2761</v>
      </c>
      <c r="D269" s="313">
        <f>U174+U175</f>
        <v>0</v>
      </c>
      <c r="E269" s="294"/>
      <c r="F269" s="294"/>
      <c r="G269" s="294"/>
      <c r="H269" s="294"/>
      <c r="I269" s="294"/>
      <c r="J269" s="294"/>
      <c r="L269" s="295"/>
      <c r="M269" s="294"/>
      <c r="O269" s="294"/>
      <c r="P269" s="294"/>
      <c r="Q269" s="294"/>
      <c r="R269" s="294"/>
      <c r="S269" s="294"/>
      <c r="T269" s="294"/>
      <c r="U269" s="326"/>
      <c r="V269" s="294"/>
      <c r="W269" s="294"/>
      <c r="X269" s="294"/>
      <c r="Y269" s="294"/>
      <c r="Z269" s="294"/>
      <c r="AA269" s="294"/>
      <c r="AB269" s="294"/>
      <c r="AC269" s="294"/>
    </row>
    <row r="270" spans="2:29" x14ac:dyDescent="0.25">
      <c r="B270" s="294"/>
      <c r="C270" s="294" t="s">
        <v>3411</v>
      </c>
      <c r="D270" s="313">
        <f>P174+P175</f>
        <v>2559.2189368153431</v>
      </c>
      <c r="E270" s="294"/>
      <c r="F270" s="294"/>
      <c r="G270" s="294"/>
      <c r="H270" s="294"/>
      <c r="I270" s="294"/>
      <c r="J270" s="294"/>
      <c r="L270" s="295"/>
      <c r="M270" s="294"/>
      <c r="O270" s="294"/>
      <c r="P270" s="294"/>
      <c r="Q270" s="294"/>
      <c r="R270" s="294"/>
      <c r="S270" s="294"/>
      <c r="T270" s="294"/>
      <c r="U270" s="326"/>
      <c r="V270" s="294"/>
      <c r="W270" s="294"/>
      <c r="X270" s="294"/>
      <c r="Y270" s="294"/>
      <c r="Z270" s="294"/>
      <c r="AA270" s="294"/>
      <c r="AB270" s="294"/>
      <c r="AC270" s="294"/>
    </row>
    <row r="271" spans="2:29" x14ac:dyDescent="0.25">
      <c r="B271" s="294"/>
      <c r="C271" s="294" t="s">
        <v>4847</v>
      </c>
      <c r="D271" s="313">
        <f>AE174+AE175</f>
        <v>853.07297893844793</v>
      </c>
      <c r="E271" s="294"/>
      <c r="F271" s="294"/>
      <c r="G271" s="294"/>
      <c r="H271" s="294"/>
      <c r="I271" s="294"/>
      <c r="J271" s="294"/>
      <c r="L271" s="295"/>
      <c r="M271" s="294"/>
      <c r="O271" s="294"/>
      <c r="P271" s="294"/>
      <c r="Q271" s="294"/>
      <c r="R271" s="294"/>
      <c r="S271" s="294"/>
      <c r="T271" s="294"/>
      <c r="U271" s="326"/>
      <c r="V271" s="294"/>
      <c r="W271" s="294"/>
      <c r="X271" s="294"/>
      <c r="Y271" s="294"/>
      <c r="Z271" s="294"/>
      <c r="AA271" s="294"/>
      <c r="AB271" s="294"/>
      <c r="AC271" s="294"/>
    </row>
    <row r="272" spans="2:29" x14ac:dyDescent="0.25">
      <c r="B272" s="294"/>
      <c r="C272" s="294" t="s">
        <v>5298</v>
      </c>
      <c r="D272" s="313">
        <f>AG174+AG175</f>
        <v>2559.2189368153431</v>
      </c>
      <c r="E272" s="294"/>
      <c r="F272" s="294"/>
      <c r="G272" s="294"/>
      <c r="H272" s="294"/>
      <c r="I272" s="294"/>
      <c r="J272" s="294"/>
      <c r="L272" s="295"/>
      <c r="M272" s="294"/>
      <c r="O272" s="294"/>
      <c r="P272" s="294"/>
      <c r="Q272" s="294"/>
      <c r="R272" s="294"/>
      <c r="S272" s="294"/>
      <c r="T272" s="294"/>
      <c r="U272" s="326"/>
      <c r="V272" s="294"/>
      <c r="W272" s="294"/>
      <c r="X272" s="294"/>
      <c r="Y272" s="294"/>
      <c r="Z272" s="294"/>
      <c r="AA272" s="294"/>
      <c r="AB272" s="294"/>
      <c r="AC272" s="294"/>
    </row>
    <row r="273" spans="2:29" x14ac:dyDescent="0.25">
      <c r="B273" s="294"/>
      <c r="C273" s="294" t="s">
        <v>2740</v>
      </c>
      <c r="D273" s="313">
        <f>Q174+Q175</f>
        <v>0</v>
      </c>
      <c r="E273" s="294"/>
      <c r="F273" s="294"/>
      <c r="G273" s="294"/>
      <c r="H273" s="294"/>
      <c r="I273" s="294"/>
      <c r="J273" s="294"/>
      <c r="L273" s="295"/>
      <c r="M273" s="294"/>
      <c r="O273" s="294"/>
      <c r="P273" s="294"/>
      <c r="Q273" s="294"/>
      <c r="R273" s="294"/>
      <c r="S273" s="294"/>
      <c r="T273" s="294"/>
      <c r="U273" s="326"/>
      <c r="V273" s="294"/>
      <c r="W273" s="294"/>
      <c r="X273" s="294"/>
      <c r="Y273" s="294"/>
      <c r="Z273" s="294"/>
      <c r="AA273" s="294"/>
      <c r="AB273" s="294"/>
      <c r="AC273" s="294"/>
    </row>
    <row r="274" spans="2:29" x14ac:dyDescent="0.25">
      <c r="B274" s="294"/>
      <c r="C274" s="294" t="s">
        <v>4519</v>
      </c>
      <c r="D274" s="313">
        <f>AD174+AD175</f>
        <v>4265.3648946922394</v>
      </c>
      <c r="E274" s="294"/>
      <c r="F274" s="294"/>
      <c r="G274" s="294"/>
      <c r="H274" s="294"/>
      <c r="I274" s="294"/>
      <c r="J274" s="294"/>
      <c r="L274" s="295"/>
      <c r="M274" s="294"/>
      <c r="O274" s="294"/>
      <c r="P274" s="294"/>
      <c r="Q274" s="294"/>
      <c r="R274" s="294"/>
      <c r="S274" s="294"/>
      <c r="T274" s="294"/>
      <c r="U274" s="326"/>
      <c r="V274" s="294"/>
      <c r="W274" s="294"/>
      <c r="X274" s="294"/>
      <c r="Y274" s="294"/>
      <c r="Z274" s="294"/>
      <c r="AA274" s="294"/>
      <c r="AB274" s="294"/>
      <c r="AC274" s="294"/>
    </row>
    <row r="275" spans="2:29" x14ac:dyDescent="0.25">
      <c r="B275" s="294"/>
      <c r="C275" s="294" t="s">
        <v>2736</v>
      </c>
      <c r="D275" s="313">
        <f>AF174+AF175</f>
        <v>12796.094684076717</v>
      </c>
      <c r="E275" s="294"/>
      <c r="F275" s="294"/>
      <c r="G275" s="294"/>
      <c r="H275" s="294"/>
      <c r="I275" s="294"/>
      <c r="J275" s="294"/>
      <c r="L275" s="295"/>
      <c r="M275" s="294"/>
      <c r="O275" s="294"/>
      <c r="P275" s="294"/>
      <c r="Q275" s="294"/>
      <c r="R275" s="294"/>
      <c r="S275" s="294"/>
      <c r="T275" s="294"/>
      <c r="U275" s="326"/>
      <c r="V275" s="294"/>
      <c r="W275" s="294"/>
      <c r="X275" s="294"/>
      <c r="Y275" s="294"/>
      <c r="Z275" s="294"/>
      <c r="AA275" s="294"/>
      <c r="AB275" s="294"/>
      <c r="AC275" s="294"/>
    </row>
    <row r="276" spans="2:29" x14ac:dyDescent="0.25">
      <c r="B276" s="294"/>
      <c r="C276" s="294" t="s">
        <v>2741</v>
      </c>
      <c r="D276" s="313">
        <f>T174+T175</f>
        <v>102.36000000000001</v>
      </c>
      <c r="E276" s="294"/>
      <c r="F276" s="294"/>
      <c r="G276" s="294"/>
      <c r="H276" s="294"/>
      <c r="I276" s="294"/>
      <c r="J276" s="294"/>
      <c r="L276" s="295"/>
      <c r="M276" s="294"/>
      <c r="O276" s="294"/>
      <c r="P276" s="294"/>
      <c r="Q276" s="294"/>
      <c r="R276" s="294"/>
      <c r="S276" s="294"/>
      <c r="T276" s="294"/>
      <c r="U276" s="326"/>
      <c r="V276" s="294"/>
      <c r="W276" s="294"/>
      <c r="X276" s="294"/>
      <c r="Y276" s="294"/>
      <c r="Z276" s="294"/>
      <c r="AA276" s="294"/>
      <c r="AB276" s="294"/>
      <c r="AC276" s="294"/>
    </row>
    <row r="277" spans="2:29" x14ac:dyDescent="0.25">
      <c r="B277" s="294"/>
      <c r="C277" s="294"/>
      <c r="D277" s="294"/>
      <c r="E277" s="294"/>
      <c r="F277" s="294"/>
      <c r="G277" s="294"/>
      <c r="H277" s="294"/>
      <c r="I277" s="294"/>
      <c r="J277" s="294"/>
      <c r="L277" s="295"/>
      <c r="M277" s="294"/>
      <c r="O277" s="294"/>
      <c r="P277" s="294"/>
      <c r="Q277" s="294"/>
      <c r="R277" s="294"/>
      <c r="S277" s="294"/>
      <c r="T277" s="294"/>
      <c r="U277" s="326"/>
      <c r="V277" s="294"/>
      <c r="W277" s="294"/>
      <c r="X277" s="294"/>
      <c r="Y277" s="294"/>
      <c r="Z277" s="294"/>
      <c r="AA277" s="294"/>
      <c r="AB277" s="294"/>
      <c r="AC277" s="294"/>
    </row>
    <row r="278" spans="2:29" x14ac:dyDescent="0.25">
      <c r="B278" s="294"/>
      <c r="C278" s="299" t="s">
        <v>7755</v>
      </c>
      <c r="D278" s="294"/>
      <c r="E278" s="294"/>
      <c r="F278" s="294"/>
      <c r="G278" s="294"/>
      <c r="H278" s="294"/>
      <c r="I278" s="294"/>
      <c r="J278" s="294"/>
      <c r="L278" s="295"/>
      <c r="M278" s="294"/>
      <c r="O278" s="294"/>
      <c r="P278" s="294"/>
      <c r="Q278" s="294"/>
      <c r="R278" s="294"/>
      <c r="S278" s="294"/>
      <c r="T278" s="294"/>
      <c r="U278" s="326"/>
      <c r="V278" s="294"/>
      <c r="W278" s="294"/>
      <c r="X278" s="294"/>
      <c r="Y278" s="294"/>
      <c r="Z278" s="294"/>
      <c r="AA278" s="294"/>
      <c r="AB278" s="294"/>
      <c r="AC278" s="294"/>
    </row>
    <row r="279" spans="2:29" x14ac:dyDescent="0.25">
      <c r="B279" s="294"/>
      <c r="C279" s="294" t="s">
        <v>3075</v>
      </c>
      <c r="D279" s="313">
        <v>0</v>
      </c>
      <c r="E279" s="294"/>
      <c r="F279" s="294"/>
      <c r="G279" s="294"/>
      <c r="H279" s="294"/>
      <c r="I279" s="294"/>
      <c r="J279" s="294"/>
      <c r="L279" s="295"/>
      <c r="M279" s="294"/>
      <c r="O279" s="294"/>
      <c r="P279" s="294"/>
      <c r="Q279" s="294"/>
      <c r="R279" s="294"/>
      <c r="S279" s="294"/>
      <c r="T279" s="294"/>
      <c r="U279" s="326"/>
      <c r="V279" s="294"/>
      <c r="W279" s="294"/>
      <c r="X279" s="294"/>
      <c r="Y279" s="294"/>
      <c r="Z279" s="294"/>
      <c r="AA279" s="294"/>
      <c r="AB279" s="294"/>
      <c r="AC279" s="294"/>
    </row>
    <row r="280" spans="2:29" x14ac:dyDescent="0.25">
      <c r="B280" s="294"/>
      <c r="C280" s="294" t="s">
        <v>4519</v>
      </c>
      <c r="D280" s="313">
        <v>0</v>
      </c>
      <c r="E280" s="294"/>
      <c r="F280" s="294"/>
      <c r="G280" s="294"/>
      <c r="H280" s="294"/>
      <c r="I280" s="294"/>
      <c r="J280" s="294"/>
      <c r="L280" s="295"/>
      <c r="M280" s="294"/>
      <c r="O280" s="294"/>
      <c r="P280" s="294"/>
      <c r="Q280" s="294"/>
      <c r="R280" s="294"/>
      <c r="S280" s="294"/>
      <c r="T280" s="294"/>
      <c r="U280" s="326"/>
      <c r="V280" s="294"/>
      <c r="W280" s="294"/>
      <c r="X280" s="294"/>
      <c r="Y280" s="294"/>
      <c r="Z280" s="294"/>
      <c r="AA280" s="294"/>
      <c r="AB280" s="294"/>
      <c r="AC280" s="294"/>
    </row>
    <row r="281" spans="2:29" x14ac:dyDescent="0.25">
      <c r="B281" s="294"/>
      <c r="C281" s="294" t="s">
        <v>2736</v>
      </c>
      <c r="D281" s="313">
        <v>0</v>
      </c>
      <c r="E281" s="294"/>
      <c r="F281" s="294"/>
      <c r="G281" s="294"/>
      <c r="H281" s="294"/>
      <c r="I281" s="294"/>
      <c r="J281" s="294"/>
      <c r="L281" s="295"/>
      <c r="M281" s="294"/>
      <c r="O281" s="294"/>
      <c r="P281" s="294"/>
      <c r="Q281" s="294"/>
      <c r="R281" s="294"/>
      <c r="S281" s="294"/>
      <c r="T281" s="294"/>
      <c r="U281" s="326"/>
      <c r="V281" s="294"/>
      <c r="W281" s="294"/>
      <c r="X281" s="294"/>
      <c r="Y281" s="294"/>
      <c r="Z281" s="294"/>
      <c r="AA281" s="294"/>
      <c r="AB281" s="294"/>
      <c r="AC281" s="294"/>
    </row>
    <row r="282" spans="2:29" x14ac:dyDescent="0.25">
      <c r="B282" s="294"/>
      <c r="C282" s="294"/>
      <c r="D282" s="294"/>
      <c r="E282" s="294"/>
      <c r="F282" s="294"/>
      <c r="G282" s="294"/>
      <c r="H282" s="294"/>
      <c r="I282" s="294"/>
      <c r="J282" s="294"/>
      <c r="L282" s="295"/>
      <c r="M282" s="294"/>
      <c r="O282" s="294"/>
      <c r="P282" s="294"/>
      <c r="Q282" s="294"/>
      <c r="R282" s="294"/>
      <c r="S282" s="294"/>
      <c r="T282" s="294"/>
      <c r="U282" s="326"/>
      <c r="V282" s="294"/>
      <c r="W282" s="294"/>
      <c r="X282" s="294"/>
      <c r="Y282" s="294"/>
      <c r="Z282" s="294"/>
      <c r="AA282" s="294"/>
      <c r="AB282" s="294"/>
      <c r="AC282" s="294"/>
    </row>
    <row r="283" spans="2:29" x14ac:dyDescent="0.25">
      <c r="B283" s="299" t="s">
        <v>7760</v>
      </c>
      <c r="C283" s="294"/>
      <c r="D283" s="294"/>
      <c r="E283" s="294"/>
      <c r="F283" s="294"/>
      <c r="G283" s="294"/>
      <c r="H283" s="294"/>
      <c r="I283" s="294"/>
      <c r="J283" s="294"/>
      <c r="L283" s="295"/>
      <c r="M283" s="294"/>
      <c r="O283" s="294"/>
      <c r="P283" s="294"/>
      <c r="Q283" s="294"/>
      <c r="R283" s="294"/>
      <c r="S283" s="294"/>
      <c r="T283" s="294"/>
      <c r="U283" s="326"/>
      <c r="V283" s="294"/>
      <c r="W283" s="294"/>
      <c r="X283" s="294"/>
      <c r="Y283" s="294"/>
      <c r="Z283" s="294"/>
      <c r="AA283" s="294"/>
      <c r="AB283" s="294"/>
      <c r="AC283" s="294"/>
    </row>
    <row r="284" spans="2:29" x14ac:dyDescent="0.25">
      <c r="B284" s="294"/>
      <c r="C284" s="299" t="s">
        <v>7752</v>
      </c>
      <c r="E284" s="294"/>
      <c r="F284" s="294"/>
      <c r="G284" s="294"/>
      <c r="H284" s="294"/>
      <c r="I284" s="294"/>
      <c r="J284" s="294"/>
      <c r="L284" s="295"/>
      <c r="M284" s="294"/>
      <c r="O284" s="294"/>
      <c r="P284" s="294"/>
      <c r="Q284" s="294"/>
      <c r="R284" s="294"/>
      <c r="S284" s="294"/>
      <c r="T284" s="294"/>
      <c r="U284" s="326"/>
      <c r="V284" s="294"/>
      <c r="W284" s="294"/>
      <c r="X284" s="294"/>
      <c r="Y284" s="294"/>
      <c r="Z284" s="294"/>
      <c r="AA284" s="294"/>
      <c r="AB284" s="294"/>
      <c r="AC284" s="294"/>
    </row>
    <row r="285" spans="2:29" x14ac:dyDescent="0.25">
      <c r="B285" s="294"/>
      <c r="C285" s="294" t="s">
        <v>3075</v>
      </c>
      <c r="D285" s="313">
        <v>0</v>
      </c>
      <c r="E285" s="294"/>
      <c r="F285" s="294"/>
      <c r="G285" s="294"/>
      <c r="H285" s="294"/>
      <c r="I285" s="294"/>
      <c r="J285" s="294"/>
      <c r="L285" s="295"/>
      <c r="M285" s="294"/>
      <c r="O285" s="294"/>
      <c r="P285" s="294"/>
      <c r="Q285" s="294"/>
      <c r="R285" s="294"/>
      <c r="S285" s="294"/>
      <c r="T285" s="294"/>
      <c r="U285" s="326"/>
      <c r="V285" s="294"/>
      <c r="W285" s="294"/>
      <c r="X285" s="294"/>
      <c r="Y285" s="294"/>
      <c r="Z285" s="294"/>
      <c r="AA285" s="294"/>
      <c r="AB285" s="294"/>
      <c r="AC285" s="294"/>
    </row>
    <row r="286" spans="2:29" x14ac:dyDescent="0.25">
      <c r="B286" s="294"/>
      <c r="C286" s="294" t="s">
        <v>2761</v>
      </c>
      <c r="D286" s="313">
        <v>0</v>
      </c>
      <c r="E286" s="294"/>
      <c r="F286" s="294"/>
      <c r="G286" s="294"/>
      <c r="H286" s="294"/>
      <c r="I286" s="294"/>
      <c r="J286" s="294"/>
      <c r="L286" s="295"/>
      <c r="M286" s="294"/>
      <c r="O286" s="294"/>
      <c r="P286" s="294"/>
      <c r="Q286" s="294"/>
      <c r="R286" s="294"/>
      <c r="S286" s="294"/>
      <c r="T286" s="294"/>
      <c r="U286" s="326"/>
      <c r="V286" s="294"/>
      <c r="W286" s="294"/>
      <c r="X286" s="294"/>
      <c r="Y286" s="294"/>
      <c r="Z286" s="294"/>
      <c r="AA286" s="294"/>
      <c r="AB286" s="294"/>
      <c r="AC286" s="294"/>
    </row>
    <row r="287" spans="2:29" x14ac:dyDescent="0.25">
      <c r="B287" s="294"/>
      <c r="C287" s="294" t="s">
        <v>4519</v>
      </c>
      <c r="D287" s="313">
        <v>0</v>
      </c>
      <c r="E287" s="294"/>
      <c r="F287" s="294"/>
      <c r="G287" s="294"/>
      <c r="H287" s="294"/>
      <c r="I287" s="294"/>
      <c r="J287" s="294"/>
      <c r="L287" s="295"/>
      <c r="M287" s="294"/>
      <c r="O287" s="294"/>
      <c r="P287" s="294"/>
      <c r="Q287" s="294"/>
      <c r="R287" s="294"/>
      <c r="S287" s="294"/>
      <c r="T287" s="294"/>
      <c r="U287" s="326"/>
      <c r="V287" s="294"/>
      <c r="W287" s="294"/>
      <c r="X287" s="294"/>
      <c r="Y287" s="294"/>
      <c r="Z287" s="294"/>
      <c r="AA287" s="294"/>
      <c r="AB287" s="294"/>
      <c r="AC287" s="294"/>
    </row>
    <row r="288" spans="2:29" x14ac:dyDescent="0.25">
      <c r="B288" s="294"/>
      <c r="C288" s="294" t="s">
        <v>2736</v>
      </c>
      <c r="D288" s="313">
        <v>0</v>
      </c>
      <c r="E288" s="294"/>
      <c r="F288" s="294"/>
      <c r="G288" s="294"/>
      <c r="H288" s="294"/>
      <c r="I288" s="294"/>
      <c r="J288" s="294"/>
      <c r="L288" s="295"/>
      <c r="M288" s="294"/>
      <c r="O288" s="294"/>
      <c r="P288" s="294"/>
      <c r="Q288" s="294"/>
      <c r="R288" s="294"/>
      <c r="S288" s="294"/>
      <c r="T288" s="294"/>
      <c r="U288" s="326"/>
      <c r="V288" s="294"/>
      <c r="W288" s="294"/>
      <c r="X288" s="294"/>
      <c r="Y288" s="294"/>
      <c r="Z288" s="294"/>
      <c r="AA288" s="294"/>
      <c r="AB288" s="294"/>
      <c r="AC288" s="294"/>
    </row>
    <row r="289" spans="2:29" x14ac:dyDescent="0.25">
      <c r="B289" s="294"/>
      <c r="C289" s="294" t="s">
        <v>2741</v>
      </c>
      <c r="D289" s="313">
        <v>0</v>
      </c>
      <c r="E289" s="294"/>
      <c r="F289" s="294"/>
      <c r="G289" s="294"/>
      <c r="H289" s="294"/>
      <c r="I289" s="294"/>
      <c r="J289" s="294"/>
      <c r="L289" s="295"/>
      <c r="M289" s="294"/>
      <c r="O289" s="294"/>
      <c r="P289" s="294"/>
      <c r="Q289" s="294"/>
      <c r="R289" s="294"/>
      <c r="S289" s="294"/>
      <c r="T289" s="294"/>
      <c r="U289" s="326"/>
      <c r="V289" s="294"/>
      <c r="W289" s="294"/>
      <c r="X289" s="294"/>
      <c r="Y289" s="294"/>
      <c r="Z289" s="294"/>
      <c r="AA289" s="294"/>
      <c r="AB289" s="294"/>
      <c r="AC289" s="294"/>
    </row>
    <row r="290" spans="2:29" x14ac:dyDescent="0.25">
      <c r="B290" s="294"/>
      <c r="C290" s="294"/>
      <c r="D290" s="294"/>
      <c r="E290" s="294"/>
      <c r="F290" s="294"/>
      <c r="G290" s="294"/>
      <c r="H290" s="294"/>
      <c r="I290" s="294"/>
      <c r="J290" s="294"/>
      <c r="L290" s="295"/>
      <c r="M290" s="294"/>
      <c r="O290" s="294"/>
      <c r="P290" s="294"/>
      <c r="Q290" s="294"/>
      <c r="R290" s="294"/>
      <c r="S290" s="294"/>
      <c r="T290" s="294"/>
      <c r="U290" s="326"/>
      <c r="V290" s="294"/>
      <c r="W290" s="294"/>
      <c r="X290" s="294"/>
      <c r="Y290" s="294"/>
      <c r="Z290" s="294"/>
      <c r="AA290" s="294"/>
      <c r="AB290" s="294"/>
      <c r="AC290" s="294"/>
    </row>
    <row r="291" spans="2:29" x14ac:dyDescent="0.25">
      <c r="B291" s="294"/>
      <c r="C291" s="299" t="s">
        <v>7753</v>
      </c>
      <c r="D291" s="294"/>
      <c r="E291" s="294"/>
      <c r="F291" s="294"/>
      <c r="G291" s="294"/>
      <c r="H291" s="294"/>
      <c r="I291" s="294"/>
      <c r="J291" s="294"/>
      <c r="L291" s="295"/>
      <c r="M291" s="294"/>
      <c r="O291" s="294"/>
      <c r="P291" s="294"/>
      <c r="Q291" s="294"/>
      <c r="R291" s="294"/>
      <c r="S291" s="294"/>
      <c r="T291" s="294"/>
      <c r="U291" s="326"/>
      <c r="V291" s="294"/>
      <c r="W291" s="294"/>
      <c r="X291" s="294"/>
      <c r="Y291" s="294"/>
      <c r="Z291" s="294"/>
      <c r="AA291" s="294"/>
      <c r="AB291" s="294"/>
      <c r="AC291" s="294"/>
    </row>
    <row r="292" spans="2:29" x14ac:dyDescent="0.25">
      <c r="B292" s="294"/>
      <c r="C292" s="294" t="s">
        <v>3075</v>
      </c>
      <c r="D292" s="313">
        <f>N178</f>
        <v>3199.0214966482436</v>
      </c>
      <c r="E292" s="294"/>
      <c r="F292" s="294"/>
      <c r="G292" s="294"/>
      <c r="H292" s="294"/>
      <c r="I292" s="294"/>
      <c r="J292" s="294"/>
      <c r="L292" s="295"/>
      <c r="M292" s="294"/>
      <c r="O292" s="294"/>
      <c r="P292" s="294"/>
      <c r="Q292" s="294"/>
      <c r="R292" s="294"/>
      <c r="S292" s="294"/>
      <c r="T292" s="294"/>
      <c r="U292" s="326"/>
      <c r="V292" s="294"/>
      <c r="W292" s="294"/>
      <c r="X292" s="294"/>
      <c r="Y292" s="294"/>
      <c r="Z292" s="294"/>
      <c r="AA292" s="294"/>
      <c r="AB292" s="294"/>
      <c r="AC292" s="294"/>
    </row>
    <row r="293" spans="2:29" x14ac:dyDescent="0.25">
      <c r="B293" s="294"/>
      <c r="C293" s="294" t="s">
        <v>2783</v>
      </c>
      <c r="D293" s="313">
        <f>W178</f>
        <v>0</v>
      </c>
      <c r="E293" s="294"/>
      <c r="F293" s="294"/>
      <c r="G293" s="294"/>
      <c r="H293" s="294"/>
      <c r="I293" s="294"/>
      <c r="J293" s="294"/>
      <c r="L293" s="295"/>
      <c r="M293" s="294"/>
      <c r="O293" s="294"/>
      <c r="P293" s="294"/>
      <c r="Q293" s="294"/>
      <c r="R293" s="294"/>
      <c r="S293" s="294"/>
      <c r="T293" s="294"/>
      <c r="U293" s="326"/>
      <c r="V293" s="294"/>
      <c r="W293" s="294"/>
      <c r="X293" s="294"/>
      <c r="Y293" s="294"/>
      <c r="Z293" s="294"/>
      <c r="AA293" s="294"/>
      <c r="AB293" s="294"/>
      <c r="AC293" s="294"/>
    </row>
    <row r="294" spans="2:29" x14ac:dyDescent="0.25">
      <c r="B294" s="294"/>
      <c r="C294" s="294" t="s">
        <v>2760</v>
      </c>
      <c r="D294" s="313">
        <f>V178</f>
        <v>0</v>
      </c>
      <c r="E294" s="294"/>
      <c r="F294" s="294"/>
      <c r="G294" s="294"/>
      <c r="H294" s="294"/>
      <c r="I294" s="294"/>
      <c r="J294" s="294"/>
      <c r="L294" s="295"/>
      <c r="M294" s="294"/>
      <c r="O294" s="294"/>
      <c r="P294" s="294"/>
      <c r="Q294" s="294"/>
      <c r="R294" s="294"/>
      <c r="S294" s="294"/>
      <c r="T294" s="294"/>
      <c r="U294" s="326"/>
      <c r="V294" s="294"/>
      <c r="W294" s="294"/>
      <c r="X294" s="294"/>
      <c r="Y294" s="294"/>
      <c r="Z294" s="294"/>
      <c r="AA294" s="294"/>
      <c r="AB294" s="294"/>
      <c r="AC294" s="294"/>
    </row>
    <row r="295" spans="2:29" x14ac:dyDescent="0.25">
      <c r="B295" s="294"/>
      <c r="C295" s="294" t="s">
        <v>2761</v>
      </c>
      <c r="D295" s="313">
        <f>U178</f>
        <v>0</v>
      </c>
      <c r="E295" s="294"/>
      <c r="F295" s="294"/>
      <c r="G295" s="294"/>
      <c r="H295" s="294"/>
      <c r="I295" s="294"/>
      <c r="J295" s="294"/>
      <c r="L295" s="295"/>
      <c r="M295" s="294"/>
      <c r="O295" s="294"/>
      <c r="P295" s="294"/>
      <c r="Q295" s="294"/>
      <c r="R295" s="294"/>
      <c r="S295" s="294"/>
      <c r="T295" s="294"/>
      <c r="U295" s="326"/>
      <c r="V295" s="294"/>
      <c r="W295" s="294"/>
      <c r="X295" s="294"/>
      <c r="Y295" s="294"/>
      <c r="Z295" s="294"/>
      <c r="AA295" s="294"/>
      <c r="AB295" s="294"/>
      <c r="AC295" s="294"/>
    </row>
    <row r="296" spans="2:29" x14ac:dyDescent="0.25">
      <c r="B296" s="294"/>
      <c r="C296" s="294" t="s">
        <v>3411</v>
      </c>
      <c r="D296" s="313">
        <f>P178</f>
        <v>511.84343946371899</v>
      </c>
      <c r="E296" s="294"/>
      <c r="F296" s="294"/>
      <c r="G296" s="294"/>
      <c r="H296" s="294"/>
      <c r="I296" s="294"/>
      <c r="J296" s="294"/>
      <c r="L296" s="295"/>
      <c r="M296" s="294"/>
      <c r="O296" s="294"/>
      <c r="P296" s="294"/>
      <c r="Q296" s="294"/>
      <c r="R296" s="294"/>
      <c r="S296" s="294"/>
      <c r="T296" s="294"/>
      <c r="U296" s="326"/>
      <c r="V296" s="294"/>
      <c r="W296" s="294"/>
      <c r="X296" s="294"/>
      <c r="Y296" s="294"/>
      <c r="Z296" s="294"/>
      <c r="AA296" s="294"/>
      <c r="AB296" s="294"/>
      <c r="AC296" s="294"/>
    </row>
    <row r="297" spans="2:29" x14ac:dyDescent="0.25">
      <c r="B297" s="294"/>
      <c r="C297" s="294" t="s">
        <v>4847</v>
      </c>
      <c r="D297" s="313">
        <f>AE178</f>
        <v>170.61447982123966</v>
      </c>
      <c r="E297" s="294"/>
      <c r="F297" s="294"/>
      <c r="G297" s="294"/>
      <c r="H297" s="294"/>
      <c r="I297" s="294"/>
      <c r="J297" s="294"/>
      <c r="L297" s="295"/>
      <c r="M297" s="294"/>
      <c r="O297" s="294"/>
      <c r="P297" s="294"/>
      <c r="Q297" s="294"/>
      <c r="R297" s="294"/>
      <c r="S297" s="294"/>
      <c r="T297" s="294"/>
      <c r="U297" s="326"/>
      <c r="V297" s="294"/>
      <c r="W297" s="294"/>
      <c r="X297" s="294"/>
      <c r="Y297" s="294"/>
      <c r="Z297" s="294"/>
      <c r="AA297" s="294"/>
      <c r="AB297" s="294"/>
      <c r="AC297" s="294"/>
    </row>
    <row r="298" spans="2:29" x14ac:dyDescent="0.25">
      <c r="B298" s="294"/>
      <c r="C298" s="294" t="s">
        <v>5298</v>
      </c>
      <c r="D298" s="313">
        <f>AG178</f>
        <v>511.84343946371899</v>
      </c>
      <c r="E298" s="294"/>
      <c r="F298" s="294"/>
      <c r="G298" s="294"/>
      <c r="H298" s="294"/>
      <c r="I298" s="294"/>
      <c r="J298" s="294"/>
      <c r="L298" s="295"/>
      <c r="M298" s="294"/>
      <c r="O298" s="294"/>
      <c r="P298" s="294"/>
      <c r="Q298" s="294"/>
      <c r="R298" s="294"/>
      <c r="S298" s="294"/>
      <c r="T298" s="294"/>
      <c r="U298" s="326"/>
      <c r="V298" s="294"/>
      <c r="W298" s="294"/>
      <c r="X298" s="294"/>
      <c r="Y298" s="294"/>
      <c r="Z298" s="294"/>
      <c r="AA298" s="294"/>
      <c r="AB298" s="294"/>
      <c r="AC298" s="294"/>
    </row>
    <row r="299" spans="2:29" x14ac:dyDescent="0.25">
      <c r="B299" s="294"/>
      <c r="C299" s="294" t="s">
        <v>2740</v>
      </c>
      <c r="D299" s="313">
        <f>Q178</f>
        <v>0</v>
      </c>
      <c r="E299" s="294"/>
      <c r="F299" s="294"/>
      <c r="G299" s="294"/>
      <c r="H299" s="294"/>
      <c r="I299" s="294"/>
      <c r="J299" s="294"/>
      <c r="L299" s="295"/>
      <c r="M299" s="294"/>
      <c r="O299" s="294"/>
      <c r="P299" s="294"/>
      <c r="Q299" s="294"/>
      <c r="R299" s="294"/>
      <c r="S299" s="294"/>
      <c r="T299" s="294"/>
      <c r="U299" s="326"/>
      <c r="V299" s="294"/>
      <c r="W299" s="294"/>
      <c r="X299" s="294"/>
      <c r="Y299" s="294"/>
      <c r="Z299" s="294"/>
      <c r="AA299" s="294"/>
      <c r="AB299" s="294"/>
      <c r="AC299" s="294"/>
    </row>
    <row r="300" spans="2:29" x14ac:dyDescent="0.25">
      <c r="B300" s="294"/>
      <c r="C300" s="294" t="s">
        <v>4519</v>
      </c>
      <c r="D300" s="313">
        <f>AD178</f>
        <v>1066.3404988827479</v>
      </c>
      <c r="E300" s="294"/>
      <c r="F300" s="294"/>
      <c r="G300" s="294"/>
      <c r="H300" s="294"/>
      <c r="I300" s="294"/>
      <c r="J300" s="294"/>
      <c r="L300" s="295"/>
      <c r="M300" s="294"/>
      <c r="O300" s="294"/>
      <c r="P300" s="294"/>
      <c r="Q300" s="294"/>
      <c r="R300" s="294"/>
      <c r="S300" s="294"/>
      <c r="T300" s="294"/>
      <c r="U300" s="326"/>
      <c r="V300" s="294"/>
      <c r="W300" s="294"/>
      <c r="X300" s="294"/>
      <c r="Y300" s="294"/>
      <c r="Z300" s="294"/>
      <c r="AA300" s="294"/>
      <c r="AB300" s="294"/>
      <c r="AC300" s="294"/>
    </row>
    <row r="301" spans="2:29" x14ac:dyDescent="0.25">
      <c r="B301" s="294"/>
      <c r="C301" s="294" t="s">
        <v>2736</v>
      </c>
      <c r="D301" s="313">
        <f>AF178</f>
        <v>3199.0214966482436</v>
      </c>
      <c r="E301" s="294"/>
      <c r="F301" s="294"/>
      <c r="G301" s="294"/>
      <c r="H301" s="294"/>
      <c r="I301" s="294"/>
      <c r="J301" s="294"/>
      <c r="L301" s="295"/>
      <c r="M301" s="294"/>
      <c r="O301" s="294"/>
      <c r="P301" s="294"/>
      <c r="Q301" s="294"/>
      <c r="R301" s="294"/>
      <c r="S301" s="294"/>
      <c r="T301" s="294"/>
      <c r="U301" s="326"/>
      <c r="V301" s="294"/>
      <c r="W301" s="294"/>
      <c r="X301" s="294"/>
      <c r="Y301" s="294"/>
      <c r="Z301" s="294"/>
      <c r="AA301" s="294"/>
      <c r="AB301" s="294"/>
      <c r="AC301" s="294"/>
    </row>
    <row r="302" spans="2:29" x14ac:dyDescent="0.25">
      <c r="B302" s="294"/>
      <c r="C302" s="294" t="s">
        <v>2741</v>
      </c>
      <c r="D302" s="313">
        <f>T178</f>
        <v>51.18</v>
      </c>
      <c r="E302" s="294"/>
      <c r="F302" s="294"/>
      <c r="G302" s="294"/>
      <c r="H302" s="294"/>
      <c r="I302" s="294"/>
      <c r="J302" s="294"/>
      <c r="L302" s="295"/>
      <c r="M302" s="294"/>
      <c r="O302" s="294"/>
      <c r="P302" s="294"/>
      <c r="Q302" s="294"/>
      <c r="R302" s="294"/>
      <c r="S302" s="294"/>
      <c r="T302" s="294"/>
      <c r="U302" s="326"/>
      <c r="V302" s="294"/>
      <c r="W302" s="294"/>
      <c r="X302" s="294"/>
      <c r="Y302" s="294"/>
      <c r="Z302" s="294"/>
      <c r="AA302" s="294"/>
      <c r="AB302" s="294"/>
      <c r="AC302" s="294"/>
    </row>
    <row r="303" spans="2:29" x14ac:dyDescent="0.25">
      <c r="B303" s="294"/>
      <c r="C303" s="294"/>
      <c r="D303" s="294"/>
      <c r="E303" s="294"/>
      <c r="F303" s="294"/>
      <c r="G303" s="294"/>
      <c r="H303" s="294"/>
      <c r="I303" s="294"/>
      <c r="J303" s="294"/>
      <c r="L303" s="295"/>
      <c r="M303" s="294"/>
      <c r="O303" s="294"/>
      <c r="P303" s="294"/>
      <c r="Q303" s="294"/>
      <c r="R303" s="294"/>
      <c r="S303" s="294"/>
      <c r="T303" s="294"/>
      <c r="U303" s="326"/>
      <c r="V303" s="294"/>
      <c r="W303" s="294"/>
      <c r="X303" s="294"/>
      <c r="Y303" s="294"/>
      <c r="Z303" s="294"/>
      <c r="AA303" s="294"/>
      <c r="AB303" s="294"/>
      <c r="AC303" s="294"/>
    </row>
    <row r="304" spans="2:29" x14ac:dyDescent="0.25">
      <c r="B304" s="294"/>
      <c r="C304" s="299" t="s">
        <v>7755</v>
      </c>
      <c r="D304" s="294"/>
      <c r="E304" s="294"/>
      <c r="F304" s="294"/>
      <c r="G304" s="294"/>
      <c r="H304" s="294"/>
      <c r="I304" s="294"/>
      <c r="J304" s="294"/>
      <c r="L304" s="295"/>
      <c r="M304" s="294"/>
      <c r="O304" s="294"/>
      <c r="P304" s="294"/>
      <c r="Q304" s="294"/>
      <c r="R304" s="294"/>
      <c r="S304" s="294"/>
      <c r="T304" s="294"/>
      <c r="U304" s="326"/>
      <c r="V304" s="294"/>
      <c r="W304" s="294"/>
      <c r="X304" s="294"/>
      <c r="Y304" s="294"/>
      <c r="Z304" s="294"/>
      <c r="AA304" s="294"/>
      <c r="AB304" s="294"/>
      <c r="AC304" s="294"/>
    </row>
    <row r="305" spans="2:29" x14ac:dyDescent="0.25">
      <c r="B305" s="294"/>
      <c r="C305" s="294" t="s">
        <v>3075</v>
      </c>
      <c r="D305" s="313">
        <v>0</v>
      </c>
      <c r="E305" s="294"/>
      <c r="F305" s="294"/>
      <c r="G305" s="294"/>
      <c r="H305" s="294"/>
      <c r="I305" s="294"/>
      <c r="J305" s="294"/>
      <c r="L305" s="295"/>
      <c r="M305" s="294"/>
      <c r="O305" s="294"/>
      <c r="P305" s="294"/>
      <c r="Q305" s="294"/>
      <c r="R305" s="294"/>
      <c r="S305" s="294"/>
      <c r="T305" s="294"/>
      <c r="U305" s="326"/>
      <c r="V305" s="294"/>
      <c r="W305" s="294"/>
      <c r="X305" s="294"/>
      <c r="Y305" s="294"/>
      <c r="Z305" s="294"/>
      <c r="AA305" s="294"/>
      <c r="AB305" s="294"/>
      <c r="AC305" s="294"/>
    </row>
    <row r="306" spans="2:29" x14ac:dyDescent="0.25">
      <c r="B306" s="294"/>
      <c r="C306" s="294" t="s">
        <v>4519</v>
      </c>
      <c r="D306" s="313">
        <v>0</v>
      </c>
      <c r="E306" s="294"/>
      <c r="F306" s="294"/>
      <c r="G306" s="294"/>
      <c r="H306" s="294"/>
      <c r="I306" s="294"/>
      <c r="J306" s="294"/>
      <c r="L306" s="295"/>
      <c r="M306" s="294"/>
      <c r="O306" s="294"/>
      <c r="P306" s="294"/>
      <c r="Q306" s="294"/>
      <c r="R306" s="294"/>
      <c r="S306" s="294"/>
      <c r="T306" s="294"/>
      <c r="U306" s="326"/>
      <c r="V306" s="294"/>
      <c r="W306" s="294"/>
      <c r="X306" s="294"/>
      <c r="Y306" s="294"/>
      <c r="Z306" s="294"/>
      <c r="AA306" s="294"/>
      <c r="AB306" s="294"/>
      <c r="AC306" s="294"/>
    </row>
    <row r="307" spans="2:29" x14ac:dyDescent="0.25">
      <c r="B307" s="294"/>
      <c r="C307" s="294" t="s">
        <v>2736</v>
      </c>
      <c r="D307" s="313">
        <v>0</v>
      </c>
      <c r="E307" s="294"/>
      <c r="F307" s="294"/>
      <c r="G307" s="294"/>
      <c r="H307" s="294"/>
      <c r="I307" s="294"/>
      <c r="J307" s="294"/>
      <c r="L307" s="295"/>
      <c r="M307" s="294"/>
      <c r="O307" s="294"/>
      <c r="P307" s="294"/>
      <c r="Q307" s="294"/>
      <c r="R307" s="294"/>
      <c r="S307" s="294"/>
      <c r="T307" s="294"/>
      <c r="U307" s="326"/>
      <c r="V307" s="294"/>
      <c r="W307" s="294"/>
      <c r="X307" s="294"/>
      <c r="Y307" s="294"/>
      <c r="Z307" s="294"/>
      <c r="AA307" s="294"/>
      <c r="AB307" s="294"/>
      <c r="AC307" s="294"/>
    </row>
    <row r="308" spans="2:29" x14ac:dyDescent="0.25">
      <c r="B308" s="294"/>
      <c r="C308" s="294"/>
      <c r="D308" s="294"/>
      <c r="E308" s="294"/>
      <c r="F308" s="294"/>
      <c r="G308" s="294"/>
      <c r="H308" s="294"/>
      <c r="I308" s="294"/>
      <c r="J308" s="294"/>
      <c r="L308" s="295"/>
      <c r="M308" s="294"/>
      <c r="O308" s="294"/>
      <c r="P308" s="294"/>
      <c r="Q308" s="294"/>
      <c r="R308" s="294"/>
      <c r="S308" s="294"/>
      <c r="T308" s="294"/>
      <c r="U308" s="326"/>
      <c r="V308" s="294"/>
      <c r="W308" s="294"/>
      <c r="X308" s="294"/>
      <c r="Y308" s="294"/>
      <c r="Z308" s="294"/>
      <c r="AA308" s="294"/>
      <c r="AB308" s="294"/>
      <c r="AC308" s="294"/>
    </row>
    <row r="309" spans="2:29" x14ac:dyDescent="0.25">
      <c r="B309" s="299" t="s">
        <v>7764</v>
      </c>
      <c r="C309" s="294"/>
      <c r="D309" s="294"/>
      <c r="E309" s="294"/>
      <c r="F309" s="294"/>
      <c r="G309" s="294"/>
      <c r="H309" s="294"/>
      <c r="I309" s="294"/>
      <c r="J309" s="294"/>
      <c r="L309" s="295"/>
      <c r="M309" s="294"/>
      <c r="O309" s="294"/>
      <c r="P309" s="294"/>
      <c r="Q309" s="294"/>
      <c r="R309" s="294"/>
      <c r="S309" s="294"/>
      <c r="T309" s="294"/>
      <c r="U309" s="326"/>
      <c r="V309" s="294"/>
      <c r="W309" s="294"/>
      <c r="X309" s="294"/>
      <c r="Y309" s="294"/>
      <c r="Z309" s="294"/>
      <c r="AA309" s="294"/>
      <c r="AB309" s="294"/>
      <c r="AC309" s="294"/>
    </row>
    <row r="310" spans="2:29" x14ac:dyDescent="0.25">
      <c r="B310" s="294"/>
      <c r="C310" s="299" t="s">
        <v>7752</v>
      </c>
      <c r="E310" s="294"/>
      <c r="F310" s="294"/>
      <c r="G310" s="294"/>
      <c r="H310" s="294"/>
      <c r="I310" s="294"/>
      <c r="J310" s="294"/>
      <c r="L310" s="295"/>
      <c r="M310" s="294"/>
      <c r="O310" s="294"/>
      <c r="P310" s="294"/>
      <c r="Q310" s="294"/>
      <c r="R310" s="294"/>
      <c r="S310" s="294"/>
      <c r="T310" s="294"/>
      <c r="U310" s="326"/>
      <c r="V310" s="294"/>
      <c r="W310" s="294"/>
      <c r="X310" s="294"/>
      <c r="Y310" s="294"/>
      <c r="Z310" s="294"/>
      <c r="AA310" s="294"/>
      <c r="AB310" s="294"/>
      <c r="AC310" s="294"/>
    </row>
    <row r="311" spans="2:29" x14ac:dyDescent="0.25">
      <c r="B311" s="294"/>
      <c r="C311" s="294" t="s">
        <v>3075</v>
      </c>
      <c r="D311" s="313">
        <f>N191+N192</f>
        <v>2781.7597139297213</v>
      </c>
      <c r="E311" s="294"/>
      <c r="F311" s="294"/>
      <c r="G311" s="294"/>
      <c r="H311" s="294"/>
      <c r="I311" s="294"/>
      <c r="J311" s="294"/>
      <c r="L311" s="295"/>
      <c r="M311" s="294"/>
      <c r="O311" s="294"/>
      <c r="P311" s="294"/>
      <c r="Q311" s="294"/>
      <c r="R311" s="294"/>
      <c r="S311" s="294"/>
      <c r="T311" s="294"/>
      <c r="U311" s="326"/>
      <c r="V311" s="294"/>
      <c r="W311" s="294"/>
      <c r="X311" s="294"/>
      <c r="Y311" s="294"/>
      <c r="Z311" s="294"/>
      <c r="AA311" s="294"/>
      <c r="AB311" s="294"/>
      <c r="AC311" s="294"/>
    </row>
    <row r="312" spans="2:29" x14ac:dyDescent="0.25">
      <c r="B312" s="294"/>
      <c r="C312" s="294" t="s">
        <v>2761</v>
      </c>
      <c r="D312" s="313">
        <f>U191+U192</f>
        <v>6.4</v>
      </c>
      <c r="E312" s="294"/>
      <c r="F312" s="294"/>
      <c r="G312" s="294"/>
      <c r="H312" s="294"/>
      <c r="I312" s="294"/>
      <c r="J312" s="294"/>
      <c r="L312" s="295"/>
      <c r="M312" s="294"/>
      <c r="O312" s="294"/>
      <c r="P312" s="294"/>
      <c r="Q312" s="294"/>
      <c r="R312" s="294"/>
      <c r="S312" s="294"/>
      <c r="T312" s="294"/>
      <c r="U312" s="326"/>
      <c r="V312" s="294"/>
      <c r="W312" s="294"/>
      <c r="X312" s="294"/>
      <c r="Y312" s="294"/>
      <c r="Z312" s="294"/>
      <c r="AA312" s="294"/>
      <c r="AB312" s="294"/>
      <c r="AC312" s="294"/>
    </row>
    <row r="313" spans="2:29" x14ac:dyDescent="0.25">
      <c r="B313" s="294"/>
      <c r="C313" s="294" t="s">
        <v>4519</v>
      </c>
      <c r="D313" s="313">
        <f>AD191+AD192</f>
        <v>927.25323797657381</v>
      </c>
      <c r="E313" s="294"/>
      <c r="F313" s="294"/>
      <c r="G313" s="294"/>
      <c r="H313" s="294"/>
      <c r="I313" s="294"/>
      <c r="J313" s="294"/>
      <c r="L313" s="295"/>
      <c r="M313" s="294"/>
      <c r="O313" s="294"/>
      <c r="P313" s="294"/>
      <c r="Q313" s="294"/>
      <c r="R313" s="294"/>
      <c r="S313" s="294"/>
      <c r="T313" s="294"/>
      <c r="U313" s="326"/>
      <c r="V313" s="294"/>
      <c r="W313" s="294"/>
      <c r="X313" s="294"/>
      <c r="Y313" s="294"/>
      <c r="Z313" s="294"/>
      <c r="AA313" s="294"/>
      <c r="AB313" s="294"/>
      <c r="AC313" s="294"/>
    </row>
    <row r="314" spans="2:29" x14ac:dyDescent="0.25">
      <c r="B314" s="294"/>
      <c r="C314" s="294" t="s">
        <v>2736</v>
      </c>
      <c r="D314" s="313">
        <f>AF191+AF192</f>
        <v>2781.7597139297213</v>
      </c>
      <c r="E314" s="294"/>
      <c r="F314" s="294"/>
      <c r="G314" s="294"/>
      <c r="H314" s="294"/>
      <c r="I314" s="294"/>
      <c r="J314" s="294"/>
      <c r="L314" s="295"/>
      <c r="M314" s="294"/>
      <c r="O314" s="294"/>
      <c r="P314" s="294"/>
      <c r="Q314" s="294"/>
      <c r="R314" s="294"/>
      <c r="S314" s="294"/>
      <c r="T314" s="294"/>
      <c r="U314" s="326"/>
      <c r="V314" s="294"/>
      <c r="W314" s="294"/>
      <c r="X314" s="294"/>
      <c r="Y314" s="294"/>
      <c r="Z314" s="294"/>
      <c r="AA314" s="294"/>
      <c r="AB314" s="294"/>
      <c r="AC314" s="294"/>
    </row>
    <row r="315" spans="2:29" x14ac:dyDescent="0.25">
      <c r="B315" s="294"/>
      <c r="C315" s="294" t="s">
        <v>2741</v>
      </c>
      <c r="D315" s="313">
        <f>T191+T192</f>
        <v>153.52000000000001</v>
      </c>
      <c r="E315" s="294"/>
      <c r="F315" s="294"/>
      <c r="G315" s="294"/>
      <c r="H315" s="294"/>
      <c r="I315" s="294"/>
      <c r="J315" s="294"/>
      <c r="L315" s="295"/>
      <c r="M315" s="294"/>
      <c r="O315" s="294"/>
      <c r="P315" s="294"/>
      <c r="Q315" s="294"/>
      <c r="R315" s="294"/>
      <c r="S315" s="294"/>
      <c r="T315" s="294"/>
      <c r="U315" s="326"/>
      <c r="V315" s="294"/>
      <c r="W315" s="294"/>
      <c r="X315" s="294"/>
      <c r="Y315" s="294"/>
      <c r="Z315" s="294"/>
      <c r="AA315" s="294"/>
      <c r="AB315" s="294"/>
      <c r="AC315" s="294"/>
    </row>
    <row r="316" spans="2:29" x14ac:dyDescent="0.25">
      <c r="B316" s="294"/>
      <c r="C316" s="294"/>
      <c r="D316" s="294"/>
      <c r="E316" s="294"/>
      <c r="F316" s="294"/>
      <c r="G316" s="294"/>
      <c r="H316" s="294"/>
      <c r="I316" s="294"/>
      <c r="J316" s="294"/>
      <c r="L316" s="295"/>
      <c r="M316" s="294"/>
      <c r="O316" s="294"/>
      <c r="P316" s="294"/>
      <c r="Q316" s="294"/>
      <c r="R316" s="294"/>
      <c r="S316" s="294"/>
      <c r="T316" s="294"/>
      <c r="U316" s="326"/>
      <c r="V316" s="294"/>
      <c r="W316" s="294"/>
      <c r="X316" s="294"/>
      <c r="Y316" s="294"/>
      <c r="Z316" s="294"/>
      <c r="AA316" s="294"/>
      <c r="AB316" s="294"/>
      <c r="AC316" s="294"/>
    </row>
    <row r="317" spans="2:29" x14ac:dyDescent="0.25">
      <c r="B317" s="294"/>
      <c r="C317" s="299" t="s">
        <v>7753</v>
      </c>
      <c r="D317" s="294"/>
      <c r="E317" s="294"/>
      <c r="F317" s="294"/>
      <c r="G317" s="294"/>
      <c r="H317" s="294"/>
      <c r="I317" s="294"/>
      <c r="J317" s="294"/>
      <c r="L317" s="295"/>
      <c r="M317" s="294"/>
      <c r="O317" s="294"/>
      <c r="P317" s="294"/>
      <c r="Q317" s="294"/>
      <c r="R317" s="294"/>
      <c r="S317" s="294"/>
      <c r="T317" s="294"/>
      <c r="U317" s="326"/>
      <c r="V317" s="294"/>
      <c r="W317" s="294"/>
      <c r="X317" s="294"/>
      <c r="Y317" s="294"/>
      <c r="Z317" s="294"/>
      <c r="AA317" s="294"/>
      <c r="AB317" s="294"/>
      <c r="AC317" s="294"/>
    </row>
    <row r="318" spans="2:29" x14ac:dyDescent="0.25">
      <c r="B318" s="294"/>
      <c r="C318" s="294" t="s">
        <v>3075</v>
      </c>
      <c r="D318" s="313">
        <f>N185+N186+N187+N188</f>
        <v>6050.3262906116761</v>
      </c>
      <c r="E318" s="294"/>
      <c r="F318" s="294"/>
      <c r="G318" s="294"/>
      <c r="H318" s="294"/>
      <c r="I318" s="294"/>
      <c r="J318" s="294"/>
      <c r="L318" s="295"/>
      <c r="M318" s="294"/>
      <c r="O318" s="294"/>
      <c r="P318" s="294"/>
      <c r="Q318" s="294"/>
      <c r="R318" s="294"/>
      <c r="S318" s="294"/>
      <c r="T318" s="294"/>
      <c r="U318" s="326"/>
      <c r="V318" s="294"/>
      <c r="W318" s="294"/>
      <c r="X318" s="294"/>
      <c r="Y318" s="294"/>
      <c r="Z318" s="294"/>
      <c r="AA318" s="294"/>
      <c r="AB318" s="294"/>
      <c r="AC318" s="294"/>
    </row>
    <row r="319" spans="2:29" x14ac:dyDescent="0.25">
      <c r="B319" s="294"/>
      <c r="C319" s="294" t="s">
        <v>2783</v>
      </c>
      <c r="D319" s="313">
        <f>W185+W186+W187+W188</f>
        <v>0</v>
      </c>
      <c r="E319" s="294"/>
      <c r="F319" s="294"/>
      <c r="G319" s="294"/>
      <c r="H319" s="294"/>
      <c r="I319" s="294"/>
      <c r="J319" s="294"/>
      <c r="L319" s="295"/>
      <c r="M319" s="294"/>
      <c r="O319" s="294"/>
      <c r="P319" s="294"/>
      <c r="Q319" s="294"/>
      <c r="R319" s="294"/>
      <c r="S319" s="294"/>
      <c r="T319" s="294"/>
      <c r="U319" s="326"/>
      <c r="V319" s="294"/>
      <c r="W319" s="294"/>
      <c r="X319" s="294"/>
      <c r="Y319" s="294"/>
      <c r="Z319" s="294"/>
      <c r="AA319" s="294"/>
      <c r="AB319" s="294"/>
      <c r="AC319" s="294"/>
    </row>
    <row r="320" spans="2:29" x14ac:dyDescent="0.25">
      <c r="B320" s="294"/>
      <c r="C320" s="294" t="s">
        <v>2760</v>
      </c>
      <c r="D320" s="313">
        <f>V185+V186+V187+V188</f>
        <v>0</v>
      </c>
      <c r="E320" s="294"/>
      <c r="F320" s="294"/>
      <c r="G320" s="294"/>
      <c r="H320" s="294"/>
      <c r="I320" s="294"/>
      <c r="J320" s="294"/>
      <c r="L320" s="295"/>
      <c r="M320" s="294"/>
      <c r="O320" s="294"/>
      <c r="P320" s="294"/>
      <c r="Q320" s="294"/>
      <c r="R320" s="294"/>
      <c r="S320" s="294"/>
      <c r="T320" s="294"/>
      <c r="U320" s="326"/>
      <c r="V320" s="294"/>
      <c r="W320" s="294"/>
      <c r="X320" s="294"/>
      <c r="Y320" s="294"/>
      <c r="Z320" s="294"/>
      <c r="AA320" s="294"/>
      <c r="AB320" s="294"/>
      <c r="AC320" s="294"/>
    </row>
    <row r="321" spans="2:29" x14ac:dyDescent="0.25">
      <c r="B321" s="294"/>
      <c r="C321" s="294" t="s">
        <v>2761</v>
      </c>
      <c r="D321" s="313">
        <f>U185+U186+U187+U188</f>
        <v>160.45999999999998</v>
      </c>
      <c r="E321" s="294"/>
      <c r="F321" s="294"/>
      <c r="G321" s="294"/>
      <c r="H321" s="294"/>
      <c r="I321" s="294"/>
      <c r="J321" s="294"/>
      <c r="L321" s="295"/>
      <c r="M321" s="294"/>
      <c r="O321" s="294"/>
      <c r="P321" s="294"/>
      <c r="Q321" s="294"/>
      <c r="R321" s="294"/>
      <c r="S321" s="294"/>
      <c r="T321" s="294"/>
      <c r="U321" s="326"/>
      <c r="V321" s="294"/>
      <c r="W321" s="294"/>
      <c r="X321" s="294"/>
      <c r="Y321" s="294"/>
      <c r="Z321" s="294"/>
      <c r="AA321" s="294"/>
      <c r="AB321" s="294"/>
      <c r="AC321" s="294"/>
    </row>
    <row r="322" spans="2:29" x14ac:dyDescent="0.25">
      <c r="B322" s="294"/>
      <c r="C322" s="294" t="s">
        <v>3411</v>
      </c>
      <c r="D322" s="313">
        <f>P185+P186+P187+P188</f>
        <v>891.55381436480093</v>
      </c>
      <c r="E322" s="294"/>
      <c r="F322" s="294"/>
      <c r="G322" s="294"/>
      <c r="H322" s="294"/>
      <c r="I322" s="294"/>
      <c r="J322" s="294"/>
      <c r="L322" s="295"/>
      <c r="M322" s="294"/>
      <c r="O322" s="294"/>
      <c r="P322" s="294"/>
      <c r="Q322" s="294"/>
      <c r="R322" s="294"/>
      <c r="S322" s="294"/>
      <c r="T322" s="294"/>
      <c r="U322" s="326"/>
      <c r="V322" s="294"/>
      <c r="W322" s="294"/>
      <c r="X322" s="294"/>
      <c r="Y322" s="294"/>
      <c r="Z322" s="294"/>
      <c r="AA322" s="294"/>
      <c r="AB322" s="294"/>
      <c r="AC322" s="294"/>
    </row>
    <row r="323" spans="2:29" x14ac:dyDescent="0.25">
      <c r="B323" s="294"/>
      <c r="C323" s="294" t="s">
        <v>4847</v>
      </c>
      <c r="D323" s="313">
        <f>AE185+AE186+AE187+AE188</f>
        <v>304.38847145493361</v>
      </c>
      <c r="E323" s="294"/>
      <c r="F323" s="294"/>
      <c r="G323" s="294"/>
      <c r="H323" s="294"/>
      <c r="I323" s="294"/>
      <c r="J323" s="294"/>
      <c r="L323" s="295"/>
      <c r="M323" s="294"/>
      <c r="O323" s="294"/>
      <c r="P323" s="294"/>
      <c r="Q323" s="294"/>
      <c r="R323" s="294"/>
      <c r="S323" s="294"/>
      <c r="T323" s="294"/>
      <c r="U323" s="326"/>
      <c r="V323" s="294"/>
      <c r="W323" s="294"/>
      <c r="X323" s="294"/>
      <c r="Y323" s="294"/>
      <c r="Z323" s="294"/>
      <c r="AA323" s="294"/>
      <c r="AB323" s="294"/>
      <c r="AC323" s="294"/>
    </row>
    <row r="324" spans="2:29" x14ac:dyDescent="0.25">
      <c r="B324" s="294"/>
      <c r="C324" s="294" t="s">
        <v>5298</v>
      </c>
      <c r="D324" s="313">
        <f>AG185+AG186+AG187+AG188</f>
        <v>891.55381436480093</v>
      </c>
      <c r="E324" s="294"/>
      <c r="F324" s="294"/>
      <c r="G324" s="294"/>
      <c r="H324" s="294"/>
      <c r="I324" s="294"/>
      <c r="J324" s="294"/>
      <c r="L324" s="295"/>
      <c r="M324" s="294"/>
      <c r="O324" s="294"/>
      <c r="P324" s="294"/>
      <c r="Q324" s="294"/>
      <c r="R324" s="294"/>
      <c r="S324" s="294"/>
      <c r="T324" s="294"/>
      <c r="U324" s="326"/>
      <c r="V324" s="294"/>
      <c r="W324" s="294"/>
      <c r="X324" s="294"/>
      <c r="Y324" s="294"/>
      <c r="Z324" s="294"/>
      <c r="AA324" s="294"/>
      <c r="AB324" s="294"/>
      <c r="AC324" s="294"/>
    </row>
    <row r="325" spans="2:29" x14ac:dyDescent="0.25">
      <c r="B325" s="294"/>
      <c r="C325" s="294" t="s">
        <v>2740</v>
      </c>
      <c r="D325" s="313">
        <f>Q185+Q186+Q187+Q188</f>
        <v>0</v>
      </c>
      <c r="E325" s="294"/>
      <c r="F325" s="294"/>
      <c r="G325" s="294"/>
      <c r="H325" s="294"/>
      <c r="I325" s="294"/>
      <c r="J325" s="294"/>
      <c r="L325" s="295"/>
      <c r="M325" s="294"/>
      <c r="O325" s="294"/>
      <c r="P325" s="294"/>
      <c r="Q325" s="294"/>
      <c r="R325" s="294"/>
      <c r="S325" s="294"/>
      <c r="T325" s="294"/>
      <c r="U325" s="326"/>
      <c r="V325" s="294"/>
      <c r="W325" s="294"/>
      <c r="X325" s="294"/>
      <c r="Y325" s="294"/>
      <c r="Z325" s="294"/>
      <c r="AA325" s="294"/>
      <c r="AB325" s="294"/>
      <c r="AC325" s="294"/>
    </row>
    <row r="326" spans="2:29" x14ac:dyDescent="0.25">
      <c r="B326" s="294"/>
      <c r="C326" s="294" t="s">
        <v>4519</v>
      </c>
      <c r="D326" s="313">
        <f>AD185+AD186+AD187+AD188</f>
        <v>2070.2620968705592</v>
      </c>
      <c r="E326" s="294"/>
      <c r="F326" s="294"/>
      <c r="G326" s="294"/>
      <c r="H326" s="294"/>
      <c r="I326" s="294"/>
      <c r="J326" s="294"/>
      <c r="L326" s="295"/>
      <c r="M326" s="294"/>
      <c r="O326" s="294"/>
      <c r="P326" s="294"/>
      <c r="Q326" s="294"/>
      <c r="R326" s="294"/>
      <c r="S326" s="294"/>
      <c r="T326" s="294"/>
      <c r="U326" s="326"/>
      <c r="V326" s="294"/>
      <c r="W326" s="294"/>
      <c r="X326" s="294"/>
      <c r="Y326" s="294"/>
      <c r="Z326" s="294"/>
      <c r="AA326" s="294"/>
      <c r="AB326" s="294"/>
      <c r="AC326" s="294"/>
    </row>
    <row r="327" spans="2:29" x14ac:dyDescent="0.25">
      <c r="B327" s="294"/>
      <c r="C327" s="294" t="s">
        <v>2736</v>
      </c>
      <c r="D327" s="313">
        <f>AF185+AF186+AF187+AF188</f>
        <v>6050.3262906116761</v>
      </c>
      <c r="E327" s="294"/>
      <c r="F327" s="294"/>
      <c r="G327" s="294"/>
      <c r="H327" s="294"/>
      <c r="I327" s="294"/>
      <c r="J327" s="294"/>
      <c r="L327" s="295"/>
      <c r="M327" s="294"/>
      <c r="O327" s="294"/>
      <c r="P327" s="294"/>
      <c r="Q327" s="294"/>
      <c r="R327" s="294"/>
      <c r="S327" s="294"/>
      <c r="T327" s="294"/>
      <c r="U327" s="326"/>
      <c r="V327" s="294"/>
      <c r="W327" s="294"/>
      <c r="X327" s="294"/>
      <c r="Y327" s="294"/>
      <c r="Z327" s="294"/>
      <c r="AA327" s="294"/>
      <c r="AB327" s="294"/>
      <c r="AC327" s="294"/>
    </row>
    <row r="328" spans="2:29" x14ac:dyDescent="0.25">
      <c r="B328" s="294"/>
      <c r="C328" s="294" t="s">
        <v>2741</v>
      </c>
      <c r="D328" s="313">
        <f>T185+T186+T187+T188</f>
        <v>76.760000000000005</v>
      </c>
      <c r="E328" s="294"/>
      <c r="F328" s="294"/>
      <c r="G328" s="294"/>
      <c r="H328" s="294"/>
      <c r="I328" s="294"/>
      <c r="J328" s="294"/>
      <c r="L328" s="295"/>
      <c r="M328" s="294"/>
      <c r="O328" s="294"/>
      <c r="P328" s="294"/>
      <c r="Q328" s="294"/>
      <c r="R328" s="294"/>
      <c r="S328" s="294"/>
      <c r="T328" s="294"/>
      <c r="U328" s="326"/>
      <c r="V328" s="294"/>
      <c r="W328" s="294"/>
      <c r="X328" s="294"/>
      <c r="Y328" s="294"/>
      <c r="Z328" s="294"/>
      <c r="AA328" s="294"/>
      <c r="AB328" s="294"/>
      <c r="AC328" s="294"/>
    </row>
    <row r="329" spans="2:29" x14ac:dyDescent="0.25">
      <c r="B329" s="294"/>
      <c r="C329" s="294"/>
      <c r="D329" s="294"/>
      <c r="E329" s="294"/>
      <c r="F329" s="294"/>
      <c r="G329" s="294"/>
      <c r="H329" s="294"/>
      <c r="I329" s="294"/>
      <c r="J329" s="294"/>
      <c r="L329" s="295"/>
      <c r="M329" s="294"/>
      <c r="O329" s="294"/>
      <c r="P329" s="294"/>
      <c r="Q329" s="294"/>
      <c r="R329" s="294"/>
      <c r="S329" s="294"/>
      <c r="T329" s="294"/>
      <c r="U329" s="326"/>
      <c r="V329" s="294"/>
      <c r="W329" s="294"/>
      <c r="X329" s="294"/>
      <c r="Y329" s="294"/>
      <c r="Z329" s="294"/>
      <c r="AA329" s="294"/>
      <c r="AB329" s="294"/>
      <c r="AC329" s="294"/>
    </row>
    <row r="330" spans="2:29" x14ac:dyDescent="0.25">
      <c r="B330" s="294"/>
      <c r="C330" s="299" t="s">
        <v>7755</v>
      </c>
      <c r="D330" s="294"/>
      <c r="E330" s="294"/>
      <c r="F330" s="294"/>
      <c r="G330" s="294"/>
      <c r="H330" s="294"/>
      <c r="I330" s="294"/>
      <c r="J330" s="294"/>
      <c r="L330" s="295"/>
      <c r="M330" s="294"/>
      <c r="O330" s="294"/>
      <c r="P330" s="294"/>
      <c r="Q330" s="294"/>
      <c r="R330" s="294"/>
      <c r="S330" s="294"/>
      <c r="T330" s="294"/>
      <c r="U330" s="326"/>
      <c r="V330" s="294"/>
      <c r="W330" s="294"/>
      <c r="X330" s="294"/>
      <c r="Y330" s="294"/>
      <c r="Z330" s="294"/>
      <c r="AA330" s="294"/>
      <c r="AB330" s="294"/>
      <c r="AC330" s="294"/>
    </row>
    <row r="331" spans="2:29" x14ac:dyDescent="0.25">
      <c r="B331" s="294"/>
      <c r="C331" s="294" t="s">
        <v>3075</v>
      </c>
      <c r="D331" s="313">
        <v>0</v>
      </c>
      <c r="E331" s="294"/>
      <c r="F331" s="294"/>
      <c r="G331" s="294"/>
      <c r="H331" s="294"/>
      <c r="I331" s="294"/>
      <c r="J331" s="294"/>
      <c r="L331" s="295"/>
      <c r="M331" s="294"/>
      <c r="O331" s="294"/>
      <c r="P331" s="294"/>
      <c r="Q331" s="294"/>
      <c r="R331" s="294"/>
      <c r="S331" s="294"/>
      <c r="T331" s="294"/>
      <c r="U331" s="326"/>
      <c r="V331" s="294"/>
      <c r="W331" s="294"/>
      <c r="X331" s="294"/>
      <c r="Y331" s="294"/>
      <c r="Z331" s="294"/>
      <c r="AA331" s="294"/>
      <c r="AB331" s="294"/>
      <c r="AC331" s="294"/>
    </row>
    <row r="332" spans="2:29" x14ac:dyDescent="0.25">
      <c r="B332" s="294"/>
      <c r="C332" s="294" t="s">
        <v>4519</v>
      </c>
      <c r="D332" s="313">
        <v>0</v>
      </c>
      <c r="E332" s="294"/>
      <c r="F332" s="294"/>
      <c r="G332" s="294"/>
      <c r="H332" s="294"/>
      <c r="I332" s="294"/>
      <c r="J332" s="294"/>
      <c r="L332" s="295"/>
      <c r="M332" s="294"/>
      <c r="O332" s="294"/>
      <c r="P332" s="294"/>
      <c r="Q332" s="294"/>
      <c r="R332" s="294"/>
      <c r="S332" s="294"/>
      <c r="T332" s="294"/>
      <c r="U332" s="326"/>
      <c r="V332" s="294"/>
      <c r="W332" s="294"/>
      <c r="X332" s="294"/>
      <c r="Y332" s="294"/>
      <c r="Z332" s="294"/>
      <c r="AA332" s="294"/>
      <c r="AB332" s="294"/>
      <c r="AC332" s="294"/>
    </row>
    <row r="333" spans="2:29" x14ac:dyDescent="0.25">
      <c r="B333" s="294"/>
      <c r="C333" s="294" t="s">
        <v>2736</v>
      </c>
      <c r="D333" s="313">
        <v>0</v>
      </c>
      <c r="E333" s="294"/>
      <c r="F333" s="294"/>
      <c r="G333" s="294"/>
      <c r="H333" s="294"/>
      <c r="I333" s="294"/>
      <c r="J333" s="294"/>
      <c r="L333" s="295"/>
      <c r="M333" s="294"/>
      <c r="O333" s="294"/>
      <c r="P333" s="294"/>
      <c r="Q333" s="294"/>
      <c r="R333" s="294"/>
      <c r="S333" s="294"/>
      <c r="T333" s="294"/>
      <c r="U333" s="326"/>
      <c r="V333" s="294"/>
      <c r="W333" s="294"/>
      <c r="X333" s="294"/>
      <c r="Y333" s="294"/>
      <c r="Z333" s="294"/>
      <c r="AA333" s="294"/>
      <c r="AB333" s="294"/>
      <c r="AC333" s="294"/>
    </row>
    <row r="334" spans="2:29" x14ac:dyDescent="0.25">
      <c r="B334" s="294"/>
      <c r="C334" s="294"/>
      <c r="D334" s="294"/>
      <c r="E334" s="294"/>
      <c r="F334" s="294"/>
      <c r="G334" s="294"/>
      <c r="H334" s="294"/>
      <c r="I334" s="294"/>
      <c r="J334" s="294"/>
      <c r="L334" s="295"/>
      <c r="M334" s="294"/>
      <c r="O334" s="294"/>
      <c r="P334" s="294"/>
      <c r="Q334" s="294"/>
      <c r="R334" s="294"/>
      <c r="S334" s="294"/>
      <c r="T334" s="294"/>
      <c r="U334" s="326"/>
      <c r="V334" s="294"/>
      <c r="W334" s="294"/>
      <c r="X334" s="294"/>
      <c r="Y334" s="294"/>
      <c r="Z334" s="294"/>
      <c r="AA334" s="294"/>
      <c r="AB334" s="294"/>
      <c r="AC334" s="294"/>
    </row>
    <row r="335" spans="2:29" x14ac:dyDescent="0.25">
      <c r="B335" s="294"/>
      <c r="C335" s="294"/>
      <c r="D335" s="294"/>
      <c r="E335" s="294"/>
      <c r="F335" s="294"/>
      <c r="G335" s="294"/>
      <c r="H335" s="294"/>
      <c r="I335" s="294"/>
      <c r="J335" s="294"/>
      <c r="L335" s="295"/>
      <c r="M335" s="294"/>
      <c r="O335" s="294"/>
      <c r="P335" s="294"/>
      <c r="Q335" s="294"/>
      <c r="R335" s="294"/>
      <c r="S335" s="294"/>
      <c r="T335" s="294"/>
      <c r="U335" s="326"/>
      <c r="V335" s="294"/>
      <c r="W335" s="294"/>
      <c r="X335" s="294"/>
      <c r="Y335" s="294"/>
      <c r="Z335" s="294"/>
      <c r="AA335" s="294"/>
      <c r="AB335" s="294"/>
      <c r="AC335" s="294"/>
    </row>
    <row r="336" spans="2:29" x14ac:dyDescent="0.25">
      <c r="B336" s="299" t="s">
        <v>7765</v>
      </c>
      <c r="C336" s="294"/>
      <c r="D336" s="294"/>
      <c r="E336" s="294"/>
      <c r="F336" s="294"/>
      <c r="G336" s="294"/>
      <c r="H336" s="294"/>
      <c r="I336" s="294"/>
      <c r="J336" s="294"/>
      <c r="L336" s="295"/>
      <c r="M336" s="294"/>
      <c r="O336" s="294"/>
      <c r="P336" s="294"/>
      <c r="Q336" s="294"/>
      <c r="R336" s="294"/>
      <c r="S336" s="294"/>
      <c r="T336" s="294"/>
      <c r="U336" s="326"/>
      <c r="V336" s="294"/>
      <c r="W336" s="294"/>
      <c r="X336" s="294"/>
      <c r="Y336" s="294"/>
      <c r="Z336" s="294"/>
      <c r="AA336" s="294"/>
      <c r="AB336" s="294"/>
      <c r="AC336" s="294"/>
    </row>
    <row r="337" spans="2:29" x14ac:dyDescent="0.25">
      <c r="B337" s="294"/>
      <c r="C337" s="299" t="s">
        <v>7752</v>
      </c>
      <c r="E337" s="294"/>
      <c r="F337" s="294"/>
      <c r="G337" s="294"/>
      <c r="H337" s="294"/>
      <c r="I337" s="294"/>
      <c r="J337" s="294"/>
      <c r="L337" s="295"/>
      <c r="M337" s="294"/>
      <c r="O337" s="294"/>
      <c r="P337" s="294"/>
      <c r="Q337" s="294"/>
      <c r="R337" s="294"/>
      <c r="S337" s="294"/>
      <c r="T337" s="294"/>
      <c r="U337" s="326"/>
      <c r="V337" s="294"/>
      <c r="W337" s="294"/>
      <c r="X337" s="294"/>
      <c r="Y337" s="294"/>
      <c r="Z337" s="294"/>
      <c r="AA337" s="294"/>
      <c r="AB337" s="294"/>
      <c r="AC337" s="294"/>
    </row>
    <row r="338" spans="2:29" x14ac:dyDescent="0.25">
      <c r="B338" s="294"/>
      <c r="C338" s="294" t="s">
        <v>3075</v>
      </c>
      <c r="D338" s="313">
        <f>N170+N171</f>
        <v>5563.5194278594427</v>
      </c>
      <c r="E338" s="294"/>
      <c r="F338" s="294"/>
      <c r="G338" s="294"/>
      <c r="H338" s="294"/>
      <c r="I338" s="294"/>
      <c r="J338" s="294"/>
      <c r="L338" s="295"/>
      <c r="M338" s="294"/>
      <c r="O338" s="294"/>
      <c r="P338" s="294"/>
      <c r="Q338" s="294"/>
      <c r="R338" s="294"/>
      <c r="S338" s="294"/>
      <c r="T338" s="294"/>
      <c r="U338" s="326"/>
      <c r="V338" s="294"/>
      <c r="W338" s="294"/>
      <c r="X338" s="294"/>
      <c r="Y338" s="294"/>
      <c r="Z338" s="294"/>
      <c r="AA338" s="294"/>
      <c r="AB338" s="294"/>
      <c r="AC338" s="294"/>
    </row>
    <row r="339" spans="2:29" x14ac:dyDescent="0.25">
      <c r="B339" s="294"/>
      <c r="C339" s="294" t="s">
        <v>2761</v>
      </c>
      <c r="D339" s="313">
        <f>U170+U171</f>
        <v>0</v>
      </c>
      <c r="E339" s="294"/>
      <c r="F339" s="294"/>
      <c r="G339" s="294"/>
      <c r="H339" s="294"/>
      <c r="I339" s="294"/>
      <c r="J339" s="294"/>
      <c r="L339" s="295"/>
      <c r="M339" s="294"/>
      <c r="O339" s="294"/>
      <c r="P339" s="294"/>
      <c r="Q339" s="294"/>
      <c r="R339" s="294"/>
      <c r="S339" s="294"/>
      <c r="T339" s="294"/>
      <c r="U339" s="326"/>
      <c r="V339" s="294"/>
      <c r="W339" s="294"/>
      <c r="X339" s="294"/>
      <c r="Y339" s="294"/>
      <c r="Z339" s="294"/>
      <c r="AA339" s="294"/>
      <c r="AB339" s="294"/>
      <c r="AC339" s="294"/>
    </row>
    <row r="340" spans="2:29" x14ac:dyDescent="0.25">
      <c r="B340" s="294"/>
      <c r="C340" s="294" t="s">
        <v>4519</v>
      </c>
      <c r="D340" s="313">
        <f>AD170+AD171</f>
        <v>1854.5064759531476</v>
      </c>
      <c r="E340" s="294"/>
      <c r="F340" s="294"/>
      <c r="G340" s="294"/>
      <c r="H340" s="294"/>
      <c r="I340" s="294"/>
      <c r="J340" s="294"/>
      <c r="L340" s="295"/>
      <c r="M340" s="294"/>
      <c r="O340" s="294"/>
      <c r="P340" s="294"/>
      <c r="Q340" s="294"/>
      <c r="R340" s="294"/>
      <c r="S340" s="294"/>
      <c r="T340" s="294"/>
      <c r="U340" s="326"/>
      <c r="V340" s="294"/>
      <c r="W340" s="294"/>
      <c r="X340" s="294"/>
      <c r="Y340" s="294"/>
      <c r="Z340" s="294"/>
      <c r="AA340" s="294"/>
      <c r="AB340" s="294"/>
      <c r="AC340" s="294"/>
    </row>
    <row r="341" spans="2:29" x14ac:dyDescent="0.25">
      <c r="B341" s="294"/>
      <c r="C341" s="294" t="s">
        <v>2736</v>
      </c>
      <c r="D341" s="313">
        <f>AF170+AF171</f>
        <v>5563.5194278594427</v>
      </c>
      <c r="E341" s="294"/>
      <c r="F341" s="294"/>
      <c r="G341" s="294"/>
      <c r="H341" s="294"/>
      <c r="I341" s="294"/>
      <c r="J341" s="294"/>
      <c r="L341" s="295"/>
      <c r="M341" s="294"/>
      <c r="O341" s="294"/>
      <c r="P341" s="294"/>
      <c r="Q341" s="294"/>
      <c r="R341" s="294"/>
      <c r="S341" s="294"/>
      <c r="T341" s="294"/>
      <c r="U341" s="326"/>
      <c r="V341" s="294"/>
      <c r="W341" s="294"/>
      <c r="X341" s="294"/>
      <c r="Y341" s="294"/>
      <c r="Z341" s="294"/>
      <c r="AA341" s="294"/>
      <c r="AB341" s="294"/>
      <c r="AC341" s="294"/>
    </row>
    <row r="342" spans="2:29" x14ac:dyDescent="0.25">
      <c r="B342" s="294"/>
      <c r="C342" s="294" t="s">
        <v>2741</v>
      </c>
      <c r="D342" s="313">
        <f>T170+T171</f>
        <v>0</v>
      </c>
      <c r="E342" s="294"/>
      <c r="F342" s="294"/>
      <c r="G342" s="294"/>
      <c r="H342" s="294"/>
      <c r="I342" s="294"/>
      <c r="J342" s="294"/>
      <c r="L342" s="295"/>
      <c r="M342" s="294"/>
      <c r="O342" s="294"/>
      <c r="P342" s="294"/>
      <c r="Q342" s="294"/>
      <c r="R342" s="294"/>
      <c r="S342" s="294"/>
      <c r="T342" s="294"/>
      <c r="U342" s="326"/>
      <c r="V342" s="294"/>
      <c r="W342" s="294"/>
      <c r="X342" s="294"/>
      <c r="Y342" s="294"/>
      <c r="Z342" s="294"/>
      <c r="AA342" s="294"/>
      <c r="AB342" s="294"/>
      <c r="AC342" s="294"/>
    </row>
    <row r="343" spans="2:29" x14ac:dyDescent="0.25">
      <c r="B343" s="294"/>
      <c r="C343" s="294"/>
      <c r="D343" s="294"/>
      <c r="E343" s="294"/>
      <c r="F343" s="294"/>
      <c r="G343" s="294"/>
      <c r="H343" s="294"/>
      <c r="I343" s="294"/>
      <c r="J343" s="294"/>
      <c r="L343" s="295"/>
      <c r="M343" s="294"/>
      <c r="O343" s="294"/>
      <c r="P343" s="294"/>
      <c r="Q343" s="294"/>
      <c r="R343" s="294"/>
      <c r="S343" s="294"/>
      <c r="T343" s="294"/>
      <c r="U343" s="326"/>
      <c r="V343" s="294"/>
      <c r="W343" s="294"/>
      <c r="X343" s="294"/>
      <c r="Y343" s="294"/>
      <c r="Z343" s="294"/>
      <c r="AA343" s="294"/>
      <c r="AB343" s="294"/>
      <c r="AC343" s="294"/>
    </row>
    <row r="344" spans="2:29" x14ac:dyDescent="0.25">
      <c r="B344" s="294"/>
      <c r="C344" s="299" t="s">
        <v>7753</v>
      </c>
      <c r="D344" s="294"/>
      <c r="E344" s="294"/>
      <c r="F344" s="294"/>
      <c r="G344" s="294"/>
      <c r="H344" s="294"/>
      <c r="I344" s="294"/>
      <c r="J344" s="294"/>
      <c r="L344" s="295"/>
      <c r="M344" s="294"/>
      <c r="O344" s="294"/>
      <c r="P344" s="294"/>
      <c r="Q344" s="294"/>
      <c r="R344" s="294"/>
      <c r="S344" s="294"/>
      <c r="T344" s="294"/>
      <c r="U344" s="326"/>
      <c r="V344" s="294"/>
      <c r="W344" s="294"/>
      <c r="X344" s="294"/>
      <c r="Y344" s="294"/>
      <c r="Z344" s="294"/>
      <c r="AA344" s="294"/>
      <c r="AB344" s="294"/>
      <c r="AC344" s="294"/>
    </row>
    <row r="345" spans="2:29" x14ac:dyDescent="0.25">
      <c r="B345" s="294"/>
      <c r="C345" s="294" t="s">
        <v>3075</v>
      </c>
      <c r="D345" s="313">
        <v>0</v>
      </c>
      <c r="E345" s="294"/>
      <c r="F345" s="294"/>
      <c r="G345" s="294"/>
      <c r="H345" s="294"/>
      <c r="I345" s="294"/>
      <c r="J345" s="294"/>
      <c r="L345" s="295"/>
      <c r="M345" s="294"/>
      <c r="O345" s="294"/>
      <c r="P345" s="294"/>
      <c r="Q345" s="294"/>
      <c r="R345" s="294"/>
      <c r="S345" s="294"/>
      <c r="T345" s="294"/>
      <c r="U345" s="326"/>
      <c r="V345" s="294"/>
      <c r="W345" s="294"/>
      <c r="X345" s="294"/>
      <c r="Y345" s="294"/>
      <c r="Z345" s="294"/>
      <c r="AA345" s="294"/>
      <c r="AB345" s="294"/>
      <c r="AC345" s="294"/>
    </row>
    <row r="346" spans="2:29" x14ac:dyDescent="0.25">
      <c r="B346" s="294"/>
      <c r="C346" s="294" t="s">
        <v>2783</v>
      </c>
      <c r="D346" s="313">
        <v>0</v>
      </c>
      <c r="E346" s="294"/>
      <c r="F346" s="294"/>
      <c r="G346" s="294"/>
      <c r="H346" s="294"/>
      <c r="I346" s="294"/>
      <c r="J346" s="294"/>
      <c r="L346" s="295"/>
      <c r="M346" s="294"/>
      <c r="O346" s="294"/>
      <c r="P346" s="294"/>
      <c r="Q346" s="294"/>
      <c r="R346" s="294"/>
      <c r="S346" s="294"/>
      <c r="T346" s="294"/>
      <c r="U346" s="326"/>
      <c r="V346" s="294"/>
      <c r="W346" s="294"/>
      <c r="X346" s="294"/>
      <c r="Y346" s="294"/>
      <c r="Z346" s="294"/>
      <c r="AA346" s="294"/>
      <c r="AB346" s="294"/>
      <c r="AC346" s="294"/>
    </row>
    <row r="347" spans="2:29" x14ac:dyDescent="0.25">
      <c r="B347" s="294"/>
      <c r="C347" s="294" t="s">
        <v>2760</v>
      </c>
      <c r="D347" s="313">
        <v>0</v>
      </c>
      <c r="E347" s="294"/>
      <c r="F347" s="294"/>
      <c r="G347" s="294"/>
      <c r="H347" s="294"/>
      <c r="I347" s="294"/>
      <c r="J347" s="294"/>
      <c r="L347" s="295"/>
      <c r="M347" s="294"/>
      <c r="O347" s="294"/>
      <c r="P347" s="294"/>
      <c r="Q347" s="294"/>
      <c r="R347" s="294"/>
      <c r="S347" s="294"/>
      <c r="T347" s="294"/>
      <c r="U347" s="326"/>
      <c r="V347" s="294"/>
      <c r="W347" s="294"/>
      <c r="X347" s="294"/>
      <c r="Y347" s="294"/>
      <c r="Z347" s="294"/>
      <c r="AA347" s="294"/>
      <c r="AB347" s="294"/>
      <c r="AC347" s="294"/>
    </row>
    <row r="348" spans="2:29" x14ac:dyDescent="0.25">
      <c r="B348" s="294"/>
      <c r="C348" s="294" t="s">
        <v>2761</v>
      </c>
      <c r="D348" s="313">
        <v>0</v>
      </c>
      <c r="E348" s="294"/>
      <c r="F348" s="294"/>
      <c r="G348" s="294"/>
      <c r="H348" s="294"/>
      <c r="I348" s="294"/>
      <c r="J348" s="294"/>
      <c r="L348" s="295"/>
      <c r="M348" s="294"/>
      <c r="O348" s="294"/>
      <c r="P348" s="294"/>
      <c r="Q348" s="294"/>
      <c r="R348" s="294"/>
      <c r="S348" s="294"/>
      <c r="T348" s="294"/>
      <c r="U348" s="326"/>
      <c r="V348" s="294"/>
      <c r="W348" s="294"/>
      <c r="X348" s="294"/>
      <c r="Y348" s="294"/>
      <c r="Z348" s="294"/>
      <c r="AA348" s="294"/>
      <c r="AB348" s="294"/>
      <c r="AC348" s="294"/>
    </row>
    <row r="349" spans="2:29" x14ac:dyDescent="0.25">
      <c r="B349" s="294"/>
      <c r="C349" s="294" t="s">
        <v>3411</v>
      </c>
      <c r="D349" s="313">
        <v>0</v>
      </c>
      <c r="E349" s="294"/>
      <c r="F349" s="294"/>
      <c r="G349" s="294"/>
      <c r="H349" s="294"/>
      <c r="I349" s="294"/>
      <c r="J349" s="294"/>
      <c r="L349" s="295"/>
      <c r="M349" s="294"/>
      <c r="O349" s="294"/>
      <c r="P349" s="294"/>
      <c r="Q349" s="294"/>
      <c r="R349" s="294"/>
      <c r="S349" s="294"/>
      <c r="T349" s="294"/>
      <c r="U349" s="326"/>
      <c r="V349" s="294"/>
      <c r="W349" s="294"/>
      <c r="X349" s="294"/>
      <c r="Y349" s="294"/>
      <c r="Z349" s="294"/>
      <c r="AA349" s="294"/>
      <c r="AB349" s="294"/>
      <c r="AC349" s="294"/>
    </row>
    <row r="350" spans="2:29" x14ac:dyDescent="0.25">
      <c r="B350" s="294"/>
      <c r="C350" s="294" t="s">
        <v>4847</v>
      </c>
      <c r="D350" s="313">
        <v>0</v>
      </c>
      <c r="E350" s="294"/>
      <c r="F350" s="294"/>
      <c r="G350" s="294"/>
      <c r="H350" s="294"/>
      <c r="I350" s="294"/>
      <c r="J350" s="294"/>
      <c r="L350" s="295"/>
      <c r="M350" s="294"/>
      <c r="O350" s="294"/>
      <c r="P350" s="294"/>
      <c r="Q350" s="294"/>
      <c r="R350" s="294"/>
      <c r="S350" s="294"/>
      <c r="T350" s="294"/>
      <c r="U350" s="326"/>
      <c r="V350" s="294"/>
      <c r="W350" s="294"/>
      <c r="X350" s="294"/>
      <c r="Y350" s="294"/>
      <c r="Z350" s="294"/>
      <c r="AA350" s="294"/>
      <c r="AB350" s="294"/>
      <c r="AC350" s="294"/>
    </row>
    <row r="351" spans="2:29" x14ac:dyDescent="0.25">
      <c r="B351" s="294"/>
      <c r="C351" s="294" t="s">
        <v>5298</v>
      </c>
      <c r="D351" s="313">
        <v>0</v>
      </c>
      <c r="E351" s="294"/>
      <c r="F351" s="294"/>
      <c r="G351" s="294"/>
      <c r="H351" s="294"/>
      <c r="I351" s="294"/>
      <c r="J351" s="294"/>
      <c r="L351" s="295"/>
      <c r="M351" s="294"/>
      <c r="O351" s="294"/>
      <c r="P351" s="294"/>
      <c r="Q351" s="294"/>
      <c r="R351" s="294"/>
      <c r="S351" s="294"/>
      <c r="T351" s="294"/>
      <c r="U351" s="326"/>
      <c r="V351" s="294"/>
      <c r="W351" s="294"/>
      <c r="X351" s="294"/>
      <c r="Y351" s="294"/>
      <c r="Z351" s="294"/>
      <c r="AA351" s="294"/>
      <c r="AB351" s="294"/>
      <c r="AC351" s="294"/>
    </row>
    <row r="352" spans="2:29" x14ac:dyDescent="0.25">
      <c r="B352" s="294"/>
      <c r="C352" s="294" t="s">
        <v>2740</v>
      </c>
      <c r="D352" s="313">
        <v>0</v>
      </c>
      <c r="E352" s="294"/>
      <c r="F352" s="294"/>
      <c r="G352" s="294"/>
      <c r="H352" s="294"/>
      <c r="I352" s="294"/>
      <c r="J352" s="294"/>
      <c r="L352" s="295"/>
      <c r="M352" s="294"/>
      <c r="O352" s="294"/>
      <c r="P352" s="294"/>
      <c r="Q352" s="294"/>
      <c r="R352" s="294"/>
      <c r="S352" s="294"/>
      <c r="T352" s="294"/>
      <c r="U352" s="326"/>
      <c r="V352" s="294"/>
      <c r="W352" s="294"/>
      <c r="X352" s="294"/>
      <c r="Y352" s="294"/>
      <c r="Z352" s="294"/>
      <c r="AA352" s="294"/>
      <c r="AB352" s="294"/>
      <c r="AC352" s="294"/>
    </row>
    <row r="353" spans="2:29" x14ac:dyDescent="0.25">
      <c r="B353" s="294"/>
      <c r="C353" s="294" t="s">
        <v>4519</v>
      </c>
      <c r="D353" s="313">
        <v>0</v>
      </c>
      <c r="E353" s="294"/>
      <c r="F353" s="294"/>
      <c r="G353" s="294"/>
      <c r="H353" s="294"/>
      <c r="I353" s="294"/>
      <c r="J353" s="294"/>
      <c r="L353" s="295"/>
      <c r="M353" s="294"/>
      <c r="O353" s="294"/>
      <c r="P353" s="294"/>
      <c r="Q353" s="294"/>
      <c r="R353" s="294"/>
      <c r="S353" s="294"/>
      <c r="T353" s="294"/>
      <c r="U353" s="326"/>
      <c r="V353" s="294"/>
      <c r="W353" s="294"/>
      <c r="X353" s="294"/>
      <c r="Y353" s="294"/>
      <c r="Z353" s="294"/>
      <c r="AA353" s="294"/>
      <c r="AB353" s="294"/>
      <c r="AC353" s="294"/>
    </row>
    <row r="354" spans="2:29" x14ac:dyDescent="0.25">
      <c r="B354" s="294"/>
      <c r="C354" s="294" t="s">
        <v>2736</v>
      </c>
      <c r="D354" s="313">
        <v>0</v>
      </c>
      <c r="E354" s="294"/>
      <c r="F354" s="294"/>
      <c r="G354" s="294"/>
      <c r="H354" s="294"/>
      <c r="I354" s="294"/>
      <c r="J354" s="294"/>
      <c r="L354" s="295"/>
      <c r="M354" s="294"/>
      <c r="O354" s="294"/>
      <c r="P354" s="294"/>
      <c r="Q354" s="294"/>
      <c r="R354" s="294"/>
      <c r="S354" s="294"/>
      <c r="T354" s="294"/>
      <c r="U354" s="326"/>
      <c r="V354" s="294"/>
      <c r="W354" s="294"/>
      <c r="X354" s="294"/>
      <c r="Y354" s="294"/>
      <c r="Z354" s="294"/>
      <c r="AA354" s="294"/>
      <c r="AB354" s="294"/>
      <c r="AC354" s="294"/>
    </row>
    <row r="355" spans="2:29" x14ac:dyDescent="0.25">
      <c r="B355" s="294"/>
      <c r="C355" s="294" t="s">
        <v>2741</v>
      </c>
      <c r="D355" s="313">
        <v>0</v>
      </c>
      <c r="E355" s="294"/>
      <c r="F355" s="294"/>
      <c r="G355" s="294"/>
      <c r="H355" s="294"/>
      <c r="I355" s="294"/>
      <c r="J355" s="294"/>
      <c r="L355" s="295"/>
      <c r="M355" s="294"/>
      <c r="O355" s="294"/>
      <c r="P355" s="294"/>
      <c r="Q355" s="294"/>
      <c r="R355" s="294"/>
      <c r="S355" s="294"/>
      <c r="T355" s="294"/>
      <c r="U355" s="326"/>
      <c r="V355" s="294"/>
      <c r="W355" s="294"/>
      <c r="X355" s="294"/>
      <c r="Y355" s="294"/>
      <c r="Z355" s="294"/>
      <c r="AA355" s="294"/>
      <c r="AB355" s="294"/>
      <c r="AC355" s="294"/>
    </row>
    <row r="356" spans="2:29" x14ac:dyDescent="0.25">
      <c r="B356" s="294"/>
      <c r="C356" s="294"/>
      <c r="D356" s="294"/>
      <c r="E356" s="294"/>
      <c r="F356" s="294"/>
      <c r="G356" s="294"/>
      <c r="H356" s="294"/>
      <c r="I356" s="294"/>
      <c r="J356" s="294"/>
      <c r="L356" s="295"/>
      <c r="M356" s="294"/>
      <c r="O356" s="294"/>
      <c r="P356" s="294"/>
      <c r="Q356" s="294"/>
      <c r="R356" s="294"/>
      <c r="S356" s="294"/>
      <c r="T356" s="294"/>
      <c r="U356" s="326"/>
      <c r="V356" s="294"/>
      <c r="W356" s="294"/>
      <c r="X356" s="294"/>
      <c r="Y356" s="294"/>
      <c r="Z356" s="294"/>
      <c r="AA356" s="294"/>
      <c r="AB356" s="294"/>
      <c r="AC356" s="294"/>
    </row>
    <row r="357" spans="2:29" x14ac:dyDescent="0.25">
      <c r="B357" s="294"/>
      <c r="C357" s="299" t="s">
        <v>7755</v>
      </c>
      <c r="D357" s="294"/>
      <c r="E357" s="294"/>
      <c r="F357" s="294"/>
      <c r="G357" s="294"/>
      <c r="H357" s="294"/>
      <c r="I357" s="294"/>
      <c r="J357" s="294"/>
      <c r="L357" s="295"/>
      <c r="M357" s="294"/>
      <c r="O357" s="294"/>
      <c r="P357" s="294"/>
      <c r="Q357" s="294"/>
      <c r="R357" s="294"/>
      <c r="S357" s="294"/>
      <c r="T357" s="294"/>
      <c r="U357" s="326"/>
      <c r="V357" s="294"/>
      <c r="W357" s="294"/>
      <c r="X357" s="294"/>
      <c r="Y357" s="294"/>
      <c r="Z357" s="294"/>
      <c r="AA357" s="294"/>
      <c r="AB357" s="294"/>
      <c r="AC357" s="294"/>
    </row>
    <row r="358" spans="2:29" x14ac:dyDescent="0.25">
      <c r="B358" s="294"/>
      <c r="C358" s="294" t="s">
        <v>3075</v>
      </c>
      <c r="D358" s="313">
        <v>0</v>
      </c>
      <c r="E358" s="294"/>
      <c r="F358" s="294"/>
      <c r="G358" s="294"/>
      <c r="H358" s="294"/>
      <c r="I358" s="294"/>
      <c r="J358" s="294"/>
      <c r="L358" s="295"/>
      <c r="M358" s="294"/>
      <c r="O358" s="294"/>
      <c r="P358" s="294"/>
      <c r="Q358" s="294"/>
      <c r="R358" s="294"/>
      <c r="S358" s="294"/>
      <c r="T358" s="294"/>
      <c r="U358" s="326"/>
      <c r="V358" s="294"/>
      <c r="W358" s="294"/>
      <c r="X358" s="294"/>
      <c r="Y358" s="294"/>
      <c r="Z358" s="294"/>
      <c r="AA358" s="294"/>
      <c r="AB358" s="294"/>
      <c r="AC358" s="294"/>
    </row>
    <row r="359" spans="2:29" x14ac:dyDescent="0.25">
      <c r="B359" s="294"/>
      <c r="C359" s="294" t="s">
        <v>4519</v>
      </c>
      <c r="D359" s="313">
        <v>0</v>
      </c>
      <c r="E359" s="294"/>
      <c r="F359" s="294"/>
      <c r="G359" s="294"/>
      <c r="H359" s="294"/>
      <c r="I359" s="294"/>
      <c r="J359" s="294"/>
      <c r="L359" s="295"/>
      <c r="M359" s="294"/>
      <c r="O359" s="294"/>
      <c r="P359" s="294"/>
      <c r="Q359" s="294"/>
      <c r="R359" s="294"/>
      <c r="S359" s="294"/>
      <c r="T359" s="294"/>
      <c r="U359" s="326"/>
      <c r="V359" s="294"/>
      <c r="W359" s="294"/>
      <c r="X359" s="294"/>
      <c r="Y359" s="294"/>
      <c r="Z359" s="294"/>
      <c r="AA359" s="294"/>
      <c r="AB359" s="294"/>
      <c r="AC359" s="294"/>
    </row>
    <row r="360" spans="2:29" x14ac:dyDescent="0.25">
      <c r="B360" s="294"/>
      <c r="C360" s="294" t="s">
        <v>2736</v>
      </c>
      <c r="D360" s="313">
        <v>0</v>
      </c>
      <c r="E360" s="294"/>
      <c r="F360" s="294"/>
      <c r="G360" s="294"/>
      <c r="H360" s="294"/>
      <c r="I360" s="294"/>
      <c r="J360" s="294"/>
      <c r="L360" s="295"/>
      <c r="M360" s="294"/>
      <c r="O360" s="294"/>
      <c r="P360" s="294"/>
      <c r="Q360" s="294"/>
      <c r="R360" s="294"/>
      <c r="S360" s="294"/>
      <c r="T360" s="294"/>
      <c r="U360" s="326"/>
      <c r="V360" s="294"/>
      <c r="W360" s="294"/>
      <c r="X360" s="294"/>
      <c r="Y360" s="294"/>
      <c r="Z360" s="294"/>
      <c r="AA360" s="294"/>
      <c r="AB360" s="294"/>
      <c r="AC360" s="294"/>
    </row>
    <row r="361" spans="2:29" x14ac:dyDescent="0.25">
      <c r="B361" s="294"/>
      <c r="C361" s="294"/>
      <c r="D361" s="294"/>
      <c r="E361" s="294"/>
      <c r="F361" s="294"/>
      <c r="G361" s="294"/>
      <c r="H361" s="294"/>
      <c r="I361" s="294"/>
      <c r="J361" s="294"/>
      <c r="L361" s="295"/>
      <c r="M361" s="294"/>
      <c r="O361" s="294"/>
      <c r="P361" s="294"/>
      <c r="Q361" s="294"/>
      <c r="R361" s="294"/>
      <c r="S361" s="294"/>
      <c r="T361" s="294"/>
      <c r="U361" s="326"/>
      <c r="V361" s="294"/>
      <c r="W361" s="294"/>
      <c r="X361" s="294"/>
      <c r="Y361" s="294"/>
      <c r="Z361" s="294"/>
      <c r="AA361" s="294"/>
      <c r="AB361" s="294"/>
      <c r="AC361" s="294"/>
    </row>
    <row r="362" spans="2:29" x14ac:dyDescent="0.25">
      <c r="B362" s="294"/>
      <c r="C362" s="294"/>
      <c r="D362" s="294"/>
      <c r="E362" s="294"/>
      <c r="F362" s="294"/>
      <c r="G362" s="294"/>
      <c r="H362" s="294"/>
      <c r="I362" s="294"/>
      <c r="J362" s="294"/>
      <c r="L362" s="295"/>
      <c r="M362" s="294"/>
      <c r="O362" s="294"/>
      <c r="P362" s="294"/>
      <c r="Q362" s="294"/>
      <c r="R362" s="294"/>
      <c r="S362" s="294"/>
      <c r="T362" s="294"/>
      <c r="U362" s="326"/>
      <c r="V362" s="294"/>
      <c r="W362" s="294"/>
      <c r="X362" s="294"/>
      <c r="Y362" s="294"/>
      <c r="Z362" s="294"/>
      <c r="AA362" s="294"/>
      <c r="AB362" s="294"/>
      <c r="AC362" s="294"/>
    </row>
    <row r="363" spans="2:29" x14ac:dyDescent="0.25">
      <c r="B363" s="294"/>
      <c r="C363" s="294"/>
      <c r="D363" s="294"/>
      <c r="E363" s="294"/>
      <c r="F363" s="294"/>
      <c r="G363" s="294"/>
      <c r="H363" s="294"/>
      <c r="I363" s="294"/>
      <c r="J363" s="294"/>
      <c r="L363" s="295"/>
      <c r="M363" s="294"/>
      <c r="O363" s="294"/>
      <c r="P363" s="294"/>
      <c r="Q363" s="294"/>
      <c r="R363" s="294"/>
      <c r="S363" s="294"/>
      <c r="T363" s="294"/>
      <c r="U363" s="326"/>
      <c r="V363" s="294"/>
      <c r="W363" s="294"/>
      <c r="X363" s="294"/>
      <c r="Y363" s="294"/>
      <c r="Z363" s="294"/>
      <c r="AA363" s="294"/>
      <c r="AB363" s="294"/>
      <c r="AC363" s="294"/>
    </row>
    <row r="364" spans="2:29" x14ac:dyDescent="0.25">
      <c r="B364" s="294"/>
      <c r="C364" s="294"/>
      <c r="D364" s="294"/>
      <c r="E364" s="294"/>
      <c r="F364" s="294"/>
      <c r="G364" s="294"/>
      <c r="H364" s="294"/>
      <c r="I364" s="294"/>
      <c r="J364" s="294"/>
      <c r="L364" s="295"/>
      <c r="M364" s="294"/>
      <c r="O364" s="294"/>
      <c r="P364" s="294"/>
      <c r="Q364" s="294"/>
      <c r="R364" s="294"/>
      <c r="S364" s="294"/>
      <c r="T364" s="294"/>
      <c r="U364" s="326"/>
      <c r="V364" s="294"/>
      <c r="W364" s="294"/>
      <c r="X364" s="294"/>
      <c r="Y364" s="294"/>
      <c r="Z364" s="294"/>
      <c r="AA364" s="294"/>
      <c r="AB364" s="294"/>
      <c r="AC364" s="294"/>
    </row>
    <row r="365" spans="2:29" x14ac:dyDescent="0.25">
      <c r="B365" s="294"/>
      <c r="C365" s="294"/>
      <c r="D365" s="294"/>
      <c r="E365" s="294"/>
      <c r="F365" s="294"/>
      <c r="G365" s="294"/>
      <c r="H365" s="294"/>
      <c r="I365" s="294"/>
      <c r="J365" s="294"/>
      <c r="L365" s="295"/>
      <c r="M365" s="294"/>
      <c r="O365" s="294"/>
      <c r="P365" s="294"/>
      <c r="Q365" s="294"/>
      <c r="R365" s="294"/>
      <c r="S365" s="294"/>
      <c r="T365" s="294"/>
      <c r="U365" s="326"/>
      <c r="V365" s="294"/>
      <c r="W365" s="294"/>
      <c r="X365" s="294"/>
      <c r="Y365" s="294"/>
      <c r="Z365" s="294"/>
      <c r="AA365" s="294"/>
      <c r="AB365" s="294"/>
      <c r="AC365" s="294"/>
    </row>
    <row r="366" spans="2:29" x14ac:dyDescent="0.25">
      <c r="B366" s="294"/>
      <c r="C366" s="294"/>
      <c r="D366" s="294"/>
      <c r="E366" s="294"/>
      <c r="F366" s="294"/>
      <c r="G366" s="294"/>
      <c r="H366" s="294"/>
      <c r="I366" s="294"/>
      <c r="J366" s="294"/>
      <c r="L366" s="295"/>
      <c r="M366" s="294"/>
      <c r="O366" s="294"/>
      <c r="P366" s="294"/>
      <c r="Q366" s="294"/>
      <c r="R366" s="294"/>
      <c r="S366" s="294"/>
      <c r="T366" s="294"/>
      <c r="U366" s="326"/>
      <c r="V366" s="294"/>
      <c r="W366" s="294"/>
      <c r="X366" s="294"/>
      <c r="Y366" s="294"/>
      <c r="Z366" s="294"/>
      <c r="AA366" s="294"/>
      <c r="AB366" s="294"/>
      <c r="AC366" s="294"/>
    </row>
    <row r="367" spans="2:29" x14ac:dyDescent="0.25">
      <c r="B367" s="294"/>
      <c r="C367" s="294"/>
      <c r="D367" s="294"/>
      <c r="E367" s="294"/>
      <c r="F367" s="294"/>
      <c r="G367" s="294"/>
      <c r="H367" s="294"/>
      <c r="I367" s="294"/>
      <c r="J367" s="294"/>
      <c r="L367" s="295"/>
      <c r="M367" s="294"/>
      <c r="O367" s="294"/>
      <c r="P367" s="294"/>
      <c r="Q367" s="294"/>
      <c r="R367" s="294"/>
      <c r="S367" s="294"/>
      <c r="T367" s="294"/>
      <c r="U367" s="326"/>
      <c r="V367" s="294"/>
      <c r="W367" s="294"/>
      <c r="X367" s="294"/>
      <c r="Y367" s="294"/>
      <c r="Z367" s="294"/>
      <c r="AA367" s="294"/>
      <c r="AB367" s="294"/>
      <c r="AC367" s="294"/>
    </row>
    <row r="368" spans="2:29" x14ac:dyDescent="0.25">
      <c r="B368" s="294"/>
      <c r="C368" s="294"/>
      <c r="D368" s="294"/>
      <c r="E368" s="294"/>
      <c r="F368" s="294"/>
      <c r="G368" s="294"/>
      <c r="H368" s="294"/>
      <c r="I368" s="294"/>
      <c r="J368" s="294"/>
      <c r="L368" s="295"/>
      <c r="M368" s="294"/>
      <c r="O368" s="294"/>
      <c r="P368" s="294"/>
      <c r="Q368" s="294"/>
      <c r="R368" s="294"/>
      <c r="S368" s="294"/>
      <c r="T368" s="294"/>
      <c r="U368" s="326"/>
      <c r="V368" s="294"/>
      <c r="W368" s="294"/>
      <c r="X368" s="294"/>
      <c r="Y368" s="294"/>
      <c r="Z368" s="294"/>
      <c r="AA368" s="294"/>
      <c r="AB368" s="294"/>
      <c r="AC368" s="294"/>
    </row>
    <row r="369" spans="2:29" x14ac:dyDescent="0.25">
      <c r="B369" s="294"/>
      <c r="C369" s="294"/>
      <c r="D369" s="294"/>
      <c r="E369" s="294"/>
      <c r="F369" s="294"/>
      <c r="G369" s="294"/>
      <c r="H369" s="294"/>
      <c r="I369" s="294"/>
      <c r="J369" s="294"/>
      <c r="L369" s="295"/>
      <c r="M369" s="294"/>
      <c r="O369" s="294"/>
      <c r="P369" s="294"/>
      <c r="Q369" s="294"/>
      <c r="R369" s="294"/>
      <c r="S369" s="294"/>
      <c r="T369" s="294"/>
      <c r="U369" s="326"/>
      <c r="V369" s="294"/>
      <c r="W369" s="294"/>
      <c r="X369" s="294"/>
      <c r="Y369" s="294"/>
      <c r="Z369" s="294"/>
      <c r="AA369" s="294"/>
      <c r="AB369" s="294"/>
      <c r="AC369" s="294"/>
    </row>
    <row r="370" spans="2:29" x14ac:dyDescent="0.25">
      <c r="B370" s="294"/>
      <c r="C370" s="294"/>
      <c r="D370" s="294"/>
      <c r="E370" s="294"/>
      <c r="F370" s="294"/>
      <c r="G370" s="294"/>
      <c r="H370" s="294"/>
      <c r="I370" s="294"/>
      <c r="J370" s="294"/>
      <c r="L370" s="295"/>
      <c r="M370" s="294"/>
      <c r="O370" s="294"/>
      <c r="P370" s="294"/>
      <c r="Q370" s="294"/>
      <c r="R370" s="294"/>
      <c r="S370" s="294"/>
      <c r="T370" s="294"/>
      <c r="U370" s="326"/>
      <c r="V370" s="294"/>
      <c r="W370" s="294"/>
      <c r="X370" s="294"/>
      <c r="Y370" s="294"/>
      <c r="Z370" s="294"/>
      <c r="AA370" s="294"/>
      <c r="AB370" s="294"/>
      <c r="AC370" s="294"/>
    </row>
    <row r="371" spans="2:29" x14ac:dyDescent="0.25">
      <c r="B371" s="294"/>
      <c r="C371" s="294"/>
      <c r="D371" s="294"/>
      <c r="E371" s="294"/>
      <c r="F371" s="294"/>
      <c r="G371" s="294"/>
      <c r="H371" s="294"/>
      <c r="I371" s="294"/>
      <c r="J371" s="294"/>
      <c r="L371" s="295"/>
      <c r="M371" s="294"/>
      <c r="O371" s="294"/>
      <c r="P371" s="294"/>
      <c r="Q371" s="294"/>
      <c r="R371" s="294"/>
      <c r="S371" s="294"/>
      <c r="T371" s="294"/>
      <c r="U371" s="326"/>
      <c r="V371" s="294"/>
      <c r="W371" s="294"/>
      <c r="X371" s="294"/>
      <c r="Y371" s="294"/>
      <c r="Z371" s="294"/>
      <c r="AA371" s="294"/>
      <c r="AB371" s="294"/>
      <c r="AC371" s="294"/>
    </row>
    <row r="372" spans="2:29" x14ac:dyDescent="0.25">
      <c r="B372" s="294"/>
      <c r="C372" s="294"/>
      <c r="D372" s="294"/>
      <c r="E372" s="294"/>
      <c r="F372" s="294"/>
      <c r="G372" s="294"/>
      <c r="H372" s="294"/>
      <c r="I372" s="294"/>
      <c r="J372" s="294"/>
      <c r="L372" s="295"/>
      <c r="M372" s="294"/>
      <c r="O372" s="294"/>
      <c r="P372" s="294"/>
      <c r="Q372" s="294"/>
      <c r="R372" s="294"/>
      <c r="S372" s="294"/>
      <c r="T372" s="294"/>
      <c r="U372" s="326"/>
      <c r="V372" s="294"/>
      <c r="W372" s="294"/>
      <c r="X372" s="294"/>
      <c r="Y372" s="294"/>
      <c r="Z372" s="294"/>
      <c r="AA372" s="294"/>
      <c r="AB372" s="294"/>
      <c r="AC372" s="294"/>
    </row>
    <row r="373" spans="2:29" x14ac:dyDescent="0.25">
      <c r="B373" s="294"/>
      <c r="C373" s="294"/>
      <c r="D373" s="294"/>
      <c r="E373" s="294"/>
      <c r="F373" s="294"/>
      <c r="G373" s="294"/>
      <c r="H373" s="294"/>
      <c r="I373" s="294"/>
      <c r="J373" s="294"/>
      <c r="L373" s="295"/>
      <c r="M373" s="294"/>
      <c r="O373" s="294"/>
      <c r="P373" s="294"/>
      <c r="Q373" s="294"/>
      <c r="R373" s="294"/>
      <c r="S373" s="294"/>
      <c r="T373" s="294"/>
      <c r="U373" s="326"/>
      <c r="V373" s="294"/>
      <c r="W373" s="294"/>
      <c r="X373" s="294"/>
      <c r="Y373" s="294"/>
      <c r="Z373" s="294"/>
      <c r="AA373" s="294"/>
      <c r="AB373" s="294"/>
      <c r="AC373" s="294"/>
    </row>
    <row r="374" spans="2:29" x14ac:dyDescent="0.25">
      <c r="B374" s="294"/>
      <c r="C374" s="294"/>
      <c r="D374" s="294"/>
      <c r="E374" s="294"/>
      <c r="F374" s="294"/>
      <c r="G374" s="294"/>
      <c r="H374" s="294"/>
      <c r="I374" s="294"/>
      <c r="J374" s="294"/>
      <c r="L374" s="295"/>
      <c r="M374" s="294"/>
      <c r="O374" s="294"/>
      <c r="P374" s="294"/>
      <c r="Q374" s="294"/>
      <c r="R374" s="294"/>
      <c r="S374" s="294"/>
      <c r="T374" s="294"/>
      <c r="U374" s="326"/>
      <c r="V374" s="294"/>
      <c r="W374" s="294"/>
      <c r="X374" s="294"/>
      <c r="Y374" s="294"/>
      <c r="Z374" s="294"/>
      <c r="AA374" s="294"/>
      <c r="AB374" s="294"/>
      <c r="AC374" s="294"/>
    </row>
    <row r="375" spans="2:29" x14ac:dyDescent="0.25">
      <c r="B375" s="294"/>
      <c r="C375" s="294"/>
      <c r="D375" s="294"/>
      <c r="E375" s="294"/>
      <c r="F375" s="294"/>
      <c r="G375" s="294"/>
      <c r="H375" s="294"/>
      <c r="I375" s="294"/>
      <c r="J375" s="294"/>
      <c r="L375" s="295"/>
      <c r="M375" s="294"/>
      <c r="O375" s="294"/>
      <c r="P375" s="294"/>
      <c r="Q375" s="294"/>
      <c r="R375" s="294"/>
      <c r="S375" s="294"/>
      <c r="T375" s="294"/>
      <c r="U375" s="326"/>
      <c r="V375" s="294"/>
      <c r="W375" s="294"/>
      <c r="X375" s="294"/>
      <c r="Y375" s="294"/>
      <c r="Z375" s="294"/>
      <c r="AA375" s="294"/>
      <c r="AB375" s="294"/>
      <c r="AC375" s="294"/>
    </row>
    <row r="376" spans="2:29" x14ac:dyDescent="0.25">
      <c r="B376" s="294"/>
      <c r="C376" s="294"/>
      <c r="D376" s="294"/>
      <c r="E376" s="294"/>
      <c r="F376" s="294"/>
      <c r="G376" s="294"/>
      <c r="H376" s="294"/>
      <c r="I376" s="294"/>
      <c r="J376" s="294"/>
      <c r="L376" s="295"/>
      <c r="M376" s="294"/>
      <c r="O376" s="294"/>
      <c r="P376" s="294"/>
      <c r="Q376" s="294"/>
      <c r="R376" s="294"/>
      <c r="S376" s="294"/>
      <c r="T376" s="294"/>
      <c r="U376" s="326"/>
      <c r="V376" s="294"/>
      <c r="W376" s="294"/>
      <c r="X376" s="294"/>
      <c r="Y376" s="294"/>
      <c r="Z376" s="294"/>
      <c r="AA376" s="294"/>
      <c r="AB376" s="294"/>
      <c r="AC376" s="294"/>
    </row>
    <row r="377" spans="2:29" x14ac:dyDescent="0.25">
      <c r="B377" s="294"/>
      <c r="C377" s="294"/>
      <c r="D377" s="294"/>
      <c r="E377" s="294"/>
      <c r="F377" s="294"/>
      <c r="G377" s="294"/>
      <c r="H377" s="294"/>
      <c r="I377" s="294"/>
      <c r="J377" s="294"/>
      <c r="L377" s="295"/>
      <c r="M377" s="294"/>
      <c r="O377" s="294"/>
      <c r="P377" s="294"/>
      <c r="Q377" s="294"/>
      <c r="R377" s="294"/>
      <c r="S377" s="294"/>
      <c r="T377" s="294"/>
      <c r="U377" s="326"/>
      <c r="V377" s="294"/>
      <c r="W377" s="294"/>
      <c r="X377" s="294"/>
      <c r="Y377" s="294"/>
      <c r="Z377" s="294"/>
      <c r="AA377" s="294"/>
      <c r="AB377" s="294"/>
      <c r="AC377" s="294"/>
    </row>
    <row r="378" spans="2:29" x14ac:dyDescent="0.25">
      <c r="B378" s="294"/>
      <c r="C378" s="294"/>
      <c r="D378" s="294"/>
      <c r="E378" s="294"/>
      <c r="F378" s="294"/>
      <c r="G378" s="294"/>
      <c r="H378" s="294"/>
      <c r="I378" s="294"/>
      <c r="J378" s="294"/>
      <c r="L378" s="295"/>
      <c r="M378" s="294"/>
      <c r="O378" s="294"/>
      <c r="P378" s="294"/>
      <c r="Q378" s="294"/>
      <c r="R378" s="294"/>
      <c r="S378" s="294"/>
      <c r="T378" s="294"/>
      <c r="U378" s="326"/>
      <c r="V378" s="294"/>
      <c r="W378" s="294"/>
      <c r="X378" s="294"/>
      <c r="Y378" s="294"/>
      <c r="Z378" s="294"/>
      <c r="AA378" s="294"/>
      <c r="AB378" s="294"/>
      <c r="AC378" s="294"/>
    </row>
    <row r="379" spans="2:29" x14ac:dyDescent="0.25">
      <c r="B379" s="294"/>
      <c r="C379" s="294"/>
      <c r="D379" s="294"/>
      <c r="E379" s="294"/>
      <c r="F379" s="294"/>
      <c r="G379" s="294"/>
      <c r="H379" s="294"/>
      <c r="I379" s="294"/>
      <c r="J379" s="294"/>
      <c r="L379" s="295"/>
      <c r="M379" s="294"/>
      <c r="O379" s="294"/>
      <c r="P379" s="294"/>
      <c r="Q379" s="294"/>
      <c r="R379" s="294"/>
      <c r="S379" s="294"/>
      <c r="T379" s="294"/>
      <c r="U379" s="326"/>
      <c r="V379" s="294"/>
      <c r="W379" s="294"/>
      <c r="X379" s="294"/>
      <c r="Y379" s="294"/>
      <c r="Z379" s="294"/>
      <c r="AA379" s="294"/>
      <c r="AB379" s="294"/>
      <c r="AC379" s="294"/>
    </row>
    <row r="380" spans="2:29" x14ac:dyDescent="0.25">
      <c r="B380" s="294"/>
      <c r="C380" s="294"/>
      <c r="D380" s="294"/>
      <c r="E380" s="294"/>
      <c r="F380" s="294"/>
      <c r="G380" s="294"/>
      <c r="H380" s="294"/>
      <c r="I380" s="294"/>
      <c r="J380" s="294"/>
      <c r="L380" s="295"/>
      <c r="M380" s="294"/>
      <c r="O380" s="294"/>
      <c r="P380" s="294"/>
      <c r="Q380" s="294"/>
      <c r="R380" s="294"/>
      <c r="S380" s="294"/>
      <c r="T380" s="294"/>
      <c r="U380" s="326"/>
      <c r="V380" s="294"/>
      <c r="W380" s="294"/>
      <c r="X380" s="294"/>
      <c r="Y380" s="294"/>
      <c r="Z380" s="294"/>
      <c r="AA380" s="294"/>
      <c r="AB380" s="294"/>
      <c r="AC380" s="294"/>
    </row>
    <row r="381" spans="2:29" x14ac:dyDescent="0.25">
      <c r="B381" s="294"/>
      <c r="C381" s="294"/>
      <c r="D381" s="294"/>
      <c r="E381" s="294"/>
      <c r="F381" s="294"/>
      <c r="G381" s="294"/>
      <c r="H381" s="294"/>
      <c r="I381" s="294"/>
      <c r="J381" s="294"/>
      <c r="L381" s="295"/>
      <c r="M381" s="294"/>
      <c r="O381" s="294"/>
      <c r="P381" s="294"/>
      <c r="Q381" s="294"/>
      <c r="R381" s="294"/>
      <c r="S381" s="294"/>
      <c r="T381" s="294"/>
      <c r="U381" s="326"/>
      <c r="V381" s="294"/>
      <c r="W381" s="294"/>
      <c r="X381" s="294"/>
      <c r="Y381" s="294"/>
      <c r="Z381" s="294"/>
      <c r="AA381" s="294"/>
      <c r="AB381" s="294"/>
      <c r="AC381" s="294"/>
    </row>
    <row r="382" spans="2:29" x14ac:dyDescent="0.25">
      <c r="B382" s="294"/>
      <c r="C382" s="294"/>
      <c r="D382" s="294"/>
      <c r="E382" s="294"/>
      <c r="F382" s="294"/>
      <c r="G382" s="294"/>
      <c r="H382" s="294"/>
      <c r="I382" s="294"/>
      <c r="J382" s="294"/>
      <c r="L382" s="295"/>
      <c r="M382" s="294"/>
      <c r="O382" s="294"/>
      <c r="P382" s="294"/>
      <c r="Q382" s="294"/>
      <c r="R382" s="294"/>
      <c r="S382" s="294"/>
      <c r="T382" s="294"/>
      <c r="U382" s="326"/>
      <c r="V382" s="294"/>
      <c r="W382" s="294"/>
      <c r="X382" s="294"/>
      <c r="Y382" s="294"/>
      <c r="Z382" s="294"/>
      <c r="AA382" s="294"/>
      <c r="AB382" s="294"/>
      <c r="AC382" s="294"/>
    </row>
    <row r="383" spans="2:29" x14ac:dyDescent="0.25">
      <c r="B383" s="294"/>
      <c r="C383" s="294"/>
      <c r="D383" s="294"/>
      <c r="E383" s="294"/>
      <c r="F383" s="294"/>
      <c r="G383" s="294"/>
      <c r="H383" s="294"/>
      <c r="I383" s="294"/>
      <c r="J383" s="294"/>
      <c r="L383" s="295"/>
      <c r="M383" s="294"/>
      <c r="O383" s="294"/>
      <c r="P383" s="294"/>
      <c r="Q383" s="294"/>
      <c r="R383" s="294"/>
      <c r="S383" s="294"/>
      <c r="T383" s="294"/>
      <c r="U383" s="326"/>
      <c r="V383" s="294"/>
      <c r="W383" s="294"/>
      <c r="X383" s="294"/>
      <c r="Y383" s="294"/>
      <c r="Z383" s="294"/>
      <c r="AA383" s="294"/>
      <c r="AB383" s="294"/>
      <c r="AC383" s="294"/>
    </row>
    <row r="384" spans="2:29" x14ac:dyDescent="0.25">
      <c r="B384" s="294"/>
      <c r="C384" s="294"/>
      <c r="D384" s="294"/>
      <c r="E384" s="294"/>
      <c r="F384" s="294"/>
      <c r="G384" s="294"/>
      <c r="H384" s="294"/>
      <c r="I384" s="294"/>
      <c r="J384" s="294"/>
      <c r="L384" s="295"/>
      <c r="M384" s="294"/>
      <c r="O384" s="294"/>
      <c r="P384" s="294"/>
      <c r="Q384" s="294"/>
      <c r="R384" s="294"/>
      <c r="S384" s="294"/>
      <c r="T384" s="294"/>
      <c r="U384" s="326"/>
      <c r="V384" s="294"/>
      <c r="W384" s="294"/>
      <c r="X384" s="294"/>
      <c r="Y384" s="294"/>
      <c r="Z384" s="294"/>
      <c r="AA384" s="294"/>
      <c r="AB384" s="294"/>
      <c r="AC384" s="294"/>
    </row>
    <row r="385" spans="2:29" x14ac:dyDescent="0.25">
      <c r="B385" s="294"/>
      <c r="C385" s="294"/>
      <c r="D385" s="294"/>
      <c r="E385" s="294"/>
      <c r="F385" s="294"/>
      <c r="G385" s="294"/>
      <c r="H385" s="294"/>
      <c r="I385" s="294"/>
      <c r="J385" s="294"/>
      <c r="L385" s="295"/>
      <c r="M385" s="294"/>
      <c r="O385" s="294"/>
      <c r="P385" s="294"/>
      <c r="Q385" s="294"/>
      <c r="R385" s="294"/>
      <c r="S385" s="294"/>
      <c r="T385" s="294"/>
      <c r="U385" s="326"/>
      <c r="V385" s="294"/>
      <c r="W385" s="294"/>
      <c r="X385" s="294"/>
      <c r="Y385" s="294"/>
      <c r="Z385" s="294"/>
      <c r="AA385" s="294"/>
      <c r="AB385" s="294"/>
      <c r="AC385" s="294"/>
    </row>
    <row r="386" spans="2:29" x14ac:dyDescent="0.25">
      <c r="B386" s="294"/>
      <c r="C386" s="294"/>
      <c r="D386" s="294"/>
      <c r="E386" s="294"/>
      <c r="F386" s="294"/>
      <c r="G386" s="294"/>
      <c r="H386" s="294"/>
      <c r="I386" s="294"/>
      <c r="J386" s="294"/>
      <c r="L386" s="295"/>
      <c r="M386" s="294"/>
      <c r="O386" s="294"/>
      <c r="P386" s="294"/>
      <c r="Q386" s="294"/>
      <c r="R386" s="294"/>
      <c r="S386" s="294"/>
      <c r="T386" s="294"/>
      <c r="U386" s="326"/>
      <c r="V386" s="294"/>
      <c r="W386" s="294"/>
      <c r="X386" s="294"/>
      <c r="Y386" s="294"/>
      <c r="Z386" s="294"/>
      <c r="AA386" s="294"/>
      <c r="AB386" s="294"/>
      <c r="AC386" s="294"/>
    </row>
    <row r="387" spans="2:29" x14ac:dyDescent="0.25">
      <c r="B387" s="294"/>
      <c r="C387" s="294"/>
      <c r="D387" s="294"/>
      <c r="E387" s="294"/>
      <c r="F387" s="294"/>
      <c r="G387" s="294"/>
      <c r="H387" s="294"/>
      <c r="I387" s="294"/>
      <c r="J387" s="294"/>
      <c r="L387" s="295"/>
      <c r="M387" s="294"/>
      <c r="O387" s="294"/>
      <c r="P387" s="294"/>
      <c r="Q387" s="294"/>
      <c r="R387" s="294"/>
      <c r="S387" s="294"/>
      <c r="T387" s="294"/>
      <c r="U387" s="326"/>
      <c r="V387" s="294"/>
      <c r="W387" s="294"/>
      <c r="X387" s="294"/>
      <c r="Y387" s="294"/>
      <c r="Z387" s="294"/>
      <c r="AA387" s="294"/>
      <c r="AB387" s="294"/>
      <c r="AC387" s="294"/>
    </row>
    <row r="388" spans="2:29" x14ac:dyDescent="0.25">
      <c r="B388" s="294"/>
      <c r="C388" s="294"/>
      <c r="D388" s="294"/>
      <c r="E388" s="294"/>
      <c r="F388" s="294"/>
      <c r="G388" s="294"/>
      <c r="H388" s="294"/>
      <c r="I388" s="294"/>
      <c r="J388" s="294"/>
      <c r="L388" s="295"/>
      <c r="M388" s="294"/>
      <c r="O388" s="294"/>
      <c r="P388" s="294"/>
      <c r="Q388" s="294"/>
      <c r="R388" s="294"/>
      <c r="S388" s="294"/>
      <c r="T388" s="294"/>
      <c r="U388" s="326"/>
      <c r="V388" s="294"/>
      <c r="W388" s="294"/>
      <c r="X388" s="294"/>
      <c r="Y388" s="294"/>
      <c r="Z388" s="294"/>
      <c r="AA388" s="294"/>
      <c r="AB388" s="294"/>
      <c r="AC388" s="294"/>
    </row>
    <row r="389" spans="2:29" x14ac:dyDescent="0.25">
      <c r="B389" s="294"/>
      <c r="C389" s="294"/>
      <c r="D389" s="294"/>
      <c r="E389" s="294"/>
      <c r="F389" s="294"/>
      <c r="G389" s="294"/>
      <c r="H389" s="294"/>
      <c r="I389" s="294"/>
      <c r="J389" s="294"/>
      <c r="L389" s="295"/>
      <c r="M389" s="294"/>
      <c r="O389" s="294"/>
      <c r="P389" s="294"/>
      <c r="Q389" s="294"/>
      <c r="R389" s="294"/>
      <c r="S389" s="294"/>
      <c r="T389" s="294"/>
      <c r="U389" s="326"/>
      <c r="V389" s="294"/>
      <c r="W389" s="294"/>
      <c r="X389" s="294"/>
      <c r="Y389" s="294"/>
      <c r="Z389" s="294"/>
      <c r="AA389" s="294"/>
      <c r="AB389" s="294"/>
      <c r="AC389" s="294"/>
    </row>
    <row r="390" spans="2:29" x14ac:dyDescent="0.25">
      <c r="B390" s="294"/>
      <c r="C390" s="294"/>
      <c r="D390" s="294"/>
      <c r="E390" s="294"/>
      <c r="F390" s="294"/>
      <c r="G390" s="294"/>
      <c r="H390" s="294"/>
      <c r="I390" s="294"/>
      <c r="J390" s="294"/>
      <c r="L390" s="295"/>
      <c r="M390" s="294"/>
      <c r="O390" s="294"/>
      <c r="P390" s="294"/>
      <c r="Q390" s="294"/>
      <c r="R390" s="294"/>
      <c r="S390" s="294"/>
      <c r="T390" s="294"/>
      <c r="U390" s="326"/>
      <c r="V390" s="294"/>
      <c r="W390" s="294"/>
      <c r="X390" s="294"/>
      <c r="Y390" s="294"/>
      <c r="Z390" s="294"/>
      <c r="AA390" s="294"/>
      <c r="AB390" s="294"/>
      <c r="AC390" s="294"/>
    </row>
    <row r="391" spans="2:29" x14ac:dyDescent="0.25">
      <c r="B391" s="294"/>
      <c r="C391" s="294"/>
      <c r="D391" s="294"/>
      <c r="E391" s="294"/>
      <c r="F391" s="294"/>
      <c r="G391" s="294"/>
      <c r="H391" s="294"/>
      <c r="I391" s="294"/>
      <c r="J391" s="294"/>
      <c r="L391" s="295"/>
      <c r="M391" s="294"/>
      <c r="O391" s="294"/>
      <c r="P391" s="294"/>
      <c r="Q391" s="294"/>
      <c r="R391" s="294"/>
      <c r="S391" s="294"/>
      <c r="T391" s="294"/>
      <c r="U391" s="326"/>
      <c r="V391" s="294"/>
      <c r="W391" s="294"/>
      <c r="X391" s="294"/>
      <c r="Y391" s="294"/>
      <c r="Z391" s="294"/>
      <c r="AA391" s="294"/>
      <c r="AB391" s="294"/>
      <c r="AC391" s="294"/>
    </row>
    <row r="392" spans="2:29" x14ac:dyDescent="0.25">
      <c r="B392" s="294"/>
      <c r="C392" s="294"/>
      <c r="D392" s="294"/>
      <c r="E392" s="294"/>
      <c r="F392" s="294"/>
      <c r="G392" s="294"/>
      <c r="H392" s="294"/>
      <c r="I392" s="294"/>
      <c r="J392" s="294"/>
      <c r="L392" s="295"/>
      <c r="M392" s="294"/>
      <c r="O392" s="294"/>
      <c r="P392" s="294"/>
      <c r="Q392" s="294"/>
      <c r="R392" s="294"/>
      <c r="S392" s="294"/>
      <c r="T392" s="294"/>
      <c r="U392" s="326"/>
      <c r="V392" s="294"/>
      <c r="W392" s="294"/>
      <c r="X392" s="294"/>
      <c r="Y392" s="294"/>
      <c r="Z392" s="294"/>
      <c r="AA392" s="294"/>
      <c r="AB392" s="294"/>
      <c r="AC392" s="294"/>
    </row>
    <row r="393" spans="2:29" x14ac:dyDescent="0.25">
      <c r="B393" s="294"/>
      <c r="C393" s="294"/>
      <c r="D393" s="294"/>
      <c r="E393" s="294"/>
      <c r="F393" s="294"/>
      <c r="G393" s="294"/>
      <c r="H393" s="294"/>
      <c r="I393" s="294"/>
      <c r="J393" s="294"/>
      <c r="L393" s="295"/>
      <c r="M393" s="294"/>
      <c r="O393" s="294"/>
      <c r="P393" s="294"/>
      <c r="Q393" s="294"/>
      <c r="R393" s="294"/>
      <c r="S393" s="294"/>
      <c r="T393" s="294"/>
      <c r="U393" s="326"/>
      <c r="V393" s="294"/>
      <c r="W393" s="294"/>
      <c r="X393" s="294"/>
      <c r="Y393" s="294"/>
      <c r="Z393" s="294"/>
      <c r="AA393" s="294"/>
      <c r="AB393" s="294"/>
      <c r="AC393" s="294"/>
    </row>
    <row r="394" spans="2:29" x14ac:dyDescent="0.25">
      <c r="B394" s="294"/>
      <c r="C394" s="294"/>
      <c r="D394" s="294"/>
      <c r="E394" s="294"/>
      <c r="F394" s="294"/>
      <c r="G394" s="294"/>
      <c r="H394" s="294"/>
      <c r="I394" s="294"/>
      <c r="J394" s="294"/>
      <c r="L394" s="295"/>
      <c r="M394" s="294"/>
      <c r="O394" s="294"/>
      <c r="P394" s="294"/>
      <c r="Q394" s="294"/>
      <c r="R394" s="294"/>
      <c r="S394" s="294"/>
      <c r="T394" s="294"/>
      <c r="U394" s="326"/>
      <c r="V394" s="294"/>
      <c r="W394" s="294"/>
      <c r="X394" s="294"/>
      <c r="Y394" s="294"/>
      <c r="Z394" s="294"/>
      <c r="AA394" s="294"/>
      <c r="AB394" s="294"/>
      <c r="AC394" s="294"/>
    </row>
    <row r="395" spans="2:29" x14ac:dyDescent="0.25">
      <c r="B395" s="294"/>
      <c r="C395" s="294"/>
      <c r="D395" s="294"/>
      <c r="E395" s="294"/>
      <c r="F395" s="294"/>
      <c r="G395" s="294"/>
      <c r="H395" s="294"/>
      <c r="I395" s="294"/>
      <c r="J395" s="294"/>
      <c r="L395" s="295"/>
      <c r="M395" s="294"/>
      <c r="O395" s="294"/>
      <c r="P395" s="294"/>
      <c r="Q395" s="294"/>
      <c r="R395" s="294"/>
      <c r="S395" s="294"/>
      <c r="T395" s="294"/>
      <c r="U395" s="326"/>
      <c r="V395" s="294"/>
      <c r="W395" s="294"/>
      <c r="X395" s="294"/>
      <c r="Y395" s="294"/>
      <c r="Z395" s="294"/>
      <c r="AA395" s="294"/>
      <c r="AB395" s="294"/>
      <c r="AC395" s="294"/>
    </row>
    <row r="396" spans="2:29" x14ac:dyDescent="0.25">
      <c r="B396" s="294"/>
      <c r="C396" s="294"/>
      <c r="D396" s="294"/>
      <c r="E396" s="294"/>
      <c r="F396" s="294"/>
      <c r="G396" s="294"/>
      <c r="H396" s="294"/>
      <c r="I396" s="294"/>
      <c r="J396" s="294"/>
      <c r="L396" s="295"/>
      <c r="M396" s="294"/>
      <c r="O396" s="294"/>
      <c r="P396" s="294"/>
      <c r="Q396" s="294"/>
      <c r="R396" s="294"/>
      <c r="S396" s="294"/>
      <c r="T396" s="294"/>
      <c r="U396" s="326"/>
      <c r="V396" s="294"/>
      <c r="W396" s="294"/>
      <c r="X396" s="294"/>
      <c r="Y396" s="294"/>
      <c r="Z396" s="294"/>
      <c r="AA396" s="294"/>
      <c r="AB396" s="294"/>
      <c r="AC396" s="294"/>
    </row>
    <row r="397" spans="2:29" x14ac:dyDescent="0.25">
      <c r="B397" s="294"/>
      <c r="C397" s="294"/>
      <c r="D397" s="294"/>
      <c r="E397" s="294"/>
      <c r="F397" s="294"/>
      <c r="G397" s="294"/>
      <c r="H397" s="294"/>
      <c r="I397" s="294"/>
      <c r="J397" s="294"/>
      <c r="L397" s="295"/>
      <c r="M397" s="294"/>
      <c r="O397" s="294"/>
      <c r="P397" s="294"/>
      <c r="Q397" s="294"/>
      <c r="R397" s="294"/>
      <c r="S397" s="294"/>
      <c r="T397" s="294"/>
      <c r="U397" s="326"/>
      <c r="V397" s="294"/>
      <c r="W397" s="294"/>
      <c r="X397" s="294"/>
      <c r="Y397" s="294"/>
      <c r="Z397" s="294"/>
      <c r="AA397" s="294"/>
      <c r="AB397" s="294"/>
      <c r="AC397" s="294"/>
    </row>
    <row r="398" spans="2:29" x14ac:dyDescent="0.25">
      <c r="B398" s="294"/>
      <c r="C398" s="294"/>
      <c r="D398" s="294"/>
      <c r="E398" s="294"/>
      <c r="F398" s="294"/>
      <c r="G398" s="294"/>
      <c r="H398" s="294"/>
      <c r="I398" s="294"/>
      <c r="J398" s="294"/>
      <c r="L398" s="295"/>
      <c r="M398" s="294"/>
      <c r="O398" s="294"/>
      <c r="P398" s="294"/>
      <c r="Q398" s="294"/>
      <c r="R398" s="294"/>
      <c r="S398" s="294"/>
      <c r="T398" s="294"/>
      <c r="U398" s="326"/>
      <c r="V398" s="294"/>
      <c r="W398" s="294"/>
      <c r="X398" s="294"/>
      <c r="Y398" s="294"/>
      <c r="Z398" s="294"/>
      <c r="AA398" s="294"/>
      <c r="AB398" s="294"/>
      <c r="AC398" s="294"/>
    </row>
    <row r="399" spans="2:29" x14ac:dyDescent="0.25">
      <c r="B399" s="294"/>
      <c r="C399" s="294"/>
      <c r="D399" s="294"/>
      <c r="E399" s="294"/>
      <c r="F399" s="294"/>
      <c r="G399" s="294"/>
      <c r="H399" s="294"/>
      <c r="I399" s="294"/>
      <c r="J399" s="294"/>
      <c r="L399" s="295"/>
      <c r="M399" s="294"/>
      <c r="O399" s="294"/>
      <c r="P399" s="294"/>
      <c r="Q399" s="294"/>
      <c r="R399" s="294"/>
      <c r="S399" s="294"/>
      <c r="T399" s="294"/>
      <c r="U399" s="326"/>
      <c r="V399" s="294"/>
      <c r="W399" s="294"/>
      <c r="X399" s="294"/>
      <c r="Y399" s="294"/>
      <c r="Z399" s="294"/>
      <c r="AA399" s="294"/>
      <c r="AB399" s="294"/>
      <c r="AC399" s="294"/>
    </row>
    <row r="400" spans="2:29" x14ac:dyDescent="0.25">
      <c r="B400" s="294"/>
      <c r="C400" s="294"/>
      <c r="D400" s="294"/>
      <c r="E400" s="294"/>
      <c r="F400" s="294"/>
      <c r="G400" s="294"/>
      <c r="H400" s="294"/>
      <c r="I400" s="294"/>
      <c r="J400" s="294"/>
      <c r="L400" s="295"/>
      <c r="M400" s="294"/>
      <c r="O400" s="294"/>
      <c r="P400" s="294"/>
      <c r="Q400" s="294"/>
      <c r="R400" s="294"/>
      <c r="S400" s="294"/>
      <c r="T400" s="294"/>
      <c r="U400" s="326"/>
      <c r="V400" s="294"/>
      <c r="W400" s="294"/>
      <c r="X400" s="294"/>
      <c r="Y400" s="294"/>
      <c r="Z400" s="294"/>
      <c r="AA400" s="294"/>
      <c r="AB400" s="294"/>
      <c r="AC400" s="294"/>
    </row>
    <row r="401" spans="2:29" x14ac:dyDescent="0.25">
      <c r="B401" s="294"/>
      <c r="C401" s="294"/>
      <c r="D401" s="294"/>
      <c r="E401" s="294"/>
      <c r="F401" s="294"/>
      <c r="G401" s="294"/>
      <c r="H401" s="294"/>
      <c r="I401" s="294"/>
      <c r="J401" s="294"/>
      <c r="L401" s="295"/>
      <c r="M401" s="294"/>
      <c r="O401" s="294"/>
      <c r="P401" s="294"/>
      <c r="Q401" s="294"/>
      <c r="R401" s="294"/>
      <c r="S401" s="294"/>
      <c r="T401" s="294"/>
      <c r="U401" s="326"/>
      <c r="V401" s="294"/>
      <c r="W401" s="294"/>
      <c r="X401" s="294"/>
      <c r="Y401" s="294"/>
      <c r="Z401" s="294"/>
      <c r="AA401" s="294"/>
      <c r="AB401" s="294"/>
      <c r="AC401" s="294"/>
    </row>
    <row r="402" spans="2:29" x14ac:dyDescent="0.25">
      <c r="B402" s="294"/>
      <c r="C402" s="294"/>
      <c r="D402" s="294"/>
      <c r="E402" s="294"/>
      <c r="F402" s="294"/>
      <c r="G402" s="294"/>
      <c r="H402" s="294"/>
      <c r="I402" s="294"/>
      <c r="J402" s="294"/>
      <c r="L402" s="295"/>
      <c r="M402" s="294"/>
      <c r="O402" s="294"/>
      <c r="P402" s="294"/>
      <c r="Q402" s="294"/>
      <c r="R402" s="294"/>
      <c r="S402" s="294"/>
      <c r="T402" s="294"/>
      <c r="U402" s="326"/>
      <c r="V402" s="294"/>
      <c r="W402" s="294"/>
      <c r="X402" s="294"/>
      <c r="Y402" s="294"/>
      <c r="Z402" s="294"/>
      <c r="AA402" s="294"/>
      <c r="AB402" s="294"/>
      <c r="AC402" s="294"/>
    </row>
    <row r="403" spans="2:29" x14ac:dyDescent="0.25">
      <c r="B403" s="294"/>
      <c r="C403" s="294"/>
      <c r="D403" s="294"/>
      <c r="E403" s="294"/>
      <c r="F403" s="294"/>
      <c r="G403" s="294"/>
      <c r="H403" s="294"/>
      <c r="I403" s="294"/>
      <c r="J403" s="294"/>
      <c r="L403" s="295"/>
      <c r="M403" s="294"/>
      <c r="O403" s="294"/>
      <c r="P403" s="294"/>
      <c r="Q403" s="294"/>
      <c r="R403" s="294"/>
      <c r="S403" s="294"/>
      <c r="T403" s="294"/>
      <c r="U403" s="326"/>
      <c r="V403" s="294"/>
      <c r="W403" s="294"/>
      <c r="X403" s="294"/>
      <c r="Y403" s="294"/>
      <c r="Z403" s="294"/>
      <c r="AA403" s="294"/>
      <c r="AB403" s="294"/>
      <c r="AC403" s="294"/>
    </row>
    <row r="404" spans="2:29" x14ac:dyDescent="0.25">
      <c r="B404" s="294"/>
      <c r="C404" s="294"/>
      <c r="D404" s="294"/>
      <c r="E404" s="294"/>
      <c r="F404" s="294"/>
      <c r="G404" s="294"/>
      <c r="H404" s="294"/>
      <c r="I404" s="294"/>
      <c r="J404" s="294"/>
      <c r="L404" s="295"/>
      <c r="M404" s="294"/>
      <c r="O404" s="294"/>
      <c r="P404" s="294"/>
      <c r="Q404" s="294"/>
      <c r="R404" s="294"/>
      <c r="S404" s="294"/>
      <c r="T404" s="294"/>
      <c r="U404" s="326"/>
      <c r="V404" s="294"/>
      <c r="W404" s="294"/>
      <c r="X404" s="294"/>
      <c r="Y404" s="294"/>
      <c r="Z404" s="294"/>
      <c r="AA404" s="294"/>
      <c r="AB404" s="294"/>
      <c r="AC404" s="294"/>
    </row>
    <row r="405" spans="2:29" x14ac:dyDescent="0.25">
      <c r="B405" s="294"/>
      <c r="C405" s="294"/>
      <c r="D405" s="294"/>
      <c r="E405" s="294"/>
      <c r="F405" s="294"/>
      <c r="G405" s="294"/>
      <c r="H405" s="294"/>
      <c r="I405" s="294"/>
      <c r="J405" s="294"/>
      <c r="L405" s="295"/>
      <c r="M405" s="294"/>
      <c r="O405" s="294"/>
      <c r="P405" s="294"/>
      <c r="Q405" s="294"/>
      <c r="R405" s="294"/>
      <c r="S405" s="294"/>
      <c r="T405" s="294"/>
      <c r="U405" s="326"/>
      <c r="V405" s="294"/>
      <c r="W405" s="294"/>
      <c r="X405" s="294"/>
      <c r="Y405" s="294"/>
      <c r="Z405" s="294"/>
      <c r="AA405" s="294"/>
      <c r="AB405" s="294"/>
      <c r="AC405" s="294"/>
    </row>
    <row r="406" spans="2:29" x14ac:dyDescent="0.25">
      <c r="B406" s="294"/>
      <c r="C406" s="294"/>
      <c r="D406" s="294"/>
      <c r="E406" s="294"/>
      <c r="F406" s="294"/>
      <c r="G406" s="294"/>
      <c r="H406" s="294"/>
      <c r="I406" s="294"/>
      <c r="J406" s="294"/>
      <c r="L406" s="295"/>
      <c r="M406" s="294"/>
      <c r="O406" s="294"/>
      <c r="P406" s="294"/>
      <c r="Q406" s="294"/>
      <c r="R406" s="294"/>
      <c r="S406" s="294"/>
      <c r="T406" s="294"/>
      <c r="U406" s="326"/>
      <c r="V406" s="294"/>
      <c r="W406" s="294"/>
      <c r="X406" s="294"/>
      <c r="Y406" s="294"/>
      <c r="Z406" s="294"/>
      <c r="AA406" s="294"/>
      <c r="AB406" s="294"/>
      <c r="AC406" s="294"/>
    </row>
    <row r="407" spans="2:29" x14ac:dyDescent="0.25">
      <c r="B407" s="294"/>
      <c r="C407" s="294"/>
      <c r="D407" s="294"/>
      <c r="E407" s="294"/>
      <c r="F407" s="294"/>
      <c r="G407" s="294"/>
      <c r="H407" s="294"/>
      <c r="I407" s="294"/>
      <c r="J407" s="294"/>
      <c r="L407" s="295"/>
      <c r="M407" s="294"/>
      <c r="O407" s="294"/>
      <c r="P407" s="294"/>
      <c r="Q407" s="294"/>
      <c r="R407" s="294"/>
      <c r="S407" s="294"/>
      <c r="T407" s="294"/>
      <c r="U407" s="326"/>
      <c r="V407" s="294"/>
      <c r="W407" s="294"/>
      <c r="X407" s="294"/>
      <c r="Y407" s="294"/>
      <c r="Z407" s="294"/>
      <c r="AA407" s="294"/>
      <c r="AB407" s="294"/>
      <c r="AC407" s="294"/>
    </row>
    <row r="408" spans="2:29" x14ac:dyDescent="0.25">
      <c r="B408" s="294"/>
      <c r="C408" s="294"/>
      <c r="D408" s="294"/>
      <c r="E408" s="294"/>
      <c r="F408" s="294"/>
      <c r="G408" s="294"/>
      <c r="H408" s="294"/>
      <c r="I408" s="294"/>
      <c r="J408" s="294"/>
      <c r="L408" s="295"/>
      <c r="M408" s="294"/>
      <c r="O408" s="294"/>
      <c r="P408" s="294"/>
      <c r="Q408" s="294"/>
      <c r="R408" s="294"/>
      <c r="S408" s="294"/>
      <c r="T408" s="294"/>
      <c r="U408" s="326"/>
      <c r="V408" s="294"/>
      <c r="W408" s="294"/>
      <c r="X408" s="294"/>
      <c r="Y408" s="294"/>
      <c r="Z408" s="294"/>
      <c r="AA408" s="294"/>
      <c r="AB408" s="294"/>
      <c r="AC408" s="294"/>
    </row>
    <row r="409" spans="2:29" x14ac:dyDescent="0.25">
      <c r="B409" s="294"/>
      <c r="C409" s="294"/>
      <c r="D409" s="294"/>
      <c r="E409" s="294"/>
      <c r="F409" s="294"/>
      <c r="G409" s="294"/>
      <c r="H409" s="294"/>
      <c r="I409" s="294"/>
      <c r="J409" s="294"/>
      <c r="L409" s="295"/>
      <c r="M409" s="294"/>
      <c r="O409" s="294"/>
      <c r="P409" s="294"/>
      <c r="Q409" s="294"/>
      <c r="R409" s="294"/>
      <c r="S409" s="294"/>
      <c r="T409" s="294"/>
      <c r="U409" s="326"/>
      <c r="V409" s="294"/>
      <c r="W409" s="294"/>
      <c r="X409" s="294"/>
      <c r="Y409" s="294"/>
      <c r="Z409" s="294"/>
      <c r="AA409" s="294"/>
      <c r="AB409" s="294"/>
      <c r="AC409" s="294"/>
    </row>
    <row r="410" spans="2:29" x14ac:dyDescent="0.25">
      <c r="B410" s="294"/>
      <c r="C410" s="294"/>
      <c r="D410" s="294"/>
      <c r="E410" s="294"/>
      <c r="F410" s="294"/>
      <c r="G410" s="294"/>
      <c r="H410" s="294"/>
      <c r="I410" s="294"/>
      <c r="J410" s="294"/>
      <c r="L410" s="295"/>
      <c r="M410" s="294"/>
      <c r="O410" s="294"/>
      <c r="P410" s="294"/>
      <c r="Q410" s="294"/>
      <c r="R410" s="294"/>
      <c r="S410" s="294"/>
      <c r="T410" s="294"/>
      <c r="U410" s="326"/>
      <c r="V410" s="294"/>
      <c r="W410" s="294"/>
      <c r="X410" s="294"/>
      <c r="Y410" s="294"/>
      <c r="Z410" s="294"/>
      <c r="AA410" s="294"/>
      <c r="AB410" s="294"/>
      <c r="AC410" s="294"/>
    </row>
    <row r="411" spans="2:29" x14ac:dyDescent="0.25">
      <c r="B411" s="294"/>
      <c r="C411" s="294"/>
      <c r="D411" s="294"/>
      <c r="E411" s="294"/>
      <c r="F411" s="294"/>
      <c r="G411" s="294"/>
      <c r="H411" s="294"/>
      <c r="I411" s="294"/>
      <c r="J411" s="294"/>
      <c r="L411" s="295"/>
      <c r="M411" s="294"/>
      <c r="O411" s="294"/>
      <c r="P411" s="294"/>
      <c r="Q411" s="294"/>
      <c r="R411" s="294"/>
      <c r="S411" s="294"/>
      <c r="T411" s="294"/>
      <c r="U411" s="326"/>
      <c r="V411" s="294"/>
      <c r="W411" s="294"/>
      <c r="X411" s="294"/>
      <c r="Y411" s="294"/>
      <c r="Z411" s="294"/>
      <c r="AA411" s="294"/>
      <c r="AB411" s="294"/>
      <c r="AC411" s="294"/>
    </row>
    <row r="412" spans="2:29" x14ac:dyDescent="0.25">
      <c r="B412" s="294"/>
      <c r="C412" s="294"/>
      <c r="D412" s="294"/>
      <c r="E412" s="294"/>
      <c r="F412" s="294"/>
      <c r="G412" s="294"/>
      <c r="H412" s="294"/>
      <c r="I412" s="294"/>
      <c r="J412" s="294"/>
      <c r="L412" s="295"/>
      <c r="M412" s="294"/>
      <c r="O412" s="294"/>
      <c r="P412" s="294"/>
      <c r="Q412" s="294"/>
      <c r="R412" s="294"/>
      <c r="S412" s="294"/>
      <c r="T412" s="294"/>
      <c r="U412" s="326"/>
      <c r="V412" s="294"/>
      <c r="W412" s="294"/>
      <c r="X412" s="294"/>
      <c r="Y412" s="294"/>
      <c r="Z412" s="294"/>
      <c r="AA412" s="294"/>
      <c r="AB412" s="294"/>
      <c r="AC412" s="294"/>
    </row>
    <row r="413" spans="2:29" x14ac:dyDescent="0.25">
      <c r="B413" s="294"/>
      <c r="C413" s="294"/>
      <c r="D413" s="294"/>
      <c r="E413" s="294"/>
      <c r="F413" s="294"/>
      <c r="G413" s="294"/>
      <c r="H413" s="294"/>
      <c r="I413" s="294"/>
      <c r="J413" s="294"/>
      <c r="L413" s="295"/>
      <c r="M413" s="294"/>
      <c r="O413" s="294"/>
      <c r="P413" s="294"/>
      <c r="Q413" s="294"/>
      <c r="R413" s="294"/>
      <c r="S413" s="294"/>
      <c r="T413" s="294"/>
      <c r="U413" s="326"/>
      <c r="V413" s="294"/>
      <c r="W413" s="294"/>
      <c r="X413" s="294"/>
      <c r="Y413" s="294"/>
      <c r="Z413" s="294"/>
      <c r="AA413" s="294"/>
      <c r="AB413" s="294"/>
      <c r="AC413" s="294"/>
    </row>
    <row r="414" spans="2:29" x14ac:dyDescent="0.25">
      <c r="B414" s="294"/>
      <c r="C414" s="294"/>
      <c r="D414" s="294"/>
      <c r="E414" s="294"/>
      <c r="F414" s="294"/>
      <c r="G414" s="294"/>
      <c r="H414" s="294"/>
      <c r="I414" s="294"/>
      <c r="J414" s="294"/>
      <c r="L414" s="295"/>
      <c r="M414" s="294"/>
      <c r="O414" s="294"/>
      <c r="P414" s="294"/>
      <c r="Q414" s="294"/>
      <c r="R414" s="294"/>
      <c r="S414" s="294"/>
      <c r="T414" s="294"/>
      <c r="U414" s="326"/>
      <c r="V414" s="294"/>
      <c r="W414" s="294"/>
      <c r="X414" s="294"/>
      <c r="Y414" s="294"/>
      <c r="Z414" s="294"/>
      <c r="AA414" s="294"/>
      <c r="AB414" s="294"/>
      <c r="AC414" s="294"/>
    </row>
    <row r="415" spans="2:29" x14ac:dyDescent="0.25">
      <c r="B415" s="294"/>
      <c r="C415" s="294"/>
      <c r="D415" s="294"/>
      <c r="E415" s="294"/>
      <c r="F415" s="294"/>
      <c r="G415" s="294"/>
      <c r="H415" s="294"/>
      <c r="I415" s="294"/>
      <c r="J415" s="294"/>
      <c r="L415" s="295"/>
      <c r="M415" s="294"/>
      <c r="O415" s="294"/>
      <c r="P415" s="294"/>
      <c r="Q415" s="294"/>
      <c r="R415" s="294"/>
      <c r="S415" s="294"/>
      <c r="T415" s="294"/>
      <c r="U415" s="326"/>
      <c r="V415" s="294"/>
      <c r="W415" s="294"/>
      <c r="X415" s="294"/>
      <c r="Y415" s="294"/>
      <c r="Z415" s="294"/>
      <c r="AA415" s="294"/>
      <c r="AB415" s="294"/>
      <c r="AC415" s="294"/>
    </row>
    <row r="416" spans="2:29" x14ac:dyDescent="0.25">
      <c r="B416" s="294"/>
      <c r="C416" s="294"/>
      <c r="D416" s="294"/>
      <c r="E416" s="294"/>
      <c r="F416" s="294"/>
      <c r="G416" s="294"/>
      <c r="H416" s="294"/>
      <c r="I416" s="294"/>
      <c r="J416" s="294"/>
      <c r="L416" s="295"/>
      <c r="M416" s="294"/>
      <c r="O416" s="294"/>
      <c r="P416" s="294"/>
      <c r="Q416" s="294"/>
      <c r="R416" s="294"/>
      <c r="S416" s="294"/>
      <c r="T416" s="294"/>
      <c r="U416" s="326"/>
      <c r="V416" s="294"/>
      <c r="W416" s="294"/>
      <c r="X416" s="294"/>
      <c r="Y416" s="294"/>
      <c r="Z416" s="294"/>
      <c r="AA416" s="294"/>
      <c r="AB416" s="294"/>
      <c r="AC416" s="294"/>
    </row>
    <row r="417" spans="2:29" x14ac:dyDescent="0.25">
      <c r="B417" s="294"/>
      <c r="C417" s="294"/>
      <c r="D417" s="294"/>
      <c r="E417" s="294"/>
      <c r="F417" s="294"/>
      <c r="G417" s="294"/>
      <c r="H417" s="294"/>
      <c r="I417" s="294"/>
      <c r="J417" s="294"/>
      <c r="L417" s="295"/>
      <c r="M417" s="294"/>
      <c r="O417" s="294"/>
      <c r="P417" s="294"/>
      <c r="Q417" s="294"/>
      <c r="R417" s="294"/>
      <c r="S417" s="294"/>
      <c r="T417" s="294"/>
      <c r="U417" s="326"/>
      <c r="V417" s="294"/>
      <c r="W417" s="294"/>
      <c r="X417" s="294"/>
      <c r="Y417" s="294"/>
      <c r="Z417" s="294"/>
      <c r="AA417" s="294"/>
      <c r="AB417" s="294"/>
      <c r="AC417" s="294"/>
    </row>
    <row r="418" spans="2:29" x14ac:dyDescent="0.25">
      <c r="B418" s="294"/>
      <c r="C418" s="294"/>
      <c r="D418" s="294"/>
      <c r="E418" s="294"/>
      <c r="F418" s="294"/>
      <c r="G418" s="294"/>
      <c r="H418" s="294"/>
      <c r="I418" s="294"/>
      <c r="J418" s="294"/>
      <c r="L418" s="295"/>
      <c r="M418" s="294"/>
      <c r="O418" s="294"/>
      <c r="P418" s="294"/>
      <c r="Q418" s="294"/>
      <c r="R418" s="294"/>
      <c r="S418" s="294"/>
      <c r="T418" s="294"/>
      <c r="U418" s="326"/>
      <c r="V418" s="294"/>
      <c r="W418" s="294"/>
      <c r="X418" s="294"/>
      <c r="Y418" s="294"/>
      <c r="Z418" s="294"/>
      <c r="AA418" s="294"/>
      <c r="AB418" s="294"/>
      <c r="AC418" s="294"/>
    </row>
    <row r="419" spans="2:29" x14ac:dyDescent="0.25">
      <c r="B419" s="294"/>
      <c r="C419" s="294"/>
      <c r="D419" s="294"/>
      <c r="E419" s="294"/>
      <c r="F419" s="294"/>
      <c r="G419" s="294"/>
      <c r="H419" s="294"/>
      <c r="I419" s="294"/>
      <c r="J419" s="294"/>
      <c r="L419" s="295"/>
      <c r="M419" s="294"/>
      <c r="O419" s="294"/>
      <c r="P419" s="294"/>
      <c r="Q419" s="294"/>
      <c r="R419" s="294"/>
      <c r="S419" s="294"/>
      <c r="T419" s="294"/>
      <c r="U419" s="326"/>
      <c r="V419" s="294"/>
      <c r="W419" s="294"/>
      <c r="X419" s="294"/>
      <c r="Y419" s="294"/>
      <c r="Z419" s="294"/>
      <c r="AA419" s="294"/>
      <c r="AB419" s="294"/>
      <c r="AC419" s="294"/>
    </row>
    <row r="420" spans="2:29" x14ac:dyDescent="0.25">
      <c r="B420" s="294"/>
      <c r="C420" s="294"/>
      <c r="D420" s="294"/>
      <c r="E420" s="294"/>
      <c r="F420" s="294"/>
      <c r="G420" s="294"/>
      <c r="H420" s="294"/>
      <c r="I420" s="294"/>
      <c r="J420" s="294"/>
      <c r="L420" s="295"/>
      <c r="M420" s="294"/>
      <c r="O420" s="294"/>
      <c r="P420" s="294"/>
      <c r="Q420" s="294"/>
      <c r="R420" s="294"/>
      <c r="S420" s="294"/>
      <c r="T420" s="294"/>
      <c r="U420" s="326"/>
      <c r="V420" s="294"/>
      <c r="W420" s="294"/>
      <c r="X420" s="294"/>
      <c r="Y420" s="294"/>
      <c r="Z420" s="294"/>
      <c r="AA420" s="294"/>
      <c r="AB420" s="294"/>
      <c r="AC420" s="294"/>
    </row>
    <row r="421" spans="2:29" x14ac:dyDescent="0.25">
      <c r="B421" s="294"/>
      <c r="C421" s="294"/>
      <c r="D421" s="294"/>
      <c r="E421" s="294"/>
      <c r="F421" s="294"/>
      <c r="G421" s="294"/>
      <c r="H421" s="294"/>
      <c r="I421" s="294"/>
      <c r="J421" s="294"/>
      <c r="L421" s="295"/>
      <c r="M421" s="294"/>
      <c r="O421" s="294"/>
      <c r="P421" s="294"/>
      <c r="Q421" s="294"/>
      <c r="R421" s="294"/>
      <c r="S421" s="294"/>
      <c r="T421" s="294"/>
      <c r="U421" s="326"/>
      <c r="V421" s="294"/>
      <c r="W421" s="294"/>
      <c r="X421" s="294"/>
      <c r="Y421" s="294"/>
      <c r="Z421" s="294"/>
      <c r="AA421" s="294"/>
      <c r="AB421" s="294"/>
      <c r="AC421" s="294"/>
    </row>
    <row r="422" spans="2:29" x14ac:dyDescent="0.25">
      <c r="B422" s="294"/>
      <c r="C422" s="294"/>
      <c r="D422" s="294"/>
      <c r="E422" s="294"/>
      <c r="F422" s="294"/>
      <c r="G422" s="294"/>
      <c r="H422" s="294"/>
      <c r="I422" s="294"/>
      <c r="J422" s="294"/>
      <c r="L422" s="295"/>
      <c r="M422" s="294"/>
      <c r="O422" s="294"/>
      <c r="P422" s="294"/>
      <c r="Q422" s="294"/>
      <c r="R422" s="294"/>
      <c r="S422" s="294"/>
      <c r="T422" s="294"/>
      <c r="U422" s="326"/>
      <c r="V422" s="294"/>
      <c r="W422" s="294"/>
      <c r="X422" s="294"/>
      <c r="Y422" s="294"/>
      <c r="Z422" s="294"/>
      <c r="AA422" s="294"/>
      <c r="AB422" s="294"/>
      <c r="AC422" s="294"/>
    </row>
    <row r="423" spans="2:29" x14ac:dyDescent="0.25">
      <c r="B423" s="294"/>
      <c r="C423" s="294"/>
      <c r="D423" s="294"/>
      <c r="E423" s="294"/>
      <c r="F423" s="294"/>
      <c r="G423" s="294"/>
      <c r="H423" s="294"/>
      <c r="I423" s="294"/>
      <c r="J423" s="294"/>
      <c r="L423" s="295"/>
      <c r="M423" s="294"/>
      <c r="O423" s="294"/>
      <c r="P423" s="294"/>
      <c r="Q423" s="294"/>
      <c r="R423" s="294"/>
      <c r="S423" s="294"/>
      <c r="T423" s="294"/>
      <c r="U423" s="326"/>
      <c r="V423" s="294"/>
      <c r="W423" s="294"/>
      <c r="X423" s="294"/>
      <c r="Y423" s="294"/>
      <c r="Z423" s="294"/>
      <c r="AA423" s="294"/>
      <c r="AB423" s="294"/>
      <c r="AC423" s="294"/>
    </row>
    <row r="424" spans="2:29" x14ac:dyDescent="0.25">
      <c r="B424" s="294"/>
      <c r="C424" s="294"/>
      <c r="D424" s="294"/>
      <c r="E424" s="294"/>
      <c r="F424" s="294"/>
      <c r="G424" s="294"/>
      <c r="H424" s="294"/>
      <c r="I424" s="294"/>
      <c r="J424" s="294"/>
      <c r="L424" s="295"/>
      <c r="M424" s="294"/>
      <c r="O424" s="294"/>
      <c r="P424" s="294"/>
      <c r="Q424" s="294"/>
      <c r="R424" s="294"/>
      <c r="S424" s="294"/>
      <c r="T424" s="294"/>
      <c r="U424" s="326"/>
      <c r="V424" s="294"/>
      <c r="W424" s="294"/>
      <c r="X424" s="294"/>
      <c r="Y424" s="294"/>
      <c r="Z424" s="294"/>
      <c r="AA424" s="294"/>
      <c r="AB424" s="294"/>
      <c r="AC424" s="294"/>
    </row>
    <row r="425" spans="2:29" x14ac:dyDescent="0.25">
      <c r="B425" s="294"/>
      <c r="C425" s="294"/>
      <c r="D425" s="294"/>
      <c r="E425" s="294"/>
      <c r="F425" s="294"/>
      <c r="G425" s="294"/>
      <c r="H425" s="294"/>
      <c r="I425" s="294"/>
      <c r="J425" s="294"/>
      <c r="L425" s="295"/>
      <c r="M425" s="294"/>
      <c r="O425" s="294"/>
      <c r="P425" s="294"/>
      <c r="Q425" s="294"/>
      <c r="R425" s="294"/>
      <c r="S425" s="294"/>
      <c r="T425" s="294"/>
      <c r="U425" s="326"/>
      <c r="V425" s="294"/>
      <c r="W425" s="294"/>
      <c r="X425" s="294"/>
      <c r="Y425" s="294"/>
      <c r="Z425" s="294"/>
      <c r="AA425" s="294"/>
      <c r="AB425" s="294"/>
      <c r="AC425" s="294"/>
    </row>
    <row r="426" spans="2:29" x14ac:dyDescent="0.25">
      <c r="B426" s="294"/>
      <c r="C426" s="294"/>
      <c r="D426" s="294"/>
      <c r="E426" s="294"/>
      <c r="F426" s="294"/>
      <c r="G426" s="294"/>
      <c r="H426" s="294"/>
      <c r="I426" s="294"/>
      <c r="J426" s="294"/>
      <c r="L426" s="295"/>
      <c r="M426" s="294"/>
      <c r="O426" s="294"/>
      <c r="P426" s="294"/>
      <c r="Q426" s="294"/>
      <c r="R426" s="294"/>
      <c r="S426" s="294"/>
      <c r="T426" s="294"/>
      <c r="U426" s="326"/>
      <c r="V426" s="294"/>
      <c r="W426" s="294"/>
      <c r="X426" s="294"/>
      <c r="Y426" s="294"/>
      <c r="Z426" s="294"/>
      <c r="AA426" s="294"/>
      <c r="AB426" s="294"/>
      <c r="AC426" s="294"/>
    </row>
    <row r="427" spans="2:29" x14ac:dyDescent="0.25">
      <c r="B427" s="294"/>
      <c r="C427" s="294"/>
      <c r="D427" s="294"/>
      <c r="E427" s="294"/>
      <c r="F427" s="294"/>
      <c r="G427" s="294"/>
      <c r="H427" s="294"/>
      <c r="I427" s="294"/>
      <c r="J427" s="294"/>
      <c r="L427" s="295"/>
      <c r="M427" s="294"/>
      <c r="O427" s="294"/>
      <c r="P427" s="294"/>
      <c r="Q427" s="294"/>
      <c r="R427" s="294"/>
      <c r="S427" s="294"/>
      <c r="T427" s="294"/>
      <c r="U427" s="326"/>
      <c r="V427" s="294"/>
      <c r="W427" s="294"/>
      <c r="X427" s="294"/>
      <c r="Y427" s="294"/>
      <c r="Z427" s="294"/>
      <c r="AA427" s="294"/>
      <c r="AB427" s="294"/>
      <c r="AC427" s="294"/>
    </row>
    <row r="428" spans="2:29" x14ac:dyDescent="0.25">
      <c r="B428" s="294"/>
      <c r="C428" s="294"/>
      <c r="D428" s="294"/>
      <c r="E428" s="294"/>
      <c r="F428" s="294"/>
      <c r="G428" s="294"/>
      <c r="H428" s="294"/>
      <c r="I428" s="294"/>
      <c r="J428" s="294"/>
      <c r="L428" s="295"/>
      <c r="M428" s="294"/>
      <c r="O428" s="294"/>
      <c r="P428" s="294"/>
      <c r="Q428" s="294"/>
      <c r="R428" s="294"/>
      <c r="S428" s="294"/>
      <c r="T428" s="294"/>
      <c r="U428" s="326"/>
      <c r="V428" s="294"/>
      <c r="W428" s="294"/>
      <c r="X428" s="294"/>
      <c r="Y428" s="294"/>
      <c r="Z428" s="294"/>
      <c r="AA428" s="294"/>
      <c r="AB428" s="294"/>
      <c r="AC428" s="294"/>
    </row>
    <row r="429" spans="2:29" x14ac:dyDescent="0.25">
      <c r="B429" s="294"/>
      <c r="C429" s="294"/>
      <c r="D429" s="294"/>
      <c r="E429" s="294"/>
      <c r="F429" s="294"/>
      <c r="G429" s="294"/>
      <c r="H429" s="294"/>
      <c r="I429" s="294"/>
      <c r="J429" s="294"/>
      <c r="L429" s="295"/>
      <c r="M429" s="294"/>
      <c r="O429" s="294"/>
      <c r="P429" s="294"/>
      <c r="Q429" s="294"/>
      <c r="R429" s="294"/>
      <c r="S429" s="294"/>
      <c r="T429" s="294"/>
      <c r="U429" s="326"/>
      <c r="V429" s="294"/>
      <c r="W429" s="294"/>
      <c r="X429" s="294"/>
      <c r="Y429" s="294"/>
      <c r="Z429" s="294"/>
      <c r="AA429" s="294"/>
      <c r="AB429" s="294"/>
      <c r="AC429" s="294"/>
    </row>
    <row r="430" spans="2:29" x14ac:dyDescent="0.25">
      <c r="B430" s="294"/>
      <c r="C430" s="294"/>
      <c r="D430" s="294"/>
      <c r="E430" s="294"/>
      <c r="F430" s="294"/>
      <c r="G430" s="294"/>
      <c r="H430" s="294"/>
      <c r="I430" s="294"/>
      <c r="J430" s="294"/>
      <c r="L430" s="295"/>
      <c r="M430" s="294"/>
      <c r="O430" s="294"/>
      <c r="P430" s="294"/>
      <c r="Q430" s="294"/>
      <c r="R430" s="294"/>
      <c r="S430" s="294"/>
      <c r="T430" s="294"/>
      <c r="U430" s="326"/>
      <c r="V430" s="294"/>
      <c r="W430" s="294"/>
      <c r="X430" s="294"/>
      <c r="Y430" s="294"/>
      <c r="Z430" s="294"/>
      <c r="AA430" s="294"/>
      <c r="AB430" s="294"/>
      <c r="AC430" s="294"/>
    </row>
    <row r="431" spans="2:29" x14ac:dyDescent="0.25">
      <c r="B431" s="294"/>
      <c r="C431" s="294"/>
      <c r="D431" s="294"/>
      <c r="E431" s="294"/>
      <c r="F431" s="294"/>
      <c r="G431" s="294"/>
      <c r="H431" s="294"/>
      <c r="I431" s="294"/>
      <c r="J431" s="294"/>
      <c r="L431" s="295"/>
      <c r="M431" s="294"/>
      <c r="O431" s="294"/>
      <c r="P431" s="294"/>
      <c r="Q431" s="294"/>
      <c r="R431" s="294"/>
      <c r="S431" s="294"/>
      <c r="T431" s="294"/>
      <c r="U431" s="326"/>
      <c r="V431" s="294"/>
      <c r="W431" s="294"/>
      <c r="X431" s="294"/>
      <c r="Y431" s="294"/>
      <c r="Z431" s="294"/>
      <c r="AA431" s="294"/>
      <c r="AB431" s="294"/>
      <c r="AC431" s="294"/>
    </row>
    <row r="432" spans="2:29" x14ac:dyDescent="0.25">
      <c r="B432" s="294"/>
      <c r="C432" s="294"/>
      <c r="D432" s="294"/>
      <c r="E432" s="294"/>
      <c r="F432" s="294"/>
      <c r="G432" s="294"/>
      <c r="H432" s="294"/>
      <c r="I432" s="294"/>
      <c r="J432" s="294"/>
      <c r="L432" s="295"/>
      <c r="M432" s="294"/>
      <c r="O432" s="294"/>
      <c r="P432" s="294"/>
      <c r="Q432" s="294"/>
      <c r="R432" s="294"/>
      <c r="S432" s="294"/>
      <c r="T432" s="294"/>
      <c r="U432" s="326"/>
      <c r="V432" s="294"/>
      <c r="W432" s="294"/>
      <c r="X432" s="294"/>
      <c r="Y432" s="294"/>
      <c r="Z432" s="294"/>
      <c r="AA432" s="294"/>
      <c r="AB432" s="294"/>
      <c r="AC432" s="294"/>
    </row>
    <row r="433" spans="2:29" x14ac:dyDescent="0.25">
      <c r="B433" s="294"/>
      <c r="C433" s="294"/>
      <c r="D433" s="294"/>
      <c r="E433" s="294"/>
      <c r="F433" s="294"/>
      <c r="G433" s="294"/>
      <c r="H433" s="294"/>
      <c r="I433" s="294"/>
      <c r="J433" s="294"/>
      <c r="L433" s="295"/>
      <c r="M433" s="294"/>
      <c r="O433" s="294"/>
      <c r="P433" s="294"/>
      <c r="Q433" s="294"/>
      <c r="R433" s="294"/>
      <c r="S433" s="294"/>
      <c r="T433" s="294"/>
      <c r="U433" s="326"/>
      <c r="V433" s="294"/>
      <c r="W433" s="294"/>
      <c r="X433" s="294"/>
      <c r="Y433" s="294"/>
      <c r="Z433" s="294"/>
      <c r="AA433" s="294"/>
      <c r="AB433" s="294"/>
      <c r="AC433" s="294"/>
    </row>
    <row r="434" spans="2:29" x14ac:dyDescent="0.25">
      <c r="B434" s="294"/>
      <c r="C434" s="294"/>
      <c r="D434" s="294"/>
      <c r="E434" s="294"/>
      <c r="F434" s="294"/>
      <c r="G434" s="294"/>
      <c r="H434" s="294"/>
      <c r="I434" s="294"/>
      <c r="J434" s="294"/>
      <c r="L434" s="295"/>
      <c r="M434" s="294"/>
      <c r="O434" s="294"/>
      <c r="P434" s="294"/>
      <c r="Q434" s="294"/>
      <c r="R434" s="294"/>
      <c r="S434" s="294"/>
      <c r="T434" s="294"/>
      <c r="U434" s="326"/>
      <c r="V434" s="294"/>
      <c r="W434" s="294"/>
      <c r="X434" s="294"/>
      <c r="Y434" s="294"/>
      <c r="Z434" s="294"/>
      <c r="AA434" s="294"/>
      <c r="AB434" s="294"/>
      <c r="AC434" s="294"/>
    </row>
    <row r="435" spans="2:29" x14ac:dyDescent="0.25">
      <c r="B435" s="294"/>
      <c r="C435" s="294"/>
      <c r="D435" s="294"/>
      <c r="E435" s="294"/>
      <c r="F435" s="294"/>
      <c r="G435" s="294"/>
      <c r="H435" s="294"/>
      <c r="I435" s="294"/>
      <c r="J435" s="294"/>
      <c r="L435" s="295"/>
      <c r="M435" s="294"/>
      <c r="O435" s="294"/>
      <c r="P435" s="294"/>
      <c r="Q435" s="294"/>
      <c r="R435" s="294"/>
      <c r="S435" s="294"/>
      <c r="T435" s="294"/>
      <c r="U435" s="326"/>
      <c r="V435" s="294"/>
      <c r="W435" s="294"/>
      <c r="X435" s="294"/>
      <c r="Y435" s="294"/>
      <c r="Z435" s="294"/>
      <c r="AA435" s="294"/>
      <c r="AB435" s="294"/>
      <c r="AC435" s="294"/>
    </row>
    <row r="436" spans="2:29" x14ac:dyDescent="0.25">
      <c r="B436" s="294"/>
      <c r="C436" s="294"/>
      <c r="D436" s="294"/>
      <c r="E436" s="294"/>
      <c r="F436" s="294"/>
      <c r="G436" s="294"/>
      <c r="H436" s="294"/>
      <c r="I436" s="294"/>
      <c r="J436" s="294"/>
      <c r="L436" s="295"/>
      <c r="M436" s="294"/>
      <c r="O436" s="294"/>
      <c r="P436" s="294"/>
      <c r="Q436" s="294"/>
      <c r="R436" s="294"/>
      <c r="S436" s="294"/>
      <c r="T436" s="294"/>
      <c r="U436" s="326"/>
      <c r="V436" s="294"/>
      <c r="W436" s="294"/>
      <c r="X436" s="294"/>
      <c r="Y436" s="294"/>
      <c r="Z436" s="294"/>
      <c r="AA436" s="294"/>
      <c r="AB436" s="294"/>
      <c r="AC436" s="294"/>
    </row>
    <row r="437" spans="2:29" x14ac:dyDescent="0.25">
      <c r="B437" s="294"/>
      <c r="C437" s="294"/>
      <c r="D437" s="294"/>
      <c r="E437" s="294"/>
      <c r="F437" s="294"/>
      <c r="G437" s="294"/>
      <c r="H437" s="294"/>
      <c r="I437" s="294"/>
      <c r="J437" s="294"/>
      <c r="L437" s="295"/>
      <c r="M437" s="294"/>
      <c r="O437" s="294"/>
      <c r="P437" s="294"/>
      <c r="Q437" s="294"/>
      <c r="R437" s="294"/>
      <c r="S437" s="294"/>
      <c r="T437" s="294"/>
      <c r="U437" s="326"/>
      <c r="V437" s="294"/>
      <c r="W437" s="294"/>
      <c r="X437" s="294"/>
      <c r="Y437" s="294"/>
      <c r="Z437" s="294"/>
      <c r="AA437" s="294"/>
      <c r="AB437" s="294"/>
      <c r="AC437" s="294"/>
    </row>
    <row r="438" spans="2:29" x14ac:dyDescent="0.25">
      <c r="B438" s="294"/>
      <c r="C438" s="294"/>
      <c r="D438" s="294"/>
      <c r="E438" s="294"/>
      <c r="F438" s="294"/>
      <c r="G438" s="294"/>
      <c r="H438" s="294"/>
      <c r="I438" s="294"/>
      <c r="J438" s="294"/>
      <c r="L438" s="295"/>
      <c r="M438" s="294"/>
      <c r="O438" s="294"/>
      <c r="P438" s="294"/>
      <c r="Q438" s="294"/>
      <c r="R438" s="294"/>
      <c r="S438" s="294"/>
      <c r="T438" s="294"/>
      <c r="U438" s="326"/>
      <c r="V438" s="294"/>
      <c r="W438" s="294"/>
      <c r="X438" s="294"/>
      <c r="Y438" s="294"/>
      <c r="Z438" s="294"/>
      <c r="AA438" s="294"/>
      <c r="AB438" s="294"/>
      <c r="AC438" s="294"/>
    </row>
    <row r="439" spans="2:29" x14ac:dyDescent="0.25">
      <c r="B439" s="294"/>
      <c r="C439" s="294"/>
      <c r="D439" s="294"/>
      <c r="E439" s="294"/>
      <c r="F439" s="294"/>
      <c r="G439" s="294"/>
      <c r="H439" s="294"/>
      <c r="I439" s="294"/>
      <c r="J439" s="294"/>
      <c r="L439" s="295"/>
      <c r="M439" s="294"/>
      <c r="O439" s="294"/>
      <c r="P439" s="294"/>
      <c r="Q439" s="294"/>
      <c r="R439" s="294"/>
      <c r="S439" s="294"/>
      <c r="T439" s="294"/>
      <c r="U439" s="326"/>
      <c r="V439" s="294"/>
      <c r="W439" s="294"/>
      <c r="X439" s="294"/>
      <c r="Y439" s="294"/>
      <c r="Z439" s="294"/>
      <c r="AA439" s="294"/>
      <c r="AB439" s="294"/>
      <c r="AC439" s="294"/>
    </row>
    <row r="440" spans="2:29" x14ac:dyDescent="0.25">
      <c r="B440" s="294"/>
      <c r="C440" s="294"/>
      <c r="D440" s="294"/>
      <c r="E440" s="294"/>
      <c r="F440" s="294"/>
      <c r="G440" s="294"/>
      <c r="H440" s="294"/>
      <c r="I440" s="294"/>
      <c r="J440" s="294"/>
      <c r="L440" s="295"/>
      <c r="M440" s="294"/>
      <c r="O440" s="294"/>
      <c r="P440" s="294"/>
      <c r="Q440" s="294"/>
      <c r="R440" s="294"/>
      <c r="S440" s="294"/>
      <c r="T440" s="294"/>
      <c r="U440" s="326"/>
      <c r="V440" s="294"/>
      <c r="W440" s="294"/>
      <c r="X440" s="294"/>
      <c r="Y440" s="294"/>
      <c r="Z440" s="294"/>
      <c r="AA440" s="294"/>
      <c r="AB440" s="294"/>
      <c r="AC440" s="294"/>
    </row>
    <row r="441" spans="2:29" x14ac:dyDescent="0.25">
      <c r="B441" s="294"/>
      <c r="C441" s="294"/>
      <c r="D441" s="294"/>
      <c r="E441" s="294"/>
      <c r="F441" s="294"/>
      <c r="G441" s="294"/>
      <c r="H441" s="294"/>
      <c r="I441" s="294"/>
      <c r="J441" s="294"/>
      <c r="L441" s="295"/>
      <c r="M441" s="294"/>
      <c r="O441" s="294"/>
      <c r="P441" s="294"/>
      <c r="Q441" s="294"/>
      <c r="R441" s="294"/>
      <c r="S441" s="294"/>
      <c r="T441" s="294"/>
      <c r="U441" s="326"/>
      <c r="V441" s="294"/>
      <c r="W441" s="294"/>
      <c r="X441" s="294"/>
      <c r="Y441" s="294"/>
      <c r="Z441" s="294"/>
      <c r="AA441" s="294"/>
      <c r="AB441" s="294"/>
      <c r="AC441" s="294"/>
    </row>
    <row r="442" spans="2:29" x14ac:dyDescent="0.25">
      <c r="B442" s="294"/>
      <c r="C442" s="294"/>
      <c r="D442" s="294"/>
      <c r="E442" s="294"/>
      <c r="F442" s="294"/>
      <c r="G442" s="294"/>
      <c r="H442" s="294"/>
      <c r="I442" s="294"/>
      <c r="J442" s="294"/>
      <c r="L442" s="295"/>
      <c r="M442" s="294"/>
      <c r="O442" s="294"/>
      <c r="P442" s="294"/>
      <c r="Q442" s="294"/>
      <c r="R442" s="294"/>
      <c r="S442" s="294"/>
      <c r="T442" s="294"/>
      <c r="U442" s="326"/>
      <c r="V442" s="294"/>
      <c r="W442" s="294"/>
      <c r="X442" s="294"/>
      <c r="Y442" s="294"/>
      <c r="Z442" s="294"/>
      <c r="AA442" s="294"/>
      <c r="AB442" s="294"/>
      <c r="AC442" s="294"/>
    </row>
    <row r="443" spans="2:29" x14ac:dyDescent="0.25">
      <c r="B443" s="294"/>
      <c r="C443" s="294"/>
      <c r="D443" s="294"/>
      <c r="E443" s="294"/>
      <c r="F443" s="294"/>
      <c r="G443" s="294"/>
      <c r="H443" s="294"/>
      <c r="I443" s="294"/>
      <c r="J443" s="294"/>
      <c r="L443" s="295"/>
      <c r="M443" s="294"/>
      <c r="O443" s="294"/>
      <c r="P443" s="294"/>
      <c r="Q443" s="294"/>
      <c r="R443" s="294"/>
      <c r="S443" s="294"/>
      <c r="T443" s="294"/>
      <c r="U443" s="326"/>
      <c r="V443" s="294"/>
      <c r="W443" s="294"/>
      <c r="X443" s="294"/>
      <c r="Y443" s="294"/>
      <c r="Z443" s="294"/>
      <c r="AA443" s="294"/>
      <c r="AB443" s="294"/>
      <c r="AC443" s="294"/>
    </row>
    <row r="444" spans="2:29" x14ac:dyDescent="0.25">
      <c r="B444" s="294"/>
      <c r="C444" s="294"/>
      <c r="D444" s="294"/>
      <c r="E444" s="294"/>
      <c r="F444" s="294"/>
      <c r="G444" s="294"/>
      <c r="H444" s="294"/>
      <c r="I444" s="294"/>
      <c r="J444" s="294"/>
      <c r="L444" s="295"/>
      <c r="M444" s="294"/>
      <c r="O444" s="294"/>
      <c r="P444" s="294"/>
      <c r="Q444" s="294"/>
      <c r="R444" s="294"/>
      <c r="S444" s="294"/>
      <c r="T444" s="294"/>
      <c r="U444" s="326"/>
      <c r="V444" s="294"/>
      <c r="W444" s="294"/>
      <c r="X444" s="294"/>
      <c r="Y444" s="294"/>
      <c r="Z444" s="294"/>
      <c r="AA444" s="294"/>
      <c r="AB444" s="294"/>
      <c r="AC444" s="294"/>
    </row>
    <row r="445" spans="2:29" x14ac:dyDescent="0.25">
      <c r="B445" s="294"/>
      <c r="C445" s="294"/>
      <c r="D445" s="294"/>
      <c r="E445" s="294"/>
      <c r="F445" s="294"/>
      <c r="G445" s="294"/>
      <c r="H445" s="294"/>
      <c r="I445" s="294"/>
      <c r="J445" s="294"/>
      <c r="L445" s="295"/>
      <c r="M445" s="294"/>
      <c r="O445" s="294"/>
      <c r="P445" s="294"/>
      <c r="Q445" s="294"/>
      <c r="R445" s="294"/>
      <c r="S445" s="294"/>
      <c r="T445" s="294"/>
      <c r="U445" s="326"/>
      <c r="V445" s="294"/>
      <c r="W445" s="294"/>
      <c r="X445" s="294"/>
      <c r="Y445" s="294"/>
      <c r="Z445" s="294"/>
      <c r="AA445" s="294"/>
      <c r="AB445" s="294"/>
      <c r="AC445" s="294"/>
    </row>
    <row r="446" spans="2:29" x14ac:dyDescent="0.25">
      <c r="B446" s="294"/>
      <c r="C446" s="294"/>
      <c r="D446" s="294"/>
      <c r="E446" s="294"/>
      <c r="F446" s="294"/>
      <c r="G446" s="294"/>
      <c r="H446" s="294"/>
      <c r="I446" s="294"/>
      <c r="J446" s="294"/>
      <c r="L446" s="295"/>
      <c r="M446" s="294"/>
      <c r="O446" s="294"/>
      <c r="P446" s="294"/>
      <c r="Q446" s="294"/>
      <c r="R446" s="294"/>
      <c r="S446" s="294"/>
      <c r="T446" s="294"/>
      <c r="U446" s="326"/>
      <c r="V446" s="294"/>
      <c r="W446" s="294"/>
      <c r="X446" s="294"/>
      <c r="Y446" s="294"/>
      <c r="Z446" s="294"/>
      <c r="AA446" s="294"/>
      <c r="AB446" s="294"/>
      <c r="AC446" s="294"/>
    </row>
    <row r="447" spans="2:29" x14ac:dyDescent="0.25">
      <c r="B447" s="294"/>
      <c r="C447" s="294"/>
      <c r="D447" s="294"/>
      <c r="E447" s="294"/>
      <c r="F447" s="294"/>
      <c r="G447" s="294"/>
      <c r="H447" s="294"/>
      <c r="I447" s="294"/>
      <c r="J447" s="294"/>
      <c r="L447" s="295"/>
      <c r="M447" s="294"/>
      <c r="O447" s="294"/>
      <c r="P447" s="294"/>
      <c r="Q447" s="294"/>
      <c r="R447" s="294"/>
      <c r="S447" s="294"/>
      <c r="T447" s="294"/>
      <c r="U447" s="326"/>
      <c r="V447" s="294"/>
      <c r="W447" s="294"/>
      <c r="X447" s="294"/>
      <c r="Y447" s="294"/>
      <c r="Z447" s="294"/>
      <c r="AA447" s="294"/>
      <c r="AB447" s="294"/>
      <c r="AC447" s="294"/>
    </row>
    <row r="448" spans="2:29" x14ac:dyDescent="0.25">
      <c r="B448" s="294"/>
      <c r="C448" s="294"/>
      <c r="D448" s="294"/>
      <c r="E448" s="294"/>
      <c r="F448" s="294"/>
      <c r="G448" s="294"/>
      <c r="H448" s="294"/>
      <c r="I448" s="294"/>
      <c r="J448" s="294"/>
      <c r="L448" s="295"/>
      <c r="M448" s="294"/>
      <c r="O448" s="294"/>
      <c r="P448" s="294"/>
      <c r="Q448" s="294"/>
      <c r="R448" s="294"/>
      <c r="S448" s="294"/>
      <c r="T448" s="294"/>
      <c r="U448" s="326"/>
      <c r="V448" s="294"/>
      <c r="W448" s="294"/>
      <c r="X448" s="294"/>
      <c r="Y448" s="294"/>
      <c r="Z448" s="294"/>
      <c r="AA448" s="294"/>
      <c r="AB448" s="294"/>
      <c r="AC448" s="294"/>
    </row>
    <row r="449" spans="2:29" x14ac:dyDescent="0.25">
      <c r="B449" s="294"/>
      <c r="C449" s="294"/>
      <c r="D449" s="294"/>
      <c r="E449" s="294"/>
      <c r="F449" s="294"/>
      <c r="G449" s="294"/>
      <c r="H449" s="294"/>
      <c r="I449" s="294"/>
      <c r="J449" s="294"/>
      <c r="L449" s="295"/>
      <c r="M449" s="294"/>
      <c r="O449" s="294"/>
      <c r="P449" s="294"/>
      <c r="Q449" s="294"/>
      <c r="R449" s="294"/>
      <c r="S449" s="294"/>
      <c r="T449" s="294"/>
      <c r="U449" s="326"/>
      <c r="V449" s="294"/>
      <c r="W449" s="294"/>
      <c r="X449" s="294"/>
      <c r="Y449" s="294"/>
      <c r="Z449" s="294"/>
      <c r="AA449" s="294"/>
      <c r="AB449" s="294"/>
      <c r="AC449" s="294"/>
    </row>
    <row r="450" spans="2:29" x14ac:dyDescent="0.25">
      <c r="B450" s="294"/>
      <c r="C450" s="294"/>
      <c r="D450" s="294"/>
      <c r="E450" s="294"/>
      <c r="F450" s="294"/>
      <c r="G450" s="294"/>
      <c r="H450" s="294"/>
      <c r="I450" s="294"/>
      <c r="J450" s="294"/>
      <c r="L450" s="295"/>
      <c r="M450" s="294"/>
      <c r="O450" s="294"/>
      <c r="P450" s="294"/>
      <c r="Q450" s="294"/>
      <c r="R450" s="294"/>
      <c r="S450" s="294"/>
      <c r="T450" s="294"/>
      <c r="U450" s="326"/>
      <c r="V450" s="294"/>
      <c r="W450" s="294"/>
      <c r="X450" s="294"/>
      <c r="Y450" s="294"/>
      <c r="Z450" s="294"/>
      <c r="AA450" s="294"/>
      <c r="AB450" s="294"/>
      <c r="AC450" s="294"/>
    </row>
    <row r="451" spans="2:29" x14ac:dyDescent="0.25">
      <c r="B451" s="294"/>
      <c r="C451" s="294"/>
      <c r="D451" s="294"/>
      <c r="E451" s="294"/>
      <c r="F451" s="294"/>
      <c r="G451" s="294"/>
      <c r="H451" s="294"/>
      <c r="I451" s="294"/>
      <c r="J451" s="294"/>
      <c r="L451" s="295"/>
      <c r="M451" s="294"/>
      <c r="O451" s="294"/>
      <c r="P451" s="294"/>
      <c r="Q451" s="294"/>
      <c r="R451" s="294"/>
      <c r="S451" s="294"/>
      <c r="T451" s="294"/>
      <c r="U451" s="326"/>
      <c r="V451" s="294"/>
      <c r="W451" s="294"/>
      <c r="X451" s="294"/>
      <c r="Y451" s="294"/>
      <c r="Z451" s="294"/>
      <c r="AA451" s="294"/>
      <c r="AB451" s="294"/>
      <c r="AC451" s="294"/>
    </row>
    <row r="452" spans="2:29" x14ac:dyDescent="0.25">
      <c r="B452" s="294"/>
      <c r="C452" s="294"/>
      <c r="D452" s="294"/>
      <c r="E452" s="294"/>
      <c r="F452" s="294"/>
      <c r="G452" s="294"/>
      <c r="H452" s="294"/>
      <c r="I452" s="294"/>
      <c r="J452" s="294"/>
      <c r="L452" s="295"/>
      <c r="M452" s="294"/>
      <c r="O452" s="294"/>
      <c r="P452" s="294"/>
      <c r="Q452" s="294"/>
      <c r="R452" s="294"/>
      <c r="S452" s="294"/>
      <c r="T452" s="294"/>
      <c r="U452" s="326"/>
      <c r="V452" s="294"/>
      <c r="W452" s="294"/>
      <c r="X452" s="294"/>
      <c r="Y452" s="294"/>
      <c r="Z452" s="294"/>
      <c r="AA452" s="294"/>
      <c r="AB452" s="294"/>
      <c r="AC452" s="294"/>
    </row>
    <row r="453" spans="2:29" x14ac:dyDescent="0.25">
      <c r="B453" s="294"/>
      <c r="C453" s="294"/>
      <c r="D453" s="294"/>
      <c r="E453" s="294"/>
      <c r="F453" s="294"/>
      <c r="G453" s="294"/>
      <c r="H453" s="294"/>
      <c r="I453" s="294"/>
      <c r="J453" s="294"/>
      <c r="L453" s="295"/>
      <c r="M453" s="294"/>
      <c r="O453" s="294"/>
      <c r="P453" s="294"/>
      <c r="Q453" s="294"/>
      <c r="R453" s="294"/>
      <c r="S453" s="294"/>
      <c r="T453" s="294"/>
      <c r="U453" s="326"/>
      <c r="V453" s="294"/>
      <c r="W453" s="294"/>
      <c r="X453" s="294"/>
      <c r="Y453" s="294"/>
      <c r="Z453" s="294"/>
      <c r="AA453" s="294"/>
      <c r="AB453" s="294"/>
      <c r="AC453" s="294"/>
    </row>
    <row r="454" spans="2:29" x14ac:dyDescent="0.25">
      <c r="B454" s="294"/>
      <c r="C454" s="294"/>
      <c r="D454" s="294"/>
      <c r="E454" s="294"/>
      <c r="F454" s="294"/>
      <c r="G454" s="294"/>
      <c r="H454" s="294"/>
      <c r="I454" s="294"/>
      <c r="J454" s="294"/>
      <c r="L454" s="295"/>
      <c r="M454" s="294"/>
      <c r="O454" s="294"/>
      <c r="P454" s="294"/>
      <c r="Q454" s="294"/>
      <c r="R454" s="294"/>
      <c r="S454" s="294"/>
      <c r="T454" s="294"/>
      <c r="U454" s="326"/>
      <c r="V454" s="294"/>
      <c r="W454" s="294"/>
      <c r="X454" s="294"/>
      <c r="Y454" s="294"/>
      <c r="Z454" s="294"/>
      <c r="AA454" s="294"/>
      <c r="AB454" s="294"/>
      <c r="AC454" s="294"/>
    </row>
    <row r="455" spans="2:29" x14ac:dyDescent="0.25">
      <c r="B455" s="294"/>
      <c r="C455" s="294"/>
      <c r="D455" s="294"/>
      <c r="E455" s="294"/>
      <c r="F455" s="294"/>
      <c r="G455" s="294"/>
      <c r="H455" s="294"/>
      <c r="I455" s="294"/>
      <c r="J455" s="294"/>
      <c r="L455" s="295"/>
      <c r="M455" s="294"/>
      <c r="O455" s="294"/>
      <c r="P455" s="294"/>
      <c r="Q455" s="294"/>
      <c r="R455" s="294"/>
      <c r="S455" s="294"/>
      <c r="T455" s="294"/>
      <c r="U455" s="326"/>
      <c r="V455" s="294"/>
      <c r="W455" s="294"/>
      <c r="X455" s="294"/>
      <c r="Y455" s="294"/>
      <c r="Z455" s="294"/>
      <c r="AA455" s="294"/>
      <c r="AB455" s="294"/>
      <c r="AC455" s="294"/>
    </row>
    <row r="456" spans="2:29" x14ac:dyDescent="0.25">
      <c r="B456" s="294"/>
      <c r="C456" s="294"/>
      <c r="D456" s="294"/>
      <c r="E456" s="294"/>
      <c r="F456" s="294"/>
      <c r="G456" s="294"/>
      <c r="H456" s="294"/>
      <c r="I456" s="294"/>
      <c r="J456" s="294"/>
      <c r="L456" s="295"/>
      <c r="M456" s="294"/>
      <c r="O456" s="294"/>
      <c r="P456" s="294"/>
      <c r="Q456" s="294"/>
      <c r="R456" s="294"/>
      <c r="S456" s="294"/>
      <c r="T456" s="294"/>
      <c r="U456" s="326"/>
      <c r="V456" s="294"/>
      <c r="W456" s="294"/>
      <c r="X456" s="294"/>
      <c r="Y456" s="294"/>
      <c r="Z456" s="294"/>
      <c r="AA456" s="294"/>
      <c r="AB456" s="294"/>
      <c r="AC456" s="294"/>
    </row>
    <row r="457" spans="2:29" x14ac:dyDescent="0.25">
      <c r="B457" s="294"/>
      <c r="C457" s="294"/>
      <c r="D457" s="294"/>
      <c r="E457" s="294"/>
      <c r="F457" s="294"/>
      <c r="G457" s="294"/>
      <c r="H457" s="294"/>
      <c r="I457" s="294"/>
      <c r="J457" s="294"/>
      <c r="L457" s="295"/>
      <c r="M457" s="294"/>
      <c r="O457" s="294"/>
      <c r="P457" s="294"/>
      <c r="Q457" s="294"/>
      <c r="R457" s="294"/>
      <c r="S457" s="294"/>
      <c r="T457" s="294"/>
      <c r="U457" s="326"/>
      <c r="V457" s="294"/>
      <c r="W457" s="294"/>
      <c r="X457" s="294"/>
      <c r="Y457" s="294"/>
      <c r="Z457" s="294"/>
      <c r="AA457" s="294"/>
      <c r="AB457" s="294"/>
      <c r="AC457" s="294"/>
    </row>
    <row r="458" spans="2:29" x14ac:dyDescent="0.25">
      <c r="B458" s="294"/>
      <c r="C458" s="294"/>
      <c r="D458" s="294"/>
      <c r="E458" s="294"/>
      <c r="F458" s="294"/>
      <c r="G458" s="294"/>
      <c r="H458" s="294"/>
      <c r="I458" s="294"/>
      <c r="J458" s="294"/>
      <c r="L458" s="295"/>
      <c r="M458" s="294"/>
      <c r="O458" s="294"/>
      <c r="P458" s="294"/>
      <c r="Q458" s="294"/>
      <c r="R458" s="294"/>
      <c r="S458" s="294"/>
      <c r="T458" s="294"/>
      <c r="U458" s="326"/>
      <c r="V458" s="294"/>
      <c r="W458" s="294"/>
      <c r="X458" s="294"/>
      <c r="Y458" s="294"/>
      <c r="Z458" s="294"/>
      <c r="AA458" s="294"/>
      <c r="AB458" s="294"/>
      <c r="AC458" s="294"/>
    </row>
    <row r="459" spans="2:29" x14ac:dyDescent="0.25">
      <c r="B459" s="294"/>
      <c r="C459" s="294"/>
      <c r="D459" s="294"/>
      <c r="E459" s="294"/>
      <c r="F459" s="294"/>
      <c r="G459" s="294"/>
      <c r="H459" s="294"/>
      <c r="I459" s="294"/>
      <c r="J459" s="294"/>
      <c r="L459" s="295"/>
      <c r="M459" s="294"/>
      <c r="O459" s="294"/>
      <c r="P459" s="294"/>
      <c r="Q459" s="294"/>
      <c r="R459" s="294"/>
      <c r="S459" s="294"/>
      <c r="T459" s="294"/>
      <c r="U459" s="326"/>
      <c r="V459" s="294"/>
      <c r="W459" s="294"/>
      <c r="X459" s="294"/>
      <c r="Y459" s="294"/>
      <c r="Z459" s="294"/>
      <c r="AA459" s="294"/>
      <c r="AB459" s="294"/>
      <c r="AC459" s="294"/>
    </row>
    <row r="460" spans="2:29" x14ac:dyDescent="0.25">
      <c r="B460" s="294"/>
      <c r="C460" s="294"/>
      <c r="D460" s="294"/>
      <c r="E460" s="294"/>
      <c r="F460" s="294"/>
      <c r="G460" s="294"/>
      <c r="H460" s="294"/>
      <c r="I460" s="294"/>
      <c r="J460" s="294"/>
      <c r="L460" s="295"/>
      <c r="M460" s="294"/>
      <c r="O460" s="294"/>
      <c r="P460" s="294"/>
      <c r="Q460" s="294"/>
      <c r="R460" s="294"/>
      <c r="S460" s="294"/>
      <c r="T460" s="294"/>
      <c r="U460" s="326"/>
      <c r="V460" s="294"/>
      <c r="W460" s="294"/>
      <c r="X460" s="294"/>
      <c r="Y460" s="294"/>
      <c r="Z460" s="294"/>
      <c r="AA460" s="294"/>
      <c r="AB460" s="294"/>
      <c r="AC460" s="294"/>
    </row>
    <row r="461" spans="2:29" x14ac:dyDescent="0.25">
      <c r="B461" s="294"/>
      <c r="C461" s="294"/>
      <c r="D461" s="294"/>
      <c r="E461" s="294"/>
      <c r="F461" s="294"/>
      <c r="G461" s="294"/>
      <c r="H461" s="294"/>
      <c r="I461" s="294"/>
      <c r="J461" s="294"/>
      <c r="L461" s="295"/>
      <c r="M461" s="294"/>
      <c r="O461" s="294"/>
      <c r="P461" s="294"/>
      <c r="Q461" s="294"/>
      <c r="R461" s="294"/>
      <c r="S461" s="294"/>
      <c r="T461" s="294"/>
      <c r="U461" s="326"/>
      <c r="V461" s="294"/>
      <c r="W461" s="294"/>
      <c r="X461" s="294"/>
      <c r="Y461" s="294"/>
      <c r="Z461" s="294"/>
      <c r="AA461" s="294"/>
      <c r="AB461" s="294"/>
      <c r="AC461" s="294"/>
    </row>
    <row r="462" spans="2:29" x14ac:dyDescent="0.25">
      <c r="B462" s="294"/>
      <c r="C462" s="294"/>
      <c r="D462" s="294"/>
      <c r="E462" s="294"/>
      <c r="F462" s="294"/>
      <c r="G462" s="294"/>
      <c r="H462" s="294"/>
      <c r="I462" s="294"/>
      <c r="J462" s="294"/>
      <c r="L462" s="295"/>
      <c r="M462" s="294"/>
      <c r="O462" s="294"/>
      <c r="P462" s="294"/>
      <c r="Q462" s="294"/>
      <c r="R462" s="294"/>
      <c r="S462" s="294"/>
      <c r="T462" s="294"/>
      <c r="U462" s="326"/>
      <c r="V462" s="294"/>
      <c r="W462" s="294"/>
      <c r="X462" s="294"/>
      <c r="Y462" s="294"/>
      <c r="Z462" s="294"/>
      <c r="AA462" s="294"/>
      <c r="AB462" s="294"/>
      <c r="AC462" s="294"/>
    </row>
    <row r="463" spans="2:29" x14ac:dyDescent="0.25">
      <c r="B463" s="294"/>
      <c r="C463" s="294"/>
      <c r="D463" s="294"/>
      <c r="E463" s="294"/>
      <c r="F463" s="294"/>
      <c r="G463" s="294"/>
      <c r="H463" s="294"/>
      <c r="I463" s="294"/>
      <c r="J463" s="294"/>
      <c r="L463" s="295"/>
      <c r="M463" s="294"/>
      <c r="O463" s="294"/>
      <c r="P463" s="294"/>
      <c r="Q463" s="294"/>
      <c r="R463" s="294"/>
      <c r="S463" s="294"/>
      <c r="T463" s="294"/>
      <c r="U463" s="326"/>
      <c r="V463" s="294"/>
      <c r="W463" s="294"/>
      <c r="X463" s="294"/>
      <c r="Y463" s="294"/>
      <c r="Z463" s="294"/>
      <c r="AA463" s="294"/>
      <c r="AB463" s="294"/>
      <c r="AC463" s="294"/>
    </row>
    <row r="464" spans="2:29" x14ac:dyDescent="0.25">
      <c r="B464" s="294"/>
      <c r="C464" s="294"/>
      <c r="D464" s="294"/>
      <c r="E464" s="294"/>
      <c r="F464" s="294"/>
      <c r="G464" s="294"/>
      <c r="H464" s="294"/>
      <c r="I464" s="294"/>
      <c r="J464" s="294"/>
      <c r="L464" s="295"/>
      <c r="M464" s="294"/>
      <c r="O464" s="294"/>
      <c r="P464" s="294"/>
      <c r="Q464" s="294"/>
      <c r="R464" s="294"/>
      <c r="S464" s="294"/>
      <c r="T464" s="294"/>
      <c r="U464" s="326"/>
      <c r="V464" s="294"/>
      <c r="W464" s="294"/>
      <c r="X464" s="294"/>
      <c r="Y464" s="294"/>
      <c r="Z464" s="294"/>
      <c r="AA464" s="294"/>
      <c r="AB464" s="294"/>
      <c r="AC464" s="294"/>
    </row>
    <row r="465" spans="2:29" x14ac:dyDescent="0.25">
      <c r="B465" s="294"/>
      <c r="C465" s="294"/>
      <c r="D465" s="294"/>
      <c r="E465" s="294"/>
      <c r="F465" s="294"/>
      <c r="G465" s="294"/>
      <c r="H465" s="294"/>
      <c r="I465" s="294"/>
      <c r="J465" s="294"/>
      <c r="L465" s="295"/>
      <c r="M465" s="294"/>
      <c r="O465" s="294"/>
      <c r="P465" s="294"/>
      <c r="Q465" s="294"/>
      <c r="R465" s="294"/>
      <c r="S465" s="294"/>
      <c r="T465" s="294"/>
      <c r="U465" s="326"/>
      <c r="V465" s="294"/>
      <c r="W465" s="294"/>
      <c r="X465" s="294"/>
      <c r="Y465" s="294"/>
      <c r="Z465" s="294"/>
      <c r="AA465" s="294"/>
      <c r="AB465" s="294"/>
      <c r="AC465" s="294"/>
    </row>
    <row r="466" spans="2:29" x14ac:dyDescent="0.25">
      <c r="B466" s="294"/>
      <c r="C466" s="294"/>
      <c r="D466" s="294"/>
      <c r="E466" s="294"/>
      <c r="F466" s="294"/>
      <c r="G466" s="294"/>
      <c r="H466" s="294"/>
      <c r="I466" s="294"/>
      <c r="J466" s="294"/>
      <c r="L466" s="295"/>
      <c r="M466" s="294"/>
      <c r="O466" s="294"/>
      <c r="P466" s="294"/>
      <c r="Q466" s="294"/>
      <c r="R466" s="294"/>
      <c r="S466" s="294"/>
      <c r="T466" s="294"/>
      <c r="U466" s="326"/>
      <c r="V466" s="294"/>
      <c r="W466" s="294"/>
      <c r="X466" s="294"/>
      <c r="Y466" s="294"/>
      <c r="Z466" s="294"/>
      <c r="AA466" s="294"/>
      <c r="AB466" s="294"/>
      <c r="AC466" s="294"/>
    </row>
    <row r="467" spans="2:29" x14ac:dyDescent="0.25">
      <c r="B467" s="294"/>
      <c r="C467" s="294"/>
      <c r="D467" s="294"/>
      <c r="E467" s="294"/>
      <c r="F467" s="294"/>
      <c r="G467" s="294"/>
      <c r="H467" s="294"/>
      <c r="I467" s="294"/>
      <c r="J467" s="294"/>
      <c r="L467" s="295"/>
      <c r="M467" s="294"/>
      <c r="O467" s="294"/>
      <c r="P467" s="294"/>
      <c r="Q467" s="294"/>
      <c r="R467" s="294"/>
      <c r="S467" s="294"/>
      <c r="T467" s="294"/>
      <c r="U467" s="326"/>
      <c r="V467" s="294"/>
      <c r="W467" s="294"/>
      <c r="X467" s="294"/>
      <c r="Y467" s="294"/>
      <c r="Z467" s="294"/>
      <c r="AA467" s="294"/>
      <c r="AB467" s="294"/>
      <c r="AC467" s="294"/>
    </row>
    <row r="468" spans="2:29" x14ac:dyDescent="0.25">
      <c r="B468" s="294"/>
      <c r="C468" s="294"/>
      <c r="D468" s="294"/>
      <c r="E468" s="294"/>
      <c r="F468" s="294"/>
      <c r="G468" s="294"/>
      <c r="H468" s="294"/>
      <c r="I468" s="294"/>
      <c r="J468" s="294"/>
      <c r="L468" s="295"/>
      <c r="M468" s="294"/>
      <c r="O468" s="294"/>
      <c r="P468" s="294"/>
      <c r="Q468" s="294"/>
      <c r="R468" s="294"/>
      <c r="S468" s="294"/>
      <c r="T468" s="294"/>
      <c r="U468" s="326"/>
      <c r="V468" s="294"/>
      <c r="W468" s="294"/>
      <c r="X468" s="294"/>
      <c r="Y468" s="294"/>
      <c r="Z468" s="294"/>
      <c r="AA468" s="294"/>
      <c r="AB468" s="294"/>
      <c r="AC468" s="294"/>
    </row>
    <row r="469" spans="2:29" x14ac:dyDescent="0.25">
      <c r="B469" s="294"/>
      <c r="C469" s="294"/>
      <c r="D469" s="294"/>
      <c r="E469" s="294"/>
      <c r="F469" s="294"/>
      <c r="G469" s="294"/>
      <c r="H469" s="294"/>
      <c r="I469" s="294"/>
      <c r="J469" s="294"/>
      <c r="L469" s="295"/>
      <c r="M469" s="294"/>
      <c r="O469" s="294"/>
      <c r="P469" s="294"/>
      <c r="Q469" s="294"/>
      <c r="R469" s="294"/>
      <c r="S469" s="294"/>
      <c r="T469" s="294"/>
      <c r="U469" s="326"/>
      <c r="V469" s="294"/>
      <c r="W469" s="294"/>
      <c r="X469" s="294"/>
      <c r="Y469" s="294"/>
      <c r="Z469" s="294"/>
      <c r="AA469" s="294"/>
      <c r="AB469" s="294"/>
      <c r="AC469" s="294"/>
    </row>
    <row r="470" spans="2:29" x14ac:dyDescent="0.25">
      <c r="B470" s="294"/>
      <c r="C470" s="294"/>
      <c r="D470" s="294"/>
      <c r="E470" s="294"/>
      <c r="F470" s="294"/>
      <c r="G470" s="294"/>
      <c r="H470" s="294"/>
      <c r="I470" s="294"/>
      <c r="J470" s="294"/>
      <c r="L470" s="295"/>
      <c r="M470" s="294"/>
      <c r="O470" s="294"/>
      <c r="P470" s="294"/>
      <c r="Q470" s="294"/>
      <c r="R470" s="294"/>
      <c r="S470" s="294"/>
      <c r="T470" s="294"/>
      <c r="U470" s="326"/>
      <c r="V470" s="294"/>
      <c r="W470" s="294"/>
      <c r="X470" s="294"/>
      <c r="Y470" s="294"/>
      <c r="Z470" s="294"/>
      <c r="AA470" s="294"/>
      <c r="AB470" s="294"/>
      <c r="AC470" s="294"/>
    </row>
    <row r="471" spans="2:29" x14ac:dyDescent="0.25">
      <c r="B471" s="294"/>
      <c r="C471" s="294"/>
      <c r="D471" s="294"/>
      <c r="E471" s="294"/>
      <c r="F471" s="294"/>
      <c r="G471" s="294"/>
      <c r="H471" s="294"/>
      <c r="I471" s="294"/>
      <c r="J471" s="294"/>
      <c r="L471" s="295"/>
      <c r="M471" s="294"/>
      <c r="O471" s="294"/>
      <c r="P471" s="294"/>
      <c r="Q471" s="294"/>
      <c r="R471" s="294"/>
      <c r="S471" s="294"/>
      <c r="T471" s="294"/>
      <c r="U471" s="326"/>
      <c r="V471" s="294"/>
      <c r="W471" s="294"/>
      <c r="X471" s="294"/>
      <c r="Y471" s="294"/>
      <c r="Z471" s="294"/>
      <c r="AA471" s="294"/>
      <c r="AB471" s="294"/>
      <c r="AC471" s="294"/>
    </row>
    <row r="472" spans="2:29" x14ac:dyDescent="0.25">
      <c r="B472" s="294"/>
      <c r="C472" s="294"/>
      <c r="D472" s="294"/>
      <c r="E472" s="294"/>
      <c r="F472" s="294"/>
      <c r="G472" s="294"/>
      <c r="H472" s="294"/>
      <c r="I472" s="294"/>
      <c r="J472" s="294"/>
      <c r="L472" s="295"/>
      <c r="M472" s="294"/>
      <c r="O472" s="294"/>
      <c r="P472" s="294"/>
      <c r="Q472" s="294"/>
      <c r="R472" s="294"/>
      <c r="S472" s="294"/>
      <c r="T472" s="294"/>
      <c r="U472" s="326"/>
      <c r="V472" s="294"/>
      <c r="W472" s="294"/>
      <c r="X472" s="294"/>
      <c r="Y472" s="294"/>
      <c r="Z472" s="294"/>
      <c r="AA472" s="294"/>
      <c r="AB472" s="294"/>
      <c r="AC472" s="294"/>
    </row>
    <row r="473" spans="2:29" x14ac:dyDescent="0.25">
      <c r="B473" s="294"/>
      <c r="C473" s="294"/>
      <c r="D473" s="294"/>
      <c r="E473" s="294"/>
      <c r="F473" s="294"/>
      <c r="G473" s="294"/>
      <c r="H473" s="294"/>
      <c r="I473" s="294"/>
      <c r="J473" s="294"/>
      <c r="L473" s="295"/>
      <c r="M473" s="294"/>
      <c r="O473" s="294"/>
      <c r="P473" s="294"/>
      <c r="Q473" s="294"/>
      <c r="R473" s="294"/>
      <c r="S473" s="294"/>
      <c r="T473" s="294"/>
      <c r="U473" s="326"/>
      <c r="V473" s="294"/>
      <c r="W473" s="294"/>
      <c r="X473" s="294"/>
      <c r="Y473" s="294"/>
      <c r="Z473" s="294"/>
      <c r="AA473" s="294"/>
      <c r="AB473" s="294"/>
      <c r="AC473" s="294"/>
    </row>
    <row r="474" spans="2:29" x14ac:dyDescent="0.25">
      <c r="B474" s="294"/>
      <c r="C474" s="294"/>
      <c r="D474" s="294"/>
      <c r="E474" s="294"/>
      <c r="F474" s="294"/>
      <c r="G474" s="294"/>
      <c r="H474" s="294"/>
      <c r="I474" s="294"/>
      <c r="J474" s="294"/>
      <c r="L474" s="295"/>
      <c r="M474" s="294"/>
      <c r="O474" s="294"/>
      <c r="P474" s="294"/>
      <c r="Q474" s="294"/>
      <c r="R474" s="294"/>
      <c r="S474" s="294"/>
      <c r="T474" s="294"/>
      <c r="U474" s="326"/>
      <c r="V474" s="294"/>
      <c r="W474" s="294"/>
      <c r="X474" s="294"/>
      <c r="Y474" s="294"/>
      <c r="Z474" s="294"/>
      <c r="AA474" s="294"/>
      <c r="AB474" s="294"/>
      <c r="AC474" s="294"/>
    </row>
    <row r="475" spans="2:29" x14ac:dyDescent="0.25">
      <c r="B475" s="294"/>
      <c r="C475" s="294"/>
      <c r="D475" s="294"/>
      <c r="E475" s="294"/>
      <c r="F475" s="294"/>
      <c r="G475" s="294"/>
      <c r="H475" s="294"/>
      <c r="I475" s="294"/>
      <c r="J475" s="294"/>
      <c r="L475" s="295"/>
      <c r="M475" s="294"/>
      <c r="O475" s="294"/>
      <c r="P475" s="294"/>
      <c r="Q475" s="294"/>
      <c r="R475" s="294"/>
      <c r="S475" s="294"/>
      <c r="T475" s="294"/>
      <c r="U475" s="326"/>
      <c r="V475" s="294"/>
      <c r="W475" s="294"/>
      <c r="X475" s="294"/>
      <c r="Y475" s="294"/>
      <c r="Z475" s="294"/>
      <c r="AA475" s="294"/>
      <c r="AB475" s="294"/>
      <c r="AC475" s="294"/>
    </row>
    <row r="476" spans="2:29" x14ac:dyDescent="0.25">
      <c r="B476" s="294"/>
      <c r="C476" s="294"/>
      <c r="D476" s="294"/>
      <c r="E476" s="294"/>
      <c r="F476" s="294"/>
      <c r="G476" s="294"/>
      <c r="H476" s="294"/>
      <c r="I476" s="294"/>
      <c r="J476" s="294"/>
      <c r="L476" s="295"/>
      <c r="M476" s="294"/>
      <c r="O476" s="294"/>
      <c r="P476" s="294"/>
      <c r="Q476" s="294"/>
      <c r="R476" s="294"/>
      <c r="S476" s="294"/>
      <c r="T476" s="294"/>
      <c r="U476" s="326"/>
      <c r="V476" s="294"/>
      <c r="W476" s="294"/>
      <c r="X476" s="294"/>
      <c r="Y476" s="294"/>
      <c r="Z476" s="294"/>
      <c r="AA476" s="294"/>
      <c r="AB476" s="294"/>
      <c r="AC476" s="294"/>
    </row>
    <row r="477" spans="2:29" x14ac:dyDescent="0.25">
      <c r="B477" s="294"/>
      <c r="C477" s="294"/>
      <c r="D477" s="294"/>
      <c r="E477" s="294"/>
      <c r="F477" s="294"/>
      <c r="G477" s="294"/>
      <c r="H477" s="294"/>
      <c r="I477" s="294"/>
      <c r="J477" s="294"/>
      <c r="L477" s="295"/>
      <c r="M477" s="294"/>
      <c r="O477" s="294"/>
      <c r="P477" s="294"/>
      <c r="Q477" s="294"/>
      <c r="R477" s="294"/>
      <c r="S477" s="294"/>
      <c r="T477" s="294"/>
      <c r="U477" s="326"/>
      <c r="V477" s="294"/>
      <c r="W477" s="294"/>
      <c r="X477" s="294"/>
      <c r="Y477" s="294"/>
      <c r="Z477" s="294"/>
      <c r="AA477" s="294"/>
      <c r="AB477" s="294"/>
      <c r="AC477" s="294"/>
    </row>
    <row r="478" spans="2:29" x14ac:dyDescent="0.25">
      <c r="B478" s="294"/>
      <c r="C478" s="294"/>
      <c r="D478" s="294"/>
      <c r="E478" s="294"/>
      <c r="F478" s="294"/>
      <c r="G478" s="294"/>
      <c r="H478" s="294"/>
      <c r="I478" s="294"/>
      <c r="J478" s="294"/>
      <c r="L478" s="295"/>
      <c r="M478" s="294"/>
      <c r="O478" s="294"/>
      <c r="P478" s="294"/>
      <c r="Q478" s="294"/>
      <c r="R478" s="294"/>
      <c r="S478" s="294"/>
      <c r="T478" s="294"/>
      <c r="U478" s="326"/>
      <c r="V478" s="294"/>
      <c r="W478" s="294"/>
      <c r="X478" s="294"/>
      <c r="Y478" s="294"/>
      <c r="Z478" s="294"/>
      <c r="AA478" s="294"/>
      <c r="AB478" s="294"/>
      <c r="AC478" s="294"/>
    </row>
    <row r="479" spans="2:29" x14ac:dyDescent="0.25">
      <c r="B479" s="294"/>
      <c r="C479" s="294"/>
      <c r="D479" s="294"/>
      <c r="E479" s="294"/>
      <c r="F479" s="294"/>
      <c r="G479" s="294"/>
      <c r="H479" s="294"/>
      <c r="I479" s="294"/>
      <c r="J479" s="294"/>
      <c r="L479" s="295"/>
      <c r="M479" s="294"/>
      <c r="O479" s="294"/>
      <c r="P479" s="294"/>
      <c r="Q479" s="294"/>
      <c r="R479" s="294"/>
      <c r="S479" s="294"/>
      <c r="T479" s="294"/>
      <c r="U479" s="326"/>
      <c r="V479" s="294"/>
      <c r="W479" s="294"/>
      <c r="X479" s="294"/>
      <c r="Y479" s="294"/>
      <c r="Z479" s="294"/>
      <c r="AA479" s="294"/>
      <c r="AB479" s="294"/>
      <c r="AC479" s="294"/>
    </row>
    <row r="480" spans="2:29" x14ac:dyDescent="0.25">
      <c r="B480" s="294"/>
      <c r="C480" s="294"/>
      <c r="D480" s="294"/>
      <c r="E480" s="294"/>
      <c r="F480" s="294"/>
      <c r="G480" s="294"/>
      <c r="H480" s="294"/>
      <c r="I480" s="294"/>
      <c r="J480" s="294"/>
      <c r="L480" s="295"/>
      <c r="M480" s="294"/>
      <c r="O480" s="294"/>
      <c r="P480" s="294"/>
      <c r="Q480" s="294"/>
      <c r="R480" s="294"/>
      <c r="S480" s="294"/>
      <c r="T480" s="294"/>
      <c r="U480" s="326"/>
      <c r="V480" s="294"/>
      <c r="W480" s="294"/>
      <c r="X480" s="294"/>
      <c r="Y480" s="294"/>
      <c r="Z480" s="294"/>
      <c r="AA480" s="294"/>
      <c r="AB480" s="294"/>
      <c r="AC480" s="294"/>
    </row>
    <row r="481" spans="2:29" x14ac:dyDescent="0.25">
      <c r="B481" s="294"/>
      <c r="C481" s="294"/>
      <c r="D481" s="294"/>
      <c r="E481" s="294"/>
      <c r="F481" s="294"/>
      <c r="G481" s="294"/>
      <c r="H481" s="294"/>
      <c r="I481" s="294"/>
      <c r="J481" s="294"/>
      <c r="L481" s="295"/>
      <c r="M481" s="294"/>
      <c r="O481" s="294"/>
      <c r="P481" s="294"/>
      <c r="Q481" s="294"/>
      <c r="R481" s="294"/>
      <c r="S481" s="294"/>
      <c r="T481" s="294"/>
      <c r="U481" s="326"/>
      <c r="V481" s="294"/>
      <c r="W481" s="294"/>
      <c r="X481" s="294"/>
      <c r="Y481" s="294"/>
      <c r="Z481" s="294"/>
      <c r="AA481" s="294"/>
      <c r="AB481" s="294"/>
      <c r="AC481" s="294"/>
    </row>
    <row r="482" spans="2:29" x14ac:dyDescent="0.25">
      <c r="B482" s="294"/>
      <c r="C482" s="294"/>
      <c r="D482" s="294"/>
      <c r="E482" s="294"/>
      <c r="F482" s="294"/>
      <c r="G482" s="294"/>
      <c r="H482" s="294"/>
      <c r="I482" s="294"/>
      <c r="J482" s="294"/>
      <c r="L482" s="295"/>
      <c r="M482" s="294"/>
      <c r="O482" s="294"/>
      <c r="P482" s="294"/>
      <c r="Q482" s="294"/>
      <c r="R482" s="294"/>
      <c r="S482" s="294"/>
      <c r="T482" s="294"/>
      <c r="U482" s="326"/>
      <c r="V482" s="294"/>
      <c r="W482" s="294"/>
      <c r="X482" s="294"/>
      <c r="Y482" s="294"/>
      <c r="Z482" s="294"/>
      <c r="AA482" s="294"/>
      <c r="AB482" s="294"/>
      <c r="AC482" s="294"/>
    </row>
    <row r="483" spans="2:29" x14ac:dyDescent="0.25">
      <c r="B483" s="294"/>
      <c r="C483" s="294"/>
      <c r="D483" s="294"/>
      <c r="E483" s="294"/>
      <c r="F483" s="294"/>
      <c r="G483" s="294"/>
      <c r="H483" s="294"/>
      <c r="I483" s="294"/>
      <c r="J483" s="294"/>
      <c r="L483" s="295"/>
      <c r="M483" s="294"/>
      <c r="O483" s="294"/>
      <c r="P483" s="294"/>
      <c r="Q483" s="294"/>
      <c r="R483" s="294"/>
      <c r="S483" s="294"/>
      <c r="T483" s="294"/>
      <c r="U483" s="326"/>
      <c r="V483" s="294"/>
      <c r="W483" s="294"/>
      <c r="X483" s="294"/>
      <c r="Y483" s="294"/>
      <c r="Z483" s="294"/>
      <c r="AA483" s="294"/>
      <c r="AB483" s="294"/>
      <c r="AC483" s="294"/>
    </row>
    <row r="484" spans="2:29" x14ac:dyDescent="0.25">
      <c r="B484" s="294"/>
      <c r="C484" s="294"/>
      <c r="D484" s="294"/>
      <c r="E484" s="294"/>
      <c r="F484" s="294"/>
      <c r="G484" s="294"/>
      <c r="H484" s="294"/>
      <c r="I484" s="294"/>
      <c r="J484" s="294"/>
      <c r="L484" s="295"/>
      <c r="M484" s="294"/>
      <c r="O484" s="294"/>
      <c r="P484" s="294"/>
      <c r="Q484" s="294"/>
      <c r="R484" s="294"/>
      <c r="S484" s="294"/>
      <c r="T484" s="294"/>
      <c r="U484" s="326"/>
      <c r="V484" s="294"/>
      <c r="W484" s="294"/>
      <c r="X484" s="294"/>
      <c r="Y484" s="294"/>
      <c r="Z484" s="294"/>
      <c r="AA484" s="294"/>
      <c r="AB484" s="294"/>
      <c r="AC484" s="294"/>
    </row>
    <row r="485" spans="2:29" x14ac:dyDescent="0.25">
      <c r="B485" s="294"/>
      <c r="C485" s="294"/>
      <c r="D485" s="294"/>
      <c r="E485" s="294"/>
      <c r="F485" s="294"/>
      <c r="G485" s="294"/>
      <c r="H485" s="294"/>
      <c r="I485" s="294"/>
      <c r="J485" s="294"/>
      <c r="L485" s="295"/>
      <c r="M485" s="294"/>
      <c r="O485" s="294"/>
      <c r="P485" s="294"/>
      <c r="Q485" s="294"/>
      <c r="R485" s="294"/>
      <c r="S485" s="294"/>
      <c r="T485" s="294"/>
      <c r="U485" s="326"/>
      <c r="V485" s="294"/>
      <c r="W485" s="294"/>
      <c r="X485" s="294"/>
      <c r="Y485" s="294"/>
      <c r="Z485" s="294"/>
      <c r="AA485" s="294"/>
      <c r="AB485" s="294"/>
      <c r="AC485" s="294"/>
    </row>
    <row r="486" spans="2:29" x14ac:dyDescent="0.25">
      <c r="B486" s="294"/>
      <c r="C486" s="294"/>
      <c r="D486" s="294"/>
      <c r="E486" s="294"/>
      <c r="F486" s="294"/>
      <c r="G486" s="294"/>
      <c r="H486" s="294"/>
      <c r="I486" s="294"/>
      <c r="J486" s="294"/>
      <c r="L486" s="295"/>
      <c r="M486" s="294"/>
      <c r="O486" s="294"/>
      <c r="P486" s="294"/>
      <c r="Q486" s="294"/>
      <c r="R486" s="294"/>
      <c r="S486" s="294"/>
      <c r="T486" s="294"/>
      <c r="U486" s="326"/>
      <c r="V486" s="294"/>
      <c r="W486" s="294"/>
      <c r="X486" s="294"/>
      <c r="Y486" s="294"/>
      <c r="Z486" s="294"/>
      <c r="AA486" s="294"/>
      <c r="AB486" s="294"/>
      <c r="AC486" s="294"/>
    </row>
    <row r="487" spans="2:29" x14ac:dyDescent="0.25">
      <c r="B487" s="294"/>
      <c r="C487" s="294"/>
      <c r="D487" s="294"/>
      <c r="E487" s="294"/>
      <c r="F487" s="294"/>
      <c r="G487" s="294"/>
      <c r="H487" s="294"/>
      <c r="I487" s="294"/>
      <c r="J487" s="294"/>
      <c r="L487" s="295"/>
      <c r="M487" s="294"/>
      <c r="O487" s="294"/>
      <c r="P487" s="294"/>
      <c r="Q487" s="294"/>
      <c r="R487" s="294"/>
      <c r="S487" s="294"/>
      <c r="T487" s="294"/>
      <c r="U487" s="326"/>
      <c r="V487" s="294"/>
      <c r="W487" s="294"/>
      <c r="X487" s="294"/>
      <c r="Y487" s="294"/>
      <c r="Z487" s="294"/>
      <c r="AA487" s="294"/>
      <c r="AB487" s="294"/>
      <c r="AC487" s="294"/>
    </row>
    <row r="488" spans="2:29" x14ac:dyDescent="0.25">
      <c r="B488" s="294"/>
      <c r="C488" s="294"/>
      <c r="D488" s="294"/>
      <c r="E488" s="294"/>
      <c r="F488" s="294"/>
      <c r="G488" s="294"/>
      <c r="H488" s="294"/>
      <c r="I488" s="294"/>
      <c r="J488" s="294"/>
      <c r="L488" s="295"/>
      <c r="M488" s="294"/>
      <c r="O488" s="294"/>
      <c r="P488" s="294"/>
      <c r="Q488" s="294"/>
      <c r="R488" s="294"/>
      <c r="S488" s="294"/>
      <c r="T488" s="294"/>
      <c r="U488" s="326"/>
      <c r="V488" s="294"/>
      <c r="W488" s="294"/>
      <c r="X488" s="294"/>
      <c r="Y488" s="294"/>
      <c r="Z488" s="294"/>
      <c r="AA488" s="294"/>
      <c r="AB488" s="294"/>
      <c r="AC488" s="294"/>
    </row>
    <row r="489" spans="2:29" x14ac:dyDescent="0.25">
      <c r="B489" s="294"/>
      <c r="C489" s="294"/>
      <c r="D489" s="294"/>
      <c r="E489" s="294"/>
      <c r="F489" s="294"/>
      <c r="G489" s="294"/>
      <c r="H489" s="294"/>
      <c r="I489" s="294"/>
      <c r="J489" s="294"/>
      <c r="L489" s="295"/>
      <c r="M489" s="294"/>
      <c r="O489" s="294"/>
      <c r="P489" s="294"/>
      <c r="Q489" s="294"/>
      <c r="R489" s="294"/>
      <c r="S489" s="294"/>
      <c r="T489" s="294"/>
      <c r="U489" s="326"/>
      <c r="V489" s="294"/>
      <c r="W489" s="294"/>
      <c r="X489" s="294"/>
      <c r="Y489" s="294"/>
      <c r="Z489" s="294"/>
      <c r="AA489" s="294"/>
      <c r="AB489" s="294"/>
      <c r="AC489" s="294"/>
    </row>
    <row r="490" spans="2:29" x14ac:dyDescent="0.25">
      <c r="B490" s="294"/>
      <c r="C490" s="294"/>
      <c r="D490" s="294"/>
      <c r="E490" s="294"/>
      <c r="F490" s="294"/>
      <c r="G490" s="294"/>
      <c r="H490" s="294"/>
      <c r="I490" s="294"/>
      <c r="J490" s="294"/>
      <c r="L490" s="295"/>
      <c r="M490" s="294"/>
      <c r="O490" s="294"/>
      <c r="P490" s="294"/>
      <c r="Q490" s="294"/>
      <c r="R490" s="294"/>
      <c r="S490" s="294"/>
      <c r="T490" s="294"/>
      <c r="U490" s="326"/>
      <c r="V490" s="294"/>
      <c r="W490" s="294"/>
      <c r="X490" s="294"/>
      <c r="Y490" s="294"/>
      <c r="Z490" s="294"/>
      <c r="AA490" s="294"/>
      <c r="AB490" s="294"/>
      <c r="AC490" s="294"/>
    </row>
    <row r="491" spans="2:29" x14ac:dyDescent="0.25">
      <c r="B491" s="294"/>
      <c r="C491" s="294"/>
      <c r="D491" s="294"/>
      <c r="E491" s="294"/>
      <c r="F491" s="294"/>
      <c r="G491" s="294"/>
      <c r="H491" s="294"/>
      <c r="I491" s="294"/>
      <c r="J491" s="294"/>
      <c r="L491" s="295"/>
      <c r="M491" s="294"/>
      <c r="O491" s="294"/>
      <c r="P491" s="294"/>
      <c r="Q491" s="294"/>
      <c r="R491" s="294"/>
      <c r="S491" s="294"/>
      <c r="T491" s="294"/>
      <c r="U491" s="326"/>
      <c r="V491" s="294"/>
      <c r="W491" s="294"/>
      <c r="X491" s="294"/>
      <c r="Y491" s="294"/>
      <c r="Z491" s="294"/>
      <c r="AA491" s="294"/>
      <c r="AB491" s="294"/>
      <c r="AC491" s="294"/>
    </row>
    <row r="492" spans="2:29" x14ac:dyDescent="0.25">
      <c r="B492" s="294"/>
      <c r="C492" s="294"/>
      <c r="D492" s="294"/>
      <c r="E492" s="294"/>
      <c r="F492" s="294"/>
      <c r="G492" s="294"/>
      <c r="H492" s="294"/>
      <c r="I492" s="294"/>
      <c r="J492" s="294"/>
      <c r="L492" s="295"/>
      <c r="M492" s="294"/>
      <c r="O492" s="294"/>
      <c r="P492" s="294"/>
      <c r="Q492" s="294"/>
      <c r="R492" s="294"/>
      <c r="S492" s="294"/>
      <c r="T492" s="294"/>
      <c r="U492" s="326"/>
      <c r="V492" s="294"/>
      <c r="W492" s="294"/>
      <c r="X492" s="294"/>
      <c r="Y492" s="294"/>
      <c r="Z492" s="294"/>
      <c r="AA492" s="294"/>
      <c r="AB492" s="294"/>
      <c r="AC492" s="294"/>
    </row>
    <row r="493" spans="2:29" x14ac:dyDescent="0.25">
      <c r="B493" s="294"/>
      <c r="C493" s="294"/>
      <c r="D493" s="294"/>
      <c r="E493" s="294"/>
      <c r="F493" s="294"/>
      <c r="G493" s="294"/>
      <c r="H493" s="294"/>
      <c r="I493" s="294"/>
      <c r="J493" s="294"/>
      <c r="L493" s="295"/>
      <c r="M493" s="294"/>
      <c r="O493" s="294"/>
      <c r="P493" s="294"/>
      <c r="Q493" s="294"/>
      <c r="R493" s="294"/>
      <c r="S493" s="294"/>
      <c r="T493" s="294"/>
      <c r="U493" s="326"/>
      <c r="V493" s="294"/>
      <c r="W493" s="294"/>
      <c r="X493" s="294"/>
      <c r="Y493" s="294"/>
      <c r="Z493" s="294"/>
      <c r="AA493" s="294"/>
      <c r="AB493" s="294"/>
      <c r="AC493" s="294"/>
    </row>
    <row r="494" spans="2:29" x14ac:dyDescent="0.25">
      <c r="B494" s="294"/>
      <c r="C494" s="294"/>
      <c r="D494" s="294"/>
      <c r="E494" s="294"/>
      <c r="F494" s="294"/>
      <c r="G494" s="294"/>
      <c r="H494" s="294"/>
      <c r="I494" s="294"/>
      <c r="J494" s="294"/>
      <c r="L494" s="295"/>
      <c r="M494" s="294"/>
      <c r="O494" s="294"/>
      <c r="P494" s="294"/>
      <c r="Q494" s="294"/>
      <c r="R494" s="294"/>
      <c r="S494" s="294"/>
      <c r="T494" s="294"/>
      <c r="U494" s="326"/>
      <c r="V494" s="294"/>
      <c r="W494" s="294"/>
      <c r="X494" s="294"/>
      <c r="Y494" s="294"/>
      <c r="Z494" s="294"/>
      <c r="AA494" s="294"/>
      <c r="AB494" s="294"/>
      <c r="AC494" s="294"/>
    </row>
    <row r="495" spans="2:29" x14ac:dyDescent="0.25">
      <c r="B495" s="294"/>
      <c r="C495" s="294"/>
      <c r="D495" s="294"/>
      <c r="E495" s="294"/>
      <c r="F495" s="294"/>
      <c r="G495" s="294"/>
      <c r="H495" s="294"/>
      <c r="I495" s="294"/>
      <c r="J495" s="294"/>
      <c r="L495" s="295"/>
      <c r="M495" s="294"/>
      <c r="O495" s="294"/>
      <c r="P495" s="294"/>
      <c r="Q495" s="294"/>
      <c r="R495" s="294"/>
      <c r="S495" s="294"/>
      <c r="T495" s="294"/>
      <c r="U495" s="326"/>
      <c r="V495" s="294"/>
      <c r="W495" s="294"/>
      <c r="X495" s="294"/>
      <c r="Y495" s="294"/>
      <c r="Z495" s="294"/>
      <c r="AA495" s="294"/>
      <c r="AB495" s="294"/>
      <c r="AC495" s="294"/>
    </row>
    <row r="496" spans="2:29" x14ac:dyDescent="0.25">
      <c r="B496" s="294"/>
      <c r="C496" s="294"/>
      <c r="D496" s="294"/>
      <c r="E496" s="294"/>
      <c r="F496" s="294"/>
      <c r="G496" s="294"/>
      <c r="H496" s="294"/>
      <c r="I496" s="294"/>
      <c r="J496" s="294"/>
      <c r="L496" s="295"/>
      <c r="M496" s="294"/>
      <c r="O496" s="294"/>
      <c r="P496" s="294"/>
      <c r="Q496" s="294"/>
      <c r="R496" s="294"/>
      <c r="S496" s="294"/>
      <c r="T496" s="294"/>
      <c r="U496" s="326"/>
      <c r="V496" s="294"/>
      <c r="W496" s="294"/>
      <c r="X496" s="294"/>
      <c r="Y496" s="294"/>
      <c r="Z496" s="294"/>
      <c r="AA496" s="294"/>
      <c r="AB496" s="294"/>
      <c r="AC496" s="294"/>
    </row>
    <row r="497" spans="2:29" x14ac:dyDescent="0.25">
      <c r="B497" s="294"/>
      <c r="C497" s="294"/>
      <c r="D497" s="294"/>
      <c r="E497" s="294"/>
      <c r="F497" s="294"/>
      <c r="G497" s="294"/>
      <c r="H497" s="294"/>
      <c r="I497" s="294"/>
      <c r="J497" s="294"/>
      <c r="L497" s="295"/>
      <c r="M497" s="294"/>
      <c r="O497" s="294"/>
      <c r="P497" s="294"/>
      <c r="Q497" s="294"/>
      <c r="R497" s="294"/>
      <c r="S497" s="294"/>
      <c r="T497" s="294"/>
      <c r="U497" s="326"/>
      <c r="V497" s="294"/>
      <c r="W497" s="294"/>
      <c r="X497" s="294"/>
      <c r="Y497" s="294"/>
      <c r="Z497" s="294"/>
      <c r="AA497" s="294"/>
      <c r="AB497" s="294"/>
      <c r="AC497" s="294"/>
    </row>
    <row r="498" spans="2:29" x14ac:dyDescent="0.25">
      <c r="B498" s="294"/>
      <c r="C498" s="294"/>
      <c r="D498" s="294"/>
      <c r="E498" s="294"/>
      <c r="F498" s="294"/>
      <c r="G498" s="294"/>
      <c r="H498" s="294"/>
      <c r="I498" s="294"/>
      <c r="J498" s="294"/>
      <c r="L498" s="295"/>
      <c r="M498" s="294"/>
      <c r="O498" s="294"/>
      <c r="P498" s="294"/>
      <c r="Q498" s="294"/>
      <c r="R498" s="294"/>
      <c r="S498" s="294"/>
      <c r="T498" s="294"/>
      <c r="U498" s="326"/>
      <c r="V498" s="294"/>
      <c r="W498" s="294"/>
      <c r="X498" s="294"/>
      <c r="Y498" s="294"/>
      <c r="Z498" s="294"/>
      <c r="AA498" s="294"/>
      <c r="AB498" s="294"/>
      <c r="AC498" s="294"/>
    </row>
    <row r="499" spans="2:29" x14ac:dyDescent="0.25">
      <c r="B499" s="294"/>
      <c r="C499" s="294"/>
      <c r="D499" s="294"/>
      <c r="E499" s="294"/>
      <c r="F499" s="294"/>
      <c r="G499" s="294"/>
      <c r="H499" s="294"/>
      <c r="I499" s="294"/>
      <c r="J499" s="294"/>
      <c r="L499" s="295"/>
      <c r="M499" s="294"/>
      <c r="O499" s="294"/>
      <c r="P499" s="294"/>
      <c r="Q499" s="294"/>
      <c r="R499" s="294"/>
      <c r="S499" s="294"/>
      <c r="T499" s="294"/>
      <c r="U499" s="326"/>
      <c r="V499" s="294"/>
      <c r="W499" s="294"/>
      <c r="X499" s="294"/>
      <c r="Y499" s="294"/>
      <c r="Z499" s="294"/>
      <c r="AA499" s="294"/>
      <c r="AB499" s="294"/>
      <c r="AC499" s="294"/>
    </row>
    <row r="500" spans="2:29" x14ac:dyDescent="0.25">
      <c r="B500" s="294"/>
      <c r="C500" s="294"/>
      <c r="D500" s="294"/>
      <c r="E500" s="294"/>
      <c r="F500" s="294"/>
      <c r="G500" s="294"/>
      <c r="H500" s="294"/>
      <c r="I500" s="294"/>
      <c r="J500" s="294"/>
      <c r="L500" s="295"/>
      <c r="M500" s="294"/>
      <c r="O500" s="294"/>
      <c r="P500" s="294"/>
      <c r="Q500" s="294"/>
      <c r="R500" s="294"/>
      <c r="S500" s="294"/>
      <c r="T500" s="294"/>
      <c r="U500" s="326"/>
      <c r="V500" s="294"/>
      <c r="W500" s="294"/>
      <c r="X500" s="294"/>
      <c r="Y500" s="294"/>
      <c r="Z500" s="294"/>
      <c r="AA500" s="294"/>
      <c r="AB500" s="294"/>
      <c r="AC500" s="294"/>
    </row>
    <row r="501" spans="2:29" x14ac:dyDescent="0.25">
      <c r="B501" s="294"/>
      <c r="C501" s="294"/>
      <c r="D501" s="294"/>
      <c r="E501" s="294"/>
      <c r="F501" s="294"/>
      <c r="G501" s="294"/>
      <c r="H501" s="294"/>
      <c r="I501" s="294"/>
      <c r="J501" s="294"/>
      <c r="L501" s="295"/>
      <c r="M501" s="294"/>
      <c r="O501" s="294"/>
      <c r="P501" s="294"/>
      <c r="Q501" s="294"/>
      <c r="R501" s="294"/>
      <c r="S501" s="294"/>
      <c r="T501" s="294"/>
      <c r="U501" s="326"/>
      <c r="V501" s="294"/>
      <c r="W501" s="294"/>
      <c r="X501" s="294"/>
      <c r="Y501" s="294"/>
      <c r="Z501" s="294"/>
      <c r="AA501" s="294"/>
      <c r="AB501" s="294"/>
      <c r="AC501" s="294"/>
    </row>
    <row r="502" spans="2:29" x14ac:dyDescent="0.25">
      <c r="B502" s="294"/>
      <c r="C502" s="294"/>
      <c r="D502" s="294"/>
      <c r="E502" s="294"/>
      <c r="F502" s="294"/>
      <c r="G502" s="294"/>
      <c r="H502" s="294"/>
      <c r="I502" s="294"/>
      <c r="J502" s="294"/>
      <c r="L502" s="295"/>
      <c r="M502" s="294"/>
      <c r="O502" s="294"/>
      <c r="P502" s="294"/>
      <c r="Q502" s="294"/>
      <c r="R502" s="294"/>
      <c r="S502" s="294"/>
      <c r="T502" s="294"/>
      <c r="U502" s="326"/>
      <c r="V502" s="294"/>
      <c r="W502" s="294"/>
      <c r="X502" s="294"/>
      <c r="Y502" s="294"/>
      <c r="Z502" s="294"/>
      <c r="AA502" s="294"/>
      <c r="AB502" s="294"/>
      <c r="AC502" s="294"/>
    </row>
    <row r="503" spans="2:29" x14ac:dyDescent="0.25">
      <c r="B503" s="294"/>
      <c r="C503" s="294"/>
      <c r="D503" s="294"/>
      <c r="E503" s="294"/>
      <c r="F503" s="294"/>
      <c r="G503" s="294"/>
      <c r="H503" s="294"/>
      <c r="I503" s="294"/>
      <c r="J503" s="294"/>
      <c r="L503" s="295"/>
      <c r="M503" s="294"/>
      <c r="O503" s="294"/>
      <c r="P503" s="294"/>
      <c r="Q503" s="294"/>
      <c r="R503" s="294"/>
      <c r="S503" s="294"/>
      <c r="T503" s="294"/>
      <c r="U503" s="326"/>
      <c r="V503" s="294"/>
      <c r="W503" s="294"/>
      <c r="X503" s="294"/>
      <c r="Y503" s="294"/>
      <c r="Z503" s="294"/>
      <c r="AA503" s="294"/>
      <c r="AB503" s="294"/>
      <c r="AC503" s="294"/>
    </row>
    <row r="504" spans="2:29" x14ac:dyDescent="0.25">
      <c r="B504" s="294"/>
      <c r="C504" s="294"/>
      <c r="D504" s="294"/>
      <c r="E504" s="294"/>
      <c r="F504" s="294"/>
      <c r="G504" s="294"/>
      <c r="H504" s="294"/>
      <c r="I504" s="294"/>
      <c r="J504" s="294"/>
      <c r="L504" s="295"/>
      <c r="M504" s="294"/>
      <c r="O504" s="294"/>
      <c r="P504" s="294"/>
      <c r="Q504" s="294"/>
      <c r="R504" s="294"/>
      <c r="S504" s="294"/>
      <c r="T504" s="294"/>
      <c r="U504" s="326"/>
      <c r="V504" s="294"/>
      <c r="W504" s="294"/>
      <c r="X504" s="294"/>
      <c r="Y504" s="294"/>
      <c r="Z504" s="294"/>
      <c r="AA504" s="294"/>
      <c r="AB504" s="294"/>
      <c r="AC504" s="294"/>
    </row>
    <row r="505" spans="2:29" x14ac:dyDescent="0.25">
      <c r="B505" s="294"/>
      <c r="C505" s="294"/>
      <c r="D505" s="294"/>
      <c r="E505" s="294"/>
      <c r="F505" s="294"/>
      <c r="G505" s="294"/>
      <c r="H505" s="294"/>
      <c r="I505" s="294"/>
      <c r="J505" s="294"/>
      <c r="L505" s="295"/>
      <c r="M505" s="294"/>
      <c r="O505" s="294"/>
      <c r="P505" s="294"/>
      <c r="Q505" s="294"/>
      <c r="R505" s="294"/>
      <c r="S505" s="294"/>
      <c r="T505" s="294"/>
      <c r="U505" s="326"/>
      <c r="V505" s="294"/>
      <c r="W505" s="294"/>
      <c r="X505" s="294"/>
      <c r="Y505" s="294"/>
      <c r="Z505" s="294"/>
      <c r="AA505" s="294"/>
      <c r="AB505" s="294"/>
      <c r="AC505" s="294"/>
    </row>
    <row r="506" spans="2:29" x14ac:dyDescent="0.25">
      <c r="B506" s="294"/>
      <c r="C506" s="294"/>
      <c r="D506" s="294"/>
      <c r="E506" s="294"/>
      <c r="F506" s="294"/>
      <c r="G506" s="294"/>
      <c r="H506" s="294"/>
      <c r="I506" s="294"/>
      <c r="J506" s="294"/>
      <c r="L506" s="295"/>
      <c r="M506" s="294"/>
      <c r="O506" s="294"/>
      <c r="P506" s="294"/>
      <c r="Q506" s="294"/>
      <c r="R506" s="294"/>
      <c r="S506" s="294"/>
      <c r="T506" s="294"/>
      <c r="U506" s="326"/>
      <c r="V506" s="294"/>
      <c r="W506" s="294"/>
      <c r="X506" s="294"/>
      <c r="Y506" s="294"/>
      <c r="Z506" s="294"/>
      <c r="AA506" s="294"/>
      <c r="AB506" s="294"/>
      <c r="AC506" s="294"/>
    </row>
    <row r="507" spans="2:29" x14ac:dyDescent="0.25">
      <c r="B507" s="294"/>
      <c r="C507" s="294"/>
      <c r="D507" s="294"/>
      <c r="E507" s="294"/>
      <c r="F507" s="294"/>
      <c r="G507" s="294"/>
      <c r="H507" s="294"/>
      <c r="I507" s="294"/>
      <c r="J507" s="294"/>
      <c r="L507" s="295"/>
      <c r="M507" s="294"/>
      <c r="O507" s="294"/>
      <c r="P507" s="294"/>
      <c r="Q507" s="294"/>
      <c r="R507" s="294"/>
      <c r="S507" s="294"/>
      <c r="T507" s="294"/>
      <c r="U507" s="326"/>
      <c r="V507" s="294"/>
      <c r="W507" s="294"/>
      <c r="X507" s="294"/>
      <c r="Y507" s="294"/>
      <c r="Z507" s="294"/>
      <c r="AA507" s="294"/>
      <c r="AB507" s="294"/>
      <c r="AC507" s="294"/>
    </row>
    <row r="508" spans="2:29" x14ac:dyDescent="0.25">
      <c r="B508" s="294"/>
      <c r="C508" s="294"/>
      <c r="D508" s="294"/>
      <c r="E508" s="294"/>
      <c r="F508" s="294"/>
      <c r="G508" s="294"/>
      <c r="H508" s="294"/>
      <c r="I508" s="294"/>
      <c r="J508" s="294"/>
      <c r="L508" s="295"/>
      <c r="M508" s="294"/>
      <c r="O508" s="294"/>
      <c r="P508" s="294"/>
      <c r="Q508" s="294"/>
      <c r="R508" s="294"/>
      <c r="S508" s="294"/>
      <c r="T508" s="294"/>
      <c r="U508" s="326"/>
      <c r="V508" s="294"/>
      <c r="W508" s="294"/>
      <c r="X508" s="294"/>
      <c r="Y508" s="294"/>
      <c r="Z508" s="294"/>
      <c r="AA508" s="294"/>
      <c r="AB508" s="294"/>
      <c r="AC508" s="294"/>
    </row>
    <row r="509" spans="2:29" x14ac:dyDescent="0.25">
      <c r="B509" s="294"/>
      <c r="C509" s="294"/>
      <c r="D509" s="294"/>
      <c r="E509" s="294"/>
      <c r="F509" s="294"/>
      <c r="G509" s="294"/>
      <c r="H509" s="294"/>
      <c r="I509" s="294"/>
      <c r="J509" s="294"/>
      <c r="L509" s="295"/>
      <c r="M509" s="294"/>
      <c r="O509" s="294"/>
      <c r="P509" s="294"/>
      <c r="Q509" s="294"/>
      <c r="R509" s="294"/>
      <c r="S509" s="294"/>
      <c r="T509" s="294"/>
      <c r="U509" s="326"/>
      <c r="V509" s="294"/>
      <c r="W509" s="294"/>
      <c r="X509" s="294"/>
      <c r="Y509" s="294"/>
      <c r="Z509" s="294"/>
      <c r="AA509" s="294"/>
      <c r="AB509" s="294"/>
      <c r="AC509" s="294"/>
    </row>
    <row r="510" spans="2:29" x14ac:dyDescent="0.25">
      <c r="B510" s="294"/>
      <c r="C510" s="294"/>
      <c r="D510" s="294"/>
      <c r="E510" s="294"/>
      <c r="F510" s="294"/>
      <c r="G510" s="294"/>
      <c r="H510" s="294"/>
      <c r="I510" s="294"/>
      <c r="J510" s="294"/>
      <c r="L510" s="295"/>
      <c r="M510" s="294"/>
      <c r="O510" s="294"/>
      <c r="P510" s="294"/>
      <c r="Q510" s="294"/>
      <c r="R510" s="294"/>
      <c r="S510" s="294"/>
      <c r="T510" s="294"/>
      <c r="U510" s="326"/>
      <c r="V510" s="294"/>
      <c r="W510" s="294"/>
      <c r="X510" s="294"/>
      <c r="Y510" s="294"/>
      <c r="Z510" s="294"/>
      <c r="AA510" s="294"/>
      <c r="AB510" s="294"/>
      <c r="AC510" s="294"/>
    </row>
    <row r="511" spans="2:29" x14ac:dyDescent="0.25">
      <c r="B511" s="294"/>
      <c r="C511" s="294"/>
      <c r="D511" s="294"/>
      <c r="E511" s="294"/>
      <c r="F511" s="294"/>
      <c r="G511" s="294"/>
      <c r="H511" s="294"/>
      <c r="I511" s="294"/>
      <c r="J511" s="294"/>
      <c r="L511" s="295"/>
      <c r="M511" s="294"/>
      <c r="O511" s="294"/>
      <c r="P511" s="294"/>
      <c r="Q511" s="294"/>
      <c r="R511" s="294"/>
      <c r="S511" s="294"/>
      <c r="T511" s="294"/>
      <c r="U511" s="326"/>
      <c r="V511" s="294"/>
      <c r="W511" s="294"/>
      <c r="X511" s="294"/>
      <c r="Y511" s="294"/>
      <c r="Z511" s="294"/>
      <c r="AA511" s="294"/>
      <c r="AB511" s="294"/>
      <c r="AC511" s="294"/>
    </row>
    <row r="512" spans="2:29" x14ac:dyDescent="0.25">
      <c r="B512" s="294"/>
      <c r="C512" s="294"/>
      <c r="D512" s="294"/>
      <c r="E512" s="294"/>
      <c r="F512" s="294"/>
      <c r="G512" s="294"/>
      <c r="H512" s="294"/>
      <c r="I512" s="294"/>
      <c r="J512" s="294"/>
      <c r="L512" s="295"/>
      <c r="M512" s="294"/>
      <c r="O512" s="294"/>
      <c r="P512" s="294"/>
      <c r="Q512" s="294"/>
      <c r="R512" s="294"/>
      <c r="S512" s="294"/>
      <c r="T512" s="294"/>
      <c r="U512" s="326"/>
      <c r="V512" s="294"/>
      <c r="W512" s="294"/>
      <c r="X512" s="294"/>
      <c r="Y512" s="294"/>
      <c r="Z512" s="294"/>
      <c r="AA512" s="294"/>
      <c r="AB512" s="294"/>
      <c r="AC512" s="294"/>
    </row>
    <row r="513" spans="2:29" x14ac:dyDescent="0.25">
      <c r="B513" s="294"/>
      <c r="C513" s="294"/>
      <c r="D513" s="294"/>
      <c r="E513" s="294"/>
      <c r="F513" s="294"/>
      <c r="G513" s="294"/>
      <c r="H513" s="294"/>
      <c r="I513" s="294"/>
      <c r="J513" s="294"/>
      <c r="L513" s="295"/>
      <c r="M513" s="294"/>
      <c r="O513" s="294"/>
      <c r="P513" s="294"/>
      <c r="Q513" s="294"/>
      <c r="R513" s="294"/>
      <c r="S513" s="294"/>
      <c r="T513" s="294"/>
      <c r="U513" s="326"/>
      <c r="V513" s="294"/>
      <c r="W513" s="294"/>
      <c r="X513" s="294"/>
      <c r="Y513" s="294"/>
      <c r="Z513" s="294"/>
      <c r="AA513" s="294"/>
      <c r="AB513" s="294"/>
      <c r="AC513" s="294"/>
    </row>
    <row r="514" spans="2:29" x14ac:dyDescent="0.25">
      <c r="B514" s="294"/>
      <c r="C514" s="294"/>
      <c r="D514" s="294"/>
      <c r="E514" s="294"/>
      <c r="F514" s="294"/>
      <c r="G514" s="294"/>
      <c r="H514" s="294"/>
      <c r="I514" s="294"/>
      <c r="J514" s="294"/>
      <c r="L514" s="295"/>
      <c r="M514" s="294"/>
      <c r="O514" s="294"/>
      <c r="P514" s="294"/>
      <c r="Q514" s="294"/>
      <c r="R514" s="294"/>
      <c r="S514" s="294"/>
      <c r="T514" s="294"/>
      <c r="U514" s="326"/>
      <c r="V514" s="294"/>
      <c r="W514" s="294"/>
      <c r="X514" s="294"/>
      <c r="Y514" s="294"/>
      <c r="Z514" s="294"/>
      <c r="AA514" s="294"/>
      <c r="AB514" s="294"/>
      <c r="AC514" s="294"/>
    </row>
    <row r="515" spans="2:29" x14ac:dyDescent="0.25">
      <c r="B515" s="294"/>
      <c r="C515" s="294"/>
      <c r="D515" s="294"/>
      <c r="E515" s="294"/>
      <c r="F515" s="294"/>
      <c r="G515" s="294"/>
      <c r="H515" s="294"/>
      <c r="I515" s="294"/>
      <c r="J515" s="294"/>
      <c r="L515" s="295"/>
      <c r="M515" s="294"/>
      <c r="O515" s="294"/>
      <c r="P515" s="294"/>
      <c r="Q515" s="294"/>
      <c r="R515" s="294"/>
      <c r="S515" s="294"/>
      <c r="T515" s="294"/>
      <c r="U515" s="326"/>
      <c r="V515" s="294"/>
      <c r="W515" s="294"/>
      <c r="X515" s="294"/>
      <c r="Y515" s="294"/>
      <c r="Z515" s="294"/>
      <c r="AA515" s="294"/>
      <c r="AB515" s="294"/>
      <c r="AC515" s="294"/>
    </row>
    <row r="516" spans="2:29" x14ac:dyDescent="0.25">
      <c r="B516" s="294"/>
      <c r="C516" s="294"/>
      <c r="D516" s="294"/>
      <c r="E516" s="294"/>
      <c r="F516" s="294"/>
      <c r="G516" s="294"/>
      <c r="H516" s="294"/>
      <c r="I516" s="294"/>
      <c r="J516" s="294"/>
      <c r="L516" s="295"/>
      <c r="M516" s="294"/>
      <c r="O516" s="294"/>
      <c r="P516" s="294"/>
      <c r="Q516" s="294"/>
      <c r="R516" s="294"/>
      <c r="S516" s="294"/>
      <c r="T516" s="294"/>
      <c r="U516" s="326"/>
      <c r="V516" s="294"/>
      <c r="W516" s="294"/>
      <c r="X516" s="294"/>
      <c r="Y516" s="294"/>
      <c r="Z516" s="294"/>
      <c r="AA516" s="294"/>
      <c r="AB516" s="294"/>
      <c r="AC516" s="294"/>
    </row>
    <row r="517" spans="2:29" x14ac:dyDescent="0.25">
      <c r="B517" s="294"/>
      <c r="C517" s="294"/>
      <c r="D517" s="294"/>
      <c r="E517" s="294"/>
      <c r="F517" s="294"/>
      <c r="G517" s="294"/>
      <c r="H517" s="294"/>
      <c r="I517" s="294"/>
      <c r="J517" s="294"/>
      <c r="L517" s="295"/>
      <c r="M517" s="294"/>
      <c r="O517" s="294"/>
      <c r="P517" s="294"/>
      <c r="Q517" s="294"/>
      <c r="R517" s="294"/>
      <c r="S517" s="294"/>
      <c r="T517" s="294"/>
      <c r="U517" s="326"/>
      <c r="V517" s="294"/>
      <c r="W517" s="294"/>
      <c r="X517" s="294"/>
      <c r="Y517" s="294"/>
      <c r="Z517" s="294"/>
      <c r="AA517" s="294"/>
      <c r="AB517" s="294"/>
      <c r="AC517" s="294"/>
    </row>
    <row r="518" spans="2:29" x14ac:dyDescent="0.25">
      <c r="B518" s="294"/>
      <c r="C518" s="294"/>
      <c r="D518" s="294"/>
      <c r="E518" s="294"/>
      <c r="F518" s="294"/>
      <c r="G518" s="294"/>
      <c r="H518" s="294"/>
      <c r="I518" s="294"/>
      <c r="J518" s="294"/>
      <c r="L518" s="295"/>
      <c r="M518" s="294"/>
      <c r="O518" s="294"/>
      <c r="P518" s="294"/>
      <c r="Q518" s="294"/>
      <c r="R518" s="294"/>
      <c r="S518" s="294"/>
      <c r="T518" s="294"/>
      <c r="U518" s="326"/>
      <c r="V518" s="294"/>
      <c r="W518" s="294"/>
      <c r="X518" s="294"/>
      <c r="Y518" s="294"/>
      <c r="Z518" s="294"/>
      <c r="AA518" s="294"/>
      <c r="AB518" s="294"/>
      <c r="AC518" s="294"/>
    </row>
    <row r="519" spans="2:29" x14ac:dyDescent="0.25">
      <c r="B519" s="294"/>
      <c r="C519" s="294"/>
      <c r="D519" s="294"/>
      <c r="E519" s="294"/>
      <c r="F519" s="294"/>
      <c r="G519" s="294"/>
      <c r="H519" s="294"/>
      <c r="I519" s="294"/>
      <c r="J519" s="294"/>
      <c r="L519" s="295"/>
      <c r="M519" s="294"/>
      <c r="O519" s="294"/>
      <c r="P519" s="294"/>
      <c r="Q519" s="294"/>
      <c r="R519" s="294"/>
      <c r="S519" s="294"/>
      <c r="T519" s="294"/>
      <c r="U519" s="326"/>
      <c r="V519" s="294"/>
      <c r="W519" s="294"/>
      <c r="X519" s="294"/>
      <c r="Y519" s="294"/>
      <c r="Z519" s="294"/>
      <c r="AA519" s="294"/>
      <c r="AB519" s="294"/>
      <c r="AC519" s="294"/>
    </row>
    <row r="520" spans="2:29" x14ac:dyDescent="0.25">
      <c r="B520" s="294"/>
      <c r="C520" s="294"/>
      <c r="D520" s="294"/>
      <c r="E520" s="294"/>
      <c r="F520" s="294"/>
      <c r="G520" s="294"/>
      <c r="H520" s="294"/>
      <c r="I520" s="294"/>
      <c r="J520" s="294"/>
      <c r="L520" s="295"/>
      <c r="M520" s="294"/>
      <c r="O520" s="294"/>
      <c r="P520" s="294"/>
      <c r="Q520" s="294"/>
      <c r="R520" s="294"/>
      <c r="S520" s="294"/>
      <c r="T520" s="294"/>
      <c r="U520" s="326"/>
      <c r="V520" s="294"/>
      <c r="W520" s="294"/>
      <c r="X520" s="294"/>
      <c r="Y520" s="294"/>
      <c r="Z520" s="294"/>
      <c r="AA520" s="294"/>
      <c r="AB520" s="294"/>
      <c r="AC520" s="294"/>
    </row>
    <row r="521" spans="2:29" x14ac:dyDescent="0.25">
      <c r="B521" s="294"/>
      <c r="C521" s="294"/>
      <c r="D521" s="294"/>
      <c r="E521" s="294"/>
      <c r="F521" s="294"/>
      <c r="G521" s="294"/>
      <c r="H521" s="294"/>
      <c r="I521" s="294"/>
      <c r="J521" s="294"/>
      <c r="L521" s="295"/>
      <c r="M521" s="294"/>
      <c r="O521" s="294"/>
      <c r="P521" s="294"/>
      <c r="Q521" s="294"/>
      <c r="R521" s="294"/>
      <c r="S521" s="294"/>
      <c r="T521" s="294"/>
      <c r="U521" s="326"/>
      <c r="V521" s="294"/>
      <c r="W521" s="294"/>
      <c r="X521" s="294"/>
      <c r="Y521" s="294"/>
      <c r="Z521" s="294"/>
      <c r="AA521" s="294"/>
      <c r="AB521" s="294"/>
      <c r="AC521" s="294"/>
    </row>
    <row r="522" spans="2:29" x14ac:dyDescent="0.25">
      <c r="B522" s="294"/>
      <c r="C522" s="294"/>
      <c r="D522" s="294"/>
      <c r="E522" s="294"/>
      <c r="F522" s="294"/>
      <c r="G522" s="294"/>
      <c r="H522" s="294"/>
      <c r="I522" s="294"/>
      <c r="J522" s="294"/>
      <c r="L522" s="295"/>
      <c r="M522" s="294"/>
      <c r="O522" s="294"/>
      <c r="P522" s="294"/>
      <c r="Q522" s="294"/>
      <c r="R522" s="294"/>
      <c r="S522" s="294"/>
      <c r="T522" s="294"/>
      <c r="U522" s="326"/>
      <c r="V522" s="294"/>
      <c r="W522" s="294"/>
      <c r="X522" s="294"/>
      <c r="Y522" s="294"/>
      <c r="Z522" s="294"/>
      <c r="AA522" s="294"/>
      <c r="AB522" s="294"/>
      <c r="AC522" s="294"/>
    </row>
    <row r="523" spans="2:29" x14ac:dyDescent="0.25">
      <c r="B523" s="294"/>
      <c r="C523" s="294"/>
      <c r="D523" s="294"/>
      <c r="E523" s="294"/>
      <c r="F523" s="294"/>
      <c r="G523" s="294"/>
      <c r="H523" s="294"/>
      <c r="I523" s="294"/>
      <c r="J523" s="294"/>
      <c r="L523" s="295"/>
      <c r="M523" s="294"/>
      <c r="O523" s="294"/>
      <c r="P523" s="294"/>
      <c r="Q523" s="294"/>
      <c r="R523" s="294"/>
      <c r="S523" s="294"/>
      <c r="T523" s="294"/>
      <c r="U523" s="326"/>
      <c r="V523" s="294"/>
      <c r="W523" s="294"/>
      <c r="X523" s="294"/>
      <c r="Y523" s="294"/>
      <c r="Z523" s="294"/>
      <c r="AA523" s="294"/>
      <c r="AB523" s="294"/>
      <c r="AC523" s="294"/>
    </row>
    <row r="524" spans="2:29" x14ac:dyDescent="0.25">
      <c r="B524" s="294"/>
      <c r="C524" s="294"/>
      <c r="D524" s="294"/>
      <c r="E524" s="294"/>
      <c r="F524" s="294"/>
      <c r="G524" s="294"/>
      <c r="H524" s="294"/>
      <c r="I524" s="294"/>
      <c r="J524" s="294"/>
      <c r="L524" s="295"/>
      <c r="M524" s="294"/>
      <c r="O524" s="294"/>
      <c r="P524" s="294"/>
      <c r="Q524" s="294"/>
      <c r="R524" s="294"/>
      <c r="S524" s="294"/>
      <c r="T524" s="294"/>
      <c r="U524" s="326"/>
      <c r="V524" s="294"/>
      <c r="W524" s="294"/>
      <c r="X524" s="294"/>
      <c r="Y524" s="294"/>
      <c r="Z524" s="294"/>
      <c r="AA524" s="294"/>
      <c r="AB524" s="294"/>
      <c r="AC524" s="294"/>
    </row>
    <row r="525" spans="2:29" x14ac:dyDescent="0.25">
      <c r="B525" s="294"/>
      <c r="C525" s="294"/>
      <c r="D525" s="294"/>
      <c r="E525" s="294"/>
      <c r="F525" s="294"/>
      <c r="G525" s="294"/>
      <c r="H525" s="294"/>
      <c r="I525" s="294"/>
      <c r="J525" s="294"/>
      <c r="L525" s="295"/>
      <c r="M525" s="294"/>
      <c r="O525" s="294"/>
      <c r="P525" s="294"/>
      <c r="Q525" s="294"/>
      <c r="R525" s="294"/>
      <c r="S525" s="294"/>
      <c r="T525" s="294"/>
      <c r="U525" s="326"/>
      <c r="V525" s="294"/>
      <c r="W525" s="294"/>
      <c r="X525" s="294"/>
      <c r="Y525" s="294"/>
      <c r="Z525" s="294"/>
      <c r="AA525" s="294"/>
      <c r="AB525" s="294"/>
      <c r="AC525" s="294"/>
    </row>
    <row r="526" spans="2:29" x14ac:dyDescent="0.25">
      <c r="B526" s="294"/>
      <c r="C526" s="294"/>
      <c r="D526" s="294"/>
      <c r="E526" s="294"/>
      <c r="F526" s="294"/>
      <c r="G526" s="294"/>
      <c r="H526" s="294"/>
      <c r="I526" s="294"/>
      <c r="J526" s="294"/>
      <c r="L526" s="295"/>
      <c r="M526" s="294"/>
      <c r="O526" s="294"/>
      <c r="P526" s="294"/>
      <c r="Q526" s="294"/>
      <c r="R526" s="294"/>
      <c r="S526" s="294"/>
      <c r="T526" s="294"/>
      <c r="U526" s="326"/>
      <c r="V526" s="294"/>
      <c r="W526" s="294"/>
      <c r="X526" s="294"/>
      <c r="Y526" s="294"/>
      <c r="Z526" s="294"/>
      <c r="AA526" s="294"/>
      <c r="AB526" s="294"/>
      <c r="AC526" s="294"/>
    </row>
    <row r="527" spans="2:29" x14ac:dyDescent="0.25">
      <c r="B527" s="294"/>
      <c r="C527" s="294"/>
      <c r="D527" s="294"/>
      <c r="E527" s="294"/>
      <c r="F527" s="294"/>
      <c r="G527" s="294"/>
      <c r="H527" s="294"/>
      <c r="I527" s="294"/>
      <c r="J527" s="294"/>
      <c r="L527" s="295"/>
      <c r="M527" s="294"/>
      <c r="O527" s="294"/>
      <c r="P527" s="294"/>
      <c r="Q527" s="294"/>
      <c r="R527" s="294"/>
      <c r="S527" s="294"/>
      <c r="T527" s="294"/>
      <c r="U527" s="326"/>
      <c r="V527" s="294"/>
      <c r="W527" s="294"/>
      <c r="X527" s="294"/>
      <c r="Y527" s="294"/>
      <c r="Z527" s="294"/>
      <c r="AA527" s="294"/>
      <c r="AB527" s="294"/>
      <c r="AC527" s="294"/>
    </row>
    <row r="528" spans="2:29" x14ac:dyDescent="0.25">
      <c r="B528" s="294"/>
      <c r="C528" s="294"/>
      <c r="D528" s="294"/>
      <c r="E528" s="294"/>
      <c r="F528" s="294"/>
      <c r="G528" s="294"/>
      <c r="H528" s="294"/>
      <c r="I528" s="294"/>
      <c r="J528" s="294"/>
      <c r="L528" s="295"/>
      <c r="M528" s="294"/>
      <c r="O528" s="294"/>
      <c r="P528" s="294"/>
      <c r="Q528" s="294"/>
      <c r="R528" s="294"/>
      <c r="S528" s="294"/>
      <c r="T528" s="294"/>
      <c r="U528" s="326"/>
      <c r="V528" s="294"/>
      <c r="W528" s="294"/>
      <c r="X528" s="294"/>
      <c r="Y528" s="294"/>
      <c r="Z528" s="294"/>
      <c r="AA528" s="294"/>
      <c r="AB528" s="294"/>
      <c r="AC528" s="294"/>
    </row>
    <row r="529" spans="2:29" x14ac:dyDescent="0.25">
      <c r="B529" s="294"/>
      <c r="C529" s="294"/>
      <c r="D529" s="294"/>
      <c r="E529" s="294"/>
      <c r="F529" s="294"/>
      <c r="G529" s="294"/>
      <c r="H529" s="294"/>
      <c r="I529" s="294"/>
      <c r="J529" s="294"/>
      <c r="L529" s="295"/>
      <c r="M529" s="294"/>
      <c r="O529" s="294"/>
      <c r="P529" s="294"/>
      <c r="Q529" s="294"/>
      <c r="R529" s="294"/>
      <c r="S529" s="294"/>
      <c r="T529" s="294"/>
      <c r="U529" s="326"/>
      <c r="V529" s="294"/>
      <c r="W529" s="294"/>
      <c r="X529" s="294"/>
      <c r="Y529" s="294"/>
      <c r="Z529" s="294"/>
      <c r="AA529" s="294"/>
      <c r="AB529" s="294"/>
      <c r="AC529" s="294"/>
    </row>
    <row r="530" spans="2:29" x14ac:dyDescent="0.25">
      <c r="B530" s="294"/>
      <c r="C530" s="294"/>
      <c r="D530" s="294"/>
      <c r="E530" s="294"/>
      <c r="F530" s="294"/>
      <c r="G530" s="294"/>
      <c r="H530" s="294"/>
      <c r="I530" s="294"/>
      <c r="J530" s="294"/>
      <c r="L530" s="295"/>
      <c r="M530" s="294"/>
      <c r="O530" s="294"/>
      <c r="P530" s="294"/>
      <c r="Q530" s="294"/>
      <c r="R530" s="294"/>
      <c r="S530" s="294"/>
      <c r="T530" s="294"/>
      <c r="U530" s="326"/>
      <c r="V530" s="294"/>
      <c r="W530" s="294"/>
      <c r="X530" s="294"/>
      <c r="Y530" s="294"/>
      <c r="Z530" s="294"/>
      <c r="AA530" s="294"/>
      <c r="AB530" s="294"/>
      <c r="AC530" s="294"/>
    </row>
    <row r="531" spans="2:29" x14ac:dyDescent="0.25">
      <c r="B531" s="294"/>
      <c r="C531" s="294"/>
      <c r="D531" s="294"/>
      <c r="E531" s="294"/>
      <c r="F531" s="294"/>
      <c r="G531" s="294"/>
      <c r="H531" s="294"/>
      <c r="I531" s="294"/>
      <c r="J531" s="294"/>
      <c r="L531" s="295"/>
      <c r="M531" s="294"/>
      <c r="O531" s="294"/>
      <c r="P531" s="294"/>
      <c r="Q531" s="294"/>
      <c r="R531" s="294"/>
      <c r="S531" s="294"/>
      <c r="T531" s="294"/>
      <c r="U531" s="326"/>
      <c r="V531" s="294"/>
      <c r="W531" s="294"/>
      <c r="X531" s="294"/>
      <c r="Y531" s="294"/>
      <c r="Z531" s="294"/>
      <c r="AA531" s="294"/>
      <c r="AB531" s="294"/>
      <c r="AC531" s="294"/>
    </row>
    <row r="532" spans="2:29" x14ac:dyDescent="0.25">
      <c r="B532" s="294"/>
      <c r="C532" s="294"/>
      <c r="D532" s="294"/>
      <c r="E532" s="294"/>
      <c r="F532" s="294"/>
      <c r="G532" s="294"/>
      <c r="H532" s="294"/>
      <c r="I532" s="294"/>
      <c r="J532" s="294"/>
      <c r="L532" s="295"/>
      <c r="M532" s="294"/>
      <c r="O532" s="294"/>
      <c r="P532" s="294"/>
      <c r="Q532" s="294"/>
      <c r="R532" s="294"/>
      <c r="S532" s="294"/>
      <c r="T532" s="294"/>
      <c r="U532" s="326"/>
      <c r="V532" s="294"/>
      <c r="W532" s="294"/>
      <c r="X532" s="294"/>
      <c r="Y532" s="294"/>
      <c r="Z532" s="294"/>
      <c r="AA532" s="294"/>
      <c r="AB532" s="294"/>
      <c r="AC532" s="294"/>
    </row>
    <row r="533" spans="2:29" x14ac:dyDescent="0.25">
      <c r="B533" s="294"/>
      <c r="C533" s="294"/>
      <c r="D533" s="294"/>
      <c r="E533" s="294"/>
      <c r="F533" s="294"/>
      <c r="G533" s="294"/>
      <c r="H533" s="294"/>
      <c r="I533" s="294"/>
      <c r="J533" s="294"/>
      <c r="L533" s="295"/>
      <c r="M533" s="294"/>
      <c r="O533" s="294"/>
      <c r="P533" s="294"/>
      <c r="Q533" s="294"/>
      <c r="R533" s="294"/>
      <c r="S533" s="294"/>
      <c r="T533" s="294"/>
      <c r="U533" s="326"/>
      <c r="V533" s="294"/>
      <c r="W533" s="294"/>
      <c r="X533" s="294"/>
      <c r="Y533" s="294"/>
      <c r="Z533" s="294"/>
      <c r="AA533" s="294"/>
      <c r="AB533" s="294"/>
      <c r="AC533" s="294"/>
    </row>
    <row r="534" spans="2:29" x14ac:dyDescent="0.25">
      <c r="B534" s="294"/>
      <c r="C534" s="294"/>
      <c r="D534" s="294"/>
      <c r="E534" s="294"/>
      <c r="F534" s="294"/>
      <c r="G534" s="294"/>
      <c r="H534" s="294"/>
      <c r="I534" s="294"/>
      <c r="J534" s="294"/>
      <c r="L534" s="295"/>
      <c r="M534" s="294"/>
      <c r="O534" s="294"/>
      <c r="P534" s="294"/>
      <c r="Q534" s="294"/>
      <c r="R534" s="294"/>
      <c r="S534" s="294"/>
      <c r="T534" s="294"/>
      <c r="U534" s="326"/>
      <c r="V534" s="294"/>
      <c r="W534" s="294"/>
      <c r="X534" s="294"/>
      <c r="Y534" s="294"/>
      <c r="Z534" s="294"/>
      <c r="AA534" s="294"/>
      <c r="AB534" s="294"/>
      <c r="AC534" s="294"/>
    </row>
    <row r="535" spans="2:29" x14ac:dyDescent="0.25">
      <c r="B535" s="294"/>
      <c r="C535" s="294"/>
      <c r="D535" s="294"/>
      <c r="E535" s="294"/>
      <c r="F535" s="294"/>
      <c r="G535" s="294"/>
      <c r="H535" s="294"/>
      <c r="I535" s="294"/>
      <c r="J535" s="294"/>
      <c r="L535" s="295"/>
      <c r="M535" s="294"/>
      <c r="O535" s="294"/>
      <c r="P535" s="294"/>
      <c r="Q535" s="294"/>
      <c r="R535" s="294"/>
      <c r="S535" s="294"/>
      <c r="T535" s="294"/>
      <c r="U535" s="326"/>
      <c r="V535" s="294"/>
      <c r="W535" s="294"/>
      <c r="X535" s="294"/>
      <c r="Y535" s="294"/>
      <c r="Z535" s="294"/>
      <c r="AA535" s="294"/>
      <c r="AB535" s="294"/>
      <c r="AC535" s="294"/>
    </row>
    <row r="536" spans="2:29" x14ac:dyDescent="0.25">
      <c r="B536" s="294"/>
      <c r="C536" s="294"/>
      <c r="D536" s="294"/>
      <c r="E536" s="294"/>
      <c r="F536" s="294"/>
      <c r="G536" s="294"/>
      <c r="H536" s="294"/>
      <c r="I536" s="294"/>
      <c r="J536" s="294"/>
      <c r="L536" s="295"/>
      <c r="M536" s="294"/>
      <c r="O536" s="294"/>
      <c r="P536" s="294"/>
      <c r="Q536" s="294"/>
      <c r="R536" s="294"/>
      <c r="S536" s="294"/>
      <c r="T536" s="294"/>
      <c r="U536" s="326"/>
      <c r="V536" s="294"/>
      <c r="W536" s="294"/>
      <c r="X536" s="294"/>
      <c r="Y536" s="294"/>
      <c r="Z536" s="294"/>
      <c r="AA536" s="294"/>
      <c r="AB536" s="294"/>
      <c r="AC536" s="294"/>
    </row>
    <row r="537" spans="2:29" x14ac:dyDescent="0.25">
      <c r="B537" s="294"/>
      <c r="C537" s="294"/>
      <c r="D537" s="294"/>
      <c r="E537" s="294"/>
      <c r="F537" s="294"/>
      <c r="G537" s="294"/>
      <c r="H537" s="294"/>
      <c r="I537" s="294"/>
      <c r="J537" s="294"/>
      <c r="L537" s="295"/>
      <c r="M537" s="294"/>
      <c r="O537" s="294"/>
      <c r="P537" s="294"/>
      <c r="Q537" s="294"/>
      <c r="R537" s="294"/>
      <c r="S537" s="294"/>
      <c r="T537" s="294"/>
      <c r="U537" s="326"/>
      <c r="V537" s="294"/>
      <c r="W537" s="294"/>
      <c r="X537" s="294"/>
      <c r="Y537" s="294"/>
      <c r="Z537" s="294"/>
      <c r="AA537" s="294"/>
      <c r="AB537" s="294"/>
      <c r="AC537" s="294"/>
    </row>
    <row r="538" spans="2:29" x14ac:dyDescent="0.25">
      <c r="B538" s="294"/>
      <c r="C538" s="294"/>
      <c r="D538" s="294"/>
      <c r="E538" s="294"/>
      <c r="F538" s="294"/>
      <c r="G538" s="294"/>
      <c r="H538" s="294"/>
      <c r="I538" s="294"/>
      <c r="J538" s="294"/>
      <c r="L538" s="295"/>
      <c r="M538" s="294"/>
      <c r="O538" s="294"/>
      <c r="P538" s="294"/>
      <c r="Q538" s="294"/>
      <c r="R538" s="294"/>
      <c r="S538" s="294"/>
      <c r="T538" s="294"/>
      <c r="U538" s="326"/>
      <c r="V538" s="294"/>
      <c r="W538" s="294"/>
      <c r="X538" s="294"/>
      <c r="Y538" s="294"/>
      <c r="Z538" s="294"/>
      <c r="AA538" s="294"/>
      <c r="AB538" s="294"/>
      <c r="AC538" s="294"/>
    </row>
    <row r="539" spans="2:29" x14ac:dyDescent="0.25">
      <c r="B539" s="294"/>
      <c r="C539" s="294"/>
      <c r="D539" s="294"/>
      <c r="E539" s="294"/>
      <c r="F539" s="294"/>
      <c r="G539" s="294"/>
      <c r="H539" s="294"/>
      <c r="I539" s="294"/>
      <c r="J539" s="294"/>
      <c r="L539" s="295"/>
      <c r="M539" s="294"/>
      <c r="O539" s="294"/>
      <c r="P539" s="294"/>
      <c r="Q539" s="294"/>
      <c r="R539" s="294"/>
      <c r="S539" s="294"/>
      <c r="T539" s="294"/>
      <c r="U539" s="326"/>
      <c r="V539" s="294"/>
      <c r="W539" s="294"/>
      <c r="X539" s="294"/>
      <c r="Y539" s="294"/>
      <c r="Z539" s="294"/>
      <c r="AA539" s="294"/>
      <c r="AB539" s="294"/>
      <c r="AC539" s="294"/>
    </row>
    <row r="540" spans="2:29" x14ac:dyDescent="0.25">
      <c r="B540" s="294"/>
      <c r="C540" s="294"/>
      <c r="D540" s="294"/>
      <c r="E540" s="294"/>
      <c r="F540" s="294"/>
      <c r="G540" s="294"/>
      <c r="H540" s="294"/>
      <c r="I540" s="294"/>
      <c r="J540" s="294"/>
      <c r="L540" s="295"/>
      <c r="M540" s="294"/>
      <c r="O540" s="294"/>
      <c r="P540" s="294"/>
      <c r="Q540" s="294"/>
      <c r="R540" s="294"/>
      <c r="S540" s="294"/>
      <c r="T540" s="294"/>
      <c r="U540" s="326"/>
      <c r="V540" s="294"/>
      <c r="W540" s="294"/>
      <c r="X540" s="294"/>
      <c r="Y540" s="294"/>
      <c r="Z540" s="294"/>
      <c r="AA540" s="294"/>
      <c r="AB540" s="294"/>
      <c r="AC540" s="294"/>
    </row>
    <row r="541" spans="2:29" x14ac:dyDescent="0.25">
      <c r="B541" s="294"/>
      <c r="C541" s="294"/>
      <c r="D541" s="294"/>
      <c r="E541" s="294"/>
      <c r="F541" s="294"/>
      <c r="G541" s="294"/>
      <c r="H541" s="294"/>
      <c r="I541" s="294"/>
      <c r="J541" s="294"/>
      <c r="L541" s="295"/>
      <c r="M541" s="294"/>
      <c r="O541" s="294"/>
      <c r="P541" s="294"/>
      <c r="Q541" s="294"/>
      <c r="R541" s="294"/>
      <c r="S541" s="294"/>
      <c r="T541" s="294"/>
      <c r="U541" s="326"/>
      <c r="V541" s="294"/>
      <c r="W541" s="294"/>
      <c r="X541" s="294"/>
      <c r="Y541" s="294"/>
      <c r="Z541" s="294"/>
      <c r="AA541" s="294"/>
      <c r="AB541" s="294"/>
      <c r="AC541" s="294"/>
    </row>
    <row r="542" spans="2:29" x14ac:dyDescent="0.25">
      <c r="B542" s="294"/>
      <c r="C542" s="294"/>
      <c r="D542" s="294"/>
      <c r="E542" s="294"/>
      <c r="F542" s="294"/>
      <c r="G542" s="294"/>
      <c r="H542" s="294"/>
      <c r="I542" s="294"/>
      <c r="J542" s="294"/>
      <c r="L542" s="295"/>
      <c r="M542" s="294"/>
      <c r="O542" s="294"/>
      <c r="P542" s="294"/>
      <c r="Q542" s="294"/>
      <c r="R542" s="294"/>
      <c r="S542" s="294"/>
      <c r="T542" s="294"/>
      <c r="U542" s="326"/>
      <c r="V542" s="294"/>
      <c r="W542" s="294"/>
      <c r="X542" s="294"/>
      <c r="Y542" s="294"/>
      <c r="Z542" s="294"/>
      <c r="AA542" s="294"/>
      <c r="AB542" s="294"/>
      <c r="AC542" s="294"/>
    </row>
    <row r="543" spans="2:29" x14ac:dyDescent="0.25">
      <c r="B543" s="294"/>
      <c r="C543" s="294"/>
      <c r="D543" s="294"/>
      <c r="E543" s="294"/>
      <c r="F543" s="294"/>
      <c r="G543" s="294"/>
      <c r="H543" s="294"/>
      <c r="I543" s="294"/>
      <c r="J543" s="294"/>
      <c r="L543" s="295"/>
      <c r="M543" s="294"/>
      <c r="O543" s="294"/>
      <c r="P543" s="294"/>
      <c r="Q543" s="294"/>
      <c r="R543" s="294"/>
      <c r="S543" s="294"/>
      <c r="T543" s="294"/>
      <c r="U543" s="326"/>
      <c r="V543" s="294"/>
      <c r="W543" s="294"/>
      <c r="X543" s="294"/>
      <c r="Y543" s="294"/>
      <c r="Z543" s="294"/>
      <c r="AA543" s="294"/>
      <c r="AB543" s="294"/>
      <c r="AC543" s="294"/>
    </row>
    <row r="544" spans="2:29" x14ac:dyDescent="0.25">
      <c r="B544" s="294"/>
      <c r="C544" s="294"/>
      <c r="D544" s="294"/>
      <c r="E544" s="294"/>
      <c r="F544" s="294"/>
      <c r="G544" s="294"/>
      <c r="H544" s="294"/>
      <c r="I544" s="294"/>
      <c r="J544" s="294"/>
      <c r="L544" s="295"/>
      <c r="M544" s="294"/>
      <c r="O544" s="294"/>
      <c r="P544" s="294"/>
      <c r="Q544" s="294"/>
      <c r="R544" s="294"/>
      <c r="S544" s="294"/>
      <c r="T544" s="294"/>
      <c r="U544" s="326"/>
      <c r="V544" s="294"/>
      <c r="W544" s="294"/>
      <c r="X544" s="294"/>
      <c r="Y544" s="294"/>
      <c r="Z544" s="294"/>
      <c r="AA544" s="294"/>
      <c r="AB544" s="294"/>
      <c r="AC544" s="294"/>
    </row>
    <row r="545" spans="2:29" x14ac:dyDescent="0.25">
      <c r="B545" s="294"/>
      <c r="C545" s="294"/>
      <c r="D545" s="294"/>
      <c r="E545" s="294"/>
      <c r="F545" s="294"/>
      <c r="G545" s="294"/>
      <c r="H545" s="294"/>
      <c r="I545" s="294"/>
      <c r="J545" s="294"/>
      <c r="L545" s="295"/>
      <c r="M545" s="294"/>
      <c r="O545" s="294"/>
      <c r="P545" s="294"/>
      <c r="Q545" s="294"/>
      <c r="R545" s="294"/>
      <c r="S545" s="294"/>
      <c r="T545" s="294"/>
      <c r="U545" s="326"/>
      <c r="V545" s="294"/>
      <c r="W545" s="294"/>
      <c r="X545" s="294"/>
      <c r="Y545" s="294"/>
      <c r="Z545" s="294"/>
      <c r="AA545" s="294"/>
      <c r="AB545" s="294"/>
      <c r="AC545" s="294"/>
    </row>
    <row r="546" spans="2:29" x14ac:dyDescent="0.25">
      <c r="B546" s="294"/>
      <c r="C546" s="294"/>
      <c r="D546" s="294"/>
      <c r="E546" s="294"/>
      <c r="F546" s="294"/>
      <c r="G546" s="294"/>
      <c r="H546" s="294"/>
      <c r="I546" s="294"/>
      <c r="J546" s="294"/>
      <c r="L546" s="295"/>
      <c r="M546" s="294"/>
      <c r="O546" s="294"/>
      <c r="P546" s="294"/>
      <c r="Q546" s="294"/>
      <c r="R546" s="294"/>
      <c r="S546" s="294"/>
      <c r="T546" s="294"/>
      <c r="U546" s="326"/>
      <c r="V546" s="294"/>
      <c r="W546" s="294"/>
      <c r="X546" s="294"/>
      <c r="Y546" s="294"/>
      <c r="Z546" s="294"/>
      <c r="AA546" s="294"/>
      <c r="AB546" s="294"/>
      <c r="AC546" s="294"/>
    </row>
    <row r="547" spans="2:29" x14ac:dyDescent="0.25">
      <c r="B547" s="294"/>
      <c r="C547" s="294"/>
      <c r="D547" s="294"/>
      <c r="E547" s="294"/>
      <c r="F547" s="294"/>
      <c r="G547" s="294"/>
      <c r="H547" s="294"/>
      <c r="I547" s="294"/>
      <c r="J547" s="294"/>
      <c r="L547" s="295"/>
      <c r="M547" s="294"/>
      <c r="O547" s="294"/>
      <c r="P547" s="294"/>
      <c r="Q547" s="294"/>
      <c r="R547" s="294"/>
      <c r="S547" s="294"/>
      <c r="T547" s="294"/>
      <c r="U547" s="326"/>
      <c r="V547" s="294"/>
      <c r="W547" s="294"/>
      <c r="X547" s="294"/>
      <c r="Y547" s="294"/>
      <c r="Z547" s="294"/>
      <c r="AA547" s="294"/>
      <c r="AB547" s="294"/>
      <c r="AC547" s="294"/>
    </row>
    <row r="548" spans="2:29" x14ac:dyDescent="0.25">
      <c r="B548" s="294"/>
      <c r="C548" s="294"/>
      <c r="D548" s="294"/>
      <c r="E548" s="294"/>
      <c r="F548" s="294"/>
      <c r="G548" s="294"/>
      <c r="H548" s="294"/>
      <c r="I548" s="294"/>
      <c r="J548" s="294"/>
      <c r="L548" s="295"/>
      <c r="M548" s="294"/>
      <c r="O548" s="294"/>
      <c r="P548" s="294"/>
      <c r="Q548" s="294"/>
      <c r="R548" s="294"/>
      <c r="S548" s="294"/>
      <c r="T548" s="294"/>
      <c r="U548" s="326"/>
      <c r="V548" s="294"/>
      <c r="W548" s="294"/>
      <c r="X548" s="294"/>
      <c r="Y548" s="294"/>
      <c r="Z548" s="294"/>
      <c r="AA548" s="294"/>
      <c r="AB548" s="294"/>
      <c r="AC548" s="294"/>
    </row>
    <row r="549" spans="2:29" x14ac:dyDescent="0.25">
      <c r="B549" s="294"/>
      <c r="C549" s="294"/>
      <c r="D549" s="294"/>
      <c r="E549" s="294"/>
      <c r="F549" s="294"/>
      <c r="G549" s="294"/>
      <c r="H549" s="294"/>
      <c r="I549" s="294"/>
      <c r="J549" s="294"/>
      <c r="L549" s="295"/>
      <c r="M549" s="294"/>
      <c r="O549" s="294"/>
      <c r="P549" s="294"/>
      <c r="Q549" s="294"/>
      <c r="R549" s="294"/>
      <c r="S549" s="294"/>
      <c r="T549" s="294"/>
      <c r="U549" s="326"/>
      <c r="V549" s="294"/>
      <c r="W549" s="294"/>
      <c r="X549" s="294"/>
      <c r="Y549" s="294"/>
      <c r="Z549" s="294"/>
      <c r="AA549" s="294"/>
      <c r="AB549" s="294"/>
      <c r="AC549" s="294"/>
    </row>
    <row r="550" spans="2:29" x14ac:dyDescent="0.25">
      <c r="B550" s="294"/>
      <c r="C550" s="294"/>
      <c r="D550" s="294"/>
      <c r="E550" s="294"/>
      <c r="F550" s="294"/>
      <c r="G550" s="294"/>
      <c r="H550" s="294"/>
      <c r="I550" s="294"/>
      <c r="J550" s="294"/>
      <c r="L550" s="295"/>
      <c r="M550" s="294"/>
      <c r="O550" s="294"/>
      <c r="P550" s="294"/>
      <c r="Q550" s="294"/>
      <c r="R550" s="294"/>
      <c r="S550" s="294"/>
      <c r="T550" s="294"/>
      <c r="U550" s="326"/>
      <c r="V550" s="294"/>
      <c r="W550" s="294"/>
      <c r="X550" s="294"/>
      <c r="Y550" s="294"/>
      <c r="Z550" s="294"/>
      <c r="AA550" s="294"/>
      <c r="AB550" s="294"/>
      <c r="AC550" s="294"/>
    </row>
    <row r="551" spans="2:29" x14ac:dyDescent="0.25">
      <c r="B551" s="294"/>
      <c r="C551" s="294"/>
      <c r="D551" s="294"/>
      <c r="E551" s="294"/>
      <c r="F551" s="294"/>
      <c r="G551" s="294"/>
      <c r="H551" s="294"/>
      <c r="I551" s="294"/>
      <c r="J551" s="294"/>
      <c r="L551" s="295"/>
      <c r="M551" s="294"/>
      <c r="O551" s="294"/>
      <c r="P551" s="294"/>
      <c r="Q551" s="294"/>
      <c r="R551" s="294"/>
      <c r="S551" s="294"/>
      <c r="T551" s="294"/>
      <c r="U551" s="326"/>
      <c r="V551" s="294"/>
      <c r="W551" s="294"/>
      <c r="X551" s="294"/>
      <c r="Y551" s="294"/>
      <c r="Z551" s="294"/>
      <c r="AA551" s="294"/>
      <c r="AB551" s="294"/>
      <c r="AC551" s="294"/>
    </row>
    <row r="552" spans="2:29" x14ac:dyDescent="0.25">
      <c r="B552" s="294"/>
      <c r="C552" s="294"/>
      <c r="D552" s="294"/>
      <c r="E552" s="294"/>
      <c r="F552" s="294"/>
      <c r="G552" s="294"/>
      <c r="H552" s="294"/>
      <c r="I552" s="294"/>
      <c r="J552" s="294"/>
      <c r="L552" s="295"/>
      <c r="M552" s="294"/>
      <c r="O552" s="294"/>
      <c r="P552" s="294"/>
      <c r="Q552" s="294"/>
      <c r="R552" s="294"/>
      <c r="S552" s="294"/>
      <c r="T552" s="294"/>
      <c r="U552" s="326"/>
      <c r="V552" s="294"/>
      <c r="W552" s="294"/>
      <c r="X552" s="294"/>
      <c r="Y552" s="294"/>
      <c r="Z552" s="294"/>
      <c r="AA552" s="294"/>
      <c r="AB552" s="294"/>
      <c r="AC552" s="294"/>
    </row>
    <row r="553" spans="2:29" x14ac:dyDescent="0.25">
      <c r="B553" s="294"/>
      <c r="C553" s="294"/>
      <c r="D553" s="294"/>
      <c r="E553" s="294"/>
      <c r="F553" s="294"/>
      <c r="G553" s="294"/>
      <c r="H553" s="294"/>
      <c r="I553" s="294"/>
      <c r="J553" s="294"/>
      <c r="L553" s="295"/>
      <c r="M553" s="294"/>
      <c r="O553" s="294"/>
      <c r="P553" s="294"/>
      <c r="Q553" s="294"/>
      <c r="R553" s="294"/>
      <c r="S553" s="294"/>
      <c r="T553" s="294"/>
      <c r="U553" s="326"/>
      <c r="V553" s="294"/>
      <c r="W553" s="294"/>
      <c r="X553" s="294"/>
      <c r="Y553" s="294"/>
      <c r="Z553" s="294"/>
      <c r="AA553" s="294"/>
      <c r="AB553" s="294"/>
      <c r="AC553" s="294"/>
    </row>
    <row r="554" spans="2:29" x14ac:dyDescent="0.25">
      <c r="B554" s="294"/>
      <c r="C554" s="294"/>
      <c r="D554" s="294"/>
      <c r="E554" s="294"/>
      <c r="F554" s="294"/>
      <c r="G554" s="294"/>
      <c r="H554" s="294"/>
      <c r="I554" s="294"/>
      <c r="J554" s="294"/>
      <c r="L554" s="295"/>
      <c r="M554" s="294"/>
      <c r="O554" s="294"/>
      <c r="P554" s="294"/>
      <c r="Q554" s="294"/>
      <c r="R554" s="294"/>
      <c r="S554" s="294"/>
      <c r="T554" s="294"/>
      <c r="U554" s="326"/>
      <c r="V554" s="294"/>
      <c r="W554" s="294"/>
      <c r="X554" s="294"/>
      <c r="Y554" s="294"/>
      <c r="Z554" s="294"/>
      <c r="AA554" s="294"/>
      <c r="AB554" s="294"/>
      <c r="AC554" s="294"/>
    </row>
    <row r="555" spans="2:29" x14ac:dyDescent="0.25">
      <c r="B555" s="294"/>
      <c r="C555" s="294"/>
      <c r="D555" s="294"/>
      <c r="E555" s="294"/>
      <c r="F555" s="294"/>
      <c r="G555" s="294"/>
      <c r="H555" s="294"/>
      <c r="I555" s="294"/>
      <c r="J555" s="294"/>
      <c r="L555" s="295"/>
      <c r="M555" s="294"/>
      <c r="O555" s="294"/>
      <c r="P555" s="294"/>
      <c r="Q555" s="294"/>
      <c r="R555" s="294"/>
      <c r="S555" s="294"/>
      <c r="T555" s="294"/>
      <c r="U555" s="326"/>
      <c r="V555" s="294"/>
      <c r="W555" s="294"/>
      <c r="X555" s="294"/>
      <c r="Y555" s="294"/>
      <c r="Z555" s="294"/>
      <c r="AA555" s="294"/>
      <c r="AB555" s="294"/>
      <c r="AC555" s="294"/>
    </row>
    <row r="556" spans="2:29" x14ac:dyDescent="0.25">
      <c r="B556" s="294"/>
      <c r="C556" s="294"/>
      <c r="D556" s="294"/>
      <c r="E556" s="294"/>
      <c r="F556" s="294"/>
      <c r="G556" s="294"/>
      <c r="H556" s="294"/>
      <c r="I556" s="294"/>
      <c r="J556" s="294"/>
      <c r="L556" s="295"/>
      <c r="M556" s="294"/>
      <c r="O556" s="294"/>
      <c r="P556" s="294"/>
      <c r="Q556" s="294"/>
      <c r="R556" s="294"/>
      <c r="S556" s="294"/>
      <c r="T556" s="294"/>
      <c r="U556" s="326"/>
      <c r="V556" s="294"/>
      <c r="W556" s="294"/>
      <c r="X556" s="294"/>
      <c r="Y556" s="294"/>
      <c r="Z556" s="294"/>
      <c r="AA556" s="294"/>
      <c r="AB556" s="294"/>
      <c r="AC556" s="294"/>
    </row>
    <row r="557" spans="2:29" x14ac:dyDescent="0.25">
      <c r="B557" s="294"/>
      <c r="C557" s="294"/>
      <c r="D557" s="294"/>
      <c r="E557" s="294"/>
      <c r="F557" s="294"/>
      <c r="G557" s="294"/>
      <c r="H557" s="294"/>
      <c r="I557" s="294"/>
      <c r="J557" s="294"/>
      <c r="L557" s="295"/>
      <c r="M557" s="294"/>
      <c r="O557" s="294"/>
      <c r="P557" s="294"/>
      <c r="Q557" s="294"/>
      <c r="R557" s="294"/>
      <c r="S557" s="294"/>
      <c r="T557" s="294"/>
      <c r="U557" s="326"/>
      <c r="V557" s="294"/>
      <c r="W557" s="294"/>
      <c r="X557" s="294"/>
      <c r="Y557" s="294"/>
      <c r="Z557" s="294"/>
      <c r="AA557" s="294"/>
      <c r="AB557" s="294"/>
      <c r="AC557" s="294"/>
    </row>
    <row r="558" spans="2:29" x14ac:dyDescent="0.25">
      <c r="B558" s="294"/>
      <c r="C558" s="294"/>
      <c r="D558" s="294"/>
      <c r="E558" s="294"/>
      <c r="F558" s="294"/>
      <c r="G558" s="294"/>
      <c r="H558" s="294"/>
      <c r="I558" s="294"/>
      <c r="J558" s="294"/>
      <c r="L558" s="295"/>
      <c r="M558" s="294"/>
      <c r="O558" s="294"/>
      <c r="P558" s="294"/>
      <c r="Q558" s="294"/>
      <c r="R558" s="294"/>
      <c r="S558" s="294"/>
      <c r="T558" s="294"/>
      <c r="U558" s="326"/>
      <c r="V558" s="294"/>
      <c r="W558" s="294"/>
      <c r="X558" s="294"/>
      <c r="Y558" s="294"/>
      <c r="Z558" s="294"/>
      <c r="AA558" s="294"/>
      <c r="AB558" s="294"/>
      <c r="AC558" s="294"/>
    </row>
    <row r="559" spans="2:29" x14ac:dyDescent="0.25">
      <c r="B559" s="294"/>
      <c r="C559" s="294"/>
      <c r="D559" s="294"/>
      <c r="E559" s="294"/>
      <c r="F559" s="294"/>
      <c r="G559" s="294"/>
      <c r="H559" s="294"/>
      <c r="I559" s="294"/>
      <c r="J559" s="294"/>
      <c r="L559" s="295"/>
      <c r="M559" s="294"/>
      <c r="O559" s="294"/>
      <c r="P559" s="294"/>
      <c r="Q559" s="294"/>
      <c r="R559" s="294"/>
      <c r="S559" s="294"/>
      <c r="T559" s="294"/>
      <c r="U559" s="326"/>
      <c r="V559" s="294"/>
      <c r="W559" s="294"/>
      <c r="X559" s="294"/>
      <c r="Y559" s="294"/>
      <c r="Z559" s="294"/>
      <c r="AA559" s="294"/>
      <c r="AB559" s="294"/>
      <c r="AC559" s="294"/>
    </row>
    <row r="560" spans="2:29" x14ac:dyDescent="0.25">
      <c r="B560" s="294"/>
      <c r="C560" s="294"/>
      <c r="D560" s="294"/>
      <c r="E560" s="294"/>
      <c r="F560" s="294"/>
      <c r="G560" s="294"/>
      <c r="H560" s="294"/>
      <c r="I560" s="294"/>
      <c r="J560" s="294"/>
      <c r="L560" s="295"/>
      <c r="M560" s="294"/>
      <c r="O560" s="294"/>
      <c r="P560" s="294"/>
      <c r="Q560" s="294"/>
      <c r="R560" s="294"/>
      <c r="S560" s="294"/>
      <c r="T560" s="294"/>
      <c r="U560" s="326"/>
      <c r="V560" s="294"/>
      <c r="W560" s="294"/>
      <c r="X560" s="294"/>
      <c r="Y560" s="294"/>
      <c r="Z560" s="294"/>
      <c r="AA560" s="294"/>
      <c r="AB560" s="294"/>
      <c r="AC560" s="294"/>
    </row>
    <row r="561" spans="2:29" x14ac:dyDescent="0.25">
      <c r="B561" s="294"/>
      <c r="C561" s="294"/>
      <c r="D561" s="294"/>
      <c r="E561" s="294"/>
      <c r="F561" s="294"/>
      <c r="G561" s="294"/>
      <c r="H561" s="294"/>
      <c r="I561" s="294"/>
      <c r="J561" s="294"/>
      <c r="L561" s="295"/>
      <c r="M561" s="294"/>
      <c r="O561" s="294"/>
      <c r="P561" s="294"/>
      <c r="Q561" s="294"/>
      <c r="R561" s="294"/>
      <c r="S561" s="294"/>
      <c r="T561" s="294"/>
      <c r="U561" s="326"/>
      <c r="V561" s="294"/>
      <c r="W561" s="294"/>
      <c r="X561" s="294"/>
      <c r="Y561" s="294"/>
      <c r="Z561" s="294"/>
      <c r="AA561" s="294"/>
      <c r="AB561" s="294"/>
      <c r="AC561" s="294"/>
    </row>
    <row r="562" spans="2:29" x14ac:dyDescent="0.25">
      <c r="B562" s="294"/>
      <c r="C562" s="294"/>
      <c r="D562" s="294"/>
      <c r="E562" s="294"/>
      <c r="F562" s="294"/>
      <c r="G562" s="294"/>
      <c r="H562" s="294"/>
      <c r="I562" s="294"/>
      <c r="J562" s="294"/>
      <c r="L562" s="295"/>
      <c r="M562" s="294"/>
      <c r="O562" s="294"/>
      <c r="P562" s="294"/>
      <c r="Q562" s="294"/>
      <c r="R562" s="294"/>
      <c r="S562" s="294"/>
      <c r="T562" s="294"/>
      <c r="U562" s="326"/>
      <c r="V562" s="294"/>
      <c r="W562" s="294"/>
      <c r="X562" s="294"/>
      <c r="Y562" s="294"/>
      <c r="Z562" s="294"/>
      <c r="AA562" s="294"/>
      <c r="AB562" s="294"/>
      <c r="AC562" s="294"/>
    </row>
    <row r="563" spans="2:29" x14ac:dyDescent="0.25">
      <c r="B563" s="294"/>
      <c r="C563" s="294"/>
      <c r="D563" s="294"/>
      <c r="E563" s="294"/>
      <c r="F563" s="294"/>
      <c r="G563" s="294"/>
      <c r="H563" s="294"/>
      <c r="I563" s="294"/>
      <c r="J563" s="294"/>
      <c r="L563" s="295"/>
      <c r="M563" s="294"/>
      <c r="O563" s="294"/>
      <c r="P563" s="294"/>
      <c r="Q563" s="294"/>
      <c r="R563" s="294"/>
      <c r="S563" s="294"/>
      <c r="T563" s="294"/>
      <c r="U563" s="326"/>
      <c r="V563" s="294"/>
      <c r="W563" s="294"/>
      <c r="X563" s="294"/>
      <c r="Y563" s="294"/>
      <c r="Z563" s="294"/>
      <c r="AA563" s="294"/>
      <c r="AB563" s="294"/>
      <c r="AC563" s="294"/>
    </row>
    <row r="564" spans="2:29" x14ac:dyDescent="0.25">
      <c r="B564" s="294"/>
      <c r="C564" s="294"/>
      <c r="D564" s="294"/>
      <c r="E564" s="294"/>
      <c r="F564" s="294"/>
      <c r="G564" s="294"/>
      <c r="H564" s="294"/>
      <c r="I564" s="294"/>
      <c r="J564" s="294"/>
      <c r="L564" s="295"/>
      <c r="M564" s="294"/>
      <c r="O564" s="294"/>
      <c r="P564" s="294"/>
      <c r="Q564" s="294"/>
      <c r="R564" s="294"/>
      <c r="S564" s="294"/>
      <c r="T564" s="294"/>
      <c r="U564" s="326"/>
      <c r="V564" s="294"/>
      <c r="W564" s="294"/>
      <c r="X564" s="294"/>
      <c r="Y564" s="294"/>
      <c r="Z564" s="294"/>
      <c r="AA564" s="294"/>
      <c r="AB564" s="294"/>
      <c r="AC564" s="294"/>
    </row>
    <row r="565" spans="2:29" x14ac:dyDescent="0.25">
      <c r="B565" s="294"/>
      <c r="C565" s="294"/>
      <c r="D565" s="294"/>
      <c r="E565" s="294"/>
      <c r="F565" s="294"/>
      <c r="G565" s="294"/>
      <c r="H565" s="294"/>
      <c r="I565" s="294"/>
      <c r="J565" s="294"/>
      <c r="L565" s="295"/>
      <c r="M565" s="294"/>
      <c r="O565" s="294"/>
      <c r="P565" s="294"/>
      <c r="Q565" s="294"/>
      <c r="R565" s="294"/>
      <c r="S565" s="294"/>
      <c r="T565" s="294"/>
      <c r="U565" s="326"/>
      <c r="V565" s="294"/>
      <c r="W565" s="294"/>
      <c r="X565" s="294"/>
      <c r="Y565" s="294"/>
      <c r="Z565" s="294"/>
      <c r="AA565" s="294"/>
      <c r="AB565" s="294"/>
      <c r="AC565" s="294"/>
    </row>
    <row r="566" spans="2:29" x14ac:dyDescent="0.25">
      <c r="B566" s="294"/>
      <c r="C566" s="294"/>
      <c r="D566" s="294"/>
      <c r="E566" s="294"/>
      <c r="F566" s="294"/>
      <c r="G566" s="294"/>
      <c r="H566" s="294"/>
      <c r="I566" s="294"/>
      <c r="J566" s="294"/>
      <c r="L566" s="295"/>
      <c r="M566" s="294"/>
      <c r="O566" s="294"/>
      <c r="P566" s="294"/>
      <c r="Q566" s="294"/>
      <c r="R566" s="294"/>
      <c r="S566" s="294"/>
      <c r="T566" s="294"/>
      <c r="U566" s="326"/>
      <c r="V566" s="294"/>
      <c r="W566" s="294"/>
      <c r="X566" s="294"/>
      <c r="Y566" s="294"/>
      <c r="Z566" s="294"/>
      <c r="AA566" s="294"/>
      <c r="AB566" s="294"/>
      <c r="AC566" s="294"/>
    </row>
    <row r="567" spans="2:29" x14ac:dyDescent="0.25">
      <c r="B567" s="294"/>
      <c r="C567" s="294"/>
      <c r="D567" s="294"/>
      <c r="E567" s="294"/>
      <c r="F567" s="294"/>
      <c r="G567" s="294"/>
      <c r="H567" s="294"/>
      <c r="I567" s="294"/>
      <c r="J567" s="294"/>
      <c r="L567" s="295"/>
      <c r="M567" s="294"/>
      <c r="O567" s="294"/>
      <c r="P567" s="294"/>
      <c r="Q567" s="294"/>
      <c r="R567" s="294"/>
      <c r="S567" s="294"/>
      <c r="T567" s="294"/>
      <c r="U567" s="326"/>
      <c r="V567" s="294"/>
      <c r="W567" s="294"/>
      <c r="X567" s="294"/>
      <c r="Y567" s="294"/>
      <c r="Z567" s="294"/>
      <c r="AA567" s="294"/>
      <c r="AB567" s="294"/>
      <c r="AC567" s="294"/>
    </row>
    <row r="568" spans="2:29" x14ac:dyDescent="0.25">
      <c r="B568" s="294"/>
      <c r="C568" s="294"/>
      <c r="D568" s="294"/>
      <c r="E568" s="294"/>
      <c r="F568" s="294"/>
      <c r="G568" s="294"/>
      <c r="H568" s="294"/>
      <c r="I568" s="294"/>
      <c r="J568" s="294"/>
      <c r="L568" s="295"/>
      <c r="M568" s="294"/>
      <c r="O568" s="294"/>
      <c r="P568" s="294"/>
      <c r="Q568" s="294"/>
      <c r="R568" s="294"/>
      <c r="S568" s="294"/>
      <c r="T568" s="294"/>
      <c r="U568" s="326"/>
      <c r="V568" s="294"/>
      <c r="W568" s="294"/>
      <c r="X568" s="294"/>
      <c r="Y568" s="294"/>
      <c r="Z568" s="294"/>
      <c r="AA568" s="294"/>
      <c r="AB568" s="294"/>
      <c r="AC568" s="294"/>
    </row>
    <row r="569" spans="2:29" x14ac:dyDescent="0.25">
      <c r="B569" s="294"/>
      <c r="C569" s="294"/>
      <c r="D569" s="294"/>
      <c r="E569" s="294"/>
      <c r="F569" s="294"/>
      <c r="G569" s="294"/>
      <c r="H569" s="294"/>
      <c r="I569" s="294"/>
      <c r="J569" s="294"/>
      <c r="L569" s="295"/>
      <c r="M569" s="294"/>
      <c r="O569" s="294"/>
      <c r="P569" s="294"/>
      <c r="Q569" s="294"/>
      <c r="R569" s="294"/>
      <c r="S569" s="294"/>
      <c r="T569" s="294"/>
      <c r="U569" s="326"/>
      <c r="V569" s="294"/>
      <c r="W569" s="294"/>
      <c r="X569" s="294"/>
      <c r="Y569" s="294"/>
      <c r="Z569" s="294"/>
      <c r="AA569" s="294"/>
      <c r="AB569" s="294"/>
      <c r="AC569" s="294"/>
    </row>
    <row r="570" spans="2:29" x14ac:dyDescent="0.25">
      <c r="B570" s="294"/>
      <c r="C570" s="294"/>
      <c r="D570" s="294"/>
      <c r="E570" s="294"/>
      <c r="F570" s="294"/>
      <c r="G570" s="294"/>
      <c r="H570" s="294"/>
      <c r="I570" s="294"/>
      <c r="J570" s="294"/>
      <c r="L570" s="295"/>
      <c r="M570" s="294"/>
      <c r="O570" s="294"/>
      <c r="P570" s="294"/>
      <c r="Q570" s="294"/>
      <c r="R570" s="294"/>
      <c r="S570" s="294"/>
      <c r="T570" s="294"/>
      <c r="U570" s="326"/>
      <c r="V570" s="294"/>
      <c r="W570" s="294"/>
      <c r="X570" s="294"/>
      <c r="Y570" s="294"/>
      <c r="Z570" s="294"/>
      <c r="AA570" s="294"/>
      <c r="AB570" s="294"/>
      <c r="AC570" s="294"/>
    </row>
    <row r="571" spans="2:29" x14ac:dyDescent="0.25">
      <c r="B571" s="294"/>
      <c r="C571" s="294"/>
      <c r="D571" s="294"/>
      <c r="E571" s="294"/>
      <c r="F571" s="294"/>
      <c r="G571" s="294"/>
      <c r="H571" s="294"/>
      <c r="I571" s="294"/>
      <c r="J571" s="294"/>
      <c r="L571" s="295"/>
      <c r="M571" s="294"/>
      <c r="O571" s="294"/>
      <c r="P571" s="294"/>
      <c r="Q571" s="294"/>
      <c r="R571" s="294"/>
      <c r="S571" s="294"/>
      <c r="T571" s="294"/>
      <c r="U571" s="326"/>
      <c r="V571" s="294"/>
      <c r="W571" s="294"/>
      <c r="X571" s="294"/>
      <c r="Y571" s="294"/>
      <c r="Z571" s="294"/>
      <c r="AA571" s="294"/>
      <c r="AB571" s="294"/>
      <c r="AC571" s="294"/>
    </row>
    <row r="572" spans="2:29" x14ac:dyDescent="0.25">
      <c r="B572" s="294"/>
      <c r="C572" s="294"/>
      <c r="D572" s="294"/>
      <c r="E572" s="294"/>
      <c r="F572" s="294"/>
      <c r="G572" s="294"/>
      <c r="H572" s="294"/>
      <c r="I572" s="294"/>
      <c r="J572" s="294"/>
      <c r="L572" s="295"/>
      <c r="M572" s="294"/>
      <c r="O572" s="294"/>
      <c r="P572" s="294"/>
      <c r="Q572" s="294"/>
      <c r="R572" s="294"/>
      <c r="S572" s="294"/>
      <c r="T572" s="294"/>
      <c r="U572" s="326"/>
      <c r="V572" s="294"/>
      <c r="W572" s="294"/>
      <c r="X572" s="294"/>
      <c r="Y572" s="294"/>
      <c r="Z572" s="294"/>
      <c r="AA572" s="294"/>
      <c r="AB572" s="294"/>
      <c r="AC572" s="294"/>
    </row>
    <row r="573" spans="2:29" x14ac:dyDescent="0.25">
      <c r="B573" s="294"/>
      <c r="C573" s="294"/>
      <c r="D573" s="294"/>
      <c r="E573" s="294"/>
      <c r="F573" s="294"/>
      <c r="G573" s="294"/>
      <c r="H573" s="294"/>
      <c r="I573" s="294"/>
      <c r="J573" s="294"/>
      <c r="L573" s="295"/>
      <c r="M573" s="294"/>
      <c r="O573" s="294"/>
      <c r="P573" s="294"/>
      <c r="Q573" s="294"/>
      <c r="R573" s="294"/>
      <c r="S573" s="294"/>
      <c r="T573" s="294"/>
      <c r="U573" s="326"/>
      <c r="V573" s="294"/>
      <c r="W573" s="294"/>
      <c r="X573" s="294"/>
      <c r="Y573" s="294"/>
      <c r="Z573" s="294"/>
      <c r="AA573" s="294"/>
      <c r="AB573" s="294"/>
      <c r="AC573" s="294"/>
    </row>
    <row r="574" spans="2:29" x14ac:dyDescent="0.25">
      <c r="B574" s="294"/>
      <c r="C574" s="294"/>
      <c r="D574" s="294"/>
      <c r="E574" s="294"/>
      <c r="F574" s="294"/>
      <c r="G574" s="294"/>
      <c r="H574" s="294"/>
      <c r="I574" s="294"/>
      <c r="J574" s="294"/>
      <c r="L574" s="295"/>
      <c r="M574" s="294"/>
      <c r="O574" s="294"/>
      <c r="P574" s="294"/>
      <c r="Q574" s="294"/>
      <c r="R574" s="294"/>
      <c r="S574" s="294"/>
      <c r="T574" s="294"/>
      <c r="U574" s="326"/>
      <c r="V574" s="294"/>
      <c r="W574" s="294"/>
      <c r="X574" s="294"/>
      <c r="Y574" s="294"/>
      <c r="Z574" s="294"/>
      <c r="AA574" s="294"/>
      <c r="AB574" s="294"/>
      <c r="AC574" s="294"/>
    </row>
    <row r="575" spans="2:29" x14ac:dyDescent="0.25">
      <c r="B575" s="294"/>
      <c r="C575" s="294"/>
      <c r="D575" s="294"/>
      <c r="E575" s="294"/>
      <c r="F575" s="294"/>
      <c r="G575" s="294"/>
      <c r="H575" s="294"/>
      <c r="I575" s="294"/>
      <c r="J575" s="294"/>
      <c r="L575" s="295"/>
      <c r="M575" s="294"/>
      <c r="O575" s="294"/>
      <c r="P575" s="294"/>
      <c r="Q575" s="294"/>
      <c r="R575" s="294"/>
      <c r="S575" s="294"/>
      <c r="T575" s="294"/>
      <c r="U575" s="326"/>
      <c r="V575" s="294"/>
      <c r="W575" s="294"/>
      <c r="X575" s="294"/>
      <c r="Y575" s="294"/>
      <c r="Z575" s="294"/>
      <c r="AA575" s="294"/>
      <c r="AB575" s="294"/>
      <c r="AC575" s="294"/>
    </row>
    <row r="576" spans="2:29" x14ac:dyDescent="0.25">
      <c r="B576" s="294"/>
      <c r="C576" s="294"/>
      <c r="D576" s="294"/>
      <c r="E576" s="294"/>
      <c r="F576" s="294"/>
      <c r="G576" s="294"/>
      <c r="H576" s="294"/>
      <c r="I576" s="294"/>
      <c r="J576" s="294"/>
      <c r="L576" s="295"/>
      <c r="M576" s="294"/>
      <c r="O576" s="294"/>
      <c r="P576" s="294"/>
      <c r="Q576" s="294"/>
      <c r="R576" s="294"/>
      <c r="S576" s="294"/>
      <c r="T576" s="294"/>
      <c r="U576" s="326"/>
      <c r="V576" s="294"/>
      <c r="W576" s="294"/>
      <c r="X576" s="294"/>
      <c r="Y576" s="294"/>
      <c r="Z576" s="294"/>
      <c r="AA576" s="294"/>
      <c r="AB576" s="294"/>
      <c r="AC576" s="294"/>
    </row>
    <row r="577" spans="2:29" x14ac:dyDescent="0.25">
      <c r="B577" s="294"/>
      <c r="C577" s="294"/>
      <c r="D577" s="294"/>
      <c r="E577" s="294"/>
      <c r="F577" s="294"/>
      <c r="G577" s="294"/>
      <c r="H577" s="294"/>
      <c r="I577" s="294"/>
      <c r="J577" s="294"/>
      <c r="L577" s="295"/>
      <c r="M577" s="294"/>
      <c r="O577" s="294"/>
      <c r="P577" s="294"/>
      <c r="Q577" s="294"/>
      <c r="R577" s="294"/>
      <c r="S577" s="294"/>
      <c r="T577" s="294"/>
      <c r="U577" s="326"/>
      <c r="V577" s="294"/>
      <c r="W577" s="294"/>
      <c r="X577" s="294"/>
      <c r="Y577" s="294"/>
      <c r="Z577" s="294"/>
      <c r="AA577" s="294"/>
      <c r="AB577" s="294"/>
      <c r="AC577" s="294"/>
    </row>
    <row r="578" spans="2:29" x14ac:dyDescent="0.25">
      <c r="B578" s="294"/>
      <c r="C578" s="294"/>
      <c r="D578" s="294"/>
      <c r="E578" s="294"/>
      <c r="F578" s="294"/>
      <c r="G578" s="294"/>
      <c r="H578" s="294"/>
      <c r="I578" s="294"/>
      <c r="J578" s="294"/>
      <c r="L578" s="295"/>
      <c r="M578" s="294"/>
      <c r="O578" s="294"/>
      <c r="P578" s="294"/>
      <c r="Q578" s="294"/>
      <c r="R578" s="294"/>
      <c r="S578" s="294"/>
      <c r="T578" s="294"/>
      <c r="U578" s="326"/>
      <c r="V578" s="294"/>
      <c r="W578" s="294"/>
      <c r="X578" s="294"/>
      <c r="Y578" s="294"/>
      <c r="Z578" s="294"/>
      <c r="AA578" s="294"/>
      <c r="AB578" s="294"/>
      <c r="AC578" s="294"/>
    </row>
    <row r="579" spans="2:29" x14ac:dyDescent="0.25">
      <c r="B579" s="294"/>
      <c r="C579" s="294"/>
      <c r="D579" s="294"/>
      <c r="E579" s="294"/>
      <c r="F579" s="294"/>
      <c r="G579" s="294"/>
      <c r="H579" s="294"/>
      <c r="I579" s="294"/>
      <c r="J579" s="294"/>
      <c r="L579" s="295"/>
      <c r="M579" s="294"/>
      <c r="O579" s="294"/>
      <c r="P579" s="294"/>
      <c r="Q579" s="294"/>
      <c r="R579" s="294"/>
      <c r="S579" s="294"/>
      <c r="T579" s="294"/>
      <c r="U579" s="326"/>
      <c r="V579" s="294"/>
      <c r="W579" s="294"/>
      <c r="X579" s="294"/>
      <c r="Y579" s="294"/>
      <c r="Z579" s="294"/>
      <c r="AA579" s="294"/>
      <c r="AB579" s="294"/>
      <c r="AC579" s="294"/>
    </row>
    <row r="580" spans="2:29" x14ac:dyDescent="0.25">
      <c r="B580" s="294"/>
      <c r="C580" s="294"/>
      <c r="D580" s="294"/>
      <c r="E580" s="294"/>
      <c r="F580" s="294"/>
      <c r="G580" s="294"/>
      <c r="H580" s="294"/>
      <c r="I580" s="294"/>
      <c r="J580" s="294"/>
      <c r="L580" s="295"/>
      <c r="M580" s="294"/>
      <c r="O580" s="294"/>
      <c r="P580" s="294"/>
      <c r="Q580" s="294"/>
      <c r="R580" s="294"/>
      <c r="S580" s="294"/>
      <c r="T580" s="294"/>
      <c r="U580" s="326"/>
      <c r="V580" s="294"/>
      <c r="W580" s="294"/>
      <c r="X580" s="294"/>
      <c r="Y580" s="294"/>
      <c r="Z580" s="294"/>
      <c r="AA580" s="294"/>
      <c r="AB580" s="294"/>
      <c r="AC580" s="294"/>
    </row>
    <row r="581" spans="2:29" x14ac:dyDescent="0.25">
      <c r="B581" s="294"/>
      <c r="C581" s="294"/>
      <c r="D581" s="294"/>
      <c r="E581" s="294"/>
      <c r="F581" s="294"/>
      <c r="G581" s="294"/>
      <c r="H581" s="294"/>
      <c r="I581" s="294"/>
      <c r="J581" s="294"/>
      <c r="L581" s="295"/>
      <c r="M581" s="294"/>
      <c r="O581" s="294"/>
      <c r="P581" s="294"/>
      <c r="Q581" s="294"/>
      <c r="R581" s="294"/>
      <c r="S581" s="294"/>
      <c r="T581" s="294"/>
      <c r="U581" s="326"/>
      <c r="V581" s="294"/>
      <c r="W581" s="294"/>
      <c r="X581" s="294"/>
      <c r="Y581" s="294"/>
      <c r="Z581" s="294"/>
      <c r="AA581" s="294"/>
      <c r="AB581" s="294"/>
      <c r="AC581" s="294"/>
    </row>
    <row r="582" spans="2:29" x14ac:dyDescent="0.25">
      <c r="B582" s="294"/>
      <c r="C582" s="294"/>
      <c r="D582" s="294"/>
      <c r="E582" s="294"/>
      <c r="F582" s="294"/>
      <c r="G582" s="294"/>
      <c r="H582" s="294"/>
      <c r="I582" s="294"/>
      <c r="J582" s="294"/>
      <c r="L582" s="295"/>
      <c r="M582" s="294"/>
      <c r="O582" s="294"/>
      <c r="P582" s="294"/>
      <c r="Q582" s="294"/>
      <c r="R582" s="294"/>
      <c r="S582" s="294"/>
      <c r="T582" s="294"/>
      <c r="U582" s="326"/>
      <c r="V582" s="294"/>
      <c r="W582" s="294"/>
      <c r="X582" s="294"/>
      <c r="Y582" s="294"/>
      <c r="Z582" s="294"/>
      <c r="AA582" s="294"/>
      <c r="AB582" s="294"/>
      <c r="AC582" s="294"/>
    </row>
    <row r="583" spans="2:29" x14ac:dyDescent="0.25">
      <c r="B583" s="294"/>
      <c r="C583" s="294"/>
      <c r="D583" s="294"/>
      <c r="E583" s="294"/>
      <c r="F583" s="294"/>
      <c r="G583" s="294"/>
      <c r="H583" s="294"/>
      <c r="I583" s="294"/>
      <c r="J583" s="294"/>
      <c r="L583" s="295"/>
      <c r="M583" s="294"/>
      <c r="O583" s="294"/>
      <c r="P583" s="294"/>
      <c r="Q583" s="294"/>
      <c r="R583" s="294"/>
      <c r="S583" s="294"/>
      <c r="T583" s="294"/>
      <c r="U583" s="326"/>
      <c r="V583" s="294"/>
      <c r="W583" s="294"/>
      <c r="X583" s="294"/>
      <c r="Y583" s="294"/>
      <c r="Z583" s="294"/>
      <c r="AA583" s="294"/>
      <c r="AB583" s="294"/>
      <c r="AC583" s="294"/>
    </row>
    <row r="584" spans="2:29" x14ac:dyDescent="0.25">
      <c r="B584" s="294"/>
      <c r="C584" s="294"/>
      <c r="D584" s="294"/>
      <c r="E584" s="294"/>
      <c r="F584" s="294"/>
      <c r="G584" s="294"/>
      <c r="H584" s="294"/>
      <c r="I584" s="294"/>
      <c r="J584" s="294"/>
      <c r="L584" s="295"/>
      <c r="M584" s="294"/>
      <c r="O584" s="294"/>
      <c r="P584" s="294"/>
      <c r="Q584" s="294"/>
      <c r="R584" s="294"/>
      <c r="S584" s="294"/>
      <c r="T584" s="294"/>
      <c r="U584" s="326"/>
      <c r="V584" s="294"/>
      <c r="W584" s="294"/>
      <c r="X584" s="294"/>
      <c r="Y584" s="294"/>
      <c r="Z584" s="294"/>
      <c r="AA584" s="294"/>
      <c r="AB584" s="294"/>
      <c r="AC584" s="294"/>
    </row>
    <row r="585" spans="2:29" x14ac:dyDescent="0.25">
      <c r="B585" s="294"/>
      <c r="C585" s="294"/>
      <c r="D585" s="294"/>
      <c r="E585" s="294"/>
      <c r="F585" s="294"/>
      <c r="G585" s="294"/>
      <c r="H585" s="294"/>
      <c r="I585" s="294"/>
      <c r="J585" s="294"/>
      <c r="L585" s="295"/>
      <c r="M585" s="294"/>
      <c r="O585" s="294"/>
      <c r="P585" s="294"/>
      <c r="Q585" s="294"/>
      <c r="R585" s="294"/>
      <c r="S585" s="294"/>
      <c r="T585" s="294"/>
      <c r="U585" s="326"/>
      <c r="V585" s="294"/>
      <c r="W585" s="294"/>
      <c r="X585" s="294"/>
      <c r="Y585" s="294"/>
      <c r="Z585" s="294"/>
      <c r="AA585" s="294"/>
      <c r="AB585" s="294"/>
      <c r="AC585" s="294"/>
    </row>
    <row r="586" spans="2:29" x14ac:dyDescent="0.25">
      <c r="B586" s="294"/>
      <c r="C586" s="294"/>
      <c r="D586" s="294"/>
      <c r="E586" s="294"/>
      <c r="F586" s="294"/>
      <c r="G586" s="294"/>
      <c r="H586" s="294"/>
      <c r="I586" s="294"/>
      <c r="J586" s="294"/>
      <c r="L586" s="295"/>
      <c r="M586" s="294"/>
      <c r="O586" s="294"/>
      <c r="P586" s="294"/>
      <c r="Q586" s="294"/>
      <c r="R586" s="294"/>
      <c r="S586" s="294"/>
      <c r="T586" s="294"/>
      <c r="U586" s="326"/>
      <c r="V586" s="294"/>
      <c r="W586" s="294"/>
      <c r="X586" s="294"/>
      <c r="Y586" s="294"/>
      <c r="Z586" s="294"/>
      <c r="AA586" s="294"/>
      <c r="AB586" s="294"/>
      <c r="AC586" s="294"/>
    </row>
    <row r="587" spans="2:29" x14ac:dyDescent="0.25">
      <c r="B587" s="294"/>
      <c r="C587" s="294"/>
      <c r="D587" s="294"/>
      <c r="E587" s="294"/>
      <c r="F587" s="294"/>
      <c r="G587" s="294"/>
      <c r="H587" s="294"/>
      <c r="I587" s="294"/>
      <c r="J587" s="294"/>
      <c r="L587" s="295"/>
      <c r="M587" s="294"/>
      <c r="O587" s="294"/>
      <c r="P587" s="294"/>
      <c r="Q587" s="294"/>
      <c r="R587" s="294"/>
      <c r="S587" s="294"/>
      <c r="T587" s="294"/>
      <c r="U587" s="326"/>
      <c r="V587" s="294"/>
      <c r="W587" s="294"/>
      <c r="X587" s="294"/>
      <c r="Y587" s="294"/>
      <c r="Z587" s="294"/>
      <c r="AA587" s="294"/>
      <c r="AB587" s="294"/>
      <c r="AC587" s="294"/>
    </row>
    <row r="588" spans="2:29" x14ac:dyDescent="0.25">
      <c r="B588" s="294"/>
      <c r="C588" s="294"/>
      <c r="D588" s="294"/>
      <c r="E588" s="294"/>
      <c r="F588" s="294"/>
      <c r="G588" s="294"/>
      <c r="H588" s="294"/>
      <c r="I588" s="294"/>
      <c r="J588" s="294"/>
      <c r="L588" s="295"/>
      <c r="M588" s="294"/>
      <c r="O588" s="294"/>
      <c r="P588" s="294"/>
      <c r="Q588" s="294"/>
      <c r="R588" s="294"/>
      <c r="S588" s="294"/>
      <c r="T588" s="294"/>
      <c r="U588" s="326"/>
      <c r="V588" s="294"/>
      <c r="W588" s="294"/>
      <c r="X588" s="294"/>
      <c r="Y588" s="294"/>
      <c r="Z588" s="294"/>
      <c r="AA588" s="294"/>
      <c r="AB588" s="294"/>
      <c r="AC588" s="294"/>
    </row>
    <row r="589" spans="2:29" x14ac:dyDescent="0.25">
      <c r="B589" s="294"/>
      <c r="C589" s="294"/>
      <c r="D589" s="294"/>
      <c r="E589" s="294"/>
      <c r="F589" s="294"/>
      <c r="G589" s="294"/>
      <c r="H589" s="294"/>
      <c r="I589" s="294"/>
      <c r="J589" s="294"/>
      <c r="L589" s="295"/>
      <c r="M589" s="294"/>
      <c r="O589" s="294"/>
      <c r="P589" s="294"/>
      <c r="Q589" s="294"/>
      <c r="R589" s="294"/>
      <c r="S589" s="294"/>
      <c r="T589" s="294"/>
      <c r="U589" s="326"/>
      <c r="V589" s="294"/>
      <c r="W589" s="294"/>
      <c r="X589" s="294"/>
      <c r="Y589" s="294"/>
      <c r="Z589" s="294"/>
      <c r="AA589" s="294"/>
      <c r="AB589" s="294"/>
      <c r="AC589" s="294"/>
    </row>
    <row r="590" spans="2:29" x14ac:dyDescent="0.25">
      <c r="B590" s="294"/>
      <c r="C590" s="294"/>
      <c r="D590" s="294"/>
      <c r="E590" s="294"/>
      <c r="F590" s="294"/>
      <c r="G590" s="294"/>
      <c r="H590" s="294"/>
      <c r="I590" s="294"/>
      <c r="J590" s="294"/>
      <c r="L590" s="295"/>
      <c r="M590" s="294"/>
      <c r="O590" s="294"/>
      <c r="P590" s="294"/>
      <c r="Q590" s="294"/>
      <c r="R590" s="294"/>
      <c r="S590" s="294"/>
      <c r="T590" s="294"/>
      <c r="U590" s="326"/>
      <c r="V590" s="294"/>
      <c r="W590" s="294"/>
      <c r="X590" s="294"/>
      <c r="Y590" s="294"/>
      <c r="Z590" s="294"/>
      <c r="AA590" s="294"/>
      <c r="AB590" s="294"/>
      <c r="AC590" s="294"/>
    </row>
    <row r="591" spans="2:29" x14ac:dyDescent="0.25">
      <c r="B591" s="294"/>
      <c r="C591" s="294"/>
      <c r="D591" s="294"/>
      <c r="E591" s="294"/>
      <c r="F591" s="294"/>
      <c r="G591" s="294"/>
      <c r="H591" s="294"/>
      <c r="I591" s="294"/>
      <c r="J591" s="294"/>
      <c r="L591" s="295"/>
      <c r="M591" s="294"/>
      <c r="O591" s="294"/>
      <c r="P591" s="294"/>
      <c r="Q591" s="294"/>
      <c r="R591" s="294"/>
      <c r="S591" s="294"/>
      <c r="T591" s="294"/>
      <c r="U591" s="326"/>
      <c r="V591" s="294"/>
      <c r="W591" s="294"/>
      <c r="X591" s="294"/>
      <c r="Y591" s="294"/>
      <c r="Z591" s="294"/>
      <c r="AA591" s="294"/>
      <c r="AB591" s="294"/>
      <c r="AC591" s="294"/>
    </row>
    <row r="592" spans="2:29" x14ac:dyDescent="0.25">
      <c r="B592" s="294"/>
      <c r="C592" s="294"/>
      <c r="D592" s="294"/>
      <c r="E592" s="294"/>
      <c r="F592" s="294"/>
      <c r="G592" s="294"/>
      <c r="H592" s="294"/>
      <c r="I592" s="294"/>
      <c r="J592" s="294"/>
      <c r="L592" s="295"/>
      <c r="M592" s="294"/>
      <c r="O592" s="294"/>
      <c r="P592" s="294"/>
      <c r="Q592" s="294"/>
      <c r="R592" s="294"/>
      <c r="S592" s="294"/>
      <c r="T592" s="294"/>
      <c r="U592" s="326"/>
      <c r="V592" s="294"/>
      <c r="W592" s="294"/>
      <c r="X592" s="294"/>
      <c r="Y592" s="294"/>
      <c r="Z592" s="294"/>
      <c r="AA592" s="294"/>
      <c r="AB592" s="294"/>
      <c r="AC592" s="294"/>
    </row>
    <row r="593" spans="2:29" x14ac:dyDescent="0.25">
      <c r="B593" s="294"/>
      <c r="C593" s="294"/>
      <c r="D593" s="294"/>
      <c r="E593" s="294"/>
      <c r="F593" s="294"/>
      <c r="G593" s="294"/>
      <c r="H593" s="294"/>
      <c r="I593" s="294"/>
      <c r="J593" s="294"/>
      <c r="L593" s="295"/>
      <c r="M593" s="294"/>
      <c r="O593" s="294"/>
      <c r="P593" s="294"/>
      <c r="Q593" s="294"/>
      <c r="R593" s="294"/>
      <c r="S593" s="294"/>
      <c r="T593" s="294"/>
      <c r="U593" s="326"/>
      <c r="V593" s="294"/>
      <c r="W593" s="294"/>
      <c r="X593" s="294"/>
      <c r="Y593" s="294"/>
      <c r="Z593" s="294"/>
      <c r="AA593" s="294"/>
      <c r="AB593" s="294"/>
      <c r="AC593" s="294"/>
    </row>
    <row r="594" spans="2:29" x14ac:dyDescent="0.25">
      <c r="B594" s="294"/>
      <c r="C594" s="294"/>
      <c r="D594" s="294"/>
      <c r="E594" s="294"/>
      <c r="F594" s="294"/>
      <c r="G594" s="294"/>
      <c r="H594" s="294"/>
      <c r="I594" s="294"/>
      <c r="J594" s="294"/>
      <c r="L594" s="295"/>
      <c r="M594" s="294"/>
      <c r="O594" s="294"/>
      <c r="P594" s="294"/>
      <c r="Q594" s="294"/>
      <c r="R594" s="294"/>
      <c r="S594" s="294"/>
      <c r="T594" s="294"/>
      <c r="U594" s="326"/>
      <c r="V594" s="294"/>
      <c r="W594" s="294"/>
      <c r="X594" s="294"/>
      <c r="Y594" s="294"/>
      <c r="Z594" s="294"/>
      <c r="AA594" s="294"/>
      <c r="AB594" s="294"/>
      <c r="AC594" s="294"/>
    </row>
    <row r="595" spans="2:29" x14ac:dyDescent="0.25">
      <c r="B595" s="294"/>
      <c r="C595" s="294"/>
      <c r="D595" s="294"/>
      <c r="E595" s="294"/>
      <c r="F595" s="294"/>
      <c r="G595" s="294"/>
      <c r="H595" s="294"/>
      <c r="I595" s="294"/>
      <c r="J595" s="294"/>
      <c r="L595" s="295"/>
      <c r="M595" s="294"/>
      <c r="O595" s="294"/>
      <c r="P595" s="294"/>
      <c r="Q595" s="294"/>
      <c r="R595" s="294"/>
      <c r="S595" s="294"/>
      <c r="T595" s="294"/>
      <c r="U595" s="326"/>
      <c r="V595" s="294"/>
      <c r="W595" s="294"/>
      <c r="X595" s="294"/>
      <c r="Y595" s="294"/>
      <c r="Z595" s="294"/>
      <c r="AA595" s="294"/>
      <c r="AB595" s="294"/>
      <c r="AC595" s="294"/>
    </row>
    <row r="596" spans="2:29" x14ac:dyDescent="0.25">
      <c r="B596" s="294"/>
      <c r="C596" s="294"/>
      <c r="D596" s="294"/>
      <c r="E596" s="294"/>
      <c r="F596" s="294"/>
      <c r="G596" s="294"/>
      <c r="H596" s="294"/>
      <c r="I596" s="294"/>
      <c r="J596" s="294"/>
      <c r="L596" s="295"/>
      <c r="M596" s="294"/>
      <c r="O596" s="294"/>
      <c r="P596" s="294"/>
      <c r="Q596" s="294"/>
      <c r="R596" s="294"/>
      <c r="S596" s="294"/>
      <c r="T596" s="294"/>
      <c r="U596" s="326"/>
      <c r="V596" s="294"/>
      <c r="W596" s="294"/>
      <c r="X596" s="294"/>
      <c r="Y596" s="294"/>
      <c r="Z596" s="294"/>
      <c r="AA596" s="294"/>
      <c r="AB596" s="294"/>
      <c r="AC596" s="294"/>
    </row>
    <row r="597" spans="2:29" x14ac:dyDescent="0.25">
      <c r="B597" s="294"/>
      <c r="C597" s="294"/>
      <c r="D597" s="294"/>
      <c r="E597" s="294"/>
      <c r="F597" s="294"/>
      <c r="G597" s="294"/>
      <c r="H597" s="294"/>
      <c r="I597" s="294"/>
      <c r="J597" s="294"/>
      <c r="L597" s="295"/>
      <c r="M597" s="294"/>
      <c r="O597" s="294"/>
      <c r="P597" s="294"/>
      <c r="Q597" s="294"/>
      <c r="R597" s="294"/>
      <c r="S597" s="294"/>
      <c r="T597" s="294"/>
      <c r="U597" s="326"/>
      <c r="V597" s="294"/>
      <c r="W597" s="294"/>
      <c r="X597" s="294"/>
      <c r="Y597" s="294"/>
      <c r="Z597" s="294"/>
      <c r="AA597" s="294"/>
      <c r="AB597" s="294"/>
      <c r="AC597" s="294"/>
    </row>
    <row r="598" spans="2:29" x14ac:dyDescent="0.25">
      <c r="B598" s="294"/>
      <c r="C598" s="294"/>
      <c r="D598" s="294"/>
      <c r="E598" s="294"/>
      <c r="F598" s="294"/>
      <c r="G598" s="294"/>
      <c r="H598" s="294"/>
      <c r="I598" s="294"/>
      <c r="J598" s="294"/>
      <c r="L598" s="295"/>
      <c r="M598" s="294"/>
      <c r="O598" s="294"/>
      <c r="P598" s="294"/>
      <c r="Q598" s="294"/>
      <c r="R598" s="294"/>
      <c r="S598" s="294"/>
      <c r="T598" s="294"/>
      <c r="U598" s="326"/>
      <c r="V598" s="294"/>
      <c r="W598" s="294"/>
      <c r="X598" s="294"/>
      <c r="Y598" s="294"/>
      <c r="Z598" s="294"/>
      <c r="AA598" s="294"/>
      <c r="AB598" s="294"/>
      <c r="AC598" s="294"/>
    </row>
    <row r="599" spans="2:29" x14ac:dyDescent="0.25">
      <c r="B599" s="294"/>
      <c r="C599" s="294"/>
      <c r="D599" s="294"/>
      <c r="E599" s="294"/>
      <c r="F599" s="294"/>
      <c r="G599" s="294"/>
      <c r="H599" s="294"/>
      <c r="I599" s="294"/>
      <c r="J599" s="294"/>
      <c r="L599" s="295"/>
      <c r="M599" s="294"/>
      <c r="O599" s="294"/>
      <c r="P599" s="294"/>
      <c r="Q599" s="294"/>
      <c r="R599" s="294"/>
      <c r="S599" s="294"/>
      <c r="T599" s="294"/>
      <c r="U599" s="326"/>
      <c r="V599" s="294"/>
      <c r="W599" s="294"/>
      <c r="X599" s="294"/>
      <c r="Y599" s="294"/>
      <c r="Z599" s="294"/>
      <c r="AA599" s="294"/>
      <c r="AB599" s="294"/>
      <c r="AC599" s="294"/>
    </row>
    <row r="600" spans="2:29" x14ac:dyDescent="0.25">
      <c r="B600" s="294"/>
      <c r="C600" s="294"/>
      <c r="D600" s="294"/>
      <c r="E600" s="294"/>
      <c r="F600" s="294"/>
      <c r="G600" s="294"/>
      <c r="H600" s="294"/>
      <c r="I600" s="294"/>
      <c r="J600" s="294"/>
      <c r="L600" s="295"/>
      <c r="M600" s="294"/>
      <c r="O600" s="294"/>
      <c r="P600" s="294"/>
      <c r="Q600" s="294"/>
      <c r="R600" s="294"/>
      <c r="S600" s="294"/>
      <c r="T600" s="294"/>
      <c r="U600" s="326"/>
      <c r="V600" s="294"/>
      <c r="W600" s="294"/>
      <c r="X600" s="294"/>
      <c r="Y600" s="294"/>
      <c r="Z600" s="294"/>
      <c r="AA600" s="294"/>
      <c r="AB600" s="294"/>
      <c r="AC600" s="294"/>
    </row>
    <row r="601" spans="2:29" x14ac:dyDescent="0.25">
      <c r="B601" s="294"/>
      <c r="C601" s="294"/>
      <c r="D601" s="294"/>
      <c r="E601" s="294"/>
      <c r="F601" s="294"/>
      <c r="G601" s="294"/>
      <c r="H601" s="294"/>
      <c r="I601" s="294"/>
      <c r="J601" s="294"/>
      <c r="L601" s="295"/>
      <c r="M601" s="294"/>
      <c r="O601" s="294"/>
      <c r="P601" s="294"/>
      <c r="Q601" s="294"/>
      <c r="R601" s="294"/>
      <c r="S601" s="294"/>
      <c r="T601" s="294"/>
      <c r="U601" s="326"/>
      <c r="V601" s="294"/>
      <c r="W601" s="294"/>
      <c r="X601" s="294"/>
      <c r="Y601" s="294"/>
      <c r="Z601" s="294"/>
      <c r="AA601" s="294"/>
      <c r="AB601" s="294"/>
      <c r="AC601" s="294"/>
    </row>
    <row r="602" spans="2:29" x14ac:dyDescent="0.25">
      <c r="B602" s="294"/>
      <c r="C602" s="294"/>
      <c r="D602" s="294"/>
      <c r="E602" s="294"/>
      <c r="F602" s="294"/>
      <c r="G602" s="294"/>
      <c r="H602" s="294"/>
      <c r="I602" s="294"/>
      <c r="J602" s="294"/>
      <c r="L602" s="295"/>
      <c r="M602" s="294"/>
      <c r="O602" s="294"/>
      <c r="P602" s="294"/>
      <c r="Q602" s="294"/>
      <c r="R602" s="294"/>
      <c r="S602" s="294"/>
      <c r="T602" s="294"/>
      <c r="U602" s="326"/>
      <c r="V602" s="294"/>
      <c r="W602" s="294"/>
      <c r="X602" s="294"/>
      <c r="Y602" s="294"/>
      <c r="Z602" s="294"/>
      <c r="AA602" s="294"/>
      <c r="AB602" s="294"/>
      <c r="AC602" s="294"/>
    </row>
    <row r="603" spans="2:29" x14ac:dyDescent="0.25">
      <c r="B603" s="294"/>
      <c r="C603" s="294"/>
      <c r="D603" s="294"/>
      <c r="E603" s="294"/>
      <c r="F603" s="294"/>
      <c r="G603" s="294"/>
      <c r="H603" s="294"/>
      <c r="I603" s="294"/>
      <c r="J603" s="294"/>
      <c r="L603" s="295"/>
      <c r="M603" s="294"/>
      <c r="O603" s="294"/>
      <c r="P603" s="294"/>
      <c r="Q603" s="294"/>
      <c r="R603" s="294"/>
      <c r="S603" s="294"/>
      <c r="T603" s="294"/>
      <c r="U603" s="326"/>
      <c r="V603" s="294"/>
      <c r="W603" s="294"/>
      <c r="X603" s="294"/>
      <c r="Y603" s="294"/>
      <c r="Z603" s="294"/>
      <c r="AA603" s="294"/>
      <c r="AB603" s="294"/>
      <c r="AC603" s="294"/>
    </row>
    <row r="604" spans="2:29" x14ac:dyDescent="0.25">
      <c r="B604" s="294"/>
      <c r="C604" s="294"/>
      <c r="D604" s="294"/>
      <c r="E604" s="294"/>
      <c r="F604" s="294"/>
      <c r="G604" s="294"/>
      <c r="H604" s="294"/>
      <c r="I604" s="294"/>
      <c r="J604" s="294"/>
      <c r="L604" s="295"/>
      <c r="M604" s="294"/>
      <c r="O604" s="294"/>
      <c r="P604" s="294"/>
      <c r="Q604" s="294"/>
      <c r="R604" s="294"/>
      <c r="S604" s="294"/>
      <c r="T604" s="294"/>
      <c r="U604" s="326"/>
      <c r="V604" s="294"/>
      <c r="W604" s="294"/>
      <c r="X604" s="294"/>
      <c r="Y604" s="294"/>
      <c r="Z604" s="294"/>
      <c r="AA604" s="294"/>
      <c r="AB604" s="294"/>
      <c r="AC604" s="294"/>
    </row>
    <row r="605" spans="2:29" x14ac:dyDescent="0.25">
      <c r="B605" s="294"/>
      <c r="C605" s="294"/>
      <c r="D605" s="294"/>
      <c r="E605" s="294"/>
      <c r="F605" s="294"/>
      <c r="G605" s="294"/>
      <c r="H605" s="294"/>
      <c r="I605" s="294"/>
      <c r="J605" s="294"/>
      <c r="L605" s="295"/>
      <c r="M605" s="294"/>
      <c r="O605" s="294"/>
      <c r="P605" s="294"/>
      <c r="Q605" s="294"/>
      <c r="R605" s="294"/>
      <c r="S605" s="294"/>
      <c r="T605" s="294"/>
      <c r="U605" s="326"/>
      <c r="V605" s="294"/>
      <c r="W605" s="294"/>
      <c r="X605" s="294"/>
      <c r="Y605" s="294"/>
      <c r="Z605" s="294"/>
      <c r="AA605" s="294"/>
      <c r="AB605" s="294"/>
      <c r="AC605" s="294"/>
    </row>
    <row r="606" spans="2:29" x14ac:dyDescent="0.25">
      <c r="B606" s="294"/>
      <c r="C606" s="294"/>
      <c r="D606" s="294"/>
      <c r="E606" s="294"/>
      <c r="F606" s="294"/>
      <c r="G606" s="294"/>
      <c r="H606" s="294"/>
      <c r="I606" s="294"/>
      <c r="J606" s="294"/>
      <c r="L606" s="295"/>
      <c r="M606" s="294"/>
      <c r="O606" s="294"/>
      <c r="P606" s="294"/>
      <c r="Q606" s="294"/>
      <c r="R606" s="294"/>
      <c r="S606" s="294"/>
      <c r="T606" s="294"/>
      <c r="U606" s="326"/>
      <c r="V606" s="294"/>
      <c r="W606" s="294"/>
      <c r="X606" s="294"/>
      <c r="Y606" s="294"/>
      <c r="Z606" s="294"/>
      <c r="AA606" s="294"/>
      <c r="AB606" s="294"/>
      <c r="AC606" s="294"/>
    </row>
    <row r="607" spans="2:29" x14ac:dyDescent="0.25">
      <c r="B607" s="294"/>
      <c r="C607" s="294"/>
      <c r="D607" s="294"/>
      <c r="E607" s="294"/>
      <c r="F607" s="294"/>
      <c r="G607" s="294"/>
      <c r="H607" s="294"/>
      <c r="I607" s="294"/>
      <c r="J607" s="294"/>
      <c r="L607" s="295"/>
      <c r="M607" s="294"/>
      <c r="O607" s="294"/>
      <c r="P607" s="294"/>
      <c r="Q607" s="294"/>
      <c r="R607" s="294"/>
      <c r="S607" s="294"/>
      <c r="T607" s="294"/>
      <c r="U607" s="326"/>
      <c r="V607" s="294"/>
      <c r="W607" s="294"/>
      <c r="X607" s="294"/>
      <c r="Y607" s="294"/>
      <c r="Z607" s="294"/>
      <c r="AA607" s="294"/>
      <c r="AB607" s="294"/>
      <c r="AC607" s="294"/>
    </row>
    <row r="608" spans="2:29" x14ac:dyDescent="0.25">
      <c r="B608" s="294"/>
      <c r="C608" s="294"/>
      <c r="D608" s="294"/>
      <c r="E608" s="294"/>
      <c r="F608" s="294"/>
      <c r="G608" s="294"/>
      <c r="H608" s="294"/>
      <c r="I608" s="294"/>
      <c r="J608" s="294"/>
      <c r="L608" s="295"/>
      <c r="M608" s="294"/>
      <c r="O608" s="294"/>
      <c r="P608" s="294"/>
      <c r="Q608" s="294"/>
      <c r="R608" s="294"/>
      <c r="S608" s="294"/>
      <c r="T608" s="294"/>
      <c r="U608" s="326"/>
      <c r="V608" s="294"/>
      <c r="W608" s="294"/>
      <c r="X608" s="294"/>
      <c r="Y608" s="294"/>
      <c r="Z608" s="294"/>
      <c r="AA608" s="294"/>
      <c r="AB608" s="294"/>
      <c r="AC608" s="294"/>
    </row>
    <row r="609" spans="2:29" x14ac:dyDescent="0.25">
      <c r="B609" s="294"/>
      <c r="C609" s="294"/>
      <c r="D609" s="294"/>
      <c r="E609" s="294"/>
      <c r="F609" s="294"/>
      <c r="G609" s="294"/>
      <c r="H609" s="294"/>
      <c r="I609" s="294"/>
      <c r="J609" s="294"/>
      <c r="L609" s="295"/>
      <c r="M609" s="294"/>
      <c r="O609" s="294"/>
      <c r="P609" s="294"/>
      <c r="Q609" s="294"/>
      <c r="R609" s="294"/>
      <c r="S609" s="294"/>
      <c r="T609" s="294"/>
      <c r="U609" s="326"/>
      <c r="V609" s="294"/>
      <c r="W609" s="294"/>
      <c r="X609" s="294"/>
      <c r="Y609" s="294"/>
      <c r="Z609" s="294"/>
      <c r="AA609" s="294"/>
      <c r="AB609" s="294"/>
      <c r="AC609" s="294"/>
    </row>
    <row r="610" spans="2:29" x14ac:dyDescent="0.25">
      <c r="B610" s="294"/>
      <c r="C610" s="294"/>
      <c r="D610" s="294"/>
      <c r="E610" s="294"/>
      <c r="F610" s="294"/>
      <c r="G610" s="294"/>
      <c r="H610" s="294"/>
      <c r="I610" s="294"/>
      <c r="J610" s="294"/>
      <c r="L610" s="295"/>
      <c r="M610" s="294"/>
      <c r="O610" s="294"/>
      <c r="P610" s="294"/>
      <c r="Q610" s="294"/>
      <c r="R610" s="294"/>
      <c r="S610" s="294"/>
      <c r="T610" s="294"/>
      <c r="U610" s="326"/>
      <c r="V610" s="294"/>
      <c r="W610" s="294"/>
      <c r="X610" s="294"/>
      <c r="Y610" s="294"/>
      <c r="Z610" s="294"/>
      <c r="AA610" s="294"/>
      <c r="AB610" s="294"/>
      <c r="AC610" s="294"/>
    </row>
    <row r="611" spans="2:29" x14ac:dyDescent="0.25">
      <c r="B611" s="294"/>
      <c r="C611" s="294"/>
      <c r="D611" s="294"/>
      <c r="E611" s="294"/>
      <c r="F611" s="294"/>
      <c r="G611" s="294"/>
      <c r="H611" s="294"/>
      <c r="I611" s="294"/>
      <c r="J611" s="294"/>
      <c r="L611" s="295"/>
      <c r="M611" s="294"/>
      <c r="O611" s="294"/>
      <c r="P611" s="294"/>
      <c r="Q611" s="294"/>
      <c r="R611" s="294"/>
      <c r="S611" s="294"/>
      <c r="T611" s="294"/>
      <c r="U611" s="326"/>
      <c r="V611" s="294"/>
      <c r="W611" s="294"/>
      <c r="X611" s="294"/>
      <c r="Y611" s="294"/>
      <c r="Z611" s="294"/>
      <c r="AA611" s="294"/>
      <c r="AB611" s="294"/>
      <c r="AC611" s="294"/>
    </row>
    <row r="612" spans="2:29" x14ac:dyDescent="0.25">
      <c r="B612" s="294"/>
      <c r="C612" s="294"/>
      <c r="D612" s="294"/>
      <c r="E612" s="294"/>
      <c r="F612" s="294"/>
      <c r="G612" s="294"/>
      <c r="H612" s="294"/>
      <c r="I612" s="294"/>
      <c r="J612" s="294"/>
      <c r="L612" s="295"/>
      <c r="M612" s="294"/>
      <c r="O612" s="294"/>
      <c r="P612" s="294"/>
      <c r="Q612" s="294"/>
      <c r="R612" s="294"/>
      <c r="S612" s="294"/>
      <c r="T612" s="294"/>
      <c r="U612" s="326"/>
      <c r="V612" s="294"/>
      <c r="W612" s="294"/>
      <c r="X612" s="294"/>
      <c r="Y612" s="294"/>
      <c r="Z612" s="294"/>
      <c r="AA612" s="294"/>
      <c r="AB612" s="294"/>
      <c r="AC612" s="294"/>
    </row>
    <row r="613" spans="2:29" x14ac:dyDescent="0.25">
      <c r="B613" s="294"/>
      <c r="C613" s="294"/>
      <c r="D613" s="294"/>
      <c r="E613" s="294"/>
      <c r="F613" s="294"/>
      <c r="G613" s="294"/>
      <c r="H613" s="294"/>
      <c r="I613" s="294"/>
      <c r="J613" s="294"/>
      <c r="L613" s="295"/>
      <c r="M613" s="294"/>
      <c r="O613" s="294"/>
      <c r="P613" s="294"/>
      <c r="Q613" s="294"/>
      <c r="R613" s="294"/>
      <c r="S613" s="294"/>
      <c r="T613" s="294"/>
      <c r="U613" s="326"/>
      <c r="V613" s="294"/>
      <c r="W613" s="294"/>
      <c r="X613" s="294"/>
      <c r="Y613" s="294"/>
      <c r="Z613" s="294"/>
      <c r="AA613" s="294"/>
      <c r="AB613" s="294"/>
      <c r="AC613" s="294"/>
    </row>
    <row r="614" spans="2:29" x14ac:dyDescent="0.25">
      <c r="B614" s="294"/>
      <c r="C614" s="294"/>
      <c r="D614" s="294"/>
      <c r="E614" s="294"/>
      <c r="F614" s="294"/>
      <c r="G614" s="294"/>
      <c r="H614" s="294"/>
      <c r="I614" s="294"/>
      <c r="J614" s="294"/>
      <c r="L614" s="295"/>
      <c r="M614" s="294"/>
      <c r="O614" s="294"/>
      <c r="P614" s="294"/>
      <c r="Q614" s="294"/>
      <c r="R614" s="294"/>
      <c r="S614" s="294"/>
      <c r="T614" s="294"/>
      <c r="U614" s="326"/>
      <c r="V614" s="294"/>
      <c r="W614" s="294"/>
      <c r="X614" s="294"/>
      <c r="Y614" s="294"/>
      <c r="Z614" s="294"/>
      <c r="AA614" s="294"/>
      <c r="AB614" s="294"/>
      <c r="AC614" s="294"/>
    </row>
    <row r="615" spans="2:29" x14ac:dyDescent="0.25">
      <c r="B615" s="294"/>
      <c r="C615" s="294"/>
      <c r="D615" s="294"/>
      <c r="E615" s="294"/>
      <c r="F615" s="294"/>
      <c r="G615" s="294"/>
      <c r="H615" s="294"/>
      <c r="I615" s="294"/>
      <c r="J615" s="294"/>
      <c r="L615" s="295"/>
      <c r="M615" s="294"/>
      <c r="O615" s="294"/>
      <c r="P615" s="294"/>
      <c r="Q615" s="294"/>
      <c r="R615" s="294"/>
      <c r="S615" s="294"/>
      <c r="T615" s="294"/>
      <c r="U615" s="326"/>
      <c r="V615" s="294"/>
      <c r="W615" s="294"/>
      <c r="X615" s="294"/>
      <c r="Y615" s="294"/>
      <c r="Z615" s="294"/>
      <c r="AA615" s="294"/>
      <c r="AB615" s="294"/>
      <c r="AC615" s="294"/>
    </row>
    <row r="616" spans="2:29" x14ac:dyDescent="0.25">
      <c r="B616" s="294"/>
      <c r="C616" s="294"/>
      <c r="D616" s="294"/>
      <c r="E616" s="294"/>
      <c r="F616" s="294"/>
      <c r="G616" s="294"/>
      <c r="H616" s="294"/>
      <c r="I616" s="294"/>
      <c r="J616" s="294"/>
      <c r="L616" s="295"/>
      <c r="M616" s="294"/>
      <c r="O616" s="294"/>
      <c r="P616" s="294"/>
      <c r="Q616" s="294"/>
      <c r="R616" s="294"/>
      <c r="S616" s="294"/>
      <c r="T616" s="294"/>
      <c r="U616" s="326"/>
      <c r="V616" s="294"/>
      <c r="W616" s="294"/>
      <c r="X616" s="294"/>
      <c r="Y616" s="294"/>
      <c r="Z616" s="294"/>
      <c r="AA616" s="294"/>
      <c r="AB616" s="294"/>
      <c r="AC616" s="294"/>
    </row>
    <row r="617" spans="2:29" x14ac:dyDescent="0.25">
      <c r="B617" s="294"/>
      <c r="C617" s="294"/>
      <c r="D617" s="294"/>
      <c r="E617" s="294"/>
      <c r="F617" s="294"/>
      <c r="G617" s="294"/>
      <c r="H617" s="294"/>
      <c r="I617" s="294"/>
      <c r="J617" s="294"/>
      <c r="L617" s="295"/>
      <c r="M617" s="294"/>
      <c r="O617" s="294"/>
      <c r="P617" s="294"/>
      <c r="Q617" s="294"/>
      <c r="R617" s="294"/>
      <c r="S617" s="294"/>
      <c r="T617" s="294"/>
      <c r="U617" s="326"/>
      <c r="V617" s="294"/>
      <c r="W617" s="294"/>
      <c r="X617" s="294"/>
      <c r="Y617" s="294"/>
      <c r="Z617" s="294"/>
      <c r="AA617" s="294"/>
      <c r="AB617" s="294"/>
      <c r="AC617" s="294"/>
    </row>
    <row r="618" spans="2:29" x14ac:dyDescent="0.25">
      <c r="B618" s="294"/>
      <c r="C618" s="294"/>
      <c r="D618" s="294"/>
      <c r="E618" s="294"/>
      <c r="F618" s="294"/>
      <c r="G618" s="294"/>
      <c r="H618" s="294"/>
      <c r="I618" s="294"/>
      <c r="J618" s="294"/>
      <c r="L618" s="295"/>
      <c r="M618" s="294"/>
      <c r="O618" s="294"/>
      <c r="P618" s="294"/>
      <c r="Q618" s="294"/>
      <c r="R618" s="294"/>
      <c r="S618" s="294"/>
      <c r="T618" s="294"/>
      <c r="U618" s="326"/>
      <c r="V618" s="294"/>
      <c r="W618" s="294"/>
      <c r="X618" s="294"/>
      <c r="Y618" s="294"/>
      <c r="Z618" s="294"/>
      <c r="AA618" s="294"/>
      <c r="AB618" s="294"/>
      <c r="AC618" s="294"/>
    </row>
    <row r="619" spans="2:29" x14ac:dyDescent="0.25">
      <c r="B619" s="294"/>
      <c r="C619" s="294"/>
      <c r="D619" s="294"/>
      <c r="E619" s="294"/>
      <c r="F619" s="294"/>
      <c r="G619" s="294"/>
      <c r="H619" s="294"/>
      <c r="I619" s="294"/>
      <c r="J619" s="294"/>
      <c r="L619" s="295"/>
      <c r="M619" s="294"/>
      <c r="O619" s="294"/>
      <c r="P619" s="294"/>
      <c r="Q619" s="294"/>
      <c r="R619" s="294"/>
      <c r="S619" s="294"/>
      <c r="T619" s="294"/>
      <c r="U619" s="326"/>
      <c r="V619" s="294"/>
      <c r="W619" s="294"/>
      <c r="X619" s="294"/>
      <c r="Y619" s="294"/>
      <c r="Z619" s="294"/>
      <c r="AA619" s="294"/>
      <c r="AB619" s="294"/>
      <c r="AC619" s="294"/>
    </row>
    <row r="620" spans="2:29" x14ac:dyDescent="0.25">
      <c r="B620" s="294"/>
      <c r="C620" s="294"/>
      <c r="D620" s="294"/>
      <c r="E620" s="294"/>
      <c r="F620" s="294"/>
      <c r="G620" s="294"/>
      <c r="H620" s="294"/>
      <c r="I620" s="294"/>
      <c r="J620" s="294"/>
      <c r="L620" s="295"/>
      <c r="M620" s="294"/>
      <c r="O620" s="294"/>
      <c r="P620" s="294"/>
      <c r="Q620" s="294"/>
      <c r="R620" s="294"/>
      <c r="S620" s="294"/>
      <c r="T620" s="294"/>
      <c r="U620" s="326"/>
      <c r="V620" s="294"/>
      <c r="W620" s="294"/>
      <c r="X620" s="294"/>
      <c r="Y620" s="294"/>
      <c r="Z620" s="294"/>
      <c r="AA620" s="294"/>
      <c r="AB620" s="294"/>
      <c r="AC620" s="294"/>
    </row>
    <row r="621" spans="2:29" x14ac:dyDescent="0.25">
      <c r="B621" s="294"/>
      <c r="C621" s="294"/>
      <c r="D621" s="294"/>
      <c r="E621" s="294"/>
      <c r="F621" s="294"/>
      <c r="G621" s="294"/>
      <c r="H621" s="294"/>
      <c r="I621" s="294"/>
      <c r="J621" s="294"/>
      <c r="L621" s="295"/>
      <c r="M621" s="294"/>
      <c r="O621" s="294"/>
      <c r="P621" s="294"/>
      <c r="Q621" s="294"/>
      <c r="R621" s="294"/>
      <c r="S621" s="294"/>
      <c r="T621" s="294"/>
      <c r="U621" s="326"/>
      <c r="V621" s="294"/>
      <c r="W621" s="294"/>
      <c r="X621" s="294"/>
      <c r="Y621" s="294"/>
      <c r="Z621" s="294"/>
      <c r="AA621" s="294"/>
      <c r="AB621" s="294"/>
      <c r="AC621" s="294"/>
    </row>
    <row r="622" spans="2:29" x14ac:dyDescent="0.25">
      <c r="B622" s="294"/>
      <c r="C622" s="294"/>
      <c r="D622" s="294"/>
      <c r="E622" s="294"/>
      <c r="F622" s="294"/>
      <c r="G622" s="294"/>
      <c r="H622" s="294"/>
      <c r="I622" s="294"/>
      <c r="J622" s="294"/>
      <c r="L622" s="295"/>
      <c r="M622" s="294"/>
      <c r="O622" s="294"/>
      <c r="P622" s="294"/>
      <c r="Q622" s="294"/>
      <c r="R622" s="294"/>
      <c r="S622" s="294"/>
      <c r="T622" s="294"/>
      <c r="U622" s="326"/>
      <c r="V622" s="294"/>
      <c r="W622" s="294"/>
      <c r="X622" s="294"/>
      <c r="Y622" s="294"/>
      <c r="Z622" s="294"/>
      <c r="AA622" s="294"/>
      <c r="AB622" s="294"/>
      <c r="AC622" s="294"/>
    </row>
    <row r="623" spans="2:29" x14ac:dyDescent="0.25">
      <c r="B623" s="294"/>
      <c r="C623" s="294"/>
      <c r="D623" s="294"/>
      <c r="E623" s="294"/>
      <c r="F623" s="294"/>
      <c r="G623" s="294"/>
      <c r="H623" s="294"/>
      <c r="I623" s="294"/>
      <c r="J623" s="294"/>
      <c r="L623" s="295"/>
      <c r="M623" s="294"/>
      <c r="O623" s="294"/>
      <c r="P623" s="294"/>
      <c r="Q623" s="294"/>
      <c r="R623" s="294"/>
      <c r="S623" s="294"/>
      <c r="T623" s="294"/>
      <c r="U623" s="326"/>
      <c r="V623" s="294"/>
      <c r="W623" s="294"/>
      <c r="X623" s="294"/>
      <c r="Y623" s="294"/>
      <c r="Z623" s="294"/>
      <c r="AA623" s="294"/>
      <c r="AB623" s="294"/>
      <c r="AC623" s="294"/>
    </row>
    <row r="624" spans="2:29" x14ac:dyDescent="0.25">
      <c r="B624" s="294"/>
      <c r="C624" s="294"/>
      <c r="D624" s="294"/>
      <c r="E624" s="294"/>
      <c r="F624" s="294"/>
      <c r="G624" s="294"/>
      <c r="H624" s="294"/>
      <c r="I624" s="294"/>
      <c r="J624" s="294"/>
      <c r="L624" s="295"/>
      <c r="M624" s="294"/>
      <c r="O624" s="294"/>
      <c r="P624" s="294"/>
      <c r="Q624" s="294"/>
      <c r="R624" s="294"/>
      <c r="S624" s="294"/>
      <c r="T624" s="294"/>
      <c r="U624" s="326"/>
      <c r="V624" s="294"/>
      <c r="W624" s="294"/>
      <c r="X624" s="294"/>
      <c r="Y624" s="294"/>
      <c r="Z624" s="294"/>
      <c r="AA624" s="294"/>
      <c r="AB624" s="294"/>
      <c r="AC624" s="294"/>
    </row>
    <row r="625" spans="2:29" x14ac:dyDescent="0.25">
      <c r="B625" s="294"/>
      <c r="C625" s="294"/>
      <c r="D625" s="294"/>
      <c r="E625" s="294"/>
      <c r="F625" s="294"/>
      <c r="G625" s="294"/>
      <c r="H625" s="294"/>
      <c r="I625" s="294"/>
      <c r="J625" s="294"/>
      <c r="L625" s="295"/>
      <c r="M625" s="294"/>
      <c r="O625" s="294"/>
      <c r="P625" s="294"/>
      <c r="Q625" s="294"/>
      <c r="R625" s="294"/>
      <c r="S625" s="294"/>
      <c r="T625" s="294"/>
      <c r="U625" s="326"/>
      <c r="V625" s="294"/>
      <c r="W625" s="294"/>
      <c r="X625" s="294"/>
      <c r="Y625" s="294"/>
      <c r="Z625" s="294"/>
      <c r="AA625" s="294"/>
      <c r="AB625" s="294"/>
      <c r="AC625" s="294"/>
    </row>
    <row r="626" spans="2:29" x14ac:dyDescent="0.25">
      <c r="B626" s="294"/>
      <c r="C626" s="294"/>
      <c r="D626" s="294"/>
      <c r="E626" s="294"/>
      <c r="F626" s="294"/>
      <c r="G626" s="294"/>
      <c r="H626" s="294"/>
      <c r="I626" s="294"/>
      <c r="J626" s="294"/>
      <c r="L626" s="295"/>
      <c r="M626" s="294"/>
      <c r="O626" s="294"/>
      <c r="P626" s="294"/>
      <c r="Q626" s="294"/>
      <c r="R626" s="294"/>
      <c r="S626" s="294"/>
      <c r="T626" s="294"/>
      <c r="U626" s="326"/>
      <c r="V626" s="294"/>
      <c r="W626" s="294"/>
      <c r="X626" s="294"/>
      <c r="Y626" s="294"/>
      <c r="Z626" s="294"/>
      <c r="AA626" s="294"/>
      <c r="AB626" s="294"/>
      <c r="AC626" s="294"/>
    </row>
    <row r="627" spans="2:29" x14ac:dyDescent="0.25">
      <c r="B627" s="294"/>
      <c r="C627" s="294"/>
      <c r="D627" s="294"/>
      <c r="E627" s="294"/>
      <c r="F627" s="294"/>
      <c r="G627" s="294"/>
      <c r="H627" s="294"/>
      <c r="I627" s="294"/>
      <c r="J627" s="294"/>
      <c r="L627" s="295"/>
      <c r="M627" s="294"/>
      <c r="O627" s="294"/>
      <c r="P627" s="294"/>
      <c r="Q627" s="294"/>
      <c r="R627" s="294"/>
      <c r="S627" s="294"/>
      <c r="T627" s="294"/>
      <c r="U627" s="326"/>
      <c r="V627" s="294"/>
      <c r="W627" s="294"/>
      <c r="X627" s="294"/>
      <c r="Y627" s="294"/>
      <c r="Z627" s="294"/>
      <c r="AA627" s="294"/>
      <c r="AB627" s="294"/>
      <c r="AC627" s="294"/>
    </row>
    <row r="628" spans="2:29" x14ac:dyDescent="0.25">
      <c r="B628" s="294"/>
      <c r="C628" s="294"/>
      <c r="D628" s="294"/>
      <c r="E628" s="294"/>
      <c r="F628" s="294"/>
      <c r="G628" s="294"/>
      <c r="H628" s="294"/>
      <c r="I628" s="294"/>
      <c r="J628" s="294"/>
      <c r="L628" s="295"/>
      <c r="M628" s="294"/>
      <c r="O628" s="294"/>
      <c r="P628" s="294"/>
      <c r="Q628" s="294"/>
      <c r="R628" s="294"/>
      <c r="S628" s="294"/>
      <c r="T628" s="294"/>
      <c r="U628" s="326"/>
      <c r="V628" s="294"/>
      <c r="W628" s="294"/>
      <c r="X628" s="294"/>
      <c r="Y628" s="294"/>
      <c r="Z628" s="294"/>
      <c r="AA628" s="294"/>
      <c r="AB628" s="294"/>
      <c r="AC628" s="294"/>
    </row>
    <row r="629" spans="2:29" x14ac:dyDescent="0.25">
      <c r="B629" s="294"/>
      <c r="C629" s="294"/>
      <c r="D629" s="294"/>
      <c r="E629" s="294"/>
      <c r="F629" s="294"/>
      <c r="G629" s="294"/>
      <c r="H629" s="294"/>
      <c r="I629" s="294"/>
      <c r="J629" s="294"/>
      <c r="L629" s="295"/>
      <c r="M629" s="294"/>
      <c r="O629" s="294"/>
      <c r="P629" s="294"/>
      <c r="Q629" s="294"/>
      <c r="R629" s="294"/>
      <c r="S629" s="294"/>
      <c r="T629" s="294"/>
      <c r="U629" s="326"/>
      <c r="V629" s="294"/>
      <c r="W629" s="294"/>
      <c r="X629" s="294"/>
      <c r="Y629" s="294"/>
      <c r="Z629" s="294"/>
      <c r="AA629" s="294"/>
      <c r="AB629" s="294"/>
      <c r="AC629" s="294"/>
    </row>
    <row r="630" spans="2:29" x14ac:dyDescent="0.25">
      <c r="B630" s="294"/>
      <c r="C630" s="294"/>
      <c r="D630" s="294"/>
      <c r="E630" s="294"/>
      <c r="F630" s="294"/>
      <c r="G630" s="294"/>
      <c r="H630" s="294"/>
      <c r="I630" s="294"/>
      <c r="J630" s="294"/>
      <c r="L630" s="295"/>
      <c r="M630" s="294"/>
      <c r="O630" s="294"/>
      <c r="P630" s="294"/>
      <c r="Q630" s="294"/>
      <c r="R630" s="294"/>
      <c r="S630" s="294"/>
      <c r="T630" s="294"/>
      <c r="U630" s="326"/>
      <c r="V630" s="294"/>
      <c r="W630" s="294"/>
      <c r="X630" s="294"/>
      <c r="Y630" s="294"/>
      <c r="Z630" s="294"/>
      <c r="AA630" s="294"/>
      <c r="AB630" s="294"/>
      <c r="AC630" s="294"/>
    </row>
    <row r="631" spans="2:29" x14ac:dyDescent="0.25">
      <c r="B631" s="294"/>
      <c r="C631" s="294"/>
      <c r="D631" s="294"/>
      <c r="E631" s="294"/>
      <c r="F631" s="294"/>
      <c r="G631" s="294"/>
      <c r="H631" s="294"/>
      <c r="I631" s="294"/>
      <c r="J631" s="294"/>
      <c r="L631" s="295"/>
      <c r="M631" s="294"/>
      <c r="O631" s="294"/>
      <c r="P631" s="294"/>
      <c r="Q631" s="294"/>
      <c r="R631" s="294"/>
      <c r="S631" s="294"/>
      <c r="T631" s="294"/>
      <c r="U631" s="326"/>
      <c r="V631" s="294"/>
      <c r="W631" s="294"/>
      <c r="X631" s="294"/>
      <c r="Y631" s="294"/>
      <c r="Z631" s="294"/>
      <c r="AA631" s="294"/>
      <c r="AB631" s="294"/>
      <c r="AC631" s="294"/>
    </row>
    <row r="632" spans="2:29" x14ac:dyDescent="0.25">
      <c r="B632" s="294"/>
      <c r="C632" s="294"/>
      <c r="D632" s="294"/>
      <c r="E632" s="294"/>
      <c r="F632" s="294"/>
      <c r="G632" s="294"/>
      <c r="H632" s="294"/>
      <c r="I632" s="294"/>
      <c r="J632" s="294"/>
      <c r="L632" s="295"/>
      <c r="M632" s="294"/>
      <c r="O632" s="294"/>
      <c r="P632" s="294"/>
      <c r="Q632" s="294"/>
      <c r="R632" s="294"/>
      <c r="S632" s="294"/>
      <c r="T632" s="294"/>
      <c r="U632" s="326"/>
      <c r="V632" s="294"/>
      <c r="W632" s="294"/>
      <c r="X632" s="294"/>
      <c r="Y632" s="294"/>
      <c r="Z632" s="294"/>
      <c r="AA632" s="294"/>
      <c r="AB632" s="294"/>
      <c r="AC632" s="294"/>
    </row>
    <row r="633" spans="2:29" x14ac:dyDescent="0.25">
      <c r="B633" s="294"/>
      <c r="C633" s="294"/>
      <c r="D633" s="294"/>
      <c r="E633" s="294"/>
      <c r="F633" s="294"/>
      <c r="G633" s="294"/>
      <c r="H633" s="294"/>
      <c r="I633" s="294"/>
      <c r="J633" s="294"/>
      <c r="L633" s="295"/>
      <c r="M633" s="294"/>
      <c r="O633" s="294"/>
      <c r="P633" s="294"/>
      <c r="Q633" s="294"/>
      <c r="R633" s="294"/>
      <c r="S633" s="294"/>
      <c r="T633" s="294"/>
      <c r="U633" s="326"/>
      <c r="V633" s="294"/>
      <c r="W633" s="294"/>
      <c r="X633" s="294"/>
      <c r="Y633" s="294"/>
      <c r="Z633" s="294"/>
      <c r="AA633" s="294"/>
      <c r="AB633" s="294"/>
      <c r="AC633" s="294"/>
    </row>
    <row r="634" spans="2:29" x14ac:dyDescent="0.25">
      <c r="B634" s="294"/>
      <c r="C634" s="294"/>
      <c r="D634" s="294"/>
      <c r="E634" s="294"/>
      <c r="F634" s="294"/>
      <c r="G634" s="294"/>
      <c r="H634" s="294"/>
      <c r="I634" s="294"/>
      <c r="J634" s="294"/>
      <c r="L634" s="295"/>
      <c r="M634" s="294"/>
      <c r="O634" s="294"/>
      <c r="P634" s="294"/>
      <c r="Q634" s="294"/>
      <c r="R634" s="294"/>
      <c r="S634" s="294"/>
      <c r="T634" s="294"/>
      <c r="U634" s="326"/>
      <c r="V634" s="294"/>
      <c r="W634" s="294"/>
      <c r="X634" s="294"/>
      <c r="Y634" s="294"/>
      <c r="Z634" s="294"/>
      <c r="AA634" s="294"/>
      <c r="AB634" s="294"/>
      <c r="AC634" s="294"/>
    </row>
    <row r="635" spans="2:29" x14ac:dyDescent="0.25">
      <c r="B635" s="294"/>
      <c r="C635" s="294"/>
      <c r="D635" s="294"/>
      <c r="E635" s="294"/>
      <c r="F635" s="294"/>
      <c r="G635" s="294"/>
      <c r="H635" s="294"/>
      <c r="I635" s="294"/>
      <c r="J635" s="294"/>
      <c r="L635" s="295"/>
      <c r="M635" s="294"/>
      <c r="O635" s="294"/>
      <c r="P635" s="294"/>
      <c r="Q635" s="294"/>
      <c r="R635" s="294"/>
      <c r="S635" s="294"/>
      <c r="T635" s="294"/>
      <c r="U635" s="326"/>
      <c r="V635" s="294"/>
      <c r="W635" s="294"/>
      <c r="X635" s="294"/>
      <c r="Y635" s="294"/>
      <c r="Z635" s="294"/>
      <c r="AA635" s="294"/>
      <c r="AB635" s="294"/>
      <c r="AC635" s="294"/>
    </row>
    <row r="636" spans="2:29" x14ac:dyDescent="0.25">
      <c r="B636" s="294"/>
      <c r="C636" s="294"/>
      <c r="D636" s="294"/>
      <c r="E636" s="294"/>
      <c r="F636" s="294"/>
      <c r="G636" s="294"/>
      <c r="H636" s="294"/>
      <c r="I636" s="294"/>
      <c r="J636" s="294"/>
      <c r="L636" s="295"/>
      <c r="M636" s="294"/>
      <c r="O636" s="294"/>
      <c r="P636" s="294"/>
      <c r="Q636" s="294"/>
      <c r="R636" s="294"/>
      <c r="S636" s="294"/>
      <c r="T636" s="294"/>
      <c r="U636" s="326"/>
      <c r="V636" s="294"/>
      <c r="W636" s="294"/>
      <c r="X636" s="294"/>
      <c r="Y636" s="294"/>
      <c r="Z636" s="294"/>
      <c r="AA636" s="294"/>
      <c r="AB636" s="294"/>
      <c r="AC636" s="294"/>
    </row>
    <row r="637" spans="2:29" x14ac:dyDescent="0.25">
      <c r="B637" s="294"/>
      <c r="C637" s="294"/>
      <c r="D637" s="294"/>
      <c r="E637" s="294"/>
      <c r="F637" s="294"/>
      <c r="G637" s="294"/>
      <c r="H637" s="294"/>
      <c r="I637" s="294"/>
      <c r="J637" s="294"/>
      <c r="L637" s="295"/>
      <c r="M637" s="294"/>
      <c r="O637" s="294"/>
      <c r="P637" s="294"/>
      <c r="Q637" s="294"/>
      <c r="R637" s="294"/>
      <c r="S637" s="294"/>
      <c r="T637" s="294"/>
      <c r="U637" s="326"/>
      <c r="V637" s="294"/>
      <c r="W637" s="294"/>
      <c r="X637" s="294"/>
      <c r="Y637" s="294"/>
      <c r="Z637" s="294"/>
      <c r="AA637" s="294"/>
      <c r="AB637" s="294"/>
      <c r="AC637" s="294"/>
    </row>
    <row r="638" spans="2:29" x14ac:dyDescent="0.25">
      <c r="B638" s="294"/>
      <c r="C638" s="294"/>
      <c r="D638" s="294"/>
      <c r="E638" s="294"/>
      <c r="F638" s="294"/>
      <c r="G638" s="294"/>
      <c r="H638" s="294"/>
      <c r="I638" s="294"/>
      <c r="J638" s="294"/>
      <c r="L638" s="295"/>
      <c r="M638" s="294"/>
      <c r="O638" s="294"/>
      <c r="P638" s="294"/>
      <c r="Q638" s="294"/>
      <c r="R638" s="294"/>
      <c r="S638" s="294"/>
      <c r="T638" s="294"/>
      <c r="U638" s="326"/>
      <c r="V638" s="294"/>
      <c r="W638" s="294"/>
      <c r="X638" s="294"/>
      <c r="Y638" s="294"/>
      <c r="Z638" s="294"/>
      <c r="AA638" s="294"/>
      <c r="AB638" s="294"/>
      <c r="AC638" s="294"/>
    </row>
    <row r="639" spans="2:29" x14ac:dyDescent="0.25">
      <c r="B639" s="294"/>
      <c r="C639" s="294"/>
      <c r="D639" s="294"/>
      <c r="E639" s="294"/>
      <c r="F639" s="294"/>
      <c r="G639" s="294"/>
      <c r="H639" s="294"/>
      <c r="I639" s="294"/>
      <c r="J639" s="294"/>
      <c r="L639" s="295"/>
      <c r="M639" s="294"/>
      <c r="O639" s="294"/>
      <c r="P639" s="294"/>
      <c r="Q639" s="294"/>
      <c r="R639" s="294"/>
      <c r="S639" s="294"/>
      <c r="T639" s="294"/>
      <c r="U639" s="326"/>
      <c r="V639" s="294"/>
      <c r="W639" s="294"/>
      <c r="X639" s="294"/>
      <c r="Y639" s="294"/>
      <c r="Z639" s="294"/>
      <c r="AA639" s="294"/>
      <c r="AB639" s="294"/>
      <c r="AC639" s="294"/>
    </row>
    <row r="640" spans="2:29" x14ac:dyDescent="0.25">
      <c r="B640" s="294"/>
      <c r="C640" s="294"/>
      <c r="D640" s="294"/>
      <c r="E640" s="294"/>
      <c r="F640" s="294"/>
      <c r="G640" s="294"/>
      <c r="H640" s="294"/>
      <c r="I640" s="294"/>
      <c r="J640" s="294"/>
      <c r="L640" s="295"/>
      <c r="M640" s="294"/>
      <c r="O640" s="294"/>
      <c r="P640" s="294"/>
      <c r="Q640" s="294"/>
      <c r="R640" s="294"/>
      <c r="S640" s="294"/>
      <c r="T640" s="294"/>
      <c r="U640" s="326"/>
      <c r="V640" s="294"/>
      <c r="W640" s="294"/>
      <c r="X640" s="294"/>
      <c r="Y640" s="294"/>
      <c r="Z640" s="294"/>
      <c r="AA640" s="294"/>
      <c r="AB640" s="294"/>
      <c r="AC640" s="294"/>
    </row>
    <row r="641" spans="2:29" x14ac:dyDescent="0.25">
      <c r="B641" s="294"/>
      <c r="C641" s="294"/>
      <c r="D641" s="294"/>
      <c r="E641" s="294"/>
      <c r="F641" s="294"/>
      <c r="G641" s="294"/>
      <c r="H641" s="294"/>
      <c r="I641" s="294"/>
      <c r="J641" s="294"/>
      <c r="L641" s="295"/>
      <c r="M641" s="294"/>
      <c r="O641" s="294"/>
      <c r="P641" s="294"/>
      <c r="Q641" s="294"/>
      <c r="R641" s="294"/>
      <c r="S641" s="294"/>
      <c r="T641" s="294"/>
      <c r="U641" s="326"/>
      <c r="V641" s="294"/>
      <c r="W641" s="294"/>
      <c r="X641" s="294"/>
      <c r="Y641" s="294"/>
      <c r="Z641" s="294"/>
      <c r="AA641" s="294"/>
      <c r="AB641" s="294"/>
      <c r="AC641" s="294"/>
    </row>
    <row r="642" spans="2:29" x14ac:dyDescent="0.25">
      <c r="B642" s="294"/>
      <c r="C642" s="294"/>
      <c r="D642" s="294"/>
      <c r="E642" s="294"/>
      <c r="F642" s="294"/>
      <c r="G642" s="294"/>
      <c r="H642" s="294"/>
      <c r="I642" s="294"/>
      <c r="J642" s="294"/>
      <c r="L642" s="295"/>
      <c r="M642" s="294"/>
      <c r="O642" s="294"/>
      <c r="P642" s="294"/>
      <c r="Q642" s="294"/>
      <c r="R642" s="294"/>
      <c r="S642" s="294"/>
      <c r="T642" s="294"/>
      <c r="U642" s="326"/>
      <c r="V642" s="294"/>
      <c r="W642" s="294"/>
      <c r="X642" s="294"/>
      <c r="Y642" s="294"/>
      <c r="Z642" s="294"/>
      <c r="AA642" s="294"/>
      <c r="AB642" s="294"/>
      <c r="AC642" s="294"/>
    </row>
    <row r="643" spans="2:29" x14ac:dyDescent="0.25">
      <c r="B643" s="294"/>
      <c r="C643" s="294"/>
      <c r="D643" s="294"/>
      <c r="E643" s="294"/>
      <c r="F643" s="294"/>
      <c r="G643" s="294"/>
      <c r="H643" s="294"/>
      <c r="I643" s="294"/>
      <c r="J643" s="294"/>
      <c r="L643" s="295"/>
      <c r="M643" s="294"/>
      <c r="O643" s="294"/>
      <c r="P643" s="294"/>
      <c r="Q643" s="294"/>
      <c r="R643" s="294"/>
      <c r="S643" s="294"/>
      <c r="T643" s="294"/>
      <c r="U643" s="326"/>
      <c r="V643" s="294"/>
      <c r="W643" s="294"/>
      <c r="X643" s="294"/>
      <c r="Y643" s="294"/>
      <c r="Z643" s="294"/>
      <c r="AA643" s="294"/>
      <c r="AB643" s="294"/>
      <c r="AC643" s="294"/>
    </row>
    <row r="644" spans="2:29" x14ac:dyDescent="0.25">
      <c r="B644" s="294"/>
      <c r="C644" s="294"/>
      <c r="D644" s="294"/>
      <c r="E644" s="294"/>
      <c r="F644" s="294"/>
      <c r="G644" s="294"/>
      <c r="H644" s="294"/>
      <c r="I644" s="294"/>
      <c r="J644" s="294"/>
      <c r="L644" s="295"/>
      <c r="M644" s="294"/>
      <c r="O644" s="294"/>
      <c r="P644" s="294"/>
      <c r="Q644" s="294"/>
      <c r="R644" s="294"/>
      <c r="S644" s="294"/>
      <c r="T644" s="294"/>
      <c r="U644" s="326"/>
      <c r="V644" s="294"/>
      <c r="W644" s="294"/>
      <c r="X644" s="294"/>
      <c r="Y644" s="294"/>
      <c r="Z644" s="294"/>
      <c r="AA644" s="294"/>
      <c r="AB644" s="294"/>
      <c r="AC644" s="294"/>
    </row>
    <row r="645" spans="2:29" x14ac:dyDescent="0.25">
      <c r="B645" s="294"/>
      <c r="C645" s="294"/>
      <c r="D645" s="294"/>
      <c r="E645" s="294"/>
      <c r="F645" s="294"/>
      <c r="G645" s="294"/>
      <c r="H645" s="294"/>
      <c r="I645" s="294"/>
      <c r="J645" s="294"/>
      <c r="L645" s="295"/>
      <c r="M645" s="294"/>
      <c r="O645" s="294"/>
      <c r="P645" s="294"/>
      <c r="Q645" s="294"/>
      <c r="R645" s="294"/>
      <c r="S645" s="294"/>
      <c r="T645" s="294"/>
      <c r="U645" s="326"/>
      <c r="V645" s="294"/>
      <c r="W645" s="294"/>
      <c r="X645" s="294"/>
      <c r="Y645" s="294"/>
      <c r="Z645" s="294"/>
      <c r="AA645" s="294"/>
      <c r="AB645" s="294"/>
      <c r="AC645" s="294"/>
    </row>
    <row r="646" spans="2:29" x14ac:dyDescent="0.25">
      <c r="B646" s="294"/>
      <c r="C646" s="294"/>
      <c r="D646" s="294"/>
      <c r="E646" s="294"/>
      <c r="F646" s="294"/>
      <c r="G646" s="294"/>
      <c r="H646" s="294"/>
      <c r="I646" s="294"/>
      <c r="J646" s="294"/>
      <c r="L646" s="295"/>
      <c r="M646" s="294"/>
      <c r="O646" s="294"/>
      <c r="P646" s="294"/>
      <c r="Q646" s="294"/>
      <c r="R646" s="294"/>
      <c r="S646" s="294"/>
      <c r="T646" s="294"/>
      <c r="U646" s="326"/>
      <c r="V646" s="294"/>
      <c r="W646" s="294"/>
      <c r="X646" s="294"/>
      <c r="Y646" s="294"/>
      <c r="Z646" s="294"/>
      <c r="AA646" s="294"/>
      <c r="AB646" s="294"/>
      <c r="AC646" s="294"/>
    </row>
    <row r="647" spans="2:29" x14ac:dyDescent="0.25">
      <c r="B647" s="294"/>
      <c r="C647" s="294"/>
      <c r="D647" s="294"/>
      <c r="E647" s="294"/>
      <c r="F647" s="294"/>
      <c r="G647" s="294"/>
      <c r="H647" s="294"/>
      <c r="I647" s="294"/>
      <c r="J647" s="294"/>
      <c r="L647" s="295"/>
      <c r="M647" s="294"/>
      <c r="O647" s="294"/>
      <c r="P647" s="294"/>
      <c r="Q647" s="294"/>
      <c r="R647" s="294"/>
      <c r="S647" s="294"/>
      <c r="T647" s="294"/>
      <c r="U647" s="326"/>
      <c r="V647" s="294"/>
      <c r="W647" s="294"/>
      <c r="X647" s="294"/>
      <c r="Y647" s="294"/>
      <c r="Z647" s="294"/>
      <c r="AA647" s="294"/>
      <c r="AB647" s="294"/>
      <c r="AC647" s="294"/>
    </row>
    <row r="648" spans="2:29" x14ac:dyDescent="0.25">
      <c r="B648" s="294"/>
      <c r="C648" s="294"/>
      <c r="D648" s="294"/>
      <c r="E648" s="294"/>
      <c r="F648" s="294"/>
      <c r="G648" s="294"/>
      <c r="H648" s="294"/>
      <c r="I648" s="294"/>
      <c r="J648" s="294"/>
      <c r="L648" s="295"/>
      <c r="M648" s="294"/>
      <c r="O648" s="294"/>
      <c r="P648" s="294"/>
      <c r="Q648" s="294"/>
      <c r="R648" s="294"/>
      <c r="S648" s="294"/>
      <c r="T648" s="294"/>
      <c r="U648" s="326"/>
      <c r="V648" s="294"/>
      <c r="W648" s="294"/>
      <c r="X648" s="294"/>
      <c r="Y648" s="294"/>
      <c r="Z648" s="294"/>
      <c r="AA648" s="294"/>
      <c r="AB648" s="294"/>
      <c r="AC648" s="294"/>
    </row>
    <row r="649" spans="2:29" x14ac:dyDescent="0.25">
      <c r="B649" s="294"/>
      <c r="C649" s="294"/>
      <c r="D649" s="294"/>
      <c r="E649" s="294"/>
      <c r="F649" s="294"/>
      <c r="G649" s="294"/>
      <c r="H649" s="294"/>
      <c r="I649" s="294"/>
      <c r="J649" s="294"/>
      <c r="L649" s="295"/>
      <c r="M649" s="294"/>
      <c r="O649" s="294"/>
      <c r="P649" s="294"/>
      <c r="Q649" s="294"/>
      <c r="R649" s="294"/>
      <c r="S649" s="294"/>
      <c r="T649" s="294"/>
      <c r="U649" s="326"/>
      <c r="V649" s="294"/>
      <c r="W649" s="294"/>
      <c r="X649" s="294"/>
      <c r="Y649" s="294"/>
      <c r="Z649" s="294"/>
      <c r="AA649" s="294"/>
      <c r="AB649" s="294"/>
      <c r="AC649" s="294"/>
    </row>
    <row r="650" spans="2:29" x14ac:dyDescent="0.25">
      <c r="B650" s="294"/>
      <c r="C650" s="294"/>
      <c r="D650" s="294"/>
      <c r="E650" s="294"/>
      <c r="F650" s="294"/>
      <c r="G650" s="294"/>
      <c r="H650" s="294"/>
      <c r="I650" s="294"/>
      <c r="J650" s="294"/>
      <c r="L650" s="295"/>
      <c r="M650" s="294"/>
      <c r="O650" s="294"/>
      <c r="P650" s="294"/>
      <c r="Q650" s="294"/>
      <c r="R650" s="294"/>
      <c r="S650" s="294"/>
      <c r="T650" s="294"/>
      <c r="U650" s="326"/>
      <c r="V650" s="294"/>
      <c r="W650" s="294"/>
      <c r="X650" s="294"/>
      <c r="Y650" s="294"/>
      <c r="Z650" s="294"/>
      <c r="AA650" s="294"/>
      <c r="AB650" s="294"/>
      <c r="AC650" s="294"/>
    </row>
    <row r="651" spans="2:29" x14ac:dyDescent="0.25">
      <c r="B651" s="294"/>
      <c r="C651" s="294"/>
      <c r="D651" s="294"/>
      <c r="E651" s="294"/>
      <c r="F651" s="294"/>
      <c r="G651" s="294"/>
      <c r="H651" s="294"/>
      <c r="I651" s="294"/>
      <c r="J651" s="294"/>
      <c r="L651" s="295"/>
      <c r="M651" s="294"/>
      <c r="O651" s="294"/>
      <c r="P651" s="294"/>
      <c r="Q651" s="294"/>
      <c r="R651" s="294"/>
      <c r="S651" s="294"/>
      <c r="T651" s="294"/>
      <c r="U651" s="326"/>
      <c r="V651" s="294"/>
      <c r="W651" s="294"/>
      <c r="X651" s="294"/>
      <c r="Y651" s="294"/>
      <c r="Z651" s="294"/>
      <c r="AA651" s="294"/>
      <c r="AB651" s="294"/>
      <c r="AC651" s="294"/>
    </row>
    <row r="652" spans="2:29" x14ac:dyDescent="0.25">
      <c r="B652" s="294"/>
      <c r="C652" s="294"/>
      <c r="D652" s="294"/>
      <c r="E652" s="294"/>
      <c r="F652" s="294"/>
      <c r="G652" s="294"/>
      <c r="H652" s="294"/>
      <c r="I652" s="294"/>
      <c r="J652" s="294"/>
      <c r="L652" s="295"/>
      <c r="M652" s="294"/>
      <c r="O652" s="294"/>
      <c r="P652" s="294"/>
      <c r="Q652" s="294"/>
      <c r="R652" s="294"/>
      <c r="S652" s="294"/>
      <c r="T652" s="294"/>
      <c r="U652" s="326"/>
      <c r="V652" s="294"/>
      <c r="W652" s="294"/>
      <c r="X652" s="294"/>
      <c r="Y652" s="294"/>
      <c r="Z652" s="294"/>
      <c r="AA652" s="294"/>
      <c r="AB652" s="294"/>
      <c r="AC652" s="294"/>
    </row>
    <row r="653" spans="2:29" x14ac:dyDescent="0.25">
      <c r="B653" s="294"/>
      <c r="C653" s="294"/>
      <c r="D653" s="294"/>
      <c r="E653" s="294"/>
      <c r="F653" s="294"/>
      <c r="G653" s="294"/>
      <c r="H653" s="294"/>
      <c r="I653" s="294"/>
      <c r="J653" s="294"/>
      <c r="L653" s="295"/>
      <c r="M653" s="294"/>
      <c r="O653" s="294"/>
      <c r="P653" s="294"/>
      <c r="Q653" s="294"/>
      <c r="R653" s="294"/>
      <c r="S653" s="294"/>
      <c r="T653" s="294"/>
      <c r="U653" s="326"/>
      <c r="V653" s="294"/>
      <c r="W653" s="294"/>
      <c r="X653" s="294"/>
      <c r="Y653" s="294"/>
      <c r="Z653" s="294"/>
      <c r="AA653" s="294"/>
      <c r="AB653" s="294"/>
      <c r="AC653" s="294"/>
    </row>
    <row r="654" spans="2:29" x14ac:dyDescent="0.25">
      <c r="B654" s="294"/>
      <c r="C654" s="294"/>
      <c r="D654" s="294"/>
      <c r="E654" s="294"/>
      <c r="F654" s="294"/>
      <c r="G654" s="294"/>
      <c r="H654" s="294"/>
      <c r="I654" s="294"/>
      <c r="J654" s="294"/>
      <c r="L654" s="295"/>
      <c r="M654" s="294"/>
      <c r="O654" s="294"/>
      <c r="P654" s="294"/>
      <c r="Q654" s="294"/>
      <c r="R654" s="294"/>
      <c r="S654" s="294"/>
      <c r="T654" s="294"/>
      <c r="U654" s="326"/>
      <c r="V654" s="294"/>
      <c r="W654" s="294"/>
      <c r="X654" s="294"/>
      <c r="Y654" s="294"/>
      <c r="Z654" s="294"/>
      <c r="AA654" s="294"/>
      <c r="AB654" s="294"/>
      <c r="AC654" s="294"/>
    </row>
    <row r="655" spans="2:29" x14ac:dyDescent="0.25">
      <c r="B655" s="294"/>
      <c r="C655" s="294"/>
      <c r="D655" s="294"/>
      <c r="E655" s="294"/>
      <c r="F655" s="294"/>
      <c r="G655" s="294"/>
      <c r="H655" s="294"/>
      <c r="I655" s="294"/>
      <c r="J655" s="294"/>
      <c r="L655" s="295"/>
      <c r="M655" s="294"/>
      <c r="O655" s="294"/>
      <c r="P655" s="294"/>
      <c r="Q655" s="294"/>
      <c r="R655" s="294"/>
      <c r="S655" s="294"/>
      <c r="T655" s="294"/>
      <c r="U655" s="326"/>
      <c r="V655" s="294"/>
      <c r="W655" s="294"/>
      <c r="X655" s="294"/>
      <c r="Y655" s="294"/>
      <c r="Z655" s="294"/>
      <c r="AA655" s="294"/>
      <c r="AB655" s="294"/>
      <c r="AC655" s="294"/>
    </row>
    <row r="656" spans="2:29" x14ac:dyDescent="0.25">
      <c r="B656" s="294"/>
      <c r="C656" s="294"/>
      <c r="D656" s="294"/>
      <c r="E656" s="294"/>
      <c r="F656" s="294"/>
      <c r="G656" s="294"/>
      <c r="H656" s="294"/>
      <c r="I656" s="294"/>
      <c r="J656" s="294"/>
      <c r="L656" s="295"/>
      <c r="M656" s="294"/>
      <c r="O656" s="294"/>
      <c r="P656" s="294"/>
      <c r="Q656" s="294"/>
      <c r="R656" s="294"/>
      <c r="S656" s="294"/>
      <c r="T656" s="294"/>
      <c r="U656" s="326"/>
      <c r="V656" s="294"/>
      <c r="W656" s="294"/>
      <c r="X656" s="294"/>
      <c r="Y656" s="294"/>
      <c r="Z656" s="294"/>
      <c r="AA656" s="294"/>
      <c r="AB656" s="294"/>
      <c r="AC656" s="294"/>
    </row>
    <row r="657" spans="2:29" x14ac:dyDescent="0.25">
      <c r="B657" s="294"/>
      <c r="C657" s="294"/>
      <c r="D657" s="294"/>
      <c r="E657" s="294"/>
      <c r="F657" s="294"/>
      <c r="G657" s="294"/>
      <c r="H657" s="294"/>
      <c r="I657" s="294"/>
      <c r="J657" s="294"/>
      <c r="L657" s="295"/>
      <c r="M657" s="294"/>
      <c r="O657" s="294"/>
      <c r="P657" s="294"/>
      <c r="Q657" s="294"/>
      <c r="R657" s="294"/>
      <c r="S657" s="294"/>
      <c r="T657" s="294"/>
      <c r="U657" s="326"/>
      <c r="V657" s="294"/>
      <c r="W657" s="294"/>
      <c r="X657" s="294"/>
      <c r="Y657" s="294"/>
      <c r="Z657" s="294"/>
      <c r="AA657" s="294"/>
      <c r="AB657" s="294"/>
      <c r="AC657" s="294"/>
    </row>
    <row r="658" spans="2:29" x14ac:dyDescent="0.25">
      <c r="B658" s="294"/>
      <c r="C658" s="294"/>
      <c r="D658" s="294"/>
      <c r="E658" s="294"/>
      <c r="F658" s="294"/>
      <c r="G658" s="294"/>
      <c r="H658" s="294"/>
      <c r="I658" s="294"/>
      <c r="J658" s="294"/>
      <c r="L658" s="295"/>
      <c r="M658" s="294"/>
      <c r="O658" s="294"/>
      <c r="P658" s="294"/>
      <c r="Q658" s="294"/>
      <c r="R658" s="294"/>
      <c r="S658" s="294"/>
      <c r="T658" s="294"/>
      <c r="U658" s="326"/>
      <c r="V658" s="294"/>
      <c r="W658" s="294"/>
      <c r="X658" s="294"/>
      <c r="Y658" s="294"/>
      <c r="Z658" s="294"/>
      <c r="AA658" s="294"/>
      <c r="AB658" s="294"/>
      <c r="AC658" s="294"/>
    </row>
    <row r="659" spans="2:29" x14ac:dyDescent="0.25">
      <c r="B659" s="294"/>
      <c r="C659" s="294"/>
      <c r="D659" s="294"/>
      <c r="E659" s="294"/>
      <c r="F659" s="294"/>
      <c r="G659" s="294"/>
      <c r="H659" s="294"/>
      <c r="I659" s="294"/>
      <c r="J659" s="294"/>
      <c r="L659" s="295"/>
      <c r="M659" s="294"/>
      <c r="O659" s="294"/>
      <c r="P659" s="294"/>
      <c r="Q659" s="294"/>
      <c r="R659" s="294"/>
      <c r="S659" s="294"/>
      <c r="T659" s="294"/>
      <c r="U659" s="326"/>
      <c r="V659" s="294"/>
      <c r="W659" s="294"/>
      <c r="X659" s="294"/>
      <c r="Y659" s="294"/>
      <c r="Z659" s="294"/>
      <c r="AA659" s="294"/>
      <c r="AB659" s="294"/>
      <c r="AC659" s="294"/>
    </row>
    <row r="660" spans="2:29" x14ac:dyDescent="0.25">
      <c r="B660" s="294"/>
      <c r="C660" s="294"/>
      <c r="D660" s="294"/>
      <c r="E660" s="294"/>
      <c r="F660" s="294"/>
      <c r="G660" s="294"/>
      <c r="H660" s="294"/>
      <c r="I660" s="294"/>
      <c r="J660" s="294"/>
      <c r="L660" s="295"/>
      <c r="M660" s="294"/>
      <c r="O660" s="294"/>
      <c r="P660" s="294"/>
      <c r="Q660" s="294"/>
      <c r="R660" s="294"/>
      <c r="S660" s="294"/>
      <c r="T660" s="294"/>
      <c r="U660" s="326"/>
      <c r="V660" s="294"/>
      <c r="W660" s="294"/>
      <c r="X660" s="294"/>
      <c r="Y660" s="294"/>
      <c r="Z660" s="294"/>
      <c r="AA660" s="294"/>
      <c r="AB660" s="294"/>
      <c r="AC660" s="294"/>
    </row>
    <row r="661" spans="2:29" x14ac:dyDescent="0.25">
      <c r="B661" s="294"/>
      <c r="C661" s="294"/>
      <c r="D661" s="294"/>
      <c r="E661" s="294"/>
      <c r="F661" s="294"/>
      <c r="G661" s="294"/>
      <c r="H661" s="294"/>
      <c r="I661" s="294"/>
      <c r="J661" s="294"/>
      <c r="L661" s="295"/>
      <c r="M661" s="294"/>
      <c r="O661" s="294"/>
      <c r="P661" s="294"/>
      <c r="Q661" s="294"/>
      <c r="R661" s="294"/>
      <c r="S661" s="294"/>
      <c r="T661" s="294"/>
      <c r="U661" s="326"/>
      <c r="V661" s="294"/>
      <c r="W661" s="294"/>
      <c r="X661" s="294"/>
      <c r="Y661" s="294"/>
      <c r="Z661" s="294"/>
      <c r="AA661" s="294"/>
      <c r="AB661" s="294"/>
      <c r="AC661" s="294"/>
    </row>
    <row r="662" spans="2:29" x14ac:dyDescent="0.25">
      <c r="B662" s="294"/>
      <c r="C662" s="294"/>
      <c r="D662" s="294"/>
      <c r="E662" s="294"/>
      <c r="F662" s="294"/>
      <c r="G662" s="294"/>
      <c r="H662" s="294"/>
      <c r="I662" s="294"/>
      <c r="J662" s="294"/>
      <c r="L662" s="295"/>
      <c r="M662" s="294"/>
      <c r="O662" s="294"/>
      <c r="P662" s="294"/>
      <c r="Q662" s="294"/>
      <c r="R662" s="294"/>
      <c r="S662" s="294"/>
      <c r="T662" s="294"/>
      <c r="U662" s="326"/>
      <c r="V662" s="294"/>
      <c r="W662" s="294"/>
      <c r="X662" s="294"/>
      <c r="Y662" s="294"/>
      <c r="Z662" s="294"/>
      <c r="AA662" s="294"/>
      <c r="AB662" s="294"/>
      <c r="AC662" s="294"/>
    </row>
    <row r="663" spans="2:29" x14ac:dyDescent="0.25">
      <c r="B663" s="294"/>
      <c r="C663" s="294"/>
      <c r="D663" s="294"/>
      <c r="E663" s="294"/>
      <c r="F663" s="294"/>
      <c r="G663" s="294"/>
      <c r="H663" s="294"/>
      <c r="I663" s="294"/>
      <c r="J663" s="294"/>
      <c r="L663" s="295"/>
      <c r="M663" s="294"/>
      <c r="O663" s="294"/>
      <c r="P663" s="294"/>
      <c r="Q663" s="294"/>
      <c r="R663" s="294"/>
      <c r="S663" s="294"/>
      <c r="T663" s="294"/>
      <c r="U663" s="326"/>
      <c r="V663" s="294"/>
      <c r="W663" s="294"/>
      <c r="X663" s="294"/>
      <c r="Y663" s="294"/>
      <c r="Z663" s="294"/>
      <c r="AA663" s="294"/>
      <c r="AB663" s="294"/>
      <c r="AC663" s="294"/>
    </row>
    <row r="664" spans="2:29" x14ac:dyDescent="0.25">
      <c r="B664" s="294"/>
      <c r="C664" s="294"/>
      <c r="D664" s="294"/>
      <c r="E664" s="294"/>
      <c r="F664" s="294"/>
      <c r="G664" s="294"/>
      <c r="H664" s="294"/>
      <c r="I664" s="294"/>
      <c r="J664" s="294"/>
      <c r="L664" s="295"/>
      <c r="M664" s="294"/>
      <c r="O664" s="294"/>
      <c r="P664" s="294"/>
      <c r="Q664" s="294"/>
      <c r="R664" s="294"/>
      <c r="S664" s="294"/>
      <c r="T664" s="294"/>
      <c r="U664" s="326"/>
      <c r="V664" s="294"/>
      <c r="W664" s="294"/>
      <c r="X664" s="294"/>
      <c r="Y664" s="294"/>
      <c r="Z664" s="294"/>
      <c r="AA664" s="294"/>
      <c r="AB664" s="294"/>
      <c r="AC664" s="294"/>
    </row>
    <row r="665" spans="2:29" x14ac:dyDescent="0.25">
      <c r="B665" s="294"/>
      <c r="C665" s="294"/>
      <c r="D665" s="294"/>
      <c r="E665" s="294"/>
      <c r="F665" s="294"/>
      <c r="G665" s="294"/>
      <c r="H665" s="294"/>
      <c r="I665" s="294"/>
      <c r="J665" s="294"/>
      <c r="L665" s="295"/>
      <c r="M665" s="294"/>
      <c r="O665" s="294"/>
      <c r="P665" s="294"/>
      <c r="Q665" s="294"/>
      <c r="R665" s="294"/>
      <c r="S665" s="294"/>
      <c r="T665" s="294"/>
      <c r="U665" s="326"/>
      <c r="V665" s="294"/>
      <c r="W665" s="294"/>
      <c r="X665" s="294"/>
      <c r="Y665" s="294"/>
      <c r="Z665" s="294"/>
      <c r="AA665" s="294"/>
      <c r="AB665" s="294"/>
      <c r="AC665" s="294"/>
    </row>
    <row r="666" spans="2:29" x14ac:dyDescent="0.25">
      <c r="B666" s="294"/>
      <c r="C666" s="294"/>
      <c r="D666" s="294"/>
      <c r="E666" s="294"/>
      <c r="F666" s="294"/>
      <c r="G666" s="294"/>
      <c r="H666" s="294"/>
      <c r="I666" s="294"/>
      <c r="J666" s="294"/>
      <c r="L666" s="295"/>
      <c r="M666" s="294"/>
      <c r="O666" s="294"/>
      <c r="P666" s="294"/>
      <c r="Q666" s="294"/>
      <c r="R666" s="294"/>
      <c r="S666" s="294"/>
      <c r="T666" s="294"/>
      <c r="U666" s="326"/>
      <c r="V666" s="294"/>
      <c r="W666" s="294"/>
      <c r="X666" s="294"/>
      <c r="Y666" s="294"/>
      <c r="Z666" s="294"/>
      <c r="AA666" s="294"/>
      <c r="AB666" s="294"/>
      <c r="AC666" s="294"/>
    </row>
    <row r="667" spans="2:29" x14ac:dyDescent="0.25">
      <c r="B667" s="294"/>
      <c r="C667" s="294"/>
      <c r="D667" s="294"/>
      <c r="E667" s="294"/>
      <c r="F667" s="294"/>
      <c r="G667" s="294"/>
      <c r="H667" s="294"/>
      <c r="I667" s="294"/>
      <c r="J667" s="294"/>
      <c r="L667" s="295"/>
      <c r="M667" s="294"/>
      <c r="O667" s="294"/>
      <c r="P667" s="294"/>
      <c r="Q667" s="294"/>
      <c r="R667" s="294"/>
      <c r="S667" s="294"/>
      <c r="T667" s="294"/>
      <c r="U667" s="326"/>
      <c r="V667" s="294"/>
      <c r="W667" s="294"/>
      <c r="X667" s="294"/>
      <c r="Y667" s="294"/>
      <c r="Z667" s="294"/>
      <c r="AA667" s="294"/>
      <c r="AB667" s="294"/>
      <c r="AC667" s="294"/>
    </row>
    <row r="668" spans="2:29" x14ac:dyDescent="0.25">
      <c r="B668" s="294"/>
      <c r="C668" s="294"/>
      <c r="D668" s="294"/>
      <c r="E668" s="294"/>
      <c r="F668" s="294"/>
      <c r="G668" s="294"/>
      <c r="H668" s="294"/>
      <c r="I668" s="294"/>
      <c r="J668" s="294"/>
      <c r="L668" s="295"/>
      <c r="M668" s="294"/>
      <c r="O668" s="294"/>
      <c r="P668" s="294"/>
      <c r="Q668" s="294"/>
      <c r="R668" s="294"/>
      <c r="S668" s="294"/>
      <c r="T668" s="294"/>
      <c r="U668" s="326"/>
      <c r="V668" s="294"/>
      <c r="W668" s="294"/>
      <c r="X668" s="294"/>
      <c r="Y668" s="294"/>
      <c r="Z668" s="294"/>
      <c r="AA668" s="294"/>
      <c r="AB668" s="294"/>
      <c r="AC668" s="294"/>
    </row>
    <row r="669" spans="2:29" x14ac:dyDescent="0.25">
      <c r="B669" s="294"/>
      <c r="C669" s="294"/>
      <c r="D669" s="294"/>
      <c r="E669" s="294"/>
      <c r="F669" s="294"/>
      <c r="G669" s="294"/>
      <c r="H669" s="294"/>
      <c r="I669" s="294"/>
      <c r="J669" s="294"/>
      <c r="L669" s="295"/>
      <c r="M669" s="294"/>
      <c r="O669" s="294"/>
      <c r="P669" s="294"/>
      <c r="Q669" s="294"/>
      <c r="R669" s="294"/>
      <c r="S669" s="294"/>
      <c r="T669" s="294"/>
      <c r="U669" s="326"/>
      <c r="V669" s="294"/>
      <c r="W669" s="294"/>
      <c r="X669" s="294"/>
      <c r="Y669" s="294"/>
      <c r="Z669" s="294"/>
      <c r="AA669" s="294"/>
      <c r="AB669" s="294"/>
      <c r="AC669" s="294"/>
    </row>
    <row r="670" spans="2:29" x14ac:dyDescent="0.25">
      <c r="B670" s="294"/>
      <c r="C670" s="294"/>
      <c r="D670" s="294"/>
      <c r="E670" s="294"/>
      <c r="F670" s="294"/>
      <c r="G670" s="294"/>
      <c r="H670" s="294"/>
      <c r="I670" s="294"/>
      <c r="J670" s="294"/>
      <c r="L670" s="295"/>
      <c r="M670" s="294"/>
      <c r="O670" s="294"/>
      <c r="P670" s="294"/>
      <c r="Q670" s="294"/>
      <c r="R670" s="294"/>
      <c r="S670" s="294"/>
      <c r="T670" s="294"/>
      <c r="U670" s="326"/>
      <c r="V670" s="294"/>
      <c r="W670" s="294"/>
      <c r="X670" s="294"/>
      <c r="Y670" s="294"/>
      <c r="Z670" s="294"/>
      <c r="AA670" s="294"/>
      <c r="AB670" s="294"/>
      <c r="AC670" s="294"/>
    </row>
    <row r="671" spans="2:29" x14ac:dyDescent="0.25">
      <c r="B671" s="294"/>
      <c r="C671" s="294"/>
      <c r="D671" s="294"/>
      <c r="E671" s="294"/>
      <c r="F671" s="294"/>
      <c r="G671" s="294"/>
      <c r="H671" s="294"/>
      <c r="I671" s="294"/>
      <c r="J671" s="294"/>
      <c r="L671" s="295"/>
      <c r="M671" s="294"/>
      <c r="O671" s="294"/>
      <c r="P671" s="294"/>
      <c r="Q671" s="294"/>
      <c r="R671" s="294"/>
      <c r="S671" s="294"/>
      <c r="T671" s="294"/>
      <c r="U671" s="326"/>
      <c r="V671" s="294"/>
      <c r="W671" s="294"/>
      <c r="X671" s="294"/>
      <c r="Y671" s="294"/>
      <c r="Z671" s="294"/>
      <c r="AA671" s="294"/>
      <c r="AB671" s="294"/>
      <c r="AC671" s="294"/>
    </row>
    <row r="672" spans="2:29" x14ac:dyDescent="0.25">
      <c r="B672" s="294"/>
      <c r="C672" s="294"/>
      <c r="D672" s="294"/>
      <c r="E672" s="294"/>
      <c r="F672" s="294"/>
      <c r="G672" s="294"/>
      <c r="H672" s="294"/>
      <c r="I672" s="294"/>
      <c r="J672" s="294"/>
      <c r="L672" s="295"/>
      <c r="M672" s="294"/>
      <c r="O672" s="294"/>
      <c r="P672" s="294"/>
      <c r="Q672" s="294"/>
      <c r="R672" s="294"/>
      <c r="S672" s="294"/>
      <c r="T672" s="294"/>
      <c r="U672" s="326"/>
      <c r="V672" s="294"/>
      <c r="W672" s="294"/>
      <c r="X672" s="294"/>
      <c r="Y672" s="294"/>
      <c r="Z672" s="294"/>
      <c r="AA672" s="294"/>
      <c r="AB672" s="294"/>
      <c r="AC672" s="294"/>
    </row>
    <row r="673" spans="2:29" x14ac:dyDescent="0.25">
      <c r="B673" s="294"/>
      <c r="C673" s="294"/>
      <c r="D673" s="294"/>
      <c r="E673" s="294"/>
      <c r="F673" s="294"/>
      <c r="G673" s="294"/>
      <c r="H673" s="294"/>
      <c r="I673" s="294"/>
      <c r="J673" s="294"/>
      <c r="L673" s="295"/>
      <c r="M673" s="294"/>
      <c r="O673" s="294"/>
      <c r="P673" s="294"/>
      <c r="Q673" s="294"/>
      <c r="R673" s="294"/>
      <c r="S673" s="294"/>
      <c r="T673" s="294"/>
      <c r="U673" s="326"/>
      <c r="V673" s="294"/>
      <c r="W673" s="294"/>
      <c r="X673" s="294"/>
      <c r="Y673" s="294"/>
      <c r="Z673" s="294"/>
      <c r="AA673" s="294"/>
      <c r="AB673" s="294"/>
      <c r="AC673" s="294"/>
    </row>
    <row r="674" spans="2:29" x14ac:dyDescent="0.25">
      <c r="B674" s="294"/>
      <c r="C674" s="294"/>
      <c r="D674" s="294"/>
      <c r="E674" s="294"/>
      <c r="F674" s="294"/>
      <c r="G674" s="294"/>
      <c r="H674" s="294"/>
      <c r="I674" s="294"/>
      <c r="J674" s="294"/>
      <c r="L674" s="295"/>
      <c r="M674" s="294"/>
      <c r="O674" s="294"/>
      <c r="P674" s="294"/>
      <c r="Q674" s="294"/>
      <c r="R674" s="294"/>
      <c r="S674" s="294"/>
      <c r="T674" s="294"/>
      <c r="U674" s="326"/>
      <c r="V674" s="294"/>
      <c r="W674" s="294"/>
      <c r="X674" s="294"/>
      <c r="Y674" s="294"/>
      <c r="Z674" s="294"/>
      <c r="AA674" s="294"/>
      <c r="AB674" s="294"/>
      <c r="AC674" s="294"/>
    </row>
    <row r="675" spans="2:29" x14ac:dyDescent="0.25">
      <c r="B675" s="294"/>
      <c r="C675" s="294"/>
      <c r="D675" s="294"/>
      <c r="E675" s="294"/>
      <c r="F675" s="294"/>
      <c r="G675" s="294"/>
      <c r="H675" s="294"/>
      <c r="I675" s="294"/>
      <c r="J675" s="294"/>
      <c r="L675" s="295"/>
      <c r="M675" s="294"/>
      <c r="O675" s="294"/>
      <c r="P675" s="294"/>
      <c r="Q675" s="294"/>
      <c r="R675" s="294"/>
      <c r="S675" s="294"/>
      <c r="T675" s="294"/>
      <c r="U675" s="326"/>
      <c r="V675" s="294"/>
      <c r="W675" s="294"/>
      <c r="X675" s="294"/>
      <c r="Y675" s="294"/>
      <c r="Z675" s="294"/>
      <c r="AA675" s="294"/>
      <c r="AB675" s="294"/>
      <c r="AC675" s="294"/>
    </row>
    <row r="676" spans="2:29" x14ac:dyDescent="0.25">
      <c r="B676" s="294"/>
      <c r="C676" s="294"/>
      <c r="D676" s="294"/>
      <c r="E676" s="294"/>
      <c r="F676" s="294"/>
      <c r="G676" s="294"/>
      <c r="H676" s="294"/>
      <c r="I676" s="294"/>
      <c r="J676" s="294"/>
      <c r="L676" s="295"/>
      <c r="M676" s="294"/>
      <c r="O676" s="294"/>
      <c r="P676" s="294"/>
      <c r="Q676" s="294"/>
      <c r="R676" s="294"/>
      <c r="S676" s="294"/>
      <c r="T676" s="294"/>
      <c r="U676" s="326"/>
      <c r="V676" s="294"/>
      <c r="W676" s="294"/>
      <c r="X676" s="294"/>
      <c r="Y676" s="294"/>
      <c r="Z676" s="294"/>
      <c r="AA676" s="294"/>
      <c r="AB676" s="294"/>
      <c r="AC676" s="294"/>
    </row>
    <row r="677" spans="2:29" x14ac:dyDescent="0.25">
      <c r="B677" s="294"/>
      <c r="C677" s="294"/>
      <c r="D677" s="294"/>
      <c r="E677" s="294"/>
      <c r="F677" s="294"/>
      <c r="G677" s="294"/>
      <c r="H677" s="294"/>
      <c r="I677" s="294"/>
      <c r="J677" s="294"/>
      <c r="L677" s="295"/>
      <c r="M677" s="294"/>
      <c r="O677" s="294"/>
      <c r="P677" s="294"/>
      <c r="Q677" s="294"/>
      <c r="R677" s="294"/>
      <c r="S677" s="294"/>
      <c r="T677" s="294"/>
      <c r="U677" s="326"/>
      <c r="V677" s="294"/>
      <c r="W677" s="294"/>
      <c r="X677" s="294"/>
      <c r="Y677" s="294"/>
      <c r="Z677" s="294"/>
      <c r="AA677" s="294"/>
      <c r="AB677" s="294"/>
      <c r="AC677" s="294"/>
    </row>
    <row r="678" spans="2:29" x14ac:dyDescent="0.25">
      <c r="B678" s="294"/>
      <c r="C678" s="294"/>
      <c r="D678" s="294"/>
      <c r="E678" s="294"/>
      <c r="F678" s="294"/>
      <c r="G678" s="294"/>
      <c r="H678" s="294"/>
      <c r="I678" s="294"/>
      <c r="J678" s="294"/>
      <c r="L678" s="295"/>
      <c r="M678" s="294"/>
      <c r="O678" s="294"/>
      <c r="P678" s="294"/>
      <c r="Q678" s="294"/>
      <c r="R678" s="294"/>
      <c r="S678" s="294"/>
      <c r="T678" s="294"/>
      <c r="U678" s="326"/>
      <c r="V678" s="294"/>
      <c r="W678" s="294"/>
      <c r="X678" s="294"/>
      <c r="Y678" s="294"/>
      <c r="Z678" s="294"/>
      <c r="AA678" s="294"/>
      <c r="AB678" s="294"/>
      <c r="AC678" s="294"/>
    </row>
    <row r="679" spans="2:29" x14ac:dyDescent="0.25">
      <c r="B679" s="294"/>
      <c r="C679" s="294"/>
      <c r="D679" s="294"/>
      <c r="E679" s="294"/>
      <c r="F679" s="294"/>
      <c r="G679" s="294"/>
      <c r="H679" s="294"/>
      <c r="I679" s="294"/>
      <c r="J679" s="294"/>
      <c r="L679" s="295"/>
      <c r="M679" s="294"/>
      <c r="O679" s="294"/>
      <c r="P679" s="294"/>
      <c r="Q679" s="294"/>
      <c r="R679" s="294"/>
      <c r="S679" s="294"/>
      <c r="T679" s="294"/>
      <c r="U679" s="326"/>
      <c r="V679" s="294"/>
      <c r="W679" s="294"/>
      <c r="X679" s="294"/>
      <c r="Y679" s="294"/>
      <c r="Z679" s="294"/>
      <c r="AA679" s="294"/>
      <c r="AB679" s="294"/>
      <c r="AC679" s="294"/>
    </row>
    <row r="680" spans="2:29" x14ac:dyDescent="0.25">
      <c r="B680" s="294"/>
      <c r="C680" s="294"/>
      <c r="D680" s="294"/>
      <c r="E680" s="294"/>
      <c r="F680" s="294"/>
      <c r="G680" s="294"/>
      <c r="H680" s="294"/>
      <c r="I680" s="294"/>
      <c r="J680" s="294"/>
      <c r="L680" s="295"/>
      <c r="M680" s="294"/>
      <c r="O680" s="294"/>
      <c r="P680" s="294"/>
      <c r="Q680" s="294"/>
      <c r="R680" s="294"/>
      <c r="S680" s="294"/>
      <c r="T680" s="294"/>
      <c r="U680" s="326"/>
      <c r="V680" s="294"/>
      <c r="W680" s="294"/>
      <c r="X680" s="294"/>
      <c r="Y680" s="294"/>
      <c r="Z680" s="294"/>
      <c r="AA680" s="294"/>
      <c r="AB680" s="294"/>
      <c r="AC680" s="294"/>
    </row>
    <row r="681" spans="2:29" x14ac:dyDescent="0.25">
      <c r="B681" s="294"/>
      <c r="C681" s="294"/>
      <c r="D681" s="294"/>
      <c r="E681" s="294"/>
      <c r="F681" s="294"/>
      <c r="G681" s="294"/>
      <c r="H681" s="294"/>
      <c r="I681" s="294"/>
      <c r="J681" s="294"/>
      <c r="L681" s="295"/>
      <c r="M681" s="294"/>
      <c r="O681" s="294"/>
      <c r="P681" s="294"/>
      <c r="Q681" s="294"/>
      <c r="R681" s="294"/>
      <c r="S681" s="294"/>
      <c r="T681" s="294"/>
      <c r="U681" s="326"/>
      <c r="V681" s="294"/>
      <c r="W681" s="294"/>
      <c r="X681" s="294"/>
      <c r="Y681" s="294"/>
      <c r="Z681" s="294"/>
      <c r="AA681" s="294"/>
      <c r="AB681" s="294"/>
      <c r="AC681" s="294"/>
    </row>
    <row r="682" spans="2:29" x14ac:dyDescent="0.25">
      <c r="B682" s="294"/>
      <c r="C682" s="294"/>
      <c r="D682" s="294"/>
      <c r="E682" s="294"/>
      <c r="F682" s="294"/>
      <c r="G682" s="294"/>
      <c r="H682" s="294"/>
      <c r="I682" s="294"/>
      <c r="J682" s="294"/>
      <c r="L682" s="295"/>
      <c r="M682" s="294"/>
      <c r="O682" s="294"/>
      <c r="P682" s="294"/>
      <c r="Q682" s="294"/>
      <c r="R682" s="294"/>
      <c r="S682" s="294"/>
      <c r="T682" s="294"/>
      <c r="U682" s="326"/>
      <c r="V682" s="294"/>
      <c r="W682" s="294"/>
      <c r="X682" s="294"/>
      <c r="Y682" s="294"/>
      <c r="Z682" s="294"/>
      <c r="AA682" s="294"/>
      <c r="AB682" s="294"/>
      <c r="AC682" s="294"/>
    </row>
    <row r="683" spans="2:29" x14ac:dyDescent="0.25">
      <c r="B683" s="294"/>
      <c r="C683" s="294"/>
      <c r="D683" s="294"/>
      <c r="E683" s="294"/>
      <c r="F683" s="294"/>
      <c r="G683" s="294"/>
      <c r="H683" s="294"/>
      <c r="I683" s="294"/>
      <c r="J683" s="294"/>
      <c r="L683" s="295"/>
      <c r="M683" s="294"/>
      <c r="O683" s="294"/>
      <c r="P683" s="294"/>
      <c r="Q683" s="294"/>
      <c r="R683" s="294"/>
      <c r="S683" s="294"/>
      <c r="T683" s="294"/>
      <c r="U683" s="326"/>
      <c r="V683" s="294"/>
      <c r="W683" s="294"/>
      <c r="X683" s="294"/>
      <c r="Y683" s="294"/>
      <c r="Z683" s="294"/>
      <c r="AA683" s="294"/>
      <c r="AB683" s="294"/>
      <c r="AC683" s="294"/>
    </row>
    <row r="684" spans="2:29" x14ac:dyDescent="0.25">
      <c r="B684" s="294"/>
      <c r="C684" s="294"/>
      <c r="D684" s="294"/>
      <c r="E684" s="294"/>
      <c r="F684" s="294"/>
      <c r="G684" s="294"/>
      <c r="H684" s="294"/>
      <c r="I684" s="294"/>
      <c r="J684" s="294"/>
      <c r="L684" s="295"/>
      <c r="M684" s="294"/>
      <c r="O684" s="294"/>
      <c r="P684" s="294"/>
      <c r="Q684" s="294"/>
      <c r="R684" s="294"/>
      <c r="S684" s="294"/>
      <c r="T684" s="294"/>
      <c r="U684" s="326"/>
      <c r="V684" s="294"/>
      <c r="W684" s="294"/>
      <c r="X684" s="294"/>
      <c r="Y684" s="294"/>
      <c r="Z684" s="294"/>
      <c r="AA684" s="294"/>
      <c r="AB684" s="294"/>
      <c r="AC684" s="294"/>
    </row>
    <row r="685" spans="2:29" x14ac:dyDescent="0.25">
      <c r="B685" s="294"/>
      <c r="C685" s="294"/>
      <c r="D685" s="294"/>
      <c r="E685" s="294"/>
      <c r="F685" s="294"/>
      <c r="G685" s="294"/>
      <c r="H685" s="294"/>
      <c r="I685" s="294"/>
      <c r="J685" s="294"/>
      <c r="L685" s="295"/>
      <c r="M685" s="294"/>
      <c r="O685" s="294"/>
      <c r="P685" s="294"/>
      <c r="Q685" s="294"/>
      <c r="R685" s="294"/>
      <c r="S685" s="294"/>
      <c r="T685" s="294"/>
      <c r="U685" s="326"/>
      <c r="V685" s="294"/>
      <c r="W685" s="294"/>
      <c r="X685" s="294"/>
      <c r="Y685" s="294"/>
      <c r="Z685" s="294"/>
      <c r="AA685" s="294"/>
      <c r="AB685" s="294"/>
      <c r="AC685" s="294"/>
    </row>
    <row r="686" spans="2:29" x14ac:dyDescent="0.25">
      <c r="B686" s="294"/>
      <c r="C686" s="294"/>
      <c r="D686" s="294"/>
      <c r="E686" s="294"/>
      <c r="F686" s="294"/>
      <c r="G686" s="294"/>
      <c r="H686" s="294"/>
      <c r="I686" s="294"/>
      <c r="J686" s="294"/>
      <c r="L686" s="295"/>
      <c r="M686" s="294"/>
      <c r="O686" s="294"/>
      <c r="P686" s="294"/>
      <c r="Q686" s="294"/>
      <c r="R686" s="294"/>
      <c r="S686" s="294"/>
      <c r="T686" s="294"/>
      <c r="U686" s="326"/>
      <c r="V686" s="294"/>
      <c r="W686" s="294"/>
      <c r="X686" s="294"/>
      <c r="Y686" s="294"/>
      <c r="Z686" s="294"/>
      <c r="AA686" s="294"/>
      <c r="AB686" s="294"/>
      <c r="AC686" s="294"/>
    </row>
    <row r="687" spans="2:29" x14ac:dyDescent="0.25">
      <c r="B687" s="294"/>
      <c r="C687" s="294"/>
      <c r="D687" s="294"/>
      <c r="E687" s="294"/>
      <c r="F687" s="294"/>
      <c r="G687" s="294"/>
      <c r="H687" s="294"/>
      <c r="I687" s="294"/>
      <c r="J687" s="294"/>
      <c r="L687" s="295"/>
      <c r="M687" s="294"/>
      <c r="O687" s="294"/>
      <c r="P687" s="294"/>
      <c r="Q687" s="294"/>
      <c r="R687" s="294"/>
      <c r="S687" s="294"/>
      <c r="T687" s="294"/>
      <c r="U687" s="326"/>
      <c r="V687" s="294"/>
      <c r="W687" s="294"/>
      <c r="X687" s="294"/>
      <c r="Y687" s="294"/>
      <c r="Z687" s="294"/>
      <c r="AA687" s="294"/>
      <c r="AB687" s="294"/>
      <c r="AC687" s="294"/>
    </row>
    <row r="688" spans="2:29" x14ac:dyDescent="0.25">
      <c r="B688" s="294"/>
      <c r="C688" s="294"/>
      <c r="D688" s="294"/>
      <c r="E688" s="294"/>
      <c r="F688" s="294"/>
      <c r="G688" s="294"/>
      <c r="H688" s="294"/>
      <c r="I688" s="294"/>
      <c r="J688" s="294"/>
      <c r="L688" s="295"/>
      <c r="M688" s="294"/>
      <c r="O688" s="294"/>
      <c r="P688" s="294"/>
      <c r="Q688" s="294"/>
      <c r="R688" s="294"/>
      <c r="S688" s="294"/>
      <c r="T688" s="294"/>
      <c r="U688" s="326"/>
      <c r="V688" s="294"/>
      <c r="W688" s="294"/>
      <c r="X688" s="294"/>
      <c r="Y688" s="294"/>
      <c r="Z688" s="294"/>
      <c r="AA688" s="294"/>
      <c r="AB688" s="294"/>
      <c r="AC688" s="294"/>
    </row>
    <row r="689" spans="2:29" x14ac:dyDescent="0.25">
      <c r="B689" s="294"/>
      <c r="C689" s="294"/>
      <c r="D689" s="294"/>
      <c r="E689" s="294"/>
      <c r="F689" s="294"/>
      <c r="G689" s="294"/>
      <c r="H689" s="294"/>
      <c r="I689" s="294"/>
      <c r="J689" s="294"/>
      <c r="L689" s="295"/>
      <c r="M689" s="294"/>
      <c r="O689" s="294"/>
      <c r="P689" s="294"/>
      <c r="Q689" s="294"/>
      <c r="R689" s="294"/>
      <c r="S689" s="294"/>
      <c r="T689" s="294"/>
      <c r="U689" s="326"/>
      <c r="V689" s="294"/>
      <c r="W689" s="294"/>
      <c r="X689" s="294"/>
      <c r="Y689" s="294"/>
      <c r="Z689" s="294"/>
      <c r="AA689" s="294"/>
      <c r="AB689" s="294"/>
      <c r="AC689" s="294"/>
    </row>
    <row r="690" spans="2:29" x14ac:dyDescent="0.25">
      <c r="B690" s="294"/>
      <c r="C690" s="294"/>
      <c r="D690" s="294"/>
      <c r="E690" s="294"/>
      <c r="F690" s="294"/>
      <c r="G690" s="294"/>
      <c r="H690" s="294"/>
      <c r="I690" s="294"/>
      <c r="J690" s="294"/>
      <c r="L690" s="295"/>
      <c r="M690" s="294"/>
      <c r="O690" s="294"/>
      <c r="P690" s="294"/>
      <c r="Q690" s="294"/>
      <c r="R690" s="294"/>
      <c r="S690" s="294"/>
      <c r="T690" s="294"/>
      <c r="U690" s="326"/>
      <c r="V690" s="294"/>
      <c r="W690" s="294"/>
      <c r="X690" s="294"/>
      <c r="Y690" s="294"/>
      <c r="Z690" s="294"/>
      <c r="AA690" s="294"/>
      <c r="AB690" s="294"/>
      <c r="AC690" s="294"/>
    </row>
    <row r="691" spans="2:29" x14ac:dyDescent="0.25">
      <c r="B691" s="294"/>
      <c r="C691" s="294"/>
      <c r="D691" s="294"/>
      <c r="E691" s="294"/>
      <c r="F691" s="294"/>
      <c r="G691" s="294"/>
      <c r="H691" s="294"/>
      <c r="I691" s="294"/>
      <c r="J691" s="294"/>
      <c r="L691" s="295"/>
      <c r="M691" s="294"/>
      <c r="O691" s="294"/>
      <c r="P691" s="294"/>
      <c r="Q691" s="294"/>
      <c r="R691" s="294"/>
      <c r="S691" s="294"/>
      <c r="T691" s="294"/>
      <c r="U691" s="326"/>
      <c r="V691" s="294"/>
      <c r="W691" s="294"/>
      <c r="X691" s="294"/>
      <c r="Y691" s="294"/>
      <c r="Z691" s="294"/>
      <c r="AA691" s="294"/>
      <c r="AB691" s="294"/>
      <c r="AC691" s="294"/>
    </row>
    <row r="692" spans="2:29" x14ac:dyDescent="0.25">
      <c r="B692" s="294"/>
      <c r="C692" s="294"/>
      <c r="D692" s="294"/>
      <c r="E692" s="294"/>
      <c r="F692" s="294"/>
      <c r="G692" s="294"/>
      <c r="H692" s="294"/>
      <c r="I692" s="294"/>
      <c r="J692" s="294"/>
      <c r="L692" s="295"/>
      <c r="M692" s="294"/>
      <c r="O692" s="294"/>
      <c r="P692" s="294"/>
      <c r="Q692" s="294"/>
      <c r="R692" s="294"/>
      <c r="S692" s="294"/>
      <c r="T692" s="294"/>
      <c r="U692" s="326"/>
      <c r="V692" s="294"/>
      <c r="W692" s="294"/>
      <c r="X692" s="294"/>
      <c r="Y692" s="294"/>
      <c r="Z692" s="294"/>
      <c r="AA692" s="294"/>
      <c r="AB692" s="294"/>
      <c r="AC692" s="294"/>
    </row>
    <row r="693" spans="2:29" x14ac:dyDescent="0.25">
      <c r="B693" s="294"/>
      <c r="C693" s="294"/>
      <c r="D693" s="294"/>
      <c r="E693" s="294"/>
      <c r="F693" s="294"/>
      <c r="G693" s="294"/>
      <c r="H693" s="294"/>
      <c r="I693" s="294"/>
      <c r="J693" s="294"/>
      <c r="L693" s="295"/>
      <c r="M693" s="294"/>
      <c r="O693" s="294"/>
      <c r="P693" s="294"/>
      <c r="Q693" s="294"/>
      <c r="R693" s="294"/>
      <c r="S693" s="294"/>
      <c r="T693" s="294"/>
      <c r="U693" s="326"/>
      <c r="V693" s="294"/>
      <c r="W693" s="294"/>
      <c r="X693" s="294"/>
      <c r="Y693" s="294"/>
      <c r="Z693" s="294"/>
      <c r="AA693" s="294"/>
      <c r="AB693" s="294"/>
      <c r="AC693" s="294"/>
    </row>
    <row r="694" spans="2:29" x14ac:dyDescent="0.25">
      <c r="B694" s="294"/>
      <c r="C694" s="294"/>
      <c r="D694" s="294"/>
      <c r="E694" s="294"/>
      <c r="F694" s="294"/>
      <c r="G694" s="294"/>
      <c r="H694" s="294"/>
      <c r="I694" s="294"/>
      <c r="J694" s="294"/>
      <c r="L694" s="295"/>
      <c r="M694" s="294"/>
      <c r="O694" s="294"/>
      <c r="P694" s="294"/>
      <c r="Q694" s="294"/>
      <c r="R694" s="294"/>
      <c r="S694" s="294"/>
      <c r="T694" s="294"/>
      <c r="U694" s="326"/>
      <c r="V694" s="294"/>
      <c r="W694" s="294"/>
      <c r="X694" s="294"/>
      <c r="Y694" s="294"/>
      <c r="Z694" s="294"/>
      <c r="AA694" s="294"/>
      <c r="AB694" s="294"/>
      <c r="AC694" s="294"/>
    </row>
    <row r="695" spans="2:29" x14ac:dyDescent="0.25">
      <c r="B695" s="294"/>
      <c r="C695" s="294"/>
      <c r="D695" s="294"/>
      <c r="E695" s="294"/>
      <c r="F695" s="294"/>
      <c r="G695" s="294"/>
      <c r="H695" s="294"/>
      <c r="I695" s="294"/>
      <c r="J695" s="294"/>
      <c r="L695" s="295"/>
      <c r="M695" s="294"/>
      <c r="O695" s="294"/>
      <c r="P695" s="294"/>
      <c r="Q695" s="294"/>
      <c r="R695" s="294"/>
      <c r="S695" s="294"/>
      <c r="T695" s="294"/>
      <c r="U695" s="326"/>
      <c r="V695" s="294"/>
      <c r="W695" s="294"/>
      <c r="X695" s="294"/>
      <c r="Y695" s="294"/>
      <c r="Z695" s="294"/>
      <c r="AA695" s="294"/>
      <c r="AB695" s="294"/>
      <c r="AC695" s="294"/>
    </row>
    <row r="696" spans="2:29" x14ac:dyDescent="0.25">
      <c r="B696" s="294"/>
      <c r="C696" s="294"/>
      <c r="D696" s="294"/>
      <c r="E696" s="294"/>
      <c r="F696" s="294"/>
      <c r="G696" s="294"/>
      <c r="H696" s="294"/>
      <c r="I696" s="294"/>
      <c r="J696" s="294"/>
      <c r="L696" s="295"/>
      <c r="M696" s="294"/>
      <c r="O696" s="294"/>
      <c r="P696" s="294"/>
      <c r="Q696" s="294"/>
      <c r="R696" s="294"/>
      <c r="S696" s="294"/>
      <c r="T696" s="294"/>
      <c r="U696" s="326"/>
      <c r="V696" s="294"/>
      <c r="W696" s="294"/>
      <c r="X696" s="294"/>
      <c r="Y696" s="294"/>
      <c r="Z696" s="294"/>
      <c r="AA696" s="294"/>
      <c r="AB696" s="294"/>
      <c r="AC696" s="294"/>
    </row>
    <row r="697" spans="2:29" x14ac:dyDescent="0.25">
      <c r="B697" s="294"/>
      <c r="C697" s="294"/>
      <c r="D697" s="294"/>
      <c r="E697" s="294"/>
      <c r="F697" s="294"/>
      <c r="G697" s="294"/>
      <c r="H697" s="294"/>
      <c r="I697" s="294"/>
      <c r="J697" s="294"/>
      <c r="L697" s="295"/>
      <c r="M697" s="294"/>
      <c r="O697" s="294"/>
      <c r="P697" s="294"/>
      <c r="Q697" s="294"/>
      <c r="R697" s="294"/>
      <c r="S697" s="294"/>
      <c r="T697" s="294"/>
      <c r="U697" s="326"/>
      <c r="V697" s="294"/>
      <c r="W697" s="294"/>
      <c r="X697" s="294"/>
      <c r="Y697" s="294"/>
      <c r="Z697" s="294"/>
      <c r="AA697" s="294"/>
      <c r="AB697" s="294"/>
      <c r="AC697" s="294"/>
    </row>
    <row r="698" spans="2:29" x14ac:dyDescent="0.25">
      <c r="B698" s="294"/>
      <c r="C698" s="294"/>
      <c r="D698" s="294"/>
      <c r="E698" s="294"/>
      <c r="F698" s="294"/>
      <c r="G698" s="294"/>
      <c r="H698" s="294"/>
      <c r="I698" s="294"/>
      <c r="J698" s="294"/>
      <c r="L698" s="295"/>
      <c r="M698" s="294"/>
      <c r="O698" s="294"/>
      <c r="P698" s="294"/>
      <c r="Q698" s="294"/>
      <c r="R698" s="294"/>
      <c r="S698" s="294"/>
      <c r="T698" s="294"/>
      <c r="U698" s="326"/>
      <c r="V698" s="294"/>
      <c r="W698" s="294"/>
      <c r="X698" s="294"/>
      <c r="Y698" s="294"/>
      <c r="Z698" s="294"/>
      <c r="AA698" s="294"/>
      <c r="AB698" s="294"/>
      <c r="AC698" s="294"/>
    </row>
    <row r="699" spans="2:29" x14ac:dyDescent="0.25">
      <c r="B699" s="294"/>
      <c r="C699" s="294"/>
      <c r="D699" s="294"/>
      <c r="E699" s="294"/>
      <c r="F699" s="294"/>
      <c r="G699" s="294"/>
      <c r="H699" s="294"/>
      <c r="I699" s="294"/>
      <c r="J699" s="294"/>
      <c r="L699" s="295"/>
      <c r="M699" s="294"/>
      <c r="O699" s="294"/>
      <c r="P699" s="294"/>
      <c r="Q699" s="294"/>
      <c r="R699" s="294"/>
      <c r="S699" s="294"/>
      <c r="T699" s="294"/>
      <c r="U699" s="326"/>
      <c r="V699" s="294"/>
      <c r="W699" s="294"/>
      <c r="X699" s="294"/>
      <c r="Y699" s="294"/>
      <c r="Z699" s="294"/>
      <c r="AA699" s="294"/>
      <c r="AB699" s="294"/>
      <c r="AC699" s="294"/>
    </row>
    <row r="700" spans="2:29" x14ac:dyDescent="0.25">
      <c r="B700" s="294"/>
      <c r="C700" s="294"/>
      <c r="D700" s="294"/>
      <c r="E700" s="294"/>
      <c r="F700" s="294"/>
      <c r="G700" s="294"/>
      <c r="H700" s="294"/>
      <c r="I700" s="294"/>
      <c r="J700" s="294"/>
      <c r="L700" s="295"/>
      <c r="M700" s="294"/>
      <c r="O700" s="294"/>
      <c r="P700" s="294"/>
      <c r="Q700" s="294"/>
      <c r="R700" s="294"/>
      <c r="S700" s="294"/>
      <c r="T700" s="294"/>
      <c r="U700" s="326"/>
      <c r="V700" s="294"/>
      <c r="W700" s="294"/>
      <c r="X700" s="294"/>
      <c r="Y700" s="294"/>
      <c r="Z700" s="294"/>
      <c r="AA700" s="294"/>
      <c r="AB700" s="294"/>
      <c r="AC700" s="294"/>
    </row>
    <row r="701" spans="2:29" x14ac:dyDescent="0.25">
      <c r="B701" s="294"/>
      <c r="C701" s="294"/>
      <c r="D701" s="294"/>
      <c r="E701" s="294"/>
      <c r="F701" s="294"/>
      <c r="G701" s="294"/>
      <c r="H701" s="294"/>
      <c r="I701" s="294"/>
      <c r="J701" s="294"/>
      <c r="L701" s="295"/>
      <c r="M701" s="294"/>
      <c r="O701" s="294"/>
      <c r="P701" s="294"/>
      <c r="Q701" s="294"/>
      <c r="R701" s="294"/>
      <c r="S701" s="294"/>
      <c r="T701" s="294"/>
      <c r="U701" s="326"/>
      <c r="V701" s="294"/>
      <c r="W701" s="294"/>
      <c r="X701" s="294"/>
      <c r="Y701" s="294"/>
      <c r="Z701" s="294"/>
      <c r="AA701" s="294"/>
      <c r="AB701" s="294"/>
      <c r="AC701" s="294"/>
    </row>
    <row r="702" spans="2:29" x14ac:dyDescent="0.25">
      <c r="B702" s="294"/>
      <c r="C702" s="294"/>
      <c r="D702" s="294"/>
      <c r="E702" s="294"/>
      <c r="F702" s="294"/>
      <c r="G702" s="294"/>
      <c r="H702" s="294"/>
      <c r="I702" s="294"/>
      <c r="J702" s="294"/>
      <c r="L702" s="295"/>
      <c r="M702" s="294"/>
      <c r="O702" s="294"/>
      <c r="P702" s="294"/>
      <c r="Q702" s="294"/>
      <c r="R702" s="294"/>
      <c r="S702" s="294"/>
      <c r="T702" s="294"/>
      <c r="U702" s="326"/>
      <c r="V702" s="294"/>
      <c r="W702" s="294"/>
      <c r="X702" s="294"/>
      <c r="Y702" s="294"/>
      <c r="Z702" s="294"/>
      <c r="AA702" s="294"/>
      <c r="AB702" s="294"/>
      <c r="AC702" s="294"/>
    </row>
    <row r="703" spans="2:29" x14ac:dyDescent="0.25">
      <c r="B703" s="294"/>
      <c r="C703" s="294"/>
      <c r="D703" s="294"/>
      <c r="E703" s="294"/>
      <c r="F703" s="294"/>
      <c r="G703" s="294"/>
      <c r="H703" s="294"/>
      <c r="I703" s="294"/>
      <c r="J703" s="294"/>
      <c r="L703" s="295"/>
      <c r="M703" s="294"/>
      <c r="O703" s="294"/>
      <c r="P703" s="294"/>
      <c r="Q703" s="294"/>
      <c r="R703" s="294"/>
      <c r="S703" s="294"/>
      <c r="T703" s="294"/>
      <c r="U703" s="326"/>
      <c r="V703" s="294"/>
      <c r="W703" s="294"/>
      <c r="X703" s="294"/>
      <c r="Y703" s="294"/>
      <c r="Z703" s="294"/>
      <c r="AA703" s="294"/>
      <c r="AB703" s="294"/>
      <c r="AC703" s="294"/>
    </row>
    <row r="704" spans="2:29" x14ac:dyDescent="0.25">
      <c r="B704" s="294"/>
      <c r="C704" s="294"/>
      <c r="D704" s="294"/>
      <c r="E704" s="294"/>
      <c r="F704" s="294"/>
      <c r="G704" s="294"/>
      <c r="H704" s="294"/>
      <c r="I704" s="294"/>
      <c r="J704" s="294"/>
      <c r="L704" s="295"/>
      <c r="M704" s="294"/>
      <c r="O704" s="294"/>
      <c r="P704" s="294"/>
      <c r="Q704" s="294"/>
      <c r="R704" s="294"/>
      <c r="S704" s="294"/>
      <c r="T704" s="294"/>
      <c r="U704" s="326"/>
      <c r="V704" s="294"/>
      <c r="W704" s="294"/>
      <c r="X704" s="294"/>
      <c r="Y704" s="294"/>
      <c r="Z704" s="294"/>
      <c r="AA704" s="294"/>
      <c r="AB704" s="294"/>
      <c r="AC704" s="294"/>
    </row>
    <row r="705" spans="2:29" x14ac:dyDescent="0.25">
      <c r="B705" s="294"/>
      <c r="C705" s="294"/>
      <c r="D705" s="294"/>
      <c r="E705" s="294"/>
      <c r="F705" s="294"/>
      <c r="G705" s="294"/>
      <c r="H705" s="294"/>
      <c r="I705" s="294"/>
      <c r="J705" s="294"/>
      <c r="L705" s="295"/>
      <c r="M705" s="294"/>
      <c r="O705" s="294"/>
      <c r="P705" s="294"/>
      <c r="Q705" s="294"/>
      <c r="R705" s="294"/>
      <c r="S705" s="294"/>
      <c r="T705" s="294"/>
      <c r="U705" s="326"/>
      <c r="V705" s="294"/>
      <c r="W705" s="294"/>
      <c r="X705" s="294"/>
      <c r="Y705" s="294"/>
      <c r="Z705" s="294"/>
      <c r="AA705" s="294"/>
      <c r="AB705" s="294"/>
      <c r="AC705" s="294"/>
    </row>
    <row r="706" spans="2:29" x14ac:dyDescent="0.25">
      <c r="B706" s="294"/>
      <c r="C706" s="294"/>
      <c r="D706" s="294"/>
      <c r="E706" s="294"/>
      <c r="F706" s="294"/>
      <c r="G706" s="294"/>
      <c r="H706" s="294"/>
      <c r="I706" s="294"/>
      <c r="J706" s="294"/>
      <c r="L706" s="295"/>
      <c r="M706" s="294"/>
      <c r="O706" s="294"/>
      <c r="P706" s="294"/>
      <c r="Q706" s="294"/>
      <c r="R706" s="294"/>
      <c r="S706" s="294"/>
      <c r="T706" s="294"/>
      <c r="U706" s="326"/>
      <c r="V706" s="294"/>
      <c r="W706" s="294"/>
      <c r="X706" s="294"/>
      <c r="Y706" s="294"/>
      <c r="Z706" s="294"/>
      <c r="AA706" s="294"/>
      <c r="AB706" s="294"/>
      <c r="AC706" s="294"/>
    </row>
    <row r="707" spans="2:29" x14ac:dyDescent="0.25">
      <c r="B707" s="294"/>
      <c r="C707" s="294"/>
      <c r="D707" s="294"/>
      <c r="E707" s="294"/>
      <c r="F707" s="294"/>
      <c r="G707" s="294"/>
      <c r="H707" s="294"/>
      <c r="I707" s="294"/>
      <c r="J707" s="294"/>
      <c r="L707" s="295"/>
      <c r="M707" s="294"/>
      <c r="O707" s="294"/>
      <c r="P707" s="294"/>
      <c r="Q707" s="294"/>
      <c r="R707" s="294"/>
      <c r="S707" s="294"/>
      <c r="T707" s="294"/>
      <c r="U707" s="326"/>
      <c r="V707" s="294"/>
      <c r="W707" s="294"/>
      <c r="X707" s="294"/>
      <c r="Y707" s="294"/>
      <c r="Z707" s="294"/>
      <c r="AA707" s="294"/>
      <c r="AB707" s="294"/>
      <c r="AC707" s="294"/>
    </row>
    <row r="708" spans="2:29" x14ac:dyDescent="0.25">
      <c r="B708" s="294"/>
      <c r="C708" s="294"/>
      <c r="D708" s="294"/>
      <c r="E708" s="294"/>
      <c r="F708" s="294"/>
      <c r="G708" s="294"/>
      <c r="H708" s="294"/>
      <c r="I708" s="294"/>
      <c r="J708" s="294"/>
      <c r="L708" s="295"/>
      <c r="M708" s="294"/>
      <c r="O708" s="294"/>
      <c r="P708" s="294"/>
      <c r="Q708" s="294"/>
      <c r="R708" s="294"/>
      <c r="S708" s="294"/>
      <c r="T708" s="294"/>
      <c r="U708" s="326"/>
      <c r="V708" s="294"/>
      <c r="W708" s="294"/>
      <c r="X708" s="294"/>
      <c r="Y708" s="294"/>
      <c r="Z708" s="294"/>
      <c r="AA708" s="294"/>
      <c r="AB708" s="294"/>
      <c r="AC708" s="294"/>
    </row>
    <row r="709" spans="2:29" x14ac:dyDescent="0.25">
      <c r="B709" s="294"/>
      <c r="C709" s="294"/>
      <c r="D709" s="294"/>
      <c r="E709" s="294"/>
      <c r="F709" s="294"/>
      <c r="G709" s="294"/>
      <c r="H709" s="294"/>
      <c r="I709" s="294"/>
      <c r="J709" s="294"/>
      <c r="L709" s="295"/>
      <c r="M709" s="294"/>
      <c r="O709" s="294"/>
      <c r="P709" s="294"/>
      <c r="Q709" s="294"/>
      <c r="R709" s="294"/>
      <c r="S709" s="294"/>
      <c r="T709" s="294"/>
      <c r="U709" s="326"/>
      <c r="V709" s="294"/>
      <c r="W709" s="294"/>
      <c r="X709" s="294"/>
      <c r="Y709" s="294"/>
      <c r="Z709" s="294"/>
      <c r="AA709" s="294"/>
      <c r="AB709" s="294"/>
      <c r="AC709" s="294"/>
    </row>
    <row r="710" spans="2:29" x14ac:dyDescent="0.25">
      <c r="B710" s="294"/>
      <c r="C710" s="294"/>
      <c r="D710" s="294"/>
      <c r="E710" s="294"/>
      <c r="F710" s="294"/>
      <c r="G710" s="294"/>
      <c r="H710" s="294"/>
      <c r="I710" s="294"/>
      <c r="J710" s="294"/>
      <c r="L710" s="295"/>
      <c r="M710" s="294"/>
      <c r="O710" s="294"/>
      <c r="P710" s="294"/>
      <c r="Q710" s="294"/>
      <c r="R710" s="294"/>
      <c r="S710" s="294"/>
      <c r="T710" s="294"/>
      <c r="U710" s="326"/>
      <c r="V710" s="294"/>
      <c r="W710" s="294"/>
      <c r="X710" s="294"/>
      <c r="Y710" s="294"/>
      <c r="Z710" s="294"/>
      <c r="AA710" s="294"/>
      <c r="AB710" s="294"/>
      <c r="AC710" s="294"/>
    </row>
    <row r="711" spans="2:29" x14ac:dyDescent="0.25">
      <c r="B711" s="294"/>
      <c r="C711" s="294"/>
      <c r="D711" s="294"/>
      <c r="E711" s="294"/>
      <c r="F711" s="294"/>
      <c r="G711" s="294"/>
      <c r="H711" s="294"/>
      <c r="I711" s="294"/>
      <c r="J711" s="294"/>
      <c r="L711" s="295"/>
      <c r="M711" s="294"/>
      <c r="O711" s="294"/>
      <c r="P711" s="294"/>
      <c r="Q711" s="294"/>
      <c r="R711" s="294"/>
      <c r="S711" s="294"/>
      <c r="T711" s="294"/>
      <c r="U711" s="326"/>
      <c r="V711" s="294"/>
      <c r="W711" s="294"/>
      <c r="X711" s="294"/>
      <c r="Y711" s="294"/>
      <c r="Z711" s="294"/>
      <c r="AA711" s="294"/>
      <c r="AB711" s="294"/>
      <c r="AC711" s="294"/>
    </row>
    <row r="712" spans="2:29" x14ac:dyDescent="0.25">
      <c r="B712" s="294"/>
      <c r="C712" s="294"/>
      <c r="D712" s="294"/>
      <c r="E712" s="294"/>
      <c r="F712" s="294"/>
      <c r="G712" s="294"/>
      <c r="H712" s="294"/>
      <c r="I712" s="294"/>
      <c r="J712" s="294"/>
      <c r="L712" s="295"/>
      <c r="M712" s="294"/>
      <c r="O712" s="294"/>
      <c r="P712" s="294"/>
      <c r="Q712" s="294"/>
      <c r="R712" s="294"/>
      <c r="S712" s="294"/>
      <c r="T712" s="294"/>
      <c r="U712" s="326"/>
      <c r="V712" s="294"/>
      <c r="W712" s="294"/>
      <c r="X712" s="294"/>
      <c r="Y712" s="294"/>
      <c r="Z712" s="294"/>
      <c r="AA712" s="294"/>
      <c r="AB712" s="294"/>
      <c r="AC712" s="294"/>
    </row>
    <row r="713" spans="2:29" x14ac:dyDescent="0.25">
      <c r="B713" s="294"/>
      <c r="C713" s="294"/>
      <c r="D713" s="294"/>
      <c r="E713" s="294"/>
      <c r="F713" s="294"/>
      <c r="G713" s="294"/>
      <c r="H713" s="294"/>
      <c r="I713" s="294"/>
      <c r="J713" s="294"/>
      <c r="L713" s="295"/>
      <c r="M713" s="294"/>
      <c r="O713" s="294"/>
      <c r="P713" s="294"/>
      <c r="Q713" s="294"/>
      <c r="R713" s="294"/>
      <c r="S713" s="294"/>
      <c r="T713" s="294"/>
      <c r="U713" s="326"/>
      <c r="V713" s="294"/>
      <c r="W713" s="294"/>
      <c r="X713" s="294"/>
      <c r="Y713" s="294"/>
      <c r="Z713" s="294"/>
      <c r="AA713" s="294"/>
      <c r="AB713" s="294"/>
      <c r="AC713" s="294"/>
    </row>
    <row r="714" spans="2:29" x14ac:dyDescent="0.25">
      <c r="B714" s="294"/>
      <c r="C714" s="294"/>
      <c r="D714" s="294"/>
      <c r="E714" s="294"/>
      <c r="F714" s="294"/>
      <c r="G714" s="294"/>
      <c r="H714" s="294"/>
      <c r="I714" s="294"/>
      <c r="J714" s="294"/>
      <c r="L714" s="295"/>
      <c r="M714" s="294"/>
      <c r="O714" s="294"/>
      <c r="P714" s="294"/>
      <c r="Q714" s="294"/>
      <c r="R714" s="294"/>
      <c r="S714" s="294"/>
      <c r="T714" s="294"/>
      <c r="U714" s="326"/>
      <c r="V714" s="294"/>
      <c r="W714" s="294"/>
      <c r="X714" s="294"/>
      <c r="Y714" s="294"/>
      <c r="Z714" s="294"/>
      <c r="AA714" s="294"/>
      <c r="AB714" s="294"/>
      <c r="AC714" s="294"/>
    </row>
    <row r="715" spans="2:29" x14ac:dyDescent="0.25">
      <c r="B715" s="294"/>
      <c r="C715" s="294"/>
      <c r="D715" s="294"/>
      <c r="E715" s="294"/>
      <c r="F715" s="294"/>
      <c r="G715" s="294"/>
      <c r="H715" s="294"/>
      <c r="I715" s="294"/>
      <c r="J715" s="294"/>
      <c r="L715" s="295"/>
      <c r="M715" s="294"/>
      <c r="O715" s="294"/>
      <c r="P715" s="294"/>
      <c r="Q715" s="294"/>
      <c r="R715" s="294"/>
      <c r="S715" s="294"/>
      <c r="T715" s="294"/>
      <c r="U715" s="326"/>
      <c r="V715" s="294"/>
      <c r="W715" s="294"/>
      <c r="X715" s="294"/>
      <c r="Y715" s="294"/>
      <c r="Z715" s="294"/>
      <c r="AA715" s="294"/>
      <c r="AB715" s="294"/>
      <c r="AC715" s="294"/>
    </row>
    <row r="716" spans="2:29" x14ac:dyDescent="0.25">
      <c r="B716" s="294"/>
      <c r="C716" s="294"/>
      <c r="D716" s="294"/>
      <c r="E716" s="294"/>
      <c r="F716" s="294"/>
      <c r="G716" s="294"/>
      <c r="H716" s="294"/>
      <c r="I716" s="294"/>
      <c r="J716" s="294"/>
      <c r="L716" s="295"/>
      <c r="M716" s="294"/>
      <c r="O716" s="294"/>
      <c r="P716" s="294"/>
      <c r="Q716" s="294"/>
      <c r="R716" s="294"/>
      <c r="S716" s="294"/>
      <c r="T716" s="294"/>
      <c r="U716" s="326"/>
      <c r="V716" s="294"/>
      <c r="W716" s="294"/>
      <c r="X716" s="294"/>
      <c r="Y716" s="294"/>
      <c r="Z716" s="294"/>
      <c r="AA716" s="294"/>
      <c r="AB716" s="294"/>
      <c r="AC716" s="294"/>
    </row>
    <row r="717" spans="2:29" x14ac:dyDescent="0.25">
      <c r="B717" s="294"/>
      <c r="C717" s="294"/>
      <c r="D717" s="294"/>
      <c r="E717" s="294"/>
      <c r="F717" s="294"/>
      <c r="G717" s="294"/>
      <c r="H717" s="294"/>
      <c r="I717" s="294"/>
      <c r="J717" s="294"/>
      <c r="L717" s="295"/>
      <c r="M717" s="294"/>
      <c r="O717" s="294"/>
      <c r="P717" s="294"/>
      <c r="Q717" s="294"/>
      <c r="R717" s="294"/>
      <c r="S717" s="294"/>
      <c r="T717" s="294"/>
      <c r="U717" s="326"/>
      <c r="V717" s="294"/>
      <c r="W717" s="294"/>
      <c r="X717" s="294"/>
      <c r="Y717" s="294"/>
      <c r="Z717" s="294"/>
      <c r="AA717" s="294"/>
      <c r="AB717" s="294"/>
      <c r="AC717" s="294"/>
    </row>
    <row r="718" spans="2:29" x14ac:dyDescent="0.25">
      <c r="B718" s="294"/>
      <c r="C718" s="294"/>
      <c r="D718" s="294"/>
      <c r="E718" s="294"/>
      <c r="F718" s="294"/>
      <c r="G718" s="294"/>
      <c r="H718" s="294"/>
      <c r="I718" s="294"/>
      <c r="J718" s="294"/>
      <c r="L718" s="295"/>
      <c r="M718" s="294"/>
      <c r="O718" s="294"/>
      <c r="P718" s="294"/>
      <c r="Q718" s="294"/>
      <c r="R718" s="294"/>
      <c r="S718" s="294"/>
      <c r="T718" s="294"/>
      <c r="U718" s="326"/>
      <c r="V718" s="294"/>
      <c r="W718" s="294"/>
      <c r="X718" s="294"/>
      <c r="Y718" s="294"/>
      <c r="Z718" s="294"/>
      <c r="AA718" s="294"/>
      <c r="AB718" s="294"/>
      <c r="AC718" s="294"/>
    </row>
    <row r="719" spans="2:29" x14ac:dyDescent="0.25">
      <c r="B719" s="294"/>
      <c r="C719" s="294"/>
      <c r="D719" s="294"/>
      <c r="E719" s="294"/>
      <c r="F719" s="294"/>
      <c r="G719" s="294"/>
      <c r="H719" s="294"/>
      <c r="I719" s="294"/>
      <c r="J719" s="294"/>
      <c r="L719" s="295"/>
      <c r="M719" s="294"/>
      <c r="O719" s="294"/>
      <c r="P719" s="294"/>
      <c r="Q719" s="294"/>
      <c r="R719" s="294"/>
      <c r="S719" s="294"/>
      <c r="T719" s="294"/>
      <c r="U719" s="326"/>
      <c r="V719" s="294"/>
      <c r="W719" s="294"/>
      <c r="X719" s="294"/>
      <c r="Y719" s="294"/>
      <c r="Z719" s="294"/>
      <c r="AA719" s="294"/>
      <c r="AB719" s="294"/>
      <c r="AC719" s="294"/>
    </row>
    <row r="720" spans="2:29" x14ac:dyDescent="0.25">
      <c r="B720" s="294"/>
      <c r="C720" s="294"/>
      <c r="D720" s="294"/>
      <c r="E720" s="294"/>
      <c r="F720" s="294"/>
      <c r="G720" s="294"/>
      <c r="H720" s="294"/>
      <c r="I720" s="294"/>
      <c r="J720" s="294"/>
      <c r="L720" s="295"/>
      <c r="M720" s="294"/>
      <c r="O720" s="294"/>
      <c r="P720" s="294"/>
      <c r="Q720" s="294"/>
      <c r="R720" s="294"/>
      <c r="S720" s="294"/>
      <c r="T720" s="294"/>
      <c r="U720" s="326"/>
      <c r="V720" s="294"/>
      <c r="W720" s="294"/>
      <c r="X720" s="294"/>
      <c r="Y720" s="294"/>
      <c r="Z720" s="294"/>
      <c r="AA720" s="294"/>
      <c r="AB720" s="294"/>
      <c r="AC720" s="294"/>
    </row>
    <row r="721" spans="2:29" x14ac:dyDescent="0.25">
      <c r="B721" s="294"/>
      <c r="C721" s="294"/>
      <c r="D721" s="294"/>
      <c r="E721" s="294"/>
      <c r="F721" s="294"/>
      <c r="G721" s="294"/>
      <c r="H721" s="294"/>
      <c r="I721" s="294"/>
      <c r="J721" s="294"/>
      <c r="L721" s="295"/>
      <c r="M721" s="294"/>
      <c r="O721" s="294"/>
      <c r="P721" s="294"/>
      <c r="Q721" s="294"/>
      <c r="R721" s="294"/>
      <c r="S721" s="294"/>
      <c r="T721" s="294"/>
      <c r="U721" s="326"/>
      <c r="V721" s="294"/>
      <c r="W721" s="294"/>
      <c r="X721" s="294"/>
      <c r="Y721" s="294"/>
      <c r="Z721" s="294"/>
      <c r="AA721" s="294"/>
      <c r="AB721" s="294"/>
      <c r="AC721" s="294"/>
    </row>
    <row r="722" spans="2:29" x14ac:dyDescent="0.25">
      <c r="B722" s="294"/>
      <c r="C722" s="294"/>
      <c r="D722" s="294"/>
      <c r="E722" s="294"/>
      <c r="F722" s="294"/>
      <c r="G722" s="294"/>
      <c r="H722" s="294"/>
      <c r="I722" s="294"/>
      <c r="J722" s="294"/>
      <c r="L722" s="295"/>
      <c r="M722" s="294"/>
      <c r="O722" s="294"/>
      <c r="P722" s="294"/>
      <c r="Q722" s="294"/>
      <c r="R722" s="294"/>
      <c r="S722" s="294"/>
      <c r="T722" s="294"/>
      <c r="U722" s="326"/>
      <c r="V722" s="294"/>
      <c r="W722" s="294"/>
      <c r="X722" s="294"/>
      <c r="Y722" s="294"/>
      <c r="Z722" s="294"/>
      <c r="AA722" s="294"/>
      <c r="AB722" s="294"/>
      <c r="AC722" s="294"/>
    </row>
    <row r="723" spans="2:29" x14ac:dyDescent="0.25">
      <c r="B723" s="294"/>
      <c r="C723" s="294"/>
      <c r="D723" s="294"/>
      <c r="E723" s="294"/>
      <c r="F723" s="294"/>
      <c r="G723" s="294"/>
      <c r="H723" s="294"/>
      <c r="I723" s="294"/>
      <c r="J723" s="294"/>
      <c r="L723" s="295"/>
      <c r="M723" s="294"/>
      <c r="O723" s="294"/>
      <c r="P723" s="294"/>
      <c r="Q723" s="294"/>
      <c r="R723" s="294"/>
      <c r="S723" s="294"/>
      <c r="T723" s="294"/>
      <c r="U723" s="326"/>
      <c r="V723" s="294"/>
      <c r="W723" s="294"/>
      <c r="X723" s="294"/>
      <c r="Y723" s="294"/>
      <c r="Z723" s="294"/>
      <c r="AA723" s="294"/>
      <c r="AB723" s="294"/>
      <c r="AC723" s="294"/>
    </row>
    <row r="724" spans="2:29" x14ac:dyDescent="0.25">
      <c r="B724" s="294"/>
      <c r="C724" s="294"/>
      <c r="D724" s="294"/>
      <c r="E724" s="294"/>
      <c r="F724" s="294"/>
      <c r="G724" s="294"/>
      <c r="H724" s="294"/>
      <c r="I724" s="294"/>
      <c r="J724" s="294"/>
      <c r="L724" s="295"/>
      <c r="M724" s="294"/>
      <c r="O724" s="294"/>
      <c r="P724" s="294"/>
      <c r="Q724" s="294"/>
      <c r="R724" s="294"/>
      <c r="S724" s="294"/>
      <c r="T724" s="294"/>
      <c r="U724" s="326"/>
      <c r="V724" s="294"/>
      <c r="W724" s="294"/>
      <c r="X724" s="294"/>
      <c r="Y724" s="294"/>
      <c r="Z724" s="294"/>
      <c r="AA724" s="294"/>
      <c r="AB724" s="294"/>
      <c r="AC724" s="294"/>
    </row>
    <row r="725" spans="2:29" x14ac:dyDescent="0.25">
      <c r="B725" s="294"/>
      <c r="C725" s="294"/>
      <c r="D725" s="294"/>
      <c r="E725" s="294"/>
      <c r="F725" s="294"/>
      <c r="G725" s="294"/>
      <c r="H725" s="294"/>
      <c r="I725" s="294"/>
      <c r="J725" s="294"/>
      <c r="L725" s="295"/>
      <c r="M725" s="294"/>
      <c r="O725" s="294"/>
      <c r="P725" s="294"/>
      <c r="Q725" s="294"/>
      <c r="R725" s="294"/>
      <c r="S725" s="294"/>
      <c r="T725" s="294"/>
      <c r="U725" s="326"/>
      <c r="V725" s="294"/>
      <c r="W725" s="294"/>
      <c r="X725" s="294"/>
      <c r="Y725" s="294"/>
      <c r="Z725" s="294"/>
      <c r="AA725" s="294"/>
      <c r="AB725" s="294"/>
      <c r="AC725" s="294"/>
    </row>
    <row r="726" spans="2:29" x14ac:dyDescent="0.25">
      <c r="B726" s="294"/>
      <c r="C726" s="294"/>
      <c r="D726" s="294"/>
      <c r="E726" s="294"/>
      <c r="F726" s="294"/>
      <c r="G726" s="294"/>
      <c r="H726" s="294"/>
      <c r="I726" s="294"/>
      <c r="J726" s="294"/>
      <c r="L726" s="295"/>
      <c r="M726" s="294"/>
      <c r="O726" s="294"/>
      <c r="P726" s="294"/>
      <c r="Q726" s="294"/>
      <c r="R726" s="294"/>
      <c r="S726" s="294"/>
      <c r="T726" s="294"/>
      <c r="U726" s="326"/>
      <c r="V726" s="294"/>
      <c r="W726" s="294"/>
      <c r="X726" s="294"/>
      <c r="Y726" s="294"/>
      <c r="Z726" s="294"/>
      <c r="AA726" s="294"/>
      <c r="AB726" s="294"/>
      <c r="AC726" s="294"/>
    </row>
    <row r="727" spans="2:29" x14ac:dyDescent="0.25">
      <c r="B727" s="294"/>
      <c r="C727" s="294"/>
      <c r="D727" s="294"/>
      <c r="E727" s="294"/>
      <c r="F727" s="294"/>
      <c r="G727" s="294"/>
      <c r="H727" s="294"/>
      <c r="I727" s="294"/>
      <c r="J727" s="294"/>
      <c r="L727" s="295"/>
      <c r="M727" s="294"/>
      <c r="O727" s="294"/>
      <c r="P727" s="294"/>
      <c r="Q727" s="294"/>
      <c r="R727" s="294"/>
      <c r="S727" s="294"/>
      <c r="T727" s="294"/>
      <c r="U727" s="326"/>
      <c r="V727" s="294"/>
      <c r="W727" s="294"/>
      <c r="X727" s="294"/>
      <c r="Y727" s="294"/>
      <c r="Z727" s="294"/>
      <c r="AA727" s="294"/>
      <c r="AB727" s="294"/>
      <c r="AC727" s="294"/>
    </row>
    <row r="728" spans="2:29" x14ac:dyDescent="0.25">
      <c r="B728" s="294"/>
      <c r="C728" s="294"/>
      <c r="D728" s="294"/>
      <c r="E728" s="294"/>
      <c r="F728" s="294"/>
      <c r="G728" s="294"/>
      <c r="H728" s="294"/>
      <c r="I728" s="294"/>
      <c r="J728" s="294"/>
      <c r="L728" s="295"/>
      <c r="M728" s="294"/>
      <c r="O728" s="294"/>
      <c r="P728" s="294"/>
      <c r="Q728" s="294"/>
      <c r="R728" s="294"/>
      <c r="S728" s="294"/>
      <c r="T728" s="294"/>
      <c r="U728" s="326"/>
      <c r="V728" s="294"/>
      <c r="W728" s="294"/>
      <c r="X728" s="294"/>
      <c r="Y728" s="294"/>
      <c r="Z728" s="294"/>
      <c r="AA728" s="294"/>
      <c r="AB728" s="294"/>
      <c r="AC728" s="294"/>
    </row>
    <row r="729" spans="2:29" x14ac:dyDescent="0.25">
      <c r="B729" s="294"/>
      <c r="C729" s="294"/>
      <c r="D729" s="294"/>
      <c r="E729" s="294"/>
      <c r="F729" s="294"/>
      <c r="G729" s="294"/>
      <c r="H729" s="294"/>
      <c r="I729" s="294"/>
      <c r="J729" s="294"/>
      <c r="L729" s="295"/>
      <c r="M729" s="294"/>
      <c r="O729" s="294"/>
      <c r="P729" s="294"/>
      <c r="Q729" s="294"/>
      <c r="R729" s="294"/>
      <c r="S729" s="294"/>
      <c r="T729" s="294"/>
      <c r="U729" s="326"/>
      <c r="V729" s="294"/>
      <c r="W729" s="294"/>
      <c r="X729" s="294"/>
      <c r="Y729" s="294"/>
      <c r="Z729" s="294"/>
      <c r="AA729" s="294"/>
      <c r="AB729" s="294"/>
      <c r="AC729" s="294"/>
    </row>
    <row r="730" spans="2:29" x14ac:dyDescent="0.25">
      <c r="B730" s="294"/>
      <c r="C730" s="294"/>
      <c r="D730" s="294"/>
      <c r="E730" s="294"/>
      <c r="F730" s="294"/>
      <c r="G730" s="294"/>
      <c r="H730" s="294"/>
      <c r="I730" s="294"/>
      <c r="J730" s="294"/>
      <c r="L730" s="295"/>
      <c r="M730" s="294"/>
      <c r="O730" s="294"/>
      <c r="P730" s="294"/>
      <c r="Q730" s="294"/>
      <c r="R730" s="294"/>
      <c r="S730" s="294"/>
      <c r="T730" s="294"/>
      <c r="U730" s="326"/>
      <c r="V730" s="294"/>
      <c r="W730" s="294"/>
      <c r="X730" s="294"/>
      <c r="Y730" s="294"/>
      <c r="Z730" s="294"/>
      <c r="AA730" s="294"/>
      <c r="AB730" s="294"/>
      <c r="AC730" s="294"/>
    </row>
    <row r="731" spans="2:29" x14ac:dyDescent="0.25">
      <c r="B731" s="294"/>
      <c r="C731" s="294"/>
      <c r="D731" s="294"/>
      <c r="E731" s="294"/>
      <c r="F731" s="294"/>
      <c r="G731" s="294"/>
      <c r="H731" s="294"/>
      <c r="I731" s="294"/>
      <c r="J731" s="294"/>
      <c r="L731" s="295"/>
      <c r="M731" s="294"/>
      <c r="O731" s="294"/>
      <c r="P731" s="294"/>
      <c r="Q731" s="294"/>
      <c r="R731" s="294"/>
      <c r="S731" s="294"/>
      <c r="T731" s="294"/>
      <c r="U731" s="326"/>
      <c r="V731" s="294"/>
      <c r="W731" s="294"/>
      <c r="X731" s="294"/>
      <c r="Y731" s="294"/>
      <c r="Z731" s="294"/>
      <c r="AA731" s="294"/>
      <c r="AB731" s="294"/>
      <c r="AC731" s="294"/>
    </row>
    <row r="732" spans="2:29" x14ac:dyDescent="0.25">
      <c r="B732" s="294"/>
      <c r="C732" s="294"/>
      <c r="D732" s="294"/>
      <c r="E732" s="294"/>
      <c r="F732" s="294"/>
      <c r="G732" s="294"/>
      <c r="H732" s="294"/>
      <c r="I732" s="294"/>
      <c r="J732" s="294"/>
      <c r="L732" s="295"/>
      <c r="M732" s="294"/>
      <c r="O732" s="294"/>
      <c r="P732" s="294"/>
      <c r="Q732" s="294"/>
      <c r="R732" s="294"/>
      <c r="S732" s="294"/>
      <c r="T732" s="294"/>
      <c r="U732" s="326"/>
      <c r="V732" s="294"/>
      <c r="W732" s="294"/>
      <c r="X732" s="294"/>
      <c r="Y732" s="294"/>
      <c r="Z732" s="294"/>
      <c r="AA732" s="294"/>
      <c r="AB732" s="294"/>
      <c r="AC732" s="294"/>
    </row>
    <row r="733" spans="2:29" x14ac:dyDescent="0.25">
      <c r="B733" s="294"/>
      <c r="C733" s="294"/>
      <c r="D733" s="294"/>
      <c r="E733" s="294"/>
      <c r="F733" s="294"/>
      <c r="G733" s="294"/>
      <c r="H733" s="294"/>
      <c r="I733" s="294"/>
      <c r="J733" s="294"/>
      <c r="L733" s="295"/>
      <c r="M733" s="294"/>
      <c r="O733" s="294"/>
      <c r="P733" s="294"/>
      <c r="Q733" s="294"/>
      <c r="R733" s="294"/>
      <c r="S733" s="294"/>
      <c r="T733" s="294"/>
      <c r="U733" s="326"/>
      <c r="V733" s="294"/>
      <c r="W733" s="294"/>
      <c r="X733" s="294"/>
      <c r="Y733" s="294"/>
      <c r="Z733" s="294"/>
      <c r="AA733" s="294"/>
      <c r="AB733" s="294"/>
      <c r="AC733" s="294"/>
    </row>
    <row r="734" spans="2:29" x14ac:dyDescent="0.25">
      <c r="B734" s="294"/>
      <c r="C734" s="294"/>
      <c r="D734" s="294"/>
      <c r="E734" s="294"/>
      <c r="F734" s="294"/>
      <c r="G734" s="294"/>
      <c r="H734" s="294"/>
      <c r="I734" s="294"/>
      <c r="J734" s="294"/>
      <c r="L734" s="295"/>
      <c r="M734" s="294"/>
      <c r="O734" s="294"/>
      <c r="P734" s="294"/>
      <c r="Q734" s="294"/>
      <c r="R734" s="294"/>
      <c r="S734" s="294"/>
      <c r="T734" s="294"/>
      <c r="U734" s="326"/>
      <c r="V734" s="294"/>
      <c r="W734" s="294"/>
      <c r="X734" s="294"/>
      <c r="Y734" s="294"/>
      <c r="Z734" s="294"/>
      <c r="AA734" s="294"/>
      <c r="AB734" s="294"/>
      <c r="AC734" s="294"/>
    </row>
    <row r="735" spans="2:29" x14ac:dyDescent="0.25">
      <c r="B735" s="294"/>
      <c r="C735" s="294"/>
      <c r="D735" s="294"/>
      <c r="E735" s="294"/>
      <c r="F735" s="294"/>
      <c r="G735" s="294"/>
      <c r="H735" s="294"/>
      <c r="I735" s="294"/>
      <c r="J735" s="294"/>
      <c r="L735" s="295"/>
      <c r="M735" s="294"/>
      <c r="O735" s="294"/>
      <c r="P735" s="294"/>
      <c r="Q735" s="294"/>
      <c r="R735" s="294"/>
      <c r="S735" s="294"/>
      <c r="T735" s="294"/>
      <c r="U735" s="326"/>
      <c r="V735" s="294"/>
      <c r="W735" s="294"/>
      <c r="X735" s="294"/>
      <c r="Y735" s="294"/>
      <c r="Z735" s="294"/>
      <c r="AA735" s="294"/>
      <c r="AB735" s="294"/>
      <c r="AC735" s="294"/>
    </row>
    <row r="736" spans="2:29" x14ac:dyDescent="0.25">
      <c r="B736" s="294"/>
      <c r="C736" s="294"/>
      <c r="D736" s="294"/>
      <c r="E736" s="294"/>
      <c r="F736" s="294"/>
      <c r="G736" s="294"/>
      <c r="H736" s="294"/>
      <c r="I736" s="294"/>
      <c r="J736" s="294"/>
      <c r="L736" s="295"/>
      <c r="M736" s="294"/>
      <c r="O736" s="294"/>
      <c r="P736" s="294"/>
      <c r="Q736" s="294"/>
      <c r="R736" s="294"/>
      <c r="S736" s="294"/>
      <c r="T736" s="294"/>
      <c r="U736" s="326"/>
      <c r="V736" s="294"/>
      <c r="W736" s="294"/>
      <c r="X736" s="294"/>
      <c r="Y736" s="294"/>
      <c r="Z736" s="294"/>
      <c r="AA736" s="294"/>
      <c r="AB736" s="294"/>
      <c r="AC736" s="294"/>
    </row>
    <row r="737" spans="2:29" x14ac:dyDescent="0.25">
      <c r="B737" s="294"/>
      <c r="C737" s="294"/>
      <c r="D737" s="294"/>
      <c r="E737" s="294"/>
      <c r="F737" s="294"/>
      <c r="G737" s="294"/>
      <c r="H737" s="294"/>
      <c r="I737" s="294"/>
      <c r="J737" s="294"/>
      <c r="L737" s="295"/>
      <c r="M737" s="294"/>
      <c r="O737" s="294"/>
      <c r="P737" s="294"/>
      <c r="Q737" s="294"/>
      <c r="R737" s="294"/>
      <c r="S737" s="294"/>
      <c r="T737" s="294"/>
      <c r="U737" s="326"/>
      <c r="V737" s="294"/>
      <c r="W737" s="294"/>
      <c r="X737" s="294"/>
      <c r="Y737" s="294"/>
      <c r="Z737" s="294"/>
      <c r="AA737" s="294"/>
      <c r="AB737" s="294"/>
      <c r="AC737" s="294"/>
    </row>
    <row r="738" spans="2:29" x14ac:dyDescent="0.25">
      <c r="B738" s="294"/>
      <c r="C738" s="294"/>
      <c r="D738" s="294"/>
      <c r="E738" s="294"/>
      <c r="F738" s="294"/>
      <c r="G738" s="294"/>
      <c r="H738" s="294"/>
      <c r="I738" s="294"/>
      <c r="J738" s="294"/>
      <c r="L738" s="295"/>
      <c r="M738" s="294"/>
      <c r="O738" s="294"/>
      <c r="P738" s="294"/>
      <c r="Q738" s="294"/>
      <c r="R738" s="294"/>
      <c r="S738" s="294"/>
      <c r="T738" s="294"/>
      <c r="U738" s="326"/>
      <c r="V738" s="294"/>
      <c r="W738" s="294"/>
      <c r="X738" s="294"/>
      <c r="Y738" s="294"/>
      <c r="Z738" s="294"/>
      <c r="AA738" s="294"/>
      <c r="AB738" s="294"/>
      <c r="AC738" s="294"/>
    </row>
    <row r="739" spans="2:29" x14ac:dyDescent="0.25">
      <c r="B739" s="294"/>
      <c r="C739" s="294"/>
      <c r="D739" s="294"/>
      <c r="E739" s="294"/>
      <c r="F739" s="294"/>
      <c r="G739" s="294"/>
      <c r="H739" s="294"/>
      <c r="I739" s="294"/>
      <c r="J739" s="294"/>
      <c r="L739" s="295"/>
      <c r="M739" s="294"/>
      <c r="O739" s="294"/>
      <c r="P739" s="294"/>
      <c r="Q739" s="294"/>
      <c r="R739" s="294"/>
      <c r="S739" s="294"/>
      <c r="T739" s="294"/>
      <c r="U739" s="326"/>
      <c r="V739" s="294"/>
      <c r="W739" s="294"/>
      <c r="X739" s="294"/>
      <c r="Y739" s="294"/>
      <c r="Z739" s="294"/>
      <c r="AA739" s="294"/>
      <c r="AB739" s="294"/>
      <c r="AC739" s="294"/>
    </row>
    <row r="740" spans="2:29" x14ac:dyDescent="0.25">
      <c r="B740" s="294"/>
      <c r="C740" s="294"/>
      <c r="D740" s="294"/>
      <c r="E740" s="294"/>
      <c r="F740" s="294"/>
      <c r="G740" s="294"/>
      <c r="H740" s="294"/>
      <c r="I740" s="294"/>
      <c r="J740" s="294"/>
      <c r="L740" s="295"/>
      <c r="M740" s="294"/>
      <c r="O740" s="294"/>
      <c r="P740" s="294"/>
      <c r="Q740" s="294"/>
      <c r="R740" s="294"/>
      <c r="S740" s="294"/>
      <c r="T740" s="294"/>
      <c r="U740" s="326"/>
      <c r="V740" s="294"/>
      <c r="W740" s="294"/>
      <c r="X740" s="294"/>
      <c r="Y740" s="294"/>
      <c r="Z740" s="294"/>
      <c r="AA740" s="294"/>
      <c r="AB740" s="294"/>
      <c r="AC740" s="294"/>
    </row>
    <row r="741" spans="2:29" x14ac:dyDescent="0.25">
      <c r="B741" s="294"/>
      <c r="C741" s="294"/>
      <c r="D741" s="294"/>
      <c r="E741" s="294"/>
      <c r="F741" s="294"/>
      <c r="G741" s="294"/>
      <c r="H741" s="294"/>
      <c r="I741" s="294"/>
      <c r="J741" s="294"/>
      <c r="L741" s="295"/>
      <c r="M741" s="294"/>
      <c r="O741" s="294"/>
      <c r="P741" s="294"/>
      <c r="Q741" s="294"/>
      <c r="R741" s="294"/>
      <c r="S741" s="294"/>
      <c r="T741" s="294"/>
      <c r="U741" s="326"/>
      <c r="V741" s="294"/>
      <c r="W741" s="294"/>
      <c r="X741" s="294"/>
      <c r="Y741" s="294"/>
      <c r="Z741" s="294"/>
      <c r="AA741" s="294"/>
      <c r="AB741" s="294"/>
      <c r="AC741" s="294"/>
    </row>
    <row r="742" spans="2:29" x14ac:dyDescent="0.25">
      <c r="B742" s="294"/>
      <c r="C742" s="294"/>
      <c r="D742" s="294"/>
      <c r="E742" s="294"/>
      <c r="F742" s="294"/>
      <c r="G742" s="294"/>
      <c r="H742" s="294"/>
      <c r="I742" s="294"/>
      <c r="J742" s="294"/>
      <c r="L742" s="295"/>
      <c r="M742" s="294"/>
      <c r="O742" s="294"/>
      <c r="P742" s="294"/>
      <c r="Q742" s="294"/>
      <c r="R742" s="294"/>
      <c r="S742" s="294"/>
      <c r="T742" s="294"/>
      <c r="U742" s="326"/>
      <c r="V742" s="294"/>
      <c r="W742" s="294"/>
      <c r="X742" s="294"/>
      <c r="Y742" s="294"/>
      <c r="Z742" s="294"/>
      <c r="AA742" s="294"/>
      <c r="AB742" s="294"/>
      <c r="AC742" s="294"/>
    </row>
    <row r="743" spans="2:29" x14ac:dyDescent="0.25">
      <c r="B743" s="294"/>
      <c r="C743" s="294"/>
      <c r="D743" s="294"/>
      <c r="E743" s="294"/>
      <c r="F743" s="294"/>
      <c r="G743" s="294"/>
      <c r="H743" s="294"/>
      <c r="I743" s="294"/>
      <c r="J743" s="294"/>
      <c r="L743" s="295"/>
      <c r="M743" s="294"/>
      <c r="O743" s="294"/>
      <c r="P743" s="294"/>
      <c r="Q743" s="294"/>
      <c r="R743" s="294"/>
      <c r="S743" s="294"/>
      <c r="T743" s="294"/>
      <c r="U743" s="326"/>
      <c r="V743" s="294"/>
      <c r="W743" s="294"/>
      <c r="X743" s="294"/>
      <c r="Y743" s="294"/>
      <c r="Z743" s="294"/>
      <c r="AA743" s="294"/>
      <c r="AB743" s="294"/>
      <c r="AC743" s="294"/>
    </row>
    <row r="744" spans="2:29" x14ac:dyDescent="0.25">
      <c r="B744" s="294"/>
      <c r="C744" s="294"/>
      <c r="D744" s="294"/>
      <c r="E744" s="294"/>
      <c r="F744" s="294"/>
      <c r="G744" s="294"/>
      <c r="H744" s="294"/>
      <c r="I744" s="294"/>
      <c r="J744" s="294"/>
      <c r="L744" s="295"/>
      <c r="M744" s="294"/>
      <c r="O744" s="294"/>
      <c r="P744" s="294"/>
      <c r="Q744" s="294"/>
      <c r="R744" s="294"/>
      <c r="S744" s="294"/>
      <c r="T744" s="294"/>
      <c r="U744" s="326"/>
      <c r="V744" s="294"/>
      <c r="W744" s="294"/>
      <c r="X744" s="294"/>
      <c r="Y744" s="294"/>
      <c r="Z744" s="294"/>
      <c r="AA744" s="294"/>
      <c r="AB744" s="294"/>
      <c r="AC744" s="294"/>
    </row>
    <row r="745" spans="2:29" x14ac:dyDescent="0.25">
      <c r="B745" s="294"/>
      <c r="C745" s="294"/>
      <c r="D745" s="294"/>
      <c r="E745" s="294"/>
      <c r="F745" s="294"/>
      <c r="G745" s="294"/>
      <c r="H745" s="294"/>
      <c r="I745" s="294"/>
      <c r="J745" s="294"/>
      <c r="L745" s="295"/>
      <c r="M745" s="294"/>
      <c r="O745" s="294"/>
      <c r="P745" s="294"/>
      <c r="Q745" s="294"/>
      <c r="R745" s="294"/>
      <c r="S745" s="294"/>
      <c r="T745" s="294"/>
      <c r="U745" s="326"/>
      <c r="V745" s="294"/>
      <c r="W745" s="294"/>
      <c r="X745" s="294"/>
      <c r="Y745" s="294"/>
      <c r="Z745" s="294"/>
      <c r="AA745" s="294"/>
      <c r="AB745" s="294"/>
      <c r="AC745" s="294"/>
    </row>
    <row r="746" spans="2:29" x14ac:dyDescent="0.25">
      <c r="B746" s="294"/>
      <c r="C746" s="294"/>
      <c r="D746" s="294"/>
      <c r="E746" s="294"/>
      <c r="F746" s="294"/>
      <c r="G746" s="294"/>
      <c r="H746" s="294"/>
      <c r="I746" s="294"/>
      <c r="J746" s="294"/>
      <c r="L746" s="295"/>
      <c r="M746" s="294"/>
      <c r="O746" s="294"/>
      <c r="P746" s="294"/>
      <c r="Q746" s="294"/>
      <c r="R746" s="294"/>
      <c r="S746" s="294"/>
      <c r="T746" s="294"/>
      <c r="U746" s="326"/>
      <c r="V746" s="294"/>
      <c r="W746" s="294"/>
      <c r="X746" s="294"/>
      <c r="Y746" s="294"/>
      <c r="Z746" s="294"/>
      <c r="AA746" s="294"/>
      <c r="AB746" s="294"/>
      <c r="AC746" s="294"/>
    </row>
    <row r="747" spans="2:29" x14ac:dyDescent="0.25">
      <c r="B747" s="294"/>
      <c r="C747" s="294"/>
      <c r="D747" s="294"/>
      <c r="E747" s="294"/>
      <c r="F747" s="294"/>
      <c r="G747" s="294"/>
      <c r="H747" s="294"/>
      <c r="I747" s="294"/>
      <c r="J747" s="294"/>
      <c r="L747" s="295"/>
      <c r="M747" s="294"/>
      <c r="O747" s="294"/>
      <c r="P747" s="294"/>
      <c r="Q747" s="294"/>
      <c r="R747" s="294"/>
      <c r="S747" s="294"/>
      <c r="T747" s="294"/>
      <c r="U747" s="326"/>
      <c r="V747" s="294"/>
      <c r="W747" s="294"/>
      <c r="X747" s="294"/>
      <c r="Y747" s="294"/>
      <c r="Z747" s="294"/>
      <c r="AA747" s="294"/>
      <c r="AB747" s="294"/>
      <c r="AC747" s="294"/>
    </row>
    <row r="748" spans="2:29" x14ac:dyDescent="0.25">
      <c r="B748" s="294"/>
      <c r="C748" s="294"/>
      <c r="D748" s="294"/>
      <c r="E748" s="294"/>
      <c r="F748" s="294"/>
      <c r="G748" s="294"/>
      <c r="H748" s="294"/>
      <c r="I748" s="294"/>
      <c r="J748" s="294"/>
      <c r="L748" s="295"/>
      <c r="M748" s="294"/>
      <c r="O748" s="294"/>
      <c r="P748" s="294"/>
      <c r="Q748" s="294"/>
      <c r="R748" s="294"/>
      <c r="S748" s="294"/>
      <c r="T748" s="294"/>
      <c r="U748" s="326"/>
      <c r="V748" s="294"/>
      <c r="W748" s="294"/>
      <c r="X748" s="294"/>
      <c r="Y748" s="294"/>
      <c r="Z748" s="294"/>
      <c r="AA748" s="294"/>
      <c r="AB748" s="294"/>
      <c r="AC748" s="294"/>
    </row>
    <row r="749" spans="2:29" x14ac:dyDescent="0.25">
      <c r="B749" s="294"/>
      <c r="C749" s="294"/>
      <c r="D749" s="294"/>
      <c r="E749" s="294"/>
      <c r="F749" s="294"/>
      <c r="G749" s="294"/>
      <c r="H749" s="294"/>
      <c r="I749" s="294"/>
      <c r="J749" s="294"/>
      <c r="L749" s="295"/>
      <c r="M749" s="294"/>
      <c r="O749" s="294"/>
      <c r="P749" s="294"/>
      <c r="Q749" s="294"/>
      <c r="R749" s="294"/>
      <c r="S749" s="294"/>
      <c r="T749" s="294"/>
      <c r="U749" s="326"/>
      <c r="V749" s="294"/>
      <c r="W749" s="294"/>
      <c r="X749" s="294"/>
      <c r="Y749" s="294"/>
      <c r="Z749" s="294"/>
      <c r="AA749" s="294"/>
      <c r="AB749" s="294"/>
      <c r="AC749" s="294"/>
    </row>
    <row r="750" spans="2:29" x14ac:dyDescent="0.25">
      <c r="B750" s="294"/>
      <c r="C750" s="294"/>
      <c r="D750" s="294"/>
      <c r="E750" s="294"/>
      <c r="F750" s="294"/>
      <c r="G750" s="294"/>
      <c r="H750" s="294"/>
      <c r="I750" s="294"/>
      <c r="J750" s="294"/>
      <c r="L750" s="295"/>
      <c r="M750" s="294"/>
      <c r="O750" s="294"/>
      <c r="P750" s="294"/>
      <c r="Q750" s="294"/>
      <c r="R750" s="294"/>
      <c r="S750" s="294"/>
      <c r="T750" s="294"/>
      <c r="U750" s="326"/>
      <c r="V750" s="294"/>
      <c r="W750" s="294"/>
      <c r="X750" s="294"/>
      <c r="Y750" s="294"/>
      <c r="Z750" s="294"/>
      <c r="AA750" s="294"/>
      <c r="AB750" s="294"/>
      <c r="AC750" s="294"/>
    </row>
    <row r="751" spans="2:29" x14ac:dyDescent="0.25">
      <c r="B751" s="294"/>
      <c r="C751" s="294"/>
      <c r="D751" s="294"/>
      <c r="E751" s="294"/>
      <c r="F751" s="294"/>
      <c r="G751" s="294"/>
      <c r="H751" s="294"/>
      <c r="I751" s="294"/>
      <c r="J751" s="294"/>
      <c r="L751" s="295"/>
      <c r="M751" s="294"/>
      <c r="O751" s="294"/>
      <c r="P751" s="294"/>
      <c r="Q751" s="294"/>
      <c r="R751" s="294"/>
      <c r="S751" s="294"/>
      <c r="T751" s="294"/>
      <c r="U751" s="326"/>
      <c r="V751" s="294"/>
      <c r="W751" s="294"/>
      <c r="X751" s="294"/>
      <c r="Y751" s="294"/>
      <c r="Z751" s="294"/>
      <c r="AA751" s="294"/>
      <c r="AB751" s="294"/>
      <c r="AC751" s="294"/>
    </row>
    <row r="752" spans="2:29" x14ac:dyDescent="0.25">
      <c r="B752" s="294"/>
      <c r="C752" s="294"/>
      <c r="D752" s="294"/>
      <c r="E752" s="294"/>
      <c r="F752" s="294"/>
      <c r="G752" s="294"/>
      <c r="H752" s="294"/>
      <c r="I752" s="294"/>
      <c r="J752" s="294"/>
      <c r="L752" s="295"/>
      <c r="M752" s="294"/>
      <c r="O752" s="294"/>
      <c r="P752" s="294"/>
      <c r="Q752" s="294"/>
      <c r="R752" s="294"/>
      <c r="S752" s="294"/>
      <c r="T752" s="294"/>
      <c r="U752" s="326"/>
      <c r="V752" s="294"/>
      <c r="W752" s="294"/>
      <c r="X752" s="294"/>
      <c r="Y752" s="294"/>
      <c r="Z752" s="294"/>
      <c r="AA752" s="294"/>
      <c r="AB752" s="294"/>
      <c r="AC752" s="294"/>
    </row>
    <row r="753" spans="2:29" x14ac:dyDescent="0.25">
      <c r="B753" s="294"/>
      <c r="C753" s="294"/>
      <c r="D753" s="294"/>
      <c r="E753" s="294"/>
      <c r="F753" s="294"/>
      <c r="G753" s="294"/>
      <c r="H753" s="294"/>
      <c r="I753" s="294"/>
      <c r="J753" s="294"/>
      <c r="L753" s="295"/>
      <c r="M753" s="294"/>
      <c r="O753" s="294"/>
      <c r="P753" s="294"/>
      <c r="Q753" s="294"/>
      <c r="R753" s="294"/>
      <c r="S753" s="294"/>
      <c r="T753" s="294"/>
      <c r="U753" s="326"/>
      <c r="V753" s="294"/>
      <c r="W753" s="294"/>
      <c r="X753" s="294"/>
      <c r="Y753" s="294"/>
      <c r="Z753" s="294"/>
      <c r="AA753" s="294"/>
      <c r="AB753" s="294"/>
      <c r="AC753" s="294"/>
    </row>
    <row r="754" spans="2:29" x14ac:dyDescent="0.25">
      <c r="B754" s="294"/>
      <c r="C754" s="294"/>
      <c r="D754" s="294"/>
      <c r="E754" s="294"/>
      <c r="F754" s="294"/>
      <c r="G754" s="294"/>
      <c r="H754" s="294"/>
      <c r="I754" s="294"/>
      <c r="J754" s="294"/>
      <c r="L754" s="295"/>
      <c r="M754" s="294"/>
      <c r="O754" s="294"/>
      <c r="P754" s="294"/>
      <c r="Q754" s="294"/>
      <c r="R754" s="294"/>
      <c r="S754" s="294"/>
      <c r="T754" s="294"/>
      <c r="U754" s="326"/>
      <c r="V754" s="294"/>
      <c r="W754" s="294"/>
      <c r="X754" s="294"/>
      <c r="Y754" s="294"/>
      <c r="Z754" s="294"/>
      <c r="AA754" s="294"/>
      <c r="AB754" s="294"/>
      <c r="AC754" s="294"/>
    </row>
    <row r="755" spans="2:29" x14ac:dyDescent="0.25">
      <c r="B755" s="294"/>
      <c r="C755" s="294"/>
      <c r="D755" s="294"/>
      <c r="E755" s="294"/>
      <c r="F755" s="294"/>
      <c r="G755" s="294"/>
      <c r="H755" s="294"/>
      <c r="I755" s="294"/>
      <c r="J755" s="294"/>
      <c r="L755" s="295"/>
      <c r="M755" s="294"/>
      <c r="O755" s="294"/>
      <c r="P755" s="294"/>
      <c r="Q755" s="294"/>
      <c r="R755" s="294"/>
      <c r="S755" s="294"/>
      <c r="T755" s="294"/>
      <c r="U755" s="326"/>
      <c r="V755" s="294"/>
      <c r="W755" s="294"/>
      <c r="X755" s="294"/>
      <c r="Y755" s="294"/>
      <c r="Z755" s="294"/>
      <c r="AA755" s="294"/>
      <c r="AB755" s="294"/>
      <c r="AC755" s="294"/>
    </row>
    <row r="756" spans="2:29" x14ac:dyDescent="0.25">
      <c r="B756" s="294"/>
      <c r="C756" s="294"/>
      <c r="D756" s="294"/>
      <c r="E756" s="294"/>
      <c r="F756" s="294"/>
      <c r="G756" s="294"/>
      <c r="H756" s="294"/>
      <c r="I756" s="294"/>
      <c r="J756" s="294"/>
      <c r="L756" s="295"/>
      <c r="M756" s="294"/>
      <c r="O756" s="294"/>
      <c r="P756" s="294"/>
      <c r="Q756" s="294"/>
      <c r="R756" s="294"/>
      <c r="S756" s="294"/>
      <c r="T756" s="294"/>
      <c r="U756" s="326"/>
      <c r="V756" s="294"/>
      <c r="W756" s="294"/>
      <c r="X756" s="294"/>
      <c r="Y756" s="294"/>
      <c r="Z756" s="294"/>
      <c r="AA756" s="294"/>
      <c r="AB756" s="294"/>
      <c r="AC756" s="294"/>
    </row>
    <row r="757" spans="2:29" x14ac:dyDescent="0.25">
      <c r="B757" s="294"/>
      <c r="C757" s="294"/>
      <c r="D757" s="294"/>
      <c r="E757" s="294"/>
      <c r="F757" s="294"/>
      <c r="G757" s="294"/>
      <c r="H757" s="294"/>
      <c r="I757" s="294"/>
      <c r="J757" s="294"/>
      <c r="L757" s="295"/>
      <c r="M757" s="294"/>
      <c r="O757" s="294"/>
      <c r="P757" s="294"/>
      <c r="Q757" s="294"/>
      <c r="R757" s="294"/>
      <c r="S757" s="294"/>
      <c r="T757" s="294"/>
      <c r="U757" s="326"/>
      <c r="V757" s="294"/>
      <c r="W757" s="294"/>
      <c r="X757" s="294"/>
      <c r="Y757" s="294"/>
      <c r="Z757" s="294"/>
      <c r="AA757" s="294"/>
      <c r="AB757" s="294"/>
      <c r="AC757" s="294"/>
    </row>
    <row r="758" spans="2:29" x14ac:dyDescent="0.25">
      <c r="B758" s="294"/>
      <c r="C758" s="294"/>
      <c r="D758" s="294"/>
      <c r="E758" s="294"/>
      <c r="F758" s="294"/>
      <c r="G758" s="294"/>
      <c r="H758" s="294"/>
      <c r="I758" s="294"/>
      <c r="J758" s="294"/>
      <c r="L758" s="295"/>
      <c r="M758" s="294"/>
      <c r="O758" s="294"/>
      <c r="P758" s="294"/>
      <c r="Q758" s="294"/>
      <c r="R758" s="294"/>
      <c r="S758" s="294"/>
      <c r="T758" s="294"/>
      <c r="U758" s="326"/>
      <c r="V758" s="294"/>
      <c r="W758" s="294"/>
      <c r="X758" s="294"/>
      <c r="Y758" s="294"/>
      <c r="Z758" s="294"/>
      <c r="AA758" s="294"/>
      <c r="AB758" s="294"/>
      <c r="AC758" s="294"/>
    </row>
    <row r="759" spans="2:29" x14ac:dyDescent="0.25">
      <c r="B759" s="294"/>
      <c r="C759" s="294"/>
      <c r="D759" s="294"/>
      <c r="E759" s="294"/>
      <c r="F759" s="294"/>
      <c r="G759" s="294"/>
      <c r="H759" s="294"/>
      <c r="I759" s="294"/>
      <c r="J759" s="294"/>
      <c r="L759" s="295"/>
      <c r="M759" s="294"/>
      <c r="O759" s="294"/>
      <c r="P759" s="294"/>
      <c r="Q759" s="294"/>
      <c r="R759" s="294"/>
      <c r="S759" s="294"/>
      <c r="T759" s="294"/>
      <c r="U759" s="326"/>
      <c r="V759" s="294"/>
      <c r="W759" s="294"/>
      <c r="X759" s="294"/>
      <c r="Y759" s="294"/>
      <c r="Z759" s="294"/>
      <c r="AA759" s="294"/>
      <c r="AB759" s="294"/>
      <c r="AC759" s="294"/>
    </row>
    <row r="760" spans="2:29" x14ac:dyDescent="0.25">
      <c r="B760" s="294"/>
      <c r="C760" s="294"/>
      <c r="D760" s="294"/>
      <c r="E760" s="294"/>
      <c r="F760" s="294"/>
      <c r="G760" s="294"/>
      <c r="H760" s="294"/>
      <c r="I760" s="294"/>
      <c r="J760" s="294"/>
      <c r="L760" s="295"/>
      <c r="M760" s="294"/>
      <c r="O760" s="294"/>
      <c r="P760" s="294"/>
      <c r="Q760" s="294"/>
      <c r="R760" s="294"/>
      <c r="S760" s="294"/>
      <c r="T760" s="294"/>
      <c r="U760" s="326"/>
      <c r="V760" s="294"/>
      <c r="W760" s="294"/>
      <c r="X760" s="294"/>
      <c r="Y760" s="294"/>
      <c r="Z760" s="294"/>
      <c r="AA760" s="294"/>
      <c r="AB760" s="294"/>
      <c r="AC760" s="294"/>
    </row>
    <row r="761" spans="2:29" x14ac:dyDescent="0.25">
      <c r="B761" s="294"/>
      <c r="C761" s="294"/>
      <c r="D761" s="294"/>
      <c r="E761" s="294"/>
      <c r="F761" s="294"/>
      <c r="G761" s="294"/>
      <c r="H761" s="294"/>
      <c r="I761" s="294"/>
      <c r="J761" s="294"/>
      <c r="L761" s="295"/>
      <c r="M761" s="294"/>
      <c r="O761" s="294"/>
      <c r="P761" s="294"/>
      <c r="Q761" s="294"/>
      <c r="R761" s="294"/>
      <c r="S761" s="294"/>
      <c r="T761" s="294"/>
      <c r="U761" s="326"/>
      <c r="V761" s="294"/>
      <c r="W761" s="294"/>
      <c r="X761" s="294"/>
      <c r="Y761" s="294"/>
      <c r="Z761" s="294"/>
      <c r="AA761" s="294"/>
      <c r="AB761" s="294"/>
      <c r="AC761" s="294"/>
    </row>
    <row r="762" spans="2:29" x14ac:dyDescent="0.25">
      <c r="B762" s="294"/>
      <c r="C762" s="294"/>
      <c r="D762" s="294"/>
      <c r="E762" s="294"/>
      <c r="F762" s="294"/>
      <c r="G762" s="294"/>
      <c r="H762" s="294"/>
      <c r="I762" s="294"/>
      <c r="J762" s="294"/>
      <c r="L762" s="295"/>
      <c r="M762" s="294"/>
      <c r="O762" s="294"/>
      <c r="P762" s="294"/>
      <c r="Q762" s="294"/>
      <c r="R762" s="294"/>
      <c r="S762" s="294"/>
      <c r="T762" s="294"/>
      <c r="U762" s="326"/>
      <c r="V762" s="294"/>
      <c r="W762" s="294"/>
      <c r="X762" s="294"/>
      <c r="Y762" s="294"/>
      <c r="Z762" s="294"/>
      <c r="AA762" s="294"/>
      <c r="AB762" s="294"/>
      <c r="AC762" s="294"/>
    </row>
    <row r="763" spans="2:29" x14ac:dyDescent="0.25">
      <c r="B763" s="294"/>
      <c r="C763" s="294"/>
      <c r="D763" s="294"/>
      <c r="E763" s="294"/>
      <c r="F763" s="294"/>
      <c r="G763" s="294"/>
      <c r="H763" s="294"/>
      <c r="I763" s="294"/>
      <c r="J763" s="294"/>
      <c r="L763" s="295"/>
      <c r="M763" s="294"/>
      <c r="O763" s="294"/>
      <c r="P763" s="294"/>
      <c r="Q763" s="294"/>
      <c r="R763" s="294"/>
      <c r="S763" s="294"/>
      <c r="T763" s="294"/>
      <c r="U763" s="326"/>
      <c r="V763" s="294"/>
      <c r="W763" s="294"/>
      <c r="X763" s="294"/>
      <c r="Y763" s="294"/>
      <c r="Z763" s="294"/>
      <c r="AA763" s="294"/>
      <c r="AB763" s="294"/>
      <c r="AC763" s="294"/>
    </row>
    <row r="764" spans="2:29" x14ac:dyDescent="0.25">
      <c r="B764" s="294"/>
      <c r="C764" s="294"/>
      <c r="D764" s="294"/>
      <c r="E764" s="294"/>
      <c r="F764" s="294"/>
      <c r="G764" s="294"/>
      <c r="H764" s="294"/>
      <c r="I764" s="294"/>
      <c r="J764" s="294"/>
      <c r="L764" s="295"/>
      <c r="M764" s="294"/>
      <c r="O764" s="294"/>
      <c r="P764" s="294"/>
      <c r="Q764" s="294"/>
      <c r="R764" s="294"/>
      <c r="S764" s="294"/>
      <c r="T764" s="294"/>
      <c r="U764" s="326"/>
      <c r="V764" s="294"/>
      <c r="W764" s="294"/>
      <c r="X764" s="294"/>
      <c r="Y764" s="294"/>
      <c r="Z764" s="294"/>
      <c r="AA764" s="294"/>
      <c r="AB764" s="294"/>
      <c r="AC764" s="294"/>
    </row>
    <row r="765" spans="2:29" x14ac:dyDescent="0.25">
      <c r="B765" s="294"/>
      <c r="C765" s="294"/>
      <c r="D765" s="294"/>
      <c r="E765" s="294"/>
      <c r="F765" s="294"/>
      <c r="G765" s="294"/>
      <c r="H765" s="294"/>
      <c r="I765" s="294"/>
      <c r="J765" s="294"/>
      <c r="L765" s="295"/>
      <c r="M765" s="294"/>
      <c r="O765" s="294"/>
      <c r="P765" s="294"/>
      <c r="Q765" s="294"/>
      <c r="R765" s="294"/>
      <c r="S765" s="294"/>
      <c r="T765" s="294"/>
      <c r="U765" s="326"/>
      <c r="V765" s="294"/>
      <c r="W765" s="294"/>
      <c r="X765" s="294"/>
      <c r="Y765" s="294"/>
      <c r="Z765" s="294"/>
      <c r="AA765" s="294"/>
      <c r="AB765" s="294"/>
      <c r="AC765" s="294"/>
    </row>
    <row r="766" spans="2:29" x14ac:dyDescent="0.25">
      <c r="B766" s="294"/>
      <c r="C766" s="294"/>
      <c r="D766" s="294"/>
      <c r="E766" s="294"/>
      <c r="F766" s="294"/>
      <c r="G766" s="294"/>
      <c r="H766" s="294"/>
      <c r="I766" s="294"/>
      <c r="J766" s="294"/>
      <c r="L766" s="295"/>
      <c r="M766" s="294"/>
      <c r="O766" s="294"/>
      <c r="P766" s="294"/>
      <c r="Q766" s="294"/>
      <c r="R766" s="294"/>
      <c r="S766" s="294"/>
      <c r="T766" s="294"/>
      <c r="U766" s="326"/>
      <c r="V766" s="294"/>
      <c r="W766" s="294"/>
      <c r="X766" s="294"/>
      <c r="Y766" s="294"/>
      <c r="Z766" s="294"/>
      <c r="AA766" s="294"/>
      <c r="AB766" s="294"/>
      <c r="AC766" s="294"/>
    </row>
    <row r="767" spans="2:29" x14ac:dyDescent="0.25">
      <c r="B767" s="294"/>
      <c r="C767" s="294"/>
      <c r="D767" s="294"/>
      <c r="E767" s="294"/>
      <c r="F767" s="294"/>
      <c r="G767" s="294"/>
      <c r="H767" s="294"/>
      <c r="I767" s="294"/>
      <c r="J767" s="294"/>
      <c r="L767" s="295"/>
      <c r="M767" s="294"/>
      <c r="O767" s="294"/>
      <c r="P767" s="294"/>
      <c r="Q767" s="294"/>
      <c r="R767" s="294"/>
      <c r="S767" s="294"/>
      <c r="T767" s="294"/>
      <c r="U767" s="326"/>
      <c r="V767" s="294"/>
      <c r="W767" s="294"/>
      <c r="X767" s="294"/>
      <c r="Y767" s="294"/>
      <c r="Z767" s="294"/>
      <c r="AA767" s="294"/>
      <c r="AB767" s="294"/>
      <c r="AC767" s="294"/>
    </row>
    <row r="768" spans="2:29" x14ac:dyDescent="0.25">
      <c r="B768" s="294"/>
      <c r="C768" s="294"/>
      <c r="D768" s="294"/>
      <c r="E768" s="294"/>
      <c r="F768" s="294"/>
      <c r="G768" s="294"/>
      <c r="H768" s="294"/>
      <c r="I768" s="294"/>
      <c r="J768" s="294"/>
      <c r="L768" s="295"/>
      <c r="M768" s="294"/>
      <c r="O768" s="294"/>
      <c r="P768" s="294"/>
      <c r="Q768" s="294"/>
      <c r="R768" s="294"/>
      <c r="S768" s="294"/>
      <c r="T768" s="294"/>
      <c r="U768" s="326"/>
      <c r="V768" s="294"/>
      <c r="W768" s="294"/>
      <c r="X768" s="294"/>
      <c r="Y768" s="294"/>
      <c r="Z768" s="294"/>
      <c r="AA768" s="294"/>
      <c r="AB768" s="294"/>
      <c r="AC768" s="294"/>
    </row>
    <row r="769" spans="2:29" x14ac:dyDescent="0.25">
      <c r="B769" s="294"/>
      <c r="C769" s="294"/>
      <c r="D769" s="294"/>
      <c r="E769" s="294"/>
      <c r="F769" s="294"/>
      <c r="G769" s="294"/>
      <c r="H769" s="294"/>
      <c r="I769" s="294"/>
      <c r="J769" s="294"/>
      <c r="L769" s="295"/>
      <c r="M769" s="294"/>
      <c r="O769" s="294"/>
      <c r="P769" s="294"/>
      <c r="Q769" s="294"/>
      <c r="R769" s="294"/>
      <c r="S769" s="294"/>
      <c r="T769" s="294"/>
      <c r="U769" s="326"/>
      <c r="V769" s="294"/>
      <c r="W769" s="294"/>
      <c r="X769" s="294"/>
      <c r="Y769" s="294"/>
      <c r="Z769" s="294"/>
      <c r="AA769" s="294"/>
      <c r="AB769" s="294"/>
      <c r="AC769" s="294"/>
    </row>
    <row r="770" spans="2:29" x14ac:dyDescent="0.25">
      <c r="B770" s="294"/>
      <c r="C770" s="294"/>
      <c r="D770" s="294"/>
      <c r="E770" s="294"/>
      <c r="F770" s="294"/>
      <c r="G770" s="294"/>
      <c r="H770" s="294"/>
      <c r="I770" s="294"/>
      <c r="J770" s="294"/>
      <c r="L770" s="295"/>
      <c r="M770" s="294"/>
      <c r="O770" s="294"/>
      <c r="P770" s="294"/>
      <c r="Q770" s="294"/>
      <c r="R770" s="294"/>
      <c r="S770" s="294"/>
      <c r="T770" s="294"/>
      <c r="U770" s="326"/>
      <c r="V770" s="294"/>
      <c r="W770" s="294"/>
      <c r="X770" s="294"/>
      <c r="Y770" s="294"/>
      <c r="Z770" s="294"/>
      <c r="AA770" s="294"/>
      <c r="AB770" s="294"/>
      <c r="AC770" s="294"/>
    </row>
    <row r="771" spans="2:29" x14ac:dyDescent="0.25">
      <c r="B771" s="294"/>
      <c r="C771" s="294"/>
      <c r="D771" s="294"/>
      <c r="E771" s="294"/>
      <c r="F771" s="294"/>
      <c r="G771" s="294"/>
      <c r="H771" s="294"/>
      <c r="I771" s="294"/>
      <c r="J771" s="294"/>
      <c r="L771" s="295"/>
      <c r="M771" s="294"/>
      <c r="O771" s="294"/>
      <c r="P771" s="294"/>
      <c r="Q771" s="294"/>
      <c r="R771" s="294"/>
      <c r="S771" s="294"/>
      <c r="T771" s="294"/>
      <c r="U771" s="326"/>
      <c r="V771" s="294"/>
      <c r="W771" s="294"/>
      <c r="X771" s="294"/>
      <c r="Y771" s="294"/>
      <c r="Z771" s="294"/>
      <c r="AA771" s="294"/>
      <c r="AB771" s="294"/>
      <c r="AC771" s="294"/>
    </row>
    <row r="772" spans="2:29" x14ac:dyDescent="0.25">
      <c r="B772" s="294"/>
      <c r="C772" s="294"/>
      <c r="D772" s="294"/>
      <c r="E772" s="294"/>
      <c r="F772" s="294"/>
      <c r="G772" s="294"/>
      <c r="H772" s="294"/>
      <c r="I772" s="294"/>
      <c r="J772" s="294"/>
      <c r="L772" s="295"/>
      <c r="M772" s="294"/>
      <c r="O772" s="294"/>
      <c r="P772" s="294"/>
      <c r="Q772" s="294"/>
      <c r="R772" s="294"/>
      <c r="S772" s="294"/>
      <c r="T772" s="294"/>
      <c r="U772" s="326"/>
      <c r="V772" s="294"/>
      <c r="W772" s="294"/>
      <c r="X772" s="294"/>
      <c r="Y772" s="294"/>
      <c r="Z772" s="294"/>
      <c r="AA772" s="294"/>
      <c r="AB772" s="294"/>
      <c r="AC772" s="294"/>
    </row>
    <row r="773" spans="2:29" x14ac:dyDescent="0.25">
      <c r="B773" s="294"/>
      <c r="C773" s="294"/>
      <c r="D773" s="294"/>
      <c r="E773" s="294"/>
      <c r="F773" s="294"/>
      <c r="G773" s="294"/>
      <c r="H773" s="294"/>
      <c r="I773" s="294"/>
      <c r="J773" s="294"/>
      <c r="L773" s="295"/>
      <c r="M773" s="294"/>
      <c r="O773" s="294"/>
      <c r="P773" s="294"/>
      <c r="Q773" s="294"/>
      <c r="R773" s="294"/>
      <c r="S773" s="294"/>
      <c r="T773" s="294"/>
      <c r="U773" s="326"/>
      <c r="V773" s="294"/>
      <c r="W773" s="294"/>
      <c r="X773" s="294"/>
      <c r="Y773" s="294"/>
      <c r="Z773" s="294"/>
      <c r="AA773" s="294"/>
      <c r="AB773" s="294"/>
      <c r="AC773" s="294"/>
    </row>
    <row r="774" spans="2:29" x14ac:dyDescent="0.25">
      <c r="B774" s="294"/>
      <c r="C774" s="294"/>
      <c r="D774" s="294"/>
      <c r="E774" s="294"/>
      <c r="F774" s="294"/>
      <c r="G774" s="294"/>
      <c r="H774" s="294"/>
      <c r="I774" s="294"/>
      <c r="J774" s="294"/>
      <c r="L774" s="295"/>
      <c r="M774" s="294"/>
      <c r="O774" s="294"/>
      <c r="P774" s="294"/>
      <c r="Q774" s="294"/>
      <c r="R774" s="294"/>
      <c r="S774" s="294"/>
      <c r="T774" s="294"/>
      <c r="U774" s="326"/>
      <c r="V774" s="294"/>
      <c r="W774" s="294"/>
      <c r="X774" s="294"/>
      <c r="Y774" s="294"/>
      <c r="Z774" s="294"/>
      <c r="AA774" s="294"/>
      <c r="AB774" s="294"/>
      <c r="AC774" s="294"/>
    </row>
    <row r="775" spans="2:29" x14ac:dyDescent="0.25">
      <c r="B775" s="294"/>
      <c r="C775" s="294"/>
      <c r="D775" s="294"/>
      <c r="E775" s="294"/>
      <c r="F775" s="294"/>
      <c r="G775" s="294"/>
      <c r="H775" s="294"/>
      <c r="I775" s="294"/>
      <c r="J775" s="294"/>
      <c r="L775" s="295"/>
      <c r="M775" s="294"/>
      <c r="O775" s="294"/>
      <c r="P775" s="294"/>
      <c r="Q775" s="294"/>
      <c r="R775" s="294"/>
      <c r="S775" s="294"/>
      <c r="T775" s="294"/>
      <c r="U775" s="326"/>
      <c r="V775" s="294"/>
      <c r="W775" s="294"/>
      <c r="X775" s="294"/>
      <c r="Y775" s="294"/>
      <c r="Z775" s="294"/>
      <c r="AA775" s="294"/>
      <c r="AB775" s="294"/>
      <c r="AC775" s="294"/>
    </row>
    <row r="776" spans="2:29" x14ac:dyDescent="0.25">
      <c r="B776" s="294"/>
      <c r="C776" s="294"/>
      <c r="D776" s="294"/>
      <c r="E776" s="294"/>
      <c r="F776" s="294"/>
      <c r="G776" s="294"/>
      <c r="H776" s="294"/>
      <c r="I776" s="294"/>
      <c r="J776" s="294"/>
      <c r="L776" s="295"/>
      <c r="M776" s="294"/>
      <c r="O776" s="294"/>
      <c r="P776" s="294"/>
      <c r="Q776" s="294"/>
      <c r="R776" s="294"/>
      <c r="S776" s="294"/>
      <c r="T776" s="294"/>
      <c r="U776" s="326"/>
      <c r="V776" s="294"/>
      <c r="W776" s="294"/>
      <c r="X776" s="294"/>
      <c r="Y776" s="294"/>
      <c r="Z776" s="294"/>
      <c r="AA776" s="294"/>
      <c r="AB776" s="294"/>
      <c r="AC776" s="294"/>
    </row>
    <row r="777" spans="2:29" x14ac:dyDescent="0.25">
      <c r="B777" s="294"/>
      <c r="C777" s="294"/>
      <c r="D777" s="294"/>
      <c r="E777" s="294"/>
      <c r="F777" s="294"/>
      <c r="G777" s="294"/>
      <c r="H777" s="294"/>
      <c r="I777" s="294"/>
      <c r="J777" s="294"/>
      <c r="L777" s="295"/>
      <c r="M777" s="294"/>
      <c r="O777" s="294"/>
      <c r="P777" s="294"/>
      <c r="Q777" s="294"/>
      <c r="R777" s="294"/>
      <c r="S777" s="294"/>
      <c r="T777" s="294"/>
      <c r="U777" s="326"/>
      <c r="V777" s="294"/>
      <c r="W777" s="294"/>
      <c r="X777" s="294"/>
      <c r="Y777" s="294"/>
      <c r="Z777" s="294"/>
      <c r="AA777" s="294"/>
      <c r="AB777" s="294"/>
      <c r="AC777" s="294"/>
    </row>
    <row r="778" spans="2:29" x14ac:dyDescent="0.25">
      <c r="B778" s="294"/>
      <c r="C778" s="294"/>
      <c r="D778" s="294"/>
      <c r="E778" s="294"/>
      <c r="F778" s="294"/>
      <c r="G778" s="294"/>
      <c r="H778" s="294"/>
      <c r="I778" s="294"/>
      <c r="J778" s="294"/>
      <c r="L778" s="295"/>
      <c r="M778" s="294"/>
      <c r="O778" s="294"/>
      <c r="P778" s="294"/>
      <c r="Q778" s="294"/>
      <c r="R778" s="294"/>
      <c r="S778" s="294"/>
      <c r="T778" s="294"/>
      <c r="U778" s="326"/>
      <c r="V778" s="294"/>
      <c r="W778" s="294"/>
      <c r="X778" s="294"/>
      <c r="Y778" s="294"/>
      <c r="Z778" s="294"/>
      <c r="AA778" s="294"/>
      <c r="AB778" s="294"/>
      <c r="AC778" s="294"/>
    </row>
    <row r="779" spans="2:29" x14ac:dyDescent="0.25">
      <c r="B779" s="294"/>
      <c r="C779" s="294"/>
      <c r="D779" s="294"/>
      <c r="E779" s="294"/>
      <c r="F779" s="294"/>
      <c r="G779" s="294"/>
      <c r="H779" s="294"/>
      <c r="I779" s="294"/>
      <c r="J779" s="294"/>
      <c r="L779" s="295"/>
      <c r="M779" s="294"/>
      <c r="O779" s="294"/>
      <c r="P779" s="294"/>
      <c r="Q779" s="294"/>
      <c r="R779" s="294"/>
      <c r="S779" s="294"/>
      <c r="T779" s="294"/>
      <c r="U779" s="326"/>
      <c r="V779" s="294"/>
      <c r="W779" s="294"/>
      <c r="X779" s="294"/>
      <c r="Y779" s="294"/>
      <c r="Z779" s="294"/>
      <c r="AA779" s="294"/>
      <c r="AB779" s="294"/>
      <c r="AC779" s="294"/>
    </row>
    <row r="780" spans="2:29" x14ac:dyDescent="0.25">
      <c r="B780" s="294"/>
      <c r="C780" s="294"/>
      <c r="D780" s="294"/>
      <c r="E780" s="294"/>
      <c r="F780" s="294"/>
      <c r="G780" s="294"/>
      <c r="H780" s="294"/>
      <c r="I780" s="294"/>
      <c r="J780" s="294"/>
      <c r="L780" s="295"/>
      <c r="M780" s="294"/>
      <c r="O780" s="294"/>
      <c r="P780" s="294"/>
      <c r="Q780" s="294"/>
      <c r="R780" s="294"/>
      <c r="S780" s="294"/>
      <c r="T780" s="294"/>
      <c r="U780" s="326"/>
      <c r="V780" s="294"/>
      <c r="W780" s="294"/>
      <c r="X780" s="294"/>
      <c r="Y780" s="294"/>
      <c r="Z780" s="294"/>
      <c r="AA780" s="294"/>
      <c r="AB780" s="294"/>
      <c r="AC780" s="294"/>
    </row>
    <row r="781" spans="2:29" x14ac:dyDescent="0.25">
      <c r="B781" s="294"/>
      <c r="C781" s="294"/>
      <c r="D781" s="294"/>
      <c r="E781" s="294"/>
      <c r="F781" s="294"/>
      <c r="G781" s="294"/>
      <c r="H781" s="294"/>
      <c r="I781" s="294"/>
      <c r="J781" s="294"/>
      <c r="L781" s="295"/>
      <c r="M781" s="294"/>
      <c r="O781" s="294"/>
      <c r="P781" s="294"/>
      <c r="Q781" s="294"/>
      <c r="R781" s="294"/>
      <c r="S781" s="294"/>
      <c r="T781" s="294"/>
      <c r="U781" s="326"/>
      <c r="V781" s="294"/>
      <c r="W781" s="294"/>
      <c r="X781" s="294"/>
      <c r="Y781" s="294"/>
      <c r="Z781" s="294"/>
      <c r="AA781" s="294"/>
      <c r="AB781" s="294"/>
      <c r="AC781" s="294"/>
    </row>
    <row r="782" spans="2:29" x14ac:dyDescent="0.25">
      <c r="B782" s="294"/>
      <c r="C782" s="294"/>
      <c r="D782" s="294"/>
      <c r="E782" s="294"/>
      <c r="F782" s="294"/>
      <c r="G782" s="294"/>
      <c r="H782" s="294"/>
      <c r="I782" s="294"/>
      <c r="J782" s="294"/>
      <c r="L782" s="295"/>
      <c r="M782" s="294"/>
      <c r="O782" s="294"/>
      <c r="P782" s="294"/>
      <c r="Q782" s="294"/>
      <c r="R782" s="294"/>
      <c r="S782" s="294"/>
      <c r="T782" s="294"/>
      <c r="U782" s="326"/>
      <c r="V782" s="294"/>
      <c r="W782" s="294"/>
      <c r="X782" s="294"/>
      <c r="Y782" s="294"/>
      <c r="Z782" s="294"/>
      <c r="AA782" s="294"/>
      <c r="AB782" s="294"/>
      <c r="AC782" s="294"/>
    </row>
    <row r="783" spans="2:29" x14ac:dyDescent="0.25">
      <c r="B783" s="294"/>
      <c r="C783" s="294"/>
      <c r="D783" s="294"/>
      <c r="E783" s="294"/>
      <c r="F783" s="294"/>
      <c r="G783" s="294"/>
      <c r="H783" s="294"/>
      <c r="I783" s="294"/>
      <c r="J783" s="294"/>
      <c r="L783" s="295"/>
      <c r="M783" s="294"/>
      <c r="O783" s="294"/>
      <c r="P783" s="294"/>
      <c r="Q783" s="294"/>
      <c r="R783" s="294"/>
      <c r="S783" s="294"/>
      <c r="T783" s="294"/>
      <c r="U783" s="326"/>
      <c r="V783" s="294"/>
      <c r="W783" s="294"/>
      <c r="X783" s="294"/>
      <c r="Y783" s="294"/>
      <c r="Z783" s="294"/>
      <c r="AA783" s="294"/>
      <c r="AB783" s="294"/>
      <c r="AC783" s="294"/>
    </row>
    <row r="784" spans="2:29" x14ac:dyDescent="0.25">
      <c r="B784" s="294"/>
      <c r="C784" s="294"/>
      <c r="D784" s="294"/>
      <c r="E784" s="294"/>
      <c r="F784" s="294"/>
      <c r="G784" s="294"/>
      <c r="H784" s="294"/>
      <c r="I784" s="294"/>
      <c r="J784" s="294"/>
      <c r="L784" s="295"/>
      <c r="M784" s="294"/>
      <c r="O784" s="294"/>
      <c r="P784" s="294"/>
      <c r="Q784" s="294"/>
      <c r="R784" s="294"/>
      <c r="S784" s="294"/>
      <c r="T784" s="294"/>
      <c r="U784" s="326"/>
      <c r="V784" s="294"/>
      <c r="W784" s="294"/>
      <c r="X784" s="294"/>
      <c r="Y784" s="294"/>
      <c r="Z784" s="294"/>
      <c r="AA784" s="294"/>
      <c r="AB784" s="294"/>
      <c r="AC784" s="294"/>
    </row>
    <row r="785" spans="2:29" x14ac:dyDescent="0.25">
      <c r="B785" s="294"/>
      <c r="C785" s="294"/>
      <c r="D785" s="294"/>
      <c r="E785" s="294"/>
      <c r="F785" s="294"/>
      <c r="G785" s="294"/>
      <c r="H785" s="294"/>
      <c r="I785" s="294"/>
      <c r="J785" s="294"/>
      <c r="L785" s="295"/>
      <c r="M785" s="294"/>
      <c r="O785" s="294"/>
      <c r="P785" s="294"/>
      <c r="Q785" s="294"/>
      <c r="R785" s="294"/>
      <c r="S785" s="294"/>
      <c r="T785" s="294"/>
      <c r="U785" s="326"/>
      <c r="V785" s="294"/>
      <c r="W785" s="294"/>
      <c r="X785" s="294"/>
      <c r="Y785" s="294"/>
      <c r="Z785" s="294"/>
      <c r="AA785" s="294"/>
      <c r="AB785" s="294"/>
      <c r="AC785" s="294"/>
    </row>
    <row r="786" spans="2:29" x14ac:dyDescent="0.25">
      <c r="B786" s="294"/>
      <c r="C786" s="294"/>
      <c r="D786" s="294"/>
      <c r="E786" s="294"/>
      <c r="F786" s="294"/>
      <c r="G786" s="294"/>
      <c r="H786" s="294"/>
      <c r="I786" s="294"/>
      <c r="J786" s="294"/>
      <c r="L786" s="295"/>
      <c r="M786" s="294"/>
      <c r="O786" s="294"/>
      <c r="P786" s="294"/>
      <c r="Q786" s="294"/>
      <c r="R786" s="294"/>
      <c r="S786" s="294"/>
      <c r="T786" s="294"/>
      <c r="U786" s="326"/>
      <c r="V786" s="294"/>
      <c r="W786" s="294"/>
      <c r="X786" s="294"/>
      <c r="Y786" s="294"/>
      <c r="Z786" s="294"/>
      <c r="AA786" s="294"/>
      <c r="AB786" s="294"/>
      <c r="AC786" s="294"/>
    </row>
    <row r="787" spans="2:29" x14ac:dyDescent="0.25">
      <c r="B787" s="294"/>
      <c r="C787" s="294"/>
      <c r="D787" s="294"/>
      <c r="E787" s="294"/>
      <c r="F787" s="294"/>
      <c r="G787" s="294"/>
      <c r="H787" s="294"/>
      <c r="I787" s="294"/>
      <c r="J787" s="294"/>
      <c r="L787" s="295"/>
      <c r="M787" s="294"/>
      <c r="O787" s="294"/>
      <c r="P787" s="294"/>
      <c r="Q787" s="294"/>
      <c r="R787" s="294"/>
      <c r="S787" s="294"/>
      <c r="T787" s="294"/>
      <c r="U787" s="326"/>
      <c r="V787" s="294"/>
      <c r="W787" s="294"/>
      <c r="X787" s="294"/>
      <c r="Y787" s="294"/>
      <c r="Z787" s="294"/>
      <c r="AA787" s="294"/>
      <c r="AB787" s="294"/>
      <c r="AC787" s="294"/>
    </row>
    <row r="788" spans="2:29" x14ac:dyDescent="0.25">
      <c r="B788" s="294"/>
      <c r="C788" s="294"/>
      <c r="D788" s="294"/>
      <c r="E788" s="294"/>
      <c r="F788" s="294"/>
      <c r="G788" s="294"/>
      <c r="H788" s="294"/>
      <c r="I788" s="294"/>
      <c r="J788" s="294"/>
      <c r="L788" s="295"/>
      <c r="M788" s="294"/>
      <c r="O788" s="294"/>
      <c r="P788" s="294"/>
      <c r="Q788" s="294"/>
      <c r="R788" s="294"/>
      <c r="S788" s="294"/>
      <c r="T788" s="294"/>
      <c r="U788" s="326"/>
      <c r="V788" s="294"/>
      <c r="W788" s="294"/>
      <c r="X788" s="294"/>
      <c r="Y788" s="294"/>
      <c r="Z788" s="294"/>
      <c r="AA788" s="294"/>
      <c r="AB788" s="294"/>
      <c r="AC788" s="294"/>
    </row>
    <row r="789" spans="2:29" x14ac:dyDescent="0.25">
      <c r="B789" s="294"/>
      <c r="C789" s="294"/>
      <c r="D789" s="294"/>
      <c r="E789" s="294"/>
      <c r="F789" s="294"/>
      <c r="G789" s="294"/>
      <c r="H789" s="294"/>
      <c r="I789" s="294"/>
      <c r="J789" s="294"/>
      <c r="L789" s="295"/>
      <c r="M789" s="294"/>
      <c r="O789" s="294"/>
      <c r="P789" s="294"/>
      <c r="Q789" s="294"/>
      <c r="R789" s="294"/>
      <c r="S789" s="294"/>
      <c r="T789" s="294"/>
      <c r="U789" s="326"/>
      <c r="V789" s="294"/>
      <c r="W789" s="294"/>
      <c r="X789" s="294"/>
      <c r="Y789" s="294"/>
      <c r="Z789" s="294"/>
      <c r="AA789" s="294"/>
      <c r="AB789" s="294"/>
      <c r="AC789" s="294"/>
    </row>
    <row r="790" spans="2:29" x14ac:dyDescent="0.25">
      <c r="B790" s="294"/>
      <c r="C790" s="294"/>
      <c r="D790" s="294"/>
      <c r="E790" s="294"/>
      <c r="F790" s="294"/>
      <c r="G790" s="294"/>
      <c r="H790" s="294"/>
      <c r="I790" s="294"/>
      <c r="J790" s="294"/>
      <c r="L790" s="295"/>
      <c r="M790" s="294"/>
      <c r="O790" s="294"/>
      <c r="P790" s="294"/>
      <c r="Q790" s="294"/>
      <c r="R790" s="294"/>
      <c r="S790" s="294"/>
      <c r="T790" s="294"/>
      <c r="U790" s="326"/>
      <c r="V790" s="294"/>
      <c r="W790" s="294"/>
      <c r="X790" s="294"/>
      <c r="Y790" s="294"/>
      <c r="Z790" s="294"/>
      <c r="AA790" s="294"/>
      <c r="AB790" s="294"/>
      <c r="AC790" s="294"/>
    </row>
    <row r="791" spans="2:29" x14ac:dyDescent="0.25">
      <c r="B791" s="294"/>
      <c r="C791" s="294"/>
      <c r="D791" s="294"/>
      <c r="E791" s="294"/>
      <c r="F791" s="294"/>
      <c r="G791" s="294"/>
      <c r="H791" s="294"/>
      <c r="I791" s="294"/>
      <c r="J791" s="294"/>
      <c r="L791" s="295"/>
      <c r="M791" s="294"/>
      <c r="O791" s="294"/>
      <c r="P791" s="294"/>
      <c r="Q791" s="294"/>
      <c r="R791" s="294"/>
      <c r="S791" s="294"/>
      <c r="T791" s="294"/>
      <c r="U791" s="326"/>
      <c r="V791" s="294"/>
      <c r="W791" s="294"/>
      <c r="X791" s="294"/>
      <c r="Y791" s="294"/>
      <c r="Z791" s="294"/>
      <c r="AA791" s="294"/>
      <c r="AB791" s="294"/>
      <c r="AC791" s="294"/>
    </row>
    <row r="792" spans="2:29" x14ac:dyDescent="0.25">
      <c r="B792" s="294"/>
      <c r="C792" s="294"/>
      <c r="D792" s="294"/>
      <c r="E792" s="294"/>
      <c r="F792" s="294"/>
      <c r="G792" s="294"/>
      <c r="H792" s="294"/>
      <c r="I792" s="294"/>
      <c r="J792" s="294"/>
      <c r="L792" s="295"/>
      <c r="M792" s="294"/>
      <c r="O792" s="294"/>
      <c r="P792" s="294"/>
      <c r="Q792" s="294"/>
      <c r="R792" s="294"/>
      <c r="S792" s="294"/>
      <c r="T792" s="294"/>
      <c r="U792" s="326"/>
      <c r="V792" s="294"/>
      <c r="W792" s="294"/>
      <c r="X792" s="294"/>
      <c r="Y792" s="294"/>
      <c r="Z792" s="294"/>
      <c r="AA792" s="294"/>
      <c r="AB792" s="294"/>
      <c r="AC792" s="294"/>
    </row>
    <row r="793" spans="2:29" x14ac:dyDescent="0.25">
      <c r="B793" s="294"/>
      <c r="C793" s="294"/>
      <c r="D793" s="294"/>
      <c r="E793" s="294"/>
      <c r="F793" s="294"/>
      <c r="G793" s="294"/>
      <c r="H793" s="294"/>
      <c r="I793" s="294"/>
      <c r="J793" s="294"/>
      <c r="L793" s="295"/>
      <c r="M793" s="294"/>
      <c r="O793" s="294"/>
      <c r="P793" s="294"/>
      <c r="Q793" s="294"/>
      <c r="R793" s="294"/>
      <c r="S793" s="294"/>
      <c r="T793" s="294"/>
      <c r="U793" s="326"/>
      <c r="V793" s="294"/>
      <c r="W793" s="294"/>
      <c r="X793" s="294"/>
      <c r="Y793" s="294"/>
      <c r="Z793" s="294"/>
      <c r="AA793" s="294"/>
      <c r="AB793" s="294"/>
      <c r="AC793" s="294"/>
    </row>
    <row r="794" spans="2:29" x14ac:dyDescent="0.25">
      <c r="B794" s="294"/>
      <c r="C794" s="294"/>
      <c r="D794" s="294"/>
      <c r="E794" s="294"/>
      <c r="F794" s="294"/>
      <c r="G794" s="294"/>
      <c r="H794" s="294"/>
      <c r="I794" s="294"/>
      <c r="J794" s="294"/>
      <c r="L794" s="295"/>
      <c r="M794" s="294"/>
      <c r="O794" s="294"/>
      <c r="P794" s="294"/>
      <c r="Q794" s="294"/>
      <c r="R794" s="294"/>
      <c r="S794" s="294"/>
      <c r="T794" s="294"/>
      <c r="U794" s="326"/>
      <c r="V794" s="294"/>
      <c r="W794" s="294"/>
      <c r="X794" s="294"/>
      <c r="Y794" s="294"/>
      <c r="Z794" s="294"/>
      <c r="AA794" s="294"/>
      <c r="AB794" s="294"/>
      <c r="AC794" s="294"/>
    </row>
    <row r="795" spans="2:29" x14ac:dyDescent="0.25">
      <c r="B795" s="294"/>
      <c r="C795" s="294"/>
      <c r="D795" s="294"/>
      <c r="E795" s="294"/>
      <c r="F795" s="294"/>
      <c r="G795" s="294"/>
      <c r="H795" s="294"/>
      <c r="I795" s="294"/>
      <c r="J795" s="294"/>
      <c r="L795" s="295"/>
      <c r="M795" s="294"/>
      <c r="O795" s="294"/>
      <c r="P795" s="294"/>
      <c r="Q795" s="294"/>
      <c r="R795" s="294"/>
      <c r="S795" s="294"/>
      <c r="T795" s="294"/>
      <c r="U795" s="326"/>
      <c r="V795" s="294"/>
      <c r="W795" s="294"/>
      <c r="X795" s="294"/>
      <c r="Y795" s="294"/>
      <c r="Z795" s="294"/>
      <c r="AA795" s="294"/>
      <c r="AB795" s="294"/>
      <c r="AC795" s="294"/>
    </row>
    <row r="796" spans="2:29" x14ac:dyDescent="0.25">
      <c r="B796" s="294"/>
      <c r="C796" s="294"/>
      <c r="D796" s="294"/>
      <c r="E796" s="294"/>
      <c r="F796" s="294"/>
      <c r="G796" s="294"/>
      <c r="H796" s="294"/>
      <c r="I796" s="294"/>
      <c r="J796" s="294"/>
      <c r="L796" s="295"/>
      <c r="M796" s="294"/>
      <c r="O796" s="294"/>
      <c r="P796" s="294"/>
      <c r="Q796" s="294"/>
      <c r="R796" s="294"/>
      <c r="S796" s="294"/>
      <c r="T796" s="294"/>
      <c r="U796" s="326"/>
      <c r="V796" s="294"/>
      <c r="W796" s="294"/>
      <c r="X796" s="294"/>
      <c r="Y796" s="294"/>
      <c r="Z796" s="294"/>
      <c r="AA796" s="294"/>
      <c r="AB796" s="294"/>
      <c r="AC796" s="294"/>
    </row>
    <row r="797" spans="2:29" x14ac:dyDescent="0.25">
      <c r="B797" s="294"/>
      <c r="C797" s="294"/>
      <c r="D797" s="294"/>
      <c r="E797" s="294"/>
      <c r="F797" s="294"/>
      <c r="G797" s="294"/>
      <c r="H797" s="294"/>
      <c r="I797" s="294"/>
      <c r="J797" s="294"/>
      <c r="L797" s="295"/>
      <c r="M797" s="294"/>
      <c r="O797" s="294"/>
      <c r="P797" s="294"/>
      <c r="Q797" s="294"/>
      <c r="R797" s="294"/>
      <c r="S797" s="294"/>
      <c r="T797" s="294"/>
      <c r="U797" s="326"/>
      <c r="V797" s="294"/>
      <c r="W797" s="294"/>
      <c r="X797" s="294"/>
      <c r="Y797" s="294"/>
      <c r="Z797" s="294"/>
      <c r="AA797" s="294"/>
      <c r="AB797" s="294"/>
      <c r="AC797" s="294"/>
    </row>
    <row r="798" spans="2:29" x14ac:dyDescent="0.25">
      <c r="B798" s="294"/>
      <c r="C798" s="294"/>
      <c r="D798" s="294"/>
      <c r="E798" s="294"/>
      <c r="F798" s="294"/>
      <c r="G798" s="294"/>
      <c r="H798" s="294"/>
      <c r="I798" s="294"/>
      <c r="J798" s="294"/>
      <c r="L798" s="295"/>
      <c r="M798" s="294"/>
      <c r="O798" s="294"/>
      <c r="P798" s="294"/>
      <c r="Q798" s="294"/>
      <c r="R798" s="294"/>
      <c r="S798" s="294"/>
      <c r="T798" s="294"/>
      <c r="U798" s="326"/>
      <c r="V798" s="294"/>
      <c r="W798" s="294"/>
      <c r="X798" s="294"/>
      <c r="Y798" s="294"/>
      <c r="Z798" s="294"/>
      <c r="AA798" s="294"/>
      <c r="AB798" s="294"/>
      <c r="AC798" s="294"/>
    </row>
    <row r="799" spans="2:29" x14ac:dyDescent="0.25">
      <c r="B799" s="294"/>
      <c r="C799" s="294"/>
      <c r="D799" s="294"/>
      <c r="E799" s="294"/>
      <c r="F799" s="294"/>
      <c r="G799" s="294"/>
      <c r="H799" s="294"/>
      <c r="I799" s="294"/>
      <c r="J799" s="294"/>
      <c r="L799" s="295"/>
      <c r="M799" s="294"/>
      <c r="O799" s="294"/>
      <c r="P799" s="294"/>
      <c r="Q799" s="294"/>
      <c r="R799" s="294"/>
      <c r="S799" s="294"/>
      <c r="T799" s="294"/>
      <c r="U799" s="326"/>
      <c r="V799" s="294"/>
      <c r="W799" s="294"/>
      <c r="X799" s="294"/>
      <c r="Y799" s="294"/>
      <c r="Z799" s="294"/>
      <c r="AA799" s="294"/>
      <c r="AB799" s="294"/>
      <c r="AC799" s="294"/>
    </row>
    <row r="800" spans="2:29" x14ac:dyDescent="0.25">
      <c r="B800" s="294"/>
      <c r="C800" s="294"/>
      <c r="D800" s="294"/>
      <c r="E800" s="294"/>
      <c r="F800" s="294"/>
      <c r="G800" s="294"/>
      <c r="H800" s="294"/>
      <c r="I800" s="294"/>
      <c r="J800" s="294"/>
      <c r="L800" s="295"/>
      <c r="M800" s="294"/>
      <c r="O800" s="294"/>
      <c r="P800" s="294"/>
      <c r="Q800" s="294"/>
      <c r="R800" s="294"/>
      <c r="S800" s="294"/>
      <c r="T800" s="294"/>
      <c r="U800" s="326"/>
      <c r="V800" s="294"/>
      <c r="W800" s="294"/>
      <c r="X800" s="294"/>
      <c r="Y800" s="294"/>
      <c r="Z800" s="294"/>
      <c r="AA800" s="294"/>
      <c r="AB800" s="294"/>
      <c r="AC800" s="294"/>
    </row>
    <row r="801" spans="2:29" x14ac:dyDescent="0.25">
      <c r="B801" s="294"/>
      <c r="C801" s="294"/>
      <c r="D801" s="294"/>
      <c r="E801" s="294"/>
      <c r="F801" s="294"/>
      <c r="G801" s="294"/>
      <c r="H801" s="294"/>
      <c r="I801" s="294"/>
      <c r="J801" s="294"/>
      <c r="L801" s="295"/>
      <c r="M801" s="294"/>
      <c r="O801" s="294"/>
      <c r="P801" s="294"/>
      <c r="Q801" s="294"/>
      <c r="R801" s="294"/>
      <c r="S801" s="294"/>
      <c r="T801" s="294"/>
      <c r="U801" s="326"/>
      <c r="V801" s="294"/>
      <c r="W801" s="294"/>
      <c r="X801" s="294"/>
      <c r="Y801" s="294"/>
      <c r="Z801" s="294"/>
      <c r="AA801" s="294"/>
      <c r="AB801" s="294"/>
      <c r="AC801" s="294"/>
    </row>
    <row r="802" spans="2:29" x14ac:dyDescent="0.25">
      <c r="B802" s="294"/>
      <c r="C802" s="294"/>
      <c r="D802" s="294"/>
      <c r="E802" s="294"/>
      <c r="F802" s="294"/>
      <c r="G802" s="294"/>
      <c r="H802" s="294"/>
      <c r="I802" s="294"/>
      <c r="J802" s="294"/>
      <c r="L802" s="295"/>
      <c r="M802" s="294"/>
      <c r="O802" s="294"/>
      <c r="P802" s="294"/>
      <c r="Q802" s="294"/>
      <c r="R802" s="294"/>
      <c r="S802" s="294"/>
      <c r="T802" s="294"/>
      <c r="U802" s="326"/>
      <c r="V802" s="294"/>
      <c r="W802" s="294"/>
      <c r="X802" s="294"/>
      <c r="Y802" s="294"/>
      <c r="Z802" s="294"/>
      <c r="AA802" s="294"/>
      <c r="AB802" s="294"/>
      <c r="AC802" s="294"/>
    </row>
    <row r="803" spans="2:29" x14ac:dyDescent="0.25">
      <c r="B803" s="294"/>
      <c r="C803" s="294"/>
      <c r="D803" s="294"/>
      <c r="E803" s="294"/>
      <c r="F803" s="294"/>
      <c r="G803" s="294"/>
      <c r="H803" s="294"/>
      <c r="I803" s="294"/>
      <c r="J803" s="294"/>
      <c r="L803" s="295"/>
      <c r="M803" s="294"/>
      <c r="O803" s="294"/>
      <c r="P803" s="294"/>
      <c r="Q803" s="294"/>
      <c r="R803" s="294"/>
      <c r="S803" s="294"/>
      <c r="T803" s="294"/>
      <c r="U803" s="326"/>
      <c r="V803" s="294"/>
      <c r="W803" s="294"/>
      <c r="X803" s="294"/>
      <c r="Y803" s="294"/>
      <c r="Z803" s="294"/>
      <c r="AA803" s="294"/>
      <c r="AB803" s="294"/>
      <c r="AC803" s="294"/>
    </row>
    <row r="804" spans="2:29" x14ac:dyDescent="0.25">
      <c r="B804" s="294"/>
      <c r="C804" s="294"/>
      <c r="D804" s="294"/>
      <c r="E804" s="294"/>
      <c r="F804" s="294"/>
      <c r="G804" s="294"/>
      <c r="H804" s="294"/>
      <c r="I804" s="294"/>
      <c r="J804" s="294"/>
      <c r="L804" s="295"/>
      <c r="M804" s="294"/>
      <c r="O804" s="294"/>
      <c r="P804" s="294"/>
      <c r="Q804" s="294"/>
      <c r="R804" s="294"/>
      <c r="S804" s="294"/>
      <c r="T804" s="294"/>
      <c r="U804" s="326"/>
      <c r="V804" s="294"/>
      <c r="W804" s="294"/>
      <c r="X804" s="294"/>
      <c r="Y804" s="294"/>
      <c r="Z804" s="294"/>
      <c r="AA804" s="294"/>
      <c r="AB804" s="294"/>
      <c r="AC804" s="294"/>
    </row>
    <row r="805" spans="2:29" x14ac:dyDescent="0.25">
      <c r="B805" s="294"/>
      <c r="C805" s="294"/>
      <c r="D805" s="294"/>
      <c r="E805" s="294"/>
      <c r="F805" s="294"/>
      <c r="G805" s="294"/>
      <c r="H805" s="294"/>
      <c r="I805" s="294"/>
      <c r="J805" s="294"/>
      <c r="L805" s="295"/>
      <c r="M805" s="294"/>
      <c r="O805" s="294"/>
      <c r="P805" s="294"/>
      <c r="Q805" s="294"/>
      <c r="R805" s="294"/>
      <c r="S805" s="294"/>
      <c r="T805" s="294"/>
      <c r="U805" s="326"/>
      <c r="V805" s="294"/>
      <c r="W805" s="294"/>
      <c r="X805" s="294"/>
      <c r="Y805" s="294"/>
      <c r="Z805" s="294"/>
      <c r="AA805" s="294"/>
      <c r="AB805" s="294"/>
      <c r="AC805" s="294"/>
    </row>
    <row r="806" spans="2:29" x14ac:dyDescent="0.25">
      <c r="B806" s="294"/>
      <c r="C806" s="294"/>
      <c r="D806" s="294"/>
      <c r="E806" s="294"/>
      <c r="F806" s="294"/>
      <c r="G806" s="294"/>
      <c r="H806" s="294"/>
      <c r="I806" s="294"/>
      <c r="J806" s="294"/>
      <c r="L806" s="295"/>
      <c r="M806" s="294"/>
      <c r="O806" s="294"/>
      <c r="P806" s="294"/>
      <c r="Q806" s="294"/>
      <c r="R806" s="294"/>
      <c r="S806" s="294"/>
      <c r="T806" s="294"/>
      <c r="U806" s="326"/>
      <c r="V806" s="294"/>
      <c r="W806" s="294"/>
      <c r="X806" s="294"/>
      <c r="Y806" s="294"/>
      <c r="Z806" s="294"/>
      <c r="AA806" s="294"/>
      <c r="AB806" s="294"/>
      <c r="AC806" s="294"/>
    </row>
    <row r="807" spans="2:29" x14ac:dyDescent="0.25">
      <c r="B807" s="294"/>
      <c r="C807" s="294"/>
      <c r="D807" s="294"/>
      <c r="E807" s="294"/>
      <c r="F807" s="294"/>
      <c r="G807" s="294"/>
      <c r="H807" s="294"/>
      <c r="I807" s="294"/>
      <c r="J807" s="294"/>
      <c r="L807" s="295"/>
      <c r="M807" s="294"/>
      <c r="O807" s="294"/>
      <c r="P807" s="294"/>
      <c r="Q807" s="294"/>
      <c r="R807" s="294"/>
      <c r="S807" s="294"/>
      <c r="T807" s="294"/>
      <c r="U807" s="326"/>
      <c r="V807" s="294"/>
      <c r="W807" s="294"/>
      <c r="X807" s="294"/>
      <c r="Y807" s="294"/>
      <c r="Z807" s="294"/>
      <c r="AA807" s="294"/>
      <c r="AB807" s="294"/>
      <c r="AC807" s="294"/>
    </row>
    <row r="808" spans="2:29" x14ac:dyDescent="0.25">
      <c r="B808" s="294"/>
      <c r="C808" s="294"/>
      <c r="D808" s="294"/>
      <c r="E808" s="294"/>
      <c r="F808" s="294"/>
      <c r="G808" s="294"/>
      <c r="H808" s="294"/>
      <c r="I808" s="294"/>
      <c r="J808" s="294"/>
      <c r="L808" s="295"/>
      <c r="M808" s="294"/>
      <c r="O808" s="294"/>
      <c r="P808" s="294"/>
      <c r="Q808" s="294"/>
      <c r="R808" s="294"/>
      <c r="S808" s="294"/>
      <c r="T808" s="294"/>
      <c r="U808" s="326"/>
      <c r="V808" s="294"/>
      <c r="W808" s="294"/>
      <c r="X808" s="294"/>
      <c r="Y808" s="294"/>
      <c r="Z808" s="294"/>
      <c r="AA808" s="294"/>
      <c r="AB808" s="294"/>
      <c r="AC808" s="294"/>
    </row>
    <row r="809" spans="2:29" x14ac:dyDescent="0.25">
      <c r="B809" s="294"/>
      <c r="C809" s="294"/>
      <c r="D809" s="294"/>
      <c r="E809" s="294"/>
      <c r="F809" s="294"/>
      <c r="G809" s="294"/>
      <c r="H809" s="294"/>
      <c r="I809" s="294"/>
      <c r="J809" s="294"/>
      <c r="L809" s="295"/>
      <c r="M809" s="294"/>
      <c r="O809" s="294"/>
      <c r="P809" s="294"/>
      <c r="Q809" s="294"/>
      <c r="R809" s="294"/>
      <c r="S809" s="294"/>
      <c r="T809" s="294"/>
      <c r="U809" s="326"/>
      <c r="V809" s="294"/>
      <c r="W809" s="294"/>
      <c r="X809" s="294"/>
      <c r="Y809" s="294"/>
      <c r="Z809" s="294"/>
      <c r="AA809" s="294"/>
      <c r="AB809" s="294"/>
      <c r="AC809" s="294"/>
    </row>
    <row r="810" spans="2:29" x14ac:dyDescent="0.25">
      <c r="B810" s="294"/>
      <c r="C810" s="294"/>
      <c r="D810" s="294"/>
      <c r="E810" s="294"/>
      <c r="F810" s="294"/>
      <c r="G810" s="294"/>
      <c r="H810" s="294"/>
      <c r="I810" s="294"/>
      <c r="J810" s="294"/>
      <c r="L810" s="295"/>
      <c r="M810" s="294"/>
      <c r="O810" s="294"/>
      <c r="P810" s="294"/>
      <c r="Q810" s="294"/>
      <c r="R810" s="294"/>
      <c r="S810" s="294"/>
      <c r="T810" s="294"/>
      <c r="U810" s="326"/>
      <c r="V810" s="294"/>
      <c r="W810" s="294"/>
      <c r="X810" s="294"/>
      <c r="Y810" s="294"/>
      <c r="Z810" s="294"/>
      <c r="AA810" s="294"/>
      <c r="AB810" s="294"/>
      <c r="AC810" s="294"/>
    </row>
    <row r="811" spans="2:29" x14ac:dyDescent="0.25">
      <c r="B811" s="294"/>
      <c r="C811" s="294"/>
      <c r="D811" s="294"/>
      <c r="E811" s="294"/>
      <c r="F811" s="294"/>
      <c r="G811" s="294"/>
      <c r="H811" s="294"/>
      <c r="I811" s="294"/>
      <c r="J811" s="294"/>
      <c r="L811" s="295"/>
      <c r="M811" s="294"/>
      <c r="O811" s="294"/>
      <c r="P811" s="294"/>
      <c r="Q811" s="294"/>
      <c r="R811" s="294"/>
      <c r="S811" s="294"/>
      <c r="T811" s="294"/>
      <c r="U811" s="326"/>
      <c r="V811" s="294"/>
      <c r="W811" s="294"/>
      <c r="X811" s="294"/>
      <c r="Y811" s="294"/>
      <c r="Z811" s="294"/>
      <c r="AA811" s="294"/>
      <c r="AB811" s="294"/>
      <c r="AC811" s="294"/>
    </row>
    <row r="812" spans="2:29" x14ac:dyDescent="0.25">
      <c r="B812" s="294"/>
      <c r="C812" s="294"/>
      <c r="D812" s="294"/>
      <c r="E812" s="294"/>
      <c r="F812" s="294"/>
      <c r="G812" s="294"/>
      <c r="H812" s="294"/>
      <c r="I812" s="294"/>
      <c r="J812" s="294"/>
      <c r="L812" s="295"/>
      <c r="M812" s="294"/>
      <c r="O812" s="294"/>
      <c r="P812" s="294"/>
      <c r="Q812" s="294"/>
      <c r="R812" s="294"/>
      <c r="S812" s="294"/>
      <c r="T812" s="294"/>
      <c r="U812" s="326"/>
      <c r="V812" s="294"/>
      <c r="W812" s="294"/>
      <c r="X812" s="294"/>
      <c r="Y812" s="294"/>
      <c r="Z812" s="294"/>
      <c r="AA812" s="294"/>
      <c r="AB812" s="294"/>
      <c r="AC812" s="294"/>
    </row>
    <row r="813" spans="2:29" x14ac:dyDescent="0.25">
      <c r="B813" s="294"/>
      <c r="C813" s="294"/>
      <c r="D813" s="294"/>
      <c r="E813" s="294"/>
      <c r="F813" s="294"/>
      <c r="G813" s="294"/>
      <c r="H813" s="294"/>
      <c r="I813" s="294"/>
      <c r="J813" s="294"/>
      <c r="L813" s="295"/>
      <c r="M813" s="294"/>
      <c r="O813" s="294"/>
      <c r="P813" s="294"/>
      <c r="Q813" s="294"/>
      <c r="R813" s="294"/>
      <c r="S813" s="294"/>
      <c r="T813" s="294"/>
      <c r="U813" s="326"/>
      <c r="V813" s="294"/>
      <c r="W813" s="294"/>
      <c r="X813" s="294"/>
      <c r="Y813" s="294"/>
      <c r="Z813" s="294"/>
      <c r="AA813" s="294"/>
      <c r="AB813" s="294"/>
      <c r="AC813" s="294"/>
    </row>
    <row r="814" spans="2:29" x14ac:dyDescent="0.25">
      <c r="B814" s="294"/>
      <c r="C814" s="294"/>
      <c r="D814" s="294"/>
      <c r="E814" s="294"/>
      <c r="F814" s="294"/>
      <c r="G814" s="294"/>
      <c r="H814" s="294"/>
      <c r="I814" s="294"/>
      <c r="J814" s="294"/>
      <c r="L814" s="295"/>
      <c r="M814" s="294"/>
      <c r="O814" s="294"/>
      <c r="P814" s="294"/>
      <c r="Q814" s="294"/>
      <c r="R814" s="294"/>
      <c r="S814" s="294"/>
      <c r="T814" s="294"/>
      <c r="U814" s="326"/>
      <c r="V814" s="294"/>
      <c r="W814" s="294"/>
      <c r="X814" s="294"/>
      <c r="Y814" s="294"/>
      <c r="Z814" s="294"/>
      <c r="AA814" s="294"/>
      <c r="AB814" s="294"/>
      <c r="AC814" s="294"/>
    </row>
    <row r="815" spans="2:29" x14ac:dyDescent="0.25">
      <c r="B815" s="294"/>
      <c r="C815" s="294"/>
      <c r="D815" s="294"/>
      <c r="E815" s="294"/>
      <c r="F815" s="294"/>
      <c r="G815" s="294"/>
      <c r="H815" s="294"/>
      <c r="I815" s="294"/>
      <c r="J815" s="294"/>
      <c r="L815" s="295"/>
      <c r="M815" s="294"/>
      <c r="O815" s="294"/>
      <c r="P815" s="294"/>
      <c r="Q815" s="294"/>
      <c r="R815" s="294"/>
      <c r="S815" s="294"/>
      <c r="T815" s="294"/>
      <c r="U815" s="326"/>
      <c r="V815" s="294"/>
      <c r="W815" s="294"/>
      <c r="X815" s="294"/>
      <c r="Y815" s="294"/>
      <c r="Z815" s="294"/>
      <c r="AA815" s="294"/>
      <c r="AB815" s="294"/>
      <c r="AC815" s="294"/>
    </row>
    <row r="816" spans="2:29" x14ac:dyDescent="0.25">
      <c r="B816" s="294"/>
      <c r="C816" s="294"/>
      <c r="D816" s="294"/>
      <c r="E816" s="294"/>
      <c r="F816" s="294"/>
      <c r="G816" s="294"/>
      <c r="H816" s="294"/>
      <c r="I816" s="294"/>
      <c r="J816" s="294"/>
      <c r="L816" s="295"/>
      <c r="M816" s="294"/>
      <c r="O816" s="294"/>
      <c r="P816" s="294"/>
      <c r="Q816" s="294"/>
      <c r="R816" s="294"/>
      <c r="S816" s="294"/>
      <c r="T816" s="294"/>
      <c r="U816" s="326"/>
      <c r="V816" s="294"/>
      <c r="W816" s="294"/>
      <c r="X816" s="294"/>
      <c r="Y816" s="294"/>
      <c r="Z816" s="294"/>
      <c r="AA816" s="294"/>
      <c r="AB816" s="294"/>
      <c r="AC816" s="294"/>
    </row>
    <row r="817" spans="2:29" x14ac:dyDescent="0.25">
      <c r="B817" s="294"/>
      <c r="C817" s="294"/>
      <c r="D817" s="294"/>
      <c r="E817" s="294"/>
      <c r="F817" s="294"/>
      <c r="G817" s="294"/>
      <c r="H817" s="294"/>
      <c r="I817" s="294"/>
      <c r="J817" s="294"/>
      <c r="L817" s="295"/>
      <c r="M817" s="294"/>
      <c r="O817" s="294"/>
      <c r="P817" s="294"/>
      <c r="Q817" s="294"/>
      <c r="R817" s="294"/>
      <c r="S817" s="294"/>
      <c r="T817" s="294"/>
      <c r="U817" s="326"/>
      <c r="V817" s="294"/>
      <c r="W817" s="294"/>
      <c r="X817" s="294"/>
      <c r="Y817" s="294"/>
      <c r="Z817" s="294"/>
      <c r="AA817" s="294"/>
      <c r="AB817" s="294"/>
      <c r="AC817" s="294"/>
    </row>
    <row r="818" spans="2:29" x14ac:dyDescent="0.25">
      <c r="B818" s="294"/>
      <c r="C818" s="294"/>
      <c r="D818" s="294"/>
      <c r="E818" s="294"/>
      <c r="F818" s="294"/>
      <c r="G818" s="294"/>
      <c r="H818" s="294"/>
      <c r="I818" s="294"/>
      <c r="J818" s="294"/>
      <c r="L818" s="295"/>
      <c r="M818" s="294"/>
      <c r="O818" s="294"/>
      <c r="P818" s="294"/>
      <c r="Q818" s="294"/>
      <c r="R818" s="294"/>
      <c r="S818" s="294"/>
      <c r="T818" s="294"/>
      <c r="U818" s="326"/>
      <c r="V818" s="294"/>
      <c r="W818" s="294"/>
      <c r="X818" s="294"/>
      <c r="Y818" s="294"/>
      <c r="Z818" s="294"/>
      <c r="AA818" s="294"/>
      <c r="AB818" s="294"/>
      <c r="AC818" s="294"/>
    </row>
    <row r="819" spans="2:29" x14ac:dyDescent="0.25">
      <c r="B819" s="294"/>
      <c r="C819" s="294"/>
      <c r="D819" s="294"/>
      <c r="E819" s="294"/>
      <c r="F819" s="294"/>
      <c r="G819" s="294"/>
      <c r="H819" s="294"/>
      <c r="I819" s="294"/>
      <c r="J819" s="294"/>
      <c r="L819" s="295"/>
      <c r="M819" s="294"/>
      <c r="O819" s="294"/>
      <c r="P819" s="294"/>
      <c r="Q819" s="294"/>
      <c r="R819" s="294"/>
      <c r="S819" s="294"/>
      <c r="T819" s="294"/>
      <c r="U819" s="326"/>
      <c r="V819" s="294"/>
      <c r="W819" s="294"/>
      <c r="X819" s="294"/>
      <c r="Y819" s="294"/>
      <c r="Z819" s="294"/>
      <c r="AA819" s="294"/>
      <c r="AB819" s="294"/>
      <c r="AC819" s="294"/>
    </row>
    <row r="820" spans="2:29" x14ac:dyDescent="0.25">
      <c r="B820" s="294"/>
      <c r="C820" s="294"/>
      <c r="D820" s="294"/>
      <c r="E820" s="294"/>
      <c r="F820" s="294"/>
      <c r="G820" s="294"/>
      <c r="H820" s="294"/>
      <c r="I820" s="294"/>
      <c r="J820" s="294"/>
      <c r="L820" s="295"/>
      <c r="M820" s="294"/>
      <c r="O820" s="294"/>
      <c r="P820" s="294"/>
      <c r="Q820" s="294"/>
      <c r="R820" s="294"/>
      <c r="S820" s="294"/>
      <c r="T820" s="294"/>
      <c r="U820" s="326"/>
      <c r="V820" s="294"/>
      <c r="W820" s="294"/>
      <c r="X820" s="294"/>
      <c r="Y820" s="294"/>
      <c r="Z820" s="294"/>
      <c r="AA820" s="294"/>
      <c r="AB820" s="294"/>
      <c r="AC820" s="294"/>
    </row>
    <row r="821" spans="2:29" x14ac:dyDescent="0.25">
      <c r="B821" s="294"/>
      <c r="C821" s="294"/>
      <c r="D821" s="294"/>
      <c r="E821" s="294"/>
      <c r="F821" s="294"/>
      <c r="G821" s="294"/>
      <c r="H821" s="294"/>
      <c r="I821" s="294"/>
      <c r="J821" s="294"/>
      <c r="L821" s="295"/>
      <c r="M821" s="294"/>
      <c r="O821" s="294"/>
      <c r="P821" s="294"/>
      <c r="Q821" s="294"/>
      <c r="R821" s="294"/>
      <c r="S821" s="294"/>
      <c r="T821" s="294"/>
      <c r="U821" s="326"/>
      <c r="V821" s="294"/>
      <c r="W821" s="294"/>
      <c r="X821" s="294"/>
      <c r="Y821" s="294"/>
      <c r="Z821" s="294"/>
      <c r="AA821" s="294"/>
      <c r="AB821" s="294"/>
      <c r="AC821" s="294"/>
    </row>
    <row r="822" spans="2:29" x14ac:dyDescent="0.25">
      <c r="B822" s="294"/>
      <c r="C822" s="294"/>
      <c r="D822" s="294"/>
      <c r="E822" s="294"/>
      <c r="F822" s="294"/>
      <c r="G822" s="294"/>
      <c r="H822" s="294"/>
      <c r="I822" s="294"/>
      <c r="J822" s="294"/>
      <c r="L822" s="295"/>
      <c r="M822" s="294"/>
      <c r="O822" s="294"/>
      <c r="P822" s="294"/>
      <c r="Q822" s="294"/>
      <c r="R822" s="294"/>
      <c r="S822" s="294"/>
      <c r="T822" s="294"/>
      <c r="U822" s="326"/>
      <c r="V822" s="294"/>
      <c r="W822" s="294"/>
      <c r="X822" s="294"/>
      <c r="Y822" s="294"/>
      <c r="Z822" s="294"/>
      <c r="AA822" s="294"/>
      <c r="AB822" s="294"/>
      <c r="AC822" s="294"/>
    </row>
    <row r="823" spans="2:29" x14ac:dyDescent="0.25">
      <c r="B823" s="294"/>
      <c r="C823" s="294"/>
      <c r="D823" s="294"/>
      <c r="E823" s="294"/>
      <c r="F823" s="294"/>
      <c r="G823" s="294"/>
      <c r="H823" s="294"/>
      <c r="I823" s="294"/>
      <c r="J823" s="294"/>
      <c r="L823" s="295"/>
      <c r="M823" s="294"/>
      <c r="O823" s="294"/>
      <c r="P823" s="294"/>
      <c r="Q823" s="294"/>
      <c r="R823" s="294"/>
      <c r="S823" s="294"/>
      <c r="T823" s="294"/>
      <c r="U823" s="326"/>
      <c r="V823" s="294"/>
      <c r="W823" s="294"/>
      <c r="X823" s="294"/>
      <c r="Y823" s="294"/>
      <c r="Z823" s="294"/>
      <c r="AA823" s="294"/>
      <c r="AB823" s="294"/>
      <c r="AC823" s="294"/>
    </row>
    <row r="824" spans="2:29" x14ac:dyDescent="0.25">
      <c r="B824" s="294"/>
      <c r="C824" s="294"/>
      <c r="D824" s="294"/>
      <c r="E824" s="294"/>
      <c r="F824" s="294"/>
      <c r="G824" s="294"/>
      <c r="H824" s="294"/>
      <c r="I824" s="294"/>
      <c r="J824" s="294"/>
      <c r="L824" s="295"/>
      <c r="M824" s="294"/>
      <c r="O824" s="294"/>
      <c r="P824" s="294"/>
      <c r="Q824" s="294"/>
      <c r="R824" s="294"/>
      <c r="S824" s="294"/>
      <c r="T824" s="294"/>
      <c r="U824" s="326"/>
      <c r="V824" s="294"/>
      <c r="W824" s="294"/>
      <c r="X824" s="294"/>
      <c r="Y824" s="294"/>
      <c r="Z824" s="294"/>
      <c r="AA824" s="294"/>
      <c r="AB824" s="294"/>
      <c r="AC824" s="294"/>
    </row>
    <row r="825" spans="2:29" x14ac:dyDescent="0.25">
      <c r="B825" s="294"/>
      <c r="C825" s="294"/>
      <c r="D825" s="294"/>
      <c r="E825" s="294"/>
      <c r="F825" s="294"/>
      <c r="G825" s="294"/>
      <c r="H825" s="294"/>
      <c r="I825" s="294"/>
      <c r="J825" s="294"/>
      <c r="L825" s="295"/>
      <c r="M825" s="294"/>
      <c r="O825" s="294"/>
      <c r="P825" s="294"/>
      <c r="Q825" s="294"/>
      <c r="R825" s="294"/>
      <c r="S825" s="294"/>
      <c r="T825" s="294"/>
      <c r="U825" s="326"/>
      <c r="V825" s="294"/>
      <c r="W825" s="294"/>
      <c r="X825" s="294"/>
      <c r="Y825" s="294"/>
      <c r="Z825" s="294"/>
      <c r="AA825" s="294"/>
      <c r="AB825" s="294"/>
      <c r="AC825" s="294"/>
    </row>
    <row r="826" spans="2:29" x14ac:dyDescent="0.25">
      <c r="B826" s="294"/>
      <c r="C826" s="294"/>
      <c r="D826" s="294"/>
      <c r="E826" s="294"/>
      <c r="F826" s="294"/>
      <c r="G826" s="294"/>
      <c r="H826" s="294"/>
      <c r="I826" s="294"/>
      <c r="J826" s="294"/>
      <c r="L826" s="295"/>
      <c r="M826" s="294"/>
      <c r="O826" s="294"/>
      <c r="P826" s="294"/>
      <c r="Q826" s="294"/>
      <c r="R826" s="294"/>
      <c r="S826" s="294"/>
      <c r="T826" s="294"/>
      <c r="U826" s="326"/>
      <c r="V826" s="294"/>
      <c r="W826" s="294"/>
      <c r="X826" s="294"/>
      <c r="Y826" s="294"/>
      <c r="Z826" s="294"/>
      <c r="AA826" s="294"/>
      <c r="AB826" s="294"/>
      <c r="AC826" s="294"/>
    </row>
    <row r="827" spans="2:29" x14ac:dyDescent="0.25">
      <c r="B827" s="294"/>
      <c r="C827" s="294"/>
      <c r="D827" s="294"/>
      <c r="E827" s="294"/>
      <c r="F827" s="294"/>
      <c r="G827" s="294"/>
      <c r="H827" s="294"/>
      <c r="I827" s="294"/>
      <c r="J827" s="294"/>
      <c r="L827" s="295"/>
      <c r="M827" s="294"/>
      <c r="O827" s="294"/>
      <c r="P827" s="294"/>
      <c r="Q827" s="294"/>
      <c r="R827" s="294"/>
      <c r="S827" s="294"/>
      <c r="T827" s="294"/>
      <c r="U827" s="326"/>
      <c r="V827" s="294"/>
      <c r="W827" s="294"/>
      <c r="X827" s="294"/>
      <c r="Y827" s="294"/>
      <c r="Z827" s="294"/>
      <c r="AA827" s="294"/>
      <c r="AB827" s="294"/>
      <c r="AC827" s="294"/>
    </row>
    <row r="828" spans="2:29" x14ac:dyDescent="0.25">
      <c r="B828" s="294"/>
      <c r="C828" s="294"/>
      <c r="D828" s="294"/>
      <c r="E828" s="294"/>
      <c r="F828" s="294"/>
      <c r="G828" s="294"/>
      <c r="H828" s="294"/>
      <c r="I828" s="294"/>
      <c r="J828" s="294"/>
      <c r="L828" s="295"/>
      <c r="M828" s="294"/>
      <c r="O828" s="294"/>
      <c r="P828" s="294"/>
      <c r="Q828" s="294"/>
      <c r="R828" s="294"/>
      <c r="S828" s="294"/>
      <c r="T828" s="294"/>
      <c r="U828" s="326"/>
      <c r="V828" s="294"/>
      <c r="W828" s="294"/>
      <c r="X828" s="294"/>
      <c r="Y828" s="294"/>
      <c r="Z828" s="294"/>
      <c r="AA828" s="294"/>
      <c r="AB828" s="294"/>
      <c r="AC828" s="294"/>
    </row>
    <row r="829" spans="2:29" x14ac:dyDescent="0.25">
      <c r="B829" s="294"/>
      <c r="C829" s="294"/>
      <c r="D829" s="294"/>
      <c r="E829" s="294"/>
      <c r="F829" s="294"/>
      <c r="G829" s="294"/>
      <c r="H829" s="294"/>
      <c r="I829" s="294"/>
      <c r="J829" s="294"/>
      <c r="L829" s="295"/>
      <c r="M829" s="294"/>
      <c r="O829" s="294"/>
      <c r="P829" s="294"/>
      <c r="Q829" s="294"/>
      <c r="R829" s="294"/>
      <c r="S829" s="294"/>
      <c r="T829" s="294"/>
      <c r="U829" s="326"/>
      <c r="V829" s="294"/>
      <c r="W829" s="294"/>
      <c r="X829" s="294"/>
      <c r="Y829" s="294"/>
      <c r="Z829" s="294"/>
      <c r="AA829" s="294"/>
      <c r="AB829" s="294"/>
      <c r="AC829" s="294"/>
    </row>
    <row r="830" spans="2:29" x14ac:dyDescent="0.25">
      <c r="B830" s="294"/>
      <c r="C830" s="294"/>
      <c r="D830" s="294"/>
      <c r="E830" s="294"/>
      <c r="F830" s="294"/>
      <c r="G830" s="294"/>
      <c r="H830" s="294"/>
      <c r="I830" s="294"/>
      <c r="J830" s="294"/>
      <c r="L830" s="295"/>
      <c r="M830" s="294"/>
      <c r="O830" s="294"/>
      <c r="P830" s="294"/>
      <c r="Q830" s="294"/>
      <c r="R830" s="294"/>
      <c r="S830" s="294"/>
      <c r="T830" s="294"/>
      <c r="U830" s="326"/>
      <c r="V830" s="294"/>
      <c r="W830" s="294"/>
      <c r="X830" s="294"/>
      <c r="Y830" s="294"/>
      <c r="Z830" s="294"/>
      <c r="AA830" s="294"/>
      <c r="AB830" s="294"/>
      <c r="AC830" s="294"/>
    </row>
    <row r="831" spans="2:29" x14ac:dyDescent="0.25">
      <c r="B831" s="294"/>
      <c r="C831" s="294"/>
      <c r="D831" s="294"/>
      <c r="E831" s="294"/>
      <c r="F831" s="294"/>
      <c r="G831" s="294"/>
      <c r="H831" s="294"/>
      <c r="I831" s="294"/>
      <c r="J831" s="294"/>
      <c r="L831" s="295"/>
      <c r="M831" s="294"/>
      <c r="O831" s="294"/>
      <c r="P831" s="294"/>
      <c r="Q831" s="294"/>
      <c r="R831" s="294"/>
      <c r="S831" s="294"/>
      <c r="T831" s="294"/>
      <c r="U831" s="326"/>
      <c r="V831" s="294"/>
      <c r="W831" s="294"/>
      <c r="X831" s="294"/>
      <c r="Y831" s="294"/>
      <c r="Z831" s="294"/>
      <c r="AA831" s="294"/>
      <c r="AB831" s="294"/>
      <c r="AC831" s="294"/>
    </row>
    <row r="832" spans="2:29" x14ac:dyDescent="0.25">
      <c r="B832" s="294"/>
      <c r="C832" s="294"/>
      <c r="D832" s="294"/>
      <c r="E832" s="294"/>
      <c r="F832" s="294"/>
      <c r="G832" s="294"/>
      <c r="H832" s="294"/>
      <c r="I832" s="294"/>
      <c r="J832" s="294"/>
      <c r="L832" s="295"/>
      <c r="M832" s="294"/>
      <c r="O832" s="294"/>
      <c r="P832" s="294"/>
      <c r="Q832" s="294"/>
      <c r="R832" s="294"/>
      <c r="S832" s="294"/>
      <c r="T832" s="294"/>
      <c r="U832" s="326"/>
      <c r="V832" s="294"/>
      <c r="W832" s="294"/>
      <c r="X832" s="294"/>
      <c r="Y832" s="294"/>
      <c r="Z832" s="294"/>
      <c r="AA832" s="294"/>
      <c r="AB832" s="294"/>
      <c r="AC832" s="294"/>
    </row>
    <row r="833" spans="2:29" x14ac:dyDescent="0.25">
      <c r="B833" s="294"/>
      <c r="C833" s="294"/>
      <c r="D833" s="294"/>
      <c r="E833" s="294"/>
      <c r="F833" s="294"/>
      <c r="G833" s="294"/>
      <c r="H833" s="294"/>
      <c r="I833" s="294"/>
      <c r="J833" s="294"/>
      <c r="L833" s="295"/>
      <c r="M833" s="294"/>
      <c r="O833" s="294"/>
      <c r="P833" s="294"/>
      <c r="Q833" s="294"/>
      <c r="R833" s="294"/>
      <c r="S833" s="294"/>
      <c r="T833" s="294"/>
      <c r="U833" s="326"/>
      <c r="V833" s="294"/>
      <c r="W833" s="294"/>
      <c r="X833" s="294"/>
      <c r="Y833" s="294"/>
      <c r="Z833" s="294"/>
      <c r="AA833" s="294"/>
      <c r="AB833" s="294"/>
      <c r="AC833" s="294"/>
    </row>
    <row r="834" spans="2:29" x14ac:dyDescent="0.25">
      <c r="B834" s="294"/>
      <c r="C834" s="294"/>
      <c r="D834" s="294"/>
      <c r="E834" s="294"/>
      <c r="F834" s="294"/>
      <c r="G834" s="294"/>
      <c r="H834" s="294"/>
      <c r="I834" s="294"/>
      <c r="J834" s="294"/>
      <c r="L834" s="295"/>
      <c r="M834" s="294"/>
      <c r="O834" s="294"/>
      <c r="P834" s="294"/>
      <c r="Q834" s="294"/>
      <c r="R834" s="294"/>
      <c r="S834" s="294"/>
      <c r="T834" s="294"/>
      <c r="U834" s="326"/>
      <c r="V834" s="294"/>
      <c r="W834" s="294"/>
      <c r="X834" s="294"/>
      <c r="Y834" s="294"/>
      <c r="Z834" s="294"/>
      <c r="AA834" s="294"/>
      <c r="AB834" s="294"/>
      <c r="AC834" s="294"/>
    </row>
    <row r="835" spans="2:29" x14ac:dyDescent="0.25">
      <c r="B835" s="294"/>
      <c r="C835" s="294"/>
      <c r="D835" s="294"/>
      <c r="E835" s="294"/>
      <c r="F835" s="294"/>
      <c r="G835" s="294"/>
      <c r="H835" s="294"/>
      <c r="I835" s="294"/>
      <c r="J835" s="294"/>
      <c r="L835" s="295"/>
      <c r="M835" s="294"/>
      <c r="O835" s="294"/>
      <c r="P835" s="294"/>
      <c r="Q835" s="294"/>
      <c r="R835" s="294"/>
      <c r="S835" s="294"/>
      <c r="T835" s="294"/>
      <c r="U835" s="326"/>
      <c r="V835" s="294"/>
      <c r="W835" s="294"/>
      <c r="X835" s="294"/>
      <c r="Y835" s="294"/>
      <c r="Z835" s="294"/>
      <c r="AA835" s="294"/>
      <c r="AB835" s="294"/>
      <c r="AC835" s="294"/>
    </row>
    <row r="836" spans="2:29" x14ac:dyDescent="0.25">
      <c r="B836" s="294"/>
      <c r="C836" s="294"/>
      <c r="D836" s="294"/>
      <c r="E836" s="294"/>
      <c r="F836" s="294"/>
      <c r="G836" s="294"/>
      <c r="H836" s="294"/>
      <c r="I836" s="294"/>
      <c r="J836" s="294"/>
      <c r="L836" s="295"/>
      <c r="M836" s="294"/>
      <c r="O836" s="294"/>
      <c r="P836" s="294"/>
      <c r="Q836" s="294"/>
      <c r="R836" s="294"/>
      <c r="S836" s="294"/>
      <c r="T836" s="294"/>
      <c r="U836" s="326"/>
      <c r="V836" s="294"/>
      <c r="W836" s="294"/>
      <c r="X836" s="294"/>
      <c r="Y836" s="294"/>
      <c r="Z836" s="294"/>
      <c r="AA836" s="294"/>
      <c r="AB836" s="294"/>
      <c r="AC836" s="294"/>
    </row>
    <row r="837" spans="2:29" x14ac:dyDescent="0.25">
      <c r="B837" s="294"/>
      <c r="C837" s="294"/>
      <c r="D837" s="294"/>
      <c r="E837" s="294"/>
      <c r="F837" s="294"/>
      <c r="G837" s="294"/>
      <c r="H837" s="294"/>
      <c r="I837" s="294"/>
      <c r="J837" s="294"/>
      <c r="L837" s="295"/>
      <c r="M837" s="294"/>
      <c r="O837" s="294"/>
      <c r="P837" s="294"/>
      <c r="Q837" s="294"/>
      <c r="R837" s="294"/>
      <c r="S837" s="294"/>
      <c r="T837" s="294"/>
      <c r="U837" s="326"/>
      <c r="V837" s="294"/>
      <c r="W837" s="294"/>
      <c r="X837" s="294"/>
      <c r="Y837" s="294"/>
      <c r="Z837" s="294"/>
      <c r="AA837" s="294"/>
      <c r="AB837" s="294"/>
      <c r="AC837" s="294"/>
    </row>
    <row r="838" spans="2:29" x14ac:dyDescent="0.25">
      <c r="B838" s="294"/>
      <c r="C838" s="294"/>
      <c r="D838" s="294"/>
      <c r="E838" s="294"/>
      <c r="F838" s="294"/>
      <c r="G838" s="294"/>
      <c r="H838" s="294"/>
      <c r="I838" s="294"/>
      <c r="J838" s="294"/>
      <c r="L838" s="295"/>
      <c r="M838" s="294"/>
      <c r="O838" s="294"/>
      <c r="P838" s="294"/>
      <c r="Q838" s="294"/>
      <c r="R838" s="294"/>
      <c r="S838" s="294"/>
      <c r="T838" s="294"/>
      <c r="U838" s="326"/>
      <c r="V838" s="294"/>
      <c r="W838" s="294"/>
      <c r="X838" s="294"/>
      <c r="Y838" s="294"/>
      <c r="Z838" s="294"/>
      <c r="AA838" s="294"/>
      <c r="AB838" s="294"/>
      <c r="AC838" s="294"/>
    </row>
    <row r="839" spans="2:29" x14ac:dyDescent="0.25">
      <c r="B839" s="294"/>
      <c r="C839" s="294"/>
      <c r="D839" s="294"/>
      <c r="E839" s="294"/>
      <c r="F839" s="294"/>
      <c r="G839" s="294"/>
      <c r="H839" s="294"/>
      <c r="I839" s="294"/>
      <c r="J839" s="294"/>
      <c r="L839" s="295"/>
      <c r="M839" s="294"/>
      <c r="O839" s="294"/>
      <c r="P839" s="294"/>
      <c r="Q839" s="294"/>
      <c r="R839" s="294"/>
      <c r="S839" s="294"/>
      <c r="T839" s="294"/>
      <c r="U839" s="326"/>
      <c r="V839" s="294"/>
      <c r="W839" s="294"/>
      <c r="X839" s="294"/>
      <c r="Y839" s="294"/>
      <c r="Z839" s="294"/>
      <c r="AA839" s="294"/>
      <c r="AB839" s="294"/>
      <c r="AC839" s="294"/>
    </row>
    <row r="840" spans="2:29" x14ac:dyDescent="0.25">
      <c r="B840" s="294"/>
      <c r="C840" s="294"/>
      <c r="D840" s="294"/>
      <c r="E840" s="294"/>
      <c r="F840" s="294"/>
      <c r="G840" s="294"/>
      <c r="H840" s="294"/>
      <c r="I840" s="294"/>
      <c r="J840" s="294"/>
      <c r="L840" s="295"/>
      <c r="M840" s="294"/>
      <c r="O840" s="294"/>
      <c r="P840" s="294"/>
      <c r="Q840" s="294"/>
      <c r="R840" s="294"/>
      <c r="S840" s="294"/>
      <c r="T840" s="294"/>
      <c r="U840" s="326"/>
      <c r="V840" s="294"/>
      <c r="W840" s="294"/>
      <c r="X840" s="294"/>
      <c r="Y840" s="294"/>
      <c r="Z840" s="294"/>
      <c r="AA840" s="294"/>
      <c r="AB840" s="294"/>
      <c r="AC840" s="294"/>
    </row>
    <row r="841" spans="2:29" x14ac:dyDescent="0.25">
      <c r="B841" s="294"/>
      <c r="C841" s="294"/>
      <c r="D841" s="294"/>
      <c r="E841" s="294"/>
      <c r="F841" s="294"/>
      <c r="G841" s="294"/>
      <c r="H841" s="294"/>
      <c r="I841" s="294"/>
      <c r="J841" s="294"/>
      <c r="L841" s="295"/>
      <c r="M841" s="294"/>
      <c r="O841" s="294"/>
      <c r="P841" s="294"/>
      <c r="Q841" s="294"/>
      <c r="R841" s="294"/>
      <c r="S841" s="294"/>
      <c r="T841" s="294"/>
      <c r="U841" s="326"/>
      <c r="V841" s="294"/>
      <c r="W841" s="294"/>
      <c r="X841" s="294"/>
      <c r="Y841" s="294"/>
      <c r="Z841" s="294"/>
      <c r="AA841" s="294"/>
      <c r="AB841" s="294"/>
      <c r="AC841" s="294"/>
    </row>
    <row r="842" spans="2:29" x14ac:dyDescent="0.25">
      <c r="B842" s="294"/>
      <c r="C842" s="294"/>
      <c r="D842" s="294"/>
      <c r="E842" s="294"/>
      <c r="F842" s="294"/>
      <c r="G842" s="294"/>
      <c r="H842" s="294"/>
      <c r="I842" s="294"/>
      <c r="J842" s="294"/>
      <c r="L842" s="295"/>
      <c r="M842" s="294"/>
      <c r="O842" s="294"/>
      <c r="P842" s="294"/>
      <c r="Q842" s="294"/>
      <c r="R842" s="294"/>
      <c r="S842" s="294"/>
      <c r="T842" s="294"/>
      <c r="U842" s="326"/>
      <c r="V842" s="294"/>
      <c r="W842" s="294"/>
      <c r="X842" s="294"/>
      <c r="Y842" s="294"/>
      <c r="Z842" s="294"/>
      <c r="AA842" s="294"/>
      <c r="AB842" s="294"/>
      <c r="AC842" s="294"/>
    </row>
    <row r="843" spans="2:29" x14ac:dyDescent="0.25">
      <c r="B843" s="294"/>
      <c r="C843" s="294"/>
      <c r="D843" s="294"/>
      <c r="E843" s="294"/>
      <c r="F843" s="294"/>
      <c r="G843" s="294"/>
      <c r="H843" s="294"/>
      <c r="I843" s="294"/>
      <c r="J843" s="294"/>
      <c r="L843" s="295"/>
      <c r="M843" s="294"/>
      <c r="O843" s="294"/>
      <c r="P843" s="294"/>
      <c r="Q843" s="294"/>
      <c r="R843" s="294"/>
      <c r="S843" s="294"/>
      <c r="T843" s="294"/>
      <c r="U843" s="326"/>
      <c r="V843" s="294"/>
      <c r="W843" s="294"/>
      <c r="X843" s="294"/>
      <c r="Y843" s="294"/>
      <c r="Z843" s="294"/>
      <c r="AA843" s="294"/>
      <c r="AB843" s="294"/>
      <c r="AC843" s="294"/>
    </row>
    <row r="844" spans="2:29" x14ac:dyDescent="0.25">
      <c r="B844" s="294"/>
      <c r="C844" s="294"/>
      <c r="D844" s="294"/>
      <c r="E844" s="294"/>
      <c r="F844" s="294"/>
      <c r="G844" s="294"/>
      <c r="H844" s="294"/>
      <c r="I844" s="294"/>
      <c r="J844" s="294"/>
      <c r="L844" s="295"/>
      <c r="M844" s="294"/>
      <c r="O844" s="294"/>
      <c r="P844" s="294"/>
      <c r="Q844" s="294"/>
      <c r="R844" s="294"/>
      <c r="S844" s="294"/>
      <c r="T844" s="294"/>
      <c r="U844" s="326"/>
      <c r="V844" s="294"/>
      <c r="W844" s="294"/>
      <c r="X844" s="294"/>
      <c r="Y844" s="294"/>
      <c r="Z844" s="294"/>
      <c r="AA844" s="294"/>
      <c r="AB844" s="294"/>
      <c r="AC844" s="294"/>
    </row>
    <row r="845" spans="2:29" x14ac:dyDescent="0.25">
      <c r="B845" s="294"/>
      <c r="C845" s="294"/>
      <c r="D845" s="294"/>
      <c r="E845" s="294"/>
      <c r="F845" s="294"/>
      <c r="G845" s="294"/>
      <c r="H845" s="294"/>
      <c r="I845" s="294"/>
      <c r="J845" s="294"/>
      <c r="L845" s="295"/>
      <c r="M845" s="294"/>
      <c r="O845" s="294"/>
      <c r="P845" s="294"/>
      <c r="Q845" s="294"/>
      <c r="R845" s="294"/>
      <c r="S845" s="294"/>
      <c r="T845" s="294"/>
      <c r="U845" s="326"/>
      <c r="V845" s="294"/>
      <c r="W845" s="294"/>
      <c r="X845" s="294"/>
      <c r="Y845" s="294"/>
      <c r="Z845" s="294"/>
      <c r="AA845" s="294"/>
      <c r="AB845" s="294"/>
      <c r="AC845" s="294"/>
    </row>
    <row r="846" spans="2:29" x14ac:dyDescent="0.25">
      <c r="B846" s="294"/>
      <c r="C846" s="294"/>
      <c r="D846" s="294"/>
      <c r="E846" s="294"/>
      <c r="F846" s="294"/>
      <c r="G846" s="294"/>
      <c r="H846" s="294"/>
      <c r="I846" s="294"/>
      <c r="J846" s="294"/>
      <c r="L846" s="295"/>
      <c r="M846" s="294"/>
      <c r="O846" s="294"/>
      <c r="P846" s="294"/>
      <c r="Q846" s="294"/>
      <c r="R846" s="294"/>
      <c r="S846" s="294"/>
      <c r="T846" s="294"/>
      <c r="U846" s="326"/>
      <c r="V846" s="294"/>
      <c r="W846" s="294"/>
      <c r="X846" s="294"/>
      <c r="Y846" s="294"/>
      <c r="Z846" s="294"/>
      <c r="AA846" s="294"/>
      <c r="AB846" s="294"/>
      <c r="AC846" s="294"/>
    </row>
    <row r="847" spans="2:29" x14ac:dyDescent="0.25">
      <c r="B847" s="294"/>
      <c r="C847" s="294"/>
      <c r="D847" s="294"/>
      <c r="E847" s="294"/>
      <c r="F847" s="294"/>
      <c r="G847" s="294"/>
      <c r="H847" s="294"/>
      <c r="I847" s="294"/>
      <c r="J847" s="294"/>
      <c r="L847" s="295"/>
      <c r="M847" s="294"/>
      <c r="O847" s="294"/>
      <c r="P847" s="294"/>
      <c r="Q847" s="294"/>
      <c r="R847" s="294"/>
      <c r="S847" s="294"/>
      <c r="T847" s="294"/>
      <c r="U847" s="326"/>
      <c r="V847" s="294"/>
      <c r="W847" s="294"/>
      <c r="X847" s="294"/>
      <c r="Y847" s="294"/>
      <c r="Z847" s="294"/>
      <c r="AA847" s="294"/>
      <c r="AB847" s="294"/>
      <c r="AC847" s="294"/>
    </row>
    <row r="848" spans="2:29" x14ac:dyDescent="0.25">
      <c r="B848" s="294"/>
      <c r="C848" s="294"/>
      <c r="D848" s="294"/>
      <c r="E848" s="294"/>
      <c r="F848" s="294"/>
      <c r="G848" s="294"/>
      <c r="H848" s="294"/>
      <c r="I848" s="294"/>
      <c r="J848" s="294"/>
      <c r="L848" s="295"/>
      <c r="M848" s="294"/>
      <c r="O848" s="294"/>
      <c r="P848" s="294"/>
      <c r="Q848" s="294"/>
      <c r="R848" s="294"/>
      <c r="S848" s="294"/>
      <c r="T848" s="294"/>
      <c r="U848" s="326"/>
      <c r="V848" s="294"/>
      <c r="W848" s="294"/>
      <c r="X848" s="294"/>
      <c r="Y848" s="294"/>
      <c r="Z848" s="294"/>
      <c r="AA848" s="294"/>
      <c r="AB848" s="294"/>
      <c r="AC848" s="294"/>
    </row>
    <row r="849" spans="2:29" x14ac:dyDescent="0.25">
      <c r="B849" s="294"/>
      <c r="C849" s="294"/>
      <c r="D849" s="294"/>
      <c r="E849" s="294"/>
      <c r="F849" s="294"/>
      <c r="G849" s="294"/>
      <c r="H849" s="294"/>
      <c r="I849" s="294"/>
      <c r="J849" s="294"/>
      <c r="L849" s="295"/>
      <c r="M849" s="294"/>
      <c r="O849" s="294"/>
      <c r="P849" s="294"/>
      <c r="Q849" s="294"/>
      <c r="R849" s="294"/>
      <c r="S849" s="294"/>
      <c r="T849" s="294"/>
      <c r="U849" s="326"/>
      <c r="V849" s="294"/>
      <c r="W849" s="294"/>
      <c r="X849" s="294"/>
      <c r="Y849" s="294"/>
      <c r="Z849" s="294"/>
      <c r="AA849" s="294"/>
      <c r="AB849" s="294"/>
      <c r="AC849" s="294"/>
    </row>
    <row r="850" spans="2:29" x14ac:dyDescent="0.25">
      <c r="B850" s="294"/>
      <c r="C850" s="294"/>
      <c r="D850" s="294"/>
      <c r="E850" s="294"/>
      <c r="F850" s="294"/>
      <c r="G850" s="294"/>
      <c r="H850" s="294"/>
      <c r="I850" s="294"/>
      <c r="J850" s="294"/>
      <c r="L850" s="295"/>
      <c r="M850" s="294"/>
      <c r="O850" s="294"/>
      <c r="P850" s="294"/>
      <c r="Q850" s="294"/>
      <c r="R850" s="294"/>
      <c r="S850" s="294"/>
      <c r="T850" s="294"/>
      <c r="U850" s="326"/>
      <c r="V850" s="294"/>
      <c r="W850" s="294"/>
      <c r="X850" s="294"/>
      <c r="Y850" s="294"/>
      <c r="Z850" s="294"/>
      <c r="AA850" s="294"/>
      <c r="AB850" s="294"/>
      <c r="AC850" s="294"/>
    </row>
    <row r="851" spans="2:29" x14ac:dyDescent="0.25">
      <c r="B851" s="294"/>
      <c r="C851" s="294"/>
      <c r="D851" s="294"/>
      <c r="E851" s="294"/>
      <c r="F851" s="294"/>
      <c r="G851" s="294"/>
      <c r="H851" s="294"/>
      <c r="I851" s="294"/>
      <c r="J851" s="294"/>
      <c r="L851" s="295"/>
      <c r="M851" s="294"/>
      <c r="O851" s="294"/>
      <c r="P851" s="294"/>
      <c r="Q851" s="294"/>
      <c r="R851" s="294"/>
      <c r="S851" s="294"/>
      <c r="T851" s="294"/>
      <c r="U851" s="326"/>
      <c r="V851" s="294"/>
      <c r="W851" s="294"/>
      <c r="X851" s="294"/>
      <c r="Y851" s="294"/>
      <c r="Z851" s="294"/>
      <c r="AA851" s="294"/>
      <c r="AB851" s="294"/>
      <c r="AC851" s="294"/>
    </row>
    <row r="852" spans="2:29" x14ac:dyDescent="0.25">
      <c r="B852" s="294"/>
      <c r="C852" s="294"/>
      <c r="D852" s="294"/>
      <c r="E852" s="294"/>
      <c r="F852" s="294"/>
      <c r="G852" s="294"/>
      <c r="H852" s="294"/>
      <c r="I852" s="294"/>
      <c r="J852" s="294"/>
      <c r="L852" s="295"/>
      <c r="M852" s="294"/>
      <c r="O852" s="294"/>
      <c r="P852" s="294"/>
      <c r="Q852" s="294"/>
      <c r="R852" s="294"/>
      <c r="S852" s="294"/>
      <c r="T852" s="294"/>
      <c r="U852" s="326"/>
      <c r="V852" s="294"/>
      <c r="W852" s="294"/>
      <c r="X852" s="294"/>
      <c r="Y852" s="294"/>
      <c r="Z852" s="294"/>
      <c r="AA852" s="294"/>
      <c r="AB852" s="294"/>
      <c r="AC852" s="294"/>
    </row>
    <row r="853" spans="2:29" x14ac:dyDescent="0.25">
      <c r="B853" s="294"/>
      <c r="C853" s="294"/>
      <c r="D853" s="294"/>
      <c r="E853" s="294"/>
      <c r="F853" s="294"/>
      <c r="G853" s="294"/>
      <c r="H853" s="294"/>
      <c r="I853" s="294"/>
      <c r="J853" s="294"/>
      <c r="L853" s="295"/>
      <c r="M853" s="294"/>
      <c r="O853" s="294"/>
      <c r="P853" s="294"/>
      <c r="Q853" s="294"/>
      <c r="R853" s="294"/>
      <c r="S853" s="294"/>
      <c r="T853" s="294"/>
      <c r="U853" s="326"/>
      <c r="V853" s="294"/>
      <c r="W853" s="294"/>
      <c r="X853" s="294"/>
      <c r="Y853" s="294"/>
      <c r="Z853" s="294"/>
      <c r="AA853" s="294"/>
      <c r="AB853" s="294"/>
      <c r="AC853" s="294"/>
    </row>
    <row r="854" spans="2:29" x14ac:dyDescent="0.25">
      <c r="B854" s="294"/>
      <c r="C854" s="294"/>
      <c r="D854" s="294"/>
      <c r="E854" s="294"/>
      <c r="F854" s="294"/>
      <c r="G854" s="294"/>
      <c r="H854" s="294"/>
      <c r="I854" s="294"/>
      <c r="J854" s="294"/>
      <c r="L854" s="295"/>
      <c r="M854" s="294"/>
      <c r="O854" s="294"/>
      <c r="P854" s="294"/>
      <c r="Q854" s="294"/>
      <c r="R854" s="294"/>
      <c r="S854" s="294"/>
      <c r="T854" s="294"/>
      <c r="U854" s="326"/>
      <c r="V854" s="294"/>
      <c r="W854" s="294"/>
      <c r="X854" s="294"/>
      <c r="Y854" s="294"/>
      <c r="Z854" s="294"/>
      <c r="AA854" s="294"/>
      <c r="AB854" s="294"/>
      <c r="AC854" s="294"/>
    </row>
    <row r="855" spans="2:29" x14ac:dyDescent="0.25">
      <c r="B855" s="294"/>
      <c r="C855" s="294"/>
      <c r="D855" s="294"/>
      <c r="E855" s="294"/>
      <c r="F855" s="294"/>
      <c r="G855" s="294"/>
      <c r="H855" s="294"/>
      <c r="I855" s="294"/>
      <c r="J855" s="294"/>
      <c r="L855" s="295"/>
      <c r="M855" s="294"/>
      <c r="O855" s="294"/>
      <c r="P855" s="294"/>
      <c r="Q855" s="294"/>
      <c r="R855" s="294"/>
      <c r="S855" s="294"/>
      <c r="T855" s="294"/>
      <c r="U855" s="326"/>
      <c r="V855" s="294"/>
      <c r="W855" s="294"/>
      <c r="X855" s="294"/>
      <c r="Y855" s="294"/>
      <c r="Z855" s="294"/>
      <c r="AA855" s="294"/>
      <c r="AB855" s="294"/>
      <c r="AC855" s="294"/>
    </row>
    <row r="856" spans="2:29" x14ac:dyDescent="0.25">
      <c r="B856" s="294"/>
      <c r="C856" s="294"/>
      <c r="D856" s="294"/>
      <c r="E856" s="294"/>
      <c r="F856" s="294"/>
      <c r="G856" s="294"/>
      <c r="H856" s="294"/>
      <c r="I856" s="294"/>
      <c r="J856" s="294"/>
      <c r="L856" s="295"/>
      <c r="M856" s="294"/>
      <c r="O856" s="294"/>
      <c r="P856" s="294"/>
      <c r="Q856" s="294"/>
      <c r="R856" s="294"/>
      <c r="S856" s="294"/>
      <c r="T856" s="294"/>
      <c r="U856" s="326"/>
      <c r="V856" s="294"/>
      <c r="W856" s="294"/>
      <c r="X856" s="294"/>
      <c r="Y856" s="294"/>
      <c r="Z856" s="294"/>
      <c r="AA856" s="294"/>
      <c r="AB856" s="294"/>
      <c r="AC856" s="294"/>
    </row>
    <row r="857" spans="2:29" x14ac:dyDescent="0.25">
      <c r="B857" s="294"/>
      <c r="C857" s="294"/>
      <c r="D857" s="294"/>
      <c r="E857" s="294"/>
      <c r="F857" s="294"/>
      <c r="G857" s="294"/>
      <c r="H857" s="294"/>
      <c r="I857" s="294"/>
      <c r="J857" s="294"/>
      <c r="L857" s="295"/>
      <c r="M857" s="294"/>
      <c r="O857" s="294"/>
      <c r="P857" s="294"/>
      <c r="Q857" s="294"/>
      <c r="R857" s="294"/>
      <c r="S857" s="294"/>
      <c r="T857" s="294"/>
      <c r="U857" s="326"/>
      <c r="V857" s="294"/>
      <c r="W857" s="294"/>
      <c r="X857" s="294"/>
      <c r="Y857" s="294"/>
      <c r="Z857" s="294"/>
      <c r="AA857" s="294"/>
      <c r="AB857" s="294"/>
      <c r="AC857" s="294"/>
    </row>
    <row r="858" spans="2:29" x14ac:dyDescent="0.25">
      <c r="B858" s="294"/>
      <c r="C858" s="294"/>
      <c r="D858" s="294"/>
      <c r="E858" s="294"/>
      <c r="F858" s="294"/>
      <c r="G858" s="294"/>
      <c r="H858" s="294"/>
      <c r="I858" s="294"/>
      <c r="J858" s="294"/>
      <c r="L858" s="295"/>
      <c r="M858" s="294"/>
      <c r="O858" s="294"/>
      <c r="P858" s="294"/>
      <c r="Q858" s="294"/>
      <c r="R858" s="294"/>
      <c r="S858" s="294"/>
      <c r="T858" s="294"/>
      <c r="U858" s="326"/>
      <c r="V858" s="294"/>
      <c r="W858" s="294"/>
      <c r="X858" s="294"/>
      <c r="Y858" s="294"/>
      <c r="Z858" s="294"/>
      <c r="AA858" s="294"/>
      <c r="AB858" s="294"/>
      <c r="AC858" s="294"/>
    </row>
    <row r="859" spans="2:29" x14ac:dyDescent="0.25">
      <c r="B859" s="294"/>
      <c r="C859" s="294"/>
      <c r="D859" s="294"/>
      <c r="E859" s="294"/>
      <c r="F859" s="294"/>
      <c r="G859" s="294"/>
      <c r="H859" s="294"/>
      <c r="I859" s="294"/>
      <c r="J859" s="294"/>
      <c r="L859" s="295"/>
      <c r="M859" s="294"/>
      <c r="O859" s="294"/>
      <c r="P859" s="294"/>
      <c r="Q859" s="294"/>
      <c r="R859" s="294"/>
      <c r="S859" s="294"/>
      <c r="T859" s="294"/>
      <c r="U859" s="326"/>
      <c r="V859" s="294"/>
      <c r="W859" s="294"/>
      <c r="X859" s="294"/>
      <c r="Y859" s="294"/>
      <c r="Z859" s="294"/>
      <c r="AA859" s="294"/>
      <c r="AB859" s="294"/>
      <c r="AC859" s="294"/>
    </row>
    <row r="860" spans="2:29" x14ac:dyDescent="0.25">
      <c r="B860" s="294"/>
      <c r="C860" s="294"/>
      <c r="D860" s="294"/>
      <c r="E860" s="294"/>
      <c r="F860" s="294"/>
      <c r="G860" s="294"/>
      <c r="H860" s="294"/>
      <c r="I860" s="294"/>
      <c r="J860" s="294"/>
      <c r="L860" s="295"/>
      <c r="M860" s="294"/>
      <c r="O860" s="294"/>
      <c r="P860" s="294"/>
      <c r="Q860" s="294"/>
      <c r="R860" s="294"/>
      <c r="S860" s="294"/>
      <c r="T860" s="294"/>
      <c r="U860" s="326"/>
      <c r="V860" s="294"/>
      <c r="W860" s="294"/>
      <c r="X860" s="294"/>
      <c r="Y860" s="294"/>
      <c r="Z860" s="294"/>
      <c r="AA860" s="294"/>
      <c r="AB860" s="294"/>
      <c r="AC860" s="294"/>
    </row>
    <row r="861" spans="2:29" x14ac:dyDescent="0.25">
      <c r="B861" s="294"/>
      <c r="C861" s="294"/>
      <c r="D861" s="294"/>
      <c r="E861" s="294"/>
      <c r="F861" s="294"/>
      <c r="G861" s="294"/>
      <c r="H861" s="294"/>
      <c r="I861" s="294"/>
      <c r="J861" s="294"/>
      <c r="L861" s="295"/>
      <c r="M861" s="294"/>
      <c r="O861" s="294"/>
      <c r="P861" s="294"/>
      <c r="Q861" s="294"/>
      <c r="R861" s="294"/>
      <c r="S861" s="294"/>
      <c r="T861" s="294"/>
      <c r="U861" s="326"/>
      <c r="V861" s="294"/>
      <c r="W861" s="294"/>
      <c r="X861" s="294"/>
      <c r="Y861" s="294"/>
      <c r="Z861" s="294"/>
      <c r="AA861" s="294"/>
      <c r="AB861" s="294"/>
      <c r="AC861" s="294"/>
    </row>
    <row r="862" spans="2:29" x14ac:dyDescent="0.25">
      <c r="B862" s="294"/>
      <c r="C862" s="294"/>
      <c r="D862" s="294"/>
      <c r="E862" s="294"/>
      <c r="F862" s="294"/>
      <c r="G862" s="294"/>
      <c r="H862" s="294"/>
      <c r="I862" s="294"/>
      <c r="J862" s="294"/>
      <c r="L862" s="295"/>
      <c r="M862" s="294"/>
      <c r="O862" s="294"/>
      <c r="P862" s="294"/>
      <c r="Q862" s="294"/>
      <c r="R862" s="294"/>
      <c r="S862" s="294"/>
      <c r="T862" s="294"/>
      <c r="U862" s="326"/>
      <c r="V862" s="294"/>
      <c r="W862" s="294"/>
      <c r="X862" s="294"/>
      <c r="Y862" s="294"/>
      <c r="Z862" s="294"/>
      <c r="AA862" s="294"/>
      <c r="AB862" s="294"/>
      <c r="AC862" s="294"/>
    </row>
    <row r="863" spans="2:29" x14ac:dyDescent="0.25">
      <c r="B863" s="294"/>
      <c r="C863" s="294"/>
      <c r="D863" s="294"/>
      <c r="E863" s="294"/>
      <c r="F863" s="294"/>
      <c r="G863" s="294"/>
      <c r="H863" s="294"/>
      <c r="I863" s="294"/>
      <c r="J863" s="294"/>
      <c r="L863" s="295"/>
      <c r="M863" s="294"/>
      <c r="O863" s="294"/>
      <c r="P863" s="294"/>
      <c r="Q863" s="294"/>
      <c r="R863" s="294"/>
      <c r="S863" s="294"/>
      <c r="T863" s="294"/>
      <c r="U863" s="326"/>
      <c r="V863" s="294"/>
      <c r="W863" s="294"/>
      <c r="X863" s="294"/>
      <c r="Y863" s="294"/>
      <c r="Z863" s="294"/>
      <c r="AA863" s="294"/>
      <c r="AB863" s="294"/>
      <c r="AC863" s="294"/>
    </row>
    <row r="864" spans="2:29" x14ac:dyDescent="0.25">
      <c r="B864" s="294"/>
      <c r="C864" s="294"/>
      <c r="D864" s="294"/>
      <c r="E864" s="294"/>
      <c r="F864" s="294"/>
      <c r="G864" s="294"/>
      <c r="H864" s="294"/>
      <c r="I864" s="294"/>
      <c r="J864" s="294"/>
      <c r="L864" s="295"/>
      <c r="M864" s="294"/>
      <c r="O864" s="294"/>
      <c r="P864" s="294"/>
      <c r="Q864" s="294"/>
      <c r="R864" s="294"/>
      <c r="S864" s="294"/>
      <c r="T864" s="294"/>
      <c r="U864" s="326"/>
      <c r="V864" s="294"/>
      <c r="W864" s="294"/>
      <c r="X864" s="294"/>
      <c r="Y864" s="294"/>
      <c r="Z864" s="294"/>
      <c r="AA864" s="294"/>
      <c r="AB864" s="294"/>
      <c r="AC864" s="294"/>
    </row>
    <row r="865" spans="2:29" x14ac:dyDescent="0.25">
      <c r="B865" s="294"/>
      <c r="C865" s="294"/>
      <c r="D865" s="294"/>
      <c r="E865" s="294"/>
      <c r="F865" s="294"/>
      <c r="G865" s="294"/>
      <c r="H865" s="294"/>
      <c r="I865" s="294"/>
      <c r="J865" s="294"/>
      <c r="L865" s="295"/>
      <c r="M865" s="294"/>
      <c r="O865" s="294"/>
      <c r="P865" s="294"/>
      <c r="Q865" s="294"/>
      <c r="R865" s="294"/>
      <c r="S865" s="294"/>
      <c r="T865" s="294"/>
      <c r="U865" s="326"/>
      <c r="V865" s="294"/>
      <c r="W865" s="294"/>
      <c r="X865" s="294"/>
      <c r="Y865" s="294"/>
      <c r="Z865" s="294"/>
      <c r="AA865" s="294"/>
      <c r="AB865" s="294"/>
      <c r="AC865" s="294"/>
    </row>
    <row r="866" spans="2:29" x14ac:dyDescent="0.25">
      <c r="B866" s="294"/>
      <c r="C866" s="294"/>
      <c r="D866" s="294"/>
      <c r="E866" s="294"/>
      <c r="F866" s="294"/>
      <c r="G866" s="294"/>
      <c r="H866" s="294"/>
      <c r="I866" s="294"/>
      <c r="J866" s="294"/>
      <c r="L866" s="295"/>
      <c r="M866" s="294"/>
      <c r="O866" s="294"/>
      <c r="P866" s="294"/>
      <c r="Q866" s="294"/>
      <c r="R866" s="294"/>
      <c r="S866" s="294"/>
      <c r="T866" s="294"/>
      <c r="U866" s="326"/>
      <c r="V866" s="294"/>
      <c r="W866" s="294"/>
      <c r="X866" s="294"/>
      <c r="Y866" s="294"/>
      <c r="Z866" s="294"/>
      <c r="AA866" s="294"/>
      <c r="AB866" s="294"/>
      <c r="AC866" s="294"/>
    </row>
    <row r="867" spans="2:29" x14ac:dyDescent="0.25">
      <c r="B867" s="294"/>
      <c r="C867" s="294"/>
      <c r="D867" s="294"/>
      <c r="E867" s="294"/>
      <c r="F867" s="294"/>
      <c r="G867" s="294"/>
      <c r="H867" s="294"/>
      <c r="I867" s="294"/>
      <c r="J867" s="294"/>
      <c r="L867" s="295"/>
      <c r="M867" s="294"/>
      <c r="O867" s="294"/>
      <c r="P867" s="294"/>
      <c r="Q867" s="294"/>
      <c r="R867" s="294"/>
      <c r="S867" s="294"/>
      <c r="T867" s="294"/>
      <c r="U867" s="326"/>
      <c r="V867" s="294"/>
      <c r="W867" s="294"/>
      <c r="X867" s="294"/>
      <c r="Y867" s="294"/>
      <c r="Z867" s="294"/>
      <c r="AA867" s="294"/>
      <c r="AB867" s="294"/>
      <c r="AC867" s="294"/>
    </row>
    <row r="868" spans="2:29" x14ac:dyDescent="0.25">
      <c r="B868" s="294"/>
      <c r="C868" s="294"/>
      <c r="D868" s="294"/>
      <c r="E868" s="294"/>
      <c r="F868" s="294"/>
      <c r="G868" s="294"/>
      <c r="H868" s="294"/>
      <c r="I868" s="294"/>
      <c r="J868" s="294"/>
      <c r="L868" s="295"/>
      <c r="M868" s="294"/>
      <c r="O868" s="294"/>
      <c r="P868" s="294"/>
      <c r="Q868" s="294"/>
      <c r="R868" s="294"/>
      <c r="S868" s="294"/>
      <c r="T868" s="294"/>
      <c r="U868" s="326"/>
      <c r="V868" s="294"/>
      <c r="W868" s="294"/>
      <c r="X868" s="294"/>
      <c r="Y868" s="294"/>
      <c r="Z868" s="294"/>
      <c r="AA868" s="294"/>
      <c r="AB868" s="294"/>
      <c r="AC868" s="294"/>
    </row>
    <row r="869" spans="2:29" x14ac:dyDescent="0.25">
      <c r="B869" s="294"/>
      <c r="C869" s="294"/>
      <c r="D869" s="294"/>
      <c r="E869" s="294"/>
      <c r="F869" s="294"/>
      <c r="G869" s="294"/>
      <c r="H869" s="294"/>
      <c r="I869" s="294"/>
      <c r="J869" s="294"/>
      <c r="L869" s="295"/>
      <c r="M869" s="294"/>
      <c r="O869" s="294"/>
      <c r="P869" s="294"/>
      <c r="Q869" s="294"/>
      <c r="R869" s="294"/>
      <c r="S869" s="294"/>
      <c r="T869" s="294"/>
      <c r="U869" s="326"/>
      <c r="V869" s="294"/>
      <c r="W869" s="294"/>
      <c r="X869" s="294"/>
      <c r="Y869" s="294"/>
      <c r="Z869" s="294"/>
      <c r="AA869" s="294"/>
      <c r="AB869" s="294"/>
      <c r="AC869" s="294"/>
    </row>
    <row r="870" spans="2:29" x14ac:dyDescent="0.25">
      <c r="B870" s="294"/>
      <c r="C870" s="294"/>
      <c r="D870" s="294"/>
      <c r="E870" s="294"/>
      <c r="F870" s="294"/>
      <c r="G870" s="294"/>
      <c r="H870" s="294"/>
      <c r="I870" s="294"/>
      <c r="J870" s="294"/>
      <c r="L870" s="295"/>
      <c r="M870" s="294"/>
      <c r="O870" s="294"/>
      <c r="P870" s="294"/>
      <c r="Q870" s="294"/>
      <c r="R870" s="294"/>
      <c r="S870" s="294"/>
      <c r="T870" s="294"/>
      <c r="U870" s="326"/>
      <c r="V870" s="294"/>
      <c r="W870" s="294"/>
      <c r="X870" s="294"/>
      <c r="Y870" s="294"/>
      <c r="Z870" s="294"/>
      <c r="AA870" s="294"/>
      <c r="AB870" s="294"/>
      <c r="AC870" s="294"/>
    </row>
    <row r="871" spans="2:29" x14ac:dyDescent="0.25">
      <c r="B871" s="294"/>
      <c r="C871" s="294"/>
      <c r="D871" s="294"/>
      <c r="E871" s="294"/>
      <c r="F871" s="294"/>
      <c r="G871" s="294"/>
      <c r="H871" s="294"/>
      <c r="I871" s="294"/>
      <c r="J871" s="294"/>
      <c r="L871" s="295"/>
      <c r="M871" s="294"/>
      <c r="O871" s="294"/>
      <c r="P871" s="294"/>
      <c r="Q871" s="294"/>
      <c r="R871" s="294"/>
      <c r="S871" s="294"/>
      <c r="T871" s="294"/>
      <c r="U871" s="326"/>
      <c r="V871" s="294"/>
      <c r="W871" s="294"/>
      <c r="X871" s="294"/>
      <c r="Y871" s="294"/>
      <c r="Z871" s="294"/>
      <c r="AA871" s="294"/>
      <c r="AB871" s="294"/>
      <c r="AC871" s="294"/>
    </row>
    <row r="872" spans="2:29" x14ac:dyDescent="0.25">
      <c r="B872" s="294"/>
      <c r="C872" s="294"/>
      <c r="D872" s="294"/>
      <c r="E872" s="294"/>
      <c r="F872" s="294"/>
      <c r="G872" s="294"/>
      <c r="H872" s="294"/>
      <c r="I872" s="294"/>
      <c r="J872" s="294"/>
      <c r="L872" s="295"/>
      <c r="M872" s="294"/>
      <c r="O872" s="294"/>
      <c r="P872" s="294"/>
      <c r="Q872" s="294"/>
      <c r="R872" s="294"/>
      <c r="S872" s="294"/>
      <c r="T872" s="294"/>
      <c r="U872" s="326"/>
      <c r="V872" s="294"/>
      <c r="W872" s="294"/>
      <c r="X872" s="294"/>
      <c r="Y872" s="294"/>
      <c r="Z872" s="294"/>
      <c r="AA872" s="294"/>
      <c r="AB872" s="294"/>
      <c r="AC872" s="294"/>
    </row>
    <row r="873" spans="2:29" x14ac:dyDescent="0.25">
      <c r="B873" s="294"/>
      <c r="C873" s="294"/>
      <c r="D873" s="294"/>
      <c r="E873" s="294"/>
      <c r="F873" s="294"/>
      <c r="G873" s="294"/>
      <c r="H873" s="294"/>
      <c r="I873" s="294"/>
      <c r="J873" s="294"/>
      <c r="L873" s="295"/>
      <c r="M873" s="294"/>
      <c r="O873" s="294"/>
      <c r="P873" s="294"/>
      <c r="Q873" s="294"/>
      <c r="R873" s="294"/>
      <c r="S873" s="294"/>
      <c r="T873" s="294"/>
      <c r="U873" s="326"/>
      <c r="V873" s="294"/>
      <c r="W873" s="294"/>
      <c r="X873" s="294"/>
      <c r="Y873" s="294"/>
      <c r="Z873" s="294"/>
      <c r="AA873" s="294"/>
      <c r="AB873" s="294"/>
      <c r="AC873" s="294"/>
    </row>
    <row r="874" spans="2:29" x14ac:dyDescent="0.25">
      <c r="B874" s="294"/>
      <c r="C874" s="294"/>
      <c r="D874" s="294"/>
      <c r="E874" s="294"/>
      <c r="F874" s="294"/>
      <c r="G874" s="294"/>
      <c r="H874" s="294"/>
      <c r="I874" s="294"/>
      <c r="J874" s="294"/>
      <c r="L874" s="295"/>
      <c r="M874" s="294"/>
      <c r="O874" s="294"/>
      <c r="P874" s="294"/>
      <c r="Q874" s="294"/>
      <c r="R874" s="294"/>
      <c r="S874" s="294"/>
      <c r="T874" s="294"/>
      <c r="U874" s="326"/>
      <c r="V874" s="294"/>
      <c r="W874" s="294"/>
      <c r="X874" s="294"/>
      <c r="Y874" s="294"/>
      <c r="Z874" s="294"/>
      <c r="AA874" s="294"/>
      <c r="AB874" s="294"/>
      <c r="AC874" s="294"/>
    </row>
    <row r="875" spans="2:29" x14ac:dyDescent="0.25">
      <c r="B875" s="294"/>
      <c r="C875" s="294"/>
      <c r="D875" s="294"/>
      <c r="E875" s="294"/>
      <c r="F875" s="294"/>
      <c r="G875" s="294"/>
      <c r="H875" s="294"/>
      <c r="I875" s="294"/>
      <c r="J875" s="294"/>
      <c r="L875" s="295"/>
      <c r="M875" s="294"/>
      <c r="O875" s="294"/>
      <c r="P875" s="294"/>
      <c r="Q875" s="294"/>
      <c r="R875" s="294"/>
      <c r="S875" s="294"/>
      <c r="T875" s="294"/>
      <c r="U875" s="326"/>
      <c r="V875" s="294"/>
      <c r="W875" s="294"/>
      <c r="X875" s="294"/>
      <c r="Y875" s="294"/>
      <c r="Z875" s="294"/>
      <c r="AA875" s="294"/>
      <c r="AB875" s="294"/>
      <c r="AC875" s="294"/>
    </row>
    <row r="876" spans="2:29" x14ac:dyDescent="0.25">
      <c r="B876" s="294"/>
      <c r="C876" s="294"/>
      <c r="D876" s="294"/>
      <c r="E876" s="294"/>
      <c r="F876" s="294"/>
      <c r="G876" s="294"/>
      <c r="H876" s="294"/>
      <c r="I876" s="294"/>
      <c r="J876" s="294"/>
      <c r="L876" s="295"/>
      <c r="M876" s="294"/>
      <c r="O876" s="294"/>
      <c r="P876" s="294"/>
      <c r="Q876" s="294"/>
      <c r="R876" s="294"/>
      <c r="S876" s="294"/>
      <c r="T876" s="294"/>
      <c r="U876" s="326"/>
      <c r="V876" s="294"/>
      <c r="W876" s="294"/>
      <c r="X876" s="294"/>
      <c r="Y876" s="294"/>
      <c r="Z876" s="294"/>
      <c r="AA876" s="294"/>
      <c r="AB876" s="294"/>
      <c r="AC876" s="294"/>
    </row>
    <row r="877" spans="2:29" x14ac:dyDescent="0.25">
      <c r="B877" s="294"/>
      <c r="C877" s="294"/>
      <c r="D877" s="294"/>
      <c r="E877" s="294"/>
      <c r="F877" s="294"/>
      <c r="G877" s="294"/>
      <c r="H877" s="294"/>
      <c r="I877" s="294"/>
      <c r="J877" s="294"/>
      <c r="L877" s="295"/>
      <c r="M877" s="294"/>
      <c r="O877" s="294"/>
      <c r="P877" s="294"/>
      <c r="Q877" s="294"/>
      <c r="R877" s="294"/>
      <c r="S877" s="294"/>
      <c r="T877" s="294"/>
      <c r="U877" s="326"/>
      <c r="V877" s="294"/>
      <c r="W877" s="294"/>
      <c r="X877" s="294"/>
      <c r="Y877" s="294"/>
      <c r="Z877" s="294"/>
      <c r="AA877" s="294"/>
      <c r="AB877" s="294"/>
      <c r="AC877" s="294"/>
    </row>
    <row r="878" spans="2:29" x14ac:dyDescent="0.25">
      <c r="B878" s="294"/>
      <c r="C878" s="294"/>
      <c r="D878" s="294"/>
      <c r="E878" s="294"/>
      <c r="F878" s="294"/>
      <c r="G878" s="294"/>
      <c r="H878" s="294"/>
      <c r="I878" s="294"/>
      <c r="J878" s="294"/>
      <c r="L878" s="295"/>
      <c r="M878" s="294"/>
      <c r="O878" s="294"/>
      <c r="P878" s="294"/>
      <c r="Q878" s="294"/>
      <c r="R878" s="294"/>
      <c r="S878" s="294"/>
      <c r="T878" s="294"/>
      <c r="U878" s="326"/>
      <c r="V878" s="294"/>
      <c r="W878" s="294"/>
      <c r="X878" s="294"/>
      <c r="Y878" s="294"/>
      <c r="Z878" s="294"/>
      <c r="AA878" s="294"/>
      <c r="AB878" s="294"/>
      <c r="AC878" s="294"/>
    </row>
    <row r="879" spans="2:29" x14ac:dyDescent="0.25">
      <c r="B879" s="294"/>
      <c r="C879" s="294"/>
      <c r="D879" s="294"/>
      <c r="E879" s="294"/>
      <c r="F879" s="294"/>
      <c r="G879" s="294"/>
      <c r="H879" s="294"/>
      <c r="I879" s="294"/>
      <c r="J879" s="294"/>
      <c r="L879" s="295"/>
      <c r="M879" s="294"/>
      <c r="O879" s="294"/>
      <c r="P879" s="294"/>
      <c r="Q879" s="294"/>
      <c r="R879" s="294"/>
      <c r="S879" s="294"/>
      <c r="T879" s="294"/>
      <c r="U879" s="326"/>
      <c r="V879" s="294"/>
      <c r="W879" s="294"/>
      <c r="X879" s="294"/>
      <c r="Y879" s="294"/>
      <c r="Z879" s="294"/>
      <c r="AA879" s="294"/>
      <c r="AB879" s="294"/>
      <c r="AC879" s="294"/>
    </row>
    <row r="880" spans="2:29" x14ac:dyDescent="0.25">
      <c r="B880" s="294"/>
      <c r="C880" s="294"/>
      <c r="D880" s="294"/>
      <c r="E880" s="294"/>
      <c r="F880" s="294"/>
      <c r="G880" s="294"/>
      <c r="H880" s="294"/>
      <c r="I880" s="294"/>
      <c r="J880" s="294"/>
      <c r="L880" s="295"/>
      <c r="M880" s="294"/>
      <c r="O880" s="294"/>
      <c r="P880" s="294"/>
      <c r="Q880" s="294"/>
      <c r="R880" s="294"/>
      <c r="S880" s="294"/>
      <c r="T880" s="294"/>
      <c r="U880" s="326"/>
      <c r="V880" s="294"/>
      <c r="W880" s="294"/>
      <c r="X880" s="294"/>
      <c r="Y880" s="294"/>
      <c r="Z880" s="294"/>
      <c r="AA880" s="294"/>
      <c r="AB880" s="294"/>
      <c r="AC880" s="294"/>
    </row>
    <row r="881" spans="2:29" x14ac:dyDescent="0.25">
      <c r="B881" s="294"/>
      <c r="C881" s="294"/>
      <c r="D881" s="294"/>
      <c r="E881" s="294"/>
      <c r="F881" s="294"/>
      <c r="G881" s="294"/>
      <c r="H881" s="294"/>
      <c r="I881" s="294"/>
      <c r="J881" s="294"/>
      <c r="L881" s="295"/>
      <c r="M881" s="294"/>
      <c r="O881" s="294"/>
      <c r="P881" s="294"/>
      <c r="Q881" s="294"/>
      <c r="R881" s="294"/>
      <c r="S881" s="294"/>
      <c r="T881" s="294"/>
      <c r="U881" s="326"/>
      <c r="V881" s="294"/>
      <c r="W881" s="294"/>
      <c r="X881" s="294"/>
      <c r="Y881" s="294"/>
      <c r="Z881" s="294"/>
      <c r="AA881" s="294"/>
      <c r="AB881" s="294"/>
      <c r="AC881" s="294"/>
    </row>
    <row r="882" spans="2:29" x14ac:dyDescent="0.25">
      <c r="B882" s="294"/>
      <c r="C882" s="294"/>
      <c r="D882" s="294"/>
      <c r="E882" s="294"/>
      <c r="F882" s="294"/>
      <c r="G882" s="294"/>
      <c r="H882" s="294"/>
      <c r="I882" s="294"/>
      <c r="J882" s="294"/>
      <c r="L882" s="295"/>
      <c r="M882" s="294"/>
      <c r="O882" s="294"/>
      <c r="P882" s="294"/>
      <c r="Q882" s="294"/>
      <c r="R882" s="294"/>
      <c r="S882" s="294"/>
      <c r="T882" s="294"/>
      <c r="U882" s="326"/>
      <c r="V882" s="294"/>
      <c r="W882" s="294"/>
      <c r="X882" s="294"/>
      <c r="Y882" s="294"/>
      <c r="Z882" s="294"/>
      <c r="AA882" s="294"/>
      <c r="AB882" s="294"/>
      <c r="AC882" s="294"/>
    </row>
    <row r="883" spans="2:29" x14ac:dyDescent="0.25">
      <c r="B883" s="294"/>
      <c r="C883" s="294"/>
      <c r="D883" s="294"/>
      <c r="E883" s="294"/>
      <c r="F883" s="294"/>
      <c r="G883" s="294"/>
      <c r="H883" s="294"/>
      <c r="I883" s="294"/>
      <c r="J883" s="294"/>
      <c r="L883" s="295"/>
      <c r="M883" s="294"/>
      <c r="O883" s="294"/>
      <c r="P883" s="294"/>
      <c r="Q883" s="294"/>
      <c r="R883" s="294"/>
      <c r="S883" s="294"/>
      <c r="T883" s="294"/>
      <c r="U883" s="326"/>
      <c r="V883" s="294"/>
      <c r="W883" s="294"/>
      <c r="X883" s="294"/>
      <c r="Y883" s="294"/>
      <c r="Z883" s="294"/>
      <c r="AA883" s="294"/>
      <c r="AB883" s="294"/>
      <c r="AC883" s="294"/>
    </row>
    <row r="884" spans="2:29" x14ac:dyDescent="0.25">
      <c r="B884" s="294"/>
      <c r="C884" s="294"/>
      <c r="D884" s="294"/>
      <c r="E884" s="294"/>
      <c r="F884" s="294"/>
      <c r="G884" s="294"/>
      <c r="H884" s="294"/>
      <c r="I884" s="294"/>
      <c r="J884" s="294"/>
      <c r="L884" s="295"/>
      <c r="M884" s="294"/>
      <c r="O884" s="294"/>
      <c r="P884" s="294"/>
      <c r="Q884" s="294"/>
      <c r="R884" s="294"/>
      <c r="S884" s="294"/>
      <c r="T884" s="294"/>
      <c r="U884" s="326"/>
      <c r="V884" s="294"/>
      <c r="W884" s="294"/>
      <c r="X884" s="294"/>
      <c r="Y884" s="294"/>
      <c r="Z884" s="294"/>
      <c r="AA884" s="294"/>
      <c r="AB884" s="294"/>
      <c r="AC884" s="294"/>
    </row>
    <row r="885" spans="2:29" x14ac:dyDescent="0.25">
      <c r="B885" s="294"/>
      <c r="C885" s="294"/>
      <c r="D885" s="294"/>
      <c r="E885" s="294"/>
      <c r="F885" s="294"/>
      <c r="G885" s="294"/>
      <c r="H885" s="294"/>
      <c r="I885" s="294"/>
      <c r="J885" s="294"/>
      <c r="L885" s="295"/>
      <c r="M885" s="294"/>
      <c r="O885" s="294"/>
      <c r="P885" s="294"/>
      <c r="Q885" s="294"/>
      <c r="R885" s="294"/>
      <c r="S885" s="294"/>
      <c r="T885" s="294"/>
      <c r="U885" s="326"/>
      <c r="V885" s="294"/>
      <c r="W885" s="294"/>
      <c r="X885" s="294"/>
      <c r="Y885" s="294"/>
      <c r="Z885" s="294"/>
      <c r="AA885" s="294"/>
      <c r="AB885" s="294"/>
      <c r="AC885" s="294"/>
    </row>
    <row r="886" spans="2:29" x14ac:dyDescent="0.25">
      <c r="B886" s="294"/>
      <c r="C886" s="294"/>
      <c r="D886" s="294"/>
      <c r="E886" s="294"/>
      <c r="F886" s="294"/>
      <c r="G886" s="294"/>
      <c r="H886" s="294"/>
      <c r="I886" s="294"/>
      <c r="J886" s="294"/>
      <c r="L886" s="295"/>
      <c r="M886" s="294"/>
      <c r="O886" s="294"/>
      <c r="P886" s="294"/>
      <c r="Q886" s="294"/>
      <c r="R886" s="294"/>
      <c r="S886" s="294"/>
      <c r="T886" s="294"/>
      <c r="U886" s="326"/>
      <c r="V886" s="294"/>
      <c r="W886" s="294"/>
      <c r="X886" s="294"/>
      <c r="Y886" s="294"/>
      <c r="Z886" s="294"/>
      <c r="AA886" s="294"/>
      <c r="AB886" s="294"/>
      <c r="AC886" s="294"/>
    </row>
    <row r="887" spans="2:29" x14ac:dyDescent="0.25">
      <c r="B887" s="294"/>
      <c r="C887" s="294"/>
      <c r="D887" s="294"/>
      <c r="E887" s="294"/>
      <c r="F887" s="294"/>
      <c r="G887" s="294"/>
      <c r="H887" s="294"/>
      <c r="I887" s="294"/>
      <c r="J887" s="294"/>
      <c r="L887" s="295"/>
      <c r="M887" s="294"/>
      <c r="O887" s="294"/>
      <c r="P887" s="294"/>
      <c r="Q887" s="294"/>
      <c r="R887" s="294"/>
      <c r="S887" s="294"/>
      <c r="T887" s="294"/>
      <c r="U887" s="326"/>
      <c r="V887" s="294"/>
      <c r="W887" s="294"/>
      <c r="X887" s="294"/>
      <c r="Y887" s="294"/>
      <c r="Z887" s="294"/>
      <c r="AA887" s="294"/>
      <c r="AB887" s="294"/>
      <c r="AC887" s="294"/>
    </row>
    <row r="888" spans="2:29" x14ac:dyDescent="0.25">
      <c r="B888" s="294"/>
      <c r="C888" s="294"/>
      <c r="D888" s="294"/>
      <c r="E888" s="294"/>
      <c r="F888" s="294"/>
      <c r="G888" s="294"/>
      <c r="H888" s="294"/>
      <c r="I888" s="294"/>
      <c r="J888" s="294"/>
      <c r="L888" s="295"/>
      <c r="M888" s="294"/>
      <c r="O888" s="294"/>
      <c r="P888" s="294"/>
      <c r="Q888" s="294"/>
      <c r="R888" s="294"/>
      <c r="S888" s="294"/>
      <c r="T888" s="294"/>
      <c r="U888" s="326"/>
      <c r="V888" s="294"/>
      <c r="W888" s="294"/>
      <c r="X888" s="294"/>
      <c r="Y888" s="294"/>
      <c r="Z888" s="294"/>
      <c r="AA888" s="294"/>
      <c r="AB888" s="294"/>
      <c r="AC888" s="294"/>
    </row>
    <row r="889" spans="2:29" x14ac:dyDescent="0.25">
      <c r="B889" s="294"/>
      <c r="C889" s="294"/>
      <c r="D889" s="294"/>
      <c r="E889" s="294"/>
      <c r="F889" s="294"/>
      <c r="G889" s="294"/>
      <c r="H889" s="294"/>
      <c r="I889" s="294"/>
      <c r="J889" s="294"/>
      <c r="L889" s="295"/>
      <c r="M889" s="294"/>
      <c r="O889" s="294"/>
      <c r="P889" s="294"/>
      <c r="Q889" s="294"/>
      <c r="R889" s="294"/>
      <c r="S889" s="294"/>
      <c r="T889" s="294"/>
      <c r="U889" s="326"/>
      <c r="V889" s="294"/>
      <c r="W889" s="294"/>
      <c r="X889" s="294"/>
      <c r="Y889" s="294"/>
      <c r="Z889" s="294"/>
      <c r="AA889" s="294"/>
      <c r="AB889" s="294"/>
      <c r="AC889" s="294"/>
    </row>
    <row r="890" spans="2:29" x14ac:dyDescent="0.25">
      <c r="B890" s="294"/>
      <c r="C890" s="294"/>
      <c r="D890" s="294"/>
      <c r="E890" s="294"/>
      <c r="F890" s="294"/>
      <c r="G890" s="294"/>
      <c r="H890" s="294"/>
      <c r="I890" s="294"/>
      <c r="J890" s="294"/>
      <c r="L890" s="295"/>
      <c r="M890" s="294"/>
      <c r="O890" s="294"/>
      <c r="P890" s="294"/>
      <c r="Q890" s="294"/>
      <c r="R890" s="294"/>
      <c r="S890" s="294"/>
      <c r="T890" s="294"/>
      <c r="U890" s="326"/>
      <c r="V890" s="294"/>
      <c r="W890" s="294"/>
      <c r="X890" s="294"/>
      <c r="Y890" s="294"/>
      <c r="Z890" s="294"/>
      <c r="AA890" s="294"/>
      <c r="AB890" s="294"/>
      <c r="AC890" s="294"/>
    </row>
    <row r="891" spans="2:29" x14ac:dyDescent="0.25">
      <c r="B891" s="294"/>
      <c r="C891" s="294"/>
      <c r="D891" s="294"/>
      <c r="E891" s="294"/>
      <c r="F891" s="294"/>
      <c r="G891" s="294"/>
      <c r="H891" s="294"/>
      <c r="I891" s="294"/>
      <c r="J891" s="294"/>
      <c r="L891" s="295"/>
      <c r="M891" s="294"/>
      <c r="O891" s="294"/>
      <c r="P891" s="294"/>
      <c r="Q891" s="294"/>
      <c r="R891" s="294"/>
      <c r="S891" s="294"/>
      <c r="T891" s="294"/>
      <c r="U891" s="326"/>
      <c r="V891" s="294"/>
      <c r="W891" s="294"/>
      <c r="X891" s="294"/>
      <c r="Y891" s="294"/>
      <c r="Z891" s="294"/>
      <c r="AA891" s="294"/>
      <c r="AB891" s="294"/>
      <c r="AC891" s="294"/>
    </row>
    <row r="892" spans="2:29" x14ac:dyDescent="0.25">
      <c r="B892" s="294"/>
      <c r="C892" s="294"/>
      <c r="D892" s="294"/>
      <c r="E892" s="294"/>
      <c r="F892" s="294"/>
      <c r="G892" s="294"/>
      <c r="H892" s="294"/>
      <c r="I892" s="294"/>
      <c r="J892" s="294"/>
      <c r="L892" s="295"/>
      <c r="M892" s="294"/>
      <c r="O892" s="294"/>
      <c r="P892" s="294"/>
      <c r="Q892" s="294"/>
      <c r="R892" s="294"/>
      <c r="S892" s="294"/>
      <c r="T892" s="294"/>
      <c r="U892" s="326"/>
      <c r="V892" s="294"/>
      <c r="W892" s="294"/>
      <c r="X892" s="294"/>
      <c r="Y892" s="294"/>
      <c r="Z892" s="294"/>
      <c r="AA892" s="294"/>
      <c r="AB892" s="294"/>
      <c r="AC892" s="294"/>
    </row>
    <row r="893" spans="2:29" x14ac:dyDescent="0.25">
      <c r="B893" s="294"/>
      <c r="C893" s="294"/>
      <c r="D893" s="294"/>
      <c r="E893" s="294"/>
      <c r="F893" s="294"/>
      <c r="G893" s="294"/>
      <c r="H893" s="294"/>
      <c r="I893" s="294"/>
      <c r="J893" s="294"/>
      <c r="L893" s="295"/>
      <c r="M893" s="294"/>
      <c r="O893" s="294"/>
      <c r="P893" s="294"/>
      <c r="Q893" s="294"/>
      <c r="R893" s="294"/>
      <c r="S893" s="294"/>
      <c r="T893" s="294"/>
      <c r="U893" s="326"/>
      <c r="V893" s="294"/>
      <c r="W893" s="294"/>
      <c r="X893" s="294"/>
      <c r="Y893" s="294"/>
      <c r="Z893" s="294"/>
      <c r="AA893" s="294"/>
      <c r="AB893" s="294"/>
      <c r="AC893" s="294"/>
    </row>
    <row r="894" spans="2:29" x14ac:dyDescent="0.25">
      <c r="B894" s="294"/>
      <c r="C894" s="294"/>
      <c r="D894" s="294"/>
      <c r="E894" s="294"/>
      <c r="F894" s="294"/>
      <c r="G894" s="294"/>
      <c r="H894" s="294"/>
      <c r="I894" s="294"/>
      <c r="J894" s="294"/>
      <c r="L894" s="295"/>
      <c r="M894" s="294"/>
      <c r="O894" s="294"/>
      <c r="P894" s="294"/>
      <c r="Q894" s="294"/>
      <c r="R894" s="294"/>
      <c r="S894" s="294"/>
      <c r="T894" s="294"/>
      <c r="U894" s="326"/>
      <c r="V894" s="294"/>
      <c r="W894" s="294"/>
      <c r="X894" s="294"/>
      <c r="Y894" s="294"/>
      <c r="Z894" s="294"/>
      <c r="AA894" s="294"/>
      <c r="AB894" s="294"/>
      <c r="AC894" s="294"/>
    </row>
    <row r="895" spans="2:29" x14ac:dyDescent="0.25">
      <c r="B895" s="294"/>
      <c r="C895" s="294"/>
      <c r="D895" s="294"/>
      <c r="E895" s="294"/>
      <c r="F895" s="294"/>
      <c r="G895" s="294"/>
      <c r="H895" s="294"/>
      <c r="I895" s="294"/>
      <c r="J895" s="294"/>
      <c r="L895" s="295"/>
      <c r="M895" s="294"/>
      <c r="O895" s="294"/>
      <c r="P895" s="294"/>
      <c r="Q895" s="294"/>
      <c r="R895" s="294"/>
      <c r="S895" s="294"/>
      <c r="T895" s="294"/>
      <c r="U895" s="326"/>
      <c r="V895" s="294"/>
      <c r="W895" s="294"/>
      <c r="X895" s="294"/>
      <c r="Y895" s="294"/>
      <c r="Z895" s="294"/>
      <c r="AA895" s="294"/>
      <c r="AB895" s="294"/>
      <c r="AC895" s="294"/>
    </row>
    <row r="896" spans="2:29" x14ac:dyDescent="0.25">
      <c r="B896" s="294"/>
      <c r="C896" s="294"/>
      <c r="D896" s="294"/>
      <c r="E896" s="294"/>
      <c r="F896" s="294"/>
      <c r="G896" s="294"/>
      <c r="H896" s="294"/>
      <c r="I896" s="294"/>
      <c r="J896" s="294"/>
      <c r="L896" s="295"/>
      <c r="M896" s="294"/>
      <c r="O896" s="294"/>
      <c r="P896" s="294"/>
      <c r="Q896" s="294"/>
      <c r="R896" s="294"/>
      <c r="S896" s="294"/>
      <c r="T896" s="294"/>
      <c r="U896" s="326"/>
      <c r="V896" s="294"/>
      <c r="W896" s="294"/>
      <c r="X896" s="294"/>
      <c r="Y896" s="294"/>
      <c r="Z896" s="294"/>
      <c r="AA896" s="294"/>
      <c r="AB896" s="294"/>
      <c r="AC896" s="294"/>
    </row>
    <row r="897" spans="2:29" x14ac:dyDescent="0.25">
      <c r="B897" s="294"/>
      <c r="C897" s="294"/>
      <c r="D897" s="294"/>
      <c r="E897" s="294"/>
      <c r="F897" s="294"/>
      <c r="G897" s="294"/>
      <c r="H897" s="294"/>
      <c r="I897" s="294"/>
      <c r="J897" s="294"/>
      <c r="L897" s="295"/>
      <c r="M897" s="294"/>
      <c r="O897" s="294"/>
      <c r="P897" s="294"/>
      <c r="Q897" s="294"/>
      <c r="R897" s="294"/>
      <c r="S897" s="294"/>
      <c r="T897" s="294"/>
      <c r="U897" s="326"/>
      <c r="V897" s="294"/>
      <c r="W897" s="294"/>
      <c r="X897" s="294"/>
      <c r="Y897" s="294"/>
      <c r="Z897" s="294"/>
      <c r="AA897" s="294"/>
      <c r="AB897" s="294"/>
      <c r="AC897" s="294"/>
    </row>
    <row r="898" spans="2:29" x14ac:dyDescent="0.25">
      <c r="B898" s="294"/>
      <c r="C898" s="294"/>
      <c r="D898" s="294"/>
      <c r="E898" s="294"/>
      <c r="F898" s="294"/>
      <c r="G898" s="294"/>
      <c r="H898" s="294"/>
      <c r="I898" s="294"/>
      <c r="J898" s="294"/>
      <c r="L898" s="295"/>
      <c r="M898" s="294"/>
      <c r="O898" s="294"/>
      <c r="P898" s="294"/>
      <c r="Q898" s="294"/>
      <c r="R898" s="294"/>
      <c r="S898" s="294"/>
      <c r="T898" s="294"/>
      <c r="U898" s="326"/>
      <c r="V898" s="294"/>
      <c r="W898" s="294"/>
      <c r="X898" s="294"/>
      <c r="Y898" s="294"/>
      <c r="Z898" s="294"/>
      <c r="AA898" s="294"/>
      <c r="AB898" s="294"/>
      <c r="AC898" s="294"/>
    </row>
    <row r="899" spans="2:29" x14ac:dyDescent="0.25">
      <c r="B899" s="294"/>
      <c r="C899" s="294"/>
      <c r="D899" s="294"/>
      <c r="E899" s="294"/>
      <c r="F899" s="294"/>
      <c r="G899" s="294"/>
      <c r="H899" s="294"/>
      <c r="I899" s="294"/>
      <c r="J899" s="294"/>
      <c r="L899" s="295"/>
      <c r="M899" s="294"/>
      <c r="O899" s="294"/>
      <c r="P899" s="294"/>
      <c r="Q899" s="294"/>
      <c r="R899" s="294"/>
      <c r="S899" s="294"/>
      <c r="T899" s="294"/>
      <c r="U899" s="326"/>
      <c r="V899" s="294"/>
      <c r="W899" s="294"/>
      <c r="X899" s="294"/>
      <c r="Y899" s="294"/>
      <c r="Z899" s="294"/>
      <c r="AA899" s="294"/>
      <c r="AB899" s="294"/>
      <c r="AC899" s="294"/>
    </row>
    <row r="900" spans="2:29" x14ac:dyDescent="0.25">
      <c r="B900" s="294"/>
      <c r="C900" s="294"/>
      <c r="D900" s="294"/>
      <c r="E900" s="294"/>
      <c r="F900" s="294"/>
      <c r="G900" s="294"/>
      <c r="H900" s="294"/>
      <c r="I900" s="294"/>
      <c r="J900" s="294"/>
      <c r="L900" s="295"/>
      <c r="M900" s="294"/>
      <c r="O900" s="294"/>
      <c r="P900" s="294"/>
      <c r="Q900" s="294"/>
      <c r="R900" s="294"/>
      <c r="S900" s="294"/>
      <c r="T900" s="294"/>
      <c r="U900" s="326"/>
      <c r="V900" s="294"/>
      <c r="W900" s="294"/>
      <c r="X900" s="294"/>
      <c r="Y900" s="294"/>
      <c r="Z900" s="294"/>
      <c r="AA900" s="294"/>
      <c r="AB900" s="294"/>
      <c r="AC900" s="294"/>
    </row>
    <row r="901" spans="2:29" x14ac:dyDescent="0.25">
      <c r="B901" s="294"/>
      <c r="C901" s="294"/>
      <c r="D901" s="294"/>
      <c r="E901" s="294"/>
      <c r="F901" s="294"/>
      <c r="G901" s="294"/>
      <c r="H901" s="294"/>
      <c r="I901" s="294"/>
      <c r="J901" s="294"/>
      <c r="L901" s="295"/>
      <c r="M901" s="294"/>
      <c r="O901" s="294"/>
      <c r="P901" s="294"/>
      <c r="Q901" s="294"/>
      <c r="R901" s="294"/>
      <c r="S901" s="294"/>
      <c r="T901" s="294"/>
      <c r="U901" s="326"/>
      <c r="V901" s="294"/>
      <c r="W901" s="294"/>
      <c r="X901" s="294"/>
      <c r="Y901" s="294"/>
      <c r="Z901" s="294"/>
      <c r="AA901" s="294"/>
      <c r="AB901" s="294"/>
      <c r="AC901" s="294"/>
    </row>
    <row r="902" spans="2:29" x14ac:dyDescent="0.25">
      <c r="B902" s="294"/>
      <c r="C902" s="294"/>
      <c r="D902" s="294"/>
      <c r="E902" s="294"/>
      <c r="F902" s="294"/>
      <c r="G902" s="294"/>
      <c r="H902" s="294"/>
      <c r="I902" s="294"/>
      <c r="J902" s="294"/>
      <c r="L902" s="295"/>
      <c r="M902" s="294"/>
      <c r="O902" s="294"/>
      <c r="P902" s="294"/>
      <c r="Q902" s="294"/>
      <c r="R902" s="294"/>
      <c r="S902" s="294"/>
      <c r="T902" s="294"/>
      <c r="U902" s="326"/>
      <c r="V902" s="294"/>
      <c r="W902" s="294"/>
      <c r="X902" s="294"/>
      <c r="Y902" s="294"/>
      <c r="Z902" s="294"/>
      <c r="AA902" s="294"/>
      <c r="AB902" s="294"/>
      <c r="AC902" s="294"/>
    </row>
    <row r="903" spans="2:29" x14ac:dyDescent="0.25">
      <c r="B903" s="294"/>
      <c r="C903" s="294"/>
      <c r="D903" s="294"/>
      <c r="E903" s="294"/>
      <c r="F903" s="294"/>
      <c r="G903" s="294"/>
      <c r="H903" s="294"/>
      <c r="I903" s="294"/>
      <c r="J903" s="294"/>
      <c r="L903" s="295"/>
      <c r="M903" s="294"/>
      <c r="O903" s="294"/>
      <c r="P903" s="294"/>
      <c r="Q903" s="294"/>
      <c r="R903" s="294"/>
      <c r="S903" s="294"/>
      <c r="T903" s="294"/>
      <c r="U903" s="326"/>
      <c r="V903" s="294"/>
      <c r="W903" s="294"/>
      <c r="X903" s="294"/>
      <c r="Y903" s="294"/>
      <c r="Z903" s="294"/>
      <c r="AA903" s="294"/>
      <c r="AB903" s="294"/>
      <c r="AC903" s="294"/>
    </row>
    <row r="904" spans="2:29" x14ac:dyDescent="0.25">
      <c r="B904" s="294"/>
      <c r="C904" s="294"/>
      <c r="D904" s="294"/>
      <c r="E904" s="294"/>
      <c r="F904" s="294"/>
      <c r="G904" s="294"/>
      <c r="H904" s="294"/>
      <c r="I904" s="294"/>
      <c r="J904" s="294"/>
      <c r="L904" s="295"/>
      <c r="M904" s="294"/>
      <c r="O904" s="294"/>
      <c r="P904" s="294"/>
      <c r="Q904" s="294"/>
      <c r="R904" s="294"/>
      <c r="S904" s="294"/>
      <c r="T904" s="294"/>
      <c r="U904" s="326"/>
      <c r="V904" s="294"/>
      <c r="W904" s="294"/>
      <c r="X904" s="294"/>
      <c r="Y904" s="294"/>
      <c r="Z904" s="294"/>
      <c r="AA904" s="294"/>
      <c r="AB904" s="294"/>
      <c r="AC904" s="294"/>
    </row>
    <row r="905" spans="2:29" x14ac:dyDescent="0.25">
      <c r="B905" s="294"/>
      <c r="C905" s="294"/>
      <c r="D905" s="294"/>
      <c r="E905" s="294"/>
      <c r="F905" s="294"/>
      <c r="G905" s="294"/>
      <c r="H905" s="294"/>
      <c r="I905" s="294"/>
      <c r="J905" s="294"/>
      <c r="L905" s="295"/>
      <c r="M905" s="294"/>
      <c r="O905" s="294"/>
      <c r="P905" s="294"/>
      <c r="Q905" s="294"/>
      <c r="R905" s="294"/>
      <c r="S905" s="294"/>
      <c r="T905" s="294"/>
      <c r="U905" s="326"/>
      <c r="V905" s="294"/>
      <c r="W905" s="294"/>
      <c r="X905" s="294"/>
      <c r="Y905" s="294"/>
      <c r="Z905" s="294"/>
      <c r="AA905" s="294"/>
      <c r="AB905" s="294"/>
      <c r="AC905" s="294"/>
    </row>
    <row r="906" spans="2:29" x14ac:dyDescent="0.25">
      <c r="B906" s="294"/>
      <c r="C906" s="294"/>
      <c r="D906" s="294"/>
      <c r="E906" s="294"/>
      <c r="F906" s="294"/>
      <c r="G906" s="294"/>
      <c r="H906" s="294"/>
      <c r="I906" s="294"/>
      <c r="J906" s="294"/>
      <c r="L906" s="295"/>
      <c r="M906" s="294"/>
      <c r="O906" s="294"/>
      <c r="P906" s="294"/>
      <c r="Q906" s="294"/>
      <c r="R906" s="294"/>
      <c r="S906" s="294"/>
      <c r="T906" s="294"/>
      <c r="U906" s="326"/>
      <c r="V906" s="294"/>
      <c r="W906" s="294"/>
      <c r="X906" s="294"/>
      <c r="Y906" s="294"/>
      <c r="Z906" s="294"/>
      <c r="AA906" s="294"/>
      <c r="AB906" s="294"/>
      <c r="AC906" s="294"/>
    </row>
    <row r="907" spans="2:29" x14ac:dyDescent="0.25">
      <c r="B907" s="294"/>
      <c r="C907" s="294"/>
      <c r="D907" s="294"/>
      <c r="E907" s="294"/>
      <c r="F907" s="294"/>
      <c r="G907" s="294"/>
      <c r="H907" s="294"/>
      <c r="I907" s="294"/>
      <c r="J907" s="294"/>
      <c r="L907" s="295"/>
      <c r="M907" s="294"/>
      <c r="O907" s="294"/>
      <c r="P907" s="294"/>
      <c r="Q907" s="294"/>
      <c r="R907" s="294"/>
      <c r="S907" s="294"/>
      <c r="T907" s="294"/>
      <c r="U907" s="326"/>
      <c r="V907" s="294"/>
      <c r="W907" s="294"/>
      <c r="X907" s="294"/>
      <c r="Y907" s="294"/>
      <c r="Z907" s="294"/>
      <c r="AA907" s="294"/>
      <c r="AB907" s="294"/>
      <c r="AC907" s="294"/>
    </row>
    <row r="908" spans="2:29" x14ac:dyDescent="0.25">
      <c r="B908" s="294"/>
      <c r="C908" s="294"/>
      <c r="D908" s="294"/>
      <c r="E908" s="294"/>
      <c r="F908" s="294"/>
      <c r="G908" s="294"/>
      <c r="H908" s="294"/>
      <c r="I908" s="294"/>
      <c r="J908" s="294"/>
      <c r="L908" s="295"/>
      <c r="M908" s="294"/>
      <c r="O908" s="294"/>
      <c r="P908" s="294"/>
      <c r="Q908" s="294"/>
      <c r="R908" s="294"/>
      <c r="S908" s="294"/>
      <c r="T908" s="294"/>
      <c r="U908" s="326"/>
      <c r="V908" s="294"/>
      <c r="W908" s="294"/>
      <c r="X908" s="294"/>
      <c r="Y908" s="294"/>
      <c r="Z908" s="294"/>
      <c r="AA908" s="294"/>
      <c r="AB908" s="294"/>
      <c r="AC908" s="294"/>
    </row>
    <row r="909" spans="2:29" x14ac:dyDescent="0.25">
      <c r="B909" s="294"/>
      <c r="C909" s="294"/>
      <c r="D909" s="294"/>
      <c r="E909" s="294"/>
      <c r="F909" s="294"/>
      <c r="G909" s="294"/>
      <c r="H909" s="294"/>
      <c r="I909" s="294"/>
      <c r="J909" s="294"/>
      <c r="L909" s="295"/>
      <c r="M909" s="294"/>
      <c r="O909" s="294"/>
      <c r="P909" s="294"/>
      <c r="Q909" s="294"/>
      <c r="R909" s="294"/>
      <c r="S909" s="294"/>
      <c r="T909" s="294"/>
      <c r="U909" s="326"/>
      <c r="V909" s="294"/>
      <c r="W909" s="294"/>
      <c r="X909" s="294"/>
      <c r="Y909" s="294"/>
      <c r="Z909" s="294"/>
      <c r="AA909" s="294"/>
      <c r="AB909" s="294"/>
      <c r="AC909" s="294"/>
    </row>
    <row r="910" spans="2:29" x14ac:dyDescent="0.25">
      <c r="B910" s="294"/>
      <c r="C910" s="294"/>
      <c r="D910" s="294"/>
      <c r="E910" s="294"/>
      <c r="F910" s="294"/>
      <c r="G910" s="294"/>
      <c r="H910" s="294"/>
      <c r="I910" s="294"/>
      <c r="J910" s="294"/>
      <c r="L910" s="295"/>
      <c r="M910" s="294"/>
      <c r="O910" s="294"/>
      <c r="P910" s="294"/>
      <c r="Q910" s="294"/>
      <c r="R910" s="294"/>
      <c r="S910" s="294"/>
      <c r="T910" s="294"/>
      <c r="U910" s="326"/>
      <c r="V910" s="294"/>
      <c r="W910" s="294"/>
      <c r="X910" s="294"/>
      <c r="Y910" s="294"/>
      <c r="Z910" s="294"/>
      <c r="AA910" s="294"/>
      <c r="AB910" s="294"/>
      <c r="AC910" s="294"/>
    </row>
    <row r="911" spans="2:29" x14ac:dyDescent="0.25">
      <c r="B911" s="294"/>
      <c r="C911" s="294"/>
      <c r="D911" s="294"/>
      <c r="E911" s="294"/>
      <c r="F911" s="294"/>
      <c r="G911" s="294"/>
      <c r="H911" s="294"/>
      <c r="I911" s="294"/>
      <c r="J911" s="294"/>
      <c r="L911" s="295"/>
      <c r="M911" s="294"/>
      <c r="O911" s="294"/>
      <c r="P911" s="294"/>
      <c r="Q911" s="294"/>
      <c r="R911" s="294"/>
      <c r="S911" s="294"/>
      <c r="T911" s="294"/>
      <c r="U911" s="326"/>
      <c r="V911" s="294"/>
      <c r="W911" s="294"/>
      <c r="X911" s="294"/>
      <c r="Y911" s="294"/>
      <c r="Z911" s="294"/>
      <c r="AA911" s="294"/>
      <c r="AB911" s="294"/>
      <c r="AC911" s="294"/>
    </row>
    <row r="912" spans="2:29" x14ac:dyDescent="0.25">
      <c r="B912" s="294"/>
      <c r="C912" s="294"/>
      <c r="D912" s="294"/>
      <c r="E912" s="294"/>
      <c r="F912" s="294"/>
      <c r="G912" s="294"/>
      <c r="H912" s="294"/>
      <c r="I912" s="294"/>
      <c r="J912" s="294"/>
      <c r="L912" s="295"/>
      <c r="M912" s="294"/>
      <c r="O912" s="294"/>
      <c r="P912" s="294"/>
      <c r="Q912" s="294"/>
      <c r="R912" s="294"/>
      <c r="S912" s="294"/>
      <c r="T912" s="294"/>
      <c r="U912" s="326"/>
      <c r="V912" s="294"/>
      <c r="W912" s="294"/>
      <c r="X912" s="294"/>
      <c r="Y912" s="294"/>
      <c r="Z912" s="294"/>
      <c r="AA912" s="294"/>
      <c r="AB912" s="294"/>
      <c r="AC912" s="294"/>
    </row>
    <row r="913" spans="2:29" x14ac:dyDescent="0.25">
      <c r="B913" s="294"/>
      <c r="C913" s="294"/>
      <c r="D913" s="294"/>
      <c r="E913" s="294"/>
      <c r="F913" s="294"/>
      <c r="G913" s="294"/>
      <c r="H913" s="294"/>
      <c r="I913" s="294"/>
      <c r="J913" s="294"/>
      <c r="L913" s="295"/>
      <c r="M913" s="294"/>
      <c r="O913" s="294"/>
      <c r="P913" s="294"/>
      <c r="Q913" s="294"/>
      <c r="R913" s="294"/>
      <c r="S913" s="294"/>
      <c r="T913" s="294"/>
      <c r="U913" s="326"/>
      <c r="V913" s="294"/>
      <c r="W913" s="294"/>
      <c r="X913" s="294"/>
      <c r="Y913" s="294"/>
      <c r="Z913" s="294"/>
      <c r="AA913" s="294"/>
      <c r="AB913" s="294"/>
      <c r="AC913" s="294"/>
    </row>
    <row r="914" spans="2:29" x14ac:dyDescent="0.25">
      <c r="B914" s="294"/>
      <c r="C914" s="294"/>
      <c r="D914" s="294"/>
      <c r="E914" s="294"/>
      <c r="F914" s="294"/>
      <c r="G914" s="294"/>
      <c r="H914" s="294"/>
      <c r="I914" s="294"/>
      <c r="J914" s="294"/>
      <c r="L914" s="295"/>
      <c r="M914" s="294"/>
      <c r="O914" s="294"/>
      <c r="P914" s="294"/>
      <c r="Q914" s="294"/>
      <c r="R914" s="294"/>
      <c r="S914" s="294"/>
      <c r="T914" s="294"/>
      <c r="U914" s="326"/>
      <c r="V914" s="294"/>
      <c r="W914" s="294"/>
      <c r="X914" s="294"/>
      <c r="Y914" s="294"/>
      <c r="Z914" s="294"/>
      <c r="AA914" s="294"/>
      <c r="AB914" s="294"/>
      <c r="AC914" s="294"/>
    </row>
    <row r="915" spans="2:29" x14ac:dyDescent="0.25">
      <c r="B915" s="294"/>
      <c r="C915" s="294"/>
      <c r="D915" s="294"/>
      <c r="E915" s="294"/>
      <c r="F915" s="294"/>
      <c r="G915" s="294"/>
      <c r="H915" s="294"/>
      <c r="I915" s="294"/>
      <c r="J915" s="294"/>
      <c r="L915" s="295"/>
      <c r="M915" s="294"/>
      <c r="O915" s="294"/>
      <c r="P915" s="294"/>
      <c r="Q915" s="294"/>
      <c r="R915" s="294"/>
      <c r="S915" s="294"/>
      <c r="T915" s="294"/>
      <c r="U915" s="326"/>
      <c r="V915" s="294"/>
      <c r="W915" s="294"/>
      <c r="X915" s="294"/>
      <c r="Y915" s="294"/>
      <c r="Z915" s="294"/>
      <c r="AA915" s="294"/>
      <c r="AB915" s="294"/>
      <c r="AC915" s="294"/>
    </row>
    <row r="916" spans="2:29" x14ac:dyDescent="0.25">
      <c r="B916" s="294"/>
      <c r="C916" s="294"/>
      <c r="D916" s="294"/>
      <c r="E916" s="294"/>
      <c r="F916" s="294"/>
      <c r="G916" s="294"/>
      <c r="H916" s="294"/>
      <c r="I916" s="294"/>
      <c r="J916" s="294"/>
      <c r="L916" s="295"/>
      <c r="M916" s="294"/>
      <c r="O916" s="294"/>
      <c r="P916" s="294"/>
      <c r="Q916" s="294"/>
      <c r="R916" s="294"/>
      <c r="S916" s="294"/>
      <c r="T916" s="294"/>
      <c r="U916" s="326"/>
      <c r="V916" s="294"/>
      <c r="W916" s="294"/>
      <c r="X916" s="294"/>
      <c r="Y916" s="294"/>
      <c r="Z916" s="294"/>
      <c r="AA916" s="294"/>
      <c r="AB916" s="294"/>
      <c r="AC916" s="294"/>
    </row>
    <row r="917" spans="2:29" x14ac:dyDescent="0.25">
      <c r="B917" s="294"/>
      <c r="C917" s="294"/>
      <c r="D917" s="294"/>
      <c r="E917" s="294"/>
      <c r="F917" s="294"/>
      <c r="G917" s="294"/>
      <c r="H917" s="294"/>
      <c r="I917" s="294"/>
      <c r="J917" s="294"/>
      <c r="L917" s="295"/>
      <c r="M917" s="294"/>
      <c r="O917" s="294"/>
      <c r="P917" s="294"/>
      <c r="Q917" s="294"/>
      <c r="R917" s="294"/>
      <c r="S917" s="294"/>
      <c r="T917" s="294"/>
      <c r="U917" s="326"/>
      <c r="V917" s="294"/>
      <c r="W917" s="294"/>
      <c r="X917" s="294"/>
      <c r="Y917" s="294"/>
      <c r="Z917" s="294"/>
      <c r="AA917" s="294"/>
      <c r="AB917" s="294"/>
      <c r="AC917" s="294"/>
    </row>
    <row r="918" spans="2:29" x14ac:dyDescent="0.25">
      <c r="B918" s="294"/>
      <c r="C918" s="294"/>
      <c r="D918" s="294"/>
      <c r="E918" s="294"/>
      <c r="F918" s="294"/>
      <c r="G918" s="294"/>
      <c r="H918" s="294"/>
      <c r="I918" s="294"/>
      <c r="J918" s="294"/>
      <c r="L918" s="295"/>
      <c r="M918" s="294"/>
      <c r="O918" s="294"/>
      <c r="P918" s="294"/>
      <c r="Q918" s="294"/>
      <c r="R918" s="294"/>
      <c r="S918" s="294"/>
      <c r="T918" s="294"/>
      <c r="U918" s="326"/>
      <c r="V918" s="294"/>
      <c r="W918" s="294"/>
      <c r="X918" s="294"/>
      <c r="Y918" s="294"/>
      <c r="Z918" s="294"/>
      <c r="AA918" s="294"/>
      <c r="AB918" s="294"/>
      <c r="AC918" s="294"/>
    </row>
    <row r="919" spans="2:29" x14ac:dyDescent="0.25">
      <c r="B919" s="294"/>
      <c r="C919" s="294"/>
      <c r="D919" s="294"/>
      <c r="E919" s="294"/>
      <c r="F919" s="294"/>
      <c r="G919" s="294"/>
      <c r="H919" s="294"/>
      <c r="I919" s="294"/>
      <c r="J919" s="294"/>
      <c r="L919" s="295"/>
      <c r="M919" s="294"/>
      <c r="O919" s="294"/>
      <c r="P919" s="294"/>
      <c r="Q919" s="294"/>
      <c r="R919" s="294"/>
      <c r="S919" s="294"/>
      <c r="T919" s="294"/>
      <c r="U919" s="326"/>
      <c r="V919" s="294"/>
      <c r="W919" s="294"/>
      <c r="X919" s="294"/>
      <c r="Y919" s="294"/>
      <c r="Z919" s="294"/>
      <c r="AA919" s="294"/>
      <c r="AB919" s="294"/>
      <c r="AC919" s="294"/>
    </row>
    <row r="920" spans="2:29" x14ac:dyDescent="0.25">
      <c r="B920" s="294"/>
      <c r="C920" s="294"/>
      <c r="D920" s="294"/>
      <c r="E920" s="294"/>
      <c r="F920" s="294"/>
      <c r="G920" s="294"/>
      <c r="H920" s="294"/>
      <c r="I920" s="294"/>
      <c r="J920" s="294"/>
      <c r="L920" s="295"/>
      <c r="M920" s="294"/>
      <c r="O920" s="294"/>
      <c r="P920" s="294"/>
      <c r="Q920" s="294"/>
      <c r="R920" s="294"/>
      <c r="S920" s="294"/>
      <c r="T920" s="294"/>
      <c r="U920" s="326"/>
      <c r="V920" s="294"/>
      <c r="W920" s="294"/>
      <c r="X920" s="294"/>
      <c r="Y920" s="294"/>
      <c r="Z920" s="294"/>
      <c r="AA920" s="294"/>
      <c r="AB920" s="294"/>
      <c r="AC920" s="294"/>
    </row>
    <row r="921" spans="2:29" x14ac:dyDescent="0.25">
      <c r="B921" s="294"/>
      <c r="C921" s="294"/>
      <c r="D921" s="294"/>
      <c r="E921" s="294"/>
      <c r="F921" s="294"/>
      <c r="G921" s="294"/>
      <c r="H921" s="294"/>
      <c r="I921" s="294"/>
      <c r="J921" s="294"/>
      <c r="L921" s="295"/>
      <c r="M921" s="294"/>
      <c r="O921" s="294"/>
      <c r="P921" s="294"/>
      <c r="Q921" s="294"/>
      <c r="R921" s="294"/>
      <c r="S921" s="294"/>
      <c r="T921" s="294"/>
      <c r="U921" s="326"/>
      <c r="V921" s="294"/>
      <c r="W921" s="294"/>
      <c r="X921" s="294"/>
      <c r="Y921" s="294"/>
      <c r="Z921" s="294"/>
      <c r="AA921" s="294"/>
      <c r="AB921" s="294"/>
      <c r="AC921" s="294"/>
    </row>
    <row r="922" spans="2:29" x14ac:dyDescent="0.25">
      <c r="B922" s="294"/>
      <c r="C922" s="294"/>
      <c r="D922" s="294"/>
      <c r="E922" s="294"/>
      <c r="F922" s="294"/>
      <c r="G922" s="294"/>
      <c r="H922" s="294"/>
      <c r="I922" s="294"/>
      <c r="J922" s="294"/>
      <c r="L922" s="295"/>
      <c r="M922" s="294"/>
      <c r="O922" s="294"/>
      <c r="P922" s="294"/>
      <c r="Q922" s="294"/>
      <c r="R922" s="294"/>
      <c r="S922" s="294"/>
      <c r="T922" s="294"/>
      <c r="U922" s="326"/>
      <c r="V922" s="294"/>
      <c r="W922" s="294"/>
      <c r="X922" s="294"/>
      <c r="Y922" s="294"/>
      <c r="Z922" s="294"/>
      <c r="AA922" s="294"/>
      <c r="AB922" s="294"/>
      <c r="AC922" s="294"/>
    </row>
    <row r="923" spans="2:29" x14ac:dyDescent="0.25">
      <c r="B923" s="294"/>
      <c r="C923" s="294"/>
      <c r="D923" s="294"/>
      <c r="E923" s="294"/>
      <c r="F923" s="294"/>
      <c r="G923" s="294"/>
      <c r="H923" s="294"/>
      <c r="I923" s="294"/>
      <c r="J923" s="294"/>
      <c r="L923" s="295"/>
      <c r="M923" s="294"/>
      <c r="O923" s="294"/>
      <c r="P923" s="294"/>
      <c r="Q923" s="294"/>
      <c r="R923" s="294"/>
      <c r="S923" s="294"/>
      <c r="T923" s="294"/>
      <c r="U923" s="326"/>
      <c r="V923" s="294"/>
      <c r="W923" s="294"/>
      <c r="X923" s="294"/>
      <c r="Y923" s="294"/>
      <c r="Z923" s="294"/>
      <c r="AA923" s="294"/>
      <c r="AB923" s="294"/>
      <c r="AC923" s="294"/>
    </row>
    <row r="924" spans="2:29" x14ac:dyDescent="0.25">
      <c r="B924" s="294"/>
      <c r="C924" s="294"/>
      <c r="D924" s="294"/>
      <c r="E924" s="294"/>
      <c r="F924" s="294"/>
      <c r="G924" s="294"/>
      <c r="H924" s="294"/>
      <c r="I924" s="294"/>
      <c r="J924" s="294"/>
      <c r="L924" s="295"/>
      <c r="M924" s="294"/>
      <c r="O924" s="294"/>
      <c r="P924" s="294"/>
      <c r="Q924" s="294"/>
      <c r="R924" s="294"/>
      <c r="S924" s="294"/>
      <c r="T924" s="294"/>
      <c r="U924" s="326"/>
      <c r="V924" s="294"/>
      <c r="W924" s="294"/>
      <c r="X924" s="294"/>
      <c r="Y924" s="294"/>
      <c r="Z924" s="294"/>
      <c r="AA924" s="294"/>
      <c r="AB924" s="294"/>
      <c r="AC924" s="294"/>
    </row>
    <row r="925" spans="2:29" x14ac:dyDescent="0.25">
      <c r="B925" s="294"/>
      <c r="C925" s="294"/>
      <c r="D925" s="294"/>
      <c r="E925" s="294"/>
      <c r="F925" s="294"/>
      <c r="G925" s="294"/>
      <c r="H925" s="294"/>
      <c r="I925" s="294"/>
      <c r="J925" s="294"/>
      <c r="L925" s="295"/>
      <c r="M925" s="294"/>
      <c r="O925" s="294"/>
      <c r="P925" s="294"/>
      <c r="Q925" s="294"/>
      <c r="R925" s="294"/>
      <c r="S925" s="294"/>
      <c r="T925" s="294"/>
      <c r="U925" s="326"/>
      <c r="V925" s="294"/>
      <c r="W925" s="294"/>
      <c r="X925" s="294"/>
      <c r="Y925" s="294"/>
      <c r="Z925" s="294"/>
      <c r="AA925" s="294"/>
      <c r="AB925" s="294"/>
      <c r="AC925" s="294"/>
    </row>
    <row r="926" spans="2:29" x14ac:dyDescent="0.25">
      <c r="B926" s="294"/>
      <c r="C926" s="294"/>
      <c r="D926" s="294"/>
      <c r="E926" s="294"/>
      <c r="F926" s="294"/>
      <c r="G926" s="294"/>
      <c r="H926" s="294"/>
      <c r="I926" s="294"/>
      <c r="J926" s="294"/>
      <c r="L926" s="295"/>
      <c r="M926" s="294"/>
      <c r="O926" s="294"/>
      <c r="P926" s="294"/>
      <c r="Q926" s="294"/>
      <c r="R926" s="294"/>
      <c r="S926" s="294"/>
      <c r="T926" s="294"/>
      <c r="U926" s="326"/>
      <c r="V926" s="294"/>
      <c r="W926" s="294"/>
      <c r="X926" s="294"/>
      <c r="Y926" s="294"/>
      <c r="Z926" s="294"/>
      <c r="AA926" s="294"/>
      <c r="AB926" s="294"/>
      <c r="AC926" s="294"/>
    </row>
    <row r="927" spans="2:29" x14ac:dyDescent="0.25">
      <c r="B927" s="294"/>
      <c r="C927" s="294"/>
      <c r="D927" s="294"/>
      <c r="E927" s="294"/>
      <c r="F927" s="294"/>
      <c r="G927" s="294"/>
      <c r="H927" s="294"/>
      <c r="I927" s="294"/>
      <c r="J927" s="294"/>
      <c r="L927" s="295"/>
      <c r="M927" s="294"/>
      <c r="O927" s="294"/>
      <c r="P927" s="294"/>
      <c r="Q927" s="294"/>
      <c r="R927" s="294"/>
      <c r="S927" s="294"/>
      <c r="T927" s="294"/>
      <c r="U927" s="326"/>
      <c r="V927" s="294"/>
      <c r="W927" s="294"/>
      <c r="X927" s="294"/>
      <c r="Y927" s="294"/>
      <c r="Z927" s="294"/>
      <c r="AA927" s="294"/>
      <c r="AB927" s="294"/>
      <c r="AC927" s="294"/>
    </row>
    <row r="928" spans="2:29" x14ac:dyDescent="0.25">
      <c r="B928" s="294"/>
      <c r="C928" s="294"/>
      <c r="D928" s="294"/>
      <c r="E928" s="294"/>
      <c r="F928" s="294"/>
      <c r="G928" s="294"/>
      <c r="H928" s="294"/>
      <c r="I928" s="294"/>
      <c r="J928" s="294"/>
      <c r="L928" s="295"/>
      <c r="M928" s="294"/>
      <c r="O928" s="294"/>
      <c r="P928" s="294"/>
      <c r="Q928" s="294"/>
      <c r="R928" s="294"/>
      <c r="S928" s="294"/>
      <c r="T928" s="294"/>
      <c r="U928" s="326"/>
      <c r="V928" s="294"/>
      <c r="W928" s="294"/>
      <c r="X928" s="294"/>
      <c r="Y928" s="294"/>
      <c r="Z928" s="294"/>
      <c r="AA928" s="294"/>
      <c r="AB928" s="294"/>
      <c r="AC928" s="294"/>
    </row>
    <row r="929" spans="2:29" x14ac:dyDescent="0.25">
      <c r="B929" s="294"/>
      <c r="C929" s="294"/>
      <c r="D929" s="294"/>
      <c r="E929" s="294"/>
      <c r="F929" s="294"/>
      <c r="G929" s="294"/>
      <c r="H929" s="294"/>
      <c r="I929" s="294"/>
      <c r="J929" s="294"/>
      <c r="L929" s="295"/>
      <c r="M929" s="294"/>
      <c r="O929" s="294"/>
      <c r="P929" s="294"/>
      <c r="Q929" s="294"/>
      <c r="R929" s="294"/>
      <c r="S929" s="294"/>
      <c r="T929" s="294"/>
      <c r="U929" s="326"/>
      <c r="V929" s="294"/>
      <c r="W929" s="294"/>
      <c r="X929" s="294"/>
      <c r="Y929" s="294"/>
      <c r="Z929" s="294"/>
      <c r="AA929" s="294"/>
      <c r="AB929" s="294"/>
      <c r="AC929" s="294"/>
    </row>
    <row r="930" spans="2:29" x14ac:dyDescent="0.25">
      <c r="B930" s="294"/>
      <c r="C930" s="294"/>
      <c r="D930" s="294"/>
      <c r="E930" s="294"/>
      <c r="F930" s="294"/>
      <c r="G930" s="294"/>
      <c r="H930" s="294"/>
      <c r="I930" s="294"/>
      <c r="J930" s="294"/>
      <c r="L930" s="295"/>
      <c r="M930" s="294"/>
      <c r="O930" s="294"/>
      <c r="P930" s="294"/>
      <c r="Q930" s="294"/>
      <c r="R930" s="294"/>
      <c r="S930" s="294"/>
      <c r="T930" s="294"/>
      <c r="U930" s="326"/>
      <c r="V930" s="294"/>
      <c r="W930" s="294"/>
      <c r="X930" s="294"/>
      <c r="Y930" s="294"/>
      <c r="Z930" s="294"/>
      <c r="AA930" s="294"/>
      <c r="AB930" s="294"/>
      <c r="AC930" s="294"/>
    </row>
    <row r="931" spans="2:29" x14ac:dyDescent="0.25">
      <c r="B931" s="294"/>
      <c r="C931" s="294"/>
      <c r="D931" s="294"/>
      <c r="E931" s="294"/>
      <c r="F931" s="294"/>
      <c r="G931" s="294"/>
      <c r="H931" s="294"/>
      <c r="I931" s="294"/>
      <c r="J931" s="294"/>
      <c r="L931" s="295"/>
      <c r="M931" s="294"/>
      <c r="O931" s="294"/>
      <c r="P931" s="294"/>
      <c r="Q931" s="294"/>
      <c r="R931" s="294"/>
      <c r="S931" s="294"/>
      <c r="T931" s="294"/>
      <c r="U931" s="326"/>
      <c r="V931" s="294"/>
      <c r="W931" s="294"/>
      <c r="X931" s="294"/>
      <c r="Y931" s="294"/>
      <c r="Z931" s="294"/>
      <c r="AA931" s="294"/>
      <c r="AB931" s="294"/>
      <c r="AC931" s="294"/>
    </row>
    <row r="932" spans="2:29" x14ac:dyDescent="0.25">
      <c r="B932" s="294"/>
      <c r="C932" s="294"/>
      <c r="D932" s="294"/>
      <c r="E932" s="294"/>
      <c r="F932" s="294"/>
      <c r="G932" s="294"/>
      <c r="H932" s="294"/>
      <c r="I932" s="294"/>
      <c r="J932" s="294"/>
      <c r="L932" s="295"/>
      <c r="M932" s="294"/>
      <c r="O932" s="294"/>
      <c r="P932" s="294"/>
      <c r="Q932" s="294"/>
      <c r="R932" s="294"/>
      <c r="S932" s="294"/>
      <c r="T932" s="294"/>
      <c r="U932" s="326"/>
      <c r="V932" s="294"/>
      <c r="W932" s="294"/>
      <c r="X932" s="294"/>
      <c r="Y932" s="294"/>
      <c r="Z932" s="294"/>
      <c r="AA932" s="294"/>
      <c r="AB932" s="294"/>
      <c r="AC932" s="294"/>
    </row>
    <row r="933" spans="2:29" x14ac:dyDescent="0.25">
      <c r="B933" s="294"/>
      <c r="C933" s="294"/>
      <c r="D933" s="294"/>
      <c r="E933" s="294"/>
      <c r="F933" s="294"/>
      <c r="G933" s="294"/>
      <c r="H933" s="294"/>
      <c r="I933" s="294"/>
      <c r="J933" s="294"/>
      <c r="L933" s="295"/>
      <c r="M933" s="294"/>
      <c r="O933" s="294"/>
      <c r="P933" s="294"/>
      <c r="Q933" s="294"/>
      <c r="R933" s="294"/>
      <c r="S933" s="294"/>
      <c r="T933" s="294"/>
      <c r="U933" s="326"/>
      <c r="V933" s="294"/>
      <c r="W933" s="294"/>
      <c r="X933" s="294"/>
      <c r="Y933" s="294"/>
      <c r="Z933" s="294"/>
      <c r="AA933" s="294"/>
      <c r="AB933" s="294"/>
      <c r="AC933" s="294"/>
    </row>
    <row r="934" spans="2:29" x14ac:dyDescent="0.25">
      <c r="B934" s="294"/>
      <c r="C934" s="294"/>
      <c r="D934" s="294"/>
      <c r="E934" s="294"/>
      <c r="F934" s="294"/>
      <c r="G934" s="294"/>
      <c r="H934" s="294"/>
      <c r="I934" s="294"/>
      <c r="J934" s="294"/>
      <c r="L934" s="295"/>
      <c r="M934" s="294"/>
      <c r="O934" s="294"/>
      <c r="P934" s="294"/>
      <c r="Q934" s="294"/>
      <c r="R934" s="294"/>
      <c r="S934" s="294"/>
      <c r="T934" s="294"/>
      <c r="U934" s="326"/>
      <c r="V934" s="294"/>
      <c r="W934" s="294"/>
      <c r="X934" s="294"/>
      <c r="Y934" s="294"/>
      <c r="Z934" s="294"/>
      <c r="AA934" s="294"/>
      <c r="AB934" s="294"/>
      <c r="AC934" s="294"/>
    </row>
    <row r="935" spans="2:29" x14ac:dyDescent="0.25">
      <c r="B935" s="294"/>
      <c r="C935" s="294"/>
      <c r="D935" s="294"/>
      <c r="E935" s="294"/>
      <c r="F935" s="294"/>
      <c r="G935" s="294"/>
      <c r="H935" s="294"/>
      <c r="I935" s="294"/>
      <c r="J935" s="294"/>
      <c r="L935" s="295"/>
      <c r="M935" s="294"/>
      <c r="O935" s="294"/>
      <c r="P935" s="294"/>
      <c r="Q935" s="294"/>
      <c r="R935" s="294"/>
      <c r="S935" s="294"/>
      <c r="T935" s="294"/>
      <c r="U935" s="326"/>
      <c r="V935" s="294"/>
      <c r="W935" s="294"/>
      <c r="X935" s="294"/>
      <c r="Y935" s="294"/>
      <c r="Z935" s="294"/>
      <c r="AA935" s="294"/>
      <c r="AB935" s="294"/>
      <c r="AC935" s="294"/>
    </row>
    <row r="936" spans="2:29" x14ac:dyDescent="0.25">
      <c r="B936" s="294"/>
      <c r="C936" s="294"/>
      <c r="D936" s="294"/>
      <c r="E936" s="294"/>
      <c r="F936" s="294"/>
      <c r="G936" s="294"/>
      <c r="H936" s="294"/>
      <c r="I936" s="294"/>
      <c r="J936" s="294"/>
      <c r="L936" s="295"/>
      <c r="M936" s="294"/>
      <c r="O936" s="294"/>
      <c r="P936" s="294"/>
      <c r="Q936" s="294"/>
      <c r="R936" s="294"/>
      <c r="S936" s="294"/>
      <c r="T936" s="294"/>
      <c r="U936" s="326"/>
      <c r="V936" s="294"/>
      <c r="W936" s="294"/>
      <c r="X936" s="294"/>
      <c r="Y936" s="294"/>
      <c r="Z936" s="294"/>
      <c r="AA936" s="294"/>
      <c r="AB936" s="294"/>
      <c r="AC936" s="294"/>
    </row>
    <row r="937" spans="2:29" x14ac:dyDescent="0.25">
      <c r="B937" s="294"/>
      <c r="C937" s="294"/>
      <c r="D937" s="294"/>
      <c r="E937" s="294"/>
      <c r="F937" s="294"/>
      <c r="G937" s="294"/>
      <c r="H937" s="294"/>
      <c r="I937" s="294"/>
      <c r="J937" s="294"/>
      <c r="L937" s="295"/>
      <c r="M937" s="294"/>
      <c r="O937" s="294"/>
      <c r="P937" s="294"/>
      <c r="Q937" s="294"/>
      <c r="R937" s="294"/>
      <c r="S937" s="294"/>
      <c r="T937" s="294"/>
      <c r="U937" s="326"/>
      <c r="V937" s="294"/>
      <c r="W937" s="294"/>
      <c r="X937" s="294"/>
      <c r="Y937" s="294"/>
      <c r="Z937" s="294"/>
      <c r="AA937" s="294"/>
      <c r="AB937" s="294"/>
      <c r="AC937" s="294"/>
    </row>
    <row r="938" spans="2:29" x14ac:dyDescent="0.25">
      <c r="B938" s="294"/>
      <c r="C938" s="294"/>
      <c r="D938" s="294"/>
      <c r="E938" s="294"/>
      <c r="F938" s="294"/>
      <c r="G938" s="294"/>
      <c r="H938" s="294"/>
      <c r="I938" s="294"/>
      <c r="J938" s="294"/>
      <c r="L938" s="295"/>
      <c r="M938" s="294"/>
      <c r="O938" s="294"/>
      <c r="P938" s="294"/>
      <c r="Q938" s="294"/>
      <c r="R938" s="294"/>
      <c r="S938" s="294"/>
      <c r="T938" s="294"/>
      <c r="U938" s="326"/>
      <c r="V938" s="294"/>
      <c r="W938" s="294"/>
      <c r="X938" s="294"/>
      <c r="Y938" s="294"/>
      <c r="Z938" s="294"/>
      <c r="AA938" s="294"/>
      <c r="AB938" s="294"/>
      <c r="AC938" s="294"/>
    </row>
    <row r="939" spans="2:29" x14ac:dyDescent="0.25">
      <c r="B939" s="294"/>
      <c r="C939" s="294"/>
      <c r="D939" s="294"/>
      <c r="E939" s="294"/>
      <c r="F939" s="294"/>
      <c r="G939" s="294"/>
      <c r="H939" s="294"/>
      <c r="I939" s="294"/>
      <c r="J939" s="294"/>
      <c r="L939" s="295"/>
      <c r="M939" s="294"/>
      <c r="O939" s="294"/>
      <c r="P939" s="294"/>
      <c r="Q939" s="294"/>
      <c r="R939" s="294"/>
      <c r="S939" s="294"/>
      <c r="T939" s="294"/>
      <c r="U939" s="326"/>
      <c r="V939" s="294"/>
      <c r="W939" s="294"/>
      <c r="X939" s="294"/>
      <c r="Y939" s="294"/>
      <c r="Z939" s="294"/>
      <c r="AA939" s="294"/>
      <c r="AB939" s="294"/>
      <c r="AC939" s="294"/>
    </row>
    <row r="940" spans="2:29" x14ac:dyDescent="0.25">
      <c r="B940" s="294"/>
      <c r="C940" s="294"/>
      <c r="D940" s="294"/>
      <c r="E940" s="294"/>
      <c r="F940" s="294"/>
      <c r="G940" s="294"/>
      <c r="H940" s="294"/>
      <c r="I940" s="294"/>
      <c r="J940" s="294"/>
      <c r="L940" s="295"/>
      <c r="M940" s="294"/>
      <c r="O940" s="294"/>
      <c r="P940" s="294"/>
      <c r="Q940" s="294"/>
      <c r="R940" s="294"/>
      <c r="S940" s="294"/>
      <c r="T940" s="294"/>
      <c r="U940" s="326"/>
      <c r="V940" s="294"/>
      <c r="W940" s="294"/>
      <c r="X940" s="294"/>
      <c r="Y940" s="294"/>
      <c r="Z940" s="294"/>
      <c r="AA940" s="294"/>
      <c r="AB940" s="294"/>
      <c r="AC940" s="294"/>
    </row>
    <row r="941" spans="2:29" x14ac:dyDescent="0.25">
      <c r="B941" s="294"/>
      <c r="C941" s="294"/>
      <c r="D941" s="294"/>
      <c r="E941" s="294"/>
      <c r="F941" s="294"/>
      <c r="G941" s="294"/>
      <c r="H941" s="294"/>
      <c r="I941" s="294"/>
      <c r="J941" s="294"/>
      <c r="L941" s="295"/>
      <c r="M941" s="294"/>
      <c r="O941" s="294"/>
      <c r="P941" s="294"/>
      <c r="Q941" s="294"/>
      <c r="R941" s="294"/>
      <c r="S941" s="294"/>
      <c r="T941" s="294"/>
      <c r="U941" s="326"/>
      <c r="V941" s="294"/>
      <c r="W941" s="294"/>
      <c r="X941" s="294"/>
      <c r="Y941" s="294"/>
      <c r="Z941" s="294"/>
      <c r="AA941" s="294"/>
      <c r="AB941" s="294"/>
      <c r="AC941" s="294"/>
    </row>
    <row r="942" spans="2:29" x14ac:dyDescent="0.25">
      <c r="B942" s="294"/>
      <c r="C942" s="294"/>
      <c r="D942" s="294"/>
      <c r="E942" s="294"/>
      <c r="F942" s="294"/>
      <c r="G942" s="294"/>
      <c r="H942" s="294"/>
      <c r="I942" s="294"/>
      <c r="J942" s="294"/>
      <c r="L942" s="295"/>
      <c r="M942" s="294"/>
      <c r="O942" s="294"/>
      <c r="P942" s="294"/>
      <c r="Q942" s="294"/>
      <c r="R942" s="294"/>
      <c r="S942" s="294"/>
      <c r="T942" s="294"/>
      <c r="U942" s="326"/>
      <c r="V942" s="294"/>
      <c r="W942" s="294"/>
      <c r="X942" s="294"/>
      <c r="Y942" s="294"/>
      <c r="Z942" s="294"/>
      <c r="AA942" s="294"/>
      <c r="AB942" s="294"/>
      <c r="AC942" s="294"/>
    </row>
    <row r="943" spans="2:29" x14ac:dyDescent="0.25">
      <c r="B943" s="294"/>
      <c r="C943" s="294"/>
      <c r="D943" s="294"/>
      <c r="E943" s="294"/>
      <c r="F943" s="294"/>
      <c r="G943" s="294"/>
      <c r="H943" s="294"/>
      <c r="I943" s="294"/>
      <c r="J943" s="294"/>
      <c r="L943" s="295"/>
      <c r="M943" s="294"/>
      <c r="O943" s="294"/>
      <c r="P943" s="294"/>
      <c r="Q943" s="294"/>
      <c r="R943" s="294"/>
      <c r="S943" s="294"/>
      <c r="T943" s="294"/>
      <c r="U943" s="326"/>
      <c r="V943" s="294"/>
      <c r="W943" s="294"/>
      <c r="X943" s="294"/>
      <c r="Y943" s="294"/>
      <c r="Z943" s="294"/>
      <c r="AA943" s="294"/>
      <c r="AB943" s="294"/>
      <c r="AC943" s="294"/>
    </row>
    <row r="944" spans="2:29" x14ac:dyDescent="0.25">
      <c r="B944" s="294"/>
      <c r="C944" s="294"/>
      <c r="D944" s="294"/>
      <c r="E944" s="294"/>
      <c r="F944" s="294"/>
      <c r="G944" s="294"/>
      <c r="H944" s="294"/>
      <c r="I944" s="294"/>
      <c r="J944" s="294"/>
      <c r="L944" s="295"/>
      <c r="M944" s="294"/>
      <c r="O944" s="294"/>
      <c r="P944" s="294"/>
      <c r="Q944" s="294"/>
      <c r="R944" s="294"/>
      <c r="S944" s="294"/>
      <c r="T944" s="294"/>
      <c r="U944" s="326"/>
      <c r="V944" s="294"/>
      <c r="W944" s="294"/>
      <c r="X944" s="294"/>
      <c r="Y944" s="294"/>
      <c r="Z944" s="294"/>
      <c r="AA944" s="294"/>
      <c r="AB944" s="294"/>
      <c r="AC944" s="294"/>
    </row>
    <row r="945" spans="2:29" x14ac:dyDescent="0.25">
      <c r="B945" s="294"/>
      <c r="C945" s="294"/>
      <c r="D945" s="294"/>
      <c r="E945" s="294"/>
      <c r="F945" s="294"/>
      <c r="G945" s="294"/>
      <c r="H945" s="294"/>
      <c r="I945" s="294"/>
      <c r="J945" s="294"/>
      <c r="L945" s="295"/>
      <c r="M945" s="294"/>
      <c r="O945" s="294"/>
      <c r="P945" s="294"/>
      <c r="Q945" s="294"/>
      <c r="R945" s="294"/>
      <c r="S945" s="294"/>
      <c r="T945" s="294"/>
      <c r="U945" s="326"/>
      <c r="V945" s="294"/>
      <c r="W945" s="294"/>
      <c r="X945" s="294"/>
      <c r="Y945" s="294"/>
      <c r="Z945" s="294"/>
      <c r="AA945" s="294"/>
      <c r="AB945" s="294"/>
      <c r="AC945" s="294"/>
    </row>
    <row r="946" spans="2:29" x14ac:dyDescent="0.25">
      <c r="B946" s="294"/>
      <c r="C946" s="294"/>
      <c r="D946" s="294"/>
      <c r="E946" s="294"/>
      <c r="F946" s="294"/>
      <c r="G946" s="294"/>
      <c r="H946" s="294"/>
      <c r="I946" s="294"/>
      <c r="J946" s="294"/>
      <c r="L946" s="295"/>
      <c r="M946" s="294"/>
      <c r="O946" s="294"/>
      <c r="P946" s="294"/>
      <c r="Q946" s="294"/>
      <c r="R946" s="294"/>
      <c r="S946" s="294"/>
      <c r="T946" s="294"/>
      <c r="U946" s="326"/>
      <c r="V946" s="294"/>
      <c r="W946" s="294"/>
      <c r="X946" s="294"/>
      <c r="Y946" s="294"/>
      <c r="Z946" s="294"/>
      <c r="AA946" s="294"/>
      <c r="AB946" s="294"/>
      <c r="AC946" s="294"/>
    </row>
    <row r="947" spans="2:29" x14ac:dyDescent="0.25">
      <c r="B947" s="294"/>
      <c r="C947" s="294"/>
      <c r="D947" s="294"/>
      <c r="E947" s="294"/>
      <c r="F947" s="294"/>
      <c r="G947" s="294"/>
      <c r="H947" s="294"/>
      <c r="I947" s="294"/>
      <c r="J947" s="294"/>
      <c r="L947" s="295"/>
      <c r="M947" s="294"/>
      <c r="O947" s="294"/>
      <c r="P947" s="294"/>
      <c r="Q947" s="294"/>
      <c r="R947" s="294"/>
      <c r="S947" s="294"/>
      <c r="T947" s="294"/>
      <c r="U947" s="326"/>
      <c r="V947" s="294"/>
      <c r="W947" s="294"/>
      <c r="X947" s="294"/>
      <c r="Y947" s="294"/>
      <c r="Z947" s="294"/>
      <c r="AA947" s="294"/>
      <c r="AB947" s="294"/>
      <c r="AC947" s="294"/>
    </row>
    <row r="948" spans="2:29" x14ac:dyDescent="0.25">
      <c r="B948" s="294"/>
      <c r="C948" s="294"/>
      <c r="D948" s="294"/>
      <c r="E948" s="294"/>
      <c r="F948" s="294"/>
      <c r="G948" s="294"/>
      <c r="H948" s="294"/>
      <c r="I948" s="294"/>
      <c r="J948" s="294"/>
      <c r="L948" s="295"/>
      <c r="M948" s="294"/>
      <c r="O948" s="294"/>
      <c r="P948" s="294"/>
      <c r="Q948" s="294"/>
      <c r="R948" s="294"/>
      <c r="S948" s="294"/>
      <c r="T948" s="294"/>
      <c r="U948" s="326"/>
      <c r="V948" s="294"/>
      <c r="W948" s="294"/>
      <c r="X948" s="294"/>
      <c r="Y948" s="294"/>
      <c r="Z948" s="294"/>
      <c r="AA948" s="294"/>
      <c r="AB948" s="294"/>
      <c r="AC948" s="294"/>
    </row>
    <row r="949" spans="2:29" x14ac:dyDescent="0.25">
      <c r="B949" s="294"/>
      <c r="C949" s="294"/>
      <c r="D949" s="294"/>
      <c r="E949" s="294"/>
      <c r="F949" s="294"/>
      <c r="G949" s="294"/>
      <c r="H949" s="294"/>
      <c r="I949" s="294"/>
      <c r="J949" s="294"/>
      <c r="L949" s="295"/>
      <c r="M949" s="294"/>
      <c r="O949" s="294"/>
      <c r="P949" s="294"/>
      <c r="Q949" s="294"/>
      <c r="R949" s="294"/>
      <c r="S949" s="294"/>
      <c r="T949" s="294"/>
      <c r="U949" s="326"/>
      <c r="V949" s="294"/>
      <c r="W949" s="294"/>
      <c r="X949" s="294"/>
      <c r="Y949" s="294"/>
      <c r="Z949" s="294"/>
      <c r="AA949" s="294"/>
      <c r="AB949" s="294"/>
      <c r="AC949" s="294"/>
    </row>
    <row r="950" spans="2:29" x14ac:dyDescent="0.25">
      <c r="B950" s="294"/>
      <c r="C950" s="294"/>
      <c r="D950" s="294"/>
      <c r="E950" s="294"/>
      <c r="F950" s="294"/>
      <c r="G950" s="294"/>
      <c r="H950" s="294"/>
      <c r="I950" s="294"/>
      <c r="J950" s="294"/>
      <c r="L950" s="295"/>
      <c r="M950" s="294"/>
      <c r="O950" s="294"/>
      <c r="P950" s="294"/>
      <c r="Q950" s="294"/>
      <c r="R950" s="294"/>
      <c r="S950" s="294"/>
      <c r="T950" s="294"/>
      <c r="U950" s="326"/>
      <c r="V950" s="294"/>
      <c r="W950" s="294"/>
      <c r="X950" s="294"/>
      <c r="Y950" s="294"/>
      <c r="Z950" s="294"/>
      <c r="AA950" s="294"/>
      <c r="AB950" s="294"/>
      <c r="AC950" s="294"/>
    </row>
    <row r="951" spans="2:29" x14ac:dyDescent="0.25">
      <c r="B951" s="294"/>
      <c r="C951" s="294"/>
      <c r="D951" s="294"/>
      <c r="E951" s="294"/>
      <c r="F951" s="294"/>
      <c r="G951" s="294"/>
      <c r="H951" s="294"/>
      <c r="I951" s="294"/>
      <c r="J951" s="294"/>
      <c r="L951" s="295"/>
      <c r="M951" s="294"/>
      <c r="O951" s="294"/>
      <c r="P951" s="294"/>
      <c r="Q951" s="294"/>
      <c r="R951" s="294"/>
      <c r="S951" s="294"/>
      <c r="T951" s="294"/>
      <c r="U951" s="326"/>
      <c r="V951" s="294"/>
      <c r="W951" s="294"/>
      <c r="X951" s="294"/>
      <c r="Y951" s="294"/>
      <c r="Z951" s="294"/>
      <c r="AA951" s="294"/>
      <c r="AB951" s="294"/>
      <c r="AC951" s="294"/>
    </row>
    <row r="952" spans="2:29" x14ac:dyDescent="0.25">
      <c r="B952" s="294"/>
      <c r="C952" s="294"/>
      <c r="D952" s="294"/>
      <c r="E952" s="294"/>
      <c r="F952" s="294"/>
      <c r="G952" s="294"/>
      <c r="H952" s="294"/>
      <c r="I952" s="294"/>
      <c r="J952" s="294"/>
      <c r="L952" s="295"/>
      <c r="M952" s="294"/>
      <c r="O952" s="294"/>
      <c r="P952" s="294"/>
      <c r="Q952" s="294"/>
      <c r="R952" s="294"/>
      <c r="S952" s="294"/>
      <c r="T952" s="294"/>
      <c r="U952" s="326"/>
      <c r="V952" s="294"/>
      <c r="W952" s="294"/>
      <c r="X952" s="294"/>
      <c r="Y952" s="294"/>
      <c r="Z952" s="294"/>
      <c r="AA952" s="294"/>
      <c r="AB952" s="294"/>
      <c r="AC952" s="294"/>
    </row>
    <row r="953" spans="2:29" x14ac:dyDescent="0.25">
      <c r="B953" s="294"/>
      <c r="C953" s="294"/>
      <c r="D953" s="294"/>
      <c r="E953" s="294"/>
      <c r="F953" s="294"/>
      <c r="G953" s="294"/>
      <c r="H953" s="294"/>
      <c r="I953" s="294"/>
      <c r="J953" s="294"/>
      <c r="L953" s="295"/>
      <c r="M953" s="294"/>
      <c r="O953" s="294"/>
      <c r="P953" s="294"/>
      <c r="Q953" s="294"/>
      <c r="R953" s="294"/>
      <c r="S953" s="294"/>
      <c r="T953" s="294"/>
      <c r="U953" s="326"/>
      <c r="V953" s="294"/>
      <c r="W953" s="294"/>
      <c r="X953" s="294"/>
      <c r="Y953" s="294"/>
      <c r="Z953" s="294"/>
      <c r="AA953" s="294"/>
      <c r="AB953" s="294"/>
      <c r="AC953" s="294"/>
    </row>
    <row r="954" spans="2:29" x14ac:dyDescent="0.25">
      <c r="B954" s="294"/>
      <c r="C954" s="294"/>
      <c r="D954" s="294"/>
      <c r="E954" s="294"/>
      <c r="F954" s="294"/>
      <c r="G954" s="294"/>
      <c r="H954" s="294"/>
      <c r="I954" s="294"/>
      <c r="J954" s="294"/>
      <c r="L954" s="295"/>
      <c r="M954" s="294"/>
      <c r="O954" s="294"/>
      <c r="P954" s="294"/>
      <c r="Q954" s="294"/>
      <c r="R954" s="294"/>
      <c r="S954" s="294"/>
      <c r="T954" s="294"/>
      <c r="U954" s="326"/>
      <c r="V954" s="294"/>
      <c r="W954" s="294"/>
      <c r="X954" s="294"/>
      <c r="Y954" s="294"/>
      <c r="Z954" s="294"/>
      <c r="AA954" s="294"/>
      <c r="AB954" s="294"/>
      <c r="AC954" s="294"/>
    </row>
    <row r="955" spans="2:29" x14ac:dyDescent="0.25">
      <c r="B955" s="294"/>
      <c r="C955" s="294"/>
      <c r="D955" s="294"/>
      <c r="E955" s="294"/>
      <c r="F955" s="294"/>
      <c r="G955" s="294"/>
      <c r="H955" s="294"/>
      <c r="I955" s="294"/>
      <c r="J955" s="294"/>
      <c r="L955" s="295"/>
      <c r="M955" s="294"/>
      <c r="O955" s="294"/>
      <c r="P955" s="294"/>
      <c r="Q955" s="294"/>
      <c r="R955" s="294"/>
      <c r="S955" s="294"/>
      <c r="T955" s="294"/>
      <c r="U955" s="326"/>
      <c r="V955" s="294"/>
      <c r="W955" s="294"/>
      <c r="X955" s="294"/>
      <c r="Y955" s="294"/>
      <c r="Z955" s="294"/>
      <c r="AA955" s="294"/>
      <c r="AB955" s="294"/>
      <c r="AC955" s="294"/>
    </row>
    <row r="956" spans="2:29" x14ac:dyDescent="0.25">
      <c r="B956" s="294"/>
      <c r="C956" s="294"/>
      <c r="D956" s="294"/>
      <c r="E956" s="294"/>
      <c r="F956" s="294"/>
      <c r="G956" s="294"/>
      <c r="H956" s="294"/>
      <c r="I956" s="294"/>
      <c r="J956" s="294"/>
      <c r="L956" s="295"/>
      <c r="M956" s="294"/>
      <c r="O956" s="294"/>
      <c r="P956" s="294"/>
      <c r="Q956" s="294"/>
      <c r="R956" s="294"/>
      <c r="S956" s="294"/>
      <c r="T956" s="294"/>
      <c r="U956" s="326"/>
      <c r="V956" s="294"/>
      <c r="W956" s="294"/>
      <c r="X956" s="294"/>
      <c r="Y956" s="294"/>
      <c r="Z956" s="294"/>
      <c r="AA956" s="294"/>
      <c r="AB956" s="294"/>
      <c r="AC956" s="294"/>
    </row>
    <row r="957" spans="2:29" x14ac:dyDescent="0.25">
      <c r="B957" s="294"/>
      <c r="C957" s="294"/>
      <c r="D957" s="294"/>
      <c r="E957" s="294"/>
      <c r="F957" s="294"/>
      <c r="G957" s="294"/>
      <c r="H957" s="294"/>
      <c r="I957" s="294"/>
      <c r="J957" s="294"/>
      <c r="L957" s="295"/>
      <c r="M957" s="294"/>
      <c r="O957" s="294"/>
      <c r="P957" s="294"/>
      <c r="Q957" s="294"/>
      <c r="R957" s="294"/>
      <c r="S957" s="294"/>
      <c r="T957" s="294"/>
      <c r="U957" s="326"/>
      <c r="V957" s="294"/>
      <c r="W957" s="294"/>
      <c r="X957" s="294"/>
      <c r="Y957" s="294"/>
      <c r="Z957" s="294"/>
      <c r="AA957" s="294"/>
      <c r="AB957" s="294"/>
      <c r="AC957" s="294"/>
    </row>
    <row r="958" spans="2:29" x14ac:dyDescent="0.25">
      <c r="B958" s="294"/>
      <c r="C958" s="294"/>
      <c r="D958" s="294"/>
      <c r="E958" s="294"/>
      <c r="F958" s="294"/>
      <c r="G958" s="294"/>
      <c r="H958" s="294"/>
      <c r="I958" s="294"/>
      <c r="J958" s="294"/>
      <c r="L958" s="295"/>
      <c r="M958" s="294"/>
      <c r="O958" s="294"/>
      <c r="P958" s="294"/>
      <c r="Q958" s="294"/>
      <c r="R958" s="294"/>
      <c r="S958" s="294"/>
      <c r="T958" s="294"/>
      <c r="U958" s="326"/>
      <c r="V958" s="294"/>
      <c r="W958" s="294"/>
      <c r="X958" s="294"/>
      <c r="Y958" s="294"/>
      <c r="Z958" s="294"/>
      <c r="AA958" s="294"/>
      <c r="AB958" s="294"/>
      <c r="AC958" s="294"/>
    </row>
    <row r="959" spans="2:29" x14ac:dyDescent="0.25">
      <c r="B959" s="294"/>
      <c r="C959" s="294"/>
      <c r="D959" s="294"/>
      <c r="E959" s="294"/>
      <c r="F959" s="294"/>
      <c r="G959" s="294"/>
      <c r="H959" s="294"/>
      <c r="I959" s="294"/>
      <c r="J959" s="294"/>
      <c r="L959" s="295"/>
      <c r="M959" s="294"/>
      <c r="O959" s="294"/>
      <c r="P959" s="294"/>
      <c r="Q959" s="294"/>
      <c r="R959" s="294"/>
      <c r="S959" s="294"/>
      <c r="T959" s="294"/>
      <c r="U959" s="326"/>
      <c r="V959" s="294"/>
      <c r="W959" s="294"/>
      <c r="X959" s="294"/>
      <c r="Y959" s="294"/>
      <c r="Z959" s="294"/>
      <c r="AA959" s="294"/>
      <c r="AB959" s="294"/>
      <c r="AC959" s="294"/>
    </row>
    <row r="960" spans="2:29" x14ac:dyDescent="0.25">
      <c r="B960" s="294"/>
      <c r="C960" s="294"/>
      <c r="D960" s="294"/>
      <c r="E960" s="294"/>
      <c r="F960" s="294"/>
      <c r="G960" s="294"/>
      <c r="H960" s="294"/>
      <c r="I960" s="294"/>
      <c r="J960" s="294"/>
      <c r="L960" s="295"/>
      <c r="M960" s="294"/>
      <c r="O960" s="294"/>
      <c r="P960" s="294"/>
      <c r="Q960" s="294"/>
      <c r="R960" s="294"/>
      <c r="S960" s="294"/>
      <c r="T960" s="294"/>
      <c r="U960" s="326"/>
      <c r="V960" s="294"/>
      <c r="W960" s="294"/>
      <c r="X960" s="294"/>
      <c r="Y960" s="294"/>
      <c r="Z960" s="294"/>
      <c r="AA960" s="294"/>
      <c r="AB960" s="294"/>
      <c r="AC960" s="294"/>
    </row>
    <row r="961" spans="2:29" x14ac:dyDescent="0.25">
      <c r="B961" s="294"/>
      <c r="C961" s="294"/>
      <c r="D961" s="294"/>
      <c r="E961" s="294"/>
      <c r="F961" s="294"/>
      <c r="G961" s="294"/>
      <c r="H961" s="294"/>
      <c r="I961" s="294"/>
      <c r="J961" s="294"/>
      <c r="L961" s="295"/>
      <c r="M961" s="294"/>
      <c r="O961" s="294"/>
      <c r="P961" s="294"/>
      <c r="Q961" s="294"/>
      <c r="R961" s="294"/>
      <c r="S961" s="294"/>
      <c r="T961" s="294"/>
      <c r="U961" s="326"/>
      <c r="V961" s="294"/>
      <c r="W961" s="294"/>
      <c r="X961" s="294"/>
      <c r="Y961" s="294"/>
      <c r="Z961" s="294"/>
      <c r="AA961" s="294"/>
      <c r="AB961" s="294"/>
      <c r="AC961" s="294"/>
    </row>
    <row r="962" spans="2:29" x14ac:dyDescent="0.25">
      <c r="B962" s="294"/>
      <c r="C962" s="294"/>
      <c r="D962" s="294"/>
      <c r="E962" s="294"/>
      <c r="F962" s="294"/>
      <c r="G962" s="294"/>
      <c r="H962" s="294"/>
      <c r="I962" s="294"/>
      <c r="J962" s="294"/>
      <c r="L962" s="295"/>
      <c r="M962" s="294"/>
      <c r="O962" s="294"/>
      <c r="P962" s="294"/>
      <c r="Q962" s="294"/>
      <c r="R962" s="294"/>
      <c r="S962" s="294"/>
      <c r="T962" s="294"/>
      <c r="U962" s="326"/>
      <c r="V962" s="294"/>
      <c r="W962" s="294"/>
      <c r="X962" s="294"/>
      <c r="Y962" s="294"/>
      <c r="Z962" s="294"/>
      <c r="AA962" s="294"/>
      <c r="AB962" s="294"/>
      <c r="AC962" s="294"/>
    </row>
    <row r="963" spans="2:29" x14ac:dyDescent="0.25">
      <c r="B963" s="294"/>
      <c r="C963" s="294"/>
      <c r="D963" s="294"/>
      <c r="E963" s="294"/>
      <c r="F963" s="294"/>
      <c r="G963" s="294"/>
      <c r="H963" s="294"/>
      <c r="I963" s="294"/>
      <c r="J963" s="294"/>
      <c r="L963" s="295"/>
      <c r="M963" s="294"/>
      <c r="O963" s="294"/>
      <c r="P963" s="294"/>
      <c r="Q963" s="294"/>
      <c r="R963" s="294"/>
      <c r="S963" s="294"/>
      <c r="T963" s="294"/>
      <c r="U963" s="326"/>
      <c r="V963" s="294"/>
      <c r="W963" s="294"/>
      <c r="X963" s="294"/>
      <c r="Y963" s="294"/>
      <c r="Z963" s="294"/>
      <c r="AA963" s="294"/>
      <c r="AB963" s="294"/>
      <c r="AC963" s="294"/>
    </row>
    <row r="964" spans="2:29" x14ac:dyDescent="0.25">
      <c r="B964" s="294"/>
      <c r="C964" s="294"/>
      <c r="D964" s="294"/>
      <c r="E964" s="294"/>
      <c r="F964" s="294"/>
      <c r="G964" s="294"/>
      <c r="H964" s="294"/>
      <c r="I964" s="294"/>
      <c r="J964" s="294"/>
      <c r="L964" s="295"/>
      <c r="M964" s="294"/>
      <c r="O964" s="294"/>
      <c r="P964" s="294"/>
      <c r="Q964" s="294"/>
      <c r="R964" s="294"/>
      <c r="S964" s="294"/>
      <c r="T964" s="294"/>
      <c r="U964" s="326"/>
      <c r="V964" s="294"/>
      <c r="W964" s="294"/>
      <c r="X964" s="294"/>
      <c r="Y964" s="294"/>
      <c r="Z964" s="294"/>
      <c r="AA964" s="294"/>
      <c r="AB964" s="294"/>
      <c r="AC964" s="294"/>
    </row>
    <row r="965" spans="2:29" x14ac:dyDescent="0.25">
      <c r="B965" s="294"/>
      <c r="C965" s="294"/>
      <c r="D965" s="294"/>
      <c r="E965" s="294"/>
      <c r="F965" s="294"/>
      <c r="G965" s="294"/>
      <c r="H965" s="294"/>
      <c r="I965" s="294"/>
      <c r="J965" s="294"/>
      <c r="L965" s="295"/>
      <c r="M965" s="294"/>
      <c r="O965" s="294"/>
      <c r="P965" s="294"/>
      <c r="Q965" s="294"/>
      <c r="R965" s="294"/>
      <c r="S965" s="294"/>
      <c r="T965" s="294"/>
      <c r="U965" s="326"/>
      <c r="V965" s="294"/>
      <c r="W965" s="294"/>
      <c r="X965" s="294"/>
      <c r="Y965" s="294"/>
      <c r="Z965" s="294"/>
      <c r="AA965" s="294"/>
      <c r="AB965" s="294"/>
      <c r="AC965" s="294"/>
    </row>
    <row r="966" spans="2:29" x14ac:dyDescent="0.25">
      <c r="B966" s="294"/>
      <c r="C966" s="294"/>
      <c r="D966" s="294"/>
      <c r="E966" s="294"/>
      <c r="F966" s="294"/>
      <c r="G966" s="294"/>
      <c r="H966" s="294"/>
      <c r="I966" s="294"/>
      <c r="J966" s="294"/>
      <c r="L966" s="295"/>
      <c r="M966" s="294"/>
      <c r="O966" s="294"/>
      <c r="P966" s="294"/>
      <c r="Q966" s="294"/>
      <c r="R966" s="294"/>
      <c r="S966" s="294"/>
      <c r="T966" s="294"/>
      <c r="U966" s="326"/>
      <c r="V966" s="294"/>
      <c r="W966" s="294"/>
      <c r="X966" s="294"/>
      <c r="Y966" s="294"/>
      <c r="Z966" s="294"/>
      <c r="AA966" s="294"/>
      <c r="AB966" s="294"/>
      <c r="AC966" s="294"/>
    </row>
    <row r="967" spans="2:29" x14ac:dyDescent="0.25">
      <c r="B967" s="294"/>
      <c r="C967" s="294"/>
      <c r="D967" s="294"/>
      <c r="E967" s="294"/>
      <c r="F967" s="294"/>
      <c r="G967" s="294"/>
      <c r="H967" s="294"/>
      <c r="I967" s="294"/>
      <c r="J967" s="294"/>
      <c r="L967" s="295"/>
      <c r="M967" s="294"/>
      <c r="O967" s="294"/>
      <c r="P967" s="294"/>
      <c r="Q967" s="294"/>
      <c r="R967" s="294"/>
      <c r="S967" s="294"/>
      <c r="T967" s="294"/>
      <c r="U967" s="326"/>
      <c r="V967" s="294"/>
      <c r="W967" s="294"/>
      <c r="X967" s="294"/>
      <c r="Y967" s="294"/>
      <c r="Z967" s="294"/>
      <c r="AA967" s="294"/>
      <c r="AB967" s="294"/>
      <c r="AC967" s="294"/>
    </row>
    <row r="968" spans="2:29" x14ac:dyDescent="0.25">
      <c r="B968" s="294"/>
      <c r="C968" s="294"/>
      <c r="D968" s="294"/>
      <c r="E968" s="294"/>
      <c r="F968" s="294"/>
      <c r="G968" s="294"/>
      <c r="H968" s="294"/>
      <c r="I968" s="294"/>
      <c r="J968" s="294"/>
      <c r="L968" s="295"/>
      <c r="M968" s="294"/>
      <c r="O968" s="294"/>
      <c r="P968" s="294"/>
      <c r="Q968" s="294"/>
      <c r="R968" s="294"/>
      <c r="S968" s="294"/>
      <c r="T968" s="294"/>
      <c r="U968" s="326"/>
      <c r="V968" s="294"/>
      <c r="W968" s="294"/>
      <c r="X968" s="294"/>
      <c r="Y968" s="294"/>
      <c r="Z968" s="294"/>
      <c r="AA968" s="294"/>
      <c r="AB968" s="294"/>
      <c r="AC968" s="294"/>
    </row>
    <row r="969" spans="2:29" x14ac:dyDescent="0.25">
      <c r="B969" s="294"/>
      <c r="C969" s="294"/>
      <c r="D969" s="294"/>
      <c r="E969" s="294"/>
      <c r="F969" s="294"/>
      <c r="G969" s="294"/>
      <c r="H969" s="294"/>
      <c r="I969" s="294"/>
      <c r="J969" s="294"/>
      <c r="L969" s="295"/>
      <c r="M969" s="294"/>
      <c r="O969" s="294"/>
      <c r="P969" s="294"/>
      <c r="Q969" s="294"/>
      <c r="R969" s="294"/>
      <c r="S969" s="294"/>
      <c r="T969" s="294"/>
      <c r="U969" s="326"/>
      <c r="V969" s="294"/>
      <c r="W969" s="294"/>
      <c r="X969" s="294"/>
      <c r="Y969" s="294"/>
      <c r="Z969" s="294"/>
      <c r="AA969" s="294"/>
      <c r="AB969" s="294"/>
      <c r="AC969" s="294"/>
    </row>
    <row r="970" spans="2:29" x14ac:dyDescent="0.25">
      <c r="B970" s="294"/>
      <c r="C970" s="294"/>
      <c r="D970" s="294"/>
      <c r="E970" s="294"/>
      <c r="F970" s="294"/>
      <c r="G970" s="294"/>
      <c r="H970" s="294"/>
      <c r="I970" s="294"/>
      <c r="J970" s="294"/>
      <c r="L970" s="295"/>
      <c r="M970" s="294"/>
      <c r="O970" s="294"/>
      <c r="P970" s="294"/>
      <c r="Q970" s="294"/>
      <c r="R970" s="294"/>
      <c r="S970" s="294"/>
      <c r="T970" s="294"/>
      <c r="U970" s="326"/>
      <c r="V970" s="294"/>
      <c r="W970" s="294"/>
      <c r="X970" s="294"/>
      <c r="Y970" s="294"/>
      <c r="Z970" s="294"/>
      <c r="AA970" s="294"/>
      <c r="AB970" s="294"/>
      <c r="AC970" s="294"/>
    </row>
    <row r="971" spans="2:29" x14ac:dyDescent="0.25">
      <c r="B971" s="294"/>
      <c r="C971" s="294"/>
      <c r="D971" s="294"/>
      <c r="E971" s="294"/>
      <c r="F971" s="294"/>
      <c r="G971" s="294"/>
      <c r="H971" s="294"/>
      <c r="I971" s="294"/>
      <c r="J971" s="294"/>
      <c r="L971" s="295"/>
      <c r="M971" s="294"/>
      <c r="O971" s="294"/>
      <c r="P971" s="294"/>
      <c r="Q971" s="294"/>
      <c r="R971" s="294"/>
      <c r="S971" s="294"/>
      <c r="T971" s="294"/>
      <c r="U971" s="326"/>
      <c r="V971" s="294"/>
      <c r="W971" s="294"/>
      <c r="X971" s="294"/>
      <c r="Y971" s="294"/>
      <c r="Z971" s="294"/>
      <c r="AA971" s="294"/>
      <c r="AB971" s="294"/>
      <c r="AC971" s="294"/>
    </row>
    <row r="972" spans="2:29" x14ac:dyDescent="0.25">
      <c r="B972" s="294"/>
      <c r="C972" s="294"/>
      <c r="D972" s="294"/>
      <c r="E972" s="294"/>
      <c r="F972" s="294"/>
      <c r="G972" s="294"/>
      <c r="H972" s="294"/>
      <c r="I972" s="294"/>
      <c r="J972" s="294"/>
      <c r="L972" s="295"/>
      <c r="M972" s="294"/>
      <c r="O972" s="294"/>
      <c r="P972" s="294"/>
      <c r="Q972" s="294"/>
      <c r="R972" s="294"/>
      <c r="S972" s="294"/>
      <c r="T972" s="294"/>
      <c r="U972" s="326"/>
      <c r="V972" s="294"/>
      <c r="W972" s="294"/>
      <c r="X972" s="294"/>
      <c r="Y972" s="294"/>
      <c r="Z972" s="294"/>
      <c r="AA972" s="294"/>
      <c r="AB972" s="294"/>
      <c r="AC972" s="294"/>
    </row>
    <row r="973" spans="2:29" x14ac:dyDescent="0.25">
      <c r="B973" s="294"/>
      <c r="C973" s="294"/>
      <c r="D973" s="294"/>
      <c r="E973" s="294"/>
      <c r="F973" s="294"/>
      <c r="G973" s="294"/>
      <c r="H973" s="294"/>
      <c r="I973" s="294"/>
      <c r="J973" s="294"/>
      <c r="L973" s="295"/>
      <c r="M973" s="294"/>
      <c r="O973" s="294"/>
      <c r="P973" s="294"/>
      <c r="Q973" s="294"/>
      <c r="R973" s="294"/>
      <c r="S973" s="294"/>
      <c r="T973" s="294"/>
      <c r="U973" s="326"/>
      <c r="V973" s="294"/>
      <c r="W973" s="294"/>
      <c r="X973" s="294"/>
      <c r="Y973" s="294"/>
      <c r="Z973" s="294"/>
      <c r="AA973" s="294"/>
      <c r="AB973" s="294"/>
      <c r="AC973" s="294"/>
    </row>
    <row r="974" spans="2:29" x14ac:dyDescent="0.25">
      <c r="B974" s="294"/>
      <c r="C974" s="294"/>
      <c r="D974" s="294"/>
      <c r="E974" s="294"/>
      <c r="F974" s="294"/>
      <c r="G974" s="294"/>
      <c r="H974" s="294"/>
      <c r="I974" s="294"/>
      <c r="J974" s="294"/>
      <c r="L974" s="295"/>
      <c r="M974" s="294"/>
      <c r="O974" s="294"/>
      <c r="P974" s="294"/>
      <c r="Q974" s="294"/>
      <c r="R974" s="294"/>
      <c r="S974" s="294"/>
      <c r="T974" s="294"/>
      <c r="U974" s="326"/>
      <c r="V974" s="294"/>
      <c r="W974" s="294"/>
      <c r="X974" s="294"/>
      <c r="Y974" s="294"/>
      <c r="Z974" s="294"/>
      <c r="AA974" s="294"/>
      <c r="AB974" s="294"/>
      <c r="AC974" s="294"/>
    </row>
    <row r="975" spans="2:29" x14ac:dyDescent="0.25">
      <c r="B975" s="294"/>
      <c r="C975" s="294"/>
      <c r="D975" s="294"/>
      <c r="E975" s="294"/>
      <c r="F975" s="294"/>
      <c r="G975" s="294"/>
      <c r="H975" s="294"/>
      <c r="I975" s="294"/>
      <c r="J975" s="294"/>
      <c r="L975" s="295"/>
      <c r="M975" s="294"/>
      <c r="O975" s="294"/>
      <c r="P975" s="294"/>
      <c r="Q975" s="294"/>
      <c r="R975" s="294"/>
      <c r="S975" s="294"/>
      <c r="T975" s="294"/>
      <c r="U975" s="326"/>
      <c r="V975" s="294"/>
      <c r="W975" s="294"/>
      <c r="X975" s="294"/>
      <c r="Y975" s="294"/>
      <c r="Z975" s="294"/>
      <c r="AA975" s="294"/>
      <c r="AB975" s="294"/>
      <c r="AC975" s="294"/>
    </row>
    <row r="976" spans="2:29" x14ac:dyDescent="0.25">
      <c r="B976" s="294"/>
      <c r="C976" s="294"/>
      <c r="D976" s="294"/>
      <c r="E976" s="294"/>
      <c r="F976" s="294"/>
      <c r="G976" s="294"/>
      <c r="H976" s="294"/>
      <c r="I976" s="294"/>
      <c r="J976" s="294"/>
      <c r="L976" s="295"/>
      <c r="M976" s="294"/>
      <c r="O976" s="294"/>
      <c r="P976" s="294"/>
      <c r="Q976" s="294"/>
      <c r="R976" s="294"/>
      <c r="S976" s="294"/>
      <c r="T976" s="294"/>
      <c r="U976" s="326"/>
      <c r="V976" s="294"/>
      <c r="W976" s="294"/>
      <c r="X976" s="294"/>
      <c r="Y976" s="294"/>
      <c r="Z976" s="294"/>
      <c r="AA976" s="294"/>
      <c r="AB976" s="294"/>
      <c r="AC976" s="294"/>
    </row>
    <row r="977" spans="2:29" x14ac:dyDescent="0.25">
      <c r="B977" s="294"/>
      <c r="C977" s="294"/>
      <c r="D977" s="294"/>
      <c r="E977" s="294"/>
      <c r="F977" s="294"/>
      <c r="G977" s="294"/>
      <c r="H977" s="294"/>
      <c r="I977" s="294"/>
      <c r="J977" s="294"/>
      <c r="L977" s="295"/>
      <c r="M977" s="294"/>
      <c r="O977" s="294"/>
      <c r="P977" s="294"/>
      <c r="Q977" s="294"/>
      <c r="R977" s="294"/>
      <c r="S977" s="294"/>
      <c r="T977" s="294"/>
      <c r="U977" s="326"/>
      <c r="V977" s="294"/>
      <c r="W977" s="294"/>
      <c r="X977" s="294"/>
      <c r="Y977" s="294"/>
      <c r="Z977" s="294"/>
      <c r="AA977" s="294"/>
      <c r="AB977" s="294"/>
      <c r="AC977" s="294"/>
    </row>
    <row r="978" spans="2:29" x14ac:dyDescent="0.25">
      <c r="B978" s="294"/>
      <c r="C978" s="294"/>
      <c r="D978" s="294"/>
      <c r="E978" s="294"/>
      <c r="F978" s="294"/>
      <c r="G978" s="294"/>
      <c r="H978" s="294"/>
      <c r="I978" s="294"/>
      <c r="J978" s="294"/>
      <c r="L978" s="295"/>
      <c r="M978" s="294"/>
      <c r="O978" s="294"/>
      <c r="P978" s="294"/>
      <c r="Q978" s="294"/>
      <c r="R978" s="294"/>
      <c r="S978" s="294"/>
      <c r="T978" s="294"/>
      <c r="U978" s="326"/>
      <c r="V978" s="294"/>
      <c r="W978" s="294"/>
      <c r="X978" s="294"/>
      <c r="Y978" s="294"/>
      <c r="Z978" s="294"/>
      <c r="AA978" s="294"/>
      <c r="AB978" s="294"/>
      <c r="AC978" s="294"/>
    </row>
    <row r="979" spans="2:29" x14ac:dyDescent="0.25">
      <c r="B979" s="294"/>
      <c r="C979" s="294"/>
      <c r="D979" s="294"/>
      <c r="E979" s="294"/>
      <c r="F979" s="294"/>
      <c r="G979" s="294"/>
      <c r="H979" s="294"/>
      <c r="I979" s="294"/>
      <c r="J979" s="294"/>
      <c r="L979" s="295"/>
      <c r="M979" s="294"/>
      <c r="O979" s="294"/>
      <c r="P979" s="294"/>
      <c r="Q979" s="294"/>
      <c r="R979" s="294"/>
      <c r="S979" s="294"/>
      <c r="T979" s="294"/>
      <c r="U979" s="326"/>
      <c r="V979" s="294"/>
      <c r="W979" s="294"/>
      <c r="X979" s="294"/>
      <c r="Y979" s="294"/>
      <c r="Z979" s="294"/>
      <c r="AA979" s="294"/>
      <c r="AB979" s="294"/>
      <c r="AC979" s="294"/>
    </row>
    <row r="980" spans="2:29" x14ac:dyDescent="0.25">
      <c r="B980" s="294"/>
      <c r="C980" s="294"/>
      <c r="D980" s="294"/>
      <c r="E980" s="294"/>
      <c r="F980" s="294"/>
      <c r="G980" s="294"/>
      <c r="H980" s="294"/>
      <c r="I980" s="294"/>
      <c r="J980" s="294"/>
      <c r="L980" s="295"/>
      <c r="M980" s="294"/>
      <c r="O980" s="294"/>
      <c r="P980" s="294"/>
      <c r="Q980" s="294"/>
      <c r="R980" s="294"/>
      <c r="S980" s="294"/>
      <c r="T980" s="294"/>
      <c r="U980" s="326"/>
      <c r="V980" s="294"/>
      <c r="W980" s="294"/>
      <c r="X980" s="294"/>
      <c r="Y980" s="294"/>
      <c r="Z980" s="294"/>
      <c r="AA980" s="294"/>
      <c r="AB980" s="294"/>
      <c r="AC980" s="294"/>
    </row>
    <row r="981" spans="2:29" x14ac:dyDescent="0.25">
      <c r="B981" s="294"/>
      <c r="C981" s="294"/>
      <c r="D981" s="294"/>
      <c r="E981" s="294"/>
      <c r="F981" s="294"/>
      <c r="G981" s="294"/>
      <c r="H981" s="294"/>
      <c r="I981" s="294"/>
      <c r="J981" s="294"/>
      <c r="L981" s="295"/>
      <c r="M981" s="294"/>
      <c r="O981" s="294"/>
      <c r="P981" s="294"/>
      <c r="Q981" s="294"/>
      <c r="R981" s="294"/>
      <c r="S981" s="294"/>
      <c r="T981" s="294"/>
      <c r="U981" s="326"/>
      <c r="V981" s="294"/>
      <c r="W981" s="294"/>
      <c r="X981" s="294"/>
      <c r="Y981" s="294"/>
      <c r="Z981" s="294"/>
      <c r="AA981" s="294"/>
      <c r="AB981" s="294"/>
      <c r="AC981" s="294"/>
    </row>
    <row r="982" spans="2:29" x14ac:dyDescent="0.25">
      <c r="B982" s="294"/>
      <c r="C982" s="294"/>
      <c r="D982" s="294"/>
      <c r="E982" s="294"/>
      <c r="F982" s="294"/>
      <c r="G982" s="294"/>
      <c r="H982" s="294"/>
      <c r="I982" s="294"/>
      <c r="J982" s="294"/>
      <c r="L982" s="295"/>
      <c r="M982" s="294"/>
      <c r="O982" s="294"/>
      <c r="P982" s="294"/>
      <c r="Q982" s="294"/>
      <c r="R982" s="294"/>
      <c r="S982" s="294"/>
      <c r="T982" s="294"/>
      <c r="U982" s="326"/>
      <c r="V982" s="294"/>
      <c r="W982" s="294"/>
      <c r="X982" s="294"/>
      <c r="Y982" s="294"/>
      <c r="Z982" s="294"/>
      <c r="AA982" s="294"/>
      <c r="AB982" s="294"/>
      <c r="AC982" s="294"/>
    </row>
    <row r="983" spans="2:29" x14ac:dyDescent="0.25">
      <c r="B983" s="294"/>
      <c r="C983" s="294"/>
      <c r="D983" s="294"/>
      <c r="E983" s="294"/>
      <c r="F983" s="294"/>
      <c r="G983" s="294"/>
      <c r="H983" s="294"/>
      <c r="I983" s="294"/>
      <c r="J983" s="294"/>
      <c r="L983" s="295"/>
      <c r="M983" s="294"/>
      <c r="O983" s="294"/>
      <c r="P983" s="294"/>
      <c r="Q983" s="294"/>
      <c r="R983" s="294"/>
      <c r="S983" s="294"/>
      <c r="T983" s="294"/>
      <c r="U983" s="326"/>
      <c r="V983" s="294"/>
      <c r="W983" s="294"/>
      <c r="X983" s="294"/>
      <c r="Y983" s="294"/>
      <c r="Z983" s="294"/>
      <c r="AA983" s="294"/>
      <c r="AB983" s="294"/>
      <c r="AC983" s="294"/>
    </row>
    <row r="984" spans="2:29" x14ac:dyDescent="0.25">
      <c r="B984" s="294"/>
      <c r="C984" s="294"/>
      <c r="D984" s="294"/>
      <c r="E984" s="294"/>
      <c r="F984" s="294"/>
      <c r="G984" s="294"/>
      <c r="H984" s="294"/>
      <c r="I984" s="294"/>
      <c r="J984" s="294"/>
      <c r="L984" s="295"/>
      <c r="M984" s="294"/>
      <c r="O984" s="294"/>
      <c r="P984" s="294"/>
      <c r="Q984" s="294"/>
      <c r="R984" s="294"/>
      <c r="S984" s="294"/>
      <c r="T984" s="294"/>
      <c r="U984" s="326"/>
      <c r="V984" s="294"/>
      <c r="W984" s="294"/>
      <c r="X984" s="294"/>
      <c r="Y984" s="294"/>
      <c r="Z984" s="294"/>
      <c r="AA984" s="294"/>
      <c r="AB984" s="294"/>
      <c r="AC984" s="294"/>
    </row>
    <row r="985" spans="2:29" x14ac:dyDescent="0.25">
      <c r="B985" s="294"/>
      <c r="C985" s="294"/>
      <c r="D985" s="294"/>
      <c r="E985" s="294"/>
      <c r="F985" s="294"/>
      <c r="G985" s="294"/>
      <c r="H985" s="294"/>
      <c r="I985" s="294"/>
      <c r="J985" s="294"/>
      <c r="L985" s="295"/>
      <c r="M985" s="294"/>
      <c r="O985" s="294"/>
      <c r="P985" s="294"/>
      <c r="Q985" s="294"/>
      <c r="R985" s="294"/>
      <c r="S985" s="294"/>
      <c r="T985" s="294"/>
      <c r="U985" s="326"/>
      <c r="V985" s="294"/>
      <c r="W985" s="294"/>
      <c r="X985" s="294"/>
      <c r="Y985" s="294"/>
      <c r="Z985" s="294"/>
      <c r="AA985" s="294"/>
      <c r="AB985" s="294"/>
      <c r="AC985" s="294"/>
    </row>
    <row r="986" spans="2:29" x14ac:dyDescent="0.25">
      <c r="B986" s="294"/>
      <c r="C986" s="294"/>
      <c r="D986" s="294"/>
      <c r="E986" s="294"/>
      <c r="F986" s="294"/>
      <c r="G986" s="294"/>
      <c r="H986" s="294"/>
      <c r="I986" s="294"/>
      <c r="J986" s="294"/>
      <c r="L986" s="295"/>
      <c r="M986" s="294"/>
      <c r="O986" s="294"/>
      <c r="P986" s="294"/>
      <c r="Q986" s="294"/>
      <c r="R986" s="294"/>
      <c r="S986" s="294"/>
      <c r="T986" s="294"/>
      <c r="U986" s="326"/>
      <c r="V986" s="294"/>
      <c r="W986" s="294"/>
      <c r="X986" s="294"/>
      <c r="Y986" s="294"/>
      <c r="Z986" s="294"/>
      <c r="AA986" s="294"/>
      <c r="AB986" s="294"/>
      <c r="AC986" s="294"/>
    </row>
    <row r="987" spans="2:29" x14ac:dyDescent="0.25">
      <c r="B987" s="294"/>
      <c r="C987" s="294"/>
      <c r="D987" s="294"/>
      <c r="E987" s="294"/>
      <c r="F987" s="294"/>
      <c r="G987" s="294"/>
      <c r="H987" s="294"/>
      <c r="I987" s="294"/>
      <c r="J987" s="294"/>
      <c r="L987" s="295"/>
      <c r="M987" s="294"/>
      <c r="O987" s="294"/>
      <c r="P987" s="294"/>
      <c r="Q987" s="294"/>
      <c r="R987" s="294"/>
      <c r="S987" s="294"/>
      <c r="T987" s="294"/>
      <c r="U987" s="326"/>
      <c r="V987" s="294"/>
      <c r="W987" s="294"/>
      <c r="X987" s="294"/>
      <c r="Y987" s="294"/>
      <c r="Z987" s="294"/>
      <c r="AA987" s="294"/>
      <c r="AB987" s="294"/>
      <c r="AC987" s="294"/>
    </row>
    <row r="988" spans="2:29" x14ac:dyDescent="0.25">
      <c r="B988" s="294"/>
      <c r="C988" s="294"/>
      <c r="D988" s="294"/>
      <c r="E988" s="294"/>
      <c r="F988" s="294"/>
      <c r="G988" s="294"/>
      <c r="H988" s="294"/>
      <c r="I988" s="294"/>
      <c r="J988" s="294"/>
      <c r="L988" s="295"/>
      <c r="M988" s="294"/>
      <c r="O988" s="294"/>
      <c r="P988" s="294"/>
      <c r="Q988" s="294"/>
      <c r="R988" s="294"/>
      <c r="S988" s="294"/>
      <c r="T988" s="294"/>
      <c r="U988" s="326"/>
      <c r="V988" s="294"/>
      <c r="W988" s="294"/>
      <c r="X988" s="294"/>
      <c r="Y988" s="294"/>
      <c r="Z988" s="294"/>
      <c r="AA988" s="294"/>
      <c r="AB988" s="294"/>
      <c r="AC988" s="294"/>
    </row>
    <row r="989" spans="2:29" x14ac:dyDescent="0.25">
      <c r="B989" s="294"/>
      <c r="C989" s="294"/>
      <c r="D989" s="294"/>
      <c r="E989" s="294"/>
      <c r="F989" s="294"/>
      <c r="G989" s="294"/>
      <c r="H989" s="294"/>
      <c r="I989" s="294"/>
      <c r="J989" s="294"/>
      <c r="L989" s="295"/>
      <c r="M989" s="294"/>
      <c r="O989" s="294"/>
      <c r="P989" s="294"/>
      <c r="Q989" s="294"/>
      <c r="R989" s="294"/>
      <c r="S989" s="294"/>
      <c r="T989" s="294"/>
      <c r="U989" s="326"/>
      <c r="V989" s="294"/>
      <c r="W989" s="294"/>
      <c r="X989" s="294"/>
      <c r="Y989" s="294"/>
      <c r="Z989" s="294"/>
      <c r="AA989" s="294"/>
      <c r="AB989" s="294"/>
      <c r="AC989" s="294"/>
    </row>
    <row r="990" spans="2:29" x14ac:dyDescent="0.25">
      <c r="B990" s="294"/>
      <c r="C990" s="294"/>
      <c r="D990" s="294"/>
      <c r="E990" s="294"/>
      <c r="F990" s="294"/>
      <c r="G990" s="294"/>
      <c r="H990" s="294"/>
      <c r="I990" s="294"/>
      <c r="J990" s="294"/>
      <c r="L990" s="295"/>
      <c r="M990" s="294"/>
      <c r="O990" s="294"/>
      <c r="P990" s="294"/>
      <c r="Q990" s="294"/>
      <c r="R990" s="294"/>
      <c r="S990" s="294"/>
      <c r="T990" s="294"/>
      <c r="U990" s="326"/>
      <c r="V990" s="294"/>
      <c r="W990" s="294"/>
      <c r="X990" s="294"/>
      <c r="Y990" s="294"/>
      <c r="Z990" s="294"/>
      <c r="AA990" s="294"/>
      <c r="AB990" s="294"/>
      <c r="AC990" s="294"/>
    </row>
    <row r="991" spans="2:29" x14ac:dyDescent="0.25">
      <c r="B991" s="294"/>
      <c r="C991" s="294"/>
      <c r="D991" s="294"/>
      <c r="E991" s="294"/>
      <c r="F991" s="294"/>
      <c r="G991" s="294"/>
      <c r="H991" s="294"/>
      <c r="I991" s="294"/>
      <c r="J991" s="294"/>
      <c r="L991" s="295"/>
      <c r="M991" s="294"/>
      <c r="O991" s="294"/>
      <c r="P991" s="294"/>
      <c r="Q991" s="294"/>
      <c r="R991" s="294"/>
      <c r="S991" s="294"/>
      <c r="T991" s="294"/>
      <c r="U991" s="326"/>
      <c r="V991" s="294"/>
      <c r="W991" s="294"/>
      <c r="X991" s="294"/>
      <c r="Y991" s="294"/>
      <c r="Z991" s="294"/>
      <c r="AA991" s="294"/>
      <c r="AB991" s="294"/>
      <c r="AC991" s="294"/>
    </row>
    <row r="992" spans="2:29" x14ac:dyDescent="0.25">
      <c r="B992" s="294"/>
      <c r="C992" s="294"/>
      <c r="D992" s="294"/>
      <c r="E992" s="294"/>
      <c r="F992" s="294"/>
      <c r="G992" s="294"/>
      <c r="H992" s="294"/>
      <c r="I992" s="294"/>
      <c r="J992" s="294"/>
      <c r="L992" s="295"/>
      <c r="M992" s="294"/>
      <c r="O992" s="294"/>
      <c r="P992" s="294"/>
      <c r="Q992" s="294"/>
      <c r="R992" s="294"/>
      <c r="S992" s="294"/>
      <c r="T992" s="294"/>
      <c r="U992" s="326"/>
      <c r="V992" s="294"/>
      <c r="W992" s="294"/>
      <c r="X992" s="294"/>
      <c r="Y992" s="294"/>
      <c r="Z992" s="294"/>
      <c r="AA992" s="294"/>
      <c r="AB992" s="294"/>
      <c r="AC992" s="294"/>
    </row>
    <row r="993" spans="2:29" x14ac:dyDescent="0.25">
      <c r="B993" s="294"/>
      <c r="C993" s="294"/>
      <c r="D993" s="294"/>
      <c r="E993" s="294"/>
      <c r="F993" s="294"/>
      <c r="G993" s="294"/>
      <c r="H993" s="294"/>
      <c r="I993" s="294"/>
      <c r="J993" s="294"/>
      <c r="L993" s="295"/>
      <c r="M993" s="294"/>
      <c r="O993" s="294"/>
      <c r="P993" s="294"/>
      <c r="Q993" s="294"/>
      <c r="R993" s="294"/>
      <c r="S993" s="294"/>
      <c r="T993" s="294"/>
      <c r="U993" s="326"/>
      <c r="V993" s="294"/>
      <c r="W993" s="294"/>
      <c r="X993" s="294"/>
      <c r="Y993" s="294"/>
      <c r="Z993" s="294"/>
      <c r="AA993" s="294"/>
      <c r="AB993" s="294"/>
      <c r="AC993" s="294"/>
    </row>
    <row r="994" spans="2:29" x14ac:dyDescent="0.25">
      <c r="B994" s="294"/>
      <c r="C994" s="294"/>
      <c r="D994" s="294"/>
      <c r="E994" s="294"/>
      <c r="F994" s="294"/>
      <c r="G994" s="294"/>
      <c r="H994" s="294"/>
      <c r="I994" s="294"/>
      <c r="J994" s="294"/>
      <c r="L994" s="295"/>
      <c r="M994" s="294"/>
      <c r="O994" s="294"/>
      <c r="P994" s="294"/>
      <c r="Q994" s="294"/>
      <c r="R994" s="294"/>
      <c r="S994" s="294"/>
      <c r="T994" s="294"/>
      <c r="U994" s="326"/>
      <c r="V994" s="294"/>
      <c r="W994" s="294"/>
      <c r="X994" s="294"/>
      <c r="Y994" s="294"/>
      <c r="Z994" s="294"/>
      <c r="AA994" s="294"/>
      <c r="AB994" s="294"/>
      <c r="AC994" s="294"/>
    </row>
    <row r="995" spans="2:29" x14ac:dyDescent="0.25">
      <c r="B995" s="294"/>
      <c r="C995" s="294"/>
      <c r="D995" s="294"/>
      <c r="E995" s="294"/>
      <c r="F995" s="294"/>
      <c r="G995" s="294"/>
      <c r="H995" s="294"/>
      <c r="I995" s="294"/>
      <c r="J995" s="294"/>
      <c r="L995" s="295"/>
      <c r="M995" s="294"/>
      <c r="O995" s="294"/>
      <c r="P995" s="294"/>
      <c r="Q995" s="294"/>
      <c r="R995" s="294"/>
      <c r="S995" s="294"/>
      <c r="T995" s="294"/>
      <c r="U995" s="326"/>
      <c r="V995" s="294"/>
      <c r="W995" s="294"/>
      <c r="X995" s="294"/>
      <c r="Y995" s="294"/>
      <c r="Z995" s="294"/>
      <c r="AA995" s="294"/>
      <c r="AB995" s="294"/>
      <c r="AC995" s="294"/>
    </row>
    <row r="996" spans="2:29" x14ac:dyDescent="0.25">
      <c r="B996" s="294"/>
      <c r="C996" s="294"/>
      <c r="D996" s="294"/>
      <c r="E996" s="294"/>
      <c r="F996" s="294"/>
      <c r="G996" s="294"/>
      <c r="H996" s="294"/>
      <c r="I996" s="294"/>
      <c r="J996" s="294"/>
      <c r="L996" s="295"/>
      <c r="M996" s="294"/>
      <c r="O996" s="294"/>
      <c r="P996" s="294"/>
      <c r="Q996" s="294"/>
      <c r="R996" s="294"/>
      <c r="S996" s="294"/>
      <c r="T996" s="294"/>
      <c r="U996" s="326"/>
      <c r="V996" s="294"/>
      <c r="W996" s="294"/>
      <c r="X996" s="294"/>
      <c r="Y996" s="294"/>
      <c r="Z996" s="294"/>
      <c r="AA996" s="294"/>
      <c r="AB996" s="294"/>
      <c r="AC996" s="294"/>
    </row>
    <row r="997" spans="2:29" x14ac:dyDescent="0.25">
      <c r="B997" s="294"/>
      <c r="C997" s="294"/>
      <c r="D997" s="294"/>
      <c r="E997" s="294"/>
      <c r="F997" s="294"/>
      <c r="G997" s="294"/>
      <c r="H997" s="294"/>
      <c r="I997" s="294"/>
      <c r="J997" s="294"/>
      <c r="L997" s="295"/>
      <c r="M997" s="294"/>
      <c r="O997" s="294"/>
      <c r="P997" s="294"/>
      <c r="Q997" s="294"/>
      <c r="R997" s="294"/>
      <c r="S997" s="294"/>
      <c r="T997" s="294"/>
      <c r="U997" s="326"/>
      <c r="V997" s="294"/>
      <c r="W997" s="294"/>
      <c r="X997" s="294"/>
      <c r="Y997" s="294"/>
      <c r="Z997" s="294"/>
      <c r="AA997" s="294"/>
      <c r="AB997" s="294"/>
      <c r="AC997" s="294"/>
    </row>
    <row r="998" spans="2:29" x14ac:dyDescent="0.25">
      <c r="B998" s="294"/>
      <c r="C998" s="294"/>
      <c r="D998" s="294"/>
      <c r="E998" s="294"/>
      <c r="F998" s="294"/>
      <c r="G998" s="294"/>
      <c r="H998" s="294"/>
      <c r="I998" s="294"/>
      <c r="J998" s="294"/>
      <c r="L998" s="295"/>
      <c r="M998" s="294"/>
      <c r="O998" s="294"/>
      <c r="P998" s="294"/>
      <c r="Q998" s="294"/>
      <c r="R998" s="294"/>
      <c r="S998" s="294"/>
      <c r="T998" s="294"/>
      <c r="U998" s="326"/>
      <c r="V998" s="294"/>
      <c r="W998" s="294"/>
      <c r="X998" s="294"/>
      <c r="Y998" s="294"/>
      <c r="Z998" s="294"/>
      <c r="AA998" s="294"/>
      <c r="AB998" s="294"/>
      <c r="AC998" s="294"/>
    </row>
    <row r="999" spans="2:29" x14ac:dyDescent="0.25">
      <c r="B999" s="294"/>
      <c r="C999" s="294"/>
      <c r="D999" s="294"/>
      <c r="E999" s="294"/>
      <c r="F999" s="294"/>
      <c r="G999" s="294"/>
      <c r="H999" s="294"/>
      <c r="I999" s="294"/>
      <c r="J999" s="294"/>
      <c r="L999" s="295"/>
      <c r="M999" s="294"/>
      <c r="O999" s="294"/>
      <c r="P999" s="294"/>
      <c r="Q999" s="294"/>
      <c r="R999" s="294"/>
      <c r="S999" s="294"/>
      <c r="T999" s="294"/>
      <c r="U999" s="326"/>
      <c r="V999" s="294"/>
      <c r="W999" s="294"/>
      <c r="X999" s="294"/>
      <c r="Y999" s="294"/>
      <c r="Z999" s="294"/>
      <c r="AA999" s="294"/>
      <c r="AB999" s="294"/>
      <c r="AC999" s="294"/>
    </row>
    <row r="1000" spans="2:29" x14ac:dyDescent="0.25">
      <c r="B1000" s="294"/>
      <c r="C1000" s="294"/>
      <c r="D1000" s="294"/>
      <c r="E1000" s="294"/>
      <c r="F1000" s="294"/>
      <c r="G1000" s="294"/>
      <c r="H1000" s="294"/>
      <c r="I1000" s="294"/>
      <c r="J1000" s="294"/>
      <c r="L1000" s="295"/>
      <c r="M1000" s="294"/>
      <c r="O1000" s="294"/>
      <c r="P1000" s="294"/>
      <c r="Q1000" s="294"/>
      <c r="R1000" s="294"/>
      <c r="S1000" s="294"/>
      <c r="T1000" s="294"/>
      <c r="U1000" s="326"/>
      <c r="V1000" s="294"/>
      <c r="W1000" s="294"/>
      <c r="X1000" s="294"/>
      <c r="Y1000" s="294"/>
      <c r="Z1000" s="294"/>
      <c r="AA1000" s="294"/>
      <c r="AB1000" s="294"/>
      <c r="AC1000" s="294"/>
    </row>
    <row r="1001" spans="2:29" x14ac:dyDescent="0.25">
      <c r="B1001" s="294"/>
      <c r="C1001" s="294"/>
      <c r="D1001" s="294"/>
      <c r="E1001" s="294"/>
      <c r="F1001" s="294"/>
      <c r="G1001" s="294"/>
      <c r="H1001" s="294"/>
      <c r="I1001" s="294"/>
      <c r="J1001" s="294"/>
      <c r="L1001" s="295"/>
      <c r="M1001" s="294"/>
      <c r="O1001" s="294"/>
      <c r="P1001" s="294"/>
      <c r="Q1001" s="294"/>
      <c r="R1001" s="294"/>
      <c r="S1001" s="294"/>
      <c r="T1001" s="294"/>
      <c r="U1001" s="326"/>
      <c r="V1001" s="294"/>
      <c r="W1001" s="294"/>
      <c r="X1001" s="294"/>
      <c r="Y1001" s="294"/>
      <c r="Z1001" s="294"/>
      <c r="AA1001" s="294"/>
      <c r="AB1001" s="294"/>
      <c r="AC1001" s="294"/>
    </row>
    <row r="1002" spans="2:29" x14ac:dyDescent="0.25">
      <c r="B1002" s="294"/>
      <c r="C1002" s="294"/>
      <c r="D1002" s="294"/>
      <c r="E1002" s="294"/>
      <c r="F1002" s="294"/>
      <c r="G1002" s="294"/>
      <c r="H1002" s="294"/>
      <c r="I1002" s="294"/>
      <c r="J1002" s="294"/>
      <c r="L1002" s="295"/>
      <c r="M1002" s="294"/>
      <c r="O1002" s="294"/>
      <c r="P1002" s="294"/>
      <c r="Q1002" s="294"/>
      <c r="R1002" s="294"/>
      <c r="S1002" s="294"/>
      <c r="T1002" s="294"/>
      <c r="U1002" s="326"/>
      <c r="V1002" s="294"/>
      <c r="W1002" s="294"/>
      <c r="X1002" s="294"/>
      <c r="Y1002" s="294"/>
      <c r="Z1002" s="294"/>
      <c r="AA1002" s="294"/>
      <c r="AB1002" s="294"/>
      <c r="AC1002" s="294"/>
    </row>
    <row r="1003" spans="2:29" x14ac:dyDescent="0.25">
      <c r="B1003" s="294"/>
      <c r="C1003" s="294"/>
      <c r="D1003" s="294"/>
      <c r="E1003" s="294"/>
      <c r="F1003" s="294"/>
      <c r="G1003" s="294"/>
      <c r="H1003" s="294"/>
      <c r="I1003" s="294"/>
      <c r="J1003" s="294"/>
      <c r="L1003" s="295"/>
      <c r="M1003" s="294"/>
      <c r="O1003" s="294"/>
      <c r="P1003" s="294"/>
      <c r="Q1003" s="294"/>
      <c r="R1003" s="294"/>
      <c r="S1003" s="294"/>
      <c r="T1003" s="294"/>
      <c r="U1003" s="326"/>
      <c r="V1003" s="294"/>
      <c r="W1003" s="294"/>
      <c r="X1003" s="294"/>
      <c r="Y1003" s="294"/>
      <c r="Z1003" s="294"/>
      <c r="AA1003" s="294"/>
      <c r="AB1003" s="294"/>
      <c r="AC1003" s="294"/>
    </row>
    <row r="1004" spans="2:29" x14ac:dyDescent="0.25">
      <c r="B1004" s="294"/>
      <c r="C1004" s="294"/>
      <c r="D1004" s="294"/>
      <c r="E1004" s="294"/>
      <c r="F1004" s="294"/>
      <c r="G1004" s="294"/>
      <c r="H1004" s="294"/>
      <c r="I1004" s="294"/>
      <c r="J1004" s="294"/>
      <c r="L1004" s="295"/>
      <c r="M1004" s="294"/>
      <c r="O1004" s="294"/>
      <c r="P1004" s="294"/>
      <c r="Q1004" s="294"/>
      <c r="R1004" s="294"/>
      <c r="S1004" s="294"/>
      <c r="T1004" s="294"/>
      <c r="U1004" s="326"/>
      <c r="V1004" s="294"/>
      <c r="W1004" s="294"/>
      <c r="X1004" s="294"/>
      <c r="Y1004" s="294"/>
      <c r="Z1004" s="294"/>
      <c r="AA1004" s="294"/>
      <c r="AB1004" s="294"/>
      <c r="AC1004" s="294"/>
    </row>
    <row r="1005" spans="2:29" x14ac:dyDescent="0.25">
      <c r="B1005" s="294"/>
      <c r="C1005" s="294"/>
      <c r="D1005" s="294"/>
      <c r="E1005" s="294"/>
      <c r="F1005" s="294"/>
      <c r="G1005" s="294"/>
      <c r="H1005" s="294"/>
      <c r="I1005" s="294"/>
      <c r="J1005" s="294"/>
      <c r="L1005" s="295"/>
      <c r="M1005" s="294"/>
      <c r="O1005" s="294"/>
      <c r="P1005" s="294"/>
      <c r="Q1005" s="294"/>
      <c r="R1005" s="294"/>
      <c r="S1005" s="294"/>
      <c r="T1005" s="294"/>
      <c r="U1005" s="326"/>
      <c r="V1005" s="294"/>
      <c r="W1005" s="294"/>
      <c r="X1005" s="294"/>
      <c r="Y1005" s="294"/>
      <c r="Z1005" s="294"/>
      <c r="AA1005" s="294"/>
      <c r="AB1005" s="294"/>
      <c r="AC1005" s="294"/>
    </row>
    <row r="1006" spans="2:29" x14ac:dyDescent="0.25">
      <c r="B1006" s="294"/>
      <c r="C1006" s="294"/>
      <c r="D1006" s="294"/>
      <c r="E1006" s="294"/>
      <c r="F1006" s="294"/>
      <c r="G1006" s="294"/>
      <c r="H1006" s="294"/>
      <c r="I1006" s="294"/>
      <c r="J1006" s="294"/>
      <c r="L1006" s="295"/>
      <c r="M1006" s="294"/>
      <c r="O1006" s="294"/>
      <c r="P1006" s="294"/>
      <c r="Q1006" s="294"/>
      <c r="R1006" s="294"/>
      <c r="S1006" s="294"/>
      <c r="T1006" s="294"/>
      <c r="U1006" s="326"/>
      <c r="V1006" s="294"/>
      <c r="W1006" s="294"/>
      <c r="X1006" s="294"/>
      <c r="Y1006" s="294"/>
      <c r="Z1006" s="294"/>
      <c r="AA1006" s="294"/>
      <c r="AB1006" s="294"/>
      <c r="AC1006" s="294"/>
    </row>
    <row r="1007" spans="2:29" x14ac:dyDescent="0.25">
      <c r="B1007" s="294"/>
      <c r="C1007" s="294"/>
      <c r="D1007" s="294"/>
      <c r="E1007" s="294"/>
      <c r="F1007" s="294"/>
      <c r="G1007" s="294"/>
      <c r="H1007" s="294"/>
      <c r="I1007" s="294"/>
      <c r="J1007" s="294"/>
      <c r="L1007" s="295"/>
      <c r="M1007" s="294"/>
      <c r="O1007" s="294"/>
      <c r="P1007" s="294"/>
      <c r="Q1007" s="294"/>
      <c r="R1007" s="294"/>
      <c r="S1007" s="294"/>
      <c r="T1007" s="294"/>
      <c r="U1007" s="326"/>
      <c r="V1007" s="294"/>
      <c r="W1007" s="294"/>
      <c r="X1007" s="294"/>
      <c r="Y1007" s="294"/>
      <c r="Z1007" s="294"/>
      <c r="AA1007" s="294"/>
      <c r="AB1007" s="294"/>
      <c r="AC1007" s="294"/>
    </row>
    <row r="1008" spans="2:29" x14ac:dyDescent="0.25">
      <c r="B1008" s="294"/>
      <c r="C1008" s="294"/>
      <c r="D1008" s="294"/>
      <c r="E1008" s="294"/>
      <c r="F1008" s="294"/>
      <c r="G1008" s="294"/>
      <c r="H1008" s="294"/>
      <c r="I1008" s="294"/>
      <c r="J1008" s="294"/>
      <c r="L1008" s="295"/>
      <c r="M1008" s="294"/>
      <c r="O1008" s="294"/>
      <c r="P1008" s="294"/>
      <c r="Q1008" s="294"/>
      <c r="R1008" s="294"/>
      <c r="S1008" s="294"/>
      <c r="T1008" s="294"/>
      <c r="U1008" s="326"/>
      <c r="V1008" s="294"/>
      <c r="W1008" s="294"/>
      <c r="X1008" s="294"/>
      <c r="Y1008" s="294"/>
      <c r="Z1008" s="294"/>
      <c r="AA1008" s="294"/>
      <c r="AB1008" s="294"/>
      <c r="AC1008" s="294"/>
    </row>
    <row r="1009" spans="2:29" x14ac:dyDescent="0.25">
      <c r="B1009" s="294"/>
      <c r="C1009" s="294"/>
      <c r="D1009" s="294"/>
      <c r="E1009" s="294"/>
      <c r="F1009" s="294"/>
      <c r="G1009" s="294"/>
      <c r="H1009" s="294"/>
      <c r="I1009" s="294"/>
      <c r="J1009" s="294"/>
      <c r="L1009" s="295"/>
      <c r="M1009" s="294"/>
      <c r="O1009" s="294"/>
      <c r="P1009" s="294"/>
      <c r="Q1009" s="294"/>
      <c r="R1009" s="294"/>
      <c r="S1009" s="294"/>
      <c r="T1009" s="294"/>
      <c r="U1009" s="326"/>
      <c r="V1009" s="294"/>
      <c r="W1009" s="294"/>
      <c r="X1009" s="294"/>
      <c r="Y1009" s="294"/>
      <c r="Z1009" s="294"/>
      <c r="AA1009" s="294"/>
      <c r="AB1009" s="294"/>
      <c r="AC1009" s="294"/>
    </row>
    <row r="1010" spans="2:29" x14ac:dyDescent="0.25">
      <c r="B1010" s="294"/>
      <c r="C1010" s="294"/>
      <c r="D1010" s="294"/>
      <c r="E1010" s="294"/>
      <c r="F1010" s="294"/>
      <c r="G1010" s="294"/>
      <c r="H1010" s="294"/>
      <c r="I1010" s="294"/>
      <c r="J1010" s="294"/>
      <c r="L1010" s="295"/>
      <c r="M1010" s="294"/>
      <c r="O1010" s="294"/>
      <c r="P1010" s="294"/>
      <c r="Q1010" s="294"/>
      <c r="R1010" s="294"/>
      <c r="S1010" s="294"/>
      <c r="T1010" s="294"/>
      <c r="U1010" s="326"/>
      <c r="V1010" s="294"/>
      <c r="W1010" s="294"/>
      <c r="X1010" s="294"/>
      <c r="Y1010" s="294"/>
      <c r="Z1010" s="294"/>
      <c r="AA1010" s="294"/>
      <c r="AB1010" s="294"/>
      <c r="AC1010" s="294"/>
    </row>
    <row r="1011" spans="2:29" x14ac:dyDescent="0.25">
      <c r="B1011" s="294"/>
      <c r="C1011" s="294"/>
      <c r="D1011" s="294"/>
      <c r="E1011" s="294"/>
      <c r="F1011" s="294"/>
      <c r="G1011" s="294"/>
      <c r="H1011" s="294"/>
      <c r="I1011" s="294"/>
      <c r="J1011" s="294"/>
      <c r="L1011" s="295"/>
      <c r="M1011" s="294"/>
      <c r="O1011" s="294"/>
      <c r="P1011" s="294"/>
      <c r="Q1011" s="294"/>
      <c r="R1011" s="294"/>
      <c r="S1011" s="294"/>
      <c r="T1011" s="294"/>
      <c r="U1011" s="326"/>
      <c r="V1011" s="294"/>
      <c r="W1011" s="294"/>
      <c r="X1011" s="294"/>
      <c r="Y1011" s="294"/>
      <c r="Z1011" s="294"/>
      <c r="AA1011" s="294"/>
      <c r="AB1011" s="294"/>
      <c r="AC1011" s="294"/>
    </row>
    <row r="1012" spans="2:29" x14ac:dyDescent="0.25">
      <c r="B1012" s="294"/>
      <c r="C1012" s="294"/>
      <c r="D1012" s="294"/>
      <c r="E1012" s="294"/>
      <c r="F1012" s="294"/>
      <c r="G1012" s="294"/>
      <c r="H1012" s="294"/>
      <c r="I1012" s="294"/>
      <c r="J1012" s="294"/>
      <c r="L1012" s="295"/>
      <c r="M1012" s="294"/>
      <c r="O1012" s="294"/>
      <c r="P1012" s="294"/>
      <c r="Q1012" s="294"/>
      <c r="R1012" s="294"/>
      <c r="S1012" s="294"/>
      <c r="T1012" s="294"/>
      <c r="U1012" s="326"/>
      <c r="V1012" s="294"/>
      <c r="W1012" s="294"/>
      <c r="X1012" s="294"/>
      <c r="Y1012" s="294"/>
      <c r="Z1012" s="294"/>
      <c r="AA1012" s="294"/>
      <c r="AB1012" s="294"/>
      <c r="AC1012" s="294"/>
    </row>
    <row r="1013" spans="2:29" x14ac:dyDescent="0.25">
      <c r="B1013" s="294"/>
      <c r="C1013" s="294"/>
      <c r="D1013" s="294"/>
      <c r="E1013" s="294"/>
      <c r="F1013" s="294"/>
      <c r="G1013" s="294"/>
      <c r="H1013" s="294"/>
      <c r="I1013" s="294"/>
      <c r="J1013" s="294"/>
      <c r="L1013" s="295"/>
      <c r="M1013" s="294"/>
      <c r="O1013" s="294"/>
      <c r="P1013" s="294"/>
      <c r="Q1013" s="294"/>
      <c r="R1013" s="294"/>
      <c r="S1013" s="294"/>
      <c r="T1013" s="294"/>
      <c r="U1013" s="326"/>
      <c r="V1013" s="294"/>
      <c r="W1013" s="294"/>
      <c r="X1013" s="294"/>
      <c r="Y1013" s="294"/>
      <c r="Z1013" s="294"/>
      <c r="AA1013" s="294"/>
      <c r="AB1013" s="294"/>
      <c r="AC1013" s="294"/>
    </row>
    <row r="1014" spans="2:29" x14ac:dyDescent="0.25">
      <c r="B1014" s="294"/>
      <c r="C1014" s="294"/>
      <c r="D1014" s="294"/>
      <c r="E1014" s="294"/>
      <c r="F1014" s="294"/>
      <c r="G1014" s="294"/>
      <c r="H1014" s="294"/>
      <c r="I1014" s="294"/>
      <c r="J1014" s="294"/>
      <c r="L1014" s="295"/>
      <c r="M1014" s="294"/>
      <c r="O1014" s="294"/>
      <c r="P1014" s="294"/>
      <c r="Q1014" s="294"/>
      <c r="R1014" s="294"/>
      <c r="S1014" s="294"/>
      <c r="T1014" s="294"/>
      <c r="U1014" s="326"/>
      <c r="V1014" s="294"/>
      <c r="W1014" s="294"/>
      <c r="X1014" s="294"/>
      <c r="Y1014" s="294"/>
      <c r="Z1014" s="294"/>
      <c r="AA1014" s="294"/>
      <c r="AB1014" s="294"/>
      <c r="AC1014" s="294"/>
    </row>
    <row r="1015" spans="2:29" x14ac:dyDescent="0.25">
      <c r="B1015" s="294"/>
      <c r="C1015" s="294"/>
      <c r="D1015" s="294"/>
      <c r="E1015" s="294"/>
      <c r="F1015" s="294"/>
      <c r="G1015" s="294"/>
      <c r="H1015" s="294"/>
      <c r="I1015" s="294"/>
      <c r="J1015" s="294"/>
      <c r="L1015" s="295"/>
      <c r="M1015" s="294"/>
      <c r="O1015" s="294"/>
      <c r="P1015" s="294"/>
      <c r="Q1015" s="294"/>
      <c r="R1015" s="294"/>
      <c r="S1015" s="294"/>
      <c r="T1015" s="294"/>
      <c r="U1015" s="326"/>
      <c r="V1015" s="294"/>
      <c r="W1015" s="294"/>
      <c r="X1015" s="294"/>
      <c r="Y1015" s="294"/>
      <c r="Z1015" s="294"/>
      <c r="AA1015" s="294"/>
      <c r="AB1015" s="294"/>
      <c r="AC1015" s="294"/>
    </row>
    <row r="1016" spans="2:29" x14ac:dyDescent="0.25">
      <c r="B1016" s="294"/>
      <c r="C1016" s="294"/>
      <c r="D1016" s="294"/>
      <c r="E1016" s="294"/>
      <c r="F1016" s="294"/>
      <c r="G1016" s="294"/>
      <c r="H1016" s="294"/>
      <c r="I1016" s="294"/>
      <c r="J1016" s="294"/>
      <c r="L1016" s="295"/>
      <c r="M1016" s="294"/>
      <c r="O1016" s="294"/>
      <c r="P1016" s="294"/>
      <c r="Q1016" s="294"/>
      <c r="R1016" s="294"/>
      <c r="S1016" s="294"/>
      <c r="T1016" s="294"/>
      <c r="U1016" s="326"/>
      <c r="V1016" s="294"/>
      <c r="W1016" s="294"/>
      <c r="X1016" s="294"/>
      <c r="Y1016" s="294"/>
      <c r="Z1016" s="294"/>
      <c r="AA1016" s="294"/>
      <c r="AB1016" s="294"/>
      <c r="AC1016" s="294"/>
    </row>
    <row r="1017" spans="2:29" x14ac:dyDescent="0.25">
      <c r="B1017" s="294"/>
      <c r="C1017" s="294"/>
      <c r="D1017" s="294"/>
      <c r="E1017" s="294"/>
      <c r="F1017" s="294"/>
      <c r="G1017" s="294"/>
      <c r="H1017" s="294"/>
      <c r="I1017" s="294"/>
      <c r="J1017" s="294"/>
      <c r="L1017" s="295"/>
      <c r="M1017" s="294"/>
      <c r="O1017" s="294"/>
      <c r="P1017" s="294"/>
      <c r="Q1017" s="294"/>
      <c r="R1017" s="294"/>
      <c r="S1017" s="294"/>
      <c r="T1017" s="294"/>
      <c r="U1017" s="326"/>
      <c r="V1017" s="294"/>
      <c r="W1017" s="294"/>
      <c r="X1017" s="294"/>
      <c r="Y1017" s="294"/>
      <c r="Z1017" s="294"/>
      <c r="AA1017" s="294"/>
      <c r="AB1017" s="294"/>
      <c r="AC1017" s="294"/>
    </row>
    <row r="1018" spans="2:29" x14ac:dyDescent="0.25">
      <c r="B1018" s="294"/>
      <c r="C1018" s="294"/>
      <c r="D1018" s="294"/>
      <c r="E1018" s="294"/>
      <c r="F1018" s="294"/>
      <c r="G1018" s="294"/>
      <c r="H1018" s="294"/>
      <c r="I1018" s="294"/>
      <c r="J1018" s="294"/>
      <c r="L1018" s="295"/>
      <c r="M1018" s="294"/>
      <c r="O1018" s="294"/>
      <c r="P1018" s="294"/>
      <c r="Q1018" s="294"/>
      <c r="R1018" s="294"/>
      <c r="S1018" s="294"/>
      <c r="T1018" s="294"/>
      <c r="U1018" s="326"/>
      <c r="V1018" s="294"/>
      <c r="W1018" s="294"/>
      <c r="X1018" s="294"/>
      <c r="Y1018" s="294"/>
      <c r="Z1018" s="294"/>
      <c r="AA1018" s="294"/>
      <c r="AB1018" s="294"/>
      <c r="AC1018" s="294"/>
    </row>
    <row r="1019" spans="2:29" x14ac:dyDescent="0.25">
      <c r="B1019" s="294"/>
      <c r="C1019" s="294"/>
      <c r="D1019" s="294"/>
      <c r="E1019" s="294"/>
      <c r="F1019" s="294"/>
      <c r="G1019" s="294"/>
      <c r="H1019" s="294"/>
      <c r="I1019" s="294"/>
      <c r="J1019" s="294"/>
      <c r="L1019" s="295"/>
      <c r="M1019" s="294"/>
      <c r="O1019" s="294"/>
      <c r="P1019" s="294"/>
      <c r="Q1019" s="294"/>
      <c r="R1019" s="294"/>
      <c r="S1019" s="294"/>
      <c r="T1019" s="294"/>
      <c r="U1019" s="326"/>
      <c r="V1019" s="294"/>
      <c r="W1019" s="294"/>
      <c r="X1019" s="294"/>
      <c r="Y1019" s="294"/>
      <c r="Z1019" s="294"/>
      <c r="AA1019" s="294"/>
      <c r="AB1019" s="294"/>
      <c r="AC1019" s="294"/>
    </row>
    <row r="1020" spans="2:29" x14ac:dyDescent="0.25">
      <c r="B1020" s="294"/>
      <c r="C1020" s="294"/>
      <c r="D1020" s="294"/>
      <c r="E1020" s="294"/>
      <c r="F1020" s="294"/>
      <c r="G1020" s="294"/>
      <c r="H1020" s="294"/>
      <c r="I1020" s="294"/>
      <c r="J1020" s="294"/>
      <c r="L1020" s="295"/>
      <c r="M1020" s="294"/>
      <c r="O1020" s="294"/>
      <c r="P1020" s="294"/>
      <c r="Q1020" s="294"/>
      <c r="R1020" s="294"/>
      <c r="S1020" s="294"/>
      <c r="T1020" s="294"/>
      <c r="U1020" s="326"/>
      <c r="V1020" s="294"/>
      <c r="W1020" s="294"/>
      <c r="X1020" s="294"/>
      <c r="Y1020" s="294"/>
      <c r="Z1020" s="294"/>
      <c r="AA1020" s="294"/>
      <c r="AB1020" s="294"/>
      <c r="AC1020" s="294"/>
    </row>
    <row r="1021" spans="2:29" x14ac:dyDescent="0.25">
      <c r="B1021" s="294"/>
      <c r="C1021" s="294"/>
      <c r="D1021" s="294"/>
      <c r="E1021" s="294"/>
      <c r="F1021" s="294"/>
      <c r="G1021" s="294"/>
      <c r="H1021" s="294"/>
      <c r="I1021" s="294"/>
      <c r="J1021" s="294"/>
      <c r="L1021" s="295"/>
      <c r="M1021" s="294"/>
      <c r="O1021" s="294"/>
      <c r="P1021" s="294"/>
      <c r="Q1021" s="294"/>
      <c r="R1021" s="294"/>
      <c r="S1021" s="294"/>
      <c r="T1021" s="294"/>
      <c r="U1021" s="326"/>
      <c r="V1021" s="294"/>
      <c r="W1021" s="294"/>
      <c r="X1021" s="294"/>
      <c r="Y1021" s="294"/>
      <c r="Z1021" s="294"/>
      <c r="AA1021" s="294"/>
      <c r="AB1021" s="294"/>
      <c r="AC1021" s="294"/>
    </row>
    <row r="1022" spans="2:29" x14ac:dyDescent="0.25">
      <c r="B1022" s="294"/>
      <c r="C1022" s="294"/>
      <c r="D1022" s="294"/>
      <c r="E1022" s="294"/>
      <c r="F1022" s="294"/>
      <c r="G1022" s="294"/>
      <c r="H1022" s="294"/>
      <c r="I1022" s="294"/>
      <c r="J1022" s="294"/>
      <c r="L1022" s="295"/>
      <c r="M1022" s="294"/>
      <c r="O1022" s="294"/>
      <c r="P1022" s="294"/>
      <c r="Q1022" s="294"/>
      <c r="R1022" s="294"/>
      <c r="S1022" s="294"/>
      <c r="T1022" s="294"/>
      <c r="U1022" s="326"/>
      <c r="V1022" s="294"/>
      <c r="W1022" s="294"/>
      <c r="X1022" s="294"/>
      <c r="Y1022" s="294"/>
      <c r="Z1022" s="294"/>
      <c r="AA1022" s="294"/>
      <c r="AB1022" s="294"/>
      <c r="AC1022" s="294"/>
    </row>
    <row r="1023" spans="2:29" x14ac:dyDescent="0.25">
      <c r="B1023" s="294"/>
      <c r="C1023" s="294"/>
      <c r="D1023" s="294"/>
      <c r="E1023" s="294"/>
      <c r="F1023" s="294"/>
      <c r="G1023" s="294"/>
      <c r="H1023" s="294"/>
      <c r="I1023" s="294"/>
      <c r="J1023" s="294"/>
      <c r="L1023" s="295"/>
      <c r="M1023" s="294"/>
      <c r="O1023" s="294"/>
      <c r="P1023" s="294"/>
      <c r="Q1023" s="294"/>
      <c r="R1023" s="294"/>
      <c r="S1023" s="294"/>
      <c r="T1023" s="294"/>
      <c r="U1023" s="326"/>
      <c r="V1023" s="294"/>
      <c r="W1023" s="294"/>
      <c r="X1023" s="294"/>
      <c r="Y1023" s="294"/>
      <c r="Z1023" s="294"/>
      <c r="AA1023" s="294"/>
      <c r="AB1023" s="294"/>
      <c r="AC1023" s="294"/>
    </row>
    <row r="1024" spans="2:29" x14ac:dyDescent="0.25">
      <c r="B1024" s="294"/>
      <c r="C1024" s="294"/>
      <c r="D1024" s="294"/>
      <c r="E1024" s="294"/>
      <c r="F1024" s="294"/>
      <c r="G1024" s="294"/>
      <c r="H1024" s="294"/>
      <c r="I1024" s="294"/>
      <c r="J1024" s="294"/>
      <c r="L1024" s="295"/>
      <c r="M1024" s="294"/>
      <c r="O1024" s="294"/>
      <c r="P1024" s="294"/>
      <c r="Q1024" s="294"/>
      <c r="R1024" s="294"/>
      <c r="S1024" s="294"/>
      <c r="T1024" s="294"/>
      <c r="U1024" s="326"/>
      <c r="V1024" s="294"/>
      <c r="W1024" s="294"/>
      <c r="X1024" s="294"/>
      <c r="Y1024" s="294"/>
      <c r="Z1024" s="294"/>
      <c r="AA1024" s="294"/>
      <c r="AB1024" s="294"/>
      <c r="AC1024" s="294"/>
    </row>
    <row r="1025" spans="2:29" x14ac:dyDescent="0.25">
      <c r="B1025" s="294"/>
      <c r="C1025" s="294"/>
      <c r="D1025" s="294"/>
      <c r="E1025" s="294"/>
      <c r="F1025" s="294"/>
      <c r="G1025" s="294"/>
      <c r="H1025" s="294"/>
      <c r="I1025" s="294"/>
      <c r="J1025" s="294"/>
      <c r="L1025" s="295"/>
      <c r="M1025" s="294"/>
      <c r="O1025" s="294"/>
      <c r="P1025" s="294"/>
      <c r="Q1025" s="294"/>
      <c r="R1025" s="294"/>
      <c r="S1025" s="294"/>
      <c r="T1025" s="294"/>
      <c r="U1025" s="326"/>
      <c r="V1025" s="294"/>
      <c r="W1025" s="294"/>
      <c r="X1025" s="294"/>
      <c r="Y1025" s="294"/>
      <c r="Z1025" s="294"/>
      <c r="AA1025" s="294"/>
      <c r="AB1025" s="294"/>
      <c r="AC1025" s="294"/>
    </row>
    <row r="1026" spans="2:29" x14ac:dyDescent="0.25">
      <c r="B1026" s="294"/>
      <c r="C1026" s="294"/>
      <c r="D1026" s="294"/>
      <c r="E1026" s="294"/>
      <c r="F1026" s="294"/>
      <c r="G1026" s="294"/>
      <c r="H1026" s="294"/>
      <c r="I1026" s="294"/>
      <c r="J1026" s="294"/>
      <c r="L1026" s="295"/>
      <c r="M1026" s="294"/>
      <c r="O1026" s="294"/>
      <c r="P1026" s="294"/>
      <c r="Q1026" s="294"/>
      <c r="R1026" s="294"/>
      <c r="S1026" s="294"/>
      <c r="T1026" s="294"/>
      <c r="U1026" s="326"/>
      <c r="V1026" s="294"/>
      <c r="W1026" s="294"/>
      <c r="X1026" s="294"/>
      <c r="Y1026" s="294"/>
      <c r="Z1026" s="294"/>
      <c r="AA1026" s="294"/>
      <c r="AB1026" s="294"/>
      <c r="AC1026" s="294"/>
    </row>
    <row r="1027" spans="2:29" x14ac:dyDescent="0.25">
      <c r="B1027" s="294"/>
      <c r="C1027" s="294"/>
      <c r="D1027" s="294"/>
      <c r="E1027" s="294"/>
      <c r="F1027" s="294"/>
      <c r="G1027" s="294"/>
      <c r="H1027" s="294"/>
      <c r="I1027" s="294"/>
      <c r="J1027" s="294"/>
      <c r="L1027" s="295"/>
      <c r="M1027" s="294"/>
      <c r="O1027" s="294"/>
      <c r="P1027" s="294"/>
      <c r="Q1027" s="294"/>
      <c r="R1027" s="294"/>
      <c r="S1027" s="294"/>
      <c r="T1027" s="294"/>
      <c r="U1027" s="326"/>
      <c r="V1027" s="294"/>
      <c r="W1027" s="294"/>
      <c r="X1027" s="294"/>
      <c r="Y1027" s="294"/>
      <c r="Z1027" s="294"/>
      <c r="AA1027" s="294"/>
      <c r="AB1027" s="294"/>
      <c r="AC1027" s="294"/>
    </row>
    <row r="1028" spans="2:29" x14ac:dyDescent="0.25">
      <c r="B1028" s="294"/>
      <c r="C1028" s="294"/>
      <c r="D1028" s="294"/>
      <c r="E1028" s="294"/>
      <c r="F1028" s="294"/>
      <c r="G1028" s="294"/>
      <c r="H1028" s="294"/>
      <c r="I1028" s="294"/>
      <c r="J1028" s="294"/>
      <c r="L1028" s="295"/>
      <c r="M1028" s="294"/>
      <c r="O1028" s="294"/>
      <c r="P1028" s="294"/>
      <c r="Q1028" s="294"/>
      <c r="R1028" s="294"/>
      <c r="S1028" s="294"/>
      <c r="T1028" s="294"/>
      <c r="U1028" s="326"/>
      <c r="V1028" s="294"/>
      <c r="W1028" s="294"/>
      <c r="X1028" s="294"/>
      <c r="Y1028" s="294"/>
      <c r="Z1028" s="294"/>
      <c r="AA1028" s="294"/>
      <c r="AB1028" s="294"/>
      <c r="AC1028" s="294"/>
    </row>
    <row r="1029" spans="2:29" x14ac:dyDescent="0.25">
      <c r="B1029" s="294"/>
      <c r="C1029" s="294"/>
      <c r="D1029" s="294"/>
      <c r="E1029" s="294"/>
      <c r="F1029" s="294"/>
      <c r="G1029" s="294"/>
      <c r="H1029" s="294"/>
      <c r="I1029" s="294"/>
      <c r="J1029" s="294"/>
      <c r="L1029" s="295"/>
      <c r="M1029" s="294"/>
      <c r="O1029" s="294"/>
      <c r="P1029" s="294"/>
      <c r="Q1029" s="294"/>
      <c r="R1029" s="294"/>
      <c r="S1029" s="294"/>
      <c r="T1029" s="294"/>
      <c r="U1029" s="326"/>
      <c r="V1029" s="294"/>
      <c r="W1029" s="294"/>
      <c r="X1029" s="294"/>
      <c r="Y1029" s="294"/>
      <c r="Z1029" s="294"/>
      <c r="AA1029" s="294"/>
      <c r="AB1029" s="294"/>
      <c r="AC1029" s="294"/>
    </row>
    <row r="1030" spans="2:29" x14ac:dyDescent="0.25">
      <c r="B1030" s="294"/>
      <c r="C1030" s="294"/>
      <c r="D1030" s="294"/>
      <c r="E1030" s="294"/>
      <c r="F1030" s="294"/>
      <c r="G1030" s="294"/>
      <c r="H1030" s="294"/>
      <c r="I1030" s="294"/>
      <c r="J1030" s="294"/>
      <c r="L1030" s="295"/>
      <c r="M1030" s="294"/>
      <c r="O1030" s="294"/>
      <c r="P1030" s="294"/>
      <c r="Q1030" s="294"/>
      <c r="R1030" s="294"/>
      <c r="S1030" s="294"/>
      <c r="T1030" s="294"/>
      <c r="U1030" s="326"/>
      <c r="V1030" s="294"/>
      <c r="W1030" s="294"/>
      <c r="X1030" s="294"/>
      <c r="Y1030" s="294"/>
      <c r="Z1030" s="294"/>
      <c r="AA1030" s="294"/>
      <c r="AB1030" s="294"/>
      <c r="AC1030" s="294"/>
    </row>
    <row r="1031" spans="2:29" x14ac:dyDescent="0.25">
      <c r="B1031" s="294"/>
      <c r="C1031" s="294"/>
      <c r="D1031" s="294"/>
      <c r="E1031" s="294"/>
      <c r="F1031" s="294"/>
      <c r="G1031" s="294"/>
      <c r="H1031" s="294"/>
      <c r="I1031" s="294"/>
      <c r="J1031" s="294"/>
      <c r="L1031" s="295"/>
      <c r="M1031" s="294"/>
      <c r="O1031" s="294"/>
      <c r="P1031" s="294"/>
      <c r="Q1031" s="294"/>
      <c r="R1031" s="294"/>
      <c r="S1031" s="294"/>
      <c r="T1031" s="294"/>
      <c r="U1031" s="326"/>
      <c r="V1031" s="294"/>
      <c r="W1031" s="294"/>
      <c r="X1031" s="294"/>
      <c r="Y1031" s="294"/>
      <c r="Z1031" s="294"/>
      <c r="AA1031" s="294"/>
      <c r="AB1031" s="294"/>
      <c r="AC1031" s="294"/>
    </row>
    <row r="1032" spans="2:29" x14ac:dyDescent="0.25">
      <c r="B1032" s="294"/>
      <c r="C1032" s="294"/>
      <c r="D1032" s="294"/>
      <c r="E1032" s="294"/>
      <c r="F1032" s="294"/>
      <c r="G1032" s="294"/>
      <c r="H1032" s="294"/>
      <c r="I1032" s="294"/>
      <c r="J1032" s="294"/>
      <c r="L1032" s="295"/>
      <c r="M1032" s="294"/>
      <c r="O1032" s="294"/>
      <c r="P1032" s="294"/>
      <c r="Q1032" s="294"/>
      <c r="R1032" s="294"/>
      <c r="S1032" s="294"/>
      <c r="T1032" s="294"/>
      <c r="U1032" s="326"/>
      <c r="V1032" s="294"/>
      <c r="W1032" s="294"/>
      <c r="X1032" s="294"/>
      <c r="Y1032" s="294"/>
      <c r="Z1032" s="294"/>
      <c r="AA1032" s="294"/>
      <c r="AB1032" s="294"/>
      <c r="AC1032" s="294"/>
    </row>
    <row r="1033" spans="2:29" x14ac:dyDescent="0.25">
      <c r="B1033" s="294"/>
      <c r="C1033" s="294"/>
      <c r="D1033" s="294"/>
      <c r="E1033" s="294"/>
      <c r="F1033" s="294"/>
      <c r="G1033" s="294"/>
      <c r="H1033" s="294"/>
      <c r="I1033" s="294"/>
      <c r="J1033" s="294"/>
      <c r="L1033" s="295"/>
      <c r="M1033" s="294"/>
      <c r="O1033" s="294"/>
      <c r="P1033" s="294"/>
      <c r="Q1033" s="294"/>
      <c r="R1033" s="294"/>
      <c r="S1033" s="294"/>
      <c r="T1033" s="294"/>
      <c r="U1033" s="326"/>
      <c r="V1033" s="294"/>
      <c r="W1033" s="294"/>
      <c r="X1033" s="294"/>
      <c r="Y1033" s="294"/>
      <c r="Z1033" s="294"/>
      <c r="AA1033" s="294"/>
      <c r="AB1033" s="294"/>
      <c r="AC1033" s="294"/>
    </row>
    <row r="1034" spans="2:29" x14ac:dyDescent="0.25">
      <c r="B1034" s="294"/>
      <c r="C1034" s="294"/>
      <c r="D1034" s="294"/>
      <c r="E1034" s="294"/>
      <c r="F1034" s="294"/>
      <c r="G1034" s="294"/>
      <c r="H1034" s="294"/>
      <c r="I1034" s="294"/>
      <c r="J1034" s="294"/>
      <c r="L1034" s="295"/>
      <c r="M1034" s="294"/>
      <c r="O1034" s="294"/>
      <c r="P1034" s="294"/>
      <c r="Q1034" s="294"/>
      <c r="R1034" s="294"/>
      <c r="S1034" s="294"/>
      <c r="T1034" s="294"/>
      <c r="U1034" s="326"/>
      <c r="V1034" s="294"/>
      <c r="W1034" s="294"/>
      <c r="X1034" s="294"/>
      <c r="Y1034" s="294"/>
      <c r="Z1034" s="294"/>
      <c r="AA1034" s="294"/>
      <c r="AB1034" s="294"/>
      <c r="AC1034" s="294"/>
    </row>
    <row r="1035" spans="2:29" x14ac:dyDescent="0.25">
      <c r="B1035" s="294"/>
      <c r="C1035" s="294"/>
      <c r="D1035" s="294"/>
      <c r="E1035" s="294"/>
      <c r="F1035" s="294"/>
      <c r="G1035" s="294"/>
      <c r="H1035" s="294"/>
      <c r="I1035" s="294"/>
      <c r="J1035" s="294"/>
      <c r="L1035" s="295"/>
      <c r="M1035" s="294"/>
      <c r="O1035" s="294"/>
      <c r="P1035" s="294"/>
      <c r="Q1035" s="294"/>
      <c r="R1035" s="294"/>
      <c r="S1035" s="294"/>
      <c r="T1035" s="294"/>
      <c r="U1035" s="326"/>
      <c r="V1035" s="294"/>
      <c r="W1035" s="294"/>
      <c r="X1035" s="294"/>
      <c r="Y1035" s="294"/>
      <c r="Z1035" s="294"/>
      <c r="AA1035" s="294"/>
      <c r="AB1035" s="294"/>
      <c r="AC1035" s="294"/>
    </row>
    <row r="1036" spans="2:29" x14ac:dyDescent="0.25">
      <c r="B1036" s="294"/>
      <c r="C1036" s="294"/>
      <c r="D1036" s="294"/>
      <c r="E1036" s="294"/>
      <c r="F1036" s="294"/>
      <c r="G1036" s="294"/>
      <c r="H1036" s="294"/>
      <c r="I1036" s="294"/>
      <c r="J1036" s="294"/>
      <c r="L1036" s="295"/>
      <c r="M1036" s="294"/>
      <c r="O1036" s="294"/>
      <c r="P1036" s="294"/>
      <c r="Q1036" s="294"/>
      <c r="R1036" s="294"/>
      <c r="S1036" s="294"/>
      <c r="T1036" s="294"/>
      <c r="U1036" s="326"/>
      <c r="V1036" s="294"/>
      <c r="W1036" s="294"/>
      <c r="X1036" s="294"/>
      <c r="Y1036" s="294"/>
      <c r="Z1036" s="294"/>
      <c r="AA1036" s="294"/>
      <c r="AB1036" s="294"/>
      <c r="AC1036" s="294"/>
    </row>
    <row r="1037" spans="2:29" x14ac:dyDescent="0.25">
      <c r="B1037" s="294"/>
      <c r="C1037" s="294"/>
      <c r="D1037" s="294"/>
      <c r="E1037" s="294"/>
      <c r="F1037" s="294"/>
      <c r="G1037" s="294"/>
      <c r="H1037" s="294"/>
      <c r="I1037" s="294"/>
      <c r="J1037" s="294"/>
      <c r="L1037" s="295"/>
      <c r="M1037" s="294"/>
      <c r="O1037" s="294"/>
      <c r="P1037" s="294"/>
      <c r="Q1037" s="294"/>
      <c r="R1037" s="294"/>
      <c r="S1037" s="294"/>
      <c r="T1037" s="294"/>
      <c r="U1037" s="326"/>
      <c r="V1037" s="294"/>
      <c r="W1037" s="294"/>
      <c r="X1037" s="294"/>
      <c r="Y1037" s="294"/>
      <c r="Z1037" s="294"/>
      <c r="AA1037" s="294"/>
      <c r="AB1037" s="294"/>
      <c r="AC1037" s="294"/>
    </row>
    <row r="1038" spans="2:29" x14ac:dyDescent="0.25">
      <c r="B1038" s="294"/>
      <c r="C1038" s="294"/>
      <c r="D1038" s="294"/>
      <c r="E1038" s="294"/>
      <c r="F1038" s="294"/>
      <c r="G1038" s="294"/>
      <c r="H1038" s="294"/>
      <c r="I1038" s="294"/>
      <c r="J1038" s="294"/>
      <c r="L1038" s="295"/>
      <c r="M1038" s="294"/>
      <c r="O1038" s="294"/>
      <c r="P1038" s="294"/>
      <c r="Q1038" s="294"/>
      <c r="R1038" s="294"/>
      <c r="S1038" s="294"/>
      <c r="T1038" s="294"/>
      <c r="U1038" s="326"/>
      <c r="V1038" s="294"/>
      <c r="W1038" s="294"/>
      <c r="X1038" s="294"/>
      <c r="Y1038" s="294"/>
      <c r="Z1038" s="294"/>
      <c r="AA1038" s="294"/>
      <c r="AB1038" s="294"/>
      <c r="AC1038" s="294"/>
    </row>
    <row r="1039" spans="2:29" x14ac:dyDescent="0.25">
      <c r="B1039" s="294"/>
      <c r="C1039" s="294"/>
      <c r="D1039" s="294"/>
      <c r="E1039" s="294"/>
      <c r="F1039" s="294"/>
      <c r="G1039" s="294"/>
      <c r="H1039" s="294"/>
      <c r="I1039" s="294"/>
      <c r="J1039" s="294"/>
      <c r="L1039" s="295"/>
      <c r="M1039" s="294"/>
      <c r="O1039" s="294"/>
      <c r="P1039" s="294"/>
      <c r="Q1039" s="294"/>
      <c r="R1039" s="294"/>
      <c r="S1039" s="294"/>
      <c r="T1039" s="294"/>
      <c r="U1039" s="326"/>
      <c r="V1039" s="294"/>
      <c r="W1039" s="294"/>
      <c r="X1039" s="294"/>
      <c r="Y1039" s="294"/>
      <c r="Z1039" s="294"/>
      <c r="AA1039" s="294"/>
      <c r="AB1039" s="294"/>
      <c r="AC1039" s="294"/>
    </row>
    <row r="1040" spans="2:29" x14ac:dyDescent="0.25">
      <c r="B1040" s="294"/>
      <c r="C1040" s="294"/>
      <c r="D1040" s="294"/>
      <c r="E1040" s="294"/>
      <c r="F1040" s="294"/>
      <c r="G1040" s="294"/>
      <c r="H1040" s="294"/>
      <c r="I1040" s="294"/>
      <c r="J1040" s="294"/>
      <c r="L1040" s="295"/>
      <c r="M1040" s="294"/>
      <c r="O1040" s="294"/>
      <c r="P1040" s="294"/>
      <c r="Q1040" s="294"/>
      <c r="R1040" s="294"/>
      <c r="S1040" s="294"/>
      <c r="T1040" s="294"/>
      <c r="U1040" s="326"/>
      <c r="V1040" s="294"/>
      <c r="W1040" s="294"/>
      <c r="X1040" s="294"/>
      <c r="Y1040" s="294"/>
      <c r="Z1040" s="294"/>
      <c r="AA1040" s="294"/>
      <c r="AB1040" s="294"/>
      <c r="AC1040" s="294"/>
    </row>
    <row r="1041" spans="2:29" x14ac:dyDescent="0.25">
      <c r="B1041" s="294"/>
      <c r="C1041" s="294"/>
      <c r="D1041" s="294"/>
      <c r="E1041" s="294"/>
      <c r="F1041" s="294"/>
      <c r="G1041" s="294"/>
      <c r="H1041" s="294"/>
      <c r="I1041" s="294"/>
      <c r="J1041" s="294"/>
      <c r="L1041" s="295"/>
      <c r="M1041" s="294"/>
      <c r="O1041" s="294"/>
      <c r="P1041" s="294"/>
      <c r="Q1041" s="294"/>
      <c r="R1041" s="294"/>
      <c r="S1041" s="294"/>
      <c r="T1041" s="294"/>
      <c r="U1041" s="326"/>
      <c r="V1041" s="294"/>
      <c r="W1041" s="294"/>
      <c r="X1041" s="294"/>
      <c r="Y1041" s="294"/>
      <c r="Z1041" s="294"/>
      <c r="AA1041" s="294"/>
      <c r="AB1041" s="294"/>
      <c r="AC1041" s="294"/>
    </row>
    <row r="1042" spans="2:29" x14ac:dyDescent="0.25">
      <c r="B1042" s="294"/>
      <c r="C1042" s="294"/>
      <c r="D1042" s="294"/>
      <c r="E1042" s="294"/>
      <c r="F1042" s="294"/>
      <c r="G1042" s="294"/>
      <c r="H1042" s="294"/>
      <c r="I1042" s="294"/>
      <c r="J1042" s="294"/>
      <c r="L1042" s="295"/>
      <c r="M1042" s="294"/>
      <c r="O1042" s="294"/>
      <c r="P1042" s="294"/>
      <c r="Q1042" s="294"/>
      <c r="R1042" s="294"/>
      <c r="S1042" s="294"/>
      <c r="T1042" s="294"/>
      <c r="U1042" s="326"/>
      <c r="V1042" s="294"/>
      <c r="W1042" s="294"/>
      <c r="X1042" s="294"/>
      <c r="Y1042" s="294"/>
      <c r="Z1042" s="294"/>
      <c r="AA1042" s="294"/>
      <c r="AB1042" s="294"/>
      <c r="AC1042" s="294"/>
    </row>
    <row r="1043" spans="2:29" x14ac:dyDescent="0.25">
      <c r="B1043" s="294"/>
      <c r="C1043" s="294"/>
      <c r="D1043" s="294"/>
      <c r="E1043" s="294"/>
      <c r="F1043" s="294"/>
      <c r="G1043" s="294"/>
      <c r="H1043" s="294"/>
      <c r="I1043" s="294"/>
      <c r="J1043" s="294"/>
      <c r="L1043" s="295"/>
      <c r="M1043" s="294"/>
      <c r="O1043" s="294"/>
      <c r="P1043" s="294"/>
      <c r="Q1043" s="294"/>
      <c r="R1043" s="294"/>
      <c r="S1043" s="294"/>
      <c r="T1043" s="294"/>
      <c r="U1043" s="326"/>
      <c r="V1043" s="294"/>
      <c r="W1043" s="294"/>
      <c r="X1043" s="294"/>
      <c r="Y1043" s="294"/>
      <c r="Z1043" s="294"/>
      <c r="AA1043" s="294"/>
      <c r="AB1043" s="294"/>
      <c r="AC1043" s="294"/>
    </row>
    <row r="1044" spans="2:29" x14ac:dyDescent="0.25">
      <c r="B1044" s="294"/>
      <c r="C1044" s="294"/>
      <c r="D1044" s="294"/>
      <c r="E1044" s="294"/>
      <c r="F1044" s="294"/>
      <c r="G1044" s="294"/>
      <c r="H1044" s="294"/>
      <c r="I1044" s="294"/>
      <c r="J1044" s="294"/>
      <c r="L1044" s="295"/>
      <c r="M1044" s="294"/>
      <c r="O1044" s="294"/>
      <c r="P1044" s="294"/>
      <c r="Q1044" s="294"/>
      <c r="R1044" s="294"/>
      <c r="S1044" s="294"/>
      <c r="T1044" s="294"/>
      <c r="U1044" s="326"/>
      <c r="V1044" s="294"/>
      <c r="W1044" s="294"/>
      <c r="X1044" s="294"/>
      <c r="Y1044" s="294"/>
      <c r="Z1044" s="294"/>
      <c r="AA1044" s="294"/>
      <c r="AB1044" s="294"/>
      <c r="AC1044" s="294"/>
    </row>
    <row r="1045" spans="2:29" x14ac:dyDescent="0.25">
      <c r="B1045" s="294"/>
      <c r="C1045" s="294"/>
      <c r="D1045" s="294"/>
      <c r="E1045" s="294"/>
      <c r="F1045" s="294"/>
      <c r="G1045" s="294"/>
      <c r="H1045" s="294"/>
      <c r="I1045" s="294"/>
      <c r="J1045" s="294"/>
      <c r="L1045" s="295"/>
      <c r="M1045" s="294"/>
      <c r="O1045" s="294"/>
      <c r="P1045" s="294"/>
      <c r="Q1045" s="294"/>
      <c r="R1045" s="294"/>
      <c r="S1045" s="294"/>
      <c r="T1045" s="294"/>
      <c r="U1045" s="326"/>
      <c r="V1045" s="294"/>
      <c r="W1045" s="294"/>
      <c r="X1045" s="294"/>
      <c r="Y1045" s="294"/>
      <c r="Z1045" s="294"/>
      <c r="AA1045" s="294"/>
      <c r="AB1045" s="294"/>
      <c r="AC1045" s="294"/>
    </row>
    <row r="1046" spans="2:29" x14ac:dyDescent="0.25">
      <c r="B1046" s="294"/>
      <c r="C1046" s="294"/>
      <c r="D1046" s="294"/>
      <c r="E1046" s="294"/>
      <c r="F1046" s="294"/>
      <c r="G1046" s="294"/>
      <c r="H1046" s="294"/>
      <c r="I1046" s="294"/>
      <c r="J1046" s="294"/>
      <c r="L1046" s="295"/>
      <c r="M1046" s="294"/>
      <c r="O1046" s="294"/>
      <c r="P1046" s="294"/>
      <c r="Q1046" s="294"/>
      <c r="R1046" s="294"/>
      <c r="S1046" s="294"/>
      <c r="T1046" s="294"/>
      <c r="U1046" s="326"/>
      <c r="V1046" s="294"/>
      <c r="W1046" s="294"/>
      <c r="X1046" s="294"/>
      <c r="Y1046" s="294"/>
      <c r="Z1046" s="294"/>
      <c r="AA1046" s="294"/>
      <c r="AB1046" s="294"/>
      <c r="AC1046" s="294"/>
    </row>
    <row r="1047" spans="2:29" x14ac:dyDescent="0.25">
      <c r="B1047" s="294"/>
      <c r="C1047" s="294"/>
      <c r="D1047" s="294"/>
      <c r="E1047" s="294"/>
      <c r="F1047" s="294"/>
      <c r="G1047" s="294"/>
      <c r="H1047" s="294"/>
      <c r="I1047" s="294"/>
      <c r="J1047" s="294"/>
      <c r="L1047" s="295"/>
      <c r="M1047" s="294"/>
      <c r="O1047" s="294"/>
      <c r="P1047" s="294"/>
      <c r="Q1047" s="294"/>
      <c r="R1047" s="294"/>
      <c r="S1047" s="294"/>
      <c r="T1047" s="294"/>
      <c r="U1047" s="326"/>
      <c r="V1047" s="294"/>
      <c r="W1047" s="294"/>
      <c r="X1047" s="294"/>
      <c r="Y1047" s="294"/>
      <c r="Z1047" s="294"/>
      <c r="AA1047" s="294"/>
      <c r="AB1047" s="294"/>
      <c r="AC1047" s="294"/>
    </row>
    <row r="1048" spans="2:29" x14ac:dyDescent="0.25">
      <c r="B1048" s="294"/>
      <c r="C1048" s="294"/>
      <c r="D1048" s="294"/>
      <c r="E1048" s="294"/>
      <c r="F1048" s="294"/>
      <c r="G1048" s="294"/>
      <c r="H1048" s="294"/>
      <c r="I1048" s="294"/>
      <c r="J1048" s="294"/>
      <c r="L1048" s="295"/>
      <c r="M1048" s="294"/>
      <c r="O1048" s="294"/>
      <c r="P1048" s="294"/>
      <c r="Q1048" s="294"/>
      <c r="R1048" s="294"/>
      <c r="S1048" s="294"/>
      <c r="T1048" s="294"/>
      <c r="U1048" s="326"/>
      <c r="V1048" s="294"/>
      <c r="W1048" s="294"/>
      <c r="X1048" s="294"/>
      <c r="Y1048" s="294"/>
      <c r="Z1048" s="294"/>
      <c r="AA1048" s="294"/>
      <c r="AB1048" s="294"/>
      <c r="AC1048" s="294"/>
    </row>
    <row r="1049" spans="2:29" x14ac:dyDescent="0.25">
      <c r="B1049" s="294"/>
      <c r="C1049" s="294"/>
      <c r="D1049" s="294"/>
      <c r="E1049" s="294"/>
      <c r="F1049" s="294"/>
      <c r="G1049" s="294"/>
      <c r="H1049" s="294"/>
      <c r="I1049" s="294"/>
      <c r="J1049" s="294"/>
      <c r="L1049" s="295"/>
      <c r="M1049" s="294"/>
      <c r="O1049" s="294"/>
      <c r="P1049" s="294"/>
      <c r="Q1049" s="294"/>
      <c r="R1049" s="294"/>
      <c r="S1049" s="294"/>
      <c r="T1049" s="294"/>
      <c r="U1049" s="326"/>
      <c r="V1049" s="294"/>
      <c r="W1049" s="294"/>
      <c r="X1049" s="294"/>
      <c r="Y1049" s="294"/>
      <c r="Z1049" s="294"/>
      <c r="AA1049" s="294"/>
      <c r="AB1049" s="294"/>
      <c r="AC1049" s="294"/>
    </row>
    <row r="1050" spans="2:29" x14ac:dyDescent="0.25">
      <c r="B1050" s="294"/>
      <c r="C1050" s="294"/>
      <c r="D1050" s="294"/>
      <c r="E1050" s="294"/>
      <c r="F1050" s="294"/>
      <c r="G1050" s="294"/>
      <c r="H1050" s="294"/>
      <c r="I1050" s="294"/>
      <c r="J1050" s="294"/>
      <c r="L1050" s="295"/>
      <c r="M1050" s="294"/>
      <c r="O1050" s="294"/>
      <c r="P1050" s="294"/>
      <c r="Q1050" s="294"/>
      <c r="R1050" s="294"/>
      <c r="S1050" s="294"/>
      <c r="T1050" s="294"/>
      <c r="U1050" s="326"/>
      <c r="V1050" s="294"/>
      <c r="W1050" s="294"/>
      <c r="X1050" s="294"/>
      <c r="Y1050" s="294"/>
      <c r="Z1050" s="294"/>
      <c r="AA1050" s="294"/>
      <c r="AB1050" s="294"/>
      <c r="AC1050" s="294"/>
    </row>
    <row r="1051" spans="2:29" x14ac:dyDescent="0.25">
      <c r="B1051" s="294"/>
      <c r="C1051" s="294"/>
      <c r="D1051" s="294"/>
      <c r="E1051" s="294"/>
      <c r="F1051" s="294"/>
      <c r="G1051" s="294"/>
      <c r="H1051" s="294"/>
      <c r="I1051" s="294"/>
      <c r="J1051" s="294"/>
      <c r="L1051" s="295"/>
      <c r="M1051" s="294"/>
      <c r="O1051" s="294"/>
      <c r="P1051" s="294"/>
      <c r="Q1051" s="294"/>
      <c r="R1051" s="294"/>
      <c r="S1051" s="294"/>
      <c r="T1051" s="294"/>
      <c r="U1051" s="326"/>
      <c r="V1051" s="294"/>
      <c r="W1051" s="294"/>
      <c r="X1051" s="294"/>
      <c r="Y1051" s="294"/>
      <c r="Z1051" s="294"/>
      <c r="AA1051" s="294"/>
      <c r="AB1051" s="294"/>
      <c r="AC1051" s="294"/>
    </row>
    <row r="1052" spans="2:29" x14ac:dyDescent="0.25">
      <c r="B1052" s="294"/>
      <c r="C1052" s="294"/>
      <c r="D1052" s="294"/>
      <c r="E1052" s="294"/>
      <c r="F1052" s="294"/>
      <c r="G1052" s="294"/>
      <c r="H1052" s="294"/>
      <c r="I1052" s="294"/>
      <c r="J1052" s="294"/>
      <c r="L1052" s="295"/>
      <c r="M1052" s="294"/>
      <c r="O1052" s="294"/>
      <c r="P1052" s="294"/>
      <c r="Q1052" s="294"/>
      <c r="R1052" s="294"/>
      <c r="S1052" s="294"/>
      <c r="T1052" s="294"/>
      <c r="U1052" s="326"/>
      <c r="V1052" s="294"/>
      <c r="W1052" s="294"/>
      <c r="X1052" s="294"/>
      <c r="Y1052" s="294"/>
      <c r="Z1052" s="294"/>
      <c r="AA1052" s="294"/>
      <c r="AB1052" s="294"/>
      <c r="AC1052" s="294"/>
    </row>
    <row r="1053" spans="2:29" x14ac:dyDescent="0.25">
      <c r="B1053" s="294"/>
      <c r="C1053" s="294"/>
      <c r="D1053" s="294"/>
      <c r="E1053" s="294"/>
      <c r="F1053" s="294"/>
      <c r="G1053" s="294"/>
      <c r="H1053" s="294"/>
      <c r="I1053" s="294"/>
      <c r="J1053" s="294"/>
      <c r="L1053" s="295"/>
      <c r="M1053" s="294"/>
      <c r="O1053" s="294"/>
      <c r="P1053" s="294"/>
      <c r="Q1053" s="294"/>
      <c r="R1053" s="294"/>
      <c r="S1053" s="294"/>
      <c r="T1053" s="294"/>
      <c r="U1053" s="326"/>
      <c r="V1053" s="294"/>
      <c r="W1053" s="294"/>
      <c r="X1053" s="294"/>
      <c r="Y1053" s="294"/>
      <c r="Z1053" s="294"/>
      <c r="AA1053" s="294"/>
      <c r="AB1053" s="294"/>
      <c r="AC1053" s="294"/>
    </row>
    <row r="1054" spans="2:29" x14ac:dyDescent="0.25">
      <c r="B1054" s="294"/>
      <c r="C1054" s="294"/>
      <c r="D1054" s="294"/>
      <c r="E1054" s="294"/>
      <c r="F1054" s="294"/>
      <c r="G1054" s="294"/>
      <c r="H1054" s="294"/>
      <c r="I1054" s="294"/>
      <c r="J1054" s="294"/>
      <c r="L1054" s="295"/>
      <c r="M1054" s="294"/>
      <c r="O1054" s="294"/>
      <c r="P1054" s="294"/>
      <c r="Q1054" s="294"/>
      <c r="R1054" s="294"/>
      <c r="S1054" s="294"/>
      <c r="T1054" s="294"/>
      <c r="U1054" s="326"/>
      <c r="V1054" s="294"/>
      <c r="W1054" s="294"/>
      <c r="X1054" s="294"/>
      <c r="Y1054" s="294"/>
      <c r="Z1054" s="294"/>
      <c r="AA1054" s="294"/>
      <c r="AB1054" s="294"/>
      <c r="AC1054" s="294"/>
    </row>
    <row r="1055" spans="2:29" x14ac:dyDescent="0.25">
      <c r="B1055" s="294"/>
      <c r="C1055" s="294"/>
      <c r="D1055" s="294"/>
      <c r="E1055" s="294"/>
      <c r="F1055" s="294"/>
      <c r="G1055" s="294"/>
      <c r="H1055" s="294"/>
      <c r="I1055" s="294"/>
      <c r="J1055" s="294"/>
      <c r="L1055" s="295"/>
      <c r="M1055" s="294"/>
      <c r="O1055" s="294"/>
      <c r="P1055" s="294"/>
      <c r="Q1055" s="294"/>
      <c r="R1055" s="294"/>
      <c r="S1055" s="294"/>
      <c r="T1055" s="294"/>
      <c r="U1055" s="326"/>
      <c r="V1055" s="294"/>
      <c r="W1055" s="294"/>
      <c r="X1055" s="294"/>
      <c r="Y1055" s="294"/>
      <c r="Z1055" s="294"/>
      <c r="AA1055" s="294"/>
      <c r="AB1055" s="294"/>
      <c r="AC1055" s="294"/>
    </row>
    <row r="1056" spans="2:29" x14ac:dyDescent="0.25">
      <c r="B1056" s="294"/>
      <c r="C1056" s="294"/>
      <c r="D1056" s="294"/>
      <c r="E1056" s="294"/>
      <c r="F1056" s="294"/>
      <c r="G1056" s="294"/>
      <c r="H1056" s="294"/>
      <c r="I1056" s="294"/>
      <c r="J1056" s="294"/>
      <c r="L1056" s="295"/>
      <c r="M1056" s="294"/>
      <c r="O1056" s="294"/>
      <c r="P1056" s="294"/>
      <c r="Q1056" s="294"/>
      <c r="R1056" s="294"/>
      <c r="S1056" s="294"/>
      <c r="T1056" s="294"/>
      <c r="U1056" s="326"/>
      <c r="V1056" s="294"/>
      <c r="W1056" s="294"/>
      <c r="X1056" s="294"/>
      <c r="Y1056" s="294"/>
      <c r="Z1056" s="294"/>
      <c r="AA1056" s="294"/>
      <c r="AB1056" s="294"/>
      <c r="AC1056" s="294"/>
    </row>
    <row r="1057" spans="2:29" x14ac:dyDescent="0.25">
      <c r="B1057" s="294"/>
      <c r="C1057" s="294"/>
      <c r="D1057" s="294"/>
      <c r="E1057" s="294"/>
      <c r="F1057" s="294"/>
      <c r="G1057" s="294"/>
      <c r="H1057" s="294"/>
      <c r="I1057" s="294"/>
      <c r="J1057" s="294"/>
      <c r="L1057" s="295"/>
      <c r="M1057" s="294"/>
      <c r="O1057" s="294"/>
      <c r="P1057" s="294"/>
      <c r="Q1057" s="294"/>
      <c r="R1057" s="294"/>
      <c r="S1057" s="294"/>
      <c r="T1057" s="294"/>
      <c r="U1057" s="326"/>
      <c r="V1057" s="294"/>
      <c r="W1057" s="294"/>
      <c r="X1057" s="294"/>
      <c r="Y1057" s="294"/>
      <c r="Z1057" s="294"/>
      <c r="AA1057" s="294"/>
      <c r="AB1057" s="294"/>
      <c r="AC1057" s="294"/>
    </row>
    <row r="1058" spans="2:29" x14ac:dyDescent="0.25">
      <c r="B1058" s="294"/>
      <c r="C1058" s="294"/>
      <c r="D1058" s="294"/>
      <c r="E1058" s="294"/>
      <c r="F1058" s="294"/>
      <c r="G1058" s="294"/>
      <c r="H1058" s="294"/>
      <c r="I1058" s="294"/>
      <c r="J1058" s="294"/>
      <c r="L1058" s="295"/>
      <c r="M1058" s="294"/>
      <c r="O1058" s="294"/>
      <c r="P1058" s="294"/>
      <c r="Q1058" s="294"/>
      <c r="R1058" s="294"/>
      <c r="S1058" s="294"/>
      <c r="T1058" s="294"/>
      <c r="U1058" s="326"/>
      <c r="V1058" s="294"/>
      <c r="W1058" s="294"/>
      <c r="X1058" s="294"/>
      <c r="Y1058" s="294"/>
      <c r="Z1058" s="294"/>
      <c r="AA1058" s="294"/>
      <c r="AB1058" s="294"/>
      <c r="AC1058" s="294"/>
    </row>
    <row r="1059" spans="2:29" x14ac:dyDescent="0.25">
      <c r="B1059" s="294"/>
      <c r="C1059" s="294"/>
      <c r="D1059" s="294"/>
      <c r="E1059" s="294"/>
      <c r="F1059" s="294"/>
      <c r="G1059" s="294"/>
      <c r="H1059" s="294"/>
      <c r="I1059" s="294"/>
      <c r="J1059" s="294"/>
      <c r="L1059" s="295"/>
      <c r="M1059" s="294"/>
      <c r="O1059" s="294"/>
      <c r="P1059" s="294"/>
      <c r="Q1059" s="294"/>
      <c r="R1059" s="294"/>
      <c r="S1059" s="294"/>
      <c r="T1059" s="294"/>
      <c r="U1059" s="326"/>
      <c r="V1059" s="294"/>
      <c r="W1059" s="294"/>
      <c r="X1059" s="294"/>
      <c r="Y1059" s="294"/>
      <c r="Z1059" s="294"/>
      <c r="AA1059" s="294"/>
      <c r="AB1059" s="294"/>
      <c r="AC1059" s="294"/>
    </row>
    <row r="1060" spans="2:29" x14ac:dyDescent="0.25">
      <c r="B1060" s="294"/>
      <c r="C1060" s="294"/>
      <c r="D1060" s="294"/>
      <c r="E1060" s="294"/>
      <c r="F1060" s="294"/>
      <c r="G1060" s="294"/>
      <c r="H1060" s="294"/>
      <c r="I1060" s="294"/>
      <c r="J1060" s="294"/>
      <c r="L1060" s="295"/>
      <c r="M1060" s="294"/>
      <c r="O1060" s="294"/>
      <c r="P1060" s="294"/>
      <c r="Q1060" s="294"/>
      <c r="R1060" s="294"/>
      <c r="S1060" s="294"/>
      <c r="T1060" s="294"/>
      <c r="U1060" s="326"/>
      <c r="V1060" s="294"/>
      <c r="W1060" s="294"/>
      <c r="X1060" s="294"/>
      <c r="Y1060" s="294"/>
      <c r="Z1060" s="294"/>
      <c r="AA1060" s="294"/>
      <c r="AB1060" s="294"/>
      <c r="AC1060" s="294"/>
    </row>
    <row r="1061" spans="2:29" x14ac:dyDescent="0.25">
      <c r="B1061" s="294"/>
      <c r="C1061" s="294"/>
      <c r="D1061" s="294"/>
      <c r="E1061" s="294"/>
      <c r="F1061" s="294"/>
      <c r="G1061" s="294"/>
      <c r="H1061" s="294"/>
      <c r="I1061" s="294"/>
      <c r="J1061" s="294"/>
      <c r="L1061" s="295"/>
      <c r="M1061" s="294"/>
      <c r="O1061" s="294"/>
      <c r="P1061" s="294"/>
      <c r="Q1061" s="294"/>
      <c r="R1061" s="294"/>
      <c r="S1061" s="294"/>
      <c r="T1061" s="294"/>
      <c r="U1061" s="326"/>
      <c r="V1061" s="294"/>
      <c r="W1061" s="294"/>
      <c r="X1061" s="294"/>
      <c r="Y1061" s="294"/>
      <c r="Z1061" s="294"/>
      <c r="AA1061" s="294"/>
      <c r="AB1061" s="294"/>
      <c r="AC1061" s="294"/>
    </row>
    <row r="1062" spans="2:29" x14ac:dyDescent="0.25">
      <c r="B1062" s="294"/>
      <c r="C1062" s="294"/>
      <c r="D1062" s="294"/>
      <c r="E1062" s="294"/>
      <c r="F1062" s="294"/>
      <c r="G1062" s="294"/>
      <c r="H1062" s="294"/>
      <c r="I1062" s="294"/>
      <c r="J1062" s="294"/>
      <c r="L1062" s="295"/>
      <c r="M1062" s="294"/>
      <c r="O1062" s="294"/>
      <c r="P1062" s="294"/>
      <c r="Q1062" s="294"/>
      <c r="R1062" s="294"/>
      <c r="S1062" s="294"/>
      <c r="T1062" s="294"/>
      <c r="U1062" s="326"/>
      <c r="V1062" s="294"/>
      <c r="W1062" s="294"/>
      <c r="X1062" s="294"/>
      <c r="Y1062" s="294"/>
      <c r="Z1062" s="294"/>
      <c r="AA1062" s="294"/>
      <c r="AB1062" s="294"/>
      <c r="AC1062" s="294"/>
    </row>
    <row r="1063" spans="2:29" x14ac:dyDescent="0.25">
      <c r="B1063" s="294"/>
      <c r="C1063" s="294"/>
      <c r="D1063" s="294"/>
      <c r="E1063" s="294"/>
      <c r="F1063" s="294"/>
      <c r="G1063" s="294"/>
      <c r="H1063" s="294"/>
      <c r="I1063" s="294"/>
      <c r="J1063" s="294"/>
      <c r="L1063" s="295"/>
      <c r="M1063" s="294"/>
      <c r="O1063" s="294"/>
      <c r="P1063" s="294"/>
      <c r="Q1063" s="294"/>
      <c r="R1063" s="294"/>
      <c r="S1063" s="294"/>
      <c r="T1063" s="294"/>
      <c r="U1063" s="326"/>
      <c r="V1063" s="294"/>
      <c r="W1063" s="294"/>
      <c r="X1063" s="294"/>
      <c r="Y1063" s="294"/>
      <c r="Z1063" s="294"/>
      <c r="AA1063" s="294"/>
      <c r="AB1063" s="294"/>
      <c r="AC1063" s="294"/>
    </row>
    <row r="1064" spans="2:29" x14ac:dyDescent="0.25">
      <c r="B1064" s="294"/>
      <c r="C1064" s="294"/>
      <c r="D1064" s="294"/>
      <c r="E1064" s="294"/>
      <c r="F1064" s="294"/>
      <c r="G1064" s="294"/>
      <c r="H1064" s="294"/>
      <c r="I1064" s="294"/>
      <c r="J1064" s="294"/>
      <c r="L1064" s="295"/>
      <c r="M1064" s="294"/>
      <c r="O1064" s="294"/>
      <c r="P1064" s="294"/>
      <c r="Q1064" s="294"/>
      <c r="R1064" s="294"/>
      <c r="S1064" s="294"/>
      <c r="T1064" s="294"/>
      <c r="U1064" s="326"/>
      <c r="V1064" s="294"/>
      <c r="W1064" s="294"/>
      <c r="X1064" s="294"/>
      <c r="Y1064" s="294"/>
      <c r="Z1064" s="294"/>
      <c r="AA1064" s="294"/>
      <c r="AB1064" s="294"/>
      <c r="AC1064" s="294"/>
    </row>
    <row r="1065" spans="2:29" x14ac:dyDescent="0.25">
      <c r="B1065" s="294"/>
      <c r="C1065" s="294"/>
      <c r="D1065" s="294"/>
      <c r="E1065" s="294"/>
      <c r="F1065" s="294"/>
      <c r="G1065" s="294"/>
      <c r="H1065" s="294"/>
      <c r="I1065" s="294"/>
      <c r="J1065" s="294"/>
      <c r="L1065" s="295"/>
      <c r="M1065" s="294"/>
      <c r="O1065" s="294"/>
      <c r="P1065" s="294"/>
      <c r="Q1065" s="294"/>
      <c r="R1065" s="294"/>
      <c r="S1065" s="294"/>
      <c r="T1065" s="294"/>
      <c r="U1065" s="326"/>
      <c r="V1065" s="294"/>
      <c r="W1065" s="294"/>
      <c r="X1065" s="294"/>
      <c r="Y1065" s="294"/>
      <c r="Z1065" s="294"/>
      <c r="AA1065" s="294"/>
      <c r="AB1065" s="294"/>
      <c r="AC1065" s="294"/>
    </row>
    <row r="1066" spans="2:29" x14ac:dyDescent="0.25">
      <c r="B1066" s="294"/>
      <c r="C1066" s="294"/>
      <c r="D1066" s="294"/>
      <c r="E1066" s="294"/>
      <c r="F1066" s="294"/>
      <c r="G1066" s="294"/>
      <c r="H1066" s="294"/>
      <c r="I1066" s="294"/>
      <c r="J1066" s="294"/>
      <c r="L1066" s="295"/>
      <c r="M1066" s="294"/>
      <c r="O1066" s="294"/>
      <c r="P1066" s="294"/>
      <c r="Q1066" s="294"/>
      <c r="R1066" s="294"/>
      <c r="S1066" s="294"/>
      <c r="T1066" s="294"/>
      <c r="U1066" s="326"/>
      <c r="V1066" s="294"/>
      <c r="W1066" s="294"/>
      <c r="X1066" s="294"/>
      <c r="Y1066" s="294"/>
      <c r="Z1066" s="294"/>
      <c r="AA1066" s="294"/>
      <c r="AB1066" s="294"/>
      <c r="AC1066" s="294"/>
    </row>
    <row r="1067" spans="2:29" x14ac:dyDescent="0.25">
      <c r="B1067" s="294"/>
      <c r="C1067" s="294"/>
      <c r="D1067" s="294"/>
      <c r="E1067" s="294"/>
      <c r="F1067" s="294"/>
      <c r="G1067" s="294"/>
      <c r="H1067" s="294"/>
      <c r="I1067" s="294"/>
      <c r="J1067" s="294"/>
      <c r="L1067" s="295"/>
      <c r="M1067" s="294"/>
      <c r="O1067" s="294"/>
      <c r="P1067" s="294"/>
      <c r="Q1067" s="294"/>
      <c r="R1067" s="294"/>
      <c r="S1067" s="294"/>
      <c r="T1067" s="294"/>
      <c r="U1067" s="326"/>
      <c r="V1067" s="294"/>
      <c r="W1067" s="294"/>
      <c r="X1067" s="294"/>
      <c r="Y1067" s="294"/>
      <c r="Z1067" s="294"/>
      <c r="AA1067" s="294"/>
      <c r="AB1067" s="294"/>
      <c r="AC1067" s="294"/>
    </row>
    <row r="1068" spans="2:29" x14ac:dyDescent="0.25">
      <c r="B1068" s="294"/>
      <c r="C1068" s="294"/>
      <c r="D1068" s="294"/>
      <c r="E1068" s="294"/>
      <c r="F1068" s="294"/>
      <c r="G1068" s="294"/>
      <c r="H1068" s="294"/>
      <c r="I1068" s="294"/>
      <c r="J1068" s="294"/>
      <c r="L1068" s="295"/>
      <c r="M1068" s="294"/>
      <c r="O1068" s="294"/>
      <c r="P1068" s="294"/>
      <c r="Q1068" s="294"/>
      <c r="R1068" s="294"/>
      <c r="S1068" s="294"/>
      <c r="T1068" s="294"/>
      <c r="U1068" s="326"/>
      <c r="V1068" s="294"/>
      <c r="W1068" s="294"/>
      <c r="X1068" s="294"/>
      <c r="Y1068" s="294"/>
      <c r="Z1068" s="294"/>
      <c r="AA1068" s="294"/>
      <c r="AB1068" s="294"/>
      <c r="AC1068" s="294"/>
    </row>
    <row r="1069" spans="2:29" x14ac:dyDescent="0.25">
      <c r="B1069" s="294"/>
      <c r="C1069" s="294"/>
      <c r="D1069" s="294"/>
      <c r="E1069" s="294"/>
      <c r="F1069" s="294"/>
      <c r="G1069" s="294"/>
      <c r="H1069" s="294"/>
      <c r="I1069" s="294"/>
      <c r="J1069" s="294"/>
      <c r="L1069" s="295"/>
      <c r="M1069" s="294"/>
      <c r="O1069" s="294"/>
      <c r="P1069" s="294"/>
      <c r="Q1069" s="294"/>
      <c r="R1069" s="294"/>
      <c r="S1069" s="294"/>
      <c r="T1069" s="294"/>
      <c r="U1069" s="326"/>
      <c r="V1069" s="294"/>
      <c r="W1069" s="294"/>
      <c r="X1069" s="294"/>
      <c r="Y1069" s="294"/>
      <c r="Z1069" s="294"/>
      <c r="AA1069" s="294"/>
      <c r="AB1069" s="294"/>
      <c r="AC1069" s="294"/>
    </row>
    <row r="1070" spans="2:29" x14ac:dyDescent="0.25">
      <c r="B1070" s="294"/>
      <c r="C1070" s="294"/>
      <c r="D1070" s="294"/>
      <c r="E1070" s="294"/>
      <c r="F1070" s="294"/>
      <c r="G1070" s="294"/>
      <c r="H1070" s="294"/>
      <c r="I1070" s="294"/>
      <c r="J1070" s="294"/>
      <c r="L1070" s="295"/>
      <c r="M1070" s="294"/>
      <c r="O1070" s="294"/>
      <c r="P1070" s="294"/>
      <c r="Q1070" s="294"/>
      <c r="R1070" s="294"/>
      <c r="S1070" s="294"/>
      <c r="T1070" s="294"/>
      <c r="U1070" s="326"/>
      <c r="V1070" s="294"/>
      <c r="W1070" s="294"/>
      <c r="X1070" s="294"/>
      <c r="Y1070" s="294"/>
      <c r="Z1070" s="294"/>
      <c r="AA1070" s="294"/>
      <c r="AB1070" s="294"/>
      <c r="AC1070" s="294"/>
    </row>
    <row r="1071" spans="2:29" x14ac:dyDescent="0.25">
      <c r="B1071" s="294"/>
      <c r="C1071" s="294"/>
      <c r="D1071" s="294"/>
      <c r="E1071" s="294"/>
      <c r="F1071" s="294"/>
      <c r="G1071" s="294"/>
      <c r="H1071" s="294"/>
      <c r="I1071" s="294"/>
      <c r="J1071" s="294"/>
      <c r="L1071" s="295"/>
      <c r="M1071" s="294"/>
      <c r="O1071" s="294"/>
      <c r="P1071" s="294"/>
      <c r="Q1071" s="294"/>
      <c r="R1071" s="294"/>
      <c r="S1071" s="294"/>
      <c r="T1071" s="294"/>
      <c r="U1071" s="326"/>
      <c r="V1071" s="294"/>
      <c r="W1071" s="294"/>
      <c r="X1071" s="294"/>
      <c r="Y1071" s="294"/>
      <c r="Z1071" s="294"/>
      <c r="AA1071" s="294"/>
      <c r="AB1071" s="294"/>
      <c r="AC1071" s="294"/>
    </row>
    <row r="1072" spans="2:29" x14ac:dyDescent="0.25">
      <c r="B1072" s="294"/>
      <c r="C1072" s="294"/>
      <c r="D1072" s="294"/>
      <c r="E1072" s="294"/>
      <c r="F1072" s="294"/>
      <c r="G1072" s="294"/>
      <c r="H1072" s="294"/>
      <c r="I1072" s="294"/>
      <c r="J1072" s="294"/>
      <c r="L1072" s="295"/>
      <c r="M1072" s="294"/>
      <c r="O1072" s="294"/>
      <c r="P1072" s="294"/>
      <c r="Q1072" s="294"/>
      <c r="R1072" s="294"/>
      <c r="S1072" s="294"/>
      <c r="T1072" s="294"/>
      <c r="U1072" s="326"/>
      <c r="V1072" s="294"/>
      <c r="W1072" s="294"/>
      <c r="X1072" s="294"/>
      <c r="Y1072" s="294"/>
      <c r="Z1072" s="294"/>
      <c r="AA1072" s="294"/>
      <c r="AB1072" s="294"/>
      <c r="AC1072" s="294"/>
    </row>
    <row r="1073" spans="2:29" x14ac:dyDescent="0.25">
      <c r="B1073" s="294"/>
      <c r="C1073" s="294"/>
      <c r="D1073" s="294"/>
      <c r="E1073" s="294"/>
      <c r="F1073" s="294"/>
      <c r="G1073" s="294"/>
      <c r="H1073" s="294"/>
      <c r="I1073" s="294"/>
      <c r="J1073" s="294"/>
      <c r="L1073" s="295"/>
      <c r="M1073" s="294"/>
      <c r="O1073" s="294"/>
      <c r="P1073" s="294"/>
      <c r="Q1073" s="294"/>
      <c r="R1073" s="294"/>
      <c r="S1073" s="294"/>
      <c r="T1073" s="294"/>
      <c r="U1073" s="326"/>
      <c r="V1073" s="294"/>
      <c r="W1073" s="294"/>
      <c r="X1073" s="294"/>
      <c r="Y1073" s="294"/>
      <c r="Z1073" s="294"/>
      <c r="AA1073" s="294"/>
      <c r="AB1073" s="294"/>
      <c r="AC1073" s="294"/>
    </row>
    <row r="1074" spans="2:29" x14ac:dyDescent="0.25">
      <c r="B1074" s="294"/>
      <c r="C1074" s="294"/>
      <c r="D1074" s="294"/>
      <c r="E1074" s="294"/>
      <c r="F1074" s="294"/>
      <c r="G1074" s="294"/>
      <c r="H1074" s="294"/>
      <c r="I1074" s="294"/>
      <c r="J1074" s="294"/>
      <c r="L1074" s="295"/>
      <c r="M1074" s="294"/>
      <c r="O1074" s="294"/>
      <c r="P1074" s="294"/>
      <c r="Q1074" s="294"/>
      <c r="R1074" s="294"/>
      <c r="S1074" s="294"/>
      <c r="T1074" s="294"/>
      <c r="U1074" s="326"/>
      <c r="V1074" s="294"/>
      <c r="W1074" s="294"/>
      <c r="X1074" s="294"/>
      <c r="Y1074" s="294"/>
      <c r="Z1074" s="294"/>
      <c r="AA1074" s="294"/>
      <c r="AB1074" s="294"/>
      <c r="AC1074" s="294"/>
    </row>
    <row r="1075" spans="2:29" x14ac:dyDescent="0.25">
      <c r="B1075" s="294"/>
      <c r="C1075" s="294"/>
      <c r="D1075" s="294"/>
      <c r="E1075" s="294"/>
      <c r="F1075" s="294"/>
      <c r="G1075" s="294"/>
      <c r="H1075" s="294"/>
      <c r="I1075" s="294"/>
      <c r="J1075" s="294"/>
      <c r="L1075" s="295"/>
      <c r="M1075" s="294"/>
      <c r="O1075" s="294"/>
      <c r="P1075" s="294"/>
      <c r="Q1075" s="294"/>
      <c r="R1075" s="294"/>
      <c r="S1075" s="294"/>
      <c r="T1075" s="294"/>
      <c r="U1075" s="326"/>
      <c r="V1075" s="294"/>
      <c r="W1075" s="294"/>
      <c r="X1075" s="294"/>
      <c r="Y1075" s="294"/>
      <c r="Z1075" s="294"/>
      <c r="AA1075" s="294"/>
      <c r="AB1075" s="294"/>
      <c r="AC1075" s="294"/>
    </row>
    <row r="1076" spans="2:29" x14ac:dyDescent="0.25">
      <c r="B1076" s="294"/>
      <c r="C1076" s="294"/>
      <c r="D1076" s="294"/>
      <c r="E1076" s="294"/>
      <c r="F1076" s="294"/>
      <c r="G1076" s="294"/>
      <c r="H1076" s="294"/>
      <c r="I1076" s="294"/>
      <c r="J1076" s="294"/>
      <c r="L1076" s="295"/>
      <c r="M1076" s="294"/>
      <c r="O1076" s="294"/>
      <c r="P1076" s="294"/>
      <c r="Q1076" s="294"/>
      <c r="R1076" s="294"/>
      <c r="S1076" s="294"/>
      <c r="T1076" s="294"/>
      <c r="U1076" s="326"/>
      <c r="V1076" s="294"/>
      <c r="W1076" s="294"/>
      <c r="X1076" s="294"/>
      <c r="Y1076" s="294"/>
      <c r="Z1076" s="294"/>
      <c r="AA1076" s="294"/>
      <c r="AB1076" s="294"/>
      <c r="AC1076" s="294"/>
    </row>
    <row r="1077" spans="2:29" x14ac:dyDescent="0.25">
      <c r="B1077" s="294"/>
      <c r="C1077" s="294"/>
      <c r="D1077" s="294"/>
      <c r="E1077" s="294"/>
      <c r="F1077" s="294"/>
      <c r="G1077" s="294"/>
      <c r="H1077" s="294"/>
      <c r="I1077" s="294"/>
      <c r="J1077" s="294"/>
      <c r="L1077" s="295"/>
      <c r="M1077" s="294"/>
      <c r="O1077" s="294"/>
      <c r="P1077" s="294"/>
      <c r="Q1077" s="294"/>
      <c r="R1077" s="294"/>
      <c r="S1077" s="294"/>
      <c r="T1077" s="294"/>
      <c r="U1077" s="326"/>
      <c r="V1077" s="294"/>
      <c r="W1077" s="294"/>
      <c r="X1077" s="294"/>
      <c r="Y1077" s="294"/>
      <c r="Z1077" s="294"/>
      <c r="AA1077" s="294"/>
      <c r="AB1077" s="294"/>
      <c r="AC1077" s="294"/>
    </row>
    <row r="1078" spans="2:29" x14ac:dyDescent="0.25">
      <c r="B1078" s="294"/>
      <c r="C1078" s="294"/>
      <c r="D1078" s="294"/>
      <c r="E1078" s="294"/>
      <c r="F1078" s="294"/>
      <c r="G1078" s="294"/>
      <c r="H1078" s="294"/>
      <c r="I1078" s="294"/>
      <c r="J1078" s="294"/>
      <c r="L1078" s="295"/>
      <c r="M1078" s="294"/>
      <c r="O1078" s="294"/>
      <c r="P1078" s="294"/>
      <c r="Q1078" s="294"/>
      <c r="R1078" s="294"/>
      <c r="S1078" s="294"/>
      <c r="T1078" s="294"/>
      <c r="U1078" s="326"/>
      <c r="V1078" s="294"/>
      <c r="W1078" s="294"/>
      <c r="X1078" s="294"/>
      <c r="Y1078" s="294"/>
      <c r="Z1078" s="294"/>
      <c r="AA1078" s="294"/>
      <c r="AB1078" s="294"/>
      <c r="AC1078" s="294"/>
    </row>
    <row r="1079" spans="2:29" x14ac:dyDescent="0.25">
      <c r="B1079" s="294"/>
      <c r="C1079" s="294"/>
      <c r="D1079" s="294"/>
      <c r="E1079" s="294"/>
      <c r="F1079" s="294"/>
      <c r="G1079" s="294"/>
      <c r="H1079" s="294"/>
      <c r="I1079" s="294"/>
      <c r="J1079" s="294"/>
      <c r="L1079" s="295"/>
      <c r="M1079" s="294"/>
      <c r="O1079" s="294"/>
      <c r="P1079" s="294"/>
      <c r="Q1079" s="294"/>
      <c r="R1079" s="294"/>
      <c r="S1079" s="294"/>
      <c r="T1079" s="294"/>
      <c r="U1079" s="326"/>
      <c r="V1079" s="294"/>
      <c r="W1079" s="294"/>
      <c r="X1079" s="294"/>
      <c r="Y1079" s="294"/>
      <c r="Z1079" s="294"/>
      <c r="AA1079" s="294"/>
      <c r="AB1079" s="294"/>
      <c r="AC1079" s="294"/>
    </row>
    <row r="1080" spans="2:29" x14ac:dyDescent="0.25">
      <c r="B1080" s="294"/>
      <c r="C1080" s="294"/>
      <c r="D1080" s="294"/>
      <c r="E1080" s="294"/>
      <c r="F1080" s="294"/>
      <c r="G1080" s="294"/>
      <c r="H1080" s="294"/>
      <c r="I1080" s="294"/>
      <c r="J1080" s="294"/>
      <c r="L1080" s="295"/>
      <c r="M1080" s="294"/>
      <c r="O1080" s="294"/>
      <c r="P1080" s="294"/>
      <c r="Q1080" s="294"/>
      <c r="R1080" s="294"/>
      <c r="S1080" s="294"/>
      <c r="T1080" s="294"/>
      <c r="U1080" s="326"/>
      <c r="V1080" s="294"/>
      <c r="W1080" s="294"/>
      <c r="X1080" s="294"/>
      <c r="Y1080" s="294"/>
      <c r="Z1080" s="294"/>
      <c r="AA1080" s="294"/>
      <c r="AB1080" s="294"/>
      <c r="AC1080" s="294"/>
    </row>
    <row r="1081" spans="2:29" x14ac:dyDescent="0.25">
      <c r="B1081" s="294"/>
      <c r="C1081" s="294"/>
      <c r="D1081" s="294"/>
      <c r="E1081" s="294"/>
      <c r="F1081" s="294"/>
      <c r="G1081" s="294"/>
      <c r="H1081" s="294"/>
      <c r="I1081" s="294"/>
      <c r="J1081" s="294"/>
      <c r="L1081" s="295"/>
      <c r="M1081" s="294"/>
      <c r="O1081" s="294"/>
      <c r="P1081" s="294"/>
      <c r="Q1081" s="294"/>
      <c r="R1081" s="294"/>
      <c r="S1081" s="294"/>
      <c r="T1081" s="294"/>
      <c r="U1081" s="326"/>
      <c r="V1081" s="294"/>
      <c r="W1081" s="294"/>
      <c r="X1081" s="294"/>
      <c r="Y1081" s="294"/>
      <c r="Z1081" s="294"/>
      <c r="AA1081" s="294"/>
      <c r="AB1081" s="294"/>
      <c r="AC1081" s="294"/>
    </row>
    <row r="1082" spans="2:29" x14ac:dyDescent="0.25">
      <c r="B1082" s="294"/>
      <c r="C1082" s="294"/>
      <c r="D1082" s="294"/>
      <c r="E1082" s="294"/>
      <c r="F1082" s="294"/>
      <c r="G1082" s="294"/>
      <c r="H1082" s="294"/>
      <c r="I1082" s="294"/>
      <c r="J1082" s="294"/>
      <c r="L1082" s="295"/>
      <c r="M1082" s="294"/>
      <c r="O1082" s="294"/>
      <c r="P1082" s="294"/>
      <c r="Q1082" s="294"/>
      <c r="R1082" s="294"/>
      <c r="S1082" s="294"/>
      <c r="T1082" s="294"/>
      <c r="U1082" s="326"/>
      <c r="V1082" s="294"/>
      <c r="W1082" s="294"/>
      <c r="X1082" s="294"/>
      <c r="Y1082" s="294"/>
      <c r="Z1082" s="294"/>
      <c r="AA1082" s="294"/>
      <c r="AB1082" s="294"/>
      <c r="AC1082" s="294"/>
    </row>
    <row r="1083" spans="2:29" x14ac:dyDescent="0.25">
      <c r="B1083" s="294"/>
      <c r="C1083" s="294"/>
      <c r="D1083" s="294"/>
      <c r="E1083" s="294"/>
      <c r="F1083" s="294"/>
      <c r="G1083" s="294"/>
      <c r="H1083" s="294"/>
      <c r="I1083" s="294"/>
      <c r="J1083" s="294"/>
      <c r="L1083" s="295"/>
      <c r="M1083" s="294"/>
      <c r="O1083" s="294"/>
      <c r="P1083" s="294"/>
      <c r="Q1083" s="294"/>
      <c r="R1083" s="294"/>
      <c r="S1083" s="294"/>
      <c r="T1083" s="294"/>
      <c r="U1083" s="326"/>
      <c r="V1083" s="294"/>
      <c r="W1083" s="294"/>
      <c r="X1083" s="294"/>
      <c r="Y1083" s="294"/>
      <c r="Z1083" s="294"/>
      <c r="AA1083" s="294"/>
      <c r="AB1083" s="294"/>
      <c r="AC1083" s="294"/>
    </row>
    <row r="1084" spans="2:29" x14ac:dyDescent="0.25">
      <c r="B1084" s="294"/>
      <c r="C1084" s="294"/>
      <c r="D1084" s="294"/>
      <c r="E1084" s="294"/>
      <c r="F1084" s="294"/>
      <c r="G1084" s="294"/>
      <c r="H1084" s="294"/>
      <c r="I1084" s="294"/>
      <c r="J1084" s="294"/>
      <c r="L1084" s="295"/>
      <c r="M1084" s="294"/>
      <c r="O1084" s="294"/>
      <c r="P1084" s="294"/>
      <c r="Q1084" s="294"/>
      <c r="R1084" s="294"/>
      <c r="S1084" s="294"/>
      <c r="T1084" s="294"/>
      <c r="U1084" s="326"/>
      <c r="V1084" s="294"/>
      <c r="W1084" s="294"/>
      <c r="X1084" s="294"/>
      <c r="Y1084" s="294"/>
      <c r="Z1084" s="294"/>
      <c r="AA1084" s="294"/>
      <c r="AB1084" s="294"/>
      <c r="AC1084" s="294"/>
    </row>
    <row r="1085" spans="2:29" x14ac:dyDescent="0.25">
      <c r="B1085" s="294"/>
      <c r="C1085" s="294"/>
      <c r="D1085" s="294"/>
      <c r="E1085" s="294"/>
      <c r="F1085" s="294"/>
      <c r="G1085" s="294"/>
      <c r="H1085" s="294"/>
      <c r="I1085" s="294"/>
      <c r="J1085" s="294"/>
      <c r="L1085" s="295"/>
      <c r="M1085" s="294"/>
      <c r="O1085" s="294"/>
      <c r="P1085" s="294"/>
      <c r="Q1085" s="294"/>
      <c r="R1085" s="294"/>
      <c r="S1085" s="294"/>
      <c r="T1085" s="294"/>
      <c r="U1085" s="326"/>
      <c r="V1085" s="294"/>
      <c r="W1085" s="294"/>
      <c r="X1085" s="294"/>
      <c r="Y1085" s="294"/>
      <c r="Z1085" s="294"/>
      <c r="AA1085" s="294"/>
      <c r="AB1085" s="294"/>
      <c r="AC1085" s="294"/>
    </row>
    <row r="1086" spans="2:29" x14ac:dyDescent="0.25">
      <c r="B1086" s="294"/>
      <c r="C1086" s="294"/>
      <c r="D1086" s="294"/>
      <c r="E1086" s="294"/>
      <c r="F1086" s="294"/>
      <c r="G1086" s="294"/>
      <c r="H1086" s="294"/>
      <c r="I1086" s="294"/>
      <c r="J1086" s="294"/>
      <c r="L1086" s="295"/>
      <c r="M1086" s="294"/>
      <c r="O1086" s="294"/>
      <c r="P1086" s="294"/>
      <c r="Q1086" s="294"/>
      <c r="R1086" s="294"/>
      <c r="S1086" s="294"/>
      <c r="T1086" s="294"/>
      <c r="U1086" s="326"/>
      <c r="V1086" s="294"/>
      <c r="W1086" s="294"/>
      <c r="X1086" s="294"/>
      <c r="Y1086" s="294"/>
      <c r="Z1086" s="294"/>
      <c r="AA1086" s="294"/>
      <c r="AB1086" s="294"/>
      <c r="AC1086" s="294"/>
    </row>
    <row r="1087" spans="2:29" x14ac:dyDescent="0.25">
      <c r="B1087" s="294"/>
      <c r="C1087" s="294"/>
      <c r="D1087" s="294"/>
      <c r="E1087" s="294"/>
      <c r="F1087" s="294"/>
      <c r="G1087" s="294"/>
      <c r="H1087" s="294"/>
      <c r="I1087" s="294"/>
      <c r="J1087" s="294"/>
      <c r="L1087" s="295"/>
      <c r="M1087" s="294"/>
      <c r="O1087" s="294"/>
      <c r="P1087" s="294"/>
      <c r="Q1087" s="294"/>
      <c r="R1087" s="294"/>
      <c r="S1087" s="294"/>
      <c r="T1087" s="294"/>
      <c r="U1087" s="326"/>
      <c r="V1087" s="294"/>
      <c r="W1087" s="294"/>
      <c r="X1087" s="294"/>
      <c r="Y1087" s="294"/>
      <c r="Z1087" s="294"/>
      <c r="AA1087" s="294"/>
      <c r="AB1087" s="294"/>
      <c r="AC1087" s="294"/>
    </row>
    <row r="1088" spans="2:29" x14ac:dyDescent="0.25">
      <c r="B1088" s="294"/>
      <c r="C1088" s="294"/>
      <c r="D1088" s="294"/>
      <c r="E1088" s="294"/>
      <c r="F1088" s="294"/>
      <c r="G1088" s="294"/>
      <c r="H1088" s="294"/>
      <c r="I1088" s="294"/>
      <c r="J1088" s="294"/>
      <c r="L1088" s="295"/>
      <c r="M1088" s="294"/>
      <c r="O1088" s="294"/>
      <c r="P1088" s="294"/>
      <c r="Q1088" s="294"/>
      <c r="R1088" s="294"/>
      <c r="S1088" s="294"/>
      <c r="T1088" s="294"/>
      <c r="U1088" s="326"/>
      <c r="V1088" s="294"/>
      <c r="W1088" s="294"/>
      <c r="X1088" s="294"/>
      <c r="Y1088" s="294"/>
      <c r="Z1088" s="294"/>
      <c r="AA1088" s="294"/>
      <c r="AB1088" s="294"/>
      <c r="AC1088" s="294"/>
    </row>
    <row r="1089" spans="2:29" x14ac:dyDescent="0.25">
      <c r="B1089" s="294"/>
      <c r="C1089" s="294"/>
      <c r="D1089" s="294"/>
      <c r="E1089" s="294"/>
      <c r="F1089" s="294"/>
      <c r="G1089" s="294"/>
      <c r="H1089" s="294"/>
      <c r="I1089" s="294"/>
      <c r="J1089" s="294"/>
      <c r="L1089" s="295"/>
      <c r="M1089" s="294"/>
      <c r="O1089" s="294"/>
      <c r="P1089" s="294"/>
      <c r="Q1089" s="294"/>
      <c r="R1089" s="294"/>
      <c r="S1089" s="294"/>
      <c r="T1089" s="294"/>
      <c r="U1089" s="326"/>
      <c r="V1089" s="294"/>
      <c r="W1089" s="294"/>
      <c r="X1089" s="294"/>
      <c r="Y1089" s="294"/>
      <c r="Z1089" s="294"/>
      <c r="AA1089" s="294"/>
      <c r="AB1089" s="294"/>
      <c r="AC1089" s="294"/>
    </row>
    <row r="1090" spans="2:29" x14ac:dyDescent="0.25">
      <c r="B1090" s="294"/>
      <c r="C1090" s="294"/>
      <c r="D1090" s="294"/>
      <c r="E1090" s="294"/>
      <c r="F1090" s="294"/>
      <c r="G1090" s="294"/>
      <c r="H1090" s="294"/>
      <c r="I1090" s="294"/>
      <c r="J1090" s="294"/>
      <c r="L1090" s="295"/>
      <c r="M1090" s="294"/>
      <c r="O1090" s="294"/>
      <c r="P1090" s="294"/>
      <c r="Q1090" s="294"/>
      <c r="R1090" s="294"/>
      <c r="S1090" s="294"/>
      <c r="T1090" s="294"/>
      <c r="U1090" s="326"/>
      <c r="V1090" s="294"/>
      <c r="W1090" s="294"/>
      <c r="X1090" s="294"/>
      <c r="Y1090" s="294"/>
      <c r="Z1090" s="294"/>
      <c r="AA1090" s="294"/>
      <c r="AB1090" s="294"/>
      <c r="AC1090" s="294"/>
    </row>
    <row r="1091" spans="2:29" x14ac:dyDescent="0.25">
      <c r="B1091" s="294"/>
      <c r="C1091" s="294"/>
      <c r="D1091" s="294"/>
      <c r="E1091" s="294"/>
      <c r="F1091" s="294"/>
      <c r="G1091" s="294"/>
      <c r="H1091" s="294"/>
      <c r="I1091" s="294"/>
      <c r="J1091" s="294"/>
      <c r="L1091" s="295"/>
      <c r="M1091" s="294"/>
      <c r="O1091" s="294"/>
      <c r="P1091" s="294"/>
      <c r="Q1091" s="294"/>
      <c r="R1091" s="294"/>
      <c r="S1091" s="294"/>
      <c r="T1091" s="294"/>
      <c r="U1091" s="326"/>
      <c r="V1091" s="294"/>
      <c r="W1091" s="294"/>
      <c r="X1091" s="294"/>
      <c r="Y1091" s="294"/>
      <c r="Z1091" s="294"/>
      <c r="AA1091" s="294"/>
      <c r="AB1091" s="294"/>
      <c r="AC1091" s="294"/>
    </row>
    <row r="1092" spans="2:29" x14ac:dyDescent="0.25">
      <c r="B1092" s="294"/>
      <c r="C1092" s="294"/>
      <c r="D1092" s="294"/>
      <c r="E1092" s="294"/>
      <c r="F1092" s="294"/>
      <c r="G1092" s="294"/>
      <c r="H1092" s="294"/>
      <c r="I1092" s="294"/>
      <c r="J1092" s="294"/>
      <c r="L1092" s="295"/>
      <c r="M1092" s="294"/>
      <c r="O1092" s="294"/>
      <c r="P1092" s="294"/>
      <c r="Q1092" s="294"/>
      <c r="R1092" s="294"/>
      <c r="S1092" s="294"/>
      <c r="T1092" s="294"/>
      <c r="U1092" s="326"/>
      <c r="V1092" s="294"/>
      <c r="W1092" s="294"/>
      <c r="X1092" s="294"/>
      <c r="Y1092" s="294"/>
      <c r="Z1092" s="294"/>
      <c r="AA1092" s="294"/>
      <c r="AB1092" s="294"/>
      <c r="AC1092" s="294"/>
    </row>
    <row r="1093" spans="2:29" x14ac:dyDescent="0.25">
      <c r="B1093" s="294"/>
      <c r="C1093" s="294"/>
      <c r="D1093" s="294"/>
      <c r="E1093" s="294"/>
      <c r="F1093" s="294"/>
      <c r="G1093" s="294"/>
      <c r="H1093" s="294"/>
      <c r="I1093" s="294"/>
      <c r="J1093" s="294"/>
      <c r="L1093" s="295"/>
      <c r="M1093" s="294"/>
      <c r="O1093" s="294"/>
      <c r="P1093" s="294"/>
      <c r="Q1093" s="294"/>
      <c r="R1093" s="294"/>
      <c r="S1093" s="294"/>
      <c r="T1093" s="294"/>
      <c r="U1093" s="326"/>
      <c r="V1093" s="294"/>
      <c r="W1093" s="294"/>
      <c r="X1093" s="294"/>
      <c r="Y1093" s="294"/>
      <c r="Z1093" s="294"/>
      <c r="AA1093" s="294"/>
      <c r="AB1093" s="294"/>
      <c r="AC1093" s="294"/>
    </row>
    <row r="1094" spans="2:29" x14ac:dyDescent="0.25">
      <c r="B1094" s="294"/>
      <c r="C1094" s="294"/>
      <c r="D1094" s="294"/>
      <c r="E1094" s="294"/>
      <c r="F1094" s="294"/>
      <c r="G1094" s="294"/>
      <c r="H1094" s="294"/>
      <c r="I1094" s="294"/>
      <c r="J1094" s="294"/>
      <c r="L1094" s="295"/>
      <c r="M1094" s="294"/>
      <c r="O1094" s="294"/>
      <c r="P1094" s="294"/>
      <c r="Q1094" s="294"/>
      <c r="R1094" s="294"/>
      <c r="S1094" s="294"/>
      <c r="T1094" s="294"/>
      <c r="U1094" s="326"/>
      <c r="V1094" s="294"/>
      <c r="W1094" s="294"/>
      <c r="X1094" s="294"/>
      <c r="Y1094" s="294"/>
      <c r="Z1094" s="294"/>
      <c r="AA1094" s="294"/>
      <c r="AB1094" s="294"/>
      <c r="AC1094" s="294"/>
    </row>
    <row r="1095" spans="2:29" x14ac:dyDescent="0.25">
      <c r="B1095" s="294"/>
      <c r="C1095" s="294"/>
      <c r="D1095" s="294"/>
      <c r="E1095" s="294"/>
      <c r="F1095" s="294"/>
      <c r="G1095" s="294"/>
      <c r="H1095" s="294"/>
      <c r="I1095" s="294"/>
      <c r="J1095" s="294"/>
      <c r="L1095" s="295"/>
      <c r="M1095" s="294"/>
      <c r="O1095" s="294"/>
      <c r="P1095" s="294"/>
      <c r="Q1095" s="294"/>
      <c r="R1095" s="294"/>
      <c r="S1095" s="294"/>
      <c r="T1095" s="294"/>
      <c r="U1095" s="326"/>
      <c r="V1095" s="294"/>
      <c r="W1095" s="294"/>
      <c r="X1095" s="294"/>
      <c r="Y1095" s="294"/>
      <c r="Z1095" s="294"/>
      <c r="AA1095" s="294"/>
      <c r="AB1095" s="294"/>
      <c r="AC1095" s="294"/>
    </row>
    <row r="1096" spans="2:29" x14ac:dyDescent="0.25">
      <c r="B1096" s="294"/>
      <c r="C1096" s="294"/>
      <c r="D1096" s="294"/>
      <c r="E1096" s="294"/>
      <c r="F1096" s="294"/>
      <c r="G1096" s="294"/>
      <c r="H1096" s="294"/>
      <c r="I1096" s="294"/>
      <c r="J1096" s="294"/>
      <c r="L1096" s="295"/>
      <c r="M1096" s="294"/>
      <c r="O1096" s="294"/>
      <c r="P1096" s="294"/>
      <c r="Q1096" s="294"/>
      <c r="R1096" s="294"/>
      <c r="S1096" s="294"/>
      <c r="T1096" s="294"/>
      <c r="U1096" s="326"/>
      <c r="V1096" s="294"/>
      <c r="W1096" s="294"/>
      <c r="X1096" s="294"/>
      <c r="Y1096" s="294"/>
      <c r="Z1096" s="294"/>
      <c r="AA1096" s="294"/>
      <c r="AB1096" s="294"/>
      <c r="AC1096" s="294"/>
    </row>
    <row r="1097" spans="2:29" x14ac:dyDescent="0.25">
      <c r="B1097" s="294"/>
      <c r="C1097" s="294"/>
      <c r="D1097" s="294"/>
      <c r="E1097" s="294"/>
      <c r="F1097" s="294"/>
      <c r="G1097" s="294"/>
      <c r="H1097" s="294"/>
      <c r="I1097" s="294"/>
      <c r="J1097" s="294"/>
      <c r="L1097" s="295"/>
      <c r="M1097" s="294"/>
      <c r="O1097" s="294"/>
      <c r="P1097" s="294"/>
      <c r="Q1097" s="294"/>
      <c r="R1097" s="294"/>
      <c r="S1097" s="294"/>
      <c r="T1097" s="294"/>
      <c r="U1097" s="326"/>
      <c r="V1097" s="294"/>
      <c r="W1097" s="294"/>
      <c r="X1097" s="294"/>
      <c r="Y1097" s="294"/>
      <c r="Z1097" s="294"/>
      <c r="AA1097" s="294"/>
      <c r="AB1097" s="294"/>
      <c r="AC1097" s="294"/>
    </row>
    <row r="1098" spans="2:29" x14ac:dyDescent="0.25">
      <c r="B1098" s="294"/>
      <c r="C1098" s="294"/>
      <c r="D1098" s="294"/>
      <c r="E1098" s="294"/>
      <c r="F1098" s="294"/>
      <c r="G1098" s="294"/>
      <c r="H1098" s="294"/>
      <c r="I1098" s="294"/>
      <c r="J1098" s="294"/>
      <c r="L1098" s="295"/>
      <c r="M1098" s="294"/>
      <c r="O1098" s="294"/>
      <c r="P1098" s="294"/>
      <c r="Q1098" s="294"/>
      <c r="R1098" s="294"/>
      <c r="S1098" s="294"/>
      <c r="T1098" s="294"/>
      <c r="U1098" s="326"/>
      <c r="V1098" s="294"/>
      <c r="W1098" s="294"/>
      <c r="X1098" s="294"/>
      <c r="Y1098" s="294"/>
      <c r="Z1098" s="294"/>
      <c r="AA1098" s="294"/>
      <c r="AB1098" s="294"/>
      <c r="AC1098" s="294"/>
    </row>
    <row r="1099" spans="2:29" x14ac:dyDescent="0.25">
      <c r="B1099" s="294"/>
      <c r="C1099" s="294"/>
      <c r="D1099" s="294"/>
      <c r="E1099" s="294"/>
      <c r="F1099" s="294"/>
      <c r="G1099" s="294"/>
      <c r="H1099" s="294"/>
      <c r="I1099" s="294"/>
      <c r="J1099" s="294"/>
      <c r="L1099" s="295"/>
      <c r="M1099" s="294"/>
      <c r="O1099" s="294"/>
      <c r="P1099" s="294"/>
      <c r="Q1099" s="294"/>
      <c r="R1099" s="294"/>
      <c r="S1099" s="294"/>
      <c r="T1099" s="294"/>
      <c r="U1099" s="326"/>
      <c r="V1099" s="294"/>
      <c r="W1099" s="294"/>
      <c r="X1099" s="294"/>
      <c r="Y1099" s="294"/>
      <c r="Z1099" s="294"/>
      <c r="AA1099" s="294"/>
      <c r="AB1099" s="294"/>
      <c r="AC1099" s="294"/>
    </row>
    <row r="1100" spans="2:29" x14ac:dyDescent="0.25">
      <c r="B1100" s="294"/>
      <c r="C1100" s="294"/>
      <c r="D1100" s="294"/>
      <c r="E1100" s="294"/>
      <c r="F1100" s="294"/>
      <c r="G1100" s="294"/>
      <c r="H1100" s="294"/>
      <c r="I1100" s="294"/>
      <c r="J1100" s="294"/>
      <c r="L1100" s="295"/>
      <c r="M1100" s="294"/>
      <c r="O1100" s="294"/>
      <c r="P1100" s="294"/>
      <c r="Q1100" s="294"/>
      <c r="R1100" s="294"/>
      <c r="S1100" s="294"/>
      <c r="T1100" s="294"/>
      <c r="U1100" s="326"/>
      <c r="V1100" s="294"/>
      <c r="W1100" s="294"/>
      <c r="X1100" s="294"/>
      <c r="Y1100" s="294"/>
      <c r="Z1100" s="294"/>
      <c r="AA1100" s="294"/>
      <c r="AB1100" s="294"/>
      <c r="AC1100" s="294"/>
    </row>
    <row r="1101" spans="2:29" x14ac:dyDescent="0.25">
      <c r="B1101" s="294"/>
      <c r="C1101" s="294"/>
      <c r="D1101" s="294"/>
      <c r="E1101" s="294"/>
      <c r="F1101" s="294"/>
      <c r="G1101" s="294"/>
      <c r="H1101" s="294"/>
      <c r="I1101" s="294"/>
      <c r="J1101" s="294"/>
      <c r="L1101" s="295"/>
      <c r="M1101" s="294"/>
      <c r="O1101" s="294"/>
      <c r="P1101" s="294"/>
      <c r="Q1101" s="294"/>
      <c r="R1101" s="294"/>
      <c r="S1101" s="294"/>
      <c r="T1101" s="294"/>
      <c r="U1101" s="326"/>
      <c r="V1101" s="294"/>
      <c r="W1101" s="294"/>
      <c r="X1101" s="294"/>
      <c r="Y1101" s="294"/>
      <c r="Z1101" s="294"/>
      <c r="AA1101" s="294"/>
      <c r="AB1101" s="294"/>
      <c r="AC1101" s="294"/>
    </row>
    <row r="1102" spans="2:29" x14ac:dyDescent="0.25">
      <c r="B1102" s="294"/>
      <c r="C1102" s="294"/>
      <c r="D1102" s="294"/>
      <c r="E1102" s="294"/>
      <c r="F1102" s="294"/>
      <c r="G1102" s="294"/>
      <c r="H1102" s="294"/>
      <c r="I1102" s="294"/>
      <c r="J1102" s="294"/>
      <c r="L1102" s="295"/>
      <c r="M1102" s="294"/>
      <c r="O1102" s="294"/>
      <c r="P1102" s="294"/>
      <c r="Q1102" s="294"/>
      <c r="R1102" s="294"/>
      <c r="S1102" s="294"/>
      <c r="T1102" s="294"/>
      <c r="U1102" s="326"/>
      <c r="V1102" s="294"/>
      <c r="W1102" s="294"/>
      <c r="X1102" s="294"/>
      <c r="Y1102" s="294"/>
      <c r="Z1102" s="294"/>
      <c r="AA1102" s="294"/>
      <c r="AB1102" s="294"/>
      <c r="AC1102" s="294"/>
    </row>
    <row r="1103" spans="2:29" x14ac:dyDescent="0.25">
      <c r="B1103" s="294"/>
      <c r="C1103" s="294"/>
      <c r="D1103" s="294"/>
      <c r="E1103" s="294"/>
      <c r="F1103" s="294"/>
      <c r="G1103" s="294"/>
      <c r="H1103" s="294"/>
      <c r="I1103" s="294"/>
      <c r="J1103" s="294"/>
      <c r="L1103" s="295"/>
      <c r="M1103" s="294"/>
      <c r="O1103" s="294"/>
      <c r="P1103" s="294"/>
      <c r="Q1103" s="294"/>
      <c r="R1103" s="294"/>
      <c r="S1103" s="294"/>
      <c r="T1103" s="294"/>
      <c r="U1103" s="326"/>
      <c r="V1103" s="294"/>
      <c r="W1103" s="294"/>
      <c r="X1103" s="294"/>
      <c r="Y1103" s="294"/>
      <c r="Z1103" s="294"/>
      <c r="AA1103" s="294"/>
      <c r="AB1103" s="294"/>
      <c r="AC1103" s="294"/>
    </row>
    <row r="1104" spans="2:29" x14ac:dyDescent="0.25">
      <c r="B1104" s="294"/>
      <c r="C1104" s="294"/>
      <c r="D1104" s="294"/>
      <c r="E1104" s="294"/>
      <c r="F1104" s="294"/>
      <c r="G1104" s="294"/>
      <c r="H1104" s="294"/>
      <c r="I1104" s="294"/>
      <c r="J1104" s="294"/>
      <c r="L1104" s="295"/>
      <c r="M1104" s="294"/>
      <c r="O1104" s="294"/>
      <c r="P1104" s="294"/>
      <c r="Q1104" s="294"/>
      <c r="R1104" s="294"/>
      <c r="S1104" s="294"/>
      <c r="T1104" s="294"/>
      <c r="U1104" s="326"/>
      <c r="V1104" s="294"/>
      <c r="W1104" s="294"/>
      <c r="X1104" s="294"/>
      <c r="Y1104" s="294"/>
      <c r="Z1104" s="294"/>
      <c r="AA1104" s="294"/>
      <c r="AB1104" s="294"/>
      <c r="AC1104" s="294"/>
    </row>
    <row r="1105" spans="2:29" x14ac:dyDescent="0.25">
      <c r="B1105" s="294"/>
      <c r="C1105" s="294"/>
      <c r="D1105" s="294"/>
      <c r="E1105" s="294"/>
      <c r="F1105" s="294"/>
      <c r="G1105" s="294"/>
      <c r="H1105" s="294"/>
      <c r="I1105" s="294"/>
      <c r="J1105" s="294"/>
      <c r="L1105" s="295"/>
      <c r="M1105" s="294"/>
      <c r="O1105" s="294"/>
      <c r="P1105" s="294"/>
      <c r="Q1105" s="294"/>
      <c r="R1105" s="294"/>
      <c r="S1105" s="294"/>
      <c r="T1105" s="294"/>
      <c r="U1105" s="326"/>
      <c r="V1105" s="294"/>
      <c r="W1105" s="294"/>
      <c r="X1105" s="294"/>
      <c r="Y1105" s="294"/>
      <c r="Z1105" s="294"/>
      <c r="AA1105" s="294"/>
      <c r="AB1105" s="294"/>
      <c r="AC1105" s="294"/>
    </row>
    <row r="1106" spans="2:29" x14ac:dyDescent="0.25">
      <c r="B1106" s="294"/>
      <c r="C1106" s="294"/>
      <c r="D1106" s="294"/>
      <c r="E1106" s="294"/>
      <c r="F1106" s="294"/>
      <c r="G1106" s="294"/>
      <c r="H1106" s="294"/>
      <c r="I1106" s="294"/>
      <c r="J1106" s="294"/>
      <c r="L1106" s="295"/>
      <c r="M1106" s="294"/>
      <c r="O1106" s="294"/>
      <c r="P1106" s="294"/>
      <c r="Q1106" s="294"/>
      <c r="R1106" s="294"/>
      <c r="S1106" s="294"/>
      <c r="T1106" s="294"/>
      <c r="U1106" s="326"/>
      <c r="V1106" s="294"/>
      <c r="W1106" s="294"/>
      <c r="X1106" s="294"/>
      <c r="Y1106" s="294"/>
      <c r="Z1106" s="294"/>
      <c r="AA1106" s="294"/>
      <c r="AB1106" s="294"/>
      <c r="AC1106" s="294"/>
    </row>
    <row r="1107" spans="2:29" x14ac:dyDescent="0.25">
      <c r="B1107" s="294"/>
      <c r="C1107" s="294"/>
      <c r="D1107" s="294"/>
      <c r="E1107" s="294"/>
      <c r="F1107" s="294"/>
      <c r="G1107" s="294"/>
      <c r="H1107" s="294"/>
      <c r="I1107" s="294"/>
      <c r="J1107" s="294"/>
      <c r="L1107" s="295"/>
      <c r="M1107" s="294"/>
      <c r="O1107" s="294"/>
      <c r="P1107" s="294"/>
      <c r="Q1107" s="294"/>
      <c r="R1107" s="294"/>
      <c r="S1107" s="294"/>
      <c r="T1107" s="294"/>
      <c r="U1107" s="326"/>
      <c r="V1107" s="294"/>
      <c r="W1107" s="294"/>
      <c r="X1107" s="294"/>
      <c r="Y1107" s="294"/>
      <c r="Z1107" s="294"/>
      <c r="AA1107" s="294"/>
      <c r="AB1107" s="294"/>
      <c r="AC1107" s="294"/>
    </row>
    <row r="1108" spans="2:29" x14ac:dyDescent="0.25">
      <c r="B1108" s="294"/>
      <c r="C1108" s="294"/>
      <c r="D1108" s="294"/>
      <c r="E1108" s="294"/>
      <c r="F1108" s="294"/>
      <c r="G1108" s="294"/>
      <c r="H1108" s="294"/>
      <c r="I1108" s="294"/>
      <c r="J1108" s="294"/>
      <c r="L1108" s="295"/>
      <c r="M1108" s="294"/>
      <c r="O1108" s="294"/>
      <c r="P1108" s="294"/>
      <c r="Q1108" s="294"/>
      <c r="R1108" s="294"/>
      <c r="S1108" s="294"/>
      <c r="T1108" s="294"/>
      <c r="U1108" s="326"/>
      <c r="V1108" s="294"/>
      <c r="W1108" s="294"/>
      <c r="X1108" s="294"/>
      <c r="Y1108" s="294"/>
      <c r="Z1108" s="294"/>
      <c r="AA1108" s="294"/>
      <c r="AB1108" s="294"/>
      <c r="AC1108" s="294"/>
    </row>
    <row r="1109" spans="2:29" x14ac:dyDescent="0.25">
      <c r="B1109" s="294"/>
      <c r="C1109" s="294"/>
      <c r="D1109" s="294"/>
      <c r="E1109" s="294"/>
      <c r="F1109" s="294"/>
      <c r="G1109" s="294"/>
      <c r="H1109" s="294"/>
      <c r="I1109" s="294"/>
      <c r="J1109" s="294"/>
      <c r="L1109" s="295"/>
      <c r="M1109" s="294"/>
      <c r="O1109" s="294"/>
      <c r="P1109" s="294"/>
      <c r="Q1109" s="294"/>
      <c r="R1109" s="294"/>
      <c r="S1109" s="294"/>
      <c r="T1109" s="294"/>
      <c r="U1109" s="326"/>
      <c r="V1109" s="294"/>
      <c r="W1109" s="294"/>
      <c r="X1109" s="294"/>
      <c r="Y1109" s="294"/>
      <c r="Z1109" s="294"/>
      <c r="AA1109" s="294"/>
      <c r="AB1109" s="294"/>
      <c r="AC1109" s="294"/>
    </row>
    <row r="1110" spans="2:29" x14ac:dyDescent="0.25">
      <c r="B1110" s="294"/>
      <c r="C1110" s="294"/>
      <c r="D1110" s="294"/>
      <c r="E1110" s="294"/>
      <c r="F1110" s="294"/>
      <c r="G1110" s="294"/>
      <c r="H1110" s="294"/>
      <c r="I1110" s="294"/>
      <c r="J1110" s="294"/>
      <c r="L1110" s="295"/>
      <c r="M1110" s="294"/>
      <c r="O1110" s="294"/>
      <c r="P1110" s="294"/>
      <c r="Q1110" s="294"/>
      <c r="R1110" s="294"/>
      <c r="S1110" s="294"/>
      <c r="T1110" s="294"/>
      <c r="U1110" s="326"/>
      <c r="V1110" s="294"/>
      <c r="W1110" s="294"/>
      <c r="X1110" s="294"/>
      <c r="Y1110" s="294"/>
      <c r="Z1110" s="294"/>
      <c r="AA1110" s="294"/>
      <c r="AB1110" s="294"/>
      <c r="AC1110" s="294"/>
    </row>
    <row r="1111" spans="2:29" x14ac:dyDescent="0.25">
      <c r="B1111" s="294"/>
      <c r="C1111" s="294"/>
      <c r="D1111" s="294"/>
      <c r="E1111" s="294"/>
      <c r="F1111" s="294"/>
      <c r="G1111" s="294"/>
      <c r="H1111" s="294"/>
      <c r="I1111" s="294"/>
      <c r="J1111" s="294"/>
      <c r="L1111" s="295"/>
      <c r="M1111" s="294"/>
      <c r="O1111" s="294"/>
      <c r="P1111" s="294"/>
      <c r="Q1111" s="294"/>
      <c r="R1111" s="294"/>
      <c r="S1111" s="294"/>
      <c r="T1111" s="294"/>
      <c r="U1111" s="326"/>
      <c r="V1111" s="294"/>
      <c r="W1111" s="294"/>
      <c r="X1111" s="294"/>
      <c r="Y1111" s="294"/>
      <c r="Z1111" s="294"/>
      <c r="AA1111" s="294"/>
      <c r="AB1111" s="294"/>
      <c r="AC1111" s="294"/>
    </row>
    <row r="1112" spans="2:29" x14ac:dyDescent="0.25">
      <c r="B1112" s="294"/>
      <c r="C1112" s="294"/>
      <c r="D1112" s="294"/>
      <c r="E1112" s="294"/>
      <c r="F1112" s="294"/>
      <c r="G1112" s="294"/>
      <c r="H1112" s="294"/>
      <c r="I1112" s="294"/>
      <c r="J1112" s="294"/>
      <c r="L1112" s="295"/>
      <c r="M1112" s="294"/>
      <c r="O1112" s="294"/>
      <c r="P1112" s="294"/>
      <c r="Q1112" s="294"/>
      <c r="R1112" s="294"/>
      <c r="S1112" s="294"/>
      <c r="T1112" s="294"/>
      <c r="U1112" s="326"/>
      <c r="V1112" s="294"/>
      <c r="W1112" s="294"/>
      <c r="X1112" s="294"/>
      <c r="Y1112" s="294"/>
      <c r="Z1112" s="294"/>
      <c r="AA1112" s="294"/>
      <c r="AB1112" s="294"/>
      <c r="AC1112" s="294"/>
    </row>
    <row r="1113" spans="2:29" x14ac:dyDescent="0.25">
      <c r="B1113" s="294"/>
      <c r="C1113" s="294"/>
      <c r="D1113" s="294"/>
      <c r="E1113" s="294"/>
      <c r="F1113" s="294"/>
      <c r="G1113" s="294"/>
      <c r="H1113" s="294"/>
      <c r="I1113" s="294"/>
      <c r="J1113" s="294"/>
      <c r="L1113" s="295"/>
      <c r="M1113" s="294"/>
      <c r="O1113" s="294"/>
      <c r="P1113" s="294"/>
      <c r="Q1113" s="294"/>
      <c r="R1113" s="294"/>
      <c r="S1113" s="294"/>
      <c r="T1113" s="294"/>
      <c r="U1113" s="326"/>
      <c r="V1113" s="294"/>
      <c r="W1113" s="294"/>
      <c r="X1113" s="294"/>
      <c r="Y1113" s="294"/>
      <c r="Z1113" s="294"/>
      <c r="AA1113" s="294"/>
      <c r="AB1113" s="294"/>
      <c r="AC1113" s="294"/>
    </row>
    <row r="1114" spans="2:29" x14ac:dyDescent="0.25">
      <c r="B1114" s="294"/>
      <c r="C1114" s="294"/>
      <c r="D1114" s="294"/>
      <c r="E1114" s="294"/>
      <c r="F1114" s="294"/>
      <c r="G1114" s="294"/>
      <c r="H1114" s="294"/>
      <c r="I1114" s="294"/>
      <c r="J1114" s="294"/>
      <c r="L1114" s="295"/>
      <c r="M1114" s="294"/>
      <c r="O1114" s="294"/>
      <c r="P1114" s="294"/>
      <c r="Q1114" s="294"/>
      <c r="R1114" s="294"/>
      <c r="S1114" s="294"/>
      <c r="T1114" s="294"/>
      <c r="U1114" s="326"/>
      <c r="V1114" s="294"/>
      <c r="W1114" s="294"/>
      <c r="X1114" s="294"/>
      <c r="Y1114" s="294"/>
      <c r="Z1114" s="294"/>
      <c r="AA1114" s="294"/>
      <c r="AB1114" s="294"/>
      <c r="AC1114" s="294"/>
    </row>
    <row r="1115" spans="2:29" x14ac:dyDescent="0.25">
      <c r="B1115" s="294"/>
      <c r="C1115" s="294"/>
      <c r="D1115" s="294"/>
      <c r="E1115" s="294"/>
      <c r="F1115" s="294"/>
      <c r="G1115" s="294"/>
      <c r="H1115" s="294"/>
      <c r="I1115" s="294"/>
      <c r="J1115" s="294"/>
      <c r="L1115" s="295"/>
      <c r="M1115" s="294"/>
      <c r="O1115" s="294"/>
      <c r="P1115" s="294"/>
      <c r="Q1115" s="294"/>
      <c r="R1115" s="294"/>
      <c r="S1115" s="294"/>
      <c r="T1115" s="294"/>
      <c r="U1115" s="326"/>
      <c r="V1115" s="294"/>
      <c r="W1115" s="294"/>
      <c r="X1115" s="294"/>
      <c r="Y1115" s="294"/>
      <c r="Z1115" s="294"/>
      <c r="AA1115" s="294"/>
      <c r="AB1115" s="294"/>
      <c r="AC1115" s="294"/>
    </row>
    <row r="1116" spans="2:29" x14ac:dyDescent="0.25">
      <c r="B1116" s="294"/>
      <c r="C1116" s="294"/>
      <c r="D1116" s="294"/>
      <c r="E1116" s="294"/>
      <c r="F1116" s="294"/>
      <c r="G1116" s="294"/>
      <c r="H1116" s="294"/>
      <c r="I1116" s="294"/>
      <c r="J1116" s="294"/>
      <c r="L1116" s="295"/>
      <c r="M1116" s="294"/>
      <c r="O1116" s="294"/>
      <c r="P1116" s="294"/>
      <c r="Q1116" s="294"/>
      <c r="R1116" s="294"/>
      <c r="S1116" s="294"/>
      <c r="T1116" s="294"/>
      <c r="U1116" s="326"/>
      <c r="V1116" s="294"/>
      <c r="W1116" s="294"/>
      <c r="X1116" s="294"/>
      <c r="Y1116" s="294"/>
      <c r="Z1116" s="294"/>
      <c r="AA1116" s="294"/>
      <c r="AB1116" s="294"/>
      <c r="AC1116" s="294"/>
    </row>
    <row r="1117" spans="2:29" x14ac:dyDescent="0.25">
      <c r="B1117" s="294"/>
      <c r="C1117" s="294"/>
      <c r="D1117" s="294"/>
      <c r="E1117" s="294"/>
      <c r="F1117" s="294"/>
      <c r="G1117" s="294"/>
      <c r="H1117" s="294"/>
      <c r="I1117" s="294"/>
      <c r="J1117" s="294"/>
      <c r="L1117" s="295"/>
      <c r="M1117" s="294"/>
      <c r="O1117" s="294"/>
      <c r="P1117" s="294"/>
      <c r="Q1117" s="294"/>
      <c r="R1117" s="294"/>
      <c r="S1117" s="294"/>
      <c r="T1117" s="294"/>
      <c r="U1117" s="326"/>
      <c r="V1117" s="294"/>
      <c r="W1117" s="294"/>
      <c r="X1117" s="294"/>
      <c r="Y1117" s="294"/>
      <c r="Z1117" s="294"/>
      <c r="AA1117" s="294"/>
      <c r="AB1117" s="294"/>
      <c r="AC1117" s="294"/>
    </row>
    <row r="1118" spans="2:29" x14ac:dyDescent="0.25">
      <c r="B1118" s="294"/>
      <c r="C1118" s="294"/>
      <c r="D1118" s="294"/>
      <c r="E1118" s="294"/>
      <c r="F1118" s="294"/>
      <c r="G1118" s="294"/>
      <c r="H1118" s="294"/>
      <c r="I1118" s="294"/>
      <c r="J1118" s="294"/>
      <c r="L1118" s="295"/>
      <c r="M1118" s="294"/>
      <c r="O1118" s="294"/>
      <c r="P1118" s="294"/>
      <c r="Q1118" s="294"/>
      <c r="R1118" s="294"/>
      <c r="S1118" s="294"/>
      <c r="T1118" s="294"/>
      <c r="U1118" s="326"/>
      <c r="V1118" s="294"/>
      <c r="W1118" s="294"/>
      <c r="X1118" s="294"/>
      <c r="Y1118" s="294"/>
      <c r="Z1118" s="294"/>
      <c r="AA1118" s="294"/>
      <c r="AB1118" s="294"/>
      <c r="AC1118" s="294"/>
    </row>
    <row r="1119" spans="2:29" x14ac:dyDescent="0.25">
      <c r="B1119" s="294"/>
      <c r="C1119" s="294"/>
      <c r="D1119" s="294"/>
      <c r="E1119" s="294"/>
      <c r="F1119" s="294"/>
      <c r="G1119" s="294"/>
      <c r="H1119" s="294"/>
      <c r="I1119" s="294"/>
      <c r="J1119" s="294"/>
      <c r="L1119" s="295"/>
      <c r="M1119" s="294"/>
      <c r="O1119" s="294"/>
      <c r="P1119" s="294"/>
      <c r="Q1119" s="294"/>
      <c r="R1119" s="294"/>
      <c r="S1119" s="294"/>
      <c r="T1119" s="294"/>
      <c r="U1119" s="326"/>
      <c r="V1119" s="294"/>
      <c r="W1119" s="294"/>
      <c r="X1119" s="294"/>
      <c r="Y1119" s="294"/>
      <c r="Z1119" s="294"/>
      <c r="AA1119" s="294"/>
      <c r="AB1119" s="294"/>
      <c r="AC1119" s="294"/>
    </row>
    <row r="1120" spans="2:29" x14ac:dyDescent="0.25">
      <c r="B1120" s="294"/>
      <c r="C1120" s="294"/>
      <c r="D1120" s="294"/>
      <c r="E1120" s="294"/>
      <c r="F1120" s="294"/>
      <c r="G1120" s="294"/>
      <c r="H1120" s="294"/>
      <c r="I1120" s="294"/>
      <c r="J1120" s="294"/>
      <c r="L1120" s="295"/>
      <c r="M1120" s="294"/>
      <c r="O1120" s="294"/>
      <c r="P1120" s="294"/>
      <c r="Q1120" s="294"/>
      <c r="R1120" s="294"/>
      <c r="S1120" s="294"/>
      <c r="T1120" s="294"/>
      <c r="U1120" s="326"/>
      <c r="V1120" s="294"/>
      <c r="W1120" s="294"/>
      <c r="X1120" s="294"/>
      <c r="Y1120" s="294"/>
      <c r="Z1120" s="294"/>
      <c r="AA1120" s="294"/>
      <c r="AB1120" s="294"/>
      <c r="AC1120" s="294"/>
    </row>
    <row r="1121" spans="2:29" x14ac:dyDescent="0.25">
      <c r="B1121" s="294"/>
      <c r="C1121" s="294"/>
      <c r="D1121" s="294"/>
      <c r="E1121" s="294"/>
      <c r="F1121" s="294"/>
      <c r="G1121" s="294"/>
      <c r="H1121" s="294"/>
      <c r="I1121" s="294"/>
      <c r="J1121" s="294"/>
      <c r="L1121" s="295"/>
      <c r="M1121" s="294"/>
      <c r="O1121" s="294"/>
      <c r="P1121" s="294"/>
      <c r="Q1121" s="294"/>
      <c r="R1121" s="294"/>
      <c r="S1121" s="294"/>
      <c r="T1121" s="294"/>
      <c r="U1121" s="326"/>
      <c r="V1121" s="294"/>
      <c r="W1121" s="294"/>
      <c r="X1121" s="294"/>
      <c r="Y1121" s="294"/>
      <c r="Z1121" s="294"/>
      <c r="AA1121" s="294"/>
      <c r="AB1121" s="294"/>
      <c r="AC1121" s="294"/>
    </row>
    <row r="1122" spans="2:29" x14ac:dyDescent="0.25">
      <c r="B1122" s="294"/>
      <c r="C1122" s="294"/>
      <c r="D1122" s="294"/>
      <c r="E1122" s="294"/>
      <c r="F1122" s="294"/>
      <c r="G1122" s="294"/>
      <c r="H1122" s="294"/>
      <c r="I1122" s="294"/>
      <c r="J1122" s="294"/>
      <c r="L1122" s="295"/>
      <c r="M1122" s="294"/>
      <c r="O1122" s="294"/>
      <c r="P1122" s="294"/>
      <c r="Q1122" s="294"/>
      <c r="R1122" s="294"/>
      <c r="S1122" s="294"/>
      <c r="T1122" s="294"/>
      <c r="U1122" s="326"/>
      <c r="V1122" s="294"/>
      <c r="W1122" s="294"/>
      <c r="X1122" s="294"/>
      <c r="Y1122" s="294"/>
      <c r="Z1122" s="294"/>
      <c r="AA1122" s="294"/>
      <c r="AB1122" s="294"/>
      <c r="AC1122" s="294"/>
    </row>
    <row r="1123" spans="2:29" x14ac:dyDescent="0.25">
      <c r="B1123" s="294"/>
      <c r="C1123" s="294"/>
      <c r="D1123" s="294"/>
      <c r="E1123" s="294"/>
      <c r="F1123" s="294"/>
      <c r="G1123" s="294"/>
      <c r="H1123" s="294"/>
      <c r="I1123" s="294"/>
      <c r="J1123" s="294"/>
      <c r="L1123" s="295"/>
      <c r="M1123" s="294"/>
      <c r="O1123" s="294"/>
      <c r="P1123" s="294"/>
      <c r="Q1123" s="294"/>
      <c r="R1123" s="294"/>
      <c r="S1123" s="294"/>
      <c r="T1123" s="294"/>
      <c r="U1123" s="326"/>
      <c r="V1123" s="294"/>
      <c r="W1123" s="294"/>
      <c r="X1123" s="294"/>
      <c r="Y1123" s="294"/>
      <c r="Z1123" s="294"/>
      <c r="AA1123" s="294"/>
      <c r="AB1123" s="294"/>
      <c r="AC1123" s="294"/>
    </row>
    <row r="1124" spans="2:29" x14ac:dyDescent="0.25">
      <c r="B1124" s="294"/>
      <c r="C1124" s="294"/>
      <c r="D1124" s="294"/>
      <c r="E1124" s="294"/>
      <c r="F1124" s="294"/>
      <c r="G1124" s="294"/>
      <c r="H1124" s="294"/>
      <c r="I1124" s="294"/>
      <c r="J1124" s="294"/>
      <c r="L1124" s="295"/>
      <c r="M1124" s="294"/>
      <c r="O1124" s="294"/>
      <c r="P1124" s="294"/>
      <c r="Q1124" s="294"/>
      <c r="R1124" s="294"/>
      <c r="S1124" s="294"/>
      <c r="T1124" s="294"/>
      <c r="U1124" s="326"/>
      <c r="V1124" s="294"/>
      <c r="W1124" s="294"/>
      <c r="X1124" s="294"/>
      <c r="Y1124" s="294"/>
      <c r="Z1124" s="294"/>
      <c r="AA1124" s="294"/>
      <c r="AB1124" s="294"/>
      <c r="AC1124" s="294"/>
    </row>
    <row r="1125" spans="2:29" x14ac:dyDescent="0.25">
      <c r="B1125" s="294"/>
      <c r="C1125" s="294"/>
      <c r="D1125" s="294"/>
      <c r="E1125" s="294"/>
      <c r="F1125" s="294"/>
      <c r="G1125" s="294"/>
      <c r="H1125" s="294"/>
      <c r="I1125" s="294"/>
      <c r="J1125" s="294"/>
      <c r="L1125" s="295"/>
      <c r="M1125" s="294"/>
      <c r="O1125" s="294"/>
      <c r="P1125" s="294"/>
      <c r="Q1125" s="294"/>
      <c r="R1125" s="294"/>
      <c r="S1125" s="294"/>
      <c r="T1125" s="294"/>
      <c r="U1125" s="326"/>
      <c r="V1125" s="294"/>
      <c r="W1125" s="294"/>
      <c r="X1125" s="294"/>
      <c r="Y1125" s="294"/>
      <c r="Z1125" s="294"/>
      <c r="AA1125" s="294"/>
      <c r="AB1125" s="294"/>
      <c r="AC1125" s="294"/>
    </row>
    <row r="1126" spans="2:29" x14ac:dyDescent="0.25">
      <c r="B1126" s="294"/>
      <c r="C1126" s="294"/>
      <c r="D1126" s="294"/>
      <c r="E1126" s="294"/>
      <c r="F1126" s="294"/>
      <c r="G1126" s="294"/>
      <c r="H1126" s="294"/>
      <c r="I1126" s="294"/>
      <c r="J1126" s="294"/>
      <c r="L1126" s="295"/>
      <c r="M1126" s="294"/>
      <c r="O1126" s="294"/>
      <c r="P1126" s="294"/>
      <c r="Q1126" s="294"/>
      <c r="R1126" s="294"/>
      <c r="S1126" s="294"/>
      <c r="T1126" s="294"/>
      <c r="U1126" s="326"/>
      <c r="V1126" s="294"/>
      <c r="W1126" s="294"/>
      <c r="X1126" s="294"/>
      <c r="Y1126" s="294"/>
      <c r="Z1126" s="294"/>
      <c r="AA1126" s="294"/>
      <c r="AB1126" s="294"/>
      <c r="AC1126" s="294"/>
    </row>
    <row r="1127" spans="2:29" x14ac:dyDescent="0.25">
      <c r="B1127" s="294"/>
      <c r="C1127" s="294"/>
      <c r="D1127" s="294"/>
      <c r="E1127" s="294"/>
      <c r="F1127" s="294"/>
      <c r="G1127" s="294"/>
      <c r="H1127" s="294"/>
      <c r="I1127" s="294"/>
      <c r="J1127" s="294"/>
      <c r="L1127" s="295"/>
      <c r="M1127" s="294"/>
      <c r="O1127" s="294"/>
      <c r="P1127" s="294"/>
      <c r="Q1127" s="294"/>
      <c r="R1127" s="294"/>
      <c r="S1127" s="294"/>
      <c r="T1127" s="294"/>
      <c r="U1127" s="326"/>
      <c r="V1127" s="294"/>
      <c r="W1127" s="294"/>
      <c r="X1127" s="294"/>
      <c r="Y1127" s="294"/>
      <c r="Z1127" s="294"/>
      <c r="AA1127" s="294"/>
      <c r="AB1127" s="294"/>
      <c r="AC1127" s="294"/>
    </row>
    <row r="1128" spans="2:29" x14ac:dyDescent="0.25">
      <c r="B1128" s="294"/>
      <c r="C1128" s="294"/>
      <c r="D1128" s="294"/>
      <c r="E1128" s="294"/>
      <c r="F1128" s="294"/>
      <c r="G1128" s="294"/>
      <c r="H1128" s="294"/>
      <c r="I1128" s="294"/>
      <c r="J1128" s="294"/>
      <c r="L1128" s="295"/>
      <c r="M1128" s="294"/>
      <c r="O1128" s="294"/>
      <c r="P1128" s="294"/>
      <c r="Q1128" s="294"/>
      <c r="R1128" s="294"/>
      <c r="S1128" s="294"/>
      <c r="T1128" s="294"/>
      <c r="U1128" s="326"/>
      <c r="V1128" s="294"/>
      <c r="W1128" s="294"/>
      <c r="X1128" s="294"/>
      <c r="Y1128" s="294"/>
      <c r="Z1128" s="294"/>
      <c r="AA1128" s="294"/>
      <c r="AB1128" s="294"/>
      <c r="AC1128" s="294"/>
    </row>
    <row r="1129" spans="2:29" x14ac:dyDescent="0.25">
      <c r="B1129" s="294"/>
      <c r="C1129" s="294"/>
      <c r="D1129" s="294"/>
      <c r="E1129" s="294"/>
      <c r="F1129" s="294"/>
      <c r="G1129" s="294"/>
      <c r="H1129" s="294"/>
      <c r="I1129" s="294"/>
      <c r="J1129" s="294"/>
      <c r="L1129" s="295"/>
      <c r="M1129" s="294"/>
      <c r="O1129" s="294"/>
      <c r="P1129" s="294"/>
      <c r="Q1129" s="294"/>
      <c r="R1129" s="294"/>
      <c r="S1129" s="294"/>
      <c r="T1129" s="294"/>
      <c r="U1129" s="326"/>
      <c r="V1129" s="294"/>
      <c r="W1129" s="294"/>
      <c r="X1129" s="294"/>
      <c r="Y1129" s="294"/>
      <c r="Z1129" s="294"/>
      <c r="AA1129" s="294"/>
      <c r="AB1129" s="294"/>
      <c r="AC1129" s="294"/>
    </row>
    <row r="1130" spans="2:29" x14ac:dyDescent="0.25">
      <c r="B1130" s="294"/>
      <c r="C1130" s="294"/>
      <c r="D1130" s="294"/>
      <c r="E1130" s="294"/>
      <c r="F1130" s="294"/>
      <c r="G1130" s="294"/>
      <c r="H1130" s="294"/>
      <c r="I1130" s="294"/>
      <c r="J1130" s="294"/>
      <c r="L1130" s="295"/>
      <c r="M1130" s="294"/>
      <c r="O1130" s="294"/>
      <c r="P1130" s="294"/>
      <c r="Q1130" s="294"/>
      <c r="R1130" s="294"/>
      <c r="S1130" s="294"/>
      <c r="T1130" s="294"/>
      <c r="U1130" s="326"/>
      <c r="V1130" s="294"/>
      <c r="W1130" s="294"/>
      <c r="X1130" s="294"/>
      <c r="Y1130" s="294"/>
      <c r="Z1130" s="294"/>
      <c r="AA1130" s="294"/>
      <c r="AB1130" s="294"/>
      <c r="AC1130" s="294"/>
    </row>
    <row r="1131" spans="2:29" x14ac:dyDescent="0.25">
      <c r="B1131" s="294"/>
      <c r="C1131" s="294"/>
      <c r="D1131" s="294"/>
      <c r="E1131" s="294"/>
      <c r="F1131" s="294"/>
      <c r="G1131" s="294"/>
      <c r="H1131" s="294"/>
      <c r="I1131" s="294"/>
      <c r="J1131" s="294"/>
      <c r="L1131" s="295"/>
      <c r="M1131" s="294"/>
      <c r="O1131" s="294"/>
      <c r="P1131" s="294"/>
      <c r="Q1131" s="294"/>
      <c r="R1131" s="294"/>
      <c r="S1131" s="294"/>
      <c r="T1131" s="294"/>
      <c r="U1131" s="326"/>
      <c r="V1131" s="294"/>
      <c r="W1131" s="294"/>
      <c r="X1131" s="294"/>
      <c r="Y1131" s="294"/>
      <c r="Z1131" s="294"/>
      <c r="AA1131" s="294"/>
      <c r="AB1131" s="294"/>
      <c r="AC1131" s="294"/>
    </row>
    <row r="1132" spans="2:29" x14ac:dyDescent="0.25">
      <c r="B1132" s="294"/>
      <c r="C1132" s="294"/>
      <c r="D1132" s="294"/>
      <c r="E1132" s="294"/>
      <c r="F1132" s="294"/>
      <c r="G1132" s="294"/>
      <c r="H1132" s="294"/>
      <c r="I1132" s="294"/>
      <c r="J1132" s="294"/>
      <c r="L1132" s="295"/>
      <c r="M1132" s="294"/>
      <c r="O1132" s="294"/>
      <c r="P1132" s="294"/>
      <c r="Q1132" s="294"/>
      <c r="R1132" s="294"/>
      <c r="S1132" s="294"/>
      <c r="T1132" s="294"/>
      <c r="U1132" s="326"/>
      <c r="V1132" s="294"/>
      <c r="W1132" s="294"/>
      <c r="X1132" s="294"/>
      <c r="Y1132" s="294"/>
      <c r="Z1132" s="294"/>
      <c r="AA1132" s="294"/>
      <c r="AB1132" s="294"/>
      <c r="AC1132" s="294"/>
    </row>
    <row r="1133" spans="2:29" x14ac:dyDescent="0.25">
      <c r="B1133" s="294"/>
      <c r="C1133" s="294"/>
      <c r="D1133" s="294"/>
      <c r="E1133" s="294"/>
      <c r="F1133" s="294"/>
      <c r="G1133" s="294"/>
      <c r="H1133" s="294"/>
      <c r="I1133" s="294"/>
      <c r="J1133" s="294"/>
      <c r="L1133" s="295"/>
      <c r="M1133" s="294"/>
      <c r="O1133" s="294"/>
      <c r="P1133" s="294"/>
      <c r="Q1133" s="294"/>
      <c r="R1133" s="294"/>
      <c r="S1133" s="294"/>
      <c r="T1133" s="294"/>
      <c r="U1133" s="326"/>
      <c r="V1133" s="294"/>
      <c r="W1133" s="294"/>
      <c r="X1133" s="294"/>
      <c r="Y1133" s="294"/>
      <c r="Z1133" s="294"/>
      <c r="AA1133" s="294"/>
      <c r="AB1133" s="294"/>
      <c r="AC1133" s="294"/>
    </row>
    <row r="1134" spans="2:29" x14ac:dyDescent="0.25">
      <c r="B1134" s="294"/>
      <c r="C1134" s="294"/>
      <c r="D1134" s="294"/>
      <c r="E1134" s="294"/>
      <c r="F1134" s="294"/>
      <c r="G1134" s="294"/>
      <c r="H1134" s="294"/>
      <c r="I1134" s="294"/>
      <c r="J1134" s="294"/>
      <c r="L1134" s="295"/>
      <c r="M1134" s="294"/>
      <c r="O1134" s="294"/>
      <c r="P1134" s="294"/>
      <c r="Q1134" s="294"/>
      <c r="R1134" s="294"/>
      <c r="S1134" s="294"/>
      <c r="T1134" s="294"/>
      <c r="U1134" s="326"/>
      <c r="V1134" s="294"/>
      <c r="W1134" s="294"/>
      <c r="X1134" s="294"/>
      <c r="Y1134" s="294"/>
      <c r="Z1134" s="294"/>
      <c r="AA1134" s="294"/>
      <c r="AB1134" s="294"/>
      <c r="AC1134" s="294"/>
    </row>
    <row r="1135" spans="2:29" x14ac:dyDescent="0.25">
      <c r="B1135" s="294"/>
      <c r="C1135" s="294"/>
      <c r="D1135" s="294"/>
      <c r="E1135" s="294"/>
      <c r="F1135" s="294"/>
      <c r="G1135" s="294"/>
      <c r="H1135" s="294"/>
      <c r="I1135" s="294"/>
      <c r="J1135" s="294"/>
      <c r="L1135" s="295"/>
      <c r="M1135" s="294"/>
      <c r="O1135" s="294"/>
      <c r="P1135" s="294"/>
      <c r="Q1135" s="294"/>
      <c r="R1135" s="294"/>
      <c r="S1135" s="294"/>
      <c r="T1135" s="294"/>
      <c r="U1135" s="326"/>
      <c r="V1135" s="294"/>
      <c r="W1135" s="294"/>
      <c r="X1135" s="294"/>
      <c r="Y1135" s="294"/>
      <c r="Z1135" s="294"/>
      <c r="AA1135" s="294"/>
      <c r="AB1135" s="294"/>
      <c r="AC1135" s="294"/>
    </row>
    <row r="1136" spans="2:29" x14ac:dyDescent="0.25">
      <c r="B1136" s="294"/>
      <c r="C1136" s="294"/>
      <c r="D1136" s="294"/>
      <c r="E1136" s="294"/>
      <c r="F1136" s="294"/>
      <c r="G1136" s="294"/>
      <c r="H1136" s="294"/>
      <c r="I1136" s="294"/>
      <c r="J1136" s="294"/>
      <c r="L1136" s="295"/>
      <c r="M1136" s="294"/>
      <c r="O1136" s="294"/>
      <c r="P1136" s="294"/>
      <c r="Q1136" s="294"/>
      <c r="R1136" s="294"/>
      <c r="S1136" s="294"/>
      <c r="T1136" s="294"/>
      <c r="U1136" s="326"/>
      <c r="V1136" s="294"/>
      <c r="W1136" s="294"/>
      <c r="X1136" s="294"/>
      <c r="Y1136" s="294"/>
      <c r="Z1136" s="294"/>
      <c r="AA1136" s="294"/>
      <c r="AB1136" s="294"/>
      <c r="AC1136" s="294"/>
    </row>
    <row r="1137" spans="2:29" x14ac:dyDescent="0.25">
      <c r="B1137" s="294"/>
      <c r="C1137" s="294"/>
      <c r="D1137" s="294"/>
      <c r="E1137" s="294"/>
      <c r="F1137" s="294"/>
      <c r="G1137" s="294"/>
      <c r="H1137" s="294"/>
      <c r="I1137" s="294"/>
      <c r="J1137" s="294"/>
      <c r="L1137" s="295"/>
      <c r="M1137" s="294"/>
      <c r="O1137" s="294"/>
      <c r="P1137" s="294"/>
      <c r="Q1137" s="294"/>
      <c r="R1137" s="294"/>
      <c r="S1137" s="294"/>
      <c r="T1137" s="294"/>
      <c r="U1137" s="326"/>
      <c r="V1137" s="294"/>
      <c r="W1137" s="294"/>
      <c r="X1137" s="294"/>
      <c r="Y1137" s="294"/>
      <c r="Z1137" s="294"/>
      <c r="AA1137" s="294"/>
      <c r="AB1137" s="294"/>
      <c r="AC1137" s="294"/>
    </row>
    <row r="1138" spans="2:29" x14ac:dyDescent="0.25">
      <c r="B1138" s="294"/>
      <c r="C1138" s="294"/>
      <c r="D1138" s="294"/>
      <c r="E1138" s="294"/>
      <c r="F1138" s="294"/>
      <c r="G1138" s="294"/>
      <c r="H1138" s="294"/>
      <c r="I1138" s="294"/>
      <c r="J1138" s="294"/>
      <c r="L1138" s="295"/>
      <c r="M1138" s="294"/>
      <c r="O1138" s="294"/>
      <c r="P1138" s="294"/>
      <c r="Q1138" s="294"/>
      <c r="R1138" s="294"/>
      <c r="S1138" s="294"/>
      <c r="T1138" s="294"/>
      <c r="U1138" s="326"/>
      <c r="V1138" s="294"/>
      <c r="W1138" s="294"/>
      <c r="X1138" s="294"/>
      <c r="Y1138" s="294"/>
      <c r="Z1138" s="294"/>
      <c r="AA1138" s="294"/>
      <c r="AB1138" s="294"/>
      <c r="AC1138" s="294"/>
    </row>
    <row r="1139" spans="2:29" x14ac:dyDescent="0.25">
      <c r="B1139" s="294"/>
      <c r="C1139" s="294"/>
      <c r="D1139" s="294"/>
      <c r="E1139" s="294"/>
      <c r="F1139" s="294"/>
      <c r="G1139" s="294"/>
      <c r="H1139" s="294"/>
      <c r="I1139" s="294"/>
      <c r="J1139" s="294"/>
      <c r="L1139" s="295"/>
      <c r="M1139" s="294"/>
      <c r="O1139" s="294"/>
      <c r="P1139" s="294"/>
      <c r="Q1139" s="294"/>
      <c r="R1139" s="294"/>
      <c r="S1139" s="294"/>
      <c r="T1139" s="294"/>
      <c r="U1139" s="326"/>
      <c r="V1139" s="294"/>
      <c r="W1139" s="294"/>
      <c r="X1139" s="294"/>
      <c r="Y1139" s="294"/>
      <c r="Z1139" s="294"/>
      <c r="AA1139" s="294"/>
      <c r="AB1139" s="294"/>
      <c r="AC1139" s="294"/>
    </row>
    <row r="1140" spans="2:29" x14ac:dyDescent="0.25">
      <c r="B1140" s="294"/>
      <c r="C1140" s="294"/>
      <c r="D1140" s="294"/>
      <c r="E1140" s="294"/>
      <c r="F1140" s="294"/>
      <c r="G1140" s="294"/>
      <c r="H1140" s="294"/>
      <c r="I1140" s="294"/>
      <c r="J1140" s="294"/>
      <c r="L1140" s="295"/>
      <c r="M1140" s="294"/>
      <c r="O1140" s="294"/>
      <c r="P1140" s="294"/>
      <c r="Q1140" s="294"/>
      <c r="R1140" s="294"/>
      <c r="S1140" s="294"/>
      <c r="T1140" s="294"/>
      <c r="U1140" s="326"/>
      <c r="V1140" s="294"/>
      <c r="W1140" s="294"/>
      <c r="X1140" s="294"/>
      <c r="Y1140" s="294"/>
      <c r="Z1140" s="294"/>
      <c r="AA1140" s="294"/>
      <c r="AB1140" s="294"/>
      <c r="AC1140" s="294"/>
    </row>
    <row r="1141" spans="2:29" x14ac:dyDescent="0.25">
      <c r="B1141" s="294"/>
      <c r="C1141" s="294"/>
      <c r="D1141" s="294"/>
      <c r="E1141" s="294"/>
      <c r="F1141" s="294"/>
      <c r="G1141" s="294"/>
      <c r="H1141" s="294"/>
      <c r="I1141" s="294"/>
      <c r="J1141" s="294"/>
      <c r="L1141" s="295"/>
      <c r="M1141" s="294"/>
      <c r="O1141" s="294"/>
      <c r="P1141" s="294"/>
      <c r="Q1141" s="294"/>
      <c r="R1141" s="294"/>
      <c r="S1141" s="294"/>
      <c r="T1141" s="294"/>
      <c r="U1141" s="326"/>
      <c r="V1141" s="294"/>
      <c r="W1141" s="294"/>
      <c r="X1141" s="294"/>
      <c r="Y1141" s="294"/>
      <c r="Z1141" s="294"/>
      <c r="AA1141" s="294"/>
      <c r="AB1141" s="294"/>
      <c r="AC1141" s="294"/>
    </row>
    <row r="1142" spans="2:29" x14ac:dyDescent="0.25">
      <c r="B1142" s="294"/>
      <c r="C1142" s="294"/>
      <c r="D1142" s="294"/>
      <c r="E1142" s="294"/>
      <c r="F1142" s="294"/>
      <c r="G1142" s="294"/>
      <c r="H1142" s="294"/>
      <c r="I1142" s="294"/>
      <c r="J1142" s="294"/>
      <c r="L1142" s="295"/>
      <c r="M1142" s="294"/>
      <c r="O1142" s="294"/>
      <c r="P1142" s="294"/>
      <c r="Q1142" s="294"/>
      <c r="R1142" s="294"/>
      <c r="S1142" s="294"/>
      <c r="T1142" s="294"/>
      <c r="U1142" s="326"/>
      <c r="V1142" s="294"/>
      <c r="W1142" s="294"/>
      <c r="X1142" s="294"/>
      <c r="Y1142" s="294"/>
      <c r="Z1142" s="294"/>
      <c r="AA1142" s="294"/>
      <c r="AB1142" s="294"/>
      <c r="AC1142" s="294"/>
    </row>
    <row r="1143" spans="2:29" x14ac:dyDescent="0.25">
      <c r="B1143" s="294"/>
      <c r="C1143" s="294"/>
      <c r="D1143" s="294"/>
      <c r="E1143" s="294"/>
      <c r="F1143" s="294"/>
      <c r="G1143" s="294"/>
      <c r="H1143" s="294"/>
      <c r="I1143" s="294"/>
      <c r="J1143" s="294"/>
      <c r="L1143" s="295"/>
      <c r="M1143" s="294"/>
      <c r="O1143" s="294"/>
      <c r="P1143" s="294"/>
      <c r="Q1143" s="294"/>
      <c r="R1143" s="294"/>
      <c r="S1143" s="294"/>
      <c r="T1143" s="294"/>
      <c r="U1143" s="326"/>
      <c r="V1143" s="294"/>
      <c r="W1143" s="294"/>
      <c r="X1143" s="294"/>
      <c r="Y1143" s="294"/>
      <c r="Z1143" s="294"/>
      <c r="AA1143" s="294"/>
      <c r="AB1143" s="294"/>
      <c r="AC1143" s="294"/>
    </row>
    <row r="1144" spans="2:29" x14ac:dyDescent="0.25">
      <c r="B1144" s="294"/>
      <c r="C1144" s="294"/>
      <c r="D1144" s="294"/>
      <c r="E1144" s="294"/>
      <c r="F1144" s="294"/>
      <c r="G1144" s="294"/>
      <c r="H1144" s="294"/>
      <c r="I1144" s="294"/>
      <c r="J1144" s="294"/>
      <c r="L1144" s="295"/>
      <c r="M1144" s="294"/>
      <c r="O1144" s="294"/>
      <c r="P1144" s="294"/>
      <c r="Q1144" s="294"/>
      <c r="R1144" s="294"/>
      <c r="S1144" s="294"/>
      <c r="T1144" s="294"/>
      <c r="U1144" s="326"/>
      <c r="V1144" s="294"/>
      <c r="W1144" s="294"/>
      <c r="X1144" s="294"/>
      <c r="Y1144" s="294"/>
      <c r="Z1144" s="294"/>
      <c r="AA1144" s="294"/>
      <c r="AB1144" s="294"/>
      <c r="AC1144" s="294"/>
    </row>
    <row r="1145" spans="2:29" x14ac:dyDescent="0.25">
      <c r="B1145" s="294"/>
      <c r="C1145" s="294"/>
      <c r="D1145" s="294"/>
      <c r="E1145" s="294"/>
      <c r="F1145" s="294"/>
      <c r="G1145" s="294"/>
      <c r="H1145" s="294"/>
      <c r="I1145" s="294"/>
      <c r="J1145" s="294"/>
      <c r="L1145" s="295"/>
      <c r="M1145" s="294"/>
      <c r="O1145" s="294"/>
      <c r="P1145" s="294"/>
      <c r="Q1145" s="294"/>
      <c r="R1145" s="294"/>
      <c r="S1145" s="294"/>
      <c r="T1145" s="294"/>
      <c r="U1145" s="326"/>
      <c r="V1145" s="294"/>
      <c r="W1145" s="294"/>
      <c r="X1145" s="294"/>
      <c r="Y1145" s="294"/>
      <c r="Z1145" s="294"/>
      <c r="AA1145" s="294"/>
      <c r="AB1145" s="294"/>
      <c r="AC1145" s="294"/>
    </row>
    <row r="1146" spans="2:29" x14ac:dyDescent="0.25">
      <c r="B1146" s="294"/>
      <c r="C1146" s="294"/>
      <c r="D1146" s="294"/>
      <c r="E1146" s="294"/>
      <c r="F1146" s="294"/>
      <c r="G1146" s="294"/>
      <c r="H1146" s="294"/>
      <c r="I1146" s="294"/>
      <c r="J1146" s="294"/>
      <c r="L1146" s="295"/>
      <c r="M1146" s="294"/>
      <c r="O1146" s="294"/>
      <c r="P1146" s="294"/>
      <c r="Q1146" s="294"/>
      <c r="R1146" s="294"/>
      <c r="S1146" s="294"/>
      <c r="T1146" s="294"/>
      <c r="U1146" s="326"/>
      <c r="V1146" s="294"/>
      <c r="W1146" s="294"/>
      <c r="X1146" s="294"/>
      <c r="Y1146" s="294"/>
      <c r="Z1146" s="294"/>
      <c r="AA1146" s="294"/>
      <c r="AB1146" s="294"/>
      <c r="AC1146" s="294"/>
    </row>
    <row r="1147" spans="2:29" x14ac:dyDescent="0.25">
      <c r="B1147" s="294"/>
      <c r="C1147" s="294"/>
      <c r="D1147" s="294"/>
      <c r="E1147" s="294"/>
      <c r="F1147" s="294"/>
      <c r="G1147" s="294"/>
      <c r="H1147" s="294"/>
      <c r="I1147" s="294"/>
      <c r="J1147" s="294"/>
      <c r="L1147" s="295"/>
      <c r="M1147" s="294"/>
      <c r="O1147" s="294"/>
      <c r="P1147" s="294"/>
      <c r="Q1147" s="294"/>
      <c r="R1147" s="294"/>
      <c r="S1147" s="294"/>
      <c r="T1147" s="294"/>
      <c r="U1147" s="326"/>
      <c r="V1147" s="294"/>
      <c r="W1147" s="294"/>
      <c r="X1147" s="294"/>
      <c r="Y1147" s="294"/>
      <c r="Z1147" s="294"/>
      <c r="AA1147" s="294"/>
      <c r="AB1147" s="294"/>
      <c r="AC1147" s="294"/>
    </row>
    <row r="1148" spans="2:29" x14ac:dyDescent="0.25">
      <c r="B1148" s="294"/>
      <c r="C1148" s="294"/>
      <c r="D1148" s="294"/>
      <c r="E1148" s="294"/>
      <c r="F1148" s="294"/>
      <c r="G1148" s="294"/>
      <c r="H1148" s="294"/>
      <c r="I1148" s="294"/>
      <c r="J1148" s="294"/>
      <c r="L1148" s="295"/>
      <c r="M1148" s="294"/>
      <c r="O1148" s="294"/>
      <c r="P1148" s="294"/>
      <c r="Q1148" s="294"/>
      <c r="R1148" s="294"/>
      <c r="S1148" s="294"/>
      <c r="T1148" s="294"/>
      <c r="U1148" s="326"/>
      <c r="V1148" s="294"/>
      <c r="W1148" s="294"/>
      <c r="X1148" s="294"/>
      <c r="Y1148" s="294"/>
      <c r="Z1148" s="294"/>
      <c r="AA1148" s="294"/>
      <c r="AB1148" s="294"/>
      <c r="AC1148" s="294"/>
    </row>
    <row r="1149" spans="2:29" x14ac:dyDescent="0.25">
      <c r="B1149" s="294"/>
      <c r="C1149" s="294"/>
      <c r="D1149" s="294"/>
      <c r="E1149" s="294"/>
      <c r="F1149" s="294"/>
      <c r="G1149" s="294"/>
      <c r="H1149" s="294"/>
      <c r="I1149" s="294"/>
      <c r="J1149" s="294"/>
      <c r="L1149" s="295"/>
      <c r="M1149" s="294"/>
      <c r="O1149" s="294"/>
      <c r="P1149" s="294"/>
      <c r="Q1149" s="294"/>
      <c r="R1149" s="294"/>
      <c r="S1149" s="294"/>
      <c r="T1149" s="294"/>
      <c r="U1149" s="326"/>
      <c r="V1149" s="294"/>
      <c r="W1149" s="294"/>
      <c r="X1149" s="294"/>
      <c r="Y1149" s="294"/>
      <c r="Z1149" s="294"/>
      <c r="AA1149" s="294"/>
      <c r="AB1149" s="294"/>
      <c r="AC1149" s="294"/>
    </row>
    <row r="1150" spans="2:29" x14ac:dyDescent="0.25">
      <c r="B1150" s="294"/>
      <c r="C1150" s="294"/>
      <c r="D1150" s="294"/>
      <c r="E1150" s="294"/>
      <c r="F1150" s="294"/>
      <c r="G1150" s="294"/>
      <c r="H1150" s="294"/>
      <c r="I1150" s="294"/>
      <c r="J1150" s="294"/>
      <c r="L1150" s="295"/>
      <c r="M1150" s="294"/>
      <c r="O1150" s="294"/>
      <c r="P1150" s="294"/>
      <c r="Q1150" s="294"/>
      <c r="R1150" s="294"/>
      <c r="S1150" s="294"/>
      <c r="T1150" s="294"/>
      <c r="U1150" s="326"/>
      <c r="V1150" s="294"/>
      <c r="W1150" s="294"/>
      <c r="X1150" s="294"/>
      <c r="Y1150" s="294"/>
      <c r="Z1150" s="294"/>
      <c r="AA1150" s="294"/>
      <c r="AB1150" s="294"/>
      <c r="AC1150" s="294"/>
    </row>
    <row r="1151" spans="2:29" x14ac:dyDescent="0.25">
      <c r="B1151" s="294"/>
      <c r="C1151" s="294"/>
      <c r="D1151" s="294"/>
      <c r="E1151" s="294"/>
      <c r="F1151" s="294"/>
      <c r="G1151" s="294"/>
      <c r="H1151" s="294"/>
      <c r="I1151" s="294"/>
      <c r="J1151" s="294"/>
      <c r="L1151" s="295"/>
      <c r="M1151" s="294"/>
      <c r="O1151" s="294"/>
      <c r="P1151" s="294"/>
      <c r="Q1151" s="294"/>
      <c r="R1151" s="294"/>
      <c r="S1151" s="294"/>
      <c r="T1151" s="294"/>
      <c r="U1151" s="326"/>
      <c r="V1151" s="294"/>
      <c r="W1151" s="294"/>
      <c r="X1151" s="294"/>
      <c r="Y1151" s="294"/>
      <c r="Z1151" s="294"/>
      <c r="AA1151" s="294"/>
      <c r="AB1151" s="294"/>
      <c r="AC1151" s="294"/>
    </row>
    <row r="1152" spans="2:29" x14ac:dyDescent="0.25">
      <c r="B1152" s="294"/>
      <c r="C1152" s="294"/>
      <c r="D1152" s="294"/>
      <c r="E1152" s="294"/>
      <c r="F1152" s="294"/>
      <c r="G1152" s="294"/>
      <c r="H1152" s="294"/>
      <c r="I1152" s="294"/>
      <c r="J1152" s="294"/>
      <c r="L1152" s="295"/>
      <c r="M1152" s="294"/>
      <c r="O1152" s="294"/>
      <c r="P1152" s="294"/>
      <c r="Q1152" s="294"/>
      <c r="R1152" s="294"/>
      <c r="S1152" s="294"/>
      <c r="T1152" s="294"/>
      <c r="U1152" s="326"/>
      <c r="V1152" s="294"/>
      <c r="W1152" s="294"/>
      <c r="X1152" s="294"/>
      <c r="Y1152" s="294"/>
      <c r="Z1152" s="294"/>
      <c r="AA1152" s="294"/>
      <c r="AB1152" s="294"/>
      <c r="AC1152" s="294"/>
    </row>
    <row r="1153" spans="2:29" x14ac:dyDescent="0.25">
      <c r="B1153" s="294"/>
      <c r="C1153" s="294"/>
      <c r="D1153" s="294"/>
      <c r="E1153" s="294"/>
      <c r="F1153" s="294"/>
      <c r="G1153" s="294"/>
      <c r="H1153" s="294"/>
      <c r="I1153" s="294"/>
      <c r="J1153" s="294"/>
      <c r="L1153" s="295"/>
      <c r="M1153" s="294"/>
      <c r="O1153" s="294"/>
      <c r="P1153" s="294"/>
      <c r="Q1153" s="294"/>
      <c r="R1153" s="294"/>
      <c r="S1153" s="294"/>
      <c r="T1153" s="294"/>
      <c r="U1153" s="326"/>
      <c r="V1153" s="294"/>
      <c r="W1153" s="294"/>
      <c r="X1153" s="294"/>
      <c r="Y1153" s="294"/>
      <c r="Z1153" s="294"/>
      <c r="AA1153" s="294"/>
      <c r="AB1153" s="294"/>
      <c r="AC1153" s="294"/>
    </row>
    <row r="1154" spans="2:29" x14ac:dyDescent="0.25">
      <c r="B1154" s="294"/>
      <c r="C1154" s="294"/>
      <c r="D1154" s="294"/>
      <c r="E1154" s="294"/>
      <c r="F1154" s="294"/>
      <c r="G1154" s="294"/>
      <c r="H1154" s="294"/>
      <c r="I1154" s="294"/>
      <c r="J1154" s="294"/>
      <c r="L1154" s="295"/>
      <c r="M1154" s="294"/>
      <c r="O1154" s="294"/>
      <c r="P1154" s="294"/>
      <c r="Q1154" s="294"/>
      <c r="R1154" s="294"/>
      <c r="S1154" s="294"/>
      <c r="T1154" s="294"/>
      <c r="U1154" s="326"/>
      <c r="V1154" s="294"/>
      <c r="W1154" s="294"/>
      <c r="X1154" s="294"/>
      <c r="Y1154" s="294"/>
      <c r="Z1154" s="294"/>
      <c r="AA1154" s="294"/>
      <c r="AB1154" s="294"/>
      <c r="AC1154" s="294"/>
    </row>
    <row r="1155" spans="2:29" x14ac:dyDescent="0.25">
      <c r="B1155" s="294"/>
      <c r="C1155" s="294"/>
      <c r="D1155" s="294"/>
      <c r="E1155" s="294"/>
      <c r="F1155" s="294"/>
      <c r="G1155" s="294"/>
      <c r="H1155" s="294"/>
      <c r="I1155" s="294"/>
      <c r="J1155" s="294"/>
      <c r="L1155" s="295"/>
      <c r="M1155" s="294"/>
      <c r="O1155" s="294"/>
      <c r="P1155" s="294"/>
      <c r="Q1155" s="294"/>
      <c r="R1155" s="294"/>
      <c r="S1155" s="294"/>
      <c r="T1155" s="294"/>
      <c r="U1155" s="326"/>
      <c r="V1155" s="294"/>
      <c r="W1155" s="294"/>
      <c r="X1155" s="294"/>
      <c r="Y1155" s="294"/>
      <c r="Z1155" s="294"/>
      <c r="AA1155" s="294"/>
      <c r="AB1155" s="294"/>
      <c r="AC1155" s="294"/>
    </row>
    <row r="1156" spans="2:29" x14ac:dyDescent="0.25">
      <c r="B1156" s="294"/>
      <c r="C1156" s="294"/>
      <c r="D1156" s="294"/>
      <c r="E1156" s="294"/>
      <c r="F1156" s="294"/>
      <c r="G1156" s="294"/>
      <c r="H1156" s="294"/>
      <c r="I1156" s="294"/>
      <c r="J1156" s="294"/>
      <c r="L1156" s="295"/>
      <c r="M1156" s="294"/>
      <c r="O1156" s="294"/>
      <c r="P1156" s="294"/>
      <c r="Q1156" s="294"/>
      <c r="R1156" s="294"/>
      <c r="S1156" s="294"/>
      <c r="T1156" s="294"/>
      <c r="U1156" s="326"/>
      <c r="V1156" s="294"/>
      <c r="W1156" s="294"/>
      <c r="X1156" s="294"/>
      <c r="Y1156" s="294"/>
      <c r="Z1156" s="294"/>
      <c r="AA1156" s="294"/>
      <c r="AB1156" s="294"/>
      <c r="AC1156" s="294"/>
    </row>
    <row r="1157" spans="2:29" x14ac:dyDescent="0.25">
      <c r="B1157" s="294"/>
      <c r="C1157" s="294"/>
      <c r="D1157" s="294"/>
      <c r="E1157" s="294"/>
      <c r="F1157" s="294"/>
      <c r="G1157" s="294"/>
      <c r="H1157" s="294"/>
      <c r="I1157" s="294"/>
      <c r="J1157" s="294"/>
      <c r="L1157" s="295"/>
      <c r="M1157" s="294"/>
      <c r="O1157" s="294"/>
      <c r="P1157" s="294"/>
      <c r="Q1157" s="294"/>
      <c r="R1157" s="294"/>
      <c r="S1157" s="294"/>
      <c r="T1157" s="294"/>
      <c r="U1157" s="326"/>
      <c r="V1157" s="294"/>
      <c r="W1157" s="294"/>
      <c r="X1157" s="294"/>
      <c r="Y1157" s="294"/>
      <c r="Z1157" s="294"/>
      <c r="AA1157" s="294"/>
      <c r="AB1157" s="294"/>
      <c r="AC1157" s="294"/>
    </row>
    <row r="1158" spans="2:29" x14ac:dyDescent="0.25">
      <c r="B1158" s="294"/>
      <c r="C1158" s="294"/>
      <c r="D1158" s="294"/>
      <c r="E1158" s="294"/>
      <c r="F1158" s="294"/>
      <c r="G1158" s="294"/>
      <c r="H1158" s="294"/>
      <c r="I1158" s="294"/>
      <c r="J1158" s="294"/>
      <c r="L1158" s="295"/>
      <c r="M1158" s="294"/>
      <c r="O1158" s="294"/>
      <c r="P1158" s="294"/>
      <c r="Q1158" s="294"/>
      <c r="R1158" s="294"/>
      <c r="S1158" s="294"/>
      <c r="T1158" s="294"/>
      <c r="U1158" s="326"/>
      <c r="V1158" s="294"/>
      <c r="W1158" s="294"/>
      <c r="X1158" s="294"/>
      <c r="Y1158" s="294"/>
      <c r="Z1158" s="294"/>
      <c r="AA1158" s="294"/>
      <c r="AB1158" s="294"/>
      <c r="AC1158" s="294"/>
    </row>
    <row r="1159" spans="2:29" x14ac:dyDescent="0.25">
      <c r="B1159" s="294"/>
      <c r="C1159" s="294"/>
      <c r="D1159" s="294"/>
      <c r="E1159" s="294"/>
      <c r="F1159" s="294"/>
      <c r="G1159" s="294"/>
      <c r="H1159" s="294"/>
      <c r="I1159" s="294"/>
      <c r="J1159" s="294"/>
      <c r="L1159" s="295"/>
      <c r="M1159" s="294"/>
      <c r="O1159" s="294"/>
      <c r="P1159" s="294"/>
      <c r="Q1159" s="294"/>
      <c r="R1159" s="294"/>
      <c r="S1159" s="294"/>
      <c r="T1159" s="294"/>
      <c r="U1159" s="326"/>
      <c r="V1159" s="294"/>
      <c r="W1159" s="294"/>
      <c r="X1159" s="294"/>
      <c r="Y1159" s="294"/>
      <c r="Z1159" s="294"/>
      <c r="AA1159" s="294"/>
      <c r="AB1159" s="294"/>
      <c r="AC1159" s="294"/>
    </row>
    <row r="1160" spans="2:29" x14ac:dyDescent="0.25">
      <c r="B1160" s="294"/>
      <c r="C1160" s="294"/>
      <c r="D1160" s="294"/>
      <c r="E1160" s="294"/>
      <c r="F1160" s="294"/>
      <c r="G1160" s="294"/>
      <c r="H1160" s="294"/>
      <c r="I1160" s="294"/>
      <c r="J1160" s="294"/>
      <c r="L1160" s="295"/>
      <c r="M1160" s="294"/>
      <c r="O1160" s="294"/>
      <c r="P1160" s="294"/>
      <c r="Q1160" s="294"/>
      <c r="R1160" s="294"/>
      <c r="S1160" s="294"/>
      <c r="T1160" s="294"/>
      <c r="U1160" s="326"/>
      <c r="V1160" s="294"/>
      <c r="W1160" s="294"/>
      <c r="X1160" s="294"/>
      <c r="Y1160" s="294"/>
      <c r="Z1160" s="294"/>
      <c r="AA1160" s="294"/>
      <c r="AB1160" s="294"/>
      <c r="AC1160" s="294"/>
    </row>
    <row r="1161" spans="2:29" x14ac:dyDescent="0.25">
      <c r="B1161" s="294"/>
      <c r="C1161" s="294"/>
      <c r="D1161" s="294"/>
      <c r="E1161" s="294"/>
      <c r="F1161" s="294"/>
      <c r="G1161" s="294"/>
      <c r="H1161" s="294"/>
      <c r="I1161" s="294"/>
      <c r="J1161" s="294"/>
      <c r="L1161" s="295"/>
      <c r="M1161" s="294"/>
      <c r="O1161" s="294"/>
      <c r="P1161" s="294"/>
      <c r="Q1161" s="294"/>
      <c r="R1161" s="294"/>
      <c r="S1161" s="294"/>
      <c r="T1161" s="294"/>
      <c r="U1161" s="326"/>
      <c r="V1161" s="294"/>
      <c r="W1161" s="294"/>
      <c r="X1161" s="294"/>
      <c r="Y1161" s="294"/>
      <c r="Z1161" s="294"/>
      <c r="AA1161" s="294"/>
      <c r="AB1161" s="294"/>
      <c r="AC1161" s="294"/>
    </row>
    <row r="1162" spans="2:29" x14ac:dyDescent="0.25">
      <c r="B1162" s="294"/>
      <c r="C1162" s="294"/>
      <c r="D1162" s="294"/>
      <c r="E1162" s="294"/>
      <c r="F1162" s="294"/>
      <c r="G1162" s="294"/>
      <c r="H1162" s="294"/>
      <c r="I1162" s="294"/>
      <c r="J1162" s="294"/>
      <c r="L1162" s="295"/>
      <c r="M1162" s="294"/>
      <c r="O1162" s="294"/>
      <c r="P1162" s="294"/>
      <c r="Q1162" s="294"/>
      <c r="R1162" s="294"/>
      <c r="S1162" s="294"/>
      <c r="T1162" s="294"/>
      <c r="U1162" s="326"/>
      <c r="V1162" s="294"/>
      <c r="W1162" s="294"/>
      <c r="X1162" s="294"/>
      <c r="Y1162" s="294"/>
      <c r="Z1162" s="294"/>
      <c r="AA1162" s="294"/>
      <c r="AB1162" s="294"/>
      <c r="AC1162" s="294"/>
    </row>
    <row r="1163" spans="2:29" x14ac:dyDescent="0.25">
      <c r="B1163" s="294"/>
      <c r="C1163" s="294"/>
      <c r="D1163" s="294"/>
      <c r="E1163" s="294"/>
      <c r="F1163" s="294"/>
      <c r="G1163" s="294"/>
      <c r="H1163" s="294"/>
      <c r="I1163" s="294"/>
      <c r="J1163" s="294"/>
      <c r="L1163" s="295"/>
      <c r="M1163" s="294"/>
      <c r="O1163" s="294"/>
      <c r="P1163" s="294"/>
      <c r="Q1163" s="294"/>
      <c r="R1163" s="294"/>
      <c r="S1163" s="294"/>
      <c r="T1163" s="294"/>
      <c r="U1163" s="326"/>
      <c r="V1163" s="294"/>
      <c r="W1163" s="294"/>
      <c r="X1163" s="294"/>
      <c r="Y1163" s="294"/>
      <c r="Z1163" s="294"/>
      <c r="AA1163" s="294"/>
      <c r="AB1163" s="294"/>
      <c r="AC1163" s="294"/>
    </row>
    <row r="1164" spans="2:29" x14ac:dyDescent="0.25">
      <c r="B1164" s="294"/>
      <c r="C1164" s="294"/>
      <c r="D1164" s="294"/>
      <c r="E1164" s="294"/>
      <c r="F1164" s="294"/>
      <c r="G1164" s="294"/>
      <c r="H1164" s="294"/>
      <c r="I1164" s="294"/>
      <c r="J1164" s="294"/>
      <c r="L1164" s="295"/>
      <c r="M1164" s="294"/>
      <c r="O1164" s="294"/>
      <c r="P1164" s="294"/>
      <c r="Q1164" s="294"/>
      <c r="R1164" s="294"/>
      <c r="S1164" s="294"/>
      <c r="T1164" s="294"/>
      <c r="U1164" s="326"/>
      <c r="V1164" s="294"/>
      <c r="W1164" s="294"/>
      <c r="X1164" s="294"/>
      <c r="Y1164" s="294"/>
      <c r="Z1164" s="294"/>
      <c r="AA1164" s="294"/>
      <c r="AB1164" s="294"/>
      <c r="AC1164" s="294"/>
    </row>
    <row r="1165" spans="2:29" x14ac:dyDescent="0.25">
      <c r="B1165" s="294"/>
      <c r="C1165" s="294"/>
      <c r="D1165" s="294"/>
      <c r="E1165" s="294"/>
      <c r="F1165" s="294"/>
      <c r="G1165" s="294"/>
      <c r="H1165" s="294"/>
      <c r="I1165" s="294"/>
      <c r="J1165" s="294"/>
      <c r="L1165" s="295"/>
      <c r="M1165" s="294"/>
      <c r="O1165" s="294"/>
      <c r="P1165" s="294"/>
      <c r="Q1165" s="294"/>
      <c r="R1165" s="294"/>
      <c r="S1165" s="294"/>
      <c r="T1165" s="294"/>
      <c r="U1165" s="326"/>
      <c r="V1165" s="294"/>
      <c r="W1165" s="294"/>
      <c r="X1165" s="294"/>
      <c r="Y1165" s="294"/>
      <c r="Z1165" s="294"/>
      <c r="AA1165" s="294"/>
      <c r="AB1165" s="294"/>
      <c r="AC1165" s="294"/>
    </row>
    <row r="1166" spans="2:29" x14ac:dyDescent="0.25">
      <c r="B1166" s="294"/>
      <c r="C1166" s="294"/>
      <c r="D1166" s="294"/>
      <c r="E1166" s="294"/>
      <c r="F1166" s="294"/>
      <c r="G1166" s="294"/>
      <c r="H1166" s="294"/>
      <c r="I1166" s="294"/>
      <c r="J1166" s="294"/>
      <c r="L1166" s="295"/>
      <c r="M1166" s="294"/>
      <c r="O1166" s="294"/>
      <c r="P1166" s="294"/>
      <c r="Q1166" s="294"/>
      <c r="R1166" s="294"/>
      <c r="S1166" s="294"/>
      <c r="T1166" s="294"/>
      <c r="U1166" s="326"/>
      <c r="V1166" s="294"/>
      <c r="W1166" s="294"/>
      <c r="X1166" s="294"/>
      <c r="Y1166" s="294"/>
      <c r="Z1166" s="294"/>
      <c r="AA1166" s="294"/>
      <c r="AB1166" s="294"/>
      <c r="AC1166" s="294"/>
    </row>
    <row r="1167" spans="2:29" x14ac:dyDescent="0.25">
      <c r="B1167" s="294"/>
      <c r="C1167" s="294"/>
      <c r="D1167" s="294"/>
      <c r="E1167" s="294"/>
      <c r="F1167" s="294"/>
      <c r="G1167" s="294"/>
      <c r="H1167" s="294"/>
      <c r="I1167" s="294"/>
      <c r="J1167" s="294"/>
      <c r="L1167" s="295"/>
      <c r="M1167" s="294"/>
      <c r="O1167" s="294"/>
      <c r="P1167" s="294"/>
      <c r="Q1167" s="294"/>
      <c r="R1167" s="294"/>
      <c r="S1167" s="294"/>
      <c r="T1167" s="294"/>
      <c r="U1167" s="326"/>
      <c r="V1167" s="294"/>
      <c r="W1167" s="294"/>
      <c r="X1167" s="294"/>
      <c r="Y1167" s="294"/>
      <c r="Z1167" s="294"/>
      <c r="AA1167" s="294"/>
      <c r="AB1167" s="294"/>
      <c r="AC1167" s="294"/>
    </row>
    <row r="1168" spans="2:29" x14ac:dyDescent="0.25">
      <c r="B1168" s="294"/>
      <c r="C1168" s="294"/>
      <c r="D1168" s="294"/>
      <c r="E1168" s="294"/>
      <c r="F1168" s="294"/>
      <c r="G1168" s="294"/>
      <c r="H1168" s="294"/>
      <c r="I1168" s="294"/>
      <c r="J1168" s="294"/>
      <c r="L1168" s="295"/>
      <c r="M1168" s="294"/>
      <c r="O1168" s="294"/>
      <c r="P1168" s="294"/>
      <c r="Q1168" s="294"/>
      <c r="R1168" s="294"/>
      <c r="S1168" s="294"/>
      <c r="T1168" s="294"/>
      <c r="U1168" s="326"/>
      <c r="V1168" s="294"/>
      <c r="W1168" s="294"/>
      <c r="X1168" s="294"/>
      <c r="Y1168" s="294"/>
      <c r="Z1168" s="294"/>
      <c r="AA1168" s="294"/>
      <c r="AB1168" s="294"/>
      <c r="AC1168" s="294"/>
    </row>
    <row r="1169" spans="2:29" x14ac:dyDescent="0.25">
      <c r="B1169" s="294"/>
      <c r="C1169" s="294"/>
      <c r="D1169" s="294"/>
      <c r="E1169" s="294"/>
      <c r="F1169" s="294"/>
      <c r="G1169" s="294"/>
      <c r="H1169" s="294"/>
      <c r="I1169" s="294"/>
      <c r="J1169" s="294"/>
      <c r="L1169" s="295"/>
      <c r="M1169" s="294"/>
      <c r="O1169" s="294"/>
      <c r="P1169" s="294"/>
      <c r="Q1169" s="294"/>
      <c r="R1169" s="294"/>
      <c r="S1169" s="294"/>
      <c r="T1169" s="294"/>
      <c r="U1169" s="326"/>
      <c r="V1169" s="294"/>
      <c r="W1169" s="294"/>
      <c r="X1169" s="294"/>
      <c r="Y1169" s="294"/>
      <c r="Z1169" s="294"/>
      <c r="AA1169" s="294"/>
      <c r="AB1169" s="294"/>
      <c r="AC1169" s="294"/>
    </row>
    <row r="1170" spans="2:29" x14ac:dyDescent="0.25">
      <c r="B1170" s="294"/>
      <c r="C1170" s="294"/>
      <c r="D1170" s="294"/>
      <c r="E1170" s="294"/>
      <c r="F1170" s="294"/>
      <c r="G1170" s="294"/>
      <c r="H1170" s="294"/>
      <c r="I1170" s="294"/>
      <c r="J1170" s="294"/>
      <c r="L1170" s="295"/>
      <c r="M1170" s="294"/>
      <c r="O1170" s="294"/>
      <c r="P1170" s="294"/>
      <c r="Q1170" s="294"/>
      <c r="R1170" s="294"/>
      <c r="S1170" s="294"/>
      <c r="T1170" s="294"/>
      <c r="U1170" s="326"/>
      <c r="V1170" s="294"/>
      <c r="W1170" s="294"/>
      <c r="X1170" s="294"/>
      <c r="Y1170" s="294"/>
      <c r="Z1170" s="294"/>
      <c r="AA1170" s="294"/>
      <c r="AB1170" s="294"/>
      <c r="AC1170" s="294"/>
    </row>
    <row r="1171" spans="2:29" x14ac:dyDescent="0.25">
      <c r="B1171" s="294"/>
      <c r="C1171" s="294"/>
      <c r="D1171" s="294"/>
      <c r="E1171" s="294"/>
      <c r="F1171" s="294"/>
      <c r="G1171" s="294"/>
      <c r="H1171" s="294"/>
      <c r="I1171" s="294"/>
      <c r="J1171" s="294"/>
      <c r="L1171" s="295"/>
      <c r="M1171" s="294"/>
      <c r="O1171" s="294"/>
      <c r="P1171" s="294"/>
      <c r="Q1171" s="294"/>
      <c r="R1171" s="294"/>
      <c r="S1171" s="294"/>
      <c r="T1171" s="294"/>
      <c r="U1171" s="326"/>
      <c r="V1171" s="294"/>
      <c r="W1171" s="294"/>
      <c r="X1171" s="294"/>
      <c r="Y1171" s="294"/>
      <c r="Z1171" s="294"/>
      <c r="AA1171" s="294"/>
      <c r="AB1171" s="294"/>
      <c r="AC1171" s="294"/>
    </row>
    <row r="1172" spans="2:29" x14ac:dyDescent="0.25">
      <c r="B1172" s="294"/>
      <c r="C1172" s="294"/>
      <c r="D1172" s="294"/>
      <c r="E1172" s="294"/>
      <c r="F1172" s="294"/>
      <c r="G1172" s="294"/>
      <c r="H1172" s="294"/>
      <c r="I1172" s="294"/>
      <c r="J1172" s="294"/>
      <c r="L1172" s="295"/>
      <c r="M1172" s="294"/>
      <c r="O1172" s="294"/>
      <c r="P1172" s="294"/>
      <c r="Q1172" s="294"/>
      <c r="R1172" s="294"/>
      <c r="S1172" s="294"/>
      <c r="T1172" s="294"/>
      <c r="U1172" s="326"/>
      <c r="V1172" s="294"/>
      <c r="W1172" s="294"/>
      <c r="X1172" s="294"/>
      <c r="Y1172" s="294"/>
      <c r="Z1172" s="294"/>
      <c r="AA1172" s="294"/>
      <c r="AB1172" s="294"/>
      <c r="AC1172" s="294"/>
    </row>
    <row r="1173" spans="2:29" x14ac:dyDescent="0.25">
      <c r="B1173" s="294"/>
      <c r="C1173" s="294"/>
      <c r="D1173" s="294"/>
      <c r="E1173" s="294"/>
      <c r="F1173" s="294"/>
      <c r="G1173" s="294"/>
      <c r="H1173" s="294"/>
      <c r="I1173" s="294"/>
      <c r="J1173" s="294"/>
      <c r="L1173" s="295"/>
      <c r="M1173" s="294"/>
      <c r="O1173" s="294"/>
      <c r="P1173" s="294"/>
      <c r="Q1173" s="294"/>
      <c r="R1173" s="294"/>
      <c r="S1173" s="294"/>
      <c r="T1173" s="294"/>
      <c r="U1173" s="326"/>
      <c r="V1173" s="294"/>
      <c r="W1173" s="294"/>
      <c r="X1173" s="294"/>
      <c r="Y1173" s="294"/>
      <c r="Z1173" s="294"/>
      <c r="AA1173" s="294"/>
      <c r="AB1173" s="294"/>
      <c r="AC1173" s="294"/>
    </row>
    <row r="1174" spans="2:29" x14ac:dyDescent="0.25">
      <c r="B1174" s="294"/>
      <c r="C1174" s="294"/>
      <c r="D1174" s="294"/>
      <c r="E1174" s="294"/>
      <c r="F1174" s="294"/>
      <c r="G1174" s="294"/>
      <c r="H1174" s="294"/>
      <c r="I1174" s="294"/>
      <c r="J1174" s="294"/>
      <c r="L1174" s="295"/>
      <c r="M1174" s="294"/>
      <c r="O1174" s="294"/>
      <c r="P1174" s="294"/>
      <c r="Q1174" s="294"/>
      <c r="R1174" s="294"/>
      <c r="S1174" s="294"/>
      <c r="T1174" s="294"/>
      <c r="U1174" s="326"/>
      <c r="V1174" s="294"/>
      <c r="W1174" s="294"/>
      <c r="X1174" s="294"/>
      <c r="Y1174" s="294"/>
      <c r="Z1174" s="294"/>
      <c r="AA1174" s="294"/>
      <c r="AB1174" s="294"/>
      <c r="AC1174" s="294"/>
    </row>
    <row r="1175" spans="2:29" x14ac:dyDescent="0.25">
      <c r="B1175" s="294"/>
      <c r="C1175" s="294"/>
      <c r="D1175" s="294"/>
      <c r="E1175" s="294"/>
      <c r="F1175" s="294"/>
      <c r="G1175" s="294"/>
      <c r="H1175" s="294"/>
      <c r="I1175" s="294"/>
      <c r="J1175" s="294"/>
      <c r="L1175" s="295"/>
      <c r="M1175" s="294"/>
      <c r="O1175" s="294"/>
      <c r="P1175" s="294"/>
      <c r="Q1175" s="294"/>
      <c r="R1175" s="294"/>
      <c r="S1175" s="294"/>
      <c r="T1175" s="294"/>
      <c r="U1175" s="326"/>
      <c r="V1175" s="294"/>
      <c r="W1175" s="294"/>
      <c r="X1175" s="294"/>
      <c r="Y1175" s="294"/>
      <c r="Z1175" s="294"/>
      <c r="AA1175" s="294"/>
      <c r="AB1175" s="294"/>
      <c r="AC1175" s="294"/>
    </row>
    <row r="1176" spans="2:29" x14ac:dyDescent="0.25">
      <c r="B1176" s="294"/>
      <c r="C1176" s="294"/>
      <c r="D1176" s="294"/>
      <c r="E1176" s="294"/>
      <c r="F1176" s="294"/>
      <c r="G1176" s="294"/>
      <c r="H1176" s="294"/>
      <c r="I1176" s="294"/>
      <c r="J1176" s="294"/>
      <c r="L1176" s="295"/>
      <c r="M1176" s="294"/>
      <c r="O1176" s="294"/>
      <c r="P1176" s="294"/>
      <c r="Q1176" s="294"/>
      <c r="R1176" s="294"/>
      <c r="S1176" s="294"/>
      <c r="T1176" s="294"/>
      <c r="U1176" s="326"/>
      <c r="V1176" s="294"/>
      <c r="W1176" s="294"/>
      <c r="X1176" s="294"/>
      <c r="Y1176" s="294"/>
      <c r="Z1176" s="294"/>
      <c r="AA1176" s="294"/>
      <c r="AB1176" s="294"/>
      <c r="AC1176" s="294"/>
    </row>
    <row r="1177" spans="2:29" x14ac:dyDescent="0.25">
      <c r="B1177" s="294"/>
      <c r="C1177" s="294"/>
      <c r="D1177" s="294"/>
      <c r="E1177" s="294"/>
      <c r="F1177" s="294"/>
      <c r="G1177" s="294"/>
      <c r="H1177" s="294"/>
      <c r="I1177" s="294"/>
      <c r="J1177" s="294"/>
      <c r="L1177" s="295"/>
      <c r="M1177" s="294"/>
      <c r="O1177" s="294"/>
      <c r="P1177" s="294"/>
      <c r="Q1177" s="294"/>
      <c r="R1177" s="294"/>
      <c r="S1177" s="294"/>
      <c r="T1177" s="294"/>
      <c r="U1177" s="326"/>
      <c r="V1177" s="294"/>
      <c r="W1177" s="294"/>
      <c r="X1177" s="294"/>
      <c r="Y1177" s="294"/>
      <c r="Z1177" s="294"/>
      <c r="AA1177" s="294"/>
      <c r="AB1177" s="294"/>
      <c r="AC1177" s="294"/>
    </row>
    <row r="1178" spans="2:29" x14ac:dyDescent="0.25">
      <c r="B1178" s="294"/>
      <c r="C1178" s="294"/>
      <c r="D1178" s="294"/>
      <c r="E1178" s="294"/>
      <c r="F1178" s="294"/>
      <c r="G1178" s="294"/>
      <c r="H1178" s="294"/>
      <c r="I1178" s="294"/>
      <c r="J1178" s="294"/>
      <c r="L1178" s="295"/>
      <c r="M1178" s="294"/>
      <c r="O1178" s="294"/>
      <c r="P1178" s="294"/>
      <c r="Q1178" s="294"/>
      <c r="R1178" s="294"/>
      <c r="S1178" s="294"/>
      <c r="T1178" s="294"/>
      <c r="U1178" s="326"/>
      <c r="V1178" s="294"/>
      <c r="W1178" s="294"/>
      <c r="X1178" s="294"/>
      <c r="Y1178" s="294"/>
      <c r="Z1178" s="294"/>
      <c r="AA1178" s="294"/>
      <c r="AB1178" s="294"/>
      <c r="AC1178" s="294"/>
    </row>
    <row r="1179" spans="2:29" x14ac:dyDescent="0.25">
      <c r="B1179" s="294"/>
      <c r="C1179" s="294"/>
      <c r="D1179" s="294"/>
      <c r="E1179" s="294"/>
      <c r="F1179" s="294"/>
      <c r="G1179" s="294"/>
      <c r="H1179" s="294"/>
      <c r="I1179" s="294"/>
      <c r="J1179" s="294"/>
      <c r="L1179" s="295"/>
      <c r="M1179" s="294"/>
      <c r="O1179" s="294"/>
      <c r="P1179" s="294"/>
      <c r="Q1179" s="294"/>
      <c r="R1179" s="294"/>
      <c r="S1179" s="294"/>
      <c r="T1179" s="294"/>
      <c r="U1179" s="326"/>
      <c r="V1179" s="294"/>
      <c r="W1179" s="294"/>
      <c r="X1179" s="294"/>
      <c r="Y1179" s="294"/>
      <c r="Z1179" s="294"/>
      <c r="AA1179" s="294"/>
      <c r="AB1179" s="294"/>
      <c r="AC1179" s="294"/>
    </row>
    <row r="1180" spans="2:29" x14ac:dyDescent="0.25">
      <c r="B1180" s="294"/>
      <c r="C1180" s="294"/>
      <c r="D1180" s="294"/>
      <c r="E1180" s="294"/>
      <c r="F1180" s="294"/>
      <c r="G1180" s="294"/>
      <c r="H1180" s="294"/>
      <c r="I1180" s="294"/>
      <c r="J1180" s="294"/>
      <c r="L1180" s="295"/>
      <c r="M1180" s="294"/>
      <c r="O1180" s="294"/>
      <c r="P1180" s="294"/>
      <c r="Q1180" s="294"/>
      <c r="R1180" s="294"/>
      <c r="S1180" s="294"/>
      <c r="T1180" s="294"/>
      <c r="U1180" s="326"/>
      <c r="V1180" s="294"/>
      <c r="W1180" s="294"/>
      <c r="X1180" s="294"/>
      <c r="Y1180" s="294"/>
      <c r="Z1180" s="294"/>
      <c r="AA1180" s="294"/>
      <c r="AB1180" s="294"/>
      <c r="AC1180" s="294"/>
    </row>
    <row r="1181" spans="2:29" x14ac:dyDescent="0.25">
      <c r="B1181" s="294"/>
      <c r="C1181" s="294"/>
      <c r="D1181" s="294"/>
      <c r="E1181" s="294"/>
      <c r="F1181" s="294"/>
      <c r="G1181" s="294"/>
      <c r="H1181" s="294"/>
      <c r="I1181" s="294"/>
      <c r="J1181" s="294"/>
      <c r="L1181" s="295"/>
      <c r="M1181" s="294"/>
      <c r="O1181" s="294"/>
      <c r="P1181" s="294"/>
      <c r="Q1181" s="294"/>
      <c r="R1181" s="294"/>
      <c r="S1181" s="294"/>
      <c r="T1181" s="294"/>
      <c r="U1181" s="326"/>
      <c r="V1181" s="294"/>
      <c r="W1181" s="294"/>
      <c r="X1181" s="294"/>
      <c r="Y1181" s="294"/>
      <c r="Z1181" s="294"/>
      <c r="AA1181" s="294"/>
      <c r="AB1181" s="294"/>
      <c r="AC1181" s="294"/>
    </row>
    <row r="1182" spans="2:29" x14ac:dyDescent="0.25">
      <c r="B1182" s="294"/>
      <c r="C1182" s="294"/>
      <c r="D1182" s="294"/>
      <c r="E1182" s="294"/>
      <c r="F1182" s="294"/>
      <c r="G1182" s="294"/>
      <c r="H1182" s="294"/>
      <c r="I1182" s="294"/>
      <c r="J1182" s="294"/>
      <c r="L1182" s="295"/>
      <c r="M1182" s="294"/>
      <c r="O1182" s="294"/>
      <c r="P1182" s="294"/>
      <c r="Q1182" s="294"/>
      <c r="R1182" s="294"/>
      <c r="S1182" s="294"/>
      <c r="T1182" s="294"/>
      <c r="U1182" s="326"/>
      <c r="V1182" s="294"/>
      <c r="W1182" s="294"/>
      <c r="X1182" s="294"/>
      <c r="Y1182" s="294"/>
      <c r="Z1182" s="294"/>
      <c r="AA1182" s="294"/>
      <c r="AB1182" s="294"/>
      <c r="AC1182" s="294"/>
    </row>
    <row r="1183" spans="2:29" x14ac:dyDescent="0.25">
      <c r="B1183" s="294"/>
      <c r="C1183" s="294"/>
      <c r="D1183" s="294"/>
      <c r="E1183" s="294"/>
      <c r="F1183" s="294"/>
      <c r="G1183" s="294"/>
      <c r="H1183" s="294"/>
      <c r="I1183" s="294"/>
      <c r="J1183" s="294"/>
      <c r="L1183" s="295"/>
      <c r="M1183" s="294"/>
      <c r="O1183" s="294"/>
      <c r="P1183" s="294"/>
      <c r="Q1183" s="294"/>
      <c r="R1183" s="294"/>
      <c r="S1183" s="294"/>
      <c r="T1183" s="294"/>
      <c r="U1183" s="326"/>
      <c r="V1183" s="294"/>
      <c r="W1183" s="294"/>
      <c r="X1183" s="294"/>
      <c r="Y1183" s="294"/>
      <c r="Z1183" s="294"/>
      <c r="AA1183" s="294"/>
      <c r="AB1183" s="294"/>
      <c r="AC1183" s="294"/>
    </row>
    <row r="1184" spans="2:29" x14ac:dyDescent="0.25">
      <c r="B1184" s="294"/>
      <c r="C1184" s="294"/>
      <c r="D1184" s="294"/>
      <c r="E1184" s="294"/>
      <c r="F1184" s="294"/>
      <c r="G1184" s="294"/>
      <c r="H1184" s="294"/>
      <c r="I1184" s="294"/>
      <c r="J1184" s="294"/>
      <c r="L1184" s="295"/>
      <c r="M1184" s="294"/>
      <c r="O1184" s="294"/>
      <c r="P1184" s="294"/>
      <c r="Q1184" s="294"/>
      <c r="R1184" s="294"/>
      <c r="S1184" s="294"/>
      <c r="T1184" s="294"/>
      <c r="U1184" s="326"/>
      <c r="V1184" s="294"/>
      <c r="W1184" s="294"/>
      <c r="X1184" s="294"/>
      <c r="Y1184" s="294"/>
      <c r="Z1184" s="294"/>
      <c r="AA1184" s="294"/>
      <c r="AB1184" s="294"/>
      <c r="AC1184" s="294"/>
    </row>
    <row r="1185" spans="2:29" x14ac:dyDescent="0.25">
      <c r="B1185" s="294"/>
      <c r="C1185" s="294"/>
      <c r="D1185" s="294"/>
      <c r="E1185" s="294"/>
      <c r="F1185" s="294"/>
      <c r="G1185" s="294"/>
      <c r="H1185" s="294"/>
      <c r="I1185" s="294"/>
      <c r="J1185" s="294"/>
      <c r="L1185" s="295"/>
      <c r="M1185" s="294"/>
      <c r="O1185" s="294"/>
      <c r="P1185" s="294"/>
      <c r="Q1185" s="294"/>
      <c r="R1185" s="294"/>
      <c r="S1185" s="294"/>
      <c r="T1185" s="294"/>
      <c r="U1185" s="326"/>
      <c r="V1185" s="294"/>
      <c r="W1185" s="294"/>
      <c r="X1185" s="294"/>
      <c r="Y1185" s="294"/>
      <c r="Z1185" s="294"/>
      <c r="AA1185" s="294"/>
      <c r="AB1185" s="294"/>
      <c r="AC1185" s="294"/>
    </row>
    <row r="1186" spans="2:29" x14ac:dyDescent="0.25">
      <c r="B1186" s="294"/>
      <c r="C1186" s="294"/>
      <c r="D1186" s="294"/>
      <c r="E1186" s="294"/>
      <c r="F1186" s="294"/>
      <c r="G1186" s="294"/>
      <c r="H1186" s="294"/>
      <c r="I1186" s="294"/>
      <c r="J1186" s="294"/>
      <c r="L1186" s="295"/>
      <c r="M1186" s="294"/>
      <c r="O1186" s="294"/>
      <c r="P1186" s="294"/>
      <c r="Q1186" s="294"/>
      <c r="R1186" s="294"/>
      <c r="S1186" s="294"/>
      <c r="T1186" s="294"/>
      <c r="U1186" s="326"/>
      <c r="V1186" s="294"/>
      <c r="W1186" s="294"/>
      <c r="X1186" s="294"/>
      <c r="Y1186" s="294"/>
      <c r="Z1186" s="294"/>
      <c r="AA1186" s="294"/>
      <c r="AB1186" s="294"/>
      <c r="AC1186" s="294"/>
    </row>
    <row r="1187" spans="2:29" x14ac:dyDescent="0.25">
      <c r="B1187" s="294"/>
      <c r="C1187" s="294"/>
      <c r="D1187" s="294"/>
      <c r="E1187" s="294"/>
      <c r="F1187" s="294"/>
      <c r="G1187" s="294"/>
      <c r="H1187" s="294"/>
      <c r="I1187" s="294"/>
      <c r="J1187" s="294"/>
      <c r="L1187" s="295"/>
      <c r="M1187" s="294"/>
      <c r="O1187" s="294"/>
      <c r="P1187" s="294"/>
      <c r="Q1187" s="294"/>
      <c r="R1187" s="294"/>
      <c r="S1187" s="294"/>
      <c r="T1187" s="294"/>
      <c r="U1187" s="326"/>
      <c r="V1187" s="294"/>
      <c r="W1187" s="294"/>
      <c r="X1187" s="294"/>
      <c r="Y1187" s="294"/>
      <c r="Z1187" s="294"/>
      <c r="AA1187" s="294"/>
      <c r="AB1187" s="294"/>
      <c r="AC1187" s="294"/>
    </row>
    <row r="1188" spans="2:29" x14ac:dyDescent="0.25">
      <c r="B1188" s="294"/>
      <c r="C1188" s="294"/>
      <c r="D1188" s="294"/>
      <c r="E1188" s="294"/>
      <c r="F1188" s="294"/>
      <c r="G1188" s="294"/>
      <c r="H1188" s="294"/>
      <c r="I1188" s="294"/>
      <c r="J1188" s="294"/>
      <c r="L1188" s="295"/>
      <c r="M1188" s="294"/>
      <c r="O1188" s="294"/>
      <c r="P1188" s="294"/>
      <c r="Q1188" s="294"/>
      <c r="R1188" s="294"/>
      <c r="S1188" s="294"/>
      <c r="T1188" s="294"/>
      <c r="U1188" s="326"/>
      <c r="V1188" s="294"/>
      <c r="W1188" s="294"/>
      <c r="X1188" s="294"/>
      <c r="Y1188" s="294"/>
      <c r="Z1188" s="294"/>
      <c r="AA1188" s="294"/>
      <c r="AB1188" s="294"/>
      <c r="AC1188" s="294"/>
    </row>
    <row r="1189" spans="2:29" x14ac:dyDescent="0.25">
      <c r="B1189" s="294"/>
      <c r="C1189" s="294"/>
      <c r="D1189" s="294"/>
      <c r="E1189" s="294"/>
      <c r="F1189" s="294"/>
      <c r="G1189" s="294"/>
      <c r="H1189" s="294"/>
      <c r="I1189" s="294"/>
      <c r="J1189" s="294"/>
      <c r="L1189" s="295"/>
      <c r="M1189" s="294"/>
      <c r="O1189" s="294"/>
      <c r="P1189" s="294"/>
      <c r="Q1189" s="294"/>
      <c r="R1189" s="294"/>
      <c r="S1189" s="294"/>
      <c r="T1189" s="294"/>
      <c r="U1189" s="326"/>
      <c r="V1189" s="294"/>
      <c r="W1189" s="294"/>
      <c r="X1189" s="294"/>
      <c r="Y1189" s="294"/>
      <c r="Z1189" s="294"/>
      <c r="AA1189" s="294"/>
      <c r="AB1189" s="294"/>
      <c r="AC1189" s="294"/>
    </row>
    <row r="1190" spans="2:29" x14ac:dyDescent="0.25">
      <c r="B1190" s="294"/>
      <c r="C1190" s="294"/>
      <c r="D1190" s="294"/>
      <c r="E1190" s="294"/>
      <c r="F1190" s="294"/>
      <c r="G1190" s="294"/>
      <c r="H1190" s="294"/>
      <c r="I1190" s="294"/>
      <c r="J1190" s="294"/>
      <c r="L1190" s="295"/>
      <c r="M1190" s="294"/>
      <c r="O1190" s="294"/>
      <c r="P1190" s="294"/>
      <c r="Q1190" s="294"/>
      <c r="R1190" s="294"/>
      <c r="S1190" s="294"/>
      <c r="T1190" s="294"/>
      <c r="U1190" s="326"/>
      <c r="V1190" s="294"/>
      <c r="W1190" s="294"/>
      <c r="X1190" s="294"/>
      <c r="Y1190" s="294"/>
      <c r="Z1190" s="294"/>
      <c r="AA1190" s="294"/>
      <c r="AB1190" s="294"/>
      <c r="AC1190" s="294"/>
    </row>
    <row r="1191" spans="2:29" x14ac:dyDescent="0.25">
      <c r="B1191" s="294"/>
      <c r="C1191" s="294"/>
      <c r="D1191" s="294"/>
      <c r="E1191" s="294"/>
      <c r="F1191" s="294"/>
      <c r="G1191" s="294"/>
      <c r="H1191" s="294"/>
      <c r="I1191" s="294"/>
      <c r="J1191" s="294"/>
      <c r="L1191" s="295"/>
      <c r="M1191" s="294"/>
      <c r="O1191" s="294"/>
      <c r="P1191" s="294"/>
      <c r="Q1191" s="294"/>
      <c r="R1191" s="294"/>
      <c r="S1191" s="294"/>
      <c r="T1191" s="294"/>
      <c r="U1191" s="326"/>
      <c r="V1191" s="294"/>
      <c r="W1191" s="294"/>
      <c r="X1191" s="294"/>
      <c r="Y1191" s="294"/>
      <c r="Z1191" s="294"/>
      <c r="AA1191" s="294"/>
      <c r="AB1191" s="294"/>
      <c r="AC1191" s="294"/>
    </row>
    <row r="1192" spans="2:29" x14ac:dyDescent="0.25">
      <c r="B1192" s="294"/>
      <c r="C1192" s="294"/>
      <c r="D1192" s="294"/>
      <c r="E1192" s="294"/>
      <c r="F1192" s="294"/>
      <c r="G1192" s="294"/>
      <c r="H1192" s="294"/>
      <c r="I1192" s="294"/>
      <c r="J1192" s="294"/>
      <c r="L1192" s="295"/>
      <c r="M1192" s="294"/>
      <c r="O1192" s="294"/>
      <c r="P1192" s="294"/>
      <c r="Q1192" s="294"/>
      <c r="R1192" s="294"/>
      <c r="S1192" s="294"/>
      <c r="T1192" s="294"/>
      <c r="U1192" s="326"/>
      <c r="V1192" s="294"/>
      <c r="W1192" s="294"/>
      <c r="X1192" s="294"/>
      <c r="Y1192" s="294"/>
      <c r="Z1192" s="294"/>
      <c r="AA1192" s="294"/>
      <c r="AB1192" s="294"/>
      <c r="AC1192" s="294"/>
    </row>
    <row r="1193" spans="2:29" x14ac:dyDescent="0.25">
      <c r="B1193" s="294"/>
      <c r="C1193" s="294"/>
      <c r="D1193" s="294"/>
      <c r="E1193" s="294"/>
      <c r="F1193" s="294"/>
      <c r="G1193" s="294"/>
      <c r="H1193" s="294"/>
      <c r="I1193" s="294"/>
      <c r="J1193" s="294"/>
      <c r="L1193" s="295"/>
      <c r="M1193" s="294"/>
      <c r="O1193" s="294"/>
      <c r="P1193" s="294"/>
      <c r="Q1193" s="294"/>
      <c r="R1193" s="294"/>
      <c r="S1193" s="294"/>
      <c r="T1193" s="294"/>
      <c r="U1193" s="326"/>
      <c r="V1193" s="294"/>
      <c r="W1193" s="294"/>
      <c r="X1193" s="294"/>
      <c r="Y1193" s="294"/>
      <c r="Z1193" s="294"/>
      <c r="AA1193" s="294"/>
      <c r="AB1193" s="294"/>
      <c r="AC1193" s="294"/>
    </row>
    <row r="1194" spans="2:29" x14ac:dyDescent="0.25">
      <c r="B1194" s="294"/>
      <c r="C1194" s="294"/>
      <c r="D1194" s="294"/>
      <c r="E1194" s="294"/>
      <c r="F1194" s="294"/>
      <c r="G1194" s="294"/>
      <c r="H1194" s="294"/>
      <c r="I1194" s="294"/>
      <c r="J1194" s="294"/>
      <c r="L1194" s="295"/>
      <c r="M1194" s="294"/>
      <c r="O1194" s="294"/>
      <c r="P1194" s="294"/>
      <c r="Q1194" s="294"/>
      <c r="R1194" s="294"/>
      <c r="S1194" s="294"/>
      <c r="T1194" s="294"/>
      <c r="U1194" s="326"/>
      <c r="V1194" s="294"/>
      <c r="W1194" s="294"/>
      <c r="X1194" s="294"/>
      <c r="Y1194" s="294"/>
      <c r="Z1194" s="294"/>
      <c r="AA1194" s="294"/>
      <c r="AB1194" s="294"/>
      <c r="AC1194" s="294"/>
    </row>
    <row r="1195" spans="2:29" x14ac:dyDescent="0.25">
      <c r="B1195" s="294"/>
      <c r="C1195" s="294"/>
      <c r="D1195" s="294"/>
      <c r="E1195" s="294"/>
      <c r="F1195" s="294"/>
      <c r="G1195" s="294"/>
      <c r="H1195" s="294"/>
      <c r="I1195" s="294"/>
      <c r="J1195" s="294"/>
      <c r="L1195" s="295"/>
      <c r="M1195" s="294"/>
      <c r="O1195" s="294"/>
      <c r="P1195" s="294"/>
      <c r="Q1195" s="294"/>
      <c r="R1195" s="294"/>
      <c r="S1195" s="294"/>
      <c r="T1195" s="294"/>
      <c r="U1195" s="326"/>
      <c r="V1195" s="294"/>
      <c r="W1195" s="294"/>
      <c r="X1195" s="294"/>
      <c r="Y1195" s="294"/>
      <c r="Z1195" s="294"/>
      <c r="AA1195" s="294"/>
      <c r="AB1195" s="294"/>
      <c r="AC1195" s="294"/>
    </row>
    <row r="1196" spans="2:29" x14ac:dyDescent="0.25">
      <c r="B1196" s="294"/>
      <c r="C1196" s="294"/>
      <c r="D1196" s="294"/>
      <c r="E1196" s="294"/>
      <c r="F1196" s="294"/>
      <c r="G1196" s="294"/>
      <c r="H1196" s="294"/>
      <c r="I1196" s="294"/>
      <c r="J1196" s="294"/>
      <c r="L1196" s="295"/>
      <c r="M1196" s="294"/>
      <c r="O1196" s="294"/>
      <c r="P1196" s="294"/>
      <c r="Q1196" s="294"/>
      <c r="R1196" s="294"/>
      <c r="S1196" s="294"/>
      <c r="T1196" s="294"/>
      <c r="U1196" s="326"/>
      <c r="V1196" s="294"/>
      <c r="W1196" s="294"/>
      <c r="X1196" s="294"/>
      <c r="Y1196" s="294"/>
      <c r="Z1196" s="294"/>
      <c r="AA1196" s="294"/>
      <c r="AB1196" s="294"/>
      <c r="AC1196" s="294"/>
    </row>
    <row r="1197" spans="2:29" x14ac:dyDescent="0.25">
      <c r="B1197" s="294"/>
      <c r="C1197" s="294"/>
      <c r="D1197" s="294"/>
      <c r="E1197" s="294"/>
      <c r="F1197" s="294"/>
      <c r="G1197" s="294"/>
      <c r="H1197" s="294"/>
      <c r="I1197" s="294"/>
      <c r="J1197" s="294"/>
      <c r="L1197" s="295"/>
      <c r="M1197" s="294"/>
      <c r="O1197" s="294"/>
      <c r="P1197" s="294"/>
      <c r="Q1197" s="294"/>
      <c r="R1197" s="294"/>
      <c r="S1197" s="294"/>
      <c r="T1197" s="294"/>
      <c r="U1197" s="326"/>
      <c r="V1197" s="294"/>
      <c r="W1197" s="294"/>
      <c r="X1197" s="294"/>
      <c r="Y1197" s="294"/>
      <c r="Z1197" s="294"/>
      <c r="AA1197" s="294"/>
      <c r="AB1197" s="294"/>
      <c r="AC1197" s="294"/>
    </row>
    <row r="1198" spans="2:29" x14ac:dyDescent="0.25">
      <c r="B1198" s="294"/>
      <c r="C1198" s="294"/>
      <c r="D1198" s="294"/>
      <c r="E1198" s="294"/>
      <c r="F1198" s="294"/>
      <c r="G1198" s="294"/>
      <c r="H1198" s="294"/>
      <c r="I1198" s="294"/>
      <c r="J1198" s="294"/>
      <c r="L1198" s="295"/>
      <c r="M1198" s="294"/>
      <c r="O1198" s="294"/>
      <c r="P1198" s="294"/>
      <c r="Q1198" s="294"/>
      <c r="R1198" s="294"/>
      <c r="S1198" s="294"/>
      <c r="T1198" s="294"/>
      <c r="U1198" s="326"/>
      <c r="V1198" s="294"/>
      <c r="W1198" s="294"/>
      <c r="X1198" s="294"/>
      <c r="Y1198" s="294"/>
      <c r="Z1198" s="294"/>
      <c r="AA1198" s="294"/>
      <c r="AB1198" s="294"/>
      <c r="AC1198" s="294"/>
    </row>
    <row r="1199" spans="2:29" x14ac:dyDescent="0.25">
      <c r="B1199" s="294"/>
      <c r="C1199" s="294"/>
      <c r="D1199" s="294"/>
      <c r="E1199" s="294"/>
      <c r="F1199" s="294"/>
      <c r="G1199" s="294"/>
      <c r="H1199" s="294"/>
      <c r="I1199" s="294"/>
      <c r="J1199" s="294"/>
      <c r="L1199" s="295"/>
      <c r="M1199" s="294"/>
      <c r="O1199" s="294"/>
      <c r="P1199" s="294"/>
      <c r="Q1199" s="294"/>
      <c r="R1199" s="294"/>
      <c r="S1199" s="294"/>
      <c r="T1199" s="294"/>
      <c r="U1199" s="326"/>
      <c r="V1199" s="294"/>
      <c r="W1199" s="294"/>
      <c r="X1199" s="294"/>
      <c r="Y1199" s="294"/>
      <c r="Z1199" s="294"/>
      <c r="AA1199" s="294"/>
      <c r="AB1199" s="294"/>
      <c r="AC1199" s="294"/>
    </row>
    <row r="1200" spans="2:29" x14ac:dyDescent="0.25">
      <c r="B1200" s="294"/>
      <c r="C1200" s="294"/>
      <c r="D1200" s="294"/>
      <c r="E1200" s="294"/>
      <c r="F1200" s="294"/>
      <c r="G1200" s="294"/>
      <c r="H1200" s="294"/>
      <c r="I1200" s="294"/>
      <c r="J1200" s="294"/>
      <c r="L1200" s="295"/>
      <c r="M1200" s="294"/>
      <c r="O1200" s="294"/>
      <c r="P1200" s="294"/>
      <c r="Q1200" s="294"/>
      <c r="R1200" s="294"/>
      <c r="S1200" s="294"/>
      <c r="T1200" s="294"/>
      <c r="U1200" s="326"/>
      <c r="V1200" s="294"/>
      <c r="W1200" s="294"/>
      <c r="X1200" s="294"/>
      <c r="Y1200" s="294"/>
      <c r="Z1200" s="294"/>
      <c r="AA1200" s="294"/>
      <c r="AB1200" s="294"/>
      <c r="AC1200" s="294"/>
    </row>
    <row r="1201" spans="2:29" x14ac:dyDescent="0.25">
      <c r="B1201" s="294"/>
      <c r="C1201" s="294"/>
      <c r="D1201" s="294"/>
      <c r="E1201" s="294"/>
      <c r="F1201" s="294"/>
      <c r="G1201" s="294"/>
      <c r="H1201" s="294"/>
      <c r="I1201" s="294"/>
      <c r="J1201" s="294"/>
      <c r="L1201" s="295"/>
      <c r="M1201" s="294"/>
      <c r="O1201" s="294"/>
      <c r="P1201" s="294"/>
      <c r="Q1201" s="294"/>
      <c r="R1201" s="294"/>
      <c r="S1201" s="294"/>
      <c r="T1201" s="294"/>
      <c r="U1201" s="326"/>
      <c r="V1201" s="294"/>
      <c r="W1201" s="294"/>
      <c r="X1201" s="294"/>
      <c r="Y1201" s="294"/>
      <c r="Z1201" s="294"/>
      <c r="AA1201" s="294"/>
      <c r="AB1201" s="294"/>
      <c r="AC1201" s="294"/>
    </row>
    <row r="1202" spans="2:29" x14ac:dyDescent="0.25">
      <c r="B1202" s="294"/>
      <c r="C1202" s="294"/>
      <c r="D1202" s="294"/>
      <c r="E1202" s="294"/>
      <c r="F1202" s="294"/>
      <c r="G1202" s="294"/>
      <c r="H1202" s="294"/>
      <c r="I1202" s="294"/>
      <c r="J1202" s="294"/>
      <c r="L1202" s="295"/>
      <c r="M1202" s="294"/>
      <c r="O1202" s="294"/>
      <c r="P1202" s="294"/>
      <c r="Q1202" s="294"/>
      <c r="R1202" s="294"/>
      <c r="S1202" s="294"/>
      <c r="T1202" s="294"/>
      <c r="U1202" s="326"/>
      <c r="V1202" s="294"/>
      <c r="W1202" s="294"/>
      <c r="X1202" s="294"/>
      <c r="Y1202" s="294"/>
      <c r="Z1202" s="294"/>
      <c r="AA1202" s="294"/>
      <c r="AB1202" s="294"/>
      <c r="AC1202" s="294"/>
    </row>
    <row r="1203" spans="2:29" x14ac:dyDescent="0.25">
      <c r="B1203" s="294"/>
      <c r="C1203" s="294"/>
      <c r="D1203" s="294"/>
      <c r="E1203" s="294"/>
      <c r="F1203" s="294"/>
      <c r="G1203" s="294"/>
      <c r="H1203" s="294"/>
      <c r="I1203" s="294"/>
      <c r="J1203" s="294"/>
      <c r="L1203" s="295"/>
      <c r="M1203" s="294"/>
      <c r="O1203" s="294"/>
      <c r="P1203" s="294"/>
      <c r="Q1203" s="294"/>
      <c r="R1203" s="294"/>
      <c r="S1203" s="294"/>
      <c r="T1203" s="294"/>
      <c r="U1203" s="326"/>
      <c r="V1203" s="294"/>
      <c r="W1203" s="294"/>
      <c r="X1203" s="294"/>
      <c r="Y1203" s="294"/>
      <c r="Z1203" s="294"/>
      <c r="AA1203" s="294"/>
      <c r="AB1203" s="294"/>
      <c r="AC1203" s="294"/>
    </row>
    <row r="1204" spans="2:29" x14ac:dyDescent="0.25">
      <c r="B1204" s="294"/>
      <c r="C1204" s="294"/>
      <c r="D1204" s="294"/>
      <c r="E1204" s="294"/>
      <c r="F1204" s="294"/>
      <c r="G1204" s="294"/>
      <c r="H1204" s="294"/>
      <c r="I1204" s="294"/>
      <c r="J1204" s="294"/>
      <c r="L1204" s="295"/>
      <c r="M1204" s="294"/>
      <c r="O1204" s="294"/>
      <c r="P1204" s="294"/>
      <c r="Q1204" s="294"/>
      <c r="R1204" s="294"/>
      <c r="S1204" s="294"/>
      <c r="T1204" s="294"/>
      <c r="U1204" s="326"/>
      <c r="V1204" s="294"/>
      <c r="W1204" s="294"/>
      <c r="X1204" s="294"/>
      <c r="Y1204" s="294"/>
      <c r="Z1204" s="294"/>
      <c r="AA1204" s="294"/>
      <c r="AB1204" s="294"/>
      <c r="AC1204" s="294"/>
    </row>
    <row r="1205" spans="2:29" x14ac:dyDescent="0.25">
      <c r="B1205" s="294"/>
      <c r="C1205" s="294"/>
      <c r="D1205" s="294"/>
      <c r="E1205" s="294"/>
      <c r="F1205" s="294"/>
      <c r="G1205" s="294"/>
      <c r="H1205" s="294"/>
      <c r="I1205" s="294"/>
      <c r="J1205" s="294"/>
      <c r="L1205" s="295"/>
      <c r="M1205" s="294"/>
      <c r="O1205" s="294"/>
      <c r="P1205" s="294"/>
      <c r="Q1205" s="294"/>
      <c r="R1205" s="294"/>
      <c r="S1205" s="294"/>
      <c r="T1205" s="294"/>
      <c r="U1205" s="326"/>
      <c r="V1205" s="294"/>
      <c r="W1205" s="294"/>
      <c r="X1205" s="294"/>
      <c r="Y1205" s="294"/>
      <c r="Z1205" s="294"/>
      <c r="AA1205" s="294"/>
      <c r="AB1205" s="294"/>
      <c r="AC1205" s="294"/>
    </row>
    <row r="1206" spans="2:29" x14ac:dyDescent="0.25">
      <c r="B1206" s="294"/>
      <c r="C1206" s="294"/>
      <c r="D1206" s="294"/>
      <c r="E1206" s="294"/>
      <c r="F1206" s="294"/>
      <c r="G1206" s="294"/>
      <c r="H1206" s="294"/>
      <c r="I1206" s="294"/>
      <c r="J1206" s="294"/>
      <c r="L1206" s="295"/>
      <c r="M1206" s="294"/>
      <c r="O1206" s="294"/>
      <c r="P1206" s="294"/>
      <c r="Q1206" s="294"/>
      <c r="R1206" s="294"/>
      <c r="S1206" s="294"/>
      <c r="T1206" s="294"/>
      <c r="U1206" s="326"/>
      <c r="V1206" s="294"/>
      <c r="W1206" s="294"/>
      <c r="X1206" s="294"/>
      <c r="Y1206" s="294"/>
      <c r="Z1206" s="294"/>
      <c r="AA1206" s="294"/>
      <c r="AB1206" s="294"/>
      <c r="AC1206" s="294"/>
    </row>
    <row r="1207" spans="2:29" x14ac:dyDescent="0.25">
      <c r="B1207" s="294"/>
      <c r="C1207" s="294"/>
      <c r="D1207" s="294"/>
      <c r="E1207" s="294"/>
      <c r="F1207" s="294"/>
      <c r="G1207" s="294"/>
      <c r="H1207" s="294"/>
      <c r="I1207" s="294"/>
      <c r="J1207" s="294"/>
      <c r="L1207" s="295"/>
      <c r="M1207" s="294"/>
      <c r="O1207" s="294"/>
      <c r="P1207" s="294"/>
      <c r="Q1207" s="294"/>
      <c r="R1207" s="294"/>
      <c r="S1207" s="294"/>
      <c r="T1207" s="294"/>
      <c r="U1207" s="326"/>
      <c r="V1207" s="294"/>
      <c r="W1207" s="294"/>
      <c r="X1207" s="294"/>
      <c r="Y1207" s="294"/>
      <c r="Z1207" s="294"/>
      <c r="AA1207" s="294"/>
      <c r="AB1207" s="294"/>
      <c r="AC1207" s="294"/>
    </row>
    <row r="1208" spans="2:29" x14ac:dyDescent="0.25">
      <c r="B1208" s="294"/>
      <c r="C1208" s="294"/>
      <c r="D1208" s="294"/>
      <c r="E1208" s="294"/>
      <c r="F1208" s="294"/>
      <c r="G1208" s="294"/>
      <c r="H1208" s="294"/>
      <c r="I1208" s="294"/>
      <c r="J1208" s="294"/>
      <c r="L1208" s="295"/>
      <c r="M1208" s="294"/>
      <c r="O1208" s="294"/>
      <c r="P1208" s="294"/>
      <c r="Q1208" s="294"/>
      <c r="R1208" s="294"/>
      <c r="S1208" s="294"/>
      <c r="T1208" s="294"/>
      <c r="U1208" s="326"/>
      <c r="V1208" s="294"/>
      <c r="W1208" s="294"/>
      <c r="X1208" s="294"/>
      <c r="Y1208" s="294"/>
      <c r="Z1208" s="294"/>
      <c r="AA1208" s="294"/>
      <c r="AB1208" s="294"/>
      <c r="AC1208" s="294"/>
    </row>
    <row r="1209" spans="2:29" x14ac:dyDescent="0.25">
      <c r="B1209" s="294"/>
      <c r="C1209" s="294"/>
      <c r="D1209" s="294"/>
      <c r="E1209" s="294"/>
      <c r="F1209" s="294"/>
      <c r="G1209" s="294"/>
      <c r="H1209" s="294"/>
      <c r="I1209" s="294"/>
      <c r="J1209" s="294"/>
      <c r="L1209" s="295"/>
      <c r="M1209" s="294"/>
      <c r="O1209" s="294"/>
      <c r="P1209" s="294"/>
      <c r="Q1209" s="294"/>
      <c r="R1209" s="294"/>
      <c r="S1209" s="294"/>
      <c r="T1209" s="294"/>
      <c r="U1209" s="326"/>
      <c r="V1209" s="294"/>
      <c r="W1209" s="294"/>
      <c r="X1209" s="294"/>
      <c r="Y1209" s="294"/>
      <c r="Z1209" s="294"/>
      <c r="AA1209" s="294"/>
      <c r="AB1209" s="294"/>
      <c r="AC1209" s="294"/>
    </row>
    <row r="1210" spans="2:29" x14ac:dyDescent="0.25">
      <c r="B1210" s="294"/>
      <c r="C1210" s="294"/>
      <c r="D1210" s="294"/>
      <c r="E1210" s="294"/>
      <c r="F1210" s="294"/>
      <c r="G1210" s="294"/>
      <c r="H1210" s="294"/>
      <c r="I1210" s="294"/>
      <c r="J1210" s="294"/>
      <c r="L1210" s="295"/>
      <c r="M1210" s="294"/>
      <c r="O1210" s="294"/>
      <c r="P1210" s="294"/>
      <c r="Q1210" s="294"/>
      <c r="R1210" s="294"/>
      <c r="S1210" s="294"/>
      <c r="T1210" s="294"/>
      <c r="U1210" s="326"/>
      <c r="V1210" s="294"/>
      <c r="W1210" s="294"/>
      <c r="X1210" s="294"/>
      <c r="Y1210" s="294"/>
      <c r="Z1210" s="294"/>
      <c r="AA1210" s="294"/>
      <c r="AB1210" s="294"/>
      <c r="AC1210" s="294"/>
    </row>
    <row r="1211" spans="2:29" x14ac:dyDescent="0.25">
      <c r="B1211" s="294"/>
      <c r="C1211" s="294"/>
      <c r="D1211" s="294"/>
      <c r="E1211" s="294"/>
      <c r="F1211" s="294"/>
      <c r="G1211" s="294"/>
      <c r="H1211" s="294"/>
      <c r="I1211" s="294"/>
      <c r="J1211" s="294"/>
      <c r="L1211" s="295"/>
      <c r="M1211" s="294"/>
      <c r="O1211" s="294"/>
      <c r="P1211" s="294"/>
      <c r="Q1211" s="294"/>
      <c r="R1211" s="294"/>
      <c r="S1211" s="294"/>
      <c r="T1211" s="294"/>
      <c r="U1211" s="326"/>
      <c r="V1211" s="294"/>
      <c r="W1211" s="294"/>
      <c r="X1211" s="294"/>
      <c r="Y1211" s="294"/>
      <c r="Z1211" s="294"/>
      <c r="AA1211" s="294"/>
      <c r="AB1211" s="294"/>
      <c r="AC1211" s="294"/>
    </row>
    <row r="1212" spans="2:29" x14ac:dyDescent="0.25">
      <c r="B1212" s="294"/>
      <c r="C1212" s="294"/>
      <c r="D1212" s="294"/>
      <c r="E1212" s="294"/>
      <c r="F1212" s="294"/>
      <c r="G1212" s="294"/>
      <c r="H1212" s="294"/>
      <c r="I1212" s="294"/>
      <c r="J1212" s="294"/>
      <c r="L1212" s="295"/>
      <c r="M1212" s="294"/>
      <c r="O1212" s="294"/>
      <c r="P1212" s="294"/>
      <c r="Q1212" s="294"/>
      <c r="R1212" s="294"/>
      <c r="S1212" s="294"/>
      <c r="T1212" s="294"/>
      <c r="U1212" s="326"/>
      <c r="V1212" s="294"/>
      <c r="W1212" s="294"/>
      <c r="X1212" s="294"/>
      <c r="Y1212" s="294"/>
      <c r="Z1212" s="294"/>
      <c r="AA1212" s="294"/>
      <c r="AB1212" s="294"/>
      <c r="AC1212" s="294"/>
    </row>
    <row r="1213" spans="2:29" x14ac:dyDescent="0.25">
      <c r="B1213" s="294"/>
      <c r="C1213" s="294"/>
      <c r="D1213" s="294"/>
      <c r="E1213" s="294"/>
      <c r="F1213" s="294"/>
      <c r="G1213" s="294"/>
      <c r="H1213" s="294"/>
      <c r="I1213" s="294"/>
      <c r="J1213" s="294"/>
      <c r="L1213" s="295"/>
      <c r="M1213" s="294"/>
      <c r="O1213" s="294"/>
      <c r="P1213" s="294"/>
      <c r="Q1213" s="294"/>
      <c r="R1213" s="294"/>
      <c r="S1213" s="294"/>
      <c r="T1213" s="294"/>
      <c r="U1213" s="326"/>
      <c r="V1213" s="294"/>
      <c r="W1213" s="294"/>
      <c r="X1213" s="294"/>
      <c r="Y1213" s="294"/>
      <c r="Z1213" s="294"/>
      <c r="AA1213" s="294"/>
      <c r="AB1213" s="294"/>
      <c r="AC1213" s="294"/>
    </row>
    <row r="1214" spans="2:29" x14ac:dyDescent="0.25">
      <c r="B1214" s="294"/>
      <c r="C1214" s="294"/>
      <c r="D1214" s="294"/>
      <c r="E1214" s="294"/>
      <c r="F1214" s="294"/>
      <c r="G1214" s="294"/>
      <c r="H1214" s="294"/>
      <c r="I1214" s="294"/>
      <c r="J1214" s="294"/>
      <c r="L1214" s="295"/>
      <c r="M1214" s="294"/>
      <c r="O1214" s="294"/>
      <c r="P1214" s="294"/>
      <c r="Q1214" s="294"/>
      <c r="R1214" s="294"/>
      <c r="S1214" s="294"/>
      <c r="T1214" s="294"/>
      <c r="U1214" s="326"/>
      <c r="V1214" s="294"/>
      <c r="W1214" s="294"/>
      <c r="X1214" s="294"/>
      <c r="Y1214" s="294"/>
      <c r="Z1214" s="294"/>
      <c r="AA1214" s="294"/>
      <c r="AB1214" s="294"/>
      <c r="AC1214" s="294"/>
    </row>
    <row r="1215" spans="2:29" x14ac:dyDescent="0.25">
      <c r="B1215" s="294"/>
      <c r="C1215" s="294"/>
      <c r="D1215" s="294"/>
      <c r="E1215" s="294"/>
      <c r="F1215" s="294"/>
      <c r="G1215" s="294"/>
      <c r="H1215" s="294"/>
      <c r="I1215" s="294"/>
      <c r="J1215" s="294"/>
      <c r="L1215" s="295"/>
      <c r="M1215" s="294"/>
      <c r="O1215" s="294"/>
      <c r="P1215" s="294"/>
      <c r="Q1215" s="294"/>
      <c r="R1215" s="294"/>
      <c r="S1215" s="294"/>
      <c r="T1215" s="294"/>
      <c r="U1215" s="326"/>
      <c r="V1215" s="294"/>
      <c r="W1215" s="294"/>
      <c r="X1215" s="294"/>
      <c r="Y1215" s="294"/>
      <c r="Z1215" s="294"/>
      <c r="AA1215" s="294"/>
      <c r="AB1215" s="294"/>
      <c r="AC1215" s="294"/>
    </row>
    <row r="1216" spans="2:29" x14ac:dyDescent="0.25">
      <c r="B1216" s="294"/>
      <c r="C1216" s="294"/>
      <c r="D1216" s="294"/>
      <c r="E1216" s="294"/>
      <c r="F1216" s="294"/>
      <c r="G1216" s="294"/>
      <c r="H1216" s="294"/>
      <c r="I1216" s="294"/>
      <c r="J1216" s="294"/>
      <c r="L1216" s="295"/>
      <c r="M1216" s="294"/>
      <c r="O1216" s="294"/>
      <c r="P1216" s="294"/>
      <c r="Q1216" s="294"/>
      <c r="R1216" s="294"/>
      <c r="S1216" s="294"/>
      <c r="T1216" s="294"/>
      <c r="U1216" s="326"/>
      <c r="V1216" s="294"/>
      <c r="W1216" s="294"/>
      <c r="X1216" s="294"/>
      <c r="Y1216" s="294"/>
      <c r="Z1216" s="294"/>
      <c r="AA1216" s="294"/>
      <c r="AB1216" s="294"/>
      <c r="AC1216" s="294"/>
    </row>
    <row r="1217" spans="2:29" x14ac:dyDescent="0.25">
      <c r="B1217" s="294"/>
      <c r="C1217" s="294"/>
      <c r="D1217" s="294"/>
      <c r="E1217" s="294"/>
      <c r="F1217" s="294"/>
      <c r="G1217" s="294"/>
      <c r="H1217" s="294"/>
      <c r="I1217" s="294"/>
      <c r="J1217" s="294"/>
      <c r="L1217" s="295"/>
      <c r="M1217" s="294"/>
      <c r="O1217" s="294"/>
      <c r="P1217" s="294"/>
      <c r="Q1217" s="294"/>
      <c r="R1217" s="294"/>
      <c r="S1217" s="294"/>
      <c r="T1217" s="294"/>
      <c r="U1217" s="326"/>
      <c r="V1217" s="294"/>
      <c r="W1217" s="294"/>
      <c r="X1217" s="294"/>
      <c r="Y1217" s="294"/>
      <c r="Z1217" s="294"/>
      <c r="AA1217" s="294"/>
      <c r="AB1217" s="294"/>
      <c r="AC1217" s="294"/>
    </row>
    <row r="1218" spans="2:29" x14ac:dyDescent="0.25">
      <c r="B1218" s="294"/>
      <c r="C1218" s="294"/>
      <c r="D1218" s="294"/>
      <c r="E1218" s="294"/>
      <c r="F1218" s="294"/>
      <c r="G1218" s="294"/>
      <c r="H1218" s="294"/>
      <c r="I1218" s="294"/>
      <c r="J1218" s="294"/>
      <c r="L1218" s="295"/>
      <c r="M1218" s="294"/>
      <c r="O1218" s="294"/>
      <c r="P1218" s="294"/>
      <c r="Q1218" s="294"/>
      <c r="R1218" s="294"/>
      <c r="S1218" s="294"/>
      <c r="T1218" s="294"/>
      <c r="U1218" s="326"/>
      <c r="V1218" s="294"/>
      <c r="W1218" s="294"/>
      <c r="X1218" s="294"/>
      <c r="Y1218" s="294"/>
      <c r="Z1218" s="294"/>
      <c r="AA1218" s="294"/>
      <c r="AB1218" s="294"/>
      <c r="AC1218" s="294"/>
    </row>
    <row r="1219" spans="2:29" x14ac:dyDescent="0.25">
      <c r="B1219" s="294"/>
      <c r="C1219" s="294"/>
      <c r="D1219" s="294"/>
      <c r="E1219" s="294"/>
      <c r="F1219" s="294"/>
      <c r="G1219" s="294"/>
      <c r="H1219" s="294"/>
      <c r="I1219" s="294"/>
      <c r="J1219" s="294"/>
      <c r="L1219" s="295"/>
      <c r="M1219" s="294"/>
      <c r="O1219" s="294"/>
      <c r="P1219" s="294"/>
      <c r="Q1219" s="294"/>
      <c r="R1219" s="294"/>
      <c r="S1219" s="294"/>
      <c r="T1219" s="294"/>
      <c r="U1219" s="326"/>
      <c r="V1219" s="294"/>
      <c r="W1219" s="294"/>
      <c r="X1219" s="294"/>
      <c r="Y1219" s="294"/>
      <c r="Z1219" s="294"/>
      <c r="AA1219" s="294"/>
      <c r="AB1219" s="294"/>
      <c r="AC1219" s="294"/>
    </row>
    <row r="1220" spans="2:29" x14ac:dyDescent="0.25">
      <c r="B1220" s="294"/>
      <c r="C1220" s="294"/>
      <c r="D1220" s="294"/>
      <c r="E1220" s="294"/>
      <c r="F1220" s="294"/>
      <c r="G1220" s="294"/>
      <c r="H1220" s="294"/>
      <c r="I1220" s="294"/>
      <c r="J1220" s="294"/>
      <c r="L1220" s="295"/>
      <c r="M1220" s="294"/>
      <c r="O1220" s="294"/>
      <c r="P1220" s="294"/>
      <c r="Q1220" s="294"/>
      <c r="R1220" s="294"/>
      <c r="S1220" s="294"/>
      <c r="T1220" s="294"/>
      <c r="U1220" s="326"/>
      <c r="V1220" s="294"/>
      <c r="W1220" s="294"/>
      <c r="X1220" s="294"/>
      <c r="Y1220" s="294"/>
      <c r="Z1220" s="294"/>
      <c r="AA1220" s="294"/>
      <c r="AB1220" s="294"/>
      <c r="AC1220" s="294"/>
    </row>
    <row r="1221" spans="2:29" x14ac:dyDescent="0.25">
      <c r="B1221" s="294"/>
      <c r="C1221" s="294"/>
      <c r="D1221" s="294"/>
      <c r="E1221" s="294"/>
      <c r="F1221" s="294"/>
      <c r="G1221" s="294"/>
      <c r="H1221" s="294"/>
      <c r="I1221" s="294"/>
      <c r="J1221" s="294"/>
      <c r="L1221" s="295"/>
      <c r="M1221" s="294"/>
      <c r="O1221" s="294"/>
      <c r="P1221" s="294"/>
      <c r="Q1221" s="294"/>
      <c r="R1221" s="294"/>
      <c r="S1221" s="294"/>
      <c r="T1221" s="294"/>
      <c r="U1221" s="326"/>
      <c r="V1221" s="294"/>
      <c r="W1221" s="294"/>
      <c r="X1221" s="294"/>
      <c r="Y1221" s="294"/>
      <c r="Z1221" s="294"/>
      <c r="AA1221" s="294"/>
      <c r="AB1221" s="294"/>
      <c r="AC1221" s="294"/>
    </row>
    <row r="1222" spans="2:29" x14ac:dyDescent="0.25">
      <c r="B1222" s="294"/>
      <c r="C1222" s="294"/>
      <c r="D1222" s="294"/>
      <c r="E1222" s="294"/>
      <c r="F1222" s="294"/>
      <c r="G1222" s="294"/>
      <c r="H1222" s="294"/>
      <c r="I1222" s="294"/>
      <c r="J1222" s="294"/>
      <c r="L1222" s="295"/>
      <c r="M1222" s="294"/>
      <c r="O1222" s="294"/>
      <c r="P1222" s="294"/>
      <c r="Q1222" s="294"/>
      <c r="R1222" s="294"/>
      <c r="S1222" s="294"/>
      <c r="T1222" s="294"/>
      <c r="U1222" s="326"/>
      <c r="V1222" s="294"/>
      <c r="W1222" s="294"/>
      <c r="X1222" s="294"/>
      <c r="Y1222" s="294"/>
      <c r="Z1222" s="294"/>
      <c r="AA1222" s="294"/>
      <c r="AB1222" s="294"/>
      <c r="AC1222" s="294"/>
    </row>
    <row r="1223" spans="2:29" x14ac:dyDescent="0.25">
      <c r="B1223" s="294"/>
      <c r="C1223" s="294"/>
      <c r="D1223" s="294"/>
      <c r="E1223" s="294"/>
      <c r="F1223" s="294"/>
      <c r="G1223" s="294"/>
      <c r="H1223" s="294"/>
      <c r="I1223" s="294"/>
      <c r="J1223" s="294"/>
      <c r="L1223" s="295"/>
      <c r="M1223" s="294"/>
      <c r="O1223" s="294"/>
      <c r="P1223" s="294"/>
      <c r="Q1223" s="294"/>
      <c r="R1223" s="294"/>
      <c r="S1223" s="294"/>
      <c r="T1223" s="294"/>
      <c r="U1223" s="326"/>
      <c r="V1223" s="294"/>
      <c r="W1223" s="294"/>
      <c r="X1223" s="294"/>
      <c r="Y1223" s="294"/>
      <c r="Z1223" s="294"/>
      <c r="AA1223" s="294"/>
      <c r="AB1223" s="294"/>
      <c r="AC1223" s="294"/>
    </row>
    <row r="1224" spans="2:29" x14ac:dyDescent="0.25">
      <c r="B1224" s="294"/>
      <c r="C1224" s="294"/>
      <c r="D1224" s="294"/>
      <c r="E1224" s="294"/>
      <c r="F1224" s="294"/>
      <c r="G1224" s="294"/>
      <c r="H1224" s="294"/>
      <c r="I1224" s="294"/>
      <c r="J1224" s="294"/>
      <c r="L1224" s="295"/>
      <c r="M1224" s="294"/>
      <c r="O1224" s="294"/>
      <c r="P1224" s="294"/>
      <c r="Q1224" s="294"/>
      <c r="R1224" s="294"/>
      <c r="S1224" s="294"/>
      <c r="T1224" s="294"/>
      <c r="U1224" s="326"/>
      <c r="V1224" s="294"/>
      <c r="W1224" s="294"/>
      <c r="X1224" s="294"/>
      <c r="Y1224" s="294"/>
      <c r="Z1224" s="294"/>
      <c r="AA1224" s="294"/>
      <c r="AB1224" s="294"/>
      <c r="AC1224" s="294"/>
    </row>
    <row r="1225" spans="2:29" x14ac:dyDescent="0.25">
      <c r="B1225" s="294"/>
      <c r="C1225" s="294"/>
      <c r="D1225" s="294"/>
      <c r="E1225" s="294"/>
      <c r="F1225" s="294"/>
      <c r="G1225" s="294"/>
      <c r="H1225" s="294"/>
      <c r="I1225" s="294"/>
      <c r="J1225" s="294"/>
      <c r="L1225" s="295"/>
      <c r="M1225" s="294"/>
      <c r="O1225" s="294"/>
      <c r="P1225" s="294"/>
      <c r="Q1225" s="294"/>
      <c r="R1225" s="294"/>
      <c r="S1225" s="294"/>
      <c r="T1225" s="294"/>
      <c r="U1225" s="326"/>
      <c r="V1225" s="294"/>
      <c r="W1225" s="294"/>
      <c r="X1225" s="294"/>
      <c r="Y1225" s="294"/>
      <c r="Z1225" s="294"/>
      <c r="AA1225" s="294"/>
      <c r="AB1225" s="294"/>
      <c r="AC1225" s="294"/>
    </row>
    <row r="1226" spans="2:29" x14ac:dyDescent="0.25">
      <c r="B1226" s="294"/>
      <c r="C1226" s="294"/>
      <c r="D1226" s="294"/>
      <c r="E1226" s="294"/>
      <c r="F1226" s="294"/>
      <c r="G1226" s="294"/>
      <c r="H1226" s="294"/>
      <c r="I1226" s="294"/>
      <c r="J1226" s="294"/>
      <c r="L1226" s="295"/>
      <c r="M1226" s="294"/>
      <c r="O1226" s="294"/>
      <c r="P1226" s="294"/>
      <c r="Q1226" s="294"/>
      <c r="R1226" s="294"/>
      <c r="S1226" s="294"/>
      <c r="T1226" s="294"/>
      <c r="U1226" s="326"/>
      <c r="V1226" s="294"/>
      <c r="W1226" s="294"/>
      <c r="X1226" s="294"/>
      <c r="Y1226" s="294"/>
      <c r="Z1226" s="294"/>
      <c r="AA1226" s="294"/>
      <c r="AB1226" s="294"/>
      <c r="AC1226" s="294"/>
    </row>
    <row r="1227" spans="2:29" x14ac:dyDescent="0.25">
      <c r="B1227" s="294"/>
      <c r="C1227" s="294"/>
      <c r="D1227" s="294"/>
      <c r="E1227" s="294"/>
      <c r="F1227" s="294"/>
      <c r="G1227" s="294"/>
      <c r="H1227" s="294"/>
      <c r="I1227" s="294"/>
      <c r="J1227" s="294"/>
      <c r="L1227" s="295"/>
      <c r="M1227" s="294"/>
      <c r="O1227" s="294"/>
      <c r="P1227" s="294"/>
      <c r="Q1227" s="294"/>
      <c r="R1227" s="294"/>
      <c r="S1227" s="294"/>
      <c r="T1227" s="294"/>
      <c r="U1227" s="326"/>
      <c r="V1227" s="294"/>
      <c r="W1227" s="294"/>
      <c r="X1227" s="294"/>
      <c r="Y1227" s="294"/>
      <c r="Z1227" s="294"/>
      <c r="AA1227" s="294"/>
      <c r="AB1227" s="294"/>
      <c r="AC1227" s="294"/>
    </row>
    <row r="1228" spans="2:29" x14ac:dyDescent="0.25">
      <c r="B1228" s="294"/>
      <c r="C1228" s="294"/>
      <c r="D1228" s="294"/>
      <c r="E1228" s="294"/>
      <c r="F1228" s="294"/>
      <c r="G1228" s="294"/>
      <c r="H1228" s="294"/>
      <c r="I1228" s="294"/>
      <c r="J1228" s="294"/>
      <c r="L1228" s="295"/>
      <c r="M1228" s="294"/>
      <c r="O1228" s="294"/>
      <c r="P1228" s="294"/>
      <c r="Q1228" s="294"/>
      <c r="R1228" s="294"/>
      <c r="S1228" s="294"/>
      <c r="T1228" s="294"/>
      <c r="U1228" s="326"/>
      <c r="V1228" s="294"/>
      <c r="W1228" s="294"/>
      <c r="X1228" s="294"/>
      <c r="Y1228" s="294"/>
      <c r="Z1228" s="294"/>
      <c r="AA1228" s="294"/>
      <c r="AB1228" s="294"/>
      <c r="AC1228" s="294"/>
    </row>
    <row r="1229" spans="2:29" x14ac:dyDescent="0.25">
      <c r="B1229" s="294"/>
      <c r="C1229" s="294"/>
      <c r="D1229" s="294"/>
      <c r="E1229" s="294"/>
      <c r="F1229" s="294"/>
      <c r="G1229" s="294"/>
      <c r="H1229" s="294"/>
      <c r="I1229" s="294"/>
      <c r="J1229" s="294"/>
      <c r="L1229" s="295"/>
      <c r="M1229" s="294"/>
      <c r="O1229" s="294"/>
      <c r="P1229" s="294"/>
      <c r="Q1229" s="294"/>
      <c r="R1229" s="294"/>
      <c r="S1229" s="294"/>
      <c r="T1229" s="294"/>
      <c r="U1229" s="326"/>
      <c r="V1229" s="294"/>
      <c r="W1229" s="294"/>
      <c r="X1229" s="294"/>
      <c r="Y1229" s="294"/>
      <c r="Z1229" s="294"/>
      <c r="AA1229" s="294"/>
      <c r="AB1229" s="294"/>
      <c r="AC1229" s="294"/>
    </row>
    <row r="1230" spans="2:29" x14ac:dyDescent="0.25">
      <c r="B1230" s="294"/>
      <c r="C1230" s="294"/>
      <c r="D1230" s="294"/>
      <c r="E1230" s="294"/>
      <c r="F1230" s="294"/>
      <c r="G1230" s="294"/>
      <c r="H1230" s="294"/>
      <c r="I1230" s="294"/>
      <c r="J1230" s="294"/>
      <c r="L1230" s="295"/>
      <c r="M1230" s="294"/>
      <c r="O1230" s="294"/>
      <c r="P1230" s="294"/>
      <c r="Q1230" s="294"/>
      <c r="R1230" s="294"/>
      <c r="S1230" s="294"/>
      <c r="T1230" s="294"/>
      <c r="U1230" s="326"/>
      <c r="V1230" s="294"/>
      <c r="W1230" s="294"/>
      <c r="X1230" s="294"/>
      <c r="Y1230" s="294"/>
      <c r="Z1230" s="294"/>
      <c r="AA1230" s="294"/>
      <c r="AB1230" s="294"/>
      <c r="AC1230" s="294"/>
    </row>
    <row r="1231" spans="2:29" x14ac:dyDescent="0.25">
      <c r="B1231" s="294"/>
      <c r="C1231" s="294"/>
      <c r="D1231" s="294"/>
      <c r="E1231" s="294"/>
      <c r="F1231" s="294"/>
      <c r="G1231" s="294"/>
      <c r="H1231" s="294"/>
      <c r="I1231" s="294"/>
      <c r="J1231" s="294"/>
      <c r="L1231" s="295"/>
      <c r="M1231" s="294"/>
      <c r="O1231" s="294"/>
      <c r="P1231" s="294"/>
      <c r="Q1231" s="294"/>
      <c r="R1231" s="294"/>
      <c r="S1231" s="294"/>
      <c r="T1231" s="294"/>
      <c r="U1231" s="326"/>
      <c r="V1231" s="294"/>
      <c r="W1231" s="294"/>
      <c r="X1231" s="294"/>
      <c r="Y1231" s="294"/>
      <c r="Z1231" s="294"/>
      <c r="AA1231" s="294"/>
      <c r="AB1231" s="294"/>
      <c r="AC1231" s="294"/>
    </row>
    <row r="1232" spans="2:29" x14ac:dyDescent="0.25">
      <c r="B1232" s="294"/>
      <c r="C1232" s="294"/>
      <c r="D1232" s="294"/>
      <c r="E1232" s="294"/>
      <c r="F1232" s="294"/>
      <c r="G1232" s="294"/>
      <c r="H1232" s="294"/>
      <c r="I1232" s="294"/>
      <c r="J1232" s="294"/>
      <c r="L1232" s="295"/>
      <c r="M1232" s="294"/>
      <c r="O1232" s="294"/>
      <c r="P1232" s="294"/>
      <c r="Q1232" s="294"/>
      <c r="R1232" s="294"/>
      <c r="S1232" s="294"/>
      <c r="T1232" s="294"/>
      <c r="U1232" s="326"/>
      <c r="V1232" s="294"/>
      <c r="W1232" s="294"/>
      <c r="X1232" s="294"/>
      <c r="Y1232" s="294"/>
      <c r="Z1232" s="294"/>
      <c r="AA1232" s="294"/>
      <c r="AB1232" s="294"/>
      <c r="AC1232" s="294"/>
    </row>
    <row r="1233" spans="2:29" x14ac:dyDescent="0.25">
      <c r="B1233" s="294"/>
      <c r="C1233" s="294"/>
      <c r="D1233" s="294"/>
      <c r="E1233" s="294"/>
      <c r="F1233" s="294"/>
      <c r="G1233" s="294"/>
      <c r="H1233" s="294"/>
      <c r="I1233" s="294"/>
      <c r="J1233" s="294"/>
      <c r="L1233" s="295"/>
      <c r="M1233" s="294"/>
      <c r="O1233" s="294"/>
      <c r="P1233" s="294"/>
      <c r="Q1233" s="294"/>
      <c r="R1233" s="294"/>
      <c r="S1233" s="294"/>
      <c r="T1233" s="294"/>
      <c r="U1233" s="326"/>
      <c r="V1233" s="294"/>
      <c r="W1233" s="294"/>
      <c r="X1233" s="294"/>
      <c r="Y1233" s="294"/>
      <c r="Z1233" s="294"/>
      <c r="AA1233" s="294"/>
      <c r="AB1233" s="294"/>
      <c r="AC1233" s="294"/>
    </row>
    <row r="1234" spans="2:29" x14ac:dyDescent="0.25">
      <c r="B1234" s="294"/>
      <c r="C1234" s="294"/>
      <c r="D1234" s="294"/>
      <c r="E1234" s="294"/>
      <c r="F1234" s="294"/>
      <c r="G1234" s="294"/>
      <c r="H1234" s="294"/>
      <c r="I1234" s="294"/>
      <c r="J1234" s="294"/>
      <c r="L1234" s="295"/>
      <c r="M1234" s="294"/>
      <c r="O1234" s="294"/>
      <c r="P1234" s="294"/>
      <c r="Q1234" s="294"/>
      <c r="R1234" s="294"/>
      <c r="S1234" s="294"/>
      <c r="T1234" s="294"/>
      <c r="U1234" s="326"/>
      <c r="V1234" s="294"/>
      <c r="W1234" s="294"/>
      <c r="X1234" s="294"/>
      <c r="Y1234" s="294"/>
      <c r="Z1234" s="294"/>
      <c r="AA1234" s="294"/>
      <c r="AB1234" s="294"/>
      <c r="AC1234" s="294"/>
    </row>
    <row r="1235" spans="2:29" x14ac:dyDescent="0.25">
      <c r="B1235" s="294"/>
      <c r="C1235" s="294"/>
      <c r="D1235" s="294"/>
      <c r="E1235" s="294"/>
      <c r="F1235" s="294"/>
      <c r="G1235" s="294"/>
      <c r="H1235" s="294"/>
      <c r="I1235" s="294"/>
      <c r="J1235" s="294"/>
      <c r="L1235" s="295"/>
      <c r="M1235" s="294"/>
      <c r="O1235" s="294"/>
      <c r="P1235" s="294"/>
      <c r="Q1235" s="294"/>
      <c r="R1235" s="294"/>
      <c r="S1235" s="294"/>
      <c r="T1235" s="294"/>
      <c r="U1235" s="326"/>
      <c r="V1235" s="294"/>
      <c r="W1235" s="294"/>
      <c r="X1235" s="294"/>
      <c r="Y1235" s="294"/>
      <c r="Z1235" s="294"/>
      <c r="AA1235" s="294"/>
      <c r="AB1235" s="294"/>
      <c r="AC1235" s="294"/>
    </row>
    <row r="1236" spans="2:29" x14ac:dyDescent="0.25">
      <c r="B1236" s="294"/>
      <c r="C1236" s="294"/>
      <c r="D1236" s="294"/>
      <c r="E1236" s="294"/>
      <c r="F1236" s="294"/>
      <c r="G1236" s="294"/>
      <c r="H1236" s="294"/>
      <c r="I1236" s="294"/>
      <c r="J1236" s="294"/>
      <c r="L1236" s="295"/>
      <c r="M1236" s="294"/>
      <c r="O1236" s="294"/>
      <c r="P1236" s="294"/>
      <c r="Q1236" s="294"/>
      <c r="R1236" s="294"/>
      <c r="S1236" s="294"/>
      <c r="T1236" s="294"/>
      <c r="U1236" s="326"/>
      <c r="V1236" s="294"/>
      <c r="W1236" s="294"/>
      <c r="X1236" s="294"/>
      <c r="Y1236" s="294"/>
      <c r="Z1236" s="294"/>
      <c r="AA1236" s="294"/>
      <c r="AB1236" s="294"/>
      <c r="AC1236" s="294"/>
    </row>
    <row r="1237" spans="2:29" x14ac:dyDescent="0.25">
      <c r="B1237" s="294"/>
      <c r="C1237" s="294"/>
      <c r="D1237" s="294"/>
      <c r="E1237" s="294"/>
      <c r="F1237" s="294"/>
      <c r="G1237" s="294"/>
      <c r="H1237" s="294"/>
      <c r="I1237" s="294"/>
      <c r="J1237" s="294"/>
      <c r="L1237" s="295"/>
      <c r="M1237" s="294"/>
      <c r="O1237" s="294"/>
      <c r="P1237" s="294"/>
      <c r="Q1237" s="294"/>
      <c r="R1237" s="294"/>
      <c r="S1237" s="294"/>
      <c r="T1237" s="294"/>
      <c r="U1237" s="326"/>
      <c r="V1237" s="294"/>
      <c r="W1237" s="294"/>
      <c r="X1237" s="294"/>
      <c r="Y1237" s="294"/>
      <c r="Z1237" s="294"/>
      <c r="AA1237" s="294"/>
      <c r="AB1237" s="294"/>
      <c r="AC1237" s="294"/>
    </row>
    <row r="1238" spans="2:29" x14ac:dyDescent="0.25">
      <c r="B1238" s="294"/>
      <c r="C1238" s="294"/>
      <c r="D1238" s="294"/>
      <c r="E1238" s="294"/>
      <c r="F1238" s="294"/>
      <c r="G1238" s="294"/>
      <c r="H1238" s="294"/>
      <c r="I1238" s="294"/>
      <c r="J1238" s="294"/>
      <c r="L1238" s="295"/>
      <c r="M1238" s="294"/>
      <c r="O1238" s="294"/>
      <c r="P1238" s="294"/>
      <c r="Q1238" s="294"/>
      <c r="R1238" s="294"/>
      <c r="S1238" s="294"/>
      <c r="T1238" s="294"/>
      <c r="U1238" s="326"/>
      <c r="V1238" s="294"/>
      <c r="W1238" s="294"/>
      <c r="X1238" s="294"/>
      <c r="Y1238" s="294"/>
      <c r="Z1238" s="294"/>
      <c r="AA1238" s="294"/>
      <c r="AB1238" s="294"/>
      <c r="AC1238" s="294"/>
    </row>
    <row r="1239" spans="2:29" x14ac:dyDescent="0.25">
      <c r="B1239" s="294"/>
      <c r="C1239" s="294"/>
      <c r="D1239" s="294"/>
      <c r="E1239" s="294"/>
      <c r="F1239" s="294"/>
      <c r="G1239" s="294"/>
      <c r="H1239" s="294"/>
      <c r="I1239" s="294"/>
      <c r="J1239" s="294"/>
      <c r="L1239" s="295"/>
      <c r="M1239" s="294"/>
      <c r="O1239" s="294"/>
      <c r="P1239" s="294"/>
      <c r="Q1239" s="294"/>
      <c r="R1239" s="294"/>
      <c r="S1239" s="294"/>
      <c r="T1239" s="294"/>
      <c r="U1239" s="326"/>
      <c r="V1239" s="294"/>
      <c r="W1239" s="294"/>
      <c r="X1239" s="294"/>
      <c r="Y1239" s="294"/>
      <c r="Z1239" s="294"/>
      <c r="AA1239" s="294"/>
      <c r="AB1239" s="294"/>
      <c r="AC1239" s="294"/>
    </row>
    <row r="1240" spans="2:29" x14ac:dyDescent="0.25">
      <c r="B1240" s="294"/>
      <c r="C1240" s="294"/>
      <c r="D1240" s="294"/>
      <c r="E1240" s="294"/>
      <c r="F1240" s="294"/>
      <c r="G1240" s="294"/>
      <c r="H1240" s="294"/>
      <c r="I1240" s="294"/>
      <c r="J1240" s="294"/>
      <c r="L1240" s="295"/>
      <c r="M1240" s="294"/>
      <c r="O1240" s="294"/>
      <c r="P1240" s="294"/>
      <c r="Q1240" s="294"/>
      <c r="R1240" s="294"/>
      <c r="S1240" s="294"/>
      <c r="T1240" s="294"/>
      <c r="U1240" s="326"/>
      <c r="V1240" s="294"/>
      <c r="W1240" s="294"/>
      <c r="X1240" s="294"/>
      <c r="Y1240" s="294"/>
      <c r="Z1240" s="294"/>
      <c r="AA1240" s="294"/>
      <c r="AB1240" s="294"/>
      <c r="AC1240" s="294"/>
    </row>
    <row r="1241" spans="2:29" x14ac:dyDescent="0.25">
      <c r="B1241" s="294"/>
      <c r="C1241" s="294"/>
      <c r="D1241" s="294"/>
      <c r="E1241" s="294"/>
      <c r="F1241" s="294"/>
      <c r="G1241" s="294"/>
      <c r="H1241" s="294"/>
      <c r="I1241" s="294"/>
      <c r="J1241" s="294"/>
      <c r="L1241" s="295"/>
      <c r="M1241" s="294"/>
      <c r="O1241" s="294"/>
      <c r="P1241" s="294"/>
      <c r="Q1241" s="294"/>
      <c r="R1241" s="294"/>
      <c r="S1241" s="294"/>
      <c r="T1241" s="294"/>
      <c r="U1241" s="326"/>
      <c r="V1241" s="294"/>
      <c r="W1241" s="294"/>
      <c r="X1241" s="294"/>
      <c r="Y1241" s="294"/>
      <c r="Z1241" s="294"/>
      <c r="AA1241" s="294"/>
      <c r="AB1241" s="294"/>
      <c r="AC1241" s="294"/>
    </row>
    <row r="1242" spans="2:29" x14ac:dyDescent="0.25">
      <c r="B1242" s="294"/>
      <c r="C1242" s="294"/>
      <c r="D1242" s="294"/>
      <c r="E1242" s="294"/>
      <c r="F1242" s="294"/>
      <c r="G1242" s="294"/>
      <c r="H1242" s="294"/>
      <c r="I1242" s="294"/>
      <c r="J1242" s="294"/>
      <c r="L1242" s="295"/>
      <c r="M1242" s="294"/>
      <c r="O1242" s="294"/>
      <c r="P1242" s="294"/>
      <c r="Q1242" s="294"/>
      <c r="R1242" s="294"/>
      <c r="S1242" s="294"/>
      <c r="T1242" s="294"/>
      <c r="U1242" s="326"/>
      <c r="V1242" s="294"/>
      <c r="W1242" s="294"/>
      <c r="X1242" s="294"/>
      <c r="Y1242" s="294"/>
      <c r="Z1242" s="294"/>
      <c r="AA1242" s="294"/>
      <c r="AB1242" s="294"/>
      <c r="AC1242" s="294"/>
    </row>
    <row r="1243" spans="2:29" x14ac:dyDescent="0.25">
      <c r="B1243" s="294"/>
      <c r="C1243" s="294"/>
      <c r="D1243" s="294"/>
      <c r="E1243" s="294"/>
      <c r="F1243" s="294"/>
      <c r="G1243" s="294"/>
      <c r="H1243" s="294"/>
      <c r="I1243" s="294"/>
      <c r="J1243" s="294"/>
      <c r="L1243" s="295"/>
      <c r="M1243" s="294"/>
      <c r="O1243" s="294"/>
      <c r="P1243" s="294"/>
      <c r="Q1243" s="294"/>
      <c r="R1243" s="294"/>
      <c r="S1243" s="294"/>
      <c r="T1243" s="294"/>
      <c r="U1243" s="326"/>
      <c r="V1243" s="294"/>
      <c r="W1243" s="294"/>
      <c r="X1243" s="294"/>
      <c r="Y1243" s="294"/>
      <c r="Z1243" s="294"/>
      <c r="AA1243" s="294"/>
      <c r="AB1243" s="294"/>
      <c r="AC1243" s="294"/>
    </row>
    <row r="1244" spans="2:29" x14ac:dyDescent="0.25">
      <c r="B1244" s="294"/>
      <c r="C1244" s="294"/>
      <c r="D1244" s="294"/>
      <c r="E1244" s="294"/>
      <c r="F1244" s="294"/>
      <c r="G1244" s="294"/>
      <c r="H1244" s="294"/>
      <c r="I1244" s="294"/>
      <c r="J1244" s="294"/>
      <c r="L1244" s="295"/>
      <c r="M1244" s="294"/>
      <c r="O1244" s="294"/>
      <c r="P1244" s="294"/>
      <c r="Q1244" s="294"/>
      <c r="R1244" s="294"/>
      <c r="S1244" s="294"/>
      <c r="T1244" s="294"/>
      <c r="U1244" s="326"/>
      <c r="V1244" s="294"/>
      <c r="W1244" s="294"/>
      <c r="X1244" s="294"/>
      <c r="Y1244" s="294"/>
      <c r="Z1244" s="294"/>
      <c r="AA1244" s="294"/>
      <c r="AB1244" s="294"/>
      <c r="AC1244" s="294"/>
    </row>
    <row r="1245" spans="2:29" x14ac:dyDescent="0.25">
      <c r="B1245" s="294"/>
      <c r="C1245" s="294"/>
      <c r="D1245" s="294"/>
      <c r="E1245" s="294"/>
      <c r="F1245" s="294"/>
      <c r="G1245" s="294"/>
      <c r="H1245" s="294"/>
      <c r="I1245" s="294"/>
      <c r="J1245" s="294"/>
      <c r="L1245" s="295"/>
      <c r="M1245" s="294"/>
      <c r="O1245" s="294"/>
      <c r="P1245" s="294"/>
      <c r="Q1245" s="294"/>
      <c r="R1245" s="294"/>
      <c r="S1245" s="294"/>
      <c r="T1245" s="294"/>
      <c r="U1245" s="326"/>
      <c r="V1245" s="294"/>
      <c r="W1245" s="294"/>
      <c r="X1245" s="294"/>
      <c r="Y1245" s="294"/>
      <c r="Z1245" s="294"/>
      <c r="AA1245" s="294"/>
      <c r="AB1245" s="294"/>
      <c r="AC1245" s="294"/>
    </row>
    <row r="1246" spans="2:29" x14ac:dyDescent="0.25">
      <c r="B1246" s="294"/>
      <c r="C1246" s="294"/>
      <c r="D1246" s="294"/>
      <c r="E1246" s="294"/>
      <c r="F1246" s="294"/>
      <c r="G1246" s="294"/>
      <c r="H1246" s="294"/>
      <c r="I1246" s="294"/>
      <c r="J1246" s="294"/>
      <c r="L1246" s="295"/>
      <c r="M1246" s="294"/>
      <c r="O1246" s="294"/>
      <c r="P1246" s="294"/>
      <c r="Q1246" s="294"/>
      <c r="R1246" s="294"/>
      <c r="S1246" s="294"/>
      <c r="T1246" s="294"/>
      <c r="U1246" s="326"/>
      <c r="V1246" s="294"/>
      <c r="W1246" s="294"/>
      <c r="X1246" s="294"/>
      <c r="Y1246" s="294"/>
      <c r="Z1246" s="294"/>
      <c r="AA1246" s="294"/>
      <c r="AB1246" s="294"/>
      <c r="AC1246" s="294"/>
    </row>
    <row r="1247" spans="2:29" x14ac:dyDescent="0.25">
      <c r="B1247" s="294"/>
      <c r="C1247" s="294"/>
      <c r="D1247" s="294"/>
      <c r="E1247" s="294"/>
      <c r="F1247" s="294"/>
      <c r="G1247" s="294"/>
      <c r="H1247" s="294"/>
      <c r="I1247" s="294"/>
      <c r="J1247" s="294"/>
      <c r="L1247" s="295"/>
      <c r="M1247" s="294"/>
      <c r="O1247" s="294"/>
      <c r="P1247" s="294"/>
      <c r="Q1247" s="294"/>
      <c r="R1247" s="294"/>
      <c r="S1247" s="294"/>
      <c r="T1247" s="294"/>
      <c r="U1247" s="326"/>
      <c r="V1247" s="294"/>
      <c r="W1247" s="294"/>
      <c r="X1247" s="294"/>
      <c r="Y1247" s="294"/>
      <c r="Z1247" s="294"/>
      <c r="AA1247" s="294"/>
      <c r="AB1247" s="294"/>
      <c r="AC1247" s="294"/>
    </row>
    <row r="1248" spans="2:29" x14ac:dyDescent="0.25">
      <c r="B1248" s="294"/>
      <c r="C1248" s="294"/>
      <c r="D1248" s="294"/>
      <c r="E1248" s="294"/>
      <c r="F1248" s="294"/>
      <c r="G1248" s="294"/>
      <c r="H1248" s="294"/>
      <c r="I1248" s="294"/>
      <c r="J1248" s="294"/>
      <c r="L1248" s="295"/>
      <c r="M1248" s="294"/>
      <c r="O1248" s="294"/>
      <c r="P1248" s="294"/>
      <c r="Q1248" s="294"/>
      <c r="R1248" s="294"/>
      <c r="S1248" s="294"/>
      <c r="T1248" s="294"/>
      <c r="U1248" s="326"/>
      <c r="V1248" s="294"/>
      <c r="W1248" s="294"/>
      <c r="X1248" s="294"/>
      <c r="Y1248" s="294"/>
      <c r="Z1248" s="294"/>
      <c r="AA1248" s="294"/>
      <c r="AB1248" s="294"/>
      <c r="AC1248" s="294"/>
    </row>
    <row r="1249" spans="2:29" x14ac:dyDescent="0.25">
      <c r="B1249" s="294"/>
      <c r="C1249" s="294"/>
      <c r="D1249" s="294"/>
      <c r="E1249" s="294"/>
      <c r="F1249" s="294"/>
      <c r="G1249" s="294"/>
      <c r="H1249" s="294"/>
      <c r="I1249" s="294"/>
      <c r="J1249" s="294"/>
      <c r="L1249" s="295"/>
      <c r="M1249" s="294"/>
      <c r="O1249" s="294"/>
      <c r="P1249" s="294"/>
      <c r="Q1249" s="294"/>
      <c r="R1249" s="294"/>
      <c r="S1249" s="294"/>
      <c r="T1249" s="294"/>
      <c r="U1249" s="326"/>
      <c r="V1249" s="294"/>
      <c r="W1249" s="294"/>
      <c r="X1249" s="294"/>
      <c r="Y1249" s="294"/>
      <c r="Z1249" s="294"/>
      <c r="AA1249" s="294"/>
      <c r="AB1249" s="294"/>
      <c r="AC1249" s="294"/>
    </row>
    <row r="1250" spans="2:29" x14ac:dyDescent="0.25">
      <c r="B1250" s="294"/>
      <c r="C1250" s="294"/>
      <c r="D1250" s="294"/>
      <c r="E1250" s="294"/>
      <c r="F1250" s="294"/>
      <c r="G1250" s="294"/>
      <c r="H1250" s="294"/>
      <c r="I1250" s="294"/>
      <c r="J1250" s="294"/>
      <c r="L1250" s="295"/>
      <c r="M1250" s="294"/>
      <c r="O1250" s="294"/>
      <c r="P1250" s="294"/>
      <c r="Q1250" s="294"/>
      <c r="R1250" s="294"/>
      <c r="S1250" s="294"/>
      <c r="T1250" s="294"/>
      <c r="U1250" s="326"/>
      <c r="V1250" s="294"/>
      <c r="W1250" s="294"/>
      <c r="X1250" s="294"/>
      <c r="Y1250" s="294"/>
      <c r="Z1250" s="294"/>
      <c r="AA1250" s="294"/>
      <c r="AB1250" s="294"/>
      <c r="AC1250" s="294"/>
    </row>
    <row r="1251" spans="2:29" x14ac:dyDescent="0.25">
      <c r="B1251" s="294"/>
      <c r="C1251" s="294"/>
      <c r="D1251" s="294"/>
      <c r="E1251" s="294"/>
      <c r="F1251" s="294"/>
      <c r="G1251" s="294"/>
      <c r="H1251" s="294"/>
      <c r="I1251" s="294"/>
      <c r="J1251" s="294"/>
      <c r="L1251" s="295"/>
      <c r="M1251" s="294"/>
      <c r="O1251" s="294"/>
      <c r="P1251" s="294"/>
      <c r="Q1251" s="294"/>
      <c r="R1251" s="294"/>
      <c r="S1251" s="294"/>
      <c r="T1251" s="294"/>
      <c r="U1251" s="326"/>
      <c r="V1251" s="294"/>
      <c r="W1251" s="294"/>
      <c r="X1251" s="294"/>
      <c r="Y1251" s="294"/>
      <c r="Z1251" s="294"/>
      <c r="AA1251" s="294"/>
      <c r="AB1251" s="294"/>
      <c r="AC1251" s="294"/>
    </row>
    <row r="1252" spans="2:29" x14ac:dyDescent="0.25">
      <c r="B1252" s="294"/>
      <c r="C1252" s="294"/>
      <c r="D1252" s="294"/>
      <c r="E1252" s="294"/>
      <c r="F1252" s="294"/>
      <c r="G1252" s="294"/>
      <c r="H1252" s="294"/>
      <c r="I1252" s="294"/>
      <c r="J1252" s="294"/>
      <c r="L1252" s="295"/>
      <c r="M1252" s="294"/>
      <c r="O1252" s="294"/>
      <c r="P1252" s="294"/>
      <c r="Q1252" s="294"/>
      <c r="R1252" s="294"/>
      <c r="S1252" s="294"/>
      <c r="T1252" s="294"/>
      <c r="U1252" s="326"/>
      <c r="V1252" s="294"/>
      <c r="W1252" s="294"/>
      <c r="X1252" s="294"/>
      <c r="Y1252" s="294"/>
      <c r="Z1252" s="294"/>
      <c r="AA1252" s="294"/>
      <c r="AB1252" s="294"/>
      <c r="AC1252" s="294"/>
    </row>
    <row r="1253" spans="2:29" x14ac:dyDescent="0.25">
      <c r="B1253" s="294"/>
      <c r="C1253" s="294"/>
      <c r="D1253" s="294"/>
      <c r="E1253" s="294"/>
      <c r="F1253" s="294"/>
      <c r="G1253" s="294"/>
      <c r="H1253" s="294"/>
      <c r="I1253" s="294"/>
      <c r="J1253" s="294"/>
      <c r="L1253" s="295"/>
      <c r="M1253" s="294"/>
      <c r="O1253" s="294"/>
      <c r="P1253" s="294"/>
      <c r="Q1253" s="294"/>
      <c r="R1253" s="294"/>
      <c r="S1253" s="294"/>
      <c r="T1253" s="294"/>
      <c r="U1253" s="326"/>
      <c r="V1253" s="294"/>
      <c r="W1253" s="294"/>
      <c r="X1253" s="294"/>
      <c r="Y1253" s="294"/>
      <c r="Z1253" s="294"/>
      <c r="AA1253" s="294"/>
      <c r="AB1253" s="294"/>
      <c r="AC1253" s="294"/>
    </row>
    <row r="1254" spans="2:29" x14ac:dyDescent="0.25">
      <c r="B1254" s="294"/>
      <c r="C1254" s="294"/>
      <c r="D1254" s="294"/>
      <c r="E1254" s="294"/>
      <c r="F1254" s="294"/>
      <c r="G1254" s="294"/>
      <c r="H1254" s="294"/>
      <c r="I1254" s="294"/>
      <c r="J1254" s="294"/>
      <c r="L1254" s="295"/>
      <c r="M1254" s="294"/>
      <c r="O1254" s="294"/>
      <c r="P1254" s="294"/>
      <c r="Q1254" s="294"/>
      <c r="R1254" s="294"/>
      <c r="S1254" s="294"/>
      <c r="T1254" s="294"/>
      <c r="U1254" s="326"/>
      <c r="V1254" s="294"/>
      <c r="W1254" s="294"/>
      <c r="X1254" s="294"/>
      <c r="Y1254" s="294"/>
      <c r="Z1254" s="294"/>
      <c r="AA1254" s="294"/>
      <c r="AB1254" s="294"/>
      <c r="AC1254" s="294"/>
    </row>
    <row r="1255" spans="2:29" x14ac:dyDescent="0.25">
      <c r="B1255" s="294"/>
      <c r="C1255" s="294"/>
      <c r="D1255" s="294"/>
      <c r="E1255" s="294"/>
      <c r="F1255" s="294"/>
      <c r="G1255" s="294"/>
      <c r="H1255" s="294"/>
      <c r="I1255" s="294"/>
      <c r="J1255" s="294"/>
      <c r="L1255" s="295"/>
      <c r="M1255" s="294"/>
      <c r="O1255" s="294"/>
      <c r="P1255" s="294"/>
      <c r="Q1255" s="294"/>
      <c r="R1255" s="294"/>
      <c r="S1255" s="294"/>
      <c r="T1255" s="294"/>
      <c r="U1255" s="326"/>
      <c r="V1255" s="294"/>
      <c r="W1255" s="294"/>
      <c r="X1255" s="294"/>
      <c r="Y1255" s="294"/>
      <c r="Z1255" s="294"/>
      <c r="AA1255" s="294"/>
      <c r="AB1255" s="294"/>
      <c r="AC1255" s="294"/>
    </row>
    <row r="1256" spans="2:29" x14ac:dyDescent="0.25">
      <c r="B1256" s="294"/>
      <c r="C1256" s="294"/>
      <c r="D1256" s="294"/>
      <c r="E1256" s="294"/>
      <c r="F1256" s="294"/>
      <c r="G1256" s="294"/>
      <c r="H1256" s="294"/>
      <c r="I1256" s="294"/>
      <c r="J1256" s="294"/>
      <c r="L1256" s="295"/>
      <c r="M1256" s="294"/>
      <c r="O1256" s="294"/>
      <c r="P1256" s="294"/>
      <c r="Q1256" s="294"/>
      <c r="R1256" s="294"/>
      <c r="S1256" s="294"/>
      <c r="T1256" s="294"/>
      <c r="U1256" s="326"/>
      <c r="V1256" s="294"/>
      <c r="W1256" s="294"/>
      <c r="X1256" s="294"/>
      <c r="Y1256" s="294"/>
      <c r="Z1256" s="294"/>
      <c r="AA1256" s="294"/>
      <c r="AB1256" s="294"/>
      <c r="AC1256" s="294"/>
    </row>
    <row r="1257" spans="2:29" x14ac:dyDescent="0.25">
      <c r="B1257" s="294"/>
      <c r="C1257" s="294"/>
      <c r="D1257" s="294"/>
      <c r="E1257" s="294"/>
      <c r="F1257" s="294"/>
      <c r="G1257" s="294"/>
      <c r="H1257" s="294"/>
      <c r="I1257" s="294"/>
      <c r="J1257" s="294"/>
      <c r="L1257" s="295"/>
      <c r="M1257" s="294"/>
      <c r="O1257" s="294"/>
      <c r="P1257" s="294"/>
      <c r="Q1257" s="294"/>
      <c r="R1257" s="294"/>
      <c r="S1257" s="294"/>
      <c r="T1257" s="294"/>
      <c r="U1257" s="326"/>
      <c r="V1257" s="294"/>
      <c r="W1257" s="294"/>
      <c r="X1257" s="294"/>
      <c r="Y1257" s="294"/>
      <c r="Z1257" s="294"/>
      <c r="AA1257" s="294"/>
      <c r="AB1257" s="294"/>
      <c r="AC1257" s="294"/>
    </row>
    <row r="1258" spans="2:29" x14ac:dyDescent="0.25">
      <c r="B1258" s="294"/>
      <c r="C1258" s="294"/>
      <c r="D1258" s="294"/>
      <c r="E1258" s="294"/>
      <c r="F1258" s="294"/>
      <c r="G1258" s="294"/>
      <c r="H1258" s="294"/>
      <c r="I1258" s="294"/>
      <c r="J1258" s="294"/>
      <c r="L1258" s="295"/>
      <c r="M1258" s="294"/>
      <c r="O1258" s="294"/>
      <c r="P1258" s="294"/>
      <c r="Q1258" s="294"/>
      <c r="R1258" s="294"/>
      <c r="S1258" s="294"/>
      <c r="T1258" s="294"/>
      <c r="U1258" s="326"/>
      <c r="V1258" s="294"/>
      <c r="W1258" s="294"/>
      <c r="X1258" s="294"/>
      <c r="Y1258" s="294"/>
      <c r="Z1258" s="294"/>
      <c r="AA1258" s="294"/>
      <c r="AB1258" s="294"/>
      <c r="AC1258" s="294"/>
    </row>
    <row r="1259" spans="2:29" x14ac:dyDescent="0.25">
      <c r="B1259" s="294"/>
      <c r="C1259" s="294"/>
      <c r="D1259" s="294"/>
      <c r="E1259" s="294"/>
      <c r="F1259" s="294"/>
      <c r="G1259" s="294"/>
      <c r="H1259" s="294"/>
      <c r="I1259" s="294"/>
      <c r="J1259" s="294"/>
      <c r="L1259" s="295"/>
      <c r="M1259" s="294"/>
      <c r="O1259" s="294"/>
      <c r="P1259" s="294"/>
      <c r="Q1259" s="294"/>
      <c r="R1259" s="294"/>
      <c r="S1259" s="294"/>
      <c r="T1259" s="294"/>
      <c r="U1259" s="326"/>
      <c r="V1259" s="294"/>
      <c r="W1259" s="294"/>
      <c r="X1259" s="294"/>
      <c r="Y1259" s="294"/>
      <c r="Z1259" s="294"/>
      <c r="AA1259" s="294"/>
      <c r="AB1259" s="294"/>
      <c r="AC1259" s="294"/>
    </row>
    <row r="1260" spans="2:29" x14ac:dyDescent="0.25">
      <c r="B1260" s="294"/>
      <c r="C1260" s="294"/>
      <c r="D1260" s="294"/>
      <c r="E1260" s="294"/>
      <c r="F1260" s="294"/>
      <c r="G1260" s="294"/>
      <c r="H1260" s="294"/>
      <c r="I1260" s="294"/>
      <c r="J1260" s="294"/>
      <c r="L1260" s="295"/>
      <c r="M1260" s="294"/>
      <c r="O1260" s="294"/>
      <c r="P1260" s="294"/>
      <c r="Q1260" s="294"/>
      <c r="R1260" s="294"/>
      <c r="S1260" s="294"/>
      <c r="T1260" s="294"/>
      <c r="U1260" s="326"/>
      <c r="V1260" s="294"/>
      <c r="W1260" s="294"/>
      <c r="X1260" s="294"/>
      <c r="Y1260" s="294"/>
      <c r="Z1260" s="294"/>
      <c r="AA1260" s="294"/>
      <c r="AB1260" s="294"/>
      <c r="AC1260" s="294"/>
    </row>
    <row r="1261" spans="2:29" x14ac:dyDescent="0.25">
      <c r="B1261" s="294"/>
      <c r="C1261" s="294"/>
      <c r="D1261" s="294"/>
      <c r="E1261" s="294"/>
      <c r="F1261" s="294"/>
      <c r="G1261" s="294"/>
      <c r="H1261" s="294"/>
      <c r="I1261" s="294"/>
      <c r="J1261" s="294"/>
      <c r="L1261" s="295"/>
      <c r="M1261" s="294"/>
      <c r="O1261" s="294"/>
      <c r="P1261" s="294"/>
      <c r="Q1261" s="294"/>
      <c r="R1261" s="294"/>
      <c r="S1261" s="294"/>
      <c r="T1261" s="294"/>
      <c r="U1261" s="326"/>
      <c r="V1261" s="294"/>
      <c r="W1261" s="294"/>
      <c r="X1261" s="294"/>
      <c r="Y1261" s="294"/>
      <c r="Z1261" s="294"/>
      <c r="AA1261" s="294"/>
      <c r="AB1261" s="294"/>
      <c r="AC1261" s="294"/>
    </row>
    <row r="1262" spans="2:29" x14ac:dyDescent="0.25">
      <c r="B1262" s="294"/>
      <c r="C1262" s="294"/>
      <c r="D1262" s="294"/>
      <c r="E1262" s="294"/>
      <c r="F1262" s="294"/>
      <c r="G1262" s="294"/>
      <c r="H1262" s="294"/>
      <c r="I1262" s="294"/>
      <c r="J1262" s="294"/>
      <c r="L1262" s="295"/>
      <c r="M1262" s="294"/>
      <c r="O1262" s="294"/>
      <c r="P1262" s="294"/>
      <c r="Q1262" s="294"/>
      <c r="R1262" s="294"/>
      <c r="S1262" s="294"/>
      <c r="T1262" s="294"/>
      <c r="U1262" s="326"/>
      <c r="V1262" s="294"/>
      <c r="W1262" s="294"/>
      <c r="X1262" s="294"/>
      <c r="Y1262" s="294"/>
      <c r="Z1262" s="294"/>
      <c r="AA1262" s="294"/>
      <c r="AB1262" s="294"/>
      <c r="AC1262" s="294"/>
    </row>
    <row r="1263" spans="2:29" x14ac:dyDescent="0.25">
      <c r="B1263" s="294"/>
      <c r="C1263" s="294"/>
      <c r="D1263" s="294"/>
      <c r="E1263" s="294"/>
      <c r="F1263" s="294"/>
      <c r="G1263" s="294"/>
      <c r="H1263" s="294"/>
      <c r="I1263" s="294"/>
      <c r="J1263" s="294"/>
      <c r="L1263" s="295"/>
      <c r="M1263" s="294"/>
      <c r="O1263" s="294"/>
      <c r="P1263" s="294"/>
      <c r="Q1263" s="294"/>
      <c r="R1263" s="294"/>
      <c r="S1263" s="294"/>
      <c r="T1263" s="294"/>
      <c r="U1263" s="326"/>
      <c r="V1263" s="294"/>
      <c r="W1263" s="294"/>
      <c r="X1263" s="294"/>
      <c r="Y1263" s="294"/>
      <c r="Z1263" s="294"/>
      <c r="AA1263" s="294"/>
      <c r="AB1263" s="294"/>
      <c r="AC1263" s="294"/>
    </row>
    <row r="1264" spans="2:29" x14ac:dyDescent="0.25">
      <c r="B1264" s="294"/>
      <c r="C1264" s="294"/>
      <c r="D1264" s="294"/>
      <c r="E1264" s="294"/>
      <c r="F1264" s="294"/>
      <c r="G1264" s="294"/>
      <c r="H1264" s="294"/>
      <c r="I1264" s="294"/>
      <c r="J1264" s="294"/>
      <c r="L1264" s="295"/>
      <c r="M1264" s="294"/>
      <c r="O1264" s="294"/>
      <c r="P1264" s="294"/>
      <c r="Q1264" s="294"/>
      <c r="R1264" s="294"/>
      <c r="S1264" s="294"/>
      <c r="T1264" s="294"/>
      <c r="U1264" s="326"/>
      <c r="V1264" s="294"/>
      <c r="W1264" s="294"/>
      <c r="X1264" s="294"/>
      <c r="Y1264" s="294"/>
      <c r="Z1264" s="294"/>
      <c r="AA1264" s="294"/>
      <c r="AB1264" s="294"/>
      <c r="AC1264" s="294"/>
    </row>
    <row r="1265" spans="2:29" x14ac:dyDescent="0.25">
      <c r="B1265" s="294"/>
      <c r="C1265" s="294"/>
      <c r="D1265" s="294"/>
      <c r="E1265" s="294"/>
      <c r="F1265" s="294"/>
      <c r="G1265" s="294"/>
      <c r="H1265" s="294"/>
      <c r="I1265" s="294"/>
      <c r="J1265" s="294"/>
      <c r="L1265" s="295"/>
      <c r="M1265" s="294"/>
      <c r="O1265" s="294"/>
      <c r="P1265" s="294"/>
      <c r="Q1265" s="294"/>
      <c r="R1265" s="294"/>
      <c r="S1265" s="294"/>
      <c r="T1265" s="294"/>
      <c r="U1265" s="326"/>
      <c r="V1265" s="294"/>
      <c r="W1265" s="294"/>
      <c r="X1265" s="294"/>
      <c r="Y1265" s="294"/>
      <c r="Z1265" s="294"/>
      <c r="AA1265" s="294"/>
      <c r="AB1265" s="294"/>
      <c r="AC1265" s="294"/>
    </row>
    <row r="1266" spans="2:29" x14ac:dyDescent="0.25">
      <c r="B1266" s="294"/>
      <c r="C1266" s="294"/>
      <c r="D1266" s="294"/>
      <c r="E1266" s="294"/>
      <c r="F1266" s="294"/>
      <c r="G1266" s="294"/>
      <c r="H1266" s="294"/>
      <c r="I1266" s="294"/>
      <c r="J1266" s="294"/>
      <c r="L1266" s="295"/>
      <c r="M1266" s="294"/>
      <c r="O1266" s="294"/>
      <c r="P1266" s="294"/>
      <c r="Q1266" s="294"/>
      <c r="R1266" s="294"/>
      <c r="S1266" s="294"/>
      <c r="T1266" s="294"/>
      <c r="U1266" s="326"/>
      <c r="V1266" s="294"/>
      <c r="W1266" s="294"/>
      <c r="X1266" s="294"/>
      <c r="Y1266" s="294"/>
      <c r="Z1266" s="294"/>
      <c r="AA1266" s="294"/>
      <c r="AB1266" s="294"/>
      <c r="AC1266" s="294"/>
    </row>
    <row r="1267" spans="2:29" x14ac:dyDescent="0.25">
      <c r="B1267" s="294"/>
      <c r="C1267" s="294"/>
      <c r="D1267" s="294"/>
      <c r="E1267" s="294"/>
      <c r="F1267" s="294"/>
      <c r="G1267" s="294"/>
      <c r="H1267" s="294"/>
      <c r="I1267" s="294"/>
      <c r="J1267" s="294"/>
      <c r="L1267" s="295"/>
      <c r="M1267" s="294"/>
      <c r="O1267" s="294"/>
      <c r="P1267" s="294"/>
      <c r="Q1267" s="294"/>
      <c r="R1267" s="294"/>
      <c r="S1267" s="294"/>
      <c r="T1267" s="294"/>
      <c r="U1267" s="326"/>
      <c r="V1267" s="294"/>
      <c r="W1267" s="294"/>
      <c r="X1267" s="294"/>
      <c r="Y1267" s="294"/>
      <c r="Z1267" s="294"/>
      <c r="AA1267" s="294"/>
      <c r="AB1267" s="294"/>
      <c r="AC1267" s="294"/>
    </row>
    <row r="1268" spans="2:29" x14ac:dyDescent="0.25">
      <c r="B1268" s="294"/>
      <c r="C1268" s="294"/>
      <c r="D1268" s="294"/>
      <c r="E1268" s="294"/>
      <c r="F1268" s="294"/>
      <c r="G1268" s="294"/>
      <c r="H1268" s="294"/>
      <c r="I1268" s="294"/>
      <c r="J1268" s="294"/>
      <c r="L1268" s="295"/>
      <c r="M1268" s="294"/>
      <c r="O1268" s="294"/>
      <c r="P1268" s="294"/>
      <c r="Q1268" s="294"/>
      <c r="R1268" s="294"/>
      <c r="S1268" s="294"/>
      <c r="T1268" s="294"/>
      <c r="U1268" s="326"/>
      <c r="V1268" s="294"/>
      <c r="W1268" s="294"/>
      <c r="X1268" s="294"/>
      <c r="Y1268" s="294"/>
      <c r="Z1268" s="294"/>
      <c r="AA1268" s="294"/>
      <c r="AB1268" s="294"/>
      <c r="AC1268" s="294"/>
    </row>
    <row r="1269" spans="2:29" x14ac:dyDescent="0.25">
      <c r="B1269" s="294"/>
      <c r="C1269" s="294"/>
      <c r="D1269" s="294"/>
      <c r="E1269" s="294"/>
      <c r="F1269" s="294"/>
      <c r="G1269" s="294"/>
      <c r="H1269" s="294"/>
      <c r="I1269" s="294"/>
      <c r="J1269" s="294"/>
      <c r="L1269" s="295"/>
      <c r="M1269" s="294"/>
      <c r="O1269" s="294"/>
      <c r="P1269" s="294"/>
      <c r="Q1269" s="294"/>
      <c r="R1269" s="294"/>
      <c r="S1269" s="294"/>
      <c r="T1269" s="294"/>
      <c r="U1269" s="326"/>
      <c r="V1269" s="294"/>
      <c r="W1269" s="294"/>
      <c r="X1269" s="294"/>
      <c r="Y1269" s="294"/>
      <c r="Z1269" s="294"/>
      <c r="AA1269" s="294"/>
      <c r="AB1269" s="294"/>
      <c r="AC1269" s="294"/>
    </row>
    <row r="1270" spans="2:29" x14ac:dyDescent="0.25">
      <c r="B1270" s="294"/>
      <c r="C1270" s="294"/>
      <c r="D1270" s="294"/>
      <c r="E1270" s="294"/>
      <c r="F1270" s="294"/>
      <c r="G1270" s="294"/>
      <c r="H1270" s="294"/>
      <c r="I1270" s="294"/>
      <c r="J1270" s="294"/>
      <c r="L1270" s="295"/>
      <c r="M1270" s="294"/>
      <c r="O1270" s="294"/>
      <c r="P1270" s="294"/>
      <c r="Q1270" s="294"/>
      <c r="R1270" s="294"/>
      <c r="S1270" s="294"/>
      <c r="T1270" s="294"/>
      <c r="U1270" s="326"/>
      <c r="V1270" s="294"/>
      <c r="W1270" s="294"/>
      <c r="X1270" s="294"/>
      <c r="Y1270" s="294"/>
      <c r="Z1270" s="294"/>
      <c r="AA1270" s="294"/>
      <c r="AB1270" s="294"/>
      <c r="AC1270" s="294"/>
    </row>
    <row r="1271" spans="2:29" x14ac:dyDescent="0.25">
      <c r="B1271" s="294"/>
      <c r="C1271" s="294"/>
      <c r="D1271" s="294"/>
      <c r="E1271" s="294"/>
      <c r="F1271" s="294"/>
      <c r="G1271" s="294"/>
      <c r="H1271" s="294"/>
      <c r="I1271" s="294"/>
      <c r="J1271" s="294"/>
      <c r="L1271" s="295"/>
      <c r="M1271" s="294"/>
      <c r="O1271" s="294"/>
      <c r="P1271" s="294"/>
      <c r="Q1271" s="294"/>
      <c r="R1271" s="294"/>
      <c r="S1271" s="294"/>
      <c r="T1271" s="294"/>
      <c r="U1271" s="326"/>
      <c r="V1271" s="294"/>
      <c r="W1271" s="294"/>
      <c r="X1271" s="294"/>
      <c r="Y1271" s="294"/>
      <c r="Z1271" s="294"/>
      <c r="AA1271" s="294"/>
      <c r="AB1271" s="294"/>
      <c r="AC1271" s="294"/>
    </row>
    <row r="1272" spans="2:29" x14ac:dyDescent="0.25">
      <c r="B1272" s="294"/>
      <c r="C1272" s="294"/>
      <c r="D1272" s="294"/>
      <c r="E1272" s="294"/>
      <c r="F1272" s="294"/>
      <c r="G1272" s="294"/>
      <c r="H1272" s="294"/>
      <c r="I1272" s="294"/>
      <c r="J1272" s="294"/>
      <c r="L1272" s="295"/>
      <c r="M1272" s="294"/>
      <c r="O1272" s="294"/>
      <c r="P1272" s="294"/>
      <c r="Q1272" s="294"/>
      <c r="R1272" s="294"/>
      <c r="S1272" s="294"/>
      <c r="T1272" s="294"/>
      <c r="U1272" s="326"/>
      <c r="V1272" s="294"/>
      <c r="W1272" s="294"/>
      <c r="X1272" s="294"/>
      <c r="Y1272" s="294"/>
      <c r="Z1272" s="294"/>
      <c r="AA1272" s="294"/>
      <c r="AB1272" s="294"/>
      <c r="AC1272" s="294"/>
    </row>
    <row r="1273" spans="2:29" x14ac:dyDescent="0.25">
      <c r="B1273" s="294"/>
      <c r="C1273" s="294"/>
      <c r="D1273" s="294"/>
      <c r="E1273" s="294"/>
      <c r="F1273" s="294"/>
      <c r="G1273" s="294"/>
      <c r="H1273" s="294"/>
      <c r="I1273" s="294"/>
      <c r="J1273" s="294"/>
      <c r="L1273" s="295"/>
      <c r="M1273" s="294"/>
      <c r="O1273" s="294"/>
      <c r="P1273" s="294"/>
      <c r="Q1273" s="294"/>
      <c r="R1273" s="294"/>
      <c r="S1273" s="294"/>
      <c r="T1273" s="294"/>
      <c r="U1273" s="326"/>
      <c r="V1273" s="294"/>
      <c r="W1273" s="294"/>
      <c r="X1273" s="294"/>
      <c r="Y1273" s="294"/>
      <c r="Z1273" s="294"/>
      <c r="AA1273" s="294"/>
      <c r="AB1273" s="294"/>
      <c r="AC1273" s="294"/>
    </row>
    <row r="1274" spans="2:29" x14ac:dyDescent="0.25">
      <c r="B1274" s="294"/>
      <c r="C1274" s="294"/>
      <c r="D1274" s="294"/>
      <c r="E1274" s="294"/>
      <c r="F1274" s="294"/>
      <c r="G1274" s="294"/>
      <c r="H1274" s="294"/>
      <c r="I1274" s="294"/>
      <c r="J1274" s="294"/>
      <c r="L1274" s="295"/>
      <c r="M1274" s="294"/>
      <c r="O1274" s="294"/>
      <c r="P1274" s="294"/>
      <c r="Q1274" s="294"/>
      <c r="R1274" s="294"/>
      <c r="S1274" s="294"/>
      <c r="T1274" s="294"/>
      <c r="U1274" s="326"/>
      <c r="V1274" s="294"/>
      <c r="W1274" s="294"/>
      <c r="X1274" s="294"/>
      <c r="Y1274" s="294"/>
      <c r="Z1274" s="294"/>
      <c r="AA1274" s="294"/>
      <c r="AB1274" s="294"/>
      <c r="AC1274" s="294"/>
    </row>
    <row r="1275" spans="2:29" x14ac:dyDescent="0.25">
      <c r="B1275" s="294"/>
      <c r="C1275" s="294"/>
      <c r="D1275" s="294"/>
      <c r="E1275" s="294"/>
      <c r="F1275" s="294"/>
      <c r="G1275" s="294"/>
      <c r="H1275" s="294"/>
      <c r="I1275" s="294"/>
      <c r="J1275" s="294"/>
      <c r="L1275" s="295"/>
      <c r="M1275" s="294"/>
      <c r="O1275" s="294"/>
      <c r="P1275" s="294"/>
      <c r="Q1275" s="294"/>
      <c r="R1275" s="294"/>
      <c r="S1275" s="294"/>
      <c r="T1275" s="294"/>
      <c r="U1275" s="326"/>
      <c r="V1275" s="294"/>
      <c r="W1275" s="294"/>
      <c r="X1275" s="294"/>
      <c r="Y1275" s="294"/>
      <c r="Z1275" s="294"/>
      <c r="AA1275" s="294"/>
      <c r="AB1275" s="294"/>
      <c r="AC1275" s="294"/>
    </row>
    <row r="1276" spans="2:29" x14ac:dyDescent="0.25">
      <c r="B1276" s="294"/>
      <c r="C1276" s="294"/>
      <c r="D1276" s="294"/>
      <c r="E1276" s="294"/>
      <c r="F1276" s="294"/>
      <c r="G1276" s="294"/>
      <c r="H1276" s="294"/>
      <c r="I1276" s="294"/>
      <c r="J1276" s="294"/>
      <c r="L1276" s="295"/>
      <c r="M1276" s="294"/>
      <c r="O1276" s="294"/>
      <c r="P1276" s="294"/>
      <c r="Q1276" s="294"/>
      <c r="R1276" s="294"/>
      <c r="S1276" s="294"/>
      <c r="T1276" s="294"/>
      <c r="U1276" s="326"/>
      <c r="V1276" s="294"/>
      <c r="W1276" s="294"/>
      <c r="X1276" s="294"/>
      <c r="Y1276" s="294"/>
      <c r="Z1276" s="294"/>
      <c r="AA1276" s="294"/>
      <c r="AB1276" s="294"/>
      <c r="AC1276" s="294"/>
    </row>
    <row r="1277" spans="2:29" x14ac:dyDescent="0.25">
      <c r="B1277" s="294"/>
      <c r="C1277" s="294"/>
      <c r="D1277" s="294"/>
      <c r="E1277" s="294"/>
      <c r="F1277" s="294"/>
      <c r="G1277" s="294"/>
      <c r="H1277" s="294"/>
      <c r="I1277" s="294"/>
      <c r="J1277" s="294"/>
      <c r="L1277" s="295"/>
      <c r="M1277" s="294"/>
      <c r="O1277" s="294"/>
      <c r="P1277" s="294"/>
      <c r="Q1277" s="294"/>
      <c r="R1277" s="294"/>
      <c r="S1277" s="294"/>
      <c r="T1277" s="294"/>
      <c r="U1277" s="326"/>
      <c r="V1277" s="294"/>
      <c r="W1277" s="294"/>
      <c r="X1277" s="294"/>
      <c r="Y1277" s="294"/>
      <c r="Z1277" s="294"/>
      <c r="AA1277" s="294"/>
      <c r="AB1277" s="294"/>
      <c r="AC1277" s="294"/>
    </row>
    <row r="1278" spans="2:29" x14ac:dyDescent="0.25">
      <c r="B1278" s="294"/>
      <c r="C1278" s="294"/>
      <c r="D1278" s="294"/>
      <c r="E1278" s="294"/>
      <c r="F1278" s="294"/>
      <c r="G1278" s="294"/>
      <c r="H1278" s="294"/>
      <c r="I1278" s="294"/>
      <c r="J1278" s="294"/>
      <c r="L1278" s="295"/>
      <c r="M1278" s="294"/>
      <c r="O1278" s="294"/>
      <c r="P1278" s="294"/>
      <c r="Q1278" s="294"/>
      <c r="R1278" s="294"/>
      <c r="S1278" s="294"/>
      <c r="T1278" s="294"/>
      <c r="U1278" s="326"/>
      <c r="V1278" s="294"/>
      <c r="W1278" s="294"/>
      <c r="X1278" s="294"/>
      <c r="Y1278" s="294"/>
      <c r="Z1278" s="294"/>
      <c r="AA1278" s="294"/>
      <c r="AB1278" s="294"/>
      <c r="AC1278" s="294"/>
    </row>
    <row r="1279" spans="2:29" x14ac:dyDescent="0.25">
      <c r="B1279" s="294"/>
      <c r="C1279" s="294"/>
      <c r="D1279" s="294"/>
      <c r="E1279" s="294"/>
      <c r="F1279" s="294"/>
      <c r="G1279" s="294"/>
      <c r="H1279" s="294"/>
      <c r="I1279" s="294"/>
      <c r="J1279" s="294"/>
      <c r="L1279" s="295"/>
      <c r="M1279" s="294"/>
      <c r="O1279" s="294"/>
      <c r="P1279" s="294"/>
      <c r="Q1279" s="294"/>
      <c r="R1279" s="294"/>
      <c r="S1279" s="294"/>
      <c r="T1279" s="294"/>
      <c r="U1279" s="326"/>
      <c r="V1279" s="294"/>
      <c r="W1279" s="294"/>
      <c r="X1279" s="294"/>
      <c r="Y1279" s="294"/>
      <c r="Z1279" s="294"/>
      <c r="AA1279" s="294"/>
      <c r="AB1279" s="294"/>
      <c r="AC1279" s="294"/>
    </row>
    <row r="1280" spans="2:29" x14ac:dyDescent="0.25">
      <c r="B1280" s="294"/>
      <c r="C1280" s="294"/>
      <c r="D1280" s="294"/>
      <c r="E1280" s="294"/>
      <c r="F1280" s="294"/>
      <c r="G1280" s="294"/>
      <c r="H1280" s="294"/>
      <c r="I1280" s="294"/>
      <c r="J1280" s="294"/>
      <c r="L1280" s="295"/>
      <c r="M1280" s="294"/>
      <c r="O1280" s="294"/>
      <c r="P1280" s="294"/>
      <c r="Q1280" s="294"/>
      <c r="R1280" s="294"/>
      <c r="S1280" s="294"/>
      <c r="T1280" s="294"/>
      <c r="U1280" s="326"/>
      <c r="V1280" s="294"/>
      <c r="W1280" s="294"/>
      <c r="X1280" s="294"/>
      <c r="Y1280" s="294"/>
      <c r="Z1280" s="294"/>
      <c r="AA1280" s="294"/>
      <c r="AB1280" s="294"/>
      <c r="AC1280" s="294"/>
    </row>
    <row r="1281" spans="2:29" x14ac:dyDescent="0.25">
      <c r="B1281" s="294"/>
      <c r="C1281" s="294"/>
      <c r="D1281" s="294"/>
      <c r="E1281" s="294"/>
      <c r="F1281" s="294"/>
      <c r="G1281" s="294"/>
      <c r="H1281" s="294"/>
      <c r="I1281" s="294"/>
      <c r="J1281" s="294"/>
      <c r="L1281" s="295"/>
      <c r="M1281" s="294"/>
      <c r="O1281" s="294"/>
      <c r="P1281" s="294"/>
      <c r="Q1281" s="294"/>
      <c r="R1281" s="294"/>
      <c r="S1281" s="294"/>
      <c r="T1281" s="294"/>
      <c r="U1281" s="326"/>
      <c r="V1281" s="294"/>
      <c r="W1281" s="294"/>
      <c r="X1281" s="294"/>
      <c r="Y1281" s="294"/>
      <c r="Z1281" s="294"/>
      <c r="AA1281" s="294"/>
      <c r="AB1281" s="294"/>
      <c r="AC1281" s="294"/>
    </row>
    <row r="1282" spans="2:29" x14ac:dyDescent="0.25">
      <c r="B1282" s="294"/>
      <c r="C1282" s="294"/>
      <c r="D1282" s="294"/>
      <c r="E1282" s="294"/>
      <c r="F1282" s="294"/>
      <c r="G1282" s="294"/>
      <c r="H1282" s="294"/>
      <c r="I1282" s="294"/>
      <c r="J1282" s="294"/>
      <c r="L1282" s="295"/>
      <c r="M1282" s="294"/>
      <c r="O1282" s="294"/>
      <c r="P1282" s="294"/>
      <c r="Q1282" s="294"/>
      <c r="R1282" s="294"/>
      <c r="S1282" s="294"/>
      <c r="T1282" s="294"/>
      <c r="U1282" s="326"/>
      <c r="V1282" s="294"/>
      <c r="W1282" s="294"/>
      <c r="X1282" s="294"/>
      <c r="Y1282" s="294"/>
      <c r="Z1282" s="294"/>
      <c r="AA1282" s="294"/>
      <c r="AB1282" s="294"/>
      <c r="AC1282" s="294"/>
    </row>
    <row r="1283" spans="2:29" x14ac:dyDescent="0.25">
      <c r="B1283" s="294"/>
      <c r="C1283" s="294"/>
      <c r="D1283" s="294"/>
      <c r="E1283" s="294"/>
      <c r="F1283" s="294"/>
      <c r="G1283" s="294"/>
      <c r="H1283" s="294"/>
      <c r="I1283" s="294"/>
      <c r="J1283" s="294"/>
      <c r="L1283" s="295"/>
      <c r="M1283" s="294"/>
      <c r="O1283" s="294"/>
      <c r="P1283" s="294"/>
      <c r="Q1283" s="294"/>
      <c r="R1283" s="294"/>
      <c r="S1283" s="294"/>
      <c r="T1283" s="294"/>
      <c r="U1283" s="326"/>
      <c r="V1283" s="294"/>
      <c r="W1283" s="294"/>
      <c r="X1283" s="294"/>
      <c r="Y1283" s="294"/>
      <c r="Z1283" s="294"/>
      <c r="AA1283" s="294"/>
      <c r="AB1283" s="294"/>
      <c r="AC1283" s="294"/>
    </row>
    <row r="1284" spans="2:29" x14ac:dyDescent="0.25">
      <c r="B1284" s="294"/>
      <c r="C1284" s="294"/>
      <c r="D1284" s="294"/>
      <c r="E1284" s="294"/>
      <c r="F1284" s="294"/>
      <c r="G1284" s="294"/>
      <c r="H1284" s="294"/>
      <c r="I1284" s="294"/>
      <c r="J1284" s="294"/>
      <c r="L1284" s="295"/>
      <c r="M1284" s="294"/>
      <c r="O1284" s="294"/>
      <c r="P1284" s="294"/>
      <c r="Q1284" s="294"/>
      <c r="R1284" s="294"/>
      <c r="S1284" s="294"/>
      <c r="T1284" s="294"/>
      <c r="U1284" s="326"/>
      <c r="V1284" s="294"/>
      <c r="W1284" s="294"/>
      <c r="X1284" s="294"/>
      <c r="Y1284" s="294"/>
      <c r="Z1284" s="294"/>
      <c r="AA1284" s="294"/>
      <c r="AB1284" s="294"/>
      <c r="AC1284" s="294"/>
    </row>
    <row r="1285" spans="2:29" x14ac:dyDescent="0.25">
      <c r="B1285" s="294"/>
      <c r="C1285" s="294"/>
      <c r="D1285" s="294"/>
      <c r="E1285" s="294"/>
      <c r="F1285" s="294"/>
      <c r="G1285" s="294"/>
      <c r="H1285" s="294"/>
      <c r="I1285" s="294"/>
      <c r="J1285" s="294"/>
      <c r="L1285" s="295"/>
      <c r="M1285" s="294"/>
      <c r="O1285" s="294"/>
      <c r="P1285" s="294"/>
      <c r="Q1285" s="294"/>
      <c r="R1285" s="294"/>
      <c r="S1285" s="294"/>
      <c r="T1285" s="294"/>
      <c r="U1285" s="326"/>
      <c r="V1285" s="294"/>
      <c r="W1285" s="294"/>
      <c r="X1285" s="294"/>
      <c r="Y1285" s="294"/>
      <c r="Z1285" s="294"/>
      <c r="AA1285" s="294"/>
      <c r="AB1285" s="294"/>
      <c r="AC1285" s="294"/>
    </row>
    <row r="1286" spans="2:29" x14ac:dyDescent="0.25">
      <c r="B1286" s="294"/>
      <c r="C1286" s="294"/>
      <c r="D1286" s="294"/>
      <c r="E1286" s="294"/>
      <c r="F1286" s="294"/>
      <c r="G1286" s="294"/>
      <c r="H1286" s="294"/>
      <c r="I1286" s="294"/>
      <c r="J1286" s="294"/>
      <c r="L1286" s="295"/>
      <c r="M1286" s="294"/>
      <c r="O1286" s="294"/>
      <c r="P1286" s="294"/>
      <c r="Q1286" s="294"/>
      <c r="R1286" s="294"/>
      <c r="S1286" s="294"/>
      <c r="T1286" s="294"/>
      <c r="U1286" s="326"/>
      <c r="V1286" s="294"/>
      <c r="W1286" s="294"/>
      <c r="X1286" s="294"/>
      <c r="Y1286" s="294"/>
      <c r="Z1286" s="294"/>
      <c r="AA1286" s="294"/>
      <c r="AB1286" s="294"/>
      <c r="AC1286" s="294"/>
    </row>
    <row r="1287" spans="2:29" x14ac:dyDescent="0.25">
      <c r="B1287" s="294"/>
      <c r="C1287" s="294"/>
      <c r="D1287" s="294"/>
      <c r="E1287" s="294"/>
      <c r="F1287" s="294"/>
      <c r="G1287" s="294"/>
      <c r="H1287" s="294"/>
      <c r="I1287" s="294"/>
      <c r="J1287" s="294"/>
      <c r="L1287" s="295"/>
      <c r="M1287" s="294"/>
      <c r="O1287" s="294"/>
      <c r="P1287" s="294"/>
      <c r="Q1287" s="294"/>
      <c r="R1287" s="294"/>
      <c r="S1287" s="294"/>
      <c r="T1287" s="294"/>
      <c r="U1287" s="326"/>
      <c r="V1287" s="294"/>
      <c r="W1287" s="294"/>
      <c r="X1287" s="294"/>
      <c r="Y1287" s="294"/>
      <c r="Z1287" s="294"/>
      <c r="AA1287" s="294"/>
      <c r="AB1287" s="294"/>
      <c r="AC1287" s="294"/>
    </row>
    <row r="1288" spans="2:29" x14ac:dyDescent="0.25">
      <c r="B1288" s="294"/>
      <c r="C1288" s="294"/>
      <c r="D1288" s="294"/>
      <c r="E1288" s="294"/>
      <c r="F1288" s="294"/>
      <c r="G1288" s="294"/>
      <c r="H1288" s="294"/>
      <c r="I1288" s="294"/>
      <c r="J1288" s="294"/>
      <c r="L1288" s="295"/>
      <c r="M1288" s="294"/>
      <c r="O1288" s="294"/>
      <c r="P1288" s="294"/>
      <c r="Q1288" s="294"/>
      <c r="R1288" s="294"/>
      <c r="S1288" s="294"/>
      <c r="T1288" s="294"/>
      <c r="U1288" s="326"/>
      <c r="V1288" s="294"/>
      <c r="W1288" s="294"/>
      <c r="X1288" s="294"/>
      <c r="Y1288" s="294"/>
      <c r="Z1288" s="294"/>
      <c r="AA1288" s="294"/>
      <c r="AB1288" s="294"/>
      <c r="AC1288" s="294"/>
    </row>
    <row r="1289" spans="2:29" x14ac:dyDescent="0.25">
      <c r="B1289" s="294"/>
      <c r="C1289" s="294"/>
      <c r="D1289" s="294"/>
      <c r="E1289" s="294"/>
      <c r="F1289" s="294"/>
      <c r="G1289" s="294"/>
      <c r="H1289" s="294"/>
      <c r="I1289" s="294"/>
      <c r="J1289" s="294"/>
      <c r="L1289" s="295"/>
      <c r="M1289" s="294"/>
      <c r="O1289" s="294"/>
      <c r="P1289" s="294"/>
      <c r="Q1289" s="294"/>
      <c r="R1289" s="294"/>
      <c r="S1289" s="294"/>
      <c r="T1289" s="294"/>
      <c r="U1289" s="326"/>
      <c r="V1289" s="294"/>
      <c r="W1289" s="294"/>
      <c r="X1289" s="294"/>
      <c r="Y1289" s="294"/>
      <c r="Z1289" s="294"/>
      <c r="AA1289" s="294"/>
      <c r="AB1289" s="294"/>
      <c r="AC1289" s="294"/>
    </row>
    <row r="1290" spans="2:29" x14ac:dyDescent="0.25">
      <c r="B1290" s="294"/>
      <c r="C1290" s="294"/>
      <c r="D1290" s="294"/>
      <c r="E1290" s="294"/>
      <c r="F1290" s="294"/>
      <c r="G1290" s="294"/>
      <c r="H1290" s="294"/>
      <c r="I1290" s="294"/>
      <c r="J1290" s="294"/>
      <c r="L1290" s="295"/>
      <c r="M1290" s="294"/>
      <c r="O1290" s="294"/>
      <c r="P1290" s="294"/>
      <c r="Q1290" s="294"/>
      <c r="R1290" s="294"/>
      <c r="S1290" s="294"/>
      <c r="T1290" s="294"/>
      <c r="U1290" s="326"/>
      <c r="V1290" s="294"/>
      <c r="W1290" s="294"/>
      <c r="X1290" s="294"/>
      <c r="Y1290" s="294"/>
      <c r="Z1290" s="294"/>
      <c r="AA1290" s="294"/>
      <c r="AB1290" s="294"/>
      <c r="AC1290" s="294"/>
    </row>
    <row r="1291" spans="2:29" x14ac:dyDescent="0.25">
      <c r="B1291" s="294"/>
      <c r="C1291" s="294"/>
      <c r="D1291" s="294"/>
      <c r="E1291" s="294"/>
      <c r="F1291" s="294"/>
      <c r="G1291" s="294"/>
      <c r="H1291" s="294"/>
      <c r="I1291" s="294"/>
      <c r="J1291" s="294"/>
      <c r="L1291" s="295"/>
      <c r="M1291" s="294"/>
      <c r="O1291" s="294"/>
      <c r="P1291" s="294"/>
      <c r="Q1291" s="294"/>
      <c r="R1291" s="294"/>
      <c r="S1291" s="294"/>
      <c r="T1291" s="294"/>
      <c r="U1291" s="326"/>
      <c r="V1291" s="294"/>
      <c r="W1291" s="294"/>
      <c r="X1291" s="294"/>
      <c r="Y1291" s="294"/>
      <c r="Z1291" s="294"/>
      <c r="AA1291" s="294"/>
      <c r="AB1291" s="294"/>
      <c r="AC1291" s="294"/>
    </row>
    <row r="1292" spans="2:29" x14ac:dyDescent="0.25">
      <c r="B1292" s="294"/>
      <c r="C1292" s="294"/>
      <c r="D1292" s="294"/>
      <c r="E1292" s="294"/>
      <c r="F1292" s="294"/>
      <c r="G1292" s="294"/>
      <c r="H1292" s="294"/>
      <c r="I1292" s="294"/>
      <c r="J1292" s="294"/>
      <c r="L1292" s="295"/>
      <c r="M1292" s="294"/>
      <c r="O1292" s="294"/>
      <c r="P1292" s="294"/>
      <c r="Q1292" s="294"/>
      <c r="R1292" s="294"/>
      <c r="S1292" s="294"/>
      <c r="T1292" s="294"/>
      <c r="U1292" s="326"/>
      <c r="V1292" s="294"/>
      <c r="W1292" s="294"/>
      <c r="X1292" s="294"/>
      <c r="Y1292" s="294"/>
      <c r="Z1292" s="294"/>
      <c r="AA1292" s="294"/>
      <c r="AB1292" s="294"/>
      <c r="AC1292" s="294"/>
    </row>
    <row r="1293" spans="2:29" x14ac:dyDescent="0.25">
      <c r="B1293" s="294"/>
      <c r="C1293" s="294"/>
      <c r="D1293" s="294"/>
      <c r="E1293" s="294"/>
      <c r="F1293" s="294"/>
      <c r="G1293" s="294"/>
      <c r="H1293" s="294"/>
      <c r="I1293" s="294"/>
      <c r="J1293" s="294"/>
      <c r="L1293" s="295"/>
      <c r="M1293" s="294"/>
      <c r="O1293" s="294"/>
      <c r="P1293" s="294"/>
      <c r="Q1293" s="294"/>
      <c r="R1293" s="294"/>
      <c r="S1293" s="294"/>
      <c r="T1293" s="294"/>
      <c r="U1293" s="326"/>
      <c r="V1293" s="294"/>
      <c r="W1293" s="294"/>
      <c r="X1293" s="294"/>
      <c r="Y1293" s="294"/>
      <c r="Z1293" s="294"/>
      <c r="AA1293" s="294"/>
      <c r="AB1293" s="294"/>
      <c r="AC1293" s="294"/>
    </row>
    <row r="1294" spans="2:29" x14ac:dyDescent="0.25">
      <c r="B1294" s="294"/>
      <c r="C1294" s="294"/>
      <c r="D1294" s="294"/>
      <c r="E1294" s="294"/>
      <c r="F1294" s="294"/>
      <c r="G1294" s="294"/>
      <c r="H1294" s="294"/>
      <c r="I1294" s="294"/>
      <c r="J1294" s="294"/>
      <c r="L1294" s="295"/>
      <c r="M1294" s="294"/>
      <c r="O1294" s="294"/>
      <c r="P1294" s="294"/>
      <c r="Q1294" s="294"/>
      <c r="R1294" s="294"/>
      <c r="S1294" s="294"/>
      <c r="T1294" s="294"/>
      <c r="U1294" s="326"/>
      <c r="V1294" s="294"/>
      <c r="W1294" s="294"/>
      <c r="X1294" s="294"/>
      <c r="Y1294" s="294"/>
      <c r="Z1294" s="294"/>
      <c r="AA1294" s="294"/>
      <c r="AB1294" s="294"/>
      <c r="AC1294" s="294"/>
    </row>
    <row r="1295" spans="2:29" x14ac:dyDescent="0.25">
      <c r="B1295" s="294"/>
      <c r="C1295" s="294"/>
      <c r="D1295" s="294"/>
      <c r="E1295" s="294"/>
      <c r="F1295" s="294"/>
      <c r="G1295" s="294"/>
      <c r="H1295" s="294"/>
      <c r="I1295" s="294"/>
      <c r="J1295" s="294"/>
      <c r="L1295" s="295"/>
      <c r="M1295" s="294"/>
      <c r="O1295" s="294"/>
      <c r="P1295" s="294"/>
      <c r="Q1295" s="294"/>
      <c r="R1295" s="294"/>
      <c r="S1295" s="294"/>
      <c r="T1295" s="294"/>
      <c r="U1295" s="326"/>
      <c r="V1295" s="294"/>
      <c r="W1295" s="294"/>
      <c r="X1295" s="294"/>
      <c r="Y1295" s="294"/>
      <c r="Z1295" s="294"/>
      <c r="AA1295" s="294"/>
      <c r="AB1295" s="294"/>
      <c r="AC1295" s="294"/>
    </row>
    <row r="1296" spans="2:29" x14ac:dyDescent="0.25">
      <c r="B1296" s="294"/>
      <c r="C1296" s="294"/>
      <c r="D1296" s="294"/>
      <c r="E1296" s="294"/>
      <c r="F1296" s="294"/>
      <c r="G1296" s="294"/>
      <c r="H1296" s="294"/>
      <c r="I1296" s="294"/>
      <c r="J1296" s="294"/>
      <c r="L1296" s="295"/>
      <c r="M1296" s="294"/>
      <c r="O1296" s="294"/>
      <c r="P1296" s="294"/>
      <c r="Q1296" s="294"/>
      <c r="R1296" s="294"/>
      <c r="S1296" s="294"/>
      <c r="T1296" s="294"/>
      <c r="U1296" s="326"/>
      <c r="V1296" s="294"/>
      <c r="W1296" s="294"/>
      <c r="X1296" s="294"/>
      <c r="Y1296" s="294"/>
      <c r="Z1296" s="294"/>
      <c r="AA1296" s="294"/>
      <c r="AB1296" s="294"/>
      <c r="AC1296" s="294"/>
    </row>
    <row r="1297" spans="2:29" x14ac:dyDescent="0.25">
      <c r="B1297" s="294"/>
      <c r="C1297" s="294"/>
      <c r="D1297" s="294"/>
      <c r="E1297" s="294"/>
      <c r="F1297" s="294"/>
      <c r="G1297" s="294"/>
      <c r="H1297" s="294"/>
      <c r="I1297" s="294"/>
      <c r="J1297" s="294"/>
      <c r="L1297" s="295"/>
      <c r="M1297" s="294"/>
      <c r="O1297" s="294"/>
      <c r="P1297" s="294"/>
      <c r="Q1297" s="294"/>
      <c r="R1297" s="294"/>
      <c r="S1297" s="294"/>
      <c r="T1297" s="294"/>
      <c r="U1297" s="326"/>
      <c r="V1297" s="294"/>
      <c r="W1297" s="294"/>
      <c r="X1297" s="294"/>
      <c r="Y1297" s="294"/>
      <c r="Z1297" s="294"/>
      <c r="AA1297" s="294"/>
      <c r="AB1297" s="294"/>
      <c r="AC1297" s="294"/>
    </row>
    <row r="1298" spans="2:29" x14ac:dyDescent="0.25">
      <c r="B1298" s="294"/>
      <c r="C1298" s="294"/>
      <c r="D1298" s="294"/>
      <c r="E1298" s="294"/>
      <c r="F1298" s="294"/>
      <c r="G1298" s="294"/>
      <c r="H1298" s="294"/>
      <c r="I1298" s="294"/>
      <c r="J1298" s="294"/>
      <c r="L1298" s="295"/>
      <c r="M1298" s="294"/>
      <c r="O1298" s="294"/>
      <c r="P1298" s="294"/>
      <c r="Q1298" s="294"/>
      <c r="R1298" s="294"/>
      <c r="S1298" s="294"/>
      <c r="T1298" s="294"/>
      <c r="U1298" s="326"/>
      <c r="V1298" s="294"/>
      <c r="W1298" s="294"/>
      <c r="X1298" s="294"/>
      <c r="Y1298" s="294"/>
      <c r="Z1298" s="294"/>
      <c r="AA1298" s="294"/>
      <c r="AB1298" s="294"/>
      <c r="AC1298" s="294"/>
    </row>
    <row r="1299" spans="2:29" x14ac:dyDescent="0.25">
      <c r="B1299" s="294"/>
      <c r="C1299" s="294"/>
      <c r="D1299" s="294"/>
      <c r="E1299" s="294"/>
      <c r="F1299" s="294"/>
      <c r="G1299" s="294"/>
      <c r="H1299" s="294"/>
      <c r="I1299" s="294"/>
      <c r="J1299" s="294"/>
      <c r="L1299" s="295"/>
      <c r="M1299" s="294"/>
      <c r="O1299" s="294"/>
      <c r="P1299" s="294"/>
      <c r="Q1299" s="294"/>
      <c r="R1299" s="294"/>
      <c r="S1299" s="294"/>
      <c r="T1299" s="294"/>
      <c r="U1299" s="326"/>
      <c r="V1299" s="294"/>
      <c r="W1299" s="294"/>
      <c r="X1299" s="294"/>
      <c r="Y1299" s="294"/>
      <c r="Z1299" s="294"/>
      <c r="AA1299" s="294"/>
      <c r="AB1299" s="294"/>
      <c r="AC1299" s="294"/>
    </row>
    <row r="1300" spans="2:29" x14ac:dyDescent="0.25">
      <c r="B1300" s="294"/>
      <c r="C1300" s="294"/>
      <c r="D1300" s="294"/>
      <c r="E1300" s="294"/>
      <c r="F1300" s="294"/>
      <c r="G1300" s="294"/>
      <c r="H1300" s="294"/>
      <c r="I1300" s="294"/>
      <c r="J1300" s="294"/>
      <c r="L1300" s="295"/>
      <c r="M1300" s="294"/>
      <c r="O1300" s="294"/>
      <c r="P1300" s="294"/>
      <c r="Q1300" s="294"/>
      <c r="R1300" s="294"/>
      <c r="S1300" s="294"/>
      <c r="T1300" s="294"/>
      <c r="U1300" s="326"/>
      <c r="V1300" s="294"/>
      <c r="W1300" s="294"/>
      <c r="X1300" s="294"/>
      <c r="Y1300" s="294"/>
      <c r="Z1300" s="294"/>
      <c r="AA1300" s="294"/>
      <c r="AB1300" s="294"/>
      <c r="AC1300" s="294"/>
    </row>
    <row r="1301" spans="2:29" x14ac:dyDescent="0.25">
      <c r="B1301" s="294"/>
      <c r="C1301" s="294"/>
      <c r="D1301" s="294"/>
      <c r="E1301" s="294"/>
      <c r="F1301" s="294"/>
      <c r="G1301" s="294"/>
      <c r="H1301" s="294"/>
      <c r="I1301" s="294"/>
      <c r="J1301" s="294"/>
      <c r="L1301" s="295"/>
      <c r="M1301" s="294"/>
      <c r="O1301" s="294"/>
      <c r="P1301" s="294"/>
      <c r="Q1301" s="294"/>
      <c r="R1301" s="294"/>
      <c r="S1301" s="294"/>
      <c r="T1301" s="294"/>
      <c r="U1301" s="326"/>
      <c r="V1301" s="294"/>
      <c r="W1301" s="294"/>
      <c r="X1301" s="294"/>
      <c r="Y1301" s="294"/>
      <c r="Z1301" s="294"/>
      <c r="AA1301" s="294"/>
      <c r="AB1301" s="294"/>
      <c r="AC1301" s="294"/>
    </row>
    <row r="1302" spans="2:29" x14ac:dyDescent="0.25">
      <c r="B1302" s="294"/>
      <c r="C1302" s="294"/>
      <c r="D1302" s="294"/>
      <c r="E1302" s="294"/>
      <c r="F1302" s="294"/>
      <c r="G1302" s="294"/>
      <c r="H1302" s="294"/>
      <c r="I1302" s="294"/>
      <c r="J1302" s="294"/>
      <c r="L1302" s="295"/>
      <c r="M1302" s="294"/>
      <c r="O1302" s="294"/>
      <c r="P1302" s="294"/>
      <c r="Q1302" s="294"/>
      <c r="R1302" s="294"/>
      <c r="S1302" s="294"/>
      <c r="T1302" s="294"/>
      <c r="U1302" s="326"/>
      <c r="V1302" s="294"/>
      <c r="W1302" s="294"/>
      <c r="X1302" s="294"/>
      <c r="Y1302" s="294"/>
      <c r="Z1302" s="294"/>
      <c r="AA1302" s="294"/>
      <c r="AB1302" s="294"/>
      <c r="AC1302" s="294"/>
    </row>
    <row r="1303" spans="2:29" x14ac:dyDescent="0.25">
      <c r="B1303" s="294"/>
      <c r="C1303" s="294"/>
      <c r="D1303" s="294"/>
      <c r="E1303" s="294"/>
      <c r="F1303" s="294"/>
      <c r="G1303" s="294"/>
      <c r="H1303" s="294"/>
      <c r="I1303" s="294"/>
      <c r="J1303" s="294"/>
      <c r="L1303" s="295"/>
      <c r="M1303" s="294"/>
      <c r="O1303" s="294"/>
      <c r="P1303" s="294"/>
      <c r="Q1303" s="294"/>
      <c r="R1303" s="294"/>
      <c r="S1303" s="294"/>
      <c r="T1303" s="294"/>
      <c r="U1303" s="326"/>
      <c r="V1303" s="294"/>
      <c r="W1303" s="294"/>
      <c r="X1303" s="294"/>
      <c r="Y1303" s="294"/>
      <c r="Z1303" s="294"/>
      <c r="AA1303" s="294"/>
      <c r="AB1303" s="294"/>
      <c r="AC1303" s="294"/>
    </row>
    <row r="1304" spans="2:29" x14ac:dyDescent="0.25">
      <c r="B1304" s="294"/>
      <c r="C1304" s="294"/>
      <c r="D1304" s="294"/>
      <c r="E1304" s="294"/>
      <c r="F1304" s="294"/>
      <c r="G1304" s="294"/>
      <c r="H1304" s="294"/>
      <c r="I1304" s="294"/>
      <c r="J1304" s="294"/>
      <c r="L1304" s="295"/>
      <c r="M1304" s="294"/>
      <c r="O1304" s="294"/>
      <c r="P1304" s="294"/>
      <c r="Q1304" s="294"/>
      <c r="R1304" s="294"/>
      <c r="S1304" s="294"/>
      <c r="T1304" s="294"/>
      <c r="U1304" s="326"/>
      <c r="V1304" s="294"/>
      <c r="W1304" s="294"/>
      <c r="X1304" s="294"/>
      <c r="Y1304" s="294"/>
      <c r="Z1304" s="294"/>
      <c r="AA1304" s="294"/>
      <c r="AB1304" s="294"/>
      <c r="AC1304" s="294"/>
    </row>
    <row r="1305" spans="2:29" x14ac:dyDescent="0.25">
      <c r="B1305" s="294"/>
      <c r="C1305" s="294"/>
      <c r="D1305" s="294"/>
      <c r="E1305" s="294"/>
      <c r="F1305" s="294"/>
      <c r="G1305" s="294"/>
      <c r="H1305" s="294"/>
      <c r="I1305" s="294"/>
      <c r="J1305" s="294"/>
      <c r="L1305" s="295"/>
      <c r="M1305" s="294"/>
      <c r="O1305" s="294"/>
      <c r="P1305" s="294"/>
      <c r="Q1305" s="294"/>
      <c r="R1305" s="294"/>
      <c r="S1305" s="294"/>
      <c r="T1305" s="294"/>
      <c r="U1305" s="326"/>
      <c r="V1305" s="294"/>
      <c r="W1305" s="294"/>
      <c r="X1305" s="294"/>
      <c r="Y1305" s="294"/>
      <c r="Z1305" s="294"/>
      <c r="AA1305" s="294"/>
      <c r="AB1305" s="294"/>
      <c r="AC1305" s="294"/>
    </row>
    <row r="1306" spans="2:29" x14ac:dyDescent="0.25">
      <c r="B1306" s="294"/>
      <c r="C1306" s="294"/>
      <c r="D1306" s="294"/>
      <c r="E1306" s="294"/>
      <c r="F1306" s="294"/>
      <c r="G1306" s="294"/>
      <c r="H1306" s="294"/>
      <c r="I1306" s="294"/>
      <c r="J1306" s="294"/>
      <c r="L1306" s="295"/>
      <c r="M1306" s="294"/>
      <c r="O1306" s="294"/>
      <c r="P1306" s="294"/>
      <c r="Q1306" s="294"/>
      <c r="R1306" s="294"/>
      <c r="S1306" s="294"/>
      <c r="T1306" s="294"/>
      <c r="U1306" s="326"/>
      <c r="V1306" s="294"/>
      <c r="W1306" s="294"/>
      <c r="X1306" s="294"/>
      <c r="Y1306" s="294"/>
      <c r="Z1306" s="294"/>
      <c r="AA1306" s="294"/>
      <c r="AB1306" s="294"/>
      <c r="AC1306" s="294"/>
    </row>
    <row r="1307" spans="2:29" x14ac:dyDescent="0.25">
      <c r="B1307" s="294"/>
      <c r="C1307" s="294"/>
      <c r="D1307" s="294"/>
      <c r="E1307" s="294"/>
      <c r="F1307" s="294"/>
      <c r="G1307" s="294"/>
      <c r="H1307" s="294"/>
      <c r="I1307" s="294"/>
      <c r="J1307" s="294"/>
      <c r="L1307" s="295"/>
      <c r="M1307" s="294"/>
      <c r="O1307" s="294"/>
      <c r="P1307" s="294"/>
      <c r="Q1307" s="294"/>
      <c r="R1307" s="294"/>
      <c r="S1307" s="294"/>
      <c r="T1307" s="294"/>
      <c r="U1307" s="326"/>
      <c r="V1307" s="294"/>
      <c r="W1307" s="294"/>
      <c r="X1307" s="294"/>
      <c r="Y1307" s="294"/>
      <c r="Z1307" s="294"/>
      <c r="AA1307" s="294"/>
      <c r="AB1307" s="294"/>
      <c r="AC1307" s="294"/>
    </row>
    <row r="1308" spans="2:29" x14ac:dyDescent="0.25">
      <c r="B1308" s="294"/>
      <c r="C1308" s="294"/>
      <c r="D1308" s="294"/>
      <c r="E1308" s="294"/>
      <c r="F1308" s="294"/>
      <c r="G1308" s="294"/>
      <c r="H1308" s="294"/>
      <c r="I1308" s="294"/>
      <c r="J1308" s="294"/>
      <c r="L1308" s="295"/>
      <c r="M1308" s="294"/>
      <c r="O1308" s="294"/>
      <c r="P1308" s="294"/>
      <c r="Q1308" s="294"/>
      <c r="R1308" s="294"/>
      <c r="S1308" s="294"/>
      <c r="T1308" s="294"/>
      <c r="U1308" s="326"/>
      <c r="V1308" s="294"/>
      <c r="W1308" s="294"/>
      <c r="X1308" s="294"/>
      <c r="Y1308" s="294"/>
      <c r="Z1308" s="294"/>
      <c r="AA1308" s="294"/>
      <c r="AB1308" s="294"/>
      <c r="AC1308" s="294"/>
    </row>
    <row r="1309" spans="2:29" x14ac:dyDescent="0.25">
      <c r="B1309" s="294"/>
      <c r="C1309" s="294"/>
      <c r="D1309" s="294"/>
      <c r="E1309" s="294"/>
      <c r="F1309" s="294"/>
      <c r="G1309" s="294"/>
      <c r="H1309" s="294"/>
      <c r="I1309" s="294"/>
      <c r="J1309" s="294"/>
      <c r="L1309" s="295"/>
      <c r="M1309" s="294"/>
      <c r="O1309" s="294"/>
      <c r="P1309" s="294"/>
      <c r="Q1309" s="294"/>
      <c r="R1309" s="294"/>
      <c r="S1309" s="294"/>
      <c r="T1309" s="294"/>
      <c r="U1309" s="326"/>
      <c r="V1309" s="294"/>
      <c r="W1309" s="294"/>
      <c r="X1309" s="294"/>
      <c r="Y1309" s="294"/>
      <c r="Z1309" s="294"/>
      <c r="AA1309" s="294"/>
      <c r="AB1309" s="294"/>
      <c r="AC1309" s="294"/>
    </row>
    <row r="1310" spans="2:29" x14ac:dyDescent="0.25">
      <c r="B1310" s="294"/>
      <c r="C1310" s="294"/>
      <c r="D1310" s="294"/>
      <c r="E1310" s="294"/>
      <c r="F1310" s="294"/>
      <c r="G1310" s="294"/>
      <c r="H1310" s="294"/>
      <c r="I1310" s="294"/>
      <c r="J1310" s="294"/>
      <c r="L1310" s="295"/>
      <c r="M1310" s="294"/>
      <c r="O1310" s="294"/>
      <c r="P1310" s="294"/>
      <c r="Q1310" s="294"/>
      <c r="R1310" s="294"/>
      <c r="S1310" s="294"/>
      <c r="T1310" s="294"/>
      <c r="U1310" s="326"/>
      <c r="V1310" s="294"/>
      <c r="W1310" s="294"/>
      <c r="X1310" s="294"/>
      <c r="Y1310" s="294"/>
      <c r="Z1310" s="294"/>
      <c r="AA1310" s="294"/>
      <c r="AB1310" s="294"/>
      <c r="AC1310" s="294"/>
    </row>
    <row r="1311" spans="2:29" x14ac:dyDescent="0.25">
      <c r="B1311" s="294"/>
      <c r="C1311" s="294"/>
      <c r="D1311" s="294"/>
      <c r="E1311" s="294"/>
      <c r="F1311" s="294"/>
      <c r="G1311" s="294"/>
      <c r="H1311" s="294"/>
      <c r="I1311" s="294"/>
      <c r="J1311" s="294"/>
      <c r="L1311" s="295"/>
      <c r="M1311" s="294"/>
      <c r="O1311" s="294"/>
      <c r="P1311" s="294"/>
      <c r="Q1311" s="294"/>
      <c r="R1311" s="294"/>
      <c r="S1311" s="294"/>
      <c r="T1311" s="294"/>
      <c r="U1311" s="326"/>
      <c r="V1311" s="294"/>
      <c r="W1311" s="294"/>
      <c r="X1311" s="294"/>
      <c r="Y1311" s="294"/>
      <c r="Z1311" s="294"/>
      <c r="AA1311" s="294"/>
      <c r="AB1311" s="294"/>
      <c r="AC1311" s="294"/>
    </row>
    <row r="1312" spans="2:29" x14ac:dyDescent="0.25">
      <c r="B1312" s="294"/>
      <c r="C1312" s="294"/>
      <c r="D1312" s="294"/>
      <c r="E1312" s="294"/>
      <c r="F1312" s="294"/>
      <c r="G1312" s="294"/>
      <c r="H1312" s="294"/>
      <c r="I1312" s="294"/>
      <c r="J1312" s="294"/>
      <c r="L1312" s="295"/>
      <c r="M1312" s="294"/>
      <c r="O1312" s="294"/>
      <c r="P1312" s="294"/>
      <c r="Q1312" s="294"/>
      <c r="R1312" s="294"/>
      <c r="S1312" s="294"/>
      <c r="T1312" s="294"/>
      <c r="U1312" s="326"/>
      <c r="V1312" s="294"/>
      <c r="W1312" s="294"/>
      <c r="X1312" s="294"/>
      <c r="Y1312" s="294"/>
      <c r="Z1312" s="294"/>
      <c r="AA1312" s="294"/>
      <c r="AB1312" s="294"/>
      <c r="AC1312" s="294"/>
    </row>
    <row r="1313" spans="2:29" x14ac:dyDescent="0.25">
      <c r="B1313" s="294"/>
      <c r="C1313" s="294"/>
      <c r="D1313" s="294"/>
      <c r="E1313" s="294"/>
      <c r="F1313" s="294"/>
      <c r="G1313" s="294"/>
      <c r="H1313" s="294"/>
      <c r="I1313" s="294"/>
      <c r="J1313" s="294"/>
      <c r="L1313" s="295"/>
      <c r="M1313" s="294"/>
      <c r="O1313" s="294"/>
      <c r="P1313" s="294"/>
      <c r="Q1313" s="294"/>
      <c r="R1313" s="294"/>
      <c r="S1313" s="294"/>
      <c r="T1313" s="294"/>
      <c r="U1313" s="326"/>
      <c r="V1313" s="294"/>
      <c r="W1313" s="294"/>
      <c r="X1313" s="294"/>
      <c r="Y1313" s="294"/>
      <c r="Z1313" s="294"/>
      <c r="AA1313" s="294"/>
      <c r="AB1313" s="294"/>
      <c r="AC1313" s="294"/>
    </row>
    <row r="1314" spans="2:29" x14ac:dyDescent="0.25">
      <c r="B1314" s="294"/>
      <c r="C1314" s="294"/>
      <c r="D1314" s="294"/>
      <c r="E1314" s="294"/>
      <c r="F1314" s="294"/>
      <c r="G1314" s="294"/>
      <c r="H1314" s="294"/>
      <c r="I1314" s="294"/>
      <c r="J1314" s="294"/>
      <c r="L1314" s="295"/>
      <c r="M1314" s="294"/>
      <c r="O1314" s="294"/>
      <c r="P1314" s="294"/>
      <c r="Q1314" s="294"/>
      <c r="R1314" s="294"/>
      <c r="S1314" s="294"/>
      <c r="T1314" s="294"/>
      <c r="U1314" s="326"/>
      <c r="V1314" s="294"/>
      <c r="W1314" s="294"/>
      <c r="X1314" s="294"/>
      <c r="Y1314" s="294"/>
      <c r="Z1314" s="294"/>
      <c r="AA1314" s="294"/>
      <c r="AB1314" s="294"/>
      <c r="AC1314" s="294"/>
    </row>
    <row r="1315" spans="2:29" x14ac:dyDescent="0.25">
      <c r="B1315" s="294"/>
      <c r="C1315" s="294"/>
      <c r="D1315" s="294"/>
      <c r="E1315" s="294"/>
      <c r="F1315" s="294"/>
      <c r="G1315" s="294"/>
      <c r="H1315" s="294"/>
      <c r="I1315" s="294"/>
      <c r="J1315" s="294"/>
      <c r="L1315" s="295"/>
      <c r="M1315" s="294"/>
      <c r="O1315" s="294"/>
      <c r="P1315" s="294"/>
      <c r="Q1315" s="294"/>
      <c r="R1315" s="294"/>
      <c r="S1315" s="294"/>
      <c r="T1315" s="294"/>
      <c r="U1315" s="326"/>
      <c r="V1315" s="294"/>
      <c r="W1315" s="294"/>
      <c r="X1315" s="294"/>
      <c r="Y1315" s="294"/>
      <c r="Z1315" s="294"/>
      <c r="AA1315" s="294"/>
      <c r="AB1315" s="294"/>
      <c r="AC1315" s="294"/>
    </row>
    <row r="1316" spans="2:29" x14ac:dyDescent="0.25">
      <c r="B1316" s="294"/>
      <c r="C1316" s="294"/>
      <c r="D1316" s="294"/>
      <c r="E1316" s="294"/>
      <c r="F1316" s="294"/>
      <c r="G1316" s="294"/>
      <c r="H1316" s="294"/>
      <c r="I1316" s="294"/>
      <c r="J1316" s="294"/>
      <c r="L1316" s="295"/>
      <c r="M1316" s="294"/>
      <c r="O1316" s="294"/>
      <c r="P1316" s="294"/>
      <c r="Q1316" s="294"/>
      <c r="R1316" s="294"/>
      <c r="S1316" s="294"/>
      <c r="T1316" s="294"/>
      <c r="U1316" s="326"/>
      <c r="V1316" s="294"/>
      <c r="W1316" s="294"/>
      <c r="X1316" s="294"/>
      <c r="Y1316" s="294"/>
      <c r="Z1316" s="294"/>
      <c r="AA1316" s="294"/>
      <c r="AB1316" s="294"/>
      <c r="AC1316" s="294"/>
    </row>
    <row r="1317" spans="2:29" x14ac:dyDescent="0.25">
      <c r="B1317" s="294"/>
      <c r="C1317" s="294"/>
      <c r="D1317" s="294"/>
      <c r="E1317" s="294"/>
      <c r="F1317" s="294"/>
      <c r="G1317" s="294"/>
      <c r="H1317" s="294"/>
      <c r="I1317" s="294"/>
      <c r="J1317" s="294"/>
      <c r="L1317" s="295"/>
      <c r="M1317" s="294"/>
      <c r="O1317" s="294"/>
      <c r="P1317" s="294"/>
      <c r="Q1317" s="294"/>
      <c r="R1317" s="294"/>
      <c r="S1317" s="294"/>
      <c r="T1317" s="294"/>
      <c r="U1317" s="326"/>
      <c r="V1317" s="294"/>
      <c r="W1317" s="294"/>
      <c r="X1317" s="294"/>
      <c r="Y1317" s="294"/>
      <c r="Z1317" s="294"/>
      <c r="AA1317" s="294"/>
      <c r="AB1317" s="294"/>
      <c r="AC1317" s="294"/>
    </row>
    <row r="1318" spans="2:29" x14ac:dyDescent="0.25">
      <c r="B1318" s="294"/>
      <c r="C1318" s="294"/>
      <c r="D1318" s="294"/>
      <c r="E1318" s="294"/>
      <c r="F1318" s="294"/>
      <c r="G1318" s="294"/>
      <c r="H1318" s="294"/>
      <c r="I1318" s="294"/>
      <c r="J1318" s="294"/>
      <c r="L1318" s="295"/>
      <c r="M1318" s="294"/>
      <c r="O1318" s="294"/>
      <c r="P1318" s="294"/>
      <c r="Q1318" s="294"/>
      <c r="R1318" s="294"/>
      <c r="S1318" s="294"/>
      <c r="T1318" s="294"/>
      <c r="U1318" s="326"/>
      <c r="V1318" s="294"/>
      <c r="W1318" s="294"/>
      <c r="X1318" s="294"/>
      <c r="Y1318" s="294"/>
      <c r="Z1318" s="294"/>
      <c r="AA1318" s="294"/>
      <c r="AB1318" s="294"/>
      <c r="AC1318" s="294"/>
    </row>
    <row r="1319" spans="2:29" x14ac:dyDescent="0.25">
      <c r="B1319" s="294"/>
      <c r="C1319" s="294"/>
      <c r="D1319" s="294"/>
      <c r="E1319" s="294"/>
      <c r="F1319" s="294"/>
      <c r="G1319" s="294"/>
      <c r="H1319" s="294"/>
      <c r="I1319" s="294"/>
      <c r="J1319" s="294"/>
      <c r="L1319" s="295"/>
      <c r="M1319" s="294"/>
      <c r="O1319" s="294"/>
      <c r="P1319" s="294"/>
      <c r="Q1319" s="294"/>
      <c r="R1319" s="294"/>
      <c r="S1319" s="294"/>
      <c r="T1319" s="294"/>
      <c r="U1319" s="326"/>
      <c r="V1319" s="294"/>
      <c r="W1319" s="294"/>
      <c r="X1319" s="294"/>
      <c r="Y1319" s="294"/>
      <c r="Z1319" s="294"/>
      <c r="AA1319" s="294"/>
      <c r="AB1319" s="294"/>
      <c r="AC1319" s="294"/>
    </row>
    <row r="1320" spans="2:29" x14ac:dyDescent="0.25">
      <c r="B1320" s="294"/>
      <c r="C1320" s="294"/>
      <c r="D1320" s="294"/>
      <c r="E1320" s="294"/>
      <c r="F1320" s="294"/>
      <c r="G1320" s="294"/>
      <c r="H1320" s="294"/>
      <c r="I1320" s="294"/>
      <c r="J1320" s="294"/>
      <c r="L1320" s="295"/>
      <c r="M1320" s="294"/>
      <c r="O1320" s="294"/>
      <c r="P1320" s="294"/>
      <c r="Q1320" s="294"/>
      <c r="R1320" s="294"/>
      <c r="S1320" s="294"/>
      <c r="T1320" s="294"/>
      <c r="U1320" s="326"/>
      <c r="V1320" s="294"/>
      <c r="W1320" s="294"/>
      <c r="X1320" s="294"/>
      <c r="Y1320" s="294"/>
      <c r="Z1320" s="294"/>
      <c r="AA1320" s="294"/>
      <c r="AB1320" s="294"/>
      <c r="AC1320" s="294"/>
    </row>
    <row r="1321" spans="2:29" x14ac:dyDescent="0.25">
      <c r="B1321" s="294"/>
      <c r="C1321" s="294"/>
      <c r="D1321" s="294"/>
      <c r="E1321" s="294"/>
      <c r="F1321" s="294"/>
      <c r="G1321" s="294"/>
      <c r="H1321" s="294"/>
      <c r="I1321" s="294"/>
      <c r="J1321" s="294"/>
      <c r="L1321" s="295"/>
      <c r="M1321" s="294"/>
      <c r="O1321" s="294"/>
      <c r="P1321" s="294"/>
      <c r="Q1321" s="294"/>
      <c r="R1321" s="294"/>
      <c r="S1321" s="294"/>
      <c r="T1321" s="294"/>
      <c r="U1321" s="326"/>
      <c r="V1321" s="294"/>
      <c r="W1321" s="294"/>
      <c r="X1321" s="294"/>
      <c r="Y1321" s="294"/>
      <c r="Z1321" s="294"/>
      <c r="AA1321" s="294"/>
      <c r="AB1321" s="294"/>
      <c r="AC1321" s="294"/>
    </row>
    <row r="1322" spans="2:29" x14ac:dyDescent="0.25">
      <c r="B1322" s="294"/>
      <c r="C1322" s="294"/>
      <c r="D1322" s="294"/>
      <c r="E1322" s="294"/>
      <c r="F1322" s="294"/>
      <c r="G1322" s="294"/>
      <c r="H1322" s="294"/>
      <c r="I1322" s="294"/>
      <c r="J1322" s="294"/>
      <c r="L1322" s="295"/>
      <c r="M1322" s="294"/>
      <c r="O1322" s="294"/>
      <c r="P1322" s="294"/>
      <c r="Q1322" s="294"/>
      <c r="R1322" s="294"/>
      <c r="S1322" s="294"/>
      <c r="T1322" s="294"/>
      <c r="U1322" s="326"/>
      <c r="V1322" s="294"/>
      <c r="W1322" s="294"/>
      <c r="X1322" s="294"/>
      <c r="Y1322" s="294"/>
      <c r="Z1322" s="294"/>
      <c r="AA1322" s="294"/>
      <c r="AB1322" s="294"/>
      <c r="AC1322" s="294"/>
    </row>
    <row r="1323" spans="2:29" x14ac:dyDescent="0.25">
      <c r="B1323" s="294"/>
      <c r="C1323" s="294"/>
      <c r="D1323" s="294"/>
      <c r="E1323" s="294"/>
      <c r="F1323" s="294"/>
      <c r="G1323" s="294"/>
      <c r="H1323" s="294"/>
      <c r="I1323" s="294"/>
      <c r="J1323" s="294"/>
      <c r="L1323" s="295"/>
      <c r="M1323" s="294"/>
      <c r="O1323" s="294"/>
      <c r="P1323" s="294"/>
      <c r="Q1323" s="294"/>
      <c r="R1323" s="294"/>
      <c r="S1323" s="294"/>
      <c r="T1323" s="294"/>
      <c r="U1323" s="326"/>
      <c r="V1323" s="294"/>
      <c r="W1323" s="294"/>
      <c r="X1323" s="294"/>
      <c r="Y1323" s="294"/>
      <c r="Z1323" s="294"/>
      <c r="AA1323" s="294"/>
      <c r="AB1323" s="294"/>
      <c r="AC1323" s="294"/>
    </row>
    <row r="1324" spans="2:29" x14ac:dyDescent="0.25">
      <c r="B1324" s="294"/>
      <c r="C1324" s="294"/>
      <c r="D1324" s="294"/>
      <c r="E1324" s="294"/>
      <c r="F1324" s="294"/>
      <c r="G1324" s="294"/>
      <c r="H1324" s="294"/>
      <c r="I1324" s="294"/>
      <c r="J1324" s="294"/>
      <c r="L1324" s="295"/>
      <c r="M1324" s="294"/>
      <c r="O1324" s="294"/>
      <c r="P1324" s="294"/>
      <c r="Q1324" s="294"/>
      <c r="R1324" s="294"/>
      <c r="S1324" s="294"/>
      <c r="T1324" s="294"/>
      <c r="U1324" s="326"/>
      <c r="V1324" s="294"/>
      <c r="W1324" s="294"/>
      <c r="X1324" s="294"/>
      <c r="Y1324" s="294"/>
      <c r="Z1324" s="294"/>
      <c r="AA1324" s="294"/>
      <c r="AB1324" s="294"/>
      <c r="AC1324" s="294"/>
    </row>
    <row r="1325" spans="2:29" x14ac:dyDescent="0.25">
      <c r="B1325" s="294"/>
      <c r="C1325" s="294"/>
      <c r="D1325" s="294"/>
      <c r="E1325" s="294"/>
      <c r="F1325" s="294"/>
      <c r="G1325" s="294"/>
      <c r="H1325" s="294"/>
      <c r="I1325" s="294"/>
      <c r="J1325" s="294"/>
      <c r="L1325" s="295"/>
      <c r="M1325" s="294"/>
      <c r="O1325" s="294"/>
      <c r="P1325" s="294"/>
      <c r="Q1325" s="294"/>
      <c r="R1325" s="294"/>
      <c r="S1325" s="294"/>
      <c r="T1325" s="294"/>
      <c r="U1325" s="326"/>
      <c r="V1325" s="294"/>
      <c r="W1325" s="294"/>
      <c r="X1325" s="294"/>
      <c r="Y1325" s="294"/>
      <c r="Z1325" s="294"/>
      <c r="AA1325" s="294"/>
      <c r="AB1325" s="294"/>
      <c r="AC1325" s="294"/>
    </row>
    <row r="1326" spans="2:29" x14ac:dyDescent="0.25">
      <c r="B1326" s="294"/>
      <c r="C1326" s="294"/>
      <c r="D1326" s="294"/>
      <c r="E1326" s="294"/>
      <c r="F1326" s="294"/>
      <c r="G1326" s="294"/>
      <c r="H1326" s="294"/>
      <c r="I1326" s="294"/>
      <c r="J1326" s="294"/>
      <c r="L1326" s="295"/>
      <c r="M1326" s="294"/>
      <c r="O1326" s="294"/>
      <c r="P1326" s="294"/>
      <c r="Q1326" s="294"/>
      <c r="R1326" s="294"/>
      <c r="S1326" s="294"/>
      <c r="T1326" s="294"/>
      <c r="U1326" s="326"/>
      <c r="V1326" s="294"/>
      <c r="W1326" s="294"/>
      <c r="X1326" s="294"/>
      <c r="Y1326" s="294"/>
      <c r="Z1326" s="294"/>
      <c r="AA1326" s="294"/>
      <c r="AB1326" s="294"/>
      <c r="AC1326" s="294"/>
    </row>
    <row r="1327" spans="2:29" x14ac:dyDescent="0.25">
      <c r="B1327" s="294"/>
      <c r="C1327" s="294"/>
      <c r="D1327" s="294"/>
      <c r="E1327" s="294"/>
      <c r="F1327" s="294"/>
      <c r="G1327" s="294"/>
      <c r="H1327" s="294"/>
      <c r="I1327" s="294"/>
      <c r="J1327" s="294"/>
      <c r="L1327" s="295"/>
      <c r="M1327" s="294"/>
      <c r="O1327" s="294"/>
      <c r="P1327" s="294"/>
      <c r="Q1327" s="294"/>
      <c r="R1327" s="294"/>
      <c r="S1327" s="294"/>
      <c r="T1327" s="294"/>
      <c r="U1327" s="326"/>
      <c r="V1327" s="294"/>
      <c r="W1327" s="294"/>
      <c r="X1327" s="294"/>
      <c r="Y1327" s="294"/>
      <c r="Z1327" s="294"/>
      <c r="AA1327" s="294"/>
      <c r="AB1327" s="294"/>
      <c r="AC1327" s="294"/>
    </row>
    <row r="1328" spans="2:29" x14ac:dyDescent="0.25">
      <c r="B1328" s="294"/>
      <c r="C1328" s="294"/>
      <c r="D1328" s="294"/>
      <c r="E1328" s="294"/>
      <c r="F1328" s="294"/>
      <c r="G1328" s="294"/>
      <c r="H1328" s="294"/>
      <c r="I1328" s="294"/>
      <c r="J1328" s="294"/>
      <c r="L1328" s="295"/>
      <c r="M1328" s="294"/>
      <c r="O1328" s="294"/>
      <c r="P1328" s="294"/>
      <c r="Q1328" s="294"/>
      <c r="R1328" s="294"/>
      <c r="S1328" s="294"/>
      <c r="T1328" s="294"/>
      <c r="U1328" s="326"/>
      <c r="V1328" s="294"/>
      <c r="W1328" s="294"/>
      <c r="X1328" s="294"/>
      <c r="Y1328" s="294"/>
      <c r="Z1328" s="294"/>
      <c r="AA1328" s="294"/>
      <c r="AB1328" s="294"/>
      <c r="AC1328" s="294"/>
    </row>
    <row r="1329" spans="2:29" x14ac:dyDescent="0.25">
      <c r="B1329" s="294"/>
      <c r="C1329" s="294"/>
      <c r="D1329" s="294"/>
      <c r="E1329" s="294"/>
      <c r="F1329" s="294"/>
      <c r="G1329" s="294"/>
      <c r="H1329" s="294"/>
      <c r="I1329" s="294"/>
      <c r="J1329" s="294"/>
      <c r="L1329" s="295"/>
      <c r="M1329" s="294"/>
      <c r="O1329" s="294"/>
      <c r="P1329" s="294"/>
      <c r="Q1329" s="294"/>
      <c r="R1329" s="294"/>
      <c r="S1329" s="294"/>
      <c r="T1329" s="294"/>
      <c r="U1329" s="326"/>
      <c r="V1329" s="294"/>
      <c r="W1329" s="294"/>
      <c r="X1329" s="294"/>
      <c r="Y1329" s="294"/>
      <c r="Z1329" s="294"/>
      <c r="AA1329" s="294"/>
      <c r="AB1329" s="294"/>
      <c r="AC1329" s="294"/>
    </row>
    <row r="1330" spans="2:29" x14ac:dyDescent="0.25">
      <c r="B1330" s="294"/>
      <c r="C1330" s="294"/>
      <c r="D1330" s="294"/>
      <c r="E1330" s="294"/>
      <c r="F1330" s="294"/>
      <c r="G1330" s="294"/>
      <c r="H1330" s="294"/>
      <c r="I1330" s="294"/>
      <c r="J1330" s="294"/>
      <c r="L1330" s="295"/>
      <c r="M1330" s="294"/>
      <c r="O1330" s="294"/>
      <c r="P1330" s="294"/>
      <c r="Q1330" s="294"/>
      <c r="R1330" s="294"/>
      <c r="S1330" s="294"/>
      <c r="T1330" s="294"/>
      <c r="U1330" s="326"/>
      <c r="V1330" s="294"/>
      <c r="W1330" s="294"/>
      <c r="X1330" s="294"/>
      <c r="Y1330" s="294"/>
      <c r="Z1330" s="294"/>
      <c r="AA1330" s="294"/>
      <c r="AB1330" s="294"/>
      <c r="AC1330" s="294"/>
    </row>
    <row r="1331" spans="2:29" x14ac:dyDescent="0.25">
      <c r="B1331" s="294"/>
      <c r="C1331" s="294"/>
      <c r="D1331" s="294"/>
      <c r="E1331" s="294"/>
      <c r="F1331" s="294"/>
      <c r="G1331" s="294"/>
      <c r="H1331" s="294"/>
      <c r="I1331" s="294"/>
      <c r="J1331" s="294"/>
      <c r="L1331" s="295"/>
      <c r="M1331" s="294"/>
      <c r="O1331" s="294"/>
      <c r="P1331" s="294"/>
      <c r="Q1331" s="294"/>
      <c r="R1331" s="294"/>
      <c r="S1331" s="294"/>
      <c r="T1331" s="294"/>
      <c r="U1331" s="326"/>
      <c r="V1331" s="294"/>
      <c r="W1331" s="294"/>
      <c r="X1331" s="294"/>
      <c r="Y1331" s="294"/>
      <c r="Z1331" s="294"/>
      <c r="AA1331" s="294"/>
      <c r="AB1331" s="294"/>
      <c r="AC1331" s="294"/>
    </row>
    <row r="1332" spans="2:29" x14ac:dyDescent="0.25">
      <c r="B1332" s="294"/>
      <c r="C1332" s="294"/>
      <c r="D1332" s="294"/>
      <c r="E1332" s="294"/>
      <c r="F1332" s="294"/>
      <c r="G1332" s="294"/>
      <c r="H1332" s="294"/>
      <c r="I1332" s="294"/>
      <c r="J1332" s="294"/>
      <c r="L1332" s="295"/>
      <c r="M1332" s="294"/>
      <c r="O1332" s="294"/>
      <c r="P1332" s="294"/>
      <c r="Q1332" s="294"/>
      <c r="R1332" s="294"/>
      <c r="S1332" s="294"/>
      <c r="T1332" s="294"/>
      <c r="U1332" s="326"/>
      <c r="V1332" s="294"/>
      <c r="W1332" s="294"/>
      <c r="X1332" s="294"/>
      <c r="Y1332" s="294"/>
      <c r="Z1332" s="294"/>
      <c r="AA1332" s="294"/>
      <c r="AB1332" s="294"/>
      <c r="AC1332" s="294"/>
    </row>
    <row r="1333" spans="2:29" x14ac:dyDescent="0.25">
      <c r="B1333" s="294"/>
      <c r="C1333" s="294"/>
      <c r="D1333" s="294"/>
      <c r="E1333" s="294"/>
      <c r="F1333" s="294"/>
      <c r="G1333" s="294"/>
      <c r="H1333" s="294"/>
      <c r="I1333" s="294"/>
      <c r="J1333" s="294"/>
      <c r="L1333" s="295"/>
      <c r="M1333" s="294"/>
      <c r="O1333" s="294"/>
      <c r="P1333" s="294"/>
      <c r="Q1333" s="294"/>
      <c r="R1333" s="294"/>
      <c r="S1333" s="294"/>
      <c r="T1333" s="294"/>
      <c r="U1333" s="326"/>
      <c r="V1333" s="294"/>
      <c r="W1333" s="294"/>
      <c r="X1333" s="294"/>
      <c r="Y1333" s="294"/>
      <c r="Z1333" s="294"/>
      <c r="AA1333" s="294"/>
      <c r="AB1333" s="294"/>
      <c r="AC1333" s="294"/>
    </row>
    <row r="1334" spans="2:29" x14ac:dyDescent="0.25">
      <c r="B1334" s="294"/>
      <c r="C1334" s="294"/>
      <c r="D1334" s="294"/>
      <c r="E1334" s="294"/>
      <c r="F1334" s="294"/>
      <c r="G1334" s="294"/>
      <c r="H1334" s="294"/>
      <c r="I1334" s="294"/>
      <c r="J1334" s="294"/>
      <c r="L1334" s="295"/>
      <c r="M1334" s="294"/>
      <c r="O1334" s="294"/>
      <c r="P1334" s="294"/>
      <c r="Q1334" s="294"/>
      <c r="R1334" s="294"/>
      <c r="S1334" s="294"/>
      <c r="T1334" s="294"/>
      <c r="U1334" s="326"/>
      <c r="V1334" s="294"/>
      <c r="W1334" s="294"/>
      <c r="X1334" s="294"/>
      <c r="Y1334" s="294"/>
      <c r="Z1334" s="294"/>
      <c r="AA1334" s="294"/>
      <c r="AB1334" s="294"/>
      <c r="AC1334" s="294"/>
    </row>
    <row r="1335" spans="2:29" x14ac:dyDescent="0.25">
      <c r="B1335" s="294"/>
      <c r="C1335" s="294"/>
      <c r="D1335" s="294"/>
      <c r="E1335" s="294"/>
      <c r="F1335" s="294"/>
      <c r="G1335" s="294"/>
      <c r="H1335" s="294"/>
      <c r="I1335" s="294"/>
      <c r="J1335" s="294"/>
      <c r="L1335" s="295"/>
      <c r="M1335" s="294"/>
      <c r="O1335" s="294"/>
      <c r="P1335" s="294"/>
      <c r="Q1335" s="294"/>
      <c r="R1335" s="294"/>
      <c r="S1335" s="294"/>
      <c r="T1335" s="294"/>
      <c r="U1335" s="326"/>
      <c r="V1335" s="294"/>
      <c r="W1335" s="294"/>
      <c r="X1335" s="294"/>
      <c r="Y1335" s="294"/>
      <c r="Z1335" s="294"/>
      <c r="AA1335" s="294"/>
      <c r="AB1335" s="294"/>
      <c r="AC1335" s="294"/>
    </row>
    <row r="1336" spans="2:29" x14ac:dyDescent="0.25">
      <c r="B1336" s="294"/>
      <c r="C1336" s="294"/>
      <c r="D1336" s="294"/>
      <c r="E1336" s="294"/>
      <c r="F1336" s="294"/>
      <c r="G1336" s="294"/>
      <c r="H1336" s="294"/>
      <c r="I1336" s="294"/>
      <c r="J1336" s="294"/>
      <c r="L1336" s="295"/>
      <c r="M1336" s="294"/>
      <c r="O1336" s="294"/>
      <c r="P1336" s="294"/>
      <c r="Q1336" s="294"/>
      <c r="R1336" s="294"/>
      <c r="S1336" s="294"/>
      <c r="T1336" s="294"/>
      <c r="U1336" s="326"/>
      <c r="V1336" s="294"/>
      <c r="W1336" s="294"/>
      <c r="X1336" s="294"/>
      <c r="Y1336" s="294"/>
      <c r="Z1336" s="294"/>
      <c r="AA1336" s="294"/>
      <c r="AB1336" s="294"/>
      <c r="AC1336" s="294"/>
    </row>
    <row r="1337" spans="2:29" x14ac:dyDescent="0.25">
      <c r="B1337" s="294"/>
      <c r="C1337" s="294"/>
      <c r="D1337" s="294"/>
      <c r="E1337" s="294"/>
      <c r="F1337" s="294"/>
      <c r="G1337" s="294"/>
      <c r="H1337" s="294"/>
      <c r="I1337" s="294"/>
      <c r="J1337" s="294"/>
      <c r="L1337" s="295"/>
      <c r="M1337" s="294"/>
      <c r="O1337" s="294"/>
      <c r="P1337" s="294"/>
      <c r="Q1337" s="294"/>
      <c r="R1337" s="294"/>
      <c r="S1337" s="294"/>
      <c r="T1337" s="294"/>
      <c r="U1337" s="326"/>
      <c r="V1337" s="294"/>
      <c r="W1337" s="294"/>
      <c r="X1337" s="294"/>
      <c r="Y1337" s="294"/>
      <c r="Z1337" s="294"/>
      <c r="AA1337" s="294"/>
      <c r="AB1337" s="294"/>
      <c r="AC1337" s="294"/>
    </row>
    <row r="1338" spans="2:29" x14ac:dyDescent="0.25">
      <c r="B1338" s="294"/>
      <c r="C1338" s="294"/>
      <c r="D1338" s="294"/>
      <c r="E1338" s="294"/>
      <c r="F1338" s="294"/>
      <c r="G1338" s="294"/>
      <c r="H1338" s="294"/>
      <c r="I1338" s="294"/>
      <c r="J1338" s="294"/>
      <c r="L1338" s="295"/>
      <c r="M1338" s="294"/>
      <c r="O1338" s="294"/>
      <c r="P1338" s="294"/>
      <c r="Q1338" s="294"/>
      <c r="R1338" s="294"/>
      <c r="S1338" s="294"/>
      <c r="T1338" s="294"/>
      <c r="U1338" s="326"/>
      <c r="V1338" s="294"/>
      <c r="W1338" s="294"/>
      <c r="X1338" s="294"/>
      <c r="Y1338" s="294"/>
      <c r="Z1338" s="294"/>
      <c r="AA1338" s="294"/>
      <c r="AB1338" s="294"/>
      <c r="AC1338" s="294"/>
    </row>
    <row r="1339" spans="2:29" x14ac:dyDescent="0.25">
      <c r="B1339" s="294"/>
      <c r="C1339" s="294"/>
      <c r="D1339" s="294"/>
      <c r="E1339" s="294"/>
      <c r="F1339" s="294"/>
      <c r="G1339" s="294"/>
      <c r="H1339" s="294"/>
      <c r="I1339" s="294"/>
      <c r="J1339" s="294"/>
      <c r="L1339" s="295"/>
      <c r="M1339" s="294"/>
      <c r="O1339" s="294"/>
      <c r="P1339" s="294"/>
      <c r="Q1339" s="294"/>
      <c r="R1339" s="294"/>
      <c r="S1339" s="294"/>
      <c r="T1339" s="294"/>
      <c r="U1339" s="326"/>
      <c r="V1339" s="294"/>
      <c r="W1339" s="294"/>
      <c r="X1339" s="294"/>
      <c r="Y1339" s="294"/>
      <c r="Z1339" s="294"/>
      <c r="AA1339" s="294"/>
      <c r="AB1339" s="294"/>
      <c r="AC1339" s="294"/>
    </row>
    <row r="1340" spans="2:29" x14ac:dyDescent="0.25">
      <c r="B1340" s="294"/>
      <c r="C1340" s="294"/>
      <c r="D1340" s="294"/>
      <c r="E1340" s="294"/>
      <c r="F1340" s="294"/>
      <c r="G1340" s="294"/>
      <c r="H1340" s="294"/>
      <c r="I1340" s="294"/>
      <c r="J1340" s="294"/>
      <c r="L1340" s="295"/>
      <c r="M1340" s="294"/>
      <c r="O1340" s="294"/>
      <c r="P1340" s="294"/>
      <c r="Q1340" s="294"/>
      <c r="R1340" s="294"/>
      <c r="S1340" s="294"/>
      <c r="T1340" s="294"/>
      <c r="U1340" s="326"/>
      <c r="V1340" s="294"/>
      <c r="W1340" s="294"/>
      <c r="X1340" s="294"/>
      <c r="Y1340" s="294"/>
      <c r="Z1340" s="294"/>
      <c r="AA1340" s="294"/>
      <c r="AB1340" s="294"/>
      <c r="AC1340" s="294"/>
    </row>
    <row r="1341" spans="2:29" x14ac:dyDescent="0.25">
      <c r="B1341" s="294"/>
      <c r="C1341" s="294"/>
      <c r="D1341" s="294"/>
      <c r="E1341" s="294"/>
      <c r="F1341" s="294"/>
      <c r="G1341" s="294"/>
      <c r="H1341" s="294"/>
      <c r="I1341" s="294"/>
      <c r="J1341" s="294"/>
      <c r="L1341" s="295"/>
      <c r="M1341" s="294"/>
      <c r="O1341" s="294"/>
      <c r="P1341" s="294"/>
      <c r="Q1341" s="294"/>
      <c r="R1341" s="294"/>
      <c r="S1341" s="294"/>
      <c r="T1341" s="294"/>
      <c r="U1341" s="326"/>
      <c r="V1341" s="294"/>
      <c r="W1341" s="294"/>
      <c r="X1341" s="294"/>
      <c r="Y1341" s="294"/>
      <c r="Z1341" s="294"/>
      <c r="AA1341" s="294"/>
      <c r="AB1341" s="294"/>
      <c r="AC1341" s="294"/>
    </row>
    <row r="1342" spans="2:29" x14ac:dyDescent="0.25">
      <c r="B1342" s="294"/>
      <c r="C1342" s="294"/>
      <c r="D1342" s="294"/>
      <c r="E1342" s="294"/>
      <c r="F1342" s="294"/>
      <c r="G1342" s="294"/>
      <c r="H1342" s="294"/>
      <c r="I1342" s="294"/>
      <c r="J1342" s="294"/>
      <c r="L1342" s="295"/>
      <c r="M1342" s="294"/>
      <c r="O1342" s="294"/>
      <c r="P1342" s="294"/>
      <c r="Q1342" s="294"/>
      <c r="R1342" s="294"/>
      <c r="S1342" s="294"/>
      <c r="T1342" s="294"/>
      <c r="U1342" s="326"/>
      <c r="V1342" s="294"/>
      <c r="W1342" s="294"/>
      <c r="X1342" s="294"/>
      <c r="Y1342" s="294"/>
      <c r="Z1342" s="294"/>
      <c r="AA1342" s="294"/>
      <c r="AB1342" s="294"/>
      <c r="AC1342" s="294"/>
    </row>
    <row r="1343" spans="2:29" x14ac:dyDescent="0.25">
      <c r="B1343" s="294"/>
      <c r="C1343" s="294"/>
      <c r="D1343" s="294"/>
      <c r="E1343" s="294"/>
      <c r="F1343" s="294"/>
      <c r="G1343" s="294"/>
      <c r="H1343" s="294"/>
      <c r="I1343" s="294"/>
      <c r="J1343" s="294"/>
      <c r="L1343" s="295"/>
      <c r="M1343" s="294"/>
      <c r="O1343" s="294"/>
      <c r="P1343" s="294"/>
      <c r="Q1343" s="294"/>
      <c r="R1343" s="294"/>
      <c r="S1343" s="294"/>
      <c r="T1343" s="294"/>
      <c r="U1343" s="326"/>
      <c r="V1343" s="294"/>
      <c r="W1343" s="294"/>
      <c r="X1343" s="294"/>
      <c r="Y1343" s="294"/>
      <c r="Z1343" s="294"/>
      <c r="AA1343" s="294"/>
      <c r="AB1343" s="294"/>
      <c r="AC1343" s="294"/>
    </row>
    <row r="1344" spans="2:29" x14ac:dyDescent="0.25">
      <c r="B1344" s="294"/>
      <c r="C1344" s="294"/>
      <c r="D1344" s="294"/>
      <c r="E1344" s="294"/>
      <c r="F1344" s="294"/>
      <c r="G1344" s="294"/>
      <c r="H1344" s="294"/>
      <c r="I1344" s="294"/>
      <c r="J1344" s="294"/>
      <c r="L1344" s="295"/>
      <c r="M1344" s="294"/>
      <c r="O1344" s="294"/>
      <c r="P1344" s="294"/>
      <c r="Q1344" s="294"/>
      <c r="R1344" s="294"/>
      <c r="S1344" s="294"/>
      <c r="T1344" s="294"/>
      <c r="U1344" s="326"/>
      <c r="V1344" s="294"/>
      <c r="W1344" s="294"/>
      <c r="X1344" s="294"/>
      <c r="Y1344" s="294"/>
      <c r="Z1344" s="294"/>
      <c r="AA1344" s="294"/>
      <c r="AB1344" s="294"/>
      <c r="AC1344" s="294"/>
    </row>
    <row r="1345" spans="2:29" x14ac:dyDescent="0.25">
      <c r="B1345" s="294"/>
      <c r="C1345" s="294"/>
      <c r="D1345" s="294"/>
      <c r="E1345" s="294"/>
      <c r="F1345" s="294"/>
      <c r="G1345" s="294"/>
      <c r="H1345" s="294"/>
      <c r="I1345" s="294"/>
      <c r="J1345" s="294"/>
      <c r="L1345" s="295"/>
      <c r="M1345" s="294"/>
      <c r="O1345" s="294"/>
      <c r="P1345" s="294"/>
      <c r="Q1345" s="294"/>
      <c r="R1345" s="294"/>
      <c r="S1345" s="294"/>
      <c r="T1345" s="294"/>
      <c r="U1345" s="326"/>
      <c r="V1345" s="294"/>
      <c r="W1345" s="294"/>
      <c r="X1345" s="294"/>
      <c r="Y1345" s="294"/>
      <c r="Z1345" s="294"/>
      <c r="AA1345" s="294"/>
      <c r="AB1345" s="294"/>
      <c r="AC1345" s="294"/>
    </row>
    <row r="1346" spans="2:29" x14ac:dyDescent="0.25">
      <c r="B1346" s="294"/>
      <c r="C1346" s="294"/>
      <c r="D1346" s="294"/>
      <c r="E1346" s="294"/>
      <c r="F1346" s="294"/>
      <c r="G1346" s="294"/>
      <c r="H1346" s="294"/>
      <c r="I1346" s="294"/>
      <c r="J1346" s="294"/>
      <c r="L1346" s="295"/>
      <c r="M1346" s="294"/>
      <c r="O1346" s="294"/>
      <c r="P1346" s="294"/>
      <c r="Q1346" s="294"/>
      <c r="R1346" s="294"/>
      <c r="S1346" s="294"/>
      <c r="T1346" s="294"/>
      <c r="U1346" s="326"/>
      <c r="V1346" s="294"/>
      <c r="W1346" s="294"/>
      <c r="X1346" s="294"/>
      <c r="Y1346" s="294"/>
      <c r="Z1346" s="294"/>
      <c r="AA1346" s="294"/>
      <c r="AB1346" s="294"/>
      <c r="AC1346" s="294"/>
    </row>
    <row r="1347" spans="2:29" x14ac:dyDescent="0.25">
      <c r="B1347" s="294"/>
      <c r="C1347" s="294"/>
      <c r="D1347" s="294"/>
      <c r="E1347" s="294"/>
      <c r="F1347" s="294"/>
      <c r="G1347" s="294"/>
      <c r="H1347" s="294"/>
      <c r="I1347" s="294"/>
      <c r="J1347" s="294"/>
      <c r="L1347" s="295"/>
      <c r="M1347" s="294"/>
      <c r="O1347" s="294"/>
      <c r="P1347" s="294"/>
      <c r="Q1347" s="294"/>
      <c r="R1347" s="294"/>
      <c r="S1347" s="294"/>
      <c r="T1347" s="294"/>
      <c r="U1347" s="326"/>
      <c r="V1347" s="294"/>
      <c r="W1347" s="294"/>
      <c r="X1347" s="294"/>
      <c r="Y1347" s="294"/>
      <c r="Z1347" s="294"/>
      <c r="AA1347" s="294"/>
      <c r="AB1347" s="294"/>
      <c r="AC1347" s="294"/>
    </row>
    <row r="1348" spans="2:29" x14ac:dyDescent="0.25">
      <c r="B1348" s="294"/>
      <c r="C1348" s="294"/>
      <c r="D1348" s="294"/>
      <c r="E1348" s="294"/>
      <c r="F1348" s="294"/>
      <c r="G1348" s="294"/>
      <c r="H1348" s="294"/>
      <c r="I1348" s="294"/>
      <c r="J1348" s="294"/>
      <c r="L1348" s="295"/>
      <c r="M1348" s="294"/>
      <c r="O1348" s="294"/>
      <c r="P1348" s="294"/>
      <c r="Q1348" s="294"/>
      <c r="R1348" s="294"/>
      <c r="S1348" s="294"/>
      <c r="T1348" s="294"/>
      <c r="U1348" s="326"/>
      <c r="V1348" s="294"/>
      <c r="W1348" s="294"/>
      <c r="X1348" s="294"/>
      <c r="Y1348" s="294"/>
      <c r="Z1348" s="294"/>
      <c r="AA1348" s="294"/>
      <c r="AB1348" s="294"/>
      <c r="AC1348" s="294"/>
    </row>
    <row r="1349" spans="2:29" x14ac:dyDescent="0.25">
      <c r="B1349" s="294"/>
      <c r="C1349" s="294"/>
      <c r="D1349" s="294"/>
      <c r="E1349" s="294"/>
      <c r="F1349" s="294"/>
      <c r="G1349" s="294"/>
      <c r="H1349" s="294"/>
      <c r="I1349" s="294"/>
      <c r="J1349" s="294"/>
      <c r="L1349" s="295"/>
      <c r="M1349" s="294"/>
      <c r="O1349" s="294"/>
      <c r="P1349" s="294"/>
      <c r="Q1349" s="294"/>
      <c r="R1349" s="294"/>
      <c r="S1349" s="294"/>
      <c r="T1349" s="294"/>
      <c r="U1349" s="326"/>
      <c r="V1349" s="294"/>
      <c r="W1349" s="294"/>
      <c r="X1349" s="294"/>
      <c r="Y1349" s="294"/>
      <c r="Z1349" s="294"/>
      <c r="AA1349" s="294"/>
      <c r="AB1349" s="294"/>
      <c r="AC1349" s="294"/>
    </row>
    <row r="1350" spans="2:29" x14ac:dyDescent="0.25">
      <c r="B1350" s="294"/>
      <c r="C1350" s="294"/>
      <c r="D1350" s="294"/>
      <c r="E1350" s="294"/>
      <c r="F1350" s="294"/>
      <c r="G1350" s="294"/>
      <c r="H1350" s="294"/>
      <c r="I1350" s="294"/>
      <c r="J1350" s="294"/>
      <c r="L1350" s="295"/>
      <c r="M1350" s="294"/>
      <c r="O1350" s="294"/>
      <c r="P1350" s="294"/>
      <c r="Q1350" s="294"/>
      <c r="R1350" s="294"/>
      <c r="S1350" s="294"/>
      <c r="T1350" s="294"/>
      <c r="U1350" s="326"/>
      <c r="V1350" s="294"/>
      <c r="W1350" s="294"/>
      <c r="X1350" s="294"/>
      <c r="Y1350" s="294"/>
      <c r="Z1350" s="294"/>
      <c r="AA1350" s="294"/>
      <c r="AB1350" s="294"/>
      <c r="AC1350" s="294"/>
    </row>
    <row r="1351" spans="2:29" x14ac:dyDescent="0.25">
      <c r="B1351" s="294"/>
      <c r="C1351" s="294"/>
      <c r="D1351" s="294"/>
      <c r="E1351" s="294"/>
      <c r="F1351" s="294"/>
      <c r="G1351" s="294"/>
      <c r="H1351" s="294"/>
      <c r="I1351" s="294"/>
      <c r="J1351" s="294"/>
      <c r="L1351" s="295"/>
      <c r="M1351" s="294"/>
      <c r="O1351" s="294"/>
      <c r="P1351" s="294"/>
      <c r="Q1351" s="294"/>
      <c r="R1351" s="294"/>
      <c r="S1351" s="294"/>
      <c r="T1351" s="294"/>
      <c r="U1351" s="326"/>
      <c r="V1351" s="294"/>
      <c r="W1351" s="294"/>
      <c r="X1351" s="294"/>
      <c r="Y1351" s="294"/>
      <c r="Z1351" s="294"/>
      <c r="AA1351" s="294"/>
      <c r="AB1351" s="294"/>
      <c r="AC1351" s="294"/>
    </row>
    <row r="1352" spans="2:29" x14ac:dyDescent="0.25">
      <c r="B1352" s="294"/>
      <c r="C1352" s="294"/>
      <c r="D1352" s="294"/>
      <c r="E1352" s="294"/>
      <c r="F1352" s="294"/>
      <c r="G1352" s="294"/>
      <c r="H1352" s="294"/>
      <c r="I1352" s="294"/>
      <c r="J1352" s="294"/>
      <c r="L1352" s="295"/>
      <c r="M1352" s="294"/>
      <c r="O1352" s="294"/>
      <c r="P1352" s="294"/>
      <c r="Q1352" s="294"/>
      <c r="R1352" s="294"/>
      <c r="S1352" s="294"/>
      <c r="T1352" s="294"/>
      <c r="U1352" s="326"/>
      <c r="V1352" s="294"/>
      <c r="W1352" s="294"/>
      <c r="X1352" s="294"/>
      <c r="Y1352" s="294"/>
      <c r="Z1352" s="294"/>
      <c r="AA1352" s="294"/>
      <c r="AB1352" s="294"/>
      <c r="AC1352" s="294"/>
    </row>
    <row r="1353" spans="2:29" x14ac:dyDescent="0.25">
      <c r="B1353" s="294"/>
      <c r="C1353" s="294"/>
      <c r="D1353" s="294"/>
      <c r="E1353" s="294"/>
      <c r="F1353" s="294"/>
      <c r="G1353" s="294"/>
      <c r="H1353" s="294"/>
      <c r="I1353" s="294"/>
      <c r="J1353" s="294"/>
      <c r="L1353" s="295"/>
      <c r="M1353" s="294"/>
      <c r="O1353" s="294"/>
      <c r="P1353" s="294"/>
      <c r="Q1353" s="294"/>
      <c r="R1353" s="294"/>
      <c r="S1353" s="294"/>
      <c r="T1353" s="294"/>
      <c r="U1353" s="326"/>
      <c r="V1353" s="294"/>
      <c r="W1353" s="294"/>
      <c r="X1353" s="294"/>
      <c r="Y1353" s="294"/>
      <c r="Z1353" s="294"/>
      <c r="AA1353" s="294"/>
      <c r="AB1353" s="294"/>
      <c r="AC1353" s="294"/>
    </row>
    <row r="1354" spans="2:29" x14ac:dyDescent="0.25">
      <c r="B1354" s="294"/>
      <c r="C1354" s="294"/>
      <c r="D1354" s="294"/>
      <c r="E1354" s="294"/>
      <c r="F1354" s="294"/>
      <c r="G1354" s="294"/>
      <c r="H1354" s="294"/>
      <c r="I1354" s="294"/>
      <c r="J1354" s="294"/>
      <c r="L1354" s="295"/>
      <c r="M1354" s="294"/>
      <c r="O1354" s="294"/>
      <c r="P1354" s="294"/>
      <c r="Q1354" s="294"/>
      <c r="R1354" s="294"/>
      <c r="S1354" s="294"/>
      <c r="T1354" s="294"/>
      <c r="U1354" s="326"/>
      <c r="V1354" s="294"/>
      <c r="W1354" s="294"/>
      <c r="X1354" s="294"/>
      <c r="Y1354" s="294"/>
      <c r="Z1354" s="294"/>
      <c r="AA1354" s="294"/>
      <c r="AB1354" s="294"/>
      <c r="AC1354" s="294"/>
    </row>
    <row r="1355" spans="2:29" x14ac:dyDescent="0.25">
      <c r="B1355" s="294"/>
      <c r="C1355" s="294"/>
      <c r="D1355" s="294"/>
      <c r="E1355" s="294"/>
      <c r="F1355" s="294"/>
      <c r="G1355" s="294"/>
      <c r="H1355" s="294"/>
      <c r="I1355" s="294"/>
      <c r="J1355" s="294"/>
      <c r="L1355" s="295"/>
      <c r="M1355" s="294"/>
      <c r="O1355" s="294"/>
      <c r="P1355" s="294"/>
      <c r="Q1355" s="294"/>
      <c r="R1355" s="294"/>
      <c r="S1355" s="294"/>
      <c r="T1355" s="294"/>
      <c r="U1355" s="326"/>
      <c r="V1355" s="294"/>
      <c r="W1355" s="294"/>
      <c r="X1355" s="294"/>
      <c r="Y1355" s="294"/>
      <c r="Z1355" s="294"/>
      <c r="AA1355" s="294"/>
      <c r="AB1355" s="294"/>
      <c r="AC1355" s="294"/>
    </row>
    <row r="1356" spans="2:29" x14ac:dyDescent="0.25">
      <c r="B1356" s="294"/>
      <c r="C1356" s="294"/>
      <c r="D1356" s="294"/>
      <c r="E1356" s="294"/>
      <c r="F1356" s="294"/>
      <c r="G1356" s="294"/>
      <c r="H1356" s="294"/>
      <c r="I1356" s="294"/>
      <c r="J1356" s="294"/>
      <c r="L1356" s="295"/>
      <c r="M1356" s="294"/>
      <c r="O1356" s="294"/>
      <c r="P1356" s="294"/>
      <c r="Q1356" s="294"/>
      <c r="R1356" s="294"/>
      <c r="S1356" s="294"/>
      <c r="T1356" s="294"/>
      <c r="U1356" s="326"/>
      <c r="V1356" s="294"/>
      <c r="W1356" s="294"/>
      <c r="X1356" s="294"/>
      <c r="Y1356" s="294"/>
      <c r="Z1356" s="294"/>
      <c r="AA1356" s="294"/>
      <c r="AB1356" s="294"/>
      <c r="AC1356" s="294"/>
    </row>
    <row r="1357" spans="2:29" x14ac:dyDescent="0.25">
      <c r="B1357" s="294"/>
      <c r="C1357" s="294"/>
      <c r="D1357" s="294"/>
      <c r="E1357" s="294"/>
      <c r="F1357" s="294"/>
      <c r="G1357" s="294"/>
      <c r="H1357" s="294"/>
      <c r="I1357" s="294"/>
      <c r="J1357" s="294"/>
      <c r="L1357" s="295"/>
      <c r="M1357" s="294"/>
      <c r="O1357" s="294"/>
      <c r="P1357" s="294"/>
      <c r="Q1357" s="294"/>
      <c r="R1357" s="294"/>
      <c r="S1357" s="294"/>
      <c r="T1357" s="294"/>
      <c r="U1357" s="326"/>
      <c r="V1357" s="294"/>
      <c r="W1357" s="294"/>
      <c r="X1357" s="294"/>
      <c r="Y1357" s="294"/>
      <c r="Z1357" s="294"/>
      <c r="AA1357" s="294"/>
      <c r="AB1357" s="294"/>
      <c r="AC1357" s="294"/>
    </row>
    <row r="1358" spans="2:29" x14ac:dyDescent="0.25">
      <c r="B1358" s="294"/>
      <c r="C1358" s="294"/>
      <c r="D1358" s="294"/>
      <c r="E1358" s="294"/>
      <c r="F1358" s="294"/>
      <c r="G1358" s="294"/>
      <c r="H1358" s="294"/>
      <c r="I1358" s="294"/>
      <c r="J1358" s="294"/>
      <c r="L1358" s="295"/>
      <c r="M1358" s="294"/>
      <c r="O1358" s="294"/>
      <c r="P1358" s="294"/>
      <c r="Q1358" s="294"/>
      <c r="R1358" s="294"/>
      <c r="S1358" s="294"/>
      <c r="T1358" s="294"/>
      <c r="U1358" s="326"/>
      <c r="V1358" s="294"/>
      <c r="W1358" s="294"/>
      <c r="X1358" s="294"/>
      <c r="Y1358" s="294"/>
      <c r="Z1358" s="294"/>
      <c r="AA1358" s="294"/>
      <c r="AB1358" s="294"/>
      <c r="AC1358" s="294"/>
    </row>
    <row r="1359" spans="2:29" x14ac:dyDescent="0.25">
      <c r="B1359" s="294"/>
      <c r="C1359" s="294"/>
      <c r="D1359" s="294"/>
      <c r="E1359" s="294"/>
      <c r="F1359" s="294"/>
      <c r="G1359" s="294"/>
      <c r="H1359" s="294"/>
      <c r="I1359" s="294"/>
      <c r="J1359" s="294"/>
      <c r="L1359" s="295"/>
      <c r="M1359" s="294"/>
      <c r="O1359" s="294"/>
      <c r="P1359" s="294"/>
      <c r="Q1359" s="294"/>
      <c r="R1359" s="294"/>
      <c r="S1359" s="294"/>
      <c r="T1359" s="294"/>
      <c r="U1359" s="326"/>
      <c r="V1359" s="294"/>
      <c r="W1359" s="294"/>
      <c r="X1359" s="294"/>
      <c r="Y1359" s="294"/>
      <c r="Z1359" s="294"/>
      <c r="AA1359" s="294"/>
      <c r="AB1359" s="294"/>
      <c r="AC1359" s="294"/>
    </row>
    <row r="1360" spans="2:29" x14ac:dyDescent="0.25">
      <c r="B1360" s="294"/>
      <c r="C1360" s="294"/>
      <c r="D1360" s="294"/>
      <c r="E1360" s="294"/>
      <c r="F1360" s="294"/>
      <c r="G1360" s="294"/>
      <c r="H1360" s="294"/>
      <c r="I1360" s="294"/>
      <c r="J1360" s="294"/>
      <c r="L1360" s="295"/>
      <c r="M1360" s="294"/>
      <c r="O1360" s="294"/>
      <c r="P1360" s="294"/>
      <c r="Q1360" s="294"/>
      <c r="R1360" s="294"/>
      <c r="S1360" s="294"/>
      <c r="T1360" s="294"/>
      <c r="U1360" s="326"/>
      <c r="V1360" s="294"/>
      <c r="W1360" s="294"/>
      <c r="X1360" s="294"/>
      <c r="Y1360" s="294"/>
      <c r="Z1360" s="294"/>
      <c r="AA1360" s="294"/>
      <c r="AB1360" s="294"/>
      <c r="AC1360" s="294"/>
    </row>
    <row r="1361" spans="2:29" x14ac:dyDescent="0.25">
      <c r="B1361" s="294"/>
      <c r="C1361" s="294"/>
      <c r="D1361" s="294"/>
      <c r="E1361" s="294"/>
      <c r="F1361" s="294"/>
      <c r="G1361" s="294"/>
      <c r="H1361" s="294"/>
      <c r="I1361" s="294"/>
      <c r="J1361" s="294"/>
      <c r="L1361" s="295"/>
      <c r="M1361" s="294"/>
      <c r="O1361" s="294"/>
      <c r="P1361" s="294"/>
      <c r="Q1361" s="294"/>
      <c r="R1361" s="294"/>
      <c r="S1361" s="294"/>
      <c r="T1361" s="294"/>
      <c r="U1361" s="326"/>
      <c r="V1361" s="294"/>
      <c r="W1361" s="294"/>
      <c r="X1361" s="294"/>
      <c r="Y1361" s="294"/>
      <c r="Z1361" s="294"/>
      <c r="AA1361" s="294"/>
      <c r="AB1361" s="294"/>
      <c r="AC1361" s="294"/>
    </row>
    <row r="1362" spans="2:29" x14ac:dyDescent="0.25">
      <c r="B1362" s="294"/>
      <c r="C1362" s="294"/>
      <c r="D1362" s="294"/>
      <c r="E1362" s="294"/>
      <c r="F1362" s="294"/>
      <c r="G1362" s="294"/>
      <c r="H1362" s="294"/>
      <c r="I1362" s="294"/>
      <c r="J1362" s="294"/>
      <c r="L1362" s="295"/>
      <c r="M1362" s="294"/>
      <c r="O1362" s="294"/>
      <c r="P1362" s="294"/>
      <c r="Q1362" s="294"/>
      <c r="R1362" s="294"/>
      <c r="S1362" s="294"/>
      <c r="T1362" s="294"/>
      <c r="U1362" s="326"/>
      <c r="V1362" s="294"/>
      <c r="W1362" s="294"/>
      <c r="X1362" s="294"/>
      <c r="Y1362" s="294"/>
      <c r="Z1362" s="294"/>
      <c r="AA1362" s="294"/>
      <c r="AB1362" s="294"/>
      <c r="AC1362" s="294"/>
    </row>
    <row r="1363" spans="2:29" x14ac:dyDescent="0.25">
      <c r="B1363" s="294"/>
      <c r="C1363" s="294"/>
      <c r="D1363" s="294"/>
      <c r="E1363" s="294"/>
      <c r="F1363" s="294"/>
      <c r="G1363" s="294"/>
      <c r="H1363" s="294"/>
      <c r="I1363" s="294"/>
      <c r="J1363" s="294"/>
      <c r="L1363" s="295"/>
      <c r="M1363" s="294"/>
      <c r="O1363" s="294"/>
      <c r="P1363" s="294"/>
      <c r="Q1363" s="294"/>
      <c r="R1363" s="294"/>
      <c r="S1363" s="294"/>
      <c r="T1363" s="294"/>
      <c r="U1363" s="326"/>
      <c r="V1363" s="294"/>
      <c r="W1363" s="294"/>
      <c r="X1363" s="294"/>
      <c r="Y1363" s="294"/>
      <c r="Z1363" s="294"/>
      <c r="AA1363" s="294"/>
      <c r="AB1363" s="294"/>
      <c r="AC1363" s="294"/>
    </row>
    <row r="1364" spans="2:29" x14ac:dyDescent="0.25">
      <c r="B1364" s="294"/>
      <c r="C1364" s="294"/>
      <c r="D1364" s="294"/>
      <c r="E1364" s="294"/>
      <c r="F1364" s="294"/>
      <c r="G1364" s="294"/>
      <c r="H1364" s="294"/>
      <c r="I1364" s="294"/>
      <c r="J1364" s="294"/>
      <c r="L1364" s="295"/>
      <c r="M1364" s="294"/>
      <c r="O1364" s="294"/>
      <c r="P1364" s="294"/>
      <c r="Q1364" s="294"/>
      <c r="R1364" s="294"/>
      <c r="S1364" s="294"/>
      <c r="T1364" s="294"/>
      <c r="U1364" s="326"/>
      <c r="V1364" s="294"/>
      <c r="W1364" s="294"/>
      <c r="X1364" s="294"/>
      <c r="Y1364" s="294"/>
      <c r="Z1364" s="294"/>
      <c r="AA1364" s="294"/>
      <c r="AB1364" s="294"/>
      <c r="AC1364" s="294"/>
    </row>
    <row r="1365" spans="2:29" x14ac:dyDescent="0.25">
      <c r="B1365" s="294"/>
      <c r="C1365" s="294"/>
      <c r="D1365" s="294"/>
      <c r="E1365" s="294"/>
      <c r="F1365" s="294"/>
      <c r="G1365" s="294"/>
      <c r="H1365" s="294"/>
      <c r="I1365" s="294"/>
      <c r="J1365" s="294"/>
      <c r="L1365" s="295"/>
      <c r="M1365" s="294"/>
      <c r="O1365" s="294"/>
      <c r="P1365" s="294"/>
      <c r="Q1365" s="294"/>
      <c r="R1365" s="294"/>
      <c r="S1365" s="294"/>
      <c r="T1365" s="294"/>
      <c r="U1365" s="326"/>
      <c r="V1365" s="294"/>
      <c r="W1365" s="294"/>
      <c r="X1365" s="294"/>
      <c r="Y1365" s="294"/>
      <c r="Z1365" s="294"/>
      <c r="AA1365" s="294"/>
      <c r="AB1365" s="294"/>
      <c r="AC1365" s="294"/>
    </row>
    <row r="1366" spans="2:29" x14ac:dyDescent="0.25">
      <c r="B1366" s="294"/>
      <c r="C1366" s="294"/>
      <c r="D1366" s="294"/>
      <c r="E1366" s="294"/>
      <c r="F1366" s="294"/>
      <c r="G1366" s="294"/>
      <c r="H1366" s="294"/>
      <c r="I1366" s="294"/>
      <c r="J1366" s="294"/>
      <c r="L1366" s="295"/>
      <c r="M1366" s="294"/>
      <c r="O1366" s="294"/>
      <c r="P1366" s="294"/>
      <c r="Q1366" s="294"/>
      <c r="R1366" s="294"/>
      <c r="S1366" s="294"/>
      <c r="T1366" s="294"/>
      <c r="U1366" s="326"/>
      <c r="V1366" s="294"/>
      <c r="W1366" s="294"/>
      <c r="X1366" s="294"/>
      <c r="Y1366" s="294"/>
      <c r="Z1366" s="294"/>
      <c r="AA1366" s="294"/>
      <c r="AB1366" s="294"/>
      <c r="AC1366" s="294"/>
    </row>
    <row r="1367" spans="2:29" x14ac:dyDescent="0.25">
      <c r="B1367" s="294"/>
      <c r="C1367" s="294"/>
      <c r="D1367" s="294"/>
      <c r="E1367" s="294"/>
      <c r="F1367" s="294"/>
      <c r="G1367" s="294"/>
      <c r="H1367" s="294"/>
      <c r="I1367" s="294"/>
      <c r="J1367" s="294"/>
      <c r="L1367" s="295"/>
      <c r="M1367" s="294"/>
      <c r="O1367" s="294"/>
      <c r="P1367" s="294"/>
      <c r="Q1367" s="294"/>
      <c r="R1367" s="294"/>
      <c r="S1367" s="294"/>
      <c r="T1367" s="294"/>
      <c r="U1367" s="326"/>
      <c r="V1367" s="294"/>
      <c r="W1367" s="294"/>
      <c r="X1367" s="294"/>
      <c r="Y1367" s="294"/>
      <c r="Z1367" s="294"/>
      <c r="AA1367" s="294"/>
      <c r="AB1367" s="294"/>
      <c r="AC1367" s="294"/>
    </row>
    <row r="1368" spans="2:29" x14ac:dyDescent="0.25">
      <c r="B1368" s="294"/>
      <c r="C1368" s="294"/>
      <c r="D1368" s="294"/>
      <c r="E1368" s="294"/>
      <c r="F1368" s="294"/>
      <c r="G1368" s="294"/>
      <c r="H1368" s="294"/>
      <c r="I1368" s="294"/>
      <c r="J1368" s="294"/>
      <c r="L1368" s="295"/>
      <c r="M1368" s="294"/>
      <c r="O1368" s="294"/>
      <c r="P1368" s="294"/>
      <c r="Q1368" s="294"/>
      <c r="R1368" s="294"/>
      <c r="S1368" s="294"/>
      <c r="T1368" s="294"/>
      <c r="U1368" s="326"/>
      <c r="V1368" s="294"/>
      <c r="W1368" s="294"/>
      <c r="X1368" s="294"/>
      <c r="Y1368" s="294"/>
      <c r="Z1368" s="294"/>
      <c r="AA1368" s="294"/>
      <c r="AB1368" s="294"/>
      <c r="AC1368" s="294"/>
    </row>
    <row r="1369" spans="2:29" x14ac:dyDescent="0.25">
      <c r="B1369" s="294"/>
      <c r="C1369" s="294"/>
      <c r="D1369" s="294"/>
      <c r="E1369" s="294"/>
      <c r="F1369" s="294"/>
      <c r="G1369" s="294"/>
      <c r="H1369" s="294"/>
      <c r="I1369" s="294"/>
      <c r="J1369" s="294"/>
      <c r="L1369" s="295"/>
      <c r="M1369" s="294"/>
      <c r="O1369" s="294"/>
      <c r="P1369" s="294"/>
      <c r="Q1369" s="294"/>
      <c r="R1369" s="294"/>
      <c r="S1369" s="294"/>
      <c r="T1369" s="294"/>
      <c r="U1369" s="326"/>
      <c r="V1369" s="294"/>
      <c r="W1369" s="294"/>
      <c r="X1369" s="294"/>
      <c r="Y1369" s="294"/>
      <c r="Z1369" s="294"/>
      <c r="AA1369" s="294"/>
      <c r="AB1369" s="294"/>
      <c r="AC1369" s="294"/>
    </row>
    <row r="1370" spans="2:29" x14ac:dyDescent="0.25">
      <c r="B1370" s="294"/>
      <c r="C1370" s="294"/>
      <c r="D1370" s="294"/>
      <c r="E1370" s="294"/>
      <c r="F1370" s="294"/>
      <c r="G1370" s="294"/>
      <c r="H1370" s="294"/>
      <c r="I1370" s="294"/>
      <c r="J1370" s="294"/>
      <c r="L1370" s="295"/>
      <c r="M1370" s="294"/>
      <c r="O1370" s="294"/>
      <c r="P1370" s="294"/>
      <c r="Q1370" s="294"/>
      <c r="R1370" s="294"/>
      <c r="S1370" s="294"/>
      <c r="T1370" s="294"/>
      <c r="U1370" s="326"/>
      <c r="V1370" s="294"/>
      <c r="W1370" s="294"/>
      <c r="X1370" s="294"/>
      <c r="Y1370" s="294"/>
      <c r="Z1370" s="294"/>
      <c r="AA1370" s="294"/>
      <c r="AB1370" s="294"/>
      <c r="AC1370" s="294"/>
    </row>
    <row r="1371" spans="2:29" x14ac:dyDescent="0.25">
      <c r="B1371" s="294"/>
      <c r="C1371" s="294"/>
      <c r="D1371" s="294"/>
      <c r="E1371" s="294"/>
      <c r="F1371" s="294"/>
      <c r="G1371" s="294"/>
      <c r="H1371" s="294"/>
      <c r="I1371" s="294"/>
      <c r="J1371" s="294"/>
      <c r="L1371" s="295"/>
      <c r="M1371" s="294"/>
      <c r="O1371" s="294"/>
      <c r="P1371" s="294"/>
      <c r="Q1371" s="294"/>
      <c r="R1371" s="294"/>
      <c r="S1371" s="294"/>
      <c r="T1371" s="294"/>
      <c r="U1371" s="326"/>
      <c r="V1371" s="294"/>
      <c r="W1371" s="294"/>
      <c r="X1371" s="294"/>
      <c r="Y1371" s="294"/>
      <c r="Z1371" s="294"/>
      <c r="AA1371" s="294"/>
      <c r="AB1371" s="294"/>
      <c r="AC1371" s="294"/>
    </row>
    <row r="1372" spans="2:29" x14ac:dyDescent="0.25">
      <c r="B1372" s="294"/>
      <c r="C1372" s="294"/>
      <c r="D1372" s="294"/>
      <c r="E1372" s="294"/>
      <c r="F1372" s="294"/>
      <c r="G1372" s="294"/>
      <c r="H1372" s="294"/>
      <c r="I1372" s="294"/>
      <c r="J1372" s="294"/>
      <c r="L1372" s="295"/>
      <c r="M1372" s="294"/>
      <c r="O1372" s="294"/>
      <c r="P1372" s="294"/>
      <c r="Q1372" s="294"/>
      <c r="R1372" s="294"/>
      <c r="S1372" s="294"/>
      <c r="T1372" s="294"/>
      <c r="U1372" s="326"/>
      <c r="V1372" s="294"/>
      <c r="W1372" s="294"/>
      <c r="X1372" s="294"/>
      <c r="Y1372" s="294"/>
      <c r="Z1372" s="294"/>
      <c r="AA1372" s="294"/>
      <c r="AB1372" s="294"/>
      <c r="AC1372" s="294"/>
    </row>
    <row r="1373" spans="2:29" x14ac:dyDescent="0.25">
      <c r="B1373" s="294"/>
      <c r="C1373" s="294"/>
      <c r="D1373" s="294"/>
      <c r="E1373" s="294"/>
      <c r="F1373" s="294"/>
      <c r="G1373" s="294"/>
      <c r="H1373" s="294"/>
      <c r="I1373" s="294"/>
      <c r="J1373" s="294"/>
      <c r="L1373" s="295"/>
      <c r="M1373" s="294"/>
      <c r="O1373" s="294"/>
      <c r="P1373" s="294"/>
      <c r="Q1373" s="294"/>
      <c r="R1373" s="294"/>
      <c r="S1373" s="294"/>
      <c r="T1373" s="294"/>
      <c r="U1373" s="326"/>
      <c r="V1373" s="294"/>
      <c r="W1373" s="294"/>
      <c r="X1373" s="294"/>
      <c r="Y1373" s="294"/>
      <c r="Z1373" s="294"/>
      <c r="AA1373" s="294"/>
      <c r="AB1373" s="294"/>
      <c r="AC1373" s="294"/>
    </row>
    <row r="1374" spans="2:29" x14ac:dyDescent="0.25">
      <c r="B1374" s="294"/>
      <c r="C1374" s="294"/>
      <c r="D1374" s="294"/>
      <c r="E1374" s="294"/>
      <c r="F1374" s="294"/>
      <c r="G1374" s="294"/>
      <c r="H1374" s="294"/>
      <c r="I1374" s="294"/>
      <c r="J1374" s="294"/>
      <c r="L1374" s="295"/>
      <c r="M1374" s="294"/>
      <c r="O1374" s="294"/>
      <c r="P1374" s="294"/>
      <c r="Q1374" s="294"/>
      <c r="R1374" s="294"/>
      <c r="S1374" s="294"/>
      <c r="T1374" s="294"/>
      <c r="U1374" s="326"/>
      <c r="V1374" s="294"/>
      <c r="W1374" s="294"/>
      <c r="X1374" s="294"/>
      <c r="Y1374" s="294"/>
      <c r="Z1374" s="294"/>
      <c r="AA1374" s="294"/>
      <c r="AB1374" s="294"/>
      <c r="AC1374" s="294"/>
    </row>
    <row r="1375" spans="2:29" x14ac:dyDescent="0.25">
      <c r="B1375" s="294"/>
      <c r="C1375" s="294"/>
      <c r="D1375" s="294"/>
      <c r="E1375" s="294"/>
      <c r="F1375" s="294"/>
      <c r="G1375" s="294"/>
      <c r="H1375" s="294"/>
      <c r="I1375" s="294"/>
      <c r="J1375" s="294"/>
      <c r="L1375" s="295"/>
      <c r="M1375" s="294"/>
      <c r="O1375" s="294"/>
      <c r="P1375" s="294"/>
      <c r="Q1375" s="294"/>
      <c r="R1375" s="294"/>
      <c r="S1375" s="294"/>
      <c r="T1375" s="294"/>
      <c r="U1375" s="326"/>
      <c r="V1375" s="294"/>
      <c r="W1375" s="294"/>
      <c r="X1375" s="294"/>
      <c r="Y1375" s="294"/>
      <c r="Z1375" s="294"/>
      <c r="AA1375" s="294"/>
      <c r="AB1375" s="294"/>
      <c r="AC1375" s="294"/>
    </row>
    <row r="1376" spans="2:29" x14ac:dyDescent="0.25">
      <c r="B1376" s="294"/>
      <c r="C1376" s="294"/>
      <c r="D1376" s="294"/>
      <c r="E1376" s="294"/>
      <c r="F1376" s="294"/>
      <c r="G1376" s="294"/>
      <c r="H1376" s="294"/>
      <c r="I1376" s="294"/>
      <c r="J1376" s="294"/>
      <c r="L1376" s="295"/>
      <c r="M1376" s="294"/>
      <c r="O1376" s="294"/>
      <c r="P1376" s="294"/>
      <c r="Q1376" s="294"/>
      <c r="R1376" s="294"/>
      <c r="S1376" s="294"/>
      <c r="T1376" s="294"/>
      <c r="U1376" s="326"/>
      <c r="V1376" s="294"/>
      <c r="W1376" s="294"/>
      <c r="X1376" s="294"/>
      <c r="Y1376" s="294"/>
      <c r="Z1376" s="294"/>
      <c r="AA1376" s="294"/>
      <c r="AB1376" s="294"/>
      <c r="AC1376" s="294"/>
    </row>
    <row r="1377" spans="2:29" x14ac:dyDescent="0.25">
      <c r="B1377" s="294"/>
      <c r="C1377" s="294"/>
      <c r="D1377" s="294"/>
      <c r="E1377" s="294"/>
      <c r="F1377" s="294"/>
      <c r="G1377" s="294"/>
      <c r="H1377" s="294"/>
      <c r="I1377" s="294"/>
      <c r="J1377" s="294"/>
      <c r="L1377" s="295"/>
      <c r="M1377" s="294"/>
      <c r="O1377" s="294"/>
      <c r="P1377" s="294"/>
      <c r="Q1377" s="294"/>
      <c r="R1377" s="294"/>
      <c r="S1377" s="294"/>
      <c r="T1377" s="294"/>
      <c r="U1377" s="326"/>
      <c r="V1377" s="294"/>
      <c r="W1377" s="294"/>
      <c r="X1377" s="294"/>
      <c r="Y1377" s="294"/>
      <c r="Z1377" s="294"/>
      <c r="AA1377" s="294"/>
      <c r="AB1377" s="294"/>
      <c r="AC1377" s="294"/>
    </row>
    <row r="1378" spans="2:29" x14ac:dyDescent="0.25">
      <c r="B1378" s="294"/>
      <c r="C1378" s="294"/>
      <c r="D1378" s="294"/>
      <c r="E1378" s="294"/>
      <c r="F1378" s="294"/>
      <c r="G1378" s="294"/>
      <c r="H1378" s="294"/>
      <c r="I1378" s="294"/>
      <c r="J1378" s="294"/>
      <c r="L1378" s="295"/>
      <c r="M1378" s="294"/>
      <c r="O1378" s="294"/>
      <c r="P1378" s="294"/>
      <c r="Q1378" s="294"/>
      <c r="R1378" s="294"/>
      <c r="S1378" s="294"/>
      <c r="T1378" s="294"/>
      <c r="U1378" s="326"/>
      <c r="V1378" s="294"/>
      <c r="W1378" s="294"/>
      <c r="X1378" s="294"/>
      <c r="Y1378" s="294"/>
      <c r="Z1378" s="294"/>
      <c r="AA1378" s="294"/>
      <c r="AB1378" s="294"/>
      <c r="AC1378" s="294"/>
    </row>
    <row r="1379" spans="2:29" x14ac:dyDescent="0.25">
      <c r="B1379" s="294"/>
      <c r="C1379" s="294"/>
      <c r="D1379" s="294"/>
      <c r="E1379" s="294"/>
      <c r="F1379" s="294"/>
      <c r="G1379" s="294"/>
      <c r="H1379" s="294"/>
      <c r="I1379" s="294"/>
      <c r="J1379" s="294"/>
      <c r="L1379" s="295"/>
      <c r="M1379" s="294"/>
      <c r="O1379" s="294"/>
      <c r="P1379" s="294"/>
      <c r="Q1379" s="294"/>
      <c r="R1379" s="294"/>
      <c r="S1379" s="294"/>
      <c r="T1379" s="294"/>
      <c r="U1379" s="326"/>
      <c r="V1379" s="294"/>
      <c r="W1379" s="294"/>
      <c r="X1379" s="294"/>
      <c r="Y1379" s="294"/>
      <c r="Z1379" s="294"/>
      <c r="AA1379" s="294"/>
      <c r="AB1379" s="294"/>
      <c r="AC1379" s="294"/>
    </row>
    <row r="1380" spans="2:29" x14ac:dyDescent="0.25">
      <c r="B1380" s="294"/>
      <c r="C1380" s="294"/>
      <c r="D1380" s="294"/>
      <c r="E1380" s="294"/>
      <c r="F1380" s="294"/>
      <c r="G1380" s="294"/>
      <c r="H1380" s="294"/>
      <c r="I1380" s="294"/>
      <c r="J1380" s="294"/>
      <c r="L1380" s="295"/>
      <c r="M1380" s="294"/>
      <c r="O1380" s="294"/>
      <c r="P1380" s="294"/>
      <c r="Q1380" s="294"/>
      <c r="R1380" s="294"/>
      <c r="S1380" s="294"/>
      <c r="T1380" s="294"/>
      <c r="U1380" s="326"/>
      <c r="V1380" s="294"/>
      <c r="W1380" s="294"/>
      <c r="X1380" s="294"/>
      <c r="Y1380" s="294"/>
      <c r="Z1380" s="294"/>
      <c r="AA1380" s="294"/>
      <c r="AB1380" s="294"/>
      <c r="AC1380" s="294"/>
    </row>
    <row r="1381" spans="2:29" x14ac:dyDescent="0.25">
      <c r="B1381" s="294"/>
      <c r="C1381" s="294"/>
      <c r="D1381" s="294"/>
      <c r="E1381" s="294"/>
      <c r="F1381" s="294"/>
      <c r="G1381" s="294"/>
      <c r="H1381" s="294"/>
      <c r="I1381" s="294"/>
      <c r="J1381" s="294"/>
      <c r="L1381" s="295"/>
      <c r="M1381" s="294"/>
      <c r="O1381" s="294"/>
      <c r="P1381" s="294"/>
      <c r="Q1381" s="294"/>
      <c r="R1381" s="294"/>
      <c r="S1381" s="294"/>
      <c r="T1381" s="294"/>
      <c r="U1381" s="326"/>
      <c r="V1381" s="294"/>
      <c r="W1381" s="294"/>
      <c r="X1381" s="294"/>
      <c r="Y1381" s="294"/>
      <c r="Z1381" s="294"/>
      <c r="AA1381" s="294"/>
      <c r="AB1381" s="294"/>
      <c r="AC1381" s="294"/>
    </row>
    <row r="1382" spans="2:29" x14ac:dyDescent="0.25">
      <c r="B1382" s="294"/>
      <c r="C1382" s="294"/>
      <c r="D1382" s="294"/>
      <c r="E1382" s="294"/>
      <c r="F1382" s="294"/>
      <c r="G1382" s="294"/>
      <c r="H1382" s="294"/>
      <c r="I1382" s="294"/>
      <c r="J1382" s="294"/>
      <c r="L1382" s="295"/>
      <c r="M1382" s="294"/>
      <c r="O1382" s="294"/>
      <c r="P1382" s="294"/>
      <c r="Q1382" s="294"/>
      <c r="R1382" s="294"/>
      <c r="S1382" s="294"/>
      <c r="T1382" s="294"/>
      <c r="U1382" s="326"/>
      <c r="V1382" s="294"/>
      <c r="W1382" s="294"/>
      <c r="X1382" s="294"/>
      <c r="Y1382" s="294"/>
      <c r="Z1382" s="294"/>
      <c r="AA1382" s="294"/>
      <c r="AB1382" s="294"/>
      <c r="AC1382" s="294"/>
    </row>
    <row r="1383" spans="2:29" x14ac:dyDescent="0.25">
      <c r="B1383" s="294"/>
      <c r="C1383" s="294"/>
      <c r="D1383" s="294"/>
      <c r="E1383" s="294"/>
      <c r="F1383" s="294"/>
      <c r="G1383" s="294"/>
      <c r="H1383" s="294"/>
      <c r="I1383" s="294"/>
      <c r="J1383" s="294"/>
      <c r="L1383" s="295"/>
      <c r="M1383" s="294"/>
      <c r="O1383" s="294"/>
      <c r="P1383" s="294"/>
      <c r="Q1383" s="294"/>
      <c r="R1383" s="294"/>
      <c r="S1383" s="294"/>
      <c r="T1383" s="294"/>
      <c r="U1383" s="326"/>
      <c r="V1383" s="294"/>
      <c r="W1383" s="294"/>
      <c r="X1383" s="294"/>
      <c r="Y1383" s="294"/>
      <c r="Z1383" s="294"/>
      <c r="AA1383" s="294"/>
      <c r="AB1383" s="294"/>
      <c r="AC1383" s="294"/>
    </row>
    <row r="1384" spans="2:29" x14ac:dyDescent="0.25">
      <c r="B1384" s="294"/>
      <c r="C1384" s="294"/>
      <c r="D1384" s="294"/>
      <c r="E1384" s="294"/>
      <c r="F1384" s="294"/>
      <c r="G1384" s="294"/>
      <c r="H1384" s="294"/>
      <c r="I1384" s="294"/>
      <c r="J1384" s="294"/>
      <c r="L1384" s="295"/>
      <c r="M1384" s="294"/>
      <c r="O1384" s="294"/>
      <c r="P1384" s="294"/>
      <c r="Q1384" s="294"/>
      <c r="R1384" s="294"/>
      <c r="S1384" s="294"/>
      <c r="T1384" s="294"/>
      <c r="U1384" s="326"/>
      <c r="V1384" s="294"/>
      <c r="W1384" s="294"/>
      <c r="X1384" s="294"/>
      <c r="Y1384" s="294"/>
      <c r="Z1384" s="294"/>
      <c r="AA1384" s="294"/>
      <c r="AB1384" s="294"/>
      <c r="AC1384" s="294"/>
    </row>
    <row r="1385" spans="2:29" x14ac:dyDescent="0.25">
      <c r="B1385" s="294"/>
      <c r="C1385" s="294"/>
      <c r="D1385" s="294"/>
      <c r="E1385" s="294"/>
      <c r="F1385" s="294"/>
      <c r="G1385" s="294"/>
      <c r="H1385" s="294"/>
      <c r="I1385" s="294"/>
      <c r="J1385" s="294"/>
      <c r="L1385" s="295"/>
      <c r="M1385" s="294"/>
      <c r="O1385" s="294"/>
      <c r="P1385" s="294"/>
      <c r="Q1385" s="294"/>
      <c r="R1385" s="294"/>
      <c r="S1385" s="294"/>
      <c r="T1385" s="294"/>
      <c r="U1385" s="326"/>
      <c r="V1385" s="294"/>
      <c r="W1385" s="294"/>
      <c r="X1385" s="294"/>
      <c r="Y1385" s="294"/>
      <c r="Z1385" s="294"/>
      <c r="AA1385" s="294"/>
      <c r="AB1385" s="294"/>
      <c r="AC1385" s="294"/>
    </row>
    <row r="1386" spans="2:29" x14ac:dyDescent="0.25">
      <c r="B1386" s="294"/>
      <c r="C1386" s="294"/>
      <c r="D1386" s="294"/>
      <c r="E1386" s="294"/>
      <c r="F1386" s="294"/>
      <c r="G1386" s="294"/>
      <c r="H1386" s="294"/>
      <c r="I1386" s="294"/>
      <c r="J1386" s="294"/>
      <c r="L1386" s="295"/>
      <c r="M1386" s="294"/>
      <c r="O1386" s="294"/>
      <c r="P1386" s="294"/>
      <c r="Q1386" s="294"/>
      <c r="R1386" s="294"/>
      <c r="S1386" s="294"/>
      <c r="T1386" s="294"/>
      <c r="U1386" s="326"/>
      <c r="V1386" s="294"/>
      <c r="W1386" s="294"/>
      <c r="X1386" s="294"/>
      <c r="Y1386" s="294"/>
      <c r="Z1386" s="294"/>
      <c r="AA1386" s="294"/>
      <c r="AB1386" s="294"/>
      <c r="AC1386" s="294"/>
    </row>
    <row r="1387" spans="2:29" x14ac:dyDescent="0.25">
      <c r="B1387" s="294"/>
      <c r="C1387" s="294"/>
      <c r="D1387" s="294"/>
      <c r="E1387" s="294"/>
      <c r="F1387" s="294"/>
      <c r="G1387" s="294"/>
      <c r="H1387" s="294"/>
      <c r="I1387" s="294"/>
      <c r="J1387" s="294"/>
      <c r="L1387" s="295"/>
      <c r="M1387" s="294"/>
      <c r="O1387" s="294"/>
      <c r="P1387" s="294"/>
      <c r="Q1387" s="294"/>
      <c r="R1387" s="294"/>
      <c r="S1387" s="294"/>
      <c r="T1387" s="294"/>
      <c r="U1387" s="326"/>
      <c r="V1387" s="294"/>
      <c r="W1387" s="294"/>
      <c r="X1387" s="294"/>
      <c r="Y1387" s="294"/>
      <c r="Z1387" s="294"/>
      <c r="AA1387" s="294"/>
      <c r="AB1387" s="294"/>
      <c r="AC1387" s="294"/>
    </row>
    <row r="1388" spans="2:29" x14ac:dyDescent="0.25">
      <c r="B1388" s="294"/>
      <c r="C1388" s="294"/>
      <c r="D1388" s="294"/>
      <c r="E1388" s="294"/>
      <c r="F1388" s="294"/>
      <c r="G1388" s="294"/>
      <c r="H1388" s="294"/>
      <c r="I1388" s="294"/>
      <c r="J1388" s="294"/>
      <c r="L1388" s="295"/>
      <c r="M1388" s="294"/>
      <c r="O1388" s="294"/>
      <c r="P1388" s="294"/>
      <c r="Q1388" s="294"/>
      <c r="R1388" s="294"/>
      <c r="S1388" s="294"/>
      <c r="T1388" s="294"/>
      <c r="U1388" s="326"/>
      <c r="V1388" s="294"/>
      <c r="W1388" s="294"/>
      <c r="X1388" s="294"/>
      <c r="Y1388" s="294"/>
      <c r="Z1388" s="294"/>
      <c r="AA1388" s="294"/>
      <c r="AB1388" s="294"/>
      <c r="AC1388" s="294"/>
    </row>
    <row r="1389" spans="2:29" x14ac:dyDescent="0.25">
      <c r="B1389" s="294"/>
      <c r="C1389" s="294"/>
      <c r="D1389" s="294"/>
      <c r="E1389" s="294"/>
      <c r="F1389" s="294"/>
      <c r="G1389" s="294"/>
      <c r="H1389" s="294"/>
      <c r="I1389" s="294"/>
      <c r="J1389" s="294"/>
      <c r="L1389" s="295"/>
      <c r="M1389" s="294"/>
      <c r="O1389" s="294"/>
      <c r="P1389" s="294"/>
      <c r="Q1389" s="294"/>
      <c r="R1389" s="294"/>
      <c r="S1389" s="294"/>
      <c r="T1389" s="294"/>
      <c r="U1389" s="326"/>
      <c r="V1389" s="294"/>
      <c r="W1389" s="294"/>
      <c r="X1389" s="294"/>
      <c r="Y1389" s="294"/>
      <c r="Z1389" s="294"/>
      <c r="AA1389" s="294"/>
      <c r="AB1389" s="294"/>
      <c r="AC1389" s="294"/>
    </row>
    <row r="1390" spans="2:29" x14ac:dyDescent="0.25">
      <c r="B1390" s="294"/>
      <c r="C1390" s="294"/>
      <c r="D1390" s="294"/>
      <c r="E1390" s="294"/>
      <c r="F1390" s="294"/>
      <c r="G1390" s="294"/>
      <c r="H1390" s="294"/>
      <c r="I1390" s="294"/>
      <c r="J1390" s="294"/>
      <c r="L1390" s="295"/>
      <c r="M1390" s="294"/>
      <c r="O1390" s="294"/>
      <c r="P1390" s="294"/>
      <c r="Q1390" s="294"/>
      <c r="R1390" s="294"/>
      <c r="S1390" s="294"/>
      <c r="T1390" s="294"/>
      <c r="U1390" s="326"/>
      <c r="V1390" s="294"/>
      <c r="W1390" s="294"/>
      <c r="X1390" s="294"/>
      <c r="Y1390" s="294"/>
      <c r="Z1390" s="294"/>
      <c r="AA1390" s="294"/>
      <c r="AB1390" s="294"/>
      <c r="AC1390" s="294"/>
    </row>
    <row r="1391" spans="2:29" x14ac:dyDescent="0.25">
      <c r="B1391" s="294"/>
      <c r="C1391" s="294"/>
      <c r="D1391" s="294"/>
      <c r="E1391" s="294"/>
      <c r="F1391" s="294"/>
      <c r="G1391" s="294"/>
      <c r="H1391" s="294"/>
      <c r="I1391" s="294"/>
      <c r="J1391" s="294"/>
      <c r="L1391" s="295"/>
      <c r="M1391" s="294"/>
      <c r="O1391" s="294"/>
      <c r="P1391" s="294"/>
      <c r="Q1391" s="294"/>
      <c r="R1391" s="294"/>
      <c r="S1391" s="294"/>
      <c r="T1391" s="294"/>
      <c r="U1391" s="326"/>
      <c r="V1391" s="294"/>
      <c r="W1391" s="294"/>
      <c r="X1391" s="294"/>
      <c r="Y1391" s="294"/>
      <c r="Z1391" s="294"/>
      <c r="AA1391" s="294"/>
      <c r="AB1391" s="294"/>
      <c r="AC1391" s="294"/>
    </row>
    <row r="1392" spans="2:29" x14ac:dyDescent="0.25">
      <c r="B1392" s="294"/>
      <c r="C1392" s="294"/>
      <c r="D1392" s="294"/>
      <c r="E1392" s="294"/>
      <c r="F1392" s="294"/>
      <c r="G1392" s="294"/>
      <c r="H1392" s="294"/>
      <c r="I1392" s="294"/>
      <c r="J1392" s="294"/>
      <c r="L1392" s="295"/>
      <c r="M1392" s="294"/>
      <c r="O1392" s="294"/>
      <c r="P1392" s="294"/>
      <c r="Q1392" s="294"/>
      <c r="R1392" s="294"/>
      <c r="S1392" s="294"/>
      <c r="T1392" s="294"/>
      <c r="U1392" s="326"/>
      <c r="V1392" s="294"/>
      <c r="W1392" s="294"/>
      <c r="X1392" s="294"/>
      <c r="Y1392" s="294"/>
      <c r="Z1392" s="294"/>
      <c r="AA1392" s="294"/>
      <c r="AB1392" s="294"/>
      <c r="AC1392" s="294"/>
    </row>
    <row r="1393" spans="2:29" x14ac:dyDescent="0.25">
      <c r="B1393" s="294"/>
      <c r="C1393" s="294"/>
      <c r="D1393" s="294"/>
      <c r="E1393" s="294"/>
      <c r="F1393" s="294"/>
      <c r="G1393" s="294"/>
      <c r="H1393" s="294"/>
      <c r="I1393" s="294"/>
      <c r="J1393" s="294"/>
      <c r="L1393" s="295"/>
      <c r="M1393" s="294"/>
      <c r="O1393" s="294"/>
      <c r="P1393" s="294"/>
      <c r="Q1393" s="294"/>
      <c r="R1393" s="294"/>
      <c r="S1393" s="294"/>
      <c r="T1393" s="294"/>
      <c r="U1393" s="326"/>
      <c r="V1393" s="294"/>
      <c r="W1393" s="294"/>
      <c r="X1393" s="294"/>
      <c r="Y1393" s="294"/>
      <c r="Z1393" s="294"/>
      <c r="AA1393" s="294"/>
      <c r="AB1393" s="294"/>
      <c r="AC1393" s="294"/>
    </row>
    <row r="1394" spans="2:29" x14ac:dyDescent="0.25">
      <c r="B1394" s="294"/>
      <c r="C1394" s="294"/>
      <c r="D1394" s="294"/>
      <c r="E1394" s="294"/>
      <c r="F1394" s="294"/>
      <c r="G1394" s="294"/>
      <c r="H1394" s="294"/>
      <c r="I1394" s="294"/>
      <c r="J1394" s="294"/>
      <c r="L1394" s="295"/>
      <c r="M1394" s="294"/>
      <c r="O1394" s="294"/>
      <c r="P1394" s="294"/>
      <c r="Q1394" s="294"/>
      <c r="R1394" s="294"/>
      <c r="S1394" s="294"/>
      <c r="T1394" s="294"/>
      <c r="U1394" s="326"/>
      <c r="V1394" s="294"/>
      <c r="W1394" s="294"/>
      <c r="X1394" s="294"/>
      <c r="Y1394" s="294"/>
      <c r="Z1394" s="294"/>
      <c r="AA1394" s="294"/>
      <c r="AB1394" s="294"/>
      <c r="AC1394" s="294"/>
    </row>
    <row r="1395" spans="2:29" x14ac:dyDescent="0.25">
      <c r="B1395" s="294"/>
      <c r="C1395" s="294"/>
      <c r="D1395" s="294"/>
      <c r="E1395" s="294"/>
      <c r="F1395" s="294"/>
      <c r="G1395" s="294"/>
      <c r="H1395" s="294"/>
      <c r="I1395" s="294"/>
      <c r="J1395" s="294"/>
      <c r="L1395" s="295"/>
      <c r="M1395" s="294"/>
      <c r="O1395" s="294"/>
      <c r="P1395" s="294"/>
      <c r="Q1395" s="294"/>
      <c r="R1395" s="294"/>
      <c r="S1395" s="294"/>
      <c r="T1395" s="294"/>
      <c r="U1395" s="326"/>
      <c r="V1395" s="294"/>
      <c r="W1395" s="294"/>
      <c r="X1395" s="294"/>
      <c r="Y1395" s="294"/>
      <c r="Z1395" s="294"/>
      <c r="AA1395" s="294"/>
      <c r="AB1395" s="294"/>
      <c r="AC1395" s="294"/>
    </row>
    <row r="1396" spans="2:29" x14ac:dyDescent="0.25">
      <c r="B1396" s="294"/>
      <c r="C1396" s="294"/>
      <c r="D1396" s="294"/>
      <c r="E1396" s="294"/>
      <c r="F1396" s="294"/>
      <c r="G1396" s="294"/>
      <c r="H1396" s="294"/>
      <c r="I1396" s="294"/>
      <c r="J1396" s="294"/>
      <c r="L1396" s="295"/>
      <c r="M1396" s="294"/>
      <c r="O1396" s="294"/>
      <c r="P1396" s="294"/>
      <c r="Q1396" s="294"/>
      <c r="R1396" s="294"/>
      <c r="S1396" s="294"/>
      <c r="T1396" s="294"/>
      <c r="U1396" s="326"/>
      <c r="V1396" s="294"/>
      <c r="W1396" s="294"/>
      <c r="X1396" s="294"/>
      <c r="Y1396" s="294"/>
      <c r="Z1396" s="294"/>
      <c r="AA1396" s="294"/>
      <c r="AB1396" s="294"/>
      <c r="AC1396" s="294"/>
    </row>
    <row r="1397" spans="2:29" x14ac:dyDescent="0.25">
      <c r="B1397" s="294"/>
      <c r="C1397" s="294"/>
      <c r="D1397" s="294"/>
      <c r="E1397" s="294"/>
      <c r="F1397" s="294"/>
      <c r="G1397" s="294"/>
      <c r="H1397" s="294"/>
      <c r="I1397" s="294"/>
      <c r="J1397" s="294"/>
      <c r="L1397" s="295"/>
      <c r="M1397" s="294"/>
      <c r="O1397" s="294"/>
      <c r="P1397" s="294"/>
      <c r="Q1397" s="294"/>
      <c r="R1397" s="294"/>
      <c r="S1397" s="294"/>
      <c r="T1397" s="294"/>
      <c r="U1397" s="326"/>
      <c r="V1397" s="294"/>
      <c r="W1397" s="294"/>
      <c r="X1397" s="294"/>
      <c r="Y1397" s="294"/>
      <c r="Z1397" s="294"/>
      <c r="AA1397" s="294"/>
      <c r="AB1397" s="294"/>
      <c r="AC1397" s="294"/>
    </row>
    <row r="1398" spans="2:29" x14ac:dyDescent="0.25">
      <c r="B1398" s="294"/>
      <c r="C1398" s="294"/>
      <c r="D1398" s="294"/>
      <c r="E1398" s="294"/>
      <c r="F1398" s="294"/>
      <c r="G1398" s="294"/>
      <c r="H1398" s="294"/>
      <c r="I1398" s="294"/>
      <c r="J1398" s="294"/>
      <c r="L1398" s="295"/>
      <c r="M1398" s="294"/>
      <c r="O1398" s="294"/>
      <c r="P1398" s="294"/>
      <c r="Q1398" s="294"/>
      <c r="R1398" s="294"/>
      <c r="S1398" s="294"/>
      <c r="T1398" s="294"/>
      <c r="U1398" s="326"/>
      <c r="V1398" s="294"/>
      <c r="W1398" s="294"/>
      <c r="X1398" s="294"/>
      <c r="Y1398" s="294"/>
      <c r="Z1398" s="294"/>
      <c r="AA1398" s="294"/>
      <c r="AB1398" s="294"/>
      <c r="AC1398" s="294"/>
    </row>
    <row r="1399" spans="2:29" x14ac:dyDescent="0.25">
      <c r="B1399" s="294"/>
      <c r="C1399" s="294"/>
      <c r="D1399" s="294"/>
      <c r="E1399" s="294"/>
      <c r="F1399" s="294"/>
      <c r="G1399" s="294"/>
      <c r="H1399" s="294"/>
      <c r="I1399" s="294"/>
      <c r="J1399" s="294"/>
      <c r="L1399" s="295"/>
      <c r="M1399" s="294"/>
      <c r="O1399" s="294"/>
      <c r="P1399" s="294"/>
      <c r="Q1399" s="294"/>
      <c r="R1399" s="294"/>
      <c r="S1399" s="294"/>
      <c r="T1399" s="294"/>
      <c r="U1399" s="326"/>
      <c r="V1399" s="294"/>
      <c r="W1399" s="294"/>
      <c r="X1399" s="294"/>
      <c r="Y1399" s="294"/>
      <c r="Z1399" s="294"/>
      <c r="AA1399" s="294"/>
      <c r="AB1399" s="294"/>
      <c r="AC1399" s="294"/>
    </row>
    <row r="1400" spans="2:29" x14ac:dyDescent="0.25">
      <c r="B1400" s="294"/>
      <c r="C1400" s="294"/>
      <c r="D1400" s="294"/>
      <c r="E1400" s="294"/>
      <c r="F1400" s="294"/>
      <c r="G1400" s="294"/>
      <c r="H1400" s="294"/>
      <c r="I1400" s="294"/>
      <c r="J1400" s="294"/>
      <c r="L1400" s="295"/>
      <c r="M1400" s="294"/>
      <c r="O1400" s="294"/>
      <c r="P1400" s="294"/>
      <c r="Q1400" s="294"/>
      <c r="R1400" s="294"/>
      <c r="S1400" s="294"/>
      <c r="T1400" s="294"/>
      <c r="U1400" s="326"/>
      <c r="V1400" s="294"/>
      <c r="W1400" s="294"/>
      <c r="X1400" s="294"/>
      <c r="Y1400" s="294"/>
      <c r="Z1400" s="294"/>
      <c r="AA1400" s="294"/>
      <c r="AB1400" s="294"/>
      <c r="AC1400" s="294"/>
    </row>
    <row r="1401" spans="2:29" x14ac:dyDescent="0.25">
      <c r="B1401" s="294"/>
      <c r="C1401" s="294"/>
      <c r="D1401" s="294"/>
      <c r="E1401" s="294"/>
      <c r="F1401" s="294"/>
      <c r="G1401" s="294"/>
      <c r="H1401" s="294"/>
      <c r="I1401" s="294"/>
      <c r="J1401" s="294"/>
      <c r="L1401" s="295"/>
      <c r="M1401" s="294"/>
      <c r="O1401" s="294"/>
      <c r="P1401" s="294"/>
      <c r="Q1401" s="294"/>
      <c r="R1401" s="294"/>
      <c r="S1401" s="294"/>
      <c r="T1401" s="294"/>
      <c r="U1401" s="326"/>
      <c r="V1401" s="294"/>
      <c r="W1401" s="294"/>
      <c r="X1401" s="294"/>
      <c r="Y1401" s="294"/>
      <c r="Z1401" s="294"/>
      <c r="AA1401" s="294"/>
      <c r="AB1401" s="294"/>
      <c r="AC1401" s="294"/>
    </row>
    <row r="1402" spans="2:29" x14ac:dyDescent="0.25">
      <c r="B1402" s="294"/>
      <c r="C1402" s="294"/>
      <c r="D1402" s="294"/>
      <c r="E1402" s="294"/>
      <c r="F1402" s="294"/>
      <c r="G1402" s="294"/>
      <c r="H1402" s="294"/>
      <c r="I1402" s="294"/>
      <c r="J1402" s="294"/>
      <c r="L1402" s="295"/>
      <c r="M1402" s="294"/>
      <c r="O1402" s="294"/>
      <c r="P1402" s="294"/>
      <c r="Q1402" s="294"/>
      <c r="R1402" s="294"/>
      <c r="S1402" s="294"/>
      <c r="T1402" s="294"/>
      <c r="U1402" s="326"/>
      <c r="V1402" s="294"/>
      <c r="W1402" s="294"/>
      <c r="X1402" s="294"/>
      <c r="Y1402" s="294"/>
      <c r="Z1402" s="294"/>
      <c r="AA1402" s="294"/>
      <c r="AB1402" s="294"/>
      <c r="AC1402" s="294"/>
    </row>
    <row r="1403" spans="2:29" x14ac:dyDescent="0.25">
      <c r="B1403" s="294"/>
      <c r="C1403" s="294"/>
      <c r="D1403" s="294"/>
      <c r="E1403" s="294"/>
      <c r="F1403" s="294"/>
      <c r="G1403" s="294"/>
      <c r="H1403" s="294"/>
      <c r="I1403" s="294"/>
      <c r="J1403" s="294"/>
      <c r="L1403" s="295"/>
      <c r="M1403" s="294"/>
      <c r="O1403" s="294"/>
      <c r="P1403" s="294"/>
      <c r="Q1403" s="294"/>
      <c r="R1403" s="294"/>
      <c r="S1403" s="294"/>
      <c r="T1403" s="294"/>
      <c r="U1403" s="326"/>
      <c r="V1403" s="294"/>
      <c r="W1403" s="294"/>
      <c r="X1403" s="294"/>
      <c r="Y1403" s="294"/>
      <c r="Z1403" s="294"/>
      <c r="AA1403" s="294"/>
      <c r="AB1403" s="294"/>
      <c r="AC1403" s="294"/>
    </row>
    <row r="1404" spans="2:29" x14ac:dyDescent="0.25">
      <c r="B1404" s="294"/>
      <c r="C1404" s="294"/>
      <c r="D1404" s="294"/>
      <c r="E1404" s="294"/>
      <c r="F1404" s="294"/>
      <c r="G1404" s="294"/>
      <c r="H1404" s="294"/>
      <c r="I1404" s="294"/>
      <c r="J1404" s="294"/>
      <c r="L1404" s="295"/>
      <c r="M1404" s="294"/>
      <c r="O1404" s="294"/>
      <c r="P1404" s="294"/>
      <c r="Q1404" s="294"/>
      <c r="R1404" s="294"/>
      <c r="S1404" s="294"/>
      <c r="T1404" s="294"/>
      <c r="U1404" s="326"/>
      <c r="V1404" s="294"/>
      <c r="W1404" s="294"/>
      <c r="X1404" s="294"/>
      <c r="Y1404" s="294"/>
      <c r="Z1404" s="294"/>
      <c r="AA1404" s="294"/>
      <c r="AB1404" s="294"/>
      <c r="AC1404" s="294"/>
    </row>
    <row r="1405" spans="2:29" x14ac:dyDescent="0.25">
      <c r="B1405" s="294"/>
      <c r="C1405" s="294"/>
      <c r="D1405" s="294"/>
      <c r="E1405" s="294"/>
      <c r="F1405" s="294"/>
      <c r="G1405" s="294"/>
      <c r="H1405" s="294"/>
      <c r="I1405" s="294"/>
      <c r="J1405" s="294"/>
      <c r="L1405" s="295"/>
      <c r="M1405" s="294"/>
      <c r="O1405" s="294"/>
      <c r="P1405" s="294"/>
      <c r="Q1405" s="294"/>
      <c r="R1405" s="294"/>
      <c r="S1405" s="294"/>
      <c r="T1405" s="294"/>
      <c r="U1405" s="326"/>
      <c r="V1405" s="294"/>
      <c r="W1405" s="294"/>
      <c r="X1405" s="294"/>
      <c r="Y1405" s="294"/>
      <c r="Z1405" s="294"/>
      <c r="AA1405" s="294"/>
      <c r="AB1405" s="294"/>
      <c r="AC1405" s="294"/>
    </row>
    <row r="1406" spans="2:29" x14ac:dyDescent="0.25">
      <c r="B1406" s="294"/>
      <c r="C1406" s="294"/>
      <c r="D1406" s="294"/>
      <c r="E1406" s="294"/>
      <c r="F1406" s="294"/>
      <c r="G1406" s="294"/>
      <c r="H1406" s="294"/>
      <c r="I1406" s="294"/>
      <c r="J1406" s="294"/>
      <c r="L1406" s="295"/>
      <c r="M1406" s="294"/>
      <c r="O1406" s="294"/>
      <c r="P1406" s="294"/>
      <c r="Q1406" s="294"/>
      <c r="R1406" s="294"/>
      <c r="S1406" s="294"/>
      <c r="T1406" s="294"/>
      <c r="U1406" s="326"/>
      <c r="V1406" s="294"/>
      <c r="W1406" s="294"/>
      <c r="X1406" s="294"/>
      <c r="Y1406" s="294"/>
      <c r="Z1406" s="294"/>
      <c r="AA1406" s="294"/>
      <c r="AB1406" s="294"/>
      <c r="AC1406" s="294"/>
    </row>
    <row r="1407" spans="2:29" x14ac:dyDescent="0.25">
      <c r="B1407" s="294"/>
      <c r="C1407" s="294"/>
      <c r="D1407" s="294"/>
      <c r="E1407" s="294"/>
      <c r="F1407" s="294"/>
      <c r="G1407" s="294"/>
      <c r="H1407" s="294"/>
      <c r="I1407" s="294"/>
      <c r="J1407" s="294"/>
      <c r="L1407" s="295"/>
      <c r="M1407" s="294"/>
      <c r="O1407" s="294"/>
      <c r="P1407" s="294"/>
      <c r="Q1407" s="294"/>
      <c r="R1407" s="294"/>
      <c r="S1407" s="294"/>
      <c r="T1407" s="294"/>
      <c r="U1407" s="326"/>
      <c r="V1407" s="294"/>
      <c r="W1407" s="294"/>
      <c r="X1407" s="294"/>
      <c r="Y1407" s="294"/>
      <c r="Z1407" s="294"/>
      <c r="AA1407" s="294"/>
      <c r="AB1407" s="294"/>
      <c r="AC1407" s="294"/>
    </row>
    <row r="1408" spans="2:29" x14ac:dyDescent="0.25">
      <c r="B1408" s="294"/>
      <c r="C1408" s="294"/>
      <c r="D1408" s="294"/>
      <c r="E1408" s="294"/>
      <c r="F1408" s="294"/>
      <c r="G1408" s="294"/>
      <c r="H1408" s="294"/>
      <c r="I1408" s="294"/>
      <c r="J1408" s="294"/>
      <c r="L1408" s="295"/>
      <c r="M1408" s="294"/>
      <c r="O1408" s="294"/>
      <c r="P1408" s="294"/>
      <c r="Q1408" s="294"/>
      <c r="R1408" s="294"/>
      <c r="S1408" s="294"/>
      <c r="T1408" s="294"/>
      <c r="U1408" s="326"/>
      <c r="V1408" s="294"/>
      <c r="W1408" s="294"/>
      <c r="X1408" s="294"/>
      <c r="Y1408" s="294"/>
      <c r="Z1408" s="294"/>
      <c r="AA1408" s="294"/>
      <c r="AB1408" s="294"/>
      <c r="AC1408" s="294"/>
    </row>
    <row r="1409" spans="2:29" x14ac:dyDescent="0.25">
      <c r="B1409" s="294"/>
      <c r="C1409" s="294"/>
      <c r="D1409" s="294"/>
      <c r="E1409" s="294"/>
      <c r="F1409" s="294"/>
      <c r="G1409" s="294"/>
      <c r="H1409" s="294"/>
      <c r="I1409" s="294"/>
      <c r="J1409" s="294"/>
      <c r="L1409" s="295"/>
      <c r="M1409" s="294"/>
      <c r="O1409" s="294"/>
      <c r="P1409" s="294"/>
      <c r="Q1409" s="294"/>
      <c r="R1409" s="294"/>
      <c r="S1409" s="294"/>
      <c r="T1409" s="294"/>
      <c r="U1409" s="326"/>
      <c r="V1409" s="294"/>
      <c r="W1409" s="294"/>
      <c r="X1409" s="294"/>
      <c r="Y1409" s="294"/>
      <c r="Z1409" s="294"/>
      <c r="AA1409" s="294"/>
      <c r="AB1409" s="294"/>
      <c r="AC1409" s="294"/>
    </row>
    <row r="1410" spans="2:29" x14ac:dyDescent="0.25">
      <c r="B1410" s="294"/>
      <c r="C1410" s="294"/>
      <c r="D1410" s="294"/>
      <c r="E1410" s="294"/>
      <c r="F1410" s="294"/>
      <c r="G1410" s="294"/>
      <c r="H1410" s="294"/>
      <c r="I1410" s="294"/>
      <c r="J1410" s="294"/>
      <c r="L1410" s="295"/>
      <c r="M1410" s="294"/>
      <c r="O1410" s="294"/>
      <c r="P1410" s="294"/>
      <c r="Q1410" s="294"/>
      <c r="R1410" s="294"/>
      <c r="S1410" s="294"/>
      <c r="T1410" s="294"/>
      <c r="U1410" s="326"/>
      <c r="V1410" s="294"/>
      <c r="W1410" s="294"/>
      <c r="X1410" s="294"/>
      <c r="Y1410" s="294"/>
      <c r="Z1410" s="294"/>
      <c r="AA1410" s="294"/>
      <c r="AB1410" s="294"/>
      <c r="AC1410" s="294"/>
    </row>
    <row r="1411" spans="2:29" x14ac:dyDescent="0.25">
      <c r="B1411" s="294"/>
      <c r="C1411" s="294"/>
      <c r="D1411" s="294"/>
      <c r="E1411" s="294"/>
      <c r="F1411" s="294"/>
      <c r="G1411" s="294"/>
      <c r="H1411" s="294"/>
      <c r="I1411" s="294"/>
      <c r="J1411" s="294"/>
      <c r="L1411" s="295"/>
      <c r="M1411" s="294"/>
      <c r="O1411" s="294"/>
      <c r="P1411" s="294"/>
      <c r="Q1411" s="294"/>
      <c r="R1411" s="294"/>
      <c r="S1411" s="294"/>
      <c r="T1411" s="294"/>
      <c r="U1411" s="326"/>
      <c r="V1411" s="294"/>
      <c r="W1411" s="294"/>
      <c r="X1411" s="294"/>
      <c r="Y1411" s="294"/>
      <c r="Z1411" s="294"/>
      <c r="AA1411" s="294"/>
      <c r="AB1411" s="294"/>
      <c r="AC1411" s="294"/>
    </row>
    <row r="1412" spans="2:29" x14ac:dyDescent="0.25">
      <c r="B1412" s="294"/>
      <c r="C1412" s="294"/>
      <c r="D1412" s="294"/>
      <c r="E1412" s="294"/>
      <c r="F1412" s="294"/>
      <c r="G1412" s="294"/>
      <c r="H1412" s="294"/>
      <c r="I1412" s="294"/>
      <c r="J1412" s="294"/>
      <c r="L1412" s="295"/>
      <c r="M1412" s="294"/>
      <c r="O1412" s="294"/>
      <c r="P1412" s="294"/>
      <c r="Q1412" s="294"/>
      <c r="R1412" s="294"/>
      <c r="S1412" s="294"/>
      <c r="T1412" s="294"/>
      <c r="U1412" s="326"/>
      <c r="V1412" s="294"/>
      <c r="W1412" s="294"/>
      <c r="X1412" s="294"/>
      <c r="Y1412" s="294"/>
      <c r="Z1412" s="294"/>
      <c r="AA1412" s="294"/>
      <c r="AB1412" s="294"/>
      <c r="AC1412" s="294"/>
    </row>
    <row r="1413" spans="2:29" x14ac:dyDescent="0.25">
      <c r="B1413" s="294"/>
      <c r="C1413" s="294"/>
      <c r="D1413" s="294"/>
      <c r="E1413" s="294"/>
      <c r="F1413" s="294"/>
      <c r="G1413" s="294"/>
      <c r="H1413" s="294"/>
      <c r="I1413" s="294"/>
      <c r="J1413" s="294"/>
      <c r="L1413" s="295"/>
      <c r="M1413" s="294"/>
      <c r="O1413" s="294"/>
      <c r="P1413" s="294"/>
      <c r="Q1413" s="294"/>
      <c r="R1413" s="294"/>
      <c r="S1413" s="294"/>
      <c r="T1413" s="294"/>
      <c r="U1413" s="326"/>
      <c r="V1413" s="294"/>
      <c r="W1413" s="294"/>
      <c r="X1413" s="294"/>
      <c r="Y1413" s="294"/>
      <c r="Z1413" s="294"/>
      <c r="AA1413" s="294"/>
      <c r="AB1413" s="294"/>
      <c r="AC1413" s="294"/>
    </row>
    <row r="1414" spans="2:29" x14ac:dyDescent="0.25">
      <c r="B1414" s="294"/>
      <c r="C1414" s="294"/>
      <c r="D1414" s="294"/>
      <c r="E1414" s="294"/>
      <c r="F1414" s="294"/>
      <c r="G1414" s="294"/>
      <c r="H1414" s="294"/>
      <c r="I1414" s="294"/>
      <c r="J1414" s="294"/>
      <c r="L1414" s="295"/>
      <c r="M1414" s="294"/>
      <c r="O1414" s="294"/>
      <c r="P1414" s="294"/>
      <c r="Q1414" s="294"/>
      <c r="R1414" s="294"/>
      <c r="S1414" s="294"/>
      <c r="T1414" s="294"/>
      <c r="U1414" s="326"/>
      <c r="V1414" s="294"/>
      <c r="W1414" s="294"/>
      <c r="X1414" s="294"/>
      <c r="Y1414" s="294"/>
      <c r="Z1414" s="294"/>
      <c r="AA1414" s="294"/>
      <c r="AB1414" s="294"/>
      <c r="AC1414" s="294"/>
    </row>
    <row r="1415" spans="2:29" x14ac:dyDescent="0.25">
      <c r="B1415" s="294"/>
      <c r="C1415" s="294"/>
      <c r="D1415" s="294"/>
      <c r="E1415" s="294"/>
      <c r="F1415" s="294"/>
      <c r="G1415" s="294"/>
      <c r="H1415" s="294"/>
      <c r="I1415" s="294"/>
      <c r="J1415" s="294"/>
      <c r="L1415" s="295"/>
      <c r="M1415" s="294"/>
      <c r="O1415" s="294"/>
      <c r="P1415" s="294"/>
      <c r="Q1415" s="294"/>
      <c r="R1415" s="294"/>
      <c r="S1415" s="294"/>
      <c r="T1415" s="294"/>
      <c r="U1415" s="326"/>
      <c r="V1415" s="294"/>
      <c r="W1415" s="294"/>
      <c r="X1415" s="294"/>
      <c r="Y1415" s="294"/>
      <c r="Z1415" s="294"/>
      <c r="AA1415" s="294"/>
      <c r="AB1415" s="294"/>
      <c r="AC1415" s="294"/>
    </row>
    <row r="1416" spans="2:29" x14ac:dyDescent="0.25">
      <c r="B1416" s="294"/>
      <c r="C1416" s="294"/>
      <c r="D1416" s="294"/>
      <c r="E1416" s="294"/>
      <c r="F1416" s="294"/>
      <c r="G1416" s="294"/>
      <c r="H1416" s="294"/>
      <c r="I1416" s="294"/>
      <c r="J1416" s="294"/>
      <c r="L1416" s="295"/>
      <c r="M1416" s="294"/>
      <c r="O1416" s="294"/>
      <c r="P1416" s="294"/>
      <c r="Q1416" s="294"/>
      <c r="R1416" s="294"/>
      <c r="S1416" s="294"/>
      <c r="T1416" s="294"/>
      <c r="U1416" s="326"/>
      <c r="V1416" s="294"/>
      <c r="W1416" s="294"/>
      <c r="X1416" s="294"/>
      <c r="Y1416" s="294"/>
      <c r="Z1416" s="294"/>
      <c r="AA1416" s="294"/>
      <c r="AB1416" s="294"/>
      <c r="AC1416" s="294"/>
    </row>
    <row r="1417" spans="2:29" x14ac:dyDescent="0.25">
      <c r="B1417" s="294"/>
      <c r="C1417" s="294"/>
      <c r="D1417" s="294"/>
      <c r="E1417" s="294"/>
      <c r="F1417" s="294"/>
      <c r="G1417" s="294"/>
      <c r="H1417" s="294"/>
      <c r="I1417" s="294"/>
      <c r="J1417" s="294"/>
      <c r="L1417" s="295"/>
      <c r="M1417" s="294"/>
      <c r="O1417" s="294"/>
      <c r="P1417" s="294"/>
      <c r="Q1417" s="294"/>
      <c r="R1417" s="294"/>
      <c r="S1417" s="294"/>
      <c r="T1417" s="294"/>
      <c r="U1417" s="326"/>
      <c r="V1417" s="294"/>
      <c r="W1417" s="294"/>
      <c r="X1417" s="294"/>
      <c r="Y1417" s="294"/>
      <c r="Z1417" s="294"/>
      <c r="AA1417" s="294"/>
      <c r="AB1417" s="294"/>
      <c r="AC1417" s="294"/>
    </row>
    <row r="1418" spans="2:29" x14ac:dyDescent="0.25">
      <c r="B1418" s="294"/>
      <c r="C1418" s="294"/>
      <c r="D1418" s="294"/>
      <c r="E1418" s="294"/>
      <c r="F1418" s="294"/>
      <c r="G1418" s="294"/>
      <c r="H1418" s="294"/>
      <c r="I1418" s="294"/>
      <c r="J1418" s="294"/>
      <c r="L1418" s="295"/>
      <c r="M1418" s="294"/>
      <c r="O1418" s="294"/>
      <c r="P1418" s="294"/>
      <c r="Q1418" s="294"/>
      <c r="R1418" s="294"/>
      <c r="S1418" s="294"/>
      <c r="T1418" s="294"/>
      <c r="U1418" s="326"/>
      <c r="V1418" s="294"/>
      <c r="W1418" s="294"/>
      <c r="X1418" s="294"/>
      <c r="Y1418" s="294"/>
      <c r="Z1418" s="294"/>
      <c r="AA1418" s="294"/>
      <c r="AB1418" s="294"/>
      <c r="AC1418" s="294"/>
    </row>
    <row r="1419" spans="2:29" x14ac:dyDescent="0.25">
      <c r="B1419" s="294"/>
      <c r="C1419" s="294"/>
      <c r="D1419" s="294"/>
      <c r="E1419" s="294"/>
      <c r="F1419" s="294"/>
      <c r="G1419" s="294"/>
      <c r="H1419" s="294"/>
      <c r="I1419" s="294"/>
      <c r="J1419" s="294"/>
      <c r="L1419" s="295"/>
      <c r="M1419" s="294"/>
      <c r="O1419" s="294"/>
      <c r="P1419" s="294"/>
      <c r="Q1419" s="294"/>
      <c r="R1419" s="294"/>
      <c r="S1419" s="294"/>
      <c r="T1419" s="294"/>
      <c r="U1419" s="326"/>
      <c r="V1419" s="294"/>
      <c r="W1419" s="294"/>
      <c r="X1419" s="294"/>
      <c r="Y1419" s="294"/>
      <c r="Z1419" s="294"/>
      <c r="AA1419" s="294"/>
      <c r="AB1419" s="294"/>
      <c r="AC1419" s="294"/>
    </row>
    <row r="1420" spans="2:29" x14ac:dyDescent="0.25">
      <c r="B1420" s="294"/>
      <c r="C1420" s="294"/>
      <c r="D1420" s="294"/>
      <c r="E1420" s="294"/>
      <c r="F1420" s="294"/>
      <c r="G1420" s="294"/>
      <c r="H1420" s="294"/>
      <c r="I1420" s="294"/>
      <c r="J1420" s="294"/>
      <c r="L1420" s="295"/>
      <c r="M1420" s="294"/>
      <c r="O1420" s="294"/>
      <c r="P1420" s="294"/>
      <c r="Q1420" s="294"/>
      <c r="R1420" s="294"/>
      <c r="S1420" s="294"/>
      <c r="T1420" s="294"/>
      <c r="U1420" s="326"/>
      <c r="V1420" s="294"/>
      <c r="W1420" s="294"/>
      <c r="X1420" s="294"/>
      <c r="Y1420" s="294"/>
      <c r="Z1420" s="294"/>
      <c r="AA1420" s="294"/>
      <c r="AB1420" s="294"/>
      <c r="AC1420" s="294"/>
    </row>
    <row r="1421" spans="2:29" x14ac:dyDescent="0.25">
      <c r="B1421" s="294"/>
      <c r="C1421" s="294"/>
      <c r="D1421" s="294"/>
      <c r="E1421" s="294"/>
      <c r="F1421" s="294"/>
      <c r="G1421" s="294"/>
      <c r="H1421" s="294"/>
      <c r="I1421" s="294"/>
      <c r="J1421" s="294"/>
      <c r="L1421" s="295"/>
      <c r="M1421" s="294"/>
      <c r="O1421" s="294"/>
      <c r="P1421" s="294"/>
      <c r="Q1421" s="294"/>
      <c r="R1421" s="294"/>
      <c r="S1421" s="294"/>
      <c r="T1421" s="294"/>
      <c r="U1421" s="326"/>
      <c r="V1421" s="294"/>
      <c r="W1421" s="294"/>
      <c r="X1421" s="294"/>
      <c r="Y1421" s="294"/>
      <c r="Z1421" s="294"/>
      <c r="AA1421" s="294"/>
      <c r="AB1421" s="294"/>
      <c r="AC1421" s="294"/>
    </row>
    <row r="1422" spans="2:29" x14ac:dyDescent="0.25">
      <c r="B1422" s="294"/>
      <c r="C1422" s="294"/>
      <c r="D1422" s="294"/>
      <c r="E1422" s="294"/>
      <c r="F1422" s="294"/>
      <c r="G1422" s="294"/>
      <c r="H1422" s="294"/>
      <c r="I1422" s="294"/>
      <c r="J1422" s="294"/>
      <c r="L1422" s="295"/>
      <c r="M1422" s="294"/>
      <c r="O1422" s="294"/>
      <c r="P1422" s="294"/>
      <c r="Q1422" s="294"/>
      <c r="R1422" s="294"/>
      <c r="S1422" s="294"/>
      <c r="T1422" s="294"/>
      <c r="U1422" s="326"/>
      <c r="V1422" s="294"/>
      <c r="W1422" s="294"/>
      <c r="X1422" s="294"/>
      <c r="Y1422" s="294"/>
      <c r="Z1422" s="294"/>
      <c r="AA1422" s="294"/>
      <c r="AB1422" s="294"/>
      <c r="AC1422" s="294"/>
    </row>
    <row r="1423" spans="2:29" x14ac:dyDescent="0.25">
      <c r="B1423" s="294"/>
      <c r="C1423" s="294"/>
      <c r="D1423" s="294"/>
      <c r="E1423" s="294"/>
      <c r="F1423" s="294"/>
      <c r="G1423" s="294"/>
      <c r="H1423" s="294"/>
      <c r="I1423" s="294"/>
      <c r="J1423" s="294"/>
      <c r="L1423" s="295"/>
      <c r="M1423" s="294"/>
      <c r="O1423" s="294"/>
      <c r="P1423" s="294"/>
      <c r="Q1423" s="294"/>
      <c r="R1423" s="294"/>
      <c r="S1423" s="294"/>
      <c r="T1423" s="294"/>
      <c r="U1423" s="326"/>
      <c r="V1423" s="294"/>
      <c r="W1423" s="294"/>
      <c r="X1423" s="294"/>
      <c r="Y1423" s="294"/>
      <c r="Z1423" s="294"/>
      <c r="AA1423" s="294"/>
      <c r="AB1423" s="294"/>
      <c r="AC1423" s="294"/>
    </row>
    <row r="1424" spans="2:29" x14ac:dyDescent="0.25">
      <c r="B1424" s="294"/>
      <c r="C1424" s="294"/>
      <c r="D1424" s="294"/>
      <c r="E1424" s="294"/>
      <c r="F1424" s="294"/>
      <c r="G1424" s="294"/>
      <c r="H1424" s="294"/>
      <c r="I1424" s="294"/>
      <c r="J1424" s="294"/>
      <c r="L1424" s="295"/>
      <c r="M1424" s="294"/>
      <c r="O1424" s="294"/>
      <c r="P1424" s="294"/>
      <c r="Q1424" s="294"/>
      <c r="R1424" s="294"/>
      <c r="S1424" s="294"/>
      <c r="T1424" s="294"/>
      <c r="U1424" s="326"/>
      <c r="V1424" s="294"/>
      <c r="W1424" s="294"/>
      <c r="X1424" s="294"/>
      <c r="Y1424" s="294"/>
      <c r="Z1424" s="294"/>
      <c r="AA1424" s="294"/>
      <c r="AB1424" s="294"/>
      <c r="AC1424" s="294"/>
    </row>
    <row r="1425" spans="2:29" x14ac:dyDescent="0.25">
      <c r="B1425" s="294"/>
      <c r="C1425" s="294"/>
      <c r="D1425" s="294"/>
      <c r="E1425" s="294"/>
      <c r="F1425" s="294"/>
      <c r="G1425" s="294"/>
      <c r="H1425" s="294"/>
      <c r="I1425" s="294"/>
      <c r="J1425" s="294"/>
      <c r="L1425" s="295"/>
      <c r="M1425" s="294"/>
      <c r="O1425" s="294"/>
      <c r="P1425" s="294"/>
      <c r="Q1425" s="294"/>
      <c r="R1425" s="294"/>
      <c r="S1425" s="294"/>
      <c r="T1425" s="294"/>
      <c r="U1425" s="326"/>
      <c r="V1425" s="294"/>
      <c r="W1425" s="294"/>
      <c r="X1425" s="294"/>
      <c r="Y1425" s="294"/>
      <c r="Z1425" s="294"/>
      <c r="AA1425" s="294"/>
      <c r="AB1425" s="294"/>
      <c r="AC1425" s="294"/>
    </row>
    <row r="1426" spans="2:29" x14ac:dyDescent="0.25">
      <c r="B1426" s="294"/>
      <c r="C1426" s="294"/>
      <c r="D1426" s="294"/>
      <c r="E1426" s="294"/>
      <c r="F1426" s="294"/>
      <c r="G1426" s="294"/>
      <c r="H1426" s="294"/>
      <c r="I1426" s="294"/>
      <c r="J1426" s="294"/>
      <c r="L1426" s="295"/>
      <c r="M1426" s="294"/>
      <c r="O1426" s="294"/>
      <c r="P1426" s="294"/>
      <c r="Q1426" s="294"/>
      <c r="R1426" s="294"/>
      <c r="S1426" s="294"/>
      <c r="T1426" s="294"/>
      <c r="U1426" s="326"/>
      <c r="V1426" s="294"/>
      <c r="W1426" s="294"/>
      <c r="X1426" s="294"/>
      <c r="Y1426" s="294"/>
      <c r="Z1426" s="294"/>
      <c r="AA1426" s="294"/>
      <c r="AB1426" s="294"/>
      <c r="AC1426" s="294"/>
    </row>
    <row r="1427" spans="2:29" x14ac:dyDescent="0.25">
      <c r="B1427" s="294"/>
      <c r="C1427" s="294"/>
      <c r="D1427" s="294"/>
      <c r="E1427" s="294"/>
      <c r="F1427" s="294"/>
      <c r="G1427" s="294"/>
      <c r="H1427" s="294"/>
      <c r="I1427" s="294"/>
      <c r="J1427" s="294"/>
      <c r="L1427" s="295"/>
      <c r="M1427" s="294"/>
      <c r="O1427" s="294"/>
      <c r="P1427" s="294"/>
      <c r="Q1427" s="294"/>
      <c r="R1427" s="294"/>
      <c r="S1427" s="294"/>
      <c r="T1427" s="294"/>
      <c r="U1427" s="326"/>
      <c r="V1427" s="294"/>
      <c r="W1427" s="294"/>
      <c r="X1427" s="294"/>
      <c r="Y1427" s="294"/>
      <c r="Z1427" s="294"/>
      <c r="AA1427" s="294"/>
      <c r="AB1427" s="294"/>
      <c r="AC1427" s="294"/>
    </row>
    <row r="1428" spans="2:29" x14ac:dyDescent="0.25">
      <c r="B1428" s="294"/>
      <c r="C1428" s="294"/>
      <c r="D1428" s="294"/>
      <c r="E1428" s="294"/>
      <c r="F1428" s="294"/>
      <c r="G1428" s="294"/>
      <c r="H1428" s="294"/>
      <c r="I1428" s="294"/>
      <c r="J1428" s="294"/>
      <c r="L1428" s="295"/>
      <c r="M1428" s="294"/>
      <c r="O1428" s="294"/>
      <c r="P1428" s="294"/>
      <c r="Q1428" s="294"/>
      <c r="R1428" s="294"/>
      <c r="S1428" s="294"/>
      <c r="T1428" s="294"/>
      <c r="U1428" s="326"/>
      <c r="V1428" s="294"/>
      <c r="W1428" s="294"/>
      <c r="X1428" s="294"/>
      <c r="Y1428" s="294"/>
      <c r="Z1428" s="294"/>
      <c r="AA1428" s="294"/>
      <c r="AB1428" s="294"/>
      <c r="AC1428" s="294"/>
    </row>
    <row r="1429" spans="2:29" x14ac:dyDescent="0.25">
      <c r="B1429" s="294"/>
      <c r="C1429" s="294"/>
      <c r="D1429" s="294"/>
      <c r="E1429" s="294"/>
      <c r="F1429" s="294"/>
      <c r="G1429" s="294"/>
      <c r="H1429" s="294"/>
      <c r="I1429" s="294"/>
      <c r="J1429" s="294"/>
      <c r="L1429" s="295"/>
      <c r="M1429" s="294"/>
      <c r="O1429" s="294"/>
      <c r="P1429" s="294"/>
      <c r="Q1429" s="294"/>
      <c r="R1429" s="294"/>
      <c r="S1429" s="294"/>
      <c r="T1429" s="294"/>
      <c r="U1429" s="326"/>
      <c r="V1429" s="294"/>
      <c r="W1429" s="294"/>
      <c r="X1429" s="294"/>
      <c r="Y1429" s="294"/>
      <c r="Z1429" s="294"/>
      <c r="AA1429" s="294"/>
      <c r="AB1429" s="294"/>
      <c r="AC1429" s="294"/>
    </row>
    <row r="1430" spans="2:29" x14ac:dyDescent="0.25">
      <c r="B1430" s="294"/>
      <c r="C1430" s="294"/>
      <c r="D1430" s="294"/>
      <c r="E1430" s="294"/>
      <c r="F1430" s="294"/>
      <c r="G1430" s="294"/>
      <c r="H1430" s="294"/>
      <c r="I1430" s="294"/>
      <c r="J1430" s="294"/>
      <c r="L1430" s="295"/>
      <c r="M1430" s="294"/>
      <c r="O1430" s="294"/>
      <c r="P1430" s="294"/>
      <c r="Q1430" s="294"/>
      <c r="R1430" s="294"/>
      <c r="S1430" s="294"/>
      <c r="T1430" s="294"/>
      <c r="U1430" s="326"/>
      <c r="V1430" s="294"/>
      <c r="W1430" s="294"/>
      <c r="X1430" s="294"/>
      <c r="Y1430" s="294"/>
      <c r="Z1430" s="294"/>
      <c r="AA1430" s="294"/>
      <c r="AB1430" s="294"/>
      <c r="AC1430" s="294"/>
    </row>
    <row r="1431" spans="2:29" x14ac:dyDescent="0.25">
      <c r="B1431" s="294"/>
      <c r="C1431" s="294"/>
      <c r="D1431" s="294"/>
      <c r="E1431" s="294"/>
      <c r="F1431" s="294"/>
      <c r="G1431" s="294"/>
      <c r="H1431" s="294"/>
      <c r="I1431" s="294"/>
      <c r="J1431" s="294"/>
      <c r="L1431" s="295"/>
      <c r="M1431" s="294"/>
      <c r="O1431" s="294"/>
      <c r="P1431" s="294"/>
      <c r="Q1431" s="294"/>
      <c r="R1431" s="294"/>
      <c r="S1431" s="294"/>
      <c r="T1431" s="294"/>
      <c r="U1431" s="326"/>
      <c r="V1431" s="294"/>
      <c r="W1431" s="294"/>
      <c r="X1431" s="294"/>
      <c r="Y1431" s="294"/>
      <c r="Z1431" s="294"/>
      <c r="AA1431" s="294"/>
      <c r="AB1431" s="294"/>
      <c r="AC1431" s="294"/>
    </row>
    <row r="1432" spans="2:29" x14ac:dyDescent="0.25">
      <c r="B1432" s="294"/>
      <c r="C1432" s="294"/>
      <c r="D1432" s="294"/>
      <c r="E1432" s="294"/>
      <c r="F1432" s="294"/>
      <c r="G1432" s="294"/>
      <c r="H1432" s="294"/>
      <c r="I1432" s="294"/>
      <c r="J1432" s="294"/>
      <c r="L1432" s="295"/>
      <c r="M1432" s="294"/>
      <c r="O1432" s="294"/>
      <c r="P1432" s="294"/>
      <c r="Q1432" s="294"/>
      <c r="R1432" s="294"/>
      <c r="S1432" s="294"/>
      <c r="T1432" s="294"/>
      <c r="U1432" s="326"/>
      <c r="V1432" s="294"/>
      <c r="W1432" s="294"/>
      <c r="X1432" s="294"/>
      <c r="Y1432" s="294"/>
      <c r="Z1432" s="294"/>
      <c r="AA1432" s="294"/>
      <c r="AB1432" s="294"/>
      <c r="AC1432" s="294"/>
    </row>
    <row r="1433" spans="2:29" x14ac:dyDescent="0.25">
      <c r="B1433" s="294"/>
      <c r="C1433" s="294"/>
      <c r="D1433" s="294"/>
      <c r="E1433" s="294"/>
      <c r="F1433" s="294"/>
      <c r="G1433" s="294"/>
      <c r="H1433" s="294"/>
      <c r="I1433" s="294"/>
      <c r="J1433" s="294"/>
      <c r="L1433" s="295"/>
      <c r="M1433" s="294"/>
      <c r="O1433" s="294"/>
      <c r="P1433" s="294"/>
      <c r="Q1433" s="294"/>
      <c r="R1433" s="294"/>
      <c r="S1433" s="294"/>
      <c r="T1433" s="294"/>
      <c r="U1433" s="326"/>
      <c r="V1433" s="294"/>
      <c r="W1433" s="294"/>
      <c r="X1433" s="294"/>
      <c r="Y1433" s="294"/>
      <c r="Z1433" s="294"/>
      <c r="AA1433" s="294"/>
      <c r="AB1433" s="294"/>
      <c r="AC1433" s="294"/>
    </row>
    <row r="1434" spans="2:29" x14ac:dyDescent="0.25">
      <c r="B1434" s="294"/>
      <c r="C1434" s="294"/>
      <c r="D1434" s="294"/>
      <c r="E1434" s="294"/>
      <c r="F1434" s="294"/>
      <c r="G1434" s="294"/>
      <c r="H1434" s="294"/>
      <c r="I1434" s="294"/>
      <c r="J1434" s="294"/>
      <c r="L1434" s="295"/>
      <c r="M1434" s="294"/>
      <c r="O1434" s="294"/>
      <c r="P1434" s="294"/>
      <c r="Q1434" s="294"/>
      <c r="R1434" s="294"/>
      <c r="S1434" s="294"/>
      <c r="T1434" s="294"/>
      <c r="U1434" s="326"/>
      <c r="V1434" s="294"/>
      <c r="W1434" s="294"/>
      <c r="X1434" s="294"/>
      <c r="Y1434" s="294"/>
      <c r="Z1434" s="294"/>
      <c r="AA1434" s="294"/>
      <c r="AB1434" s="294"/>
      <c r="AC1434" s="294"/>
    </row>
    <row r="1435" spans="2:29" x14ac:dyDescent="0.25">
      <c r="B1435" s="294"/>
      <c r="C1435" s="294"/>
      <c r="D1435" s="294"/>
      <c r="E1435" s="294"/>
      <c r="F1435" s="294"/>
      <c r="G1435" s="294"/>
      <c r="H1435" s="294"/>
      <c r="I1435" s="294"/>
      <c r="J1435" s="294"/>
      <c r="L1435" s="295"/>
      <c r="M1435" s="294"/>
      <c r="O1435" s="294"/>
      <c r="P1435" s="294"/>
      <c r="Q1435" s="294"/>
      <c r="R1435" s="294"/>
      <c r="S1435" s="294"/>
      <c r="T1435" s="294"/>
      <c r="U1435" s="326"/>
      <c r="V1435" s="294"/>
      <c r="W1435" s="294"/>
      <c r="X1435" s="294"/>
      <c r="Y1435" s="294"/>
      <c r="Z1435" s="294"/>
      <c r="AA1435" s="294"/>
      <c r="AB1435" s="294"/>
      <c r="AC1435" s="294"/>
    </row>
    <row r="1436" spans="2:29" x14ac:dyDescent="0.25">
      <c r="B1436" s="294"/>
      <c r="C1436" s="294"/>
      <c r="D1436" s="294"/>
      <c r="E1436" s="294"/>
      <c r="F1436" s="294"/>
      <c r="G1436" s="294"/>
      <c r="H1436" s="294"/>
      <c r="I1436" s="294"/>
      <c r="J1436" s="294"/>
      <c r="L1436" s="295"/>
      <c r="M1436" s="294"/>
      <c r="O1436" s="294"/>
      <c r="P1436" s="294"/>
      <c r="Q1436" s="294"/>
      <c r="R1436" s="294"/>
      <c r="S1436" s="294"/>
      <c r="T1436" s="294"/>
      <c r="U1436" s="326"/>
      <c r="V1436" s="294"/>
      <c r="W1436" s="294"/>
      <c r="X1436" s="294"/>
      <c r="Y1436" s="294"/>
      <c r="Z1436" s="294"/>
      <c r="AA1436" s="294"/>
      <c r="AB1436" s="294"/>
      <c r="AC1436" s="294"/>
    </row>
    <row r="1437" spans="2:29" x14ac:dyDescent="0.25">
      <c r="B1437" s="294"/>
      <c r="C1437" s="294"/>
      <c r="D1437" s="294"/>
      <c r="E1437" s="294"/>
      <c r="F1437" s="294"/>
      <c r="G1437" s="294"/>
      <c r="H1437" s="294"/>
      <c r="I1437" s="294"/>
      <c r="J1437" s="294"/>
      <c r="L1437" s="295"/>
      <c r="M1437" s="294"/>
      <c r="O1437" s="294"/>
      <c r="P1437" s="294"/>
      <c r="Q1437" s="294"/>
      <c r="R1437" s="294"/>
      <c r="S1437" s="294"/>
      <c r="T1437" s="294"/>
      <c r="U1437" s="326"/>
      <c r="V1437" s="294"/>
      <c r="W1437" s="294"/>
      <c r="X1437" s="294"/>
      <c r="Y1437" s="294"/>
      <c r="Z1437" s="294"/>
      <c r="AA1437" s="294"/>
      <c r="AB1437" s="294"/>
      <c r="AC1437" s="294"/>
    </row>
    <row r="1438" spans="2:29" x14ac:dyDescent="0.25">
      <c r="B1438" s="294"/>
      <c r="C1438" s="294"/>
      <c r="D1438" s="294"/>
      <c r="E1438" s="294"/>
      <c r="F1438" s="294"/>
      <c r="G1438" s="294"/>
      <c r="H1438" s="294"/>
      <c r="I1438" s="294"/>
      <c r="J1438" s="294"/>
      <c r="L1438" s="295"/>
      <c r="M1438" s="294"/>
      <c r="O1438" s="294"/>
      <c r="P1438" s="294"/>
      <c r="Q1438" s="294"/>
      <c r="R1438" s="294"/>
      <c r="S1438" s="294"/>
      <c r="T1438" s="294"/>
      <c r="U1438" s="326"/>
      <c r="V1438" s="294"/>
      <c r="W1438" s="294"/>
      <c r="X1438" s="294"/>
      <c r="Y1438" s="294"/>
      <c r="Z1438" s="294"/>
      <c r="AA1438" s="294"/>
      <c r="AB1438" s="294"/>
      <c r="AC1438" s="294"/>
    </row>
    <row r="1439" spans="2:29" x14ac:dyDescent="0.25">
      <c r="B1439" s="294"/>
      <c r="C1439" s="294"/>
      <c r="D1439" s="294"/>
      <c r="E1439" s="294"/>
      <c r="F1439" s="294"/>
      <c r="G1439" s="294"/>
      <c r="H1439" s="294"/>
      <c r="I1439" s="294"/>
      <c r="J1439" s="294"/>
      <c r="L1439" s="295"/>
      <c r="M1439" s="294"/>
      <c r="O1439" s="294"/>
      <c r="P1439" s="294"/>
      <c r="Q1439" s="294"/>
      <c r="R1439" s="294"/>
      <c r="S1439" s="294"/>
      <c r="T1439" s="294"/>
      <c r="U1439" s="326"/>
      <c r="V1439" s="294"/>
      <c r="W1439" s="294"/>
      <c r="X1439" s="294"/>
      <c r="Y1439" s="294"/>
      <c r="Z1439" s="294"/>
      <c r="AA1439" s="294"/>
      <c r="AB1439" s="294"/>
      <c r="AC1439" s="294"/>
    </row>
    <row r="1440" spans="2:29" x14ac:dyDescent="0.25">
      <c r="B1440" s="294"/>
      <c r="C1440" s="294"/>
      <c r="D1440" s="294"/>
      <c r="E1440" s="294"/>
      <c r="F1440" s="294"/>
      <c r="G1440" s="294"/>
      <c r="H1440" s="294"/>
      <c r="I1440" s="294"/>
      <c r="J1440" s="294"/>
      <c r="L1440" s="295"/>
      <c r="M1440" s="294"/>
      <c r="O1440" s="294"/>
      <c r="P1440" s="294"/>
      <c r="Q1440" s="294"/>
      <c r="R1440" s="294"/>
      <c r="S1440" s="294"/>
      <c r="T1440" s="294"/>
      <c r="U1440" s="326"/>
      <c r="V1440" s="294"/>
      <c r="W1440" s="294"/>
      <c r="X1440" s="294"/>
      <c r="Y1440" s="294"/>
      <c r="Z1440" s="294"/>
      <c r="AA1440" s="294"/>
      <c r="AB1440" s="294"/>
      <c r="AC1440" s="294"/>
    </row>
    <row r="1441" spans="2:29" x14ac:dyDescent="0.25">
      <c r="B1441" s="294"/>
      <c r="C1441" s="294"/>
      <c r="D1441" s="294"/>
      <c r="E1441" s="294"/>
      <c r="F1441" s="294"/>
      <c r="G1441" s="294"/>
      <c r="H1441" s="294"/>
      <c r="I1441" s="294"/>
      <c r="J1441" s="294"/>
      <c r="L1441" s="295"/>
      <c r="M1441" s="294"/>
      <c r="O1441" s="294"/>
      <c r="P1441" s="294"/>
      <c r="Q1441" s="294"/>
      <c r="R1441" s="294"/>
      <c r="S1441" s="294"/>
      <c r="T1441" s="294"/>
      <c r="U1441" s="326"/>
      <c r="V1441" s="294"/>
      <c r="W1441" s="294"/>
      <c r="X1441" s="294"/>
      <c r="Y1441" s="294"/>
      <c r="Z1441" s="294"/>
      <c r="AA1441" s="294"/>
      <c r="AB1441" s="294"/>
      <c r="AC1441" s="294"/>
    </row>
    <row r="1442" spans="2:29" x14ac:dyDescent="0.25">
      <c r="B1442" s="294"/>
      <c r="C1442" s="294"/>
      <c r="D1442" s="294"/>
      <c r="E1442" s="294"/>
      <c r="F1442" s="294"/>
      <c r="G1442" s="294"/>
      <c r="H1442" s="294"/>
      <c r="I1442" s="294"/>
      <c r="J1442" s="294"/>
      <c r="L1442" s="295"/>
      <c r="M1442" s="294"/>
      <c r="O1442" s="294"/>
      <c r="P1442" s="294"/>
      <c r="Q1442" s="294"/>
      <c r="R1442" s="294"/>
      <c r="S1442" s="294"/>
      <c r="T1442" s="294"/>
      <c r="U1442" s="326"/>
      <c r="V1442" s="294"/>
      <c r="W1442" s="294"/>
      <c r="X1442" s="294"/>
      <c r="Y1442" s="294"/>
      <c r="Z1442" s="294"/>
      <c r="AA1442" s="294"/>
      <c r="AB1442" s="294"/>
      <c r="AC1442" s="294"/>
    </row>
    <row r="1443" spans="2:29" x14ac:dyDescent="0.25">
      <c r="B1443" s="294"/>
      <c r="C1443" s="294"/>
      <c r="D1443" s="294"/>
      <c r="E1443" s="294"/>
      <c r="F1443" s="294"/>
      <c r="G1443" s="294"/>
      <c r="H1443" s="294"/>
      <c r="I1443" s="294"/>
      <c r="J1443" s="294"/>
      <c r="L1443" s="295"/>
      <c r="M1443" s="294"/>
      <c r="O1443" s="294"/>
      <c r="P1443" s="294"/>
      <c r="Q1443" s="294"/>
      <c r="R1443" s="294"/>
      <c r="S1443" s="294"/>
      <c r="T1443" s="294"/>
      <c r="U1443" s="326"/>
      <c r="V1443" s="294"/>
      <c r="W1443" s="294"/>
      <c r="X1443" s="294"/>
      <c r="Y1443" s="294"/>
      <c r="Z1443" s="294"/>
      <c r="AA1443" s="294"/>
      <c r="AB1443" s="294"/>
      <c r="AC1443" s="294"/>
    </row>
    <row r="1444" spans="2:29" x14ac:dyDescent="0.25">
      <c r="B1444" s="294"/>
      <c r="C1444" s="294"/>
      <c r="D1444" s="294"/>
      <c r="E1444" s="294"/>
      <c r="F1444" s="294"/>
      <c r="G1444" s="294"/>
      <c r="H1444" s="294"/>
      <c r="I1444" s="294"/>
      <c r="J1444" s="294"/>
      <c r="L1444" s="295"/>
      <c r="M1444" s="294"/>
      <c r="O1444" s="294"/>
      <c r="P1444" s="294"/>
      <c r="Q1444" s="294"/>
      <c r="R1444" s="294"/>
      <c r="S1444" s="294"/>
      <c r="T1444" s="294"/>
      <c r="U1444" s="326"/>
      <c r="V1444" s="294"/>
      <c r="W1444" s="294"/>
      <c r="X1444" s="294"/>
      <c r="Y1444" s="294"/>
      <c r="Z1444" s="294"/>
      <c r="AA1444" s="294"/>
      <c r="AB1444" s="294"/>
      <c r="AC1444" s="294"/>
    </row>
    <row r="1445" spans="2:29" x14ac:dyDescent="0.25">
      <c r="B1445" s="294"/>
      <c r="C1445" s="294"/>
      <c r="D1445" s="294"/>
      <c r="E1445" s="294"/>
      <c r="F1445" s="294"/>
      <c r="G1445" s="294"/>
      <c r="H1445" s="294"/>
      <c r="I1445" s="294"/>
      <c r="J1445" s="294"/>
      <c r="L1445" s="295"/>
      <c r="M1445" s="294"/>
      <c r="O1445" s="294"/>
      <c r="P1445" s="294"/>
      <c r="Q1445" s="294"/>
      <c r="R1445" s="294"/>
      <c r="S1445" s="294"/>
      <c r="T1445" s="294"/>
      <c r="U1445" s="326"/>
      <c r="V1445" s="294"/>
      <c r="W1445" s="294"/>
      <c r="X1445" s="294"/>
      <c r="Y1445" s="294"/>
      <c r="Z1445" s="294"/>
      <c r="AA1445" s="294"/>
      <c r="AB1445" s="294"/>
      <c r="AC1445" s="294"/>
    </row>
    <row r="1446" spans="2:29" x14ac:dyDescent="0.25">
      <c r="B1446" s="294"/>
      <c r="C1446" s="294"/>
      <c r="D1446" s="294"/>
      <c r="E1446" s="294"/>
      <c r="F1446" s="294"/>
      <c r="G1446" s="294"/>
      <c r="H1446" s="294"/>
      <c r="I1446" s="294"/>
      <c r="J1446" s="294"/>
      <c r="L1446" s="295"/>
      <c r="M1446" s="294"/>
      <c r="O1446" s="294"/>
      <c r="P1446" s="294"/>
      <c r="Q1446" s="294"/>
      <c r="R1446" s="294"/>
      <c r="S1446" s="294"/>
      <c r="T1446" s="294"/>
      <c r="U1446" s="326"/>
      <c r="V1446" s="294"/>
      <c r="W1446" s="294"/>
      <c r="X1446" s="294"/>
      <c r="Y1446" s="294"/>
      <c r="Z1446" s="294"/>
      <c r="AA1446" s="294"/>
      <c r="AB1446" s="294"/>
      <c r="AC1446" s="294"/>
    </row>
    <row r="1447" spans="2:29" x14ac:dyDescent="0.25">
      <c r="B1447" s="294"/>
      <c r="C1447" s="294"/>
      <c r="D1447" s="294"/>
      <c r="E1447" s="294"/>
      <c r="F1447" s="294"/>
      <c r="G1447" s="294"/>
      <c r="H1447" s="294"/>
      <c r="I1447" s="294"/>
      <c r="J1447" s="294"/>
      <c r="L1447" s="295"/>
      <c r="M1447" s="294"/>
      <c r="O1447" s="294"/>
      <c r="P1447" s="294"/>
      <c r="Q1447" s="294"/>
      <c r="R1447" s="294"/>
      <c r="S1447" s="294"/>
      <c r="T1447" s="294"/>
      <c r="U1447" s="326"/>
      <c r="V1447" s="294"/>
      <c r="W1447" s="294"/>
      <c r="X1447" s="294"/>
      <c r="Y1447" s="294"/>
      <c r="Z1447" s="294"/>
      <c r="AA1447" s="294"/>
      <c r="AB1447" s="294"/>
      <c r="AC1447" s="294"/>
    </row>
    <row r="1448" spans="2:29" x14ac:dyDescent="0.25">
      <c r="B1448" s="294"/>
      <c r="C1448" s="294"/>
      <c r="D1448" s="294"/>
      <c r="E1448" s="294"/>
      <c r="F1448" s="294"/>
      <c r="G1448" s="294"/>
      <c r="H1448" s="294"/>
      <c r="I1448" s="294"/>
      <c r="J1448" s="294"/>
      <c r="L1448" s="295"/>
      <c r="M1448" s="294"/>
      <c r="O1448" s="294"/>
      <c r="P1448" s="294"/>
      <c r="Q1448" s="294"/>
      <c r="R1448" s="294"/>
      <c r="S1448" s="294"/>
      <c r="T1448" s="294"/>
      <c r="U1448" s="326"/>
      <c r="V1448" s="294"/>
      <c r="W1448" s="294"/>
      <c r="X1448" s="294"/>
      <c r="Y1448" s="294"/>
      <c r="Z1448" s="294"/>
      <c r="AA1448" s="294"/>
      <c r="AB1448" s="294"/>
      <c r="AC1448" s="294"/>
    </row>
    <row r="1449" spans="2:29" x14ac:dyDescent="0.25">
      <c r="B1449" s="294"/>
      <c r="C1449" s="294"/>
      <c r="D1449" s="294"/>
      <c r="E1449" s="294"/>
      <c r="F1449" s="294"/>
      <c r="G1449" s="294"/>
      <c r="H1449" s="294"/>
      <c r="I1449" s="294"/>
      <c r="J1449" s="294"/>
      <c r="L1449" s="295"/>
      <c r="M1449" s="294"/>
      <c r="O1449" s="294"/>
      <c r="P1449" s="294"/>
      <c r="Q1449" s="294"/>
      <c r="R1449" s="294"/>
      <c r="S1449" s="294"/>
      <c r="T1449" s="294"/>
      <c r="U1449" s="326"/>
      <c r="V1449" s="294"/>
      <c r="W1449" s="294"/>
      <c r="X1449" s="294"/>
      <c r="Y1449" s="294"/>
      <c r="Z1449" s="294"/>
      <c r="AA1449" s="294"/>
      <c r="AB1449" s="294"/>
      <c r="AC1449" s="294"/>
    </row>
    <row r="1450" spans="2:29" x14ac:dyDescent="0.25">
      <c r="B1450" s="294"/>
      <c r="C1450" s="294"/>
      <c r="D1450" s="294"/>
      <c r="E1450" s="294"/>
      <c r="F1450" s="294"/>
      <c r="G1450" s="294"/>
      <c r="H1450" s="294"/>
      <c r="I1450" s="294"/>
      <c r="J1450" s="294"/>
      <c r="L1450" s="295"/>
      <c r="M1450" s="294"/>
      <c r="O1450" s="294"/>
      <c r="P1450" s="294"/>
      <c r="Q1450" s="294"/>
      <c r="R1450" s="294"/>
      <c r="S1450" s="294"/>
      <c r="T1450" s="294"/>
      <c r="U1450" s="326"/>
      <c r="V1450" s="294"/>
      <c r="W1450" s="294"/>
      <c r="X1450" s="294"/>
      <c r="Y1450" s="294"/>
      <c r="Z1450" s="294"/>
      <c r="AA1450" s="294"/>
      <c r="AB1450" s="294"/>
      <c r="AC1450" s="294"/>
    </row>
    <row r="1451" spans="2:29" x14ac:dyDescent="0.25">
      <c r="B1451" s="294"/>
      <c r="C1451" s="294"/>
      <c r="D1451" s="294"/>
      <c r="E1451" s="294"/>
      <c r="F1451" s="294"/>
      <c r="G1451" s="294"/>
      <c r="H1451" s="294"/>
      <c r="I1451" s="294"/>
      <c r="J1451" s="294"/>
      <c r="L1451" s="295"/>
      <c r="M1451" s="294"/>
      <c r="O1451" s="294"/>
      <c r="P1451" s="294"/>
      <c r="Q1451" s="294"/>
      <c r="R1451" s="294"/>
      <c r="S1451" s="294"/>
      <c r="T1451" s="294"/>
      <c r="U1451" s="326"/>
      <c r="V1451" s="294"/>
      <c r="W1451" s="294"/>
      <c r="X1451" s="294"/>
      <c r="Y1451" s="294"/>
      <c r="Z1451" s="294"/>
      <c r="AA1451" s="294"/>
      <c r="AB1451" s="294"/>
      <c r="AC1451" s="294"/>
    </row>
    <row r="1452" spans="2:29" x14ac:dyDescent="0.25">
      <c r="B1452" s="294"/>
      <c r="C1452" s="294"/>
      <c r="D1452" s="294"/>
      <c r="E1452" s="294"/>
      <c r="F1452" s="294"/>
      <c r="G1452" s="294"/>
      <c r="H1452" s="294"/>
      <c r="I1452" s="294"/>
      <c r="J1452" s="294"/>
      <c r="L1452" s="295"/>
      <c r="M1452" s="294"/>
      <c r="O1452" s="294"/>
      <c r="P1452" s="294"/>
      <c r="Q1452" s="294"/>
      <c r="R1452" s="294"/>
      <c r="S1452" s="294"/>
      <c r="T1452" s="294"/>
      <c r="U1452" s="326"/>
      <c r="V1452" s="294"/>
      <c r="W1452" s="294"/>
      <c r="X1452" s="294"/>
      <c r="Y1452" s="294"/>
      <c r="Z1452" s="294"/>
      <c r="AA1452" s="294"/>
      <c r="AB1452" s="294"/>
      <c r="AC1452" s="294"/>
    </row>
    <row r="1453" spans="2:29" x14ac:dyDescent="0.25">
      <c r="B1453" s="294"/>
      <c r="C1453" s="294"/>
      <c r="D1453" s="294"/>
      <c r="E1453" s="294"/>
      <c r="F1453" s="294"/>
      <c r="G1453" s="294"/>
      <c r="H1453" s="294"/>
      <c r="I1453" s="294"/>
      <c r="J1453" s="294"/>
      <c r="L1453" s="295"/>
      <c r="M1453" s="294"/>
      <c r="O1453" s="294"/>
      <c r="P1453" s="294"/>
      <c r="Q1453" s="294"/>
      <c r="R1453" s="294"/>
      <c r="S1453" s="294"/>
      <c r="T1453" s="294"/>
      <c r="U1453" s="326"/>
      <c r="V1453" s="294"/>
      <c r="W1453" s="294"/>
      <c r="X1453" s="294"/>
      <c r="Y1453" s="294"/>
      <c r="Z1453" s="294"/>
      <c r="AA1453" s="294"/>
      <c r="AB1453" s="294"/>
      <c r="AC1453" s="294"/>
    </row>
    <row r="1454" spans="2:29" x14ac:dyDescent="0.25">
      <c r="B1454" s="294"/>
      <c r="C1454" s="294"/>
      <c r="D1454" s="294"/>
      <c r="E1454" s="294"/>
      <c r="F1454" s="294"/>
      <c r="G1454" s="294"/>
      <c r="H1454" s="294"/>
      <c r="I1454" s="294"/>
      <c r="J1454" s="294"/>
      <c r="L1454" s="295"/>
      <c r="M1454" s="294"/>
      <c r="O1454" s="294"/>
      <c r="P1454" s="294"/>
      <c r="Q1454" s="294"/>
      <c r="R1454" s="294"/>
      <c r="S1454" s="294"/>
      <c r="T1454" s="294"/>
      <c r="U1454" s="326"/>
      <c r="V1454" s="294"/>
      <c r="W1454" s="294"/>
      <c r="X1454" s="294"/>
      <c r="Y1454" s="294"/>
      <c r="Z1454" s="294"/>
      <c r="AA1454" s="294"/>
      <c r="AB1454" s="294"/>
      <c r="AC1454" s="294"/>
    </row>
    <row r="1455" spans="2:29" x14ac:dyDescent="0.25">
      <c r="B1455" s="294"/>
      <c r="C1455" s="294"/>
      <c r="D1455" s="294"/>
      <c r="E1455" s="294"/>
      <c r="F1455" s="294"/>
      <c r="G1455" s="294"/>
      <c r="H1455" s="294"/>
      <c r="I1455" s="294"/>
      <c r="J1455" s="294"/>
      <c r="L1455" s="295"/>
      <c r="M1455" s="294"/>
      <c r="O1455" s="294"/>
      <c r="P1455" s="294"/>
      <c r="Q1455" s="294"/>
      <c r="R1455" s="294"/>
      <c r="S1455" s="294"/>
      <c r="T1455" s="294"/>
      <c r="U1455" s="326"/>
      <c r="V1455" s="294"/>
      <c r="W1455" s="294"/>
      <c r="X1455" s="294"/>
      <c r="Y1455" s="294"/>
      <c r="Z1455" s="294"/>
      <c r="AA1455" s="294"/>
      <c r="AB1455" s="294"/>
      <c r="AC1455" s="294"/>
    </row>
    <row r="1456" spans="2:29" x14ac:dyDescent="0.25">
      <c r="B1456" s="294"/>
      <c r="C1456" s="294"/>
      <c r="D1456" s="294"/>
      <c r="E1456" s="294"/>
      <c r="F1456" s="294"/>
      <c r="G1456" s="294"/>
      <c r="H1456" s="294"/>
      <c r="I1456" s="294"/>
      <c r="J1456" s="294"/>
      <c r="L1456" s="295"/>
      <c r="M1456" s="294"/>
      <c r="O1456" s="294"/>
      <c r="P1456" s="294"/>
      <c r="Q1456" s="294"/>
      <c r="R1456" s="294"/>
      <c r="S1456" s="294"/>
      <c r="T1456" s="294"/>
      <c r="U1456" s="326"/>
      <c r="V1456" s="294"/>
      <c r="W1456" s="294"/>
      <c r="X1456" s="294"/>
      <c r="Y1456" s="294"/>
      <c r="Z1456" s="294"/>
      <c r="AA1456" s="294"/>
      <c r="AB1456" s="294"/>
      <c r="AC1456" s="294"/>
    </row>
    <row r="1457" spans="2:29" x14ac:dyDescent="0.25">
      <c r="B1457" s="294"/>
      <c r="C1457" s="294"/>
      <c r="D1457" s="294"/>
      <c r="E1457" s="294"/>
      <c r="F1457" s="294"/>
      <c r="G1457" s="294"/>
      <c r="H1457" s="294"/>
      <c r="I1457" s="294"/>
      <c r="J1457" s="294"/>
      <c r="L1457" s="295"/>
      <c r="M1457" s="294"/>
      <c r="O1457" s="294"/>
      <c r="P1457" s="294"/>
      <c r="Q1457" s="294"/>
      <c r="R1457" s="294"/>
      <c r="S1457" s="294"/>
      <c r="T1457" s="294"/>
      <c r="U1457" s="326"/>
      <c r="V1457" s="294"/>
      <c r="W1457" s="294"/>
      <c r="X1457" s="294"/>
      <c r="Y1457" s="294"/>
      <c r="Z1457" s="294"/>
      <c r="AA1457" s="294"/>
      <c r="AB1457" s="294"/>
      <c r="AC1457" s="294"/>
    </row>
    <row r="1458" spans="2:29" x14ac:dyDescent="0.25">
      <c r="B1458" s="294"/>
      <c r="C1458" s="294"/>
      <c r="D1458" s="294"/>
      <c r="E1458" s="294"/>
      <c r="F1458" s="294"/>
      <c r="G1458" s="294"/>
      <c r="H1458" s="294"/>
      <c r="I1458" s="294"/>
      <c r="J1458" s="294"/>
      <c r="L1458" s="295"/>
      <c r="M1458" s="294"/>
      <c r="O1458" s="294"/>
      <c r="P1458" s="294"/>
      <c r="Q1458" s="294"/>
      <c r="R1458" s="294"/>
      <c r="S1458" s="294"/>
      <c r="T1458" s="294"/>
      <c r="U1458" s="326"/>
      <c r="V1458" s="294"/>
      <c r="W1458" s="294"/>
      <c r="X1458" s="294"/>
      <c r="Y1458" s="294"/>
      <c r="Z1458" s="294"/>
      <c r="AA1458" s="294"/>
      <c r="AB1458" s="294"/>
      <c r="AC1458" s="294"/>
    </row>
    <row r="1459" spans="2:29" x14ac:dyDescent="0.25">
      <c r="B1459" s="294"/>
      <c r="C1459" s="294"/>
      <c r="D1459" s="294"/>
      <c r="E1459" s="294"/>
      <c r="F1459" s="294"/>
      <c r="G1459" s="294"/>
      <c r="H1459" s="294"/>
      <c r="I1459" s="294"/>
      <c r="J1459" s="294"/>
      <c r="L1459" s="295"/>
      <c r="M1459" s="294"/>
      <c r="O1459" s="294"/>
      <c r="P1459" s="294"/>
      <c r="Q1459" s="294"/>
      <c r="R1459" s="294"/>
      <c r="S1459" s="294"/>
      <c r="T1459" s="294"/>
      <c r="U1459" s="326"/>
      <c r="V1459" s="294"/>
      <c r="W1459" s="294"/>
      <c r="X1459" s="294"/>
      <c r="Y1459" s="294"/>
      <c r="Z1459" s="294"/>
      <c r="AA1459" s="294"/>
      <c r="AB1459" s="294"/>
      <c r="AC1459" s="294"/>
    </row>
    <row r="1460" spans="2:29" x14ac:dyDescent="0.25">
      <c r="B1460" s="294"/>
      <c r="C1460" s="294"/>
      <c r="D1460" s="294"/>
      <c r="E1460" s="294"/>
      <c r="F1460" s="294"/>
      <c r="G1460" s="294"/>
      <c r="H1460" s="294"/>
      <c r="I1460" s="294"/>
      <c r="J1460" s="294"/>
      <c r="L1460" s="295"/>
      <c r="M1460" s="294"/>
      <c r="O1460" s="294"/>
      <c r="P1460" s="294"/>
      <c r="Q1460" s="294"/>
      <c r="R1460" s="294"/>
      <c r="S1460" s="294"/>
      <c r="T1460" s="294"/>
      <c r="U1460" s="326"/>
      <c r="V1460" s="294"/>
      <c r="W1460" s="294"/>
      <c r="X1460" s="294"/>
      <c r="Y1460" s="294"/>
      <c r="Z1460" s="294"/>
      <c r="AA1460" s="294"/>
      <c r="AB1460" s="294"/>
      <c r="AC1460" s="294"/>
    </row>
    <row r="1461" spans="2:29" x14ac:dyDescent="0.25">
      <c r="B1461" s="294"/>
      <c r="C1461" s="294"/>
      <c r="D1461" s="294"/>
      <c r="E1461" s="294"/>
      <c r="F1461" s="294"/>
      <c r="G1461" s="294"/>
      <c r="H1461" s="294"/>
      <c r="I1461" s="294"/>
      <c r="J1461" s="294"/>
      <c r="L1461" s="295"/>
      <c r="M1461" s="294"/>
      <c r="O1461" s="294"/>
      <c r="P1461" s="294"/>
      <c r="Q1461" s="294"/>
      <c r="R1461" s="294"/>
      <c r="S1461" s="294"/>
      <c r="T1461" s="294"/>
      <c r="U1461" s="326"/>
      <c r="V1461" s="294"/>
      <c r="W1461" s="294"/>
      <c r="X1461" s="294"/>
      <c r="Y1461" s="294"/>
      <c r="Z1461" s="294"/>
      <c r="AA1461" s="294"/>
      <c r="AB1461" s="294"/>
      <c r="AC1461" s="294"/>
    </row>
    <row r="1462" spans="2:29" x14ac:dyDescent="0.25">
      <c r="B1462" s="294"/>
      <c r="C1462" s="294"/>
      <c r="D1462" s="294"/>
      <c r="E1462" s="294"/>
      <c r="F1462" s="294"/>
      <c r="G1462" s="294"/>
      <c r="H1462" s="294"/>
      <c r="I1462" s="294"/>
      <c r="J1462" s="294"/>
      <c r="L1462" s="295"/>
      <c r="M1462" s="294"/>
      <c r="O1462" s="294"/>
      <c r="P1462" s="294"/>
      <c r="Q1462" s="294"/>
      <c r="R1462" s="294"/>
      <c r="S1462" s="294"/>
      <c r="T1462" s="294"/>
      <c r="U1462" s="326"/>
      <c r="V1462" s="294"/>
      <c r="W1462" s="294"/>
      <c r="X1462" s="294"/>
      <c r="Y1462" s="294"/>
      <c r="Z1462" s="294"/>
      <c r="AA1462" s="294"/>
      <c r="AB1462" s="294"/>
      <c r="AC1462" s="294"/>
    </row>
    <row r="1463" spans="2:29" x14ac:dyDescent="0.25">
      <c r="B1463" s="294"/>
      <c r="C1463" s="294"/>
      <c r="D1463" s="294"/>
      <c r="E1463" s="294"/>
      <c r="F1463" s="294"/>
      <c r="G1463" s="294"/>
      <c r="H1463" s="294"/>
      <c r="I1463" s="294"/>
      <c r="J1463" s="294"/>
      <c r="L1463" s="295"/>
      <c r="M1463" s="294"/>
      <c r="O1463" s="294"/>
      <c r="P1463" s="294"/>
      <c r="Q1463" s="294"/>
      <c r="R1463" s="294"/>
      <c r="S1463" s="294"/>
      <c r="T1463" s="294"/>
      <c r="U1463" s="326"/>
      <c r="V1463" s="294"/>
      <c r="W1463" s="294"/>
      <c r="X1463" s="294"/>
      <c r="Y1463" s="294"/>
      <c r="Z1463" s="294"/>
      <c r="AA1463" s="294"/>
      <c r="AB1463" s="294"/>
      <c r="AC1463" s="294"/>
    </row>
    <row r="1464" spans="2:29" x14ac:dyDescent="0.25">
      <c r="B1464" s="294"/>
      <c r="C1464" s="294"/>
      <c r="D1464" s="294"/>
      <c r="E1464" s="294"/>
      <c r="F1464" s="294"/>
      <c r="G1464" s="294"/>
      <c r="H1464" s="294"/>
      <c r="I1464" s="294"/>
      <c r="J1464" s="294"/>
      <c r="L1464" s="295"/>
      <c r="M1464" s="294"/>
      <c r="O1464" s="294"/>
      <c r="P1464" s="294"/>
      <c r="Q1464" s="294"/>
      <c r="R1464" s="294"/>
      <c r="S1464" s="294"/>
      <c r="T1464" s="294"/>
      <c r="U1464" s="326"/>
      <c r="V1464" s="294"/>
      <c r="W1464" s="294"/>
      <c r="X1464" s="294"/>
      <c r="Y1464" s="294"/>
      <c r="Z1464" s="294"/>
      <c r="AA1464" s="294"/>
      <c r="AB1464" s="294"/>
      <c r="AC1464" s="294"/>
    </row>
    <row r="1465" spans="2:29" x14ac:dyDescent="0.25">
      <c r="B1465" s="294"/>
      <c r="C1465" s="294"/>
      <c r="D1465" s="294"/>
      <c r="E1465" s="294"/>
      <c r="F1465" s="294"/>
      <c r="G1465" s="294"/>
      <c r="H1465" s="294"/>
      <c r="I1465" s="294"/>
      <c r="J1465" s="294"/>
      <c r="L1465" s="295"/>
      <c r="M1465" s="294"/>
      <c r="O1465" s="294"/>
      <c r="P1465" s="294"/>
      <c r="Q1465" s="294"/>
      <c r="R1465" s="294"/>
      <c r="S1465" s="294"/>
      <c r="T1465" s="294"/>
      <c r="U1465" s="326"/>
      <c r="V1465" s="294"/>
      <c r="W1465" s="294"/>
      <c r="X1465" s="294"/>
      <c r="Y1465" s="294"/>
      <c r="Z1465" s="294"/>
      <c r="AA1465" s="294"/>
      <c r="AB1465" s="294"/>
      <c r="AC1465" s="294"/>
    </row>
    <row r="1466" spans="2:29" x14ac:dyDescent="0.25">
      <c r="B1466" s="294"/>
      <c r="C1466" s="294"/>
      <c r="D1466" s="294"/>
      <c r="E1466" s="294"/>
      <c r="F1466" s="294"/>
      <c r="G1466" s="294"/>
      <c r="H1466" s="294"/>
      <c r="I1466" s="294"/>
      <c r="J1466" s="294"/>
      <c r="L1466" s="295"/>
      <c r="M1466" s="294"/>
      <c r="O1466" s="294"/>
      <c r="P1466" s="294"/>
      <c r="Q1466" s="294"/>
      <c r="R1466" s="294"/>
      <c r="S1466" s="294"/>
      <c r="T1466" s="294"/>
      <c r="U1466" s="326"/>
      <c r="V1466" s="294"/>
      <c r="W1466" s="294"/>
      <c r="X1466" s="294"/>
      <c r="Y1466" s="294"/>
      <c r="Z1466" s="294"/>
      <c r="AA1466" s="294"/>
      <c r="AB1466" s="294"/>
      <c r="AC1466" s="294"/>
    </row>
    <row r="1467" spans="2:29" x14ac:dyDescent="0.25">
      <c r="B1467" s="294"/>
      <c r="C1467" s="294"/>
      <c r="D1467" s="294"/>
      <c r="E1467" s="294"/>
      <c r="F1467" s="294"/>
      <c r="G1467" s="294"/>
      <c r="H1467" s="294"/>
      <c r="I1467" s="294"/>
      <c r="J1467" s="294"/>
      <c r="L1467" s="295"/>
      <c r="M1467" s="294"/>
      <c r="O1467" s="294"/>
      <c r="P1467" s="294"/>
      <c r="Q1467" s="294"/>
      <c r="R1467" s="294"/>
      <c r="S1467" s="294"/>
      <c r="T1467" s="294"/>
      <c r="U1467" s="326"/>
      <c r="V1467" s="294"/>
      <c r="W1467" s="294"/>
      <c r="X1467" s="294"/>
      <c r="Y1467" s="294"/>
      <c r="Z1467" s="294"/>
      <c r="AA1467" s="294"/>
      <c r="AB1467" s="294"/>
      <c r="AC1467" s="294"/>
    </row>
    <row r="1468" spans="2:29" x14ac:dyDescent="0.25">
      <c r="B1468" s="294"/>
      <c r="C1468" s="294"/>
      <c r="D1468" s="294"/>
      <c r="E1468" s="294"/>
      <c r="F1468" s="294"/>
      <c r="G1468" s="294"/>
      <c r="H1468" s="294"/>
      <c r="I1468" s="294"/>
      <c r="J1468" s="294"/>
      <c r="L1468" s="295"/>
      <c r="M1468" s="294"/>
      <c r="O1468" s="294"/>
      <c r="P1468" s="294"/>
      <c r="Q1468" s="294"/>
      <c r="R1468" s="294"/>
      <c r="S1468" s="294"/>
      <c r="T1468" s="294"/>
      <c r="U1468" s="326"/>
      <c r="V1468" s="294"/>
      <c r="W1468" s="294"/>
      <c r="X1468" s="294"/>
      <c r="Y1468" s="294"/>
      <c r="Z1468" s="294"/>
      <c r="AA1468" s="294"/>
      <c r="AB1468" s="294"/>
      <c r="AC1468" s="294"/>
    </row>
    <row r="1469" spans="2:29" x14ac:dyDescent="0.25">
      <c r="B1469" s="294"/>
      <c r="C1469" s="294"/>
      <c r="D1469" s="294"/>
      <c r="E1469" s="294"/>
      <c r="F1469" s="294"/>
      <c r="G1469" s="294"/>
      <c r="H1469" s="294"/>
      <c r="I1469" s="294"/>
      <c r="J1469" s="294"/>
      <c r="L1469" s="295"/>
      <c r="M1469" s="294"/>
      <c r="O1469" s="294"/>
      <c r="P1469" s="294"/>
      <c r="Q1469" s="294"/>
      <c r="R1469" s="294"/>
      <c r="S1469" s="294"/>
      <c r="T1469" s="294"/>
      <c r="U1469" s="326"/>
      <c r="V1469" s="294"/>
      <c r="W1469" s="294"/>
      <c r="X1469" s="294"/>
      <c r="Y1469" s="294"/>
      <c r="Z1469" s="294"/>
      <c r="AA1469" s="294"/>
      <c r="AB1469" s="294"/>
      <c r="AC1469" s="294"/>
    </row>
    <row r="1470" spans="2:29" x14ac:dyDescent="0.25">
      <c r="B1470" s="294"/>
      <c r="C1470" s="294"/>
      <c r="D1470" s="294"/>
      <c r="E1470" s="294"/>
      <c r="F1470" s="294"/>
      <c r="G1470" s="294"/>
      <c r="H1470" s="294"/>
      <c r="I1470" s="294"/>
      <c r="J1470" s="294"/>
      <c r="L1470" s="295"/>
      <c r="M1470" s="294"/>
      <c r="O1470" s="294"/>
      <c r="P1470" s="294"/>
      <c r="Q1470" s="294"/>
      <c r="R1470" s="294"/>
      <c r="S1470" s="294"/>
      <c r="T1470" s="294"/>
      <c r="U1470" s="326"/>
      <c r="V1470" s="294"/>
      <c r="W1470" s="294"/>
      <c r="X1470" s="294"/>
      <c r="Y1470" s="294"/>
      <c r="Z1470" s="294"/>
      <c r="AA1470" s="294"/>
      <c r="AB1470" s="294"/>
      <c r="AC1470" s="294"/>
    </row>
    <row r="1471" spans="2:29" x14ac:dyDescent="0.25">
      <c r="B1471" s="294"/>
      <c r="C1471" s="294"/>
      <c r="D1471" s="294"/>
      <c r="E1471" s="294"/>
      <c r="F1471" s="294"/>
      <c r="G1471" s="294"/>
      <c r="H1471" s="294"/>
      <c r="I1471" s="294"/>
      <c r="J1471" s="294"/>
      <c r="L1471" s="295"/>
      <c r="M1471" s="294"/>
      <c r="O1471" s="294"/>
      <c r="P1471" s="294"/>
      <c r="Q1471" s="294"/>
      <c r="R1471" s="294"/>
      <c r="S1471" s="294"/>
      <c r="T1471" s="294"/>
      <c r="U1471" s="326"/>
      <c r="V1471" s="294"/>
      <c r="W1471" s="294"/>
      <c r="X1471" s="294"/>
      <c r="Y1471" s="294"/>
      <c r="Z1471" s="294"/>
      <c r="AA1471" s="294"/>
      <c r="AB1471" s="294"/>
      <c r="AC1471" s="294"/>
    </row>
    <row r="1472" spans="2:29" x14ac:dyDescent="0.25">
      <c r="B1472" s="294"/>
      <c r="C1472" s="294"/>
      <c r="D1472" s="294"/>
      <c r="E1472" s="294"/>
      <c r="F1472" s="294"/>
      <c r="G1472" s="294"/>
      <c r="H1472" s="294"/>
      <c r="I1472" s="294"/>
      <c r="J1472" s="294"/>
      <c r="L1472" s="295"/>
      <c r="M1472" s="294"/>
      <c r="O1472" s="294"/>
      <c r="P1472" s="294"/>
      <c r="Q1472" s="294"/>
      <c r="R1472" s="294"/>
      <c r="S1472" s="294"/>
      <c r="T1472" s="294"/>
      <c r="U1472" s="326"/>
      <c r="V1472" s="294"/>
      <c r="W1472" s="294"/>
      <c r="X1472" s="294"/>
      <c r="Y1472" s="294"/>
      <c r="Z1472" s="294"/>
      <c r="AA1472" s="294"/>
      <c r="AB1472" s="294"/>
      <c r="AC1472" s="294"/>
    </row>
    <row r="1473" spans="2:29" x14ac:dyDescent="0.25">
      <c r="B1473" s="294"/>
      <c r="C1473" s="294"/>
      <c r="D1473" s="294"/>
      <c r="E1473" s="294"/>
      <c r="F1473" s="294"/>
      <c r="G1473" s="294"/>
      <c r="H1473" s="294"/>
      <c r="I1473" s="294"/>
      <c r="J1473" s="294"/>
      <c r="L1473" s="295"/>
      <c r="M1473" s="294"/>
      <c r="O1473" s="294"/>
      <c r="P1473" s="294"/>
      <c r="Q1473" s="294"/>
      <c r="R1473" s="294"/>
      <c r="S1473" s="294"/>
      <c r="T1473" s="294"/>
      <c r="U1473" s="326"/>
      <c r="V1473" s="294"/>
      <c r="W1473" s="294"/>
      <c r="X1473" s="294"/>
      <c r="Y1473" s="294"/>
      <c r="Z1473" s="294"/>
      <c r="AA1473" s="294"/>
      <c r="AB1473" s="294"/>
      <c r="AC1473" s="294"/>
    </row>
    <row r="1474" spans="2:29" x14ac:dyDescent="0.25">
      <c r="B1474" s="294"/>
      <c r="C1474" s="294"/>
      <c r="D1474" s="294"/>
      <c r="E1474" s="294"/>
      <c r="F1474" s="294"/>
      <c r="G1474" s="294"/>
      <c r="H1474" s="294"/>
      <c r="I1474" s="294"/>
      <c r="J1474" s="294"/>
      <c r="L1474" s="295"/>
      <c r="M1474" s="294"/>
      <c r="O1474" s="294"/>
      <c r="P1474" s="294"/>
      <c r="Q1474" s="294"/>
      <c r="R1474" s="294"/>
      <c r="S1474" s="294"/>
      <c r="T1474" s="294"/>
      <c r="U1474" s="326"/>
      <c r="V1474" s="294"/>
      <c r="W1474" s="294"/>
      <c r="X1474" s="294"/>
      <c r="Y1474" s="294"/>
      <c r="Z1474" s="294"/>
      <c r="AA1474" s="294"/>
      <c r="AB1474" s="294"/>
      <c r="AC1474" s="294"/>
    </row>
    <row r="1475" spans="2:29" x14ac:dyDescent="0.25">
      <c r="B1475" s="294"/>
      <c r="C1475" s="294"/>
      <c r="D1475" s="294"/>
      <c r="E1475" s="294"/>
      <c r="F1475" s="294"/>
      <c r="G1475" s="294"/>
      <c r="H1475" s="294"/>
      <c r="I1475" s="294"/>
      <c r="J1475" s="294"/>
      <c r="L1475" s="295"/>
      <c r="M1475" s="294"/>
      <c r="O1475" s="294"/>
      <c r="P1475" s="294"/>
      <c r="Q1475" s="294"/>
      <c r="R1475" s="294"/>
      <c r="S1475" s="294"/>
      <c r="T1475" s="294"/>
      <c r="U1475" s="326"/>
      <c r="V1475" s="294"/>
      <c r="W1475" s="294"/>
      <c r="X1475" s="294"/>
      <c r="Y1475" s="294"/>
      <c r="Z1475" s="294"/>
      <c r="AA1475" s="294"/>
      <c r="AB1475" s="294"/>
      <c r="AC1475" s="294"/>
    </row>
    <row r="1476" spans="2:29" x14ac:dyDescent="0.25">
      <c r="B1476" s="294"/>
      <c r="C1476" s="294"/>
      <c r="D1476" s="294"/>
      <c r="E1476" s="294"/>
      <c r="F1476" s="294"/>
      <c r="G1476" s="294"/>
      <c r="H1476" s="294"/>
      <c r="I1476" s="294"/>
      <c r="J1476" s="294"/>
      <c r="L1476" s="295"/>
      <c r="M1476" s="294"/>
      <c r="O1476" s="294"/>
      <c r="P1476" s="294"/>
      <c r="Q1476" s="294"/>
      <c r="R1476" s="294"/>
      <c r="S1476" s="294"/>
      <c r="T1476" s="294"/>
      <c r="U1476" s="326"/>
      <c r="V1476" s="294"/>
      <c r="W1476" s="294"/>
      <c r="X1476" s="294"/>
      <c r="Y1476" s="294"/>
      <c r="Z1476" s="294"/>
      <c r="AA1476" s="294"/>
      <c r="AB1476" s="294"/>
      <c r="AC1476" s="294"/>
    </row>
    <row r="1477" spans="2:29" x14ac:dyDescent="0.25">
      <c r="B1477" s="294"/>
      <c r="C1477" s="294"/>
      <c r="D1477" s="294"/>
      <c r="E1477" s="294"/>
      <c r="F1477" s="294"/>
      <c r="G1477" s="294"/>
      <c r="H1477" s="294"/>
      <c r="I1477" s="294"/>
      <c r="J1477" s="294"/>
      <c r="L1477" s="295"/>
      <c r="M1477" s="294"/>
      <c r="O1477" s="294"/>
      <c r="P1477" s="294"/>
      <c r="Q1477" s="294"/>
      <c r="R1477" s="294"/>
      <c r="S1477" s="294"/>
      <c r="T1477" s="294"/>
      <c r="U1477" s="326"/>
      <c r="V1477" s="294"/>
      <c r="W1477" s="294"/>
      <c r="X1477" s="294"/>
      <c r="Y1477" s="294"/>
      <c r="Z1477" s="294"/>
      <c r="AA1477" s="294"/>
      <c r="AB1477" s="294"/>
      <c r="AC1477" s="294"/>
    </row>
    <row r="1478" spans="2:29" x14ac:dyDescent="0.25">
      <c r="B1478" s="294"/>
      <c r="C1478" s="294"/>
      <c r="D1478" s="294"/>
      <c r="E1478" s="294"/>
      <c r="F1478" s="294"/>
      <c r="G1478" s="294"/>
      <c r="H1478" s="294"/>
      <c r="I1478" s="294"/>
      <c r="J1478" s="294"/>
      <c r="L1478" s="295"/>
      <c r="M1478" s="294"/>
      <c r="O1478" s="294"/>
      <c r="P1478" s="294"/>
      <c r="Q1478" s="294"/>
      <c r="R1478" s="294"/>
      <c r="S1478" s="294"/>
      <c r="T1478" s="294"/>
      <c r="U1478" s="326"/>
      <c r="V1478" s="294"/>
      <c r="W1478" s="294"/>
      <c r="X1478" s="294"/>
      <c r="Y1478" s="294"/>
      <c r="Z1478" s="294"/>
      <c r="AA1478" s="294"/>
      <c r="AB1478" s="294"/>
      <c r="AC1478" s="294"/>
    </row>
    <row r="1479" spans="2:29" x14ac:dyDescent="0.25">
      <c r="B1479" s="294"/>
      <c r="C1479" s="294"/>
      <c r="D1479" s="294"/>
      <c r="E1479" s="294"/>
      <c r="F1479" s="294"/>
      <c r="G1479" s="294"/>
      <c r="H1479" s="294"/>
      <c r="I1479" s="294"/>
      <c r="J1479" s="294"/>
      <c r="L1479" s="295"/>
      <c r="M1479" s="294"/>
      <c r="O1479" s="294"/>
      <c r="P1479" s="294"/>
      <c r="Q1479" s="294"/>
      <c r="R1479" s="294"/>
      <c r="S1479" s="294"/>
      <c r="T1479" s="294"/>
      <c r="U1479" s="326"/>
      <c r="V1479" s="294"/>
      <c r="W1479" s="294"/>
      <c r="X1479" s="294"/>
      <c r="Y1479" s="294"/>
      <c r="Z1479" s="294"/>
      <c r="AA1479" s="294"/>
      <c r="AB1479" s="294"/>
      <c r="AC1479" s="294"/>
    </row>
    <row r="1480" spans="2:29" x14ac:dyDescent="0.25">
      <c r="B1480" s="294"/>
      <c r="C1480" s="294"/>
      <c r="D1480" s="294"/>
      <c r="E1480" s="294"/>
      <c r="F1480" s="294"/>
      <c r="G1480" s="294"/>
      <c r="H1480" s="294"/>
      <c r="I1480" s="294"/>
      <c r="J1480" s="294"/>
      <c r="L1480" s="295"/>
      <c r="M1480" s="294"/>
      <c r="O1480" s="294"/>
      <c r="P1480" s="294"/>
      <c r="Q1480" s="294"/>
      <c r="R1480" s="294"/>
      <c r="S1480" s="294"/>
      <c r="T1480" s="294"/>
      <c r="U1480" s="326"/>
      <c r="V1480" s="294"/>
      <c r="W1480" s="294"/>
      <c r="X1480" s="294"/>
      <c r="Y1480" s="294"/>
      <c r="Z1480" s="294"/>
      <c r="AA1480" s="294"/>
      <c r="AB1480" s="294"/>
      <c r="AC1480" s="294"/>
    </row>
    <row r="1481" spans="2:29" x14ac:dyDescent="0.25">
      <c r="B1481" s="294"/>
      <c r="C1481" s="294"/>
      <c r="D1481" s="294"/>
      <c r="E1481" s="294"/>
      <c r="F1481" s="294"/>
      <c r="G1481" s="294"/>
      <c r="H1481" s="294"/>
      <c r="I1481" s="294"/>
      <c r="J1481" s="294"/>
      <c r="L1481" s="295"/>
      <c r="M1481" s="294"/>
      <c r="O1481" s="294"/>
      <c r="P1481" s="294"/>
      <c r="Q1481" s="294"/>
      <c r="R1481" s="294"/>
      <c r="S1481" s="294"/>
      <c r="T1481" s="294"/>
      <c r="U1481" s="326"/>
      <c r="V1481" s="294"/>
      <c r="W1481" s="294"/>
      <c r="X1481" s="294"/>
      <c r="Y1481" s="294"/>
      <c r="Z1481" s="294"/>
      <c r="AA1481" s="294"/>
      <c r="AB1481" s="294"/>
      <c r="AC1481" s="294"/>
    </row>
    <row r="1482" spans="2:29" x14ac:dyDescent="0.25">
      <c r="B1482" s="294"/>
      <c r="C1482" s="294"/>
      <c r="D1482" s="294"/>
      <c r="E1482" s="294"/>
      <c r="F1482" s="294"/>
      <c r="G1482" s="294"/>
      <c r="H1482" s="294"/>
      <c r="I1482" s="294"/>
      <c r="J1482" s="294"/>
      <c r="L1482" s="295"/>
      <c r="M1482" s="294"/>
      <c r="O1482" s="294"/>
      <c r="P1482" s="294"/>
      <c r="Q1482" s="294"/>
      <c r="R1482" s="294"/>
      <c r="S1482" s="294"/>
      <c r="T1482" s="294"/>
      <c r="U1482" s="326"/>
      <c r="V1482" s="294"/>
      <c r="W1482" s="294"/>
      <c r="X1482" s="294"/>
      <c r="Y1482" s="294"/>
      <c r="Z1482" s="294"/>
      <c r="AA1482" s="294"/>
      <c r="AB1482" s="294"/>
      <c r="AC1482" s="294"/>
    </row>
    <row r="1483" spans="2:29" x14ac:dyDescent="0.25">
      <c r="B1483" s="294"/>
      <c r="C1483" s="294"/>
      <c r="D1483" s="294"/>
      <c r="E1483" s="294"/>
      <c r="F1483" s="294"/>
      <c r="G1483" s="294"/>
      <c r="H1483" s="294"/>
      <c r="I1483" s="294"/>
      <c r="J1483" s="294"/>
      <c r="L1483" s="295"/>
      <c r="M1483" s="294"/>
      <c r="O1483" s="294"/>
      <c r="P1483" s="294"/>
      <c r="Q1483" s="294"/>
      <c r="R1483" s="294"/>
      <c r="S1483" s="294"/>
      <c r="T1483" s="294"/>
      <c r="U1483" s="326"/>
      <c r="V1483" s="294"/>
      <c r="W1483" s="294"/>
      <c r="X1483" s="294"/>
      <c r="Y1483" s="294"/>
      <c r="Z1483" s="294"/>
      <c r="AA1483" s="294"/>
      <c r="AB1483" s="294"/>
      <c r="AC1483" s="294"/>
    </row>
    <row r="1484" spans="2:29" x14ac:dyDescent="0.25">
      <c r="B1484" s="294"/>
      <c r="C1484" s="294"/>
      <c r="D1484" s="294"/>
      <c r="E1484" s="294"/>
      <c r="F1484" s="294"/>
      <c r="G1484" s="294"/>
      <c r="H1484" s="294"/>
      <c r="I1484" s="294"/>
      <c r="J1484" s="294"/>
      <c r="L1484" s="295"/>
      <c r="M1484" s="294"/>
      <c r="O1484" s="294"/>
      <c r="P1484" s="294"/>
      <c r="Q1484" s="294"/>
      <c r="R1484" s="294"/>
      <c r="S1484" s="294"/>
      <c r="T1484" s="294"/>
      <c r="U1484" s="326"/>
      <c r="V1484" s="294"/>
      <c r="W1484" s="294"/>
      <c r="X1484" s="294"/>
      <c r="Y1484" s="294"/>
      <c r="Z1484" s="294"/>
      <c r="AA1484" s="294"/>
      <c r="AB1484" s="294"/>
      <c r="AC1484" s="294"/>
    </row>
    <row r="1485" spans="2:29" x14ac:dyDescent="0.25">
      <c r="B1485" s="294"/>
      <c r="C1485" s="294"/>
      <c r="D1485" s="294"/>
      <c r="E1485" s="294"/>
      <c r="F1485" s="294"/>
      <c r="G1485" s="294"/>
      <c r="H1485" s="294"/>
      <c r="I1485" s="294"/>
      <c r="J1485" s="294"/>
      <c r="L1485" s="295"/>
      <c r="M1485" s="294"/>
      <c r="O1485" s="294"/>
      <c r="P1485" s="294"/>
      <c r="Q1485" s="294"/>
      <c r="R1485" s="294"/>
      <c r="S1485" s="294"/>
      <c r="T1485" s="294"/>
      <c r="U1485" s="326"/>
      <c r="V1485" s="294"/>
      <c r="W1485" s="294"/>
      <c r="X1485" s="294"/>
      <c r="Y1485" s="294"/>
      <c r="Z1485" s="294"/>
      <c r="AA1485" s="294"/>
      <c r="AB1485" s="294"/>
      <c r="AC1485" s="294"/>
    </row>
    <row r="1486" spans="2:29" x14ac:dyDescent="0.25">
      <c r="B1486" s="294"/>
      <c r="C1486" s="294"/>
      <c r="D1486" s="294"/>
      <c r="E1486" s="294"/>
      <c r="F1486" s="294"/>
      <c r="G1486" s="294"/>
      <c r="H1486" s="294"/>
      <c r="I1486" s="294"/>
      <c r="J1486" s="294"/>
      <c r="L1486" s="295"/>
      <c r="M1486" s="294"/>
      <c r="O1486" s="294"/>
      <c r="P1486" s="294"/>
      <c r="Q1486" s="294"/>
      <c r="R1486" s="294"/>
      <c r="S1486" s="294"/>
      <c r="T1486" s="294"/>
      <c r="U1486" s="326"/>
      <c r="V1486" s="294"/>
      <c r="W1486" s="294"/>
      <c r="X1486" s="294"/>
      <c r="Y1486" s="294"/>
      <c r="Z1486" s="294"/>
      <c r="AA1486" s="294"/>
      <c r="AB1486" s="294"/>
      <c r="AC1486" s="294"/>
    </row>
    <row r="1487" spans="2:29" x14ac:dyDescent="0.25">
      <c r="B1487" s="294"/>
      <c r="C1487" s="294"/>
      <c r="D1487" s="294"/>
      <c r="E1487" s="294"/>
      <c r="F1487" s="294"/>
      <c r="G1487" s="294"/>
      <c r="H1487" s="294"/>
      <c r="I1487" s="294"/>
      <c r="J1487" s="294"/>
      <c r="L1487" s="295"/>
      <c r="M1487" s="294"/>
      <c r="O1487" s="294"/>
      <c r="P1487" s="294"/>
      <c r="Q1487" s="294"/>
      <c r="R1487" s="294"/>
      <c r="S1487" s="294"/>
      <c r="T1487" s="294"/>
      <c r="U1487" s="326"/>
      <c r="V1487" s="294"/>
      <c r="W1487" s="294"/>
      <c r="X1487" s="294"/>
      <c r="Y1487" s="294"/>
      <c r="Z1487" s="294"/>
      <c r="AA1487" s="294"/>
      <c r="AB1487" s="294"/>
      <c r="AC1487" s="294"/>
    </row>
    <row r="1488" spans="2:29" x14ac:dyDescent="0.25">
      <c r="B1488" s="294"/>
      <c r="C1488" s="294"/>
      <c r="D1488" s="294"/>
      <c r="E1488" s="294"/>
      <c r="F1488" s="294"/>
      <c r="G1488" s="294"/>
      <c r="H1488" s="294"/>
      <c r="I1488" s="294"/>
      <c r="J1488" s="294"/>
      <c r="L1488" s="295"/>
      <c r="M1488" s="294"/>
      <c r="O1488" s="294"/>
      <c r="P1488" s="294"/>
      <c r="Q1488" s="294"/>
      <c r="R1488" s="294"/>
      <c r="S1488" s="294"/>
      <c r="T1488" s="294"/>
      <c r="U1488" s="326"/>
      <c r="V1488" s="294"/>
      <c r="W1488" s="294"/>
      <c r="X1488" s="294"/>
      <c r="Y1488" s="294"/>
      <c r="Z1488" s="294"/>
      <c r="AA1488" s="294"/>
      <c r="AB1488" s="294"/>
      <c r="AC1488" s="294"/>
    </row>
    <row r="1489" spans="2:29" x14ac:dyDescent="0.25">
      <c r="B1489" s="294"/>
      <c r="C1489" s="294"/>
      <c r="D1489" s="294"/>
      <c r="E1489" s="294"/>
      <c r="F1489" s="294"/>
      <c r="G1489" s="294"/>
      <c r="H1489" s="294"/>
      <c r="I1489" s="294"/>
      <c r="J1489" s="294"/>
      <c r="L1489" s="295"/>
      <c r="M1489" s="294"/>
      <c r="O1489" s="294"/>
      <c r="P1489" s="294"/>
      <c r="Q1489" s="294"/>
      <c r="R1489" s="294"/>
      <c r="S1489" s="294"/>
      <c r="T1489" s="294"/>
      <c r="U1489" s="326"/>
      <c r="V1489" s="294"/>
      <c r="W1489" s="294"/>
      <c r="X1489" s="294"/>
      <c r="Y1489" s="294"/>
      <c r="Z1489" s="294"/>
      <c r="AA1489" s="294"/>
      <c r="AB1489" s="294"/>
      <c r="AC1489" s="294"/>
    </row>
    <row r="1490" spans="2:29" x14ac:dyDescent="0.25">
      <c r="B1490" s="294"/>
      <c r="C1490" s="294"/>
      <c r="D1490" s="294"/>
      <c r="E1490" s="294"/>
      <c r="F1490" s="294"/>
      <c r="G1490" s="294"/>
      <c r="H1490" s="294"/>
      <c r="I1490" s="294"/>
      <c r="J1490" s="294"/>
      <c r="L1490" s="295"/>
      <c r="M1490" s="294"/>
      <c r="O1490" s="294"/>
      <c r="P1490" s="294"/>
      <c r="Q1490" s="294"/>
      <c r="R1490" s="294"/>
      <c r="S1490" s="294"/>
      <c r="T1490" s="294"/>
      <c r="U1490" s="326"/>
      <c r="V1490" s="294"/>
      <c r="W1490" s="294"/>
      <c r="X1490" s="294"/>
      <c r="Y1490" s="294"/>
      <c r="Z1490" s="294"/>
      <c r="AA1490" s="294"/>
      <c r="AB1490" s="294"/>
      <c r="AC1490" s="294"/>
    </row>
    <row r="1491" spans="2:29" x14ac:dyDescent="0.25">
      <c r="B1491" s="294"/>
      <c r="C1491" s="294"/>
      <c r="D1491" s="294"/>
      <c r="E1491" s="294"/>
      <c r="F1491" s="294"/>
      <c r="G1491" s="294"/>
      <c r="H1491" s="294"/>
      <c r="I1491" s="294"/>
      <c r="J1491" s="294"/>
      <c r="L1491" s="295"/>
      <c r="M1491" s="294"/>
      <c r="O1491" s="294"/>
      <c r="P1491" s="294"/>
      <c r="Q1491" s="294"/>
      <c r="R1491" s="294"/>
      <c r="S1491" s="294"/>
      <c r="T1491" s="294"/>
      <c r="U1491" s="326"/>
      <c r="V1491" s="294"/>
      <c r="W1491" s="294"/>
      <c r="X1491" s="294"/>
      <c r="Y1491" s="294"/>
      <c r="Z1491" s="294"/>
      <c r="AA1491" s="294"/>
      <c r="AB1491" s="294"/>
      <c r="AC1491" s="294"/>
    </row>
    <row r="1492" spans="2:29" x14ac:dyDescent="0.25">
      <c r="B1492" s="294"/>
      <c r="C1492" s="294"/>
      <c r="D1492" s="294"/>
      <c r="E1492" s="294"/>
      <c r="F1492" s="294"/>
      <c r="G1492" s="294"/>
      <c r="H1492" s="294"/>
      <c r="I1492" s="294"/>
      <c r="J1492" s="294"/>
      <c r="L1492" s="295"/>
      <c r="M1492" s="294"/>
      <c r="O1492" s="294"/>
      <c r="P1492" s="294"/>
      <c r="Q1492" s="294"/>
      <c r="R1492" s="294"/>
      <c r="S1492" s="294"/>
      <c r="T1492" s="294"/>
      <c r="U1492" s="326"/>
      <c r="V1492" s="294"/>
      <c r="W1492" s="294"/>
      <c r="X1492" s="294"/>
      <c r="Y1492" s="294"/>
      <c r="Z1492" s="294"/>
      <c r="AA1492" s="294"/>
      <c r="AB1492" s="294"/>
      <c r="AC1492" s="294"/>
    </row>
    <row r="1493" spans="2:29" x14ac:dyDescent="0.25">
      <c r="B1493" s="294"/>
      <c r="C1493" s="294"/>
      <c r="D1493" s="294"/>
      <c r="E1493" s="294"/>
      <c r="F1493" s="294"/>
      <c r="G1493" s="294"/>
      <c r="H1493" s="294"/>
      <c r="I1493" s="294"/>
      <c r="J1493" s="294"/>
      <c r="L1493" s="295"/>
      <c r="M1493" s="294"/>
      <c r="O1493" s="294"/>
      <c r="P1493" s="294"/>
      <c r="Q1493" s="294"/>
      <c r="R1493" s="294"/>
      <c r="S1493" s="294"/>
      <c r="T1493" s="294"/>
      <c r="U1493" s="326"/>
      <c r="V1493" s="294"/>
      <c r="W1493" s="294"/>
      <c r="X1493" s="294"/>
      <c r="Y1493" s="294"/>
      <c r="Z1493" s="294"/>
      <c r="AA1493" s="294"/>
      <c r="AB1493" s="294"/>
      <c r="AC1493" s="294"/>
    </row>
    <row r="1494" spans="2:29" x14ac:dyDescent="0.25">
      <c r="B1494" s="294"/>
      <c r="C1494" s="294"/>
      <c r="D1494" s="294"/>
      <c r="E1494" s="294"/>
      <c r="F1494" s="294"/>
      <c r="G1494" s="294"/>
      <c r="H1494" s="294"/>
      <c r="I1494" s="294"/>
      <c r="J1494" s="294"/>
      <c r="L1494" s="295"/>
      <c r="M1494" s="294"/>
      <c r="O1494" s="294"/>
      <c r="P1494" s="294"/>
      <c r="Q1494" s="294"/>
      <c r="R1494" s="294"/>
      <c r="S1494" s="294"/>
      <c r="T1494" s="294"/>
      <c r="U1494" s="326"/>
      <c r="V1494" s="294"/>
      <c r="W1494" s="294"/>
      <c r="X1494" s="294"/>
      <c r="Y1494" s="294"/>
      <c r="Z1494" s="294"/>
      <c r="AA1494" s="294"/>
      <c r="AB1494" s="294"/>
      <c r="AC1494" s="294"/>
    </row>
    <row r="1495" spans="2:29" x14ac:dyDescent="0.25">
      <c r="B1495" s="294"/>
      <c r="C1495" s="294"/>
      <c r="D1495" s="294"/>
      <c r="E1495" s="294"/>
      <c r="F1495" s="294"/>
      <c r="G1495" s="294"/>
      <c r="H1495" s="294"/>
      <c r="I1495" s="294"/>
      <c r="J1495" s="294"/>
      <c r="L1495" s="295"/>
      <c r="M1495" s="294"/>
      <c r="O1495" s="294"/>
      <c r="P1495" s="294"/>
      <c r="Q1495" s="294"/>
      <c r="R1495" s="294"/>
      <c r="S1495" s="294"/>
      <c r="T1495" s="294"/>
      <c r="U1495" s="326"/>
      <c r="V1495" s="294"/>
      <c r="W1495" s="294"/>
      <c r="X1495" s="294"/>
      <c r="Y1495" s="294"/>
      <c r="Z1495" s="294"/>
      <c r="AA1495" s="294"/>
      <c r="AB1495" s="294"/>
      <c r="AC1495" s="294"/>
    </row>
    <row r="1496" spans="2:29" x14ac:dyDescent="0.25">
      <c r="B1496" s="294"/>
      <c r="C1496" s="294"/>
      <c r="D1496" s="294"/>
      <c r="E1496" s="294"/>
      <c r="F1496" s="294"/>
      <c r="G1496" s="294"/>
      <c r="H1496" s="294"/>
      <c r="I1496" s="294"/>
      <c r="J1496" s="294"/>
      <c r="L1496" s="295"/>
      <c r="M1496" s="294"/>
      <c r="O1496" s="294"/>
      <c r="P1496" s="294"/>
      <c r="Q1496" s="294"/>
      <c r="R1496" s="294"/>
      <c r="S1496" s="294"/>
      <c r="T1496" s="294"/>
      <c r="U1496" s="326"/>
      <c r="V1496" s="294"/>
      <c r="W1496" s="294"/>
      <c r="X1496" s="294"/>
      <c r="Y1496" s="294"/>
      <c r="Z1496" s="294"/>
      <c r="AA1496" s="294"/>
      <c r="AB1496" s="294"/>
      <c r="AC1496" s="294"/>
    </row>
    <row r="1497" spans="2:29" x14ac:dyDescent="0.25">
      <c r="B1497" s="294"/>
      <c r="C1497" s="294"/>
      <c r="D1497" s="294"/>
      <c r="E1497" s="294"/>
      <c r="F1497" s="294"/>
      <c r="G1497" s="294"/>
      <c r="H1497" s="294"/>
      <c r="I1497" s="294"/>
      <c r="J1497" s="294"/>
      <c r="L1497" s="295"/>
      <c r="M1497" s="294"/>
      <c r="O1497" s="294"/>
      <c r="P1497" s="294"/>
      <c r="Q1497" s="294"/>
      <c r="R1497" s="294"/>
      <c r="S1497" s="294"/>
      <c r="T1497" s="294"/>
      <c r="U1497" s="326"/>
      <c r="V1497" s="294"/>
      <c r="W1497" s="294"/>
      <c r="X1497" s="294"/>
      <c r="Y1497" s="294"/>
      <c r="Z1497" s="294"/>
      <c r="AA1497" s="294"/>
      <c r="AB1497" s="294"/>
      <c r="AC1497" s="294"/>
    </row>
    <row r="1498" spans="2:29" x14ac:dyDescent="0.25">
      <c r="B1498" s="294"/>
      <c r="C1498" s="294"/>
      <c r="D1498" s="294"/>
      <c r="E1498" s="294"/>
      <c r="F1498" s="294"/>
      <c r="G1498" s="294"/>
      <c r="H1498" s="294"/>
      <c r="I1498" s="294"/>
      <c r="J1498" s="294"/>
      <c r="L1498" s="295"/>
      <c r="M1498" s="294"/>
      <c r="O1498" s="294"/>
      <c r="P1498" s="294"/>
      <c r="Q1498" s="294"/>
      <c r="R1498" s="294"/>
      <c r="S1498" s="294"/>
      <c r="T1498" s="294"/>
      <c r="U1498" s="326"/>
      <c r="V1498" s="294"/>
      <c r="W1498" s="294"/>
      <c r="X1498" s="294"/>
      <c r="Y1498" s="294"/>
      <c r="Z1498" s="294"/>
      <c r="AA1498" s="294"/>
      <c r="AB1498" s="294"/>
      <c r="AC1498" s="294"/>
    </row>
    <row r="1499" spans="2:29" x14ac:dyDescent="0.25">
      <c r="B1499" s="294"/>
      <c r="C1499" s="294"/>
      <c r="D1499" s="294"/>
      <c r="E1499" s="294"/>
      <c r="F1499" s="294"/>
      <c r="G1499" s="294"/>
      <c r="H1499" s="294"/>
      <c r="I1499" s="294"/>
      <c r="J1499" s="294"/>
      <c r="L1499" s="295"/>
      <c r="M1499" s="294"/>
      <c r="O1499" s="294"/>
      <c r="P1499" s="294"/>
      <c r="Q1499" s="294"/>
      <c r="R1499" s="294"/>
      <c r="S1499" s="294"/>
      <c r="T1499" s="294"/>
      <c r="U1499" s="326"/>
      <c r="V1499" s="294"/>
      <c r="W1499" s="294"/>
      <c r="X1499" s="294"/>
      <c r="Y1499" s="294"/>
      <c r="Z1499" s="294"/>
      <c r="AA1499" s="294"/>
      <c r="AB1499" s="294"/>
      <c r="AC1499" s="294"/>
    </row>
    <row r="1500" spans="2:29" x14ac:dyDescent="0.25">
      <c r="B1500" s="294"/>
      <c r="C1500" s="294"/>
      <c r="D1500" s="294"/>
      <c r="E1500" s="294"/>
      <c r="F1500" s="294"/>
      <c r="G1500" s="294"/>
      <c r="H1500" s="294"/>
      <c r="I1500" s="294"/>
      <c r="J1500" s="294"/>
      <c r="L1500" s="295"/>
      <c r="M1500" s="294"/>
      <c r="O1500" s="294"/>
      <c r="P1500" s="294"/>
      <c r="Q1500" s="294"/>
      <c r="R1500" s="294"/>
      <c r="S1500" s="294"/>
      <c r="T1500" s="294"/>
      <c r="U1500" s="326"/>
      <c r="V1500" s="294"/>
      <c r="W1500" s="294"/>
      <c r="X1500" s="294"/>
      <c r="Y1500" s="294"/>
      <c r="Z1500" s="294"/>
      <c r="AA1500" s="294"/>
      <c r="AB1500" s="294"/>
      <c r="AC1500" s="294"/>
    </row>
    <row r="1501" spans="2:29" x14ac:dyDescent="0.25">
      <c r="B1501" s="294"/>
      <c r="C1501" s="294"/>
      <c r="D1501" s="294"/>
      <c r="E1501" s="294"/>
      <c r="F1501" s="294"/>
      <c r="G1501" s="294"/>
      <c r="H1501" s="294"/>
      <c r="I1501" s="294"/>
      <c r="J1501" s="294"/>
      <c r="L1501" s="295"/>
      <c r="M1501" s="294"/>
      <c r="O1501" s="294"/>
      <c r="P1501" s="294"/>
      <c r="Q1501" s="294"/>
      <c r="R1501" s="294"/>
      <c r="S1501" s="294"/>
      <c r="T1501" s="294"/>
      <c r="U1501" s="326"/>
      <c r="V1501" s="294"/>
      <c r="W1501" s="294"/>
      <c r="X1501" s="294"/>
      <c r="Y1501" s="294"/>
      <c r="Z1501" s="294"/>
      <c r="AA1501" s="294"/>
      <c r="AB1501" s="294"/>
      <c r="AC1501" s="294"/>
    </row>
    <row r="1502" spans="2:29" x14ac:dyDescent="0.25">
      <c r="B1502" s="294"/>
      <c r="C1502" s="294"/>
      <c r="D1502" s="294"/>
      <c r="E1502" s="294"/>
      <c r="F1502" s="294"/>
      <c r="G1502" s="294"/>
      <c r="H1502" s="294"/>
      <c r="I1502" s="294"/>
      <c r="J1502" s="294"/>
      <c r="L1502" s="295"/>
      <c r="M1502" s="294"/>
      <c r="O1502" s="294"/>
      <c r="P1502" s="294"/>
      <c r="Q1502" s="294"/>
      <c r="R1502" s="294"/>
      <c r="S1502" s="294"/>
      <c r="T1502" s="294"/>
      <c r="U1502" s="326"/>
      <c r="V1502" s="294"/>
      <c r="W1502" s="294"/>
      <c r="X1502" s="294"/>
      <c r="Y1502" s="294"/>
      <c r="Z1502" s="294"/>
      <c r="AA1502" s="294"/>
      <c r="AB1502" s="294"/>
      <c r="AC1502" s="294"/>
    </row>
    <row r="1503" spans="2:29" x14ac:dyDescent="0.25">
      <c r="B1503" s="294"/>
      <c r="C1503" s="294"/>
      <c r="D1503" s="294"/>
      <c r="E1503" s="294"/>
      <c r="F1503" s="294"/>
      <c r="G1503" s="294"/>
      <c r="H1503" s="294"/>
      <c r="I1503" s="294"/>
      <c r="J1503" s="294"/>
      <c r="L1503" s="295"/>
      <c r="M1503" s="294"/>
      <c r="O1503" s="294"/>
      <c r="P1503" s="294"/>
      <c r="Q1503" s="294"/>
      <c r="R1503" s="294"/>
      <c r="S1503" s="294"/>
      <c r="T1503" s="294"/>
      <c r="U1503" s="326"/>
      <c r="V1503" s="294"/>
      <c r="W1503" s="294"/>
      <c r="X1503" s="294"/>
      <c r="Y1503" s="294"/>
      <c r="Z1503" s="294"/>
      <c r="AA1503" s="294"/>
      <c r="AB1503" s="294"/>
      <c r="AC1503" s="294"/>
    </row>
    <row r="1504" spans="2:29" x14ac:dyDescent="0.25">
      <c r="B1504" s="294"/>
      <c r="C1504" s="294"/>
      <c r="D1504" s="294"/>
      <c r="E1504" s="294"/>
      <c r="F1504" s="294"/>
      <c r="G1504" s="294"/>
      <c r="H1504" s="294"/>
      <c r="I1504" s="294"/>
      <c r="J1504" s="294"/>
      <c r="L1504" s="295"/>
      <c r="M1504" s="294"/>
      <c r="O1504" s="294"/>
      <c r="P1504" s="294"/>
      <c r="Q1504" s="294"/>
      <c r="R1504" s="294"/>
      <c r="S1504" s="294"/>
      <c r="T1504" s="294"/>
      <c r="U1504" s="326"/>
      <c r="V1504" s="294"/>
      <c r="W1504" s="294"/>
      <c r="X1504" s="294"/>
      <c r="Y1504" s="294"/>
      <c r="Z1504" s="294"/>
      <c r="AA1504" s="294"/>
      <c r="AB1504" s="294"/>
      <c r="AC1504" s="294"/>
    </row>
    <row r="1505" spans="2:29" x14ac:dyDescent="0.25">
      <c r="B1505" s="294"/>
      <c r="C1505" s="294"/>
      <c r="D1505" s="294"/>
      <c r="E1505" s="294"/>
      <c r="F1505" s="294"/>
      <c r="G1505" s="294"/>
      <c r="H1505" s="294"/>
      <c r="I1505" s="294"/>
      <c r="J1505" s="294"/>
      <c r="L1505" s="295"/>
      <c r="M1505" s="294"/>
      <c r="O1505" s="294"/>
      <c r="P1505" s="294"/>
      <c r="Q1505" s="294"/>
      <c r="R1505" s="294"/>
      <c r="S1505" s="294"/>
      <c r="T1505" s="294"/>
      <c r="U1505" s="326"/>
      <c r="V1505" s="294"/>
      <c r="W1505" s="294"/>
      <c r="X1505" s="294"/>
      <c r="Y1505" s="294"/>
      <c r="Z1505" s="294"/>
      <c r="AA1505" s="294"/>
      <c r="AB1505" s="294"/>
      <c r="AC1505" s="294"/>
    </row>
    <row r="1506" spans="2:29" x14ac:dyDescent="0.25">
      <c r="B1506" s="294"/>
      <c r="C1506" s="294"/>
      <c r="D1506" s="294"/>
      <c r="E1506" s="294"/>
      <c r="F1506" s="294"/>
      <c r="G1506" s="294"/>
      <c r="H1506" s="294"/>
      <c r="I1506" s="294"/>
      <c r="J1506" s="294"/>
      <c r="L1506" s="295"/>
      <c r="M1506" s="294"/>
      <c r="O1506" s="294"/>
      <c r="P1506" s="294"/>
      <c r="Q1506" s="294"/>
      <c r="R1506" s="294"/>
      <c r="S1506" s="294"/>
      <c r="T1506" s="294"/>
      <c r="U1506" s="326"/>
      <c r="V1506" s="294"/>
      <c r="W1506" s="294"/>
      <c r="X1506" s="294"/>
      <c r="Y1506" s="294"/>
      <c r="Z1506" s="294"/>
      <c r="AA1506" s="294"/>
      <c r="AB1506" s="294"/>
      <c r="AC1506" s="294"/>
    </row>
    <row r="1507" spans="2:29" x14ac:dyDescent="0.25">
      <c r="B1507" s="294"/>
      <c r="C1507" s="294"/>
      <c r="D1507" s="294"/>
      <c r="E1507" s="294"/>
      <c r="F1507" s="294"/>
      <c r="G1507" s="294"/>
      <c r="H1507" s="294"/>
      <c r="I1507" s="294"/>
      <c r="J1507" s="294"/>
      <c r="L1507" s="295"/>
      <c r="M1507" s="294"/>
      <c r="O1507" s="294"/>
      <c r="P1507" s="294"/>
      <c r="Q1507" s="294"/>
      <c r="R1507" s="294"/>
      <c r="S1507" s="294"/>
      <c r="T1507" s="294"/>
      <c r="U1507" s="326"/>
      <c r="V1507" s="294"/>
      <c r="W1507" s="294"/>
      <c r="X1507" s="294"/>
      <c r="Y1507" s="294"/>
      <c r="Z1507" s="294"/>
      <c r="AA1507" s="294"/>
      <c r="AB1507" s="294"/>
      <c r="AC1507" s="294"/>
    </row>
    <row r="1508" spans="2:29" x14ac:dyDescent="0.25">
      <c r="B1508" s="294"/>
      <c r="C1508" s="294"/>
      <c r="D1508" s="294"/>
      <c r="E1508" s="294"/>
      <c r="F1508" s="294"/>
      <c r="G1508" s="294"/>
      <c r="H1508" s="294"/>
      <c r="I1508" s="294"/>
      <c r="J1508" s="294"/>
      <c r="L1508" s="295"/>
      <c r="M1508" s="294"/>
      <c r="O1508" s="294"/>
      <c r="P1508" s="294"/>
      <c r="Q1508" s="294"/>
      <c r="R1508" s="294"/>
      <c r="S1508" s="294"/>
      <c r="T1508" s="294"/>
      <c r="U1508" s="326"/>
      <c r="V1508" s="294"/>
      <c r="W1508" s="294"/>
      <c r="X1508" s="294"/>
      <c r="Y1508" s="294"/>
      <c r="Z1508" s="294"/>
      <c r="AA1508" s="294"/>
      <c r="AB1508" s="294"/>
      <c r="AC1508" s="294"/>
    </row>
    <row r="1509" spans="2:29" x14ac:dyDescent="0.25">
      <c r="B1509" s="294"/>
      <c r="C1509" s="294"/>
      <c r="D1509" s="294"/>
      <c r="E1509" s="294"/>
      <c r="F1509" s="294"/>
      <c r="G1509" s="294"/>
      <c r="H1509" s="294"/>
      <c r="I1509" s="294"/>
      <c r="J1509" s="294"/>
      <c r="L1509" s="295"/>
      <c r="M1509" s="294"/>
      <c r="O1509" s="294"/>
      <c r="P1509" s="294"/>
      <c r="Q1509" s="294"/>
      <c r="R1509" s="294"/>
      <c r="S1509" s="294"/>
      <c r="T1509" s="294"/>
      <c r="U1509" s="326"/>
      <c r="V1509" s="294"/>
      <c r="W1509" s="294"/>
      <c r="X1509" s="294"/>
      <c r="Y1509" s="294"/>
      <c r="Z1509" s="294"/>
      <c r="AA1509" s="294"/>
      <c r="AB1509" s="294"/>
      <c r="AC1509" s="294"/>
    </row>
    <row r="1510" spans="2:29" x14ac:dyDescent="0.25">
      <c r="B1510" s="294"/>
      <c r="C1510" s="294"/>
      <c r="D1510" s="294"/>
      <c r="E1510" s="294"/>
      <c r="F1510" s="294"/>
      <c r="G1510" s="294"/>
      <c r="H1510" s="294"/>
      <c r="I1510" s="294"/>
      <c r="J1510" s="294"/>
      <c r="L1510" s="295"/>
      <c r="M1510" s="294"/>
      <c r="O1510" s="294"/>
      <c r="P1510" s="294"/>
      <c r="Q1510" s="294"/>
      <c r="R1510" s="294"/>
      <c r="S1510" s="294"/>
      <c r="T1510" s="294"/>
      <c r="U1510" s="326"/>
      <c r="V1510" s="294"/>
      <c r="W1510" s="294"/>
      <c r="X1510" s="294"/>
      <c r="Y1510" s="294"/>
      <c r="Z1510" s="294"/>
      <c r="AA1510" s="294"/>
      <c r="AB1510" s="294"/>
      <c r="AC1510" s="294"/>
    </row>
    <row r="1511" spans="2:29" x14ac:dyDescent="0.25">
      <c r="B1511" s="294"/>
      <c r="C1511" s="294"/>
      <c r="D1511" s="294"/>
      <c r="E1511" s="294"/>
      <c r="F1511" s="294"/>
      <c r="G1511" s="294"/>
      <c r="H1511" s="294"/>
      <c r="I1511" s="294"/>
      <c r="J1511" s="294"/>
      <c r="L1511" s="295"/>
      <c r="M1511" s="294"/>
      <c r="O1511" s="294"/>
      <c r="P1511" s="294"/>
      <c r="Q1511" s="294"/>
      <c r="R1511" s="294"/>
      <c r="S1511" s="294"/>
      <c r="T1511" s="294"/>
      <c r="U1511" s="326"/>
      <c r="V1511" s="294"/>
      <c r="W1511" s="294"/>
      <c r="X1511" s="294"/>
      <c r="Y1511" s="294"/>
      <c r="Z1511" s="294"/>
      <c r="AA1511" s="294"/>
      <c r="AB1511" s="294"/>
      <c r="AC1511" s="294"/>
    </row>
    <row r="1512" spans="2:29" x14ac:dyDescent="0.25">
      <c r="B1512" s="294"/>
      <c r="C1512" s="294"/>
      <c r="D1512" s="294"/>
      <c r="E1512" s="294"/>
      <c r="F1512" s="294"/>
      <c r="G1512" s="294"/>
      <c r="H1512" s="294"/>
      <c r="I1512" s="294"/>
      <c r="J1512" s="294"/>
      <c r="L1512" s="295"/>
      <c r="M1512" s="294"/>
      <c r="O1512" s="294"/>
      <c r="P1512" s="294"/>
      <c r="Q1512" s="294"/>
      <c r="R1512" s="294"/>
      <c r="S1512" s="294"/>
      <c r="T1512" s="294"/>
      <c r="U1512" s="326"/>
      <c r="V1512" s="294"/>
      <c r="W1512" s="294"/>
      <c r="X1512" s="294"/>
      <c r="Y1512" s="294"/>
      <c r="Z1512" s="294"/>
      <c r="AA1512" s="294"/>
      <c r="AB1512" s="294"/>
      <c r="AC1512" s="294"/>
    </row>
    <row r="1513" spans="2:29" x14ac:dyDescent="0.25">
      <c r="B1513" s="294"/>
      <c r="C1513" s="294"/>
      <c r="D1513" s="294"/>
      <c r="E1513" s="294"/>
      <c r="F1513" s="294"/>
      <c r="G1513" s="294"/>
      <c r="H1513" s="294"/>
      <c r="I1513" s="294"/>
      <c r="J1513" s="294"/>
      <c r="L1513" s="295"/>
      <c r="M1513" s="294"/>
      <c r="O1513" s="294"/>
      <c r="P1513" s="294"/>
      <c r="Q1513" s="294"/>
      <c r="R1513" s="294"/>
      <c r="S1513" s="294"/>
      <c r="T1513" s="294"/>
      <c r="U1513" s="326"/>
      <c r="V1513" s="294"/>
      <c r="W1513" s="294"/>
      <c r="X1513" s="294"/>
      <c r="Y1513" s="294"/>
      <c r="Z1513" s="294"/>
      <c r="AA1513" s="294"/>
      <c r="AB1513" s="294"/>
      <c r="AC1513" s="294"/>
    </row>
    <row r="1514" spans="2:29" x14ac:dyDescent="0.25">
      <c r="B1514" s="294"/>
      <c r="C1514" s="294"/>
      <c r="D1514" s="294"/>
      <c r="E1514" s="294"/>
      <c r="F1514" s="294"/>
      <c r="G1514" s="294"/>
      <c r="H1514" s="294"/>
      <c r="I1514" s="294"/>
      <c r="J1514" s="294"/>
      <c r="L1514" s="295"/>
      <c r="M1514" s="294"/>
      <c r="O1514" s="294"/>
      <c r="P1514" s="294"/>
      <c r="Q1514" s="294"/>
      <c r="R1514" s="294"/>
      <c r="S1514" s="294"/>
      <c r="T1514" s="294"/>
      <c r="U1514" s="326"/>
      <c r="V1514" s="294"/>
      <c r="W1514" s="294"/>
      <c r="X1514" s="294"/>
      <c r="Y1514" s="294"/>
      <c r="Z1514" s="294"/>
      <c r="AA1514" s="294"/>
      <c r="AB1514" s="294"/>
      <c r="AC1514" s="294"/>
    </row>
    <row r="1515" spans="2:29" x14ac:dyDescent="0.25">
      <c r="B1515" s="294"/>
      <c r="C1515" s="294"/>
      <c r="D1515" s="294"/>
      <c r="E1515" s="294"/>
      <c r="F1515" s="294"/>
      <c r="G1515" s="294"/>
      <c r="H1515" s="294"/>
      <c r="I1515" s="294"/>
      <c r="J1515" s="294"/>
      <c r="L1515" s="295"/>
      <c r="M1515" s="294"/>
      <c r="O1515" s="294"/>
      <c r="P1515" s="294"/>
      <c r="Q1515" s="294"/>
      <c r="R1515" s="294"/>
      <c r="S1515" s="294"/>
      <c r="T1515" s="294"/>
      <c r="U1515" s="326"/>
      <c r="V1515" s="294"/>
      <c r="W1515" s="294"/>
      <c r="X1515" s="294"/>
      <c r="Y1515" s="294"/>
      <c r="Z1515" s="294"/>
      <c r="AA1515" s="294"/>
      <c r="AB1515" s="294"/>
      <c r="AC1515" s="294"/>
    </row>
    <row r="1516" spans="2:29" x14ac:dyDescent="0.25">
      <c r="B1516" s="294"/>
      <c r="C1516" s="294"/>
      <c r="D1516" s="294"/>
      <c r="E1516" s="294"/>
      <c r="F1516" s="294"/>
      <c r="G1516" s="294"/>
      <c r="H1516" s="294"/>
      <c r="I1516" s="294"/>
      <c r="J1516" s="294"/>
      <c r="L1516" s="295"/>
      <c r="M1516" s="294"/>
      <c r="O1516" s="294"/>
      <c r="P1516" s="294"/>
      <c r="Q1516" s="294"/>
      <c r="R1516" s="294"/>
      <c r="S1516" s="294"/>
      <c r="T1516" s="294"/>
      <c r="U1516" s="326"/>
      <c r="V1516" s="294"/>
      <c r="W1516" s="294"/>
      <c r="X1516" s="294"/>
      <c r="Y1516" s="294"/>
      <c r="Z1516" s="294"/>
      <c r="AA1516" s="294"/>
      <c r="AB1516" s="294"/>
      <c r="AC1516" s="294"/>
    </row>
    <row r="1517" spans="2:29" x14ac:dyDescent="0.25">
      <c r="B1517" s="294"/>
      <c r="C1517" s="294"/>
      <c r="D1517" s="294"/>
      <c r="E1517" s="294"/>
      <c r="F1517" s="294"/>
      <c r="G1517" s="294"/>
      <c r="H1517" s="294"/>
      <c r="I1517" s="294"/>
      <c r="J1517" s="294"/>
      <c r="L1517" s="295"/>
      <c r="M1517" s="294"/>
      <c r="O1517" s="294"/>
      <c r="P1517" s="294"/>
      <c r="Q1517" s="294"/>
      <c r="R1517" s="294"/>
      <c r="S1517" s="294"/>
      <c r="T1517" s="294"/>
      <c r="U1517" s="326"/>
      <c r="V1517" s="294"/>
      <c r="W1517" s="294"/>
      <c r="X1517" s="294"/>
      <c r="Y1517" s="294"/>
      <c r="Z1517" s="294"/>
      <c r="AA1517" s="294"/>
      <c r="AB1517" s="294"/>
      <c r="AC1517" s="294"/>
    </row>
    <row r="1518" spans="2:29" x14ac:dyDescent="0.25">
      <c r="B1518" s="294"/>
      <c r="C1518" s="294"/>
      <c r="D1518" s="294"/>
      <c r="E1518" s="294"/>
      <c r="F1518" s="294"/>
      <c r="G1518" s="294"/>
      <c r="H1518" s="294"/>
      <c r="I1518" s="294"/>
      <c r="J1518" s="294"/>
      <c r="L1518" s="295"/>
      <c r="M1518" s="294"/>
      <c r="O1518" s="294"/>
      <c r="P1518" s="294"/>
      <c r="Q1518" s="294"/>
      <c r="R1518" s="294"/>
      <c r="S1518" s="294"/>
      <c r="T1518" s="294"/>
      <c r="U1518" s="326"/>
      <c r="V1518" s="294"/>
      <c r="W1518" s="294"/>
      <c r="X1518" s="294"/>
      <c r="Y1518" s="294"/>
      <c r="Z1518" s="294"/>
      <c r="AA1518" s="294"/>
      <c r="AB1518" s="294"/>
      <c r="AC1518" s="294"/>
    </row>
    <row r="1519" spans="2:29" x14ac:dyDescent="0.25">
      <c r="B1519" s="294"/>
      <c r="C1519" s="294"/>
      <c r="D1519" s="294"/>
      <c r="E1519" s="294"/>
      <c r="F1519" s="294"/>
      <c r="G1519" s="294"/>
      <c r="H1519" s="294"/>
      <c r="I1519" s="294"/>
      <c r="J1519" s="294"/>
      <c r="L1519" s="295"/>
      <c r="M1519" s="294"/>
      <c r="O1519" s="294"/>
      <c r="P1519" s="294"/>
      <c r="Q1519" s="294"/>
      <c r="R1519" s="294"/>
      <c r="S1519" s="294"/>
      <c r="T1519" s="294"/>
      <c r="U1519" s="326"/>
      <c r="V1519" s="294"/>
      <c r="W1519" s="294"/>
      <c r="X1519" s="294"/>
      <c r="Y1519" s="294"/>
      <c r="Z1519" s="294"/>
      <c r="AA1519" s="294"/>
      <c r="AB1519" s="294"/>
      <c r="AC1519" s="294"/>
    </row>
    <row r="1520" spans="2:29" x14ac:dyDescent="0.25">
      <c r="B1520" s="294"/>
      <c r="C1520" s="294"/>
      <c r="D1520" s="294"/>
      <c r="E1520" s="294"/>
      <c r="F1520" s="294"/>
      <c r="G1520" s="294"/>
      <c r="H1520" s="294"/>
      <c r="I1520" s="294"/>
      <c r="J1520" s="294"/>
      <c r="L1520" s="295"/>
      <c r="M1520" s="294"/>
      <c r="O1520" s="294"/>
      <c r="P1520" s="294"/>
      <c r="Q1520" s="294"/>
      <c r="R1520" s="294"/>
      <c r="S1520" s="294"/>
      <c r="T1520" s="294"/>
      <c r="U1520" s="326"/>
      <c r="V1520" s="294"/>
      <c r="W1520" s="294"/>
      <c r="X1520" s="294"/>
      <c r="Y1520" s="294"/>
      <c r="Z1520" s="294"/>
      <c r="AA1520" s="294"/>
      <c r="AB1520" s="294"/>
      <c r="AC1520" s="294"/>
    </row>
    <row r="1521" spans="2:29" x14ac:dyDescent="0.25">
      <c r="B1521" s="294"/>
      <c r="C1521" s="294"/>
      <c r="D1521" s="294"/>
      <c r="E1521" s="294"/>
      <c r="F1521" s="294"/>
      <c r="G1521" s="294"/>
      <c r="H1521" s="294"/>
      <c r="I1521" s="294"/>
      <c r="J1521" s="294"/>
      <c r="L1521" s="295"/>
      <c r="M1521" s="294"/>
      <c r="O1521" s="294"/>
      <c r="P1521" s="294"/>
      <c r="Q1521" s="294"/>
      <c r="R1521" s="294"/>
      <c r="S1521" s="294"/>
      <c r="T1521" s="294"/>
      <c r="U1521" s="326"/>
      <c r="V1521" s="294"/>
      <c r="W1521" s="294"/>
      <c r="X1521" s="294"/>
      <c r="Y1521" s="294"/>
      <c r="Z1521" s="294"/>
      <c r="AA1521" s="294"/>
      <c r="AB1521" s="294"/>
      <c r="AC1521" s="294"/>
    </row>
    <row r="1522" spans="2:29" x14ac:dyDescent="0.25">
      <c r="B1522" s="294"/>
      <c r="C1522" s="294"/>
      <c r="D1522" s="294"/>
      <c r="E1522" s="294"/>
      <c r="F1522" s="294"/>
      <c r="G1522" s="294"/>
      <c r="H1522" s="294"/>
      <c r="I1522" s="294"/>
      <c r="J1522" s="294"/>
      <c r="L1522" s="295"/>
      <c r="M1522" s="294"/>
      <c r="O1522" s="294"/>
      <c r="P1522" s="294"/>
      <c r="Q1522" s="294"/>
      <c r="R1522" s="294"/>
      <c r="S1522" s="294"/>
      <c r="T1522" s="294"/>
      <c r="U1522" s="326"/>
      <c r="V1522" s="294"/>
      <c r="W1522" s="294"/>
      <c r="X1522" s="294"/>
      <c r="Y1522" s="294"/>
      <c r="Z1522" s="294"/>
      <c r="AA1522" s="294"/>
      <c r="AB1522" s="294"/>
      <c r="AC1522" s="294"/>
    </row>
    <row r="1523" spans="2:29" x14ac:dyDescent="0.25">
      <c r="B1523" s="294"/>
      <c r="C1523" s="294"/>
      <c r="D1523" s="294"/>
      <c r="E1523" s="294"/>
      <c r="F1523" s="294"/>
      <c r="G1523" s="294"/>
      <c r="H1523" s="294"/>
      <c r="I1523" s="294"/>
      <c r="J1523" s="294"/>
      <c r="L1523" s="295"/>
      <c r="M1523" s="294"/>
      <c r="O1523" s="294"/>
      <c r="P1523" s="294"/>
      <c r="Q1523" s="294"/>
      <c r="R1523" s="294"/>
      <c r="S1523" s="294"/>
      <c r="T1523" s="294"/>
      <c r="U1523" s="326"/>
      <c r="V1523" s="294"/>
      <c r="W1523" s="294"/>
      <c r="X1523" s="294"/>
      <c r="Y1523" s="294"/>
      <c r="Z1523" s="294"/>
      <c r="AA1523" s="294"/>
      <c r="AB1523" s="294"/>
      <c r="AC1523" s="294"/>
    </row>
    <row r="1524" spans="2:29" x14ac:dyDescent="0.25">
      <c r="B1524" s="294"/>
      <c r="C1524" s="294"/>
      <c r="D1524" s="294"/>
      <c r="E1524" s="294"/>
      <c r="F1524" s="294"/>
      <c r="G1524" s="294"/>
      <c r="H1524" s="294"/>
      <c r="I1524" s="294"/>
      <c r="J1524" s="294"/>
      <c r="L1524" s="295"/>
      <c r="M1524" s="294"/>
      <c r="O1524" s="294"/>
      <c r="P1524" s="294"/>
      <c r="Q1524" s="294"/>
      <c r="R1524" s="294"/>
      <c r="S1524" s="294"/>
      <c r="T1524" s="294"/>
      <c r="U1524" s="326"/>
      <c r="V1524" s="294"/>
      <c r="W1524" s="294"/>
      <c r="X1524" s="294"/>
      <c r="Y1524" s="294"/>
      <c r="Z1524" s="294"/>
      <c r="AA1524" s="294"/>
      <c r="AB1524" s="294"/>
      <c r="AC1524" s="294"/>
    </row>
    <row r="1525" spans="2:29" x14ac:dyDescent="0.25">
      <c r="B1525" s="294"/>
      <c r="C1525" s="294"/>
      <c r="D1525" s="294"/>
      <c r="E1525" s="294"/>
      <c r="F1525" s="294"/>
      <c r="G1525" s="294"/>
      <c r="H1525" s="294"/>
      <c r="I1525" s="294"/>
      <c r="J1525" s="294"/>
      <c r="L1525" s="295"/>
      <c r="M1525" s="294"/>
      <c r="O1525" s="294"/>
      <c r="P1525" s="294"/>
      <c r="Q1525" s="294"/>
      <c r="R1525" s="294"/>
      <c r="S1525" s="294"/>
      <c r="T1525" s="294"/>
      <c r="U1525" s="326"/>
      <c r="V1525" s="294"/>
      <c r="W1525" s="294"/>
      <c r="X1525" s="294"/>
      <c r="Y1525" s="294"/>
      <c r="Z1525" s="294"/>
      <c r="AA1525" s="294"/>
      <c r="AB1525" s="294"/>
      <c r="AC1525" s="294"/>
    </row>
    <row r="1526" spans="2:29" x14ac:dyDescent="0.25">
      <c r="B1526" s="294"/>
      <c r="C1526" s="294"/>
      <c r="D1526" s="294"/>
      <c r="E1526" s="294"/>
      <c r="F1526" s="294"/>
      <c r="G1526" s="294"/>
      <c r="H1526" s="294"/>
      <c r="I1526" s="294"/>
      <c r="J1526" s="294"/>
      <c r="L1526" s="295"/>
      <c r="M1526" s="294"/>
      <c r="O1526" s="294"/>
      <c r="P1526" s="294"/>
      <c r="Q1526" s="294"/>
      <c r="R1526" s="294"/>
      <c r="S1526" s="294"/>
      <c r="T1526" s="294"/>
      <c r="U1526" s="326"/>
      <c r="V1526" s="294"/>
      <c r="W1526" s="294"/>
      <c r="X1526" s="294"/>
      <c r="Y1526" s="294"/>
      <c r="Z1526" s="294"/>
      <c r="AA1526" s="294"/>
      <c r="AB1526" s="294"/>
      <c r="AC1526" s="294"/>
    </row>
    <row r="1527" spans="2:29" x14ac:dyDescent="0.25">
      <c r="B1527" s="294"/>
      <c r="C1527" s="294"/>
      <c r="D1527" s="294"/>
      <c r="E1527" s="294"/>
      <c r="F1527" s="294"/>
      <c r="G1527" s="294"/>
      <c r="H1527" s="294"/>
      <c r="I1527" s="294"/>
      <c r="J1527" s="294"/>
      <c r="L1527" s="295"/>
      <c r="M1527" s="294"/>
      <c r="O1527" s="294"/>
      <c r="P1527" s="294"/>
      <c r="Q1527" s="294"/>
      <c r="R1527" s="294"/>
      <c r="S1527" s="294"/>
      <c r="T1527" s="294"/>
      <c r="U1527" s="326"/>
      <c r="V1527" s="294"/>
      <c r="W1527" s="294"/>
      <c r="X1527" s="294"/>
      <c r="Y1527" s="294"/>
      <c r="Z1527" s="294"/>
      <c r="AA1527" s="294"/>
      <c r="AB1527" s="294"/>
      <c r="AC1527" s="294"/>
    </row>
    <row r="1528" spans="2:29" x14ac:dyDescent="0.25">
      <c r="B1528" s="294"/>
      <c r="C1528" s="294"/>
      <c r="D1528" s="294"/>
      <c r="E1528" s="294"/>
      <c r="F1528" s="294"/>
      <c r="G1528" s="294"/>
      <c r="H1528" s="294"/>
      <c r="I1528" s="294"/>
      <c r="J1528" s="294"/>
      <c r="L1528" s="295"/>
      <c r="M1528" s="294"/>
      <c r="O1528" s="294"/>
      <c r="P1528" s="294"/>
      <c r="Q1528" s="294"/>
      <c r="R1528" s="294"/>
      <c r="S1528" s="294"/>
      <c r="T1528" s="294"/>
      <c r="U1528" s="326"/>
      <c r="V1528" s="294"/>
      <c r="W1528" s="294"/>
      <c r="X1528" s="294"/>
      <c r="Y1528" s="294"/>
      <c r="Z1528" s="294"/>
      <c r="AA1528" s="294"/>
      <c r="AB1528" s="294"/>
      <c r="AC1528" s="294"/>
    </row>
    <row r="1529" spans="2:29" x14ac:dyDescent="0.25">
      <c r="B1529" s="294"/>
      <c r="C1529" s="294"/>
      <c r="D1529" s="294"/>
      <c r="E1529" s="294"/>
      <c r="F1529" s="294"/>
      <c r="G1529" s="294"/>
      <c r="H1529" s="294"/>
      <c r="I1529" s="294"/>
      <c r="J1529" s="294"/>
      <c r="L1529" s="295"/>
      <c r="M1529" s="294"/>
      <c r="O1529" s="294"/>
      <c r="P1529" s="294"/>
      <c r="Q1529" s="294"/>
      <c r="R1529" s="294"/>
      <c r="S1529" s="294"/>
      <c r="T1529" s="294"/>
      <c r="U1529" s="326"/>
      <c r="V1529" s="294"/>
      <c r="W1529" s="294"/>
      <c r="X1529" s="294"/>
      <c r="Y1529" s="294"/>
      <c r="Z1529" s="294"/>
      <c r="AA1529" s="294"/>
      <c r="AB1529" s="294"/>
      <c r="AC1529" s="294"/>
    </row>
    <row r="1530" spans="2:29" x14ac:dyDescent="0.25">
      <c r="B1530" s="294"/>
      <c r="C1530" s="294"/>
      <c r="D1530" s="294"/>
      <c r="E1530" s="294"/>
      <c r="F1530" s="294"/>
      <c r="G1530" s="294"/>
      <c r="H1530" s="294"/>
      <c r="I1530" s="294"/>
      <c r="J1530" s="294"/>
      <c r="L1530" s="295"/>
      <c r="M1530" s="294"/>
      <c r="O1530" s="294"/>
      <c r="P1530" s="294"/>
      <c r="Q1530" s="294"/>
      <c r="R1530" s="294"/>
      <c r="S1530" s="294"/>
      <c r="T1530" s="294"/>
      <c r="U1530" s="326"/>
      <c r="V1530" s="294"/>
      <c r="W1530" s="294"/>
      <c r="X1530" s="294"/>
      <c r="Y1530" s="294"/>
      <c r="Z1530" s="294"/>
      <c r="AA1530" s="294"/>
      <c r="AB1530" s="294"/>
      <c r="AC1530" s="294"/>
    </row>
    <row r="1531" spans="2:29" x14ac:dyDescent="0.25">
      <c r="B1531" s="294"/>
      <c r="C1531" s="294"/>
      <c r="D1531" s="294"/>
      <c r="E1531" s="294"/>
      <c r="F1531" s="294"/>
      <c r="G1531" s="294"/>
      <c r="H1531" s="294"/>
      <c r="I1531" s="294"/>
      <c r="J1531" s="294"/>
      <c r="L1531" s="295"/>
      <c r="M1531" s="294"/>
      <c r="O1531" s="294"/>
      <c r="P1531" s="294"/>
      <c r="Q1531" s="294"/>
      <c r="R1531" s="294"/>
      <c r="S1531" s="294"/>
      <c r="T1531" s="294"/>
      <c r="U1531" s="326"/>
      <c r="V1531" s="294"/>
      <c r="W1531" s="294"/>
      <c r="X1531" s="294"/>
      <c r="Y1531" s="294"/>
      <c r="Z1531" s="294"/>
      <c r="AA1531" s="294"/>
      <c r="AB1531" s="294"/>
      <c r="AC1531" s="294"/>
    </row>
    <row r="1532" spans="2:29" x14ac:dyDescent="0.25">
      <c r="B1532" s="294"/>
      <c r="C1532" s="294"/>
      <c r="D1532" s="294"/>
      <c r="E1532" s="294"/>
      <c r="F1532" s="294"/>
      <c r="G1532" s="294"/>
      <c r="H1532" s="294"/>
      <c r="I1532" s="294"/>
      <c r="J1532" s="294"/>
      <c r="L1532" s="295"/>
      <c r="M1532" s="294"/>
      <c r="O1532" s="294"/>
      <c r="P1532" s="294"/>
      <c r="Q1532" s="294"/>
      <c r="R1532" s="294"/>
      <c r="S1532" s="294"/>
      <c r="T1532" s="294"/>
      <c r="U1532" s="326"/>
      <c r="V1532" s="294"/>
      <c r="W1532" s="294"/>
      <c r="X1532" s="294"/>
      <c r="Y1532" s="294"/>
      <c r="Z1532" s="294"/>
      <c r="AA1532" s="294"/>
      <c r="AB1532" s="294"/>
      <c r="AC1532" s="294"/>
    </row>
    <row r="1533" spans="2:29" x14ac:dyDescent="0.25">
      <c r="B1533" s="294"/>
      <c r="C1533" s="294"/>
      <c r="D1533" s="294"/>
      <c r="E1533" s="294"/>
      <c r="F1533" s="294"/>
      <c r="G1533" s="294"/>
      <c r="H1533" s="294"/>
      <c r="I1533" s="294"/>
      <c r="J1533" s="294"/>
      <c r="L1533" s="295"/>
      <c r="M1533" s="294"/>
      <c r="O1533" s="294"/>
      <c r="P1533" s="294"/>
      <c r="Q1533" s="294"/>
      <c r="R1533" s="294"/>
      <c r="S1533" s="294"/>
      <c r="T1533" s="294"/>
      <c r="U1533" s="326"/>
      <c r="V1533" s="294"/>
      <c r="W1533" s="294"/>
      <c r="X1533" s="294"/>
      <c r="Y1533" s="294"/>
      <c r="Z1533" s="294"/>
      <c r="AA1533" s="294"/>
      <c r="AB1533" s="294"/>
      <c r="AC1533" s="294"/>
    </row>
    <row r="1534" spans="2:29" x14ac:dyDescent="0.25">
      <c r="B1534" s="294"/>
      <c r="C1534" s="294"/>
      <c r="D1534" s="294"/>
      <c r="E1534" s="294"/>
      <c r="F1534" s="294"/>
      <c r="G1534" s="294"/>
      <c r="H1534" s="294"/>
      <c r="I1534" s="294"/>
      <c r="J1534" s="294"/>
      <c r="L1534" s="295"/>
      <c r="M1534" s="294"/>
      <c r="O1534" s="294"/>
      <c r="P1534" s="294"/>
      <c r="Q1534" s="294"/>
      <c r="R1534" s="294"/>
      <c r="S1534" s="294"/>
      <c r="T1534" s="294"/>
      <c r="U1534" s="326"/>
      <c r="V1534" s="294"/>
      <c r="W1534" s="294"/>
      <c r="X1534" s="294"/>
      <c r="Y1534" s="294"/>
      <c r="Z1534" s="294"/>
      <c r="AA1534" s="294"/>
      <c r="AB1534" s="294"/>
      <c r="AC1534" s="294"/>
    </row>
    <row r="1535" spans="2:29" x14ac:dyDescent="0.25">
      <c r="B1535" s="294"/>
      <c r="C1535" s="294"/>
      <c r="D1535" s="294"/>
      <c r="E1535" s="294"/>
      <c r="F1535" s="294"/>
      <c r="G1535" s="294"/>
      <c r="H1535" s="294"/>
      <c r="I1535" s="294"/>
      <c r="J1535" s="294"/>
      <c r="L1535" s="295"/>
      <c r="M1535" s="294"/>
      <c r="O1535" s="294"/>
      <c r="P1535" s="294"/>
      <c r="Q1535" s="294"/>
      <c r="R1535" s="294"/>
      <c r="S1535" s="294"/>
      <c r="T1535" s="294"/>
      <c r="U1535" s="326"/>
      <c r="V1535" s="294"/>
      <c r="W1535" s="294"/>
      <c r="X1535" s="294"/>
      <c r="Y1535" s="294"/>
      <c r="Z1535" s="294"/>
      <c r="AA1535" s="294"/>
      <c r="AB1535" s="294"/>
      <c r="AC1535" s="294"/>
    </row>
    <row r="1536" spans="2:29" x14ac:dyDescent="0.25">
      <c r="B1536" s="294"/>
      <c r="C1536" s="294"/>
      <c r="D1536" s="294"/>
      <c r="E1536" s="294"/>
      <c r="F1536" s="294"/>
      <c r="G1536" s="294"/>
      <c r="H1536" s="294"/>
      <c r="I1536" s="294"/>
      <c r="J1536" s="294"/>
      <c r="L1536" s="295"/>
      <c r="M1536" s="294"/>
      <c r="O1536" s="294"/>
      <c r="P1536" s="294"/>
      <c r="Q1536" s="294"/>
      <c r="R1536" s="294"/>
      <c r="S1536" s="294"/>
      <c r="T1536" s="294"/>
      <c r="U1536" s="326"/>
      <c r="V1536" s="294"/>
      <c r="W1536" s="294"/>
      <c r="X1536" s="294"/>
      <c r="Y1536" s="294"/>
      <c r="Z1536" s="294"/>
      <c r="AA1536" s="294"/>
      <c r="AB1536" s="294"/>
      <c r="AC1536" s="294"/>
    </row>
    <row r="1537" spans="2:29" x14ac:dyDescent="0.25">
      <c r="B1537" s="294"/>
      <c r="C1537" s="294"/>
      <c r="D1537" s="294"/>
      <c r="E1537" s="294"/>
      <c r="F1537" s="294"/>
      <c r="G1537" s="294"/>
      <c r="H1537" s="294"/>
      <c r="I1537" s="294"/>
      <c r="J1537" s="294"/>
      <c r="L1537" s="295"/>
      <c r="M1537" s="294"/>
      <c r="O1537" s="294"/>
      <c r="P1537" s="294"/>
      <c r="Q1537" s="294"/>
      <c r="R1537" s="294"/>
      <c r="S1537" s="294"/>
      <c r="T1537" s="294"/>
      <c r="U1537" s="326"/>
      <c r="V1537" s="294"/>
      <c r="W1537" s="294"/>
      <c r="X1537" s="294"/>
      <c r="Y1537" s="294"/>
      <c r="Z1537" s="294"/>
      <c r="AA1537" s="294"/>
      <c r="AB1537" s="294"/>
      <c r="AC1537" s="294"/>
    </row>
    <row r="1538" spans="2:29" x14ac:dyDescent="0.25">
      <c r="B1538" s="294"/>
      <c r="C1538" s="294"/>
      <c r="D1538" s="294"/>
      <c r="E1538" s="294"/>
      <c r="F1538" s="294"/>
      <c r="G1538" s="294"/>
      <c r="H1538" s="294"/>
      <c r="I1538" s="294"/>
      <c r="J1538" s="294"/>
      <c r="L1538" s="295"/>
      <c r="M1538" s="294"/>
      <c r="O1538" s="294"/>
      <c r="P1538" s="294"/>
      <c r="Q1538" s="294"/>
      <c r="R1538" s="294"/>
      <c r="S1538" s="294"/>
      <c r="T1538" s="294"/>
      <c r="U1538" s="326"/>
      <c r="V1538" s="294"/>
      <c r="W1538" s="294"/>
      <c r="X1538" s="294"/>
      <c r="Y1538" s="294"/>
      <c r="Z1538" s="294"/>
      <c r="AA1538" s="294"/>
      <c r="AB1538" s="294"/>
      <c r="AC1538" s="294"/>
    </row>
    <row r="1539" spans="2:29" x14ac:dyDescent="0.25">
      <c r="B1539" s="294"/>
      <c r="C1539" s="294"/>
      <c r="D1539" s="294"/>
      <c r="E1539" s="294"/>
      <c r="F1539" s="294"/>
      <c r="G1539" s="294"/>
      <c r="H1539" s="294"/>
      <c r="I1539" s="294"/>
      <c r="J1539" s="294"/>
      <c r="L1539" s="295"/>
      <c r="M1539" s="294"/>
      <c r="O1539" s="294"/>
      <c r="P1539" s="294"/>
      <c r="Q1539" s="294"/>
      <c r="R1539" s="294"/>
      <c r="S1539" s="294"/>
      <c r="T1539" s="294"/>
      <c r="U1539" s="326"/>
      <c r="V1539" s="294"/>
      <c r="W1539" s="294"/>
      <c r="X1539" s="294"/>
      <c r="Y1539" s="294"/>
      <c r="Z1539" s="294"/>
      <c r="AA1539" s="294"/>
      <c r="AB1539" s="294"/>
      <c r="AC1539" s="294"/>
    </row>
    <row r="1540" spans="2:29" x14ac:dyDescent="0.25">
      <c r="B1540" s="294"/>
      <c r="C1540" s="294"/>
      <c r="D1540" s="294"/>
      <c r="E1540" s="294"/>
      <c r="F1540" s="294"/>
      <c r="G1540" s="294"/>
      <c r="H1540" s="294"/>
      <c r="I1540" s="294"/>
      <c r="J1540" s="294"/>
      <c r="L1540" s="295"/>
      <c r="M1540" s="294"/>
      <c r="O1540" s="294"/>
      <c r="P1540" s="294"/>
      <c r="Q1540" s="294"/>
      <c r="R1540" s="294"/>
      <c r="S1540" s="294"/>
      <c r="T1540" s="294"/>
      <c r="U1540" s="326"/>
      <c r="V1540" s="294"/>
      <c r="W1540" s="294"/>
      <c r="X1540" s="294"/>
      <c r="Y1540" s="294"/>
      <c r="Z1540" s="294"/>
      <c r="AA1540" s="294"/>
      <c r="AB1540" s="294"/>
      <c r="AC1540" s="294"/>
    </row>
    <row r="1541" spans="2:29" x14ac:dyDescent="0.25">
      <c r="B1541" s="294"/>
      <c r="C1541" s="294"/>
      <c r="D1541" s="294"/>
      <c r="E1541" s="294"/>
      <c r="F1541" s="294"/>
      <c r="G1541" s="294"/>
      <c r="H1541" s="294"/>
      <c r="I1541" s="294"/>
      <c r="J1541" s="294"/>
      <c r="L1541" s="295"/>
      <c r="M1541" s="294"/>
      <c r="O1541" s="294"/>
      <c r="P1541" s="294"/>
      <c r="Q1541" s="294"/>
      <c r="R1541" s="294"/>
      <c r="S1541" s="294"/>
      <c r="T1541" s="294"/>
      <c r="U1541" s="326"/>
      <c r="V1541" s="294"/>
      <c r="W1541" s="294"/>
      <c r="X1541" s="294"/>
      <c r="Y1541" s="294"/>
      <c r="Z1541" s="294"/>
      <c r="AA1541" s="294"/>
      <c r="AB1541" s="294"/>
      <c r="AC1541" s="294"/>
    </row>
    <row r="1542" spans="2:29" x14ac:dyDescent="0.25">
      <c r="B1542" s="294"/>
      <c r="C1542" s="294"/>
      <c r="D1542" s="294"/>
      <c r="E1542" s="294"/>
      <c r="F1542" s="294"/>
      <c r="G1542" s="294"/>
      <c r="H1542" s="294"/>
      <c r="I1542" s="294"/>
      <c r="J1542" s="294"/>
      <c r="L1542" s="295"/>
      <c r="M1542" s="294"/>
      <c r="O1542" s="294"/>
      <c r="P1542" s="294"/>
      <c r="Q1542" s="294"/>
      <c r="R1542" s="294"/>
      <c r="S1542" s="294"/>
      <c r="T1542" s="294"/>
      <c r="U1542" s="326"/>
      <c r="V1542" s="294"/>
      <c r="W1542" s="294"/>
      <c r="X1542" s="294"/>
      <c r="Y1542" s="294"/>
      <c r="Z1542" s="294"/>
      <c r="AA1542" s="294"/>
      <c r="AB1542" s="294"/>
      <c r="AC1542" s="294"/>
    </row>
    <row r="1543" spans="2:29" x14ac:dyDescent="0.25">
      <c r="B1543" s="294"/>
      <c r="C1543" s="294"/>
      <c r="D1543" s="294"/>
      <c r="E1543" s="294"/>
      <c r="F1543" s="294"/>
      <c r="G1543" s="294"/>
      <c r="H1543" s="294"/>
      <c r="I1543" s="294"/>
      <c r="J1543" s="294"/>
      <c r="L1543" s="295"/>
      <c r="M1543" s="294"/>
      <c r="O1543" s="294"/>
      <c r="P1543" s="294"/>
      <c r="Q1543" s="294"/>
      <c r="R1543" s="294"/>
      <c r="S1543" s="294"/>
      <c r="T1543" s="294"/>
      <c r="U1543" s="326"/>
      <c r="V1543" s="294"/>
      <c r="W1543" s="294"/>
      <c r="X1543" s="294"/>
      <c r="Y1543" s="294"/>
      <c r="Z1543" s="294"/>
      <c r="AA1543" s="294"/>
      <c r="AB1543" s="294"/>
      <c r="AC1543" s="294"/>
    </row>
    <row r="1544" spans="2:29" x14ac:dyDescent="0.25">
      <c r="B1544" s="294"/>
      <c r="C1544" s="294"/>
      <c r="D1544" s="294"/>
      <c r="E1544" s="294"/>
      <c r="F1544" s="294"/>
      <c r="G1544" s="294"/>
      <c r="H1544" s="294"/>
      <c r="I1544" s="294"/>
      <c r="J1544" s="294"/>
      <c r="L1544" s="295"/>
      <c r="M1544" s="294"/>
      <c r="O1544" s="294"/>
      <c r="P1544" s="294"/>
      <c r="Q1544" s="294"/>
      <c r="R1544" s="294"/>
      <c r="S1544" s="294"/>
      <c r="T1544" s="294"/>
      <c r="U1544" s="326"/>
      <c r="V1544" s="294"/>
      <c r="W1544" s="294"/>
      <c r="X1544" s="294"/>
      <c r="Y1544" s="294"/>
      <c r="Z1544" s="294"/>
      <c r="AA1544" s="294"/>
      <c r="AB1544" s="294"/>
      <c r="AC1544" s="294"/>
    </row>
    <row r="1545" spans="2:29" x14ac:dyDescent="0.25">
      <c r="B1545" s="294"/>
      <c r="C1545" s="294"/>
      <c r="D1545" s="294"/>
      <c r="E1545" s="294"/>
      <c r="F1545" s="294"/>
      <c r="G1545" s="294"/>
      <c r="H1545" s="294"/>
      <c r="I1545" s="294"/>
      <c r="J1545" s="294"/>
      <c r="L1545" s="295"/>
      <c r="M1545" s="294"/>
      <c r="O1545" s="294"/>
      <c r="P1545" s="294"/>
      <c r="Q1545" s="294"/>
      <c r="R1545" s="294"/>
      <c r="S1545" s="294"/>
      <c r="T1545" s="294"/>
      <c r="U1545" s="326"/>
      <c r="V1545" s="294"/>
      <c r="W1545" s="294"/>
      <c r="X1545" s="294"/>
      <c r="Y1545" s="294"/>
      <c r="Z1545" s="294"/>
      <c r="AA1545" s="294"/>
      <c r="AB1545" s="294"/>
      <c r="AC1545" s="294"/>
    </row>
    <row r="1546" spans="2:29" x14ac:dyDescent="0.25">
      <c r="B1546" s="294"/>
      <c r="C1546" s="294"/>
      <c r="D1546" s="294"/>
      <c r="E1546" s="294"/>
      <c r="F1546" s="294"/>
      <c r="G1546" s="294"/>
      <c r="H1546" s="294"/>
      <c r="I1546" s="294"/>
      <c r="J1546" s="294"/>
      <c r="L1546" s="295"/>
      <c r="M1546" s="294"/>
      <c r="O1546" s="294"/>
      <c r="P1546" s="294"/>
      <c r="Q1546" s="294"/>
      <c r="R1546" s="294"/>
      <c r="S1546" s="294"/>
      <c r="T1546" s="294"/>
      <c r="U1546" s="326"/>
      <c r="V1546" s="294"/>
      <c r="W1546" s="294"/>
      <c r="X1546" s="294"/>
      <c r="Y1546" s="294"/>
      <c r="Z1546" s="294"/>
      <c r="AA1546" s="294"/>
      <c r="AB1546" s="294"/>
      <c r="AC1546" s="294"/>
    </row>
    <row r="1547" spans="2:29" x14ac:dyDescent="0.25">
      <c r="B1547" s="294"/>
      <c r="C1547" s="294"/>
      <c r="D1547" s="294"/>
      <c r="E1547" s="294"/>
      <c r="F1547" s="294"/>
      <c r="G1547" s="294"/>
      <c r="H1547" s="294"/>
      <c r="I1547" s="294"/>
      <c r="J1547" s="294"/>
      <c r="L1547" s="295"/>
      <c r="M1547" s="294"/>
      <c r="O1547" s="294"/>
      <c r="P1547" s="294"/>
      <c r="Q1547" s="294"/>
      <c r="R1547" s="294"/>
      <c r="S1547" s="294"/>
      <c r="T1547" s="294"/>
      <c r="U1547" s="326"/>
      <c r="V1547" s="294"/>
      <c r="W1547" s="294"/>
      <c r="X1547" s="294"/>
      <c r="Y1547" s="294"/>
      <c r="Z1547" s="294"/>
      <c r="AA1547" s="294"/>
      <c r="AB1547" s="294"/>
      <c r="AC1547" s="294"/>
    </row>
    <row r="1548" spans="2:29" x14ac:dyDescent="0.25">
      <c r="B1548" s="294"/>
      <c r="C1548" s="294"/>
      <c r="D1548" s="294"/>
      <c r="E1548" s="294"/>
      <c r="F1548" s="294"/>
      <c r="G1548" s="294"/>
      <c r="H1548" s="294"/>
      <c r="I1548" s="294"/>
      <c r="J1548" s="294"/>
      <c r="L1548" s="295"/>
      <c r="M1548" s="294"/>
      <c r="O1548" s="294"/>
      <c r="P1548" s="294"/>
      <c r="Q1548" s="294"/>
      <c r="R1548" s="294"/>
      <c r="S1548" s="294"/>
      <c r="T1548" s="294"/>
      <c r="U1548" s="326"/>
      <c r="V1548" s="294"/>
      <c r="W1548" s="294"/>
      <c r="X1548" s="294"/>
      <c r="Y1548" s="294"/>
      <c r="Z1548" s="294"/>
      <c r="AA1548" s="294"/>
      <c r="AB1548" s="294"/>
      <c r="AC1548" s="294"/>
    </row>
    <row r="1549" spans="2:29" x14ac:dyDescent="0.25">
      <c r="B1549" s="294"/>
      <c r="C1549" s="294"/>
      <c r="D1549" s="294"/>
      <c r="E1549" s="294"/>
      <c r="F1549" s="294"/>
      <c r="G1549" s="294"/>
      <c r="H1549" s="294"/>
      <c r="I1549" s="294"/>
      <c r="J1549" s="294"/>
      <c r="L1549" s="295"/>
      <c r="M1549" s="294"/>
      <c r="O1549" s="294"/>
      <c r="P1549" s="294"/>
      <c r="Q1549" s="294"/>
      <c r="R1549" s="294"/>
      <c r="S1549" s="294"/>
      <c r="T1549" s="294"/>
      <c r="U1549" s="326"/>
      <c r="V1549" s="294"/>
      <c r="W1549" s="294"/>
      <c r="X1549" s="294"/>
      <c r="Y1549" s="294"/>
      <c r="Z1549" s="294"/>
      <c r="AA1549" s="294"/>
      <c r="AB1549" s="294"/>
      <c r="AC1549" s="294"/>
    </row>
    <row r="1550" spans="2:29" x14ac:dyDescent="0.25">
      <c r="B1550" s="294"/>
      <c r="C1550" s="294"/>
      <c r="D1550" s="294"/>
      <c r="E1550" s="294"/>
      <c r="F1550" s="294"/>
      <c r="G1550" s="294"/>
      <c r="H1550" s="294"/>
      <c r="I1550" s="294"/>
      <c r="J1550" s="294"/>
      <c r="L1550" s="295"/>
      <c r="M1550" s="294"/>
      <c r="O1550" s="294"/>
      <c r="P1550" s="294"/>
      <c r="Q1550" s="294"/>
      <c r="R1550" s="294"/>
      <c r="S1550" s="294"/>
      <c r="T1550" s="294"/>
      <c r="U1550" s="326"/>
      <c r="V1550" s="294"/>
      <c r="W1550" s="294"/>
      <c r="X1550" s="294"/>
      <c r="Y1550" s="294"/>
      <c r="Z1550" s="294"/>
      <c r="AA1550" s="294"/>
      <c r="AB1550" s="294"/>
      <c r="AC1550" s="294"/>
    </row>
    <row r="1551" spans="2:29" x14ac:dyDescent="0.25">
      <c r="B1551" s="294"/>
      <c r="C1551" s="294"/>
      <c r="D1551" s="294"/>
      <c r="E1551" s="294"/>
      <c r="F1551" s="294"/>
      <c r="G1551" s="294"/>
      <c r="H1551" s="294"/>
      <c r="I1551" s="294"/>
      <c r="J1551" s="294"/>
      <c r="L1551" s="295"/>
      <c r="M1551" s="294"/>
      <c r="O1551" s="294"/>
      <c r="P1551" s="294"/>
      <c r="Q1551" s="294"/>
      <c r="R1551" s="294"/>
      <c r="S1551" s="294"/>
      <c r="T1551" s="294"/>
      <c r="U1551" s="326"/>
      <c r="V1551" s="294"/>
      <c r="W1551" s="294"/>
      <c r="X1551" s="294"/>
      <c r="Y1551" s="294"/>
      <c r="Z1551" s="294"/>
      <c r="AA1551" s="294"/>
      <c r="AB1551" s="294"/>
      <c r="AC1551" s="294"/>
    </row>
    <row r="1552" spans="2:29" x14ac:dyDescent="0.25">
      <c r="B1552" s="294"/>
      <c r="C1552" s="294"/>
      <c r="D1552" s="294"/>
      <c r="E1552" s="294"/>
      <c r="F1552" s="294"/>
      <c r="G1552" s="294"/>
      <c r="H1552" s="294"/>
      <c r="I1552" s="294"/>
      <c r="J1552" s="294"/>
      <c r="L1552" s="295"/>
      <c r="M1552" s="294"/>
      <c r="O1552" s="294"/>
      <c r="P1552" s="294"/>
      <c r="Q1552" s="294"/>
      <c r="R1552" s="294"/>
      <c r="S1552" s="294"/>
      <c r="T1552" s="294"/>
      <c r="U1552" s="326"/>
      <c r="V1552" s="294"/>
      <c r="W1552" s="294"/>
      <c r="X1552" s="294"/>
      <c r="Y1552" s="294"/>
      <c r="Z1552" s="294"/>
      <c r="AA1552" s="294"/>
      <c r="AB1552" s="294"/>
      <c r="AC1552" s="294"/>
    </row>
    <row r="1553" spans="2:29" x14ac:dyDescent="0.25">
      <c r="B1553" s="294"/>
      <c r="C1553" s="294"/>
      <c r="D1553" s="294"/>
      <c r="E1553" s="294"/>
      <c r="F1553" s="294"/>
      <c r="G1553" s="294"/>
      <c r="H1553" s="294"/>
      <c r="I1553" s="294"/>
      <c r="J1553" s="294"/>
      <c r="L1553" s="295"/>
      <c r="M1553" s="294"/>
      <c r="O1553" s="294"/>
      <c r="P1553" s="294"/>
      <c r="Q1553" s="294"/>
      <c r="R1553" s="294"/>
      <c r="S1553" s="294"/>
      <c r="T1553" s="294"/>
      <c r="U1553" s="326"/>
      <c r="V1553" s="294"/>
      <c r="W1553" s="294"/>
      <c r="X1553" s="294"/>
      <c r="Y1553" s="294"/>
      <c r="Z1553" s="294"/>
      <c r="AA1553" s="294"/>
      <c r="AB1553" s="294"/>
      <c r="AC1553" s="294"/>
    </row>
    <row r="1554" spans="2:29" x14ac:dyDescent="0.25">
      <c r="B1554" s="294"/>
      <c r="C1554" s="294"/>
      <c r="D1554" s="294"/>
      <c r="E1554" s="294"/>
      <c r="F1554" s="294"/>
      <c r="G1554" s="294"/>
      <c r="H1554" s="294"/>
      <c r="I1554" s="294"/>
      <c r="J1554" s="294"/>
      <c r="L1554" s="295"/>
      <c r="M1554" s="294"/>
      <c r="O1554" s="294"/>
      <c r="P1554" s="294"/>
      <c r="Q1554" s="294"/>
      <c r="R1554" s="294"/>
      <c r="S1554" s="294"/>
      <c r="T1554" s="294"/>
      <c r="U1554" s="326"/>
      <c r="V1554" s="294"/>
      <c r="W1554" s="294"/>
      <c r="X1554" s="294"/>
      <c r="Y1554" s="294"/>
      <c r="Z1554" s="294"/>
      <c r="AA1554" s="294"/>
      <c r="AB1554" s="294"/>
      <c r="AC1554" s="294"/>
    </row>
    <row r="1555" spans="2:29" x14ac:dyDescent="0.25">
      <c r="B1555" s="294"/>
      <c r="C1555" s="294"/>
      <c r="D1555" s="294"/>
      <c r="E1555" s="294"/>
      <c r="F1555" s="294"/>
      <c r="G1555" s="294"/>
      <c r="H1555" s="294"/>
      <c r="I1555" s="294"/>
      <c r="J1555" s="294"/>
      <c r="L1555" s="295"/>
      <c r="M1555" s="294"/>
      <c r="O1555" s="294"/>
      <c r="P1555" s="294"/>
      <c r="Q1555" s="294"/>
      <c r="R1555" s="294"/>
      <c r="S1555" s="294"/>
      <c r="T1555" s="294"/>
      <c r="U1555" s="326"/>
      <c r="V1555" s="294"/>
      <c r="W1555" s="294"/>
      <c r="X1555" s="294"/>
      <c r="Y1555" s="294"/>
      <c r="Z1555" s="294"/>
      <c r="AA1555" s="294"/>
      <c r="AB1555" s="294"/>
      <c r="AC1555" s="294"/>
    </row>
    <row r="1556" spans="2:29" x14ac:dyDescent="0.25">
      <c r="B1556" s="294"/>
      <c r="C1556" s="294"/>
      <c r="D1556" s="294"/>
      <c r="E1556" s="294"/>
      <c r="F1556" s="294"/>
      <c r="G1556" s="294"/>
      <c r="H1556" s="294"/>
      <c r="I1556" s="294"/>
      <c r="J1556" s="294"/>
      <c r="L1556" s="295"/>
      <c r="M1556" s="294"/>
      <c r="O1556" s="294"/>
      <c r="P1556" s="294"/>
      <c r="Q1556" s="294"/>
      <c r="R1556" s="294"/>
      <c r="S1556" s="294"/>
      <c r="T1556" s="294"/>
      <c r="U1556" s="326"/>
      <c r="V1556" s="294"/>
      <c r="W1556" s="294"/>
      <c r="X1556" s="294"/>
      <c r="Y1556" s="294"/>
      <c r="Z1556" s="294"/>
      <c r="AA1556" s="294"/>
      <c r="AB1556" s="294"/>
      <c r="AC1556" s="294"/>
    </row>
    <row r="1557" spans="2:29" x14ac:dyDescent="0.25">
      <c r="B1557" s="294"/>
      <c r="C1557" s="294"/>
      <c r="D1557" s="294"/>
      <c r="E1557" s="294"/>
      <c r="F1557" s="294"/>
      <c r="G1557" s="294"/>
      <c r="H1557" s="294"/>
      <c r="I1557" s="294"/>
      <c r="J1557" s="294"/>
      <c r="L1557" s="295"/>
      <c r="M1557" s="294"/>
      <c r="O1557" s="294"/>
      <c r="P1557" s="294"/>
      <c r="Q1557" s="294"/>
      <c r="R1557" s="294"/>
      <c r="S1557" s="294"/>
      <c r="T1557" s="294"/>
      <c r="U1557" s="326"/>
      <c r="V1557" s="294"/>
      <c r="W1557" s="294"/>
      <c r="X1557" s="294"/>
      <c r="Y1557" s="294"/>
      <c r="Z1557" s="294"/>
      <c r="AA1557" s="294"/>
      <c r="AB1557" s="294"/>
      <c r="AC1557" s="294"/>
    </row>
    <row r="1558" spans="2:29" x14ac:dyDescent="0.25">
      <c r="B1558" s="294"/>
      <c r="C1558" s="294"/>
      <c r="D1558" s="294"/>
      <c r="E1558" s="294"/>
      <c r="F1558" s="294"/>
      <c r="G1558" s="294"/>
      <c r="H1558" s="294"/>
      <c r="I1558" s="294"/>
      <c r="J1558" s="294"/>
      <c r="L1558" s="295"/>
      <c r="M1558" s="294"/>
      <c r="O1558" s="294"/>
      <c r="P1558" s="294"/>
      <c r="Q1558" s="294"/>
      <c r="R1558" s="294"/>
      <c r="S1558" s="294"/>
      <c r="T1558" s="294"/>
      <c r="U1558" s="326"/>
      <c r="V1558" s="294"/>
      <c r="W1558" s="294"/>
      <c r="X1558" s="294"/>
      <c r="Y1558" s="294"/>
      <c r="Z1558" s="294"/>
      <c r="AA1558" s="294"/>
      <c r="AB1558" s="294"/>
      <c r="AC1558" s="294"/>
    </row>
    <row r="1559" spans="2:29" x14ac:dyDescent="0.25">
      <c r="B1559" s="294"/>
      <c r="C1559" s="294"/>
      <c r="D1559" s="294"/>
      <c r="E1559" s="294"/>
      <c r="F1559" s="294"/>
      <c r="G1559" s="294"/>
      <c r="H1559" s="294"/>
      <c r="I1559" s="294"/>
      <c r="J1559" s="294"/>
      <c r="L1559" s="295"/>
      <c r="M1559" s="294"/>
      <c r="O1559" s="294"/>
      <c r="P1559" s="294"/>
      <c r="Q1559" s="294"/>
      <c r="R1559" s="294"/>
      <c r="S1559" s="294"/>
      <c r="T1559" s="294"/>
      <c r="U1559" s="326"/>
      <c r="V1559" s="294"/>
      <c r="W1559" s="294"/>
      <c r="X1559" s="294"/>
      <c r="Y1559" s="294"/>
      <c r="Z1559" s="294"/>
      <c r="AA1559" s="294"/>
      <c r="AB1559" s="294"/>
      <c r="AC1559" s="294"/>
    </row>
    <row r="1560" spans="2:29" x14ac:dyDescent="0.25">
      <c r="B1560" s="294"/>
      <c r="C1560" s="294"/>
      <c r="D1560" s="294"/>
      <c r="E1560" s="294"/>
      <c r="F1560" s="294"/>
      <c r="G1560" s="294"/>
      <c r="H1560" s="294"/>
      <c r="I1560" s="294"/>
      <c r="J1560" s="294"/>
      <c r="L1560" s="295"/>
      <c r="M1560" s="294"/>
      <c r="O1560" s="294"/>
      <c r="P1560" s="294"/>
      <c r="Q1560" s="294"/>
      <c r="R1560" s="294"/>
      <c r="S1560" s="294"/>
      <c r="T1560" s="294"/>
      <c r="U1560" s="326"/>
      <c r="V1560" s="294"/>
      <c r="W1560" s="294"/>
      <c r="X1560" s="294"/>
      <c r="Y1560" s="294"/>
      <c r="Z1560" s="294"/>
      <c r="AA1560" s="294"/>
      <c r="AB1560" s="294"/>
      <c r="AC1560" s="294"/>
    </row>
    <row r="1561" spans="2:29" x14ac:dyDescent="0.25">
      <c r="B1561" s="294"/>
      <c r="C1561" s="294"/>
      <c r="D1561" s="294"/>
      <c r="E1561" s="294"/>
      <c r="F1561" s="294"/>
      <c r="G1561" s="294"/>
      <c r="H1561" s="294"/>
      <c r="I1561" s="294"/>
      <c r="J1561" s="294"/>
      <c r="L1561" s="295"/>
      <c r="M1561" s="294"/>
      <c r="O1561" s="294"/>
      <c r="P1561" s="294"/>
      <c r="Q1561" s="294"/>
      <c r="R1561" s="294"/>
      <c r="S1561" s="294"/>
      <c r="T1561" s="294"/>
      <c r="U1561" s="326"/>
      <c r="V1561" s="294"/>
      <c r="W1561" s="294"/>
      <c r="X1561" s="294"/>
      <c r="Y1561" s="294"/>
      <c r="Z1561" s="294"/>
      <c r="AA1561" s="294"/>
      <c r="AB1561" s="294"/>
      <c r="AC1561" s="294"/>
    </row>
    <row r="1562" spans="2:29" x14ac:dyDescent="0.25">
      <c r="B1562" s="294"/>
      <c r="C1562" s="294"/>
      <c r="D1562" s="294"/>
      <c r="E1562" s="294"/>
      <c r="F1562" s="294"/>
      <c r="G1562" s="294"/>
      <c r="H1562" s="294"/>
      <c r="I1562" s="294"/>
      <c r="J1562" s="294"/>
      <c r="L1562" s="295"/>
      <c r="M1562" s="294"/>
      <c r="O1562" s="294"/>
      <c r="P1562" s="294"/>
      <c r="Q1562" s="294"/>
      <c r="R1562" s="294"/>
      <c r="S1562" s="294"/>
      <c r="T1562" s="294"/>
      <c r="U1562" s="326"/>
      <c r="V1562" s="294"/>
      <c r="W1562" s="294"/>
      <c r="X1562" s="294"/>
      <c r="Y1562" s="294"/>
      <c r="Z1562" s="294"/>
      <c r="AA1562" s="294"/>
      <c r="AB1562" s="294"/>
      <c r="AC1562" s="294"/>
    </row>
    <row r="1563" spans="2:29" x14ac:dyDescent="0.25">
      <c r="B1563" s="294"/>
      <c r="C1563" s="294"/>
      <c r="D1563" s="294"/>
      <c r="E1563" s="294"/>
      <c r="F1563" s="294"/>
      <c r="G1563" s="294"/>
      <c r="H1563" s="294"/>
      <c r="I1563" s="294"/>
      <c r="J1563" s="294"/>
      <c r="L1563" s="295"/>
      <c r="M1563" s="294"/>
      <c r="O1563" s="294"/>
      <c r="P1563" s="294"/>
      <c r="Q1563" s="294"/>
      <c r="R1563" s="294"/>
      <c r="S1563" s="294"/>
      <c r="T1563" s="294"/>
      <c r="U1563" s="326"/>
      <c r="V1563" s="294"/>
      <c r="W1563" s="294"/>
      <c r="X1563" s="294"/>
      <c r="Y1563" s="294"/>
      <c r="Z1563" s="294"/>
      <c r="AA1563" s="294"/>
      <c r="AB1563" s="294"/>
      <c r="AC1563" s="294"/>
    </row>
    <row r="1564" spans="2:29" x14ac:dyDescent="0.25">
      <c r="B1564" s="294"/>
      <c r="C1564" s="294"/>
      <c r="D1564" s="294"/>
      <c r="E1564" s="294"/>
      <c r="F1564" s="294"/>
      <c r="G1564" s="294"/>
      <c r="H1564" s="294"/>
      <c r="I1564" s="294"/>
      <c r="J1564" s="294"/>
      <c r="L1564" s="295"/>
      <c r="M1564" s="294"/>
      <c r="O1564" s="294"/>
      <c r="P1564" s="294"/>
      <c r="Q1564" s="294"/>
      <c r="R1564" s="294"/>
      <c r="S1564" s="294"/>
      <c r="T1564" s="294"/>
      <c r="U1564" s="326"/>
      <c r="V1564" s="294"/>
      <c r="W1564" s="294"/>
      <c r="X1564" s="294"/>
      <c r="Y1564" s="294"/>
      <c r="Z1564" s="294"/>
      <c r="AA1564" s="294"/>
      <c r="AB1564" s="294"/>
      <c r="AC1564" s="294"/>
    </row>
    <row r="1565" spans="2:29" x14ac:dyDescent="0.25">
      <c r="B1565" s="294"/>
      <c r="C1565" s="294"/>
      <c r="D1565" s="294"/>
      <c r="E1565" s="294"/>
      <c r="F1565" s="294"/>
      <c r="G1565" s="294"/>
      <c r="H1565" s="294"/>
      <c r="I1565" s="294"/>
      <c r="J1565" s="294"/>
      <c r="L1565" s="295"/>
      <c r="M1565" s="294"/>
      <c r="O1565" s="294"/>
      <c r="P1565" s="294"/>
      <c r="Q1565" s="294"/>
      <c r="R1565" s="294"/>
      <c r="S1565" s="294"/>
      <c r="T1565" s="294"/>
      <c r="U1565" s="326"/>
      <c r="V1565" s="294"/>
      <c r="W1565" s="294"/>
      <c r="X1565" s="294"/>
      <c r="Y1565" s="294"/>
      <c r="Z1565" s="294"/>
      <c r="AA1565" s="294"/>
      <c r="AB1565" s="294"/>
      <c r="AC1565" s="294"/>
    </row>
    <row r="1566" spans="2:29" x14ac:dyDescent="0.25">
      <c r="B1566" s="294"/>
      <c r="C1566" s="294"/>
      <c r="D1566" s="294"/>
      <c r="E1566" s="294"/>
      <c r="F1566" s="294"/>
      <c r="G1566" s="294"/>
      <c r="H1566" s="294"/>
      <c r="I1566" s="294"/>
      <c r="J1566" s="294"/>
      <c r="L1566" s="295"/>
      <c r="M1566" s="294"/>
      <c r="O1566" s="294"/>
      <c r="P1566" s="294"/>
      <c r="Q1566" s="294"/>
      <c r="R1566" s="294"/>
      <c r="S1566" s="294"/>
      <c r="T1566" s="294"/>
      <c r="U1566" s="326"/>
      <c r="V1566" s="294"/>
      <c r="W1566" s="294"/>
      <c r="X1566" s="294"/>
      <c r="Y1566" s="294"/>
      <c r="Z1566" s="294"/>
      <c r="AA1566" s="294"/>
      <c r="AB1566" s="294"/>
      <c r="AC1566" s="294"/>
    </row>
    <row r="1567" spans="2:29" x14ac:dyDescent="0.25">
      <c r="B1567" s="294"/>
      <c r="C1567" s="294"/>
      <c r="D1567" s="294"/>
      <c r="E1567" s="294"/>
      <c r="F1567" s="294"/>
      <c r="G1567" s="294"/>
      <c r="H1567" s="294"/>
      <c r="I1567" s="294"/>
      <c r="J1567" s="294"/>
      <c r="L1567" s="295"/>
      <c r="M1567" s="294"/>
      <c r="O1567" s="294"/>
      <c r="P1567" s="294"/>
      <c r="Q1567" s="294"/>
      <c r="R1567" s="294"/>
      <c r="S1567" s="294"/>
      <c r="T1567" s="294"/>
      <c r="U1567" s="326"/>
      <c r="V1567" s="294"/>
      <c r="W1567" s="294"/>
      <c r="X1567" s="294"/>
      <c r="Y1567" s="294"/>
      <c r="Z1567" s="294"/>
      <c r="AA1567" s="294"/>
      <c r="AB1567" s="294"/>
      <c r="AC1567" s="294"/>
    </row>
    <row r="1568" spans="2:29" x14ac:dyDescent="0.25">
      <c r="B1568" s="294"/>
      <c r="C1568" s="294"/>
      <c r="D1568" s="294"/>
      <c r="E1568" s="294"/>
      <c r="F1568" s="294"/>
      <c r="G1568" s="294"/>
      <c r="H1568" s="294"/>
      <c r="I1568" s="294"/>
      <c r="J1568" s="294"/>
      <c r="L1568" s="295"/>
      <c r="M1568" s="294"/>
      <c r="O1568" s="294"/>
      <c r="P1568" s="294"/>
      <c r="Q1568" s="294"/>
      <c r="R1568" s="294"/>
      <c r="S1568" s="294"/>
      <c r="T1568" s="294"/>
      <c r="U1568" s="326"/>
      <c r="V1568" s="294"/>
      <c r="W1568" s="294"/>
      <c r="X1568" s="294"/>
      <c r="Y1568" s="294"/>
      <c r="Z1568" s="294"/>
      <c r="AA1568" s="294"/>
      <c r="AB1568" s="294"/>
      <c r="AC1568" s="294"/>
    </row>
    <row r="1569" spans="2:29" x14ac:dyDescent="0.25">
      <c r="B1569" s="294"/>
      <c r="C1569" s="294"/>
      <c r="D1569" s="294"/>
      <c r="E1569" s="294"/>
      <c r="F1569" s="294"/>
      <c r="G1569" s="294"/>
      <c r="H1569" s="294"/>
      <c r="I1569" s="294"/>
      <c r="J1569" s="294"/>
      <c r="L1569" s="295"/>
      <c r="M1569" s="294"/>
      <c r="O1569" s="294"/>
      <c r="P1569" s="294"/>
      <c r="Q1569" s="294"/>
      <c r="R1569" s="294"/>
      <c r="S1569" s="294"/>
      <c r="T1569" s="294"/>
      <c r="U1569" s="326"/>
      <c r="V1569" s="294"/>
      <c r="W1569" s="294"/>
      <c r="X1569" s="294"/>
      <c r="Y1569" s="294"/>
      <c r="Z1569" s="294"/>
      <c r="AA1569" s="294"/>
      <c r="AB1569" s="294"/>
      <c r="AC1569" s="294"/>
    </row>
    <row r="1570" spans="2:29" x14ac:dyDescent="0.25">
      <c r="B1570" s="294"/>
      <c r="C1570" s="294"/>
      <c r="D1570" s="294"/>
      <c r="E1570" s="294"/>
      <c r="F1570" s="294"/>
      <c r="G1570" s="294"/>
      <c r="H1570" s="294"/>
      <c r="I1570" s="294"/>
      <c r="J1570" s="294"/>
      <c r="L1570" s="295"/>
      <c r="M1570" s="294"/>
      <c r="O1570" s="294"/>
      <c r="P1570" s="294"/>
      <c r="Q1570" s="294"/>
      <c r="R1570" s="294"/>
      <c r="S1570" s="294"/>
      <c r="T1570" s="294"/>
      <c r="U1570" s="326"/>
      <c r="V1570" s="294"/>
      <c r="W1570" s="294"/>
      <c r="X1570" s="294"/>
      <c r="Y1570" s="294"/>
      <c r="Z1570" s="294"/>
      <c r="AA1570" s="294"/>
      <c r="AB1570" s="294"/>
      <c r="AC1570" s="294"/>
    </row>
    <row r="1571" spans="2:29" x14ac:dyDescent="0.25">
      <c r="B1571" s="294"/>
      <c r="C1571" s="294"/>
      <c r="D1571" s="294"/>
      <c r="E1571" s="294"/>
      <c r="F1571" s="294"/>
      <c r="G1571" s="294"/>
      <c r="H1571" s="294"/>
      <c r="I1571" s="294"/>
      <c r="J1571" s="294"/>
      <c r="L1571" s="295"/>
      <c r="M1571" s="294"/>
      <c r="O1571" s="294"/>
      <c r="P1571" s="294"/>
      <c r="Q1571" s="294"/>
      <c r="R1571" s="294"/>
      <c r="S1571" s="294"/>
      <c r="T1571" s="294"/>
      <c r="U1571" s="326"/>
      <c r="V1571" s="294"/>
      <c r="W1571" s="294"/>
      <c r="X1571" s="294"/>
      <c r="Y1571" s="294"/>
      <c r="Z1571" s="294"/>
      <c r="AA1571" s="294"/>
      <c r="AB1571" s="294"/>
      <c r="AC1571" s="294"/>
    </row>
    <row r="1572" spans="2:29" x14ac:dyDescent="0.25">
      <c r="B1572" s="294"/>
      <c r="C1572" s="294"/>
      <c r="D1572" s="294"/>
      <c r="E1572" s="294"/>
      <c r="F1572" s="294"/>
      <c r="G1572" s="294"/>
      <c r="H1572" s="294"/>
      <c r="I1572" s="294"/>
      <c r="J1572" s="294"/>
      <c r="L1572" s="295"/>
      <c r="M1572" s="294"/>
      <c r="O1572" s="294"/>
      <c r="P1572" s="294"/>
      <c r="Q1572" s="294"/>
      <c r="R1572" s="294"/>
      <c r="S1572" s="294"/>
      <c r="T1572" s="294"/>
      <c r="U1572" s="326"/>
      <c r="V1572" s="294"/>
      <c r="W1572" s="294"/>
      <c r="X1572" s="294"/>
      <c r="Y1572" s="294"/>
      <c r="Z1572" s="294"/>
      <c r="AA1572" s="294"/>
      <c r="AB1572" s="294"/>
      <c r="AC1572" s="294"/>
    </row>
    <row r="1573" spans="2:29" x14ac:dyDescent="0.25">
      <c r="B1573" s="294"/>
      <c r="C1573" s="294"/>
      <c r="D1573" s="294"/>
      <c r="E1573" s="294"/>
      <c r="F1573" s="294"/>
      <c r="G1573" s="294"/>
      <c r="H1573" s="294"/>
      <c r="I1573" s="294"/>
      <c r="J1573" s="294"/>
      <c r="L1573" s="295"/>
      <c r="M1573" s="294"/>
      <c r="O1573" s="294"/>
      <c r="P1573" s="294"/>
      <c r="Q1573" s="294"/>
      <c r="R1573" s="294"/>
      <c r="S1573" s="294"/>
      <c r="T1573" s="294"/>
      <c r="U1573" s="326"/>
      <c r="V1573" s="294"/>
      <c r="W1573" s="294"/>
      <c r="X1573" s="294"/>
      <c r="Y1573" s="294"/>
      <c r="Z1573" s="294"/>
      <c r="AA1573" s="294"/>
      <c r="AB1573" s="294"/>
      <c r="AC1573" s="294"/>
    </row>
    <row r="1574" spans="2:29" x14ac:dyDescent="0.25">
      <c r="B1574" s="294"/>
      <c r="C1574" s="294"/>
      <c r="D1574" s="294"/>
      <c r="E1574" s="294"/>
      <c r="F1574" s="294"/>
      <c r="G1574" s="294"/>
      <c r="H1574" s="294"/>
      <c r="I1574" s="294"/>
      <c r="J1574" s="294"/>
      <c r="L1574" s="295"/>
      <c r="M1574" s="294"/>
      <c r="O1574" s="294"/>
      <c r="P1574" s="294"/>
      <c r="Q1574" s="294"/>
      <c r="R1574" s="294"/>
      <c r="S1574" s="294"/>
      <c r="T1574" s="294"/>
      <c r="U1574" s="326"/>
      <c r="V1574" s="294"/>
      <c r="W1574" s="294"/>
      <c r="X1574" s="294"/>
      <c r="Y1574" s="294"/>
      <c r="Z1574" s="294"/>
      <c r="AA1574" s="294"/>
      <c r="AB1574" s="294"/>
      <c r="AC1574" s="294"/>
    </row>
    <row r="1575" spans="2:29" x14ac:dyDescent="0.25">
      <c r="B1575" s="294"/>
      <c r="C1575" s="294"/>
      <c r="D1575" s="294"/>
      <c r="E1575" s="294"/>
      <c r="F1575" s="294"/>
      <c r="G1575" s="294"/>
      <c r="H1575" s="294"/>
      <c r="I1575" s="294"/>
      <c r="J1575" s="294"/>
      <c r="L1575" s="295"/>
      <c r="M1575" s="294"/>
      <c r="O1575" s="294"/>
      <c r="P1575" s="294"/>
      <c r="Q1575" s="294"/>
      <c r="R1575" s="294"/>
      <c r="S1575" s="294"/>
      <c r="T1575" s="294"/>
      <c r="U1575" s="326"/>
      <c r="V1575" s="294"/>
      <c r="W1575" s="294"/>
      <c r="X1575" s="294"/>
      <c r="Y1575" s="294"/>
      <c r="Z1575" s="294"/>
      <c r="AA1575" s="294"/>
      <c r="AB1575" s="294"/>
      <c r="AC1575" s="294"/>
    </row>
    <row r="1576" spans="2:29" x14ac:dyDescent="0.25">
      <c r="B1576" s="294"/>
      <c r="C1576" s="294"/>
      <c r="D1576" s="294"/>
      <c r="E1576" s="294"/>
      <c r="F1576" s="294"/>
      <c r="G1576" s="294"/>
      <c r="H1576" s="294"/>
      <c r="I1576" s="294"/>
      <c r="J1576" s="294"/>
      <c r="L1576" s="295"/>
      <c r="M1576" s="294"/>
      <c r="O1576" s="294"/>
      <c r="P1576" s="294"/>
      <c r="Q1576" s="294"/>
      <c r="R1576" s="294"/>
      <c r="S1576" s="294"/>
      <c r="T1576" s="294"/>
      <c r="U1576" s="326"/>
      <c r="V1576" s="294"/>
      <c r="W1576" s="294"/>
      <c r="X1576" s="294"/>
      <c r="Y1576" s="294"/>
      <c r="Z1576" s="294"/>
      <c r="AA1576" s="294"/>
      <c r="AB1576" s="294"/>
      <c r="AC1576" s="294"/>
    </row>
    <row r="1577" spans="2:29" x14ac:dyDescent="0.25">
      <c r="B1577" s="294"/>
      <c r="C1577" s="294"/>
      <c r="D1577" s="294"/>
      <c r="E1577" s="294"/>
      <c r="F1577" s="294"/>
      <c r="G1577" s="294"/>
      <c r="H1577" s="294"/>
      <c r="I1577" s="294"/>
      <c r="J1577" s="294"/>
      <c r="L1577" s="295"/>
      <c r="M1577" s="294"/>
      <c r="O1577" s="294"/>
      <c r="P1577" s="294"/>
      <c r="Q1577" s="294"/>
      <c r="R1577" s="294"/>
      <c r="S1577" s="294"/>
      <c r="T1577" s="294"/>
      <c r="U1577" s="326"/>
      <c r="V1577" s="294"/>
      <c r="W1577" s="294"/>
      <c r="X1577" s="294"/>
      <c r="Y1577" s="294"/>
      <c r="Z1577" s="294"/>
      <c r="AA1577" s="294"/>
      <c r="AB1577" s="294"/>
      <c r="AC1577" s="294"/>
    </row>
    <row r="1578" spans="2:29" x14ac:dyDescent="0.25">
      <c r="B1578" s="294"/>
      <c r="C1578" s="294"/>
      <c r="D1578" s="294"/>
      <c r="E1578" s="294"/>
      <c r="F1578" s="294"/>
      <c r="G1578" s="294"/>
      <c r="H1578" s="294"/>
      <c r="I1578" s="294"/>
      <c r="J1578" s="294"/>
      <c r="L1578" s="295"/>
      <c r="M1578" s="294"/>
      <c r="O1578" s="294"/>
      <c r="P1578" s="294"/>
      <c r="Q1578" s="294"/>
      <c r="R1578" s="294"/>
      <c r="S1578" s="294"/>
      <c r="T1578" s="294"/>
      <c r="U1578" s="326"/>
      <c r="V1578" s="294"/>
      <c r="W1578" s="294"/>
      <c r="X1578" s="294"/>
      <c r="Y1578" s="294"/>
      <c r="Z1578" s="294"/>
      <c r="AA1578" s="294"/>
      <c r="AB1578" s="294"/>
      <c r="AC1578" s="294"/>
    </row>
    <row r="1579" spans="2:29" x14ac:dyDescent="0.25">
      <c r="B1579" s="294"/>
      <c r="C1579" s="294"/>
      <c r="D1579" s="294"/>
      <c r="E1579" s="294"/>
      <c r="F1579" s="294"/>
      <c r="G1579" s="294"/>
      <c r="H1579" s="294"/>
      <c r="I1579" s="294"/>
      <c r="J1579" s="294"/>
      <c r="L1579" s="295"/>
      <c r="M1579" s="294"/>
      <c r="O1579" s="294"/>
      <c r="P1579" s="294"/>
      <c r="Q1579" s="294"/>
      <c r="R1579" s="294"/>
      <c r="S1579" s="294"/>
      <c r="T1579" s="294"/>
      <c r="U1579" s="326"/>
      <c r="V1579" s="294"/>
      <c r="W1579" s="294"/>
      <c r="X1579" s="294"/>
      <c r="Y1579" s="294"/>
      <c r="Z1579" s="294"/>
      <c r="AA1579" s="294"/>
      <c r="AB1579" s="294"/>
      <c r="AC1579" s="294"/>
    </row>
    <row r="1580" spans="2:29" x14ac:dyDescent="0.25">
      <c r="B1580" s="294"/>
      <c r="C1580" s="294"/>
      <c r="D1580" s="294"/>
      <c r="E1580" s="294"/>
      <c r="F1580" s="294"/>
      <c r="G1580" s="294"/>
      <c r="H1580" s="294"/>
      <c r="I1580" s="294"/>
      <c r="J1580" s="294"/>
      <c r="L1580" s="295"/>
      <c r="M1580" s="294"/>
      <c r="O1580" s="294"/>
      <c r="P1580" s="294"/>
      <c r="Q1580" s="294"/>
      <c r="R1580" s="294"/>
      <c r="S1580" s="294"/>
      <c r="T1580" s="294"/>
      <c r="U1580" s="326"/>
      <c r="V1580" s="294"/>
      <c r="W1580" s="294"/>
      <c r="X1580" s="294"/>
      <c r="Y1580" s="294"/>
      <c r="Z1580" s="294"/>
      <c r="AA1580" s="294"/>
      <c r="AB1580" s="294"/>
      <c r="AC1580" s="294"/>
    </row>
    <row r="1581" spans="2:29" x14ac:dyDescent="0.25">
      <c r="B1581" s="294"/>
      <c r="C1581" s="294"/>
      <c r="D1581" s="294"/>
      <c r="E1581" s="294"/>
      <c r="F1581" s="294"/>
      <c r="G1581" s="294"/>
      <c r="H1581" s="294"/>
      <c r="I1581" s="294"/>
      <c r="J1581" s="294"/>
      <c r="L1581" s="295"/>
      <c r="M1581" s="294"/>
      <c r="O1581" s="294"/>
      <c r="P1581" s="294"/>
      <c r="Q1581" s="294"/>
      <c r="R1581" s="294"/>
      <c r="S1581" s="294"/>
      <c r="T1581" s="294"/>
      <c r="U1581" s="326"/>
      <c r="V1581" s="294"/>
      <c r="W1581" s="294"/>
      <c r="X1581" s="294"/>
      <c r="Y1581" s="294"/>
      <c r="Z1581" s="294"/>
      <c r="AA1581" s="294"/>
      <c r="AB1581" s="294"/>
      <c r="AC1581" s="294"/>
    </row>
    <row r="1582" spans="2:29" x14ac:dyDescent="0.25">
      <c r="B1582" s="294"/>
      <c r="C1582" s="294"/>
      <c r="D1582" s="294"/>
      <c r="E1582" s="294"/>
      <c r="F1582" s="294"/>
      <c r="G1582" s="294"/>
      <c r="H1582" s="294"/>
      <c r="I1582" s="294"/>
      <c r="J1582" s="294"/>
      <c r="L1582" s="295"/>
      <c r="M1582" s="294"/>
      <c r="O1582" s="294"/>
      <c r="P1582" s="294"/>
      <c r="Q1582" s="294"/>
      <c r="R1582" s="294"/>
      <c r="S1582" s="294"/>
      <c r="T1582" s="294"/>
      <c r="U1582" s="326"/>
      <c r="V1582" s="294"/>
      <c r="W1582" s="294"/>
      <c r="X1582" s="294"/>
      <c r="Y1582" s="294"/>
      <c r="Z1582" s="294"/>
      <c r="AA1582" s="294"/>
      <c r="AB1582" s="294"/>
      <c r="AC1582" s="294"/>
    </row>
    <row r="1583" spans="2:29" x14ac:dyDescent="0.25">
      <c r="B1583" s="294"/>
      <c r="C1583" s="294"/>
      <c r="D1583" s="294"/>
      <c r="E1583" s="294"/>
      <c r="F1583" s="294"/>
      <c r="G1583" s="294"/>
      <c r="H1583" s="294"/>
      <c r="I1583" s="294"/>
      <c r="J1583" s="294"/>
      <c r="L1583" s="295"/>
      <c r="M1583" s="294"/>
      <c r="O1583" s="294"/>
      <c r="P1583" s="294"/>
      <c r="Q1583" s="294"/>
      <c r="R1583" s="294"/>
      <c r="S1583" s="294"/>
      <c r="T1583" s="294"/>
      <c r="U1583" s="326"/>
      <c r="V1583" s="294"/>
      <c r="W1583" s="294"/>
      <c r="X1583" s="294"/>
      <c r="Y1583" s="294"/>
      <c r="Z1583" s="294"/>
      <c r="AA1583" s="294"/>
      <c r="AB1583" s="294"/>
      <c r="AC1583" s="294"/>
    </row>
    <row r="1584" spans="2:29" x14ac:dyDescent="0.25">
      <c r="B1584" s="294"/>
      <c r="C1584" s="294"/>
      <c r="D1584" s="294"/>
      <c r="E1584" s="294"/>
      <c r="F1584" s="294"/>
      <c r="G1584" s="294"/>
      <c r="H1584" s="294"/>
      <c r="I1584" s="294"/>
      <c r="J1584" s="294"/>
      <c r="L1584" s="295"/>
      <c r="M1584" s="294"/>
      <c r="O1584" s="294"/>
      <c r="P1584" s="294"/>
      <c r="Q1584" s="294"/>
      <c r="R1584" s="294"/>
      <c r="S1584" s="294"/>
      <c r="T1584" s="294"/>
      <c r="U1584" s="326"/>
      <c r="V1584" s="294"/>
      <c r="W1584" s="294"/>
      <c r="X1584" s="294"/>
      <c r="Y1584" s="294"/>
      <c r="Z1584" s="294"/>
      <c r="AA1584" s="294"/>
      <c r="AB1584" s="294"/>
      <c r="AC1584" s="294"/>
    </row>
    <row r="1585" spans="2:29" x14ac:dyDescent="0.25">
      <c r="B1585" s="294"/>
      <c r="C1585" s="294"/>
      <c r="D1585" s="294"/>
      <c r="E1585" s="294"/>
      <c r="F1585" s="294"/>
      <c r="G1585" s="294"/>
      <c r="H1585" s="294"/>
      <c r="I1585" s="294"/>
      <c r="J1585" s="294"/>
      <c r="L1585" s="295"/>
      <c r="M1585" s="294"/>
      <c r="O1585" s="294"/>
      <c r="P1585" s="294"/>
      <c r="Q1585" s="294"/>
      <c r="R1585" s="294"/>
      <c r="S1585" s="294"/>
      <c r="T1585" s="294"/>
      <c r="U1585" s="326"/>
      <c r="V1585" s="294"/>
      <c r="W1585" s="294"/>
      <c r="X1585" s="294"/>
      <c r="Y1585" s="294"/>
      <c r="Z1585" s="294"/>
      <c r="AA1585" s="294"/>
      <c r="AB1585" s="294"/>
      <c r="AC1585" s="294"/>
    </row>
    <row r="1586" spans="2:29" x14ac:dyDescent="0.25">
      <c r="B1586" s="294"/>
      <c r="C1586" s="294"/>
      <c r="D1586" s="294"/>
      <c r="E1586" s="294"/>
      <c r="F1586" s="294"/>
      <c r="G1586" s="294"/>
      <c r="H1586" s="294"/>
      <c r="I1586" s="294"/>
      <c r="J1586" s="294"/>
      <c r="L1586" s="295"/>
      <c r="M1586" s="294"/>
      <c r="O1586" s="294"/>
      <c r="P1586" s="294"/>
      <c r="Q1586" s="294"/>
      <c r="R1586" s="294"/>
      <c r="S1586" s="294"/>
      <c r="T1586" s="294"/>
      <c r="U1586" s="326"/>
      <c r="V1586" s="294"/>
      <c r="W1586" s="294"/>
      <c r="X1586" s="294"/>
      <c r="Y1586" s="294"/>
      <c r="Z1586" s="294"/>
      <c r="AA1586" s="294"/>
      <c r="AB1586" s="294"/>
      <c r="AC1586" s="294"/>
    </row>
    <row r="1587" spans="2:29" x14ac:dyDescent="0.25">
      <c r="B1587" s="294"/>
      <c r="C1587" s="294"/>
      <c r="D1587" s="294"/>
      <c r="E1587" s="294"/>
      <c r="F1587" s="294"/>
      <c r="G1587" s="294"/>
      <c r="H1587" s="294"/>
      <c r="I1587" s="294"/>
      <c r="J1587" s="294"/>
      <c r="L1587" s="295"/>
      <c r="M1587" s="294"/>
      <c r="O1587" s="294"/>
      <c r="P1587" s="294"/>
      <c r="Q1587" s="294"/>
      <c r="R1587" s="294"/>
      <c r="S1587" s="294"/>
      <c r="T1587" s="294"/>
      <c r="U1587" s="326"/>
      <c r="V1587" s="294"/>
      <c r="W1587" s="294"/>
      <c r="X1587" s="294"/>
      <c r="Y1587" s="294"/>
      <c r="Z1587" s="294"/>
      <c r="AA1587" s="294"/>
      <c r="AB1587" s="294"/>
      <c r="AC1587" s="294"/>
    </row>
    <row r="1588" spans="2:29" x14ac:dyDescent="0.25">
      <c r="B1588" s="294"/>
      <c r="C1588" s="294"/>
      <c r="D1588" s="294"/>
      <c r="E1588" s="294"/>
      <c r="F1588" s="294"/>
      <c r="G1588" s="294"/>
      <c r="H1588" s="294"/>
      <c r="I1588" s="294"/>
      <c r="J1588" s="294"/>
      <c r="L1588" s="295"/>
      <c r="M1588" s="294"/>
      <c r="O1588" s="294"/>
      <c r="P1588" s="294"/>
      <c r="Q1588" s="294"/>
      <c r="R1588" s="294"/>
      <c r="S1588" s="294"/>
      <c r="T1588" s="294"/>
      <c r="U1588" s="326"/>
      <c r="V1588" s="294"/>
      <c r="W1588" s="294"/>
      <c r="X1588" s="294"/>
      <c r="Y1588" s="294"/>
      <c r="Z1588" s="294"/>
      <c r="AA1588" s="294"/>
      <c r="AB1588" s="294"/>
      <c r="AC1588" s="294"/>
    </row>
    <row r="1589" spans="2:29" x14ac:dyDescent="0.25">
      <c r="B1589" s="294"/>
      <c r="C1589" s="294"/>
      <c r="D1589" s="294"/>
      <c r="E1589" s="294"/>
      <c r="F1589" s="294"/>
      <c r="G1589" s="294"/>
      <c r="H1589" s="294"/>
      <c r="I1589" s="294"/>
      <c r="J1589" s="294"/>
      <c r="L1589" s="295"/>
      <c r="M1589" s="294"/>
      <c r="O1589" s="294"/>
      <c r="P1589" s="294"/>
      <c r="Q1589" s="294"/>
      <c r="R1589" s="294"/>
      <c r="S1589" s="294"/>
      <c r="T1589" s="294"/>
      <c r="U1589" s="326"/>
      <c r="V1589" s="294"/>
      <c r="W1589" s="294"/>
      <c r="X1589" s="294"/>
      <c r="Y1589" s="294"/>
      <c r="Z1589" s="294"/>
      <c r="AA1589" s="294"/>
      <c r="AB1589" s="294"/>
      <c r="AC1589" s="294"/>
    </row>
    <row r="1590" spans="2:29" x14ac:dyDescent="0.25">
      <c r="B1590" s="294"/>
      <c r="C1590" s="294"/>
      <c r="D1590" s="294"/>
      <c r="E1590" s="294"/>
      <c r="F1590" s="294"/>
      <c r="G1590" s="294"/>
      <c r="H1590" s="294"/>
      <c r="I1590" s="294"/>
      <c r="J1590" s="294"/>
      <c r="L1590" s="295"/>
      <c r="M1590" s="294"/>
      <c r="O1590" s="294"/>
      <c r="P1590" s="294"/>
      <c r="Q1590" s="294"/>
      <c r="R1590" s="294"/>
      <c r="S1590" s="294"/>
      <c r="T1590" s="294"/>
      <c r="U1590" s="326"/>
      <c r="V1590" s="294"/>
      <c r="W1590" s="294"/>
      <c r="X1590" s="294"/>
      <c r="Y1590" s="294"/>
      <c r="Z1590" s="294"/>
      <c r="AA1590" s="294"/>
      <c r="AB1590" s="294"/>
      <c r="AC1590" s="294"/>
    </row>
    <row r="1591" spans="2:29" x14ac:dyDescent="0.25">
      <c r="B1591" s="294"/>
      <c r="C1591" s="294"/>
      <c r="D1591" s="294"/>
      <c r="E1591" s="294"/>
      <c r="F1591" s="294"/>
      <c r="G1591" s="294"/>
      <c r="H1591" s="294"/>
      <c r="I1591" s="294"/>
      <c r="J1591" s="294"/>
      <c r="L1591" s="295"/>
      <c r="M1591" s="294"/>
      <c r="O1591" s="294"/>
      <c r="P1591" s="294"/>
      <c r="Q1591" s="294"/>
      <c r="R1591" s="294"/>
      <c r="S1591" s="294"/>
      <c r="T1591" s="294"/>
      <c r="U1591" s="326"/>
      <c r="V1591" s="294"/>
      <c r="W1591" s="294"/>
      <c r="X1591" s="294"/>
      <c r="Y1591" s="294"/>
      <c r="Z1591" s="294"/>
      <c r="AA1591" s="294"/>
      <c r="AB1591" s="294"/>
      <c r="AC1591" s="294"/>
    </row>
    <row r="1592" spans="2:29" x14ac:dyDescent="0.25">
      <c r="B1592" s="294"/>
      <c r="C1592" s="294"/>
      <c r="D1592" s="294"/>
      <c r="E1592" s="294"/>
      <c r="F1592" s="294"/>
      <c r="G1592" s="294"/>
      <c r="H1592" s="294"/>
      <c r="I1592" s="294"/>
      <c r="J1592" s="294"/>
      <c r="L1592" s="295"/>
      <c r="M1592" s="294"/>
      <c r="O1592" s="294"/>
      <c r="P1592" s="294"/>
      <c r="Q1592" s="294"/>
      <c r="R1592" s="294"/>
      <c r="S1592" s="294"/>
      <c r="T1592" s="294"/>
      <c r="U1592" s="326"/>
      <c r="V1592" s="294"/>
      <c r="W1592" s="294"/>
      <c r="X1592" s="294"/>
      <c r="Y1592" s="294"/>
      <c r="Z1592" s="294"/>
      <c r="AA1592" s="294"/>
      <c r="AB1592" s="294"/>
      <c r="AC1592" s="294"/>
    </row>
    <row r="1593" spans="2:29" x14ac:dyDescent="0.25">
      <c r="B1593" s="294"/>
      <c r="C1593" s="294"/>
      <c r="D1593" s="294"/>
      <c r="E1593" s="294"/>
      <c r="F1593" s="294"/>
      <c r="G1593" s="294"/>
      <c r="H1593" s="294"/>
      <c r="I1593" s="294"/>
      <c r="J1593" s="294"/>
      <c r="L1593" s="295"/>
      <c r="M1593" s="294"/>
      <c r="O1593" s="294"/>
      <c r="P1593" s="294"/>
      <c r="Q1593" s="294"/>
      <c r="R1593" s="294"/>
      <c r="S1593" s="294"/>
      <c r="T1593" s="294"/>
      <c r="U1593" s="326"/>
      <c r="V1593" s="294"/>
      <c r="W1593" s="294"/>
      <c r="X1593" s="294"/>
      <c r="Y1593" s="294"/>
      <c r="Z1593" s="294"/>
      <c r="AA1593" s="294"/>
      <c r="AB1593" s="294"/>
      <c r="AC1593" s="294"/>
    </row>
    <row r="1594" spans="2:29" x14ac:dyDescent="0.25">
      <c r="B1594" s="294"/>
      <c r="C1594" s="294"/>
      <c r="D1594" s="294"/>
      <c r="E1594" s="294"/>
      <c r="F1594" s="294"/>
      <c r="G1594" s="294"/>
      <c r="H1594" s="294"/>
      <c r="I1594" s="294"/>
      <c r="J1594" s="294"/>
      <c r="L1594" s="295"/>
      <c r="M1594" s="294"/>
      <c r="O1594" s="294"/>
      <c r="P1594" s="294"/>
      <c r="Q1594" s="294"/>
      <c r="R1594" s="294"/>
      <c r="S1594" s="294"/>
      <c r="T1594" s="294"/>
      <c r="U1594" s="326"/>
      <c r="V1594" s="294"/>
      <c r="W1594" s="294"/>
      <c r="X1594" s="294"/>
      <c r="Y1594" s="294"/>
      <c r="Z1594" s="294"/>
      <c r="AA1594" s="294"/>
      <c r="AB1594" s="294"/>
      <c r="AC1594" s="294"/>
    </row>
    <row r="1595" spans="2:29" x14ac:dyDescent="0.25">
      <c r="B1595" s="294"/>
      <c r="C1595" s="294"/>
      <c r="D1595" s="294"/>
      <c r="E1595" s="294"/>
      <c r="F1595" s="294"/>
      <c r="G1595" s="294"/>
      <c r="H1595" s="294"/>
      <c r="I1595" s="294"/>
      <c r="J1595" s="294"/>
      <c r="L1595" s="295"/>
      <c r="M1595" s="294"/>
      <c r="O1595" s="294"/>
      <c r="P1595" s="294"/>
      <c r="Q1595" s="294"/>
      <c r="R1595" s="294"/>
      <c r="S1595" s="294"/>
      <c r="T1595" s="294"/>
      <c r="U1595" s="326"/>
      <c r="V1595" s="294"/>
      <c r="W1595" s="294"/>
      <c r="X1595" s="294"/>
      <c r="Y1595" s="294"/>
      <c r="Z1595" s="294"/>
      <c r="AA1595" s="294"/>
      <c r="AB1595" s="294"/>
      <c r="AC1595" s="294"/>
    </row>
    <row r="1596" spans="2:29" x14ac:dyDescent="0.25">
      <c r="B1596" s="294"/>
      <c r="C1596" s="294"/>
      <c r="D1596" s="294"/>
      <c r="E1596" s="294"/>
      <c r="F1596" s="294"/>
      <c r="G1596" s="294"/>
      <c r="H1596" s="294"/>
      <c r="I1596" s="294"/>
      <c r="J1596" s="294"/>
      <c r="L1596" s="295"/>
      <c r="M1596" s="294"/>
      <c r="O1596" s="294"/>
      <c r="P1596" s="294"/>
      <c r="Q1596" s="294"/>
      <c r="R1596" s="294"/>
      <c r="S1596" s="294"/>
      <c r="T1596" s="294"/>
      <c r="U1596" s="326"/>
      <c r="V1596" s="294"/>
      <c r="W1596" s="294"/>
      <c r="X1596" s="294"/>
      <c r="Y1596" s="294"/>
      <c r="Z1596" s="294"/>
      <c r="AA1596" s="294"/>
      <c r="AB1596" s="294"/>
      <c r="AC1596" s="294"/>
    </row>
    <row r="1597" spans="2:29" x14ac:dyDescent="0.25">
      <c r="B1597" s="294"/>
      <c r="C1597" s="294"/>
      <c r="D1597" s="294"/>
      <c r="E1597" s="294"/>
      <c r="F1597" s="294"/>
      <c r="G1597" s="294"/>
      <c r="H1597" s="294"/>
      <c r="I1597" s="294"/>
      <c r="J1597" s="294"/>
      <c r="L1597" s="295"/>
      <c r="M1597" s="294"/>
      <c r="O1597" s="294"/>
      <c r="P1597" s="294"/>
      <c r="Q1597" s="294"/>
      <c r="R1597" s="294"/>
      <c r="S1597" s="294"/>
      <c r="T1597" s="294"/>
      <c r="U1597" s="326"/>
      <c r="V1597" s="294"/>
      <c r="W1597" s="294"/>
      <c r="X1597" s="294"/>
      <c r="Y1597" s="294"/>
      <c r="Z1597" s="294"/>
      <c r="AA1597" s="294"/>
      <c r="AB1597" s="294"/>
      <c r="AC1597" s="294"/>
    </row>
    <row r="1598" spans="2:29" x14ac:dyDescent="0.25">
      <c r="B1598" s="294"/>
      <c r="C1598" s="294"/>
      <c r="D1598" s="294"/>
      <c r="E1598" s="294"/>
      <c r="F1598" s="294"/>
      <c r="G1598" s="294"/>
      <c r="H1598" s="294"/>
      <c r="I1598" s="294"/>
      <c r="J1598" s="294"/>
      <c r="L1598" s="295"/>
      <c r="M1598" s="294"/>
      <c r="O1598" s="294"/>
      <c r="P1598" s="294"/>
      <c r="Q1598" s="294"/>
      <c r="R1598" s="294"/>
      <c r="S1598" s="294"/>
      <c r="T1598" s="294"/>
      <c r="U1598" s="326"/>
      <c r="V1598" s="294"/>
      <c r="W1598" s="294"/>
      <c r="X1598" s="294"/>
      <c r="Y1598" s="294"/>
      <c r="Z1598" s="294"/>
      <c r="AA1598" s="294"/>
      <c r="AB1598" s="294"/>
      <c r="AC1598" s="294"/>
    </row>
    <row r="1599" spans="2:29" x14ac:dyDescent="0.25">
      <c r="B1599" s="294"/>
      <c r="C1599" s="294"/>
      <c r="D1599" s="294"/>
      <c r="E1599" s="294"/>
      <c r="F1599" s="294"/>
      <c r="G1599" s="294"/>
      <c r="H1599" s="294"/>
      <c r="I1599" s="294"/>
      <c r="J1599" s="294"/>
      <c r="L1599" s="295"/>
      <c r="M1599" s="294"/>
      <c r="O1599" s="294"/>
      <c r="P1599" s="294"/>
      <c r="Q1599" s="294"/>
      <c r="R1599" s="294"/>
      <c r="S1599" s="294"/>
      <c r="T1599" s="294"/>
      <c r="U1599" s="326"/>
      <c r="V1599" s="294"/>
      <c r="W1599" s="294"/>
      <c r="X1599" s="294"/>
      <c r="Y1599" s="294"/>
      <c r="Z1599" s="294"/>
      <c r="AA1599" s="294"/>
      <c r="AB1599" s="294"/>
      <c r="AC1599" s="294"/>
    </row>
    <row r="1600" spans="2:29" x14ac:dyDescent="0.25">
      <c r="B1600" s="294"/>
      <c r="C1600" s="294"/>
      <c r="D1600" s="294"/>
      <c r="E1600" s="294"/>
      <c r="F1600" s="294"/>
      <c r="G1600" s="294"/>
      <c r="H1600" s="294"/>
      <c r="I1600" s="294"/>
      <c r="J1600" s="294"/>
      <c r="L1600" s="295"/>
      <c r="M1600" s="294"/>
      <c r="O1600" s="294"/>
      <c r="P1600" s="294"/>
      <c r="Q1600" s="294"/>
      <c r="R1600" s="294"/>
      <c r="S1600" s="294"/>
      <c r="T1600" s="294"/>
      <c r="U1600" s="326"/>
      <c r="V1600" s="294"/>
      <c r="W1600" s="294"/>
      <c r="X1600" s="294"/>
      <c r="Y1600" s="294"/>
      <c r="Z1600" s="294"/>
      <c r="AA1600" s="294"/>
      <c r="AB1600" s="294"/>
      <c r="AC1600" s="294"/>
    </row>
    <row r="1601" spans="2:29" x14ac:dyDescent="0.25">
      <c r="B1601" s="294"/>
      <c r="C1601" s="294"/>
      <c r="D1601" s="294"/>
      <c r="E1601" s="294"/>
      <c r="F1601" s="294"/>
      <c r="G1601" s="294"/>
      <c r="H1601" s="294"/>
      <c r="I1601" s="294"/>
      <c r="J1601" s="294"/>
      <c r="L1601" s="295"/>
      <c r="M1601" s="294"/>
      <c r="O1601" s="294"/>
      <c r="P1601" s="294"/>
      <c r="Q1601" s="294"/>
      <c r="R1601" s="294"/>
      <c r="S1601" s="294"/>
      <c r="T1601" s="294"/>
      <c r="U1601" s="326"/>
      <c r="V1601" s="294"/>
      <c r="W1601" s="294"/>
      <c r="X1601" s="294"/>
      <c r="Y1601" s="294"/>
      <c r="Z1601" s="294"/>
      <c r="AA1601" s="294"/>
      <c r="AB1601" s="294"/>
      <c r="AC1601" s="294"/>
    </row>
    <row r="1602" spans="2:29" x14ac:dyDescent="0.25">
      <c r="B1602" s="294"/>
      <c r="C1602" s="294"/>
      <c r="D1602" s="294"/>
      <c r="E1602" s="294"/>
      <c r="F1602" s="294"/>
      <c r="G1602" s="294"/>
      <c r="H1602" s="294"/>
      <c r="I1602" s="294"/>
      <c r="J1602" s="294"/>
      <c r="L1602" s="295"/>
      <c r="M1602" s="294"/>
      <c r="O1602" s="294"/>
      <c r="P1602" s="294"/>
      <c r="Q1602" s="294"/>
      <c r="R1602" s="294"/>
      <c r="S1602" s="294"/>
      <c r="T1602" s="294"/>
      <c r="U1602" s="326"/>
      <c r="V1602" s="294"/>
      <c r="W1602" s="294"/>
      <c r="X1602" s="294"/>
      <c r="Y1602" s="294"/>
      <c r="Z1602" s="294"/>
      <c r="AA1602" s="294"/>
      <c r="AB1602" s="294"/>
      <c r="AC1602" s="294"/>
    </row>
    <row r="1603" spans="2:29" x14ac:dyDescent="0.25">
      <c r="B1603" s="294"/>
      <c r="C1603" s="294"/>
      <c r="D1603" s="294"/>
      <c r="E1603" s="294"/>
      <c r="F1603" s="294"/>
      <c r="G1603" s="294"/>
      <c r="H1603" s="294"/>
      <c r="I1603" s="294"/>
      <c r="J1603" s="294"/>
      <c r="L1603" s="295"/>
      <c r="M1603" s="294"/>
      <c r="O1603" s="294"/>
      <c r="P1603" s="294"/>
      <c r="Q1603" s="294"/>
      <c r="R1603" s="294"/>
      <c r="S1603" s="294"/>
      <c r="T1603" s="294"/>
      <c r="U1603" s="326"/>
      <c r="V1603" s="294"/>
      <c r="W1603" s="294"/>
      <c r="X1603" s="294"/>
      <c r="Y1603" s="294"/>
      <c r="Z1603" s="294"/>
      <c r="AA1603" s="294"/>
      <c r="AB1603" s="294"/>
      <c r="AC1603" s="294"/>
    </row>
    <row r="1604" spans="2:29" x14ac:dyDescent="0.25">
      <c r="B1604" s="294"/>
      <c r="C1604" s="294"/>
      <c r="D1604" s="294"/>
      <c r="E1604" s="294"/>
      <c r="F1604" s="294"/>
      <c r="G1604" s="294"/>
      <c r="H1604" s="294"/>
      <c r="I1604" s="294"/>
      <c r="J1604" s="294"/>
      <c r="L1604" s="295"/>
      <c r="M1604" s="294"/>
      <c r="O1604" s="294"/>
      <c r="P1604" s="294"/>
      <c r="Q1604" s="294"/>
      <c r="R1604" s="294"/>
      <c r="S1604" s="294"/>
      <c r="T1604" s="294"/>
      <c r="U1604" s="326"/>
      <c r="V1604" s="294"/>
      <c r="W1604" s="294"/>
      <c r="X1604" s="294"/>
      <c r="Y1604" s="294"/>
      <c r="Z1604" s="294"/>
      <c r="AA1604" s="294"/>
      <c r="AB1604" s="294"/>
      <c r="AC1604" s="294"/>
    </row>
    <row r="1605" spans="2:29" x14ac:dyDescent="0.25">
      <c r="B1605" s="294"/>
      <c r="C1605" s="294"/>
      <c r="D1605" s="294"/>
      <c r="E1605" s="294"/>
      <c r="F1605" s="294"/>
      <c r="G1605" s="294"/>
      <c r="H1605" s="294"/>
      <c r="I1605" s="294"/>
      <c r="J1605" s="294"/>
      <c r="L1605" s="295"/>
      <c r="M1605" s="294"/>
      <c r="O1605" s="294"/>
      <c r="P1605" s="294"/>
      <c r="Q1605" s="294"/>
      <c r="R1605" s="294"/>
      <c r="S1605" s="294"/>
      <c r="T1605" s="294"/>
      <c r="U1605" s="326"/>
      <c r="V1605" s="294"/>
      <c r="W1605" s="294"/>
      <c r="X1605" s="294"/>
      <c r="Y1605" s="294"/>
      <c r="Z1605" s="294"/>
      <c r="AA1605" s="294"/>
      <c r="AB1605" s="294"/>
      <c r="AC1605" s="294"/>
    </row>
    <row r="1606" spans="2:29" x14ac:dyDescent="0.25">
      <c r="B1606" s="294"/>
      <c r="C1606" s="294"/>
      <c r="D1606" s="294"/>
      <c r="E1606" s="294"/>
      <c r="F1606" s="294"/>
      <c r="G1606" s="294"/>
      <c r="H1606" s="294"/>
      <c r="I1606" s="294"/>
      <c r="J1606" s="294"/>
      <c r="L1606" s="295"/>
      <c r="M1606" s="294"/>
      <c r="O1606" s="294"/>
      <c r="P1606" s="294"/>
      <c r="Q1606" s="294"/>
      <c r="R1606" s="294"/>
      <c r="S1606" s="294"/>
      <c r="T1606" s="294"/>
      <c r="U1606" s="326"/>
      <c r="V1606" s="294"/>
      <c r="W1606" s="294"/>
      <c r="X1606" s="294"/>
      <c r="Y1606" s="294"/>
      <c r="Z1606" s="294"/>
      <c r="AA1606" s="294"/>
      <c r="AB1606" s="294"/>
      <c r="AC1606" s="294"/>
    </row>
    <row r="1607" spans="2:29" x14ac:dyDescent="0.25">
      <c r="B1607" s="294"/>
      <c r="C1607" s="294"/>
      <c r="D1607" s="294"/>
      <c r="E1607" s="294"/>
      <c r="F1607" s="294"/>
      <c r="G1607" s="294"/>
      <c r="H1607" s="294"/>
      <c r="I1607" s="294"/>
      <c r="J1607" s="294"/>
      <c r="L1607" s="295"/>
      <c r="M1607" s="294"/>
      <c r="O1607" s="294"/>
      <c r="P1607" s="294"/>
      <c r="Q1607" s="294"/>
      <c r="R1607" s="294"/>
      <c r="S1607" s="294"/>
      <c r="T1607" s="294"/>
      <c r="U1607" s="326"/>
      <c r="V1607" s="294"/>
      <c r="W1607" s="294"/>
      <c r="X1607" s="294"/>
      <c r="Y1607" s="294"/>
      <c r="Z1607" s="294"/>
      <c r="AA1607" s="294"/>
      <c r="AB1607" s="294"/>
      <c r="AC1607" s="294"/>
    </row>
    <row r="1608" spans="2:29" x14ac:dyDescent="0.25">
      <c r="B1608" s="294"/>
      <c r="C1608" s="294"/>
      <c r="D1608" s="294"/>
      <c r="E1608" s="294"/>
      <c r="F1608" s="294"/>
      <c r="G1608" s="294"/>
      <c r="H1608" s="294"/>
      <c r="I1608" s="294"/>
      <c r="J1608" s="294"/>
      <c r="L1608" s="295"/>
      <c r="M1608" s="294"/>
      <c r="O1608" s="294"/>
      <c r="P1608" s="294"/>
      <c r="Q1608" s="294"/>
      <c r="R1608" s="294"/>
      <c r="S1608" s="294"/>
      <c r="T1608" s="294"/>
      <c r="U1608" s="326"/>
      <c r="V1608" s="294"/>
      <c r="W1608" s="294"/>
      <c r="X1608" s="294"/>
      <c r="Y1608" s="294"/>
      <c r="Z1608" s="294"/>
      <c r="AA1608" s="294"/>
      <c r="AB1608" s="294"/>
      <c r="AC1608" s="294"/>
    </row>
    <row r="1609" spans="2:29" x14ac:dyDescent="0.25">
      <c r="B1609" s="294"/>
      <c r="C1609" s="294"/>
      <c r="D1609" s="294"/>
      <c r="E1609" s="294"/>
      <c r="F1609" s="294"/>
      <c r="G1609" s="294"/>
      <c r="H1609" s="294"/>
      <c r="I1609" s="294"/>
      <c r="J1609" s="294"/>
      <c r="L1609" s="295"/>
      <c r="M1609" s="294"/>
      <c r="O1609" s="294"/>
      <c r="P1609" s="294"/>
      <c r="Q1609" s="294"/>
      <c r="R1609" s="294"/>
      <c r="S1609" s="294"/>
      <c r="T1609" s="294"/>
      <c r="U1609" s="326"/>
      <c r="V1609" s="294"/>
      <c r="W1609" s="294"/>
      <c r="X1609" s="294"/>
      <c r="Y1609" s="294"/>
      <c r="Z1609" s="294"/>
      <c r="AA1609" s="294"/>
      <c r="AB1609" s="294"/>
      <c r="AC1609" s="294"/>
    </row>
    <row r="1610" spans="2:29" x14ac:dyDescent="0.25">
      <c r="B1610" s="294"/>
      <c r="C1610" s="294"/>
      <c r="D1610" s="294"/>
      <c r="E1610" s="294"/>
      <c r="F1610" s="294"/>
      <c r="G1610" s="294"/>
      <c r="H1610" s="294"/>
      <c r="I1610" s="294"/>
      <c r="J1610" s="294"/>
      <c r="L1610" s="295"/>
      <c r="M1610" s="294"/>
      <c r="O1610" s="294"/>
      <c r="P1610" s="294"/>
      <c r="Q1610" s="294"/>
      <c r="R1610" s="294"/>
      <c r="S1610" s="294"/>
      <c r="T1610" s="294"/>
      <c r="U1610" s="326"/>
      <c r="V1610" s="294"/>
      <c r="W1610" s="294"/>
      <c r="X1610" s="294"/>
      <c r="Y1610" s="294"/>
      <c r="Z1610" s="294"/>
      <c r="AA1610" s="294"/>
      <c r="AB1610" s="294"/>
      <c r="AC1610" s="294"/>
    </row>
    <row r="1611" spans="2:29" x14ac:dyDescent="0.25">
      <c r="B1611" s="294"/>
      <c r="C1611" s="294"/>
      <c r="D1611" s="294"/>
      <c r="E1611" s="294"/>
      <c r="F1611" s="294"/>
      <c r="G1611" s="294"/>
      <c r="H1611" s="294"/>
      <c r="I1611" s="294"/>
      <c r="J1611" s="294"/>
      <c r="L1611" s="295"/>
      <c r="M1611" s="294"/>
      <c r="O1611" s="294"/>
      <c r="P1611" s="294"/>
      <c r="Q1611" s="294"/>
      <c r="R1611" s="294"/>
      <c r="S1611" s="294"/>
      <c r="T1611" s="294"/>
      <c r="U1611" s="326"/>
      <c r="V1611" s="294"/>
      <c r="W1611" s="294"/>
      <c r="X1611" s="294"/>
      <c r="Y1611" s="294"/>
      <c r="Z1611" s="294"/>
      <c r="AA1611" s="294"/>
      <c r="AB1611" s="294"/>
      <c r="AC1611" s="294"/>
    </row>
    <row r="1612" spans="2:29" x14ac:dyDescent="0.25">
      <c r="B1612" s="294"/>
      <c r="C1612" s="294"/>
      <c r="D1612" s="294"/>
      <c r="E1612" s="294"/>
      <c r="F1612" s="294"/>
      <c r="G1612" s="294"/>
      <c r="H1612" s="294"/>
      <c r="I1612" s="294"/>
      <c r="J1612" s="294"/>
      <c r="L1612" s="295"/>
      <c r="M1612" s="294"/>
      <c r="O1612" s="294"/>
      <c r="P1612" s="294"/>
      <c r="Q1612" s="294"/>
      <c r="R1612" s="294"/>
      <c r="S1612" s="294"/>
      <c r="T1612" s="294"/>
      <c r="U1612" s="326"/>
      <c r="V1612" s="294"/>
      <c r="W1612" s="294"/>
      <c r="X1612" s="294"/>
      <c r="Y1612" s="294"/>
      <c r="Z1612" s="294"/>
      <c r="AA1612" s="294"/>
      <c r="AB1612" s="294"/>
      <c r="AC1612" s="294"/>
    </row>
    <row r="1613" spans="2:29" x14ac:dyDescent="0.25">
      <c r="B1613" s="294"/>
      <c r="C1613" s="294"/>
      <c r="D1613" s="294"/>
      <c r="E1613" s="294"/>
      <c r="F1613" s="294"/>
      <c r="G1613" s="294"/>
      <c r="H1613" s="294"/>
      <c r="I1613" s="294"/>
      <c r="J1613" s="294"/>
      <c r="L1613" s="295"/>
      <c r="M1613" s="294"/>
      <c r="O1613" s="294"/>
      <c r="P1613" s="294"/>
      <c r="Q1613" s="294"/>
      <c r="R1613" s="294"/>
      <c r="S1613" s="294"/>
      <c r="T1613" s="294"/>
      <c r="U1613" s="326"/>
      <c r="V1613" s="294"/>
      <c r="W1613" s="294"/>
      <c r="X1613" s="294"/>
      <c r="Y1613" s="294"/>
      <c r="Z1613" s="294"/>
      <c r="AA1613" s="294"/>
      <c r="AB1613" s="294"/>
      <c r="AC1613" s="294"/>
    </row>
    <row r="1614" spans="2:29" x14ac:dyDescent="0.25">
      <c r="B1614" s="294"/>
      <c r="C1614" s="294"/>
      <c r="D1614" s="294"/>
      <c r="E1614" s="294"/>
      <c r="F1614" s="294"/>
      <c r="G1614" s="294"/>
      <c r="H1614" s="294"/>
      <c r="I1614" s="294"/>
      <c r="J1614" s="294"/>
      <c r="L1614" s="295"/>
      <c r="M1614" s="294"/>
      <c r="O1614" s="294"/>
      <c r="P1614" s="294"/>
      <c r="Q1614" s="294"/>
      <c r="R1614" s="294"/>
      <c r="S1614" s="294"/>
      <c r="T1614" s="294"/>
      <c r="U1614" s="326"/>
      <c r="V1614" s="294"/>
      <c r="W1614" s="294"/>
      <c r="X1614" s="294"/>
      <c r="Y1614" s="294"/>
      <c r="Z1614" s="294"/>
      <c r="AA1614" s="294"/>
      <c r="AB1614" s="294"/>
      <c r="AC1614" s="294"/>
    </row>
    <row r="1615" spans="2:29" x14ac:dyDescent="0.25">
      <c r="B1615" s="294"/>
      <c r="C1615" s="294"/>
      <c r="D1615" s="294"/>
      <c r="E1615" s="294"/>
      <c r="F1615" s="294"/>
      <c r="G1615" s="294"/>
      <c r="H1615" s="294"/>
      <c r="I1615" s="294"/>
      <c r="J1615" s="294"/>
      <c r="L1615" s="295"/>
      <c r="M1615" s="294"/>
      <c r="O1615" s="294"/>
      <c r="P1615" s="294"/>
      <c r="Q1615" s="294"/>
      <c r="R1615" s="294"/>
      <c r="S1615" s="294"/>
      <c r="T1615" s="294"/>
      <c r="U1615" s="326"/>
      <c r="V1615" s="294"/>
      <c r="W1615" s="294"/>
      <c r="X1615" s="294"/>
      <c r="Y1615" s="294"/>
      <c r="Z1615" s="294"/>
      <c r="AA1615" s="294"/>
      <c r="AB1615" s="294"/>
      <c r="AC1615" s="294"/>
    </row>
    <row r="1616" spans="2:29" x14ac:dyDescent="0.25">
      <c r="B1616" s="294"/>
      <c r="C1616" s="294"/>
      <c r="D1616" s="294"/>
      <c r="E1616" s="294"/>
      <c r="F1616" s="294"/>
      <c r="G1616" s="294"/>
      <c r="H1616" s="294"/>
      <c r="I1616" s="294"/>
      <c r="J1616" s="294"/>
      <c r="L1616" s="295"/>
      <c r="M1616" s="294"/>
      <c r="O1616" s="294"/>
      <c r="P1616" s="294"/>
      <c r="Q1616" s="294"/>
      <c r="R1616" s="294"/>
      <c r="S1616" s="294"/>
      <c r="T1616" s="294"/>
      <c r="U1616" s="326"/>
      <c r="V1616" s="294"/>
      <c r="W1616" s="294"/>
      <c r="X1616" s="294"/>
      <c r="Y1616" s="294"/>
      <c r="Z1616" s="294"/>
      <c r="AA1616" s="294"/>
      <c r="AB1616" s="294"/>
      <c r="AC1616" s="294"/>
    </row>
    <row r="1617" spans="2:29" x14ac:dyDescent="0.25">
      <c r="B1617" s="294"/>
      <c r="C1617" s="294"/>
      <c r="D1617" s="294"/>
      <c r="E1617" s="294"/>
      <c r="F1617" s="294"/>
      <c r="G1617" s="294"/>
      <c r="H1617" s="294"/>
      <c r="I1617" s="294"/>
      <c r="J1617" s="294"/>
      <c r="L1617" s="295"/>
      <c r="M1617" s="294"/>
      <c r="O1617" s="294"/>
      <c r="P1617" s="294"/>
      <c r="Q1617" s="294"/>
      <c r="R1617" s="294"/>
      <c r="S1617" s="294"/>
      <c r="T1617" s="294"/>
      <c r="U1617" s="326"/>
      <c r="V1617" s="294"/>
      <c r="W1617" s="294"/>
      <c r="X1617" s="294"/>
      <c r="Y1617" s="294"/>
      <c r="Z1617" s="294"/>
      <c r="AA1617" s="294"/>
      <c r="AB1617" s="294"/>
      <c r="AC1617" s="294"/>
    </row>
    <row r="1618" spans="2:29" x14ac:dyDescent="0.25">
      <c r="B1618" s="294"/>
      <c r="C1618" s="294"/>
      <c r="D1618" s="294"/>
      <c r="E1618" s="294"/>
      <c r="F1618" s="294"/>
      <c r="G1618" s="294"/>
      <c r="H1618" s="294"/>
      <c r="I1618" s="294"/>
      <c r="J1618" s="294"/>
      <c r="L1618" s="295"/>
      <c r="M1618" s="294"/>
      <c r="O1618" s="294"/>
      <c r="P1618" s="294"/>
      <c r="Q1618" s="294"/>
      <c r="R1618" s="294"/>
      <c r="S1618" s="294"/>
      <c r="T1618" s="294"/>
      <c r="U1618" s="326"/>
      <c r="V1618" s="294"/>
      <c r="W1618" s="294"/>
      <c r="X1618" s="294"/>
      <c r="Y1618" s="294"/>
      <c r="Z1618" s="294"/>
      <c r="AA1618" s="294"/>
      <c r="AB1618" s="294"/>
      <c r="AC1618" s="294"/>
    </row>
    <row r="1619" spans="2:29" x14ac:dyDescent="0.25">
      <c r="B1619" s="294"/>
      <c r="C1619" s="294"/>
      <c r="D1619" s="294"/>
      <c r="E1619" s="294"/>
      <c r="F1619" s="294"/>
      <c r="G1619" s="294"/>
      <c r="H1619" s="294"/>
      <c r="I1619" s="294"/>
      <c r="J1619" s="294"/>
      <c r="L1619" s="295"/>
      <c r="M1619" s="294"/>
      <c r="O1619" s="294"/>
      <c r="P1619" s="294"/>
      <c r="Q1619" s="294"/>
      <c r="R1619" s="294"/>
      <c r="S1619" s="294"/>
      <c r="T1619" s="294"/>
      <c r="U1619" s="326"/>
      <c r="V1619" s="294"/>
      <c r="W1619" s="294"/>
      <c r="X1619" s="294"/>
      <c r="Y1619" s="294"/>
      <c r="Z1619" s="294"/>
      <c r="AA1619" s="294"/>
      <c r="AB1619" s="294"/>
      <c r="AC1619" s="294"/>
    </row>
    <row r="1620" spans="2:29" x14ac:dyDescent="0.25">
      <c r="B1620" s="294"/>
      <c r="C1620" s="294"/>
      <c r="D1620" s="294"/>
      <c r="E1620" s="294"/>
      <c r="F1620" s="294"/>
      <c r="G1620" s="294"/>
      <c r="H1620" s="294"/>
      <c r="I1620" s="294"/>
      <c r="J1620" s="294"/>
      <c r="L1620" s="295"/>
      <c r="M1620" s="294"/>
      <c r="O1620" s="294"/>
      <c r="P1620" s="294"/>
      <c r="Q1620" s="294"/>
      <c r="R1620" s="294"/>
      <c r="S1620" s="294"/>
      <c r="T1620" s="294"/>
      <c r="U1620" s="326"/>
      <c r="V1620" s="294"/>
      <c r="W1620" s="294"/>
      <c r="X1620" s="294"/>
      <c r="Y1620" s="294"/>
      <c r="Z1620" s="294"/>
      <c r="AA1620" s="294"/>
      <c r="AB1620" s="294"/>
      <c r="AC1620" s="294"/>
    </row>
    <row r="1621" spans="2:29" x14ac:dyDescent="0.25">
      <c r="B1621" s="294"/>
      <c r="C1621" s="294"/>
      <c r="D1621" s="294"/>
      <c r="E1621" s="294"/>
      <c r="F1621" s="294"/>
      <c r="G1621" s="294"/>
      <c r="H1621" s="294"/>
      <c r="I1621" s="294"/>
      <c r="J1621" s="294"/>
      <c r="L1621" s="295"/>
      <c r="M1621" s="294"/>
      <c r="O1621" s="294"/>
      <c r="P1621" s="294"/>
      <c r="Q1621" s="294"/>
      <c r="R1621" s="294"/>
      <c r="S1621" s="294"/>
      <c r="T1621" s="294"/>
      <c r="U1621" s="326"/>
      <c r="V1621" s="294"/>
      <c r="W1621" s="294"/>
      <c r="X1621" s="294"/>
      <c r="Y1621" s="294"/>
      <c r="Z1621" s="294"/>
      <c r="AA1621" s="294"/>
      <c r="AB1621" s="294"/>
      <c r="AC1621" s="294"/>
    </row>
    <row r="1622" spans="2:29" x14ac:dyDescent="0.25">
      <c r="B1622" s="294"/>
      <c r="C1622" s="294"/>
      <c r="D1622" s="294"/>
      <c r="E1622" s="294"/>
      <c r="F1622" s="294"/>
      <c r="G1622" s="294"/>
      <c r="H1622" s="294"/>
      <c r="I1622" s="294"/>
      <c r="J1622" s="294"/>
      <c r="L1622" s="295"/>
      <c r="M1622" s="294"/>
      <c r="O1622" s="294"/>
      <c r="P1622" s="294"/>
      <c r="Q1622" s="294"/>
      <c r="R1622" s="294"/>
      <c r="S1622" s="294"/>
      <c r="T1622" s="294"/>
      <c r="U1622" s="326"/>
      <c r="V1622" s="294"/>
      <c r="W1622" s="294"/>
      <c r="X1622" s="294"/>
      <c r="Y1622" s="294"/>
      <c r="Z1622" s="294"/>
      <c r="AA1622" s="294"/>
      <c r="AB1622" s="294"/>
      <c r="AC1622" s="294"/>
    </row>
    <row r="1623" spans="2:29" x14ac:dyDescent="0.25">
      <c r="B1623" s="294"/>
      <c r="C1623" s="294"/>
      <c r="D1623" s="294"/>
      <c r="E1623" s="294"/>
      <c r="F1623" s="294"/>
      <c r="G1623" s="294"/>
      <c r="H1623" s="294"/>
      <c r="I1623" s="294"/>
      <c r="J1623" s="294"/>
      <c r="L1623" s="295"/>
      <c r="M1623" s="294"/>
      <c r="O1623" s="294"/>
      <c r="P1623" s="294"/>
      <c r="Q1623" s="294"/>
      <c r="R1623" s="294"/>
      <c r="S1623" s="294"/>
      <c r="T1623" s="294"/>
      <c r="U1623" s="326"/>
      <c r="V1623" s="294"/>
      <c r="W1623" s="294"/>
      <c r="X1623" s="294"/>
      <c r="Y1623" s="294"/>
      <c r="Z1623" s="294"/>
      <c r="AA1623" s="294"/>
      <c r="AB1623" s="294"/>
      <c r="AC1623" s="294"/>
    </row>
    <row r="1624" spans="2:29" x14ac:dyDescent="0.25">
      <c r="B1624" s="294"/>
      <c r="C1624" s="294"/>
      <c r="D1624" s="294"/>
      <c r="E1624" s="294"/>
      <c r="F1624" s="294"/>
      <c r="G1624" s="294"/>
      <c r="H1624" s="294"/>
      <c r="I1624" s="294"/>
      <c r="J1624" s="294"/>
      <c r="L1624" s="295"/>
      <c r="M1624" s="294"/>
      <c r="O1624" s="294"/>
      <c r="P1624" s="294"/>
      <c r="Q1624" s="294"/>
      <c r="R1624" s="294"/>
      <c r="S1624" s="294"/>
      <c r="T1624" s="294"/>
      <c r="U1624" s="326"/>
      <c r="V1624" s="294"/>
      <c r="W1624" s="294"/>
      <c r="X1624" s="294"/>
      <c r="Y1624" s="294"/>
      <c r="Z1624" s="294"/>
      <c r="AA1624" s="294"/>
      <c r="AB1624" s="294"/>
      <c r="AC1624" s="294"/>
    </row>
    <row r="1625" spans="2:29" x14ac:dyDescent="0.25">
      <c r="B1625" s="294"/>
      <c r="C1625" s="294"/>
      <c r="D1625" s="294"/>
      <c r="E1625" s="294"/>
      <c r="F1625" s="294"/>
      <c r="G1625" s="294"/>
      <c r="H1625" s="294"/>
      <c r="I1625" s="294"/>
      <c r="J1625" s="294"/>
      <c r="L1625" s="295"/>
      <c r="M1625" s="294"/>
      <c r="O1625" s="294"/>
      <c r="P1625" s="294"/>
      <c r="Q1625" s="294"/>
      <c r="R1625" s="294"/>
      <c r="S1625" s="294"/>
      <c r="T1625" s="294"/>
      <c r="U1625" s="326"/>
      <c r="V1625" s="294"/>
      <c r="W1625" s="294"/>
      <c r="X1625" s="294"/>
      <c r="Y1625" s="294"/>
      <c r="Z1625" s="294"/>
      <c r="AA1625" s="294"/>
      <c r="AB1625" s="294"/>
      <c r="AC1625" s="294"/>
    </row>
    <row r="1626" spans="2:29" x14ac:dyDescent="0.25">
      <c r="B1626" s="294"/>
      <c r="C1626" s="294"/>
      <c r="D1626" s="294"/>
      <c r="E1626" s="294"/>
      <c r="F1626" s="294"/>
      <c r="G1626" s="294"/>
      <c r="H1626" s="294"/>
      <c r="I1626" s="294"/>
      <c r="J1626" s="294"/>
      <c r="L1626" s="295"/>
      <c r="M1626" s="294"/>
      <c r="O1626" s="294"/>
      <c r="P1626" s="294"/>
      <c r="Q1626" s="294"/>
      <c r="R1626" s="294"/>
      <c r="S1626" s="294"/>
      <c r="T1626" s="294"/>
      <c r="U1626" s="326"/>
      <c r="V1626" s="294"/>
      <c r="W1626" s="294"/>
      <c r="X1626" s="294"/>
      <c r="Y1626" s="294"/>
      <c r="Z1626" s="294"/>
      <c r="AA1626" s="294"/>
      <c r="AB1626" s="294"/>
      <c r="AC1626" s="294"/>
    </row>
    <row r="1627" spans="2:29" x14ac:dyDescent="0.25">
      <c r="B1627" s="294"/>
      <c r="C1627" s="294"/>
      <c r="D1627" s="294"/>
      <c r="E1627" s="294"/>
      <c r="F1627" s="294"/>
      <c r="G1627" s="294"/>
      <c r="H1627" s="294"/>
      <c r="I1627" s="294"/>
      <c r="J1627" s="294"/>
      <c r="L1627" s="295"/>
      <c r="M1627" s="294"/>
      <c r="O1627" s="294"/>
      <c r="P1627" s="294"/>
      <c r="Q1627" s="294"/>
      <c r="R1627" s="294"/>
      <c r="S1627" s="294"/>
      <c r="T1627" s="294"/>
      <c r="U1627" s="326"/>
      <c r="V1627" s="294"/>
      <c r="W1627" s="294"/>
      <c r="X1627" s="294"/>
      <c r="Y1627" s="294"/>
      <c r="Z1627" s="294"/>
      <c r="AA1627" s="294"/>
      <c r="AB1627" s="294"/>
      <c r="AC1627" s="294"/>
    </row>
    <row r="1628" spans="2:29" x14ac:dyDescent="0.25">
      <c r="B1628" s="294"/>
      <c r="C1628" s="294"/>
      <c r="D1628" s="294"/>
      <c r="E1628" s="294"/>
      <c r="F1628" s="294"/>
      <c r="G1628" s="294"/>
      <c r="H1628" s="294"/>
      <c r="I1628" s="294"/>
      <c r="J1628" s="294"/>
      <c r="L1628" s="295"/>
      <c r="M1628" s="294"/>
      <c r="O1628" s="294"/>
      <c r="P1628" s="294"/>
      <c r="Q1628" s="294"/>
      <c r="R1628" s="294"/>
      <c r="S1628" s="294"/>
      <c r="T1628" s="294"/>
      <c r="U1628" s="326"/>
      <c r="V1628" s="294"/>
      <c r="W1628" s="294"/>
      <c r="X1628" s="294"/>
      <c r="Y1628" s="294"/>
      <c r="Z1628" s="294"/>
      <c r="AA1628" s="294"/>
      <c r="AB1628" s="294"/>
      <c r="AC1628" s="294"/>
    </row>
    <row r="1629" spans="2:29" x14ac:dyDescent="0.25">
      <c r="B1629" s="294"/>
      <c r="C1629" s="294"/>
      <c r="D1629" s="294"/>
      <c r="E1629" s="294"/>
      <c r="F1629" s="294"/>
      <c r="G1629" s="294"/>
      <c r="H1629" s="294"/>
      <c r="I1629" s="294"/>
      <c r="J1629" s="294"/>
      <c r="L1629" s="295"/>
      <c r="M1629" s="294"/>
      <c r="O1629" s="294"/>
      <c r="P1629" s="294"/>
      <c r="Q1629" s="294"/>
      <c r="R1629" s="294"/>
      <c r="S1629" s="294"/>
      <c r="T1629" s="294"/>
      <c r="U1629" s="326"/>
      <c r="V1629" s="294"/>
      <c r="W1629" s="294"/>
      <c r="X1629" s="294"/>
      <c r="Y1629" s="294"/>
      <c r="Z1629" s="294"/>
      <c r="AA1629" s="294"/>
      <c r="AB1629" s="294"/>
      <c r="AC1629" s="294"/>
    </row>
    <row r="1630" spans="2:29" x14ac:dyDescent="0.25">
      <c r="B1630" s="294"/>
      <c r="C1630" s="294"/>
      <c r="D1630" s="294"/>
      <c r="E1630" s="294"/>
      <c r="F1630" s="294"/>
      <c r="G1630" s="294"/>
      <c r="H1630" s="294"/>
      <c r="I1630" s="294"/>
      <c r="J1630" s="294"/>
      <c r="L1630" s="295"/>
      <c r="M1630" s="294"/>
      <c r="O1630" s="294"/>
      <c r="P1630" s="294"/>
      <c r="Q1630" s="294"/>
      <c r="R1630" s="294"/>
      <c r="S1630" s="294"/>
      <c r="T1630" s="294"/>
      <c r="U1630" s="326"/>
      <c r="V1630" s="294"/>
      <c r="W1630" s="294"/>
      <c r="X1630" s="294"/>
      <c r="Y1630" s="294"/>
      <c r="Z1630" s="294"/>
      <c r="AA1630" s="294"/>
      <c r="AB1630" s="294"/>
      <c r="AC1630" s="294"/>
    </row>
    <row r="1631" spans="2:29" x14ac:dyDescent="0.25">
      <c r="B1631" s="294"/>
      <c r="C1631" s="294"/>
      <c r="D1631" s="294"/>
      <c r="E1631" s="294"/>
      <c r="F1631" s="294"/>
      <c r="G1631" s="294"/>
      <c r="H1631" s="294"/>
      <c r="I1631" s="294"/>
      <c r="J1631" s="294"/>
      <c r="L1631" s="295"/>
      <c r="M1631" s="294"/>
      <c r="O1631" s="294"/>
      <c r="P1631" s="294"/>
      <c r="Q1631" s="294"/>
      <c r="R1631" s="294"/>
      <c r="S1631" s="294"/>
      <c r="T1631" s="294"/>
      <c r="U1631" s="326"/>
      <c r="V1631" s="294"/>
      <c r="W1631" s="294"/>
      <c r="X1631" s="294"/>
      <c r="Y1631" s="294"/>
      <c r="Z1631" s="294"/>
      <c r="AA1631" s="294"/>
      <c r="AB1631" s="294"/>
      <c r="AC1631" s="294"/>
    </row>
    <row r="1632" spans="2:29" x14ac:dyDescent="0.25">
      <c r="B1632" s="294"/>
      <c r="C1632" s="294"/>
      <c r="D1632" s="294"/>
      <c r="E1632" s="294"/>
      <c r="F1632" s="294"/>
      <c r="G1632" s="294"/>
      <c r="H1632" s="294"/>
      <c r="I1632" s="294"/>
      <c r="J1632" s="294"/>
      <c r="L1632" s="295"/>
      <c r="M1632" s="294"/>
      <c r="O1632" s="294"/>
      <c r="P1632" s="294"/>
      <c r="Q1632" s="294"/>
      <c r="R1632" s="294"/>
      <c r="S1632" s="294"/>
      <c r="T1632" s="294"/>
      <c r="U1632" s="326"/>
      <c r="V1632" s="294"/>
      <c r="W1632" s="294"/>
      <c r="X1632" s="294"/>
      <c r="Y1632" s="294"/>
      <c r="Z1632" s="294"/>
      <c r="AA1632" s="294"/>
      <c r="AB1632" s="294"/>
      <c r="AC1632" s="294"/>
    </row>
    <row r="1633" spans="2:29" x14ac:dyDescent="0.25">
      <c r="B1633" s="294"/>
      <c r="C1633" s="294"/>
      <c r="D1633" s="294"/>
      <c r="E1633" s="294"/>
      <c r="F1633" s="294"/>
      <c r="G1633" s="294"/>
      <c r="H1633" s="294"/>
      <c r="I1633" s="294"/>
      <c r="J1633" s="294"/>
      <c r="L1633" s="295"/>
      <c r="M1633" s="294"/>
      <c r="O1633" s="294"/>
      <c r="P1633" s="294"/>
      <c r="Q1633" s="294"/>
      <c r="R1633" s="294"/>
      <c r="S1633" s="294"/>
      <c r="T1633" s="294"/>
      <c r="U1633" s="326"/>
      <c r="V1633" s="294"/>
      <c r="W1633" s="294"/>
      <c r="X1633" s="294"/>
      <c r="Y1633" s="294"/>
      <c r="Z1633" s="294"/>
      <c r="AA1633" s="294"/>
      <c r="AB1633" s="294"/>
      <c r="AC1633" s="294"/>
    </row>
    <row r="1634" spans="2:29" x14ac:dyDescent="0.25">
      <c r="B1634" s="294"/>
      <c r="C1634" s="294"/>
      <c r="D1634" s="294"/>
      <c r="E1634" s="294"/>
      <c r="F1634" s="294"/>
      <c r="G1634" s="294"/>
      <c r="H1634" s="294"/>
      <c r="I1634" s="294"/>
      <c r="J1634" s="294"/>
      <c r="L1634" s="295"/>
      <c r="M1634" s="294"/>
      <c r="O1634" s="294"/>
      <c r="P1634" s="294"/>
      <c r="Q1634" s="294"/>
      <c r="R1634" s="294"/>
      <c r="S1634" s="294"/>
      <c r="T1634" s="294"/>
      <c r="U1634" s="326"/>
      <c r="V1634" s="294"/>
      <c r="W1634" s="294"/>
      <c r="X1634" s="294"/>
      <c r="Y1634" s="294"/>
      <c r="Z1634" s="294"/>
      <c r="AA1634" s="294"/>
      <c r="AB1634" s="294"/>
      <c r="AC1634" s="294"/>
    </row>
    <row r="1635" spans="2:29" x14ac:dyDescent="0.25">
      <c r="B1635" s="294"/>
      <c r="C1635" s="294"/>
      <c r="D1635" s="294"/>
      <c r="E1635" s="294"/>
      <c r="F1635" s="294"/>
      <c r="G1635" s="294"/>
      <c r="H1635" s="294"/>
      <c r="I1635" s="294"/>
      <c r="J1635" s="294"/>
      <c r="L1635" s="295"/>
      <c r="M1635" s="294"/>
      <c r="O1635" s="294"/>
      <c r="P1635" s="294"/>
      <c r="Q1635" s="294"/>
      <c r="R1635" s="294"/>
      <c r="S1635" s="294"/>
      <c r="T1635" s="294"/>
      <c r="U1635" s="326"/>
      <c r="V1635" s="294"/>
      <c r="W1635" s="294"/>
      <c r="X1635" s="294"/>
      <c r="Y1635" s="294"/>
      <c r="Z1635" s="294"/>
      <c r="AA1635" s="294"/>
      <c r="AB1635" s="294"/>
      <c r="AC1635" s="294"/>
    </row>
    <row r="1636" spans="2:29" x14ac:dyDescent="0.25">
      <c r="B1636" s="294"/>
      <c r="C1636" s="294"/>
      <c r="D1636" s="294"/>
      <c r="E1636" s="294"/>
      <c r="F1636" s="294"/>
      <c r="G1636" s="294"/>
      <c r="H1636" s="294"/>
      <c r="I1636" s="294"/>
      <c r="J1636" s="294"/>
      <c r="L1636" s="295"/>
      <c r="M1636" s="294"/>
      <c r="O1636" s="294"/>
      <c r="P1636" s="294"/>
      <c r="Q1636" s="294"/>
      <c r="R1636" s="294"/>
      <c r="S1636" s="294"/>
      <c r="T1636" s="294"/>
      <c r="U1636" s="326"/>
      <c r="V1636" s="294"/>
      <c r="W1636" s="294"/>
      <c r="X1636" s="294"/>
      <c r="Y1636" s="294"/>
      <c r="Z1636" s="294"/>
      <c r="AA1636" s="294"/>
      <c r="AB1636" s="294"/>
      <c r="AC1636" s="294"/>
    </row>
    <row r="1637" spans="2:29" x14ac:dyDescent="0.25">
      <c r="B1637" s="294"/>
      <c r="C1637" s="294"/>
      <c r="D1637" s="294"/>
      <c r="E1637" s="294"/>
      <c r="F1637" s="294"/>
      <c r="G1637" s="294"/>
      <c r="H1637" s="294"/>
      <c r="I1637" s="294"/>
      <c r="J1637" s="294"/>
      <c r="L1637" s="295"/>
      <c r="M1637" s="294"/>
      <c r="O1637" s="294"/>
      <c r="P1637" s="294"/>
      <c r="Q1637" s="294"/>
      <c r="R1637" s="294"/>
      <c r="S1637" s="294"/>
      <c r="T1637" s="294"/>
      <c r="U1637" s="326"/>
      <c r="V1637" s="294"/>
      <c r="W1637" s="294"/>
      <c r="X1637" s="294"/>
      <c r="Y1637" s="294"/>
      <c r="Z1637" s="294"/>
      <c r="AA1637" s="294"/>
      <c r="AB1637" s="294"/>
      <c r="AC1637" s="294"/>
    </row>
    <row r="1638" spans="2:29" x14ac:dyDescent="0.25">
      <c r="B1638" s="294"/>
      <c r="C1638" s="294"/>
      <c r="D1638" s="294"/>
      <c r="E1638" s="294"/>
      <c r="F1638" s="294"/>
      <c r="G1638" s="294"/>
      <c r="H1638" s="294"/>
      <c r="I1638" s="294"/>
      <c r="J1638" s="294"/>
      <c r="L1638" s="295"/>
      <c r="M1638" s="294"/>
      <c r="O1638" s="294"/>
      <c r="P1638" s="294"/>
      <c r="Q1638" s="294"/>
      <c r="R1638" s="294"/>
      <c r="S1638" s="294"/>
      <c r="T1638" s="294"/>
      <c r="U1638" s="326"/>
      <c r="V1638" s="294"/>
      <c r="W1638" s="294"/>
      <c r="X1638" s="294"/>
      <c r="Y1638" s="294"/>
      <c r="Z1638" s="294"/>
      <c r="AA1638" s="294"/>
      <c r="AB1638" s="294"/>
      <c r="AC1638" s="294"/>
    </row>
    <row r="1639" spans="2:29" x14ac:dyDescent="0.25">
      <c r="B1639" s="294"/>
      <c r="C1639" s="294"/>
      <c r="D1639" s="294"/>
      <c r="E1639" s="294"/>
      <c r="F1639" s="294"/>
      <c r="G1639" s="294"/>
      <c r="H1639" s="294"/>
      <c r="I1639" s="294"/>
      <c r="J1639" s="294"/>
      <c r="L1639" s="295"/>
      <c r="M1639" s="294"/>
      <c r="O1639" s="294"/>
      <c r="P1639" s="294"/>
      <c r="Q1639" s="294"/>
      <c r="R1639" s="294"/>
      <c r="S1639" s="294"/>
      <c r="T1639" s="294"/>
      <c r="U1639" s="326"/>
      <c r="V1639" s="294"/>
      <c r="W1639" s="294"/>
      <c r="X1639" s="294"/>
      <c r="Y1639" s="294"/>
      <c r="Z1639" s="294"/>
      <c r="AA1639" s="294"/>
      <c r="AB1639" s="294"/>
      <c r="AC1639" s="294"/>
    </row>
    <row r="1640" spans="2:29" x14ac:dyDescent="0.25">
      <c r="B1640" s="294"/>
      <c r="C1640" s="294"/>
      <c r="D1640" s="294"/>
      <c r="E1640" s="294"/>
      <c r="F1640" s="294"/>
      <c r="G1640" s="294"/>
      <c r="H1640" s="294"/>
      <c r="I1640" s="294"/>
      <c r="J1640" s="294"/>
      <c r="L1640" s="295"/>
      <c r="M1640" s="294"/>
      <c r="O1640" s="294"/>
      <c r="P1640" s="294"/>
      <c r="Q1640" s="294"/>
      <c r="R1640" s="294"/>
      <c r="S1640" s="294"/>
      <c r="T1640" s="294"/>
      <c r="U1640" s="326"/>
      <c r="V1640" s="294"/>
      <c r="W1640" s="294"/>
      <c r="X1640" s="294"/>
      <c r="Y1640" s="294"/>
      <c r="Z1640" s="294"/>
      <c r="AA1640" s="294"/>
      <c r="AB1640" s="294"/>
      <c r="AC1640" s="294"/>
    </row>
    <row r="1641" spans="2:29" x14ac:dyDescent="0.25">
      <c r="B1641" s="294"/>
      <c r="C1641" s="294"/>
      <c r="D1641" s="294"/>
      <c r="E1641" s="294"/>
      <c r="F1641" s="294"/>
      <c r="G1641" s="294"/>
      <c r="H1641" s="294"/>
      <c r="I1641" s="294"/>
      <c r="J1641" s="294"/>
      <c r="L1641" s="295"/>
      <c r="M1641" s="294"/>
      <c r="O1641" s="294"/>
      <c r="P1641" s="294"/>
      <c r="Q1641" s="294"/>
      <c r="R1641" s="294"/>
      <c r="S1641" s="294"/>
      <c r="T1641" s="294"/>
      <c r="U1641" s="326"/>
      <c r="V1641" s="294"/>
      <c r="W1641" s="294"/>
      <c r="X1641" s="294"/>
      <c r="Y1641" s="294"/>
      <c r="Z1641" s="294"/>
      <c r="AA1641" s="294"/>
      <c r="AB1641" s="294"/>
      <c r="AC1641" s="294"/>
    </row>
    <row r="1642" spans="2:29" x14ac:dyDescent="0.25">
      <c r="B1642" s="294"/>
      <c r="C1642" s="294"/>
      <c r="D1642" s="294"/>
      <c r="E1642" s="294"/>
      <c r="F1642" s="294"/>
      <c r="G1642" s="294"/>
      <c r="H1642" s="294"/>
      <c r="I1642" s="294"/>
      <c r="J1642" s="294"/>
      <c r="L1642" s="295"/>
      <c r="M1642" s="294"/>
      <c r="O1642" s="294"/>
      <c r="P1642" s="294"/>
      <c r="Q1642" s="294"/>
      <c r="R1642" s="294"/>
      <c r="S1642" s="294"/>
      <c r="T1642" s="294"/>
      <c r="U1642" s="326"/>
      <c r="V1642" s="294"/>
      <c r="W1642" s="294"/>
      <c r="X1642" s="294"/>
      <c r="Y1642" s="294"/>
      <c r="Z1642" s="294"/>
      <c r="AA1642" s="294"/>
      <c r="AB1642" s="294"/>
      <c r="AC1642" s="294"/>
    </row>
    <row r="1643" spans="2:29" x14ac:dyDescent="0.25">
      <c r="B1643" s="294"/>
      <c r="C1643" s="294"/>
      <c r="D1643" s="294"/>
      <c r="E1643" s="294"/>
      <c r="F1643" s="294"/>
      <c r="G1643" s="294"/>
      <c r="H1643" s="294"/>
      <c r="I1643" s="294"/>
      <c r="J1643" s="294"/>
      <c r="L1643" s="295"/>
      <c r="M1643" s="294"/>
      <c r="O1643" s="294"/>
      <c r="P1643" s="294"/>
      <c r="Q1643" s="294"/>
      <c r="R1643" s="294"/>
      <c r="S1643" s="294"/>
      <c r="T1643" s="294"/>
      <c r="U1643" s="326"/>
      <c r="V1643" s="294"/>
      <c r="W1643" s="294"/>
      <c r="X1643" s="294"/>
      <c r="Y1643" s="294"/>
      <c r="Z1643" s="294"/>
      <c r="AA1643" s="294"/>
      <c r="AB1643" s="294"/>
      <c r="AC1643" s="294"/>
    </row>
    <row r="1644" spans="2:29" x14ac:dyDescent="0.25">
      <c r="B1644" s="294"/>
      <c r="C1644" s="294"/>
      <c r="D1644" s="294"/>
      <c r="E1644" s="294"/>
      <c r="F1644" s="294"/>
      <c r="G1644" s="294"/>
      <c r="H1644" s="294"/>
      <c r="I1644" s="294"/>
      <c r="J1644" s="294"/>
      <c r="L1644" s="295"/>
      <c r="M1644" s="294"/>
      <c r="O1644" s="294"/>
      <c r="P1644" s="294"/>
      <c r="Q1644" s="294"/>
      <c r="R1644" s="294"/>
      <c r="S1644" s="294"/>
      <c r="T1644" s="294"/>
      <c r="U1644" s="326"/>
      <c r="V1644" s="294"/>
      <c r="W1644" s="294"/>
      <c r="X1644" s="294"/>
      <c r="Y1644" s="294"/>
      <c r="Z1644" s="294"/>
      <c r="AA1644" s="294"/>
      <c r="AB1644" s="294"/>
      <c r="AC1644" s="294"/>
    </row>
    <row r="1645" spans="2:29" x14ac:dyDescent="0.25">
      <c r="B1645" s="294"/>
      <c r="C1645" s="294"/>
      <c r="D1645" s="294"/>
      <c r="E1645" s="294"/>
      <c r="F1645" s="294"/>
      <c r="G1645" s="294"/>
      <c r="H1645" s="294"/>
      <c r="I1645" s="294"/>
      <c r="J1645" s="294"/>
      <c r="L1645" s="295"/>
      <c r="M1645" s="294"/>
      <c r="O1645" s="294"/>
      <c r="P1645" s="294"/>
      <c r="Q1645" s="294"/>
      <c r="R1645" s="294"/>
      <c r="S1645" s="294"/>
      <c r="T1645" s="294"/>
      <c r="U1645" s="326"/>
      <c r="V1645" s="294"/>
      <c r="W1645" s="294"/>
      <c r="X1645" s="294"/>
      <c r="Y1645" s="294"/>
      <c r="Z1645" s="294"/>
      <c r="AA1645" s="294"/>
      <c r="AB1645" s="294"/>
      <c r="AC1645" s="294"/>
    </row>
    <row r="1646" spans="2:29" x14ac:dyDescent="0.25">
      <c r="B1646" s="294"/>
      <c r="C1646" s="294"/>
      <c r="D1646" s="294"/>
      <c r="E1646" s="294"/>
      <c r="F1646" s="294"/>
      <c r="G1646" s="294"/>
      <c r="H1646" s="294"/>
      <c r="I1646" s="294"/>
      <c r="J1646" s="294"/>
      <c r="L1646" s="295"/>
      <c r="M1646" s="294"/>
      <c r="O1646" s="294"/>
      <c r="P1646" s="294"/>
      <c r="Q1646" s="294"/>
      <c r="R1646" s="294"/>
      <c r="S1646" s="294"/>
      <c r="T1646" s="294"/>
      <c r="U1646" s="326"/>
      <c r="V1646" s="294"/>
      <c r="W1646" s="294"/>
      <c r="X1646" s="294"/>
      <c r="Y1646" s="294"/>
      <c r="Z1646" s="294"/>
      <c r="AA1646" s="294"/>
      <c r="AB1646" s="294"/>
      <c r="AC1646" s="294"/>
    </row>
    <row r="1647" spans="2:29" x14ac:dyDescent="0.25">
      <c r="B1647" s="294"/>
      <c r="C1647" s="294"/>
      <c r="D1647" s="294"/>
      <c r="E1647" s="294"/>
      <c r="F1647" s="294"/>
      <c r="G1647" s="294"/>
      <c r="H1647" s="294"/>
      <c r="I1647" s="294"/>
      <c r="J1647" s="294"/>
      <c r="L1647" s="295"/>
      <c r="M1647" s="294"/>
      <c r="O1647" s="294"/>
      <c r="P1647" s="294"/>
      <c r="Q1647" s="294"/>
      <c r="R1647" s="294"/>
      <c r="S1647" s="294"/>
      <c r="T1647" s="294"/>
      <c r="U1647" s="326"/>
      <c r="V1647" s="294"/>
      <c r="W1647" s="294"/>
      <c r="X1647" s="294"/>
      <c r="Y1647" s="294"/>
      <c r="Z1647" s="294"/>
      <c r="AA1647" s="294"/>
      <c r="AB1647" s="294"/>
      <c r="AC1647" s="294"/>
    </row>
    <row r="1648" spans="2:29" x14ac:dyDescent="0.25">
      <c r="B1648" s="294"/>
      <c r="C1648" s="294"/>
      <c r="D1648" s="294"/>
      <c r="E1648" s="294"/>
      <c r="F1648" s="294"/>
      <c r="G1648" s="294"/>
      <c r="H1648" s="294"/>
      <c r="I1648" s="294"/>
      <c r="J1648" s="294"/>
      <c r="L1648" s="295"/>
      <c r="M1648" s="294"/>
      <c r="O1648" s="294"/>
      <c r="P1648" s="294"/>
      <c r="Q1648" s="294"/>
      <c r="R1648" s="294"/>
      <c r="S1648" s="294"/>
      <c r="T1648" s="294"/>
      <c r="U1648" s="326"/>
      <c r="V1648" s="294"/>
      <c r="W1648" s="294"/>
      <c r="X1648" s="294"/>
      <c r="Y1648" s="294"/>
      <c r="Z1648" s="294"/>
      <c r="AA1648" s="294"/>
      <c r="AB1648" s="294"/>
      <c r="AC1648" s="294"/>
    </row>
    <row r="1649" spans="2:29" x14ac:dyDescent="0.25">
      <c r="B1649" s="294"/>
      <c r="C1649" s="294"/>
      <c r="D1649" s="294"/>
      <c r="E1649" s="294"/>
      <c r="F1649" s="294"/>
      <c r="G1649" s="294"/>
      <c r="H1649" s="294"/>
      <c r="I1649" s="294"/>
      <c r="J1649" s="294"/>
      <c r="L1649" s="295"/>
      <c r="M1649" s="294"/>
      <c r="O1649" s="294"/>
      <c r="P1649" s="294"/>
      <c r="Q1649" s="294"/>
      <c r="R1649" s="294"/>
      <c r="S1649" s="294"/>
      <c r="T1649" s="294"/>
      <c r="U1649" s="326"/>
      <c r="V1649" s="294"/>
      <c r="W1649" s="294"/>
      <c r="X1649" s="294"/>
      <c r="Y1649" s="294"/>
      <c r="Z1649" s="294"/>
      <c r="AA1649" s="294"/>
      <c r="AB1649" s="294"/>
      <c r="AC1649" s="294"/>
    </row>
    <row r="1650" spans="2:29" x14ac:dyDescent="0.25">
      <c r="B1650" s="294"/>
      <c r="C1650" s="294"/>
      <c r="D1650" s="294"/>
      <c r="E1650" s="294"/>
      <c r="F1650" s="294"/>
      <c r="G1650" s="294"/>
      <c r="H1650" s="294"/>
      <c r="I1650" s="294"/>
      <c r="J1650" s="294"/>
      <c r="L1650" s="295"/>
      <c r="M1650" s="294"/>
      <c r="O1650" s="294"/>
      <c r="P1650" s="294"/>
      <c r="Q1650" s="294"/>
      <c r="R1650" s="294"/>
      <c r="S1650" s="294"/>
      <c r="T1650" s="294"/>
      <c r="U1650" s="326"/>
      <c r="V1650" s="294"/>
      <c r="W1650" s="294"/>
      <c r="X1650" s="294"/>
      <c r="Y1650" s="294"/>
      <c r="Z1650" s="294"/>
      <c r="AA1650" s="294"/>
      <c r="AB1650" s="294"/>
      <c r="AC1650" s="294"/>
    </row>
    <row r="1651" spans="2:29" x14ac:dyDescent="0.25">
      <c r="B1651" s="294"/>
      <c r="C1651" s="294"/>
      <c r="D1651" s="294"/>
      <c r="E1651" s="294"/>
      <c r="F1651" s="294"/>
      <c r="G1651" s="294"/>
      <c r="H1651" s="294"/>
      <c r="I1651" s="294"/>
      <c r="J1651" s="294"/>
      <c r="L1651" s="295"/>
      <c r="M1651" s="294"/>
      <c r="O1651" s="294"/>
      <c r="P1651" s="294"/>
      <c r="Q1651" s="294"/>
      <c r="R1651" s="294"/>
      <c r="S1651" s="294"/>
      <c r="T1651" s="294"/>
      <c r="U1651" s="326"/>
      <c r="V1651" s="294"/>
      <c r="W1651" s="294"/>
      <c r="X1651" s="294"/>
      <c r="Y1651" s="294"/>
      <c r="Z1651" s="294"/>
      <c r="AA1651" s="294"/>
      <c r="AB1651" s="294"/>
      <c r="AC1651" s="294"/>
    </row>
    <row r="1652" spans="2:29" x14ac:dyDescent="0.25">
      <c r="B1652" s="294"/>
      <c r="C1652" s="294"/>
      <c r="D1652" s="294"/>
      <c r="E1652" s="294"/>
      <c r="F1652" s="294"/>
      <c r="G1652" s="294"/>
      <c r="H1652" s="294"/>
      <c r="I1652" s="294"/>
      <c r="J1652" s="294"/>
      <c r="L1652" s="295"/>
      <c r="M1652" s="294"/>
      <c r="O1652" s="294"/>
      <c r="P1652" s="294"/>
      <c r="Q1652" s="294"/>
      <c r="R1652" s="294"/>
      <c r="S1652" s="294"/>
      <c r="T1652" s="294"/>
      <c r="U1652" s="326"/>
      <c r="V1652" s="294"/>
      <c r="W1652" s="294"/>
      <c r="X1652" s="294"/>
      <c r="Y1652" s="294"/>
      <c r="Z1652" s="294"/>
      <c r="AA1652" s="294"/>
      <c r="AB1652" s="294"/>
      <c r="AC1652" s="294"/>
    </row>
    <row r="1653" spans="2:29" x14ac:dyDescent="0.25">
      <c r="B1653" s="294"/>
      <c r="C1653" s="294"/>
      <c r="D1653" s="294"/>
      <c r="E1653" s="294"/>
      <c r="F1653" s="294"/>
      <c r="G1653" s="294"/>
      <c r="H1653" s="294"/>
      <c r="I1653" s="294"/>
      <c r="J1653" s="294"/>
      <c r="L1653" s="295"/>
      <c r="M1653" s="294"/>
      <c r="O1653" s="294"/>
      <c r="P1653" s="294"/>
      <c r="Q1653" s="294"/>
      <c r="R1653" s="294"/>
      <c r="S1653" s="294"/>
      <c r="T1653" s="294"/>
      <c r="U1653" s="326"/>
      <c r="V1653" s="294"/>
      <c r="W1653" s="294"/>
      <c r="X1653" s="294"/>
      <c r="Y1653" s="294"/>
      <c r="Z1653" s="294"/>
      <c r="AA1653" s="294"/>
      <c r="AB1653" s="294"/>
      <c r="AC1653" s="294"/>
    </row>
    <row r="1654" spans="2:29" x14ac:dyDescent="0.25">
      <c r="B1654" s="294"/>
      <c r="C1654" s="294"/>
      <c r="D1654" s="294"/>
      <c r="E1654" s="294"/>
      <c r="F1654" s="294"/>
      <c r="G1654" s="294"/>
      <c r="H1654" s="294"/>
      <c r="I1654" s="294"/>
      <c r="J1654" s="294"/>
      <c r="L1654" s="295"/>
      <c r="M1654" s="294"/>
      <c r="O1654" s="294"/>
      <c r="P1654" s="294"/>
      <c r="Q1654" s="294"/>
      <c r="R1654" s="294"/>
      <c r="S1654" s="294"/>
      <c r="T1654" s="294"/>
      <c r="U1654" s="326"/>
      <c r="V1654" s="294"/>
      <c r="W1654" s="294"/>
      <c r="X1654" s="294"/>
      <c r="Y1654" s="294"/>
      <c r="Z1654" s="294"/>
      <c r="AA1654" s="294"/>
      <c r="AB1654" s="294"/>
      <c r="AC1654" s="294"/>
    </row>
    <row r="1655" spans="2:29" x14ac:dyDescent="0.25">
      <c r="B1655" s="294"/>
      <c r="C1655" s="294"/>
      <c r="D1655" s="294"/>
      <c r="E1655" s="294"/>
      <c r="F1655" s="294"/>
      <c r="G1655" s="294"/>
      <c r="H1655" s="294"/>
      <c r="I1655" s="294"/>
      <c r="J1655" s="294"/>
      <c r="L1655" s="295"/>
      <c r="M1655" s="294"/>
      <c r="O1655" s="294"/>
      <c r="P1655" s="294"/>
      <c r="Q1655" s="294"/>
      <c r="R1655" s="294"/>
      <c r="S1655" s="294"/>
      <c r="T1655" s="294"/>
      <c r="U1655" s="326"/>
      <c r="V1655" s="294"/>
      <c r="W1655" s="294"/>
      <c r="X1655" s="294"/>
      <c r="Y1655" s="294"/>
      <c r="Z1655" s="294"/>
      <c r="AA1655" s="294"/>
      <c r="AB1655" s="294"/>
      <c r="AC1655" s="294"/>
    </row>
    <row r="1656" spans="2:29" x14ac:dyDescent="0.25">
      <c r="B1656" s="294"/>
      <c r="C1656" s="294"/>
      <c r="D1656" s="294"/>
      <c r="E1656" s="294"/>
      <c r="F1656" s="294"/>
      <c r="G1656" s="294"/>
      <c r="H1656" s="294"/>
      <c r="I1656" s="294"/>
      <c r="J1656" s="294"/>
      <c r="L1656" s="295"/>
      <c r="M1656" s="294"/>
      <c r="O1656" s="294"/>
      <c r="P1656" s="294"/>
      <c r="Q1656" s="294"/>
      <c r="R1656" s="294"/>
      <c r="S1656" s="294"/>
      <c r="T1656" s="294"/>
      <c r="U1656" s="326"/>
      <c r="V1656" s="294"/>
      <c r="W1656" s="294"/>
      <c r="X1656" s="294"/>
      <c r="Y1656" s="294"/>
      <c r="Z1656" s="294"/>
      <c r="AA1656" s="294"/>
      <c r="AB1656" s="294"/>
      <c r="AC1656" s="294"/>
    </row>
    <row r="1657" spans="2:29" x14ac:dyDescent="0.25">
      <c r="B1657" s="294"/>
      <c r="C1657" s="294"/>
      <c r="D1657" s="294"/>
      <c r="E1657" s="294"/>
      <c r="F1657" s="294"/>
      <c r="G1657" s="294"/>
      <c r="H1657" s="294"/>
      <c r="I1657" s="294"/>
      <c r="J1657" s="294"/>
      <c r="L1657" s="295"/>
      <c r="M1657" s="294"/>
      <c r="O1657" s="294"/>
      <c r="P1657" s="294"/>
      <c r="Q1657" s="294"/>
      <c r="R1657" s="294"/>
      <c r="S1657" s="294"/>
      <c r="T1657" s="294"/>
      <c r="U1657" s="326"/>
      <c r="V1657" s="294"/>
      <c r="W1657" s="294"/>
      <c r="X1657" s="294"/>
      <c r="Y1657" s="294"/>
      <c r="Z1657" s="294"/>
      <c r="AA1657" s="294"/>
      <c r="AB1657" s="294"/>
      <c r="AC1657" s="294"/>
    </row>
    <row r="1658" spans="2:29" x14ac:dyDescent="0.25">
      <c r="B1658" s="294"/>
      <c r="C1658" s="294"/>
      <c r="D1658" s="294"/>
      <c r="E1658" s="294"/>
      <c r="F1658" s="294"/>
      <c r="G1658" s="294"/>
      <c r="H1658" s="294"/>
      <c r="I1658" s="294"/>
      <c r="J1658" s="294"/>
      <c r="L1658" s="295"/>
      <c r="M1658" s="294"/>
      <c r="O1658" s="294"/>
      <c r="P1658" s="294"/>
      <c r="Q1658" s="294"/>
      <c r="R1658" s="294"/>
      <c r="S1658" s="294"/>
      <c r="T1658" s="294"/>
      <c r="U1658" s="326"/>
      <c r="V1658" s="294"/>
      <c r="W1658" s="294"/>
      <c r="X1658" s="294"/>
      <c r="Y1658" s="294"/>
      <c r="Z1658" s="294"/>
      <c r="AA1658" s="294"/>
      <c r="AB1658" s="294"/>
      <c r="AC1658" s="294"/>
    </row>
    <row r="1659" spans="2:29" x14ac:dyDescent="0.25">
      <c r="B1659" s="294"/>
      <c r="C1659" s="294"/>
      <c r="D1659" s="294"/>
      <c r="E1659" s="294"/>
      <c r="F1659" s="294"/>
      <c r="G1659" s="294"/>
      <c r="H1659" s="294"/>
      <c r="I1659" s="294"/>
      <c r="J1659" s="294"/>
      <c r="L1659" s="295"/>
      <c r="M1659" s="294"/>
      <c r="O1659" s="294"/>
      <c r="P1659" s="294"/>
      <c r="Q1659" s="294"/>
      <c r="R1659" s="294"/>
      <c r="S1659" s="294"/>
      <c r="T1659" s="294"/>
      <c r="U1659" s="326"/>
      <c r="V1659" s="294"/>
      <c r="W1659" s="294"/>
      <c r="X1659" s="294"/>
      <c r="Y1659" s="294"/>
      <c r="Z1659" s="294"/>
      <c r="AA1659" s="294"/>
      <c r="AB1659" s="294"/>
      <c r="AC1659" s="294"/>
    </row>
    <row r="1660" spans="2:29" x14ac:dyDescent="0.25">
      <c r="B1660" s="294"/>
      <c r="C1660" s="294"/>
      <c r="D1660" s="294"/>
      <c r="E1660" s="294"/>
      <c r="F1660" s="294"/>
      <c r="G1660" s="294"/>
      <c r="H1660" s="294"/>
      <c r="I1660" s="294"/>
      <c r="J1660" s="294"/>
      <c r="L1660" s="295"/>
      <c r="M1660" s="294"/>
      <c r="O1660" s="294"/>
      <c r="P1660" s="294"/>
      <c r="Q1660" s="294"/>
      <c r="R1660" s="294"/>
      <c r="S1660" s="294"/>
      <c r="T1660" s="294"/>
      <c r="U1660" s="326"/>
      <c r="V1660" s="294"/>
      <c r="W1660" s="294"/>
      <c r="X1660" s="294"/>
      <c r="Y1660" s="294"/>
      <c r="Z1660" s="294"/>
      <c r="AA1660" s="294"/>
      <c r="AB1660" s="294"/>
      <c r="AC1660" s="294"/>
    </row>
    <row r="1661" spans="2:29" x14ac:dyDescent="0.25">
      <c r="B1661" s="294"/>
      <c r="C1661" s="294"/>
      <c r="D1661" s="294"/>
      <c r="E1661" s="294"/>
      <c r="F1661" s="294"/>
      <c r="G1661" s="294"/>
      <c r="H1661" s="294"/>
      <c r="I1661" s="294"/>
      <c r="J1661" s="294"/>
      <c r="L1661" s="295"/>
      <c r="M1661" s="294"/>
      <c r="O1661" s="294"/>
      <c r="P1661" s="294"/>
      <c r="Q1661" s="294"/>
      <c r="R1661" s="294"/>
      <c r="S1661" s="294"/>
      <c r="T1661" s="294"/>
      <c r="U1661" s="326"/>
      <c r="V1661" s="294"/>
      <c r="W1661" s="294"/>
      <c r="X1661" s="294"/>
      <c r="Y1661" s="294"/>
      <c r="Z1661" s="294"/>
      <c r="AA1661" s="294"/>
      <c r="AB1661" s="294"/>
      <c r="AC1661" s="294"/>
    </row>
    <row r="1662" spans="2:29" x14ac:dyDescent="0.25">
      <c r="B1662" s="294"/>
      <c r="C1662" s="294"/>
      <c r="D1662" s="294"/>
      <c r="E1662" s="294"/>
      <c r="F1662" s="294"/>
      <c r="G1662" s="294"/>
      <c r="H1662" s="294"/>
      <c r="I1662" s="294"/>
      <c r="J1662" s="294"/>
      <c r="L1662" s="295"/>
      <c r="M1662" s="294"/>
      <c r="O1662" s="294"/>
      <c r="P1662" s="294"/>
      <c r="Q1662" s="294"/>
      <c r="R1662" s="294"/>
      <c r="S1662" s="294"/>
      <c r="T1662" s="294"/>
      <c r="U1662" s="326"/>
      <c r="V1662" s="294"/>
      <c r="W1662" s="294"/>
      <c r="X1662" s="294"/>
      <c r="Y1662" s="294"/>
      <c r="Z1662" s="294"/>
      <c r="AA1662" s="294"/>
      <c r="AB1662" s="294"/>
      <c r="AC1662" s="294"/>
    </row>
    <row r="1663" spans="2:29" x14ac:dyDescent="0.25">
      <c r="B1663" s="294"/>
      <c r="C1663" s="294"/>
      <c r="D1663" s="294"/>
      <c r="E1663" s="294"/>
      <c r="F1663" s="294"/>
      <c r="G1663" s="294"/>
      <c r="H1663" s="294"/>
      <c r="I1663" s="294"/>
      <c r="J1663" s="294"/>
      <c r="L1663" s="295"/>
      <c r="M1663" s="294"/>
      <c r="O1663" s="294"/>
      <c r="P1663" s="294"/>
      <c r="Q1663" s="294"/>
      <c r="R1663" s="294"/>
      <c r="S1663" s="294"/>
      <c r="T1663" s="294"/>
      <c r="U1663" s="326"/>
      <c r="V1663" s="294"/>
      <c r="W1663" s="294"/>
      <c r="X1663" s="294"/>
      <c r="Y1663" s="294"/>
      <c r="Z1663" s="294"/>
      <c r="AA1663" s="294"/>
      <c r="AB1663" s="294"/>
      <c r="AC1663" s="294"/>
    </row>
    <row r="1664" spans="2:29" x14ac:dyDescent="0.25">
      <c r="B1664" s="294"/>
      <c r="C1664" s="294"/>
      <c r="D1664" s="294"/>
      <c r="E1664" s="294"/>
      <c r="F1664" s="294"/>
      <c r="G1664" s="294"/>
      <c r="H1664" s="294"/>
      <c r="I1664" s="294"/>
      <c r="J1664" s="294"/>
      <c r="L1664" s="295"/>
      <c r="M1664" s="294"/>
      <c r="O1664" s="294"/>
      <c r="P1664" s="294"/>
      <c r="Q1664" s="294"/>
      <c r="R1664" s="294"/>
      <c r="S1664" s="294"/>
      <c r="T1664" s="294"/>
      <c r="U1664" s="326"/>
      <c r="V1664" s="294"/>
      <c r="W1664" s="294"/>
      <c r="X1664" s="294"/>
      <c r="Y1664" s="294"/>
      <c r="Z1664" s="294"/>
      <c r="AA1664" s="294"/>
      <c r="AB1664" s="294"/>
      <c r="AC1664" s="294"/>
    </row>
    <row r="1665" spans="2:29" x14ac:dyDescent="0.25">
      <c r="B1665" s="294"/>
      <c r="C1665" s="294"/>
      <c r="D1665" s="294"/>
      <c r="E1665" s="294"/>
      <c r="F1665" s="294"/>
      <c r="G1665" s="294"/>
      <c r="H1665" s="294"/>
      <c r="I1665" s="294"/>
      <c r="J1665" s="294"/>
      <c r="L1665" s="295"/>
      <c r="M1665" s="294"/>
      <c r="O1665" s="294"/>
      <c r="P1665" s="294"/>
      <c r="Q1665" s="294"/>
      <c r="R1665" s="294"/>
      <c r="S1665" s="294"/>
      <c r="T1665" s="294"/>
      <c r="U1665" s="326"/>
      <c r="V1665" s="294"/>
      <c r="W1665" s="294"/>
      <c r="X1665" s="294"/>
      <c r="Y1665" s="294"/>
      <c r="Z1665" s="294"/>
      <c r="AA1665" s="294"/>
      <c r="AB1665" s="294"/>
      <c r="AC1665" s="294"/>
    </row>
    <row r="1666" spans="2:29" x14ac:dyDescent="0.25">
      <c r="B1666" s="294"/>
      <c r="C1666" s="294"/>
      <c r="D1666" s="294"/>
      <c r="E1666" s="294"/>
      <c r="F1666" s="294"/>
      <c r="G1666" s="294"/>
      <c r="H1666" s="294"/>
      <c r="I1666" s="294"/>
      <c r="J1666" s="294"/>
      <c r="L1666" s="295"/>
      <c r="M1666" s="294"/>
      <c r="O1666" s="294"/>
      <c r="P1666" s="294"/>
      <c r="Q1666" s="294"/>
      <c r="R1666" s="294"/>
      <c r="S1666" s="294"/>
      <c r="T1666" s="294"/>
      <c r="U1666" s="326"/>
      <c r="V1666" s="294"/>
      <c r="W1666" s="294"/>
      <c r="X1666" s="294"/>
      <c r="Y1666" s="294"/>
      <c r="Z1666" s="294"/>
      <c r="AA1666" s="294"/>
      <c r="AB1666" s="294"/>
      <c r="AC1666" s="294"/>
    </row>
    <row r="1667" spans="2:29" x14ac:dyDescent="0.25">
      <c r="B1667" s="294"/>
      <c r="C1667" s="294"/>
      <c r="D1667" s="294"/>
      <c r="E1667" s="294"/>
      <c r="F1667" s="294"/>
      <c r="G1667" s="294"/>
      <c r="H1667" s="294"/>
      <c r="I1667" s="294"/>
      <c r="J1667" s="294"/>
      <c r="L1667" s="295"/>
      <c r="M1667" s="294"/>
      <c r="O1667" s="294"/>
      <c r="P1667" s="294"/>
      <c r="Q1667" s="294"/>
      <c r="R1667" s="294"/>
      <c r="S1667" s="294"/>
      <c r="T1667" s="294"/>
      <c r="U1667" s="326"/>
      <c r="V1667" s="294"/>
      <c r="W1667" s="294"/>
      <c r="X1667" s="294"/>
      <c r="Y1667" s="294"/>
      <c r="Z1667" s="294"/>
      <c r="AA1667" s="294"/>
      <c r="AB1667" s="294"/>
      <c r="AC1667" s="294"/>
    </row>
    <row r="1668" spans="2:29" x14ac:dyDescent="0.25">
      <c r="B1668" s="294"/>
      <c r="C1668" s="294"/>
      <c r="D1668" s="294"/>
      <c r="E1668" s="294"/>
      <c r="F1668" s="294"/>
      <c r="G1668" s="294"/>
      <c r="H1668" s="294"/>
      <c r="I1668" s="294"/>
      <c r="J1668" s="294"/>
      <c r="L1668" s="295"/>
      <c r="M1668" s="294"/>
      <c r="O1668" s="294"/>
      <c r="P1668" s="294"/>
      <c r="Q1668" s="294"/>
      <c r="R1668" s="294"/>
      <c r="S1668" s="294"/>
      <c r="T1668" s="294"/>
      <c r="U1668" s="326"/>
      <c r="V1668" s="294"/>
      <c r="W1668" s="294"/>
      <c r="X1668" s="294"/>
      <c r="Y1668" s="294"/>
      <c r="Z1668" s="294"/>
      <c r="AA1668" s="294"/>
      <c r="AB1668" s="294"/>
      <c r="AC1668" s="294"/>
    </row>
    <row r="1669" spans="2:29" x14ac:dyDescent="0.25">
      <c r="B1669" s="294"/>
      <c r="C1669" s="294"/>
      <c r="D1669" s="294"/>
      <c r="E1669" s="294"/>
      <c r="F1669" s="294"/>
      <c r="G1669" s="294"/>
      <c r="H1669" s="294"/>
      <c r="I1669" s="294"/>
      <c r="J1669" s="294"/>
      <c r="L1669" s="295"/>
      <c r="M1669" s="294"/>
      <c r="O1669" s="294"/>
      <c r="P1669" s="294"/>
      <c r="Q1669" s="294"/>
      <c r="R1669" s="294"/>
      <c r="S1669" s="294"/>
      <c r="T1669" s="294"/>
      <c r="U1669" s="326"/>
      <c r="V1669" s="294"/>
      <c r="W1669" s="294"/>
      <c r="X1669" s="294"/>
      <c r="Y1669" s="294"/>
      <c r="Z1669" s="294"/>
      <c r="AA1669" s="294"/>
      <c r="AB1669" s="294"/>
      <c r="AC1669" s="294"/>
    </row>
    <row r="1670" spans="2:29" x14ac:dyDescent="0.25">
      <c r="B1670" s="294"/>
      <c r="C1670" s="294"/>
      <c r="D1670" s="294"/>
      <c r="E1670" s="294"/>
      <c r="F1670" s="294"/>
      <c r="G1670" s="294"/>
      <c r="H1670" s="294"/>
      <c r="I1670" s="294"/>
      <c r="J1670" s="294"/>
      <c r="L1670" s="295"/>
      <c r="M1670" s="294"/>
      <c r="O1670" s="294"/>
      <c r="P1670" s="294"/>
      <c r="Q1670" s="294"/>
      <c r="R1670" s="294"/>
      <c r="S1670" s="294"/>
      <c r="T1670" s="294"/>
      <c r="U1670" s="326"/>
      <c r="V1670" s="294"/>
      <c r="W1670" s="294"/>
      <c r="X1670" s="294"/>
      <c r="Y1670" s="294"/>
      <c r="Z1670" s="294"/>
      <c r="AA1670" s="294"/>
      <c r="AB1670" s="294"/>
      <c r="AC1670" s="294"/>
    </row>
    <row r="1671" spans="2:29" x14ac:dyDescent="0.25">
      <c r="B1671" s="294"/>
      <c r="C1671" s="294"/>
      <c r="D1671" s="294"/>
      <c r="E1671" s="294"/>
      <c r="F1671" s="294"/>
      <c r="G1671" s="294"/>
      <c r="H1671" s="294"/>
      <c r="I1671" s="294"/>
      <c r="J1671" s="294"/>
      <c r="L1671" s="295"/>
      <c r="M1671" s="294"/>
      <c r="O1671" s="294"/>
      <c r="P1671" s="294"/>
      <c r="Q1671" s="294"/>
      <c r="R1671" s="294"/>
      <c r="S1671" s="294"/>
      <c r="T1671" s="294"/>
      <c r="U1671" s="326"/>
      <c r="V1671" s="294"/>
      <c r="W1671" s="294"/>
      <c r="X1671" s="294"/>
      <c r="Y1671" s="294"/>
      <c r="Z1671" s="294"/>
      <c r="AA1671" s="294"/>
      <c r="AB1671" s="294"/>
      <c r="AC1671" s="294"/>
    </row>
    <row r="1672" spans="2:29" x14ac:dyDescent="0.25">
      <c r="B1672" s="294"/>
      <c r="C1672" s="294"/>
      <c r="D1672" s="294"/>
      <c r="E1672" s="294"/>
      <c r="F1672" s="294"/>
      <c r="G1672" s="294"/>
      <c r="H1672" s="294"/>
      <c r="I1672" s="294"/>
      <c r="J1672" s="294"/>
      <c r="L1672" s="295"/>
      <c r="M1672" s="294"/>
      <c r="O1672" s="294"/>
      <c r="P1672" s="294"/>
      <c r="Q1672" s="294"/>
      <c r="R1672" s="294"/>
      <c r="S1672" s="294"/>
      <c r="T1672" s="294"/>
      <c r="U1672" s="326"/>
      <c r="V1672" s="294"/>
      <c r="W1672" s="294"/>
      <c r="X1672" s="294"/>
      <c r="Y1672" s="294"/>
      <c r="Z1672" s="294"/>
      <c r="AA1672" s="294"/>
      <c r="AB1672" s="294"/>
      <c r="AC1672" s="294"/>
    </row>
    <row r="1673" spans="2:29" x14ac:dyDescent="0.25">
      <c r="B1673" s="294"/>
      <c r="C1673" s="294"/>
      <c r="D1673" s="294"/>
      <c r="E1673" s="294"/>
      <c r="F1673" s="294"/>
      <c r="G1673" s="294"/>
      <c r="H1673" s="294"/>
      <c r="I1673" s="294"/>
      <c r="J1673" s="294"/>
      <c r="L1673" s="295"/>
      <c r="M1673" s="294"/>
      <c r="O1673" s="294"/>
      <c r="P1673" s="294"/>
      <c r="Q1673" s="294"/>
      <c r="R1673" s="294"/>
      <c r="S1673" s="294"/>
      <c r="T1673" s="294"/>
      <c r="U1673" s="326"/>
      <c r="V1673" s="294"/>
      <c r="W1673" s="294"/>
      <c r="X1673" s="294"/>
      <c r="Y1673" s="294"/>
      <c r="Z1673" s="294"/>
      <c r="AA1673" s="294"/>
      <c r="AB1673" s="294"/>
      <c r="AC1673" s="294"/>
    </row>
    <row r="1674" spans="2:29" x14ac:dyDescent="0.25">
      <c r="B1674" s="294"/>
      <c r="C1674" s="294"/>
      <c r="D1674" s="294"/>
      <c r="E1674" s="294"/>
      <c r="F1674" s="294"/>
      <c r="G1674" s="294"/>
      <c r="H1674" s="294"/>
      <c r="I1674" s="294"/>
      <c r="J1674" s="294"/>
      <c r="L1674" s="295"/>
      <c r="M1674" s="294"/>
      <c r="O1674" s="294"/>
      <c r="P1674" s="294"/>
      <c r="Q1674" s="294"/>
      <c r="R1674" s="294"/>
      <c r="S1674" s="294"/>
      <c r="T1674" s="294"/>
      <c r="U1674" s="326"/>
      <c r="V1674" s="294"/>
      <c r="W1674" s="294"/>
      <c r="X1674" s="294"/>
      <c r="Y1674" s="294"/>
      <c r="Z1674" s="294"/>
      <c r="AA1674" s="294"/>
      <c r="AB1674" s="294"/>
      <c r="AC1674" s="294"/>
    </row>
    <row r="1675" spans="2:29" x14ac:dyDescent="0.25">
      <c r="B1675" s="294"/>
      <c r="C1675" s="294"/>
      <c r="D1675" s="294"/>
      <c r="E1675" s="294"/>
      <c r="F1675" s="294"/>
      <c r="G1675" s="294"/>
      <c r="H1675" s="294"/>
      <c r="I1675" s="294"/>
      <c r="J1675" s="294"/>
      <c r="L1675" s="295"/>
      <c r="M1675" s="294"/>
      <c r="O1675" s="294"/>
      <c r="P1675" s="294"/>
      <c r="Q1675" s="294"/>
      <c r="R1675" s="294"/>
      <c r="S1675" s="294"/>
      <c r="T1675" s="294"/>
      <c r="U1675" s="326"/>
      <c r="V1675" s="294"/>
      <c r="W1675" s="294"/>
      <c r="X1675" s="294"/>
      <c r="Y1675" s="294"/>
      <c r="Z1675" s="294"/>
      <c r="AA1675" s="294"/>
      <c r="AB1675" s="294"/>
      <c r="AC1675" s="294"/>
    </row>
    <row r="1676" spans="2:29" x14ac:dyDescent="0.25">
      <c r="B1676" s="294"/>
      <c r="C1676" s="294"/>
      <c r="D1676" s="294"/>
      <c r="E1676" s="294"/>
      <c r="F1676" s="294"/>
      <c r="G1676" s="294"/>
      <c r="H1676" s="294"/>
      <c r="I1676" s="294"/>
      <c r="J1676" s="294"/>
      <c r="L1676" s="295"/>
      <c r="M1676" s="294"/>
      <c r="O1676" s="294"/>
      <c r="P1676" s="294"/>
      <c r="Q1676" s="294"/>
      <c r="R1676" s="294"/>
      <c r="S1676" s="294"/>
      <c r="T1676" s="294"/>
      <c r="U1676" s="326"/>
      <c r="V1676" s="294"/>
      <c r="W1676" s="294"/>
      <c r="X1676" s="294"/>
      <c r="Y1676" s="294"/>
      <c r="Z1676" s="294"/>
      <c r="AA1676" s="294"/>
      <c r="AB1676" s="294"/>
      <c r="AC1676" s="294"/>
    </row>
    <row r="1677" spans="2:29" x14ac:dyDescent="0.25">
      <c r="B1677" s="294"/>
      <c r="C1677" s="294"/>
      <c r="D1677" s="294"/>
      <c r="E1677" s="294"/>
      <c r="F1677" s="294"/>
      <c r="G1677" s="294"/>
      <c r="H1677" s="294"/>
      <c r="I1677" s="294"/>
      <c r="J1677" s="294"/>
      <c r="L1677" s="295"/>
      <c r="M1677" s="294"/>
      <c r="O1677" s="294"/>
      <c r="P1677" s="294"/>
      <c r="Q1677" s="294"/>
      <c r="R1677" s="294"/>
      <c r="S1677" s="294"/>
      <c r="T1677" s="294"/>
      <c r="U1677" s="326"/>
      <c r="V1677" s="294"/>
      <c r="W1677" s="294"/>
      <c r="X1677" s="294"/>
      <c r="Y1677" s="294"/>
      <c r="Z1677" s="294"/>
      <c r="AA1677" s="294"/>
      <c r="AB1677" s="294"/>
      <c r="AC1677" s="294"/>
    </row>
    <row r="1678" spans="2:29" x14ac:dyDescent="0.25">
      <c r="B1678" s="294"/>
      <c r="C1678" s="294"/>
      <c r="D1678" s="294"/>
      <c r="E1678" s="294"/>
      <c r="F1678" s="294"/>
      <c r="G1678" s="294"/>
      <c r="H1678" s="294"/>
      <c r="I1678" s="294"/>
      <c r="J1678" s="294"/>
      <c r="L1678" s="295"/>
      <c r="M1678" s="294"/>
      <c r="O1678" s="294"/>
      <c r="P1678" s="294"/>
      <c r="Q1678" s="294"/>
      <c r="R1678" s="294"/>
      <c r="S1678" s="294"/>
      <c r="T1678" s="294"/>
      <c r="U1678" s="326"/>
      <c r="V1678" s="294"/>
      <c r="W1678" s="294"/>
      <c r="X1678" s="294"/>
      <c r="Y1678" s="294"/>
      <c r="Z1678" s="294"/>
      <c r="AA1678" s="294"/>
      <c r="AB1678" s="294"/>
      <c r="AC1678" s="294"/>
    </row>
    <row r="1679" spans="2:29" x14ac:dyDescent="0.25">
      <c r="B1679" s="294"/>
      <c r="C1679" s="294"/>
      <c r="D1679" s="294"/>
      <c r="E1679" s="294"/>
      <c r="F1679" s="294"/>
      <c r="G1679" s="294"/>
      <c r="H1679" s="294"/>
      <c r="I1679" s="294"/>
      <c r="J1679" s="294"/>
      <c r="L1679" s="295"/>
      <c r="M1679" s="294"/>
      <c r="O1679" s="294"/>
      <c r="P1679" s="294"/>
      <c r="Q1679" s="294"/>
      <c r="R1679" s="294"/>
      <c r="S1679" s="294"/>
      <c r="T1679" s="294"/>
      <c r="U1679" s="326"/>
      <c r="V1679" s="294"/>
      <c r="W1679" s="294"/>
      <c r="X1679" s="294"/>
      <c r="Y1679" s="294"/>
      <c r="Z1679" s="294"/>
      <c r="AA1679" s="294"/>
      <c r="AB1679" s="294"/>
      <c r="AC1679" s="294"/>
    </row>
    <row r="1680" spans="2:29" x14ac:dyDescent="0.25">
      <c r="B1680" s="294"/>
      <c r="C1680" s="294"/>
      <c r="D1680" s="294"/>
      <c r="E1680" s="294"/>
      <c r="F1680" s="294"/>
      <c r="G1680" s="294"/>
      <c r="H1680" s="294"/>
      <c r="I1680" s="294"/>
      <c r="J1680" s="294"/>
      <c r="L1680" s="295"/>
      <c r="M1680" s="294"/>
      <c r="O1680" s="294"/>
      <c r="P1680" s="294"/>
      <c r="Q1680" s="294"/>
      <c r="R1680" s="294"/>
      <c r="S1680" s="294"/>
      <c r="T1680" s="294"/>
      <c r="U1680" s="326"/>
      <c r="V1680" s="294"/>
      <c r="W1680" s="294"/>
      <c r="X1680" s="294"/>
      <c r="Y1680" s="294"/>
      <c r="Z1680" s="294"/>
      <c r="AA1680" s="294"/>
      <c r="AB1680" s="294"/>
      <c r="AC1680" s="294"/>
    </row>
    <row r="1681" spans="2:29" x14ac:dyDescent="0.25">
      <c r="B1681" s="294"/>
      <c r="C1681" s="294"/>
      <c r="D1681" s="294"/>
      <c r="E1681" s="294"/>
      <c r="F1681" s="294"/>
      <c r="G1681" s="294"/>
      <c r="H1681" s="294"/>
      <c r="I1681" s="294"/>
      <c r="J1681" s="294"/>
      <c r="L1681" s="295"/>
      <c r="M1681" s="294"/>
      <c r="O1681" s="294"/>
      <c r="P1681" s="294"/>
      <c r="Q1681" s="294"/>
      <c r="R1681" s="294"/>
      <c r="S1681" s="294"/>
      <c r="T1681" s="294"/>
      <c r="U1681" s="326"/>
      <c r="V1681" s="294"/>
      <c r="W1681" s="294"/>
      <c r="X1681" s="294"/>
      <c r="Y1681" s="294"/>
      <c r="Z1681" s="294"/>
      <c r="AA1681" s="294"/>
      <c r="AB1681" s="294"/>
      <c r="AC1681" s="294"/>
    </row>
    <row r="1682" spans="2:29" x14ac:dyDescent="0.25">
      <c r="B1682" s="294"/>
      <c r="C1682" s="294"/>
      <c r="D1682" s="294"/>
      <c r="E1682" s="294"/>
      <c r="F1682" s="294"/>
      <c r="G1682" s="294"/>
      <c r="H1682" s="294"/>
      <c r="I1682" s="294"/>
      <c r="J1682" s="294"/>
      <c r="L1682" s="295"/>
      <c r="M1682" s="294"/>
      <c r="O1682" s="294"/>
      <c r="P1682" s="294"/>
      <c r="Q1682" s="294"/>
      <c r="R1682" s="294"/>
      <c r="S1682" s="294"/>
      <c r="T1682" s="294"/>
      <c r="U1682" s="326"/>
      <c r="V1682" s="294"/>
      <c r="W1682" s="294"/>
      <c r="X1682" s="294"/>
      <c r="Y1682" s="294"/>
      <c r="Z1682" s="294"/>
      <c r="AA1682" s="294"/>
      <c r="AB1682" s="294"/>
      <c r="AC1682" s="294"/>
    </row>
    <row r="1683" spans="2:29" x14ac:dyDescent="0.25">
      <c r="B1683" s="294"/>
      <c r="C1683" s="294"/>
      <c r="D1683" s="294"/>
      <c r="E1683" s="294"/>
      <c r="F1683" s="294"/>
      <c r="G1683" s="294"/>
      <c r="H1683" s="294"/>
      <c r="I1683" s="294"/>
      <c r="J1683" s="294"/>
      <c r="L1683" s="295"/>
      <c r="M1683" s="294"/>
      <c r="O1683" s="294"/>
      <c r="P1683" s="294"/>
      <c r="Q1683" s="294"/>
      <c r="R1683" s="294"/>
      <c r="S1683" s="294"/>
      <c r="T1683" s="294"/>
      <c r="U1683" s="326"/>
      <c r="V1683" s="294"/>
      <c r="W1683" s="294"/>
      <c r="X1683" s="294"/>
      <c r="Y1683" s="294"/>
      <c r="Z1683" s="294"/>
      <c r="AA1683" s="294"/>
      <c r="AB1683" s="294"/>
      <c r="AC1683" s="294"/>
    </row>
    <row r="1684" spans="2:29" x14ac:dyDescent="0.25">
      <c r="B1684" s="294"/>
      <c r="C1684" s="294"/>
      <c r="D1684" s="294"/>
      <c r="E1684" s="294"/>
      <c r="F1684" s="294"/>
      <c r="G1684" s="294"/>
      <c r="H1684" s="294"/>
      <c r="I1684" s="294"/>
      <c r="J1684" s="294"/>
      <c r="L1684" s="295"/>
      <c r="M1684" s="294"/>
      <c r="O1684" s="294"/>
      <c r="P1684" s="294"/>
      <c r="Q1684" s="294"/>
      <c r="R1684" s="294"/>
      <c r="S1684" s="294"/>
      <c r="T1684" s="294"/>
      <c r="U1684" s="326"/>
      <c r="V1684" s="294"/>
      <c r="W1684" s="294"/>
      <c r="X1684" s="294"/>
      <c r="Y1684" s="294"/>
      <c r="Z1684" s="294"/>
      <c r="AA1684" s="294"/>
      <c r="AB1684" s="294"/>
      <c r="AC1684" s="294"/>
    </row>
    <row r="1685" spans="2:29" x14ac:dyDescent="0.25">
      <c r="B1685" s="294"/>
      <c r="C1685" s="294"/>
      <c r="D1685" s="294"/>
      <c r="E1685" s="294"/>
      <c r="F1685" s="294"/>
      <c r="G1685" s="294"/>
      <c r="H1685" s="294"/>
      <c r="I1685" s="294"/>
      <c r="J1685" s="294"/>
      <c r="L1685" s="295"/>
      <c r="M1685" s="294"/>
      <c r="O1685" s="294"/>
      <c r="P1685" s="294"/>
      <c r="Q1685" s="294"/>
      <c r="R1685" s="294"/>
      <c r="S1685" s="294"/>
      <c r="T1685" s="294"/>
      <c r="U1685" s="326"/>
      <c r="V1685" s="294"/>
      <c r="W1685" s="294"/>
      <c r="X1685" s="294"/>
      <c r="Y1685" s="294"/>
      <c r="Z1685" s="294"/>
      <c r="AA1685" s="294"/>
      <c r="AB1685" s="294"/>
      <c r="AC1685" s="294"/>
    </row>
    <row r="1686" spans="2:29" x14ac:dyDescent="0.25">
      <c r="B1686" s="294"/>
      <c r="C1686" s="294"/>
      <c r="D1686" s="294"/>
      <c r="E1686" s="294"/>
      <c r="F1686" s="294"/>
      <c r="G1686" s="294"/>
      <c r="H1686" s="294"/>
      <c r="I1686" s="294"/>
      <c r="J1686" s="294"/>
      <c r="L1686" s="295"/>
      <c r="M1686" s="294"/>
      <c r="O1686" s="294"/>
      <c r="P1686" s="294"/>
      <c r="Q1686" s="294"/>
      <c r="R1686" s="294"/>
      <c r="S1686" s="294"/>
      <c r="T1686" s="294"/>
      <c r="U1686" s="326"/>
      <c r="V1686" s="294"/>
      <c r="W1686" s="294"/>
      <c r="X1686" s="294"/>
      <c r="Y1686" s="294"/>
      <c r="Z1686" s="294"/>
      <c r="AA1686" s="294"/>
      <c r="AB1686" s="294"/>
      <c r="AC1686" s="294"/>
    </row>
    <row r="1687" spans="2:29" x14ac:dyDescent="0.25">
      <c r="B1687" s="294"/>
      <c r="C1687" s="294"/>
      <c r="D1687" s="294"/>
      <c r="E1687" s="294"/>
      <c r="F1687" s="294"/>
      <c r="G1687" s="294"/>
      <c r="H1687" s="294"/>
      <c r="I1687" s="294"/>
      <c r="J1687" s="294"/>
      <c r="L1687" s="295"/>
      <c r="M1687" s="294"/>
      <c r="O1687" s="294"/>
      <c r="P1687" s="294"/>
      <c r="Q1687" s="294"/>
      <c r="R1687" s="294"/>
      <c r="S1687" s="294"/>
      <c r="T1687" s="294"/>
      <c r="U1687" s="326"/>
      <c r="V1687" s="294"/>
      <c r="W1687" s="294"/>
      <c r="X1687" s="294"/>
      <c r="Y1687" s="294"/>
      <c r="Z1687" s="294"/>
      <c r="AA1687" s="294"/>
      <c r="AB1687" s="294"/>
      <c r="AC1687" s="294"/>
    </row>
    <row r="1688" spans="2:29" x14ac:dyDescent="0.25">
      <c r="B1688" s="294"/>
      <c r="C1688" s="294"/>
      <c r="D1688" s="294"/>
      <c r="E1688" s="294"/>
      <c r="F1688" s="294"/>
      <c r="G1688" s="294"/>
      <c r="H1688" s="294"/>
      <c r="I1688" s="294"/>
      <c r="J1688" s="294"/>
      <c r="L1688" s="295"/>
      <c r="M1688" s="294"/>
      <c r="O1688" s="294"/>
      <c r="P1688" s="294"/>
      <c r="Q1688" s="294"/>
      <c r="R1688" s="294"/>
      <c r="S1688" s="294"/>
      <c r="T1688" s="294"/>
      <c r="U1688" s="326"/>
      <c r="V1688" s="294"/>
      <c r="W1688" s="294"/>
      <c r="X1688" s="294"/>
      <c r="Y1688" s="294"/>
      <c r="Z1688" s="294"/>
      <c r="AA1688" s="294"/>
      <c r="AB1688" s="294"/>
      <c r="AC1688" s="294"/>
    </row>
    <row r="1689" spans="2:29" x14ac:dyDescent="0.25">
      <c r="B1689" s="294"/>
      <c r="C1689" s="294"/>
      <c r="D1689" s="294"/>
      <c r="E1689" s="294"/>
      <c r="F1689" s="294"/>
      <c r="G1689" s="294"/>
      <c r="H1689" s="294"/>
      <c r="I1689" s="294"/>
      <c r="J1689" s="294"/>
      <c r="L1689" s="295"/>
      <c r="M1689" s="294"/>
      <c r="O1689" s="294"/>
      <c r="P1689" s="294"/>
      <c r="Q1689" s="294"/>
      <c r="R1689" s="294"/>
      <c r="S1689" s="294"/>
      <c r="T1689" s="294"/>
      <c r="U1689" s="326"/>
      <c r="V1689" s="294"/>
      <c r="W1689" s="294"/>
      <c r="X1689" s="294"/>
      <c r="Y1689" s="294"/>
      <c r="Z1689" s="294"/>
      <c r="AA1689" s="294"/>
      <c r="AB1689" s="294"/>
      <c r="AC1689" s="294"/>
    </row>
    <row r="1690" spans="2:29" x14ac:dyDescent="0.25">
      <c r="B1690" s="294"/>
      <c r="C1690" s="294"/>
      <c r="D1690" s="294"/>
      <c r="E1690" s="294"/>
      <c r="F1690" s="294"/>
      <c r="G1690" s="294"/>
      <c r="H1690" s="294"/>
      <c r="I1690" s="294"/>
      <c r="J1690" s="294"/>
      <c r="L1690" s="295"/>
      <c r="M1690" s="294"/>
      <c r="O1690" s="294"/>
      <c r="P1690" s="294"/>
      <c r="Q1690" s="294"/>
      <c r="R1690" s="294"/>
      <c r="S1690" s="294"/>
      <c r="T1690" s="294"/>
      <c r="U1690" s="326"/>
      <c r="V1690" s="294"/>
      <c r="W1690" s="294"/>
      <c r="X1690" s="294"/>
      <c r="Y1690" s="294"/>
      <c r="Z1690" s="294"/>
      <c r="AA1690" s="294"/>
      <c r="AB1690" s="294"/>
      <c r="AC1690" s="294"/>
    </row>
    <row r="1691" spans="2:29" x14ac:dyDescent="0.25">
      <c r="B1691" s="294"/>
      <c r="C1691" s="294"/>
      <c r="D1691" s="294"/>
      <c r="E1691" s="294"/>
      <c r="F1691" s="294"/>
      <c r="G1691" s="294"/>
      <c r="H1691" s="294"/>
      <c r="I1691" s="294"/>
      <c r="J1691" s="294"/>
      <c r="L1691" s="295"/>
      <c r="M1691" s="294"/>
      <c r="O1691" s="294"/>
      <c r="P1691" s="294"/>
      <c r="Q1691" s="294"/>
      <c r="R1691" s="294"/>
      <c r="S1691" s="294"/>
      <c r="T1691" s="294"/>
      <c r="U1691" s="326"/>
      <c r="V1691" s="294"/>
      <c r="W1691" s="294"/>
      <c r="X1691" s="294"/>
      <c r="Y1691" s="294"/>
      <c r="Z1691" s="294"/>
      <c r="AA1691" s="294"/>
      <c r="AB1691" s="294"/>
      <c r="AC1691" s="294"/>
    </row>
    <row r="1692" spans="2:29" x14ac:dyDescent="0.25">
      <c r="B1692" s="294"/>
      <c r="C1692" s="294"/>
      <c r="D1692" s="294"/>
      <c r="E1692" s="294"/>
      <c r="F1692" s="294"/>
      <c r="G1692" s="294"/>
      <c r="H1692" s="294"/>
      <c r="I1692" s="294"/>
      <c r="J1692" s="294"/>
      <c r="L1692" s="295"/>
      <c r="M1692" s="294"/>
      <c r="O1692" s="294"/>
      <c r="P1692" s="294"/>
      <c r="Q1692" s="294"/>
      <c r="R1692" s="294"/>
      <c r="S1692" s="294"/>
      <c r="T1692" s="294"/>
      <c r="U1692" s="326"/>
      <c r="V1692" s="294"/>
      <c r="W1692" s="294"/>
      <c r="X1692" s="294"/>
      <c r="Y1692" s="294"/>
      <c r="Z1692" s="294"/>
      <c r="AA1692" s="294"/>
      <c r="AB1692" s="294"/>
      <c r="AC1692" s="294"/>
    </row>
    <row r="1693" spans="2:29" x14ac:dyDescent="0.25">
      <c r="B1693" s="294"/>
      <c r="C1693" s="294"/>
      <c r="D1693" s="294"/>
      <c r="E1693" s="294"/>
      <c r="F1693" s="294"/>
      <c r="G1693" s="294"/>
      <c r="H1693" s="294"/>
      <c r="I1693" s="294"/>
      <c r="J1693" s="294"/>
      <c r="L1693" s="295"/>
      <c r="M1693" s="294"/>
      <c r="O1693" s="294"/>
      <c r="P1693" s="294"/>
      <c r="Q1693" s="294"/>
      <c r="R1693" s="294"/>
      <c r="S1693" s="294"/>
      <c r="T1693" s="294"/>
      <c r="U1693" s="326"/>
      <c r="V1693" s="294"/>
      <c r="W1693" s="294"/>
      <c r="X1693" s="294"/>
      <c r="Y1693" s="294"/>
      <c r="Z1693" s="294"/>
      <c r="AA1693" s="294"/>
      <c r="AB1693" s="294"/>
      <c r="AC1693" s="294"/>
    </row>
    <row r="1694" spans="2:29" x14ac:dyDescent="0.25">
      <c r="B1694" s="294"/>
      <c r="C1694" s="294"/>
      <c r="D1694" s="294"/>
      <c r="E1694" s="294"/>
      <c r="F1694" s="294"/>
      <c r="G1694" s="294"/>
      <c r="H1694" s="294"/>
      <c r="I1694" s="294"/>
      <c r="J1694" s="294"/>
      <c r="L1694" s="295"/>
      <c r="M1694" s="294"/>
      <c r="O1694" s="294"/>
      <c r="P1694" s="294"/>
      <c r="Q1694" s="294"/>
      <c r="R1694" s="294"/>
      <c r="S1694" s="294"/>
      <c r="T1694" s="294"/>
      <c r="U1694" s="326"/>
      <c r="V1694" s="294"/>
      <c r="W1694" s="294"/>
      <c r="X1694" s="294"/>
      <c r="Y1694" s="294"/>
      <c r="Z1694" s="294"/>
      <c r="AA1694" s="294"/>
      <c r="AB1694" s="294"/>
      <c r="AC1694" s="294"/>
    </row>
    <row r="1695" spans="2:29" x14ac:dyDescent="0.25">
      <c r="B1695" s="294"/>
      <c r="C1695" s="294"/>
      <c r="D1695" s="294"/>
      <c r="E1695" s="294"/>
      <c r="F1695" s="294"/>
      <c r="G1695" s="294"/>
      <c r="H1695" s="294"/>
      <c r="I1695" s="294"/>
      <c r="J1695" s="294"/>
      <c r="L1695" s="295"/>
      <c r="M1695" s="294"/>
      <c r="O1695" s="294"/>
      <c r="P1695" s="294"/>
      <c r="Q1695" s="294"/>
      <c r="R1695" s="294"/>
      <c r="S1695" s="294"/>
      <c r="T1695" s="294"/>
      <c r="U1695" s="326"/>
      <c r="V1695" s="294"/>
      <c r="W1695" s="294"/>
      <c r="X1695" s="294"/>
      <c r="Y1695" s="294"/>
      <c r="Z1695" s="294"/>
      <c r="AA1695" s="294"/>
      <c r="AB1695" s="294"/>
      <c r="AC1695" s="294"/>
    </row>
    <row r="1696" spans="2:29" x14ac:dyDescent="0.25">
      <c r="B1696" s="294"/>
      <c r="C1696" s="294"/>
      <c r="D1696" s="294"/>
      <c r="E1696" s="294"/>
      <c r="F1696" s="294"/>
      <c r="G1696" s="294"/>
      <c r="H1696" s="294"/>
      <c r="I1696" s="294"/>
      <c r="J1696" s="294"/>
      <c r="L1696" s="295"/>
      <c r="M1696" s="294"/>
      <c r="O1696" s="294"/>
      <c r="P1696" s="294"/>
      <c r="Q1696" s="294"/>
      <c r="R1696" s="294"/>
      <c r="S1696" s="294"/>
      <c r="T1696" s="294"/>
      <c r="U1696" s="326"/>
      <c r="V1696" s="294"/>
      <c r="W1696" s="294"/>
      <c r="X1696" s="294"/>
      <c r="Y1696" s="294"/>
      <c r="Z1696" s="294"/>
      <c r="AA1696" s="294"/>
      <c r="AB1696" s="294"/>
      <c r="AC1696" s="294"/>
    </row>
    <row r="1697" spans="2:29" x14ac:dyDescent="0.25">
      <c r="B1697" s="294"/>
      <c r="C1697" s="294"/>
      <c r="D1697" s="294"/>
      <c r="E1697" s="294"/>
      <c r="F1697" s="294"/>
      <c r="G1697" s="294"/>
      <c r="H1697" s="294"/>
      <c r="I1697" s="294"/>
      <c r="J1697" s="294"/>
      <c r="L1697" s="295"/>
      <c r="M1697" s="294"/>
      <c r="O1697" s="294"/>
      <c r="P1697" s="294"/>
      <c r="Q1697" s="294"/>
      <c r="R1697" s="294"/>
      <c r="S1697" s="294"/>
      <c r="T1697" s="294"/>
      <c r="U1697" s="326"/>
      <c r="V1697" s="294"/>
      <c r="W1697" s="294"/>
      <c r="X1697" s="294"/>
      <c r="Y1697" s="294"/>
      <c r="Z1697" s="294"/>
      <c r="AA1697" s="294"/>
      <c r="AB1697" s="294"/>
      <c r="AC1697" s="294"/>
    </row>
    <row r="1698" spans="2:29" x14ac:dyDescent="0.25">
      <c r="B1698" s="294"/>
      <c r="C1698" s="294"/>
      <c r="D1698" s="294"/>
      <c r="E1698" s="294"/>
      <c r="F1698" s="294"/>
      <c r="G1698" s="294"/>
      <c r="H1698" s="294"/>
      <c r="I1698" s="294"/>
      <c r="J1698" s="294"/>
      <c r="L1698" s="295"/>
      <c r="M1698" s="294"/>
      <c r="O1698" s="294"/>
      <c r="P1698" s="294"/>
      <c r="Q1698" s="294"/>
      <c r="R1698" s="294"/>
      <c r="S1698" s="294"/>
      <c r="T1698" s="294"/>
      <c r="U1698" s="326"/>
      <c r="V1698" s="294"/>
      <c r="W1698" s="294"/>
      <c r="X1698" s="294"/>
      <c r="Y1698" s="294"/>
      <c r="Z1698" s="294"/>
      <c r="AA1698" s="294"/>
      <c r="AB1698" s="294"/>
      <c r="AC1698" s="294"/>
    </row>
    <row r="1699" spans="2:29" x14ac:dyDescent="0.25">
      <c r="B1699" s="294"/>
      <c r="C1699" s="294"/>
      <c r="D1699" s="294"/>
      <c r="E1699" s="294"/>
      <c r="F1699" s="294"/>
      <c r="G1699" s="294"/>
      <c r="H1699" s="294"/>
      <c r="I1699" s="294"/>
      <c r="J1699" s="294"/>
      <c r="L1699" s="295"/>
      <c r="M1699" s="294"/>
      <c r="O1699" s="294"/>
      <c r="P1699" s="294"/>
      <c r="Q1699" s="294"/>
      <c r="R1699" s="294"/>
      <c r="S1699" s="294"/>
      <c r="T1699" s="294"/>
      <c r="U1699" s="326"/>
      <c r="V1699" s="294"/>
      <c r="W1699" s="294"/>
      <c r="X1699" s="294"/>
      <c r="Y1699" s="294"/>
      <c r="Z1699" s="294"/>
      <c r="AA1699" s="294"/>
      <c r="AB1699" s="294"/>
      <c r="AC1699" s="294"/>
    </row>
    <row r="1700" spans="2:29" x14ac:dyDescent="0.25">
      <c r="B1700" s="294"/>
      <c r="C1700" s="294"/>
      <c r="D1700" s="294"/>
      <c r="E1700" s="294"/>
      <c r="F1700" s="294"/>
      <c r="G1700" s="294"/>
      <c r="H1700" s="294"/>
      <c r="I1700" s="294"/>
      <c r="J1700" s="294"/>
      <c r="L1700" s="295"/>
      <c r="M1700" s="294"/>
      <c r="O1700" s="294"/>
      <c r="P1700" s="294"/>
      <c r="Q1700" s="294"/>
      <c r="R1700" s="294"/>
      <c r="S1700" s="294"/>
      <c r="T1700" s="294"/>
      <c r="U1700" s="326"/>
      <c r="V1700" s="294"/>
      <c r="W1700" s="294"/>
      <c r="X1700" s="294"/>
      <c r="Y1700" s="294"/>
      <c r="Z1700" s="294"/>
      <c r="AA1700" s="294"/>
      <c r="AB1700" s="294"/>
      <c r="AC1700" s="294"/>
    </row>
    <row r="1701" spans="2:29" x14ac:dyDescent="0.25">
      <c r="B1701" s="294"/>
      <c r="C1701" s="294"/>
      <c r="D1701" s="294"/>
      <c r="E1701" s="294"/>
      <c r="F1701" s="294"/>
      <c r="G1701" s="294"/>
      <c r="H1701" s="294"/>
      <c r="I1701" s="294"/>
      <c r="J1701" s="294"/>
      <c r="L1701" s="295"/>
      <c r="M1701" s="294"/>
      <c r="O1701" s="294"/>
      <c r="P1701" s="294"/>
      <c r="Q1701" s="294"/>
      <c r="R1701" s="294"/>
      <c r="S1701" s="294"/>
      <c r="T1701" s="294"/>
      <c r="U1701" s="326"/>
      <c r="V1701" s="294"/>
      <c r="W1701" s="294"/>
      <c r="X1701" s="294"/>
      <c r="Y1701" s="294"/>
      <c r="Z1701" s="294"/>
      <c r="AA1701" s="294"/>
      <c r="AB1701" s="294"/>
      <c r="AC1701" s="294"/>
    </row>
    <row r="1702" spans="2:29" x14ac:dyDescent="0.25">
      <c r="B1702" s="294"/>
      <c r="C1702" s="294"/>
      <c r="D1702" s="294"/>
      <c r="E1702" s="294"/>
      <c r="F1702" s="294"/>
      <c r="G1702" s="294"/>
      <c r="H1702" s="294"/>
      <c r="I1702" s="294"/>
      <c r="J1702" s="294"/>
      <c r="L1702" s="295"/>
      <c r="M1702" s="294"/>
      <c r="O1702" s="294"/>
      <c r="P1702" s="294"/>
      <c r="Q1702" s="294"/>
      <c r="R1702" s="294"/>
      <c r="S1702" s="294"/>
      <c r="T1702" s="294"/>
      <c r="U1702" s="326"/>
      <c r="V1702" s="294"/>
      <c r="W1702" s="294"/>
      <c r="X1702" s="294"/>
      <c r="Y1702" s="294"/>
      <c r="Z1702" s="294"/>
      <c r="AA1702" s="294"/>
      <c r="AB1702" s="294"/>
      <c r="AC1702" s="294"/>
    </row>
    <row r="1703" spans="2:29" x14ac:dyDescent="0.25">
      <c r="B1703" s="294"/>
      <c r="C1703" s="294"/>
      <c r="D1703" s="294"/>
      <c r="E1703" s="294"/>
      <c r="F1703" s="294"/>
      <c r="G1703" s="294"/>
      <c r="H1703" s="294"/>
      <c r="I1703" s="294"/>
      <c r="J1703" s="294"/>
      <c r="L1703" s="295"/>
      <c r="M1703" s="294"/>
      <c r="O1703" s="294"/>
      <c r="P1703" s="294"/>
      <c r="Q1703" s="294"/>
      <c r="R1703" s="294"/>
      <c r="S1703" s="294"/>
      <c r="T1703" s="294"/>
      <c r="U1703" s="326"/>
      <c r="V1703" s="294"/>
      <c r="W1703" s="294"/>
      <c r="X1703" s="294"/>
      <c r="Y1703" s="294"/>
      <c r="Z1703" s="294"/>
      <c r="AA1703" s="294"/>
      <c r="AB1703" s="294"/>
      <c r="AC1703" s="294"/>
    </row>
    <row r="1704" spans="2:29" x14ac:dyDescent="0.25">
      <c r="B1704" s="294"/>
      <c r="C1704" s="294"/>
      <c r="D1704" s="294"/>
      <c r="E1704" s="294"/>
      <c r="F1704" s="294"/>
      <c r="G1704" s="294"/>
      <c r="H1704" s="294"/>
      <c r="I1704" s="294"/>
      <c r="J1704" s="294"/>
      <c r="L1704" s="295"/>
      <c r="M1704" s="294"/>
      <c r="O1704" s="294"/>
      <c r="P1704" s="294"/>
      <c r="Q1704" s="294"/>
      <c r="R1704" s="294"/>
      <c r="S1704" s="294"/>
      <c r="T1704" s="294"/>
      <c r="U1704" s="326"/>
      <c r="V1704" s="294"/>
      <c r="W1704" s="294"/>
      <c r="X1704" s="294"/>
      <c r="Y1704" s="294"/>
      <c r="Z1704" s="294"/>
      <c r="AA1704" s="294"/>
      <c r="AB1704" s="294"/>
      <c r="AC1704" s="294"/>
    </row>
    <row r="1705" spans="2:29" x14ac:dyDescent="0.25">
      <c r="B1705" s="294"/>
      <c r="C1705" s="294"/>
      <c r="D1705" s="294"/>
      <c r="E1705" s="294"/>
      <c r="F1705" s="294"/>
      <c r="G1705" s="294"/>
      <c r="H1705" s="294"/>
      <c r="I1705" s="294"/>
      <c r="J1705" s="294"/>
      <c r="L1705" s="295"/>
      <c r="M1705" s="294"/>
      <c r="O1705" s="294"/>
      <c r="P1705" s="294"/>
      <c r="Q1705" s="294"/>
      <c r="R1705" s="294"/>
      <c r="S1705" s="294"/>
      <c r="T1705" s="294"/>
      <c r="U1705" s="326"/>
      <c r="V1705" s="294"/>
      <c r="W1705" s="294"/>
      <c r="X1705" s="294"/>
      <c r="Y1705" s="294"/>
      <c r="Z1705" s="294"/>
      <c r="AA1705" s="294"/>
      <c r="AB1705" s="294"/>
      <c r="AC1705" s="294"/>
    </row>
    <row r="1706" spans="2:29" x14ac:dyDescent="0.25">
      <c r="B1706" s="294"/>
      <c r="C1706" s="294"/>
      <c r="D1706" s="294"/>
      <c r="E1706" s="294"/>
      <c r="F1706" s="294"/>
      <c r="G1706" s="294"/>
      <c r="H1706" s="294"/>
      <c r="I1706" s="294"/>
      <c r="J1706" s="294"/>
      <c r="L1706" s="295"/>
      <c r="M1706" s="294"/>
      <c r="O1706" s="294"/>
      <c r="P1706" s="294"/>
      <c r="Q1706" s="294"/>
      <c r="R1706" s="294"/>
      <c r="S1706" s="294"/>
      <c r="T1706" s="294"/>
      <c r="U1706" s="326"/>
      <c r="V1706" s="294"/>
      <c r="W1706" s="294"/>
      <c r="X1706" s="294"/>
      <c r="Y1706" s="294"/>
      <c r="Z1706" s="294"/>
      <c r="AA1706" s="294"/>
      <c r="AB1706" s="294"/>
      <c r="AC1706" s="294"/>
    </row>
    <row r="1707" spans="2:29" x14ac:dyDescent="0.25">
      <c r="B1707" s="294"/>
      <c r="C1707" s="294"/>
      <c r="D1707" s="294"/>
      <c r="E1707" s="294"/>
      <c r="F1707" s="294"/>
      <c r="G1707" s="294"/>
      <c r="H1707" s="294"/>
      <c r="I1707" s="294"/>
      <c r="J1707" s="294"/>
      <c r="L1707" s="295"/>
      <c r="M1707" s="294"/>
      <c r="O1707" s="294"/>
      <c r="P1707" s="294"/>
      <c r="Q1707" s="294"/>
      <c r="R1707" s="294"/>
      <c r="S1707" s="294"/>
      <c r="T1707" s="294"/>
      <c r="U1707" s="326"/>
      <c r="V1707" s="294"/>
      <c r="W1707" s="294"/>
      <c r="X1707" s="294"/>
      <c r="Y1707" s="294"/>
      <c r="Z1707" s="294"/>
      <c r="AA1707" s="294"/>
      <c r="AB1707" s="294"/>
      <c r="AC1707" s="294"/>
    </row>
    <row r="1708" spans="2:29" x14ac:dyDescent="0.25">
      <c r="B1708" s="294"/>
      <c r="C1708" s="294"/>
      <c r="D1708" s="294"/>
      <c r="E1708" s="294"/>
      <c r="F1708" s="294"/>
      <c r="G1708" s="294"/>
      <c r="H1708" s="294"/>
      <c r="I1708" s="294"/>
      <c r="J1708" s="294"/>
      <c r="L1708" s="295"/>
      <c r="M1708" s="294"/>
      <c r="O1708" s="294"/>
      <c r="P1708" s="294"/>
      <c r="Q1708" s="294"/>
      <c r="R1708" s="294"/>
      <c r="S1708" s="294"/>
      <c r="T1708" s="294"/>
      <c r="U1708" s="326"/>
      <c r="V1708" s="294"/>
      <c r="W1708" s="294"/>
      <c r="X1708" s="294"/>
      <c r="Y1708" s="294"/>
      <c r="Z1708" s="294"/>
      <c r="AA1708" s="294"/>
      <c r="AB1708" s="294"/>
      <c r="AC1708" s="294"/>
    </row>
    <row r="1709" spans="2:29" x14ac:dyDescent="0.25">
      <c r="B1709" s="294"/>
      <c r="C1709" s="294"/>
      <c r="D1709" s="294"/>
      <c r="E1709" s="294"/>
      <c r="F1709" s="294"/>
      <c r="G1709" s="294"/>
      <c r="H1709" s="294"/>
      <c r="I1709" s="294"/>
      <c r="J1709" s="294"/>
      <c r="L1709" s="295"/>
      <c r="M1709" s="294"/>
      <c r="O1709" s="294"/>
      <c r="P1709" s="294"/>
      <c r="Q1709" s="294"/>
      <c r="R1709" s="294"/>
      <c r="S1709" s="294"/>
      <c r="T1709" s="294"/>
      <c r="U1709" s="326"/>
      <c r="V1709" s="294"/>
      <c r="W1709" s="294"/>
      <c r="X1709" s="294"/>
      <c r="Y1709" s="294"/>
      <c r="Z1709" s="294"/>
      <c r="AA1709" s="294"/>
      <c r="AB1709" s="294"/>
      <c r="AC1709" s="294"/>
    </row>
    <row r="1710" spans="2:29" x14ac:dyDescent="0.25">
      <c r="B1710" s="294"/>
      <c r="C1710" s="294"/>
      <c r="D1710" s="294"/>
      <c r="E1710" s="294"/>
      <c r="F1710" s="294"/>
      <c r="G1710" s="294"/>
      <c r="H1710" s="294"/>
      <c r="I1710" s="294"/>
      <c r="J1710" s="294"/>
      <c r="L1710" s="295"/>
      <c r="M1710" s="294"/>
      <c r="O1710" s="294"/>
      <c r="P1710" s="294"/>
      <c r="Q1710" s="294"/>
      <c r="R1710" s="294"/>
      <c r="S1710" s="294"/>
      <c r="T1710" s="294"/>
      <c r="U1710" s="326"/>
      <c r="V1710" s="294"/>
      <c r="W1710" s="294"/>
      <c r="X1710" s="294"/>
      <c r="Y1710" s="294"/>
      <c r="Z1710" s="294"/>
      <c r="AA1710" s="294"/>
      <c r="AB1710" s="294"/>
      <c r="AC1710" s="294"/>
    </row>
    <row r="1711" spans="2:29" x14ac:dyDescent="0.25">
      <c r="B1711" s="294"/>
      <c r="C1711" s="294"/>
      <c r="D1711" s="294"/>
      <c r="E1711" s="294"/>
      <c r="F1711" s="294"/>
      <c r="G1711" s="294"/>
      <c r="H1711" s="294"/>
      <c r="I1711" s="294"/>
      <c r="J1711" s="294"/>
      <c r="L1711" s="295"/>
      <c r="M1711" s="294"/>
      <c r="O1711" s="294"/>
      <c r="P1711" s="294"/>
      <c r="Q1711" s="294"/>
      <c r="R1711" s="294"/>
      <c r="S1711" s="294"/>
      <c r="T1711" s="294"/>
      <c r="U1711" s="326"/>
      <c r="V1711" s="294"/>
      <c r="W1711" s="294"/>
      <c r="X1711" s="294"/>
      <c r="Y1711" s="294"/>
      <c r="Z1711" s="294"/>
      <c r="AA1711" s="294"/>
      <c r="AB1711" s="294"/>
      <c r="AC1711" s="294"/>
    </row>
    <row r="1712" spans="2:29" x14ac:dyDescent="0.25">
      <c r="B1712" s="294"/>
      <c r="C1712" s="294"/>
      <c r="D1712" s="294"/>
      <c r="E1712" s="294"/>
      <c r="F1712" s="294"/>
      <c r="G1712" s="294"/>
      <c r="H1712" s="294"/>
      <c r="I1712" s="294"/>
      <c r="J1712" s="294"/>
      <c r="L1712" s="295"/>
      <c r="M1712" s="294"/>
      <c r="O1712" s="294"/>
      <c r="P1712" s="294"/>
      <c r="Q1712" s="294"/>
      <c r="R1712" s="294"/>
      <c r="S1712" s="294"/>
      <c r="T1712" s="294"/>
      <c r="U1712" s="326"/>
      <c r="V1712" s="294"/>
      <c r="W1712" s="294"/>
      <c r="X1712" s="294"/>
      <c r="Y1712" s="294"/>
      <c r="Z1712" s="294"/>
      <c r="AA1712" s="294"/>
      <c r="AB1712" s="294"/>
      <c r="AC1712" s="294"/>
    </row>
    <row r="1713" spans="2:29" x14ac:dyDescent="0.25">
      <c r="B1713" s="294"/>
      <c r="C1713" s="294"/>
      <c r="D1713" s="294"/>
      <c r="E1713" s="294"/>
      <c r="F1713" s="294"/>
      <c r="G1713" s="294"/>
      <c r="H1713" s="294"/>
      <c r="I1713" s="294"/>
      <c r="J1713" s="294"/>
      <c r="L1713" s="295"/>
      <c r="M1713" s="294"/>
      <c r="O1713" s="294"/>
      <c r="P1713" s="294"/>
      <c r="Q1713" s="294"/>
      <c r="R1713" s="294"/>
      <c r="S1713" s="294"/>
      <c r="T1713" s="294"/>
      <c r="U1713" s="326"/>
      <c r="V1713" s="294"/>
      <c r="W1713" s="294"/>
      <c r="X1713" s="294"/>
      <c r="Y1713" s="294"/>
      <c r="Z1713" s="294"/>
      <c r="AA1713" s="294"/>
      <c r="AB1713" s="294"/>
      <c r="AC1713" s="294"/>
    </row>
    <row r="1714" spans="2:29" x14ac:dyDescent="0.25">
      <c r="B1714" s="294"/>
      <c r="C1714" s="294"/>
      <c r="D1714" s="294"/>
      <c r="E1714" s="294"/>
      <c r="F1714" s="294"/>
      <c r="G1714" s="294"/>
      <c r="H1714" s="294"/>
      <c r="I1714" s="294"/>
      <c r="J1714" s="294"/>
      <c r="L1714" s="295"/>
      <c r="M1714" s="294"/>
      <c r="O1714" s="294"/>
      <c r="P1714" s="294"/>
      <c r="Q1714" s="294"/>
      <c r="R1714" s="294"/>
      <c r="S1714" s="294"/>
      <c r="T1714" s="294"/>
      <c r="U1714" s="326"/>
      <c r="V1714" s="294"/>
      <c r="W1714" s="294"/>
      <c r="X1714" s="294"/>
      <c r="Y1714" s="294"/>
      <c r="Z1714" s="294"/>
      <c r="AA1714" s="294"/>
      <c r="AB1714" s="294"/>
      <c r="AC1714" s="294"/>
    </row>
    <row r="1715" spans="2:29" x14ac:dyDescent="0.25">
      <c r="B1715" s="294"/>
      <c r="C1715" s="294"/>
      <c r="D1715" s="294"/>
      <c r="E1715" s="294"/>
      <c r="F1715" s="294"/>
      <c r="G1715" s="294"/>
      <c r="H1715" s="294"/>
      <c r="I1715" s="294"/>
      <c r="J1715" s="294"/>
      <c r="L1715" s="295"/>
      <c r="M1715" s="294"/>
      <c r="O1715" s="294"/>
      <c r="P1715" s="294"/>
      <c r="Q1715" s="294"/>
      <c r="R1715" s="294"/>
      <c r="S1715" s="294"/>
      <c r="T1715" s="294"/>
      <c r="U1715" s="326"/>
      <c r="V1715" s="294"/>
      <c r="W1715" s="294"/>
      <c r="X1715" s="294"/>
      <c r="Y1715" s="294"/>
      <c r="Z1715" s="294"/>
      <c r="AA1715" s="294"/>
      <c r="AB1715" s="294"/>
      <c r="AC1715" s="294"/>
    </row>
    <row r="1716" spans="2:29" x14ac:dyDescent="0.25">
      <c r="B1716" s="294"/>
      <c r="C1716" s="294"/>
      <c r="D1716" s="294"/>
      <c r="E1716" s="294"/>
      <c r="F1716" s="294"/>
      <c r="G1716" s="294"/>
      <c r="H1716" s="294"/>
      <c r="I1716" s="294"/>
      <c r="J1716" s="294"/>
      <c r="L1716" s="295"/>
      <c r="M1716" s="294"/>
      <c r="O1716" s="294"/>
      <c r="P1716" s="294"/>
      <c r="Q1716" s="294"/>
      <c r="R1716" s="294"/>
      <c r="S1716" s="294"/>
      <c r="T1716" s="294"/>
      <c r="U1716" s="326"/>
      <c r="V1716" s="294"/>
      <c r="W1716" s="294"/>
      <c r="X1716" s="294"/>
      <c r="Y1716" s="294"/>
      <c r="Z1716" s="294"/>
      <c r="AA1716" s="294"/>
      <c r="AB1716" s="294"/>
      <c r="AC1716" s="294"/>
    </row>
    <row r="1717" spans="2:29" x14ac:dyDescent="0.25">
      <c r="B1717" s="294"/>
      <c r="C1717" s="294"/>
      <c r="D1717" s="294"/>
      <c r="E1717" s="294"/>
      <c r="F1717" s="294"/>
      <c r="G1717" s="294"/>
      <c r="H1717" s="294"/>
      <c r="I1717" s="294"/>
      <c r="J1717" s="294"/>
      <c r="L1717" s="295"/>
      <c r="M1717" s="294"/>
      <c r="O1717" s="294"/>
      <c r="P1717" s="294"/>
      <c r="Q1717" s="294"/>
      <c r="R1717" s="294"/>
      <c r="S1717" s="294"/>
      <c r="T1717" s="294"/>
      <c r="U1717" s="326"/>
      <c r="V1717" s="294"/>
      <c r="W1717" s="294"/>
      <c r="X1717" s="294"/>
      <c r="Y1717" s="294"/>
      <c r="Z1717" s="294"/>
      <c r="AA1717" s="294"/>
      <c r="AB1717" s="294"/>
      <c r="AC1717" s="294"/>
    </row>
    <row r="1718" spans="2:29" x14ac:dyDescent="0.25">
      <c r="B1718" s="294"/>
      <c r="C1718" s="294"/>
      <c r="D1718" s="294"/>
      <c r="E1718" s="294"/>
      <c r="F1718" s="294"/>
      <c r="G1718" s="294"/>
      <c r="H1718" s="294"/>
      <c r="I1718" s="294"/>
      <c r="J1718" s="294"/>
      <c r="L1718" s="295"/>
      <c r="M1718" s="294"/>
      <c r="O1718" s="294"/>
      <c r="P1718" s="294"/>
      <c r="Q1718" s="294"/>
      <c r="R1718" s="294"/>
      <c r="S1718" s="294"/>
      <c r="T1718" s="294"/>
      <c r="U1718" s="326"/>
      <c r="V1718" s="294"/>
      <c r="W1718" s="294"/>
      <c r="X1718" s="294"/>
      <c r="Y1718" s="294"/>
      <c r="Z1718" s="294"/>
      <c r="AA1718" s="294"/>
      <c r="AB1718" s="294"/>
      <c r="AC1718" s="294"/>
    </row>
    <row r="1719" spans="2:29" x14ac:dyDescent="0.25">
      <c r="B1719" s="294"/>
      <c r="C1719" s="294"/>
      <c r="D1719" s="294"/>
      <c r="E1719" s="294"/>
      <c r="F1719" s="294"/>
      <c r="G1719" s="294"/>
      <c r="H1719" s="294"/>
      <c r="I1719" s="294"/>
      <c r="J1719" s="294"/>
      <c r="L1719" s="295"/>
      <c r="M1719" s="294"/>
      <c r="O1719" s="294"/>
      <c r="P1719" s="294"/>
      <c r="Q1719" s="294"/>
      <c r="R1719" s="294"/>
      <c r="S1719" s="294"/>
      <c r="T1719" s="294"/>
      <c r="U1719" s="326"/>
      <c r="V1719" s="294"/>
      <c r="W1719" s="294"/>
      <c r="X1719" s="294"/>
      <c r="Y1719" s="294"/>
      <c r="Z1719" s="294"/>
      <c r="AA1719" s="294"/>
      <c r="AB1719" s="294"/>
      <c r="AC1719" s="294"/>
    </row>
    <row r="1720" spans="2:29" x14ac:dyDescent="0.25">
      <c r="B1720" s="294"/>
      <c r="C1720" s="294"/>
      <c r="D1720" s="294"/>
      <c r="E1720" s="294"/>
      <c r="F1720" s="294"/>
      <c r="G1720" s="294"/>
      <c r="H1720" s="294"/>
      <c r="I1720" s="294"/>
      <c r="J1720" s="294"/>
      <c r="L1720" s="295"/>
      <c r="M1720" s="294"/>
      <c r="O1720" s="294"/>
      <c r="P1720" s="294"/>
      <c r="Q1720" s="294"/>
      <c r="R1720" s="294"/>
      <c r="S1720" s="294"/>
      <c r="T1720" s="294"/>
      <c r="U1720" s="326"/>
      <c r="V1720" s="294"/>
      <c r="W1720" s="294"/>
      <c r="X1720" s="294"/>
      <c r="Y1720" s="294"/>
      <c r="Z1720" s="294"/>
      <c r="AA1720" s="294"/>
      <c r="AB1720" s="294"/>
      <c r="AC1720" s="294"/>
    </row>
    <row r="1721" spans="2:29" x14ac:dyDescent="0.25">
      <c r="B1721" s="294"/>
      <c r="C1721" s="294"/>
      <c r="D1721" s="294"/>
      <c r="E1721" s="294"/>
      <c r="F1721" s="294"/>
      <c r="G1721" s="294"/>
      <c r="H1721" s="294"/>
      <c r="I1721" s="294"/>
      <c r="J1721" s="294"/>
      <c r="L1721" s="295"/>
      <c r="M1721" s="294"/>
      <c r="O1721" s="294"/>
      <c r="P1721" s="294"/>
      <c r="Q1721" s="294"/>
      <c r="R1721" s="294"/>
      <c r="S1721" s="294"/>
      <c r="T1721" s="294"/>
      <c r="U1721" s="326"/>
      <c r="V1721" s="294"/>
      <c r="W1721" s="294"/>
      <c r="X1721" s="294"/>
      <c r="Y1721" s="294"/>
      <c r="Z1721" s="294"/>
      <c r="AA1721" s="294"/>
      <c r="AB1721" s="294"/>
      <c r="AC1721" s="294"/>
    </row>
    <row r="1722" spans="2:29" x14ac:dyDescent="0.25">
      <c r="B1722" s="294"/>
      <c r="C1722" s="294"/>
      <c r="D1722" s="294"/>
      <c r="E1722" s="294"/>
      <c r="F1722" s="294"/>
      <c r="G1722" s="294"/>
      <c r="H1722" s="294"/>
      <c r="I1722" s="294"/>
      <c r="J1722" s="294"/>
      <c r="L1722" s="295"/>
      <c r="M1722" s="294"/>
      <c r="O1722" s="294"/>
      <c r="P1722" s="294"/>
      <c r="Q1722" s="294"/>
      <c r="R1722" s="294"/>
      <c r="S1722" s="294"/>
      <c r="T1722" s="294"/>
      <c r="U1722" s="326"/>
      <c r="V1722" s="294"/>
      <c r="W1722" s="294"/>
      <c r="X1722" s="294"/>
      <c r="Y1722" s="294"/>
      <c r="Z1722" s="294"/>
      <c r="AA1722" s="294"/>
      <c r="AB1722" s="294"/>
      <c r="AC1722" s="294"/>
    </row>
    <row r="1723" spans="2:29" x14ac:dyDescent="0.25">
      <c r="B1723" s="294"/>
      <c r="C1723" s="294"/>
      <c r="D1723" s="294"/>
      <c r="E1723" s="294"/>
      <c r="F1723" s="294"/>
      <c r="G1723" s="294"/>
      <c r="H1723" s="294"/>
      <c r="I1723" s="294"/>
      <c r="J1723" s="294"/>
      <c r="L1723" s="295"/>
      <c r="M1723" s="294"/>
      <c r="O1723" s="294"/>
      <c r="P1723" s="294"/>
      <c r="Q1723" s="294"/>
      <c r="R1723" s="294"/>
      <c r="S1723" s="294"/>
      <c r="T1723" s="294"/>
      <c r="U1723" s="326"/>
      <c r="V1723" s="294"/>
      <c r="W1723" s="294"/>
      <c r="X1723" s="294"/>
      <c r="Y1723" s="294"/>
      <c r="Z1723" s="294"/>
      <c r="AA1723" s="294"/>
      <c r="AB1723" s="294"/>
      <c r="AC1723" s="294"/>
    </row>
    <row r="1724" spans="2:29" x14ac:dyDescent="0.25">
      <c r="B1724" s="294"/>
      <c r="C1724" s="294"/>
      <c r="D1724" s="294"/>
      <c r="E1724" s="294"/>
      <c r="F1724" s="294"/>
      <c r="G1724" s="294"/>
      <c r="H1724" s="294"/>
      <c r="I1724" s="294"/>
      <c r="J1724" s="294"/>
      <c r="L1724" s="295"/>
      <c r="M1724" s="294"/>
      <c r="O1724" s="294"/>
      <c r="P1724" s="294"/>
      <c r="Q1724" s="294"/>
      <c r="R1724" s="294"/>
      <c r="S1724" s="294"/>
      <c r="T1724" s="294"/>
      <c r="U1724" s="326"/>
      <c r="V1724" s="294"/>
      <c r="W1724" s="294"/>
      <c r="X1724" s="294"/>
      <c r="Y1724" s="294"/>
      <c r="Z1724" s="294"/>
      <c r="AA1724" s="294"/>
      <c r="AB1724" s="294"/>
      <c r="AC1724" s="294"/>
    </row>
    <row r="1725" spans="2:29" x14ac:dyDescent="0.25">
      <c r="B1725" s="294"/>
      <c r="C1725" s="294"/>
      <c r="D1725" s="294"/>
      <c r="E1725" s="294"/>
      <c r="F1725" s="294"/>
      <c r="G1725" s="294"/>
      <c r="H1725" s="294"/>
      <c r="I1725" s="294"/>
      <c r="J1725" s="294"/>
      <c r="L1725" s="295"/>
      <c r="M1725" s="294"/>
      <c r="O1725" s="294"/>
      <c r="P1725" s="294"/>
      <c r="Q1725" s="294"/>
      <c r="R1725" s="294"/>
      <c r="S1725" s="294"/>
      <c r="T1725" s="294"/>
      <c r="U1725" s="326"/>
      <c r="V1725" s="294"/>
      <c r="W1725" s="294"/>
      <c r="X1725" s="294"/>
      <c r="Y1725" s="294"/>
      <c r="Z1725" s="294"/>
      <c r="AA1725" s="294"/>
      <c r="AB1725" s="294"/>
      <c r="AC1725" s="294"/>
    </row>
    <row r="1726" spans="2:29" x14ac:dyDescent="0.25">
      <c r="B1726" s="294"/>
      <c r="C1726" s="294"/>
      <c r="D1726" s="294"/>
      <c r="E1726" s="294"/>
      <c r="F1726" s="294"/>
      <c r="G1726" s="294"/>
      <c r="H1726" s="294"/>
      <c r="I1726" s="294"/>
      <c r="J1726" s="294"/>
      <c r="L1726" s="295"/>
      <c r="M1726" s="294"/>
      <c r="O1726" s="294"/>
      <c r="P1726" s="294"/>
      <c r="Q1726" s="294"/>
      <c r="R1726" s="294"/>
      <c r="S1726" s="294"/>
      <c r="T1726" s="294"/>
      <c r="U1726" s="326"/>
      <c r="V1726" s="294"/>
      <c r="W1726" s="294"/>
      <c r="X1726" s="294"/>
      <c r="Y1726" s="294"/>
      <c r="Z1726" s="294"/>
      <c r="AA1726" s="294"/>
      <c r="AB1726" s="294"/>
      <c r="AC1726" s="294"/>
    </row>
    <row r="1727" spans="2:29" x14ac:dyDescent="0.25">
      <c r="B1727" s="294"/>
      <c r="C1727" s="294"/>
      <c r="D1727" s="294"/>
      <c r="E1727" s="294"/>
      <c r="F1727" s="294"/>
      <c r="G1727" s="294"/>
      <c r="H1727" s="294"/>
      <c r="I1727" s="294"/>
      <c r="J1727" s="294"/>
      <c r="L1727" s="295"/>
      <c r="M1727" s="294"/>
      <c r="O1727" s="294"/>
      <c r="P1727" s="294"/>
      <c r="Q1727" s="294"/>
      <c r="R1727" s="294"/>
      <c r="S1727" s="294"/>
      <c r="T1727" s="294"/>
      <c r="U1727" s="326"/>
      <c r="V1727" s="294"/>
      <c r="W1727" s="294"/>
      <c r="X1727" s="294"/>
      <c r="Y1727" s="294"/>
      <c r="Z1727" s="294"/>
      <c r="AA1727" s="294"/>
      <c r="AB1727" s="294"/>
      <c r="AC1727" s="294"/>
    </row>
    <row r="1728" spans="2:29" x14ac:dyDescent="0.25">
      <c r="B1728" s="294"/>
      <c r="C1728" s="294"/>
      <c r="D1728" s="294"/>
      <c r="E1728" s="294"/>
      <c r="F1728" s="294"/>
      <c r="G1728" s="294"/>
      <c r="H1728" s="294"/>
      <c r="I1728" s="294"/>
      <c r="J1728" s="294"/>
      <c r="L1728" s="295"/>
      <c r="M1728" s="294"/>
      <c r="O1728" s="294"/>
      <c r="P1728" s="294"/>
      <c r="Q1728" s="294"/>
      <c r="R1728" s="294"/>
      <c r="S1728" s="294"/>
      <c r="T1728" s="294"/>
      <c r="U1728" s="326"/>
      <c r="V1728" s="294"/>
      <c r="W1728" s="294"/>
      <c r="X1728" s="294"/>
      <c r="Y1728" s="294"/>
      <c r="Z1728" s="294"/>
      <c r="AA1728" s="294"/>
      <c r="AB1728" s="294"/>
      <c r="AC1728" s="294"/>
    </row>
    <row r="1729" spans="2:29" x14ac:dyDescent="0.25">
      <c r="B1729" s="294"/>
      <c r="C1729" s="294"/>
      <c r="D1729" s="294"/>
      <c r="E1729" s="294"/>
      <c r="F1729" s="294"/>
      <c r="G1729" s="294"/>
      <c r="H1729" s="294"/>
      <c r="I1729" s="294"/>
      <c r="J1729" s="294"/>
      <c r="L1729" s="295"/>
      <c r="M1729" s="294"/>
      <c r="O1729" s="294"/>
      <c r="P1729" s="294"/>
      <c r="Q1729" s="294"/>
      <c r="R1729" s="294"/>
      <c r="S1729" s="294"/>
      <c r="T1729" s="294"/>
      <c r="U1729" s="326"/>
      <c r="V1729" s="294"/>
      <c r="W1729" s="294"/>
      <c r="X1729" s="294"/>
      <c r="Y1729" s="294"/>
      <c r="Z1729" s="294"/>
      <c r="AA1729" s="294"/>
      <c r="AB1729" s="294"/>
      <c r="AC1729" s="294"/>
    </row>
    <row r="1730" spans="2:29" x14ac:dyDescent="0.25">
      <c r="B1730" s="294"/>
      <c r="C1730" s="294"/>
      <c r="D1730" s="294"/>
      <c r="E1730" s="294"/>
      <c r="F1730" s="294"/>
      <c r="G1730" s="294"/>
      <c r="H1730" s="294"/>
      <c r="I1730" s="294"/>
      <c r="J1730" s="294"/>
      <c r="L1730" s="295"/>
      <c r="M1730" s="294"/>
      <c r="O1730" s="294"/>
      <c r="P1730" s="294"/>
      <c r="Q1730" s="294"/>
      <c r="R1730" s="294"/>
      <c r="S1730" s="294"/>
      <c r="T1730" s="294"/>
      <c r="U1730" s="326"/>
      <c r="V1730" s="294"/>
      <c r="W1730" s="294"/>
      <c r="X1730" s="294"/>
      <c r="Y1730" s="294"/>
      <c r="Z1730" s="294"/>
      <c r="AA1730" s="294"/>
      <c r="AB1730" s="294"/>
      <c r="AC1730" s="294"/>
    </row>
    <row r="1731" spans="2:29" x14ac:dyDescent="0.25">
      <c r="B1731" s="294"/>
      <c r="C1731" s="294"/>
      <c r="D1731" s="294"/>
      <c r="E1731" s="294"/>
      <c r="F1731" s="294"/>
      <c r="G1731" s="294"/>
      <c r="H1731" s="294"/>
      <c r="I1731" s="294"/>
      <c r="J1731" s="294"/>
      <c r="L1731" s="295"/>
      <c r="M1731" s="294"/>
      <c r="O1731" s="294"/>
      <c r="P1731" s="294"/>
      <c r="Q1731" s="294"/>
      <c r="R1731" s="294"/>
      <c r="S1731" s="294"/>
      <c r="T1731" s="294"/>
      <c r="U1731" s="326"/>
      <c r="V1731" s="294"/>
      <c r="W1731" s="294"/>
      <c r="X1731" s="294"/>
      <c r="Y1731" s="294"/>
      <c r="Z1731" s="294"/>
      <c r="AA1731" s="294"/>
      <c r="AB1731" s="294"/>
      <c r="AC1731" s="294"/>
    </row>
    <row r="1732" spans="2:29" x14ac:dyDescent="0.25">
      <c r="B1732" s="294"/>
      <c r="C1732" s="294"/>
      <c r="D1732" s="294"/>
      <c r="E1732" s="294"/>
      <c r="F1732" s="294"/>
      <c r="G1732" s="294"/>
      <c r="H1732" s="294"/>
      <c r="I1732" s="294"/>
      <c r="J1732" s="294"/>
      <c r="L1732" s="295"/>
      <c r="M1732" s="294"/>
      <c r="O1732" s="294"/>
      <c r="P1732" s="294"/>
      <c r="Q1732" s="294"/>
      <c r="R1732" s="294"/>
      <c r="S1732" s="294"/>
      <c r="T1732" s="294"/>
      <c r="U1732" s="326"/>
      <c r="V1732" s="294"/>
      <c r="W1732" s="294"/>
      <c r="X1732" s="294"/>
      <c r="Y1732" s="294"/>
      <c r="Z1732" s="294"/>
      <c r="AA1732" s="294"/>
      <c r="AB1732" s="294"/>
      <c r="AC1732" s="294"/>
    </row>
    <row r="1733" spans="2:29" x14ac:dyDescent="0.25">
      <c r="B1733" s="294"/>
      <c r="C1733" s="294"/>
      <c r="D1733" s="294"/>
      <c r="E1733" s="294"/>
      <c r="F1733" s="294"/>
      <c r="G1733" s="294"/>
      <c r="H1733" s="294"/>
      <c r="I1733" s="294"/>
      <c r="J1733" s="294"/>
      <c r="L1733" s="295"/>
      <c r="M1733" s="294"/>
      <c r="O1733" s="294"/>
      <c r="P1733" s="294"/>
      <c r="Q1733" s="294"/>
      <c r="R1733" s="294"/>
      <c r="S1733" s="294"/>
      <c r="T1733" s="294"/>
      <c r="U1733" s="326"/>
      <c r="V1733" s="294"/>
      <c r="W1733" s="294"/>
      <c r="X1733" s="294"/>
      <c r="Y1733" s="294"/>
      <c r="Z1733" s="294"/>
      <c r="AA1733" s="294"/>
      <c r="AB1733" s="294"/>
      <c r="AC1733" s="294"/>
    </row>
    <row r="1734" spans="2:29" x14ac:dyDescent="0.25">
      <c r="B1734" s="294"/>
      <c r="C1734" s="294"/>
      <c r="D1734" s="294"/>
      <c r="E1734" s="294"/>
      <c r="F1734" s="294"/>
      <c r="G1734" s="294"/>
      <c r="H1734" s="294"/>
      <c r="I1734" s="294"/>
      <c r="J1734" s="294"/>
      <c r="L1734" s="295"/>
      <c r="M1734" s="294"/>
      <c r="O1734" s="294"/>
      <c r="P1734" s="294"/>
      <c r="Q1734" s="294"/>
      <c r="R1734" s="294"/>
      <c r="S1734" s="294"/>
      <c r="T1734" s="294"/>
      <c r="U1734" s="326"/>
      <c r="V1734" s="294"/>
      <c r="W1734" s="294"/>
      <c r="X1734" s="294"/>
      <c r="Y1734" s="294"/>
      <c r="Z1734" s="294"/>
      <c r="AA1734" s="294"/>
      <c r="AB1734" s="294"/>
      <c r="AC1734" s="294"/>
    </row>
    <row r="1735" spans="2:29" x14ac:dyDescent="0.25">
      <c r="B1735" s="294"/>
      <c r="C1735" s="294"/>
      <c r="D1735" s="294"/>
      <c r="E1735" s="294"/>
      <c r="F1735" s="294"/>
      <c r="G1735" s="294"/>
      <c r="H1735" s="294"/>
      <c r="I1735" s="294"/>
      <c r="J1735" s="294"/>
      <c r="L1735" s="295"/>
      <c r="M1735" s="294"/>
      <c r="O1735" s="294"/>
      <c r="P1735" s="294"/>
      <c r="Q1735" s="294"/>
      <c r="R1735" s="294"/>
      <c r="S1735" s="294"/>
      <c r="T1735" s="294"/>
      <c r="U1735" s="326"/>
      <c r="V1735" s="294"/>
      <c r="W1735" s="294"/>
      <c r="X1735" s="294"/>
      <c r="Y1735" s="294"/>
      <c r="Z1735" s="294"/>
      <c r="AA1735" s="294"/>
      <c r="AB1735" s="294"/>
      <c r="AC1735" s="294"/>
    </row>
    <row r="1736" spans="2:29" x14ac:dyDescent="0.25">
      <c r="B1736" s="294"/>
      <c r="C1736" s="294"/>
      <c r="D1736" s="294"/>
      <c r="E1736" s="294"/>
      <c r="F1736" s="294"/>
      <c r="G1736" s="294"/>
      <c r="H1736" s="294"/>
      <c r="I1736" s="294"/>
      <c r="J1736" s="294"/>
      <c r="L1736" s="295"/>
      <c r="M1736" s="294"/>
      <c r="O1736" s="294"/>
      <c r="P1736" s="294"/>
      <c r="Q1736" s="294"/>
      <c r="R1736" s="294"/>
      <c r="S1736" s="294"/>
      <c r="T1736" s="294"/>
      <c r="U1736" s="326"/>
      <c r="V1736" s="294"/>
      <c r="W1736" s="294"/>
      <c r="X1736" s="294"/>
      <c r="Y1736" s="294"/>
      <c r="Z1736" s="294"/>
      <c r="AA1736" s="294"/>
      <c r="AB1736" s="294"/>
      <c r="AC1736" s="294"/>
    </row>
    <row r="1737" spans="2:29" x14ac:dyDescent="0.25">
      <c r="B1737" s="294"/>
      <c r="C1737" s="294"/>
      <c r="D1737" s="294"/>
      <c r="E1737" s="294"/>
      <c r="F1737" s="294"/>
      <c r="G1737" s="294"/>
      <c r="H1737" s="294"/>
      <c r="I1737" s="294"/>
      <c r="J1737" s="294"/>
      <c r="L1737" s="295"/>
      <c r="M1737" s="294"/>
      <c r="O1737" s="294"/>
      <c r="P1737" s="294"/>
      <c r="Q1737" s="294"/>
      <c r="R1737" s="294"/>
      <c r="S1737" s="294"/>
      <c r="T1737" s="294"/>
      <c r="U1737" s="326"/>
      <c r="V1737" s="294"/>
      <c r="W1737" s="294"/>
      <c r="X1737" s="294"/>
      <c r="Y1737" s="294"/>
      <c r="Z1737" s="294"/>
      <c r="AA1737" s="294"/>
      <c r="AB1737" s="294"/>
      <c r="AC1737" s="294"/>
    </row>
    <row r="1738" spans="2:29" x14ac:dyDescent="0.25">
      <c r="B1738" s="294"/>
      <c r="C1738" s="294"/>
      <c r="D1738" s="294"/>
      <c r="E1738" s="294"/>
      <c r="F1738" s="294"/>
      <c r="G1738" s="294"/>
      <c r="H1738" s="294"/>
      <c r="I1738" s="294"/>
      <c r="J1738" s="294"/>
      <c r="L1738" s="295"/>
      <c r="M1738" s="294"/>
      <c r="O1738" s="294"/>
      <c r="P1738" s="294"/>
      <c r="Q1738" s="294"/>
      <c r="R1738" s="294"/>
      <c r="S1738" s="294"/>
      <c r="T1738" s="294"/>
      <c r="U1738" s="326"/>
      <c r="V1738" s="294"/>
      <c r="W1738" s="294"/>
      <c r="X1738" s="294"/>
      <c r="Y1738" s="294"/>
      <c r="Z1738" s="294"/>
      <c r="AA1738" s="294"/>
      <c r="AB1738" s="294"/>
      <c r="AC1738" s="294"/>
    </row>
    <row r="1739" spans="2:29" x14ac:dyDescent="0.25">
      <c r="B1739" s="294"/>
      <c r="C1739" s="294"/>
      <c r="D1739" s="294"/>
      <c r="E1739" s="294"/>
      <c r="F1739" s="294"/>
      <c r="G1739" s="294"/>
      <c r="H1739" s="294"/>
      <c r="I1739" s="294"/>
      <c r="J1739" s="294"/>
      <c r="L1739" s="295"/>
      <c r="M1739" s="294"/>
      <c r="O1739" s="294"/>
      <c r="P1739" s="294"/>
      <c r="Q1739" s="294"/>
      <c r="R1739" s="294"/>
      <c r="S1739" s="294"/>
      <c r="T1739" s="294"/>
      <c r="U1739" s="326"/>
      <c r="V1739" s="294"/>
      <c r="W1739" s="294"/>
      <c r="X1739" s="294"/>
      <c r="Y1739" s="294"/>
      <c r="Z1739" s="294"/>
      <c r="AA1739" s="294"/>
      <c r="AB1739" s="294"/>
      <c r="AC1739" s="294"/>
    </row>
    <row r="1740" spans="2:29" x14ac:dyDescent="0.25">
      <c r="B1740" s="294"/>
      <c r="C1740" s="294"/>
      <c r="D1740" s="294"/>
      <c r="E1740" s="294"/>
      <c r="F1740" s="294"/>
      <c r="G1740" s="294"/>
      <c r="H1740" s="294"/>
      <c r="I1740" s="294"/>
      <c r="J1740" s="294"/>
      <c r="L1740" s="295"/>
      <c r="M1740" s="294"/>
      <c r="O1740" s="294"/>
      <c r="P1740" s="294"/>
      <c r="Q1740" s="294"/>
      <c r="R1740" s="294"/>
      <c r="S1740" s="294"/>
      <c r="T1740" s="294"/>
      <c r="U1740" s="326"/>
      <c r="V1740" s="294"/>
      <c r="W1740" s="294"/>
      <c r="X1740" s="294"/>
      <c r="Y1740" s="294"/>
      <c r="Z1740" s="294"/>
      <c r="AA1740" s="294"/>
      <c r="AB1740" s="294"/>
      <c r="AC1740" s="294"/>
    </row>
    <row r="1741" spans="2:29" x14ac:dyDescent="0.25">
      <c r="B1741" s="294"/>
      <c r="C1741" s="294"/>
      <c r="D1741" s="294"/>
      <c r="E1741" s="294"/>
      <c r="F1741" s="294"/>
      <c r="G1741" s="294"/>
      <c r="H1741" s="294"/>
      <c r="I1741" s="294"/>
      <c r="J1741" s="294"/>
      <c r="L1741" s="295"/>
      <c r="M1741" s="294"/>
      <c r="O1741" s="294"/>
      <c r="P1741" s="294"/>
      <c r="Q1741" s="294"/>
      <c r="R1741" s="294"/>
      <c r="S1741" s="294"/>
      <c r="T1741" s="294"/>
      <c r="U1741" s="326"/>
      <c r="V1741" s="294"/>
      <c r="W1741" s="294"/>
      <c r="X1741" s="294"/>
      <c r="Y1741" s="294"/>
      <c r="Z1741" s="294"/>
      <c r="AA1741" s="294"/>
      <c r="AB1741" s="294"/>
      <c r="AC1741" s="294"/>
    </row>
    <row r="1742" spans="2:29" x14ac:dyDescent="0.25">
      <c r="B1742" s="294"/>
      <c r="C1742" s="294"/>
      <c r="D1742" s="294"/>
      <c r="E1742" s="294"/>
      <c r="F1742" s="294"/>
      <c r="G1742" s="294"/>
      <c r="H1742" s="294"/>
      <c r="I1742" s="294"/>
      <c r="J1742" s="294"/>
      <c r="L1742" s="295"/>
      <c r="M1742" s="294"/>
      <c r="O1742" s="294"/>
      <c r="P1742" s="294"/>
      <c r="Q1742" s="294"/>
      <c r="R1742" s="294"/>
      <c r="S1742" s="294"/>
      <c r="T1742" s="294"/>
      <c r="U1742" s="326"/>
      <c r="V1742" s="294"/>
      <c r="W1742" s="294"/>
      <c r="X1742" s="294"/>
      <c r="Y1742" s="294"/>
      <c r="Z1742" s="294"/>
      <c r="AA1742" s="294"/>
      <c r="AB1742" s="294"/>
      <c r="AC1742" s="294"/>
    </row>
    <row r="1743" spans="2:29" x14ac:dyDescent="0.25">
      <c r="B1743" s="294"/>
      <c r="C1743" s="294"/>
      <c r="D1743" s="294"/>
      <c r="E1743" s="294"/>
      <c r="F1743" s="294"/>
      <c r="G1743" s="294"/>
      <c r="H1743" s="294"/>
      <c r="I1743" s="294"/>
      <c r="J1743" s="294"/>
      <c r="L1743" s="295"/>
      <c r="M1743" s="294"/>
      <c r="O1743" s="294"/>
      <c r="P1743" s="294"/>
      <c r="Q1743" s="294"/>
      <c r="R1743" s="294"/>
      <c r="S1743" s="294"/>
      <c r="T1743" s="294"/>
      <c r="U1743" s="326"/>
      <c r="V1743" s="294"/>
      <c r="W1743" s="294"/>
      <c r="X1743" s="294"/>
      <c r="Y1743" s="294"/>
      <c r="Z1743" s="294"/>
      <c r="AA1743" s="294"/>
      <c r="AB1743" s="294"/>
      <c r="AC1743" s="294"/>
    </row>
    <row r="1744" spans="2:29" x14ac:dyDescent="0.25">
      <c r="B1744" s="294"/>
      <c r="C1744" s="294"/>
      <c r="D1744" s="294"/>
      <c r="E1744" s="294"/>
      <c r="F1744" s="294"/>
      <c r="G1744" s="294"/>
      <c r="H1744" s="294"/>
      <c r="I1744" s="294"/>
      <c r="J1744" s="294"/>
      <c r="L1744" s="295"/>
      <c r="M1744" s="294"/>
      <c r="O1744" s="294"/>
      <c r="P1744" s="294"/>
      <c r="Q1744" s="294"/>
      <c r="R1744" s="294"/>
      <c r="S1744" s="294"/>
      <c r="T1744" s="294"/>
      <c r="U1744" s="326"/>
      <c r="V1744" s="294"/>
      <c r="W1744" s="294"/>
      <c r="X1744" s="294"/>
      <c r="Y1744" s="294"/>
      <c r="Z1744" s="294"/>
      <c r="AA1744" s="294"/>
      <c r="AB1744" s="294"/>
      <c r="AC1744" s="294"/>
    </row>
    <row r="1745" spans="2:29" x14ac:dyDescent="0.25">
      <c r="B1745" s="294"/>
      <c r="C1745" s="294"/>
      <c r="D1745" s="294"/>
      <c r="E1745" s="294"/>
      <c r="F1745" s="294"/>
      <c r="G1745" s="294"/>
      <c r="H1745" s="294"/>
      <c r="I1745" s="294"/>
      <c r="J1745" s="294"/>
      <c r="L1745" s="295"/>
      <c r="M1745" s="294"/>
      <c r="O1745" s="294"/>
      <c r="P1745" s="294"/>
      <c r="Q1745" s="294"/>
      <c r="R1745" s="294"/>
      <c r="S1745" s="294"/>
      <c r="T1745" s="294"/>
      <c r="U1745" s="326"/>
      <c r="V1745" s="294"/>
      <c r="W1745" s="294"/>
      <c r="X1745" s="294"/>
      <c r="Y1745" s="294"/>
      <c r="Z1745" s="294"/>
      <c r="AA1745" s="294"/>
      <c r="AB1745" s="294"/>
      <c r="AC1745" s="294"/>
    </row>
    <row r="1746" spans="2:29" x14ac:dyDescent="0.25">
      <c r="B1746" s="294"/>
      <c r="C1746" s="294"/>
      <c r="D1746" s="294"/>
      <c r="E1746" s="294"/>
      <c r="F1746" s="294"/>
      <c r="G1746" s="294"/>
      <c r="H1746" s="294"/>
      <c r="I1746" s="294"/>
      <c r="J1746" s="294"/>
      <c r="L1746" s="295"/>
      <c r="M1746" s="294"/>
      <c r="O1746" s="294"/>
      <c r="P1746" s="294"/>
      <c r="Q1746" s="294"/>
      <c r="R1746" s="294"/>
      <c r="S1746" s="294"/>
      <c r="T1746" s="294"/>
      <c r="U1746" s="326"/>
      <c r="V1746" s="294"/>
      <c r="W1746" s="294"/>
      <c r="X1746" s="294"/>
      <c r="Y1746" s="294"/>
      <c r="Z1746" s="294"/>
      <c r="AA1746" s="294"/>
      <c r="AB1746" s="294"/>
      <c r="AC1746" s="294"/>
    </row>
    <row r="1747" spans="2:29" x14ac:dyDescent="0.25">
      <c r="B1747" s="294"/>
      <c r="C1747" s="294"/>
      <c r="D1747" s="294"/>
      <c r="E1747" s="294"/>
      <c r="F1747" s="294"/>
      <c r="G1747" s="294"/>
      <c r="H1747" s="294"/>
      <c r="I1747" s="294"/>
      <c r="J1747" s="294"/>
      <c r="L1747" s="295"/>
      <c r="M1747" s="294"/>
      <c r="O1747" s="294"/>
      <c r="P1747" s="294"/>
      <c r="Q1747" s="294"/>
      <c r="R1747" s="294"/>
      <c r="S1747" s="294"/>
      <c r="T1747" s="294"/>
      <c r="U1747" s="326"/>
      <c r="V1747" s="294"/>
      <c r="W1747" s="294"/>
      <c r="X1747" s="294"/>
      <c r="Y1747" s="294"/>
      <c r="Z1747" s="294"/>
      <c r="AA1747" s="294"/>
      <c r="AB1747" s="294"/>
      <c r="AC1747" s="294"/>
    </row>
    <row r="1748" spans="2:29" x14ac:dyDescent="0.25">
      <c r="B1748" s="294"/>
      <c r="C1748" s="294"/>
      <c r="D1748" s="294"/>
      <c r="E1748" s="294"/>
      <c r="F1748" s="294"/>
      <c r="G1748" s="294"/>
      <c r="H1748" s="294"/>
      <c r="I1748" s="294"/>
      <c r="J1748" s="294"/>
      <c r="L1748" s="295"/>
      <c r="M1748" s="294"/>
      <c r="O1748" s="294"/>
      <c r="P1748" s="294"/>
      <c r="Q1748" s="294"/>
      <c r="R1748" s="294"/>
      <c r="S1748" s="294"/>
      <c r="T1748" s="294"/>
      <c r="U1748" s="326"/>
      <c r="V1748" s="294"/>
      <c r="W1748" s="294"/>
      <c r="X1748" s="294"/>
      <c r="Y1748" s="294"/>
      <c r="Z1748" s="294"/>
      <c r="AA1748" s="294"/>
      <c r="AB1748" s="294"/>
      <c r="AC1748" s="294"/>
    </row>
    <row r="1749" spans="2:29" x14ac:dyDescent="0.25">
      <c r="B1749" s="294"/>
      <c r="C1749" s="294"/>
      <c r="D1749" s="294"/>
      <c r="E1749" s="294"/>
      <c r="F1749" s="294"/>
      <c r="G1749" s="294"/>
      <c r="H1749" s="294"/>
      <c r="I1749" s="294"/>
      <c r="J1749" s="294"/>
      <c r="L1749" s="295"/>
      <c r="M1749" s="294"/>
      <c r="O1749" s="294"/>
      <c r="P1749" s="294"/>
      <c r="Q1749" s="294"/>
      <c r="R1749" s="294"/>
      <c r="S1749" s="294"/>
      <c r="T1749" s="294"/>
      <c r="U1749" s="326"/>
      <c r="V1749" s="294"/>
      <c r="W1749" s="294"/>
      <c r="X1749" s="294"/>
      <c r="Y1749" s="294"/>
      <c r="Z1749" s="294"/>
      <c r="AA1749" s="294"/>
      <c r="AB1749" s="294"/>
      <c r="AC1749" s="294"/>
    </row>
    <row r="1750" spans="2:29" x14ac:dyDescent="0.25">
      <c r="B1750" s="294"/>
      <c r="C1750" s="294"/>
      <c r="D1750" s="294"/>
      <c r="E1750" s="294"/>
      <c r="F1750" s="294"/>
      <c r="G1750" s="294"/>
      <c r="H1750" s="294"/>
      <c r="I1750" s="294"/>
      <c r="J1750" s="294"/>
      <c r="L1750" s="295"/>
      <c r="M1750" s="294"/>
      <c r="O1750" s="294"/>
      <c r="P1750" s="294"/>
      <c r="Q1750" s="294"/>
      <c r="R1750" s="294"/>
      <c r="S1750" s="294"/>
      <c r="T1750" s="294"/>
      <c r="U1750" s="326"/>
      <c r="V1750" s="294"/>
      <c r="W1750" s="294"/>
      <c r="X1750" s="294"/>
      <c r="Y1750" s="294"/>
      <c r="Z1750" s="294"/>
      <c r="AA1750" s="294"/>
      <c r="AB1750" s="294"/>
      <c r="AC1750" s="294"/>
    </row>
    <row r="1751" spans="2:29" x14ac:dyDescent="0.25">
      <c r="B1751" s="294"/>
      <c r="C1751" s="294"/>
      <c r="D1751" s="294"/>
      <c r="E1751" s="294"/>
      <c r="F1751" s="294"/>
      <c r="G1751" s="294"/>
      <c r="H1751" s="294"/>
      <c r="I1751" s="294"/>
      <c r="J1751" s="294"/>
      <c r="L1751" s="295"/>
      <c r="M1751" s="294"/>
      <c r="O1751" s="294"/>
      <c r="P1751" s="294"/>
      <c r="Q1751" s="294"/>
      <c r="R1751" s="294"/>
      <c r="S1751" s="294"/>
      <c r="T1751" s="294"/>
      <c r="U1751" s="326"/>
      <c r="V1751" s="294"/>
      <c r="W1751" s="294"/>
      <c r="X1751" s="294"/>
      <c r="Y1751" s="294"/>
      <c r="Z1751" s="294"/>
      <c r="AA1751" s="294"/>
      <c r="AB1751" s="294"/>
      <c r="AC1751" s="294"/>
    </row>
    <row r="1752" spans="2:29" x14ac:dyDescent="0.25">
      <c r="B1752" s="294"/>
      <c r="C1752" s="294"/>
      <c r="D1752" s="294"/>
      <c r="E1752" s="294"/>
      <c r="F1752" s="294"/>
      <c r="G1752" s="294"/>
      <c r="H1752" s="294"/>
      <c r="I1752" s="294"/>
      <c r="J1752" s="294"/>
      <c r="L1752" s="295"/>
      <c r="M1752" s="294"/>
      <c r="O1752" s="294"/>
      <c r="P1752" s="294"/>
      <c r="Q1752" s="294"/>
      <c r="R1752" s="294"/>
      <c r="S1752" s="294"/>
      <c r="T1752" s="294"/>
      <c r="U1752" s="326"/>
      <c r="V1752" s="294"/>
      <c r="W1752" s="294"/>
      <c r="X1752" s="294"/>
      <c r="Y1752" s="294"/>
      <c r="Z1752" s="294"/>
      <c r="AA1752" s="294"/>
      <c r="AB1752" s="294"/>
      <c r="AC1752" s="294"/>
    </row>
    <row r="1753" spans="2:29" x14ac:dyDescent="0.25">
      <c r="B1753" s="294"/>
      <c r="C1753" s="294"/>
      <c r="D1753" s="294"/>
      <c r="E1753" s="294"/>
      <c r="F1753" s="294"/>
      <c r="G1753" s="294"/>
      <c r="H1753" s="294"/>
      <c r="I1753" s="294"/>
      <c r="J1753" s="294"/>
      <c r="L1753" s="295"/>
      <c r="M1753" s="294"/>
      <c r="O1753" s="294"/>
      <c r="P1753" s="294"/>
      <c r="Q1753" s="294"/>
      <c r="R1753" s="294"/>
      <c r="S1753" s="294"/>
      <c r="T1753" s="294"/>
      <c r="U1753" s="326"/>
      <c r="V1753" s="294"/>
      <c r="W1753" s="294"/>
      <c r="X1753" s="294"/>
      <c r="Y1753" s="294"/>
      <c r="Z1753" s="294"/>
      <c r="AA1753" s="294"/>
      <c r="AB1753" s="294"/>
      <c r="AC1753" s="294"/>
    </row>
    <row r="1754" spans="2:29" x14ac:dyDescent="0.25">
      <c r="B1754" s="294"/>
      <c r="C1754" s="294"/>
      <c r="D1754" s="294"/>
      <c r="E1754" s="294"/>
      <c r="F1754" s="294"/>
      <c r="G1754" s="294"/>
      <c r="H1754" s="294"/>
      <c r="I1754" s="294"/>
      <c r="J1754" s="294"/>
      <c r="L1754" s="295"/>
      <c r="M1754" s="294"/>
      <c r="O1754" s="294"/>
      <c r="P1754" s="294"/>
      <c r="Q1754" s="294"/>
      <c r="R1754" s="294"/>
      <c r="S1754" s="294"/>
      <c r="T1754" s="294"/>
      <c r="U1754" s="326"/>
      <c r="V1754" s="294"/>
      <c r="W1754" s="294"/>
      <c r="X1754" s="294"/>
      <c r="Y1754" s="294"/>
      <c r="Z1754" s="294"/>
      <c r="AA1754" s="294"/>
      <c r="AB1754" s="294"/>
      <c r="AC1754" s="294"/>
    </row>
    <row r="1755" spans="2:29" x14ac:dyDescent="0.25">
      <c r="B1755" s="294"/>
      <c r="C1755" s="294"/>
      <c r="D1755" s="294"/>
      <c r="E1755" s="294"/>
      <c r="F1755" s="294"/>
      <c r="G1755" s="294"/>
      <c r="H1755" s="294"/>
      <c r="I1755" s="294"/>
      <c r="J1755" s="294"/>
      <c r="L1755" s="295"/>
      <c r="M1755" s="294"/>
      <c r="O1755" s="294"/>
      <c r="P1755" s="294"/>
      <c r="Q1755" s="294"/>
      <c r="R1755" s="294"/>
      <c r="S1755" s="294"/>
      <c r="T1755" s="294"/>
      <c r="U1755" s="326"/>
      <c r="V1755" s="294"/>
      <c r="W1755" s="294"/>
      <c r="X1755" s="294"/>
      <c r="Y1755" s="294"/>
      <c r="Z1755" s="294"/>
      <c r="AA1755" s="294"/>
      <c r="AB1755" s="294"/>
      <c r="AC1755" s="294"/>
    </row>
    <row r="1756" spans="2:29" x14ac:dyDescent="0.25">
      <c r="B1756" s="294"/>
      <c r="C1756" s="294"/>
      <c r="D1756" s="294"/>
      <c r="E1756" s="294"/>
      <c r="F1756" s="294"/>
      <c r="G1756" s="294"/>
      <c r="H1756" s="294"/>
      <c r="I1756" s="294"/>
      <c r="J1756" s="294"/>
      <c r="L1756" s="295"/>
      <c r="M1756" s="294"/>
      <c r="O1756" s="294"/>
      <c r="P1756" s="294"/>
      <c r="Q1756" s="294"/>
      <c r="R1756" s="294"/>
      <c r="S1756" s="294"/>
      <c r="T1756" s="294"/>
      <c r="U1756" s="326"/>
      <c r="V1756" s="294"/>
      <c r="W1756" s="294"/>
      <c r="X1756" s="294"/>
      <c r="Y1756" s="294"/>
      <c r="Z1756" s="294"/>
      <c r="AA1756" s="294"/>
      <c r="AB1756" s="294"/>
      <c r="AC1756" s="294"/>
    </row>
    <row r="1757" spans="2:29" x14ac:dyDescent="0.25">
      <c r="B1757" s="294"/>
      <c r="C1757" s="294"/>
      <c r="D1757" s="294"/>
      <c r="E1757" s="294"/>
      <c r="F1757" s="294"/>
      <c r="G1757" s="294"/>
      <c r="H1757" s="294"/>
      <c r="I1757" s="294"/>
      <c r="J1757" s="294"/>
      <c r="L1757" s="295"/>
      <c r="M1757" s="294"/>
      <c r="O1757" s="294"/>
      <c r="P1757" s="294"/>
      <c r="Q1757" s="294"/>
      <c r="R1757" s="294"/>
      <c r="S1757" s="294"/>
      <c r="T1757" s="294"/>
      <c r="U1757" s="326"/>
      <c r="V1757" s="294"/>
      <c r="W1757" s="294"/>
      <c r="X1757" s="294"/>
      <c r="Y1757" s="294"/>
      <c r="Z1757" s="294"/>
      <c r="AA1757" s="294"/>
      <c r="AB1757" s="294"/>
      <c r="AC1757" s="294"/>
    </row>
    <row r="1758" spans="2:29" x14ac:dyDescent="0.25">
      <c r="B1758" s="294"/>
      <c r="C1758" s="294"/>
      <c r="D1758" s="294"/>
      <c r="E1758" s="294"/>
      <c r="F1758" s="294"/>
      <c r="G1758" s="294"/>
      <c r="H1758" s="294"/>
      <c r="I1758" s="294"/>
      <c r="J1758" s="294"/>
      <c r="L1758" s="295"/>
      <c r="M1758" s="294"/>
      <c r="O1758" s="294"/>
      <c r="P1758" s="294"/>
      <c r="Q1758" s="294"/>
      <c r="R1758" s="294"/>
      <c r="S1758" s="294"/>
      <c r="T1758" s="294"/>
      <c r="U1758" s="326"/>
      <c r="V1758" s="294"/>
      <c r="W1758" s="294"/>
      <c r="X1758" s="294"/>
      <c r="Y1758" s="294"/>
      <c r="Z1758" s="294"/>
      <c r="AA1758" s="294"/>
      <c r="AB1758" s="294"/>
      <c r="AC1758" s="294"/>
    </row>
    <row r="1759" spans="2:29" x14ac:dyDescent="0.25">
      <c r="B1759" s="294"/>
      <c r="C1759" s="294"/>
      <c r="D1759" s="294"/>
      <c r="E1759" s="294"/>
      <c r="F1759" s="294"/>
      <c r="G1759" s="294"/>
      <c r="H1759" s="294"/>
      <c r="I1759" s="294"/>
      <c r="J1759" s="294"/>
      <c r="L1759" s="295"/>
      <c r="M1759" s="294"/>
      <c r="O1759" s="294"/>
      <c r="P1759" s="294"/>
      <c r="Q1759" s="294"/>
      <c r="R1759" s="294"/>
      <c r="S1759" s="294"/>
      <c r="T1759" s="294"/>
      <c r="U1759" s="326"/>
      <c r="V1759" s="294"/>
      <c r="W1759" s="294"/>
      <c r="X1759" s="294"/>
      <c r="Y1759" s="294"/>
      <c r="Z1759" s="294"/>
      <c r="AA1759" s="294"/>
      <c r="AB1759" s="294"/>
      <c r="AC1759" s="294"/>
    </row>
    <row r="1760" spans="2:29" x14ac:dyDescent="0.25">
      <c r="B1760" s="294"/>
      <c r="C1760" s="294"/>
      <c r="D1760" s="294"/>
      <c r="E1760" s="294"/>
      <c r="F1760" s="294"/>
      <c r="G1760" s="294"/>
      <c r="H1760" s="294"/>
      <c r="I1760" s="294"/>
      <c r="J1760" s="294"/>
      <c r="L1760" s="295"/>
      <c r="M1760" s="294"/>
      <c r="O1760" s="294"/>
      <c r="P1760" s="294"/>
      <c r="Q1760" s="294"/>
      <c r="R1760" s="294"/>
      <c r="S1760" s="294"/>
      <c r="T1760" s="294"/>
      <c r="U1760" s="326"/>
      <c r="V1760" s="294"/>
      <c r="W1760" s="294"/>
      <c r="X1760" s="294"/>
      <c r="Y1760" s="294"/>
      <c r="Z1760" s="294"/>
      <c r="AA1760" s="294"/>
      <c r="AB1760" s="294"/>
      <c r="AC1760" s="294"/>
    </row>
    <row r="1761" spans="2:29" x14ac:dyDescent="0.25">
      <c r="B1761" s="294"/>
      <c r="C1761" s="294"/>
      <c r="D1761" s="294"/>
      <c r="E1761" s="294"/>
      <c r="F1761" s="294"/>
      <c r="G1761" s="294"/>
      <c r="H1761" s="294"/>
      <c r="I1761" s="294"/>
      <c r="J1761" s="294"/>
      <c r="L1761" s="295"/>
      <c r="M1761" s="294"/>
      <c r="O1761" s="294"/>
      <c r="P1761" s="294"/>
      <c r="Q1761" s="294"/>
      <c r="R1761" s="294"/>
      <c r="S1761" s="294"/>
      <c r="T1761" s="294"/>
      <c r="U1761" s="326"/>
      <c r="V1761" s="294"/>
      <c r="W1761" s="294"/>
      <c r="X1761" s="294"/>
      <c r="Y1761" s="294"/>
      <c r="Z1761" s="294"/>
      <c r="AA1761" s="294"/>
      <c r="AB1761" s="294"/>
      <c r="AC1761" s="294"/>
    </row>
    <row r="1762" spans="2:29" x14ac:dyDescent="0.25">
      <c r="B1762" s="294"/>
      <c r="C1762" s="294"/>
      <c r="D1762" s="294"/>
      <c r="E1762" s="294"/>
      <c r="F1762" s="294"/>
      <c r="G1762" s="294"/>
      <c r="H1762" s="294"/>
      <c r="I1762" s="294"/>
      <c r="J1762" s="294"/>
      <c r="L1762" s="295"/>
      <c r="M1762" s="294"/>
      <c r="O1762" s="294"/>
      <c r="P1762" s="294"/>
      <c r="Q1762" s="294"/>
      <c r="R1762" s="294"/>
      <c r="S1762" s="294"/>
      <c r="T1762" s="294"/>
      <c r="U1762" s="326"/>
      <c r="V1762" s="294"/>
      <c r="W1762" s="294"/>
      <c r="X1762" s="294"/>
      <c r="Y1762" s="294"/>
      <c r="Z1762" s="294"/>
      <c r="AA1762" s="294"/>
      <c r="AB1762" s="294"/>
      <c r="AC1762" s="294"/>
    </row>
    <row r="1763" spans="2:29" x14ac:dyDescent="0.25">
      <c r="B1763" s="294"/>
      <c r="C1763" s="294"/>
      <c r="D1763" s="294"/>
      <c r="E1763" s="294"/>
      <c r="F1763" s="294"/>
      <c r="G1763" s="294"/>
      <c r="H1763" s="294"/>
      <c r="I1763" s="294"/>
      <c r="J1763" s="294"/>
      <c r="L1763" s="295"/>
      <c r="M1763" s="294"/>
      <c r="O1763" s="294"/>
      <c r="P1763" s="294"/>
      <c r="Q1763" s="294"/>
      <c r="R1763" s="294"/>
      <c r="S1763" s="294"/>
      <c r="T1763" s="294"/>
      <c r="U1763" s="326"/>
      <c r="V1763" s="294"/>
      <c r="W1763" s="294"/>
      <c r="X1763" s="294"/>
      <c r="Y1763" s="294"/>
      <c r="Z1763" s="294"/>
      <c r="AA1763" s="294"/>
      <c r="AB1763" s="294"/>
      <c r="AC1763" s="294"/>
    </row>
    <row r="1764" spans="2:29" x14ac:dyDescent="0.25">
      <c r="B1764" s="294"/>
      <c r="C1764" s="294"/>
      <c r="D1764" s="294"/>
      <c r="E1764" s="294"/>
      <c r="F1764" s="294"/>
      <c r="G1764" s="294"/>
      <c r="H1764" s="294"/>
      <c r="I1764" s="294"/>
      <c r="J1764" s="294"/>
      <c r="L1764" s="295"/>
      <c r="M1764" s="294"/>
      <c r="O1764" s="294"/>
      <c r="P1764" s="294"/>
      <c r="Q1764" s="294"/>
      <c r="R1764" s="294"/>
      <c r="S1764" s="294"/>
      <c r="T1764" s="294"/>
      <c r="U1764" s="326"/>
      <c r="V1764" s="294"/>
      <c r="W1764" s="294"/>
      <c r="X1764" s="294"/>
      <c r="Y1764" s="294"/>
      <c r="Z1764" s="294"/>
      <c r="AA1764" s="294"/>
      <c r="AB1764" s="294"/>
      <c r="AC1764" s="294"/>
    </row>
    <row r="1765" spans="2:29" x14ac:dyDescent="0.25">
      <c r="B1765" s="294"/>
      <c r="C1765" s="294"/>
      <c r="D1765" s="294"/>
      <c r="E1765" s="294"/>
      <c r="F1765" s="294"/>
      <c r="G1765" s="294"/>
      <c r="H1765" s="294"/>
      <c r="I1765" s="294"/>
      <c r="J1765" s="294"/>
      <c r="L1765" s="295"/>
      <c r="M1765" s="294"/>
      <c r="O1765" s="294"/>
      <c r="P1765" s="294"/>
      <c r="Q1765" s="294"/>
      <c r="R1765" s="294"/>
      <c r="S1765" s="294"/>
      <c r="T1765" s="294"/>
      <c r="U1765" s="326"/>
      <c r="V1765" s="294"/>
      <c r="W1765" s="294"/>
      <c r="X1765" s="294"/>
      <c r="Y1765" s="294"/>
      <c r="Z1765" s="294"/>
      <c r="AA1765" s="294"/>
      <c r="AB1765" s="294"/>
      <c r="AC1765" s="294"/>
    </row>
    <row r="1766" spans="2:29" x14ac:dyDescent="0.25">
      <c r="B1766" s="294"/>
      <c r="C1766" s="294"/>
      <c r="D1766" s="294"/>
      <c r="E1766" s="294"/>
      <c r="F1766" s="294"/>
      <c r="G1766" s="294"/>
      <c r="H1766" s="294"/>
      <c r="I1766" s="294"/>
      <c r="J1766" s="294"/>
      <c r="L1766" s="295"/>
      <c r="M1766" s="294"/>
      <c r="O1766" s="294"/>
      <c r="P1766" s="294"/>
      <c r="Q1766" s="294"/>
      <c r="R1766" s="294"/>
      <c r="S1766" s="294"/>
      <c r="T1766" s="294"/>
      <c r="U1766" s="326"/>
      <c r="V1766" s="294"/>
      <c r="W1766" s="294"/>
      <c r="X1766" s="294"/>
      <c r="Y1766" s="294"/>
      <c r="Z1766" s="294"/>
      <c r="AA1766" s="294"/>
      <c r="AB1766" s="294"/>
      <c r="AC1766" s="294"/>
    </row>
    <row r="1767" spans="2:29" x14ac:dyDescent="0.25">
      <c r="B1767" s="294"/>
      <c r="C1767" s="294"/>
      <c r="D1767" s="294"/>
      <c r="E1767" s="294"/>
      <c r="F1767" s="294"/>
      <c r="G1767" s="294"/>
      <c r="H1767" s="294"/>
      <c r="I1767" s="294"/>
      <c r="J1767" s="294"/>
      <c r="L1767" s="295"/>
      <c r="M1767" s="294"/>
      <c r="O1767" s="294"/>
      <c r="P1767" s="294"/>
      <c r="Q1767" s="294"/>
      <c r="R1767" s="294"/>
      <c r="S1767" s="294"/>
      <c r="T1767" s="294"/>
      <c r="U1767" s="326"/>
      <c r="V1767" s="294"/>
      <c r="W1767" s="294"/>
      <c r="X1767" s="294"/>
      <c r="Y1767" s="294"/>
      <c r="Z1767" s="294"/>
      <c r="AA1767" s="294"/>
      <c r="AB1767" s="294"/>
      <c r="AC1767" s="294"/>
    </row>
    <row r="1768" spans="2:29" x14ac:dyDescent="0.25">
      <c r="B1768" s="294"/>
      <c r="C1768" s="294"/>
      <c r="D1768" s="294"/>
      <c r="E1768" s="294"/>
      <c r="F1768" s="294"/>
      <c r="G1768" s="294"/>
      <c r="H1768" s="294"/>
      <c r="I1768" s="294"/>
      <c r="J1768" s="294"/>
      <c r="L1768" s="295"/>
      <c r="M1768" s="294"/>
      <c r="O1768" s="294"/>
      <c r="P1768" s="294"/>
      <c r="Q1768" s="294"/>
      <c r="R1768" s="294"/>
      <c r="S1768" s="294"/>
      <c r="T1768" s="294"/>
      <c r="U1768" s="326"/>
      <c r="V1768" s="294"/>
      <c r="W1768" s="294"/>
      <c r="X1768" s="294"/>
      <c r="Y1768" s="294"/>
      <c r="Z1768" s="294"/>
      <c r="AA1768" s="294"/>
      <c r="AB1768" s="294"/>
      <c r="AC1768" s="294"/>
    </row>
    <row r="1769" spans="2:29" x14ac:dyDescent="0.25">
      <c r="B1769" s="294"/>
      <c r="C1769" s="294"/>
      <c r="D1769" s="294"/>
      <c r="E1769" s="294"/>
      <c r="F1769" s="294"/>
      <c r="G1769" s="294"/>
      <c r="H1769" s="294"/>
      <c r="I1769" s="294"/>
      <c r="J1769" s="294"/>
      <c r="L1769" s="295"/>
      <c r="M1769" s="294"/>
      <c r="O1769" s="294"/>
      <c r="P1769" s="294"/>
      <c r="Q1769" s="294"/>
      <c r="R1769" s="294"/>
      <c r="S1769" s="294"/>
      <c r="T1769" s="294"/>
      <c r="U1769" s="326"/>
      <c r="V1769" s="294"/>
      <c r="W1769" s="294"/>
      <c r="X1769" s="294"/>
      <c r="Y1769" s="294"/>
      <c r="Z1769" s="294"/>
      <c r="AA1769" s="294"/>
      <c r="AB1769" s="294"/>
      <c r="AC1769" s="294"/>
    </row>
    <row r="1770" spans="2:29" x14ac:dyDescent="0.25">
      <c r="B1770" s="294"/>
      <c r="C1770" s="294"/>
      <c r="D1770" s="294"/>
      <c r="E1770" s="294"/>
      <c r="F1770" s="294"/>
      <c r="G1770" s="294"/>
      <c r="H1770" s="294"/>
      <c r="I1770" s="294"/>
      <c r="J1770" s="294"/>
      <c r="L1770" s="295"/>
      <c r="M1770" s="294"/>
      <c r="O1770" s="294"/>
      <c r="P1770" s="294"/>
      <c r="Q1770" s="294"/>
      <c r="R1770" s="294"/>
      <c r="S1770" s="294"/>
      <c r="T1770" s="294"/>
      <c r="U1770" s="326"/>
      <c r="V1770" s="294"/>
      <c r="W1770" s="294"/>
      <c r="X1770" s="294"/>
      <c r="Y1770" s="294"/>
      <c r="Z1770" s="294"/>
      <c r="AA1770" s="294"/>
      <c r="AB1770" s="294"/>
      <c r="AC1770" s="294"/>
    </row>
    <row r="1771" spans="2:29" x14ac:dyDescent="0.25">
      <c r="B1771" s="294"/>
      <c r="C1771" s="294"/>
      <c r="D1771" s="294"/>
      <c r="E1771" s="294"/>
      <c r="F1771" s="294"/>
      <c r="G1771" s="294"/>
      <c r="H1771" s="294"/>
      <c r="I1771" s="294"/>
      <c r="J1771" s="294"/>
      <c r="L1771" s="295"/>
      <c r="M1771" s="294"/>
      <c r="O1771" s="294"/>
      <c r="P1771" s="294"/>
      <c r="Q1771" s="294"/>
      <c r="R1771" s="294"/>
      <c r="S1771" s="294"/>
      <c r="T1771" s="294"/>
      <c r="U1771" s="326"/>
      <c r="V1771" s="294"/>
      <c r="W1771" s="294"/>
      <c r="X1771" s="294"/>
      <c r="Y1771" s="294"/>
      <c r="Z1771" s="294"/>
      <c r="AA1771" s="294"/>
      <c r="AB1771" s="294"/>
      <c r="AC1771" s="294"/>
    </row>
    <row r="1772" spans="2:29" x14ac:dyDescent="0.25">
      <c r="B1772" s="294"/>
      <c r="C1772" s="294"/>
      <c r="D1772" s="294"/>
      <c r="E1772" s="294"/>
      <c r="F1772" s="294"/>
      <c r="G1772" s="294"/>
      <c r="H1772" s="294"/>
      <c r="I1772" s="294"/>
      <c r="J1772" s="294"/>
      <c r="L1772" s="295"/>
      <c r="M1772" s="294"/>
      <c r="O1772" s="294"/>
      <c r="P1772" s="294"/>
      <c r="Q1772" s="294"/>
      <c r="R1772" s="294"/>
      <c r="S1772" s="294"/>
      <c r="T1772" s="294"/>
      <c r="U1772" s="326"/>
      <c r="V1772" s="294"/>
      <c r="W1772" s="294"/>
      <c r="X1772" s="294"/>
      <c r="Y1772" s="294"/>
      <c r="Z1772" s="294"/>
      <c r="AA1772" s="294"/>
      <c r="AB1772" s="294"/>
      <c r="AC1772" s="294"/>
    </row>
    <row r="1773" spans="2:29" x14ac:dyDescent="0.25">
      <c r="B1773" s="294"/>
      <c r="C1773" s="294"/>
      <c r="D1773" s="294"/>
      <c r="E1773" s="294"/>
      <c r="F1773" s="294"/>
      <c r="G1773" s="294"/>
      <c r="H1773" s="294"/>
      <c r="I1773" s="294"/>
      <c r="J1773" s="294"/>
      <c r="L1773" s="295"/>
      <c r="M1773" s="294"/>
      <c r="O1773" s="294"/>
      <c r="P1773" s="294"/>
      <c r="Q1773" s="294"/>
      <c r="R1773" s="294"/>
      <c r="S1773" s="294"/>
      <c r="T1773" s="294"/>
      <c r="U1773" s="326"/>
      <c r="V1773" s="294"/>
      <c r="W1773" s="294"/>
      <c r="X1773" s="294"/>
      <c r="Y1773" s="294"/>
      <c r="Z1773" s="294"/>
      <c r="AA1773" s="294"/>
      <c r="AB1773" s="294"/>
      <c r="AC1773" s="294"/>
    </row>
    <row r="1774" spans="2:29" x14ac:dyDescent="0.25">
      <c r="B1774" s="294"/>
      <c r="C1774" s="294"/>
      <c r="D1774" s="294"/>
      <c r="E1774" s="294"/>
      <c r="F1774" s="294"/>
      <c r="G1774" s="294"/>
      <c r="H1774" s="294"/>
      <c r="I1774" s="294"/>
      <c r="J1774" s="294"/>
      <c r="L1774" s="295"/>
      <c r="M1774" s="294"/>
      <c r="O1774" s="294"/>
      <c r="P1774" s="294"/>
      <c r="Q1774" s="294"/>
      <c r="R1774" s="294"/>
      <c r="S1774" s="294"/>
      <c r="T1774" s="294"/>
      <c r="U1774" s="326"/>
      <c r="V1774" s="294"/>
      <c r="W1774" s="294"/>
      <c r="X1774" s="294"/>
      <c r="Y1774" s="294"/>
      <c r="Z1774" s="294"/>
      <c r="AA1774" s="294"/>
      <c r="AB1774" s="294"/>
      <c r="AC1774" s="294"/>
    </row>
    <row r="1775" spans="2:29" x14ac:dyDescent="0.25">
      <c r="B1775" s="294"/>
      <c r="C1775" s="294"/>
      <c r="D1775" s="294"/>
      <c r="E1775" s="294"/>
      <c r="F1775" s="294"/>
      <c r="G1775" s="294"/>
      <c r="H1775" s="294"/>
      <c r="I1775" s="294"/>
      <c r="J1775" s="294"/>
      <c r="L1775" s="295"/>
      <c r="M1775" s="294"/>
      <c r="O1775" s="294"/>
      <c r="P1775" s="294"/>
      <c r="Q1775" s="294"/>
      <c r="R1775" s="294"/>
      <c r="S1775" s="294"/>
      <c r="T1775" s="294"/>
      <c r="U1775" s="326"/>
      <c r="V1775" s="294"/>
      <c r="W1775" s="294"/>
      <c r="X1775" s="294"/>
      <c r="Y1775" s="294"/>
      <c r="Z1775" s="294"/>
      <c r="AA1775" s="294"/>
      <c r="AB1775" s="294"/>
      <c r="AC1775" s="294"/>
    </row>
    <row r="1776" spans="2:29" x14ac:dyDescent="0.25">
      <c r="B1776" s="294"/>
      <c r="C1776" s="294"/>
      <c r="D1776" s="294"/>
      <c r="E1776" s="294"/>
      <c r="F1776" s="294"/>
      <c r="G1776" s="294"/>
      <c r="H1776" s="294"/>
      <c r="I1776" s="294"/>
      <c r="J1776" s="294"/>
      <c r="L1776" s="295"/>
      <c r="M1776" s="294"/>
      <c r="O1776" s="294"/>
      <c r="P1776" s="294"/>
      <c r="Q1776" s="294"/>
      <c r="R1776" s="294"/>
      <c r="S1776" s="294"/>
      <c r="T1776" s="294"/>
      <c r="U1776" s="326"/>
      <c r="V1776" s="294"/>
      <c r="W1776" s="294"/>
      <c r="X1776" s="294"/>
      <c r="Y1776" s="294"/>
      <c r="Z1776" s="294"/>
      <c r="AA1776" s="294"/>
      <c r="AB1776" s="294"/>
      <c r="AC1776" s="294"/>
    </row>
    <row r="1777" spans="2:29" x14ac:dyDescent="0.25">
      <c r="B1777" s="294"/>
      <c r="C1777" s="294"/>
      <c r="D1777" s="294"/>
      <c r="E1777" s="294"/>
      <c r="F1777" s="294"/>
      <c r="G1777" s="294"/>
      <c r="H1777" s="294"/>
      <c r="I1777" s="294"/>
      <c r="J1777" s="294"/>
      <c r="L1777" s="295"/>
      <c r="M1777" s="294"/>
      <c r="O1777" s="294"/>
      <c r="P1777" s="294"/>
      <c r="Q1777" s="294"/>
      <c r="R1777" s="294"/>
      <c r="S1777" s="294"/>
      <c r="T1777" s="294"/>
      <c r="U1777" s="326"/>
      <c r="V1777" s="294"/>
      <c r="W1777" s="294"/>
      <c r="X1777" s="294"/>
      <c r="Y1777" s="294"/>
      <c r="Z1777" s="294"/>
      <c r="AA1777" s="294"/>
      <c r="AB1777" s="294"/>
      <c r="AC1777" s="294"/>
    </row>
    <row r="1778" spans="2:29" x14ac:dyDescent="0.25">
      <c r="B1778" s="294"/>
      <c r="C1778" s="294"/>
      <c r="D1778" s="294"/>
      <c r="E1778" s="294"/>
      <c r="F1778" s="294"/>
      <c r="G1778" s="294"/>
      <c r="H1778" s="294"/>
      <c r="I1778" s="294"/>
      <c r="J1778" s="294"/>
      <c r="L1778" s="295"/>
      <c r="M1778" s="294"/>
      <c r="O1778" s="294"/>
      <c r="P1778" s="294"/>
      <c r="Q1778" s="294"/>
      <c r="R1778" s="294"/>
      <c r="S1778" s="294"/>
      <c r="T1778" s="294"/>
      <c r="U1778" s="326"/>
      <c r="V1778" s="294"/>
      <c r="W1778" s="294"/>
      <c r="X1778" s="294"/>
      <c r="Y1778" s="294"/>
      <c r="Z1778" s="294"/>
      <c r="AA1778" s="294"/>
      <c r="AB1778" s="294"/>
      <c r="AC1778" s="294"/>
    </row>
    <row r="1779" spans="2:29" x14ac:dyDescent="0.25">
      <c r="B1779" s="294"/>
      <c r="C1779" s="294"/>
      <c r="D1779" s="294"/>
      <c r="E1779" s="294"/>
      <c r="F1779" s="294"/>
      <c r="G1779" s="294"/>
      <c r="H1779" s="294"/>
      <c r="I1779" s="294"/>
      <c r="J1779" s="294"/>
      <c r="L1779" s="295"/>
      <c r="M1779" s="294"/>
      <c r="O1779" s="294"/>
      <c r="P1779" s="294"/>
      <c r="Q1779" s="294"/>
      <c r="R1779" s="294"/>
      <c r="S1779" s="294"/>
      <c r="T1779" s="294"/>
      <c r="U1779" s="326"/>
      <c r="V1779" s="294"/>
      <c r="W1779" s="294"/>
      <c r="X1779" s="294"/>
      <c r="Y1779" s="294"/>
      <c r="Z1779" s="294"/>
      <c r="AA1779" s="294"/>
      <c r="AB1779" s="294"/>
      <c r="AC1779" s="294"/>
    </row>
    <row r="1780" spans="2:29" x14ac:dyDescent="0.25">
      <c r="B1780" s="294"/>
      <c r="C1780" s="294"/>
      <c r="D1780" s="294"/>
      <c r="E1780" s="294"/>
      <c r="F1780" s="294"/>
      <c r="G1780" s="294"/>
      <c r="H1780" s="294"/>
      <c r="I1780" s="294"/>
      <c r="J1780" s="294"/>
      <c r="L1780" s="295"/>
      <c r="M1780" s="294"/>
      <c r="O1780" s="294"/>
      <c r="P1780" s="294"/>
      <c r="Q1780" s="294"/>
      <c r="R1780" s="294"/>
      <c r="S1780" s="294"/>
      <c r="T1780" s="294"/>
      <c r="U1780" s="326"/>
      <c r="V1780" s="294"/>
      <c r="W1780" s="294"/>
      <c r="X1780" s="294"/>
      <c r="Y1780" s="294"/>
      <c r="Z1780" s="294"/>
      <c r="AA1780" s="294"/>
      <c r="AB1780" s="294"/>
      <c r="AC1780" s="294"/>
    </row>
    <row r="1781" spans="2:29" x14ac:dyDescent="0.25">
      <c r="B1781" s="294"/>
      <c r="C1781" s="294"/>
      <c r="D1781" s="294"/>
      <c r="E1781" s="294"/>
      <c r="F1781" s="294"/>
      <c r="G1781" s="294"/>
      <c r="H1781" s="294"/>
      <c r="I1781" s="294"/>
      <c r="J1781" s="294"/>
      <c r="L1781" s="295"/>
      <c r="M1781" s="294"/>
      <c r="O1781" s="294"/>
      <c r="P1781" s="294"/>
      <c r="Q1781" s="294"/>
      <c r="R1781" s="294"/>
      <c r="S1781" s="294"/>
      <c r="T1781" s="294"/>
      <c r="U1781" s="326"/>
      <c r="V1781" s="294"/>
      <c r="W1781" s="294"/>
      <c r="X1781" s="294"/>
      <c r="Y1781" s="294"/>
      <c r="Z1781" s="294"/>
      <c r="AA1781" s="294"/>
      <c r="AB1781" s="294"/>
      <c r="AC1781" s="294"/>
    </row>
    <row r="1782" spans="2:29" x14ac:dyDescent="0.25">
      <c r="B1782" s="294"/>
      <c r="C1782" s="294"/>
      <c r="D1782" s="294"/>
      <c r="E1782" s="294"/>
      <c r="F1782" s="294"/>
      <c r="G1782" s="294"/>
      <c r="H1782" s="294"/>
      <c r="I1782" s="294"/>
      <c r="J1782" s="294"/>
      <c r="L1782" s="295"/>
      <c r="M1782" s="294"/>
      <c r="O1782" s="294"/>
      <c r="P1782" s="294"/>
      <c r="Q1782" s="294"/>
      <c r="R1782" s="294"/>
      <c r="S1782" s="294"/>
      <c r="T1782" s="294"/>
      <c r="U1782" s="326"/>
      <c r="V1782" s="294"/>
      <c r="W1782" s="294"/>
      <c r="X1782" s="294"/>
      <c r="Y1782" s="294"/>
      <c r="Z1782" s="294"/>
      <c r="AA1782" s="294"/>
      <c r="AB1782" s="294"/>
      <c r="AC1782" s="294"/>
    </row>
    <row r="1783" spans="2:29" x14ac:dyDescent="0.25">
      <c r="B1783" s="294"/>
      <c r="C1783" s="294"/>
      <c r="D1783" s="294"/>
      <c r="E1783" s="294"/>
      <c r="F1783" s="294"/>
      <c r="G1783" s="294"/>
      <c r="H1783" s="294"/>
      <c r="I1783" s="294"/>
      <c r="J1783" s="294"/>
      <c r="L1783" s="295"/>
      <c r="M1783" s="294"/>
      <c r="O1783" s="294"/>
      <c r="P1783" s="294"/>
      <c r="Q1783" s="294"/>
      <c r="R1783" s="294"/>
      <c r="S1783" s="294"/>
      <c r="T1783" s="294"/>
      <c r="U1783" s="326"/>
      <c r="V1783" s="294"/>
      <c r="W1783" s="294"/>
      <c r="X1783" s="294"/>
      <c r="Y1783" s="294"/>
      <c r="Z1783" s="294"/>
      <c r="AA1783" s="294"/>
      <c r="AB1783" s="294"/>
      <c r="AC1783" s="294"/>
    </row>
    <row r="1784" spans="2:29" x14ac:dyDescent="0.25">
      <c r="B1784" s="294"/>
      <c r="C1784" s="294"/>
      <c r="D1784" s="294"/>
      <c r="E1784" s="294"/>
      <c r="F1784" s="294"/>
      <c r="G1784" s="294"/>
      <c r="H1784" s="294"/>
      <c r="I1784" s="294"/>
      <c r="J1784" s="294"/>
      <c r="L1784" s="295"/>
      <c r="M1784" s="294"/>
      <c r="O1784" s="294"/>
      <c r="P1784" s="294"/>
      <c r="Q1784" s="294"/>
      <c r="R1784" s="294"/>
      <c r="S1784" s="294"/>
      <c r="T1784" s="294"/>
      <c r="U1784" s="326"/>
      <c r="V1784" s="294"/>
      <c r="W1784" s="294"/>
      <c r="X1784" s="294"/>
      <c r="Y1784" s="294"/>
      <c r="Z1784" s="294"/>
      <c r="AA1784" s="294"/>
      <c r="AB1784" s="294"/>
      <c r="AC1784" s="294"/>
    </row>
    <row r="1785" spans="2:29" x14ac:dyDescent="0.25">
      <c r="B1785" s="294"/>
      <c r="C1785" s="294"/>
      <c r="D1785" s="294"/>
      <c r="E1785" s="294"/>
      <c r="F1785" s="294"/>
      <c r="G1785" s="294"/>
      <c r="H1785" s="294"/>
      <c r="I1785" s="294"/>
      <c r="J1785" s="294"/>
      <c r="L1785" s="295"/>
      <c r="M1785" s="294"/>
      <c r="O1785" s="294"/>
      <c r="P1785" s="294"/>
      <c r="Q1785" s="294"/>
      <c r="R1785" s="294"/>
      <c r="S1785" s="294"/>
      <c r="T1785" s="294"/>
      <c r="U1785" s="326"/>
      <c r="V1785" s="294"/>
      <c r="W1785" s="294"/>
      <c r="X1785" s="294"/>
      <c r="Y1785" s="294"/>
      <c r="Z1785" s="294"/>
      <c r="AA1785" s="294"/>
      <c r="AB1785" s="294"/>
      <c r="AC1785" s="294"/>
    </row>
    <row r="1786" spans="2:29" x14ac:dyDescent="0.25">
      <c r="B1786" s="294"/>
      <c r="C1786" s="294"/>
      <c r="D1786" s="294"/>
      <c r="E1786" s="294"/>
      <c r="F1786" s="294"/>
      <c r="G1786" s="294"/>
      <c r="H1786" s="294"/>
      <c r="I1786" s="294"/>
      <c r="J1786" s="294"/>
      <c r="L1786" s="295"/>
      <c r="M1786" s="294"/>
      <c r="O1786" s="294"/>
      <c r="P1786" s="294"/>
      <c r="Q1786" s="294"/>
      <c r="R1786" s="294"/>
      <c r="S1786" s="294"/>
      <c r="T1786" s="294"/>
      <c r="U1786" s="326"/>
      <c r="V1786" s="294"/>
      <c r="W1786" s="294"/>
      <c r="X1786" s="294"/>
      <c r="Y1786" s="294"/>
      <c r="Z1786" s="294"/>
      <c r="AA1786" s="294"/>
      <c r="AB1786" s="294"/>
      <c r="AC1786" s="294"/>
    </row>
    <row r="1787" spans="2:29" x14ac:dyDescent="0.25">
      <c r="B1787" s="294"/>
      <c r="C1787" s="294"/>
      <c r="D1787" s="294"/>
      <c r="E1787" s="294"/>
      <c r="F1787" s="294"/>
      <c r="G1787" s="294"/>
      <c r="H1787" s="294"/>
      <c r="I1787" s="294"/>
      <c r="J1787" s="294"/>
      <c r="L1787" s="295"/>
      <c r="M1787" s="294"/>
      <c r="O1787" s="294"/>
      <c r="P1787" s="294"/>
      <c r="Q1787" s="294"/>
      <c r="R1787" s="294"/>
      <c r="S1787" s="294"/>
      <c r="T1787" s="294"/>
      <c r="U1787" s="326"/>
      <c r="V1787" s="294"/>
      <c r="W1787" s="294"/>
      <c r="X1787" s="294"/>
      <c r="Y1787" s="294"/>
      <c r="Z1787" s="294"/>
      <c r="AA1787" s="294"/>
      <c r="AB1787" s="294"/>
      <c r="AC1787" s="294"/>
    </row>
    <row r="1788" spans="2:29" x14ac:dyDescent="0.25">
      <c r="B1788" s="294"/>
      <c r="C1788" s="294"/>
      <c r="D1788" s="294"/>
      <c r="E1788" s="294"/>
      <c r="F1788" s="294"/>
      <c r="G1788" s="294"/>
      <c r="H1788" s="294"/>
      <c r="I1788" s="294"/>
      <c r="J1788" s="294"/>
      <c r="L1788" s="295"/>
      <c r="M1788" s="294"/>
      <c r="O1788" s="294"/>
      <c r="P1788" s="294"/>
      <c r="Q1788" s="294"/>
      <c r="R1788" s="294"/>
      <c r="S1788" s="294"/>
      <c r="T1788" s="294"/>
      <c r="U1788" s="326"/>
      <c r="V1788" s="294"/>
      <c r="W1788" s="294"/>
      <c r="X1788" s="294"/>
      <c r="Y1788" s="294"/>
      <c r="Z1788" s="294"/>
      <c r="AA1788" s="294"/>
      <c r="AB1788" s="294"/>
      <c r="AC1788" s="294"/>
    </row>
    <row r="1789" spans="2:29" x14ac:dyDescent="0.25">
      <c r="B1789" s="294"/>
      <c r="C1789" s="294"/>
      <c r="D1789" s="294"/>
      <c r="E1789" s="294"/>
      <c r="F1789" s="294"/>
      <c r="G1789" s="294"/>
      <c r="H1789" s="294"/>
      <c r="I1789" s="294"/>
      <c r="J1789" s="294"/>
      <c r="L1789" s="295"/>
      <c r="M1789" s="294"/>
      <c r="O1789" s="294"/>
      <c r="P1789" s="294"/>
      <c r="Q1789" s="294"/>
      <c r="R1789" s="294"/>
      <c r="S1789" s="294"/>
      <c r="T1789" s="294"/>
      <c r="U1789" s="326"/>
      <c r="V1789" s="294"/>
      <c r="W1789" s="294"/>
      <c r="X1789" s="294"/>
      <c r="Y1789" s="294"/>
      <c r="Z1789" s="294"/>
      <c r="AA1789" s="294"/>
      <c r="AB1789" s="294"/>
      <c r="AC1789" s="294"/>
    </row>
    <row r="1790" spans="2:29" x14ac:dyDescent="0.25">
      <c r="B1790" s="294"/>
      <c r="C1790" s="294"/>
      <c r="D1790" s="294"/>
      <c r="E1790" s="294"/>
      <c r="F1790" s="294"/>
      <c r="G1790" s="294"/>
      <c r="H1790" s="294"/>
      <c r="I1790" s="294"/>
      <c r="J1790" s="294"/>
      <c r="L1790" s="295"/>
      <c r="M1790" s="294"/>
      <c r="O1790" s="294"/>
      <c r="P1790" s="294"/>
      <c r="Q1790" s="294"/>
      <c r="R1790" s="294"/>
      <c r="S1790" s="294"/>
      <c r="T1790" s="294"/>
      <c r="U1790" s="326"/>
      <c r="V1790" s="294"/>
      <c r="W1790" s="294"/>
      <c r="X1790" s="294"/>
      <c r="Y1790" s="294"/>
      <c r="Z1790" s="294"/>
      <c r="AA1790" s="294"/>
      <c r="AB1790" s="294"/>
      <c r="AC1790" s="294"/>
    </row>
    <row r="1791" spans="2:29" x14ac:dyDescent="0.25">
      <c r="B1791" s="294"/>
      <c r="C1791" s="294"/>
      <c r="D1791" s="294"/>
      <c r="E1791" s="294"/>
      <c r="F1791" s="294"/>
      <c r="G1791" s="294"/>
      <c r="H1791" s="294"/>
      <c r="I1791" s="294"/>
      <c r="J1791" s="294"/>
      <c r="L1791" s="295"/>
      <c r="M1791" s="294"/>
      <c r="O1791" s="294"/>
      <c r="P1791" s="294"/>
      <c r="Q1791" s="294"/>
      <c r="R1791" s="294"/>
      <c r="S1791" s="294"/>
      <c r="T1791" s="294"/>
      <c r="U1791" s="326"/>
      <c r="V1791" s="294"/>
      <c r="W1791" s="294"/>
      <c r="X1791" s="294"/>
      <c r="Y1791" s="294"/>
      <c r="Z1791" s="294"/>
      <c r="AA1791" s="294"/>
      <c r="AB1791" s="294"/>
      <c r="AC1791" s="294"/>
    </row>
    <row r="1792" spans="2:29" x14ac:dyDescent="0.25">
      <c r="B1792" s="294"/>
      <c r="C1792" s="294"/>
      <c r="D1792" s="294"/>
      <c r="E1792" s="294"/>
      <c r="F1792" s="294"/>
      <c r="G1792" s="294"/>
      <c r="H1792" s="294"/>
      <c r="I1792" s="294"/>
      <c r="J1792" s="294"/>
      <c r="L1792" s="295"/>
      <c r="M1792" s="294"/>
      <c r="O1792" s="294"/>
      <c r="P1792" s="294"/>
      <c r="Q1792" s="294"/>
      <c r="R1792" s="294"/>
      <c r="S1792" s="294"/>
      <c r="T1792" s="294"/>
      <c r="U1792" s="326"/>
      <c r="V1792" s="294"/>
      <c r="W1792" s="294"/>
      <c r="X1792" s="294"/>
      <c r="Y1792" s="294"/>
      <c r="Z1792" s="294"/>
      <c r="AA1792" s="294"/>
      <c r="AB1792" s="294"/>
      <c r="AC1792" s="294"/>
    </row>
    <row r="1793" spans="2:29" x14ac:dyDescent="0.25">
      <c r="B1793" s="294"/>
      <c r="C1793" s="294"/>
      <c r="D1793" s="294"/>
      <c r="E1793" s="294"/>
      <c r="F1793" s="294"/>
      <c r="G1793" s="294"/>
      <c r="H1793" s="294"/>
      <c r="I1793" s="294"/>
      <c r="J1793" s="294"/>
      <c r="L1793" s="295"/>
      <c r="M1793" s="294"/>
      <c r="O1793" s="294"/>
      <c r="P1793" s="294"/>
      <c r="Q1793" s="294"/>
      <c r="R1793" s="294"/>
      <c r="S1793" s="294"/>
      <c r="T1793" s="294"/>
      <c r="U1793" s="326"/>
      <c r="V1793" s="294"/>
      <c r="W1793" s="294"/>
      <c r="X1793" s="294"/>
      <c r="Y1793" s="294"/>
      <c r="Z1793" s="294"/>
      <c r="AA1793" s="294"/>
      <c r="AB1793" s="294"/>
      <c r="AC1793" s="294"/>
    </row>
    <row r="1794" spans="2:29" x14ac:dyDescent="0.25">
      <c r="B1794" s="294"/>
      <c r="C1794" s="294"/>
      <c r="D1794" s="294"/>
      <c r="E1794" s="294"/>
      <c r="F1794" s="294"/>
      <c r="G1794" s="294"/>
      <c r="H1794" s="294"/>
      <c r="I1794" s="294"/>
      <c r="J1794" s="294"/>
      <c r="L1794" s="295"/>
      <c r="M1794" s="294"/>
      <c r="O1794" s="294"/>
      <c r="P1794" s="294"/>
      <c r="Q1794" s="294"/>
      <c r="R1794" s="294"/>
      <c r="S1794" s="294"/>
      <c r="T1794" s="294"/>
      <c r="U1794" s="326"/>
      <c r="V1794" s="294"/>
      <c r="W1794" s="294"/>
      <c r="X1794" s="294"/>
      <c r="Y1794" s="294"/>
      <c r="Z1794" s="294"/>
      <c r="AA1794" s="294"/>
      <c r="AB1794" s="294"/>
      <c r="AC1794" s="294"/>
    </row>
    <row r="1795" spans="2:29" x14ac:dyDescent="0.25">
      <c r="B1795" s="294"/>
      <c r="C1795" s="294"/>
      <c r="D1795" s="294"/>
      <c r="E1795" s="294"/>
      <c r="F1795" s="294"/>
      <c r="G1795" s="294"/>
      <c r="H1795" s="294"/>
      <c r="I1795" s="294"/>
      <c r="J1795" s="294"/>
      <c r="L1795" s="295"/>
      <c r="M1795" s="294"/>
      <c r="O1795" s="294"/>
      <c r="P1795" s="294"/>
      <c r="Q1795" s="294"/>
      <c r="R1795" s="294"/>
      <c r="S1795" s="294"/>
      <c r="T1795" s="294"/>
      <c r="U1795" s="326"/>
      <c r="V1795" s="294"/>
      <c r="W1795" s="294"/>
      <c r="X1795" s="294"/>
      <c r="Y1795" s="294"/>
      <c r="Z1795" s="294"/>
      <c r="AA1795" s="294"/>
      <c r="AB1795" s="294"/>
      <c r="AC1795" s="294"/>
    </row>
    <row r="1796" spans="2:29" x14ac:dyDescent="0.25">
      <c r="B1796" s="294"/>
      <c r="C1796" s="294"/>
      <c r="D1796" s="294"/>
      <c r="E1796" s="294"/>
      <c r="F1796" s="294"/>
      <c r="G1796" s="294"/>
      <c r="H1796" s="294"/>
      <c r="I1796" s="294"/>
      <c r="J1796" s="294"/>
      <c r="L1796" s="295"/>
      <c r="M1796" s="294"/>
      <c r="O1796" s="294"/>
      <c r="P1796" s="294"/>
      <c r="Q1796" s="294"/>
      <c r="R1796" s="294"/>
      <c r="S1796" s="294"/>
      <c r="T1796" s="294"/>
      <c r="U1796" s="326"/>
      <c r="V1796" s="294"/>
      <c r="W1796" s="294"/>
      <c r="X1796" s="294"/>
      <c r="Y1796" s="294"/>
      <c r="Z1796" s="294"/>
      <c r="AA1796" s="294"/>
      <c r="AB1796" s="294"/>
      <c r="AC1796" s="294"/>
    </row>
    <row r="1797" spans="2:29" x14ac:dyDescent="0.25">
      <c r="B1797" s="294"/>
      <c r="C1797" s="294"/>
      <c r="D1797" s="294"/>
      <c r="E1797" s="294"/>
      <c r="F1797" s="294"/>
      <c r="G1797" s="294"/>
      <c r="H1797" s="294"/>
      <c r="I1797" s="294"/>
      <c r="J1797" s="294"/>
      <c r="L1797" s="295"/>
      <c r="M1797" s="294"/>
      <c r="O1797" s="294"/>
      <c r="P1797" s="294"/>
      <c r="Q1797" s="294"/>
      <c r="R1797" s="294"/>
      <c r="S1797" s="294"/>
      <c r="T1797" s="294"/>
      <c r="U1797" s="326"/>
      <c r="V1797" s="294"/>
      <c r="W1797" s="294"/>
      <c r="X1797" s="294"/>
      <c r="Y1797" s="294"/>
      <c r="Z1797" s="294"/>
      <c r="AA1797" s="294"/>
      <c r="AB1797" s="294"/>
      <c r="AC1797" s="294"/>
    </row>
    <row r="1798" spans="2:29" x14ac:dyDescent="0.25">
      <c r="B1798" s="294"/>
      <c r="C1798" s="294"/>
      <c r="D1798" s="294"/>
      <c r="E1798" s="294"/>
      <c r="F1798" s="294"/>
      <c r="G1798" s="294"/>
      <c r="H1798" s="294"/>
      <c r="I1798" s="294"/>
      <c r="J1798" s="294"/>
      <c r="L1798" s="295"/>
      <c r="M1798" s="294"/>
      <c r="O1798" s="294"/>
      <c r="P1798" s="294"/>
      <c r="Q1798" s="294"/>
      <c r="R1798" s="294"/>
      <c r="S1798" s="294"/>
      <c r="T1798" s="294"/>
      <c r="U1798" s="326"/>
      <c r="V1798" s="294"/>
      <c r="W1798" s="294"/>
      <c r="X1798" s="294"/>
      <c r="Y1798" s="294"/>
      <c r="Z1798" s="294"/>
      <c r="AA1798" s="294"/>
      <c r="AB1798" s="294"/>
      <c r="AC1798" s="294"/>
    </row>
    <row r="1799" spans="2:29" x14ac:dyDescent="0.25">
      <c r="B1799" s="294"/>
      <c r="C1799" s="294"/>
      <c r="D1799" s="294"/>
      <c r="E1799" s="294"/>
      <c r="F1799" s="294"/>
      <c r="G1799" s="294"/>
      <c r="H1799" s="294"/>
      <c r="I1799" s="294"/>
      <c r="J1799" s="294"/>
      <c r="L1799" s="295"/>
      <c r="M1799" s="294"/>
      <c r="O1799" s="294"/>
      <c r="P1799" s="294"/>
      <c r="Q1799" s="294"/>
      <c r="R1799" s="294"/>
      <c r="S1799" s="294"/>
      <c r="T1799" s="294"/>
      <c r="U1799" s="326"/>
      <c r="V1799" s="294"/>
      <c r="W1799" s="294"/>
      <c r="X1799" s="294"/>
      <c r="Y1799" s="294"/>
      <c r="Z1799" s="294"/>
      <c r="AA1799" s="294"/>
      <c r="AB1799" s="294"/>
      <c r="AC1799" s="294"/>
    </row>
    <row r="1800" spans="2:29" x14ac:dyDescent="0.25">
      <c r="B1800" s="294"/>
      <c r="C1800" s="294"/>
      <c r="D1800" s="294"/>
      <c r="E1800" s="294"/>
      <c r="F1800" s="294"/>
      <c r="G1800" s="294"/>
      <c r="H1800" s="294"/>
      <c r="I1800" s="294"/>
      <c r="J1800" s="294"/>
      <c r="L1800" s="295"/>
      <c r="M1800" s="294"/>
      <c r="O1800" s="294"/>
      <c r="P1800" s="294"/>
      <c r="Q1800" s="294"/>
      <c r="R1800" s="294"/>
      <c r="S1800" s="294"/>
      <c r="T1800" s="294"/>
      <c r="U1800" s="326"/>
      <c r="V1800" s="294"/>
      <c r="W1800" s="294"/>
      <c r="X1800" s="294"/>
      <c r="Y1800" s="294"/>
      <c r="Z1800" s="294"/>
      <c r="AA1800" s="294"/>
      <c r="AB1800" s="294"/>
      <c r="AC1800" s="294"/>
    </row>
    <row r="1801" spans="2:29" x14ac:dyDescent="0.25">
      <c r="B1801" s="294"/>
      <c r="C1801" s="294"/>
      <c r="D1801" s="294"/>
      <c r="E1801" s="294"/>
      <c r="F1801" s="294"/>
      <c r="G1801" s="294"/>
      <c r="H1801" s="294"/>
      <c r="I1801" s="294"/>
      <c r="J1801" s="294"/>
      <c r="L1801" s="295"/>
      <c r="M1801" s="294"/>
      <c r="O1801" s="294"/>
      <c r="P1801" s="294"/>
      <c r="Q1801" s="294"/>
      <c r="R1801" s="294"/>
      <c r="S1801" s="294"/>
      <c r="T1801" s="294"/>
      <c r="U1801" s="326"/>
      <c r="V1801" s="294"/>
      <c r="W1801" s="294"/>
      <c r="X1801" s="294"/>
      <c r="Y1801" s="294"/>
      <c r="Z1801" s="294"/>
      <c r="AA1801" s="294"/>
      <c r="AB1801" s="294"/>
      <c r="AC1801" s="294"/>
    </row>
    <row r="1802" spans="2:29" x14ac:dyDescent="0.25">
      <c r="B1802" s="294"/>
      <c r="C1802" s="294"/>
      <c r="D1802" s="294"/>
      <c r="E1802" s="294"/>
      <c r="F1802" s="294"/>
      <c r="G1802" s="294"/>
      <c r="H1802" s="294"/>
      <c r="I1802" s="294"/>
      <c r="J1802" s="294"/>
      <c r="L1802" s="295"/>
      <c r="M1802" s="294"/>
      <c r="O1802" s="294"/>
      <c r="P1802" s="294"/>
      <c r="Q1802" s="294"/>
      <c r="R1802" s="294"/>
      <c r="S1802" s="294"/>
      <c r="T1802" s="294"/>
      <c r="U1802" s="326"/>
      <c r="V1802" s="294"/>
      <c r="W1802" s="294"/>
      <c r="X1802" s="294"/>
      <c r="Y1802" s="294"/>
      <c r="Z1802" s="294"/>
      <c r="AA1802" s="294"/>
      <c r="AB1802" s="294"/>
      <c r="AC1802" s="294"/>
    </row>
    <row r="1803" spans="2:29" x14ac:dyDescent="0.25">
      <c r="B1803" s="294"/>
      <c r="C1803" s="294"/>
      <c r="D1803" s="294"/>
      <c r="E1803" s="294"/>
      <c r="F1803" s="294"/>
      <c r="G1803" s="294"/>
      <c r="H1803" s="294"/>
      <c r="I1803" s="294"/>
      <c r="J1803" s="294"/>
      <c r="L1803" s="295"/>
      <c r="M1803" s="294"/>
      <c r="O1803" s="294"/>
      <c r="P1803" s="294"/>
      <c r="Q1803" s="294"/>
      <c r="R1803" s="294"/>
      <c r="S1803" s="294"/>
      <c r="T1803" s="294"/>
      <c r="U1803" s="326"/>
      <c r="V1803" s="294"/>
      <c r="W1803" s="294"/>
      <c r="X1803" s="294"/>
      <c r="Y1803" s="294"/>
      <c r="Z1803" s="294"/>
      <c r="AA1803" s="294"/>
      <c r="AB1803" s="294"/>
      <c r="AC1803" s="294"/>
    </row>
    <row r="1804" spans="2:29" x14ac:dyDescent="0.25">
      <c r="B1804" s="294"/>
      <c r="C1804" s="294"/>
      <c r="D1804" s="294"/>
      <c r="E1804" s="294"/>
      <c r="F1804" s="294"/>
      <c r="G1804" s="294"/>
      <c r="H1804" s="294"/>
      <c r="I1804" s="294"/>
      <c r="J1804" s="294"/>
      <c r="L1804" s="295"/>
      <c r="M1804" s="294"/>
      <c r="O1804" s="294"/>
      <c r="P1804" s="294"/>
      <c r="Q1804" s="294"/>
      <c r="R1804" s="294"/>
      <c r="S1804" s="294"/>
      <c r="T1804" s="294"/>
      <c r="U1804" s="326"/>
      <c r="V1804" s="294"/>
      <c r="W1804" s="294"/>
      <c r="X1804" s="294"/>
      <c r="Y1804" s="294"/>
      <c r="Z1804" s="294"/>
      <c r="AA1804" s="294"/>
      <c r="AB1804" s="294"/>
      <c r="AC1804" s="294"/>
    </row>
    <row r="1805" spans="2:29" x14ac:dyDescent="0.25">
      <c r="B1805" s="294"/>
      <c r="C1805" s="294"/>
      <c r="D1805" s="294"/>
      <c r="E1805" s="294"/>
      <c r="F1805" s="294"/>
      <c r="G1805" s="294"/>
      <c r="H1805" s="294"/>
      <c r="I1805" s="294"/>
      <c r="J1805" s="294"/>
      <c r="L1805" s="295"/>
      <c r="M1805" s="294"/>
      <c r="O1805" s="294"/>
      <c r="P1805" s="294"/>
      <c r="Q1805" s="294"/>
      <c r="R1805" s="294"/>
      <c r="S1805" s="294"/>
      <c r="T1805" s="294"/>
      <c r="U1805" s="326"/>
      <c r="V1805" s="294"/>
      <c r="W1805" s="294"/>
      <c r="X1805" s="294"/>
      <c r="Y1805" s="294"/>
      <c r="Z1805" s="294"/>
      <c r="AA1805" s="294"/>
      <c r="AB1805" s="294"/>
      <c r="AC1805" s="294"/>
    </row>
    <row r="1806" spans="2:29" x14ac:dyDescent="0.25">
      <c r="B1806" s="294"/>
      <c r="C1806" s="294"/>
      <c r="D1806" s="294"/>
      <c r="E1806" s="294"/>
      <c r="F1806" s="294"/>
      <c r="G1806" s="294"/>
      <c r="H1806" s="294"/>
      <c r="I1806" s="294"/>
      <c r="J1806" s="294"/>
      <c r="L1806" s="295"/>
      <c r="M1806" s="294"/>
      <c r="O1806" s="294"/>
      <c r="P1806" s="294"/>
      <c r="Q1806" s="294"/>
      <c r="R1806" s="294"/>
      <c r="S1806" s="294"/>
      <c r="T1806" s="294"/>
      <c r="U1806" s="326"/>
      <c r="V1806" s="294"/>
      <c r="W1806" s="294"/>
      <c r="X1806" s="294"/>
      <c r="Y1806" s="294"/>
      <c r="Z1806" s="294"/>
      <c r="AA1806" s="294"/>
      <c r="AB1806" s="294"/>
      <c r="AC1806" s="294"/>
    </row>
    <row r="1807" spans="2:29" x14ac:dyDescent="0.25">
      <c r="B1807" s="294"/>
      <c r="C1807" s="294"/>
      <c r="D1807" s="294"/>
      <c r="E1807" s="294"/>
      <c r="F1807" s="294"/>
      <c r="G1807" s="294"/>
      <c r="H1807" s="294"/>
      <c r="I1807" s="294"/>
      <c r="J1807" s="294"/>
      <c r="L1807" s="295"/>
      <c r="M1807" s="294"/>
      <c r="O1807" s="294"/>
      <c r="P1807" s="294"/>
      <c r="Q1807" s="294"/>
      <c r="R1807" s="294"/>
      <c r="S1807" s="294"/>
      <c r="T1807" s="294"/>
      <c r="U1807" s="326"/>
      <c r="V1807" s="294"/>
      <c r="W1807" s="294"/>
      <c r="X1807" s="294"/>
      <c r="Y1807" s="294"/>
      <c r="Z1807" s="294"/>
      <c r="AA1807" s="294"/>
      <c r="AB1807" s="294"/>
      <c r="AC1807" s="294"/>
    </row>
    <row r="1808" spans="2:29" x14ac:dyDescent="0.25">
      <c r="B1808" s="294"/>
      <c r="C1808" s="294"/>
      <c r="D1808" s="294"/>
      <c r="E1808" s="294"/>
      <c r="F1808" s="294"/>
      <c r="G1808" s="294"/>
      <c r="H1808" s="294"/>
      <c r="I1808" s="294"/>
      <c r="J1808" s="294"/>
      <c r="L1808" s="295"/>
      <c r="M1808" s="294"/>
      <c r="O1808" s="294"/>
      <c r="P1808" s="294"/>
      <c r="Q1808" s="294"/>
      <c r="R1808" s="294"/>
      <c r="S1808" s="294"/>
      <c r="T1808" s="294"/>
      <c r="U1808" s="326"/>
      <c r="V1808" s="294"/>
      <c r="W1808" s="294"/>
      <c r="X1808" s="294"/>
      <c r="Y1808" s="294"/>
      <c r="Z1808" s="294"/>
      <c r="AA1808" s="294"/>
      <c r="AB1808" s="294"/>
      <c r="AC1808" s="294"/>
    </row>
    <row r="1809" spans="2:29" x14ac:dyDescent="0.25">
      <c r="B1809" s="294"/>
      <c r="C1809" s="294"/>
      <c r="D1809" s="294"/>
      <c r="E1809" s="294"/>
      <c r="F1809" s="294"/>
      <c r="G1809" s="294"/>
      <c r="H1809" s="294"/>
      <c r="I1809" s="294"/>
      <c r="J1809" s="294"/>
      <c r="L1809" s="295"/>
      <c r="M1809" s="294"/>
      <c r="O1809" s="294"/>
      <c r="P1809" s="294"/>
      <c r="Q1809" s="294"/>
      <c r="R1809" s="294"/>
      <c r="S1809" s="294"/>
      <c r="T1809" s="294"/>
      <c r="U1809" s="326"/>
      <c r="V1809" s="294"/>
      <c r="W1809" s="294"/>
      <c r="X1809" s="294"/>
      <c r="Y1809" s="294"/>
      <c r="Z1809" s="294"/>
      <c r="AA1809" s="294"/>
      <c r="AB1809" s="294"/>
      <c r="AC1809" s="294"/>
    </row>
    <row r="1810" spans="2:29" x14ac:dyDescent="0.25">
      <c r="B1810" s="294"/>
      <c r="C1810" s="294"/>
      <c r="D1810" s="294"/>
      <c r="E1810" s="294"/>
      <c r="F1810" s="294"/>
      <c r="G1810" s="294"/>
      <c r="H1810" s="294"/>
      <c r="I1810" s="294"/>
      <c r="J1810" s="294"/>
      <c r="L1810" s="295"/>
      <c r="M1810" s="294"/>
      <c r="O1810" s="294"/>
      <c r="P1810" s="294"/>
      <c r="Q1810" s="294"/>
      <c r="R1810" s="294"/>
      <c r="S1810" s="294"/>
      <c r="T1810" s="294"/>
      <c r="U1810" s="326"/>
      <c r="V1810" s="294"/>
      <c r="W1810" s="294"/>
      <c r="X1810" s="294"/>
      <c r="Y1810" s="294"/>
      <c r="Z1810" s="294"/>
      <c r="AA1810" s="294"/>
      <c r="AB1810" s="294"/>
      <c r="AC1810" s="294"/>
    </row>
    <row r="1811" spans="2:29" x14ac:dyDescent="0.25">
      <c r="B1811" s="294"/>
      <c r="C1811" s="294"/>
      <c r="D1811" s="294"/>
      <c r="E1811" s="294"/>
      <c r="F1811" s="294"/>
      <c r="G1811" s="294"/>
      <c r="H1811" s="294"/>
      <c r="I1811" s="294"/>
      <c r="J1811" s="294"/>
      <c r="L1811" s="295"/>
      <c r="M1811" s="294"/>
      <c r="O1811" s="294"/>
      <c r="P1811" s="294"/>
      <c r="Q1811" s="294"/>
      <c r="R1811" s="294"/>
      <c r="S1811" s="294"/>
      <c r="T1811" s="294"/>
      <c r="U1811" s="326"/>
      <c r="V1811" s="294"/>
      <c r="W1811" s="294"/>
      <c r="X1811" s="294"/>
      <c r="Y1811" s="294"/>
      <c r="Z1811" s="294"/>
      <c r="AA1811" s="294"/>
      <c r="AB1811" s="294"/>
      <c r="AC1811" s="294"/>
    </row>
    <row r="1812" spans="2:29" x14ac:dyDescent="0.25">
      <c r="B1812" s="294"/>
      <c r="C1812" s="294"/>
      <c r="D1812" s="294"/>
      <c r="E1812" s="294"/>
      <c r="F1812" s="294"/>
      <c r="G1812" s="294"/>
      <c r="H1812" s="294"/>
      <c r="I1812" s="294"/>
      <c r="J1812" s="294"/>
      <c r="L1812" s="295"/>
      <c r="M1812" s="294"/>
      <c r="O1812" s="294"/>
      <c r="P1812" s="294"/>
      <c r="Q1812" s="294"/>
      <c r="R1812" s="294"/>
      <c r="S1812" s="294"/>
      <c r="T1812" s="294"/>
      <c r="U1812" s="326"/>
      <c r="V1812" s="294"/>
      <c r="W1812" s="294"/>
      <c r="X1812" s="294"/>
      <c r="Y1812" s="294"/>
      <c r="Z1812" s="294"/>
      <c r="AA1812" s="294"/>
      <c r="AB1812" s="294"/>
      <c r="AC1812" s="294"/>
    </row>
    <row r="1813" spans="2:29" x14ac:dyDescent="0.25">
      <c r="B1813" s="294"/>
      <c r="C1813" s="294"/>
      <c r="D1813" s="294"/>
      <c r="E1813" s="294"/>
      <c r="F1813" s="294"/>
      <c r="G1813" s="294"/>
      <c r="H1813" s="294"/>
      <c r="I1813" s="294"/>
      <c r="J1813" s="294"/>
      <c r="L1813" s="295"/>
      <c r="M1813" s="294"/>
      <c r="O1813" s="294"/>
      <c r="P1813" s="294"/>
      <c r="Q1813" s="294"/>
      <c r="R1813" s="294"/>
      <c r="S1813" s="294"/>
      <c r="T1813" s="294"/>
      <c r="U1813" s="326"/>
      <c r="V1813" s="294"/>
      <c r="W1813" s="294"/>
      <c r="X1813" s="294"/>
      <c r="Y1813" s="294"/>
      <c r="Z1813" s="294"/>
      <c r="AA1813" s="294"/>
      <c r="AB1813" s="294"/>
      <c r="AC1813" s="294"/>
    </row>
    <row r="1814" spans="2:29" x14ac:dyDescent="0.25">
      <c r="B1814" s="294"/>
      <c r="C1814" s="294"/>
      <c r="D1814" s="294"/>
      <c r="E1814" s="294"/>
      <c r="F1814" s="294"/>
      <c r="G1814" s="294"/>
      <c r="H1814" s="294"/>
      <c r="I1814" s="294"/>
      <c r="J1814" s="294"/>
      <c r="L1814" s="295"/>
      <c r="M1814" s="294"/>
      <c r="O1814" s="294"/>
      <c r="P1814" s="294"/>
      <c r="Q1814" s="294"/>
      <c r="R1814" s="294"/>
      <c r="S1814" s="294"/>
      <c r="T1814" s="294"/>
      <c r="U1814" s="326"/>
      <c r="V1814" s="294"/>
      <c r="W1814" s="294"/>
      <c r="X1814" s="294"/>
      <c r="Y1814" s="294"/>
      <c r="Z1814" s="294"/>
      <c r="AA1814" s="294"/>
      <c r="AB1814" s="294"/>
      <c r="AC1814" s="294"/>
    </row>
    <row r="1815" spans="2:29" x14ac:dyDescent="0.25">
      <c r="B1815" s="294"/>
      <c r="C1815" s="294"/>
      <c r="D1815" s="294"/>
      <c r="E1815" s="294"/>
      <c r="F1815" s="294"/>
      <c r="G1815" s="294"/>
      <c r="H1815" s="294"/>
      <c r="I1815" s="294"/>
      <c r="J1815" s="294"/>
      <c r="L1815" s="295"/>
      <c r="M1815" s="294"/>
      <c r="O1815" s="294"/>
      <c r="P1815" s="294"/>
      <c r="Q1815" s="294"/>
      <c r="R1815" s="294"/>
      <c r="S1815" s="294"/>
      <c r="T1815" s="294"/>
      <c r="U1815" s="326"/>
      <c r="V1815" s="294"/>
      <c r="W1815" s="294"/>
      <c r="X1815" s="294"/>
      <c r="Y1815" s="294"/>
      <c r="Z1815" s="294"/>
      <c r="AA1815" s="294"/>
      <c r="AB1815" s="294"/>
      <c r="AC1815" s="294"/>
    </row>
    <row r="1816" spans="2:29" x14ac:dyDescent="0.25">
      <c r="B1816" s="294"/>
      <c r="C1816" s="294"/>
      <c r="D1816" s="294"/>
      <c r="E1816" s="294"/>
      <c r="F1816" s="294"/>
      <c r="G1816" s="294"/>
      <c r="H1816" s="294"/>
      <c r="I1816" s="294"/>
      <c r="J1816" s="294"/>
      <c r="L1816" s="295"/>
      <c r="M1816" s="294"/>
      <c r="O1816" s="294"/>
      <c r="P1816" s="294"/>
      <c r="Q1816" s="294"/>
      <c r="R1816" s="294"/>
      <c r="S1816" s="294"/>
      <c r="T1816" s="294"/>
      <c r="U1816" s="326"/>
      <c r="V1816" s="294"/>
      <c r="W1816" s="294"/>
      <c r="X1816" s="294"/>
      <c r="Y1816" s="294"/>
      <c r="Z1816" s="294"/>
      <c r="AA1816" s="294"/>
      <c r="AB1816" s="294"/>
      <c r="AC1816" s="294"/>
    </row>
    <row r="1817" spans="2:29" x14ac:dyDescent="0.25">
      <c r="B1817" s="294"/>
      <c r="C1817" s="294"/>
      <c r="D1817" s="294"/>
      <c r="E1817" s="294"/>
      <c r="F1817" s="294"/>
      <c r="G1817" s="294"/>
      <c r="H1817" s="294"/>
      <c r="I1817" s="294"/>
      <c r="J1817" s="294"/>
      <c r="L1817" s="295"/>
      <c r="M1817" s="294"/>
      <c r="O1817" s="294"/>
      <c r="P1817" s="294"/>
      <c r="Q1817" s="294"/>
      <c r="R1817" s="294"/>
      <c r="S1817" s="294"/>
      <c r="T1817" s="294"/>
      <c r="U1817" s="326"/>
      <c r="V1817" s="294"/>
      <c r="W1817" s="294"/>
      <c r="X1817" s="294"/>
      <c r="Y1817" s="294"/>
      <c r="Z1817" s="294"/>
      <c r="AA1817" s="294"/>
      <c r="AB1817" s="294"/>
      <c r="AC1817" s="294"/>
    </row>
    <row r="1818" spans="2:29" x14ac:dyDescent="0.25">
      <c r="B1818" s="294"/>
      <c r="C1818" s="294"/>
      <c r="D1818" s="294"/>
      <c r="E1818" s="294"/>
      <c r="F1818" s="294"/>
      <c r="G1818" s="294"/>
      <c r="H1818" s="294"/>
      <c r="I1818" s="294"/>
      <c r="J1818" s="294"/>
      <c r="L1818" s="295"/>
      <c r="M1818" s="294"/>
      <c r="O1818" s="294"/>
      <c r="P1818" s="294"/>
      <c r="Q1818" s="294"/>
      <c r="R1818" s="294"/>
      <c r="S1818" s="294"/>
      <c r="T1818" s="294"/>
      <c r="U1818" s="326"/>
      <c r="V1818" s="294"/>
      <c r="W1818" s="294"/>
      <c r="X1818" s="294"/>
      <c r="Y1818" s="294"/>
      <c r="Z1818" s="294"/>
      <c r="AA1818" s="294"/>
      <c r="AB1818" s="294"/>
      <c r="AC1818" s="294"/>
    </row>
    <row r="1819" spans="2:29" x14ac:dyDescent="0.25">
      <c r="B1819" s="294"/>
      <c r="C1819" s="294"/>
      <c r="D1819" s="294"/>
      <c r="E1819" s="294"/>
      <c r="F1819" s="294"/>
      <c r="G1819" s="294"/>
      <c r="H1819" s="294"/>
      <c r="I1819" s="294"/>
      <c r="J1819" s="294"/>
      <c r="L1819" s="295"/>
      <c r="M1819" s="294"/>
      <c r="O1819" s="294"/>
      <c r="P1819" s="294"/>
      <c r="Q1819" s="294"/>
      <c r="R1819" s="294"/>
      <c r="S1819" s="294"/>
      <c r="T1819" s="294"/>
      <c r="U1819" s="326"/>
      <c r="V1819" s="294"/>
      <c r="W1819" s="294"/>
      <c r="X1819" s="294"/>
      <c r="Y1819" s="294"/>
      <c r="Z1819" s="294"/>
      <c r="AA1819" s="294"/>
      <c r="AB1819" s="294"/>
      <c r="AC1819" s="294"/>
    </row>
    <row r="1820" spans="2:29" x14ac:dyDescent="0.25">
      <c r="B1820" s="294"/>
      <c r="C1820" s="294"/>
      <c r="D1820" s="294"/>
      <c r="E1820" s="294"/>
      <c r="F1820" s="294"/>
      <c r="G1820" s="294"/>
      <c r="H1820" s="294"/>
      <c r="I1820" s="294"/>
      <c r="J1820" s="294"/>
      <c r="L1820" s="295"/>
      <c r="M1820" s="294"/>
      <c r="O1820" s="294"/>
      <c r="P1820" s="294"/>
      <c r="Q1820" s="294"/>
      <c r="R1820" s="294"/>
      <c r="S1820" s="294"/>
      <c r="T1820" s="294"/>
      <c r="U1820" s="326"/>
      <c r="V1820" s="294"/>
      <c r="W1820" s="294"/>
      <c r="X1820" s="294"/>
      <c r="Y1820" s="294"/>
      <c r="Z1820" s="294"/>
      <c r="AA1820" s="294"/>
      <c r="AB1820" s="294"/>
      <c r="AC1820" s="294"/>
    </row>
    <row r="1821" spans="2:29" x14ac:dyDescent="0.25">
      <c r="B1821" s="294"/>
      <c r="C1821" s="294"/>
      <c r="D1821" s="294"/>
      <c r="E1821" s="294"/>
      <c r="F1821" s="294"/>
      <c r="G1821" s="294"/>
      <c r="H1821" s="294"/>
      <c r="I1821" s="294"/>
      <c r="J1821" s="294"/>
      <c r="L1821" s="295"/>
      <c r="M1821" s="294"/>
      <c r="O1821" s="294"/>
      <c r="P1821" s="294"/>
      <c r="Q1821" s="294"/>
      <c r="R1821" s="294"/>
      <c r="S1821" s="294"/>
      <c r="T1821" s="294"/>
      <c r="U1821" s="326"/>
      <c r="V1821" s="294"/>
      <c r="W1821" s="294"/>
      <c r="X1821" s="294"/>
      <c r="Y1821" s="294"/>
      <c r="Z1821" s="294"/>
      <c r="AA1821" s="294"/>
      <c r="AB1821" s="294"/>
      <c r="AC1821" s="294"/>
    </row>
    <row r="1822" spans="2:29" x14ac:dyDescent="0.25">
      <c r="B1822" s="294"/>
      <c r="C1822" s="294"/>
      <c r="D1822" s="294"/>
      <c r="E1822" s="294"/>
      <c r="F1822" s="294"/>
      <c r="G1822" s="294"/>
      <c r="H1822" s="294"/>
      <c r="I1822" s="294"/>
      <c r="J1822" s="294"/>
      <c r="L1822" s="295"/>
      <c r="M1822" s="294"/>
      <c r="O1822" s="294"/>
      <c r="P1822" s="294"/>
      <c r="Q1822" s="294"/>
      <c r="R1822" s="294"/>
      <c r="S1822" s="294"/>
      <c r="T1822" s="294"/>
      <c r="U1822" s="326"/>
      <c r="V1822" s="294"/>
      <c r="W1822" s="294"/>
      <c r="X1822" s="294"/>
      <c r="Y1822" s="294"/>
      <c r="Z1822" s="294"/>
      <c r="AA1822" s="294"/>
      <c r="AB1822" s="294"/>
      <c r="AC1822" s="294"/>
    </row>
    <row r="1823" spans="2:29" x14ac:dyDescent="0.25">
      <c r="B1823" s="294"/>
      <c r="C1823" s="294"/>
      <c r="D1823" s="294"/>
      <c r="E1823" s="294"/>
      <c r="F1823" s="294"/>
      <c r="G1823" s="294"/>
      <c r="H1823" s="294"/>
      <c r="I1823" s="294"/>
      <c r="J1823" s="294"/>
      <c r="L1823" s="295"/>
      <c r="M1823" s="294"/>
      <c r="O1823" s="294"/>
      <c r="P1823" s="294"/>
      <c r="Q1823" s="294"/>
      <c r="R1823" s="294"/>
      <c r="S1823" s="294"/>
      <c r="T1823" s="294"/>
      <c r="U1823" s="326"/>
      <c r="V1823" s="294"/>
      <c r="W1823" s="294"/>
      <c r="X1823" s="294"/>
      <c r="Y1823" s="294"/>
      <c r="Z1823" s="294"/>
      <c r="AA1823" s="294"/>
      <c r="AB1823" s="294"/>
      <c r="AC1823" s="294"/>
    </row>
    <row r="1824" spans="2:29" x14ac:dyDescent="0.25">
      <c r="B1824" s="294"/>
      <c r="C1824" s="294"/>
      <c r="D1824" s="294"/>
      <c r="E1824" s="294"/>
      <c r="F1824" s="294"/>
      <c r="G1824" s="294"/>
      <c r="H1824" s="294"/>
      <c r="I1824" s="294"/>
      <c r="J1824" s="294"/>
      <c r="L1824" s="295"/>
      <c r="M1824" s="294"/>
      <c r="O1824" s="294"/>
      <c r="P1824" s="294"/>
      <c r="Q1824" s="294"/>
      <c r="R1824" s="294"/>
      <c r="S1824" s="294"/>
      <c r="T1824" s="294"/>
      <c r="U1824" s="326"/>
      <c r="V1824" s="294"/>
      <c r="W1824" s="294"/>
      <c r="X1824" s="294"/>
      <c r="Y1824" s="294"/>
      <c r="Z1824" s="294"/>
      <c r="AA1824" s="294"/>
      <c r="AB1824" s="294"/>
      <c r="AC1824" s="294"/>
    </row>
    <row r="1825" spans="2:29" x14ac:dyDescent="0.25">
      <c r="B1825" s="294"/>
      <c r="C1825" s="294"/>
      <c r="D1825" s="294"/>
      <c r="E1825" s="294"/>
      <c r="F1825" s="294"/>
      <c r="G1825" s="294"/>
      <c r="H1825" s="294"/>
      <c r="I1825" s="294"/>
      <c r="J1825" s="294"/>
      <c r="L1825" s="295"/>
      <c r="M1825" s="294"/>
      <c r="O1825" s="294"/>
      <c r="P1825" s="294"/>
      <c r="Q1825" s="294"/>
      <c r="R1825" s="294"/>
      <c r="S1825" s="294"/>
      <c r="T1825" s="294"/>
      <c r="U1825" s="326"/>
      <c r="V1825" s="294"/>
      <c r="W1825" s="294"/>
      <c r="X1825" s="294"/>
      <c r="Y1825" s="294"/>
      <c r="Z1825" s="294"/>
      <c r="AA1825" s="294"/>
      <c r="AB1825" s="294"/>
      <c r="AC1825" s="294"/>
    </row>
    <row r="1826" spans="2:29" x14ac:dyDescent="0.25">
      <c r="B1826" s="294"/>
      <c r="C1826" s="294"/>
      <c r="D1826" s="294"/>
      <c r="E1826" s="294"/>
      <c r="F1826" s="294"/>
      <c r="G1826" s="294"/>
      <c r="H1826" s="294"/>
      <c r="I1826" s="294"/>
      <c r="J1826" s="294"/>
      <c r="L1826" s="295"/>
      <c r="M1826" s="294"/>
      <c r="O1826" s="294"/>
      <c r="P1826" s="294"/>
      <c r="Q1826" s="294"/>
      <c r="R1826" s="294"/>
      <c r="S1826" s="294"/>
      <c r="T1826" s="294"/>
      <c r="U1826" s="326"/>
      <c r="V1826" s="294"/>
      <c r="W1826" s="294"/>
      <c r="X1826" s="294"/>
      <c r="Y1826" s="294"/>
      <c r="Z1826" s="294"/>
      <c r="AA1826" s="294"/>
      <c r="AB1826" s="294"/>
      <c r="AC1826" s="294"/>
    </row>
    <row r="1827" spans="2:29" x14ac:dyDescent="0.25">
      <c r="B1827" s="294"/>
      <c r="C1827" s="294"/>
      <c r="D1827" s="294"/>
      <c r="E1827" s="294"/>
      <c r="F1827" s="294"/>
      <c r="G1827" s="294"/>
      <c r="H1827" s="294"/>
      <c r="I1827" s="294"/>
      <c r="J1827" s="294"/>
      <c r="L1827" s="295"/>
      <c r="M1827" s="294"/>
      <c r="O1827" s="294"/>
      <c r="P1827" s="294"/>
      <c r="Q1827" s="294"/>
      <c r="R1827" s="294"/>
      <c r="S1827" s="294"/>
      <c r="T1827" s="294"/>
      <c r="U1827" s="326"/>
      <c r="V1827" s="294"/>
      <c r="W1827" s="294"/>
      <c r="X1827" s="294"/>
      <c r="Y1827" s="294"/>
      <c r="Z1827" s="294"/>
      <c r="AA1827" s="294"/>
      <c r="AB1827" s="294"/>
      <c r="AC1827" s="294"/>
    </row>
    <row r="1828" spans="2:29" x14ac:dyDescent="0.25">
      <c r="B1828" s="294"/>
      <c r="C1828" s="294"/>
      <c r="D1828" s="294"/>
      <c r="E1828" s="294"/>
      <c r="F1828" s="294"/>
      <c r="G1828" s="294"/>
      <c r="H1828" s="294"/>
      <c r="I1828" s="294"/>
      <c r="J1828" s="294"/>
      <c r="L1828" s="295"/>
      <c r="M1828" s="294"/>
      <c r="O1828" s="294"/>
      <c r="P1828" s="294"/>
      <c r="Q1828" s="294"/>
      <c r="R1828" s="294"/>
      <c r="S1828" s="294"/>
      <c r="T1828" s="294"/>
      <c r="U1828" s="326"/>
      <c r="V1828" s="294"/>
      <c r="W1828" s="294"/>
      <c r="X1828" s="294"/>
      <c r="Y1828" s="294"/>
      <c r="Z1828" s="294"/>
      <c r="AA1828" s="294"/>
      <c r="AB1828" s="294"/>
      <c r="AC1828" s="294"/>
    </row>
    <row r="1829" spans="2:29" x14ac:dyDescent="0.25">
      <c r="B1829" s="294"/>
      <c r="C1829" s="294"/>
      <c r="D1829" s="294"/>
      <c r="E1829" s="294"/>
      <c r="F1829" s="294"/>
      <c r="G1829" s="294"/>
      <c r="H1829" s="294"/>
      <c r="I1829" s="294"/>
      <c r="J1829" s="294"/>
      <c r="L1829" s="295"/>
      <c r="M1829" s="294"/>
      <c r="O1829" s="294"/>
      <c r="P1829" s="294"/>
      <c r="Q1829" s="294"/>
      <c r="R1829" s="294"/>
      <c r="S1829" s="294"/>
      <c r="T1829" s="294"/>
      <c r="U1829" s="326"/>
      <c r="V1829" s="294"/>
      <c r="W1829" s="294"/>
      <c r="X1829" s="294"/>
      <c r="Y1829" s="294"/>
      <c r="Z1829" s="294"/>
      <c r="AA1829" s="294"/>
      <c r="AB1829" s="294"/>
      <c r="AC1829" s="294"/>
    </row>
    <row r="1830" spans="2:29" x14ac:dyDescent="0.25">
      <c r="B1830" s="294"/>
      <c r="C1830" s="294"/>
      <c r="D1830" s="294"/>
      <c r="E1830" s="294"/>
      <c r="F1830" s="294"/>
      <c r="G1830" s="294"/>
      <c r="H1830" s="294"/>
      <c r="I1830" s="294"/>
      <c r="J1830" s="294"/>
      <c r="L1830" s="295"/>
      <c r="M1830" s="294"/>
      <c r="O1830" s="294"/>
      <c r="P1830" s="294"/>
      <c r="Q1830" s="294"/>
      <c r="R1830" s="294"/>
      <c r="S1830" s="294"/>
      <c r="T1830" s="294"/>
      <c r="U1830" s="326"/>
      <c r="V1830" s="294"/>
      <c r="W1830" s="294"/>
      <c r="X1830" s="294"/>
      <c r="Y1830" s="294"/>
      <c r="Z1830" s="294"/>
      <c r="AA1830" s="294"/>
      <c r="AB1830" s="294"/>
      <c r="AC1830" s="294"/>
    </row>
    <row r="1831" spans="2:29" x14ac:dyDescent="0.25">
      <c r="B1831" s="294"/>
      <c r="C1831" s="294"/>
      <c r="D1831" s="294"/>
      <c r="E1831" s="294"/>
      <c r="F1831" s="294"/>
      <c r="G1831" s="294"/>
      <c r="H1831" s="294"/>
      <c r="I1831" s="294"/>
      <c r="J1831" s="294"/>
      <c r="L1831" s="295"/>
      <c r="M1831" s="294"/>
      <c r="O1831" s="294"/>
      <c r="P1831" s="294"/>
      <c r="Q1831" s="294"/>
      <c r="R1831" s="294"/>
      <c r="S1831" s="294"/>
      <c r="T1831" s="294"/>
      <c r="U1831" s="326"/>
      <c r="V1831" s="294"/>
      <c r="W1831" s="294"/>
      <c r="X1831" s="294"/>
      <c r="Y1831" s="294"/>
      <c r="Z1831" s="294"/>
      <c r="AA1831" s="294"/>
      <c r="AB1831" s="294"/>
      <c r="AC1831" s="294"/>
    </row>
    <row r="1832" spans="2:29" x14ac:dyDescent="0.25">
      <c r="B1832" s="294"/>
      <c r="C1832" s="294"/>
      <c r="D1832" s="294"/>
      <c r="E1832" s="294"/>
      <c r="F1832" s="294"/>
      <c r="G1832" s="294"/>
      <c r="H1832" s="294"/>
      <c r="I1832" s="294"/>
      <c r="J1832" s="294"/>
      <c r="L1832" s="295"/>
      <c r="M1832" s="294"/>
      <c r="O1832" s="294"/>
      <c r="P1832" s="294"/>
      <c r="Q1832" s="294"/>
      <c r="R1832" s="294"/>
      <c r="S1832" s="294"/>
      <c r="T1832" s="294"/>
      <c r="U1832" s="326"/>
      <c r="V1832" s="294"/>
      <c r="W1832" s="294"/>
      <c r="X1832" s="294"/>
      <c r="Y1832" s="294"/>
      <c r="Z1832" s="294"/>
      <c r="AA1832" s="294"/>
      <c r="AB1832" s="294"/>
      <c r="AC1832" s="294"/>
    </row>
    <row r="1833" spans="2:29" x14ac:dyDescent="0.25">
      <c r="B1833" s="294"/>
      <c r="C1833" s="294"/>
      <c r="D1833" s="294"/>
      <c r="E1833" s="294"/>
      <c r="F1833" s="294"/>
      <c r="G1833" s="294"/>
      <c r="H1833" s="294"/>
      <c r="I1833" s="294"/>
      <c r="J1833" s="294"/>
      <c r="L1833" s="295"/>
      <c r="M1833" s="294"/>
      <c r="O1833" s="294"/>
      <c r="P1833" s="294"/>
      <c r="Q1833" s="294"/>
      <c r="R1833" s="294"/>
      <c r="S1833" s="294"/>
      <c r="T1833" s="294"/>
      <c r="U1833" s="326"/>
      <c r="V1833" s="294"/>
      <c r="W1833" s="294"/>
      <c r="X1833" s="294"/>
      <c r="Y1833" s="294"/>
      <c r="Z1833" s="294"/>
      <c r="AA1833" s="294"/>
      <c r="AB1833" s="294"/>
      <c r="AC1833" s="294"/>
    </row>
    <row r="1834" spans="2:29" x14ac:dyDescent="0.25">
      <c r="B1834" s="294"/>
      <c r="C1834" s="294"/>
      <c r="D1834" s="294"/>
      <c r="E1834" s="294"/>
      <c r="F1834" s="294"/>
      <c r="G1834" s="294"/>
      <c r="H1834" s="294"/>
      <c r="I1834" s="294"/>
      <c r="J1834" s="294"/>
      <c r="L1834" s="295"/>
      <c r="M1834" s="294"/>
      <c r="O1834" s="294"/>
      <c r="P1834" s="294"/>
      <c r="Q1834" s="294"/>
      <c r="R1834" s="294"/>
      <c r="S1834" s="294"/>
      <c r="T1834" s="294"/>
      <c r="U1834" s="326"/>
      <c r="V1834" s="294"/>
      <c r="W1834" s="294"/>
      <c r="X1834" s="294"/>
      <c r="Y1834" s="294"/>
      <c r="Z1834" s="294"/>
      <c r="AA1834" s="294"/>
      <c r="AB1834" s="294"/>
      <c r="AC1834" s="294"/>
    </row>
    <row r="1835" spans="2:29" x14ac:dyDescent="0.25">
      <c r="B1835" s="294"/>
      <c r="C1835" s="294"/>
      <c r="D1835" s="294"/>
      <c r="E1835" s="294"/>
      <c r="F1835" s="294"/>
      <c r="G1835" s="294"/>
      <c r="H1835" s="294"/>
      <c r="I1835" s="294"/>
      <c r="J1835" s="294"/>
      <c r="L1835" s="295"/>
      <c r="M1835" s="294"/>
      <c r="O1835" s="294"/>
      <c r="P1835" s="294"/>
      <c r="Q1835" s="294"/>
      <c r="R1835" s="294"/>
      <c r="S1835" s="294"/>
      <c r="T1835" s="294"/>
      <c r="U1835" s="326"/>
      <c r="V1835" s="294"/>
      <c r="W1835" s="294"/>
      <c r="X1835" s="294"/>
      <c r="Y1835" s="294"/>
      <c r="Z1835" s="294"/>
      <c r="AA1835" s="294"/>
      <c r="AB1835" s="294"/>
      <c r="AC1835" s="294"/>
    </row>
    <row r="1836" spans="2:29" x14ac:dyDescent="0.25">
      <c r="B1836" s="294"/>
      <c r="C1836" s="294"/>
      <c r="D1836" s="294"/>
      <c r="E1836" s="294"/>
      <c r="F1836" s="294"/>
      <c r="G1836" s="294"/>
      <c r="H1836" s="294"/>
      <c r="I1836" s="294"/>
      <c r="J1836" s="294"/>
      <c r="L1836" s="295"/>
      <c r="M1836" s="294"/>
      <c r="O1836" s="294"/>
      <c r="P1836" s="294"/>
      <c r="Q1836" s="294"/>
      <c r="R1836" s="294"/>
      <c r="S1836" s="294"/>
      <c r="T1836" s="294"/>
      <c r="U1836" s="326"/>
      <c r="V1836" s="294"/>
      <c r="W1836" s="294"/>
      <c r="X1836" s="294"/>
      <c r="Y1836" s="294"/>
      <c r="Z1836" s="294"/>
      <c r="AA1836" s="294"/>
      <c r="AB1836" s="294"/>
      <c r="AC1836" s="294"/>
    </row>
    <row r="1837" spans="2:29" x14ac:dyDescent="0.25">
      <c r="B1837" s="294"/>
      <c r="C1837" s="294"/>
      <c r="D1837" s="294"/>
      <c r="E1837" s="294"/>
      <c r="F1837" s="294"/>
      <c r="G1837" s="294"/>
      <c r="H1837" s="294"/>
      <c r="I1837" s="294"/>
      <c r="J1837" s="294"/>
      <c r="L1837" s="295"/>
      <c r="M1837" s="294"/>
      <c r="O1837" s="294"/>
      <c r="P1837" s="294"/>
      <c r="Q1837" s="294"/>
      <c r="R1837" s="294"/>
      <c r="S1837" s="294"/>
      <c r="T1837" s="294"/>
      <c r="U1837" s="326"/>
      <c r="V1837" s="294"/>
      <c r="W1837" s="294"/>
      <c r="X1837" s="294"/>
      <c r="Y1837" s="294"/>
      <c r="Z1837" s="294"/>
      <c r="AA1837" s="294"/>
      <c r="AB1837" s="294"/>
      <c r="AC1837" s="294"/>
    </row>
    <row r="1838" spans="2:29" x14ac:dyDescent="0.25">
      <c r="B1838" s="294"/>
      <c r="C1838" s="294"/>
      <c r="D1838" s="294"/>
      <c r="E1838" s="294"/>
      <c r="F1838" s="294"/>
      <c r="G1838" s="294"/>
      <c r="H1838" s="294"/>
      <c r="I1838" s="294"/>
      <c r="J1838" s="294"/>
      <c r="L1838" s="295"/>
      <c r="M1838" s="294"/>
      <c r="O1838" s="294"/>
      <c r="P1838" s="294"/>
      <c r="Q1838" s="294"/>
      <c r="R1838" s="294"/>
      <c r="S1838" s="294"/>
      <c r="T1838" s="294"/>
      <c r="U1838" s="326"/>
      <c r="V1838" s="294"/>
      <c r="W1838" s="294"/>
      <c r="X1838" s="294"/>
      <c r="Y1838" s="294"/>
      <c r="Z1838" s="294"/>
      <c r="AA1838" s="294"/>
      <c r="AB1838" s="294"/>
      <c r="AC1838" s="294"/>
    </row>
    <row r="1839" spans="2:29" x14ac:dyDescent="0.25">
      <c r="B1839" s="294"/>
      <c r="C1839" s="294"/>
      <c r="D1839" s="294"/>
      <c r="E1839" s="294"/>
      <c r="F1839" s="294"/>
      <c r="G1839" s="294"/>
      <c r="H1839" s="294"/>
      <c r="I1839" s="294"/>
      <c r="J1839" s="294"/>
      <c r="L1839" s="295"/>
      <c r="M1839" s="294"/>
      <c r="O1839" s="294"/>
      <c r="P1839" s="294"/>
      <c r="Q1839" s="294"/>
      <c r="R1839" s="294"/>
      <c r="S1839" s="294"/>
      <c r="T1839" s="294"/>
      <c r="U1839" s="326"/>
      <c r="V1839" s="294"/>
      <c r="W1839" s="294"/>
      <c r="X1839" s="294"/>
      <c r="Y1839" s="294"/>
      <c r="Z1839" s="294"/>
      <c r="AA1839" s="294"/>
      <c r="AB1839" s="294"/>
      <c r="AC1839" s="294"/>
    </row>
    <row r="1840" spans="2:29" x14ac:dyDescent="0.25">
      <c r="B1840" s="294"/>
      <c r="C1840" s="294"/>
      <c r="D1840" s="294"/>
      <c r="E1840" s="294"/>
      <c r="F1840" s="294"/>
      <c r="G1840" s="294"/>
      <c r="H1840" s="294"/>
      <c r="I1840" s="294"/>
      <c r="J1840" s="294"/>
      <c r="L1840" s="295"/>
      <c r="M1840" s="294"/>
      <c r="O1840" s="294"/>
      <c r="P1840" s="294"/>
      <c r="Q1840" s="294"/>
      <c r="R1840" s="294"/>
      <c r="S1840" s="294"/>
      <c r="T1840" s="294"/>
      <c r="U1840" s="326"/>
      <c r="V1840" s="294"/>
      <c r="W1840" s="294"/>
      <c r="X1840" s="294"/>
      <c r="Y1840" s="294"/>
      <c r="Z1840" s="294"/>
      <c r="AA1840" s="294"/>
      <c r="AB1840" s="294"/>
      <c r="AC1840" s="294"/>
    </row>
    <row r="1841" spans="2:29" x14ac:dyDescent="0.25">
      <c r="B1841" s="294"/>
      <c r="C1841" s="294"/>
      <c r="D1841" s="294"/>
      <c r="E1841" s="294"/>
      <c r="F1841" s="294"/>
      <c r="G1841" s="294"/>
      <c r="H1841" s="294"/>
      <c r="I1841" s="294"/>
      <c r="J1841" s="294"/>
      <c r="L1841" s="295"/>
      <c r="M1841" s="294"/>
      <c r="O1841" s="294"/>
      <c r="P1841" s="294"/>
      <c r="Q1841" s="294"/>
      <c r="R1841" s="294"/>
      <c r="S1841" s="294"/>
      <c r="T1841" s="294"/>
      <c r="U1841" s="326"/>
      <c r="V1841" s="294"/>
      <c r="W1841" s="294"/>
      <c r="X1841" s="294"/>
      <c r="Y1841" s="294"/>
      <c r="Z1841" s="294"/>
      <c r="AA1841" s="294"/>
      <c r="AB1841" s="294"/>
      <c r="AC1841" s="294"/>
    </row>
    <row r="1842" spans="2:29" x14ac:dyDescent="0.25">
      <c r="B1842" s="294"/>
      <c r="C1842" s="294"/>
      <c r="D1842" s="294"/>
      <c r="E1842" s="294"/>
      <c r="F1842" s="294"/>
      <c r="G1842" s="294"/>
      <c r="H1842" s="294"/>
      <c r="I1842" s="294"/>
      <c r="J1842" s="294"/>
      <c r="L1842" s="295"/>
      <c r="M1842" s="294"/>
      <c r="O1842" s="294"/>
      <c r="P1842" s="294"/>
      <c r="Q1842" s="294"/>
      <c r="R1842" s="294"/>
      <c r="S1842" s="294"/>
      <c r="T1842" s="294"/>
      <c r="U1842" s="326"/>
      <c r="V1842" s="294"/>
      <c r="W1842" s="294"/>
      <c r="X1842" s="294"/>
      <c r="Y1842" s="294"/>
      <c r="Z1842" s="294"/>
      <c r="AA1842" s="294"/>
      <c r="AB1842" s="294"/>
      <c r="AC1842" s="294"/>
    </row>
    <row r="1843" spans="2:29" x14ac:dyDescent="0.25">
      <c r="B1843" s="294"/>
      <c r="C1843" s="294"/>
      <c r="D1843" s="294"/>
      <c r="E1843" s="294"/>
      <c r="F1843" s="294"/>
      <c r="G1843" s="294"/>
      <c r="H1843" s="294"/>
      <c r="I1843" s="294"/>
      <c r="J1843" s="294"/>
      <c r="L1843" s="295"/>
      <c r="M1843" s="294"/>
      <c r="O1843" s="294"/>
      <c r="P1843" s="294"/>
      <c r="Q1843" s="294"/>
      <c r="R1843" s="294"/>
      <c r="S1843" s="294"/>
      <c r="T1843" s="294"/>
      <c r="U1843" s="326"/>
      <c r="V1843" s="294"/>
      <c r="W1843" s="294"/>
      <c r="X1843" s="294"/>
      <c r="Y1843" s="294"/>
      <c r="Z1843" s="294"/>
      <c r="AA1843" s="294"/>
      <c r="AB1843" s="294"/>
      <c r="AC1843" s="294"/>
    </row>
    <row r="1844" spans="2:29" x14ac:dyDescent="0.25">
      <c r="B1844" s="294"/>
      <c r="C1844" s="294"/>
      <c r="D1844" s="294"/>
      <c r="E1844" s="294"/>
      <c r="F1844" s="294"/>
      <c r="G1844" s="294"/>
      <c r="H1844" s="294"/>
      <c r="I1844" s="294"/>
      <c r="J1844" s="294"/>
      <c r="L1844" s="295"/>
      <c r="M1844" s="294"/>
      <c r="O1844" s="294"/>
      <c r="P1844" s="294"/>
      <c r="Q1844" s="294"/>
      <c r="R1844" s="294"/>
      <c r="S1844" s="294"/>
      <c r="T1844" s="294"/>
      <c r="U1844" s="326"/>
      <c r="V1844" s="294"/>
      <c r="W1844" s="294"/>
      <c r="X1844" s="294"/>
      <c r="Y1844" s="294"/>
      <c r="Z1844" s="294"/>
      <c r="AA1844" s="294"/>
      <c r="AB1844" s="294"/>
      <c r="AC1844" s="294"/>
    </row>
    <row r="1845" spans="2:29" x14ac:dyDescent="0.25">
      <c r="B1845" s="294"/>
      <c r="C1845" s="294"/>
      <c r="D1845" s="294"/>
      <c r="E1845" s="294"/>
      <c r="F1845" s="294"/>
      <c r="G1845" s="294"/>
      <c r="H1845" s="294"/>
      <c r="I1845" s="294"/>
      <c r="J1845" s="294"/>
      <c r="L1845" s="295"/>
      <c r="M1845" s="294"/>
      <c r="O1845" s="294"/>
      <c r="P1845" s="294"/>
      <c r="Q1845" s="294"/>
      <c r="R1845" s="294"/>
      <c r="S1845" s="294"/>
      <c r="T1845" s="294"/>
      <c r="U1845" s="326"/>
      <c r="V1845" s="294"/>
      <c r="W1845" s="294"/>
      <c r="X1845" s="294"/>
      <c r="Y1845" s="294"/>
      <c r="Z1845" s="294"/>
      <c r="AA1845" s="294"/>
      <c r="AB1845" s="294"/>
      <c r="AC1845" s="294"/>
    </row>
    <row r="1846" spans="2:29" x14ac:dyDescent="0.25">
      <c r="B1846" s="294"/>
      <c r="C1846" s="294"/>
      <c r="D1846" s="294"/>
      <c r="E1846" s="294"/>
      <c r="F1846" s="294"/>
      <c r="G1846" s="294"/>
      <c r="H1846" s="294"/>
      <c r="I1846" s="294"/>
      <c r="J1846" s="294"/>
      <c r="L1846" s="295"/>
      <c r="M1846" s="294"/>
      <c r="O1846" s="294"/>
      <c r="P1846" s="294"/>
      <c r="Q1846" s="294"/>
      <c r="R1846" s="294"/>
      <c r="S1846" s="294"/>
      <c r="T1846" s="294"/>
      <c r="U1846" s="326"/>
      <c r="V1846" s="294"/>
      <c r="W1846" s="294"/>
      <c r="X1846" s="294"/>
      <c r="Y1846" s="294"/>
      <c r="Z1846" s="294"/>
      <c r="AA1846" s="294"/>
      <c r="AB1846" s="294"/>
      <c r="AC1846" s="294"/>
    </row>
    <row r="1847" spans="2:29" x14ac:dyDescent="0.25">
      <c r="B1847" s="294"/>
      <c r="C1847" s="294"/>
      <c r="D1847" s="294"/>
      <c r="E1847" s="294"/>
      <c r="F1847" s="294"/>
      <c r="G1847" s="294"/>
      <c r="H1847" s="294"/>
      <c r="I1847" s="294"/>
      <c r="J1847" s="294"/>
      <c r="L1847" s="295"/>
      <c r="M1847" s="294"/>
      <c r="O1847" s="294"/>
      <c r="P1847" s="294"/>
      <c r="Q1847" s="294"/>
      <c r="R1847" s="294"/>
      <c r="S1847" s="294"/>
      <c r="T1847" s="294"/>
      <c r="U1847" s="326"/>
      <c r="V1847" s="294"/>
      <c r="W1847" s="294"/>
      <c r="X1847" s="294"/>
      <c r="Y1847" s="294"/>
      <c r="Z1847" s="294"/>
      <c r="AA1847" s="294"/>
      <c r="AB1847" s="294"/>
      <c r="AC1847" s="294"/>
    </row>
    <row r="1848" spans="2:29" x14ac:dyDescent="0.25">
      <c r="B1848" s="294"/>
      <c r="C1848" s="294"/>
      <c r="D1848" s="294"/>
      <c r="E1848" s="294"/>
      <c r="F1848" s="294"/>
      <c r="G1848" s="294"/>
      <c r="H1848" s="294"/>
      <c r="I1848" s="294"/>
      <c r="J1848" s="294"/>
      <c r="L1848" s="295"/>
      <c r="M1848" s="294"/>
      <c r="O1848" s="294"/>
      <c r="P1848" s="294"/>
      <c r="Q1848" s="294"/>
      <c r="R1848" s="294"/>
      <c r="S1848" s="294"/>
      <c r="T1848" s="294"/>
      <c r="U1848" s="326"/>
      <c r="V1848" s="294"/>
      <c r="W1848" s="294"/>
      <c r="X1848" s="294"/>
      <c r="Y1848" s="294"/>
      <c r="Z1848" s="294"/>
      <c r="AA1848" s="294"/>
      <c r="AB1848" s="294"/>
      <c r="AC1848" s="294"/>
    </row>
    <row r="1849" spans="2:29" x14ac:dyDescent="0.25">
      <c r="B1849" s="294"/>
      <c r="C1849" s="294"/>
      <c r="D1849" s="294"/>
      <c r="E1849" s="294"/>
      <c r="F1849" s="294"/>
      <c r="G1849" s="294"/>
      <c r="H1849" s="294"/>
      <c r="I1849" s="294"/>
      <c r="J1849" s="294"/>
      <c r="L1849" s="295"/>
      <c r="M1849" s="294"/>
      <c r="O1849" s="294"/>
      <c r="P1849" s="294"/>
      <c r="Q1849" s="294"/>
      <c r="R1849" s="294"/>
      <c r="S1849" s="294"/>
      <c r="T1849" s="294"/>
      <c r="U1849" s="326"/>
      <c r="V1849" s="294"/>
      <c r="W1849" s="294"/>
      <c r="X1849" s="294"/>
      <c r="Y1849" s="294"/>
      <c r="Z1849" s="294"/>
      <c r="AA1849" s="294"/>
      <c r="AB1849" s="294"/>
      <c r="AC1849" s="294"/>
    </row>
    <row r="1850" spans="2:29" x14ac:dyDescent="0.25">
      <c r="B1850" s="294"/>
      <c r="C1850" s="294"/>
      <c r="D1850" s="294"/>
      <c r="E1850" s="294"/>
      <c r="F1850" s="294"/>
      <c r="G1850" s="294"/>
      <c r="H1850" s="294"/>
      <c r="I1850" s="294"/>
      <c r="J1850" s="294"/>
      <c r="L1850" s="295"/>
      <c r="M1850" s="294"/>
      <c r="O1850" s="294"/>
      <c r="P1850" s="294"/>
      <c r="Q1850" s="294"/>
      <c r="R1850" s="294"/>
      <c r="S1850" s="294"/>
      <c r="T1850" s="294"/>
      <c r="U1850" s="326"/>
      <c r="V1850" s="294"/>
      <c r="W1850" s="294"/>
      <c r="X1850" s="294"/>
      <c r="Y1850" s="294"/>
      <c r="Z1850" s="294"/>
      <c r="AA1850" s="294"/>
      <c r="AB1850" s="294"/>
      <c r="AC1850" s="294"/>
    </row>
    <row r="1851" spans="2:29" x14ac:dyDescent="0.25">
      <c r="B1851" s="294"/>
      <c r="C1851" s="294"/>
      <c r="D1851" s="294"/>
      <c r="E1851" s="294"/>
      <c r="F1851" s="294"/>
      <c r="G1851" s="294"/>
      <c r="H1851" s="294"/>
      <c r="I1851" s="294"/>
      <c r="J1851" s="294"/>
      <c r="L1851" s="295"/>
      <c r="M1851" s="294"/>
      <c r="O1851" s="294"/>
      <c r="P1851" s="294"/>
      <c r="Q1851" s="294"/>
      <c r="R1851" s="294"/>
      <c r="S1851" s="294"/>
      <c r="T1851" s="294"/>
      <c r="U1851" s="326"/>
      <c r="V1851" s="294"/>
      <c r="W1851" s="294"/>
      <c r="X1851" s="294"/>
      <c r="Y1851" s="294"/>
      <c r="Z1851" s="294"/>
      <c r="AA1851" s="294"/>
      <c r="AB1851" s="294"/>
      <c r="AC1851" s="294"/>
    </row>
    <row r="1852" spans="2:29" x14ac:dyDescent="0.25">
      <c r="B1852" s="294"/>
      <c r="C1852" s="294"/>
      <c r="D1852" s="294"/>
      <c r="E1852" s="294"/>
      <c r="F1852" s="294"/>
      <c r="G1852" s="294"/>
      <c r="H1852" s="294"/>
      <c r="I1852" s="294"/>
      <c r="J1852" s="294"/>
      <c r="L1852" s="295"/>
      <c r="M1852" s="294"/>
      <c r="O1852" s="294"/>
      <c r="P1852" s="294"/>
      <c r="Q1852" s="294"/>
      <c r="R1852" s="294"/>
      <c r="S1852" s="294"/>
      <c r="T1852" s="294"/>
      <c r="U1852" s="326"/>
      <c r="V1852" s="294"/>
      <c r="W1852" s="294"/>
      <c r="X1852" s="294"/>
      <c r="Y1852" s="294"/>
      <c r="Z1852" s="294"/>
      <c r="AA1852" s="294"/>
      <c r="AB1852" s="294"/>
      <c r="AC1852" s="294"/>
    </row>
    <row r="1853" spans="2:29" x14ac:dyDescent="0.25">
      <c r="B1853" s="294"/>
      <c r="C1853" s="294"/>
      <c r="D1853" s="294"/>
      <c r="E1853" s="294"/>
      <c r="F1853" s="294"/>
      <c r="G1853" s="294"/>
      <c r="H1853" s="294"/>
      <c r="I1853" s="294"/>
      <c r="J1853" s="294"/>
      <c r="L1853" s="295"/>
      <c r="M1853" s="294"/>
      <c r="O1853" s="294"/>
      <c r="P1853" s="294"/>
      <c r="Q1853" s="294"/>
      <c r="R1853" s="294"/>
      <c r="S1853" s="294"/>
      <c r="T1853" s="294"/>
      <c r="U1853" s="326"/>
      <c r="V1853" s="294"/>
      <c r="W1853" s="294"/>
      <c r="X1853" s="294"/>
      <c r="Y1853" s="294"/>
      <c r="Z1853" s="294"/>
      <c r="AA1853" s="294"/>
      <c r="AB1853" s="294"/>
      <c r="AC1853" s="294"/>
    </row>
    <row r="1854" spans="2:29" x14ac:dyDescent="0.25">
      <c r="B1854" s="294"/>
      <c r="C1854" s="294"/>
      <c r="D1854" s="294"/>
      <c r="E1854" s="294"/>
      <c r="F1854" s="294"/>
      <c r="G1854" s="294"/>
      <c r="H1854" s="294"/>
      <c r="I1854" s="294"/>
      <c r="J1854" s="294"/>
      <c r="L1854" s="295"/>
      <c r="M1854" s="294"/>
      <c r="O1854" s="294"/>
      <c r="P1854" s="294"/>
      <c r="Q1854" s="294"/>
      <c r="R1854" s="294"/>
      <c r="S1854" s="294"/>
      <c r="T1854" s="294"/>
      <c r="U1854" s="326"/>
      <c r="V1854" s="294"/>
      <c r="W1854" s="294"/>
      <c r="X1854" s="294"/>
      <c r="Y1854" s="294"/>
      <c r="Z1854" s="294"/>
      <c r="AA1854" s="294"/>
      <c r="AB1854" s="294"/>
      <c r="AC1854" s="294"/>
    </row>
    <row r="1855" spans="2:29" x14ac:dyDescent="0.25">
      <c r="B1855" s="294"/>
      <c r="C1855" s="294"/>
      <c r="D1855" s="294"/>
      <c r="E1855" s="294"/>
      <c r="F1855" s="294"/>
      <c r="G1855" s="294"/>
      <c r="H1855" s="294"/>
      <c r="I1855" s="294"/>
      <c r="J1855" s="294"/>
      <c r="L1855" s="295"/>
      <c r="M1855" s="294"/>
      <c r="O1855" s="294"/>
      <c r="P1855" s="294"/>
      <c r="Q1855" s="294"/>
      <c r="R1855" s="294"/>
      <c r="S1855" s="294"/>
      <c r="T1855" s="294"/>
      <c r="U1855" s="326"/>
      <c r="V1855" s="294"/>
      <c r="W1855" s="294"/>
      <c r="X1855" s="294"/>
      <c r="Y1855" s="294"/>
      <c r="Z1855" s="294"/>
      <c r="AA1855" s="294"/>
      <c r="AB1855" s="294"/>
      <c r="AC1855" s="294"/>
    </row>
    <row r="1856" spans="2:29" x14ac:dyDescent="0.25">
      <c r="B1856" s="294"/>
      <c r="C1856" s="294"/>
      <c r="D1856" s="294"/>
      <c r="E1856" s="294"/>
      <c r="F1856" s="294"/>
      <c r="G1856" s="294"/>
      <c r="H1856" s="294"/>
      <c r="I1856" s="294"/>
      <c r="J1856" s="294"/>
      <c r="L1856" s="295"/>
      <c r="M1856" s="294"/>
      <c r="O1856" s="294"/>
      <c r="P1856" s="294"/>
      <c r="Q1856" s="294"/>
      <c r="R1856" s="294"/>
      <c r="S1856" s="294"/>
      <c r="T1856" s="294"/>
      <c r="U1856" s="326"/>
      <c r="V1856" s="294"/>
      <c r="W1856" s="294"/>
      <c r="X1856" s="294"/>
      <c r="Y1856" s="294"/>
      <c r="Z1856" s="294"/>
      <c r="AA1856" s="294"/>
      <c r="AB1856" s="294"/>
      <c r="AC1856" s="294"/>
    </row>
    <row r="1857" spans="2:29" x14ac:dyDescent="0.25">
      <c r="B1857" s="294"/>
      <c r="C1857" s="294"/>
      <c r="D1857" s="294"/>
      <c r="E1857" s="294"/>
      <c r="F1857" s="294"/>
      <c r="G1857" s="294"/>
      <c r="H1857" s="294"/>
      <c r="I1857" s="294"/>
      <c r="J1857" s="294"/>
      <c r="L1857" s="295"/>
      <c r="M1857" s="294"/>
      <c r="O1857" s="294"/>
      <c r="P1857" s="294"/>
      <c r="Q1857" s="294"/>
      <c r="R1857" s="294"/>
      <c r="S1857" s="294"/>
      <c r="T1857" s="294"/>
      <c r="U1857" s="326"/>
      <c r="V1857" s="294"/>
      <c r="W1857" s="294"/>
      <c r="X1857" s="294"/>
      <c r="Y1857" s="294"/>
      <c r="Z1857" s="294"/>
      <c r="AA1857" s="294"/>
      <c r="AB1857" s="294"/>
      <c r="AC1857" s="294"/>
    </row>
    <row r="1858" spans="2:29" x14ac:dyDescent="0.25">
      <c r="B1858" s="294"/>
      <c r="C1858" s="294"/>
      <c r="D1858" s="294"/>
      <c r="E1858" s="294"/>
      <c r="F1858" s="294"/>
      <c r="G1858" s="294"/>
      <c r="H1858" s="294"/>
      <c r="I1858" s="294"/>
      <c r="J1858" s="294"/>
      <c r="L1858" s="295"/>
      <c r="M1858" s="294"/>
      <c r="O1858" s="294"/>
      <c r="P1858" s="294"/>
      <c r="Q1858" s="294"/>
      <c r="R1858" s="294"/>
      <c r="S1858" s="294"/>
      <c r="T1858" s="294"/>
      <c r="U1858" s="326"/>
      <c r="V1858" s="294"/>
      <c r="W1858" s="294"/>
      <c r="X1858" s="294"/>
      <c r="Y1858" s="294"/>
      <c r="Z1858" s="294"/>
      <c r="AA1858" s="294"/>
      <c r="AB1858" s="294"/>
      <c r="AC1858" s="294"/>
    </row>
    <row r="1859" spans="2:29" x14ac:dyDescent="0.25">
      <c r="B1859" s="294"/>
      <c r="C1859" s="294"/>
      <c r="D1859" s="294"/>
      <c r="E1859" s="294"/>
      <c r="F1859" s="294"/>
      <c r="G1859" s="294"/>
      <c r="H1859" s="294"/>
      <c r="I1859" s="294"/>
      <c r="J1859" s="294"/>
      <c r="L1859" s="295"/>
      <c r="M1859" s="294"/>
      <c r="O1859" s="294"/>
      <c r="P1859" s="294"/>
      <c r="Q1859" s="294"/>
      <c r="R1859" s="294"/>
      <c r="S1859" s="294"/>
      <c r="T1859" s="294"/>
      <c r="U1859" s="326"/>
      <c r="V1859" s="294"/>
      <c r="W1859" s="294"/>
      <c r="X1859" s="294"/>
      <c r="Y1859" s="294"/>
      <c r="Z1859" s="294"/>
      <c r="AA1859" s="294"/>
      <c r="AB1859" s="294"/>
      <c r="AC1859" s="294"/>
    </row>
    <row r="1860" spans="2:29" x14ac:dyDescent="0.25">
      <c r="B1860" s="294"/>
      <c r="C1860" s="294"/>
      <c r="D1860" s="294"/>
      <c r="E1860" s="294"/>
      <c r="F1860" s="294"/>
      <c r="G1860" s="294"/>
      <c r="H1860" s="294"/>
      <c r="I1860" s="294"/>
      <c r="J1860" s="294"/>
      <c r="L1860" s="295"/>
      <c r="M1860" s="294"/>
      <c r="O1860" s="294"/>
      <c r="P1860" s="294"/>
      <c r="Q1860" s="294"/>
      <c r="R1860" s="294"/>
      <c r="S1860" s="294"/>
      <c r="T1860" s="294"/>
      <c r="U1860" s="326"/>
      <c r="V1860" s="294"/>
      <c r="W1860" s="294"/>
      <c r="X1860" s="294"/>
      <c r="Y1860" s="294"/>
      <c r="Z1860" s="294"/>
      <c r="AA1860" s="294"/>
      <c r="AB1860" s="294"/>
      <c r="AC1860" s="294"/>
    </row>
    <row r="1861" spans="2:29" x14ac:dyDescent="0.25">
      <c r="B1861" s="294"/>
      <c r="C1861" s="294"/>
      <c r="D1861" s="294"/>
      <c r="E1861" s="294"/>
      <c r="F1861" s="294"/>
      <c r="G1861" s="294"/>
      <c r="H1861" s="294"/>
      <c r="I1861" s="294"/>
      <c r="J1861" s="294"/>
      <c r="L1861" s="295"/>
      <c r="M1861" s="294"/>
      <c r="O1861" s="294"/>
      <c r="P1861" s="294"/>
      <c r="Q1861" s="294"/>
      <c r="R1861" s="294"/>
      <c r="S1861" s="294"/>
      <c r="T1861" s="294"/>
      <c r="U1861" s="326"/>
      <c r="V1861" s="294"/>
      <c r="W1861" s="294"/>
      <c r="X1861" s="294"/>
      <c r="Y1861" s="294"/>
      <c r="Z1861" s="294"/>
      <c r="AA1861" s="294"/>
      <c r="AB1861" s="294"/>
      <c r="AC1861" s="294"/>
    </row>
    <row r="1862" spans="2:29" x14ac:dyDescent="0.25">
      <c r="B1862" s="294"/>
      <c r="C1862" s="294"/>
      <c r="D1862" s="294"/>
      <c r="E1862" s="294"/>
      <c r="F1862" s="294"/>
      <c r="G1862" s="294"/>
      <c r="H1862" s="294"/>
      <c r="I1862" s="294"/>
      <c r="J1862" s="294"/>
      <c r="L1862" s="295"/>
      <c r="M1862" s="294"/>
      <c r="O1862" s="294"/>
      <c r="P1862" s="294"/>
      <c r="Q1862" s="294"/>
      <c r="R1862" s="294"/>
      <c r="S1862" s="294"/>
      <c r="T1862" s="294"/>
      <c r="U1862" s="326"/>
      <c r="V1862" s="294"/>
      <c r="W1862" s="294"/>
      <c r="X1862" s="294"/>
      <c r="Y1862" s="294"/>
      <c r="Z1862" s="294"/>
      <c r="AA1862" s="294"/>
      <c r="AB1862" s="294"/>
      <c r="AC1862" s="294"/>
    </row>
    <row r="1863" spans="2:29" x14ac:dyDescent="0.25">
      <c r="B1863" s="294"/>
      <c r="C1863" s="294"/>
      <c r="D1863" s="294"/>
      <c r="E1863" s="294"/>
      <c r="F1863" s="294"/>
      <c r="G1863" s="294"/>
      <c r="H1863" s="294"/>
      <c r="I1863" s="294"/>
      <c r="J1863" s="294"/>
      <c r="L1863" s="295"/>
      <c r="M1863" s="294"/>
      <c r="O1863" s="294"/>
      <c r="P1863" s="294"/>
      <c r="Q1863" s="294"/>
      <c r="R1863" s="294"/>
      <c r="S1863" s="294"/>
      <c r="T1863" s="294"/>
      <c r="U1863" s="326"/>
      <c r="V1863" s="294"/>
      <c r="W1863" s="294"/>
      <c r="X1863" s="294"/>
      <c r="Y1863" s="294"/>
      <c r="Z1863" s="294"/>
      <c r="AA1863" s="294"/>
      <c r="AB1863" s="294"/>
      <c r="AC1863" s="294"/>
    </row>
    <row r="1864" spans="2:29" x14ac:dyDescent="0.25">
      <c r="B1864" s="294"/>
      <c r="C1864" s="294"/>
      <c r="D1864" s="294"/>
      <c r="E1864" s="294"/>
      <c r="F1864" s="294"/>
      <c r="G1864" s="294"/>
      <c r="H1864" s="294"/>
      <c r="I1864" s="294"/>
      <c r="J1864" s="294"/>
      <c r="L1864" s="295"/>
      <c r="M1864" s="294"/>
      <c r="O1864" s="294"/>
      <c r="P1864" s="294"/>
      <c r="Q1864" s="294"/>
      <c r="R1864" s="294"/>
      <c r="S1864" s="294"/>
      <c r="T1864" s="294"/>
      <c r="U1864" s="326"/>
      <c r="V1864" s="294"/>
      <c r="W1864" s="294"/>
      <c r="X1864" s="294"/>
      <c r="Y1864" s="294"/>
      <c r="Z1864" s="294"/>
      <c r="AA1864" s="294"/>
      <c r="AB1864" s="294"/>
      <c r="AC1864" s="294"/>
    </row>
    <row r="1865" spans="2:29" x14ac:dyDescent="0.25">
      <c r="B1865" s="294"/>
      <c r="C1865" s="294"/>
      <c r="D1865" s="294"/>
      <c r="E1865" s="294"/>
      <c r="F1865" s="294"/>
      <c r="G1865" s="294"/>
      <c r="H1865" s="294"/>
      <c r="I1865" s="294"/>
      <c r="J1865" s="294"/>
      <c r="L1865" s="295"/>
      <c r="M1865" s="294"/>
      <c r="O1865" s="294"/>
      <c r="P1865" s="294"/>
      <c r="Q1865" s="294"/>
      <c r="R1865" s="294"/>
      <c r="S1865" s="294"/>
      <c r="T1865" s="294"/>
      <c r="U1865" s="326"/>
      <c r="V1865" s="294"/>
      <c r="W1865" s="294"/>
      <c r="X1865" s="294"/>
      <c r="Y1865" s="294"/>
      <c r="Z1865" s="294"/>
      <c r="AA1865" s="294"/>
      <c r="AB1865" s="294"/>
      <c r="AC1865" s="294"/>
    </row>
    <row r="1866" spans="2:29" x14ac:dyDescent="0.25">
      <c r="B1866" s="294"/>
      <c r="C1866" s="294"/>
      <c r="D1866" s="294"/>
      <c r="E1866" s="294"/>
      <c r="F1866" s="294"/>
      <c r="G1866" s="294"/>
      <c r="H1866" s="294"/>
      <c r="I1866" s="294"/>
      <c r="J1866" s="294"/>
      <c r="L1866" s="295"/>
      <c r="M1866" s="294"/>
      <c r="O1866" s="294"/>
      <c r="P1866" s="294"/>
      <c r="Q1866" s="294"/>
      <c r="R1866" s="294"/>
      <c r="S1866" s="294"/>
      <c r="T1866" s="294"/>
      <c r="U1866" s="326"/>
      <c r="V1866" s="294"/>
      <c r="W1866" s="294"/>
      <c r="X1866" s="294"/>
      <c r="Y1866" s="294"/>
      <c r="Z1866" s="294"/>
      <c r="AA1866" s="294"/>
      <c r="AB1866" s="294"/>
      <c r="AC1866" s="294"/>
    </row>
    <row r="1867" spans="2:29" x14ac:dyDescent="0.25">
      <c r="B1867" s="294"/>
      <c r="C1867" s="294"/>
      <c r="D1867" s="294"/>
      <c r="E1867" s="294"/>
      <c r="F1867" s="294"/>
      <c r="G1867" s="294"/>
      <c r="H1867" s="294"/>
      <c r="I1867" s="294"/>
      <c r="J1867" s="294"/>
      <c r="L1867" s="295"/>
      <c r="M1867" s="294"/>
      <c r="O1867" s="294"/>
      <c r="P1867" s="294"/>
      <c r="Q1867" s="294"/>
      <c r="R1867" s="294"/>
      <c r="S1867" s="294"/>
      <c r="T1867" s="294"/>
      <c r="U1867" s="326"/>
      <c r="V1867" s="294"/>
      <c r="W1867" s="294"/>
      <c r="X1867" s="294"/>
      <c r="Y1867" s="294"/>
      <c r="Z1867" s="294"/>
      <c r="AA1867" s="294"/>
      <c r="AB1867" s="294"/>
      <c r="AC1867" s="294"/>
    </row>
    <row r="1868" spans="2:29" x14ac:dyDescent="0.25">
      <c r="B1868" s="294"/>
      <c r="C1868" s="294"/>
      <c r="D1868" s="294"/>
      <c r="E1868" s="294"/>
      <c r="F1868" s="294"/>
      <c r="G1868" s="294"/>
      <c r="H1868" s="294"/>
      <c r="I1868" s="294"/>
      <c r="J1868" s="294"/>
      <c r="L1868" s="295"/>
      <c r="M1868" s="294"/>
      <c r="O1868" s="294"/>
      <c r="P1868" s="294"/>
      <c r="Q1868" s="294"/>
      <c r="R1868" s="294"/>
      <c r="S1868" s="294"/>
      <c r="T1868" s="294"/>
      <c r="U1868" s="326"/>
      <c r="V1868" s="294"/>
      <c r="W1868" s="294"/>
      <c r="X1868" s="294"/>
      <c r="Y1868" s="294"/>
      <c r="Z1868" s="294"/>
      <c r="AA1868" s="294"/>
      <c r="AB1868" s="294"/>
      <c r="AC1868" s="294"/>
    </row>
    <row r="1869" spans="2:29" x14ac:dyDescent="0.25">
      <c r="B1869" s="294"/>
      <c r="C1869" s="294"/>
      <c r="D1869" s="294"/>
      <c r="E1869" s="294"/>
      <c r="F1869" s="294"/>
      <c r="G1869" s="294"/>
      <c r="H1869" s="294"/>
      <c r="I1869" s="294"/>
      <c r="J1869" s="294"/>
      <c r="L1869" s="295"/>
      <c r="M1869" s="294"/>
      <c r="O1869" s="294"/>
      <c r="P1869" s="294"/>
      <c r="Q1869" s="294"/>
      <c r="R1869" s="294"/>
      <c r="S1869" s="294"/>
      <c r="T1869" s="294"/>
      <c r="U1869" s="326"/>
      <c r="V1869" s="294"/>
      <c r="W1869" s="294"/>
      <c r="X1869" s="294"/>
      <c r="Y1869" s="294"/>
      <c r="Z1869" s="294"/>
      <c r="AA1869" s="294"/>
      <c r="AB1869" s="294"/>
      <c r="AC1869" s="294"/>
    </row>
    <row r="1870" spans="2:29" x14ac:dyDescent="0.25">
      <c r="B1870" s="294"/>
      <c r="C1870" s="294"/>
      <c r="D1870" s="294"/>
      <c r="E1870" s="294"/>
      <c r="F1870" s="294"/>
      <c r="G1870" s="294"/>
      <c r="H1870" s="294"/>
      <c r="I1870" s="294"/>
      <c r="J1870" s="294"/>
      <c r="L1870" s="295"/>
      <c r="M1870" s="294"/>
      <c r="O1870" s="294"/>
      <c r="P1870" s="294"/>
      <c r="Q1870" s="294"/>
      <c r="R1870" s="294"/>
      <c r="S1870" s="294"/>
      <c r="T1870" s="294"/>
      <c r="U1870" s="326"/>
      <c r="V1870" s="294"/>
      <c r="W1870" s="294"/>
      <c r="X1870" s="294"/>
      <c r="Y1870" s="294"/>
      <c r="Z1870" s="294"/>
      <c r="AA1870" s="294"/>
      <c r="AB1870" s="294"/>
      <c r="AC1870" s="294"/>
    </row>
    <row r="1871" spans="2:29" x14ac:dyDescent="0.25">
      <c r="B1871" s="294"/>
      <c r="C1871" s="294"/>
      <c r="D1871" s="294"/>
      <c r="E1871" s="294"/>
      <c r="F1871" s="294"/>
      <c r="G1871" s="294"/>
      <c r="H1871" s="294"/>
      <c r="I1871" s="294"/>
      <c r="J1871" s="294"/>
      <c r="L1871" s="295"/>
      <c r="M1871" s="294"/>
      <c r="O1871" s="294"/>
      <c r="P1871" s="294"/>
      <c r="Q1871" s="294"/>
      <c r="R1871" s="294"/>
      <c r="S1871" s="294"/>
      <c r="T1871" s="294"/>
      <c r="U1871" s="326"/>
      <c r="V1871" s="294"/>
      <c r="W1871" s="294"/>
      <c r="X1871" s="294"/>
      <c r="Y1871" s="294"/>
      <c r="Z1871" s="294"/>
      <c r="AA1871" s="294"/>
      <c r="AB1871" s="294"/>
      <c r="AC1871" s="294"/>
    </row>
    <row r="1872" spans="2:29" x14ac:dyDescent="0.25">
      <c r="B1872" s="294"/>
      <c r="C1872" s="294"/>
      <c r="D1872" s="294"/>
      <c r="E1872" s="294"/>
      <c r="F1872" s="294"/>
      <c r="G1872" s="294"/>
      <c r="H1872" s="294"/>
      <c r="I1872" s="294"/>
      <c r="J1872" s="294"/>
      <c r="L1872" s="295"/>
      <c r="M1872" s="294"/>
      <c r="O1872" s="294"/>
      <c r="P1872" s="294"/>
      <c r="Q1872" s="294"/>
      <c r="R1872" s="294"/>
      <c r="S1872" s="294"/>
      <c r="T1872" s="294"/>
      <c r="U1872" s="326"/>
      <c r="V1872" s="294"/>
      <c r="W1872" s="294"/>
      <c r="X1872" s="294"/>
      <c r="Y1872" s="294"/>
      <c r="Z1872" s="294"/>
      <c r="AA1872" s="294"/>
      <c r="AB1872" s="294"/>
      <c r="AC1872" s="294"/>
    </row>
    <row r="1873" spans="2:29" x14ac:dyDescent="0.25">
      <c r="B1873" s="294"/>
      <c r="C1873" s="294"/>
      <c r="D1873" s="294"/>
      <c r="E1873" s="294"/>
      <c r="F1873" s="294"/>
      <c r="G1873" s="294"/>
      <c r="H1873" s="294"/>
      <c r="I1873" s="294"/>
      <c r="J1873" s="294"/>
      <c r="L1873" s="295"/>
      <c r="M1873" s="294"/>
      <c r="O1873" s="294"/>
      <c r="P1873" s="294"/>
      <c r="Q1873" s="294"/>
      <c r="R1873" s="294"/>
      <c r="S1873" s="294"/>
      <c r="T1873" s="294"/>
      <c r="U1873" s="326"/>
      <c r="V1873" s="294"/>
      <c r="W1873" s="294"/>
      <c r="X1873" s="294"/>
      <c r="Y1873" s="294"/>
      <c r="Z1873" s="294"/>
      <c r="AA1873" s="294"/>
      <c r="AB1873" s="294"/>
      <c r="AC1873" s="294"/>
    </row>
    <row r="1874" spans="2:29" x14ac:dyDescent="0.25">
      <c r="B1874" s="294"/>
      <c r="C1874" s="294"/>
      <c r="D1874" s="294"/>
      <c r="E1874" s="294"/>
      <c r="F1874" s="294"/>
      <c r="G1874" s="294"/>
      <c r="H1874" s="294"/>
      <c r="I1874" s="294"/>
      <c r="J1874" s="294"/>
      <c r="L1874" s="295"/>
      <c r="M1874" s="294"/>
      <c r="O1874" s="294"/>
      <c r="P1874" s="294"/>
      <c r="Q1874" s="294"/>
      <c r="R1874" s="294"/>
      <c r="S1874" s="294"/>
      <c r="T1874" s="294"/>
      <c r="U1874" s="326"/>
      <c r="V1874" s="294"/>
      <c r="W1874" s="294"/>
      <c r="X1874" s="294"/>
      <c r="Y1874" s="294"/>
      <c r="Z1874" s="294"/>
      <c r="AA1874" s="294"/>
      <c r="AB1874" s="294"/>
      <c r="AC1874" s="294"/>
    </row>
    <row r="1875" spans="2:29" x14ac:dyDescent="0.25">
      <c r="B1875" s="294"/>
      <c r="C1875" s="294"/>
      <c r="D1875" s="294"/>
      <c r="E1875" s="294"/>
      <c r="F1875" s="294"/>
      <c r="G1875" s="294"/>
      <c r="H1875" s="294"/>
      <c r="I1875" s="294"/>
      <c r="J1875" s="294"/>
      <c r="L1875" s="295"/>
      <c r="M1875" s="294"/>
      <c r="O1875" s="294"/>
      <c r="P1875" s="294"/>
      <c r="Q1875" s="294"/>
      <c r="R1875" s="294"/>
      <c r="S1875" s="294"/>
      <c r="T1875" s="294"/>
      <c r="U1875" s="326"/>
      <c r="V1875" s="294"/>
      <c r="W1875" s="294"/>
      <c r="X1875" s="294"/>
      <c r="Y1875" s="294"/>
      <c r="Z1875" s="294"/>
      <c r="AA1875" s="294"/>
      <c r="AB1875" s="294"/>
      <c r="AC1875" s="294"/>
    </row>
    <row r="1876" spans="2:29" x14ac:dyDescent="0.25">
      <c r="B1876" s="294"/>
      <c r="C1876" s="294"/>
      <c r="D1876" s="294"/>
      <c r="E1876" s="294"/>
      <c r="F1876" s="294"/>
      <c r="G1876" s="294"/>
      <c r="H1876" s="294"/>
      <c r="I1876" s="294"/>
      <c r="J1876" s="294"/>
      <c r="L1876" s="295"/>
      <c r="M1876" s="294"/>
      <c r="O1876" s="294"/>
      <c r="P1876" s="294"/>
      <c r="Q1876" s="294"/>
      <c r="R1876" s="294"/>
      <c r="S1876" s="294"/>
      <c r="T1876" s="294"/>
      <c r="U1876" s="326"/>
      <c r="V1876" s="294"/>
      <c r="W1876" s="294"/>
      <c r="X1876" s="294"/>
      <c r="Y1876" s="294"/>
      <c r="Z1876" s="294"/>
      <c r="AA1876" s="294"/>
      <c r="AB1876" s="294"/>
      <c r="AC1876" s="294"/>
    </row>
    <row r="1877" spans="2:29" x14ac:dyDescent="0.25">
      <c r="B1877" s="294"/>
      <c r="C1877" s="294"/>
      <c r="D1877" s="294"/>
      <c r="E1877" s="294"/>
      <c r="F1877" s="294"/>
      <c r="G1877" s="294"/>
      <c r="H1877" s="294"/>
      <c r="I1877" s="294"/>
      <c r="J1877" s="294"/>
      <c r="L1877" s="295"/>
      <c r="M1877" s="294"/>
      <c r="O1877" s="294"/>
      <c r="P1877" s="294"/>
      <c r="Q1877" s="294"/>
      <c r="R1877" s="294"/>
      <c r="S1877" s="294"/>
      <c r="T1877" s="294"/>
      <c r="U1877" s="326"/>
      <c r="V1877" s="294"/>
      <c r="W1877" s="294"/>
      <c r="X1877" s="294"/>
      <c r="Y1877" s="294"/>
      <c r="Z1877" s="294"/>
      <c r="AA1877" s="294"/>
      <c r="AB1877" s="294"/>
      <c r="AC1877" s="294"/>
    </row>
    <row r="1878" spans="2:29" x14ac:dyDescent="0.25">
      <c r="B1878" s="294"/>
      <c r="C1878" s="294"/>
      <c r="D1878" s="294"/>
      <c r="E1878" s="294"/>
      <c r="F1878" s="294"/>
      <c r="G1878" s="294"/>
      <c r="H1878" s="294"/>
      <c r="I1878" s="294"/>
      <c r="J1878" s="294"/>
      <c r="L1878" s="295"/>
      <c r="M1878" s="294"/>
      <c r="O1878" s="294"/>
      <c r="P1878" s="294"/>
      <c r="Q1878" s="294"/>
      <c r="R1878" s="294"/>
      <c r="S1878" s="294"/>
      <c r="T1878" s="294"/>
      <c r="U1878" s="326"/>
      <c r="V1878" s="294"/>
      <c r="W1878" s="294"/>
      <c r="X1878" s="294"/>
      <c r="Y1878" s="294"/>
      <c r="Z1878" s="294"/>
      <c r="AA1878" s="294"/>
      <c r="AB1878" s="294"/>
      <c r="AC1878" s="294"/>
    </row>
    <row r="1879" spans="2:29" x14ac:dyDescent="0.25">
      <c r="B1879" s="294"/>
      <c r="C1879" s="294"/>
      <c r="D1879" s="294"/>
      <c r="E1879" s="294"/>
      <c r="F1879" s="294"/>
      <c r="G1879" s="294"/>
      <c r="H1879" s="294"/>
      <c r="I1879" s="294"/>
      <c r="J1879" s="294"/>
      <c r="L1879" s="295"/>
      <c r="M1879" s="294"/>
      <c r="O1879" s="294"/>
      <c r="P1879" s="294"/>
      <c r="Q1879" s="294"/>
      <c r="R1879" s="294"/>
      <c r="S1879" s="294"/>
      <c r="T1879" s="294"/>
      <c r="U1879" s="326"/>
      <c r="V1879" s="294"/>
      <c r="W1879" s="294"/>
      <c r="X1879" s="294"/>
      <c r="Y1879" s="294"/>
      <c r="Z1879" s="294"/>
      <c r="AA1879" s="294"/>
      <c r="AB1879" s="294"/>
      <c r="AC1879" s="294"/>
    </row>
    <row r="1880" spans="2:29" x14ac:dyDescent="0.25">
      <c r="B1880" s="294"/>
      <c r="C1880" s="294"/>
      <c r="D1880" s="294"/>
      <c r="E1880" s="294"/>
      <c r="F1880" s="294"/>
      <c r="G1880" s="294"/>
      <c r="H1880" s="294"/>
      <c r="I1880" s="294"/>
      <c r="J1880" s="294"/>
      <c r="L1880" s="295"/>
      <c r="M1880" s="294"/>
      <c r="O1880" s="294"/>
      <c r="P1880" s="294"/>
      <c r="Q1880" s="294"/>
      <c r="R1880" s="294"/>
      <c r="S1880" s="294"/>
      <c r="T1880" s="294"/>
      <c r="U1880" s="326"/>
      <c r="V1880" s="294"/>
      <c r="W1880" s="294"/>
      <c r="X1880" s="294"/>
      <c r="Y1880" s="294"/>
      <c r="Z1880" s="294"/>
      <c r="AA1880" s="294"/>
      <c r="AB1880" s="294"/>
      <c r="AC1880" s="294"/>
    </row>
    <row r="1881" spans="2:29" x14ac:dyDescent="0.25">
      <c r="B1881" s="294"/>
      <c r="C1881" s="294"/>
      <c r="D1881" s="294"/>
      <c r="E1881" s="294"/>
      <c r="F1881" s="294"/>
      <c r="G1881" s="294"/>
      <c r="H1881" s="294"/>
      <c r="I1881" s="294"/>
      <c r="J1881" s="294"/>
      <c r="L1881" s="295"/>
      <c r="M1881" s="294"/>
      <c r="O1881" s="294"/>
      <c r="P1881" s="294"/>
      <c r="Q1881" s="294"/>
      <c r="R1881" s="294"/>
      <c r="S1881" s="294"/>
      <c r="T1881" s="294"/>
      <c r="U1881" s="326"/>
      <c r="V1881" s="294"/>
      <c r="W1881" s="294"/>
      <c r="X1881" s="294"/>
      <c r="Y1881" s="294"/>
      <c r="Z1881" s="294"/>
      <c r="AA1881" s="294"/>
      <c r="AB1881" s="294"/>
      <c r="AC1881" s="294"/>
    </row>
    <row r="1882" spans="2:29" x14ac:dyDescent="0.25">
      <c r="B1882" s="294"/>
      <c r="C1882" s="294"/>
      <c r="D1882" s="294"/>
      <c r="E1882" s="294"/>
      <c r="F1882" s="294"/>
      <c r="G1882" s="294"/>
      <c r="H1882" s="294"/>
      <c r="I1882" s="294"/>
      <c r="J1882" s="294"/>
      <c r="L1882" s="295"/>
      <c r="M1882" s="294"/>
      <c r="O1882" s="294"/>
      <c r="P1882" s="294"/>
      <c r="Q1882" s="294"/>
      <c r="R1882" s="294"/>
      <c r="S1882" s="294"/>
      <c r="T1882" s="294"/>
      <c r="U1882" s="326"/>
      <c r="V1882" s="294"/>
      <c r="W1882" s="294"/>
      <c r="X1882" s="294"/>
      <c r="Y1882" s="294"/>
      <c r="Z1882" s="294"/>
      <c r="AA1882" s="294"/>
      <c r="AB1882" s="294"/>
      <c r="AC1882" s="294"/>
    </row>
    <row r="1883" spans="2:29" x14ac:dyDescent="0.25">
      <c r="B1883" s="294"/>
      <c r="C1883" s="294"/>
      <c r="D1883" s="294"/>
      <c r="E1883" s="294"/>
      <c r="F1883" s="294"/>
      <c r="G1883" s="294"/>
      <c r="H1883" s="294"/>
      <c r="I1883" s="294"/>
      <c r="J1883" s="294"/>
      <c r="L1883" s="295"/>
      <c r="M1883" s="294"/>
      <c r="O1883" s="294"/>
      <c r="P1883" s="294"/>
      <c r="Q1883" s="294"/>
      <c r="R1883" s="294"/>
      <c r="S1883" s="294"/>
      <c r="T1883" s="294"/>
      <c r="U1883" s="326"/>
      <c r="V1883" s="294"/>
      <c r="W1883" s="294"/>
      <c r="X1883" s="294"/>
      <c r="Y1883" s="294"/>
      <c r="Z1883" s="294"/>
      <c r="AA1883" s="294"/>
      <c r="AB1883" s="294"/>
      <c r="AC1883" s="294"/>
    </row>
    <row r="1884" spans="2:29" x14ac:dyDescent="0.25">
      <c r="B1884" s="294"/>
      <c r="C1884" s="294"/>
      <c r="D1884" s="294"/>
      <c r="E1884" s="294"/>
      <c r="F1884" s="294"/>
      <c r="G1884" s="294"/>
      <c r="H1884" s="294"/>
      <c r="I1884" s="294"/>
      <c r="J1884" s="294"/>
      <c r="L1884" s="295"/>
      <c r="M1884" s="294"/>
      <c r="O1884" s="294"/>
      <c r="P1884" s="294"/>
      <c r="Q1884" s="294"/>
      <c r="R1884" s="294"/>
      <c r="S1884" s="294"/>
      <c r="T1884" s="294"/>
      <c r="U1884" s="326"/>
      <c r="V1884" s="294"/>
      <c r="W1884" s="294"/>
      <c r="X1884" s="294"/>
      <c r="Y1884" s="294"/>
      <c r="Z1884" s="294"/>
      <c r="AA1884" s="294"/>
      <c r="AB1884" s="294"/>
      <c r="AC1884" s="294"/>
    </row>
    <row r="1885" spans="2:29" x14ac:dyDescent="0.25">
      <c r="B1885" s="294"/>
      <c r="C1885" s="294"/>
      <c r="D1885" s="294"/>
      <c r="E1885" s="294"/>
      <c r="F1885" s="294"/>
      <c r="G1885" s="294"/>
      <c r="H1885" s="294"/>
      <c r="I1885" s="294"/>
      <c r="J1885" s="294"/>
      <c r="L1885" s="295"/>
      <c r="M1885" s="294"/>
      <c r="O1885" s="294"/>
      <c r="P1885" s="294"/>
      <c r="Q1885" s="294"/>
      <c r="R1885" s="294"/>
      <c r="S1885" s="294"/>
      <c r="T1885" s="294"/>
      <c r="U1885" s="326"/>
      <c r="V1885" s="294"/>
      <c r="W1885" s="294"/>
      <c r="X1885" s="294"/>
      <c r="Y1885" s="294"/>
      <c r="Z1885" s="294"/>
      <c r="AA1885" s="294"/>
      <c r="AB1885" s="294"/>
      <c r="AC1885" s="294"/>
    </row>
    <row r="1886" spans="2:29" x14ac:dyDescent="0.25">
      <c r="B1886" s="294"/>
      <c r="C1886" s="294"/>
      <c r="D1886" s="294"/>
      <c r="E1886" s="294"/>
      <c r="F1886" s="294"/>
      <c r="G1886" s="294"/>
      <c r="H1886" s="294"/>
      <c r="I1886" s="294"/>
      <c r="J1886" s="294"/>
      <c r="L1886" s="295"/>
      <c r="M1886" s="294"/>
      <c r="O1886" s="294"/>
      <c r="P1886" s="294"/>
      <c r="Q1886" s="294"/>
      <c r="R1886" s="294"/>
      <c r="S1886" s="294"/>
      <c r="T1886" s="294"/>
      <c r="U1886" s="326"/>
      <c r="V1886" s="294"/>
      <c r="W1886" s="294"/>
      <c r="X1886" s="294"/>
      <c r="Y1886" s="294"/>
      <c r="Z1886" s="294"/>
      <c r="AA1886" s="294"/>
      <c r="AB1886" s="294"/>
      <c r="AC1886" s="294"/>
    </row>
    <row r="1887" spans="2:29" x14ac:dyDescent="0.25">
      <c r="B1887" s="294"/>
      <c r="C1887" s="294"/>
      <c r="D1887" s="294"/>
      <c r="E1887" s="294"/>
      <c r="F1887" s="294"/>
      <c r="G1887" s="294"/>
      <c r="H1887" s="294"/>
      <c r="I1887" s="294"/>
      <c r="J1887" s="294"/>
      <c r="L1887" s="295"/>
      <c r="M1887" s="294"/>
      <c r="O1887" s="294"/>
      <c r="P1887" s="294"/>
      <c r="Q1887" s="294"/>
      <c r="R1887" s="294"/>
      <c r="S1887" s="294"/>
      <c r="T1887" s="294"/>
      <c r="U1887" s="326"/>
      <c r="V1887" s="294"/>
      <c r="W1887" s="294"/>
      <c r="X1887" s="294"/>
      <c r="Y1887" s="294"/>
      <c r="Z1887" s="294"/>
      <c r="AA1887" s="294"/>
      <c r="AB1887" s="294"/>
      <c r="AC1887" s="294"/>
    </row>
    <row r="1888" spans="2:29" x14ac:dyDescent="0.25">
      <c r="B1888" s="294"/>
      <c r="C1888" s="294"/>
      <c r="D1888" s="294"/>
      <c r="E1888" s="294"/>
      <c r="F1888" s="294"/>
      <c r="G1888" s="294"/>
      <c r="H1888" s="294"/>
      <c r="I1888" s="294"/>
      <c r="J1888" s="294"/>
      <c r="L1888" s="295"/>
      <c r="M1888" s="294"/>
      <c r="O1888" s="294"/>
      <c r="P1888" s="294"/>
      <c r="Q1888" s="294"/>
      <c r="R1888" s="294"/>
      <c r="S1888" s="294"/>
      <c r="T1888" s="294"/>
      <c r="U1888" s="326"/>
      <c r="V1888" s="294"/>
      <c r="W1888" s="294"/>
      <c r="X1888" s="294"/>
      <c r="Y1888" s="294"/>
      <c r="Z1888" s="294"/>
      <c r="AA1888" s="294"/>
      <c r="AB1888" s="294"/>
      <c r="AC1888" s="294"/>
    </row>
    <row r="1889" spans="2:29" x14ac:dyDescent="0.25">
      <c r="B1889" s="294"/>
      <c r="C1889" s="294"/>
      <c r="D1889" s="294"/>
      <c r="E1889" s="294"/>
      <c r="F1889" s="294"/>
      <c r="G1889" s="294"/>
      <c r="H1889" s="294"/>
      <c r="I1889" s="294"/>
      <c r="J1889" s="294"/>
      <c r="L1889" s="295"/>
      <c r="M1889" s="294"/>
      <c r="O1889" s="294"/>
      <c r="P1889" s="294"/>
      <c r="Q1889" s="294"/>
      <c r="R1889" s="294"/>
      <c r="S1889" s="294"/>
      <c r="T1889" s="294"/>
      <c r="U1889" s="326"/>
      <c r="V1889" s="294"/>
      <c r="W1889" s="294"/>
      <c r="X1889" s="294"/>
      <c r="Y1889" s="294"/>
      <c r="Z1889" s="294"/>
      <c r="AA1889" s="294"/>
      <c r="AB1889" s="294"/>
      <c r="AC1889" s="294"/>
    </row>
    <row r="1890" spans="2:29" x14ac:dyDescent="0.25">
      <c r="B1890" s="294"/>
      <c r="C1890" s="294"/>
      <c r="D1890" s="294"/>
      <c r="E1890" s="294"/>
      <c r="F1890" s="294"/>
      <c r="G1890" s="294"/>
      <c r="H1890" s="294"/>
      <c r="I1890" s="294"/>
      <c r="J1890" s="294"/>
      <c r="L1890" s="295"/>
      <c r="M1890" s="294"/>
      <c r="O1890" s="294"/>
      <c r="P1890" s="294"/>
      <c r="Q1890" s="294"/>
      <c r="R1890" s="294"/>
      <c r="S1890" s="294"/>
      <c r="T1890" s="294"/>
      <c r="U1890" s="326"/>
      <c r="V1890" s="294"/>
      <c r="W1890" s="294"/>
      <c r="X1890" s="294"/>
      <c r="Y1890" s="294"/>
      <c r="Z1890" s="294"/>
      <c r="AA1890" s="294"/>
      <c r="AB1890" s="294"/>
      <c r="AC1890" s="294"/>
    </row>
    <row r="1891" spans="2:29" x14ac:dyDescent="0.25">
      <c r="B1891" s="294"/>
      <c r="C1891" s="294"/>
      <c r="D1891" s="294"/>
      <c r="E1891" s="294"/>
      <c r="F1891" s="294"/>
      <c r="G1891" s="294"/>
      <c r="H1891" s="294"/>
      <c r="I1891" s="294"/>
      <c r="J1891" s="294"/>
      <c r="L1891" s="295"/>
      <c r="M1891" s="294"/>
      <c r="O1891" s="294"/>
      <c r="P1891" s="294"/>
      <c r="Q1891" s="294"/>
      <c r="R1891" s="294"/>
      <c r="S1891" s="294"/>
      <c r="T1891" s="294"/>
      <c r="U1891" s="326"/>
      <c r="V1891" s="294"/>
      <c r="W1891" s="294"/>
      <c r="X1891" s="294"/>
      <c r="Y1891" s="294"/>
      <c r="Z1891" s="294"/>
      <c r="AA1891" s="294"/>
      <c r="AB1891" s="294"/>
      <c r="AC1891" s="294"/>
    </row>
    <row r="1892" spans="2:29" x14ac:dyDescent="0.25">
      <c r="B1892" s="294"/>
      <c r="C1892" s="294"/>
      <c r="D1892" s="294"/>
      <c r="E1892" s="294"/>
      <c r="F1892" s="294"/>
      <c r="G1892" s="294"/>
      <c r="H1892" s="294"/>
      <c r="I1892" s="294"/>
      <c r="J1892" s="294"/>
      <c r="L1892" s="295"/>
      <c r="M1892" s="294"/>
      <c r="O1892" s="294"/>
      <c r="P1892" s="294"/>
      <c r="Q1892" s="294"/>
      <c r="R1892" s="294"/>
      <c r="S1892" s="294"/>
      <c r="T1892" s="294"/>
      <c r="U1892" s="326"/>
      <c r="V1892" s="294"/>
      <c r="W1892" s="294"/>
      <c r="X1892" s="294"/>
      <c r="Y1892" s="294"/>
      <c r="Z1892" s="294"/>
      <c r="AA1892" s="294"/>
      <c r="AB1892" s="294"/>
      <c r="AC1892" s="294"/>
    </row>
    <row r="1893" spans="2:29" x14ac:dyDescent="0.25">
      <c r="B1893" s="294"/>
      <c r="C1893" s="294"/>
      <c r="D1893" s="294"/>
      <c r="E1893" s="294"/>
      <c r="F1893" s="294"/>
      <c r="G1893" s="294"/>
      <c r="H1893" s="294"/>
      <c r="I1893" s="294"/>
      <c r="J1893" s="294"/>
      <c r="L1893" s="295"/>
      <c r="M1893" s="294"/>
      <c r="O1893" s="294"/>
      <c r="P1893" s="294"/>
      <c r="Q1893" s="294"/>
      <c r="R1893" s="294"/>
      <c r="S1893" s="294"/>
      <c r="T1893" s="294"/>
      <c r="U1893" s="326"/>
      <c r="V1893" s="294"/>
      <c r="W1893" s="294"/>
      <c r="X1893" s="294"/>
      <c r="Y1893" s="294"/>
      <c r="Z1893" s="294"/>
      <c r="AA1893" s="294"/>
      <c r="AB1893" s="294"/>
      <c r="AC1893" s="294"/>
    </row>
    <row r="1894" spans="2:29" x14ac:dyDescent="0.25">
      <c r="B1894" s="294"/>
      <c r="C1894" s="294"/>
      <c r="D1894" s="294"/>
      <c r="E1894" s="294"/>
      <c r="F1894" s="294"/>
      <c r="G1894" s="294"/>
      <c r="H1894" s="294"/>
      <c r="I1894" s="294"/>
      <c r="J1894" s="294"/>
      <c r="L1894" s="295"/>
      <c r="M1894" s="294"/>
      <c r="O1894" s="294"/>
      <c r="P1894" s="294"/>
      <c r="Q1894" s="294"/>
      <c r="R1894" s="294"/>
      <c r="S1894" s="294"/>
      <c r="T1894" s="294"/>
      <c r="U1894" s="326"/>
      <c r="V1894" s="294"/>
      <c r="W1894" s="294"/>
      <c r="X1894" s="294"/>
      <c r="Y1894" s="294"/>
      <c r="Z1894" s="294"/>
      <c r="AA1894" s="294"/>
      <c r="AB1894" s="294"/>
      <c r="AC1894" s="294"/>
    </row>
    <row r="1895" spans="2:29" x14ac:dyDescent="0.25">
      <c r="B1895" s="294"/>
      <c r="C1895" s="294"/>
      <c r="D1895" s="294"/>
      <c r="E1895" s="294"/>
      <c r="F1895" s="294"/>
      <c r="G1895" s="294"/>
      <c r="H1895" s="294"/>
      <c r="I1895" s="294"/>
      <c r="J1895" s="294"/>
      <c r="L1895" s="295"/>
      <c r="M1895" s="294"/>
      <c r="O1895" s="294"/>
      <c r="P1895" s="294"/>
      <c r="Q1895" s="294"/>
      <c r="R1895" s="294"/>
      <c r="S1895" s="294"/>
      <c r="T1895" s="294"/>
      <c r="U1895" s="326"/>
      <c r="V1895" s="294"/>
      <c r="W1895" s="294"/>
      <c r="X1895" s="294"/>
      <c r="Y1895" s="294"/>
      <c r="Z1895" s="294"/>
      <c r="AA1895" s="294"/>
      <c r="AB1895" s="294"/>
      <c r="AC1895" s="294"/>
    </row>
    <row r="1896" spans="2:29" x14ac:dyDescent="0.25">
      <c r="B1896" s="294"/>
      <c r="C1896" s="294"/>
      <c r="D1896" s="294"/>
      <c r="E1896" s="294"/>
      <c r="F1896" s="294"/>
      <c r="G1896" s="294"/>
      <c r="H1896" s="294"/>
      <c r="I1896" s="294"/>
      <c r="J1896" s="294"/>
      <c r="L1896" s="295"/>
      <c r="M1896" s="294"/>
      <c r="O1896" s="294"/>
      <c r="P1896" s="294"/>
      <c r="Q1896" s="294"/>
      <c r="R1896" s="294"/>
      <c r="S1896" s="294"/>
      <c r="T1896" s="294"/>
      <c r="U1896" s="326"/>
      <c r="V1896" s="294"/>
      <c r="W1896" s="294"/>
      <c r="X1896" s="294"/>
      <c r="Y1896" s="294"/>
      <c r="Z1896" s="294"/>
      <c r="AA1896" s="294"/>
      <c r="AB1896" s="294"/>
      <c r="AC1896" s="294"/>
    </row>
    <row r="1897" spans="2:29" x14ac:dyDescent="0.25">
      <c r="B1897" s="294"/>
      <c r="C1897" s="294"/>
      <c r="D1897" s="294"/>
      <c r="E1897" s="294"/>
      <c r="F1897" s="294"/>
      <c r="G1897" s="294"/>
      <c r="H1897" s="294"/>
      <c r="I1897" s="294"/>
      <c r="J1897" s="294"/>
      <c r="L1897" s="295"/>
      <c r="M1897" s="294"/>
      <c r="O1897" s="294"/>
      <c r="P1897" s="294"/>
      <c r="Q1897" s="294"/>
      <c r="R1897" s="294"/>
      <c r="S1897" s="294"/>
      <c r="T1897" s="294"/>
      <c r="U1897" s="326"/>
      <c r="V1897" s="294"/>
      <c r="W1897" s="294"/>
      <c r="X1897" s="294"/>
      <c r="Y1897" s="294"/>
      <c r="Z1897" s="294"/>
      <c r="AA1897" s="294"/>
      <c r="AB1897" s="294"/>
      <c r="AC1897" s="294"/>
    </row>
    <row r="1898" spans="2:29" x14ac:dyDescent="0.25">
      <c r="B1898" s="294"/>
      <c r="C1898" s="294"/>
      <c r="D1898" s="294"/>
      <c r="E1898" s="294"/>
      <c r="F1898" s="294"/>
      <c r="G1898" s="294"/>
      <c r="H1898" s="294"/>
      <c r="I1898" s="294"/>
      <c r="J1898" s="294"/>
      <c r="L1898" s="295"/>
      <c r="M1898" s="294"/>
      <c r="O1898" s="294"/>
      <c r="P1898" s="294"/>
      <c r="Q1898" s="294"/>
      <c r="R1898" s="294"/>
      <c r="S1898" s="294"/>
      <c r="T1898" s="294"/>
      <c r="U1898" s="326"/>
      <c r="V1898" s="294"/>
      <c r="W1898" s="294"/>
      <c r="X1898" s="294"/>
      <c r="Y1898" s="294"/>
      <c r="Z1898" s="294"/>
      <c r="AA1898" s="294"/>
      <c r="AB1898" s="294"/>
      <c r="AC1898" s="294"/>
    </row>
    <row r="1899" spans="2:29" x14ac:dyDescent="0.25">
      <c r="B1899" s="294"/>
      <c r="C1899" s="294"/>
      <c r="D1899" s="294"/>
      <c r="E1899" s="294"/>
      <c r="F1899" s="294"/>
      <c r="G1899" s="294"/>
      <c r="H1899" s="294"/>
      <c r="I1899" s="294"/>
      <c r="J1899" s="294"/>
      <c r="L1899" s="295"/>
      <c r="M1899" s="294"/>
      <c r="O1899" s="294"/>
      <c r="P1899" s="294"/>
      <c r="Q1899" s="294"/>
      <c r="R1899" s="294"/>
      <c r="S1899" s="294"/>
      <c r="T1899" s="294"/>
      <c r="U1899" s="326"/>
      <c r="V1899" s="294"/>
      <c r="W1899" s="294"/>
      <c r="X1899" s="294"/>
      <c r="Y1899" s="294"/>
      <c r="Z1899" s="294"/>
      <c r="AA1899" s="294"/>
      <c r="AB1899" s="294"/>
      <c r="AC1899" s="294"/>
    </row>
    <row r="1900" spans="2:29" x14ac:dyDescent="0.25">
      <c r="B1900" s="294"/>
      <c r="C1900" s="294"/>
      <c r="D1900" s="294"/>
      <c r="E1900" s="294"/>
      <c r="F1900" s="294"/>
      <c r="G1900" s="294"/>
      <c r="H1900" s="294"/>
      <c r="I1900" s="294"/>
      <c r="J1900" s="294"/>
      <c r="L1900" s="295"/>
      <c r="M1900" s="294"/>
      <c r="O1900" s="294"/>
      <c r="P1900" s="294"/>
      <c r="Q1900" s="294"/>
      <c r="R1900" s="294"/>
      <c r="S1900" s="294"/>
      <c r="T1900" s="294"/>
      <c r="U1900" s="326"/>
      <c r="V1900" s="294"/>
      <c r="W1900" s="294"/>
      <c r="X1900" s="294"/>
      <c r="Y1900" s="294"/>
      <c r="Z1900" s="294"/>
      <c r="AA1900" s="294"/>
      <c r="AB1900" s="294"/>
      <c r="AC1900" s="294"/>
    </row>
    <row r="1901" spans="2:29" x14ac:dyDescent="0.25">
      <c r="B1901" s="294"/>
      <c r="C1901" s="294"/>
      <c r="D1901" s="294"/>
      <c r="E1901" s="294"/>
      <c r="F1901" s="294"/>
      <c r="G1901" s="294"/>
      <c r="H1901" s="294"/>
      <c r="I1901" s="294"/>
      <c r="J1901" s="294"/>
      <c r="L1901" s="295"/>
      <c r="M1901" s="294"/>
      <c r="O1901" s="294"/>
      <c r="P1901" s="294"/>
      <c r="Q1901" s="294"/>
      <c r="R1901" s="294"/>
      <c r="S1901" s="294"/>
      <c r="T1901" s="294"/>
      <c r="U1901" s="326"/>
      <c r="V1901" s="294"/>
      <c r="W1901" s="294"/>
      <c r="X1901" s="294"/>
      <c r="Y1901" s="294"/>
      <c r="Z1901" s="294"/>
      <c r="AA1901" s="294"/>
      <c r="AB1901" s="294"/>
      <c r="AC1901" s="294"/>
    </row>
    <row r="1902" spans="2:29" x14ac:dyDescent="0.25">
      <c r="B1902" s="294"/>
      <c r="C1902" s="294"/>
      <c r="D1902" s="294"/>
      <c r="E1902" s="294"/>
      <c r="F1902" s="294"/>
      <c r="G1902" s="294"/>
      <c r="H1902" s="294"/>
      <c r="I1902" s="294"/>
      <c r="J1902" s="294"/>
      <c r="L1902" s="295"/>
      <c r="M1902" s="294"/>
      <c r="O1902" s="294"/>
      <c r="P1902" s="294"/>
      <c r="Q1902" s="294"/>
      <c r="R1902" s="294"/>
      <c r="S1902" s="294"/>
      <c r="T1902" s="294"/>
      <c r="U1902" s="326"/>
      <c r="V1902" s="294"/>
      <c r="W1902" s="294"/>
      <c r="X1902" s="294"/>
      <c r="Y1902" s="294"/>
      <c r="Z1902" s="294"/>
      <c r="AA1902" s="294"/>
      <c r="AB1902" s="294"/>
      <c r="AC1902" s="294"/>
    </row>
    <row r="1903" spans="2:29" x14ac:dyDescent="0.25">
      <c r="B1903" s="294"/>
      <c r="C1903" s="294"/>
      <c r="D1903" s="294"/>
      <c r="E1903" s="294"/>
      <c r="F1903" s="294"/>
      <c r="G1903" s="294"/>
      <c r="H1903" s="294"/>
      <c r="I1903" s="294"/>
      <c r="J1903" s="294"/>
      <c r="L1903" s="295"/>
      <c r="M1903" s="294"/>
      <c r="O1903" s="294"/>
      <c r="P1903" s="294"/>
      <c r="Q1903" s="294"/>
      <c r="R1903" s="294"/>
      <c r="S1903" s="294"/>
      <c r="T1903" s="294"/>
      <c r="U1903" s="326"/>
      <c r="V1903" s="294"/>
      <c r="W1903" s="294"/>
      <c r="X1903" s="294"/>
      <c r="Y1903" s="294"/>
      <c r="Z1903" s="294"/>
      <c r="AA1903" s="294"/>
      <c r="AB1903" s="294"/>
      <c r="AC1903" s="294"/>
    </row>
    <row r="1904" spans="2:29" x14ac:dyDescent="0.25">
      <c r="B1904" s="294"/>
      <c r="C1904" s="294"/>
      <c r="D1904" s="294"/>
      <c r="E1904" s="294"/>
      <c r="F1904" s="294"/>
      <c r="G1904" s="294"/>
      <c r="H1904" s="294"/>
      <c r="I1904" s="294"/>
      <c r="J1904" s="294"/>
      <c r="L1904" s="295"/>
      <c r="M1904" s="294"/>
      <c r="O1904" s="294"/>
      <c r="P1904" s="294"/>
      <c r="Q1904" s="294"/>
      <c r="R1904" s="294"/>
      <c r="S1904" s="294"/>
      <c r="T1904" s="294"/>
      <c r="U1904" s="326"/>
      <c r="V1904" s="294"/>
      <c r="W1904" s="294"/>
      <c r="X1904" s="294"/>
      <c r="Y1904" s="294"/>
      <c r="Z1904" s="294"/>
      <c r="AA1904" s="294"/>
      <c r="AB1904" s="294"/>
      <c r="AC1904" s="294"/>
    </row>
    <row r="1905" spans="2:29" x14ac:dyDescent="0.25">
      <c r="B1905" s="294"/>
      <c r="C1905" s="294"/>
      <c r="D1905" s="294"/>
      <c r="E1905" s="294"/>
      <c r="F1905" s="294"/>
      <c r="G1905" s="294"/>
      <c r="H1905" s="294"/>
      <c r="I1905" s="294"/>
      <c r="J1905" s="294"/>
      <c r="L1905" s="295"/>
      <c r="M1905" s="294"/>
      <c r="O1905" s="294"/>
      <c r="P1905" s="294"/>
      <c r="Q1905" s="294"/>
      <c r="R1905" s="294"/>
      <c r="S1905" s="294"/>
      <c r="T1905" s="294"/>
      <c r="U1905" s="326"/>
      <c r="V1905" s="294"/>
      <c r="W1905" s="294"/>
      <c r="X1905" s="294"/>
      <c r="Y1905" s="294"/>
      <c r="Z1905" s="294"/>
      <c r="AA1905" s="294"/>
      <c r="AB1905" s="294"/>
      <c r="AC1905" s="294"/>
    </row>
    <row r="1906" spans="2:29" x14ac:dyDescent="0.25">
      <c r="B1906" s="294"/>
      <c r="C1906" s="294"/>
      <c r="D1906" s="294"/>
      <c r="E1906" s="294"/>
      <c r="F1906" s="294"/>
      <c r="G1906" s="294"/>
      <c r="H1906" s="294"/>
      <c r="I1906" s="294"/>
      <c r="J1906" s="294"/>
      <c r="L1906" s="295"/>
      <c r="M1906" s="294"/>
      <c r="O1906" s="294"/>
      <c r="P1906" s="294"/>
      <c r="Q1906" s="294"/>
      <c r="R1906" s="294"/>
      <c r="S1906" s="294"/>
      <c r="T1906" s="294"/>
      <c r="U1906" s="326"/>
      <c r="V1906" s="294"/>
      <c r="W1906" s="294"/>
      <c r="X1906" s="294"/>
      <c r="Y1906" s="294"/>
      <c r="Z1906" s="294"/>
      <c r="AA1906" s="294"/>
      <c r="AB1906" s="294"/>
      <c r="AC1906" s="294"/>
    </row>
    <row r="1907" spans="2:29" x14ac:dyDescent="0.25">
      <c r="B1907" s="294"/>
      <c r="C1907" s="294"/>
      <c r="D1907" s="294"/>
      <c r="E1907" s="294"/>
      <c r="F1907" s="294"/>
      <c r="G1907" s="294"/>
      <c r="H1907" s="294"/>
      <c r="I1907" s="294"/>
      <c r="J1907" s="294"/>
      <c r="L1907" s="295"/>
      <c r="M1907" s="294"/>
      <c r="O1907" s="294"/>
      <c r="P1907" s="294"/>
      <c r="Q1907" s="294"/>
      <c r="R1907" s="294"/>
      <c r="S1907" s="294"/>
      <c r="T1907" s="294"/>
      <c r="U1907" s="326"/>
      <c r="V1907" s="294"/>
      <c r="W1907" s="294"/>
      <c r="X1907" s="294"/>
      <c r="Y1907" s="294"/>
      <c r="Z1907" s="294"/>
      <c r="AA1907" s="294"/>
      <c r="AB1907" s="294"/>
      <c r="AC1907" s="294"/>
    </row>
    <row r="1908" spans="2:29" x14ac:dyDescent="0.25">
      <c r="B1908" s="294"/>
      <c r="C1908" s="294"/>
      <c r="D1908" s="294"/>
      <c r="E1908" s="294"/>
      <c r="F1908" s="294"/>
      <c r="G1908" s="294"/>
      <c r="H1908" s="294"/>
      <c r="I1908" s="294"/>
      <c r="J1908" s="294"/>
      <c r="L1908" s="295"/>
      <c r="M1908" s="294"/>
      <c r="O1908" s="294"/>
      <c r="P1908" s="294"/>
      <c r="Q1908" s="294"/>
      <c r="R1908" s="294"/>
      <c r="S1908" s="294"/>
      <c r="T1908" s="294"/>
      <c r="U1908" s="326"/>
      <c r="V1908" s="294"/>
      <c r="W1908" s="294"/>
      <c r="X1908" s="294"/>
      <c r="Y1908" s="294"/>
      <c r="Z1908" s="294"/>
      <c r="AA1908" s="294"/>
      <c r="AB1908" s="294"/>
      <c r="AC1908" s="294"/>
    </row>
    <row r="1909" spans="2:29" x14ac:dyDescent="0.25">
      <c r="B1909" s="294"/>
      <c r="C1909" s="294"/>
      <c r="D1909" s="294"/>
      <c r="E1909" s="294"/>
      <c r="F1909" s="294"/>
      <c r="G1909" s="294"/>
      <c r="H1909" s="294"/>
      <c r="I1909" s="294"/>
      <c r="J1909" s="294"/>
      <c r="L1909" s="295"/>
      <c r="M1909" s="294"/>
      <c r="O1909" s="294"/>
      <c r="P1909" s="294"/>
      <c r="Q1909" s="294"/>
      <c r="R1909" s="294"/>
      <c r="S1909" s="294"/>
      <c r="T1909" s="294"/>
      <c r="U1909" s="326"/>
      <c r="V1909" s="294"/>
      <c r="W1909" s="294"/>
      <c r="X1909" s="294"/>
      <c r="Y1909" s="294"/>
      <c r="Z1909" s="294"/>
      <c r="AA1909" s="294"/>
      <c r="AB1909" s="294"/>
      <c r="AC1909" s="294"/>
    </row>
    <row r="1910" spans="2:29" x14ac:dyDescent="0.25">
      <c r="B1910" s="294"/>
      <c r="C1910" s="294"/>
      <c r="D1910" s="294"/>
      <c r="E1910" s="294"/>
      <c r="F1910" s="294"/>
      <c r="G1910" s="294"/>
      <c r="H1910" s="294"/>
      <c r="I1910" s="294"/>
      <c r="J1910" s="294"/>
      <c r="L1910" s="295"/>
      <c r="M1910" s="294"/>
      <c r="O1910" s="294"/>
      <c r="P1910" s="294"/>
      <c r="Q1910" s="294"/>
      <c r="R1910" s="294"/>
      <c r="S1910" s="294"/>
      <c r="T1910" s="294"/>
      <c r="U1910" s="326"/>
      <c r="V1910" s="294"/>
      <c r="W1910" s="294"/>
      <c r="X1910" s="294"/>
      <c r="Y1910" s="294"/>
      <c r="Z1910" s="294"/>
      <c r="AA1910" s="294"/>
      <c r="AB1910" s="294"/>
      <c r="AC1910" s="294"/>
    </row>
    <row r="1911" spans="2:29" x14ac:dyDescent="0.25">
      <c r="B1911" s="294"/>
      <c r="C1911" s="294"/>
      <c r="D1911" s="294"/>
      <c r="E1911" s="294"/>
      <c r="F1911" s="294"/>
      <c r="G1911" s="294"/>
      <c r="H1911" s="294"/>
      <c r="I1911" s="294"/>
      <c r="J1911" s="294"/>
      <c r="L1911" s="295"/>
      <c r="M1911" s="294"/>
      <c r="O1911" s="294"/>
      <c r="P1911" s="294"/>
      <c r="Q1911" s="294"/>
      <c r="R1911" s="294"/>
      <c r="S1911" s="294"/>
      <c r="T1911" s="294"/>
      <c r="U1911" s="326"/>
      <c r="V1911" s="294"/>
      <c r="W1911" s="294"/>
      <c r="X1911" s="294"/>
      <c r="Y1911" s="294"/>
      <c r="Z1911" s="294"/>
      <c r="AA1911" s="294"/>
      <c r="AB1911" s="294"/>
      <c r="AC1911" s="294"/>
    </row>
    <row r="1912" spans="2:29" x14ac:dyDescent="0.25">
      <c r="B1912" s="294"/>
      <c r="C1912" s="294"/>
      <c r="D1912" s="294"/>
      <c r="E1912" s="294"/>
      <c r="F1912" s="294"/>
      <c r="G1912" s="294"/>
      <c r="H1912" s="294"/>
      <c r="I1912" s="294"/>
      <c r="J1912" s="294"/>
      <c r="L1912" s="295"/>
      <c r="M1912" s="294"/>
      <c r="O1912" s="294"/>
      <c r="P1912" s="294"/>
      <c r="Q1912" s="294"/>
      <c r="R1912" s="294"/>
      <c r="S1912" s="294"/>
      <c r="T1912" s="294"/>
      <c r="U1912" s="326"/>
      <c r="V1912" s="294"/>
      <c r="W1912" s="294"/>
      <c r="X1912" s="294"/>
      <c r="Y1912" s="294"/>
      <c r="Z1912" s="294"/>
      <c r="AA1912" s="294"/>
      <c r="AB1912" s="294"/>
      <c r="AC1912" s="294"/>
    </row>
    <row r="1913" spans="2:29" x14ac:dyDescent="0.25">
      <c r="B1913" s="294"/>
      <c r="C1913" s="294"/>
      <c r="D1913" s="294"/>
      <c r="E1913" s="294"/>
      <c r="F1913" s="294"/>
      <c r="G1913" s="294"/>
      <c r="H1913" s="294"/>
      <c r="I1913" s="294"/>
      <c r="J1913" s="294"/>
      <c r="L1913" s="295"/>
      <c r="M1913" s="294"/>
      <c r="O1913" s="294"/>
      <c r="P1913" s="294"/>
      <c r="Q1913" s="294"/>
      <c r="R1913" s="294"/>
      <c r="S1913" s="294"/>
      <c r="T1913" s="294"/>
      <c r="U1913" s="326"/>
      <c r="V1913" s="294"/>
      <c r="W1913" s="294"/>
      <c r="X1913" s="294"/>
      <c r="Y1913" s="294"/>
      <c r="Z1913" s="294"/>
      <c r="AA1913" s="294"/>
      <c r="AB1913" s="294"/>
      <c r="AC1913" s="294"/>
    </row>
    <row r="1914" spans="2:29" x14ac:dyDescent="0.25">
      <c r="B1914" s="294"/>
      <c r="C1914" s="294"/>
      <c r="D1914" s="294"/>
      <c r="E1914" s="294"/>
      <c r="F1914" s="294"/>
      <c r="G1914" s="294"/>
      <c r="H1914" s="294"/>
      <c r="I1914" s="294"/>
      <c r="J1914" s="294"/>
      <c r="L1914" s="295"/>
      <c r="M1914" s="294"/>
      <c r="O1914" s="294"/>
      <c r="P1914" s="294"/>
      <c r="Q1914" s="294"/>
      <c r="R1914" s="294"/>
      <c r="S1914" s="294"/>
      <c r="T1914" s="294"/>
      <c r="U1914" s="326"/>
      <c r="V1914" s="294"/>
      <c r="W1914" s="294"/>
      <c r="X1914" s="294"/>
      <c r="Y1914" s="294"/>
      <c r="Z1914" s="294"/>
      <c r="AA1914" s="294"/>
      <c r="AB1914" s="294"/>
      <c r="AC1914" s="294"/>
    </row>
    <row r="1915" spans="2:29" x14ac:dyDescent="0.25">
      <c r="B1915" s="294"/>
      <c r="C1915" s="294"/>
      <c r="D1915" s="294"/>
      <c r="E1915" s="294"/>
      <c r="F1915" s="294"/>
      <c r="G1915" s="294"/>
      <c r="H1915" s="294"/>
      <c r="I1915" s="294"/>
      <c r="J1915" s="294"/>
      <c r="L1915" s="295"/>
      <c r="M1915" s="294"/>
      <c r="O1915" s="294"/>
      <c r="P1915" s="294"/>
      <c r="Q1915" s="294"/>
      <c r="R1915" s="294"/>
      <c r="S1915" s="294"/>
      <c r="T1915" s="294"/>
      <c r="U1915" s="326"/>
      <c r="V1915" s="294"/>
      <c r="W1915" s="294"/>
      <c r="X1915" s="294"/>
      <c r="Y1915" s="294"/>
      <c r="Z1915" s="294"/>
      <c r="AA1915" s="294"/>
      <c r="AB1915" s="294"/>
      <c r="AC1915" s="294"/>
    </row>
    <row r="1916" spans="2:29" x14ac:dyDescent="0.25">
      <c r="B1916" s="294"/>
      <c r="C1916" s="294"/>
      <c r="D1916" s="294"/>
      <c r="E1916" s="294"/>
      <c r="F1916" s="294"/>
      <c r="G1916" s="294"/>
      <c r="H1916" s="294"/>
      <c r="I1916" s="294"/>
      <c r="J1916" s="294"/>
      <c r="L1916" s="295"/>
      <c r="M1916" s="294"/>
      <c r="O1916" s="294"/>
      <c r="P1916" s="294"/>
      <c r="Q1916" s="294"/>
      <c r="R1916" s="294"/>
      <c r="S1916" s="294"/>
      <c r="T1916" s="294"/>
      <c r="U1916" s="326"/>
      <c r="V1916" s="294"/>
      <c r="W1916" s="294"/>
      <c r="X1916" s="294"/>
      <c r="Y1916" s="294"/>
      <c r="Z1916" s="294"/>
      <c r="AA1916" s="294"/>
      <c r="AB1916" s="294"/>
      <c r="AC1916" s="294"/>
    </row>
    <row r="1917" spans="2:29" x14ac:dyDescent="0.25">
      <c r="B1917" s="294"/>
      <c r="C1917" s="294"/>
      <c r="D1917" s="294"/>
      <c r="E1917" s="294"/>
      <c r="F1917" s="294"/>
      <c r="G1917" s="294"/>
      <c r="H1917" s="294"/>
      <c r="I1917" s="294"/>
      <c r="J1917" s="294"/>
      <c r="L1917" s="295"/>
      <c r="M1917" s="294"/>
      <c r="O1917" s="294"/>
      <c r="P1917" s="294"/>
      <c r="Q1917" s="294"/>
      <c r="R1917" s="294"/>
      <c r="S1917" s="294"/>
      <c r="T1917" s="294"/>
      <c r="U1917" s="326"/>
      <c r="V1917" s="294"/>
      <c r="W1917" s="294"/>
      <c r="X1917" s="294"/>
      <c r="Y1917" s="294"/>
      <c r="Z1917" s="294"/>
      <c r="AA1917" s="294"/>
      <c r="AB1917" s="294"/>
      <c r="AC1917" s="294"/>
    </row>
    <row r="1918" spans="2:29" x14ac:dyDescent="0.25">
      <c r="B1918" s="294"/>
      <c r="C1918" s="294"/>
      <c r="D1918" s="294"/>
      <c r="E1918" s="294"/>
      <c r="F1918" s="294"/>
      <c r="G1918" s="294"/>
      <c r="H1918" s="294"/>
      <c r="I1918" s="294"/>
      <c r="J1918" s="294"/>
      <c r="L1918" s="295"/>
      <c r="M1918" s="294"/>
      <c r="O1918" s="294"/>
      <c r="P1918" s="294"/>
      <c r="Q1918" s="294"/>
      <c r="R1918" s="294"/>
      <c r="S1918" s="294"/>
      <c r="T1918" s="294"/>
      <c r="U1918" s="326"/>
      <c r="V1918" s="294"/>
      <c r="W1918" s="294"/>
      <c r="X1918" s="294"/>
      <c r="Y1918" s="294"/>
      <c r="Z1918" s="294"/>
      <c r="AA1918" s="294"/>
      <c r="AB1918" s="294"/>
      <c r="AC1918" s="294"/>
    </row>
    <row r="1919" spans="2:29" x14ac:dyDescent="0.25">
      <c r="B1919" s="294"/>
      <c r="C1919" s="294"/>
      <c r="D1919" s="294"/>
      <c r="E1919" s="294"/>
      <c r="F1919" s="294"/>
      <c r="G1919" s="294"/>
      <c r="H1919" s="294"/>
      <c r="I1919" s="294"/>
      <c r="J1919" s="294"/>
      <c r="L1919" s="295"/>
      <c r="M1919" s="294"/>
      <c r="O1919" s="294"/>
      <c r="P1919" s="294"/>
      <c r="Q1919" s="294"/>
      <c r="R1919" s="294"/>
      <c r="S1919" s="294"/>
      <c r="T1919" s="294"/>
      <c r="U1919" s="326"/>
      <c r="V1919" s="294"/>
      <c r="W1919" s="294"/>
      <c r="X1919" s="294"/>
      <c r="Y1919" s="294"/>
      <c r="Z1919" s="294"/>
      <c r="AA1919" s="294"/>
      <c r="AB1919" s="294"/>
      <c r="AC1919" s="294"/>
    </row>
    <row r="1920" spans="2:29" x14ac:dyDescent="0.25">
      <c r="B1920" s="294"/>
      <c r="C1920" s="294"/>
      <c r="D1920" s="294"/>
      <c r="E1920" s="294"/>
      <c r="F1920" s="294"/>
      <c r="G1920" s="294"/>
      <c r="H1920" s="294"/>
      <c r="I1920" s="294"/>
      <c r="J1920" s="294"/>
      <c r="L1920" s="295"/>
      <c r="M1920" s="294"/>
      <c r="O1920" s="294"/>
      <c r="P1920" s="294"/>
      <c r="Q1920" s="294"/>
      <c r="R1920" s="294"/>
      <c r="S1920" s="294"/>
      <c r="T1920" s="294"/>
      <c r="U1920" s="326"/>
      <c r="V1920" s="294"/>
      <c r="W1920" s="294"/>
      <c r="X1920" s="294"/>
      <c r="Y1920" s="294"/>
      <c r="Z1920" s="294"/>
      <c r="AA1920" s="294"/>
      <c r="AB1920" s="294"/>
      <c r="AC1920" s="294"/>
    </row>
    <row r="1921" spans="2:29" x14ac:dyDescent="0.25">
      <c r="B1921" s="294"/>
      <c r="C1921" s="294"/>
      <c r="D1921" s="294"/>
      <c r="E1921" s="294"/>
      <c r="F1921" s="294"/>
      <c r="G1921" s="294"/>
      <c r="H1921" s="294"/>
      <c r="I1921" s="294"/>
      <c r="J1921" s="294"/>
      <c r="L1921" s="295"/>
      <c r="M1921" s="294"/>
      <c r="O1921" s="294"/>
      <c r="P1921" s="294"/>
      <c r="Q1921" s="294"/>
      <c r="R1921" s="294"/>
      <c r="S1921" s="294"/>
      <c r="T1921" s="294"/>
      <c r="U1921" s="326"/>
      <c r="V1921" s="294"/>
      <c r="W1921" s="294"/>
      <c r="X1921" s="294"/>
      <c r="Y1921" s="294"/>
      <c r="Z1921" s="294"/>
      <c r="AA1921" s="294"/>
      <c r="AB1921" s="294"/>
      <c r="AC1921" s="294"/>
    </row>
    <row r="1922" spans="2:29" x14ac:dyDescent="0.25">
      <c r="B1922" s="294"/>
      <c r="C1922" s="294"/>
      <c r="D1922" s="294"/>
      <c r="E1922" s="294"/>
      <c r="F1922" s="294"/>
      <c r="G1922" s="294"/>
      <c r="H1922" s="294"/>
      <c r="I1922" s="294"/>
      <c r="J1922" s="294"/>
      <c r="L1922" s="295"/>
      <c r="M1922" s="294"/>
      <c r="O1922" s="294"/>
      <c r="P1922" s="294"/>
      <c r="Q1922" s="294"/>
      <c r="R1922" s="294"/>
      <c r="S1922" s="294"/>
      <c r="T1922" s="294"/>
      <c r="U1922" s="326"/>
      <c r="V1922" s="294"/>
      <c r="W1922" s="294"/>
      <c r="X1922" s="294"/>
      <c r="Y1922" s="294"/>
      <c r="Z1922" s="294"/>
      <c r="AA1922" s="294"/>
      <c r="AB1922" s="294"/>
      <c r="AC1922" s="294"/>
    </row>
    <row r="1923" spans="2:29" x14ac:dyDescent="0.25">
      <c r="B1923" s="294"/>
      <c r="C1923" s="294"/>
      <c r="D1923" s="294"/>
      <c r="E1923" s="294"/>
      <c r="F1923" s="294"/>
      <c r="G1923" s="294"/>
      <c r="H1923" s="294"/>
      <c r="I1923" s="294"/>
      <c r="J1923" s="294"/>
      <c r="L1923" s="295"/>
      <c r="M1923" s="294"/>
      <c r="O1923" s="294"/>
      <c r="P1923" s="294"/>
      <c r="Q1923" s="294"/>
      <c r="R1923" s="294"/>
      <c r="S1923" s="294"/>
      <c r="T1923" s="294"/>
      <c r="U1923" s="326"/>
      <c r="V1923" s="294"/>
      <c r="W1923" s="294"/>
      <c r="X1923" s="294"/>
      <c r="Y1923" s="294"/>
      <c r="Z1923" s="294"/>
      <c r="AA1923" s="294"/>
      <c r="AB1923" s="294"/>
      <c r="AC1923" s="294"/>
    </row>
    <row r="1924" spans="2:29" x14ac:dyDescent="0.25">
      <c r="B1924" s="294"/>
      <c r="C1924" s="294"/>
      <c r="D1924" s="294"/>
      <c r="E1924" s="294"/>
      <c r="F1924" s="294"/>
      <c r="G1924" s="294"/>
      <c r="H1924" s="294"/>
      <c r="I1924" s="294"/>
      <c r="J1924" s="294"/>
      <c r="L1924" s="295"/>
      <c r="M1924" s="294"/>
      <c r="O1924" s="294"/>
      <c r="P1924" s="294"/>
      <c r="Q1924" s="294"/>
      <c r="R1924" s="294"/>
      <c r="S1924" s="294"/>
      <c r="T1924" s="294"/>
      <c r="U1924" s="326"/>
      <c r="V1924" s="294"/>
      <c r="W1924" s="294"/>
      <c r="X1924" s="294"/>
      <c r="Y1924" s="294"/>
      <c r="Z1924" s="294"/>
      <c r="AA1924" s="294"/>
      <c r="AB1924" s="294"/>
      <c r="AC1924" s="294"/>
    </row>
    <row r="1925" spans="2:29" x14ac:dyDescent="0.25">
      <c r="B1925" s="294"/>
      <c r="C1925" s="294"/>
      <c r="D1925" s="294"/>
      <c r="E1925" s="294"/>
      <c r="F1925" s="294"/>
      <c r="G1925" s="294"/>
      <c r="H1925" s="294"/>
      <c r="I1925" s="294"/>
      <c r="J1925" s="294"/>
      <c r="L1925" s="295"/>
      <c r="M1925" s="294"/>
      <c r="O1925" s="294"/>
      <c r="P1925" s="294"/>
      <c r="Q1925" s="294"/>
      <c r="R1925" s="294"/>
      <c r="S1925" s="294"/>
      <c r="T1925" s="294"/>
      <c r="U1925" s="326"/>
      <c r="V1925" s="294"/>
      <c r="W1925" s="294"/>
      <c r="X1925" s="294"/>
      <c r="Y1925" s="294"/>
      <c r="Z1925" s="294"/>
      <c r="AA1925" s="294"/>
      <c r="AB1925" s="294"/>
      <c r="AC1925" s="294"/>
    </row>
    <row r="1926" spans="2:29" x14ac:dyDescent="0.25">
      <c r="B1926" s="294"/>
      <c r="C1926" s="294"/>
      <c r="D1926" s="294"/>
      <c r="E1926" s="294"/>
      <c r="F1926" s="294"/>
      <c r="G1926" s="294"/>
      <c r="H1926" s="294"/>
      <c r="I1926" s="294"/>
      <c r="J1926" s="294"/>
      <c r="L1926" s="295"/>
      <c r="M1926" s="294"/>
      <c r="O1926" s="294"/>
      <c r="P1926" s="294"/>
      <c r="Q1926" s="294"/>
      <c r="R1926" s="294"/>
      <c r="S1926" s="294"/>
      <c r="T1926" s="294"/>
      <c r="U1926" s="326"/>
      <c r="V1926" s="294"/>
      <c r="W1926" s="294"/>
      <c r="X1926" s="294"/>
      <c r="Y1926" s="294"/>
      <c r="Z1926" s="294"/>
      <c r="AA1926" s="294"/>
      <c r="AB1926" s="294"/>
      <c r="AC1926" s="294"/>
    </row>
    <row r="1927" spans="2:29" x14ac:dyDescent="0.25">
      <c r="B1927" s="294"/>
      <c r="C1927" s="294"/>
      <c r="D1927" s="294"/>
      <c r="E1927" s="294"/>
      <c r="F1927" s="294"/>
      <c r="G1927" s="294"/>
      <c r="H1927" s="294"/>
      <c r="I1927" s="294"/>
      <c r="J1927" s="294"/>
      <c r="L1927" s="295"/>
      <c r="M1927" s="294"/>
      <c r="O1927" s="294"/>
      <c r="P1927" s="294"/>
      <c r="Q1927" s="294"/>
      <c r="R1927" s="294"/>
      <c r="S1927" s="294"/>
      <c r="T1927" s="294"/>
      <c r="U1927" s="326"/>
      <c r="V1927" s="294"/>
      <c r="W1927" s="294"/>
      <c r="X1927" s="294"/>
      <c r="Y1927" s="294"/>
      <c r="Z1927" s="294"/>
      <c r="AA1927" s="294"/>
      <c r="AB1927" s="294"/>
      <c r="AC1927" s="294"/>
    </row>
    <row r="1928" spans="2:29" x14ac:dyDescent="0.25">
      <c r="B1928" s="294"/>
      <c r="C1928" s="294"/>
      <c r="D1928" s="294"/>
      <c r="E1928" s="294"/>
      <c r="F1928" s="294"/>
      <c r="G1928" s="294"/>
      <c r="H1928" s="294"/>
      <c r="I1928" s="294"/>
      <c r="J1928" s="294"/>
      <c r="L1928" s="295"/>
      <c r="M1928" s="294"/>
      <c r="O1928" s="294"/>
      <c r="P1928" s="294"/>
      <c r="Q1928" s="294"/>
      <c r="R1928" s="294"/>
      <c r="S1928" s="294"/>
      <c r="T1928" s="294"/>
      <c r="U1928" s="326"/>
      <c r="V1928" s="294"/>
      <c r="W1928" s="294"/>
      <c r="X1928" s="294"/>
      <c r="Y1928" s="294"/>
      <c r="Z1928" s="294"/>
      <c r="AA1928" s="294"/>
      <c r="AB1928" s="294"/>
      <c r="AC1928" s="294"/>
    </row>
    <row r="1929" spans="2:29" x14ac:dyDescent="0.25">
      <c r="B1929" s="294"/>
      <c r="C1929" s="294"/>
      <c r="D1929" s="294"/>
      <c r="E1929" s="294"/>
      <c r="F1929" s="294"/>
      <c r="G1929" s="294"/>
      <c r="H1929" s="294"/>
      <c r="I1929" s="294"/>
      <c r="J1929" s="294"/>
      <c r="L1929" s="295"/>
      <c r="M1929" s="294"/>
      <c r="O1929" s="294"/>
      <c r="P1929" s="294"/>
      <c r="Q1929" s="294"/>
      <c r="R1929" s="294"/>
      <c r="S1929" s="294"/>
      <c r="T1929" s="294"/>
      <c r="U1929" s="326"/>
      <c r="V1929" s="294"/>
      <c r="W1929" s="294"/>
      <c r="X1929" s="294"/>
      <c r="Y1929" s="294"/>
      <c r="Z1929" s="294"/>
      <c r="AA1929" s="294"/>
      <c r="AB1929" s="294"/>
      <c r="AC1929" s="294"/>
    </row>
    <row r="1930" spans="2:29" x14ac:dyDescent="0.25">
      <c r="B1930" s="294"/>
      <c r="C1930" s="294"/>
      <c r="D1930" s="294"/>
      <c r="E1930" s="294"/>
      <c r="F1930" s="294"/>
      <c r="G1930" s="294"/>
      <c r="H1930" s="294"/>
      <c r="I1930" s="294"/>
      <c r="J1930" s="294"/>
      <c r="L1930" s="295"/>
      <c r="M1930" s="294"/>
      <c r="O1930" s="294"/>
      <c r="P1930" s="294"/>
      <c r="Q1930" s="294"/>
      <c r="R1930" s="294"/>
      <c r="S1930" s="294"/>
      <c r="T1930" s="294"/>
      <c r="U1930" s="326"/>
      <c r="V1930" s="294"/>
      <c r="W1930" s="294"/>
      <c r="X1930" s="294"/>
      <c r="Y1930" s="294"/>
      <c r="Z1930" s="294"/>
      <c r="AA1930" s="294"/>
      <c r="AB1930" s="294"/>
      <c r="AC1930" s="294"/>
    </row>
    <row r="1931" spans="2:29" x14ac:dyDescent="0.25">
      <c r="B1931" s="294"/>
      <c r="C1931" s="294"/>
      <c r="D1931" s="294"/>
      <c r="E1931" s="294"/>
      <c r="F1931" s="294"/>
      <c r="G1931" s="294"/>
      <c r="H1931" s="294"/>
      <c r="I1931" s="294"/>
      <c r="J1931" s="294"/>
      <c r="L1931" s="295"/>
      <c r="M1931" s="294"/>
      <c r="O1931" s="294"/>
      <c r="P1931" s="294"/>
      <c r="Q1931" s="294"/>
      <c r="R1931" s="294"/>
      <c r="S1931" s="294"/>
      <c r="T1931" s="294"/>
      <c r="U1931" s="326"/>
      <c r="V1931" s="294"/>
      <c r="W1931" s="294"/>
      <c r="X1931" s="294"/>
      <c r="Y1931" s="294"/>
      <c r="Z1931" s="294"/>
      <c r="AA1931" s="294"/>
      <c r="AB1931" s="294"/>
      <c r="AC1931" s="294"/>
    </row>
    <row r="1932" spans="2:29" x14ac:dyDescent="0.25">
      <c r="B1932" s="294"/>
      <c r="C1932" s="294"/>
      <c r="D1932" s="294"/>
      <c r="E1932" s="294"/>
      <c r="F1932" s="294"/>
      <c r="G1932" s="294"/>
      <c r="H1932" s="294"/>
      <c r="I1932" s="294"/>
      <c r="J1932" s="294"/>
      <c r="L1932" s="295"/>
      <c r="M1932" s="294"/>
      <c r="O1932" s="294"/>
      <c r="P1932" s="294"/>
      <c r="Q1932" s="294"/>
      <c r="R1932" s="294"/>
      <c r="S1932" s="294"/>
      <c r="T1932" s="294"/>
      <c r="U1932" s="326"/>
      <c r="V1932" s="294"/>
      <c r="W1932" s="294"/>
      <c r="X1932" s="294"/>
      <c r="Y1932" s="294"/>
      <c r="Z1932" s="294"/>
      <c r="AA1932" s="294"/>
      <c r="AB1932" s="294"/>
      <c r="AC1932" s="294"/>
    </row>
    <row r="1933" spans="2:29" x14ac:dyDescent="0.25">
      <c r="B1933" s="294"/>
      <c r="C1933" s="294"/>
      <c r="D1933" s="294"/>
      <c r="E1933" s="294"/>
      <c r="F1933" s="294"/>
      <c r="G1933" s="294"/>
      <c r="H1933" s="294"/>
      <c r="I1933" s="294"/>
      <c r="J1933" s="294"/>
      <c r="L1933" s="295"/>
      <c r="M1933" s="294"/>
      <c r="O1933" s="294"/>
      <c r="P1933" s="294"/>
      <c r="Q1933" s="294"/>
      <c r="R1933" s="294"/>
      <c r="S1933" s="294"/>
      <c r="T1933" s="294"/>
      <c r="U1933" s="326"/>
      <c r="V1933" s="294"/>
      <c r="W1933" s="294"/>
      <c r="X1933" s="294"/>
      <c r="Y1933" s="294"/>
      <c r="Z1933" s="294"/>
      <c r="AA1933" s="294"/>
      <c r="AB1933" s="294"/>
      <c r="AC1933" s="294"/>
    </row>
    <row r="1934" spans="2:29" x14ac:dyDescent="0.25">
      <c r="B1934" s="294"/>
      <c r="C1934" s="294"/>
      <c r="D1934" s="294"/>
      <c r="E1934" s="294"/>
      <c r="F1934" s="294"/>
      <c r="G1934" s="294"/>
      <c r="H1934" s="294"/>
      <c r="I1934" s="294"/>
      <c r="J1934" s="294"/>
      <c r="L1934" s="295"/>
      <c r="M1934" s="294"/>
      <c r="O1934" s="294"/>
      <c r="P1934" s="294"/>
      <c r="Q1934" s="294"/>
      <c r="R1934" s="294"/>
      <c r="S1934" s="294"/>
      <c r="T1934" s="294"/>
      <c r="U1934" s="326"/>
      <c r="V1934" s="294"/>
      <c r="W1934" s="294"/>
      <c r="X1934" s="294"/>
      <c r="Y1934" s="294"/>
      <c r="Z1934" s="294"/>
      <c r="AA1934" s="294"/>
      <c r="AB1934" s="294"/>
      <c r="AC1934" s="294"/>
    </row>
    <row r="1935" spans="2:29" x14ac:dyDescent="0.25">
      <c r="B1935" s="294"/>
      <c r="C1935" s="294"/>
      <c r="D1935" s="294"/>
      <c r="E1935" s="294"/>
      <c r="F1935" s="294"/>
      <c r="G1935" s="294"/>
      <c r="H1935" s="294"/>
      <c r="I1935" s="294"/>
      <c r="J1935" s="294"/>
      <c r="L1935" s="295"/>
      <c r="M1935" s="294"/>
      <c r="O1935" s="294"/>
      <c r="P1935" s="294"/>
      <c r="Q1935" s="294"/>
      <c r="R1935" s="294"/>
      <c r="S1935" s="294"/>
      <c r="T1935" s="294"/>
      <c r="U1935" s="326"/>
      <c r="V1935" s="294"/>
      <c r="W1935" s="294"/>
      <c r="X1935" s="294"/>
      <c r="Y1935" s="294"/>
      <c r="Z1935" s="294"/>
      <c r="AA1935" s="294"/>
      <c r="AB1935" s="294"/>
      <c r="AC1935" s="294"/>
    </row>
    <row r="1936" spans="2:29" x14ac:dyDescent="0.25">
      <c r="B1936" s="294"/>
      <c r="C1936" s="294"/>
      <c r="D1936" s="294"/>
      <c r="E1936" s="294"/>
      <c r="F1936" s="294"/>
      <c r="G1936" s="294"/>
      <c r="H1936" s="294"/>
      <c r="I1936" s="294"/>
      <c r="J1936" s="294"/>
      <c r="L1936" s="295"/>
      <c r="M1936" s="294"/>
      <c r="O1936" s="294"/>
      <c r="P1936" s="294"/>
      <c r="Q1936" s="294"/>
      <c r="R1936" s="294"/>
      <c r="S1936" s="294"/>
      <c r="T1936" s="294"/>
      <c r="U1936" s="326"/>
      <c r="V1936" s="294"/>
      <c r="W1936" s="294"/>
      <c r="X1936" s="294"/>
      <c r="Y1936" s="294"/>
      <c r="Z1936" s="294"/>
      <c r="AA1936" s="294"/>
      <c r="AB1936" s="294"/>
      <c r="AC1936" s="294"/>
    </row>
    <row r="1937" spans="2:29" x14ac:dyDescent="0.25">
      <c r="B1937" s="294"/>
      <c r="C1937" s="294"/>
      <c r="D1937" s="294"/>
      <c r="E1937" s="294"/>
      <c r="F1937" s="294"/>
      <c r="G1937" s="294"/>
      <c r="H1937" s="294"/>
      <c r="I1937" s="294"/>
      <c r="J1937" s="294"/>
      <c r="L1937" s="295"/>
      <c r="M1937" s="294"/>
      <c r="O1937" s="294"/>
      <c r="P1937" s="294"/>
      <c r="Q1937" s="294"/>
      <c r="R1937" s="294"/>
      <c r="S1937" s="294"/>
      <c r="T1937" s="294"/>
      <c r="U1937" s="326"/>
      <c r="V1937" s="294"/>
      <c r="W1937" s="294"/>
      <c r="X1937" s="294"/>
      <c r="Y1937" s="294"/>
      <c r="Z1937" s="294"/>
      <c r="AA1937" s="294"/>
      <c r="AB1937" s="294"/>
      <c r="AC1937" s="294"/>
    </row>
    <row r="1938" spans="2:29" x14ac:dyDescent="0.25">
      <c r="B1938" s="294"/>
      <c r="C1938" s="294"/>
      <c r="D1938" s="294"/>
      <c r="E1938" s="294"/>
      <c r="F1938" s="294"/>
      <c r="G1938" s="294"/>
      <c r="H1938" s="294"/>
      <c r="I1938" s="294"/>
      <c r="J1938" s="294"/>
      <c r="L1938" s="295"/>
      <c r="M1938" s="294"/>
      <c r="O1938" s="294"/>
      <c r="P1938" s="294"/>
      <c r="Q1938" s="294"/>
      <c r="R1938" s="294"/>
      <c r="S1938" s="294"/>
      <c r="T1938" s="294"/>
      <c r="U1938" s="326"/>
      <c r="V1938" s="294"/>
      <c r="W1938" s="294"/>
      <c r="X1938" s="294"/>
      <c r="Y1938" s="294"/>
      <c r="Z1938" s="294"/>
      <c r="AA1938" s="294"/>
      <c r="AB1938" s="294"/>
      <c r="AC1938" s="294"/>
    </row>
    <row r="1939" spans="2:29" x14ac:dyDescent="0.25">
      <c r="B1939" s="294"/>
      <c r="C1939" s="294"/>
      <c r="D1939" s="294"/>
      <c r="E1939" s="294"/>
      <c r="F1939" s="294"/>
      <c r="G1939" s="294"/>
      <c r="H1939" s="294"/>
      <c r="I1939" s="294"/>
      <c r="J1939" s="294"/>
      <c r="L1939" s="295"/>
      <c r="M1939" s="294"/>
      <c r="O1939" s="294"/>
      <c r="P1939" s="294"/>
      <c r="Q1939" s="294"/>
      <c r="R1939" s="294"/>
      <c r="S1939" s="294"/>
      <c r="T1939" s="294"/>
      <c r="U1939" s="326"/>
      <c r="V1939" s="294"/>
      <c r="W1939" s="294"/>
      <c r="X1939" s="294"/>
      <c r="Y1939" s="294"/>
      <c r="Z1939" s="294"/>
      <c r="AA1939" s="294"/>
      <c r="AB1939" s="294"/>
      <c r="AC1939" s="294"/>
    </row>
    <row r="1940" spans="2:29" x14ac:dyDescent="0.25">
      <c r="B1940" s="294"/>
      <c r="C1940" s="294"/>
      <c r="D1940" s="294"/>
      <c r="E1940" s="294"/>
      <c r="F1940" s="294"/>
      <c r="G1940" s="294"/>
      <c r="H1940" s="294"/>
      <c r="I1940" s="294"/>
      <c r="J1940" s="294"/>
      <c r="L1940" s="295"/>
      <c r="M1940" s="294"/>
      <c r="O1940" s="294"/>
      <c r="P1940" s="294"/>
      <c r="Q1940" s="294"/>
      <c r="R1940" s="294"/>
      <c r="S1940" s="294"/>
      <c r="T1940" s="294"/>
      <c r="U1940" s="326"/>
      <c r="V1940" s="294"/>
      <c r="W1940" s="294"/>
      <c r="X1940" s="294"/>
      <c r="Y1940" s="294"/>
      <c r="Z1940" s="294"/>
      <c r="AA1940" s="294"/>
      <c r="AB1940" s="294"/>
      <c r="AC1940" s="294"/>
    </row>
    <row r="1941" spans="2:29" x14ac:dyDescent="0.25">
      <c r="B1941" s="294"/>
      <c r="C1941" s="294"/>
      <c r="D1941" s="294"/>
      <c r="E1941" s="294"/>
      <c r="F1941" s="294"/>
      <c r="G1941" s="294"/>
      <c r="H1941" s="294"/>
      <c r="I1941" s="294"/>
      <c r="J1941" s="294"/>
      <c r="L1941" s="295"/>
      <c r="M1941" s="294"/>
      <c r="O1941" s="294"/>
      <c r="P1941" s="294"/>
      <c r="Q1941" s="294"/>
      <c r="R1941" s="294"/>
      <c r="S1941" s="294"/>
      <c r="T1941" s="294"/>
      <c r="U1941" s="326"/>
      <c r="V1941" s="294"/>
      <c r="W1941" s="294"/>
      <c r="X1941" s="294"/>
      <c r="Y1941" s="294"/>
      <c r="Z1941" s="294"/>
      <c r="AA1941" s="294"/>
      <c r="AB1941" s="294"/>
      <c r="AC1941" s="294"/>
    </row>
    <row r="1942" spans="2:29" x14ac:dyDescent="0.25">
      <c r="B1942" s="294"/>
      <c r="C1942" s="294"/>
      <c r="D1942" s="294"/>
      <c r="E1942" s="294"/>
      <c r="F1942" s="294"/>
      <c r="G1942" s="294"/>
      <c r="H1942" s="294"/>
      <c r="I1942" s="294"/>
      <c r="J1942" s="294"/>
      <c r="L1942" s="295"/>
      <c r="M1942" s="294"/>
      <c r="O1942" s="294"/>
      <c r="P1942" s="294"/>
      <c r="Q1942" s="294"/>
      <c r="R1942" s="294"/>
      <c r="S1942" s="294"/>
      <c r="T1942" s="294"/>
      <c r="U1942" s="326"/>
      <c r="V1942" s="294"/>
      <c r="W1942" s="294"/>
      <c r="X1942" s="294"/>
      <c r="Y1942" s="294"/>
      <c r="Z1942" s="294"/>
      <c r="AA1942" s="294"/>
      <c r="AB1942" s="294"/>
      <c r="AC1942" s="294"/>
    </row>
    <row r="1943" spans="2:29" x14ac:dyDescent="0.25">
      <c r="B1943" s="294"/>
      <c r="C1943" s="294"/>
      <c r="D1943" s="294"/>
      <c r="E1943" s="294"/>
      <c r="F1943" s="294"/>
      <c r="G1943" s="294"/>
      <c r="H1943" s="294"/>
      <c r="I1943" s="294"/>
      <c r="J1943" s="294"/>
      <c r="L1943" s="295"/>
      <c r="M1943" s="294"/>
      <c r="O1943" s="294"/>
      <c r="P1943" s="294"/>
      <c r="Q1943" s="294"/>
      <c r="R1943" s="294"/>
      <c r="S1943" s="294"/>
      <c r="T1943" s="294"/>
      <c r="U1943" s="326"/>
      <c r="V1943" s="294"/>
      <c r="W1943" s="294"/>
      <c r="X1943" s="294"/>
      <c r="Y1943" s="294"/>
      <c r="Z1943" s="294"/>
      <c r="AA1943" s="294"/>
      <c r="AB1943" s="294"/>
      <c r="AC1943" s="294"/>
    </row>
    <row r="1944" spans="2:29" x14ac:dyDescent="0.25">
      <c r="B1944" s="294"/>
      <c r="C1944" s="294"/>
      <c r="D1944" s="294"/>
      <c r="E1944" s="294"/>
      <c r="F1944" s="294"/>
      <c r="G1944" s="294"/>
      <c r="H1944" s="294"/>
      <c r="I1944" s="294"/>
      <c r="J1944" s="294"/>
      <c r="L1944" s="295"/>
      <c r="M1944" s="294"/>
      <c r="O1944" s="294"/>
      <c r="P1944" s="294"/>
      <c r="Q1944" s="294"/>
      <c r="R1944" s="294"/>
      <c r="S1944" s="294"/>
      <c r="T1944" s="294"/>
      <c r="U1944" s="326"/>
      <c r="V1944" s="294"/>
      <c r="W1944" s="294"/>
      <c r="X1944" s="294"/>
      <c r="Y1944" s="294"/>
      <c r="Z1944" s="294"/>
      <c r="AA1944" s="294"/>
      <c r="AB1944" s="294"/>
      <c r="AC1944" s="294"/>
    </row>
    <row r="1945" spans="2:29" x14ac:dyDescent="0.25">
      <c r="B1945" s="294"/>
      <c r="C1945" s="294"/>
      <c r="D1945" s="294"/>
      <c r="E1945" s="294"/>
      <c r="F1945" s="294"/>
      <c r="G1945" s="294"/>
      <c r="H1945" s="294"/>
      <c r="I1945" s="294"/>
      <c r="J1945" s="294"/>
      <c r="L1945" s="295"/>
      <c r="M1945" s="294"/>
      <c r="O1945" s="294"/>
      <c r="P1945" s="294"/>
      <c r="Q1945" s="294"/>
      <c r="R1945" s="294"/>
      <c r="S1945" s="294"/>
      <c r="T1945" s="294"/>
      <c r="U1945" s="326"/>
      <c r="V1945" s="294"/>
      <c r="W1945" s="294"/>
      <c r="X1945" s="294"/>
      <c r="Y1945" s="294"/>
      <c r="Z1945" s="294"/>
      <c r="AA1945" s="294"/>
      <c r="AB1945" s="294"/>
      <c r="AC1945" s="294"/>
    </row>
    <row r="1946" spans="2:29" x14ac:dyDescent="0.25">
      <c r="B1946" s="294"/>
      <c r="C1946" s="294"/>
      <c r="D1946" s="294"/>
      <c r="E1946" s="294"/>
      <c r="F1946" s="294"/>
      <c r="G1946" s="294"/>
      <c r="H1946" s="294"/>
      <c r="I1946" s="294"/>
      <c r="J1946" s="294"/>
      <c r="L1946" s="295"/>
      <c r="M1946" s="294"/>
      <c r="O1946" s="294"/>
      <c r="P1946" s="294"/>
      <c r="Q1946" s="294"/>
      <c r="R1946" s="294"/>
      <c r="S1946" s="294"/>
      <c r="T1946" s="294"/>
      <c r="U1946" s="326"/>
      <c r="V1946" s="294"/>
      <c r="W1946" s="294"/>
      <c r="X1946" s="294"/>
      <c r="Y1946" s="294"/>
      <c r="Z1946" s="294"/>
      <c r="AA1946" s="294"/>
      <c r="AB1946" s="294"/>
      <c r="AC1946" s="294"/>
    </row>
    <row r="1947" spans="2:29" x14ac:dyDescent="0.25">
      <c r="B1947" s="294"/>
      <c r="C1947" s="294"/>
      <c r="D1947" s="294"/>
      <c r="E1947" s="294"/>
      <c r="F1947" s="294"/>
      <c r="G1947" s="294"/>
      <c r="H1947" s="294"/>
      <c r="I1947" s="294"/>
      <c r="J1947" s="294"/>
      <c r="L1947" s="295"/>
      <c r="M1947" s="294"/>
      <c r="O1947" s="294"/>
      <c r="P1947" s="294"/>
      <c r="Q1947" s="294"/>
      <c r="R1947" s="294"/>
      <c r="S1947" s="294"/>
      <c r="T1947" s="294"/>
      <c r="U1947" s="326"/>
      <c r="V1947" s="294"/>
      <c r="W1947" s="294"/>
      <c r="X1947" s="294"/>
      <c r="Y1947" s="294"/>
      <c r="Z1947" s="294"/>
      <c r="AA1947" s="294"/>
      <c r="AB1947" s="294"/>
      <c r="AC1947" s="294"/>
    </row>
    <row r="1948" spans="2:29" x14ac:dyDescent="0.25">
      <c r="B1948" s="294"/>
      <c r="C1948" s="294"/>
      <c r="D1948" s="294"/>
      <c r="E1948" s="294"/>
      <c r="F1948" s="294"/>
      <c r="G1948" s="294"/>
      <c r="H1948" s="294"/>
      <c r="I1948" s="294"/>
      <c r="J1948" s="294"/>
      <c r="L1948" s="295"/>
      <c r="M1948" s="294"/>
      <c r="O1948" s="294"/>
      <c r="P1948" s="294"/>
      <c r="Q1948" s="294"/>
      <c r="R1948" s="294"/>
      <c r="S1948" s="294"/>
      <c r="T1948" s="294"/>
      <c r="U1948" s="326"/>
      <c r="V1948" s="294"/>
      <c r="W1948" s="294"/>
      <c r="X1948" s="294"/>
      <c r="Y1948" s="294"/>
      <c r="Z1948" s="294"/>
      <c r="AA1948" s="294"/>
      <c r="AB1948" s="294"/>
      <c r="AC1948" s="294"/>
    </row>
    <row r="1949" spans="2:29" x14ac:dyDescent="0.25">
      <c r="B1949" s="294"/>
      <c r="C1949" s="294"/>
      <c r="D1949" s="294"/>
      <c r="E1949" s="294"/>
      <c r="F1949" s="294"/>
      <c r="G1949" s="294"/>
      <c r="H1949" s="294"/>
      <c r="I1949" s="294"/>
      <c r="J1949" s="294"/>
      <c r="L1949" s="295"/>
      <c r="M1949" s="294"/>
      <c r="O1949" s="294"/>
      <c r="P1949" s="294"/>
      <c r="Q1949" s="294"/>
      <c r="R1949" s="294"/>
      <c r="S1949" s="294"/>
      <c r="T1949" s="294"/>
      <c r="U1949" s="326"/>
      <c r="V1949" s="294"/>
      <c r="W1949" s="294"/>
      <c r="X1949" s="294"/>
      <c r="Y1949" s="294"/>
      <c r="Z1949" s="294"/>
      <c r="AA1949" s="294"/>
      <c r="AB1949" s="294"/>
      <c r="AC1949" s="294"/>
    </row>
    <row r="1950" spans="2:29" x14ac:dyDescent="0.25">
      <c r="B1950" s="294"/>
      <c r="C1950" s="294"/>
      <c r="D1950" s="294"/>
      <c r="E1950" s="294"/>
      <c r="F1950" s="294"/>
      <c r="G1950" s="294"/>
      <c r="H1950" s="294"/>
      <c r="I1950" s="294"/>
      <c r="J1950" s="294"/>
      <c r="L1950" s="295"/>
      <c r="M1950" s="294"/>
      <c r="O1950" s="294"/>
      <c r="P1950" s="294"/>
      <c r="Q1950" s="294"/>
      <c r="R1950" s="294"/>
      <c r="S1950" s="294"/>
      <c r="T1950" s="294"/>
      <c r="U1950" s="326"/>
      <c r="V1950" s="294"/>
      <c r="W1950" s="294"/>
      <c r="X1950" s="294"/>
      <c r="Y1950" s="294"/>
      <c r="Z1950" s="294"/>
      <c r="AA1950" s="294"/>
      <c r="AB1950" s="294"/>
      <c r="AC1950" s="294"/>
    </row>
    <row r="1951" spans="2:29" x14ac:dyDescent="0.25">
      <c r="B1951" s="294"/>
      <c r="C1951" s="294"/>
      <c r="D1951" s="294"/>
      <c r="E1951" s="294"/>
      <c r="F1951" s="294"/>
      <c r="G1951" s="294"/>
      <c r="H1951" s="294"/>
      <c r="I1951" s="294"/>
      <c r="J1951" s="294"/>
      <c r="L1951" s="295"/>
      <c r="M1951" s="294"/>
      <c r="O1951" s="294"/>
      <c r="P1951" s="294"/>
      <c r="Q1951" s="294"/>
      <c r="R1951" s="294"/>
      <c r="S1951" s="294"/>
      <c r="T1951" s="294"/>
      <c r="U1951" s="326"/>
      <c r="V1951" s="294"/>
      <c r="W1951" s="294"/>
      <c r="X1951" s="294"/>
      <c r="Y1951" s="294"/>
      <c r="Z1951" s="294"/>
      <c r="AA1951" s="294"/>
      <c r="AB1951" s="294"/>
      <c r="AC1951" s="294"/>
    </row>
    <row r="1952" spans="2:29" x14ac:dyDescent="0.25">
      <c r="B1952" s="294"/>
      <c r="C1952" s="294"/>
      <c r="D1952" s="294"/>
      <c r="E1952" s="294"/>
      <c r="F1952" s="294"/>
      <c r="G1952" s="294"/>
      <c r="H1952" s="294"/>
      <c r="I1952" s="294"/>
      <c r="J1952" s="294"/>
      <c r="L1952" s="295"/>
      <c r="M1952" s="294"/>
      <c r="O1952" s="294"/>
      <c r="P1952" s="294"/>
      <c r="Q1952" s="294"/>
      <c r="R1952" s="294"/>
      <c r="S1952" s="294"/>
      <c r="T1952" s="294"/>
      <c r="U1952" s="326"/>
      <c r="V1952" s="294"/>
      <c r="W1952" s="294"/>
      <c r="X1952" s="294"/>
      <c r="Y1952" s="294"/>
      <c r="Z1952" s="294"/>
      <c r="AA1952" s="294"/>
      <c r="AB1952" s="294"/>
      <c r="AC1952" s="294"/>
    </row>
    <row r="1953" spans="2:29" x14ac:dyDescent="0.25">
      <c r="B1953" s="294"/>
      <c r="C1953" s="294"/>
      <c r="D1953" s="294"/>
      <c r="E1953" s="294"/>
      <c r="F1953" s="294"/>
      <c r="G1953" s="294"/>
      <c r="H1953" s="294"/>
      <c r="I1953" s="294"/>
      <c r="J1953" s="294"/>
      <c r="L1953" s="295"/>
      <c r="M1953" s="294"/>
      <c r="O1953" s="294"/>
      <c r="P1953" s="294"/>
      <c r="Q1953" s="294"/>
      <c r="R1953" s="294"/>
      <c r="S1953" s="294"/>
      <c r="T1953" s="294"/>
      <c r="U1953" s="326"/>
      <c r="V1953" s="294"/>
      <c r="W1953" s="294"/>
      <c r="X1953" s="294"/>
      <c r="Y1953" s="294"/>
      <c r="Z1953" s="294"/>
      <c r="AA1953" s="294"/>
      <c r="AB1953" s="294"/>
      <c r="AC1953" s="294"/>
    </row>
    <row r="1954" spans="2:29" x14ac:dyDescent="0.25">
      <c r="B1954" s="294"/>
      <c r="C1954" s="294"/>
      <c r="D1954" s="294"/>
      <c r="E1954" s="294"/>
      <c r="F1954" s="294"/>
      <c r="G1954" s="294"/>
      <c r="H1954" s="294"/>
      <c r="I1954" s="294"/>
      <c r="J1954" s="294"/>
      <c r="L1954" s="295"/>
      <c r="M1954" s="294"/>
      <c r="O1954" s="294"/>
      <c r="P1954" s="294"/>
      <c r="Q1954" s="294"/>
      <c r="R1954" s="294"/>
      <c r="S1954" s="294"/>
      <c r="T1954" s="294"/>
      <c r="U1954" s="326"/>
      <c r="V1954" s="294"/>
      <c r="W1954" s="294"/>
      <c r="X1954" s="294"/>
      <c r="Y1954" s="294"/>
      <c r="Z1954" s="294"/>
      <c r="AA1954" s="294"/>
      <c r="AB1954" s="294"/>
      <c r="AC1954" s="294"/>
    </row>
    <row r="1955" spans="2:29" x14ac:dyDescent="0.25">
      <c r="B1955" s="294"/>
      <c r="C1955" s="294"/>
      <c r="D1955" s="294"/>
      <c r="E1955" s="294"/>
      <c r="F1955" s="294"/>
      <c r="G1955" s="294"/>
      <c r="H1955" s="294"/>
      <c r="I1955" s="294"/>
      <c r="J1955" s="294"/>
      <c r="L1955" s="295"/>
      <c r="M1955" s="294"/>
      <c r="O1955" s="294"/>
      <c r="P1955" s="294"/>
      <c r="Q1955" s="294"/>
      <c r="R1955" s="294"/>
      <c r="S1955" s="294"/>
      <c r="T1955" s="294"/>
      <c r="U1955" s="326"/>
      <c r="V1955" s="294"/>
      <c r="W1955" s="294"/>
      <c r="X1955" s="294"/>
      <c r="Y1955" s="294"/>
      <c r="Z1955" s="294"/>
      <c r="AA1955" s="294"/>
      <c r="AB1955" s="294"/>
      <c r="AC1955" s="294"/>
    </row>
    <row r="1956" spans="2:29" x14ac:dyDescent="0.25">
      <c r="B1956" s="294"/>
      <c r="C1956" s="294"/>
      <c r="D1956" s="294"/>
      <c r="E1956" s="294"/>
      <c r="F1956" s="294"/>
      <c r="G1956" s="294"/>
      <c r="H1956" s="294"/>
      <c r="I1956" s="294"/>
      <c r="J1956" s="294"/>
      <c r="L1956" s="295"/>
      <c r="M1956" s="294"/>
      <c r="O1956" s="294"/>
      <c r="P1956" s="294"/>
      <c r="Q1956" s="294"/>
      <c r="R1956" s="294"/>
      <c r="S1956" s="294"/>
      <c r="T1956" s="294"/>
      <c r="U1956" s="326"/>
      <c r="V1956" s="294"/>
      <c r="W1956" s="294"/>
      <c r="X1956" s="294"/>
      <c r="Y1956" s="294"/>
      <c r="Z1956" s="294"/>
      <c r="AA1956" s="294"/>
      <c r="AB1956" s="294"/>
      <c r="AC1956" s="294"/>
    </row>
    <row r="1957" spans="2:29" x14ac:dyDescent="0.25">
      <c r="B1957" s="294"/>
      <c r="C1957" s="294"/>
      <c r="D1957" s="294"/>
      <c r="E1957" s="294"/>
      <c r="F1957" s="294"/>
      <c r="G1957" s="294"/>
      <c r="H1957" s="294"/>
      <c r="I1957" s="294"/>
      <c r="J1957" s="294"/>
      <c r="L1957" s="295"/>
      <c r="M1957" s="294"/>
      <c r="O1957" s="294"/>
      <c r="P1957" s="294"/>
      <c r="Q1957" s="294"/>
      <c r="R1957" s="294"/>
      <c r="S1957" s="294"/>
      <c r="T1957" s="294"/>
      <c r="U1957" s="326"/>
      <c r="V1957" s="294"/>
      <c r="W1957" s="294"/>
      <c r="X1957" s="294"/>
      <c r="Y1957" s="294"/>
      <c r="Z1957" s="294"/>
      <c r="AA1957" s="294"/>
      <c r="AB1957" s="294"/>
      <c r="AC1957" s="294"/>
    </row>
    <row r="1958" spans="2:29" x14ac:dyDescent="0.25">
      <c r="B1958" s="294"/>
      <c r="C1958" s="294"/>
      <c r="D1958" s="294"/>
      <c r="E1958" s="294"/>
      <c r="F1958" s="294"/>
      <c r="G1958" s="294"/>
      <c r="H1958" s="294"/>
      <c r="I1958" s="294"/>
      <c r="J1958" s="294"/>
      <c r="L1958" s="295"/>
      <c r="M1958" s="294"/>
      <c r="O1958" s="294"/>
      <c r="P1958" s="294"/>
      <c r="Q1958" s="294"/>
      <c r="R1958" s="294"/>
      <c r="S1958" s="294"/>
      <c r="T1958" s="294"/>
      <c r="U1958" s="326"/>
      <c r="V1958" s="294"/>
      <c r="W1958" s="294"/>
      <c r="X1958" s="294"/>
      <c r="Y1958" s="294"/>
      <c r="Z1958" s="294"/>
      <c r="AA1958" s="294"/>
      <c r="AB1958" s="294"/>
      <c r="AC1958" s="294"/>
    </row>
    <row r="1959" spans="2:29" x14ac:dyDescent="0.25">
      <c r="B1959" s="294"/>
      <c r="C1959" s="294"/>
      <c r="D1959" s="294"/>
      <c r="E1959" s="294"/>
      <c r="F1959" s="294"/>
      <c r="G1959" s="294"/>
      <c r="H1959" s="294"/>
      <c r="I1959" s="294"/>
      <c r="J1959" s="294"/>
      <c r="L1959" s="295"/>
      <c r="M1959" s="294"/>
      <c r="O1959" s="294"/>
      <c r="P1959" s="294"/>
      <c r="Q1959" s="294"/>
      <c r="R1959" s="294"/>
      <c r="S1959" s="294"/>
      <c r="T1959" s="294"/>
      <c r="U1959" s="326"/>
      <c r="V1959" s="294"/>
      <c r="W1959" s="294"/>
      <c r="X1959" s="294"/>
      <c r="Y1959" s="294"/>
      <c r="Z1959" s="294"/>
      <c r="AA1959" s="294"/>
      <c r="AB1959" s="294"/>
      <c r="AC1959" s="294"/>
    </row>
    <row r="1960" spans="2:29" x14ac:dyDescent="0.25">
      <c r="B1960" s="294"/>
      <c r="C1960" s="294"/>
      <c r="D1960" s="294"/>
      <c r="E1960" s="294"/>
      <c r="F1960" s="294"/>
      <c r="G1960" s="294"/>
      <c r="H1960" s="294"/>
      <c r="I1960" s="294"/>
      <c r="J1960" s="294"/>
      <c r="L1960" s="295"/>
      <c r="M1960" s="294"/>
      <c r="O1960" s="294"/>
      <c r="P1960" s="294"/>
      <c r="Q1960" s="294"/>
      <c r="R1960" s="294"/>
      <c r="S1960" s="294"/>
      <c r="T1960" s="294"/>
      <c r="U1960" s="326"/>
      <c r="V1960" s="294"/>
      <c r="W1960" s="294"/>
      <c r="X1960" s="294"/>
      <c r="Y1960" s="294"/>
      <c r="Z1960" s="294"/>
      <c r="AA1960" s="294"/>
      <c r="AB1960" s="294"/>
      <c r="AC1960" s="294"/>
    </row>
    <row r="1961" spans="2:29" x14ac:dyDescent="0.25">
      <c r="B1961" s="294"/>
      <c r="C1961" s="294"/>
      <c r="D1961" s="294"/>
      <c r="E1961" s="294"/>
      <c r="F1961" s="294"/>
      <c r="G1961" s="294"/>
      <c r="H1961" s="294"/>
      <c r="I1961" s="294"/>
      <c r="J1961" s="294"/>
      <c r="L1961" s="295"/>
      <c r="M1961" s="294"/>
      <c r="O1961" s="294"/>
      <c r="P1961" s="294"/>
      <c r="Q1961" s="294"/>
      <c r="R1961" s="294"/>
      <c r="S1961" s="294"/>
      <c r="T1961" s="294"/>
      <c r="U1961" s="326"/>
      <c r="V1961" s="294"/>
      <c r="W1961" s="294"/>
      <c r="X1961" s="294"/>
      <c r="Y1961" s="294"/>
      <c r="Z1961" s="294"/>
      <c r="AA1961" s="294"/>
      <c r="AB1961" s="294"/>
      <c r="AC1961" s="294"/>
    </row>
    <row r="1962" spans="2:29" x14ac:dyDescent="0.25">
      <c r="B1962" s="294"/>
      <c r="C1962" s="294"/>
      <c r="D1962" s="294"/>
      <c r="E1962" s="294"/>
      <c r="F1962" s="294"/>
      <c r="G1962" s="294"/>
      <c r="H1962" s="294"/>
      <c r="I1962" s="294"/>
      <c r="J1962" s="294"/>
      <c r="L1962" s="295"/>
      <c r="M1962" s="294"/>
      <c r="O1962" s="294"/>
      <c r="P1962" s="294"/>
      <c r="Q1962" s="294"/>
      <c r="R1962" s="294"/>
      <c r="S1962" s="294"/>
      <c r="T1962" s="294"/>
      <c r="U1962" s="326"/>
      <c r="V1962" s="294"/>
      <c r="W1962" s="294"/>
      <c r="X1962" s="294"/>
      <c r="Y1962" s="294"/>
      <c r="Z1962" s="294"/>
      <c r="AA1962" s="294"/>
      <c r="AB1962" s="294"/>
      <c r="AC1962" s="294"/>
    </row>
    <row r="1963" spans="2:29" x14ac:dyDescent="0.25">
      <c r="B1963" s="294"/>
      <c r="C1963" s="294"/>
      <c r="D1963" s="294"/>
      <c r="E1963" s="294"/>
      <c r="F1963" s="294"/>
      <c r="G1963" s="294"/>
      <c r="H1963" s="294"/>
      <c r="I1963" s="294"/>
      <c r="J1963" s="294"/>
      <c r="L1963" s="295"/>
      <c r="M1963" s="294"/>
      <c r="O1963" s="294"/>
      <c r="P1963" s="294"/>
      <c r="Q1963" s="294"/>
      <c r="R1963" s="294"/>
      <c r="S1963" s="294"/>
      <c r="T1963" s="294"/>
      <c r="U1963" s="326"/>
      <c r="V1963" s="294"/>
      <c r="W1963" s="294"/>
      <c r="X1963" s="294"/>
      <c r="Y1963" s="294"/>
      <c r="Z1963" s="294"/>
      <c r="AA1963" s="294"/>
      <c r="AB1963" s="294"/>
      <c r="AC1963" s="294"/>
    </row>
    <row r="1964" spans="2:29" x14ac:dyDescent="0.25">
      <c r="B1964" s="294"/>
      <c r="C1964" s="294"/>
      <c r="D1964" s="294"/>
      <c r="E1964" s="294"/>
      <c r="F1964" s="294"/>
      <c r="G1964" s="294"/>
      <c r="H1964" s="294"/>
      <c r="I1964" s="294"/>
      <c r="J1964" s="294"/>
      <c r="L1964" s="295"/>
      <c r="M1964" s="294"/>
      <c r="O1964" s="294"/>
      <c r="P1964" s="294"/>
      <c r="Q1964" s="294"/>
      <c r="R1964" s="294"/>
      <c r="S1964" s="294"/>
      <c r="T1964" s="294"/>
      <c r="U1964" s="326"/>
      <c r="V1964" s="294"/>
      <c r="W1964" s="294"/>
      <c r="X1964" s="294"/>
      <c r="Y1964" s="294"/>
      <c r="Z1964" s="294"/>
      <c r="AA1964" s="294"/>
      <c r="AB1964" s="294"/>
      <c r="AC1964" s="294"/>
    </row>
    <row r="1965" spans="2:29" x14ac:dyDescent="0.25">
      <c r="B1965" s="294"/>
      <c r="C1965" s="294"/>
      <c r="D1965" s="294"/>
      <c r="E1965" s="294"/>
      <c r="F1965" s="294"/>
      <c r="G1965" s="294"/>
      <c r="H1965" s="294"/>
      <c r="I1965" s="294"/>
      <c r="J1965" s="294"/>
      <c r="L1965" s="295"/>
      <c r="M1965" s="294"/>
      <c r="O1965" s="294"/>
      <c r="P1965" s="294"/>
      <c r="Q1965" s="294"/>
      <c r="R1965" s="294"/>
      <c r="S1965" s="294"/>
      <c r="T1965" s="294"/>
      <c r="U1965" s="326"/>
      <c r="V1965" s="294"/>
      <c r="W1965" s="294"/>
      <c r="X1965" s="294"/>
      <c r="Y1965" s="294"/>
      <c r="Z1965" s="294"/>
      <c r="AA1965" s="294"/>
      <c r="AB1965" s="294"/>
      <c r="AC1965" s="294"/>
    </row>
    <row r="1966" spans="2:29" x14ac:dyDescent="0.25">
      <c r="B1966" s="294"/>
      <c r="C1966" s="294"/>
      <c r="D1966" s="294"/>
      <c r="E1966" s="294"/>
      <c r="F1966" s="294"/>
      <c r="G1966" s="294"/>
      <c r="H1966" s="294"/>
      <c r="I1966" s="294"/>
      <c r="J1966" s="294"/>
      <c r="L1966" s="295"/>
      <c r="M1966" s="294"/>
      <c r="O1966" s="294"/>
      <c r="P1966" s="294"/>
      <c r="Q1966" s="294"/>
      <c r="R1966" s="294"/>
      <c r="S1966" s="294"/>
      <c r="T1966" s="294"/>
      <c r="U1966" s="326"/>
      <c r="V1966" s="294"/>
      <c r="W1966" s="294"/>
      <c r="X1966" s="294"/>
      <c r="Y1966" s="294"/>
      <c r="Z1966" s="294"/>
      <c r="AA1966" s="294"/>
      <c r="AB1966" s="294"/>
      <c r="AC1966" s="294"/>
    </row>
    <row r="1967" spans="2:29" x14ac:dyDescent="0.25">
      <c r="B1967" s="294"/>
      <c r="C1967" s="294"/>
      <c r="D1967" s="294"/>
      <c r="E1967" s="294"/>
      <c r="F1967" s="294"/>
      <c r="G1967" s="294"/>
      <c r="H1967" s="294"/>
      <c r="I1967" s="294"/>
      <c r="J1967" s="294"/>
      <c r="L1967" s="295"/>
      <c r="M1967" s="294"/>
      <c r="O1967" s="294"/>
      <c r="P1967" s="294"/>
      <c r="Q1967" s="294"/>
      <c r="R1967" s="294"/>
      <c r="S1967" s="294"/>
      <c r="T1967" s="294"/>
      <c r="U1967" s="326"/>
      <c r="V1967" s="294"/>
      <c r="W1967" s="294"/>
      <c r="X1967" s="294"/>
      <c r="Y1967" s="294"/>
      <c r="Z1967" s="294"/>
      <c r="AA1967" s="294"/>
      <c r="AB1967" s="294"/>
      <c r="AC1967" s="294"/>
    </row>
    <row r="1968" spans="2:29" x14ac:dyDescent="0.25">
      <c r="B1968" s="294"/>
      <c r="C1968" s="294"/>
      <c r="D1968" s="294"/>
      <c r="E1968" s="294"/>
      <c r="F1968" s="294"/>
      <c r="G1968" s="294"/>
      <c r="H1968" s="294"/>
      <c r="I1968" s="294"/>
      <c r="J1968" s="294"/>
      <c r="L1968" s="295"/>
      <c r="M1968" s="294"/>
      <c r="O1968" s="294"/>
      <c r="P1968" s="294"/>
      <c r="Q1968" s="294"/>
      <c r="R1968" s="294"/>
      <c r="S1968" s="294"/>
      <c r="T1968" s="294"/>
      <c r="U1968" s="326"/>
      <c r="V1968" s="294"/>
      <c r="W1968" s="294"/>
      <c r="X1968" s="294"/>
      <c r="Y1968" s="294"/>
      <c r="Z1968" s="294"/>
      <c r="AA1968" s="294"/>
      <c r="AB1968" s="294"/>
      <c r="AC1968" s="294"/>
    </row>
    <row r="1969" spans="2:29" x14ac:dyDescent="0.25">
      <c r="B1969" s="294"/>
      <c r="C1969" s="294"/>
      <c r="D1969" s="294"/>
      <c r="E1969" s="294"/>
      <c r="F1969" s="294"/>
      <c r="G1969" s="294"/>
      <c r="H1969" s="294"/>
      <c r="I1969" s="294"/>
      <c r="J1969" s="294"/>
      <c r="L1969" s="295"/>
      <c r="M1969" s="294"/>
      <c r="O1969" s="294"/>
      <c r="P1969" s="294"/>
      <c r="Q1969" s="294"/>
      <c r="R1969" s="294"/>
      <c r="S1969" s="294"/>
      <c r="T1969" s="294"/>
      <c r="U1969" s="326"/>
      <c r="V1969" s="294"/>
      <c r="W1969" s="294"/>
      <c r="X1969" s="294"/>
      <c r="Y1969" s="294"/>
      <c r="Z1969" s="294"/>
      <c r="AA1969" s="294"/>
      <c r="AB1969" s="294"/>
      <c r="AC1969" s="294"/>
    </row>
    <row r="1970" spans="2:29" x14ac:dyDescent="0.25">
      <c r="B1970" s="294"/>
      <c r="C1970" s="294"/>
      <c r="D1970" s="294"/>
      <c r="E1970" s="294"/>
      <c r="F1970" s="294"/>
      <c r="G1970" s="294"/>
      <c r="H1970" s="294"/>
      <c r="I1970" s="294"/>
      <c r="J1970" s="294"/>
      <c r="L1970" s="295"/>
      <c r="M1970" s="294"/>
      <c r="O1970" s="294"/>
      <c r="P1970" s="294"/>
      <c r="Q1970" s="294"/>
      <c r="R1970" s="294"/>
      <c r="S1970" s="294"/>
      <c r="T1970" s="294"/>
      <c r="U1970" s="326"/>
      <c r="V1970" s="294"/>
      <c r="W1970" s="294"/>
      <c r="X1970" s="294"/>
      <c r="Y1970" s="294"/>
      <c r="Z1970" s="294"/>
      <c r="AA1970" s="294"/>
      <c r="AB1970" s="294"/>
      <c r="AC1970" s="294"/>
    </row>
    <row r="1971" spans="2:29" x14ac:dyDescent="0.25">
      <c r="B1971" s="294"/>
      <c r="C1971" s="294"/>
      <c r="D1971" s="294"/>
      <c r="E1971" s="294"/>
      <c r="F1971" s="294"/>
      <c r="G1971" s="294"/>
      <c r="H1971" s="294"/>
      <c r="I1971" s="294"/>
      <c r="J1971" s="294"/>
      <c r="L1971" s="295"/>
      <c r="M1971" s="294"/>
      <c r="O1971" s="294"/>
      <c r="P1971" s="294"/>
      <c r="Q1971" s="294"/>
      <c r="R1971" s="294"/>
      <c r="S1971" s="294"/>
      <c r="T1971" s="294"/>
      <c r="U1971" s="326"/>
      <c r="V1971" s="294"/>
      <c r="W1971" s="294"/>
      <c r="X1971" s="294"/>
      <c r="Y1971" s="294"/>
      <c r="Z1971" s="294"/>
      <c r="AA1971" s="294"/>
      <c r="AB1971" s="294"/>
      <c r="AC1971" s="294"/>
    </row>
    <row r="1972" spans="2:29" x14ac:dyDescent="0.25">
      <c r="B1972" s="294"/>
      <c r="C1972" s="294"/>
      <c r="D1972" s="294"/>
      <c r="E1972" s="294"/>
      <c r="F1972" s="294"/>
      <c r="G1972" s="294"/>
      <c r="H1972" s="294"/>
      <c r="I1972" s="294"/>
      <c r="J1972" s="294"/>
      <c r="L1972" s="295"/>
      <c r="M1972" s="294"/>
      <c r="O1972" s="294"/>
      <c r="P1972" s="294"/>
      <c r="Q1972" s="294"/>
      <c r="R1972" s="294"/>
      <c r="S1972" s="294"/>
      <c r="T1972" s="294"/>
      <c r="U1972" s="326"/>
      <c r="V1972" s="294"/>
      <c r="W1972" s="294"/>
      <c r="X1972" s="294"/>
      <c r="Y1972" s="294"/>
      <c r="Z1972" s="294"/>
      <c r="AA1972" s="294"/>
      <c r="AB1972" s="294"/>
      <c r="AC1972" s="294"/>
    </row>
    <row r="1973" spans="2:29" x14ac:dyDescent="0.25">
      <c r="B1973" s="294"/>
      <c r="C1973" s="294"/>
      <c r="D1973" s="294"/>
      <c r="E1973" s="294"/>
      <c r="F1973" s="294"/>
      <c r="G1973" s="294"/>
      <c r="H1973" s="294"/>
      <c r="I1973" s="294"/>
      <c r="J1973" s="294"/>
      <c r="L1973" s="295"/>
      <c r="M1973" s="294"/>
      <c r="O1973" s="294"/>
      <c r="P1973" s="294"/>
      <c r="Q1973" s="294"/>
      <c r="R1973" s="294"/>
      <c r="S1973" s="294"/>
      <c r="T1973" s="294"/>
      <c r="U1973" s="326"/>
      <c r="V1973" s="294"/>
      <c r="W1973" s="294"/>
      <c r="X1973" s="294"/>
      <c r="Y1973" s="294"/>
      <c r="Z1973" s="294"/>
      <c r="AA1973" s="294"/>
      <c r="AB1973" s="294"/>
      <c r="AC1973" s="294"/>
    </row>
    <row r="1974" spans="2:29" x14ac:dyDescent="0.25">
      <c r="B1974" s="294"/>
      <c r="C1974" s="294"/>
      <c r="D1974" s="294"/>
      <c r="E1974" s="294"/>
      <c r="F1974" s="294"/>
      <c r="G1974" s="294"/>
      <c r="H1974" s="294"/>
      <c r="I1974" s="294"/>
      <c r="J1974" s="294"/>
      <c r="L1974" s="295"/>
      <c r="M1974" s="294"/>
      <c r="O1974" s="294"/>
      <c r="P1974" s="294"/>
      <c r="Q1974" s="294"/>
      <c r="R1974" s="294"/>
      <c r="S1974" s="294"/>
      <c r="T1974" s="294"/>
      <c r="U1974" s="326"/>
      <c r="V1974" s="294"/>
      <c r="W1974" s="294"/>
      <c r="X1974" s="294"/>
      <c r="Y1974" s="294"/>
      <c r="Z1974" s="294"/>
      <c r="AA1974" s="294"/>
      <c r="AB1974" s="294"/>
      <c r="AC1974" s="294"/>
    </row>
    <row r="1975" spans="2:29" x14ac:dyDescent="0.25">
      <c r="B1975" s="294"/>
      <c r="C1975" s="294"/>
      <c r="D1975" s="294"/>
      <c r="E1975" s="294"/>
      <c r="F1975" s="294"/>
      <c r="G1975" s="294"/>
      <c r="H1975" s="294"/>
      <c r="I1975" s="294"/>
      <c r="J1975" s="294"/>
      <c r="L1975" s="295"/>
      <c r="M1975" s="294"/>
      <c r="O1975" s="294"/>
      <c r="P1975" s="294"/>
      <c r="Q1975" s="294"/>
      <c r="R1975" s="294"/>
      <c r="S1975" s="294"/>
      <c r="T1975" s="294"/>
      <c r="U1975" s="326"/>
      <c r="V1975" s="294"/>
      <c r="W1975" s="294"/>
      <c r="X1975" s="294"/>
      <c r="Y1975" s="294"/>
      <c r="Z1975" s="294"/>
      <c r="AA1975" s="294"/>
      <c r="AB1975" s="294"/>
      <c r="AC1975" s="294"/>
    </row>
    <row r="1976" spans="2:29" x14ac:dyDescent="0.25">
      <c r="B1976" s="294"/>
      <c r="C1976" s="294"/>
      <c r="D1976" s="294"/>
      <c r="E1976" s="294"/>
      <c r="F1976" s="294"/>
      <c r="G1976" s="294"/>
      <c r="H1976" s="294"/>
      <c r="I1976" s="294"/>
      <c r="J1976" s="294"/>
      <c r="L1976" s="295"/>
      <c r="M1976" s="294"/>
      <c r="O1976" s="294"/>
      <c r="P1976" s="294"/>
      <c r="Q1976" s="294"/>
      <c r="R1976" s="294"/>
      <c r="S1976" s="294"/>
      <c r="T1976" s="294"/>
      <c r="U1976" s="326"/>
      <c r="V1976" s="294"/>
      <c r="W1976" s="294"/>
      <c r="X1976" s="294"/>
      <c r="Y1976" s="294"/>
      <c r="Z1976" s="294"/>
      <c r="AA1976" s="294"/>
      <c r="AB1976" s="294"/>
      <c r="AC1976" s="294"/>
    </row>
    <row r="1977" spans="2:29" x14ac:dyDescent="0.25">
      <c r="B1977" s="294"/>
      <c r="C1977" s="294"/>
      <c r="D1977" s="294"/>
      <c r="E1977" s="294"/>
      <c r="F1977" s="294"/>
      <c r="G1977" s="294"/>
      <c r="H1977" s="294"/>
      <c r="I1977" s="294"/>
      <c r="J1977" s="294"/>
      <c r="L1977" s="295"/>
      <c r="M1977" s="294"/>
      <c r="O1977" s="294"/>
      <c r="P1977" s="294"/>
      <c r="Q1977" s="294"/>
      <c r="R1977" s="294"/>
      <c r="S1977" s="294"/>
      <c r="T1977" s="294"/>
      <c r="U1977" s="326"/>
      <c r="V1977" s="294"/>
      <c r="W1977" s="294"/>
      <c r="X1977" s="294"/>
      <c r="Y1977" s="294"/>
      <c r="Z1977" s="294"/>
      <c r="AA1977" s="294"/>
      <c r="AB1977" s="294"/>
      <c r="AC1977" s="294"/>
    </row>
    <row r="1978" spans="2:29" x14ac:dyDescent="0.25">
      <c r="B1978" s="294"/>
      <c r="C1978" s="294"/>
      <c r="D1978" s="294"/>
      <c r="E1978" s="294"/>
      <c r="F1978" s="294"/>
      <c r="G1978" s="294"/>
      <c r="H1978" s="294"/>
      <c r="I1978" s="294"/>
      <c r="J1978" s="294"/>
      <c r="L1978" s="295"/>
      <c r="M1978" s="294"/>
      <c r="O1978" s="294"/>
      <c r="P1978" s="294"/>
      <c r="Q1978" s="294"/>
      <c r="R1978" s="294"/>
      <c r="S1978" s="294"/>
      <c r="T1978" s="294"/>
      <c r="U1978" s="326"/>
      <c r="V1978" s="294"/>
      <c r="W1978" s="294"/>
      <c r="X1978" s="294"/>
      <c r="Y1978" s="294"/>
      <c r="Z1978" s="294"/>
      <c r="AA1978" s="294"/>
      <c r="AB1978" s="294"/>
      <c r="AC1978" s="294"/>
    </row>
    <row r="1979" spans="2:29" x14ac:dyDescent="0.25">
      <c r="B1979" s="294"/>
      <c r="C1979" s="294"/>
      <c r="D1979" s="294"/>
      <c r="E1979" s="294"/>
      <c r="F1979" s="294"/>
      <c r="G1979" s="294"/>
      <c r="H1979" s="294"/>
      <c r="I1979" s="294"/>
      <c r="J1979" s="294"/>
      <c r="L1979" s="295"/>
      <c r="M1979" s="294"/>
      <c r="O1979" s="294"/>
      <c r="P1979" s="294"/>
      <c r="Q1979" s="294"/>
      <c r="R1979" s="294"/>
      <c r="S1979" s="294"/>
      <c r="T1979" s="294"/>
      <c r="U1979" s="326"/>
      <c r="V1979" s="294"/>
      <c r="W1979" s="294"/>
      <c r="X1979" s="294"/>
      <c r="Y1979" s="294"/>
      <c r="Z1979" s="294"/>
      <c r="AA1979" s="294"/>
      <c r="AB1979" s="294"/>
      <c r="AC1979" s="294"/>
    </row>
    <row r="1980" spans="2:29" x14ac:dyDescent="0.25">
      <c r="B1980" s="294"/>
      <c r="C1980" s="294"/>
      <c r="D1980" s="294"/>
      <c r="E1980" s="294"/>
      <c r="F1980" s="294"/>
      <c r="G1980" s="294"/>
      <c r="H1980" s="294"/>
      <c r="I1980" s="294"/>
      <c r="J1980" s="294"/>
      <c r="L1980" s="295"/>
      <c r="M1980" s="294"/>
      <c r="O1980" s="294"/>
      <c r="P1980" s="294"/>
      <c r="Q1980" s="294"/>
      <c r="R1980" s="294"/>
      <c r="S1980" s="294"/>
      <c r="T1980" s="294"/>
      <c r="U1980" s="326"/>
      <c r="V1980" s="294"/>
      <c r="W1980" s="294"/>
      <c r="X1980" s="294"/>
      <c r="Y1980" s="294"/>
      <c r="Z1980" s="294"/>
      <c r="AA1980" s="294"/>
      <c r="AB1980" s="294"/>
      <c r="AC1980" s="294"/>
    </row>
    <row r="1981" spans="2:29" x14ac:dyDescent="0.25">
      <c r="B1981" s="294"/>
      <c r="C1981" s="294"/>
      <c r="D1981" s="294"/>
      <c r="E1981" s="294"/>
      <c r="F1981" s="294"/>
      <c r="G1981" s="294"/>
      <c r="H1981" s="294"/>
      <c r="I1981" s="294"/>
      <c r="J1981" s="294"/>
      <c r="L1981" s="295"/>
      <c r="M1981" s="294"/>
      <c r="O1981" s="294"/>
      <c r="P1981" s="294"/>
      <c r="Q1981" s="294"/>
      <c r="R1981" s="294"/>
      <c r="S1981" s="294"/>
      <c r="T1981" s="294"/>
      <c r="U1981" s="326"/>
      <c r="V1981" s="294"/>
      <c r="W1981" s="294"/>
      <c r="X1981" s="294"/>
      <c r="Y1981" s="294"/>
      <c r="Z1981" s="294"/>
      <c r="AA1981" s="294"/>
      <c r="AB1981" s="294"/>
      <c r="AC1981" s="294"/>
    </row>
    <row r="1982" spans="2:29" x14ac:dyDescent="0.25">
      <c r="B1982" s="294"/>
      <c r="C1982" s="294"/>
      <c r="D1982" s="294"/>
      <c r="E1982" s="294"/>
      <c r="F1982" s="294"/>
      <c r="G1982" s="294"/>
      <c r="H1982" s="294"/>
      <c r="I1982" s="294"/>
      <c r="J1982" s="294"/>
      <c r="L1982" s="295"/>
      <c r="M1982" s="294"/>
      <c r="O1982" s="294"/>
      <c r="P1982" s="294"/>
      <c r="Q1982" s="294"/>
      <c r="R1982" s="294"/>
      <c r="S1982" s="294"/>
      <c r="T1982" s="294"/>
      <c r="U1982" s="326"/>
      <c r="V1982" s="294"/>
      <c r="W1982" s="294"/>
      <c r="X1982" s="294"/>
      <c r="Y1982" s="294"/>
      <c r="Z1982" s="294"/>
      <c r="AA1982" s="294"/>
      <c r="AB1982" s="294"/>
      <c r="AC1982" s="294"/>
    </row>
    <row r="1983" spans="2:29" x14ac:dyDescent="0.25">
      <c r="B1983" s="294"/>
      <c r="C1983" s="294"/>
      <c r="D1983" s="294"/>
      <c r="E1983" s="294"/>
      <c r="F1983" s="294"/>
      <c r="G1983" s="294"/>
      <c r="H1983" s="294"/>
      <c r="I1983" s="294"/>
      <c r="J1983" s="294"/>
      <c r="L1983" s="295"/>
      <c r="M1983" s="294"/>
      <c r="O1983" s="294"/>
      <c r="P1983" s="294"/>
      <c r="Q1983" s="294"/>
      <c r="R1983" s="294"/>
      <c r="S1983" s="294"/>
      <c r="T1983" s="294"/>
      <c r="U1983" s="326"/>
      <c r="V1983" s="294"/>
      <c r="W1983" s="294"/>
      <c r="X1983" s="294"/>
      <c r="Y1983" s="294"/>
      <c r="Z1983" s="294"/>
      <c r="AA1983" s="294"/>
      <c r="AB1983" s="294"/>
      <c r="AC1983" s="294"/>
    </row>
    <row r="1984" spans="2:29" x14ac:dyDescent="0.25">
      <c r="B1984" s="294"/>
      <c r="C1984" s="294"/>
      <c r="D1984" s="294"/>
      <c r="E1984" s="294"/>
      <c r="F1984" s="294"/>
      <c r="G1984" s="294"/>
      <c r="H1984" s="294"/>
      <c r="I1984" s="294"/>
      <c r="J1984" s="294"/>
      <c r="L1984" s="295"/>
      <c r="M1984" s="294"/>
      <c r="O1984" s="294"/>
      <c r="P1984" s="294"/>
      <c r="Q1984" s="294"/>
      <c r="R1984" s="294"/>
      <c r="S1984" s="294"/>
      <c r="T1984" s="294"/>
      <c r="U1984" s="326"/>
      <c r="V1984" s="294"/>
      <c r="W1984" s="294"/>
      <c r="X1984" s="294"/>
      <c r="Y1984" s="294"/>
      <c r="Z1984" s="294"/>
      <c r="AA1984" s="294"/>
      <c r="AB1984" s="294"/>
      <c r="AC1984" s="294"/>
    </row>
    <row r="1985" spans="2:29" x14ac:dyDescent="0.25">
      <c r="B1985" s="294"/>
      <c r="C1985" s="294"/>
      <c r="D1985" s="294"/>
      <c r="E1985" s="294"/>
      <c r="F1985" s="294"/>
      <c r="G1985" s="294"/>
      <c r="H1985" s="294"/>
      <c r="I1985" s="294"/>
      <c r="J1985" s="294"/>
      <c r="L1985" s="295"/>
      <c r="M1985" s="294"/>
      <c r="O1985" s="294"/>
      <c r="P1985" s="294"/>
      <c r="Q1985" s="294"/>
      <c r="R1985" s="294"/>
      <c r="S1985" s="294"/>
      <c r="T1985" s="294"/>
      <c r="U1985" s="326"/>
      <c r="V1985" s="294"/>
      <c r="W1985" s="294"/>
      <c r="X1985" s="294"/>
      <c r="Y1985" s="294"/>
      <c r="Z1985" s="294"/>
      <c r="AA1985" s="294"/>
      <c r="AB1985" s="294"/>
      <c r="AC1985" s="294"/>
    </row>
    <row r="1986" spans="2:29" x14ac:dyDescent="0.25">
      <c r="B1986" s="294"/>
      <c r="C1986" s="294"/>
      <c r="D1986" s="294"/>
      <c r="E1986" s="294"/>
      <c r="F1986" s="294"/>
      <c r="G1986" s="294"/>
      <c r="H1986" s="294"/>
      <c r="I1986" s="294"/>
      <c r="J1986" s="294"/>
      <c r="L1986" s="295"/>
      <c r="M1986" s="294"/>
      <c r="O1986" s="294"/>
      <c r="P1986" s="294"/>
      <c r="Q1986" s="294"/>
      <c r="R1986" s="294"/>
      <c r="S1986" s="294"/>
      <c r="T1986" s="294"/>
      <c r="U1986" s="326"/>
      <c r="V1986" s="294"/>
      <c r="W1986" s="294"/>
      <c r="X1986" s="294"/>
      <c r="Y1986" s="294"/>
      <c r="Z1986" s="294"/>
      <c r="AA1986" s="294"/>
      <c r="AB1986" s="294"/>
      <c r="AC1986" s="294"/>
    </row>
    <row r="1987" spans="2:29" x14ac:dyDescent="0.25">
      <c r="B1987" s="294"/>
      <c r="C1987" s="294"/>
      <c r="D1987" s="294"/>
      <c r="E1987" s="294"/>
      <c r="F1987" s="294"/>
      <c r="G1987" s="294"/>
      <c r="H1987" s="294"/>
      <c r="I1987" s="294"/>
      <c r="J1987" s="294"/>
      <c r="L1987" s="295"/>
      <c r="M1987" s="294"/>
      <c r="O1987" s="294"/>
      <c r="P1987" s="294"/>
      <c r="Q1987" s="294"/>
      <c r="R1987" s="294"/>
      <c r="S1987" s="294"/>
      <c r="T1987" s="294"/>
      <c r="U1987" s="326"/>
      <c r="V1987" s="294"/>
      <c r="W1987" s="294"/>
      <c r="X1987" s="294"/>
      <c r="Y1987" s="294"/>
      <c r="Z1987" s="294"/>
      <c r="AA1987" s="294"/>
      <c r="AB1987" s="294"/>
      <c r="AC1987" s="294"/>
    </row>
    <row r="1988" spans="2:29" x14ac:dyDescent="0.25">
      <c r="B1988" s="294"/>
      <c r="C1988" s="294"/>
      <c r="D1988" s="294"/>
      <c r="E1988" s="294"/>
      <c r="F1988" s="294"/>
      <c r="G1988" s="294"/>
      <c r="H1988" s="294"/>
      <c r="I1988" s="294"/>
      <c r="J1988" s="294"/>
      <c r="L1988" s="295"/>
      <c r="M1988" s="294"/>
      <c r="O1988" s="294"/>
      <c r="P1988" s="294"/>
      <c r="Q1988" s="294"/>
      <c r="R1988" s="294"/>
      <c r="S1988" s="294"/>
      <c r="T1988" s="294"/>
      <c r="U1988" s="326"/>
      <c r="V1988" s="294"/>
      <c r="W1988" s="294"/>
      <c r="X1988" s="294"/>
      <c r="Y1988" s="294"/>
      <c r="Z1988" s="294"/>
      <c r="AA1988" s="294"/>
      <c r="AB1988" s="294"/>
      <c r="AC1988" s="294"/>
    </row>
    <row r="1989" spans="2:29" x14ac:dyDescent="0.25">
      <c r="B1989" s="294"/>
      <c r="C1989" s="294"/>
      <c r="D1989" s="294"/>
      <c r="E1989" s="294"/>
      <c r="F1989" s="294"/>
      <c r="G1989" s="294"/>
      <c r="H1989" s="294"/>
      <c r="I1989" s="294"/>
      <c r="J1989" s="294"/>
      <c r="L1989" s="295"/>
      <c r="M1989" s="294"/>
      <c r="O1989" s="294"/>
      <c r="P1989" s="294"/>
      <c r="Q1989" s="294"/>
      <c r="R1989" s="294"/>
      <c r="S1989" s="294"/>
      <c r="T1989" s="294"/>
      <c r="U1989" s="326"/>
      <c r="V1989" s="294"/>
      <c r="W1989" s="294"/>
      <c r="X1989" s="294"/>
      <c r="Y1989" s="294"/>
      <c r="Z1989" s="294"/>
      <c r="AA1989" s="294"/>
      <c r="AB1989" s="294"/>
      <c r="AC1989" s="294"/>
    </row>
    <row r="1990" spans="2:29" x14ac:dyDescent="0.25">
      <c r="B1990" s="294"/>
      <c r="C1990" s="294"/>
      <c r="D1990" s="294"/>
      <c r="E1990" s="294"/>
      <c r="F1990" s="294"/>
      <c r="G1990" s="294"/>
      <c r="H1990" s="294"/>
      <c r="I1990" s="294"/>
      <c r="J1990" s="294"/>
      <c r="L1990" s="295"/>
      <c r="M1990" s="294"/>
      <c r="O1990" s="294"/>
      <c r="P1990" s="294"/>
      <c r="Q1990" s="294"/>
      <c r="R1990" s="294"/>
      <c r="S1990" s="294"/>
      <c r="T1990" s="294"/>
      <c r="U1990" s="326"/>
      <c r="V1990" s="294"/>
      <c r="W1990" s="294"/>
      <c r="X1990" s="294"/>
      <c r="Y1990" s="294"/>
      <c r="Z1990" s="294"/>
      <c r="AA1990" s="294"/>
      <c r="AB1990" s="294"/>
      <c r="AC1990" s="294"/>
    </row>
    <row r="1991" spans="2:29" x14ac:dyDescent="0.25">
      <c r="B1991" s="294"/>
      <c r="C1991" s="294"/>
      <c r="D1991" s="294"/>
      <c r="E1991" s="294"/>
      <c r="F1991" s="294"/>
      <c r="G1991" s="294"/>
      <c r="H1991" s="294"/>
      <c r="I1991" s="294"/>
      <c r="J1991" s="294"/>
      <c r="L1991" s="295"/>
      <c r="M1991" s="294"/>
      <c r="O1991" s="294"/>
      <c r="P1991" s="294"/>
      <c r="Q1991" s="294"/>
      <c r="R1991" s="294"/>
      <c r="S1991" s="294"/>
      <c r="T1991" s="294"/>
      <c r="U1991" s="326"/>
      <c r="V1991" s="294"/>
      <c r="W1991" s="294"/>
      <c r="X1991" s="294"/>
      <c r="Y1991" s="294"/>
      <c r="Z1991" s="294"/>
      <c r="AA1991" s="294"/>
      <c r="AB1991" s="294"/>
      <c r="AC1991" s="294"/>
    </row>
    <row r="1992" spans="2:29" x14ac:dyDescent="0.25">
      <c r="B1992" s="294"/>
      <c r="C1992" s="294"/>
      <c r="D1992" s="294"/>
      <c r="E1992" s="294"/>
      <c r="F1992" s="294"/>
      <c r="G1992" s="294"/>
      <c r="H1992" s="294"/>
      <c r="I1992" s="294"/>
      <c r="J1992" s="294"/>
      <c r="L1992" s="295"/>
      <c r="M1992" s="294"/>
      <c r="O1992" s="294"/>
      <c r="P1992" s="294"/>
      <c r="Q1992" s="294"/>
      <c r="R1992" s="294"/>
      <c r="S1992" s="294"/>
      <c r="T1992" s="294"/>
      <c r="U1992" s="326"/>
      <c r="V1992" s="294"/>
      <c r="W1992" s="294"/>
      <c r="X1992" s="294"/>
      <c r="Y1992" s="294"/>
      <c r="Z1992" s="294"/>
      <c r="AA1992" s="294"/>
      <c r="AB1992" s="294"/>
      <c r="AC1992" s="294"/>
    </row>
    <row r="1993" spans="2:29" x14ac:dyDescent="0.25">
      <c r="B1993" s="294"/>
      <c r="C1993" s="294"/>
      <c r="D1993" s="294"/>
      <c r="E1993" s="294"/>
      <c r="F1993" s="294"/>
      <c r="G1993" s="294"/>
      <c r="H1993" s="294"/>
      <c r="I1993" s="294"/>
      <c r="J1993" s="294"/>
      <c r="L1993" s="295"/>
      <c r="M1993" s="294"/>
      <c r="O1993" s="294"/>
      <c r="P1993" s="294"/>
      <c r="Q1993" s="294"/>
      <c r="R1993" s="294"/>
      <c r="S1993" s="294"/>
      <c r="T1993" s="294"/>
      <c r="U1993" s="326"/>
      <c r="V1993" s="294"/>
      <c r="W1993" s="294"/>
      <c r="X1993" s="294"/>
      <c r="Y1993" s="294"/>
      <c r="Z1993" s="294"/>
      <c r="AA1993" s="294"/>
      <c r="AB1993" s="294"/>
      <c r="AC1993" s="294"/>
    </row>
    <row r="1994" spans="2:29" x14ac:dyDescent="0.25">
      <c r="B1994" s="294"/>
      <c r="C1994" s="294"/>
      <c r="D1994" s="294"/>
      <c r="E1994" s="294"/>
      <c r="F1994" s="294"/>
      <c r="G1994" s="294"/>
      <c r="H1994" s="294"/>
      <c r="I1994" s="294"/>
      <c r="J1994" s="294"/>
      <c r="L1994" s="295"/>
      <c r="M1994" s="294"/>
      <c r="O1994" s="294"/>
      <c r="P1994" s="294"/>
      <c r="Q1994" s="294"/>
      <c r="R1994" s="294"/>
      <c r="S1994" s="294"/>
      <c r="T1994" s="294"/>
      <c r="U1994" s="326"/>
      <c r="V1994" s="294"/>
      <c r="W1994" s="294"/>
      <c r="X1994" s="294"/>
      <c r="Y1994" s="294"/>
      <c r="Z1994" s="294"/>
      <c r="AA1994" s="294"/>
      <c r="AB1994" s="294"/>
      <c r="AC1994" s="294"/>
    </row>
    <row r="1995" spans="2:29" x14ac:dyDescent="0.25">
      <c r="B1995" s="294"/>
      <c r="C1995" s="294"/>
      <c r="D1995" s="294"/>
      <c r="E1995" s="294"/>
      <c r="F1995" s="294"/>
      <c r="G1995" s="294"/>
      <c r="H1995" s="294"/>
      <c r="I1995" s="294"/>
      <c r="J1995" s="294"/>
      <c r="L1995" s="295"/>
      <c r="M1995" s="294"/>
      <c r="O1995" s="294"/>
      <c r="P1995" s="294"/>
      <c r="Q1995" s="294"/>
      <c r="R1995" s="294"/>
      <c r="S1995" s="294"/>
      <c r="T1995" s="294"/>
      <c r="U1995" s="326"/>
      <c r="V1995" s="294"/>
      <c r="W1995" s="294"/>
      <c r="X1995" s="294"/>
      <c r="Y1995" s="294"/>
      <c r="Z1995" s="294"/>
      <c r="AA1995" s="294"/>
      <c r="AB1995" s="294"/>
      <c r="AC1995" s="294"/>
    </row>
    <row r="1996" spans="2:29" x14ac:dyDescent="0.25">
      <c r="B1996" s="294"/>
      <c r="C1996" s="294"/>
      <c r="D1996" s="294"/>
      <c r="E1996" s="294"/>
      <c r="F1996" s="294"/>
      <c r="G1996" s="294"/>
      <c r="H1996" s="294"/>
      <c r="I1996" s="294"/>
      <c r="J1996" s="294"/>
      <c r="L1996" s="295"/>
      <c r="M1996" s="294"/>
      <c r="O1996" s="294"/>
      <c r="P1996" s="294"/>
      <c r="Q1996" s="294"/>
      <c r="R1996" s="294"/>
      <c r="S1996" s="294"/>
      <c r="T1996" s="294"/>
      <c r="U1996" s="326"/>
      <c r="V1996" s="294"/>
      <c r="W1996" s="294"/>
      <c r="X1996" s="294"/>
      <c r="Y1996" s="294"/>
      <c r="Z1996" s="294"/>
      <c r="AA1996" s="294"/>
      <c r="AB1996" s="294"/>
      <c r="AC1996" s="294"/>
    </row>
    <row r="1997" spans="2:29" x14ac:dyDescent="0.25">
      <c r="B1997" s="294"/>
      <c r="C1997" s="294"/>
      <c r="D1997" s="294"/>
      <c r="E1997" s="294"/>
      <c r="F1997" s="294"/>
      <c r="G1997" s="294"/>
      <c r="H1997" s="294"/>
      <c r="I1997" s="294"/>
      <c r="J1997" s="294"/>
      <c r="L1997" s="295"/>
      <c r="M1997" s="294"/>
      <c r="O1997" s="294"/>
      <c r="P1997" s="294"/>
      <c r="Q1997" s="294"/>
      <c r="R1997" s="294"/>
      <c r="S1997" s="294"/>
      <c r="T1997" s="294"/>
      <c r="U1997" s="326"/>
      <c r="V1997" s="294"/>
      <c r="W1997" s="294"/>
      <c r="X1997" s="294"/>
      <c r="Y1997" s="294"/>
      <c r="Z1997" s="294"/>
      <c r="AA1997" s="294"/>
      <c r="AB1997" s="294"/>
      <c r="AC1997" s="294"/>
    </row>
    <row r="1998" spans="2:29" x14ac:dyDescent="0.25">
      <c r="B1998" s="294"/>
      <c r="C1998" s="294"/>
      <c r="D1998" s="294"/>
      <c r="E1998" s="294"/>
      <c r="F1998" s="294"/>
      <c r="G1998" s="294"/>
      <c r="H1998" s="294"/>
      <c r="I1998" s="294"/>
      <c r="J1998" s="294"/>
      <c r="L1998" s="295"/>
      <c r="M1998" s="294"/>
      <c r="O1998" s="294"/>
      <c r="P1998" s="294"/>
      <c r="Q1998" s="294"/>
      <c r="R1998" s="294"/>
      <c r="S1998" s="294"/>
      <c r="T1998" s="294"/>
      <c r="U1998" s="326"/>
      <c r="V1998" s="294"/>
      <c r="W1998" s="294"/>
      <c r="X1998" s="294"/>
      <c r="Y1998" s="294"/>
      <c r="Z1998" s="294"/>
      <c r="AA1998" s="294"/>
      <c r="AB1998" s="294"/>
      <c r="AC1998" s="294"/>
    </row>
    <row r="1999" spans="2:29" x14ac:dyDescent="0.25">
      <c r="B1999" s="294"/>
      <c r="C1999" s="294"/>
      <c r="D1999" s="294"/>
      <c r="E1999" s="294"/>
      <c r="F1999" s="294"/>
      <c r="G1999" s="294"/>
      <c r="H1999" s="294"/>
      <c r="I1999" s="294"/>
      <c r="J1999" s="294"/>
      <c r="L1999" s="295"/>
      <c r="M1999" s="294"/>
      <c r="O1999" s="294"/>
      <c r="P1999" s="294"/>
      <c r="Q1999" s="294"/>
      <c r="R1999" s="294"/>
      <c r="S1999" s="294"/>
      <c r="T1999" s="294"/>
      <c r="U1999" s="326"/>
      <c r="V1999" s="294"/>
      <c r="W1999" s="294"/>
      <c r="X1999" s="294"/>
      <c r="Y1999" s="294"/>
      <c r="Z1999" s="294"/>
      <c r="AA1999" s="294"/>
      <c r="AB1999" s="294"/>
      <c r="AC1999" s="294"/>
    </row>
    <row r="2000" spans="2:29" x14ac:dyDescent="0.25">
      <c r="B2000" s="294"/>
      <c r="C2000" s="294"/>
      <c r="D2000" s="294"/>
      <c r="E2000" s="294"/>
      <c r="F2000" s="294"/>
      <c r="G2000" s="294"/>
      <c r="H2000" s="294"/>
      <c r="I2000" s="294"/>
      <c r="J2000" s="294"/>
      <c r="L2000" s="295"/>
      <c r="M2000" s="294"/>
      <c r="O2000" s="294"/>
      <c r="P2000" s="294"/>
      <c r="Q2000" s="294"/>
      <c r="R2000" s="294"/>
      <c r="S2000" s="294"/>
      <c r="T2000" s="294"/>
      <c r="U2000" s="326"/>
      <c r="V2000" s="294"/>
      <c r="W2000" s="294"/>
      <c r="X2000" s="294"/>
      <c r="Y2000" s="294"/>
      <c r="Z2000" s="294"/>
      <c r="AA2000" s="294"/>
      <c r="AB2000" s="294"/>
      <c r="AC2000" s="294"/>
    </row>
    <row r="2001" spans="2:29" x14ac:dyDescent="0.25">
      <c r="B2001" s="294"/>
      <c r="C2001" s="294"/>
      <c r="D2001" s="294"/>
      <c r="E2001" s="294"/>
      <c r="F2001" s="294"/>
      <c r="G2001" s="294"/>
      <c r="H2001" s="294"/>
      <c r="I2001" s="294"/>
      <c r="J2001" s="294"/>
      <c r="L2001" s="295"/>
      <c r="M2001" s="294"/>
      <c r="O2001" s="294"/>
      <c r="P2001" s="294"/>
      <c r="Q2001" s="294"/>
      <c r="R2001" s="294"/>
      <c r="S2001" s="294"/>
      <c r="T2001" s="294"/>
      <c r="U2001" s="326"/>
      <c r="V2001" s="294"/>
      <c r="W2001" s="294"/>
      <c r="X2001" s="294"/>
      <c r="Y2001" s="294"/>
      <c r="Z2001" s="294"/>
      <c r="AA2001" s="294"/>
      <c r="AB2001" s="294"/>
      <c r="AC2001" s="294"/>
    </row>
    <row r="2002" spans="2:29" x14ac:dyDescent="0.25">
      <c r="B2002" s="294"/>
      <c r="C2002" s="294"/>
      <c r="D2002" s="294"/>
      <c r="E2002" s="294"/>
      <c r="F2002" s="294"/>
      <c r="G2002" s="294"/>
      <c r="H2002" s="294"/>
      <c r="I2002" s="294"/>
      <c r="J2002" s="294"/>
      <c r="L2002" s="295"/>
      <c r="M2002" s="294"/>
      <c r="O2002" s="294"/>
      <c r="P2002" s="294"/>
      <c r="Q2002" s="294"/>
      <c r="R2002" s="294"/>
      <c r="S2002" s="294"/>
      <c r="T2002" s="294"/>
      <c r="U2002" s="326"/>
      <c r="V2002" s="294"/>
      <c r="W2002" s="294"/>
      <c r="X2002" s="294"/>
      <c r="Y2002" s="294"/>
      <c r="Z2002" s="294"/>
      <c r="AA2002" s="294"/>
      <c r="AB2002" s="294"/>
      <c r="AC2002" s="294"/>
    </row>
    <row r="2003" spans="2:29" x14ac:dyDescent="0.25">
      <c r="B2003" s="294"/>
      <c r="C2003" s="294"/>
      <c r="D2003" s="294"/>
      <c r="E2003" s="294"/>
      <c r="F2003" s="294"/>
      <c r="G2003" s="294"/>
      <c r="H2003" s="294"/>
      <c r="I2003" s="294"/>
      <c r="J2003" s="294"/>
      <c r="L2003" s="295"/>
      <c r="M2003" s="294"/>
      <c r="O2003" s="294"/>
      <c r="P2003" s="294"/>
      <c r="Q2003" s="294"/>
      <c r="R2003" s="294"/>
      <c r="S2003" s="294"/>
      <c r="T2003" s="294"/>
      <c r="U2003" s="326"/>
      <c r="V2003" s="294"/>
      <c r="W2003" s="294"/>
      <c r="X2003" s="294"/>
      <c r="Y2003" s="294"/>
      <c r="Z2003" s="294"/>
      <c r="AA2003" s="294"/>
      <c r="AB2003" s="294"/>
      <c r="AC2003" s="294"/>
    </row>
    <row r="2004" spans="2:29" x14ac:dyDescent="0.25">
      <c r="B2004" s="294"/>
      <c r="C2004" s="294"/>
      <c r="D2004" s="294"/>
      <c r="E2004" s="294"/>
      <c r="F2004" s="294"/>
      <c r="G2004" s="294"/>
      <c r="H2004" s="294"/>
      <c r="I2004" s="294"/>
      <c r="J2004" s="294"/>
      <c r="L2004" s="295"/>
      <c r="M2004" s="294"/>
      <c r="O2004" s="294"/>
      <c r="P2004" s="294"/>
      <c r="Q2004" s="294"/>
      <c r="R2004" s="294"/>
      <c r="S2004" s="294"/>
      <c r="T2004" s="294"/>
      <c r="U2004" s="326"/>
      <c r="V2004" s="294"/>
      <c r="W2004" s="294"/>
      <c r="X2004" s="294"/>
      <c r="Y2004" s="294"/>
      <c r="Z2004" s="294"/>
      <c r="AA2004" s="294"/>
      <c r="AB2004" s="294"/>
      <c r="AC2004" s="294"/>
    </row>
    <row r="2005" spans="2:29" x14ac:dyDescent="0.25">
      <c r="B2005" s="294"/>
      <c r="C2005" s="294"/>
      <c r="D2005" s="294"/>
      <c r="E2005" s="294"/>
      <c r="F2005" s="294"/>
      <c r="G2005" s="294"/>
      <c r="H2005" s="294"/>
      <c r="I2005" s="294"/>
      <c r="J2005" s="294"/>
      <c r="L2005" s="295"/>
      <c r="M2005" s="294"/>
      <c r="O2005" s="294"/>
      <c r="P2005" s="294"/>
      <c r="Q2005" s="294"/>
      <c r="R2005" s="294"/>
      <c r="S2005" s="294"/>
      <c r="T2005" s="294"/>
      <c r="U2005" s="326"/>
      <c r="V2005" s="294"/>
      <c r="W2005" s="294"/>
      <c r="X2005" s="294"/>
      <c r="Y2005" s="294"/>
      <c r="Z2005" s="294"/>
      <c r="AA2005" s="294"/>
      <c r="AB2005" s="294"/>
      <c r="AC2005" s="294"/>
    </row>
    <row r="2006" spans="2:29" x14ac:dyDescent="0.25">
      <c r="B2006" s="294"/>
      <c r="C2006" s="294"/>
      <c r="D2006" s="294"/>
      <c r="E2006" s="294"/>
      <c r="F2006" s="294"/>
      <c r="G2006" s="294"/>
      <c r="H2006" s="294"/>
      <c r="I2006" s="294"/>
      <c r="J2006" s="294"/>
      <c r="L2006" s="295"/>
      <c r="M2006" s="294"/>
      <c r="O2006" s="294"/>
      <c r="P2006" s="294"/>
      <c r="Q2006" s="294"/>
      <c r="R2006" s="294"/>
      <c r="S2006" s="294"/>
      <c r="T2006" s="294"/>
      <c r="U2006" s="326"/>
      <c r="V2006" s="294"/>
      <c r="W2006" s="294"/>
      <c r="X2006" s="294"/>
      <c r="Y2006" s="294"/>
      <c r="Z2006" s="294"/>
      <c r="AA2006" s="294"/>
      <c r="AB2006" s="294"/>
      <c r="AC2006" s="294"/>
    </row>
    <row r="2007" spans="2:29" x14ac:dyDescent="0.25">
      <c r="B2007" s="294"/>
      <c r="C2007" s="294"/>
      <c r="D2007" s="294"/>
      <c r="E2007" s="294"/>
      <c r="F2007" s="294"/>
      <c r="G2007" s="294"/>
      <c r="H2007" s="294"/>
      <c r="I2007" s="294"/>
      <c r="J2007" s="294"/>
      <c r="L2007" s="295"/>
      <c r="M2007" s="294"/>
      <c r="O2007" s="294"/>
      <c r="P2007" s="294"/>
      <c r="Q2007" s="294"/>
      <c r="R2007" s="294"/>
      <c r="S2007" s="294"/>
      <c r="T2007" s="294"/>
      <c r="U2007" s="326"/>
      <c r="V2007" s="294"/>
      <c r="W2007" s="294"/>
      <c r="X2007" s="294"/>
      <c r="Y2007" s="294"/>
      <c r="Z2007" s="294"/>
      <c r="AA2007" s="294"/>
      <c r="AB2007" s="294"/>
      <c r="AC2007" s="294"/>
    </row>
    <row r="2008" spans="2:29" x14ac:dyDescent="0.25">
      <c r="B2008" s="294"/>
      <c r="C2008" s="294"/>
      <c r="D2008" s="294"/>
      <c r="E2008" s="294"/>
      <c r="F2008" s="294"/>
      <c r="G2008" s="294"/>
      <c r="H2008" s="294"/>
      <c r="I2008" s="294"/>
      <c r="J2008" s="294"/>
      <c r="L2008" s="295"/>
      <c r="M2008" s="294"/>
      <c r="O2008" s="294"/>
      <c r="P2008" s="294"/>
      <c r="Q2008" s="294"/>
      <c r="R2008" s="294"/>
      <c r="S2008" s="294"/>
      <c r="T2008" s="294"/>
      <c r="U2008" s="326"/>
      <c r="V2008" s="294"/>
      <c r="W2008" s="294"/>
      <c r="X2008" s="294"/>
      <c r="Y2008" s="294"/>
      <c r="Z2008" s="294"/>
      <c r="AA2008" s="294"/>
      <c r="AB2008" s="294"/>
      <c r="AC2008" s="294"/>
    </row>
    <row r="2009" spans="2:29" x14ac:dyDescent="0.25">
      <c r="B2009" s="294"/>
      <c r="C2009" s="294"/>
      <c r="D2009" s="294"/>
      <c r="E2009" s="294"/>
      <c r="F2009" s="294"/>
      <c r="G2009" s="294"/>
      <c r="H2009" s="294"/>
      <c r="I2009" s="294"/>
      <c r="J2009" s="294"/>
      <c r="L2009" s="295"/>
      <c r="M2009" s="294"/>
      <c r="O2009" s="294"/>
      <c r="P2009" s="294"/>
      <c r="Q2009" s="294"/>
      <c r="R2009" s="294"/>
      <c r="S2009" s="294"/>
      <c r="T2009" s="294"/>
      <c r="U2009" s="326"/>
      <c r="V2009" s="294"/>
      <c r="W2009" s="294"/>
      <c r="X2009" s="294"/>
      <c r="Y2009" s="294"/>
      <c r="Z2009" s="294"/>
      <c r="AA2009" s="294"/>
      <c r="AB2009" s="294"/>
      <c r="AC2009" s="294"/>
    </row>
    <row r="2010" spans="2:29" x14ac:dyDescent="0.25">
      <c r="B2010" s="294"/>
      <c r="C2010" s="294"/>
      <c r="D2010" s="294"/>
      <c r="E2010" s="294"/>
      <c r="F2010" s="294"/>
      <c r="G2010" s="294"/>
      <c r="H2010" s="294"/>
      <c r="I2010" s="294"/>
      <c r="J2010" s="294"/>
      <c r="L2010" s="295"/>
      <c r="M2010" s="294"/>
      <c r="O2010" s="294"/>
      <c r="P2010" s="294"/>
      <c r="Q2010" s="294"/>
      <c r="R2010" s="294"/>
      <c r="S2010" s="294"/>
      <c r="T2010" s="294"/>
      <c r="U2010" s="326"/>
      <c r="V2010" s="294"/>
      <c r="W2010" s="294"/>
      <c r="X2010" s="294"/>
      <c r="Y2010" s="294"/>
      <c r="Z2010" s="294"/>
      <c r="AA2010" s="294"/>
      <c r="AB2010" s="294"/>
      <c r="AC2010" s="294"/>
    </row>
    <row r="2011" spans="2:29" x14ac:dyDescent="0.25">
      <c r="B2011" s="294"/>
      <c r="C2011" s="294"/>
      <c r="D2011" s="294"/>
      <c r="E2011" s="294"/>
      <c r="F2011" s="294"/>
      <c r="G2011" s="294"/>
      <c r="H2011" s="294"/>
      <c r="I2011" s="294"/>
      <c r="J2011" s="294"/>
      <c r="L2011" s="295"/>
      <c r="M2011" s="294"/>
      <c r="O2011" s="294"/>
      <c r="P2011" s="294"/>
      <c r="Q2011" s="294"/>
      <c r="R2011" s="294"/>
      <c r="S2011" s="294"/>
      <c r="T2011" s="294"/>
      <c r="U2011" s="326"/>
      <c r="V2011" s="294"/>
      <c r="W2011" s="294"/>
      <c r="X2011" s="294"/>
      <c r="Y2011" s="294"/>
      <c r="Z2011" s="294"/>
      <c r="AA2011" s="294"/>
      <c r="AB2011" s="294"/>
      <c r="AC2011" s="294"/>
    </row>
    <row r="2012" spans="2:29" x14ac:dyDescent="0.25">
      <c r="B2012" s="294"/>
      <c r="C2012" s="294"/>
      <c r="D2012" s="294"/>
      <c r="E2012" s="294"/>
      <c r="F2012" s="294"/>
      <c r="G2012" s="294"/>
      <c r="H2012" s="294"/>
      <c r="I2012" s="294"/>
      <c r="J2012" s="294"/>
      <c r="L2012" s="295"/>
      <c r="M2012" s="294"/>
      <c r="O2012" s="294"/>
      <c r="P2012" s="294"/>
      <c r="Q2012" s="294"/>
      <c r="R2012" s="294"/>
      <c r="S2012" s="294"/>
      <c r="T2012" s="294"/>
      <c r="U2012" s="326"/>
      <c r="V2012" s="294"/>
      <c r="W2012" s="294"/>
      <c r="X2012" s="294"/>
      <c r="Y2012" s="294"/>
      <c r="Z2012" s="294"/>
      <c r="AA2012" s="294"/>
      <c r="AB2012" s="294"/>
      <c r="AC2012" s="294"/>
    </row>
    <row r="2013" spans="2:29" x14ac:dyDescent="0.25">
      <c r="B2013" s="294"/>
      <c r="C2013" s="294"/>
      <c r="D2013" s="294"/>
      <c r="E2013" s="294"/>
      <c r="F2013" s="294"/>
      <c r="G2013" s="294"/>
      <c r="H2013" s="294"/>
      <c r="I2013" s="294"/>
      <c r="J2013" s="294"/>
      <c r="L2013" s="295"/>
      <c r="M2013" s="294"/>
      <c r="O2013" s="294"/>
      <c r="P2013" s="294"/>
      <c r="Q2013" s="294"/>
      <c r="R2013" s="294"/>
      <c r="S2013" s="294"/>
      <c r="T2013" s="294"/>
      <c r="U2013" s="326"/>
      <c r="V2013" s="294"/>
      <c r="W2013" s="294"/>
      <c r="X2013" s="294"/>
      <c r="Y2013" s="294"/>
      <c r="Z2013" s="294"/>
      <c r="AA2013" s="294"/>
      <c r="AB2013" s="294"/>
      <c r="AC2013" s="294"/>
    </row>
    <row r="2014" spans="2:29" x14ac:dyDescent="0.25">
      <c r="B2014" s="294"/>
      <c r="C2014" s="294"/>
      <c r="D2014" s="294"/>
      <c r="E2014" s="294"/>
      <c r="F2014" s="294"/>
      <c r="G2014" s="294"/>
      <c r="H2014" s="294"/>
      <c r="I2014" s="294"/>
      <c r="J2014" s="294"/>
      <c r="L2014" s="295"/>
      <c r="M2014" s="294"/>
      <c r="O2014" s="294"/>
      <c r="P2014" s="294"/>
      <c r="Q2014" s="294"/>
      <c r="R2014" s="294"/>
      <c r="S2014" s="294"/>
      <c r="T2014" s="294"/>
      <c r="U2014" s="326"/>
      <c r="V2014" s="294"/>
      <c r="W2014" s="294"/>
      <c r="X2014" s="294"/>
      <c r="Y2014" s="294"/>
      <c r="Z2014" s="294"/>
      <c r="AA2014" s="294"/>
      <c r="AB2014" s="294"/>
      <c r="AC2014" s="294"/>
    </row>
    <row r="2015" spans="2:29" x14ac:dyDescent="0.25">
      <c r="B2015" s="294"/>
      <c r="C2015" s="294"/>
      <c r="D2015" s="294"/>
      <c r="E2015" s="294"/>
      <c r="F2015" s="294"/>
      <c r="G2015" s="294"/>
      <c r="H2015" s="294"/>
      <c r="I2015" s="294"/>
      <c r="J2015" s="294"/>
      <c r="L2015" s="295"/>
      <c r="M2015" s="294"/>
      <c r="O2015" s="294"/>
      <c r="P2015" s="294"/>
      <c r="Q2015" s="294"/>
      <c r="R2015" s="294"/>
      <c r="S2015" s="294"/>
      <c r="T2015" s="294"/>
      <c r="U2015" s="326"/>
      <c r="V2015" s="294"/>
      <c r="W2015" s="294"/>
      <c r="X2015" s="294"/>
      <c r="Y2015" s="294"/>
      <c r="Z2015" s="294"/>
      <c r="AA2015" s="294"/>
      <c r="AB2015" s="294"/>
      <c r="AC2015" s="294"/>
    </row>
    <row r="2016" spans="2:29" x14ac:dyDescent="0.25">
      <c r="B2016" s="294"/>
      <c r="C2016" s="294"/>
      <c r="D2016" s="294"/>
      <c r="E2016" s="294"/>
      <c r="F2016" s="294"/>
      <c r="G2016" s="294"/>
      <c r="H2016" s="294"/>
      <c r="I2016" s="294"/>
      <c r="J2016" s="294"/>
      <c r="L2016" s="295"/>
      <c r="M2016" s="294"/>
      <c r="O2016" s="294"/>
      <c r="P2016" s="294"/>
      <c r="Q2016" s="294"/>
      <c r="R2016" s="294"/>
      <c r="S2016" s="294"/>
      <c r="T2016" s="294"/>
      <c r="U2016" s="326"/>
      <c r="V2016" s="294"/>
      <c r="W2016" s="294"/>
      <c r="X2016" s="294"/>
      <c r="Y2016" s="294"/>
      <c r="Z2016" s="294"/>
      <c r="AA2016" s="294"/>
      <c r="AB2016" s="294"/>
      <c r="AC2016" s="294"/>
    </row>
    <row r="2017" spans="2:29" x14ac:dyDescent="0.25">
      <c r="B2017" s="294"/>
      <c r="C2017" s="294"/>
      <c r="D2017" s="294"/>
      <c r="E2017" s="294"/>
      <c r="F2017" s="294"/>
      <c r="G2017" s="294"/>
      <c r="H2017" s="294"/>
      <c r="I2017" s="294"/>
      <c r="J2017" s="294"/>
      <c r="L2017" s="295"/>
      <c r="M2017" s="294"/>
      <c r="O2017" s="294"/>
      <c r="P2017" s="294"/>
      <c r="Q2017" s="294"/>
      <c r="R2017" s="294"/>
      <c r="S2017" s="294"/>
      <c r="T2017" s="294"/>
      <c r="U2017" s="326"/>
      <c r="V2017" s="294"/>
      <c r="W2017" s="294"/>
      <c r="X2017" s="294"/>
      <c r="Y2017" s="294"/>
      <c r="Z2017" s="294"/>
      <c r="AA2017" s="294"/>
      <c r="AB2017" s="294"/>
      <c r="AC2017" s="294"/>
    </row>
    <row r="2018" spans="2:29" x14ac:dyDescent="0.25">
      <c r="B2018" s="294"/>
      <c r="C2018" s="294"/>
      <c r="D2018" s="294"/>
      <c r="E2018" s="294"/>
      <c r="F2018" s="294"/>
      <c r="G2018" s="294"/>
      <c r="H2018" s="294"/>
      <c r="I2018" s="294"/>
      <c r="J2018" s="294"/>
      <c r="L2018" s="295"/>
      <c r="M2018" s="294"/>
      <c r="O2018" s="294"/>
      <c r="P2018" s="294"/>
      <c r="Q2018" s="294"/>
      <c r="R2018" s="294"/>
      <c r="S2018" s="294"/>
      <c r="T2018" s="294"/>
      <c r="U2018" s="326"/>
      <c r="V2018" s="294"/>
      <c r="W2018" s="294"/>
      <c r="X2018" s="294"/>
      <c r="Y2018" s="294"/>
      <c r="Z2018" s="294"/>
      <c r="AA2018" s="294"/>
      <c r="AB2018" s="294"/>
      <c r="AC2018" s="294"/>
    </row>
    <row r="2019" spans="2:29" x14ac:dyDescent="0.25">
      <c r="B2019" s="294"/>
      <c r="C2019" s="294"/>
      <c r="D2019" s="294"/>
      <c r="E2019" s="294"/>
      <c r="F2019" s="294"/>
      <c r="G2019" s="294"/>
      <c r="H2019" s="294"/>
      <c r="I2019" s="294"/>
      <c r="J2019" s="294"/>
      <c r="L2019" s="295"/>
      <c r="M2019" s="294"/>
      <c r="O2019" s="294"/>
      <c r="P2019" s="294"/>
      <c r="Q2019" s="294"/>
      <c r="R2019" s="294"/>
      <c r="S2019" s="294"/>
      <c r="T2019" s="294"/>
      <c r="U2019" s="326"/>
      <c r="V2019" s="294"/>
      <c r="W2019" s="294"/>
      <c r="X2019" s="294"/>
      <c r="Y2019" s="294"/>
      <c r="Z2019" s="294"/>
      <c r="AA2019" s="294"/>
      <c r="AB2019" s="294"/>
      <c r="AC2019" s="294"/>
    </row>
  </sheetData>
  <mergeCells count="12">
    <mergeCell ref="B1:N1"/>
    <mergeCell ref="AD1:AU1"/>
    <mergeCell ref="B3:N3"/>
    <mergeCell ref="AD3:AU3"/>
    <mergeCell ref="B5:N5"/>
    <mergeCell ref="AD5:AU5"/>
    <mergeCell ref="M104:N104"/>
    <mergeCell ref="O104:P104"/>
    <mergeCell ref="S104:T104"/>
    <mergeCell ref="B7:N7"/>
    <mergeCell ref="AD7:AU7"/>
    <mergeCell ref="B8:C8"/>
  </mergeCells>
  <pageMargins left="0.51181102362204722" right="0.51181102362204722" top="0.78740157480314965" bottom="0.78740157480314965" header="0.31496062992125984" footer="0.31496062992125984"/>
  <pageSetup paperSize="9" scale="45" orientation="landscape" horizontalDpi="0" verticalDpi="0" r:id="rId1"/>
  <tableParts count="2">
    <tablePart r:id="rId2"/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110"/>
  <sheetViews>
    <sheetView topLeftCell="A89" workbookViewId="0">
      <selection activeCell="F103" sqref="F103"/>
    </sheetView>
  </sheetViews>
  <sheetFormatPr defaultRowHeight="15" x14ac:dyDescent="0.25"/>
  <cols>
    <col min="1" max="1" width="2" style="294" customWidth="1"/>
    <col min="2" max="2" width="12.28515625" style="291" customWidth="1"/>
    <col min="3" max="3" width="33.140625" style="292" customWidth="1"/>
    <col min="4" max="4" width="32.7109375" style="292" customWidth="1"/>
    <col min="5" max="5" width="14.140625" style="292" customWidth="1"/>
    <col min="6" max="6" width="18.28515625" style="292" customWidth="1"/>
    <col min="7" max="7" width="31.5703125" style="293" customWidth="1"/>
    <col min="8" max="10" width="12.28515625" style="291" customWidth="1"/>
    <col min="11" max="11" width="13.5703125" style="294" customWidth="1"/>
    <col min="12" max="12" width="13.5703125" style="327" customWidth="1"/>
    <col min="13" max="13" width="13.5703125" style="291" customWidth="1"/>
    <col min="14" max="14" width="16.7109375" style="294" bestFit="1" customWidth="1"/>
    <col min="15" max="15" width="13.5703125" style="328" customWidth="1"/>
    <col min="16" max="23" width="13.5703125" style="298" customWidth="1"/>
    <col min="24" max="24" width="13.85546875" style="298" customWidth="1"/>
    <col min="25" max="32" width="13.5703125" style="298" customWidth="1"/>
    <col min="33" max="33" width="21" style="298" bestFit="1" customWidth="1"/>
    <col min="34" max="34" width="23.85546875" style="294" bestFit="1" customWidth="1"/>
    <col min="35" max="35" width="16.42578125" style="294" customWidth="1"/>
    <col min="36" max="36" width="16.7109375" style="294" bestFit="1" customWidth="1"/>
    <col min="37" max="37" width="16.42578125" style="294" customWidth="1"/>
    <col min="38" max="16384" width="9.140625" style="294"/>
  </cols>
  <sheetData>
    <row r="1" spans="2:58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1466"/>
      <c r="AE1" s="1466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</row>
    <row r="2" spans="2:58" s="410" customFormat="1" ht="12.75" customHeight="1" x14ac:dyDescent="0.35">
      <c r="C2" s="412"/>
      <c r="D2" s="411"/>
      <c r="G2" s="412"/>
      <c r="P2" s="412"/>
      <c r="Q2" s="411"/>
      <c r="T2" s="412"/>
      <c r="AM2" s="412"/>
      <c r="AN2" s="411"/>
      <c r="AQ2" s="412"/>
    </row>
    <row r="3" spans="2:58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1466"/>
      <c r="AE3" s="1466"/>
      <c r="AF3" s="1466"/>
      <c r="AG3" s="1466"/>
      <c r="AH3" s="1466"/>
      <c r="AI3" s="1466"/>
      <c r="AJ3" s="1466"/>
      <c r="AK3" s="1466"/>
      <c r="AL3" s="1466"/>
      <c r="AM3" s="1466"/>
      <c r="AN3" s="1466"/>
      <c r="AO3" s="1466"/>
      <c r="AP3" s="1466"/>
      <c r="AQ3" s="1466"/>
      <c r="AR3" s="1466"/>
      <c r="AS3" s="1466"/>
      <c r="AT3" s="1466"/>
      <c r="AU3" s="1466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</row>
    <row r="4" spans="2:58" s="410" customFormat="1" ht="10.5" customHeight="1" x14ac:dyDescent="0.35">
      <c r="C4" s="412"/>
      <c r="D4" s="411"/>
      <c r="G4" s="412"/>
      <c r="P4" s="412"/>
      <c r="Q4" s="411"/>
      <c r="T4" s="412"/>
      <c r="AM4" s="412"/>
      <c r="AN4" s="411"/>
      <c r="AQ4" s="412"/>
    </row>
    <row r="5" spans="2:58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1470"/>
      <c r="AE5" s="1470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  <c r="AQ5" s="1470"/>
      <c r="AR5" s="1470"/>
      <c r="AS5" s="1470"/>
      <c r="AT5" s="1470"/>
      <c r="AU5" s="1470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</row>
    <row r="6" spans="2:58" s="5" customFormat="1" ht="23.25" customHeight="1" x14ac:dyDescent="0.25">
      <c r="B6" s="354"/>
      <c r="C6" s="270"/>
      <c r="D6" s="270"/>
      <c r="E6" s="270"/>
      <c r="F6" s="270"/>
      <c r="G6" s="352"/>
      <c r="H6" s="354"/>
      <c r="I6" s="354"/>
      <c r="J6" s="354"/>
      <c r="L6" s="277"/>
      <c r="M6" s="354"/>
      <c r="N6" s="354"/>
      <c r="O6" s="354"/>
      <c r="P6" s="270"/>
      <c r="Q6" s="270"/>
      <c r="R6" s="270"/>
      <c r="S6" s="270"/>
      <c r="T6" s="352"/>
      <c r="U6" s="354"/>
      <c r="V6" s="354"/>
      <c r="W6" s="354"/>
      <c r="Y6" s="277"/>
      <c r="Z6" s="354"/>
      <c r="AA6" s="354"/>
      <c r="AB6" s="354"/>
      <c r="AD6" s="354"/>
      <c r="AF6" s="272"/>
      <c r="AG6" s="272"/>
      <c r="AH6" s="272"/>
      <c r="AI6" s="272"/>
      <c r="AJ6" s="272"/>
      <c r="AM6" s="270"/>
      <c r="AN6" s="270"/>
      <c r="AO6" s="270"/>
      <c r="AP6" s="270"/>
      <c r="AQ6" s="352"/>
      <c r="AR6" s="354"/>
      <c r="AS6" s="354"/>
      <c r="AT6" s="354"/>
      <c r="AV6" s="277"/>
      <c r="AW6" s="354"/>
      <c r="BA6" s="272"/>
      <c r="BB6" s="272"/>
      <c r="BC6" s="272"/>
      <c r="BD6" s="272"/>
      <c r="BE6" s="272"/>
    </row>
    <row r="7" spans="2:58" s="5" customFormat="1" ht="30" customHeight="1" x14ac:dyDescent="0.25">
      <c r="B7" s="1543" t="s">
        <v>2948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526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6"/>
      <c r="AC7" s="526"/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3"/>
      <c r="AU7" s="1543"/>
      <c r="AV7" s="526"/>
      <c r="AW7" s="526"/>
      <c r="AX7" s="526"/>
      <c r="AY7" s="526"/>
      <c r="AZ7" s="526"/>
      <c r="BA7" s="526"/>
      <c r="BB7" s="526"/>
      <c r="BC7" s="526"/>
      <c r="BD7" s="526"/>
      <c r="BE7" s="526"/>
      <c r="BF7" s="526"/>
    </row>
    <row r="8" spans="2:58" x14ac:dyDescent="0.25">
      <c r="B8" s="1544"/>
      <c r="C8" s="1544"/>
      <c r="L8" s="295"/>
    </row>
    <row r="9" spans="2:58" ht="57.75" customHeight="1" x14ac:dyDescent="0.25">
      <c r="B9" s="1066" t="s">
        <v>7136</v>
      </c>
      <c r="C9" s="1069" t="s">
        <v>7137</v>
      </c>
      <c r="D9" s="1069" t="s">
        <v>7138</v>
      </c>
      <c r="E9" s="1069" t="s">
        <v>7139</v>
      </c>
      <c r="F9" s="1069" t="s">
        <v>7140</v>
      </c>
      <c r="G9" s="1069" t="s">
        <v>7141</v>
      </c>
      <c r="H9" s="1069" t="s">
        <v>7142</v>
      </c>
      <c r="I9" s="1069" t="s">
        <v>7143</v>
      </c>
      <c r="J9" s="1069" t="s">
        <v>7144</v>
      </c>
      <c r="K9" s="1069" t="s">
        <v>7145</v>
      </c>
      <c r="L9" s="1069" t="s">
        <v>7146</v>
      </c>
      <c r="M9" s="1069" t="s">
        <v>7147</v>
      </c>
      <c r="N9" s="1069" t="s">
        <v>7148</v>
      </c>
      <c r="O9" s="1069" t="s">
        <v>7149</v>
      </c>
      <c r="P9" s="1069" t="s">
        <v>7150</v>
      </c>
      <c r="Q9" s="1069" t="s">
        <v>7151</v>
      </c>
      <c r="R9" s="1069" t="s">
        <v>7152</v>
      </c>
      <c r="S9" s="1069" t="s">
        <v>7153</v>
      </c>
      <c r="T9" s="1069" t="s">
        <v>7154</v>
      </c>
      <c r="U9" s="1069" t="s">
        <v>7155</v>
      </c>
      <c r="V9" s="1069" t="s">
        <v>7156</v>
      </c>
      <c r="W9" s="1069" t="s">
        <v>7157</v>
      </c>
      <c r="X9" s="1069" t="s">
        <v>7158</v>
      </c>
      <c r="Y9" s="1069" t="s">
        <v>7159</v>
      </c>
      <c r="Z9" s="1069" t="s">
        <v>7160</v>
      </c>
      <c r="AA9" s="1069" t="s">
        <v>7161</v>
      </c>
      <c r="AB9" s="1069" t="s">
        <v>7162</v>
      </c>
      <c r="AC9" s="1069" t="s">
        <v>7163</v>
      </c>
      <c r="AD9" s="1069" t="s">
        <v>7164</v>
      </c>
      <c r="AE9" s="1069" t="s">
        <v>7165</v>
      </c>
      <c r="AF9" s="1069" t="s">
        <v>7166</v>
      </c>
      <c r="AG9" s="1069" t="s">
        <v>7167</v>
      </c>
      <c r="AH9" s="1069" t="s">
        <v>7168</v>
      </c>
      <c r="AI9" s="1069" t="s">
        <v>7169</v>
      </c>
      <c r="AJ9" s="1069" t="s">
        <v>7170</v>
      </c>
      <c r="AK9" s="1072" t="s">
        <v>7171</v>
      </c>
    </row>
    <row r="10" spans="2:58" ht="74.25" x14ac:dyDescent="0.25">
      <c r="B10" s="1066" t="s">
        <v>2719</v>
      </c>
      <c r="C10" s="1069" t="s">
        <v>2622</v>
      </c>
      <c r="D10" s="1069"/>
      <c r="E10" s="1069"/>
      <c r="F10" s="1069"/>
      <c r="G10" s="1069"/>
      <c r="H10" s="1069"/>
      <c r="I10" s="1069"/>
      <c r="J10" s="1069"/>
      <c r="K10" s="1069"/>
      <c r="L10" s="1069"/>
      <c r="M10" s="1069"/>
      <c r="N10" s="1069"/>
      <c r="O10" s="1069"/>
      <c r="P10" s="1069"/>
      <c r="Q10" s="1069"/>
      <c r="R10" s="1069"/>
      <c r="S10" s="1069"/>
      <c r="T10" s="1069"/>
      <c r="U10" s="1069"/>
      <c r="V10" s="1069"/>
      <c r="W10" s="1069"/>
      <c r="X10" s="1069"/>
      <c r="Y10" s="1069"/>
      <c r="Z10" s="1069"/>
      <c r="AA10" s="1069"/>
      <c r="AB10" s="1069"/>
      <c r="AC10" s="1069"/>
      <c r="AD10" s="1069"/>
      <c r="AE10" s="1069"/>
      <c r="AF10" s="1069"/>
      <c r="AG10" s="1069"/>
      <c r="AH10" s="1069"/>
      <c r="AI10" s="1069"/>
      <c r="AJ10" s="1069"/>
      <c r="AK10" s="1072">
        <v>639.66999999999996</v>
      </c>
    </row>
    <row r="11" spans="2:58" s="299" customFormat="1" x14ac:dyDescent="0.25">
      <c r="B11" s="1066"/>
      <c r="C11" s="1069"/>
      <c r="D11" s="1069"/>
      <c r="E11" s="1069"/>
      <c r="F11" s="1069"/>
      <c r="G11" s="1069"/>
      <c r="H11" s="1069"/>
      <c r="I11" s="1069"/>
      <c r="J11" s="1069"/>
      <c r="K11" s="1069"/>
      <c r="L11" s="1069"/>
      <c r="M11" s="1069"/>
      <c r="N11" s="1069"/>
      <c r="O11" s="1069"/>
      <c r="P11" s="1069"/>
      <c r="Q11" s="1069"/>
      <c r="R11" s="1069"/>
      <c r="S11" s="1069"/>
      <c r="T11" s="1069"/>
      <c r="U11" s="1069"/>
      <c r="V11" s="1069"/>
      <c r="W11" s="1069"/>
      <c r="X11" s="1069"/>
      <c r="Y11" s="1069"/>
      <c r="Z11" s="1069"/>
      <c r="AA11" s="1069"/>
      <c r="AB11" s="1069"/>
      <c r="AC11" s="1069"/>
      <c r="AD11" s="1069"/>
      <c r="AE11" s="1069"/>
      <c r="AF11" s="1069"/>
      <c r="AG11" s="1069"/>
      <c r="AH11" s="1069"/>
      <c r="AI11" s="1069"/>
      <c r="AJ11" s="1069"/>
      <c r="AK11" s="1072"/>
    </row>
    <row r="12" spans="2:58" s="299" customFormat="1" ht="48" customHeight="1" x14ac:dyDescent="0.25">
      <c r="B12" s="1066"/>
      <c r="C12" s="1065" t="s">
        <v>2623</v>
      </c>
      <c r="D12" s="1065" t="s">
        <v>2624</v>
      </c>
      <c r="E12" s="1065" t="s">
        <v>2722</v>
      </c>
      <c r="F12" s="1065" t="s">
        <v>2593</v>
      </c>
      <c r="G12" s="1073" t="s">
        <v>2765</v>
      </c>
      <c r="H12" s="1074" t="s">
        <v>2729</v>
      </c>
      <c r="I12" s="1065" t="s">
        <v>2625</v>
      </c>
      <c r="J12" s="1066" t="s">
        <v>2738</v>
      </c>
      <c r="K12" s="1066" t="s">
        <v>2626</v>
      </c>
      <c r="L12" s="1065" t="s">
        <v>2627</v>
      </c>
      <c r="M12" s="1067" t="s">
        <v>2629</v>
      </c>
      <c r="N12" s="1067"/>
      <c r="O12" s="1067" t="s">
        <v>2630</v>
      </c>
      <c r="P12" s="1067"/>
      <c r="Q12" s="1064" t="s">
        <v>2740</v>
      </c>
      <c r="R12" s="1064" t="s">
        <v>2814</v>
      </c>
      <c r="S12" s="1064" t="s">
        <v>2751</v>
      </c>
      <c r="T12" s="1064"/>
      <c r="U12" s="1064" t="s">
        <v>2741</v>
      </c>
      <c r="V12" s="1064"/>
      <c r="W12" s="1064" t="s">
        <v>2789</v>
      </c>
      <c r="X12" s="1064"/>
      <c r="Y12" s="1064" t="s">
        <v>2761</v>
      </c>
      <c r="Z12" s="1064" t="s">
        <v>2760</v>
      </c>
      <c r="AA12" s="1064" t="s">
        <v>2783</v>
      </c>
      <c r="AB12" s="1064" t="s">
        <v>2782</v>
      </c>
      <c r="AC12" s="1064" t="s">
        <v>2743</v>
      </c>
      <c r="AD12" s="1064" t="s">
        <v>2744</v>
      </c>
      <c r="AE12" s="1064" t="s">
        <v>2745</v>
      </c>
      <c r="AF12" s="1064" t="s">
        <v>2750</v>
      </c>
      <c r="AG12" s="1064" t="s">
        <v>2742</v>
      </c>
      <c r="AH12" s="1070" t="s">
        <v>2734</v>
      </c>
      <c r="AI12" s="1070" t="s">
        <v>2735</v>
      </c>
      <c r="AJ12" s="1071" t="s">
        <v>2736</v>
      </c>
      <c r="AK12" s="1070" t="s">
        <v>2737</v>
      </c>
    </row>
    <row r="13" spans="2:58" s="299" customFormat="1" x14ac:dyDescent="0.25">
      <c r="B13" s="1066"/>
      <c r="C13" s="1065"/>
      <c r="D13" s="1065"/>
      <c r="E13" s="1065"/>
      <c r="F13" s="1065"/>
      <c r="G13" s="1073"/>
      <c r="H13" s="1074"/>
      <c r="I13" s="1065"/>
      <c r="J13" s="1066"/>
      <c r="K13" s="1066"/>
      <c r="L13" s="1065"/>
      <c r="M13" s="1065" t="s">
        <v>2628</v>
      </c>
      <c r="N13" s="1067" t="s">
        <v>2480</v>
      </c>
      <c r="O13" s="1067" t="s">
        <v>97</v>
      </c>
      <c r="P13" s="1067" t="s">
        <v>2480</v>
      </c>
      <c r="Q13" s="1064"/>
      <c r="R13" s="1064"/>
      <c r="S13" s="1064" t="s">
        <v>97</v>
      </c>
      <c r="T13" s="1064" t="s">
        <v>2480</v>
      </c>
      <c r="U13" s="1064" t="s">
        <v>97</v>
      </c>
      <c r="V13" s="1064" t="s">
        <v>2480</v>
      </c>
      <c r="W13" s="1064" t="s">
        <v>97</v>
      </c>
      <c r="X13" s="1064" t="s">
        <v>2480</v>
      </c>
      <c r="Y13" s="1064"/>
      <c r="Z13" s="1064"/>
      <c r="AA13" s="1064"/>
      <c r="AB13" s="1064"/>
      <c r="AC13" s="1064"/>
      <c r="AD13" s="1064"/>
      <c r="AE13" s="1064"/>
      <c r="AF13" s="1064"/>
      <c r="AG13" s="1064"/>
      <c r="AH13" s="1070"/>
      <c r="AI13" s="1070"/>
      <c r="AJ13" s="1071"/>
      <c r="AK13" s="1070"/>
    </row>
    <row r="14" spans="2:58" s="299" customFormat="1" x14ac:dyDescent="0.25">
      <c r="B14" s="1066"/>
      <c r="C14" s="1065"/>
      <c r="D14" s="1065"/>
      <c r="E14" s="1065"/>
      <c r="F14" s="1065"/>
      <c r="G14" s="1073"/>
      <c r="H14" s="1074"/>
      <c r="I14" s="1065"/>
      <c r="J14" s="1066"/>
      <c r="K14" s="1066"/>
      <c r="L14" s="1065"/>
      <c r="M14" s="1065"/>
      <c r="N14" s="1067"/>
      <c r="O14" s="1067"/>
      <c r="P14" s="1067"/>
      <c r="Q14" s="1064"/>
      <c r="R14" s="1064"/>
      <c r="S14" s="1064"/>
      <c r="T14" s="1064"/>
      <c r="U14" s="1064"/>
      <c r="V14" s="1064"/>
      <c r="W14" s="1064"/>
      <c r="X14" s="1064"/>
      <c r="Y14" s="1064"/>
      <c r="Z14" s="1064"/>
      <c r="AA14" s="1064"/>
      <c r="AB14" s="1064"/>
      <c r="AC14" s="1064"/>
      <c r="AD14" s="1064"/>
      <c r="AE14" s="1064"/>
      <c r="AF14" s="1064"/>
      <c r="AG14" s="1064"/>
      <c r="AH14" s="1070"/>
      <c r="AI14" s="1070"/>
      <c r="AJ14" s="1071"/>
      <c r="AK14" s="1070"/>
    </row>
    <row r="15" spans="2:58" s="299" customFormat="1" ht="15.75" x14ac:dyDescent="0.25">
      <c r="B15" s="295">
        <v>2349</v>
      </c>
      <c r="C15" s="314" t="s">
        <v>2926</v>
      </c>
      <c r="D15" s="304" t="s">
        <v>2654</v>
      </c>
      <c r="E15" s="304" t="s">
        <v>2757</v>
      </c>
      <c r="F15" s="304" t="s">
        <v>2651</v>
      </c>
      <c r="G15" s="304" t="s">
        <v>2777</v>
      </c>
      <c r="H15" s="305">
        <v>1</v>
      </c>
      <c r="I15" s="295">
        <v>44</v>
      </c>
      <c r="J15" s="295" t="s">
        <v>2636</v>
      </c>
      <c r="K15" s="295">
        <v>0</v>
      </c>
      <c r="L15" s="306">
        <v>43588</v>
      </c>
      <c r="M15" s="295">
        <v>2</v>
      </c>
      <c r="N15" s="307">
        <f>M15*AK10</f>
        <v>1279.3399999999999</v>
      </c>
      <c r="O15" s="333">
        <v>0</v>
      </c>
      <c r="P15" s="311">
        <f>N15*O15</f>
        <v>0</v>
      </c>
      <c r="Q15" s="311">
        <v>0</v>
      </c>
      <c r="R15" s="311">
        <v>0</v>
      </c>
      <c r="S15" s="312">
        <v>0</v>
      </c>
      <c r="T15" s="311">
        <f>N15*S15</f>
        <v>0</v>
      </c>
      <c r="U15" s="312">
        <f>0/N15</f>
        <v>0</v>
      </c>
      <c r="V15" s="311">
        <f>N15*U15</f>
        <v>0</v>
      </c>
      <c r="W15" s="312">
        <v>0</v>
      </c>
      <c r="X15" s="311">
        <f>N15*W15</f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1">
        <v>0</v>
      </c>
      <c r="AE15" s="311">
        <v>0</v>
      </c>
      <c r="AF15" s="311">
        <v>0</v>
      </c>
      <c r="AG15" s="311">
        <v>0</v>
      </c>
      <c r="AH15" s="313">
        <f>(N15+Q15+R15)/3</f>
        <v>426.44666666666666</v>
      </c>
      <c r="AI15" s="313">
        <f>AH15*O15</f>
        <v>0</v>
      </c>
      <c r="AJ15" s="313">
        <f>N15</f>
        <v>1279.3399999999999</v>
      </c>
      <c r="AK15" s="313">
        <f>AJ15*O15</f>
        <v>0</v>
      </c>
    </row>
    <row r="16" spans="2:58" s="299" customFormat="1" ht="15.75" x14ac:dyDescent="0.25">
      <c r="B16" s="295">
        <v>2354</v>
      </c>
      <c r="C16" s="314" t="s">
        <v>7200</v>
      </c>
      <c r="D16" s="304" t="s">
        <v>2654</v>
      </c>
      <c r="E16" s="304" t="s">
        <v>2757</v>
      </c>
      <c r="F16" s="304" t="s">
        <v>2651</v>
      </c>
      <c r="G16" s="304" t="s">
        <v>2777</v>
      </c>
      <c r="H16" s="305">
        <v>1</v>
      </c>
      <c r="I16" s="295">
        <v>44</v>
      </c>
      <c r="J16" s="295" t="s">
        <v>2636</v>
      </c>
      <c r="K16" s="295">
        <v>0</v>
      </c>
      <c r="L16" s="306">
        <v>43588</v>
      </c>
      <c r="M16" s="295">
        <v>2</v>
      </c>
      <c r="N16" s="307">
        <f>M16*AK10</f>
        <v>1279.3399999999999</v>
      </c>
      <c r="O16" s="333">
        <v>0</v>
      </c>
      <c r="P16" s="311">
        <f>N16*O16</f>
        <v>0</v>
      </c>
      <c r="Q16" s="311">
        <v>0</v>
      </c>
      <c r="R16" s="311">
        <v>0</v>
      </c>
      <c r="S16" s="312">
        <v>0</v>
      </c>
      <c r="T16" s="311">
        <f>N16*S16</f>
        <v>0</v>
      </c>
      <c r="U16" s="312">
        <f>0/N16</f>
        <v>0</v>
      </c>
      <c r="V16" s="311">
        <f>N16*U16</f>
        <v>0</v>
      </c>
      <c r="W16" s="312">
        <v>0</v>
      </c>
      <c r="X16" s="311">
        <f>N16*W16</f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v>0</v>
      </c>
      <c r="AG16" s="311">
        <v>0</v>
      </c>
      <c r="AH16" s="313">
        <f>(N16+Q16+R16)/3</f>
        <v>426.44666666666666</v>
      </c>
      <c r="AI16" s="313">
        <f>AH16*O16</f>
        <v>0</v>
      </c>
      <c r="AJ16" s="313">
        <f>N16</f>
        <v>1279.3399999999999</v>
      </c>
      <c r="AK16" s="313">
        <f>AJ16*O16</f>
        <v>0</v>
      </c>
    </row>
    <row r="17" spans="2:37" s="299" customFormat="1" ht="15.75" x14ac:dyDescent="0.25">
      <c r="B17" s="295">
        <v>2292</v>
      </c>
      <c r="C17" s="314" t="s">
        <v>2928</v>
      </c>
      <c r="D17" s="304" t="s">
        <v>2682</v>
      </c>
      <c r="E17" s="304" t="s">
        <v>2757</v>
      </c>
      <c r="F17" s="304" t="s">
        <v>2651</v>
      </c>
      <c r="G17" s="304" t="s">
        <v>2777</v>
      </c>
      <c r="H17" s="305">
        <v>1</v>
      </c>
      <c r="I17" s="295">
        <v>44</v>
      </c>
      <c r="J17" s="295" t="s">
        <v>2636</v>
      </c>
      <c r="K17" s="295">
        <v>0</v>
      </c>
      <c r="L17" s="306">
        <v>43362</v>
      </c>
      <c r="M17" s="295">
        <v>3</v>
      </c>
      <c r="N17" s="307">
        <f>M17*AK10</f>
        <v>1919.0099999999998</v>
      </c>
      <c r="O17" s="333">
        <v>0</v>
      </c>
      <c r="P17" s="311">
        <f>N17*O17</f>
        <v>0</v>
      </c>
      <c r="Q17" s="311">
        <v>0</v>
      </c>
      <c r="R17" s="311">
        <v>0</v>
      </c>
      <c r="S17" s="312">
        <v>0</v>
      </c>
      <c r="T17" s="311">
        <f>N17*S17</f>
        <v>0</v>
      </c>
      <c r="U17" s="312">
        <f>47.95/N17</f>
        <v>2.4986842173829217E-2</v>
      </c>
      <c r="V17" s="311">
        <f>N17*U17</f>
        <v>47.95</v>
      </c>
      <c r="W17" s="312">
        <v>0</v>
      </c>
      <c r="X17" s="311">
        <f>N17*W17</f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  <c r="AE17" s="311">
        <v>0</v>
      </c>
      <c r="AF17" s="311">
        <v>0</v>
      </c>
      <c r="AG17" s="311">
        <v>0</v>
      </c>
      <c r="AH17" s="313">
        <f>(N17+Q17+R17)/3</f>
        <v>639.66999999999996</v>
      </c>
      <c r="AI17" s="313">
        <f>AH17*O17</f>
        <v>0</v>
      </c>
      <c r="AJ17" s="313">
        <f>N17</f>
        <v>1919.0099999999998</v>
      </c>
      <c r="AK17" s="313">
        <f>AJ17*O17</f>
        <v>0</v>
      </c>
    </row>
    <row r="18" spans="2:37" s="299" customFormat="1" x14ac:dyDescent="0.25">
      <c r="B18" s="1068" t="s">
        <v>2907</v>
      </c>
      <c r="C18" s="342"/>
      <c r="D18" s="342"/>
      <c r="E18" s="342"/>
      <c r="F18" s="342"/>
      <c r="G18" s="342"/>
      <c r="H18" s="342"/>
      <c r="I18" s="342"/>
      <c r="J18" s="342"/>
      <c r="K18" s="342"/>
      <c r="L18" s="342"/>
      <c r="M18" s="342"/>
      <c r="N18" s="1153">
        <f>SUM(N15:N17)</f>
        <v>4477.6899999999996</v>
      </c>
      <c r="O18" s="1154"/>
      <c r="P18" s="1153">
        <f t="shared" ref="P18:R18" si="0">SUM(P15:P17)</f>
        <v>0</v>
      </c>
      <c r="Q18" s="1153">
        <f t="shared" si="0"/>
        <v>0</v>
      </c>
      <c r="R18" s="1153">
        <f t="shared" si="0"/>
        <v>0</v>
      </c>
      <c r="S18" s="1155"/>
      <c r="T18" s="1153">
        <f>SUM(T15:T17)</f>
        <v>0</v>
      </c>
      <c r="U18" s="1155"/>
      <c r="V18" s="1153">
        <f>SUM(V15:V17)</f>
        <v>47.95</v>
      </c>
      <c r="W18" s="1155"/>
      <c r="X18" s="1153">
        <f t="shared" ref="X18:AK18" si="1">SUM(X15:X17)</f>
        <v>0</v>
      </c>
      <c r="Y18" s="1153">
        <f t="shared" si="1"/>
        <v>0</v>
      </c>
      <c r="Z18" s="1153">
        <f t="shared" si="1"/>
        <v>0</v>
      </c>
      <c r="AA18" s="1153">
        <f t="shared" si="1"/>
        <v>0</v>
      </c>
      <c r="AB18" s="1153">
        <f t="shared" si="1"/>
        <v>0</v>
      </c>
      <c r="AC18" s="1153">
        <f t="shared" si="1"/>
        <v>0</v>
      </c>
      <c r="AD18" s="1153">
        <f t="shared" si="1"/>
        <v>0</v>
      </c>
      <c r="AE18" s="1153">
        <f t="shared" si="1"/>
        <v>0</v>
      </c>
      <c r="AF18" s="1153">
        <f t="shared" si="1"/>
        <v>0</v>
      </c>
      <c r="AG18" s="1153">
        <f t="shared" si="1"/>
        <v>0</v>
      </c>
      <c r="AH18" s="1153">
        <f t="shared" si="1"/>
        <v>1492.5633333333333</v>
      </c>
      <c r="AI18" s="1153">
        <f t="shared" si="1"/>
        <v>0</v>
      </c>
      <c r="AJ18" s="1153">
        <f t="shared" si="1"/>
        <v>4477.6899999999996</v>
      </c>
      <c r="AK18" s="1153">
        <f t="shared" si="1"/>
        <v>0</v>
      </c>
    </row>
    <row r="19" spans="2:37" ht="15.75" x14ac:dyDescent="0.25">
      <c r="B19" s="295">
        <v>1921</v>
      </c>
      <c r="C19" s="304" t="str">
        <f>PROPER("ANA FLAVIA ROCHA NEVES")</f>
        <v>Ana Flavia Rocha Neves</v>
      </c>
      <c r="D19" s="304" t="s">
        <v>2682</v>
      </c>
      <c r="E19" s="304" t="s">
        <v>2739</v>
      </c>
      <c r="F19" s="304" t="s">
        <v>2651</v>
      </c>
      <c r="G19" s="304" t="s">
        <v>2945</v>
      </c>
      <c r="H19" s="305">
        <v>1</v>
      </c>
      <c r="I19" s="295">
        <v>40</v>
      </c>
      <c r="J19" s="295" t="s">
        <v>2636</v>
      </c>
      <c r="K19" s="295">
        <v>1</v>
      </c>
      <c r="L19" s="306">
        <v>42067</v>
      </c>
      <c r="M19" s="295">
        <f>3838.02/639.67</f>
        <v>6</v>
      </c>
      <c r="N19" s="307">
        <f>M19*AK10</f>
        <v>3838.0199999999995</v>
      </c>
      <c r="O19" s="333">
        <v>0.05</v>
      </c>
      <c r="P19" s="311">
        <f>N19*O19</f>
        <v>191.90099999999998</v>
      </c>
      <c r="Q19" s="311">
        <v>0</v>
      </c>
      <c r="R19" s="311">
        <v>0</v>
      </c>
      <c r="S19" s="312">
        <v>0</v>
      </c>
      <c r="T19" s="311">
        <f t="shared" ref="T19:T22" si="2">N19*S19</f>
        <v>0</v>
      </c>
      <c r="U19" s="312">
        <f>51.18/N19</f>
        <v>1.3335000859818345E-2</v>
      </c>
      <c r="V19" s="311">
        <f t="shared" ref="V19:V22" si="3">N19*U19</f>
        <v>51.18</v>
      </c>
      <c r="W19" s="312">
        <v>0</v>
      </c>
      <c r="X19" s="311">
        <f t="shared" ref="X19:X22" si="4">N19*W19</f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  <c r="AE19" s="311">
        <v>0</v>
      </c>
      <c r="AF19" s="311">
        <v>0</v>
      </c>
      <c r="AG19" s="311">
        <v>0</v>
      </c>
      <c r="AH19" s="313">
        <f t="shared" ref="AH19:AH22" si="5">(N19+Q19+R19)/3</f>
        <v>1279.3399999999999</v>
      </c>
      <c r="AI19" s="313">
        <f t="shared" ref="AI19:AI22" si="6">AH19*O19</f>
        <v>63.966999999999999</v>
      </c>
      <c r="AJ19" s="313">
        <f t="shared" ref="AJ19:AJ22" si="7">N19</f>
        <v>3838.0199999999995</v>
      </c>
      <c r="AK19" s="313">
        <f t="shared" ref="AK19:AK22" si="8">AJ19*O19</f>
        <v>191.90099999999998</v>
      </c>
    </row>
    <row r="20" spans="2:37" ht="15.75" x14ac:dyDescent="0.25">
      <c r="B20" s="295">
        <v>1922</v>
      </c>
      <c r="C20" s="304" t="str">
        <f>PROPER("LISIANE MUNCHOW DOS SANTOS")</f>
        <v>Lisiane Munchow Dos Santos</v>
      </c>
      <c r="D20" s="304" t="s">
        <v>2683</v>
      </c>
      <c r="E20" s="304" t="s">
        <v>2739</v>
      </c>
      <c r="F20" s="304" t="s">
        <v>2651</v>
      </c>
      <c r="G20" s="304" t="s">
        <v>2944</v>
      </c>
      <c r="H20" s="305">
        <v>1</v>
      </c>
      <c r="I20" s="295">
        <v>40</v>
      </c>
      <c r="J20" s="295" t="s">
        <v>2636</v>
      </c>
      <c r="K20" s="295">
        <v>1</v>
      </c>
      <c r="L20" s="306">
        <v>42068</v>
      </c>
      <c r="M20" s="295">
        <v>5</v>
      </c>
      <c r="N20" s="307">
        <f>M20*AK10</f>
        <v>3198.35</v>
      </c>
      <c r="O20" s="333">
        <v>0.05</v>
      </c>
      <c r="P20" s="311">
        <f>N20*O20</f>
        <v>159.91750000000002</v>
      </c>
      <c r="Q20" s="311">
        <v>0</v>
      </c>
      <c r="R20" s="311">
        <v>0</v>
      </c>
      <c r="S20" s="312">
        <v>0</v>
      </c>
      <c r="T20" s="311">
        <f t="shared" ref="T20:T21" si="9">N20*S20</f>
        <v>0</v>
      </c>
      <c r="U20" s="312">
        <f>51.18/N20</f>
        <v>1.6002001031782013E-2</v>
      </c>
      <c r="V20" s="311">
        <f t="shared" ref="V20:V21" si="10">N20*U20</f>
        <v>51.18</v>
      </c>
      <c r="W20" s="312">
        <v>0</v>
      </c>
      <c r="X20" s="311">
        <f t="shared" ref="X20:X21" si="11">N20*W20</f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  <c r="AE20" s="311">
        <v>0</v>
      </c>
      <c r="AF20" s="311">
        <v>0</v>
      </c>
      <c r="AG20" s="311">
        <v>0</v>
      </c>
      <c r="AH20" s="313">
        <f t="shared" ref="AH20:AH21" si="12">(N20+Q20+R20)/3</f>
        <v>1066.1166666666666</v>
      </c>
      <c r="AI20" s="313">
        <f t="shared" ref="AI20:AI21" si="13">AH20*O20</f>
        <v>53.305833333333332</v>
      </c>
      <c r="AJ20" s="313">
        <f t="shared" ref="AJ20:AJ21" si="14">N20</f>
        <v>3198.35</v>
      </c>
      <c r="AK20" s="313">
        <f t="shared" ref="AK20:AK21" si="15">AJ20*O20</f>
        <v>159.91750000000002</v>
      </c>
    </row>
    <row r="21" spans="2:37" ht="15.75" x14ac:dyDescent="0.25">
      <c r="B21" s="295">
        <v>1577</v>
      </c>
      <c r="C21" s="314" t="str">
        <f>PROPER("TANIA MADALENA NIEWIROWSKI")</f>
        <v>Tania Madalena Niewirowski</v>
      </c>
      <c r="D21" s="304" t="s">
        <v>2643</v>
      </c>
      <c r="E21" s="304" t="s">
        <v>2739</v>
      </c>
      <c r="F21" s="304" t="s">
        <v>2651</v>
      </c>
      <c r="G21" s="304" t="s">
        <v>2929</v>
      </c>
      <c r="H21" s="305">
        <v>1</v>
      </c>
      <c r="I21" s="295">
        <v>44</v>
      </c>
      <c r="J21" s="295" t="s">
        <v>2634</v>
      </c>
      <c r="K21" s="295">
        <v>0</v>
      </c>
      <c r="L21" s="306">
        <v>40898</v>
      </c>
      <c r="M21" s="295">
        <v>2.0299999999999998</v>
      </c>
      <c r="N21" s="307">
        <f>M21*AK10</f>
        <v>1298.5300999999997</v>
      </c>
      <c r="O21" s="333">
        <v>0.08</v>
      </c>
      <c r="P21" s="311">
        <f>N21*O21</f>
        <v>103.88240799999998</v>
      </c>
      <c r="Q21" s="311">
        <v>0</v>
      </c>
      <c r="R21" s="311">
        <v>0</v>
      </c>
      <c r="S21" s="312">
        <v>0</v>
      </c>
      <c r="T21" s="311">
        <f t="shared" si="9"/>
        <v>0</v>
      </c>
      <c r="U21" s="312">
        <f>127.94/N21</f>
        <v>9.8526788096787304E-2</v>
      </c>
      <c r="V21" s="311">
        <f t="shared" si="10"/>
        <v>127.94</v>
      </c>
      <c r="W21" s="312">
        <v>0</v>
      </c>
      <c r="X21" s="311">
        <f t="shared" si="11"/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v>0</v>
      </c>
      <c r="AG21" s="311">
        <v>0</v>
      </c>
      <c r="AH21" s="313">
        <f t="shared" si="12"/>
        <v>432.84336666666655</v>
      </c>
      <c r="AI21" s="313">
        <f t="shared" si="13"/>
        <v>34.627469333333323</v>
      </c>
      <c r="AJ21" s="313">
        <f t="shared" si="14"/>
        <v>1298.5300999999997</v>
      </c>
      <c r="AK21" s="313">
        <f t="shared" si="15"/>
        <v>103.88240799999998</v>
      </c>
    </row>
    <row r="22" spans="2:37" s="299" customFormat="1" ht="15.75" x14ac:dyDescent="0.25">
      <c r="B22" s="295">
        <v>2123</v>
      </c>
      <c r="C22" s="304" t="str">
        <f>PROPER("VERIDIANA DUMMER ZACKER")</f>
        <v>Veridiana Dummer Zacker</v>
      </c>
      <c r="D22" s="304" t="s">
        <v>2683</v>
      </c>
      <c r="E22" s="304" t="s">
        <v>2739</v>
      </c>
      <c r="F22" s="304" t="s">
        <v>2651</v>
      </c>
      <c r="G22" s="304" t="s">
        <v>2929</v>
      </c>
      <c r="H22" s="305">
        <v>1</v>
      </c>
      <c r="I22" s="295">
        <v>40</v>
      </c>
      <c r="J22" s="295" t="s">
        <v>2636</v>
      </c>
      <c r="K22" s="295">
        <v>1</v>
      </c>
      <c r="L22" s="306">
        <v>42780</v>
      </c>
      <c r="M22" s="295">
        <v>5</v>
      </c>
      <c r="N22" s="307">
        <f>M22*AK10</f>
        <v>3198.35</v>
      </c>
      <c r="O22" s="333">
        <v>0.08</v>
      </c>
      <c r="P22" s="311">
        <f>N22*O22</f>
        <v>255.86799999999999</v>
      </c>
      <c r="Q22" s="311">
        <v>0</v>
      </c>
      <c r="R22" s="311">
        <v>0</v>
      </c>
      <c r="S22" s="312">
        <v>0</v>
      </c>
      <c r="T22" s="311">
        <f t="shared" si="2"/>
        <v>0</v>
      </c>
      <c r="U22" s="312">
        <f>127.94/N22</f>
        <v>4.0001875967295639E-2</v>
      </c>
      <c r="V22" s="311">
        <f t="shared" si="3"/>
        <v>127.94</v>
      </c>
      <c r="W22" s="312">
        <v>0</v>
      </c>
      <c r="X22" s="311">
        <f t="shared" si="4"/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3">
        <f t="shared" si="5"/>
        <v>1066.1166666666666</v>
      </c>
      <c r="AI22" s="313">
        <f t="shared" si="6"/>
        <v>85.289333333333332</v>
      </c>
      <c r="AJ22" s="313">
        <f t="shared" si="7"/>
        <v>3198.35</v>
      </c>
      <c r="AK22" s="313">
        <f t="shared" si="8"/>
        <v>255.86799999999999</v>
      </c>
    </row>
    <row r="23" spans="2:37" s="299" customFormat="1" x14ac:dyDescent="0.25">
      <c r="B23" s="1068" t="s">
        <v>2747</v>
      </c>
      <c r="C23" s="1065"/>
      <c r="D23" s="1065"/>
      <c r="E23" s="1065"/>
      <c r="F23" s="1065"/>
      <c r="G23" s="1065"/>
      <c r="H23" s="1065"/>
      <c r="I23" s="1065"/>
      <c r="J23" s="1065"/>
      <c r="K23" s="1065"/>
      <c r="L23" s="1065"/>
      <c r="M23" s="1065"/>
      <c r="N23" s="1088">
        <f>SUM(N19:N22)</f>
        <v>11533.250099999999</v>
      </c>
      <c r="O23" s="1067"/>
      <c r="P23" s="1088">
        <f>SUM(P19:P22)</f>
        <v>711.56890799999996</v>
      </c>
      <c r="Q23" s="1088">
        <f>SUM(Q19:Q22)</f>
        <v>0</v>
      </c>
      <c r="R23" s="1088">
        <f>SUM(R19:R22)</f>
        <v>0</v>
      </c>
      <c r="S23" s="315"/>
      <c r="T23" s="1088">
        <f>SUM(T19:T22)</f>
        <v>0</v>
      </c>
      <c r="U23" s="315"/>
      <c r="V23" s="1088">
        <f>SUM(V19:V22)</f>
        <v>358.24</v>
      </c>
      <c r="W23" s="315"/>
      <c r="X23" s="1088">
        <f t="shared" ref="X23:AK23" si="16">SUM(X19:X22)</f>
        <v>0</v>
      </c>
      <c r="Y23" s="1088">
        <f t="shared" si="16"/>
        <v>0</v>
      </c>
      <c r="Z23" s="1088">
        <f t="shared" si="16"/>
        <v>0</v>
      </c>
      <c r="AA23" s="1088">
        <f t="shared" si="16"/>
        <v>0</v>
      </c>
      <c r="AB23" s="1088">
        <f t="shared" si="16"/>
        <v>0</v>
      </c>
      <c r="AC23" s="1088">
        <f t="shared" si="16"/>
        <v>0</v>
      </c>
      <c r="AD23" s="1088">
        <f t="shared" si="16"/>
        <v>0</v>
      </c>
      <c r="AE23" s="1088">
        <f t="shared" si="16"/>
        <v>0</v>
      </c>
      <c r="AF23" s="1088">
        <f t="shared" si="16"/>
        <v>0</v>
      </c>
      <c r="AG23" s="1088">
        <f t="shared" si="16"/>
        <v>0</v>
      </c>
      <c r="AH23" s="1088">
        <f t="shared" si="16"/>
        <v>3844.4166999999998</v>
      </c>
      <c r="AI23" s="1088">
        <f t="shared" si="16"/>
        <v>237.18963599999998</v>
      </c>
      <c r="AJ23" s="1088">
        <f t="shared" si="16"/>
        <v>11533.250099999999</v>
      </c>
      <c r="AK23" s="1088">
        <f t="shared" si="16"/>
        <v>711.56890799999996</v>
      </c>
    </row>
    <row r="24" spans="2:37" ht="31.5" x14ac:dyDescent="0.25">
      <c r="B24" s="295">
        <v>2178</v>
      </c>
      <c r="C24" s="304" t="str">
        <f>PROPER("CLAUDIA PATRICIA CARDOSO DA ROCHA")</f>
        <v>Claudia Patricia Cardoso Da Rocha</v>
      </c>
      <c r="D24" s="304" t="s">
        <v>2930</v>
      </c>
      <c r="E24" s="304" t="s">
        <v>2723</v>
      </c>
      <c r="F24" s="304" t="s">
        <v>2651</v>
      </c>
      <c r="G24" s="304" t="s">
        <v>2777</v>
      </c>
      <c r="H24" s="305">
        <v>1</v>
      </c>
      <c r="I24" s="295">
        <v>40</v>
      </c>
      <c r="J24" s="295" t="s">
        <v>2636</v>
      </c>
      <c r="K24" s="295">
        <v>1</v>
      </c>
      <c r="L24" s="306">
        <v>42067</v>
      </c>
      <c r="M24" s="295">
        <v>4.3</v>
      </c>
      <c r="N24" s="307">
        <f>M24*AK10</f>
        <v>2750.5809999999997</v>
      </c>
      <c r="O24" s="333">
        <v>0</v>
      </c>
      <c r="P24" s="311">
        <f>N24*O24</f>
        <v>0</v>
      </c>
      <c r="Q24" s="311">
        <v>0</v>
      </c>
      <c r="R24" s="311">
        <v>0</v>
      </c>
      <c r="S24" s="312">
        <v>0</v>
      </c>
      <c r="T24" s="311">
        <f t="shared" ref="T24:T25" si="17">N24*S24</f>
        <v>0</v>
      </c>
      <c r="U24" s="312">
        <f>0/N24</f>
        <v>0</v>
      </c>
      <c r="V24" s="311">
        <f t="shared" ref="V24:V25" si="18">N24*U24</f>
        <v>0</v>
      </c>
      <c r="W24" s="312">
        <v>0</v>
      </c>
      <c r="X24" s="311">
        <f t="shared" ref="X24:X25" si="19">N24*W24</f>
        <v>0</v>
      </c>
      <c r="Y24" s="311">
        <v>0</v>
      </c>
      <c r="Z24" s="311">
        <v>0</v>
      </c>
      <c r="AA24" s="311">
        <v>0</v>
      </c>
      <c r="AB24" s="311">
        <v>0</v>
      </c>
      <c r="AC24" s="311">
        <v>0</v>
      </c>
      <c r="AD24" s="311">
        <v>0</v>
      </c>
      <c r="AE24" s="311">
        <v>0</v>
      </c>
      <c r="AF24" s="311">
        <v>0</v>
      </c>
      <c r="AG24" s="311">
        <v>0</v>
      </c>
      <c r="AH24" s="313">
        <f t="shared" ref="AH24:AH25" si="20">(N24+Q24+R24)/3</f>
        <v>916.86033333333319</v>
      </c>
      <c r="AI24" s="313">
        <f t="shared" ref="AI24:AI25" si="21">AH24*O24</f>
        <v>0</v>
      </c>
      <c r="AJ24" s="313">
        <f t="shared" ref="AJ24:AJ25" si="22">N24</f>
        <v>2750.5809999999997</v>
      </c>
      <c r="AK24" s="313">
        <f t="shared" ref="AK24:AK25" si="23">AJ24*O24</f>
        <v>0</v>
      </c>
    </row>
    <row r="25" spans="2:37" s="299" customFormat="1" ht="15.75" x14ac:dyDescent="0.25">
      <c r="B25" s="295">
        <v>2112</v>
      </c>
      <c r="C25" s="304" t="str">
        <f>PROPER("ELISANGELA BIERDZICKI AVILA TOLEDO")</f>
        <v>Elisangela Bierdzicki Avila Toledo</v>
      </c>
      <c r="D25" s="304" t="s">
        <v>2931</v>
      </c>
      <c r="E25" s="304" t="s">
        <v>2723</v>
      </c>
      <c r="F25" s="304" t="s">
        <v>2651</v>
      </c>
      <c r="G25" s="304" t="s">
        <v>2777</v>
      </c>
      <c r="H25" s="305">
        <v>1</v>
      </c>
      <c r="I25" s="295">
        <v>40</v>
      </c>
      <c r="J25" s="295" t="s">
        <v>2636</v>
      </c>
      <c r="K25" s="295">
        <v>1</v>
      </c>
      <c r="L25" s="306">
        <v>42780</v>
      </c>
      <c r="M25" s="295">
        <v>3.2</v>
      </c>
      <c r="N25" s="307">
        <f>M25*AK10</f>
        <v>2046.944</v>
      </c>
      <c r="O25" s="333">
        <v>0</v>
      </c>
      <c r="P25" s="311">
        <f>N25*O25</f>
        <v>0</v>
      </c>
      <c r="Q25" s="311">
        <v>0</v>
      </c>
      <c r="R25" s="311">
        <v>0</v>
      </c>
      <c r="S25" s="312">
        <v>0</v>
      </c>
      <c r="T25" s="311">
        <f t="shared" si="17"/>
        <v>0</v>
      </c>
      <c r="U25" s="312">
        <f>0/N25</f>
        <v>0</v>
      </c>
      <c r="V25" s="311">
        <f t="shared" si="18"/>
        <v>0</v>
      </c>
      <c r="W25" s="312">
        <v>0</v>
      </c>
      <c r="X25" s="311">
        <f t="shared" si="19"/>
        <v>0</v>
      </c>
      <c r="Y25" s="311">
        <v>0</v>
      </c>
      <c r="Z25" s="311">
        <v>0</v>
      </c>
      <c r="AA25" s="311">
        <v>0</v>
      </c>
      <c r="AB25" s="311">
        <v>0</v>
      </c>
      <c r="AC25" s="311">
        <v>0</v>
      </c>
      <c r="AD25" s="311">
        <v>0</v>
      </c>
      <c r="AE25" s="311">
        <v>0</v>
      </c>
      <c r="AF25" s="311">
        <v>0</v>
      </c>
      <c r="AG25" s="311">
        <v>0</v>
      </c>
      <c r="AH25" s="313">
        <f t="shared" si="20"/>
        <v>682.31466666666665</v>
      </c>
      <c r="AI25" s="313">
        <f t="shared" si="21"/>
        <v>0</v>
      </c>
      <c r="AJ25" s="313">
        <f t="shared" si="22"/>
        <v>2046.944</v>
      </c>
      <c r="AK25" s="313">
        <f t="shared" si="23"/>
        <v>0</v>
      </c>
    </row>
    <row r="26" spans="2:37" x14ac:dyDescent="0.25">
      <c r="B26" s="1065" t="s">
        <v>2755</v>
      </c>
      <c r="C26" s="1065"/>
      <c r="D26" s="1065"/>
      <c r="E26" s="1065"/>
      <c r="F26" s="1065"/>
      <c r="G26" s="1065"/>
      <c r="H26" s="1065"/>
      <c r="I26" s="1065"/>
      <c r="J26" s="1065"/>
      <c r="K26" s="1065"/>
      <c r="L26" s="1065"/>
      <c r="M26" s="1065"/>
      <c r="N26" s="1088">
        <f>SUM(N24:N25)</f>
        <v>4797.5249999999996</v>
      </c>
      <c r="O26" s="1067"/>
      <c r="P26" s="1088">
        <f t="shared" ref="P26:R26" si="24">SUM(P24:P25)</f>
        <v>0</v>
      </c>
      <c r="Q26" s="1088">
        <f t="shared" si="24"/>
        <v>0</v>
      </c>
      <c r="R26" s="1088">
        <f t="shared" si="24"/>
        <v>0</v>
      </c>
      <c r="S26" s="315"/>
      <c r="T26" s="1088">
        <f>SUM(T24:T25)</f>
        <v>0</v>
      </c>
      <c r="U26" s="315"/>
      <c r="V26" s="1088">
        <f>SUM(V24:V25)</f>
        <v>0</v>
      </c>
      <c r="W26" s="315"/>
      <c r="X26" s="1088">
        <f t="shared" ref="X26:AK26" si="25">SUM(X24:X25)</f>
        <v>0</v>
      </c>
      <c r="Y26" s="1088">
        <f t="shared" si="25"/>
        <v>0</v>
      </c>
      <c r="Z26" s="1088">
        <f t="shared" si="25"/>
        <v>0</v>
      </c>
      <c r="AA26" s="1088">
        <f t="shared" si="25"/>
        <v>0</v>
      </c>
      <c r="AB26" s="1088">
        <f t="shared" si="25"/>
        <v>0</v>
      </c>
      <c r="AC26" s="1088">
        <f t="shared" si="25"/>
        <v>0</v>
      </c>
      <c r="AD26" s="1088">
        <f t="shared" si="25"/>
        <v>0</v>
      </c>
      <c r="AE26" s="1088">
        <f t="shared" si="25"/>
        <v>0</v>
      </c>
      <c r="AF26" s="1088">
        <f t="shared" si="25"/>
        <v>0</v>
      </c>
      <c r="AG26" s="1088">
        <f t="shared" si="25"/>
        <v>0</v>
      </c>
      <c r="AH26" s="1088">
        <f t="shared" si="25"/>
        <v>1599.1749999999997</v>
      </c>
      <c r="AI26" s="1088">
        <f t="shared" si="25"/>
        <v>0</v>
      </c>
      <c r="AJ26" s="1088">
        <f t="shared" si="25"/>
        <v>4797.5249999999996</v>
      </c>
      <c r="AK26" s="1088">
        <f t="shared" si="25"/>
        <v>0</v>
      </c>
    </row>
    <row r="27" spans="2:37" s="299" customFormat="1" ht="15.75" x14ac:dyDescent="0.25">
      <c r="B27" s="295">
        <v>2289</v>
      </c>
      <c r="C27" s="304" t="str">
        <f>PROPER("CIBELE JANKE WEEGE MORAIS")</f>
        <v>Cibele Janke Weege Morais</v>
      </c>
      <c r="D27" s="304" t="s">
        <v>2932</v>
      </c>
      <c r="E27" s="304" t="s">
        <v>2933</v>
      </c>
      <c r="F27" s="304" t="s">
        <v>2651</v>
      </c>
      <c r="G27" s="304" t="s">
        <v>2777</v>
      </c>
      <c r="H27" s="305">
        <v>1</v>
      </c>
      <c r="I27" s="295">
        <v>40</v>
      </c>
      <c r="J27" s="295" t="s">
        <v>2636</v>
      </c>
      <c r="K27" s="295">
        <v>1</v>
      </c>
      <c r="L27" s="306">
        <v>42780</v>
      </c>
      <c r="M27" s="316">
        <f>4760.1/639.67</f>
        <v>7.441493269967328</v>
      </c>
      <c r="N27" s="307">
        <f>M27*AK10</f>
        <v>4760.1000000000004</v>
      </c>
      <c r="O27" s="333">
        <v>0</v>
      </c>
      <c r="P27" s="311">
        <f>N27*O27</f>
        <v>0</v>
      </c>
      <c r="Q27" s="311">
        <v>0</v>
      </c>
      <c r="R27" s="311">
        <v>0</v>
      </c>
      <c r="S27" s="312">
        <v>0</v>
      </c>
      <c r="T27" s="311">
        <f t="shared" ref="T27" si="26">N27*S27</f>
        <v>0</v>
      </c>
      <c r="U27" s="312">
        <f>0/N27</f>
        <v>0</v>
      </c>
      <c r="V27" s="311">
        <f t="shared" ref="V27" si="27">N27*U27</f>
        <v>0</v>
      </c>
      <c r="W27" s="312">
        <v>0</v>
      </c>
      <c r="X27" s="311">
        <f t="shared" ref="X27" si="28">N27*W27</f>
        <v>0</v>
      </c>
      <c r="Y27" s="311">
        <v>0</v>
      </c>
      <c r="Z27" s="311">
        <v>0</v>
      </c>
      <c r="AA27" s="311">
        <v>0</v>
      </c>
      <c r="AB27" s="311">
        <v>0</v>
      </c>
      <c r="AC27" s="311">
        <v>0</v>
      </c>
      <c r="AD27" s="311">
        <v>0</v>
      </c>
      <c r="AE27" s="311">
        <v>0</v>
      </c>
      <c r="AF27" s="311">
        <v>0</v>
      </c>
      <c r="AG27" s="311">
        <v>0</v>
      </c>
      <c r="AH27" s="313">
        <f t="shared" ref="AH27" si="29">(N27+Q27+R27)/3</f>
        <v>1586.7</v>
      </c>
      <c r="AI27" s="313">
        <f t="shared" ref="AI27" si="30">AH27*O27</f>
        <v>0</v>
      </c>
      <c r="AJ27" s="313">
        <f t="shared" ref="AJ27" si="31">N27</f>
        <v>4760.1000000000004</v>
      </c>
      <c r="AK27" s="313">
        <f t="shared" ref="AK27" si="32">AJ27*O27</f>
        <v>0</v>
      </c>
    </row>
    <row r="28" spans="2:37" s="299" customFormat="1" x14ac:dyDescent="0.25">
      <c r="B28" s="1068" t="s">
        <v>2934</v>
      </c>
      <c r="C28" s="1065"/>
      <c r="D28" s="1065"/>
      <c r="E28" s="1065"/>
      <c r="F28" s="1065"/>
      <c r="G28" s="1065"/>
      <c r="H28" s="1065"/>
      <c r="I28" s="1065"/>
      <c r="J28" s="1065"/>
      <c r="K28" s="1065"/>
      <c r="L28" s="1065"/>
      <c r="M28" s="1065"/>
      <c r="N28" s="1088">
        <f>SUM(N27:N27)</f>
        <v>4760.1000000000004</v>
      </c>
      <c r="O28" s="1067"/>
      <c r="P28" s="1088">
        <f t="shared" ref="P28:R28" si="33">SUM(P27:P27)</f>
        <v>0</v>
      </c>
      <c r="Q28" s="1088">
        <f t="shared" si="33"/>
        <v>0</v>
      </c>
      <c r="R28" s="1088">
        <f t="shared" si="33"/>
        <v>0</v>
      </c>
      <c r="S28" s="315"/>
      <c r="T28" s="1088">
        <f>SUM(T27:T27)</f>
        <v>0</v>
      </c>
      <c r="U28" s="315"/>
      <c r="V28" s="1088">
        <f>SUM(V27:V27)</f>
        <v>0</v>
      </c>
      <c r="W28" s="315"/>
      <c r="X28" s="1088">
        <f t="shared" ref="X28:AK28" si="34">SUM(X27:X27)</f>
        <v>0</v>
      </c>
      <c r="Y28" s="1088">
        <f t="shared" si="34"/>
        <v>0</v>
      </c>
      <c r="Z28" s="1088">
        <f t="shared" si="34"/>
        <v>0</v>
      </c>
      <c r="AA28" s="1088">
        <f t="shared" si="34"/>
        <v>0</v>
      </c>
      <c r="AB28" s="1088">
        <f t="shared" si="34"/>
        <v>0</v>
      </c>
      <c r="AC28" s="1088">
        <f t="shared" si="34"/>
        <v>0</v>
      </c>
      <c r="AD28" s="1088">
        <f t="shared" si="34"/>
        <v>0</v>
      </c>
      <c r="AE28" s="1088">
        <f t="shared" si="34"/>
        <v>0</v>
      </c>
      <c r="AF28" s="1088">
        <f t="shared" si="34"/>
        <v>0</v>
      </c>
      <c r="AG28" s="1088">
        <f t="shared" si="34"/>
        <v>0</v>
      </c>
      <c r="AH28" s="1088">
        <f t="shared" si="34"/>
        <v>1586.7</v>
      </c>
      <c r="AI28" s="1088">
        <f t="shared" si="34"/>
        <v>0</v>
      </c>
      <c r="AJ28" s="1088">
        <f t="shared" si="34"/>
        <v>4760.1000000000004</v>
      </c>
      <c r="AK28" s="1088">
        <f t="shared" si="34"/>
        <v>0</v>
      </c>
    </row>
    <row r="29" spans="2:37" s="299" customFormat="1" ht="15.75" x14ac:dyDescent="0.25">
      <c r="B29" s="295">
        <v>0</v>
      </c>
      <c r="C29" s="314" t="s">
        <v>7119</v>
      </c>
      <c r="D29" s="304" t="s">
        <v>2683</v>
      </c>
      <c r="E29" s="304" t="s">
        <v>2757</v>
      </c>
      <c r="F29" s="304" t="s">
        <v>2651</v>
      </c>
      <c r="G29" s="304" t="s">
        <v>2944</v>
      </c>
      <c r="H29" s="305">
        <v>1</v>
      </c>
      <c r="I29" s="295">
        <v>44</v>
      </c>
      <c r="J29" s="295" t="s">
        <v>2636</v>
      </c>
      <c r="K29" s="295">
        <v>0</v>
      </c>
      <c r="L29" s="306">
        <v>42662</v>
      </c>
      <c r="M29" s="295">
        <v>5</v>
      </c>
      <c r="N29" s="307">
        <f>M29*AK10</f>
        <v>3198.35</v>
      </c>
      <c r="O29" s="333">
        <v>0</v>
      </c>
      <c r="P29" s="311">
        <f>N29*O29</f>
        <v>0</v>
      </c>
      <c r="Q29" s="311">
        <v>0</v>
      </c>
      <c r="R29" s="311">
        <v>0</v>
      </c>
      <c r="S29" s="312">
        <v>0</v>
      </c>
      <c r="T29" s="311">
        <f>N29*S29</f>
        <v>0</v>
      </c>
      <c r="U29" s="312">
        <f>51.18/N29</f>
        <v>1.6002001031782013E-2</v>
      </c>
      <c r="V29" s="311">
        <f>N29*U29</f>
        <v>51.18</v>
      </c>
      <c r="W29" s="312">
        <v>0</v>
      </c>
      <c r="X29" s="311">
        <f>N29*W29</f>
        <v>0</v>
      </c>
      <c r="Y29" s="311">
        <v>0</v>
      </c>
      <c r="Z29" s="311">
        <v>0</v>
      </c>
      <c r="AA29" s="311">
        <v>0</v>
      </c>
      <c r="AB29" s="311">
        <v>0</v>
      </c>
      <c r="AC29" s="311">
        <v>0</v>
      </c>
      <c r="AD29" s="311">
        <v>0</v>
      </c>
      <c r="AE29" s="311">
        <v>0</v>
      </c>
      <c r="AF29" s="311">
        <v>0</v>
      </c>
      <c r="AG29" s="311">
        <v>0</v>
      </c>
      <c r="AH29" s="313">
        <f>(N29+Q29+R29)/3</f>
        <v>1066.1166666666666</v>
      </c>
      <c r="AI29" s="313">
        <f>AH29*O29</f>
        <v>0</v>
      </c>
      <c r="AJ29" s="313">
        <f>N29</f>
        <v>3198.35</v>
      </c>
      <c r="AK29" s="313">
        <f>AJ29*O29</f>
        <v>0</v>
      </c>
    </row>
    <row r="30" spans="2:37" s="564" customFormat="1" x14ac:dyDescent="0.25">
      <c r="B30" s="1068" t="s">
        <v>2907</v>
      </c>
      <c r="C30" s="1068"/>
      <c r="D30" s="1068"/>
      <c r="E30" s="1068"/>
      <c r="F30" s="1068"/>
      <c r="G30" s="1068"/>
      <c r="H30" s="1068"/>
      <c r="I30" s="1068"/>
      <c r="J30" s="1068"/>
      <c r="K30" s="1068"/>
      <c r="L30" s="1068"/>
      <c r="M30" s="1068"/>
      <c r="N30" s="1156">
        <f>SUM(N29:N29)</f>
        <v>3198.35</v>
      </c>
      <c r="O30" s="1157"/>
      <c r="P30" s="1156">
        <f>SUM(P29:P29)</f>
        <v>0</v>
      </c>
      <c r="Q30" s="1156">
        <f>SUM(Q29:Q29)</f>
        <v>0</v>
      </c>
      <c r="R30" s="1156">
        <f>SUM(R29:R29)</f>
        <v>0</v>
      </c>
      <c r="S30" s="1158"/>
      <c r="T30" s="1156">
        <f>SUM(T29:T29)</f>
        <v>0</v>
      </c>
      <c r="U30" s="1158"/>
      <c r="V30" s="1156">
        <f>SUM(V29:V29)</f>
        <v>51.18</v>
      </c>
      <c r="W30" s="1158"/>
      <c r="X30" s="1156">
        <f t="shared" ref="X30:AK30" si="35">SUM(X29:X29)</f>
        <v>0</v>
      </c>
      <c r="Y30" s="1156">
        <f t="shared" si="35"/>
        <v>0</v>
      </c>
      <c r="Z30" s="1156">
        <f t="shared" si="35"/>
        <v>0</v>
      </c>
      <c r="AA30" s="1156">
        <f t="shared" si="35"/>
        <v>0</v>
      </c>
      <c r="AB30" s="1156">
        <f t="shared" si="35"/>
        <v>0</v>
      </c>
      <c r="AC30" s="1156">
        <f t="shared" si="35"/>
        <v>0</v>
      </c>
      <c r="AD30" s="1156">
        <f t="shared" si="35"/>
        <v>0</v>
      </c>
      <c r="AE30" s="1156">
        <f t="shared" si="35"/>
        <v>0</v>
      </c>
      <c r="AF30" s="1156">
        <f t="shared" si="35"/>
        <v>0</v>
      </c>
      <c r="AG30" s="1156">
        <f t="shared" si="35"/>
        <v>0</v>
      </c>
      <c r="AH30" s="1156">
        <f t="shared" si="35"/>
        <v>1066.1166666666666</v>
      </c>
      <c r="AI30" s="1156">
        <f t="shared" si="35"/>
        <v>0</v>
      </c>
      <c r="AJ30" s="1156">
        <f t="shared" si="35"/>
        <v>3198.35</v>
      </c>
      <c r="AK30" s="1156">
        <f t="shared" si="35"/>
        <v>0</v>
      </c>
    </row>
    <row r="31" spans="2:37" ht="60" x14ac:dyDescent="0.25">
      <c r="B31" s="1074"/>
      <c r="C31" s="595"/>
      <c r="D31" s="596"/>
      <c r="E31" s="596"/>
      <c r="F31" s="596"/>
      <c r="G31" s="596"/>
      <c r="H31" s="597"/>
      <c r="I31" s="1074"/>
      <c r="J31" s="1074"/>
      <c r="K31" s="1074"/>
      <c r="L31" s="598"/>
      <c r="M31" s="1064" t="s">
        <v>2629</v>
      </c>
      <c r="N31" s="1064"/>
      <c r="O31" s="1064" t="s">
        <v>2630</v>
      </c>
      <c r="P31" s="1064"/>
      <c r="Q31" s="599" t="str">
        <f>Q12</f>
        <v>Função Gratificada</v>
      </c>
      <c r="R31" s="599" t="str">
        <f>R12</f>
        <v>Alteração de Carga Horária</v>
      </c>
      <c r="S31" s="1064" t="s">
        <v>2751</v>
      </c>
      <c r="T31" s="1064"/>
      <c r="U31" s="1064" t="s">
        <v>2741</v>
      </c>
      <c r="V31" s="1064"/>
      <c r="W31" s="1064" t="s">
        <v>2789</v>
      </c>
      <c r="X31" s="1064"/>
      <c r="Y31" s="599" t="str">
        <f t="shared" ref="Y31:AK31" si="36">Y12</f>
        <v>Adicional Noturno</v>
      </c>
      <c r="Z31" s="599" t="str">
        <f t="shared" si="36"/>
        <v>Abono Permanencia</v>
      </c>
      <c r="AA31" s="599" t="str">
        <f t="shared" si="36"/>
        <v>Parcela Autonoma</v>
      </c>
      <c r="AB31" s="599" t="str">
        <f t="shared" si="36"/>
        <v>Diaria Rural</v>
      </c>
      <c r="AC31" s="599" t="str">
        <f t="shared" si="36"/>
        <v>Gratificação Lei 113</v>
      </c>
      <c r="AD31" s="599" t="str">
        <f t="shared" si="36"/>
        <v>Gratificação Lei 233/2001</v>
      </c>
      <c r="AE31" s="599" t="str">
        <f t="shared" si="36"/>
        <v>Gratificação Gab. Prefeito</v>
      </c>
      <c r="AF31" s="599" t="str">
        <f t="shared" si="36"/>
        <v>Gratificação Câmara</v>
      </c>
      <c r="AG31" s="599" t="str">
        <f t="shared" si="36"/>
        <v>Gratificação Lei 107</v>
      </c>
      <c r="AH31" s="599" t="str">
        <f t="shared" si="36"/>
        <v>1/3 de Férias S/Salario</v>
      </c>
      <c r="AI31" s="599" t="str">
        <f t="shared" si="36"/>
        <v>Anuênio S/1/3 de Férias S/Salario</v>
      </c>
      <c r="AJ31" s="599" t="str">
        <f t="shared" si="36"/>
        <v>13º Salário</v>
      </c>
      <c r="AK31" s="599" t="str">
        <f t="shared" si="36"/>
        <v>Anuênio S/13º Salário</v>
      </c>
    </row>
    <row r="32" spans="2:37" x14ac:dyDescent="0.25">
      <c r="L32" s="295"/>
      <c r="N32" s="313">
        <f>SUM(N30,N28,N26,N23,N18)</f>
        <v>28766.915099999998</v>
      </c>
      <c r="P32" s="313">
        <f>SUM(P30,P28,P26,P23,P18)</f>
        <v>711.56890799999996</v>
      </c>
      <c r="Q32" s="313">
        <f>SUM(Q30,Q28,Q26,Q23,Q18)</f>
        <v>0</v>
      </c>
      <c r="R32" s="313">
        <f>SUM(R30,R28,R26,R23,R18)</f>
        <v>0</v>
      </c>
      <c r="T32" s="313">
        <f>SUM(T30,T28,T26,T23,T18)</f>
        <v>0</v>
      </c>
      <c r="V32" s="313">
        <f>SUM(V30,V28,V26,V23,V18)</f>
        <v>457.37</v>
      </c>
      <c r="X32" s="313">
        <f t="shared" ref="X32:AK32" si="37">SUM(X30,X28,X26,X23,X18)</f>
        <v>0</v>
      </c>
      <c r="Y32" s="313">
        <f t="shared" si="37"/>
        <v>0</v>
      </c>
      <c r="Z32" s="313">
        <f t="shared" si="37"/>
        <v>0</v>
      </c>
      <c r="AA32" s="313">
        <f t="shared" si="37"/>
        <v>0</v>
      </c>
      <c r="AB32" s="313">
        <f t="shared" si="37"/>
        <v>0</v>
      </c>
      <c r="AC32" s="313">
        <f t="shared" si="37"/>
        <v>0</v>
      </c>
      <c r="AD32" s="313">
        <f t="shared" si="37"/>
        <v>0</v>
      </c>
      <c r="AE32" s="313">
        <f t="shared" si="37"/>
        <v>0</v>
      </c>
      <c r="AF32" s="313">
        <f t="shared" si="37"/>
        <v>0</v>
      </c>
      <c r="AG32" s="313">
        <f t="shared" si="37"/>
        <v>0</v>
      </c>
      <c r="AH32" s="313">
        <f t="shared" si="37"/>
        <v>9588.9717000000001</v>
      </c>
      <c r="AI32" s="313">
        <f t="shared" si="37"/>
        <v>237.18963599999998</v>
      </c>
      <c r="AJ32" s="313">
        <f t="shared" si="37"/>
        <v>28766.915099999998</v>
      </c>
      <c r="AK32" s="313">
        <f t="shared" si="37"/>
        <v>711.56890799999996</v>
      </c>
    </row>
    <row r="33" spans="2:37" x14ac:dyDescent="0.25">
      <c r="L33" s="295"/>
    </row>
    <row r="34" spans="2:37" x14ac:dyDescent="0.25">
      <c r="B34" s="294"/>
      <c r="C34" s="294"/>
      <c r="D34" s="294"/>
      <c r="E34" s="294"/>
      <c r="F34" s="294"/>
      <c r="G34" s="294"/>
      <c r="H34" s="294"/>
      <c r="I34" s="294"/>
      <c r="J34" s="294"/>
      <c r="L34" s="295"/>
      <c r="M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</row>
    <row r="35" spans="2:37" ht="57.75" customHeight="1" x14ac:dyDescent="0.25">
      <c r="B35" s="1066" t="s">
        <v>7136</v>
      </c>
      <c r="C35" s="1069" t="s">
        <v>7137</v>
      </c>
      <c r="D35" s="1069" t="s">
        <v>7138</v>
      </c>
      <c r="E35" s="1069" t="s">
        <v>7139</v>
      </c>
      <c r="F35" s="1069" t="s">
        <v>7140</v>
      </c>
      <c r="G35" s="1069" t="s">
        <v>7141</v>
      </c>
      <c r="H35" s="1069" t="s">
        <v>7142</v>
      </c>
      <c r="I35" s="1069" t="s">
        <v>7143</v>
      </c>
      <c r="J35" s="1069" t="s">
        <v>7144</v>
      </c>
      <c r="K35" s="1069" t="s">
        <v>7145</v>
      </c>
      <c r="L35" s="1069" t="s">
        <v>7146</v>
      </c>
      <c r="M35" s="1069" t="s">
        <v>7147</v>
      </c>
      <c r="N35" s="1069" t="s">
        <v>7148</v>
      </c>
      <c r="O35" s="1069" t="s">
        <v>7149</v>
      </c>
      <c r="P35" s="1069" t="s">
        <v>7150</v>
      </c>
      <c r="Q35" s="1069" t="s">
        <v>7151</v>
      </c>
      <c r="R35" s="1069" t="s">
        <v>7152</v>
      </c>
      <c r="S35" s="1069" t="s">
        <v>7153</v>
      </c>
      <c r="T35" s="1069" t="s">
        <v>7154</v>
      </c>
      <c r="U35" s="1069" t="s">
        <v>7155</v>
      </c>
      <c r="V35" s="1069" t="s">
        <v>7156</v>
      </c>
      <c r="W35" s="1069" t="s">
        <v>7157</v>
      </c>
      <c r="X35" s="1069" t="s">
        <v>7158</v>
      </c>
      <c r="Y35" s="1069" t="s">
        <v>7159</v>
      </c>
      <c r="Z35" s="1069" t="s">
        <v>7160</v>
      </c>
      <c r="AA35" s="1069" t="s">
        <v>7161</v>
      </c>
      <c r="AB35" s="1069" t="s">
        <v>7162</v>
      </c>
      <c r="AC35" s="1069" t="s">
        <v>7163</v>
      </c>
      <c r="AD35" s="1069" t="s">
        <v>7164</v>
      </c>
      <c r="AE35" s="1069" t="s">
        <v>7165</v>
      </c>
      <c r="AF35" s="1069" t="s">
        <v>7166</v>
      </c>
      <c r="AG35" s="1069" t="s">
        <v>7167</v>
      </c>
      <c r="AH35" s="1069" t="s">
        <v>7168</v>
      </c>
      <c r="AI35" s="1069" t="s">
        <v>7169</v>
      </c>
      <c r="AJ35" s="1069" t="s">
        <v>7170</v>
      </c>
      <c r="AK35" s="1072" t="s">
        <v>7171</v>
      </c>
    </row>
    <row r="36" spans="2:37" ht="74.25" hidden="1" x14ac:dyDescent="0.25">
      <c r="B36" s="1066" t="s">
        <v>2719</v>
      </c>
      <c r="C36" s="1069" t="s">
        <v>2622</v>
      </c>
      <c r="D36" s="1069"/>
      <c r="E36" s="1069"/>
      <c r="F36" s="1069"/>
      <c r="G36" s="1069"/>
      <c r="H36" s="1069"/>
      <c r="I36" s="1069"/>
      <c r="J36" s="1069"/>
      <c r="K36" s="1069"/>
      <c r="L36" s="1069"/>
      <c r="M36" s="1069"/>
      <c r="N36" s="1069"/>
      <c r="O36" s="1069"/>
      <c r="P36" s="1069"/>
      <c r="Q36" s="1069"/>
      <c r="R36" s="1069"/>
      <c r="S36" s="1069"/>
      <c r="T36" s="1069"/>
      <c r="U36" s="1069"/>
      <c r="V36" s="1069"/>
      <c r="W36" s="1069"/>
      <c r="X36" s="1069"/>
      <c r="Y36" s="1069"/>
      <c r="Z36" s="1069"/>
      <c r="AA36" s="1069"/>
      <c r="AB36" s="1069"/>
      <c r="AC36" s="1069"/>
      <c r="AD36" s="1069"/>
      <c r="AE36" s="1069"/>
      <c r="AF36" s="1069"/>
      <c r="AG36" s="1069"/>
      <c r="AH36" s="1069"/>
      <c r="AI36" s="1069"/>
      <c r="AJ36" s="1069"/>
      <c r="AK36" s="1072">
        <f>PUCFD!E17</f>
        <v>695.43992848243033</v>
      </c>
    </row>
    <row r="37" spans="2:37" s="299" customFormat="1" hidden="1" x14ac:dyDescent="0.25">
      <c r="B37" s="1066"/>
      <c r="C37" s="1069"/>
      <c r="D37" s="1069"/>
      <c r="E37" s="1069"/>
      <c r="F37" s="1069"/>
      <c r="G37" s="1069"/>
      <c r="H37" s="1069"/>
      <c r="I37" s="1069"/>
      <c r="J37" s="1069"/>
      <c r="K37" s="1069"/>
      <c r="L37" s="1069"/>
      <c r="M37" s="1069"/>
      <c r="N37" s="1069"/>
      <c r="O37" s="1069"/>
      <c r="P37" s="1069"/>
      <c r="Q37" s="1069"/>
      <c r="R37" s="1069"/>
      <c r="S37" s="1069"/>
      <c r="T37" s="1069"/>
      <c r="U37" s="1069"/>
      <c r="V37" s="1069"/>
      <c r="W37" s="1069"/>
      <c r="X37" s="1069"/>
      <c r="Y37" s="1069"/>
      <c r="Z37" s="1069"/>
      <c r="AA37" s="1069"/>
      <c r="AB37" s="1069"/>
      <c r="AC37" s="1069"/>
      <c r="AD37" s="1069"/>
      <c r="AE37" s="1069"/>
      <c r="AF37" s="1069"/>
      <c r="AG37" s="1069"/>
      <c r="AH37" s="1069"/>
      <c r="AI37" s="1069"/>
      <c r="AJ37" s="1069"/>
      <c r="AK37" s="1072"/>
    </row>
    <row r="38" spans="2:37" s="299" customFormat="1" ht="48" hidden="1" customHeight="1" x14ac:dyDescent="0.25">
      <c r="B38" s="1066"/>
      <c r="C38" s="1065" t="s">
        <v>2623</v>
      </c>
      <c r="D38" s="1065" t="s">
        <v>2624</v>
      </c>
      <c r="E38" s="1065" t="s">
        <v>2722</v>
      </c>
      <c r="F38" s="1065" t="s">
        <v>2593</v>
      </c>
      <c r="G38" s="1073" t="s">
        <v>2765</v>
      </c>
      <c r="H38" s="1074" t="s">
        <v>2729</v>
      </c>
      <c r="I38" s="1065" t="s">
        <v>2625</v>
      </c>
      <c r="J38" s="1066" t="s">
        <v>2738</v>
      </c>
      <c r="K38" s="1066" t="s">
        <v>2626</v>
      </c>
      <c r="L38" s="1065" t="s">
        <v>2627</v>
      </c>
      <c r="M38" s="1067" t="s">
        <v>2629</v>
      </c>
      <c r="N38" s="1067"/>
      <c r="O38" s="1067" t="s">
        <v>2630</v>
      </c>
      <c r="P38" s="1067"/>
      <c r="Q38" s="1064" t="s">
        <v>2740</v>
      </c>
      <c r="R38" s="1064" t="s">
        <v>2814</v>
      </c>
      <c r="S38" s="1064" t="s">
        <v>2751</v>
      </c>
      <c r="T38" s="1064"/>
      <c r="U38" s="1064" t="s">
        <v>2741</v>
      </c>
      <c r="V38" s="1064"/>
      <c r="W38" s="1064" t="s">
        <v>2789</v>
      </c>
      <c r="X38" s="1064"/>
      <c r="Y38" s="1064" t="s">
        <v>2761</v>
      </c>
      <c r="Z38" s="1064" t="s">
        <v>2760</v>
      </c>
      <c r="AA38" s="1064" t="s">
        <v>2783</v>
      </c>
      <c r="AB38" s="1064" t="s">
        <v>2782</v>
      </c>
      <c r="AC38" s="1064" t="s">
        <v>2743</v>
      </c>
      <c r="AD38" s="1064" t="s">
        <v>2744</v>
      </c>
      <c r="AE38" s="1064" t="s">
        <v>2745</v>
      </c>
      <c r="AF38" s="1064" t="s">
        <v>2750</v>
      </c>
      <c r="AG38" s="1064" t="s">
        <v>2742</v>
      </c>
      <c r="AH38" s="1070" t="s">
        <v>2734</v>
      </c>
      <c r="AI38" s="1070" t="s">
        <v>2735</v>
      </c>
      <c r="AJ38" s="1071" t="s">
        <v>2736</v>
      </c>
      <c r="AK38" s="1070" t="s">
        <v>2737</v>
      </c>
    </row>
    <row r="39" spans="2:37" s="299" customFormat="1" hidden="1" x14ac:dyDescent="0.25">
      <c r="B39" s="1066"/>
      <c r="C39" s="1065"/>
      <c r="D39" s="1065"/>
      <c r="E39" s="1065"/>
      <c r="F39" s="1065"/>
      <c r="G39" s="1073"/>
      <c r="H39" s="1074"/>
      <c r="I39" s="1065"/>
      <c r="J39" s="1066"/>
      <c r="K39" s="1066"/>
      <c r="L39" s="1065"/>
      <c r="M39" s="1065" t="s">
        <v>2628</v>
      </c>
      <c r="N39" s="1067" t="s">
        <v>2480</v>
      </c>
      <c r="O39" s="1067" t="s">
        <v>97</v>
      </c>
      <c r="P39" s="1067" t="s">
        <v>2480</v>
      </c>
      <c r="Q39" s="1064"/>
      <c r="R39" s="1064"/>
      <c r="S39" s="1064" t="s">
        <v>97</v>
      </c>
      <c r="T39" s="1064" t="s">
        <v>2480</v>
      </c>
      <c r="U39" s="1064" t="s">
        <v>97</v>
      </c>
      <c r="V39" s="1064" t="s">
        <v>2480</v>
      </c>
      <c r="W39" s="1064" t="s">
        <v>97</v>
      </c>
      <c r="X39" s="1064" t="s">
        <v>2480</v>
      </c>
      <c r="Y39" s="1064"/>
      <c r="Z39" s="1064"/>
      <c r="AA39" s="1064"/>
      <c r="AB39" s="1064"/>
      <c r="AC39" s="1064"/>
      <c r="AD39" s="1064"/>
      <c r="AE39" s="1064"/>
      <c r="AF39" s="1064"/>
      <c r="AG39" s="1064"/>
      <c r="AH39" s="1070"/>
      <c r="AI39" s="1070"/>
      <c r="AJ39" s="1071"/>
      <c r="AK39" s="1070"/>
    </row>
    <row r="40" spans="2:37" s="299" customFormat="1" hidden="1" x14ac:dyDescent="0.25">
      <c r="B40" s="1066"/>
      <c r="C40" s="1065"/>
      <c r="D40" s="1065"/>
      <c r="E40" s="1065"/>
      <c r="F40" s="1065"/>
      <c r="G40" s="1073"/>
      <c r="H40" s="1074"/>
      <c r="I40" s="1065"/>
      <c r="J40" s="1066"/>
      <c r="K40" s="1066"/>
      <c r="L40" s="1065"/>
      <c r="M40" s="1065"/>
      <c r="N40" s="1067"/>
      <c r="O40" s="1067"/>
      <c r="P40" s="1067"/>
      <c r="Q40" s="1064"/>
      <c r="R40" s="1064"/>
      <c r="S40" s="1064"/>
      <c r="T40" s="1064"/>
      <c r="U40" s="1064"/>
      <c r="V40" s="1064"/>
      <c r="W40" s="1064"/>
      <c r="X40" s="1064"/>
      <c r="Y40" s="1064"/>
      <c r="Z40" s="1064"/>
      <c r="AA40" s="1064"/>
      <c r="AB40" s="1064"/>
      <c r="AC40" s="1064"/>
      <c r="AD40" s="1064"/>
      <c r="AE40" s="1064"/>
      <c r="AF40" s="1064"/>
      <c r="AG40" s="1064"/>
      <c r="AH40" s="1070"/>
      <c r="AI40" s="1070"/>
      <c r="AJ40" s="1071"/>
      <c r="AK40" s="1070"/>
    </row>
    <row r="41" spans="2:37" s="299" customFormat="1" ht="15.75" hidden="1" x14ac:dyDescent="0.25">
      <c r="B41" s="295">
        <v>2349</v>
      </c>
      <c r="C41" s="314" t="s">
        <v>2926</v>
      </c>
      <c r="D41" s="304" t="s">
        <v>2654</v>
      </c>
      <c r="E41" s="304" t="s">
        <v>2757</v>
      </c>
      <c r="F41" s="304" t="s">
        <v>2651</v>
      </c>
      <c r="G41" s="304" t="s">
        <v>2777</v>
      </c>
      <c r="H41" s="305">
        <v>1</v>
      </c>
      <c r="I41" s="295">
        <v>44</v>
      </c>
      <c r="J41" s="295" t="s">
        <v>2636</v>
      </c>
      <c r="K41" s="295">
        <v>0</v>
      </c>
      <c r="L41" s="306">
        <v>43588</v>
      </c>
      <c r="M41" s="295">
        <v>2</v>
      </c>
      <c r="N41" s="307">
        <f>M41*AK36</f>
        <v>1390.8798569648607</v>
      </c>
      <c r="O41" s="333">
        <v>0</v>
      </c>
      <c r="P41" s="311">
        <f>N41*O41</f>
        <v>0</v>
      </c>
      <c r="Q41" s="311">
        <v>0</v>
      </c>
      <c r="R41" s="311">
        <v>0</v>
      </c>
      <c r="S41" s="312">
        <v>0</v>
      </c>
      <c r="T41" s="311">
        <f>N41*S41</f>
        <v>0</v>
      </c>
      <c r="U41" s="312">
        <f>0/N41</f>
        <v>0</v>
      </c>
      <c r="V41" s="311">
        <f>N41*U41</f>
        <v>0</v>
      </c>
      <c r="W41" s="312">
        <v>0</v>
      </c>
      <c r="X41" s="311">
        <f>N41*W41</f>
        <v>0</v>
      </c>
      <c r="Y41" s="311">
        <v>0</v>
      </c>
      <c r="Z41" s="311">
        <v>0</v>
      </c>
      <c r="AA41" s="311">
        <v>0</v>
      </c>
      <c r="AB41" s="311">
        <v>0</v>
      </c>
      <c r="AC41" s="311">
        <v>0</v>
      </c>
      <c r="AD41" s="311">
        <v>0</v>
      </c>
      <c r="AE41" s="311">
        <v>0</v>
      </c>
      <c r="AF41" s="311">
        <v>0</v>
      </c>
      <c r="AG41" s="311">
        <v>0</v>
      </c>
      <c r="AH41" s="313">
        <f>(N41+Q41+R41)/3</f>
        <v>463.62661898828691</v>
      </c>
      <c r="AI41" s="313">
        <f>AH41*O41</f>
        <v>0</v>
      </c>
      <c r="AJ41" s="313">
        <f>N41</f>
        <v>1390.8798569648607</v>
      </c>
      <c r="AK41" s="313">
        <f>AJ41*O41</f>
        <v>0</v>
      </c>
    </row>
    <row r="42" spans="2:37" s="299" customFormat="1" ht="15.75" hidden="1" x14ac:dyDescent="0.25">
      <c r="B42" s="295">
        <v>2354</v>
      </c>
      <c r="C42" s="314" t="s">
        <v>7200</v>
      </c>
      <c r="D42" s="304" t="s">
        <v>2654</v>
      </c>
      <c r="E42" s="304" t="s">
        <v>2757</v>
      </c>
      <c r="F42" s="304" t="s">
        <v>2651</v>
      </c>
      <c r="G42" s="304" t="s">
        <v>2777</v>
      </c>
      <c r="H42" s="305">
        <v>1</v>
      </c>
      <c r="I42" s="295">
        <v>44</v>
      </c>
      <c r="J42" s="295" t="s">
        <v>2636</v>
      </c>
      <c r="K42" s="295">
        <v>0</v>
      </c>
      <c r="L42" s="306">
        <v>43588</v>
      </c>
      <c r="M42" s="295">
        <v>2</v>
      </c>
      <c r="N42" s="307">
        <f>M42*AK36</f>
        <v>1390.8798569648607</v>
      </c>
      <c r="O42" s="333">
        <v>0</v>
      </c>
      <c r="P42" s="311">
        <f>N42*O42</f>
        <v>0</v>
      </c>
      <c r="Q42" s="311">
        <v>0</v>
      </c>
      <c r="R42" s="311">
        <v>0</v>
      </c>
      <c r="S42" s="312">
        <v>0</v>
      </c>
      <c r="T42" s="311">
        <f>N42*S42</f>
        <v>0</v>
      </c>
      <c r="U42" s="312">
        <f>0/N42</f>
        <v>0</v>
      </c>
      <c r="V42" s="311">
        <f>N42*U42</f>
        <v>0</v>
      </c>
      <c r="W42" s="312">
        <v>0</v>
      </c>
      <c r="X42" s="311">
        <f>N42*W42</f>
        <v>0</v>
      </c>
      <c r="Y42" s="311">
        <v>0</v>
      </c>
      <c r="Z42" s="311">
        <v>0</v>
      </c>
      <c r="AA42" s="311">
        <v>0</v>
      </c>
      <c r="AB42" s="311">
        <v>0</v>
      </c>
      <c r="AC42" s="311">
        <v>0</v>
      </c>
      <c r="AD42" s="311">
        <v>0</v>
      </c>
      <c r="AE42" s="311">
        <v>0</v>
      </c>
      <c r="AF42" s="311">
        <v>0</v>
      </c>
      <c r="AG42" s="311">
        <v>0</v>
      </c>
      <c r="AH42" s="313">
        <f>(N42+Q42+R42)/3</f>
        <v>463.62661898828691</v>
      </c>
      <c r="AI42" s="313">
        <f>AH42*O42</f>
        <v>0</v>
      </c>
      <c r="AJ42" s="313">
        <f>N42</f>
        <v>1390.8798569648607</v>
      </c>
      <c r="AK42" s="313">
        <f>AJ42*O42</f>
        <v>0</v>
      </c>
    </row>
    <row r="43" spans="2:37" s="299" customFormat="1" ht="15.75" hidden="1" x14ac:dyDescent="0.25">
      <c r="B43" s="295">
        <v>2292</v>
      </c>
      <c r="C43" s="314" t="s">
        <v>2928</v>
      </c>
      <c r="D43" s="304" t="s">
        <v>2682</v>
      </c>
      <c r="E43" s="304" t="s">
        <v>2757</v>
      </c>
      <c r="F43" s="304" t="s">
        <v>2651</v>
      </c>
      <c r="G43" s="304" t="s">
        <v>2777</v>
      </c>
      <c r="H43" s="305">
        <v>1</v>
      </c>
      <c r="I43" s="295">
        <v>44</v>
      </c>
      <c r="J43" s="295" t="s">
        <v>2636</v>
      </c>
      <c r="K43" s="295">
        <v>0</v>
      </c>
      <c r="L43" s="306">
        <v>43362</v>
      </c>
      <c r="M43" s="295">
        <v>3</v>
      </c>
      <c r="N43" s="307">
        <f>M43*AK36</f>
        <v>2086.319785447291</v>
      </c>
      <c r="O43" s="333">
        <v>0</v>
      </c>
      <c r="P43" s="311">
        <f>N43*O43</f>
        <v>0</v>
      </c>
      <c r="Q43" s="311">
        <v>0</v>
      </c>
      <c r="R43" s="311">
        <v>0</v>
      </c>
      <c r="S43" s="312">
        <v>0</v>
      </c>
      <c r="T43" s="311">
        <f>N43*S43</f>
        <v>0</v>
      </c>
      <c r="U43" s="312">
        <f>47.95/N43</f>
        <v>2.2983053860901718E-2</v>
      </c>
      <c r="V43" s="311">
        <f>N43*U43</f>
        <v>47.95</v>
      </c>
      <c r="W43" s="312">
        <v>0</v>
      </c>
      <c r="X43" s="311">
        <f>N43*W43</f>
        <v>0</v>
      </c>
      <c r="Y43" s="311">
        <v>0</v>
      </c>
      <c r="Z43" s="311">
        <v>0</v>
      </c>
      <c r="AA43" s="311">
        <v>0</v>
      </c>
      <c r="AB43" s="311">
        <v>0</v>
      </c>
      <c r="AC43" s="311">
        <v>0</v>
      </c>
      <c r="AD43" s="311">
        <v>0</v>
      </c>
      <c r="AE43" s="311">
        <v>0</v>
      </c>
      <c r="AF43" s="311">
        <v>0</v>
      </c>
      <c r="AG43" s="311">
        <v>0</v>
      </c>
      <c r="AH43" s="313">
        <f>(N43+Q43+R43)/3</f>
        <v>695.43992848243033</v>
      </c>
      <c r="AI43" s="313">
        <f>AH43*O43</f>
        <v>0</v>
      </c>
      <c r="AJ43" s="313">
        <f>N43</f>
        <v>2086.319785447291</v>
      </c>
      <c r="AK43" s="313">
        <f>AJ43*O43</f>
        <v>0</v>
      </c>
    </row>
    <row r="44" spans="2:37" s="299" customFormat="1" hidden="1" x14ac:dyDescent="0.25">
      <c r="B44" s="1068" t="s">
        <v>2907</v>
      </c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1153">
        <f>SUM(N41:N43)</f>
        <v>4868.0794993770123</v>
      </c>
      <c r="O44" s="1154"/>
      <c r="P44" s="1153">
        <f t="shared" ref="P44:R44" si="38">SUM(P41:P43)</f>
        <v>0</v>
      </c>
      <c r="Q44" s="1153">
        <f t="shared" si="38"/>
        <v>0</v>
      </c>
      <c r="R44" s="1153">
        <f t="shared" si="38"/>
        <v>0</v>
      </c>
      <c r="S44" s="1155"/>
      <c r="T44" s="1153">
        <f>SUM(T41:T43)</f>
        <v>0</v>
      </c>
      <c r="U44" s="1155"/>
      <c r="V44" s="1153">
        <f>SUM(V41:V43)</f>
        <v>47.95</v>
      </c>
      <c r="W44" s="1155"/>
      <c r="X44" s="1153">
        <f t="shared" ref="X44:AK44" si="39">SUM(X41:X43)</f>
        <v>0</v>
      </c>
      <c r="Y44" s="1153">
        <f t="shared" si="39"/>
        <v>0</v>
      </c>
      <c r="Z44" s="1153">
        <f t="shared" si="39"/>
        <v>0</v>
      </c>
      <c r="AA44" s="1153">
        <f t="shared" si="39"/>
        <v>0</v>
      </c>
      <c r="AB44" s="1153">
        <f t="shared" si="39"/>
        <v>0</v>
      </c>
      <c r="AC44" s="1153">
        <f t="shared" si="39"/>
        <v>0</v>
      </c>
      <c r="AD44" s="1153">
        <f t="shared" si="39"/>
        <v>0</v>
      </c>
      <c r="AE44" s="1153">
        <f t="shared" si="39"/>
        <v>0</v>
      </c>
      <c r="AF44" s="1153">
        <f t="shared" si="39"/>
        <v>0</v>
      </c>
      <c r="AG44" s="1153">
        <f t="shared" si="39"/>
        <v>0</v>
      </c>
      <c r="AH44" s="1153">
        <f t="shared" si="39"/>
        <v>1622.6931664590043</v>
      </c>
      <c r="AI44" s="1153">
        <f t="shared" si="39"/>
        <v>0</v>
      </c>
      <c r="AJ44" s="1153">
        <f t="shared" si="39"/>
        <v>4868.0794993770123</v>
      </c>
      <c r="AK44" s="1153">
        <f t="shared" si="39"/>
        <v>0</v>
      </c>
    </row>
    <row r="45" spans="2:37" ht="15.75" x14ac:dyDescent="0.25">
      <c r="B45" s="295">
        <v>1921</v>
      </c>
      <c r="C45" s="304" t="str">
        <f>PROPER("ANA FLAVIA ROCHA NEVES")</f>
        <v>Ana Flavia Rocha Neves</v>
      </c>
      <c r="D45" s="304" t="s">
        <v>2682</v>
      </c>
      <c r="E45" s="304" t="s">
        <v>2739</v>
      </c>
      <c r="F45" s="304" t="s">
        <v>2651</v>
      </c>
      <c r="G45" s="304" t="s">
        <v>2945</v>
      </c>
      <c r="H45" s="305">
        <v>1</v>
      </c>
      <c r="I45" s="295">
        <v>40</v>
      </c>
      <c r="J45" s="295" t="s">
        <v>2636</v>
      </c>
      <c r="K45" s="295">
        <v>1</v>
      </c>
      <c r="L45" s="306">
        <v>42067</v>
      </c>
      <c r="M45" s="295">
        <f>3838.02/639.67</f>
        <v>6</v>
      </c>
      <c r="N45" s="307">
        <f>M45*AK36</f>
        <v>4172.639570894582</v>
      </c>
      <c r="O45" s="333">
        <v>0.05</v>
      </c>
      <c r="P45" s="311">
        <f>N45*O45</f>
        <v>208.63197854472912</v>
      </c>
      <c r="Q45" s="311">
        <v>0</v>
      </c>
      <c r="R45" s="311">
        <v>0</v>
      </c>
      <c r="S45" s="312">
        <v>0</v>
      </c>
      <c r="T45" s="311">
        <f t="shared" ref="T45:T48" si="40">N45*S45</f>
        <v>0</v>
      </c>
      <c r="U45" s="312">
        <f>51.18/N45</f>
        <v>1.2265617274253909E-2</v>
      </c>
      <c r="V45" s="311">
        <f t="shared" ref="V45:V48" si="41">N45*U45</f>
        <v>51.180000000000007</v>
      </c>
      <c r="W45" s="312">
        <v>0</v>
      </c>
      <c r="X45" s="311">
        <f t="shared" ref="X45:X48" si="42">N45*W45</f>
        <v>0</v>
      </c>
      <c r="Y45" s="311">
        <v>0</v>
      </c>
      <c r="Z45" s="311">
        <v>0</v>
      </c>
      <c r="AA45" s="311">
        <v>0</v>
      </c>
      <c r="AB45" s="311">
        <v>0</v>
      </c>
      <c r="AC45" s="311">
        <v>0</v>
      </c>
      <c r="AD45" s="311">
        <v>0</v>
      </c>
      <c r="AE45" s="311">
        <v>0</v>
      </c>
      <c r="AF45" s="311">
        <v>0</v>
      </c>
      <c r="AG45" s="311">
        <v>0</v>
      </c>
      <c r="AH45" s="313">
        <f t="shared" ref="AH45:AH48" si="43">(N45+Q45+R45)/3</f>
        <v>1390.8798569648607</v>
      </c>
      <c r="AI45" s="313">
        <f t="shared" ref="AI45:AI48" si="44">AH45*O45</f>
        <v>69.543992848243036</v>
      </c>
      <c r="AJ45" s="313">
        <f t="shared" ref="AJ45:AJ48" si="45">N45</f>
        <v>4172.639570894582</v>
      </c>
      <c r="AK45" s="313">
        <f t="shared" ref="AK45:AK48" si="46">AJ45*O45</f>
        <v>208.63197854472912</v>
      </c>
    </row>
    <row r="46" spans="2:37" ht="15.75" hidden="1" x14ac:dyDescent="0.25">
      <c r="B46" s="295">
        <v>1922</v>
      </c>
      <c r="C46" s="304" t="str">
        <f>PROPER("LISIANE MUNCHOW DOS SANTOS")</f>
        <v>Lisiane Munchow Dos Santos</v>
      </c>
      <c r="D46" s="304" t="s">
        <v>2683</v>
      </c>
      <c r="E46" s="304" t="s">
        <v>2739</v>
      </c>
      <c r="F46" s="304" t="s">
        <v>2651</v>
      </c>
      <c r="G46" s="304" t="s">
        <v>2944</v>
      </c>
      <c r="H46" s="305">
        <v>1</v>
      </c>
      <c r="I46" s="295">
        <v>40</v>
      </c>
      <c r="J46" s="295" t="s">
        <v>2636</v>
      </c>
      <c r="K46" s="295">
        <v>1</v>
      </c>
      <c r="L46" s="306">
        <v>42068</v>
      </c>
      <c r="M46" s="295">
        <v>5</v>
      </c>
      <c r="N46" s="307">
        <f>M46*AK36</f>
        <v>3477.1996424121517</v>
      </c>
      <c r="O46" s="333">
        <v>0.05</v>
      </c>
      <c r="P46" s="311">
        <f>N46*O46</f>
        <v>173.85998212060758</v>
      </c>
      <c r="Q46" s="311">
        <v>0</v>
      </c>
      <c r="R46" s="311">
        <v>0</v>
      </c>
      <c r="S46" s="312">
        <v>0</v>
      </c>
      <c r="T46" s="311">
        <f t="shared" si="40"/>
        <v>0</v>
      </c>
      <c r="U46" s="312">
        <f>51.18/N46</f>
        <v>1.4718740729104689E-2</v>
      </c>
      <c r="V46" s="311">
        <f t="shared" si="41"/>
        <v>51.18</v>
      </c>
      <c r="W46" s="312">
        <v>0</v>
      </c>
      <c r="X46" s="311">
        <f t="shared" si="42"/>
        <v>0</v>
      </c>
      <c r="Y46" s="311">
        <v>0</v>
      </c>
      <c r="Z46" s="311">
        <v>0</v>
      </c>
      <c r="AA46" s="311">
        <v>0</v>
      </c>
      <c r="AB46" s="311">
        <v>0</v>
      </c>
      <c r="AC46" s="311">
        <v>0</v>
      </c>
      <c r="AD46" s="311">
        <v>0</v>
      </c>
      <c r="AE46" s="311">
        <v>0</v>
      </c>
      <c r="AF46" s="311">
        <v>0</v>
      </c>
      <c r="AG46" s="311">
        <v>0</v>
      </c>
      <c r="AH46" s="313">
        <f t="shared" si="43"/>
        <v>1159.0665474707173</v>
      </c>
      <c r="AI46" s="313">
        <f t="shared" si="44"/>
        <v>57.95332737353587</v>
      </c>
      <c r="AJ46" s="313">
        <f t="shared" si="45"/>
        <v>3477.1996424121517</v>
      </c>
      <c r="AK46" s="313">
        <f t="shared" si="46"/>
        <v>173.85998212060758</v>
      </c>
    </row>
    <row r="47" spans="2:37" ht="15.75" x14ac:dyDescent="0.25">
      <c r="B47" s="295">
        <v>1577</v>
      </c>
      <c r="C47" s="314" t="str">
        <f>PROPER("TANIA MADALENA NIEWIROWSKI")</f>
        <v>Tania Madalena Niewirowski</v>
      </c>
      <c r="D47" s="304" t="s">
        <v>2643</v>
      </c>
      <c r="E47" s="304" t="s">
        <v>2739</v>
      </c>
      <c r="F47" s="304" t="s">
        <v>2651</v>
      </c>
      <c r="G47" s="304" t="s">
        <v>2929</v>
      </c>
      <c r="H47" s="305">
        <v>1</v>
      </c>
      <c r="I47" s="295">
        <v>44</v>
      </c>
      <c r="J47" s="295" t="s">
        <v>2634</v>
      </c>
      <c r="K47" s="295">
        <v>0</v>
      </c>
      <c r="L47" s="306">
        <v>40898</v>
      </c>
      <c r="M47" s="295">
        <v>2.0299999999999998</v>
      </c>
      <c r="N47" s="307">
        <f>M47*AK36</f>
        <v>1411.7430548193333</v>
      </c>
      <c r="O47" s="333">
        <v>0.08</v>
      </c>
      <c r="P47" s="311">
        <f>N47*O47</f>
        <v>112.93944438554666</v>
      </c>
      <c r="Q47" s="311">
        <v>0</v>
      </c>
      <c r="R47" s="311">
        <v>0</v>
      </c>
      <c r="S47" s="312">
        <v>0</v>
      </c>
      <c r="T47" s="311">
        <f t="shared" si="40"/>
        <v>0</v>
      </c>
      <c r="U47" s="312">
        <f>127.94/N47</f>
        <v>9.0625556515575009E-2</v>
      </c>
      <c r="V47" s="311">
        <f t="shared" si="41"/>
        <v>127.94</v>
      </c>
      <c r="W47" s="312">
        <v>0</v>
      </c>
      <c r="X47" s="311">
        <f t="shared" si="42"/>
        <v>0</v>
      </c>
      <c r="Y47" s="311">
        <v>0</v>
      </c>
      <c r="Z47" s="311">
        <v>0</v>
      </c>
      <c r="AA47" s="311">
        <v>0</v>
      </c>
      <c r="AB47" s="311">
        <v>0</v>
      </c>
      <c r="AC47" s="311">
        <v>0</v>
      </c>
      <c r="AD47" s="311">
        <v>0</v>
      </c>
      <c r="AE47" s="311">
        <v>0</v>
      </c>
      <c r="AF47" s="311">
        <v>0</v>
      </c>
      <c r="AG47" s="311">
        <v>0</v>
      </c>
      <c r="AH47" s="313">
        <f t="shared" si="43"/>
        <v>470.58101827311111</v>
      </c>
      <c r="AI47" s="313">
        <f t="shared" si="44"/>
        <v>37.646481461848893</v>
      </c>
      <c r="AJ47" s="313">
        <f t="shared" si="45"/>
        <v>1411.7430548193333</v>
      </c>
      <c r="AK47" s="313">
        <f t="shared" si="46"/>
        <v>112.93944438554666</v>
      </c>
    </row>
    <row r="48" spans="2:37" s="299" customFormat="1" ht="15.75" x14ac:dyDescent="0.25">
      <c r="B48" s="295">
        <v>2123</v>
      </c>
      <c r="C48" s="304" t="str">
        <f>PROPER("VERIDIANA DUMMER ZACKER")</f>
        <v>Veridiana Dummer Zacker</v>
      </c>
      <c r="D48" s="304" t="s">
        <v>2683</v>
      </c>
      <c r="E48" s="304" t="s">
        <v>2739</v>
      </c>
      <c r="F48" s="304" t="s">
        <v>2651</v>
      </c>
      <c r="G48" s="304" t="s">
        <v>2929</v>
      </c>
      <c r="H48" s="305">
        <v>1</v>
      </c>
      <c r="I48" s="295">
        <v>40</v>
      </c>
      <c r="J48" s="295" t="s">
        <v>2636</v>
      </c>
      <c r="K48" s="295">
        <v>1</v>
      </c>
      <c r="L48" s="306">
        <v>42780</v>
      </c>
      <c r="M48" s="295">
        <v>5</v>
      </c>
      <c r="N48" s="307">
        <f>M48*AK36</f>
        <v>3477.1996424121517</v>
      </c>
      <c r="O48" s="333">
        <v>0.08</v>
      </c>
      <c r="P48" s="311">
        <f>N48*O48</f>
        <v>278.17597139297214</v>
      </c>
      <c r="Q48" s="311">
        <v>0</v>
      </c>
      <c r="R48" s="311">
        <v>0</v>
      </c>
      <c r="S48" s="312">
        <v>0</v>
      </c>
      <c r="T48" s="311">
        <f t="shared" si="40"/>
        <v>0</v>
      </c>
      <c r="U48" s="312">
        <f>127.94/N48</f>
        <v>3.6793975945323444E-2</v>
      </c>
      <c r="V48" s="311">
        <f t="shared" si="41"/>
        <v>127.93999999999998</v>
      </c>
      <c r="W48" s="312">
        <v>0</v>
      </c>
      <c r="X48" s="311">
        <f t="shared" si="42"/>
        <v>0</v>
      </c>
      <c r="Y48" s="311">
        <v>0</v>
      </c>
      <c r="Z48" s="311">
        <v>0</v>
      </c>
      <c r="AA48" s="311">
        <v>0</v>
      </c>
      <c r="AB48" s="311">
        <v>0</v>
      </c>
      <c r="AC48" s="311">
        <v>0</v>
      </c>
      <c r="AD48" s="311">
        <v>0</v>
      </c>
      <c r="AE48" s="311">
        <v>0</v>
      </c>
      <c r="AF48" s="311">
        <v>0</v>
      </c>
      <c r="AG48" s="311">
        <v>0</v>
      </c>
      <c r="AH48" s="313">
        <f t="shared" si="43"/>
        <v>1159.0665474707173</v>
      </c>
      <c r="AI48" s="313">
        <f t="shared" si="44"/>
        <v>92.725323797657381</v>
      </c>
      <c r="AJ48" s="313">
        <f t="shared" si="45"/>
        <v>3477.1996424121517</v>
      </c>
      <c r="AK48" s="313">
        <f t="shared" si="46"/>
        <v>278.17597139297214</v>
      </c>
    </row>
    <row r="49" spans="2:37" s="299" customFormat="1" hidden="1" x14ac:dyDescent="0.25">
      <c r="B49" s="1068" t="s">
        <v>2747</v>
      </c>
      <c r="C49" s="1065"/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88">
        <f>SUM(N45:N48)</f>
        <v>12538.781910538219</v>
      </c>
      <c r="O49" s="1067"/>
      <c r="P49" s="1088">
        <f>SUM(P45:P48)</f>
        <v>773.60737644385551</v>
      </c>
      <c r="Q49" s="1088">
        <f>SUM(Q45:Q48)</f>
        <v>0</v>
      </c>
      <c r="R49" s="1088">
        <f>SUM(R45:R48)</f>
        <v>0</v>
      </c>
      <c r="S49" s="315"/>
      <c r="T49" s="1088">
        <f>SUM(T45:T48)</f>
        <v>0</v>
      </c>
      <c r="U49" s="315"/>
      <c r="V49" s="1088">
        <f>SUM(V45:V48)</f>
        <v>358.24</v>
      </c>
      <c r="W49" s="315"/>
      <c r="X49" s="1088">
        <f t="shared" ref="X49:AK49" si="47">SUM(X45:X48)</f>
        <v>0</v>
      </c>
      <c r="Y49" s="1088">
        <f t="shared" si="47"/>
        <v>0</v>
      </c>
      <c r="Z49" s="1088">
        <f t="shared" si="47"/>
        <v>0</v>
      </c>
      <c r="AA49" s="1088">
        <f t="shared" si="47"/>
        <v>0</v>
      </c>
      <c r="AB49" s="1088">
        <f t="shared" si="47"/>
        <v>0</v>
      </c>
      <c r="AC49" s="1088">
        <f t="shared" si="47"/>
        <v>0</v>
      </c>
      <c r="AD49" s="1088">
        <f t="shared" si="47"/>
        <v>0</v>
      </c>
      <c r="AE49" s="1088">
        <f t="shared" si="47"/>
        <v>0</v>
      </c>
      <c r="AF49" s="1088">
        <f t="shared" si="47"/>
        <v>0</v>
      </c>
      <c r="AG49" s="1088">
        <f t="shared" si="47"/>
        <v>0</v>
      </c>
      <c r="AH49" s="1088">
        <f t="shared" si="47"/>
        <v>4179.5939701794068</v>
      </c>
      <c r="AI49" s="1088">
        <f t="shared" si="47"/>
        <v>257.86912548128521</v>
      </c>
      <c r="AJ49" s="1088">
        <f t="shared" si="47"/>
        <v>12538.781910538219</v>
      </c>
      <c r="AK49" s="1088">
        <f t="shared" si="47"/>
        <v>773.60737644385551</v>
      </c>
    </row>
    <row r="50" spans="2:37" ht="31.5" hidden="1" x14ac:dyDescent="0.25">
      <c r="B50" s="295">
        <v>2178</v>
      </c>
      <c r="C50" s="304" t="str">
        <f>PROPER("CLAUDIA PATRICIA CARDOSO DA ROCHA")</f>
        <v>Claudia Patricia Cardoso Da Rocha</v>
      </c>
      <c r="D50" s="304" t="s">
        <v>2930</v>
      </c>
      <c r="E50" s="304" t="s">
        <v>2723</v>
      </c>
      <c r="F50" s="304" t="s">
        <v>2651</v>
      </c>
      <c r="G50" s="304" t="s">
        <v>2777</v>
      </c>
      <c r="H50" s="305">
        <v>1</v>
      </c>
      <c r="I50" s="295">
        <v>40</v>
      </c>
      <c r="J50" s="295" t="s">
        <v>2636</v>
      </c>
      <c r="K50" s="295">
        <v>1</v>
      </c>
      <c r="L50" s="306">
        <v>42067</v>
      </c>
      <c r="M50" s="295">
        <v>4.3</v>
      </c>
      <c r="N50" s="307">
        <f>M50*AK36</f>
        <v>2990.3916924744503</v>
      </c>
      <c r="O50" s="333">
        <v>0</v>
      </c>
      <c r="P50" s="311">
        <f>N50*O50</f>
        <v>0</v>
      </c>
      <c r="Q50" s="311">
        <v>0</v>
      </c>
      <c r="R50" s="311">
        <v>0</v>
      </c>
      <c r="S50" s="312">
        <v>0</v>
      </c>
      <c r="T50" s="311">
        <f t="shared" ref="T50:T51" si="48">N50*S50</f>
        <v>0</v>
      </c>
      <c r="U50" s="312">
        <f>0/N50</f>
        <v>0</v>
      </c>
      <c r="V50" s="311">
        <f t="shared" ref="V50:V51" si="49">N50*U50</f>
        <v>0</v>
      </c>
      <c r="W50" s="312">
        <v>0</v>
      </c>
      <c r="X50" s="311">
        <f t="shared" ref="X50:X51" si="50">N50*W50</f>
        <v>0</v>
      </c>
      <c r="Y50" s="311">
        <v>0</v>
      </c>
      <c r="Z50" s="311">
        <v>0</v>
      </c>
      <c r="AA50" s="311">
        <v>0</v>
      </c>
      <c r="AB50" s="311">
        <v>0</v>
      </c>
      <c r="AC50" s="311">
        <v>0</v>
      </c>
      <c r="AD50" s="311">
        <v>0</v>
      </c>
      <c r="AE50" s="311">
        <v>0</v>
      </c>
      <c r="AF50" s="311">
        <v>0</v>
      </c>
      <c r="AG50" s="311">
        <v>0</v>
      </c>
      <c r="AH50" s="313">
        <f t="shared" ref="AH50:AH51" si="51">(N50+Q50+R50)/3</f>
        <v>996.79723082481678</v>
      </c>
      <c r="AI50" s="313">
        <f t="shared" ref="AI50:AI51" si="52">AH50*O50</f>
        <v>0</v>
      </c>
      <c r="AJ50" s="313">
        <f t="shared" ref="AJ50:AJ51" si="53">N50</f>
        <v>2990.3916924744503</v>
      </c>
      <c r="AK50" s="313">
        <f t="shared" ref="AK50:AK51" si="54">AJ50*O50</f>
        <v>0</v>
      </c>
    </row>
    <row r="51" spans="2:37" s="299" customFormat="1" ht="15.75" hidden="1" x14ac:dyDescent="0.25">
      <c r="B51" s="295">
        <v>2112</v>
      </c>
      <c r="C51" s="304" t="str">
        <f>PROPER("ELISANGELA BIERDZICKI AVILA TOLEDO")</f>
        <v>Elisangela Bierdzicki Avila Toledo</v>
      </c>
      <c r="D51" s="304" t="s">
        <v>2931</v>
      </c>
      <c r="E51" s="304" t="s">
        <v>2723</v>
      </c>
      <c r="F51" s="304" t="s">
        <v>2651</v>
      </c>
      <c r="G51" s="304" t="s">
        <v>2777</v>
      </c>
      <c r="H51" s="305">
        <v>1</v>
      </c>
      <c r="I51" s="295">
        <v>40</v>
      </c>
      <c r="J51" s="295" t="s">
        <v>2636</v>
      </c>
      <c r="K51" s="295">
        <v>1</v>
      </c>
      <c r="L51" s="306">
        <v>42780</v>
      </c>
      <c r="M51" s="295">
        <v>3.2</v>
      </c>
      <c r="N51" s="307">
        <f>M51*AK36</f>
        <v>2225.4077711437772</v>
      </c>
      <c r="O51" s="333">
        <v>0</v>
      </c>
      <c r="P51" s="311">
        <f>N51*O51</f>
        <v>0</v>
      </c>
      <c r="Q51" s="311">
        <v>0</v>
      </c>
      <c r="R51" s="311">
        <v>0</v>
      </c>
      <c r="S51" s="312">
        <v>0</v>
      </c>
      <c r="T51" s="311">
        <f t="shared" si="48"/>
        <v>0</v>
      </c>
      <c r="U51" s="312">
        <f>0/N51</f>
        <v>0</v>
      </c>
      <c r="V51" s="311">
        <f t="shared" si="49"/>
        <v>0</v>
      </c>
      <c r="W51" s="312">
        <v>0</v>
      </c>
      <c r="X51" s="311">
        <f t="shared" si="50"/>
        <v>0</v>
      </c>
      <c r="Y51" s="311">
        <v>0</v>
      </c>
      <c r="Z51" s="311">
        <v>0</v>
      </c>
      <c r="AA51" s="311">
        <v>0</v>
      </c>
      <c r="AB51" s="311">
        <v>0</v>
      </c>
      <c r="AC51" s="311">
        <v>0</v>
      </c>
      <c r="AD51" s="311">
        <v>0</v>
      </c>
      <c r="AE51" s="311">
        <v>0</v>
      </c>
      <c r="AF51" s="311">
        <v>0</v>
      </c>
      <c r="AG51" s="311">
        <v>0</v>
      </c>
      <c r="AH51" s="313">
        <f t="shared" si="51"/>
        <v>741.80259038125905</v>
      </c>
      <c r="AI51" s="313">
        <f t="shared" si="52"/>
        <v>0</v>
      </c>
      <c r="AJ51" s="313">
        <f t="shared" si="53"/>
        <v>2225.4077711437772</v>
      </c>
      <c r="AK51" s="313">
        <f t="shared" si="54"/>
        <v>0</v>
      </c>
    </row>
    <row r="52" spans="2:37" hidden="1" x14ac:dyDescent="0.25">
      <c r="B52" s="1065" t="s">
        <v>2755</v>
      </c>
      <c r="C52" s="1065"/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88">
        <f>SUM(N50:N51)</f>
        <v>5215.7994636182275</v>
      </c>
      <c r="O52" s="1067"/>
      <c r="P52" s="1088">
        <f t="shared" ref="P52:R52" si="55">SUM(P50:P51)</f>
        <v>0</v>
      </c>
      <c r="Q52" s="1088">
        <f t="shared" si="55"/>
        <v>0</v>
      </c>
      <c r="R52" s="1088">
        <f t="shared" si="55"/>
        <v>0</v>
      </c>
      <c r="S52" s="315"/>
      <c r="T52" s="1088">
        <f>SUM(T50:T51)</f>
        <v>0</v>
      </c>
      <c r="U52" s="315"/>
      <c r="V52" s="1088">
        <f>SUM(V50:V51)</f>
        <v>0</v>
      </c>
      <c r="W52" s="315"/>
      <c r="X52" s="1088">
        <f t="shared" ref="X52:AK52" si="56">SUM(X50:X51)</f>
        <v>0</v>
      </c>
      <c r="Y52" s="1088">
        <f t="shared" si="56"/>
        <v>0</v>
      </c>
      <c r="Z52" s="1088">
        <f t="shared" si="56"/>
        <v>0</v>
      </c>
      <c r="AA52" s="1088">
        <f t="shared" si="56"/>
        <v>0</v>
      </c>
      <c r="AB52" s="1088">
        <f t="shared" si="56"/>
        <v>0</v>
      </c>
      <c r="AC52" s="1088">
        <f t="shared" si="56"/>
        <v>0</v>
      </c>
      <c r="AD52" s="1088">
        <f t="shared" si="56"/>
        <v>0</v>
      </c>
      <c r="AE52" s="1088">
        <f t="shared" si="56"/>
        <v>0</v>
      </c>
      <c r="AF52" s="1088">
        <f t="shared" si="56"/>
        <v>0</v>
      </c>
      <c r="AG52" s="1088">
        <f t="shared" si="56"/>
        <v>0</v>
      </c>
      <c r="AH52" s="1088">
        <f t="shared" si="56"/>
        <v>1738.5998212060758</v>
      </c>
      <c r="AI52" s="1088">
        <f t="shared" si="56"/>
        <v>0</v>
      </c>
      <c r="AJ52" s="1088">
        <f t="shared" si="56"/>
        <v>5215.7994636182275</v>
      </c>
      <c r="AK52" s="1088">
        <f t="shared" si="56"/>
        <v>0</v>
      </c>
    </row>
    <row r="53" spans="2:37" s="299" customFormat="1" ht="15.75" hidden="1" x14ac:dyDescent="0.25">
      <c r="B53" s="295">
        <v>2289</v>
      </c>
      <c r="C53" s="304" t="str">
        <f>PROPER("CIBELE JANKE WEEGE MORAIS")</f>
        <v>Cibele Janke Weege Morais</v>
      </c>
      <c r="D53" s="304" t="s">
        <v>2932</v>
      </c>
      <c r="E53" s="304" t="s">
        <v>2933</v>
      </c>
      <c r="F53" s="304" t="s">
        <v>2651</v>
      </c>
      <c r="G53" s="304" t="s">
        <v>2777</v>
      </c>
      <c r="H53" s="305">
        <v>1</v>
      </c>
      <c r="I53" s="295">
        <v>40</v>
      </c>
      <c r="J53" s="295" t="s">
        <v>2636</v>
      </c>
      <c r="K53" s="295">
        <v>1</v>
      </c>
      <c r="L53" s="306">
        <v>42780</v>
      </c>
      <c r="M53" s="316">
        <f>4760.1/639.67</f>
        <v>7.441493269967328</v>
      </c>
      <c r="N53" s="307">
        <f>M53*AK36</f>
        <v>5175.1115474685648</v>
      </c>
      <c r="O53" s="333">
        <v>0</v>
      </c>
      <c r="P53" s="311">
        <f>N53*O53</f>
        <v>0</v>
      </c>
      <c r="Q53" s="311">
        <v>0</v>
      </c>
      <c r="R53" s="311">
        <v>0</v>
      </c>
      <c r="S53" s="312">
        <v>0</v>
      </c>
      <c r="T53" s="311">
        <f t="shared" ref="T53" si="57">N53*S53</f>
        <v>0</v>
      </c>
      <c r="U53" s="312">
        <f>0/N53</f>
        <v>0</v>
      </c>
      <c r="V53" s="311">
        <f t="shared" ref="V53" si="58">N53*U53</f>
        <v>0</v>
      </c>
      <c r="W53" s="312">
        <v>0</v>
      </c>
      <c r="X53" s="311">
        <f t="shared" ref="X53" si="59">N53*W53</f>
        <v>0</v>
      </c>
      <c r="Y53" s="311">
        <v>0</v>
      </c>
      <c r="Z53" s="311">
        <v>0</v>
      </c>
      <c r="AA53" s="311">
        <v>0</v>
      </c>
      <c r="AB53" s="311">
        <v>0</v>
      </c>
      <c r="AC53" s="311">
        <v>0</v>
      </c>
      <c r="AD53" s="311">
        <v>0</v>
      </c>
      <c r="AE53" s="311">
        <v>0</v>
      </c>
      <c r="AF53" s="311">
        <v>0</v>
      </c>
      <c r="AG53" s="311">
        <v>0</v>
      </c>
      <c r="AH53" s="313">
        <f t="shared" ref="AH53" si="60">(N53+Q53+R53)/3</f>
        <v>1725.0371824895217</v>
      </c>
      <c r="AI53" s="313">
        <f t="shared" ref="AI53" si="61">AH53*O53</f>
        <v>0</v>
      </c>
      <c r="AJ53" s="313">
        <f t="shared" ref="AJ53" si="62">N53</f>
        <v>5175.1115474685648</v>
      </c>
      <c r="AK53" s="313">
        <f t="shared" ref="AK53" si="63">AJ53*O53</f>
        <v>0</v>
      </c>
    </row>
    <row r="54" spans="2:37" s="299" customFormat="1" hidden="1" x14ac:dyDescent="0.25">
      <c r="B54" s="1068" t="s">
        <v>2934</v>
      </c>
      <c r="C54" s="1065"/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88">
        <f>SUM(N53:N53)</f>
        <v>5175.1115474685648</v>
      </c>
      <c r="O54" s="1067"/>
      <c r="P54" s="1088">
        <f t="shared" ref="P54:R54" si="64">SUM(P53:P53)</f>
        <v>0</v>
      </c>
      <c r="Q54" s="1088">
        <f t="shared" si="64"/>
        <v>0</v>
      </c>
      <c r="R54" s="1088">
        <f t="shared" si="64"/>
        <v>0</v>
      </c>
      <c r="S54" s="315"/>
      <c r="T54" s="1088">
        <f>SUM(T53:T53)</f>
        <v>0</v>
      </c>
      <c r="U54" s="315"/>
      <c r="V54" s="1088">
        <f>SUM(V53:V53)</f>
        <v>0</v>
      </c>
      <c r="W54" s="315"/>
      <c r="X54" s="1088">
        <f t="shared" ref="X54:AK54" si="65">SUM(X53:X53)</f>
        <v>0</v>
      </c>
      <c r="Y54" s="1088">
        <f t="shared" si="65"/>
        <v>0</v>
      </c>
      <c r="Z54" s="1088">
        <f t="shared" si="65"/>
        <v>0</v>
      </c>
      <c r="AA54" s="1088">
        <f t="shared" si="65"/>
        <v>0</v>
      </c>
      <c r="AB54" s="1088">
        <f t="shared" si="65"/>
        <v>0</v>
      </c>
      <c r="AC54" s="1088">
        <f t="shared" si="65"/>
        <v>0</v>
      </c>
      <c r="AD54" s="1088">
        <f t="shared" si="65"/>
        <v>0</v>
      </c>
      <c r="AE54" s="1088">
        <f t="shared" si="65"/>
        <v>0</v>
      </c>
      <c r="AF54" s="1088">
        <f t="shared" si="65"/>
        <v>0</v>
      </c>
      <c r="AG54" s="1088">
        <f t="shared" si="65"/>
        <v>0</v>
      </c>
      <c r="AH54" s="1088">
        <f t="shared" si="65"/>
        <v>1725.0371824895217</v>
      </c>
      <c r="AI54" s="1088">
        <f t="shared" si="65"/>
        <v>0</v>
      </c>
      <c r="AJ54" s="1088">
        <f t="shared" si="65"/>
        <v>5175.1115474685648</v>
      </c>
      <c r="AK54" s="1088">
        <f t="shared" si="65"/>
        <v>0</v>
      </c>
    </row>
    <row r="55" spans="2:37" s="299" customFormat="1" ht="15.75" hidden="1" x14ac:dyDescent="0.25">
      <c r="B55" s="295">
        <v>0</v>
      </c>
      <c r="C55" s="314" t="s">
        <v>7119</v>
      </c>
      <c r="D55" s="304" t="s">
        <v>2683</v>
      </c>
      <c r="E55" s="304" t="s">
        <v>2757</v>
      </c>
      <c r="F55" s="304" t="s">
        <v>2651</v>
      </c>
      <c r="G55" s="304" t="s">
        <v>2944</v>
      </c>
      <c r="H55" s="305">
        <v>1</v>
      </c>
      <c r="I55" s="295">
        <v>44</v>
      </c>
      <c r="J55" s="295" t="s">
        <v>2636</v>
      </c>
      <c r="K55" s="295">
        <v>0</v>
      </c>
      <c r="L55" s="306">
        <v>42662</v>
      </c>
      <c r="M55" s="295">
        <v>5</v>
      </c>
      <c r="N55" s="307">
        <f>M55*AK36</f>
        <v>3477.1996424121517</v>
      </c>
      <c r="O55" s="333">
        <v>0</v>
      </c>
      <c r="P55" s="311">
        <f>N55*O55</f>
        <v>0</v>
      </c>
      <c r="Q55" s="311">
        <v>0</v>
      </c>
      <c r="R55" s="311">
        <v>0</v>
      </c>
      <c r="S55" s="312">
        <v>0</v>
      </c>
      <c r="T55" s="311">
        <f>N55*S55</f>
        <v>0</v>
      </c>
      <c r="U55" s="312">
        <f>51.18/N55</f>
        <v>1.4718740729104689E-2</v>
      </c>
      <c r="V55" s="311">
        <f>N55*U55</f>
        <v>51.18</v>
      </c>
      <c r="W55" s="312">
        <v>0</v>
      </c>
      <c r="X55" s="311">
        <f>N55*W55</f>
        <v>0</v>
      </c>
      <c r="Y55" s="311">
        <v>0</v>
      </c>
      <c r="Z55" s="311">
        <v>0</v>
      </c>
      <c r="AA55" s="311">
        <v>0</v>
      </c>
      <c r="AB55" s="311">
        <v>0</v>
      </c>
      <c r="AC55" s="311">
        <v>0</v>
      </c>
      <c r="AD55" s="311">
        <v>0</v>
      </c>
      <c r="AE55" s="311">
        <v>0</v>
      </c>
      <c r="AF55" s="311">
        <v>0</v>
      </c>
      <c r="AG55" s="311">
        <v>0</v>
      </c>
      <c r="AH55" s="313">
        <f>(N55+Q55+R55)/3</f>
        <v>1159.0665474707173</v>
      </c>
      <c r="AI55" s="313">
        <f>AH55*O55</f>
        <v>0</v>
      </c>
      <c r="AJ55" s="313">
        <f>N55</f>
        <v>3477.1996424121517</v>
      </c>
      <c r="AK55" s="313">
        <f>AJ55*O55</f>
        <v>0</v>
      </c>
    </row>
    <row r="56" spans="2:37" s="564" customFormat="1" hidden="1" x14ac:dyDescent="0.25">
      <c r="B56" s="1068" t="s">
        <v>2907</v>
      </c>
      <c r="C56" s="1068"/>
      <c r="D56" s="1068"/>
      <c r="E56" s="1068"/>
      <c r="F56" s="1068"/>
      <c r="G56" s="1068"/>
      <c r="H56" s="1068"/>
      <c r="I56" s="1068"/>
      <c r="J56" s="1068"/>
      <c r="K56" s="1068"/>
      <c r="L56" s="1068"/>
      <c r="M56" s="1068"/>
      <c r="N56" s="1156">
        <f>SUM(N55:N55)</f>
        <v>3477.1996424121517</v>
      </c>
      <c r="O56" s="1157"/>
      <c r="P56" s="1156">
        <f>SUM(P55:P55)</f>
        <v>0</v>
      </c>
      <c r="Q56" s="1156">
        <f>SUM(Q55:Q55)</f>
        <v>0</v>
      </c>
      <c r="R56" s="1156">
        <f>SUM(R55:R55)</f>
        <v>0</v>
      </c>
      <c r="S56" s="1158"/>
      <c r="T56" s="1156">
        <f>SUM(T55:T55)</f>
        <v>0</v>
      </c>
      <c r="U56" s="1158"/>
      <c r="V56" s="1156">
        <f>SUM(V55:V55)</f>
        <v>51.18</v>
      </c>
      <c r="W56" s="1158"/>
      <c r="X56" s="1156">
        <f t="shared" ref="X56:AK56" si="66">SUM(X55:X55)</f>
        <v>0</v>
      </c>
      <c r="Y56" s="1156">
        <f t="shared" si="66"/>
        <v>0</v>
      </c>
      <c r="Z56" s="1156">
        <f t="shared" si="66"/>
        <v>0</v>
      </c>
      <c r="AA56" s="1156">
        <f t="shared" si="66"/>
        <v>0</v>
      </c>
      <c r="AB56" s="1156">
        <f t="shared" si="66"/>
        <v>0</v>
      </c>
      <c r="AC56" s="1156">
        <f t="shared" si="66"/>
        <v>0</v>
      </c>
      <c r="AD56" s="1156">
        <f t="shared" si="66"/>
        <v>0</v>
      </c>
      <c r="AE56" s="1156">
        <f t="shared" si="66"/>
        <v>0</v>
      </c>
      <c r="AF56" s="1156">
        <f t="shared" si="66"/>
        <v>0</v>
      </c>
      <c r="AG56" s="1156">
        <f t="shared" si="66"/>
        <v>0</v>
      </c>
      <c r="AH56" s="1156">
        <f t="shared" si="66"/>
        <v>1159.0665474707173</v>
      </c>
      <c r="AI56" s="1156">
        <f t="shared" si="66"/>
        <v>0</v>
      </c>
      <c r="AJ56" s="1156">
        <f t="shared" si="66"/>
        <v>3477.1996424121517</v>
      </c>
      <c r="AK56" s="1156">
        <f t="shared" si="66"/>
        <v>0</v>
      </c>
    </row>
    <row r="57" spans="2:37" ht="60" hidden="1" x14ac:dyDescent="0.25">
      <c r="B57" s="1074"/>
      <c r="C57" s="595"/>
      <c r="D57" s="596"/>
      <c r="E57" s="596"/>
      <c r="F57" s="596"/>
      <c r="G57" s="596"/>
      <c r="H57" s="597"/>
      <c r="I57" s="1074"/>
      <c r="J57" s="1074"/>
      <c r="K57" s="1074"/>
      <c r="L57" s="598"/>
      <c r="M57" s="1064" t="s">
        <v>2629</v>
      </c>
      <c r="N57" s="1064"/>
      <c r="O57" s="1064" t="s">
        <v>2630</v>
      </c>
      <c r="P57" s="1064"/>
      <c r="Q57" s="599" t="str">
        <f>Q38</f>
        <v>Função Gratificada</v>
      </c>
      <c r="R57" s="599" t="str">
        <f>R38</f>
        <v>Alteração de Carga Horária</v>
      </c>
      <c r="S57" s="1064" t="s">
        <v>2751</v>
      </c>
      <c r="T57" s="1064"/>
      <c r="U57" s="1064" t="s">
        <v>2741</v>
      </c>
      <c r="V57" s="1064"/>
      <c r="W57" s="1064" t="s">
        <v>2789</v>
      </c>
      <c r="X57" s="1064"/>
      <c r="Y57" s="599" t="str">
        <f t="shared" ref="Y57:AK57" si="67">Y38</f>
        <v>Adicional Noturno</v>
      </c>
      <c r="Z57" s="599" t="str">
        <f t="shared" si="67"/>
        <v>Abono Permanencia</v>
      </c>
      <c r="AA57" s="599" t="str">
        <f t="shared" si="67"/>
        <v>Parcela Autonoma</v>
      </c>
      <c r="AB57" s="599" t="str">
        <f t="shared" si="67"/>
        <v>Diaria Rural</v>
      </c>
      <c r="AC57" s="599" t="str">
        <f t="shared" si="67"/>
        <v>Gratificação Lei 113</v>
      </c>
      <c r="AD57" s="599" t="str">
        <f t="shared" si="67"/>
        <v>Gratificação Lei 233/2001</v>
      </c>
      <c r="AE57" s="599" t="str">
        <f t="shared" si="67"/>
        <v>Gratificação Gab. Prefeito</v>
      </c>
      <c r="AF57" s="599" t="str">
        <f t="shared" si="67"/>
        <v>Gratificação Câmara</v>
      </c>
      <c r="AG57" s="599" t="str">
        <f t="shared" si="67"/>
        <v>Gratificação Lei 107</v>
      </c>
      <c r="AH57" s="599" t="str">
        <f t="shared" si="67"/>
        <v>1/3 de Férias S/Salario</v>
      </c>
      <c r="AI57" s="599" t="str">
        <f t="shared" si="67"/>
        <v>Anuênio S/1/3 de Férias S/Salario</v>
      </c>
      <c r="AJ57" s="599" t="str">
        <f t="shared" si="67"/>
        <v>13º Salário</v>
      </c>
      <c r="AK57" s="599" t="str">
        <f t="shared" si="67"/>
        <v>Anuênio S/13º Salário</v>
      </c>
    </row>
    <row r="58" spans="2:37" hidden="1" x14ac:dyDescent="0.25">
      <c r="L58" s="295"/>
      <c r="N58" s="313">
        <f>SUM(N56,N54,N52,N49,N44)</f>
        <v>31274.972063414178</v>
      </c>
      <c r="P58" s="313">
        <f>SUM(P56,P54,P52,P49,P44)</f>
        <v>773.60737644385551</v>
      </c>
      <c r="Q58" s="313">
        <f>SUM(Q56,Q54,Q52,Q49,Q44)</f>
        <v>0</v>
      </c>
      <c r="R58" s="313">
        <f>SUM(R56,R54,R52,R49,R44)</f>
        <v>0</v>
      </c>
      <c r="T58" s="313">
        <f>SUM(T56,T54,T52,T49,T44)</f>
        <v>0</v>
      </c>
      <c r="V58" s="313">
        <f>SUM(V56,V54,V52,V49,V44)</f>
        <v>457.37</v>
      </c>
      <c r="X58" s="313">
        <f t="shared" ref="X58:AK58" si="68">SUM(X56,X54,X52,X49,X44)</f>
        <v>0</v>
      </c>
      <c r="Y58" s="313">
        <f t="shared" si="68"/>
        <v>0</v>
      </c>
      <c r="Z58" s="313">
        <f t="shared" si="68"/>
        <v>0</v>
      </c>
      <c r="AA58" s="313">
        <f t="shared" si="68"/>
        <v>0</v>
      </c>
      <c r="AB58" s="313">
        <f t="shared" si="68"/>
        <v>0</v>
      </c>
      <c r="AC58" s="313">
        <f t="shared" si="68"/>
        <v>0</v>
      </c>
      <c r="AD58" s="313">
        <f t="shared" si="68"/>
        <v>0</v>
      </c>
      <c r="AE58" s="313">
        <f t="shared" si="68"/>
        <v>0</v>
      </c>
      <c r="AF58" s="313">
        <f t="shared" si="68"/>
        <v>0</v>
      </c>
      <c r="AG58" s="313">
        <f t="shared" si="68"/>
        <v>0</v>
      </c>
      <c r="AH58" s="313">
        <f t="shared" si="68"/>
        <v>10424.990687804726</v>
      </c>
      <c r="AI58" s="313">
        <f t="shared" si="68"/>
        <v>257.86912548128521</v>
      </c>
      <c r="AJ58" s="313">
        <f t="shared" si="68"/>
        <v>31274.972063414178</v>
      </c>
      <c r="AK58" s="313">
        <f t="shared" si="68"/>
        <v>773.60737644385551</v>
      </c>
    </row>
    <row r="59" spans="2:37" x14ac:dyDescent="0.25">
      <c r="B59" s="294"/>
      <c r="C59" s="294"/>
      <c r="D59" s="294"/>
      <c r="E59" s="294"/>
      <c r="F59" s="294"/>
      <c r="G59" s="294"/>
      <c r="H59" s="294"/>
      <c r="I59" s="294"/>
      <c r="J59" s="294"/>
      <c r="L59" s="295"/>
      <c r="M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</row>
    <row r="60" spans="2:37" x14ac:dyDescent="0.25">
      <c r="B60" s="294"/>
      <c r="C60" s="294"/>
      <c r="D60" s="294"/>
      <c r="E60" s="294"/>
      <c r="F60" s="294"/>
      <c r="G60" s="294"/>
      <c r="H60" s="294"/>
      <c r="I60" s="294"/>
      <c r="J60" s="294"/>
      <c r="L60" s="295"/>
      <c r="M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</row>
    <row r="61" spans="2:37" x14ac:dyDescent="0.25">
      <c r="B61" s="299" t="s">
        <v>7768</v>
      </c>
      <c r="C61" s="294"/>
      <c r="D61" s="294"/>
      <c r="E61" s="294"/>
      <c r="F61" s="294"/>
      <c r="G61" s="294"/>
      <c r="H61" s="294"/>
      <c r="I61" s="294"/>
      <c r="J61" s="294"/>
      <c r="L61" s="295"/>
      <c r="M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</row>
    <row r="62" spans="2:37" x14ac:dyDescent="0.25">
      <c r="B62" s="294"/>
      <c r="C62" s="299" t="s">
        <v>7752</v>
      </c>
      <c r="E62" s="294"/>
      <c r="F62" s="294"/>
      <c r="G62" s="294"/>
      <c r="H62" s="294"/>
      <c r="I62" s="294"/>
      <c r="J62" s="294"/>
      <c r="L62" s="295"/>
      <c r="M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</row>
    <row r="63" spans="2:37" x14ac:dyDescent="0.25">
      <c r="B63" s="294"/>
      <c r="C63" s="294" t="s">
        <v>3075</v>
      </c>
      <c r="D63" s="313">
        <f>N41+N42+N43</f>
        <v>4868.0794993770123</v>
      </c>
      <c r="E63" s="294"/>
      <c r="F63" s="294"/>
      <c r="G63" s="294"/>
      <c r="H63" s="294"/>
      <c r="I63" s="294"/>
      <c r="J63" s="294"/>
      <c r="L63" s="295"/>
      <c r="M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</row>
    <row r="64" spans="2:37" x14ac:dyDescent="0.25">
      <c r="B64" s="294"/>
      <c r="C64" s="294" t="s">
        <v>2761</v>
      </c>
      <c r="D64" s="313">
        <f>Y41+Y42+Y43</f>
        <v>0</v>
      </c>
      <c r="E64" s="294"/>
      <c r="F64" s="294"/>
      <c r="G64" s="294"/>
      <c r="H64" s="294"/>
      <c r="I64" s="294"/>
      <c r="J64" s="294"/>
      <c r="L64" s="295"/>
      <c r="M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</row>
    <row r="65" spans="2:33" x14ac:dyDescent="0.25">
      <c r="B65" s="294"/>
      <c r="C65" s="294" t="s">
        <v>4519</v>
      </c>
      <c r="D65" s="313">
        <f>AH41+AH42+AH43</f>
        <v>1622.6931664590043</v>
      </c>
      <c r="E65" s="294"/>
      <c r="F65" s="294"/>
      <c r="G65" s="294"/>
      <c r="H65" s="294"/>
      <c r="I65" s="294"/>
      <c r="J65" s="294"/>
      <c r="L65" s="295"/>
      <c r="M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</row>
    <row r="66" spans="2:33" x14ac:dyDescent="0.25">
      <c r="B66" s="294"/>
      <c r="C66" s="294" t="s">
        <v>2736</v>
      </c>
      <c r="D66" s="313">
        <f>AJ41+AJ42+AJ43</f>
        <v>4868.0794993770123</v>
      </c>
      <c r="E66" s="294"/>
      <c r="F66" s="294"/>
      <c r="G66" s="294"/>
      <c r="H66" s="294"/>
      <c r="I66" s="294"/>
      <c r="J66" s="294"/>
      <c r="L66" s="295"/>
      <c r="M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</row>
    <row r="67" spans="2:33" x14ac:dyDescent="0.25">
      <c r="B67" s="294"/>
      <c r="C67" s="294" t="s">
        <v>2741</v>
      </c>
      <c r="D67" s="313">
        <f>V41+V42+V43</f>
        <v>47.95</v>
      </c>
      <c r="E67" s="294"/>
      <c r="F67" s="294"/>
      <c r="G67" s="294"/>
      <c r="H67" s="294"/>
      <c r="I67" s="294"/>
      <c r="J67" s="294"/>
      <c r="L67" s="295"/>
      <c r="M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</row>
    <row r="68" spans="2:33" x14ac:dyDescent="0.25">
      <c r="B68" s="294"/>
      <c r="C68" s="294"/>
      <c r="D68" s="294"/>
      <c r="E68" s="294"/>
      <c r="F68" s="294"/>
      <c r="G68" s="294"/>
      <c r="H68" s="294"/>
      <c r="I68" s="294"/>
      <c r="J68" s="294"/>
      <c r="L68" s="295"/>
      <c r="M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</row>
    <row r="69" spans="2:33" x14ac:dyDescent="0.25">
      <c r="B69" s="294"/>
      <c r="C69" s="299" t="s">
        <v>7753</v>
      </c>
      <c r="D69" s="294"/>
      <c r="E69" s="294"/>
      <c r="F69" s="294"/>
      <c r="G69" s="294"/>
      <c r="H69" s="294"/>
      <c r="I69" s="294"/>
      <c r="J69" s="294"/>
      <c r="L69" s="295"/>
      <c r="M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</row>
    <row r="70" spans="2:33" x14ac:dyDescent="0.25">
      <c r="B70" s="294"/>
      <c r="C70" s="294" t="s">
        <v>3075</v>
      </c>
      <c r="D70" s="313">
        <v>0</v>
      </c>
      <c r="E70" s="294"/>
      <c r="F70" s="294"/>
      <c r="G70" s="294"/>
      <c r="H70" s="294"/>
      <c r="I70" s="294"/>
      <c r="J70" s="294"/>
      <c r="L70" s="295"/>
      <c r="M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</row>
    <row r="71" spans="2:33" x14ac:dyDescent="0.25">
      <c r="B71" s="294"/>
      <c r="C71" s="294" t="s">
        <v>2783</v>
      </c>
      <c r="D71" s="313">
        <v>0</v>
      </c>
      <c r="E71" s="294"/>
      <c r="F71" s="294"/>
      <c r="G71" s="294"/>
      <c r="H71" s="294"/>
      <c r="I71" s="294"/>
      <c r="J71" s="294"/>
      <c r="L71" s="295"/>
      <c r="M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</row>
    <row r="72" spans="2:33" x14ac:dyDescent="0.25">
      <c r="B72" s="294"/>
      <c r="C72" s="294" t="s">
        <v>2761</v>
      </c>
      <c r="D72" s="313">
        <v>0</v>
      </c>
      <c r="E72" s="294"/>
      <c r="F72" s="294"/>
      <c r="G72" s="294"/>
      <c r="H72" s="294"/>
      <c r="I72" s="294"/>
      <c r="J72" s="294"/>
      <c r="L72" s="295"/>
      <c r="M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</row>
    <row r="73" spans="2:33" x14ac:dyDescent="0.25">
      <c r="B73" s="294"/>
      <c r="C73" s="294" t="s">
        <v>3411</v>
      </c>
      <c r="D73" s="313">
        <v>0</v>
      </c>
      <c r="E73" s="294"/>
      <c r="F73" s="294"/>
      <c r="G73" s="294"/>
      <c r="H73" s="294"/>
      <c r="I73" s="294"/>
      <c r="J73" s="294"/>
      <c r="L73" s="295"/>
      <c r="M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</row>
    <row r="74" spans="2:33" x14ac:dyDescent="0.25">
      <c r="B74" s="294"/>
      <c r="C74" s="294" t="s">
        <v>4847</v>
      </c>
      <c r="D74" s="313">
        <v>0</v>
      </c>
      <c r="E74" s="294"/>
      <c r="F74" s="294"/>
      <c r="G74" s="294"/>
      <c r="H74" s="294"/>
      <c r="I74" s="294"/>
      <c r="J74" s="294"/>
      <c r="L74" s="295"/>
      <c r="M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</row>
    <row r="75" spans="2:33" x14ac:dyDescent="0.25">
      <c r="B75" s="294"/>
      <c r="C75" s="294" t="s">
        <v>5298</v>
      </c>
      <c r="D75" s="313">
        <v>0</v>
      </c>
      <c r="E75" s="294"/>
      <c r="F75" s="294"/>
      <c r="G75" s="294"/>
      <c r="H75" s="294"/>
      <c r="I75" s="294"/>
      <c r="J75" s="294"/>
      <c r="L75" s="295"/>
      <c r="M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</row>
    <row r="76" spans="2:33" x14ac:dyDescent="0.25">
      <c r="B76" s="294"/>
      <c r="C76" s="294" t="s">
        <v>2740</v>
      </c>
      <c r="D76" s="313">
        <v>0</v>
      </c>
      <c r="E76" s="294"/>
      <c r="F76" s="294"/>
      <c r="G76" s="294"/>
      <c r="H76" s="294"/>
      <c r="I76" s="294"/>
      <c r="J76" s="294"/>
      <c r="L76" s="295"/>
      <c r="M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</row>
    <row r="77" spans="2:33" x14ac:dyDescent="0.25">
      <c r="B77" s="294"/>
      <c r="C77" s="294" t="s">
        <v>4519</v>
      </c>
      <c r="D77" s="313">
        <v>0</v>
      </c>
      <c r="E77" s="294"/>
      <c r="F77" s="294"/>
      <c r="G77" s="294"/>
      <c r="H77" s="294"/>
      <c r="I77" s="294"/>
      <c r="J77" s="294"/>
      <c r="L77" s="295"/>
      <c r="M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</row>
    <row r="78" spans="2:33" x14ac:dyDescent="0.25">
      <c r="B78" s="294"/>
      <c r="C78" s="294" t="s">
        <v>2736</v>
      </c>
      <c r="D78" s="313">
        <v>0</v>
      </c>
      <c r="E78" s="294"/>
      <c r="F78" s="294"/>
      <c r="G78" s="294"/>
      <c r="H78" s="294"/>
      <c r="I78" s="294"/>
      <c r="J78" s="294"/>
      <c r="L78" s="295"/>
      <c r="M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</row>
    <row r="79" spans="2:33" x14ac:dyDescent="0.25">
      <c r="B79" s="294"/>
      <c r="C79" s="294" t="s">
        <v>2741</v>
      </c>
      <c r="D79" s="313">
        <v>0</v>
      </c>
      <c r="E79" s="294"/>
      <c r="F79" s="294"/>
      <c r="G79" s="294"/>
      <c r="H79" s="294"/>
      <c r="I79" s="294"/>
      <c r="J79" s="294"/>
      <c r="L79" s="295"/>
      <c r="M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</row>
    <row r="80" spans="2:33" x14ac:dyDescent="0.25">
      <c r="B80" s="294"/>
      <c r="C80" s="294"/>
      <c r="D80" s="294"/>
      <c r="E80" s="294"/>
      <c r="F80" s="294"/>
      <c r="G80" s="294"/>
      <c r="H80" s="294"/>
      <c r="I80" s="294"/>
      <c r="J80" s="294"/>
      <c r="L80" s="295"/>
      <c r="M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</row>
    <row r="81" spans="2:33" x14ac:dyDescent="0.25">
      <c r="B81" s="294"/>
      <c r="C81" s="299" t="s">
        <v>7755</v>
      </c>
      <c r="D81" s="294"/>
      <c r="E81" s="294"/>
      <c r="F81" s="294"/>
      <c r="G81" s="294"/>
      <c r="H81" s="294"/>
      <c r="I81" s="294"/>
      <c r="J81" s="294"/>
      <c r="L81" s="295"/>
      <c r="M81" s="294"/>
      <c r="O81" s="294"/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4"/>
      <c r="AF81" s="294"/>
      <c r="AG81" s="294"/>
    </row>
    <row r="82" spans="2:33" x14ac:dyDescent="0.25">
      <c r="B82" s="294"/>
      <c r="C82" s="294" t="s">
        <v>3075</v>
      </c>
      <c r="D82" s="313">
        <f>N50+N51</f>
        <v>5215.7994636182275</v>
      </c>
      <c r="E82" s="294"/>
      <c r="F82" s="294"/>
      <c r="G82" s="294"/>
      <c r="H82" s="294"/>
      <c r="I82" s="294"/>
      <c r="J82" s="294"/>
      <c r="L82" s="295"/>
      <c r="M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</row>
    <row r="83" spans="2:33" x14ac:dyDescent="0.25">
      <c r="B83" s="294"/>
      <c r="C83" s="294" t="s">
        <v>4519</v>
      </c>
      <c r="D83" s="313">
        <f>AH50+AH51</f>
        <v>1738.5998212060758</v>
      </c>
      <c r="E83" s="294"/>
      <c r="F83" s="294"/>
      <c r="G83" s="294"/>
      <c r="H83" s="294"/>
      <c r="I83" s="294"/>
      <c r="J83" s="294"/>
      <c r="L83" s="295"/>
      <c r="M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</row>
    <row r="84" spans="2:33" x14ac:dyDescent="0.25">
      <c r="B84" s="294"/>
      <c r="C84" s="294" t="s">
        <v>2736</v>
      </c>
      <c r="D84" s="313">
        <f>AJ50+AJ51</f>
        <v>5215.7994636182275</v>
      </c>
      <c r="E84" s="294"/>
      <c r="F84" s="294"/>
      <c r="G84" s="294"/>
      <c r="H84" s="294"/>
      <c r="I84" s="294"/>
      <c r="J84" s="294"/>
      <c r="L84" s="295"/>
      <c r="M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</row>
    <row r="85" spans="2:33" x14ac:dyDescent="0.25">
      <c r="B85" s="294"/>
      <c r="C85" s="294"/>
      <c r="D85" s="294"/>
      <c r="E85" s="294"/>
      <c r="F85" s="294"/>
      <c r="G85" s="294"/>
      <c r="H85" s="294"/>
      <c r="I85" s="294"/>
      <c r="J85" s="294"/>
      <c r="L85" s="295"/>
      <c r="M85" s="294"/>
      <c r="O85" s="294"/>
      <c r="P85" s="294"/>
      <c r="Q85" s="294"/>
      <c r="R85" s="294"/>
      <c r="S85" s="294"/>
      <c r="T85" s="294"/>
      <c r="U85" s="294"/>
      <c r="V85" s="294"/>
      <c r="W85" s="294"/>
      <c r="X85" s="294"/>
      <c r="Y85" s="294"/>
      <c r="Z85" s="294"/>
      <c r="AA85" s="294"/>
      <c r="AB85" s="294"/>
      <c r="AC85" s="294"/>
      <c r="AD85" s="294"/>
      <c r="AE85" s="294"/>
      <c r="AF85" s="294"/>
      <c r="AG85" s="294"/>
    </row>
    <row r="86" spans="2:33" x14ac:dyDescent="0.25">
      <c r="B86" s="294"/>
      <c r="C86" s="299" t="s">
        <v>7756</v>
      </c>
      <c r="D86" s="294"/>
      <c r="E86" s="294"/>
      <c r="F86" s="294"/>
      <c r="G86" s="294"/>
      <c r="H86" s="294"/>
      <c r="I86" s="294"/>
      <c r="J86" s="294"/>
      <c r="L86" s="295"/>
      <c r="M86" s="294"/>
      <c r="O86" s="294"/>
      <c r="P86" s="294"/>
      <c r="Q86" s="294"/>
      <c r="R86" s="294"/>
      <c r="S86" s="294"/>
      <c r="T86" s="294"/>
      <c r="U86" s="294"/>
      <c r="V86" s="294"/>
      <c r="W86" s="294"/>
      <c r="X86" s="294"/>
      <c r="Y86" s="294"/>
      <c r="Z86" s="294"/>
      <c r="AA86" s="294"/>
      <c r="AB86" s="294"/>
      <c r="AC86" s="294"/>
      <c r="AD86" s="294"/>
      <c r="AE86" s="294"/>
      <c r="AF86" s="294"/>
      <c r="AG86" s="294"/>
    </row>
    <row r="87" spans="2:33" x14ac:dyDescent="0.25">
      <c r="B87" s="294"/>
      <c r="C87" s="294" t="s">
        <v>3075</v>
      </c>
      <c r="D87" s="313">
        <f>N53</f>
        <v>5175.1115474685648</v>
      </c>
      <c r="E87" s="294"/>
      <c r="F87" s="294"/>
      <c r="G87" s="294"/>
      <c r="H87" s="294"/>
      <c r="I87" s="294"/>
      <c r="J87" s="294"/>
      <c r="L87" s="295"/>
      <c r="M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</row>
    <row r="88" spans="2:33" x14ac:dyDescent="0.25">
      <c r="B88" s="294"/>
      <c r="C88" s="294" t="s">
        <v>4519</v>
      </c>
      <c r="D88" s="313">
        <f>AH53</f>
        <v>1725.0371824895217</v>
      </c>
      <c r="E88" s="294"/>
      <c r="F88" s="294"/>
      <c r="G88" s="294"/>
      <c r="H88" s="294"/>
      <c r="I88" s="294"/>
      <c r="J88" s="294"/>
      <c r="L88" s="295"/>
      <c r="M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  <c r="Z88" s="294"/>
      <c r="AA88" s="294"/>
      <c r="AB88" s="294"/>
      <c r="AC88" s="294"/>
      <c r="AD88" s="294"/>
      <c r="AE88" s="294"/>
      <c r="AF88" s="294"/>
      <c r="AG88" s="294"/>
    </row>
    <row r="89" spans="2:33" x14ac:dyDescent="0.25">
      <c r="B89" s="294"/>
      <c r="C89" s="294" t="s">
        <v>2736</v>
      </c>
      <c r="D89" s="313">
        <f>AJ53</f>
        <v>5175.1115474685648</v>
      </c>
      <c r="E89" s="294"/>
      <c r="F89" s="294"/>
      <c r="G89" s="294"/>
      <c r="H89" s="294"/>
      <c r="I89" s="294"/>
      <c r="J89" s="294"/>
      <c r="L89" s="295"/>
      <c r="M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/>
    </row>
    <row r="90" spans="2:33" x14ac:dyDescent="0.25">
      <c r="B90" s="294"/>
      <c r="C90" s="294"/>
      <c r="D90" s="294"/>
      <c r="E90" s="294"/>
      <c r="F90" s="294"/>
      <c r="G90" s="294"/>
      <c r="H90" s="294"/>
      <c r="I90" s="294"/>
      <c r="J90" s="294"/>
      <c r="L90" s="295"/>
      <c r="M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  <c r="Z90" s="294"/>
      <c r="AA90" s="294"/>
      <c r="AB90" s="294"/>
      <c r="AC90" s="294"/>
      <c r="AD90" s="294"/>
      <c r="AE90" s="294"/>
      <c r="AF90" s="294"/>
      <c r="AG90" s="294"/>
    </row>
    <row r="91" spans="2:33" x14ac:dyDescent="0.25">
      <c r="B91" s="299" t="s">
        <v>7772</v>
      </c>
      <c r="C91" s="294"/>
      <c r="D91" s="294"/>
      <c r="E91" s="294"/>
      <c r="F91" s="294"/>
      <c r="G91" s="294"/>
      <c r="H91" s="294"/>
      <c r="I91" s="294"/>
      <c r="J91" s="294"/>
      <c r="L91" s="295"/>
      <c r="M91" s="294"/>
      <c r="O91" s="294"/>
      <c r="P91" s="294"/>
      <c r="Q91" s="294"/>
      <c r="R91" s="294"/>
      <c r="S91" s="294"/>
      <c r="T91" s="294"/>
      <c r="U91" s="294"/>
      <c r="V91" s="294"/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/>
    </row>
    <row r="92" spans="2:33" x14ac:dyDescent="0.25">
      <c r="B92" s="294"/>
      <c r="C92" s="299" t="s">
        <v>7752</v>
      </c>
      <c r="E92" s="294"/>
      <c r="F92" s="294"/>
      <c r="G92" s="294"/>
      <c r="H92" s="294"/>
      <c r="I92" s="294"/>
      <c r="J92" s="294"/>
      <c r="L92" s="295"/>
      <c r="M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/>
      <c r="AC92" s="294"/>
      <c r="AD92" s="294"/>
      <c r="AE92" s="294"/>
      <c r="AF92" s="294"/>
      <c r="AG92" s="294"/>
    </row>
    <row r="93" spans="2:33" x14ac:dyDescent="0.25">
      <c r="B93" s="294"/>
      <c r="C93" s="294" t="s">
        <v>3075</v>
      </c>
      <c r="D93" s="313">
        <v>0</v>
      </c>
      <c r="E93" s="294"/>
      <c r="F93" s="294"/>
      <c r="G93" s="294"/>
      <c r="H93" s="294"/>
      <c r="I93" s="294"/>
      <c r="J93" s="294"/>
      <c r="L93" s="295"/>
      <c r="M93" s="294"/>
      <c r="O93" s="294"/>
      <c r="P93" s="294"/>
      <c r="Q93" s="294"/>
      <c r="R93" s="294"/>
      <c r="S93" s="294"/>
      <c r="T93" s="294"/>
      <c r="U93" s="294"/>
      <c r="V93" s="294"/>
      <c r="W93" s="294"/>
      <c r="X93" s="294"/>
      <c r="Y93" s="294"/>
      <c r="Z93" s="294"/>
      <c r="AA93" s="294"/>
      <c r="AB93" s="294"/>
      <c r="AC93" s="294"/>
      <c r="AD93" s="294"/>
      <c r="AE93" s="294"/>
      <c r="AF93" s="294"/>
      <c r="AG93" s="294"/>
    </row>
    <row r="94" spans="2:33" x14ac:dyDescent="0.25">
      <c r="B94" s="294"/>
      <c r="C94" s="294" t="s">
        <v>2761</v>
      </c>
      <c r="D94" s="313">
        <v>0</v>
      </c>
      <c r="E94" s="294"/>
      <c r="F94" s="294"/>
      <c r="G94" s="294"/>
      <c r="H94" s="294"/>
      <c r="I94" s="294"/>
      <c r="J94" s="294"/>
      <c r="L94" s="295"/>
      <c r="M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</row>
    <row r="95" spans="2:33" x14ac:dyDescent="0.25">
      <c r="B95" s="294"/>
      <c r="C95" s="294" t="s">
        <v>4519</v>
      </c>
      <c r="D95" s="313">
        <v>0</v>
      </c>
      <c r="E95" s="294"/>
      <c r="F95" s="294"/>
      <c r="G95" s="294"/>
      <c r="H95" s="294"/>
      <c r="I95" s="294"/>
      <c r="J95" s="294"/>
      <c r="L95" s="295"/>
      <c r="M95" s="294"/>
      <c r="O95" s="294"/>
      <c r="P95" s="294"/>
      <c r="Q95" s="294"/>
      <c r="R95" s="294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4"/>
      <c r="AF95" s="294"/>
      <c r="AG95" s="294"/>
    </row>
    <row r="96" spans="2:33" x14ac:dyDescent="0.25">
      <c r="B96" s="294"/>
      <c r="C96" s="294" t="s">
        <v>2736</v>
      </c>
      <c r="D96" s="313">
        <v>0</v>
      </c>
      <c r="E96" s="294"/>
      <c r="F96" s="294"/>
      <c r="G96" s="294"/>
      <c r="H96" s="294"/>
      <c r="I96" s="294"/>
      <c r="J96" s="294"/>
      <c r="L96" s="295"/>
      <c r="M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</row>
    <row r="97" spans="2:33" x14ac:dyDescent="0.25">
      <c r="B97" s="294"/>
      <c r="C97" s="294" t="s">
        <v>2741</v>
      </c>
      <c r="D97" s="313">
        <v>0</v>
      </c>
      <c r="E97" s="294"/>
      <c r="F97" s="294"/>
      <c r="G97" s="294"/>
      <c r="H97" s="294"/>
      <c r="I97" s="294"/>
      <c r="J97" s="294"/>
      <c r="L97" s="295"/>
      <c r="M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294"/>
      <c r="AE97" s="294"/>
      <c r="AF97" s="294"/>
      <c r="AG97" s="294"/>
    </row>
    <row r="98" spans="2:33" x14ac:dyDescent="0.25">
      <c r="B98" s="294"/>
      <c r="C98" s="294"/>
      <c r="D98" s="294"/>
      <c r="E98" s="294"/>
      <c r="F98" s="294"/>
      <c r="G98" s="294"/>
      <c r="H98" s="294"/>
      <c r="I98" s="294"/>
      <c r="J98" s="294"/>
      <c r="L98" s="295"/>
      <c r="M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</row>
    <row r="99" spans="2:33" x14ac:dyDescent="0.25">
      <c r="B99" s="294"/>
      <c r="C99" s="299" t="s">
        <v>7753</v>
      </c>
      <c r="D99" s="294"/>
      <c r="E99" s="294"/>
      <c r="F99" s="294"/>
      <c r="G99" s="294"/>
      <c r="H99" s="294"/>
      <c r="I99" s="294"/>
      <c r="J99" s="294"/>
      <c r="L99" s="295"/>
      <c r="M99" s="294"/>
      <c r="O99" s="294"/>
      <c r="P99" s="294"/>
      <c r="Q99" s="294"/>
      <c r="R99" s="294"/>
      <c r="S99" s="294"/>
      <c r="T99" s="294"/>
      <c r="U99" s="294"/>
      <c r="V99" s="294"/>
      <c r="W99" s="294"/>
      <c r="X99" s="294"/>
      <c r="Y99" s="294"/>
      <c r="Z99" s="294"/>
      <c r="AA99" s="294"/>
      <c r="AB99" s="294"/>
      <c r="AC99" s="294"/>
      <c r="AD99" s="294"/>
      <c r="AE99" s="294"/>
      <c r="AF99" s="294"/>
      <c r="AG99" s="294"/>
    </row>
    <row r="100" spans="2:33" x14ac:dyDescent="0.25">
      <c r="B100" s="294"/>
      <c r="C100" s="294" t="s">
        <v>3075</v>
      </c>
      <c r="D100" s="313">
        <f>N45+N47+N48</f>
        <v>9061.582268126067</v>
      </c>
      <c r="E100" s="294"/>
      <c r="F100" s="294"/>
      <c r="G100" s="294"/>
      <c r="H100" s="294"/>
      <c r="I100" s="294"/>
      <c r="J100" s="294"/>
      <c r="L100" s="295"/>
      <c r="M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294"/>
      <c r="AE100" s="294"/>
      <c r="AF100" s="294"/>
      <c r="AG100" s="294"/>
    </row>
    <row r="101" spans="2:33" x14ac:dyDescent="0.25">
      <c r="B101" s="294"/>
      <c r="C101" s="294" t="s">
        <v>2783</v>
      </c>
      <c r="D101" s="313">
        <v>0</v>
      </c>
      <c r="E101" s="294"/>
      <c r="F101" s="294"/>
      <c r="G101" s="294"/>
      <c r="H101" s="294"/>
      <c r="I101" s="294"/>
      <c r="J101" s="294"/>
      <c r="L101" s="295"/>
      <c r="M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</row>
    <row r="102" spans="2:33" x14ac:dyDescent="0.25">
      <c r="B102" s="294"/>
      <c r="C102" s="294" t="s">
        <v>2761</v>
      </c>
      <c r="D102" s="313">
        <v>0</v>
      </c>
      <c r="E102" s="294"/>
      <c r="F102" s="294"/>
      <c r="G102" s="294"/>
      <c r="H102" s="294"/>
      <c r="I102" s="294"/>
      <c r="J102" s="294"/>
      <c r="L102" s="295"/>
      <c r="M102" s="294"/>
      <c r="O102" s="294"/>
      <c r="P102" s="294"/>
      <c r="Q102" s="294"/>
      <c r="R102" s="294"/>
      <c r="S102" s="294"/>
      <c r="T102" s="294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</row>
    <row r="103" spans="2:33" x14ac:dyDescent="0.25">
      <c r="B103" s="294"/>
      <c r="C103" s="294" t="s">
        <v>3411</v>
      </c>
      <c r="D103" s="313">
        <f>P45+P47+P48</f>
        <v>599.74739432324793</v>
      </c>
      <c r="E103" s="294"/>
      <c r="F103" s="294"/>
      <c r="G103" s="294"/>
      <c r="H103" s="294"/>
      <c r="I103" s="294"/>
      <c r="J103" s="294"/>
      <c r="L103" s="295"/>
      <c r="M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294"/>
      <c r="AE103" s="294"/>
      <c r="AF103" s="294"/>
      <c r="AG103" s="294"/>
    </row>
    <row r="104" spans="2:33" x14ac:dyDescent="0.25">
      <c r="B104" s="294"/>
      <c r="C104" s="294" t="s">
        <v>4847</v>
      </c>
      <c r="D104" s="313">
        <f>AI45+AI47+AI48</f>
        <v>199.91579810774931</v>
      </c>
      <c r="E104" s="294"/>
      <c r="F104" s="294"/>
      <c r="G104" s="294"/>
      <c r="H104" s="294"/>
      <c r="I104" s="294"/>
      <c r="J104" s="294"/>
      <c r="L104" s="295"/>
      <c r="M104" s="294"/>
      <c r="O104" s="294"/>
      <c r="P104" s="294"/>
      <c r="Q104" s="294"/>
      <c r="R104" s="294"/>
      <c r="S104" s="294"/>
      <c r="T104" s="294"/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</row>
    <row r="105" spans="2:33" x14ac:dyDescent="0.25">
      <c r="B105" s="294"/>
      <c r="C105" s="294" t="s">
        <v>5298</v>
      </c>
      <c r="D105" s="313">
        <f>AK45+AK47+AK48</f>
        <v>599.74739432324793</v>
      </c>
      <c r="E105" s="294"/>
      <c r="F105" s="294"/>
      <c r="G105" s="294"/>
      <c r="H105" s="294"/>
      <c r="I105" s="294"/>
      <c r="J105" s="294"/>
      <c r="L105" s="295"/>
      <c r="M105" s="294"/>
      <c r="O105" s="294"/>
      <c r="P105" s="294"/>
      <c r="Q105" s="294"/>
      <c r="R105" s="294"/>
      <c r="S105" s="294"/>
      <c r="T105" s="294"/>
      <c r="U105" s="294"/>
      <c r="V105" s="294"/>
      <c r="W105" s="294"/>
      <c r="X105" s="294"/>
      <c r="Y105" s="294"/>
      <c r="Z105" s="294"/>
      <c r="AA105" s="294"/>
      <c r="AB105" s="294"/>
      <c r="AC105" s="294"/>
      <c r="AD105" s="294"/>
      <c r="AE105" s="294"/>
      <c r="AF105" s="294"/>
      <c r="AG105" s="294"/>
    </row>
    <row r="106" spans="2:33" x14ac:dyDescent="0.25">
      <c r="B106" s="294"/>
      <c r="C106" s="294" t="s">
        <v>2740</v>
      </c>
      <c r="D106" s="313">
        <v>0</v>
      </c>
      <c r="E106" s="294"/>
      <c r="F106" s="294"/>
      <c r="G106" s="294"/>
      <c r="H106" s="294"/>
      <c r="I106" s="294"/>
      <c r="J106" s="294"/>
      <c r="L106" s="295"/>
      <c r="M106" s="294"/>
      <c r="O106" s="294"/>
      <c r="P106" s="294"/>
      <c r="Q106" s="294"/>
      <c r="R106" s="294"/>
      <c r="S106" s="294"/>
      <c r="T106" s="294"/>
      <c r="U106" s="294"/>
      <c r="V106" s="294"/>
      <c r="W106" s="294"/>
      <c r="X106" s="294"/>
      <c r="Y106" s="294"/>
      <c r="Z106" s="294"/>
      <c r="AA106" s="294"/>
      <c r="AB106" s="294"/>
      <c r="AC106" s="294"/>
      <c r="AD106" s="294"/>
      <c r="AE106" s="294"/>
      <c r="AF106" s="294"/>
      <c r="AG106" s="294"/>
    </row>
    <row r="107" spans="2:33" x14ac:dyDescent="0.25">
      <c r="B107" s="294"/>
      <c r="C107" s="294" t="s">
        <v>4519</v>
      </c>
      <c r="D107" s="313">
        <f>AH45+AH47+AH48</f>
        <v>3020.5274227086893</v>
      </c>
      <c r="E107" s="294"/>
      <c r="F107" s="294"/>
      <c r="G107" s="294"/>
      <c r="H107" s="294"/>
      <c r="I107" s="294"/>
      <c r="J107" s="294"/>
      <c r="L107" s="295"/>
      <c r="M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</row>
    <row r="108" spans="2:33" x14ac:dyDescent="0.25">
      <c r="B108" s="294"/>
      <c r="C108" s="294" t="s">
        <v>2736</v>
      </c>
      <c r="D108" s="313">
        <f>AJ45+AJ47+AJ48</f>
        <v>9061.582268126067</v>
      </c>
      <c r="E108" s="294"/>
      <c r="F108" s="294"/>
      <c r="G108" s="294"/>
      <c r="H108" s="294"/>
      <c r="I108" s="294"/>
      <c r="J108" s="294"/>
      <c r="L108" s="295"/>
      <c r="M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294"/>
      <c r="AE108" s="294"/>
      <c r="AF108" s="294"/>
      <c r="AG108" s="294"/>
    </row>
    <row r="109" spans="2:33" x14ac:dyDescent="0.25">
      <c r="B109" s="294"/>
      <c r="C109" s="294" t="s">
        <v>2741</v>
      </c>
      <c r="D109" s="313">
        <f>V45+V47+V48</f>
        <v>307.06</v>
      </c>
      <c r="E109" s="294"/>
      <c r="F109" s="294"/>
      <c r="G109" s="294"/>
      <c r="H109" s="294"/>
      <c r="I109" s="294"/>
      <c r="J109" s="294"/>
      <c r="L109" s="295"/>
      <c r="M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/>
      <c r="AG109" s="294"/>
    </row>
    <row r="110" spans="2:33" x14ac:dyDescent="0.25">
      <c r="B110" s="294"/>
      <c r="C110" s="294"/>
      <c r="D110" s="294"/>
      <c r="E110" s="294"/>
      <c r="F110" s="294"/>
      <c r="G110" s="294"/>
      <c r="H110" s="294"/>
      <c r="I110" s="294"/>
      <c r="J110" s="294"/>
      <c r="L110" s="295"/>
      <c r="M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</row>
    <row r="111" spans="2:33" x14ac:dyDescent="0.25">
      <c r="B111" s="294"/>
      <c r="C111" s="299" t="s">
        <v>7755</v>
      </c>
      <c r="D111" s="294"/>
      <c r="E111" s="294"/>
      <c r="F111" s="294"/>
      <c r="G111" s="294"/>
      <c r="H111" s="294"/>
      <c r="I111" s="294"/>
      <c r="J111" s="294"/>
      <c r="L111" s="295"/>
      <c r="M111" s="294"/>
      <c r="O111" s="294"/>
      <c r="P111" s="294"/>
      <c r="Q111" s="294"/>
      <c r="R111" s="294"/>
      <c r="S111" s="294"/>
      <c r="T111" s="294"/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4"/>
      <c r="AF111" s="294"/>
      <c r="AG111" s="294"/>
    </row>
    <row r="112" spans="2:33" x14ac:dyDescent="0.25">
      <c r="B112" s="294"/>
      <c r="C112" s="294" t="s">
        <v>3075</v>
      </c>
      <c r="D112" s="313">
        <v>0</v>
      </c>
      <c r="E112" s="294"/>
      <c r="F112" s="294"/>
      <c r="G112" s="294"/>
      <c r="H112" s="294"/>
      <c r="I112" s="294"/>
      <c r="J112" s="294"/>
      <c r="L112" s="295"/>
      <c r="M112" s="294"/>
      <c r="O112" s="294"/>
      <c r="P112" s="294"/>
      <c r="Q112" s="294"/>
      <c r="R112" s="294"/>
      <c r="S112" s="294"/>
      <c r="T112" s="294"/>
      <c r="U112" s="294"/>
      <c r="V112" s="294"/>
      <c r="W112" s="294"/>
      <c r="X112" s="294"/>
      <c r="Y112" s="294"/>
      <c r="Z112" s="294"/>
      <c r="AA112" s="294"/>
      <c r="AB112" s="294"/>
      <c r="AC112" s="294"/>
      <c r="AD112" s="294"/>
      <c r="AE112" s="294"/>
      <c r="AF112" s="294"/>
      <c r="AG112" s="294"/>
    </row>
    <row r="113" spans="2:33" x14ac:dyDescent="0.25">
      <c r="B113" s="294"/>
      <c r="C113" s="294" t="s">
        <v>4519</v>
      </c>
      <c r="D113" s="313">
        <v>0</v>
      </c>
      <c r="E113" s="294"/>
      <c r="F113" s="294"/>
      <c r="G113" s="294"/>
      <c r="H113" s="294"/>
      <c r="I113" s="294"/>
      <c r="J113" s="294"/>
      <c r="L113" s="295"/>
      <c r="M113" s="294"/>
      <c r="O113" s="294"/>
      <c r="P113" s="294"/>
      <c r="Q113" s="294"/>
      <c r="R113" s="294"/>
      <c r="S113" s="294"/>
      <c r="T113" s="294"/>
      <c r="U113" s="294"/>
      <c r="V113" s="294"/>
      <c r="W113" s="294"/>
      <c r="X113" s="294"/>
      <c r="Y113" s="294"/>
      <c r="Z113" s="294"/>
      <c r="AA113" s="294"/>
      <c r="AB113" s="294"/>
      <c r="AC113" s="294"/>
      <c r="AD113" s="294"/>
      <c r="AE113" s="294"/>
      <c r="AF113" s="294"/>
      <c r="AG113" s="294"/>
    </row>
    <row r="114" spans="2:33" x14ac:dyDescent="0.25">
      <c r="B114" s="294"/>
      <c r="C114" s="294" t="s">
        <v>2736</v>
      </c>
      <c r="D114" s="313">
        <v>0</v>
      </c>
      <c r="E114" s="294"/>
      <c r="F114" s="294"/>
      <c r="G114" s="294"/>
      <c r="H114" s="294"/>
      <c r="I114" s="294"/>
      <c r="J114" s="294"/>
      <c r="L114" s="295"/>
      <c r="M114" s="294"/>
      <c r="O114" s="294"/>
      <c r="P114" s="294"/>
      <c r="Q114" s="294"/>
      <c r="R114" s="294"/>
      <c r="S114" s="294"/>
      <c r="T114" s="294"/>
      <c r="U114" s="294"/>
      <c r="V114" s="294"/>
      <c r="W114" s="294"/>
      <c r="X114" s="294"/>
      <c r="Y114" s="294"/>
      <c r="Z114" s="294"/>
      <c r="AA114" s="294"/>
      <c r="AB114" s="294"/>
      <c r="AC114" s="294"/>
      <c r="AD114" s="294"/>
      <c r="AE114" s="294"/>
      <c r="AF114" s="294"/>
      <c r="AG114" s="294"/>
    </row>
    <row r="115" spans="2:33" x14ac:dyDescent="0.25">
      <c r="B115" s="294"/>
      <c r="C115" s="294"/>
      <c r="D115" s="294"/>
      <c r="E115" s="294"/>
      <c r="F115" s="294"/>
      <c r="G115" s="294"/>
      <c r="H115" s="294"/>
      <c r="I115" s="294"/>
      <c r="J115" s="294"/>
      <c r="L115" s="295"/>
      <c r="M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294"/>
      <c r="AE115" s="294"/>
      <c r="AF115" s="294"/>
      <c r="AG115" s="294"/>
    </row>
    <row r="116" spans="2:33" x14ac:dyDescent="0.25">
      <c r="B116" s="294"/>
      <c r="C116" s="299"/>
      <c r="D116" s="294"/>
      <c r="E116" s="294"/>
      <c r="F116" s="294"/>
      <c r="G116" s="294"/>
      <c r="H116" s="294"/>
      <c r="I116" s="294"/>
      <c r="J116" s="294"/>
      <c r="L116" s="295"/>
      <c r="M116" s="294"/>
      <c r="O116" s="294"/>
      <c r="P116" s="294"/>
      <c r="Q116" s="294"/>
      <c r="R116" s="294"/>
      <c r="S116" s="294"/>
      <c r="T116" s="294"/>
      <c r="U116" s="294"/>
      <c r="V116" s="294"/>
      <c r="W116" s="294"/>
      <c r="X116" s="294"/>
      <c r="Y116" s="294"/>
      <c r="Z116" s="294"/>
      <c r="AA116" s="294"/>
      <c r="AB116" s="294"/>
      <c r="AC116" s="294"/>
      <c r="AD116" s="294"/>
      <c r="AE116" s="294"/>
      <c r="AF116" s="294"/>
      <c r="AG116" s="294"/>
    </row>
    <row r="117" spans="2:33" x14ac:dyDescent="0.25">
      <c r="B117" s="294"/>
      <c r="C117" s="294"/>
      <c r="D117" s="313"/>
      <c r="E117" s="294"/>
      <c r="F117" s="294"/>
      <c r="G117" s="294"/>
      <c r="H117" s="294"/>
      <c r="I117" s="294"/>
      <c r="J117" s="294"/>
      <c r="L117" s="295"/>
      <c r="M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</row>
    <row r="118" spans="2:33" x14ac:dyDescent="0.25">
      <c r="B118" s="294"/>
      <c r="C118" s="294"/>
      <c r="D118" s="313"/>
      <c r="E118" s="294"/>
      <c r="F118" s="294"/>
      <c r="G118" s="294"/>
      <c r="H118" s="294"/>
      <c r="I118" s="294"/>
      <c r="J118" s="294"/>
      <c r="L118" s="295"/>
      <c r="M118" s="294"/>
      <c r="O118" s="294"/>
      <c r="P118" s="294"/>
      <c r="Q118" s="294"/>
      <c r="R118" s="294"/>
      <c r="S118" s="294"/>
      <c r="T118" s="294"/>
      <c r="U118" s="294"/>
      <c r="V118" s="294"/>
      <c r="W118" s="294"/>
      <c r="X118" s="294"/>
      <c r="Y118" s="294"/>
      <c r="Z118" s="294"/>
      <c r="AA118" s="294"/>
      <c r="AB118" s="294"/>
      <c r="AC118" s="294"/>
      <c r="AD118" s="294"/>
      <c r="AE118" s="294"/>
      <c r="AF118" s="294"/>
      <c r="AG118" s="294"/>
    </row>
    <row r="119" spans="2:33" x14ac:dyDescent="0.25">
      <c r="B119" s="294"/>
      <c r="C119" s="294"/>
      <c r="D119" s="313"/>
      <c r="E119" s="294"/>
      <c r="F119" s="294"/>
      <c r="G119" s="294"/>
      <c r="H119" s="294"/>
      <c r="I119" s="294"/>
      <c r="J119" s="294"/>
      <c r="L119" s="295"/>
      <c r="M119" s="294"/>
      <c r="O119" s="294"/>
      <c r="P119" s="294"/>
      <c r="Q119" s="294"/>
      <c r="R119" s="294"/>
      <c r="S119" s="294"/>
      <c r="T119" s="294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294"/>
      <c r="AE119" s="294"/>
      <c r="AF119" s="294"/>
      <c r="AG119" s="294"/>
    </row>
    <row r="120" spans="2:33" x14ac:dyDescent="0.25">
      <c r="B120" s="294"/>
      <c r="C120" s="294"/>
      <c r="D120" s="294"/>
      <c r="E120" s="294"/>
      <c r="F120" s="294"/>
      <c r="G120" s="294"/>
      <c r="H120" s="294"/>
      <c r="I120" s="294"/>
      <c r="J120" s="294"/>
      <c r="L120" s="295"/>
      <c r="M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</row>
    <row r="121" spans="2:33" x14ac:dyDescent="0.25">
      <c r="B121" s="294"/>
      <c r="C121" s="294"/>
      <c r="D121" s="294"/>
      <c r="E121" s="294"/>
      <c r="F121" s="294"/>
      <c r="G121" s="294"/>
      <c r="H121" s="294"/>
      <c r="I121" s="294"/>
      <c r="J121" s="294"/>
      <c r="L121" s="295"/>
      <c r="M121" s="294"/>
      <c r="O121" s="294"/>
      <c r="P121" s="294"/>
      <c r="Q121" s="294"/>
      <c r="R121" s="294"/>
      <c r="S121" s="294"/>
      <c r="T121" s="294"/>
      <c r="U121" s="294"/>
      <c r="V121" s="294"/>
      <c r="W121" s="294"/>
      <c r="X121" s="294"/>
      <c r="Y121" s="294"/>
      <c r="Z121" s="294"/>
      <c r="AA121" s="294"/>
      <c r="AB121" s="294"/>
      <c r="AC121" s="294"/>
      <c r="AD121" s="294"/>
      <c r="AE121" s="294"/>
      <c r="AF121" s="294"/>
      <c r="AG121" s="294"/>
    </row>
    <row r="122" spans="2:33" x14ac:dyDescent="0.25">
      <c r="B122" s="294"/>
      <c r="C122" s="294"/>
      <c r="D122" s="294"/>
      <c r="E122" s="294"/>
      <c r="F122" s="294"/>
      <c r="G122" s="294"/>
      <c r="H122" s="294"/>
      <c r="I122" s="294"/>
      <c r="J122" s="294"/>
      <c r="L122" s="295"/>
      <c r="M122" s="294"/>
      <c r="O122" s="294"/>
      <c r="P122" s="294"/>
      <c r="Q122" s="294"/>
      <c r="R122" s="294"/>
      <c r="S122" s="294"/>
      <c r="T122" s="294"/>
      <c r="U122" s="294"/>
      <c r="V122" s="294"/>
      <c r="W122" s="294"/>
      <c r="X122" s="294"/>
      <c r="Y122" s="294"/>
      <c r="Z122" s="294"/>
      <c r="AA122" s="294"/>
      <c r="AB122" s="294"/>
      <c r="AC122" s="294"/>
      <c r="AD122" s="294"/>
      <c r="AE122" s="294"/>
      <c r="AF122" s="294"/>
      <c r="AG122" s="294"/>
    </row>
    <row r="123" spans="2:33" x14ac:dyDescent="0.25">
      <c r="B123" s="294"/>
      <c r="C123" s="294"/>
      <c r="D123" s="294"/>
      <c r="E123" s="294"/>
      <c r="F123" s="294"/>
      <c r="G123" s="294"/>
      <c r="H123" s="294"/>
      <c r="I123" s="294"/>
      <c r="J123" s="294"/>
      <c r="L123" s="295"/>
      <c r="M123" s="294"/>
      <c r="O123" s="294"/>
      <c r="P123" s="294"/>
      <c r="Q123" s="294"/>
      <c r="R123" s="294"/>
      <c r="S123" s="294"/>
      <c r="T123" s="294"/>
      <c r="U123" s="294"/>
      <c r="V123" s="294"/>
      <c r="W123" s="294"/>
      <c r="X123" s="294"/>
      <c r="Y123" s="294"/>
      <c r="Z123" s="294"/>
      <c r="AA123" s="294"/>
      <c r="AB123" s="294"/>
      <c r="AC123" s="294"/>
      <c r="AD123" s="294"/>
      <c r="AE123" s="294"/>
      <c r="AF123" s="294"/>
      <c r="AG123" s="294"/>
    </row>
    <row r="124" spans="2:33" x14ac:dyDescent="0.25">
      <c r="B124" s="294"/>
      <c r="C124" s="294"/>
      <c r="D124" s="294"/>
      <c r="E124" s="294"/>
      <c r="F124" s="294"/>
      <c r="G124" s="294"/>
      <c r="H124" s="294"/>
      <c r="I124" s="294"/>
      <c r="J124" s="294"/>
      <c r="L124" s="295"/>
      <c r="M124" s="294"/>
      <c r="O124" s="294"/>
      <c r="P124" s="294"/>
      <c r="Q124" s="294"/>
      <c r="R124" s="294"/>
      <c r="S124" s="294"/>
      <c r="T124" s="294"/>
      <c r="U124" s="294"/>
      <c r="V124" s="294"/>
      <c r="W124" s="294"/>
      <c r="X124" s="294"/>
      <c r="Y124" s="294"/>
      <c r="Z124" s="294"/>
      <c r="AA124" s="294"/>
      <c r="AB124" s="294"/>
      <c r="AC124" s="294"/>
      <c r="AD124" s="294"/>
      <c r="AE124" s="294"/>
      <c r="AF124" s="294"/>
      <c r="AG124" s="294"/>
    </row>
    <row r="125" spans="2:33" x14ac:dyDescent="0.25">
      <c r="B125" s="294"/>
      <c r="C125" s="294"/>
      <c r="D125" s="294"/>
      <c r="E125" s="294"/>
      <c r="F125" s="294"/>
      <c r="G125" s="294"/>
      <c r="H125" s="294"/>
      <c r="I125" s="294"/>
      <c r="J125" s="294"/>
      <c r="L125" s="295"/>
      <c r="M125" s="294"/>
      <c r="O125" s="294"/>
      <c r="P125" s="294"/>
      <c r="Q125" s="294"/>
      <c r="R125" s="294"/>
      <c r="S125" s="294"/>
      <c r="T125" s="294"/>
      <c r="U125" s="294"/>
      <c r="V125" s="294"/>
      <c r="W125" s="294"/>
      <c r="X125" s="294"/>
      <c r="Y125" s="294"/>
      <c r="Z125" s="294"/>
      <c r="AA125" s="294"/>
      <c r="AB125" s="294"/>
      <c r="AC125" s="294"/>
      <c r="AD125" s="294"/>
      <c r="AE125" s="294"/>
      <c r="AF125" s="294"/>
      <c r="AG125" s="294"/>
    </row>
    <row r="126" spans="2:33" x14ac:dyDescent="0.25">
      <c r="B126" s="294"/>
      <c r="C126" s="294"/>
      <c r="D126" s="294"/>
      <c r="E126" s="294"/>
      <c r="F126" s="294"/>
      <c r="G126" s="294"/>
      <c r="H126" s="294"/>
      <c r="I126" s="294"/>
      <c r="J126" s="294"/>
      <c r="L126" s="295"/>
      <c r="M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294"/>
      <c r="AE126" s="294"/>
      <c r="AF126" s="294"/>
      <c r="AG126" s="294"/>
    </row>
    <row r="127" spans="2:33" x14ac:dyDescent="0.25">
      <c r="B127" s="294"/>
      <c r="C127" s="294"/>
      <c r="D127" s="294"/>
      <c r="E127" s="294"/>
      <c r="F127" s="294"/>
      <c r="G127" s="294"/>
      <c r="H127" s="294"/>
      <c r="I127" s="294"/>
      <c r="J127" s="294"/>
      <c r="L127" s="295"/>
      <c r="M127" s="294"/>
      <c r="O127" s="294"/>
      <c r="P127" s="294"/>
      <c r="Q127" s="294"/>
      <c r="R127" s="294"/>
      <c r="S127" s="294"/>
      <c r="T127" s="294"/>
      <c r="U127" s="294"/>
      <c r="V127" s="294"/>
      <c r="W127" s="294"/>
      <c r="X127" s="294"/>
      <c r="Y127" s="294"/>
      <c r="Z127" s="294"/>
      <c r="AA127" s="294"/>
      <c r="AB127" s="294"/>
      <c r="AC127" s="294"/>
      <c r="AD127" s="294"/>
      <c r="AE127" s="294"/>
      <c r="AF127" s="294"/>
      <c r="AG127" s="294"/>
    </row>
    <row r="128" spans="2:33" x14ac:dyDescent="0.25">
      <c r="B128" s="294"/>
      <c r="C128" s="294"/>
      <c r="D128" s="294"/>
      <c r="E128" s="294"/>
      <c r="F128" s="294"/>
      <c r="G128" s="294"/>
      <c r="H128" s="294"/>
      <c r="I128" s="294"/>
      <c r="J128" s="294"/>
      <c r="L128" s="295"/>
      <c r="M128" s="294"/>
      <c r="O128" s="294"/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4"/>
      <c r="AF128" s="294"/>
      <c r="AG128" s="294"/>
    </row>
    <row r="129" spans="2:33" x14ac:dyDescent="0.25">
      <c r="B129" s="294"/>
      <c r="C129" s="294"/>
      <c r="D129" s="294"/>
      <c r="E129" s="294"/>
      <c r="F129" s="294"/>
      <c r="G129" s="294"/>
      <c r="H129" s="294"/>
      <c r="I129" s="294"/>
      <c r="J129" s="294"/>
      <c r="L129" s="295"/>
      <c r="M129" s="294"/>
      <c r="O129" s="294"/>
      <c r="P129" s="294"/>
      <c r="Q129" s="294"/>
      <c r="R129" s="294"/>
      <c r="S129" s="294"/>
      <c r="T129" s="294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294"/>
      <c r="AE129" s="294"/>
      <c r="AF129" s="294"/>
      <c r="AG129" s="294"/>
    </row>
    <row r="130" spans="2:33" x14ac:dyDescent="0.25">
      <c r="B130" s="294"/>
      <c r="C130" s="294"/>
      <c r="D130" s="294"/>
      <c r="E130" s="294"/>
      <c r="F130" s="294"/>
      <c r="G130" s="294"/>
      <c r="H130" s="294"/>
      <c r="I130" s="294"/>
      <c r="J130" s="294"/>
      <c r="L130" s="295"/>
      <c r="M130" s="294"/>
      <c r="O130" s="294"/>
      <c r="P130" s="294"/>
      <c r="Q130" s="294"/>
      <c r="R130" s="294"/>
      <c r="S130" s="294"/>
      <c r="T130" s="294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294"/>
      <c r="AE130" s="294"/>
      <c r="AF130" s="294"/>
      <c r="AG130" s="294"/>
    </row>
    <row r="131" spans="2:33" x14ac:dyDescent="0.25">
      <c r="B131" s="294"/>
      <c r="C131" s="294"/>
      <c r="D131" s="294"/>
      <c r="E131" s="294"/>
      <c r="F131" s="294"/>
      <c r="G131" s="294"/>
      <c r="H131" s="294"/>
      <c r="I131" s="294"/>
      <c r="J131" s="294"/>
      <c r="L131" s="295"/>
      <c r="M131" s="294"/>
      <c r="O131" s="294"/>
      <c r="P131" s="294"/>
      <c r="Q131" s="294"/>
      <c r="R131" s="294"/>
      <c r="S131" s="294"/>
      <c r="T131" s="294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</row>
    <row r="132" spans="2:33" x14ac:dyDescent="0.25">
      <c r="B132" s="294"/>
      <c r="C132" s="294"/>
      <c r="D132" s="294"/>
      <c r="E132" s="294"/>
      <c r="F132" s="294"/>
      <c r="G132" s="294"/>
      <c r="H132" s="294"/>
      <c r="I132" s="294"/>
      <c r="J132" s="294"/>
      <c r="L132" s="295"/>
      <c r="M132" s="294"/>
      <c r="O132" s="294"/>
      <c r="P132" s="294"/>
      <c r="Q132" s="294"/>
      <c r="R132" s="294"/>
      <c r="S132" s="294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</row>
    <row r="133" spans="2:33" x14ac:dyDescent="0.25">
      <c r="B133" s="294"/>
      <c r="C133" s="294"/>
      <c r="D133" s="294"/>
      <c r="E133" s="294"/>
      <c r="F133" s="294"/>
      <c r="G133" s="294"/>
      <c r="H133" s="294"/>
      <c r="I133" s="294"/>
      <c r="J133" s="294"/>
      <c r="L133" s="295"/>
      <c r="M133" s="294"/>
      <c r="O133" s="294"/>
      <c r="P133" s="294"/>
      <c r="Q133" s="294"/>
      <c r="R133" s="294"/>
      <c r="S133" s="294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</row>
    <row r="134" spans="2:33" x14ac:dyDescent="0.25">
      <c r="B134" s="294"/>
      <c r="C134" s="294"/>
      <c r="D134" s="294"/>
      <c r="E134" s="294"/>
      <c r="F134" s="294"/>
      <c r="G134" s="294"/>
      <c r="H134" s="294"/>
      <c r="I134" s="294"/>
      <c r="J134" s="294"/>
      <c r="L134" s="295"/>
      <c r="M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</row>
    <row r="135" spans="2:33" x14ac:dyDescent="0.25">
      <c r="B135" s="294"/>
      <c r="C135" s="294"/>
      <c r="D135" s="294"/>
      <c r="E135" s="294"/>
      <c r="F135" s="294"/>
      <c r="G135" s="294"/>
      <c r="H135" s="294"/>
      <c r="I135" s="294"/>
      <c r="J135" s="294"/>
      <c r="L135" s="295"/>
      <c r="M135" s="294"/>
      <c r="O135" s="294"/>
      <c r="P135" s="294"/>
      <c r="Q135" s="294"/>
      <c r="R135" s="294"/>
      <c r="S135" s="294"/>
      <c r="T135" s="294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294"/>
      <c r="AE135" s="294"/>
      <c r="AF135" s="294"/>
      <c r="AG135" s="294"/>
    </row>
    <row r="136" spans="2:33" x14ac:dyDescent="0.25">
      <c r="B136" s="294"/>
      <c r="C136" s="294"/>
      <c r="D136" s="294"/>
      <c r="E136" s="294"/>
      <c r="F136" s="294"/>
      <c r="G136" s="294"/>
      <c r="H136" s="294"/>
      <c r="I136" s="294"/>
      <c r="J136" s="294"/>
      <c r="L136" s="295"/>
      <c r="M136" s="294"/>
      <c r="O136" s="294"/>
      <c r="P136" s="294"/>
      <c r="Q136" s="294"/>
      <c r="R136" s="294"/>
      <c r="S136" s="294"/>
      <c r="T136" s="294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4"/>
      <c r="AF136" s="294"/>
      <c r="AG136" s="294"/>
    </row>
    <row r="137" spans="2:33" x14ac:dyDescent="0.25">
      <c r="B137" s="294"/>
      <c r="C137" s="294"/>
      <c r="D137" s="294"/>
      <c r="E137" s="294"/>
      <c r="F137" s="294"/>
      <c r="G137" s="294"/>
      <c r="H137" s="294"/>
      <c r="I137" s="294"/>
      <c r="J137" s="294"/>
      <c r="L137" s="295"/>
      <c r="M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/>
      <c r="AG137" s="294"/>
    </row>
    <row r="138" spans="2:33" x14ac:dyDescent="0.25">
      <c r="B138" s="294"/>
      <c r="C138" s="294"/>
      <c r="D138" s="294"/>
      <c r="E138" s="294"/>
      <c r="F138" s="294"/>
      <c r="G138" s="294"/>
      <c r="H138" s="294"/>
      <c r="I138" s="294"/>
      <c r="J138" s="294"/>
      <c r="L138" s="295"/>
      <c r="M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/>
      <c r="AG138" s="294"/>
    </row>
    <row r="139" spans="2:33" x14ac:dyDescent="0.25">
      <c r="B139" s="294"/>
      <c r="C139" s="294"/>
      <c r="D139" s="294"/>
      <c r="E139" s="294"/>
      <c r="F139" s="294"/>
      <c r="G139" s="294"/>
      <c r="H139" s="294"/>
      <c r="I139" s="294"/>
      <c r="J139" s="294"/>
      <c r="L139" s="295"/>
      <c r="M139" s="294"/>
      <c r="O139" s="294"/>
      <c r="P139" s="294"/>
      <c r="Q139" s="294"/>
      <c r="R139" s="294"/>
      <c r="S139" s="294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</row>
    <row r="140" spans="2:33" x14ac:dyDescent="0.25">
      <c r="B140" s="294"/>
      <c r="C140" s="294"/>
      <c r="D140" s="294"/>
      <c r="E140" s="294"/>
      <c r="F140" s="294"/>
      <c r="G140" s="294"/>
      <c r="H140" s="294"/>
      <c r="I140" s="294"/>
      <c r="J140" s="294"/>
      <c r="L140" s="295"/>
      <c r="M140" s="294"/>
      <c r="O140" s="294"/>
      <c r="P140" s="294"/>
      <c r="Q140" s="294"/>
      <c r="R140" s="294"/>
      <c r="S140" s="294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</row>
    <row r="141" spans="2:33" x14ac:dyDescent="0.25">
      <c r="B141" s="294"/>
      <c r="C141" s="294"/>
      <c r="D141" s="294"/>
      <c r="E141" s="294"/>
      <c r="F141" s="294"/>
      <c r="G141" s="294"/>
      <c r="H141" s="294"/>
      <c r="I141" s="294"/>
      <c r="J141" s="294"/>
      <c r="L141" s="295"/>
      <c r="M141" s="294"/>
      <c r="O141" s="294"/>
      <c r="P141" s="294"/>
      <c r="Q141" s="294"/>
      <c r="R141" s="294"/>
      <c r="S141" s="294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</row>
    <row r="142" spans="2:33" x14ac:dyDescent="0.25">
      <c r="B142" s="294"/>
      <c r="C142" s="294"/>
      <c r="D142" s="294"/>
      <c r="E142" s="294"/>
      <c r="F142" s="294"/>
      <c r="G142" s="294"/>
      <c r="H142" s="294"/>
      <c r="I142" s="294"/>
      <c r="J142" s="294"/>
      <c r="L142" s="295"/>
      <c r="M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</row>
    <row r="143" spans="2:33" x14ac:dyDescent="0.25">
      <c r="B143" s="294"/>
      <c r="C143" s="294"/>
      <c r="D143" s="294"/>
      <c r="E143" s="294"/>
      <c r="F143" s="294"/>
      <c r="G143" s="294"/>
      <c r="H143" s="294"/>
      <c r="I143" s="294"/>
      <c r="J143" s="294"/>
      <c r="L143" s="295"/>
      <c r="M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294"/>
      <c r="AE143" s="294"/>
      <c r="AF143" s="294"/>
      <c r="AG143" s="294"/>
    </row>
    <row r="144" spans="2:33" x14ac:dyDescent="0.25">
      <c r="B144" s="294"/>
      <c r="C144" s="294"/>
      <c r="D144" s="294"/>
      <c r="E144" s="294"/>
      <c r="F144" s="294"/>
      <c r="G144" s="294"/>
      <c r="H144" s="294"/>
      <c r="I144" s="294"/>
      <c r="J144" s="294"/>
      <c r="L144" s="295"/>
      <c r="M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/>
      <c r="AF144" s="294"/>
      <c r="AG144" s="294"/>
    </row>
    <row r="145" spans="2:33" x14ac:dyDescent="0.25">
      <c r="B145" s="294"/>
      <c r="C145" s="294"/>
      <c r="D145" s="294"/>
      <c r="E145" s="294"/>
      <c r="F145" s="294"/>
      <c r="G145" s="294"/>
      <c r="H145" s="294"/>
      <c r="I145" s="294"/>
      <c r="J145" s="294"/>
      <c r="L145" s="295"/>
      <c r="M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</row>
    <row r="146" spans="2:33" x14ac:dyDescent="0.25">
      <c r="B146" s="294"/>
      <c r="C146" s="294"/>
      <c r="D146" s="294"/>
      <c r="E146" s="294"/>
      <c r="F146" s="294"/>
      <c r="G146" s="294"/>
      <c r="H146" s="294"/>
      <c r="I146" s="294"/>
      <c r="J146" s="294"/>
      <c r="L146" s="295"/>
      <c r="M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</row>
    <row r="147" spans="2:33" x14ac:dyDescent="0.25">
      <c r="B147" s="294"/>
      <c r="C147" s="294"/>
      <c r="D147" s="294"/>
      <c r="E147" s="294"/>
      <c r="F147" s="294"/>
      <c r="G147" s="294"/>
      <c r="H147" s="294"/>
      <c r="I147" s="294"/>
      <c r="J147" s="294"/>
      <c r="L147" s="295"/>
      <c r="M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</row>
    <row r="148" spans="2:33" x14ac:dyDescent="0.25">
      <c r="B148" s="294"/>
      <c r="C148" s="294"/>
      <c r="D148" s="294"/>
      <c r="E148" s="294"/>
      <c r="F148" s="294"/>
      <c r="G148" s="294"/>
      <c r="H148" s="294"/>
      <c r="I148" s="294"/>
      <c r="J148" s="294"/>
      <c r="L148" s="295"/>
      <c r="M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</row>
    <row r="149" spans="2:33" x14ac:dyDescent="0.25">
      <c r="B149" s="294"/>
      <c r="C149" s="294"/>
      <c r="D149" s="294"/>
      <c r="E149" s="294"/>
      <c r="F149" s="294"/>
      <c r="G149" s="294"/>
      <c r="H149" s="294"/>
      <c r="I149" s="294"/>
      <c r="J149" s="294"/>
      <c r="L149" s="295"/>
      <c r="M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294"/>
      <c r="AD149" s="294"/>
      <c r="AE149" s="294"/>
      <c r="AF149" s="294"/>
      <c r="AG149" s="294"/>
    </row>
    <row r="150" spans="2:33" x14ac:dyDescent="0.25">
      <c r="B150" s="294"/>
      <c r="C150" s="294"/>
      <c r="D150" s="294"/>
      <c r="E150" s="294"/>
      <c r="F150" s="294"/>
      <c r="G150" s="294"/>
      <c r="H150" s="294"/>
      <c r="I150" s="294"/>
      <c r="J150" s="294"/>
      <c r="L150" s="295"/>
      <c r="M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AC150" s="294"/>
      <c r="AD150" s="294"/>
      <c r="AE150" s="294"/>
      <c r="AF150" s="294"/>
      <c r="AG150" s="294"/>
    </row>
    <row r="151" spans="2:33" x14ac:dyDescent="0.25">
      <c r="B151" s="294"/>
      <c r="C151" s="294"/>
      <c r="D151" s="294"/>
      <c r="E151" s="294"/>
      <c r="F151" s="294"/>
      <c r="G151" s="294"/>
      <c r="H151" s="294"/>
      <c r="I151" s="294"/>
      <c r="J151" s="294"/>
      <c r="L151" s="295"/>
      <c r="M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</row>
    <row r="152" spans="2:33" x14ac:dyDescent="0.25">
      <c r="B152" s="294"/>
      <c r="C152" s="294"/>
      <c r="D152" s="294"/>
      <c r="E152" s="294"/>
      <c r="F152" s="294"/>
      <c r="G152" s="294"/>
      <c r="H152" s="294"/>
      <c r="I152" s="294"/>
      <c r="J152" s="294"/>
      <c r="L152" s="295"/>
      <c r="M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</row>
    <row r="153" spans="2:33" x14ac:dyDescent="0.25">
      <c r="B153" s="294"/>
      <c r="C153" s="294"/>
      <c r="D153" s="294"/>
      <c r="E153" s="294"/>
      <c r="F153" s="294"/>
      <c r="G153" s="294"/>
      <c r="H153" s="294"/>
      <c r="I153" s="294"/>
      <c r="J153" s="294"/>
      <c r="L153" s="295"/>
      <c r="M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AC153" s="294"/>
      <c r="AD153" s="294"/>
      <c r="AE153" s="294"/>
      <c r="AF153" s="294"/>
      <c r="AG153" s="294"/>
    </row>
    <row r="154" spans="2:33" x14ac:dyDescent="0.25">
      <c r="B154" s="294"/>
      <c r="C154" s="294"/>
      <c r="D154" s="294"/>
      <c r="E154" s="294"/>
      <c r="F154" s="294"/>
      <c r="G154" s="294"/>
      <c r="H154" s="294"/>
      <c r="I154" s="294"/>
      <c r="J154" s="294"/>
      <c r="L154" s="295"/>
      <c r="M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</row>
    <row r="155" spans="2:33" x14ac:dyDescent="0.25">
      <c r="B155" s="294"/>
      <c r="C155" s="294"/>
      <c r="D155" s="294"/>
      <c r="E155" s="294"/>
      <c r="F155" s="294"/>
      <c r="G155" s="294"/>
      <c r="H155" s="294"/>
      <c r="I155" s="294"/>
      <c r="J155" s="294"/>
      <c r="L155" s="295"/>
      <c r="M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AC155" s="294"/>
      <c r="AD155" s="294"/>
      <c r="AE155" s="294"/>
      <c r="AF155" s="294"/>
      <c r="AG155" s="294"/>
    </row>
    <row r="156" spans="2:33" x14ac:dyDescent="0.25">
      <c r="B156" s="294"/>
      <c r="C156" s="294"/>
      <c r="D156" s="294"/>
      <c r="E156" s="294"/>
      <c r="F156" s="294"/>
      <c r="G156" s="294"/>
      <c r="H156" s="294"/>
      <c r="I156" s="294"/>
      <c r="J156" s="294"/>
      <c r="L156" s="295"/>
      <c r="M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</row>
    <row r="157" spans="2:33" x14ac:dyDescent="0.25">
      <c r="B157" s="294"/>
      <c r="C157" s="294"/>
      <c r="D157" s="294"/>
      <c r="E157" s="294"/>
      <c r="F157" s="294"/>
      <c r="G157" s="294"/>
      <c r="H157" s="294"/>
      <c r="I157" s="294"/>
      <c r="J157" s="294"/>
      <c r="L157" s="295"/>
      <c r="M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AC157" s="294"/>
      <c r="AD157" s="294"/>
      <c r="AE157" s="294"/>
      <c r="AF157" s="294"/>
      <c r="AG157" s="294"/>
    </row>
    <row r="158" spans="2:33" x14ac:dyDescent="0.25">
      <c r="B158" s="294"/>
      <c r="C158" s="294"/>
      <c r="D158" s="294"/>
      <c r="E158" s="294"/>
      <c r="F158" s="294"/>
      <c r="G158" s="294"/>
      <c r="H158" s="294"/>
      <c r="I158" s="294"/>
      <c r="J158" s="294"/>
      <c r="L158" s="295"/>
      <c r="M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294"/>
      <c r="Z158" s="294"/>
      <c r="AA158" s="294"/>
      <c r="AB158" s="294"/>
      <c r="AC158" s="294"/>
      <c r="AD158" s="294"/>
      <c r="AE158" s="294"/>
      <c r="AF158" s="294"/>
      <c r="AG158" s="294"/>
    </row>
    <row r="159" spans="2:33" x14ac:dyDescent="0.25">
      <c r="B159" s="294"/>
      <c r="C159" s="294"/>
      <c r="D159" s="294"/>
      <c r="E159" s="294"/>
      <c r="F159" s="294"/>
      <c r="G159" s="294"/>
      <c r="H159" s="294"/>
      <c r="I159" s="294"/>
      <c r="J159" s="294"/>
      <c r="L159" s="295"/>
      <c r="M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  <c r="Z159" s="294"/>
      <c r="AA159" s="294"/>
      <c r="AB159" s="294"/>
      <c r="AC159" s="294"/>
      <c r="AD159" s="294"/>
      <c r="AE159" s="294"/>
      <c r="AF159" s="294"/>
      <c r="AG159" s="294"/>
    </row>
    <row r="160" spans="2:33" x14ac:dyDescent="0.25">
      <c r="B160" s="294"/>
      <c r="C160" s="294"/>
      <c r="D160" s="294"/>
      <c r="E160" s="294"/>
      <c r="F160" s="294"/>
      <c r="G160" s="294"/>
      <c r="H160" s="294"/>
      <c r="I160" s="294"/>
      <c r="J160" s="294"/>
      <c r="L160" s="295"/>
      <c r="M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</row>
    <row r="161" spans="2:33" x14ac:dyDescent="0.25">
      <c r="B161" s="294"/>
      <c r="C161" s="294"/>
      <c r="D161" s="294"/>
      <c r="E161" s="294"/>
      <c r="F161" s="294"/>
      <c r="G161" s="294"/>
      <c r="H161" s="294"/>
      <c r="I161" s="294"/>
      <c r="J161" s="294"/>
      <c r="L161" s="295"/>
      <c r="M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294"/>
      <c r="Z161" s="294"/>
      <c r="AA161" s="294"/>
      <c r="AB161" s="294"/>
      <c r="AC161" s="294"/>
      <c r="AD161" s="294"/>
      <c r="AE161" s="294"/>
      <c r="AF161" s="294"/>
      <c r="AG161" s="294"/>
    </row>
    <row r="162" spans="2:33" x14ac:dyDescent="0.25">
      <c r="B162" s="294"/>
      <c r="C162" s="294"/>
      <c r="D162" s="294"/>
      <c r="E162" s="294"/>
      <c r="F162" s="294"/>
      <c r="G162" s="294"/>
      <c r="H162" s="294"/>
      <c r="I162" s="294"/>
      <c r="J162" s="294"/>
      <c r="L162" s="295"/>
      <c r="M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294"/>
      <c r="Y162" s="294"/>
      <c r="Z162" s="294"/>
      <c r="AA162" s="294"/>
      <c r="AB162" s="294"/>
      <c r="AC162" s="294"/>
      <c r="AD162" s="294"/>
      <c r="AE162" s="294"/>
      <c r="AF162" s="294"/>
      <c r="AG162" s="294"/>
    </row>
    <row r="163" spans="2:33" x14ac:dyDescent="0.25">
      <c r="B163" s="294"/>
      <c r="C163" s="294"/>
      <c r="D163" s="294"/>
      <c r="E163" s="294"/>
      <c r="F163" s="294"/>
      <c r="G163" s="294"/>
      <c r="H163" s="294"/>
      <c r="I163" s="294"/>
      <c r="J163" s="294"/>
      <c r="L163" s="295"/>
      <c r="M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294"/>
      <c r="Y163" s="294"/>
      <c r="Z163" s="294"/>
      <c r="AA163" s="294"/>
      <c r="AB163" s="294"/>
      <c r="AC163" s="294"/>
      <c r="AD163" s="294"/>
      <c r="AE163" s="294"/>
      <c r="AF163" s="294"/>
      <c r="AG163" s="294"/>
    </row>
    <row r="164" spans="2:33" x14ac:dyDescent="0.25">
      <c r="B164" s="294"/>
      <c r="C164" s="294"/>
      <c r="D164" s="294"/>
      <c r="E164" s="294"/>
      <c r="F164" s="294"/>
      <c r="G164" s="294"/>
      <c r="H164" s="294"/>
      <c r="I164" s="294"/>
      <c r="J164" s="294"/>
      <c r="L164" s="295"/>
      <c r="M164" s="294"/>
      <c r="O164" s="294"/>
      <c r="P164" s="294"/>
      <c r="Q164" s="294"/>
      <c r="R164" s="294"/>
      <c r="S164" s="294"/>
      <c r="T164" s="294"/>
      <c r="U164" s="294"/>
      <c r="V164" s="294"/>
      <c r="W164" s="294"/>
      <c r="X164" s="294"/>
      <c r="Y164" s="294"/>
      <c r="Z164" s="294"/>
      <c r="AA164" s="294"/>
      <c r="AB164" s="294"/>
      <c r="AC164" s="294"/>
      <c r="AD164" s="294"/>
      <c r="AE164" s="294"/>
      <c r="AF164" s="294"/>
      <c r="AG164" s="294"/>
    </row>
    <row r="165" spans="2:33" x14ac:dyDescent="0.25">
      <c r="B165" s="294"/>
      <c r="C165" s="294"/>
      <c r="D165" s="294"/>
      <c r="E165" s="294"/>
      <c r="F165" s="294"/>
      <c r="G165" s="294"/>
      <c r="H165" s="294"/>
      <c r="I165" s="294"/>
      <c r="J165" s="294"/>
      <c r="L165" s="295"/>
      <c r="M165" s="294"/>
      <c r="O165" s="294"/>
      <c r="P165" s="294"/>
      <c r="Q165" s="294"/>
      <c r="R165" s="294"/>
      <c r="S165" s="294"/>
      <c r="T165" s="294"/>
      <c r="U165" s="294"/>
      <c r="V165" s="294"/>
      <c r="W165" s="294"/>
      <c r="X165" s="294"/>
      <c r="Y165" s="294"/>
      <c r="Z165" s="294"/>
      <c r="AA165" s="294"/>
      <c r="AB165" s="294"/>
      <c r="AC165" s="294"/>
      <c r="AD165" s="294"/>
      <c r="AE165" s="294"/>
      <c r="AF165" s="294"/>
      <c r="AG165" s="294"/>
    </row>
    <row r="166" spans="2:33" x14ac:dyDescent="0.25">
      <c r="B166" s="294"/>
      <c r="C166" s="294"/>
      <c r="D166" s="294"/>
      <c r="E166" s="294"/>
      <c r="F166" s="294"/>
      <c r="G166" s="294"/>
      <c r="H166" s="294"/>
      <c r="I166" s="294"/>
      <c r="J166" s="294"/>
      <c r="L166" s="295"/>
      <c r="M166" s="294"/>
      <c r="O166" s="294"/>
      <c r="P166" s="294"/>
      <c r="Q166" s="294"/>
      <c r="R166" s="294"/>
      <c r="S166" s="294"/>
      <c r="T166" s="294"/>
      <c r="U166" s="294"/>
      <c r="V166" s="294"/>
      <c r="W166" s="294"/>
      <c r="X166" s="294"/>
      <c r="Y166" s="294"/>
      <c r="Z166" s="294"/>
      <c r="AA166" s="294"/>
      <c r="AB166" s="294"/>
      <c r="AC166" s="294"/>
      <c r="AD166" s="294"/>
      <c r="AE166" s="294"/>
      <c r="AF166" s="294"/>
      <c r="AG166" s="294"/>
    </row>
    <row r="167" spans="2:33" x14ac:dyDescent="0.25">
      <c r="B167" s="294"/>
      <c r="C167" s="294"/>
      <c r="D167" s="294"/>
      <c r="E167" s="294"/>
      <c r="F167" s="294"/>
      <c r="G167" s="294"/>
      <c r="H167" s="294"/>
      <c r="I167" s="294"/>
      <c r="J167" s="294"/>
      <c r="L167" s="295"/>
      <c r="M167" s="294"/>
      <c r="O167" s="294"/>
      <c r="P167" s="294"/>
      <c r="Q167" s="294"/>
      <c r="R167" s="294"/>
      <c r="S167" s="294"/>
      <c r="T167" s="294"/>
      <c r="U167" s="294"/>
      <c r="V167" s="294"/>
      <c r="W167" s="294"/>
      <c r="X167" s="294"/>
      <c r="Y167" s="294"/>
      <c r="Z167" s="294"/>
      <c r="AA167" s="294"/>
      <c r="AB167" s="294"/>
      <c r="AC167" s="294"/>
      <c r="AD167" s="294"/>
      <c r="AE167" s="294"/>
      <c r="AF167" s="294"/>
      <c r="AG167" s="294"/>
    </row>
    <row r="168" spans="2:33" x14ac:dyDescent="0.25">
      <c r="B168" s="294"/>
      <c r="C168" s="294"/>
      <c r="D168" s="294"/>
      <c r="E168" s="294"/>
      <c r="F168" s="294"/>
      <c r="G168" s="294"/>
      <c r="H168" s="294"/>
      <c r="I168" s="294"/>
      <c r="J168" s="294"/>
      <c r="L168" s="295"/>
      <c r="M168" s="294"/>
      <c r="O168" s="294"/>
      <c r="P168" s="294"/>
      <c r="Q168" s="294"/>
      <c r="R168" s="294"/>
      <c r="S168" s="294"/>
      <c r="T168" s="294"/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4"/>
      <c r="AF168" s="294"/>
      <c r="AG168" s="294"/>
    </row>
    <row r="169" spans="2:33" x14ac:dyDescent="0.25">
      <c r="B169" s="294"/>
      <c r="C169" s="294"/>
      <c r="D169" s="294"/>
      <c r="E169" s="294"/>
      <c r="F169" s="294"/>
      <c r="G169" s="294"/>
      <c r="H169" s="294"/>
      <c r="I169" s="294"/>
      <c r="J169" s="294"/>
      <c r="L169" s="295"/>
      <c r="M169" s="294"/>
      <c r="O169" s="294"/>
      <c r="P169" s="294"/>
      <c r="Q169" s="294"/>
      <c r="R169" s="294"/>
      <c r="S169" s="294"/>
      <c r="T169" s="294"/>
      <c r="U169" s="294"/>
      <c r="V169" s="294"/>
      <c r="W169" s="294"/>
      <c r="X169" s="294"/>
      <c r="Y169" s="294"/>
      <c r="Z169" s="294"/>
      <c r="AA169" s="294"/>
      <c r="AB169" s="294"/>
      <c r="AC169" s="294"/>
      <c r="AD169" s="294"/>
      <c r="AE169" s="294"/>
      <c r="AF169" s="294"/>
      <c r="AG169" s="294"/>
    </row>
    <row r="170" spans="2:33" x14ac:dyDescent="0.25">
      <c r="B170" s="294"/>
      <c r="C170" s="294"/>
      <c r="D170" s="294"/>
      <c r="E170" s="294"/>
      <c r="F170" s="294"/>
      <c r="G170" s="294"/>
      <c r="H170" s="294"/>
      <c r="I170" s="294"/>
      <c r="J170" s="294"/>
      <c r="L170" s="295"/>
      <c r="M170" s="294"/>
      <c r="O170" s="294"/>
      <c r="P170" s="294"/>
      <c r="Q170" s="294"/>
      <c r="R170" s="294"/>
      <c r="S170" s="294"/>
      <c r="T170" s="294"/>
      <c r="U170" s="294"/>
      <c r="V170" s="294"/>
      <c r="W170" s="294"/>
      <c r="X170" s="294"/>
      <c r="Y170" s="294"/>
      <c r="Z170" s="294"/>
      <c r="AA170" s="294"/>
      <c r="AB170" s="294"/>
      <c r="AC170" s="294"/>
      <c r="AD170" s="294"/>
      <c r="AE170" s="294"/>
      <c r="AF170" s="294"/>
      <c r="AG170" s="294"/>
    </row>
    <row r="171" spans="2:33" x14ac:dyDescent="0.25">
      <c r="B171" s="294"/>
      <c r="C171" s="294"/>
      <c r="D171" s="294"/>
      <c r="E171" s="294"/>
      <c r="F171" s="294"/>
      <c r="G171" s="294"/>
      <c r="H171" s="294"/>
      <c r="I171" s="294"/>
      <c r="J171" s="294"/>
      <c r="L171" s="295"/>
      <c r="M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</row>
    <row r="172" spans="2:33" x14ac:dyDescent="0.25">
      <c r="B172" s="294"/>
      <c r="C172" s="294"/>
      <c r="D172" s="294"/>
      <c r="E172" s="294"/>
      <c r="F172" s="294"/>
      <c r="G172" s="294"/>
      <c r="H172" s="294"/>
      <c r="I172" s="294"/>
      <c r="J172" s="294"/>
      <c r="L172" s="295"/>
      <c r="M172" s="294"/>
      <c r="O172" s="294"/>
      <c r="P172" s="294"/>
      <c r="Q172" s="294"/>
      <c r="R172" s="294"/>
      <c r="S172" s="294"/>
      <c r="T172" s="294"/>
      <c r="U172" s="294"/>
      <c r="V172" s="294"/>
      <c r="W172" s="294"/>
      <c r="X172" s="294"/>
      <c r="Y172" s="294"/>
      <c r="Z172" s="294"/>
      <c r="AA172" s="294"/>
      <c r="AB172" s="294"/>
      <c r="AC172" s="294"/>
      <c r="AD172" s="294"/>
      <c r="AE172" s="294"/>
      <c r="AF172" s="294"/>
      <c r="AG172" s="294"/>
    </row>
    <row r="173" spans="2:33" x14ac:dyDescent="0.25">
      <c r="B173" s="294"/>
      <c r="C173" s="294"/>
      <c r="D173" s="294"/>
      <c r="E173" s="294"/>
      <c r="F173" s="294"/>
      <c r="G173" s="294"/>
      <c r="H173" s="294"/>
      <c r="I173" s="294"/>
      <c r="J173" s="294"/>
      <c r="L173" s="295"/>
      <c r="M173" s="294"/>
      <c r="O173" s="294"/>
      <c r="P173" s="294"/>
      <c r="Q173" s="294"/>
      <c r="R173" s="294"/>
      <c r="S173" s="294"/>
      <c r="T173" s="294"/>
      <c r="U173" s="294"/>
      <c r="V173" s="294"/>
      <c r="W173" s="294"/>
      <c r="X173" s="294"/>
      <c r="Y173" s="294"/>
      <c r="Z173" s="294"/>
      <c r="AA173" s="294"/>
      <c r="AB173" s="294"/>
      <c r="AC173" s="294"/>
      <c r="AD173" s="294"/>
      <c r="AE173" s="294"/>
      <c r="AF173" s="294"/>
      <c r="AG173" s="294"/>
    </row>
    <row r="174" spans="2:33" x14ac:dyDescent="0.25">
      <c r="B174" s="294"/>
      <c r="C174" s="294"/>
      <c r="D174" s="294"/>
      <c r="E174" s="294"/>
      <c r="F174" s="294"/>
      <c r="G174" s="294"/>
      <c r="H174" s="294"/>
      <c r="I174" s="294"/>
      <c r="J174" s="294"/>
      <c r="L174" s="295"/>
      <c r="M174" s="294"/>
      <c r="O174" s="294"/>
      <c r="P174" s="294"/>
      <c r="Q174" s="294"/>
      <c r="R174" s="294"/>
      <c r="S174" s="294"/>
      <c r="T174" s="294"/>
      <c r="U174" s="294"/>
      <c r="V174" s="294"/>
      <c r="W174" s="294"/>
      <c r="X174" s="294"/>
      <c r="Y174" s="294"/>
      <c r="Z174" s="294"/>
      <c r="AA174" s="294"/>
      <c r="AB174" s="294"/>
      <c r="AC174" s="294"/>
      <c r="AD174" s="294"/>
      <c r="AE174" s="294"/>
      <c r="AF174" s="294"/>
      <c r="AG174" s="294"/>
    </row>
    <row r="175" spans="2:33" x14ac:dyDescent="0.25">
      <c r="B175" s="294"/>
      <c r="C175" s="294"/>
      <c r="D175" s="294"/>
      <c r="E175" s="294"/>
      <c r="F175" s="294"/>
      <c r="G175" s="294"/>
      <c r="H175" s="294"/>
      <c r="I175" s="294"/>
      <c r="J175" s="294"/>
      <c r="L175" s="295"/>
      <c r="M175" s="294"/>
      <c r="O175" s="294"/>
      <c r="P175" s="294"/>
      <c r="Q175" s="294"/>
      <c r="R175" s="294"/>
      <c r="S175" s="294"/>
      <c r="T175" s="294"/>
      <c r="U175" s="294"/>
      <c r="V175" s="294"/>
      <c r="W175" s="294"/>
      <c r="X175" s="294"/>
      <c r="Y175" s="294"/>
      <c r="Z175" s="294"/>
      <c r="AA175" s="294"/>
      <c r="AB175" s="294"/>
      <c r="AC175" s="294"/>
      <c r="AD175" s="294"/>
      <c r="AE175" s="294"/>
      <c r="AF175" s="294"/>
      <c r="AG175" s="294"/>
    </row>
    <row r="176" spans="2:33" x14ac:dyDescent="0.25">
      <c r="B176" s="294"/>
      <c r="C176" s="294"/>
      <c r="D176" s="294"/>
      <c r="E176" s="294"/>
      <c r="F176" s="294"/>
      <c r="G176" s="294"/>
      <c r="H176" s="294"/>
      <c r="I176" s="294"/>
      <c r="J176" s="294"/>
      <c r="L176" s="295"/>
      <c r="M176" s="294"/>
      <c r="O176" s="294"/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4"/>
      <c r="AF176" s="294"/>
      <c r="AG176" s="294"/>
    </row>
    <row r="177" spans="2:33" x14ac:dyDescent="0.25">
      <c r="B177" s="294"/>
      <c r="C177" s="294"/>
      <c r="D177" s="294"/>
      <c r="E177" s="294"/>
      <c r="F177" s="294"/>
      <c r="G177" s="294"/>
      <c r="H177" s="294"/>
      <c r="I177" s="294"/>
      <c r="J177" s="294"/>
      <c r="L177" s="295"/>
      <c r="M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294"/>
      <c r="Y177" s="294"/>
      <c r="Z177" s="294"/>
      <c r="AA177" s="294"/>
      <c r="AB177" s="294"/>
      <c r="AC177" s="294"/>
      <c r="AD177" s="294"/>
      <c r="AE177" s="294"/>
      <c r="AF177" s="294"/>
      <c r="AG177" s="294"/>
    </row>
    <row r="178" spans="2:33" x14ac:dyDescent="0.25">
      <c r="B178" s="294"/>
      <c r="C178" s="294"/>
      <c r="D178" s="294"/>
      <c r="E178" s="294"/>
      <c r="F178" s="294"/>
      <c r="G178" s="294"/>
      <c r="H178" s="294"/>
      <c r="I178" s="294"/>
      <c r="J178" s="294"/>
      <c r="L178" s="295"/>
      <c r="M178" s="294"/>
      <c r="O178" s="294"/>
      <c r="P178" s="294"/>
      <c r="Q178" s="294"/>
      <c r="R178" s="294"/>
      <c r="S178" s="294"/>
      <c r="T178" s="294"/>
      <c r="U178" s="294"/>
      <c r="V178" s="294"/>
      <c r="W178" s="294"/>
      <c r="X178" s="294"/>
      <c r="Y178" s="294"/>
      <c r="Z178" s="294"/>
      <c r="AA178" s="294"/>
      <c r="AB178" s="294"/>
      <c r="AC178" s="294"/>
      <c r="AD178" s="294"/>
      <c r="AE178" s="294"/>
      <c r="AF178" s="294"/>
      <c r="AG178" s="294"/>
    </row>
    <row r="179" spans="2:33" x14ac:dyDescent="0.25">
      <c r="B179" s="294"/>
      <c r="C179" s="294"/>
      <c r="D179" s="294"/>
      <c r="E179" s="294"/>
      <c r="F179" s="294"/>
      <c r="G179" s="294"/>
      <c r="H179" s="294"/>
      <c r="I179" s="294"/>
      <c r="J179" s="294"/>
      <c r="L179" s="295"/>
      <c r="M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4"/>
      <c r="AF179" s="294"/>
      <c r="AG179" s="294"/>
    </row>
    <row r="180" spans="2:33" x14ac:dyDescent="0.25">
      <c r="B180" s="294"/>
      <c r="C180" s="294"/>
      <c r="D180" s="294"/>
      <c r="E180" s="294"/>
      <c r="F180" s="294"/>
      <c r="G180" s="294"/>
      <c r="H180" s="294"/>
      <c r="I180" s="294"/>
      <c r="J180" s="294"/>
      <c r="L180" s="295"/>
      <c r="M180" s="294"/>
      <c r="O180" s="294"/>
      <c r="P180" s="294"/>
      <c r="Q180" s="294"/>
      <c r="R180" s="294"/>
      <c r="S180" s="294"/>
      <c r="T180" s="294"/>
      <c r="U180" s="294"/>
      <c r="V180" s="294"/>
      <c r="W180" s="294"/>
      <c r="X180" s="294"/>
      <c r="Y180" s="294"/>
      <c r="Z180" s="294"/>
      <c r="AA180" s="294"/>
      <c r="AB180" s="294"/>
      <c r="AC180" s="294"/>
      <c r="AD180" s="294"/>
      <c r="AE180" s="294"/>
      <c r="AF180" s="294"/>
      <c r="AG180" s="294"/>
    </row>
    <row r="181" spans="2:33" x14ac:dyDescent="0.25">
      <c r="B181" s="294"/>
      <c r="C181" s="294"/>
      <c r="D181" s="294"/>
      <c r="E181" s="294"/>
      <c r="F181" s="294"/>
      <c r="G181" s="294"/>
      <c r="H181" s="294"/>
      <c r="I181" s="294"/>
      <c r="J181" s="294"/>
      <c r="L181" s="295"/>
      <c r="M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294"/>
      <c r="Y181" s="294"/>
      <c r="Z181" s="294"/>
      <c r="AA181" s="294"/>
      <c r="AB181" s="294"/>
      <c r="AC181" s="294"/>
      <c r="AD181" s="294"/>
      <c r="AE181" s="294"/>
      <c r="AF181" s="294"/>
      <c r="AG181" s="294"/>
    </row>
    <row r="182" spans="2:33" x14ac:dyDescent="0.25">
      <c r="B182" s="294"/>
      <c r="C182" s="294"/>
      <c r="D182" s="294"/>
      <c r="E182" s="294"/>
      <c r="F182" s="294"/>
      <c r="G182" s="294"/>
      <c r="H182" s="294"/>
      <c r="I182" s="294"/>
      <c r="J182" s="294"/>
      <c r="L182" s="295"/>
      <c r="M182" s="294"/>
      <c r="O182" s="294"/>
      <c r="P182" s="294"/>
      <c r="Q182" s="294"/>
      <c r="R182" s="294"/>
      <c r="S182" s="294"/>
      <c r="T182" s="294"/>
      <c r="U182" s="294"/>
      <c r="V182" s="294"/>
      <c r="W182" s="294"/>
      <c r="X182" s="294"/>
      <c r="Y182" s="294"/>
      <c r="Z182" s="294"/>
      <c r="AA182" s="294"/>
      <c r="AB182" s="294"/>
      <c r="AC182" s="294"/>
      <c r="AD182" s="294"/>
      <c r="AE182" s="294"/>
      <c r="AF182" s="294"/>
      <c r="AG182" s="294"/>
    </row>
    <row r="183" spans="2:33" x14ac:dyDescent="0.25">
      <c r="B183" s="294"/>
      <c r="C183" s="294"/>
      <c r="D183" s="294"/>
      <c r="E183" s="294"/>
      <c r="F183" s="294"/>
      <c r="G183" s="294"/>
      <c r="H183" s="294"/>
      <c r="I183" s="294"/>
      <c r="J183" s="294"/>
      <c r="L183" s="295"/>
      <c r="M183" s="294"/>
      <c r="O183" s="294"/>
      <c r="P183" s="294"/>
      <c r="Q183" s="294"/>
      <c r="R183" s="294"/>
      <c r="S183" s="294"/>
      <c r="T183" s="294"/>
      <c r="U183" s="294"/>
      <c r="V183" s="294"/>
      <c r="W183" s="294"/>
      <c r="X183" s="294"/>
      <c r="Y183" s="294"/>
      <c r="Z183" s="294"/>
      <c r="AA183" s="294"/>
      <c r="AB183" s="294"/>
      <c r="AC183" s="294"/>
      <c r="AD183" s="294"/>
      <c r="AE183" s="294"/>
      <c r="AF183" s="294"/>
      <c r="AG183" s="294"/>
    </row>
    <row r="184" spans="2:33" x14ac:dyDescent="0.25">
      <c r="B184" s="294"/>
      <c r="C184" s="294"/>
      <c r="D184" s="294"/>
      <c r="E184" s="294"/>
      <c r="F184" s="294"/>
      <c r="G184" s="294"/>
      <c r="H184" s="294"/>
      <c r="I184" s="294"/>
      <c r="J184" s="294"/>
      <c r="L184" s="295"/>
      <c r="M184" s="294"/>
      <c r="O184" s="294"/>
      <c r="P184" s="294"/>
      <c r="Q184" s="294"/>
      <c r="R184" s="294"/>
      <c r="S184" s="294"/>
      <c r="T184" s="294"/>
      <c r="U184" s="294"/>
      <c r="V184" s="294"/>
      <c r="W184" s="294"/>
      <c r="X184" s="294"/>
      <c r="Y184" s="294"/>
      <c r="Z184" s="294"/>
      <c r="AA184" s="294"/>
      <c r="AB184" s="294"/>
      <c r="AC184" s="294"/>
      <c r="AD184" s="294"/>
      <c r="AE184" s="294"/>
      <c r="AF184" s="294"/>
      <c r="AG184" s="294"/>
    </row>
    <row r="185" spans="2:33" x14ac:dyDescent="0.25">
      <c r="B185" s="294"/>
      <c r="C185" s="294"/>
      <c r="D185" s="294"/>
      <c r="E185" s="294"/>
      <c r="F185" s="294"/>
      <c r="G185" s="294"/>
      <c r="H185" s="294"/>
      <c r="I185" s="294"/>
      <c r="J185" s="294"/>
      <c r="L185" s="295"/>
      <c r="M185" s="294"/>
      <c r="O185" s="294"/>
      <c r="P185" s="294"/>
      <c r="Q185" s="294"/>
      <c r="R185" s="294"/>
      <c r="S185" s="294"/>
      <c r="T185" s="294"/>
      <c r="U185" s="294"/>
      <c r="V185" s="294"/>
      <c r="W185" s="294"/>
      <c r="X185" s="294"/>
      <c r="Y185" s="294"/>
      <c r="Z185" s="294"/>
      <c r="AA185" s="294"/>
      <c r="AB185" s="294"/>
      <c r="AC185" s="294"/>
      <c r="AD185" s="294"/>
      <c r="AE185" s="294"/>
      <c r="AF185" s="294"/>
      <c r="AG185" s="294"/>
    </row>
    <row r="186" spans="2:33" x14ac:dyDescent="0.25">
      <c r="B186" s="294"/>
      <c r="C186" s="294"/>
      <c r="D186" s="294"/>
      <c r="E186" s="294"/>
      <c r="F186" s="294"/>
      <c r="G186" s="294"/>
      <c r="H186" s="294"/>
      <c r="I186" s="294"/>
      <c r="J186" s="294"/>
      <c r="L186" s="295"/>
      <c r="M186" s="294"/>
      <c r="O186" s="294"/>
      <c r="P186" s="294"/>
      <c r="Q186" s="294"/>
      <c r="R186" s="294"/>
      <c r="S186" s="294"/>
      <c r="T186" s="294"/>
      <c r="U186" s="294"/>
      <c r="V186" s="294"/>
      <c r="W186" s="294"/>
      <c r="X186" s="294"/>
      <c r="Y186" s="294"/>
      <c r="Z186" s="294"/>
      <c r="AA186" s="294"/>
      <c r="AB186" s="294"/>
      <c r="AC186" s="294"/>
      <c r="AD186" s="294"/>
      <c r="AE186" s="294"/>
      <c r="AF186" s="294"/>
      <c r="AG186" s="294"/>
    </row>
    <row r="187" spans="2:33" x14ac:dyDescent="0.25">
      <c r="B187" s="294"/>
      <c r="C187" s="294"/>
      <c r="D187" s="294"/>
      <c r="E187" s="294"/>
      <c r="F187" s="294"/>
      <c r="G187" s="294"/>
      <c r="H187" s="294"/>
      <c r="I187" s="294"/>
      <c r="J187" s="294"/>
      <c r="L187" s="295"/>
      <c r="M187" s="294"/>
      <c r="O187" s="294"/>
      <c r="P187" s="294"/>
      <c r="Q187" s="294"/>
      <c r="R187" s="294"/>
      <c r="S187" s="294"/>
      <c r="T187" s="294"/>
      <c r="U187" s="294"/>
      <c r="V187" s="294"/>
      <c r="W187" s="294"/>
      <c r="X187" s="294"/>
      <c r="Y187" s="294"/>
      <c r="Z187" s="294"/>
      <c r="AA187" s="294"/>
      <c r="AB187" s="294"/>
      <c r="AC187" s="294"/>
      <c r="AD187" s="294"/>
      <c r="AE187" s="294"/>
      <c r="AF187" s="294"/>
      <c r="AG187" s="294"/>
    </row>
    <row r="188" spans="2:33" x14ac:dyDescent="0.25">
      <c r="B188" s="294"/>
      <c r="C188" s="294"/>
      <c r="D188" s="294"/>
      <c r="E188" s="294"/>
      <c r="F188" s="294"/>
      <c r="G188" s="294"/>
      <c r="H188" s="294"/>
      <c r="I188" s="294"/>
      <c r="J188" s="294"/>
      <c r="L188" s="295"/>
      <c r="M188" s="294"/>
      <c r="O188" s="294"/>
      <c r="P188" s="294"/>
      <c r="Q188" s="294"/>
      <c r="R188" s="294"/>
      <c r="S188" s="294"/>
      <c r="T188" s="294"/>
      <c r="U188" s="294"/>
      <c r="V188" s="294"/>
      <c r="W188" s="294"/>
      <c r="X188" s="294"/>
      <c r="Y188" s="294"/>
      <c r="Z188" s="294"/>
      <c r="AA188" s="294"/>
      <c r="AB188" s="294"/>
      <c r="AC188" s="294"/>
      <c r="AD188" s="294"/>
      <c r="AE188" s="294"/>
      <c r="AF188" s="294"/>
      <c r="AG188" s="294"/>
    </row>
    <row r="189" spans="2:33" x14ac:dyDescent="0.25">
      <c r="B189" s="294"/>
      <c r="C189" s="294"/>
      <c r="D189" s="294"/>
      <c r="E189" s="294"/>
      <c r="F189" s="294"/>
      <c r="G189" s="294"/>
      <c r="H189" s="294"/>
      <c r="I189" s="294"/>
      <c r="J189" s="294"/>
      <c r="L189" s="295"/>
      <c r="M189" s="294"/>
      <c r="O189" s="294"/>
      <c r="P189" s="294"/>
      <c r="Q189" s="294"/>
      <c r="R189" s="294"/>
      <c r="S189" s="294"/>
      <c r="T189" s="294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294"/>
      <c r="AE189" s="294"/>
      <c r="AF189" s="294"/>
      <c r="AG189" s="294"/>
    </row>
    <row r="190" spans="2:33" x14ac:dyDescent="0.25">
      <c r="B190" s="294"/>
      <c r="C190" s="294"/>
      <c r="D190" s="294"/>
      <c r="E190" s="294"/>
      <c r="F190" s="294"/>
      <c r="G190" s="294"/>
      <c r="H190" s="294"/>
      <c r="I190" s="294"/>
      <c r="J190" s="294"/>
      <c r="L190" s="295"/>
      <c r="M190" s="294"/>
      <c r="O190" s="294"/>
      <c r="P190" s="294"/>
      <c r="Q190" s="294"/>
      <c r="R190" s="294"/>
      <c r="S190" s="294"/>
      <c r="T190" s="294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294"/>
      <c r="AE190" s="294"/>
      <c r="AF190" s="294"/>
      <c r="AG190" s="294"/>
    </row>
    <row r="191" spans="2:33" x14ac:dyDescent="0.25">
      <c r="B191" s="294"/>
      <c r="C191" s="294"/>
      <c r="D191" s="294"/>
      <c r="E191" s="294"/>
      <c r="F191" s="294"/>
      <c r="G191" s="294"/>
      <c r="H191" s="294"/>
      <c r="I191" s="294"/>
      <c r="J191" s="294"/>
      <c r="L191" s="295"/>
      <c r="M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</row>
    <row r="192" spans="2:33" x14ac:dyDescent="0.25">
      <c r="B192" s="294"/>
      <c r="C192" s="294"/>
      <c r="D192" s="294"/>
      <c r="E192" s="294"/>
      <c r="F192" s="294"/>
      <c r="G192" s="294"/>
      <c r="H192" s="294"/>
      <c r="I192" s="294"/>
      <c r="J192" s="294"/>
      <c r="L192" s="295"/>
      <c r="M192" s="294"/>
      <c r="O192" s="294"/>
      <c r="P192" s="294"/>
      <c r="Q192" s="294"/>
      <c r="R192" s="294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294"/>
      <c r="AD192" s="294"/>
      <c r="AE192" s="294"/>
      <c r="AF192" s="294"/>
      <c r="AG192" s="294"/>
    </row>
    <row r="193" spans="2:33" x14ac:dyDescent="0.25">
      <c r="B193" s="294"/>
      <c r="C193" s="294"/>
      <c r="D193" s="294"/>
      <c r="E193" s="294"/>
      <c r="F193" s="294"/>
      <c r="G193" s="294"/>
      <c r="H193" s="294"/>
      <c r="I193" s="294"/>
      <c r="J193" s="294"/>
      <c r="L193" s="295"/>
      <c r="M193" s="294"/>
      <c r="O193" s="294"/>
      <c r="P193" s="294"/>
      <c r="Q193" s="294"/>
      <c r="R193" s="294"/>
      <c r="S193" s="294"/>
      <c r="T193" s="294"/>
      <c r="U193" s="294"/>
      <c r="V193" s="294"/>
      <c r="W193" s="294"/>
      <c r="X193" s="294"/>
      <c r="Y193" s="294"/>
      <c r="Z193" s="294"/>
      <c r="AA193" s="294"/>
      <c r="AB193" s="294"/>
      <c r="AC193" s="294"/>
      <c r="AD193" s="294"/>
      <c r="AE193" s="294"/>
      <c r="AF193" s="294"/>
      <c r="AG193" s="294"/>
    </row>
    <row r="194" spans="2:33" x14ac:dyDescent="0.25">
      <c r="B194" s="294"/>
      <c r="C194" s="294"/>
      <c r="D194" s="294"/>
      <c r="E194" s="294"/>
      <c r="F194" s="294"/>
      <c r="G194" s="294"/>
      <c r="H194" s="294"/>
      <c r="I194" s="294"/>
      <c r="J194" s="294"/>
      <c r="L194" s="295"/>
      <c r="M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294"/>
      <c r="Y194" s="294"/>
      <c r="Z194" s="294"/>
      <c r="AA194" s="294"/>
      <c r="AB194" s="294"/>
      <c r="AC194" s="294"/>
      <c r="AD194" s="294"/>
      <c r="AE194" s="294"/>
      <c r="AF194" s="294"/>
      <c r="AG194" s="294"/>
    </row>
    <row r="195" spans="2:33" x14ac:dyDescent="0.25">
      <c r="B195" s="294"/>
      <c r="C195" s="294"/>
      <c r="D195" s="294"/>
      <c r="E195" s="294"/>
      <c r="F195" s="294"/>
      <c r="G195" s="294"/>
      <c r="H195" s="294"/>
      <c r="I195" s="294"/>
      <c r="J195" s="294"/>
      <c r="L195" s="295"/>
      <c r="M195" s="294"/>
      <c r="O195" s="294"/>
      <c r="P195" s="294"/>
      <c r="Q195" s="294"/>
      <c r="R195" s="294"/>
      <c r="S195" s="294"/>
      <c r="T195" s="294"/>
      <c r="U195" s="294"/>
      <c r="V195" s="294"/>
      <c r="W195" s="294"/>
      <c r="X195" s="294"/>
      <c r="Y195" s="294"/>
      <c r="Z195" s="294"/>
      <c r="AA195" s="294"/>
      <c r="AB195" s="294"/>
      <c r="AC195" s="294"/>
      <c r="AD195" s="294"/>
      <c r="AE195" s="294"/>
      <c r="AF195" s="294"/>
      <c r="AG195" s="294"/>
    </row>
    <row r="196" spans="2:33" x14ac:dyDescent="0.25">
      <c r="B196" s="294"/>
      <c r="C196" s="294"/>
      <c r="D196" s="294"/>
      <c r="E196" s="294"/>
      <c r="F196" s="294"/>
      <c r="G196" s="294"/>
      <c r="H196" s="294"/>
      <c r="I196" s="294"/>
      <c r="J196" s="294"/>
      <c r="L196" s="295"/>
      <c r="M196" s="294"/>
      <c r="O196" s="294"/>
      <c r="P196" s="294"/>
      <c r="Q196" s="294"/>
      <c r="R196" s="294"/>
      <c r="S196" s="294"/>
      <c r="T196" s="294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294"/>
      <c r="AE196" s="294"/>
      <c r="AF196" s="294"/>
      <c r="AG196" s="294"/>
    </row>
    <row r="197" spans="2:33" x14ac:dyDescent="0.25">
      <c r="B197" s="294"/>
      <c r="C197" s="294"/>
      <c r="D197" s="294"/>
      <c r="E197" s="294"/>
      <c r="F197" s="294"/>
      <c r="G197" s="294"/>
      <c r="H197" s="294"/>
      <c r="I197" s="294"/>
      <c r="J197" s="294"/>
      <c r="L197" s="295"/>
      <c r="M197" s="294"/>
      <c r="O197" s="294"/>
      <c r="P197" s="294"/>
      <c r="Q197" s="294"/>
      <c r="R197" s="294"/>
      <c r="S197" s="294"/>
      <c r="T197" s="294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294"/>
      <c r="AE197" s="294"/>
      <c r="AF197" s="294"/>
      <c r="AG197" s="294"/>
    </row>
    <row r="198" spans="2:33" x14ac:dyDescent="0.25">
      <c r="B198" s="294"/>
      <c r="C198" s="294"/>
      <c r="D198" s="294"/>
      <c r="E198" s="294"/>
      <c r="F198" s="294"/>
      <c r="G198" s="294"/>
      <c r="H198" s="294"/>
      <c r="I198" s="294"/>
      <c r="J198" s="294"/>
      <c r="L198" s="295"/>
      <c r="M198" s="294"/>
      <c r="O198" s="294"/>
      <c r="P198" s="294"/>
      <c r="Q198" s="294"/>
      <c r="R198" s="294"/>
      <c r="S198" s="294"/>
      <c r="T198" s="294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294"/>
      <c r="AE198" s="294"/>
      <c r="AF198" s="294"/>
      <c r="AG198" s="294"/>
    </row>
    <row r="199" spans="2:33" x14ac:dyDescent="0.25">
      <c r="B199" s="294"/>
      <c r="C199" s="294"/>
      <c r="D199" s="294"/>
      <c r="E199" s="294"/>
      <c r="F199" s="294"/>
      <c r="G199" s="294"/>
      <c r="H199" s="294"/>
      <c r="I199" s="294"/>
      <c r="J199" s="294"/>
      <c r="L199" s="295"/>
      <c r="M199" s="294"/>
      <c r="O199" s="294"/>
      <c r="P199" s="294"/>
      <c r="Q199" s="294"/>
      <c r="R199" s="294"/>
      <c r="S199" s="294"/>
      <c r="T199" s="294"/>
      <c r="U199" s="294"/>
      <c r="V199" s="294"/>
      <c r="W199" s="294"/>
      <c r="X199" s="294"/>
      <c r="Y199" s="294"/>
      <c r="Z199" s="294"/>
      <c r="AA199" s="294"/>
      <c r="AB199" s="294"/>
      <c r="AC199" s="294"/>
      <c r="AD199" s="294"/>
      <c r="AE199" s="294"/>
      <c r="AF199" s="294"/>
      <c r="AG199" s="294"/>
    </row>
    <row r="200" spans="2:33" x14ac:dyDescent="0.25">
      <c r="B200" s="294"/>
      <c r="C200" s="294"/>
      <c r="D200" s="294"/>
      <c r="E200" s="294"/>
      <c r="F200" s="294"/>
      <c r="G200" s="294"/>
      <c r="H200" s="294"/>
      <c r="I200" s="294"/>
      <c r="J200" s="294"/>
      <c r="L200" s="295"/>
      <c r="M200" s="294"/>
      <c r="O200" s="294"/>
      <c r="P200" s="294"/>
      <c r="Q200" s="294"/>
      <c r="R200" s="294"/>
      <c r="S200" s="294"/>
      <c r="T200" s="294"/>
      <c r="U200" s="294"/>
      <c r="V200" s="294"/>
      <c r="W200" s="294"/>
      <c r="X200" s="294"/>
      <c r="Y200" s="294"/>
      <c r="Z200" s="294"/>
      <c r="AA200" s="294"/>
      <c r="AB200" s="294"/>
      <c r="AC200" s="294"/>
      <c r="AD200" s="294"/>
      <c r="AE200" s="294"/>
      <c r="AF200" s="294"/>
      <c r="AG200" s="294"/>
    </row>
    <row r="201" spans="2:33" x14ac:dyDescent="0.25">
      <c r="B201" s="294"/>
      <c r="C201" s="294"/>
      <c r="D201" s="294"/>
      <c r="E201" s="294"/>
      <c r="F201" s="294"/>
      <c r="G201" s="294"/>
      <c r="H201" s="294"/>
      <c r="I201" s="294"/>
      <c r="J201" s="294"/>
      <c r="L201" s="295"/>
      <c r="M201" s="294"/>
      <c r="O201" s="294"/>
      <c r="P201" s="294"/>
      <c r="Q201" s="294"/>
      <c r="R201" s="294"/>
      <c r="S201" s="294"/>
      <c r="T201" s="294"/>
      <c r="U201" s="294"/>
      <c r="V201" s="294"/>
      <c r="W201" s="294"/>
      <c r="X201" s="294"/>
      <c r="Y201" s="294"/>
      <c r="Z201" s="294"/>
      <c r="AA201" s="294"/>
      <c r="AB201" s="294"/>
      <c r="AC201" s="294"/>
      <c r="AD201" s="294"/>
      <c r="AE201" s="294"/>
      <c r="AF201" s="294"/>
      <c r="AG201" s="294"/>
    </row>
    <row r="202" spans="2:33" x14ac:dyDescent="0.25">
      <c r="B202" s="294"/>
      <c r="C202" s="294"/>
      <c r="D202" s="294"/>
      <c r="E202" s="294"/>
      <c r="F202" s="294"/>
      <c r="G202" s="294"/>
      <c r="H202" s="294"/>
      <c r="I202" s="294"/>
      <c r="J202" s="294"/>
      <c r="L202" s="295"/>
      <c r="M202" s="294"/>
      <c r="O202" s="294"/>
      <c r="P202" s="294"/>
      <c r="Q202" s="294"/>
      <c r="R202" s="294"/>
      <c r="S202" s="294"/>
      <c r="T202" s="294"/>
      <c r="U202" s="294"/>
      <c r="V202" s="294"/>
      <c r="W202" s="294"/>
      <c r="X202" s="294"/>
      <c r="Y202" s="294"/>
      <c r="Z202" s="294"/>
      <c r="AA202" s="294"/>
      <c r="AB202" s="294"/>
      <c r="AC202" s="294"/>
      <c r="AD202" s="294"/>
      <c r="AE202" s="294"/>
      <c r="AF202" s="294"/>
      <c r="AG202" s="294"/>
    </row>
    <row r="203" spans="2:33" x14ac:dyDescent="0.25">
      <c r="B203" s="294"/>
      <c r="C203" s="294"/>
      <c r="D203" s="294"/>
      <c r="E203" s="294"/>
      <c r="F203" s="294"/>
      <c r="G203" s="294"/>
      <c r="H203" s="294"/>
      <c r="I203" s="294"/>
      <c r="J203" s="294"/>
      <c r="L203" s="295"/>
      <c r="M203" s="294"/>
      <c r="O203" s="294"/>
      <c r="P203" s="294"/>
      <c r="Q203" s="294"/>
      <c r="R203" s="294"/>
      <c r="S203" s="294"/>
      <c r="T203" s="294"/>
      <c r="U203" s="294"/>
      <c r="V203" s="294"/>
      <c r="W203" s="294"/>
      <c r="X203" s="294"/>
      <c r="Y203" s="294"/>
      <c r="Z203" s="294"/>
      <c r="AA203" s="294"/>
      <c r="AB203" s="294"/>
      <c r="AC203" s="294"/>
      <c r="AD203" s="294"/>
      <c r="AE203" s="294"/>
      <c r="AF203" s="294"/>
      <c r="AG203" s="294"/>
    </row>
    <row r="204" spans="2:33" x14ac:dyDescent="0.25">
      <c r="B204" s="294"/>
      <c r="C204" s="294"/>
      <c r="D204" s="294"/>
      <c r="E204" s="294"/>
      <c r="F204" s="294"/>
      <c r="G204" s="294"/>
      <c r="H204" s="294"/>
      <c r="I204" s="294"/>
      <c r="J204" s="294"/>
      <c r="L204" s="295"/>
      <c r="M204" s="294"/>
      <c r="O204" s="294"/>
      <c r="P204" s="294"/>
      <c r="Q204" s="294"/>
      <c r="R204" s="294"/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294"/>
      <c r="AD204" s="294"/>
      <c r="AE204" s="294"/>
      <c r="AF204" s="294"/>
      <c r="AG204" s="294"/>
    </row>
    <row r="205" spans="2:33" x14ac:dyDescent="0.25">
      <c r="B205" s="294"/>
      <c r="C205" s="294"/>
      <c r="D205" s="294"/>
      <c r="E205" s="294"/>
      <c r="F205" s="294"/>
      <c r="G205" s="294"/>
      <c r="H205" s="294"/>
      <c r="I205" s="294"/>
      <c r="J205" s="294"/>
      <c r="L205" s="295"/>
      <c r="M205" s="294"/>
      <c r="O205" s="294"/>
      <c r="P205" s="294"/>
      <c r="Q205" s="294"/>
      <c r="R205" s="294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294"/>
      <c r="AD205" s="294"/>
      <c r="AE205" s="294"/>
      <c r="AF205" s="294"/>
      <c r="AG205" s="294"/>
    </row>
    <row r="206" spans="2:33" x14ac:dyDescent="0.25">
      <c r="B206" s="294"/>
      <c r="C206" s="294"/>
      <c r="D206" s="294"/>
      <c r="E206" s="294"/>
      <c r="F206" s="294"/>
      <c r="G206" s="294"/>
      <c r="H206" s="294"/>
      <c r="I206" s="294"/>
      <c r="J206" s="294"/>
      <c r="L206" s="295"/>
      <c r="M206" s="294"/>
      <c r="O206" s="294"/>
      <c r="P206" s="294"/>
      <c r="Q206" s="294"/>
      <c r="R206" s="294"/>
      <c r="S206" s="294"/>
      <c r="T206" s="294"/>
      <c r="U206" s="294"/>
      <c r="V206" s="294"/>
      <c r="W206" s="294"/>
      <c r="X206" s="294"/>
      <c r="Y206" s="294"/>
      <c r="Z206" s="294"/>
      <c r="AA206" s="294"/>
      <c r="AB206" s="294"/>
      <c r="AC206" s="294"/>
      <c r="AD206" s="294"/>
      <c r="AE206" s="294"/>
      <c r="AF206" s="294"/>
      <c r="AG206" s="294"/>
    </row>
    <row r="207" spans="2:33" x14ac:dyDescent="0.25">
      <c r="B207" s="294"/>
      <c r="C207" s="294"/>
      <c r="D207" s="294"/>
      <c r="E207" s="294"/>
      <c r="F207" s="294"/>
      <c r="G207" s="294"/>
      <c r="H207" s="294"/>
      <c r="I207" s="294"/>
      <c r="J207" s="294"/>
      <c r="L207" s="295"/>
      <c r="M207" s="294"/>
      <c r="O207" s="294"/>
      <c r="P207" s="294"/>
      <c r="Q207" s="294"/>
      <c r="R207" s="294"/>
      <c r="S207" s="294"/>
      <c r="T207" s="294"/>
      <c r="U207" s="294"/>
      <c r="V207" s="294"/>
      <c r="W207" s="294"/>
      <c r="X207" s="294"/>
      <c r="Y207" s="294"/>
      <c r="Z207" s="294"/>
      <c r="AA207" s="294"/>
      <c r="AB207" s="294"/>
      <c r="AC207" s="294"/>
      <c r="AD207" s="294"/>
      <c r="AE207" s="294"/>
      <c r="AF207" s="294"/>
      <c r="AG207" s="294"/>
    </row>
    <row r="208" spans="2:33" x14ac:dyDescent="0.25">
      <c r="B208" s="294"/>
      <c r="C208" s="294"/>
      <c r="D208" s="294"/>
      <c r="E208" s="294"/>
      <c r="F208" s="294"/>
      <c r="G208" s="294"/>
      <c r="H208" s="294"/>
      <c r="I208" s="294"/>
      <c r="J208" s="294"/>
      <c r="L208" s="295"/>
      <c r="M208" s="294"/>
      <c r="O208" s="294"/>
      <c r="P208" s="294"/>
      <c r="Q208" s="294"/>
      <c r="R208" s="294"/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294"/>
      <c r="AD208" s="294"/>
      <c r="AE208" s="294"/>
      <c r="AF208" s="294"/>
      <c r="AG208" s="294"/>
    </row>
    <row r="209" spans="2:33" x14ac:dyDescent="0.25">
      <c r="B209" s="294"/>
      <c r="C209" s="294"/>
      <c r="D209" s="294"/>
      <c r="E209" s="294"/>
      <c r="F209" s="294"/>
      <c r="G209" s="294"/>
      <c r="H209" s="294"/>
      <c r="I209" s="294"/>
      <c r="J209" s="294"/>
      <c r="L209" s="295"/>
      <c r="M209" s="294"/>
      <c r="O209" s="294"/>
      <c r="P209" s="294"/>
      <c r="Q209" s="294"/>
      <c r="R209" s="294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294"/>
      <c r="AD209" s="294"/>
      <c r="AE209" s="294"/>
      <c r="AF209" s="294"/>
      <c r="AG209" s="294"/>
    </row>
    <row r="210" spans="2:33" x14ac:dyDescent="0.25">
      <c r="B210" s="294"/>
      <c r="C210" s="294"/>
      <c r="D210" s="294"/>
      <c r="E210" s="294"/>
      <c r="F210" s="294"/>
      <c r="G210" s="294"/>
      <c r="H210" s="294"/>
      <c r="I210" s="294"/>
      <c r="J210" s="294"/>
      <c r="L210" s="295"/>
      <c r="M210" s="294"/>
      <c r="O210" s="294"/>
      <c r="P210" s="294"/>
      <c r="Q210" s="294"/>
      <c r="R210" s="294"/>
      <c r="S210" s="294"/>
      <c r="T210" s="294"/>
      <c r="U210" s="294"/>
      <c r="V210" s="294"/>
      <c r="W210" s="294"/>
      <c r="X210" s="294"/>
      <c r="Y210" s="294"/>
      <c r="Z210" s="294"/>
      <c r="AA210" s="294"/>
      <c r="AB210" s="294"/>
      <c r="AC210" s="294"/>
      <c r="AD210" s="294"/>
      <c r="AE210" s="294"/>
      <c r="AF210" s="294"/>
      <c r="AG210" s="294"/>
    </row>
    <row r="211" spans="2:33" x14ac:dyDescent="0.25">
      <c r="B211" s="294"/>
      <c r="C211" s="294"/>
      <c r="D211" s="294"/>
      <c r="E211" s="294"/>
      <c r="F211" s="294"/>
      <c r="G211" s="294"/>
      <c r="H211" s="294"/>
      <c r="I211" s="294"/>
      <c r="J211" s="294"/>
      <c r="L211" s="295"/>
      <c r="M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294"/>
      <c r="Y211" s="294"/>
      <c r="Z211" s="294"/>
      <c r="AA211" s="294"/>
      <c r="AB211" s="294"/>
      <c r="AC211" s="294"/>
      <c r="AD211" s="294"/>
      <c r="AE211" s="294"/>
      <c r="AF211" s="294"/>
      <c r="AG211" s="294"/>
    </row>
    <row r="212" spans="2:33" x14ac:dyDescent="0.25">
      <c r="B212" s="294"/>
      <c r="C212" s="294"/>
      <c r="D212" s="294"/>
      <c r="E212" s="294"/>
      <c r="F212" s="294"/>
      <c r="G212" s="294"/>
      <c r="H212" s="294"/>
      <c r="I212" s="294"/>
      <c r="J212" s="294"/>
      <c r="L212" s="295"/>
      <c r="M212" s="294"/>
      <c r="O212" s="294"/>
      <c r="P212" s="294"/>
      <c r="Q212" s="294"/>
      <c r="R212" s="294"/>
      <c r="S212" s="294"/>
      <c r="T212" s="294"/>
      <c r="U212" s="294"/>
      <c r="V212" s="294"/>
      <c r="W212" s="294"/>
      <c r="X212" s="294"/>
      <c r="Y212" s="294"/>
      <c r="Z212" s="294"/>
      <c r="AA212" s="294"/>
      <c r="AB212" s="294"/>
      <c r="AC212" s="294"/>
      <c r="AD212" s="294"/>
      <c r="AE212" s="294"/>
      <c r="AF212" s="294"/>
      <c r="AG212" s="294"/>
    </row>
    <row r="213" spans="2:33" x14ac:dyDescent="0.25">
      <c r="B213" s="294"/>
      <c r="C213" s="294"/>
      <c r="D213" s="294"/>
      <c r="E213" s="294"/>
      <c r="F213" s="294"/>
      <c r="G213" s="294"/>
      <c r="H213" s="294"/>
      <c r="I213" s="294"/>
      <c r="J213" s="294"/>
      <c r="L213" s="295"/>
      <c r="M213" s="294"/>
      <c r="O213" s="294"/>
      <c r="P213" s="294"/>
      <c r="Q213" s="294"/>
      <c r="R213" s="294"/>
      <c r="S213" s="294"/>
      <c r="T213" s="294"/>
      <c r="U213" s="294"/>
      <c r="V213" s="294"/>
      <c r="W213" s="294"/>
      <c r="X213" s="294"/>
      <c r="Y213" s="294"/>
      <c r="Z213" s="294"/>
      <c r="AA213" s="294"/>
      <c r="AB213" s="294"/>
      <c r="AC213" s="294"/>
      <c r="AD213" s="294"/>
      <c r="AE213" s="294"/>
      <c r="AF213" s="294"/>
      <c r="AG213" s="294"/>
    </row>
    <row r="214" spans="2:33" x14ac:dyDescent="0.25">
      <c r="B214" s="294"/>
      <c r="C214" s="294"/>
      <c r="D214" s="294"/>
      <c r="E214" s="294"/>
      <c r="F214" s="294"/>
      <c r="G214" s="294"/>
      <c r="H214" s="294"/>
      <c r="I214" s="294"/>
      <c r="J214" s="294"/>
      <c r="L214" s="295"/>
      <c r="M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294"/>
      <c r="AD214" s="294"/>
      <c r="AE214" s="294"/>
      <c r="AF214" s="294"/>
      <c r="AG214" s="294"/>
    </row>
    <row r="215" spans="2:33" x14ac:dyDescent="0.25">
      <c r="B215" s="294"/>
      <c r="C215" s="294"/>
      <c r="D215" s="294"/>
      <c r="E215" s="294"/>
      <c r="F215" s="294"/>
      <c r="G215" s="294"/>
      <c r="H215" s="294"/>
      <c r="I215" s="294"/>
      <c r="J215" s="294"/>
      <c r="L215" s="295"/>
      <c r="M215" s="294"/>
      <c r="O215" s="294"/>
      <c r="P215" s="294"/>
      <c r="Q215" s="294"/>
      <c r="R215" s="294"/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294"/>
      <c r="AD215" s="294"/>
      <c r="AE215" s="294"/>
      <c r="AF215" s="294"/>
      <c r="AG215" s="294"/>
    </row>
    <row r="216" spans="2:33" x14ac:dyDescent="0.25">
      <c r="B216" s="294"/>
      <c r="C216" s="294"/>
      <c r="D216" s="294"/>
      <c r="E216" s="294"/>
      <c r="F216" s="294"/>
      <c r="G216" s="294"/>
      <c r="H216" s="294"/>
      <c r="I216" s="294"/>
      <c r="J216" s="294"/>
      <c r="L216" s="295"/>
      <c r="M216" s="294"/>
      <c r="O216" s="294"/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294"/>
      <c r="AD216" s="294"/>
      <c r="AE216" s="294"/>
      <c r="AF216" s="294"/>
      <c r="AG216" s="294"/>
    </row>
    <row r="217" spans="2:33" x14ac:dyDescent="0.25">
      <c r="B217" s="294"/>
      <c r="C217" s="294"/>
      <c r="D217" s="294"/>
      <c r="E217" s="294"/>
      <c r="F217" s="294"/>
      <c r="G217" s="294"/>
      <c r="H217" s="294"/>
      <c r="I217" s="294"/>
      <c r="J217" s="294"/>
      <c r="L217" s="295"/>
      <c r="M217" s="294"/>
      <c r="O217" s="294"/>
      <c r="P217" s="294"/>
      <c r="Q217" s="294"/>
      <c r="R217" s="294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294"/>
      <c r="AD217" s="294"/>
      <c r="AE217" s="294"/>
      <c r="AF217" s="294"/>
      <c r="AG217" s="294"/>
    </row>
    <row r="218" spans="2:33" x14ac:dyDescent="0.25">
      <c r="B218" s="294"/>
      <c r="C218" s="294"/>
      <c r="D218" s="294"/>
      <c r="E218" s="294"/>
      <c r="F218" s="294"/>
      <c r="G218" s="294"/>
      <c r="H218" s="294"/>
      <c r="I218" s="294"/>
      <c r="J218" s="294"/>
      <c r="L218" s="295"/>
      <c r="M218" s="294"/>
      <c r="O218" s="294"/>
      <c r="P218" s="294"/>
      <c r="Q218" s="294"/>
      <c r="R218" s="294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294"/>
      <c r="AD218" s="294"/>
      <c r="AE218" s="294"/>
      <c r="AF218" s="294"/>
      <c r="AG218" s="294"/>
    </row>
    <row r="219" spans="2:33" x14ac:dyDescent="0.25">
      <c r="B219" s="294"/>
      <c r="C219" s="294"/>
      <c r="D219" s="294"/>
      <c r="E219" s="294"/>
      <c r="F219" s="294"/>
      <c r="G219" s="294"/>
      <c r="H219" s="294"/>
      <c r="I219" s="294"/>
      <c r="J219" s="294"/>
      <c r="L219" s="295"/>
      <c r="M219" s="294"/>
      <c r="O219" s="294"/>
      <c r="P219" s="294"/>
      <c r="Q219" s="294"/>
      <c r="R219" s="294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294"/>
      <c r="AD219" s="294"/>
      <c r="AE219" s="294"/>
      <c r="AF219" s="294"/>
      <c r="AG219" s="294"/>
    </row>
    <row r="220" spans="2:33" x14ac:dyDescent="0.25">
      <c r="B220" s="294"/>
      <c r="C220" s="294"/>
      <c r="D220" s="294"/>
      <c r="E220" s="294"/>
      <c r="F220" s="294"/>
      <c r="G220" s="294"/>
      <c r="H220" s="294"/>
      <c r="I220" s="294"/>
      <c r="J220" s="294"/>
      <c r="L220" s="295"/>
      <c r="M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294"/>
      <c r="AD220" s="294"/>
      <c r="AE220" s="294"/>
      <c r="AF220" s="294"/>
      <c r="AG220" s="294"/>
    </row>
    <row r="221" spans="2:33" x14ac:dyDescent="0.25">
      <c r="B221" s="294"/>
      <c r="C221" s="294"/>
      <c r="D221" s="294"/>
      <c r="E221" s="294"/>
      <c r="F221" s="294"/>
      <c r="G221" s="294"/>
      <c r="H221" s="294"/>
      <c r="I221" s="294"/>
      <c r="J221" s="294"/>
      <c r="L221" s="295"/>
      <c r="M221" s="294"/>
      <c r="O221" s="294"/>
      <c r="P221" s="294"/>
      <c r="Q221" s="294"/>
      <c r="R221" s="294"/>
      <c r="S221" s="294"/>
      <c r="T221" s="294"/>
      <c r="U221" s="294"/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294"/>
      <c r="AF221" s="294"/>
      <c r="AG221" s="294"/>
    </row>
    <row r="222" spans="2:33" x14ac:dyDescent="0.25">
      <c r="B222" s="294"/>
      <c r="C222" s="294"/>
      <c r="D222" s="294"/>
      <c r="E222" s="294"/>
      <c r="F222" s="294"/>
      <c r="G222" s="294"/>
      <c r="H222" s="294"/>
      <c r="I222" s="294"/>
      <c r="J222" s="294"/>
      <c r="L222" s="295"/>
      <c r="M222" s="294"/>
      <c r="O222" s="294"/>
      <c r="P222" s="294"/>
      <c r="Q222" s="294"/>
      <c r="R222" s="294"/>
      <c r="S222" s="294"/>
      <c r="T222" s="294"/>
      <c r="U222" s="294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294"/>
      <c r="AF222" s="294"/>
      <c r="AG222" s="294"/>
    </row>
    <row r="223" spans="2:33" x14ac:dyDescent="0.25">
      <c r="B223" s="294"/>
      <c r="C223" s="294"/>
      <c r="D223" s="294"/>
      <c r="E223" s="294"/>
      <c r="F223" s="294"/>
      <c r="G223" s="294"/>
      <c r="H223" s="294"/>
      <c r="I223" s="294"/>
      <c r="J223" s="294"/>
      <c r="L223" s="295"/>
      <c r="M223" s="294"/>
      <c r="O223" s="294"/>
      <c r="P223" s="294"/>
      <c r="Q223" s="294"/>
      <c r="R223" s="294"/>
      <c r="S223" s="294"/>
      <c r="T223" s="294"/>
      <c r="U223" s="294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294"/>
      <c r="AF223" s="294"/>
      <c r="AG223" s="294"/>
    </row>
    <row r="224" spans="2:33" x14ac:dyDescent="0.25">
      <c r="B224" s="294"/>
      <c r="C224" s="294"/>
      <c r="D224" s="294"/>
      <c r="E224" s="294"/>
      <c r="F224" s="294"/>
      <c r="G224" s="294"/>
      <c r="H224" s="294"/>
      <c r="I224" s="294"/>
      <c r="J224" s="294"/>
      <c r="L224" s="295"/>
      <c r="M224" s="294"/>
      <c r="O224" s="294"/>
      <c r="P224" s="294"/>
      <c r="Q224" s="294"/>
      <c r="R224" s="294"/>
      <c r="S224" s="294"/>
      <c r="T224" s="294"/>
      <c r="U224" s="294"/>
      <c r="V224" s="294"/>
      <c r="W224" s="294"/>
      <c r="X224" s="294"/>
      <c r="Y224" s="294"/>
      <c r="Z224" s="294"/>
      <c r="AA224" s="294"/>
      <c r="AB224" s="294"/>
      <c r="AC224" s="294"/>
      <c r="AD224" s="294"/>
      <c r="AE224" s="294"/>
      <c r="AF224" s="294"/>
      <c r="AG224" s="294"/>
    </row>
    <row r="225" spans="2:33" x14ac:dyDescent="0.25">
      <c r="B225" s="294"/>
      <c r="C225" s="294"/>
      <c r="D225" s="294"/>
      <c r="E225" s="294"/>
      <c r="F225" s="294"/>
      <c r="G225" s="294"/>
      <c r="H225" s="294"/>
      <c r="I225" s="294"/>
      <c r="J225" s="294"/>
      <c r="L225" s="295"/>
      <c r="M225" s="294"/>
      <c r="O225" s="294"/>
      <c r="P225" s="294"/>
      <c r="Q225" s="294"/>
      <c r="R225" s="294"/>
      <c r="S225" s="294"/>
      <c r="T225" s="294"/>
      <c r="U225" s="294"/>
      <c r="V225" s="294"/>
      <c r="W225" s="294"/>
      <c r="X225" s="294"/>
      <c r="Y225" s="294"/>
      <c r="Z225" s="294"/>
      <c r="AA225" s="294"/>
      <c r="AB225" s="294"/>
      <c r="AC225" s="294"/>
      <c r="AD225" s="294"/>
      <c r="AE225" s="294"/>
      <c r="AF225" s="294"/>
      <c r="AG225" s="294"/>
    </row>
    <row r="226" spans="2:33" x14ac:dyDescent="0.25">
      <c r="B226" s="294"/>
      <c r="C226" s="294"/>
      <c r="D226" s="294"/>
      <c r="E226" s="294"/>
      <c r="F226" s="294"/>
      <c r="G226" s="294"/>
      <c r="H226" s="294"/>
      <c r="I226" s="294"/>
      <c r="J226" s="294"/>
      <c r="L226" s="295"/>
      <c r="M226" s="294"/>
      <c r="O226" s="294"/>
      <c r="P226" s="294"/>
      <c r="Q226" s="294"/>
      <c r="R226" s="294"/>
      <c r="S226" s="294"/>
      <c r="T226" s="294"/>
      <c r="U226" s="294"/>
      <c r="V226" s="294"/>
      <c r="W226" s="294"/>
      <c r="X226" s="294"/>
      <c r="Y226" s="294"/>
      <c r="Z226" s="294"/>
      <c r="AA226" s="294"/>
      <c r="AB226" s="294"/>
      <c r="AC226" s="294"/>
      <c r="AD226" s="294"/>
      <c r="AE226" s="294"/>
      <c r="AF226" s="294"/>
      <c r="AG226" s="294"/>
    </row>
    <row r="227" spans="2:33" x14ac:dyDescent="0.25">
      <c r="B227" s="294"/>
      <c r="C227" s="294"/>
      <c r="D227" s="294"/>
      <c r="E227" s="294"/>
      <c r="F227" s="294"/>
      <c r="G227" s="294"/>
      <c r="H227" s="294"/>
      <c r="I227" s="294"/>
      <c r="J227" s="294"/>
      <c r="L227" s="295"/>
      <c r="M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</row>
    <row r="228" spans="2:33" x14ac:dyDescent="0.25">
      <c r="B228" s="294"/>
      <c r="C228" s="294"/>
      <c r="D228" s="294"/>
      <c r="E228" s="294"/>
      <c r="F228" s="294"/>
      <c r="G228" s="294"/>
      <c r="H228" s="294"/>
      <c r="I228" s="294"/>
      <c r="J228" s="294"/>
      <c r="L228" s="295"/>
      <c r="M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294"/>
      <c r="Y228" s="294"/>
      <c r="Z228" s="294"/>
      <c r="AA228" s="294"/>
      <c r="AB228" s="294"/>
      <c r="AC228" s="294"/>
      <c r="AD228" s="294"/>
      <c r="AE228" s="294"/>
      <c r="AF228" s="294"/>
      <c r="AG228" s="294"/>
    </row>
    <row r="229" spans="2:33" x14ac:dyDescent="0.25">
      <c r="B229" s="294"/>
      <c r="C229" s="294"/>
      <c r="D229" s="294"/>
      <c r="E229" s="294"/>
      <c r="F229" s="294"/>
      <c r="G229" s="294"/>
      <c r="H229" s="294"/>
      <c r="I229" s="294"/>
      <c r="J229" s="294"/>
      <c r="L229" s="295"/>
      <c r="M229" s="294"/>
      <c r="O229" s="294"/>
      <c r="P229" s="294"/>
      <c r="Q229" s="294"/>
      <c r="R229" s="294"/>
      <c r="S229" s="294"/>
      <c r="T229" s="294"/>
      <c r="U229" s="294"/>
      <c r="V229" s="294"/>
      <c r="W229" s="294"/>
      <c r="X229" s="294"/>
      <c r="Y229" s="294"/>
      <c r="Z229" s="294"/>
      <c r="AA229" s="294"/>
      <c r="AB229" s="294"/>
      <c r="AC229" s="294"/>
      <c r="AD229" s="294"/>
      <c r="AE229" s="294"/>
      <c r="AF229" s="294"/>
      <c r="AG229" s="294"/>
    </row>
    <row r="230" spans="2:33" x14ac:dyDescent="0.25">
      <c r="B230" s="294"/>
      <c r="C230" s="294"/>
      <c r="D230" s="294"/>
      <c r="E230" s="294"/>
      <c r="F230" s="294"/>
      <c r="G230" s="294"/>
      <c r="H230" s="294"/>
      <c r="I230" s="294"/>
      <c r="J230" s="294"/>
      <c r="L230" s="295"/>
      <c r="M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294"/>
      <c r="AE230" s="294"/>
      <c r="AF230" s="294"/>
      <c r="AG230" s="294"/>
    </row>
    <row r="231" spans="2:33" x14ac:dyDescent="0.25">
      <c r="B231" s="294"/>
      <c r="C231" s="294"/>
      <c r="D231" s="294"/>
      <c r="E231" s="294"/>
      <c r="F231" s="294"/>
      <c r="G231" s="294"/>
      <c r="H231" s="294"/>
      <c r="I231" s="294"/>
      <c r="J231" s="294"/>
      <c r="L231" s="295"/>
      <c r="M231" s="294"/>
      <c r="O231" s="294"/>
      <c r="P231" s="294"/>
      <c r="Q231" s="294"/>
      <c r="R231" s="294"/>
      <c r="S231" s="294"/>
      <c r="T231" s="294"/>
      <c r="U231" s="294"/>
      <c r="V231" s="294"/>
      <c r="W231" s="294"/>
      <c r="X231" s="294"/>
      <c r="Y231" s="294"/>
      <c r="Z231" s="294"/>
      <c r="AA231" s="294"/>
      <c r="AB231" s="294"/>
      <c r="AC231" s="294"/>
      <c r="AD231" s="294"/>
      <c r="AE231" s="294"/>
      <c r="AF231" s="294"/>
      <c r="AG231" s="294"/>
    </row>
    <row r="232" spans="2:33" x14ac:dyDescent="0.25">
      <c r="B232" s="294"/>
      <c r="C232" s="294"/>
      <c r="D232" s="294"/>
      <c r="E232" s="294"/>
      <c r="F232" s="294"/>
      <c r="G232" s="294"/>
      <c r="H232" s="294"/>
      <c r="I232" s="294"/>
      <c r="J232" s="294"/>
      <c r="L232" s="295"/>
      <c r="M232" s="294"/>
      <c r="O232" s="294"/>
      <c r="P232" s="294"/>
      <c r="Q232" s="294"/>
      <c r="R232" s="294"/>
      <c r="S232" s="294"/>
      <c r="T232" s="294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294"/>
      <c r="AE232" s="294"/>
      <c r="AF232" s="294"/>
      <c r="AG232" s="294"/>
    </row>
    <row r="233" spans="2:33" x14ac:dyDescent="0.25">
      <c r="B233" s="294"/>
      <c r="C233" s="294"/>
      <c r="D233" s="294"/>
      <c r="E233" s="294"/>
      <c r="F233" s="294"/>
      <c r="G233" s="294"/>
      <c r="H233" s="294"/>
      <c r="I233" s="294"/>
      <c r="J233" s="294"/>
      <c r="L233" s="295"/>
      <c r="M233" s="294"/>
      <c r="O233" s="294"/>
      <c r="P233" s="294"/>
      <c r="Q233" s="294"/>
      <c r="R233" s="294"/>
      <c r="S233" s="294"/>
      <c r="T233" s="294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294"/>
      <c r="AE233" s="294"/>
      <c r="AF233" s="294"/>
      <c r="AG233" s="294"/>
    </row>
    <row r="234" spans="2:33" x14ac:dyDescent="0.25">
      <c r="B234" s="294"/>
      <c r="C234" s="294"/>
      <c r="D234" s="294"/>
      <c r="E234" s="294"/>
      <c r="F234" s="294"/>
      <c r="G234" s="294"/>
      <c r="H234" s="294"/>
      <c r="I234" s="294"/>
      <c r="J234" s="294"/>
      <c r="L234" s="295"/>
      <c r="M234" s="294"/>
      <c r="O234" s="294"/>
      <c r="P234" s="294"/>
      <c r="Q234" s="294"/>
      <c r="R234" s="294"/>
      <c r="S234" s="294"/>
      <c r="T234" s="294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294"/>
      <c r="AE234" s="294"/>
      <c r="AF234" s="294"/>
      <c r="AG234" s="294"/>
    </row>
    <row r="235" spans="2:33" x14ac:dyDescent="0.25">
      <c r="B235" s="294"/>
      <c r="C235" s="294"/>
      <c r="D235" s="294"/>
      <c r="E235" s="294"/>
      <c r="F235" s="294"/>
      <c r="G235" s="294"/>
      <c r="H235" s="294"/>
      <c r="I235" s="294"/>
      <c r="J235" s="294"/>
      <c r="L235" s="295"/>
      <c r="M235" s="294"/>
      <c r="O235" s="294"/>
      <c r="P235" s="294"/>
      <c r="Q235" s="294"/>
      <c r="R235" s="294"/>
      <c r="S235" s="294"/>
      <c r="T235" s="294"/>
      <c r="U235" s="294"/>
      <c r="V235" s="294"/>
      <c r="W235" s="294"/>
      <c r="X235" s="294"/>
      <c r="Y235" s="294"/>
      <c r="Z235" s="294"/>
      <c r="AA235" s="294"/>
      <c r="AB235" s="294"/>
      <c r="AC235" s="294"/>
      <c r="AD235" s="294"/>
      <c r="AE235" s="294"/>
      <c r="AF235" s="294"/>
      <c r="AG235" s="294"/>
    </row>
    <row r="236" spans="2:33" x14ac:dyDescent="0.25">
      <c r="B236" s="294"/>
      <c r="C236" s="294"/>
      <c r="D236" s="294"/>
      <c r="E236" s="294"/>
      <c r="F236" s="294"/>
      <c r="G236" s="294"/>
      <c r="H236" s="294"/>
      <c r="I236" s="294"/>
      <c r="J236" s="294"/>
      <c r="L236" s="295"/>
      <c r="M236" s="294"/>
      <c r="O236" s="294"/>
      <c r="P236" s="294"/>
      <c r="Q236" s="294"/>
      <c r="R236" s="294"/>
      <c r="S236" s="294"/>
      <c r="T236" s="294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294"/>
      <c r="AE236" s="294"/>
      <c r="AF236" s="294"/>
      <c r="AG236" s="294"/>
    </row>
    <row r="237" spans="2:33" x14ac:dyDescent="0.25">
      <c r="B237" s="294"/>
      <c r="C237" s="294"/>
      <c r="D237" s="294"/>
      <c r="E237" s="294"/>
      <c r="F237" s="294"/>
      <c r="G237" s="294"/>
      <c r="H237" s="294"/>
      <c r="I237" s="294"/>
      <c r="J237" s="294"/>
      <c r="L237" s="295"/>
      <c r="M237" s="294"/>
      <c r="O237" s="294"/>
      <c r="P237" s="294"/>
      <c r="Q237" s="294"/>
      <c r="R237" s="294"/>
      <c r="S237" s="294"/>
      <c r="T237" s="294"/>
      <c r="U237" s="294"/>
      <c r="V237" s="294"/>
      <c r="W237" s="294"/>
      <c r="X237" s="294"/>
      <c r="Y237" s="294"/>
      <c r="Z237" s="294"/>
      <c r="AA237" s="294"/>
      <c r="AB237" s="294"/>
      <c r="AC237" s="294"/>
      <c r="AD237" s="294"/>
      <c r="AE237" s="294"/>
      <c r="AF237" s="294"/>
      <c r="AG237" s="294"/>
    </row>
    <row r="238" spans="2:33" x14ac:dyDescent="0.25">
      <c r="B238" s="294"/>
      <c r="C238" s="294"/>
      <c r="D238" s="294"/>
      <c r="E238" s="294"/>
      <c r="F238" s="294"/>
      <c r="G238" s="294"/>
      <c r="H238" s="294"/>
      <c r="I238" s="294"/>
      <c r="J238" s="294"/>
      <c r="L238" s="295"/>
      <c r="M238" s="294"/>
      <c r="O238" s="294"/>
      <c r="P238" s="294"/>
      <c r="Q238" s="294"/>
      <c r="R238" s="294"/>
      <c r="S238" s="294"/>
      <c r="T238" s="294"/>
      <c r="U238" s="294"/>
      <c r="V238" s="294"/>
      <c r="W238" s="294"/>
      <c r="X238" s="294"/>
      <c r="Y238" s="294"/>
      <c r="Z238" s="294"/>
      <c r="AA238" s="294"/>
      <c r="AB238" s="294"/>
      <c r="AC238" s="294"/>
      <c r="AD238" s="294"/>
      <c r="AE238" s="294"/>
      <c r="AF238" s="294"/>
      <c r="AG238" s="294"/>
    </row>
    <row r="239" spans="2:33" x14ac:dyDescent="0.25">
      <c r="B239" s="294"/>
      <c r="C239" s="294"/>
      <c r="D239" s="294"/>
      <c r="E239" s="294"/>
      <c r="F239" s="294"/>
      <c r="G239" s="294"/>
      <c r="H239" s="294"/>
      <c r="I239" s="294"/>
      <c r="J239" s="294"/>
      <c r="L239" s="295"/>
      <c r="M239" s="294"/>
      <c r="O239" s="294"/>
      <c r="P239" s="294"/>
      <c r="Q239" s="294"/>
      <c r="R239" s="294"/>
      <c r="S239" s="294"/>
      <c r="T239" s="294"/>
      <c r="U239" s="294"/>
      <c r="V239" s="294"/>
      <c r="W239" s="294"/>
      <c r="X239" s="294"/>
      <c r="Y239" s="294"/>
      <c r="Z239" s="294"/>
      <c r="AA239" s="294"/>
      <c r="AB239" s="294"/>
      <c r="AC239" s="294"/>
      <c r="AD239" s="294"/>
      <c r="AE239" s="294"/>
      <c r="AF239" s="294"/>
      <c r="AG239" s="294"/>
    </row>
    <row r="240" spans="2:33" x14ac:dyDescent="0.25">
      <c r="B240" s="294"/>
      <c r="C240" s="294"/>
      <c r="D240" s="294"/>
      <c r="E240" s="294"/>
      <c r="F240" s="294"/>
      <c r="G240" s="294"/>
      <c r="H240" s="294"/>
      <c r="I240" s="294"/>
      <c r="J240" s="294"/>
      <c r="L240" s="295"/>
      <c r="M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294"/>
      <c r="AD240" s="294"/>
      <c r="AE240" s="294"/>
      <c r="AF240" s="294"/>
      <c r="AG240" s="294"/>
    </row>
    <row r="241" spans="2:33" x14ac:dyDescent="0.25">
      <c r="B241" s="294"/>
      <c r="C241" s="294"/>
      <c r="D241" s="294"/>
      <c r="E241" s="294"/>
      <c r="F241" s="294"/>
      <c r="G241" s="294"/>
      <c r="H241" s="294"/>
      <c r="I241" s="294"/>
      <c r="J241" s="294"/>
      <c r="L241" s="295"/>
      <c r="M241" s="294"/>
      <c r="O241" s="294"/>
      <c r="P241" s="294"/>
      <c r="Q241" s="294"/>
      <c r="R241" s="294"/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294"/>
      <c r="AD241" s="294"/>
      <c r="AE241" s="294"/>
      <c r="AF241" s="294"/>
      <c r="AG241" s="294"/>
    </row>
    <row r="242" spans="2:33" x14ac:dyDescent="0.25">
      <c r="B242" s="294"/>
      <c r="C242" s="294"/>
      <c r="D242" s="294"/>
      <c r="E242" s="294"/>
      <c r="F242" s="294"/>
      <c r="G242" s="294"/>
      <c r="H242" s="294"/>
      <c r="I242" s="294"/>
      <c r="J242" s="294"/>
      <c r="L242" s="295"/>
      <c r="M242" s="294"/>
      <c r="O242" s="294"/>
      <c r="P242" s="294"/>
      <c r="Q242" s="294"/>
      <c r="R242" s="294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294"/>
      <c r="AD242" s="294"/>
      <c r="AE242" s="294"/>
      <c r="AF242" s="294"/>
      <c r="AG242" s="294"/>
    </row>
    <row r="243" spans="2:33" x14ac:dyDescent="0.25">
      <c r="B243" s="294"/>
      <c r="C243" s="294"/>
      <c r="D243" s="294"/>
      <c r="E243" s="294"/>
      <c r="F243" s="294"/>
      <c r="G243" s="294"/>
      <c r="H243" s="294"/>
      <c r="I243" s="294"/>
      <c r="J243" s="294"/>
      <c r="L243" s="295"/>
      <c r="M243" s="294"/>
      <c r="O243" s="294"/>
      <c r="P243" s="294"/>
      <c r="Q243" s="294"/>
      <c r="R243" s="294"/>
      <c r="S243" s="294"/>
      <c r="T243" s="294"/>
      <c r="U243" s="294"/>
      <c r="V243" s="294"/>
      <c r="W243" s="294"/>
      <c r="X243" s="294"/>
      <c r="Y243" s="294"/>
      <c r="Z243" s="294"/>
      <c r="AA243" s="294"/>
      <c r="AB243" s="294"/>
      <c r="AC243" s="294"/>
      <c r="AD243" s="294"/>
      <c r="AE243" s="294"/>
      <c r="AF243" s="294"/>
      <c r="AG243" s="294"/>
    </row>
    <row r="244" spans="2:33" x14ac:dyDescent="0.25">
      <c r="B244" s="294"/>
      <c r="C244" s="294"/>
      <c r="D244" s="294"/>
      <c r="E244" s="294"/>
      <c r="F244" s="294"/>
      <c r="G244" s="294"/>
      <c r="H244" s="294"/>
      <c r="I244" s="294"/>
      <c r="J244" s="294"/>
      <c r="L244" s="295"/>
      <c r="M244" s="294"/>
      <c r="O244" s="294"/>
      <c r="P244" s="294"/>
      <c r="Q244" s="294"/>
      <c r="R244" s="294"/>
      <c r="S244" s="294"/>
      <c r="T244" s="294"/>
      <c r="U244" s="294"/>
      <c r="V244" s="294"/>
      <c r="W244" s="294"/>
      <c r="X244" s="294"/>
      <c r="Y244" s="294"/>
      <c r="Z244" s="294"/>
      <c r="AA244" s="294"/>
      <c r="AB244" s="294"/>
      <c r="AC244" s="294"/>
      <c r="AD244" s="294"/>
      <c r="AE244" s="294"/>
      <c r="AF244" s="294"/>
      <c r="AG244" s="294"/>
    </row>
    <row r="245" spans="2:33" x14ac:dyDescent="0.25">
      <c r="B245" s="294"/>
      <c r="C245" s="294"/>
      <c r="D245" s="294"/>
      <c r="E245" s="294"/>
      <c r="F245" s="294"/>
      <c r="G245" s="294"/>
      <c r="H245" s="294"/>
      <c r="I245" s="294"/>
      <c r="J245" s="294"/>
      <c r="L245" s="295"/>
      <c r="M245" s="294"/>
      <c r="O245" s="294"/>
      <c r="P245" s="294"/>
      <c r="Q245" s="294"/>
      <c r="R245" s="294"/>
      <c r="S245" s="294"/>
      <c r="T245" s="294"/>
      <c r="U245" s="294"/>
      <c r="V245" s="294"/>
      <c r="W245" s="294"/>
      <c r="X245" s="294"/>
      <c r="Y245" s="294"/>
      <c r="Z245" s="294"/>
      <c r="AA245" s="294"/>
      <c r="AB245" s="294"/>
      <c r="AC245" s="294"/>
      <c r="AD245" s="294"/>
      <c r="AE245" s="294"/>
      <c r="AF245" s="294"/>
      <c r="AG245" s="294"/>
    </row>
    <row r="246" spans="2:33" x14ac:dyDescent="0.25">
      <c r="B246" s="294"/>
      <c r="C246" s="294"/>
      <c r="D246" s="294"/>
      <c r="E246" s="294"/>
      <c r="F246" s="294"/>
      <c r="G246" s="294"/>
      <c r="H246" s="294"/>
      <c r="I246" s="294"/>
      <c r="J246" s="294"/>
      <c r="L246" s="295"/>
      <c r="M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294"/>
      <c r="AD246" s="294"/>
      <c r="AE246" s="294"/>
      <c r="AF246" s="294"/>
      <c r="AG246" s="294"/>
    </row>
    <row r="247" spans="2:33" x14ac:dyDescent="0.25">
      <c r="B247" s="294"/>
      <c r="C247" s="294"/>
      <c r="D247" s="294"/>
      <c r="E247" s="294"/>
      <c r="F247" s="294"/>
      <c r="G247" s="294"/>
      <c r="H247" s="294"/>
      <c r="I247" s="294"/>
      <c r="J247" s="294"/>
      <c r="L247" s="295"/>
      <c r="M247" s="294"/>
      <c r="O247" s="294"/>
      <c r="P247" s="294"/>
      <c r="Q247" s="294"/>
      <c r="R247" s="294"/>
      <c r="S247" s="294"/>
      <c r="T247" s="294"/>
      <c r="U247" s="294"/>
      <c r="V247" s="294"/>
      <c r="W247" s="294"/>
      <c r="X247" s="294"/>
      <c r="Y247" s="294"/>
      <c r="Z247" s="294"/>
      <c r="AA247" s="294"/>
      <c r="AB247" s="294"/>
      <c r="AC247" s="294"/>
      <c r="AD247" s="294"/>
      <c r="AE247" s="294"/>
      <c r="AF247" s="294"/>
      <c r="AG247" s="294"/>
    </row>
    <row r="248" spans="2:33" x14ac:dyDescent="0.25">
      <c r="B248" s="294"/>
      <c r="C248" s="294"/>
      <c r="D248" s="294"/>
      <c r="E248" s="294"/>
      <c r="F248" s="294"/>
      <c r="G248" s="294"/>
      <c r="H248" s="294"/>
      <c r="I248" s="294"/>
      <c r="J248" s="294"/>
      <c r="L248" s="295"/>
      <c r="M248" s="294"/>
      <c r="O248" s="294"/>
      <c r="P248" s="294"/>
      <c r="Q248" s="294"/>
      <c r="R248" s="294"/>
      <c r="S248" s="294"/>
      <c r="T248" s="294"/>
      <c r="U248" s="294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294"/>
      <c r="AF248" s="294"/>
      <c r="AG248" s="294"/>
    </row>
    <row r="249" spans="2:33" x14ac:dyDescent="0.25">
      <c r="B249" s="294"/>
      <c r="C249" s="294"/>
      <c r="D249" s="294"/>
      <c r="E249" s="294"/>
      <c r="F249" s="294"/>
      <c r="G249" s="294"/>
      <c r="H249" s="294"/>
      <c r="I249" s="294"/>
      <c r="J249" s="294"/>
      <c r="L249" s="295"/>
      <c r="M249" s="294"/>
      <c r="O249" s="294"/>
      <c r="P249" s="294"/>
      <c r="Q249" s="294"/>
      <c r="R249" s="294"/>
      <c r="S249" s="294"/>
      <c r="T249" s="294"/>
      <c r="U249" s="294"/>
      <c r="V249" s="294"/>
      <c r="W249" s="294"/>
      <c r="X249" s="294"/>
      <c r="Y249" s="294"/>
      <c r="Z249" s="294"/>
      <c r="AA249" s="294"/>
      <c r="AB249" s="294"/>
      <c r="AC249" s="294"/>
      <c r="AD249" s="294"/>
      <c r="AE249" s="294"/>
      <c r="AF249" s="294"/>
      <c r="AG249" s="294"/>
    </row>
    <row r="250" spans="2:33" x14ac:dyDescent="0.25">
      <c r="B250" s="294"/>
      <c r="C250" s="294"/>
      <c r="D250" s="294"/>
      <c r="E250" s="294"/>
      <c r="F250" s="294"/>
      <c r="G250" s="294"/>
      <c r="H250" s="294"/>
      <c r="I250" s="294"/>
      <c r="J250" s="294"/>
      <c r="L250" s="295"/>
      <c r="M250" s="294"/>
      <c r="O250" s="294"/>
      <c r="P250" s="294"/>
      <c r="Q250" s="294"/>
      <c r="R250" s="294"/>
      <c r="S250" s="294"/>
      <c r="T250" s="294"/>
      <c r="U250" s="294"/>
      <c r="V250" s="294"/>
      <c r="W250" s="294"/>
      <c r="X250" s="294"/>
      <c r="Y250" s="294"/>
      <c r="Z250" s="294"/>
      <c r="AA250" s="294"/>
      <c r="AB250" s="294"/>
      <c r="AC250" s="294"/>
      <c r="AD250" s="294"/>
      <c r="AE250" s="294"/>
      <c r="AF250" s="294"/>
      <c r="AG250" s="294"/>
    </row>
    <row r="251" spans="2:33" x14ac:dyDescent="0.25">
      <c r="B251" s="294"/>
      <c r="C251" s="294"/>
      <c r="D251" s="294"/>
      <c r="E251" s="294"/>
      <c r="F251" s="294"/>
      <c r="G251" s="294"/>
      <c r="H251" s="294"/>
      <c r="I251" s="294"/>
      <c r="J251" s="294"/>
      <c r="L251" s="295"/>
      <c r="M251" s="294"/>
      <c r="O251" s="294"/>
      <c r="P251" s="294"/>
      <c r="Q251" s="294"/>
      <c r="R251" s="294"/>
      <c r="S251" s="294"/>
      <c r="T251" s="294"/>
      <c r="U251" s="294"/>
      <c r="V251" s="294"/>
      <c r="W251" s="294"/>
      <c r="X251" s="294"/>
      <c r="Y251" s="294"/>
      <c r="Z251" s="294"/>
      <c r="AA251" s="294"/>
      <c r="AB251" s="294"/>
      <c r="AC251" s="294"/>
      <c r="AD251" s="294"/>
      <c r="AE251" s="294"/>
      <c r="AF251" s="294"/>
      <c r="AG251" s="294"/>
    </row>
    <row r="252" spans="2:33" x14ac:dyDescent="0.25">
      <c r="B252" s="294"/>
      <c r="C252" s="294"/>
      <c r="D252" s="294"/>
      <c r="E252" s="294"/>
      <c r="F252" s="294"/>
      <c r="G252" s="294"/>
      <c r="H252" s="294"/>
      <c r="I252" s="294"/>
      <c r="J252" s="294"/>
      <c r="L252" s="295"/>
      <c r="M252" s="294"/>
      <c r="O252" s="294"/>
      <c r="P252" s="294"/>
      <c r="Q252" s="294"/>
      <c r="R252" s="294"/>
      <c r="S252" s="294"/>
      <c r="T252" s="294"/>
      <c r="U252" s="294"/>
      <c r="V252" s="294"/>
      <c r="W252" s="294"/>
      <c r="X252" s="294"/>
      <c r="Y252" s="294"/>
      <c r="Z252" s="294"/>
      <c r="AA252" s="294"/>
      <c r="AB252" s="294"/>
      <c r="AC252" s="294"/>
      <c r="AD252" s="294"/>
      <c r="AE252" s="294"/>
      <c r="AF252" s="294"/>
      <c r="AG252" s="294"/>
    </row>
    <row r="253" spans="2:33" x14ac:dyDescent="0.25">
      <c r="B253" s="294"/>
      <c r="C253" s="294"/>
      <c r="D253" s="294"/>
      <c r="E253" s="294"/>
      <c r="F253" s="294"/>
      <c r="G253" s="294"/>
      <c r="H253" s="294"/>
      <c r="I253" s="294"/>
      <c r="J253" s="294"/>
      <c r="L253" s="295"/>
      <c r="M253" s="294"/>
      <c r="O253" s="294"/>
      <c r="P253" s="294"/>
      <c r="Q253" s="294"/>
      <c r="R253" s="294"/>
      <c r="S253" s="294"/>
      <c r="T253" s="294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294"/>
      <c r="AE253" s="294"/>
      <c r="AF253" s="294"/>
      <c r="AG253" s="294"/>
    </row>
    <row r="254" spans="2:33" x14ac:dyDescent="0.25">
      <c r="B254" s="294"/>
      <c r="C254" s="294"/>
      <c r="D254" s="294"/>
      <c r="E254" s="294"/>
      <c r="F254" s="294"/>
      <c r="G254" s="294"/>
      <c r="H254" s="294"/>
      <c r="I254" s="294"/>
      <c r="J254" s="294"/>
      <c r="L254" s="295"/>
      <c r="M254" s="294"/>
      <c r="O254" s="294"/>
      <c r="P254" s="294"/>
      <c r="Q254" s="294"/>
      <c r="R254" s="294"/>
      <c r="S254" s="294"/>
      <c r="T254" s="294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294"/>
      <c r="AE254" s="294"/>
      <c r="AF254" s="294"/>
      <c r="AG254" s="294"/>
    </row>
    <row r="255" spans="2:33" x14ac:dyDescent="0.25">
      <c r="B255" s="294"/>
      <c r="C255" s="294"/>
      <c r="D255" s="294"/>
      <c r="E255" s="294"/>
      <c r="F255" s="294"/>
      <c r="G255" s="294"/>
      <c r="H255" s="294"/>
      <c r="I255" s="294"/>
      <c r="J255" s="294"/>
      <c r="L255" s="295"/>
      <c r="M255" s="294"/>
      <c r="O255" s="294"/>
      <c r="P255" s="294"/>
      <c r="Q255" s="294"/>
      <c r="R255" s="294"/>
      <c r="S255" s="294"/>
      <c r="T255" s="294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294"/>
      <c r="AE255" s="294"/>
      <c r="AF255" s="294"/>
      <c r="AG255" s="294"/>
    </row>
    <row r="256" spans="2:33" x14ac:dyDescent="0.25">
      <c r="B256" s="294"/>
      <c r="C256" s="294"/>
      <c r="D256" s="294"/>
      <c r="E256" s="294"/>
      <c r="F256" s="294"/>
      <c r="G256" s="294"/>
      <c r="H256" s="294"/>
      <c r="I256" s="294"/>
      <c r="J256" s="294"/>
      <c r="L256" s="295"/>
      <c r="M256" s="294"/>
      <c r="O256" s="294"/>
      <c r="P256" s="294"/>
      <c r="Q256" s="294"/>
      <c r="R256" s="294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4"/>
      <c r="AF256" s="294"/>
      <c r="AG256" s="294"/>
    </row>
    <row r="257" spans="2:33" x14ac:dyDescent="0.25">
      <c r="B257" s="294"/>
      <c r="C257" s="294"/>
      <c r="D257" s="294"/>
      <c r="E257" s="294"/>
      <c r="F257" s="294"/>
      <c r="G257" s="294"/>
      <c r="H257" s="294"/>
      <c r="I257" s="294"/>
      <c r="J257" s="294"/>
      <c r="L257" s="295"/>
      <c r="M257" s="294"/>
      <c r="O257" s="294"/>
      <c r="P257" s="294"/>
      <c r="Q257" s="294"/>
      <c r="R257" s="294"/>
      <c r="S257" s="294"/>
      <c r="T257" s="294"/>
      <c r="U257" s="294"/>
      <c r="V257" s="294"/>
      <c r="W257" s="294"/>
      <c r="X257" s="294"/>
      <c r="Y257" s="294"/>
      <c r="Z257" s="294"/>
      <c r="AA257" s="294"/>
      <c r="AB257" s="294"/>
      <c r="AC257" s="294"/>
      <c r="AD257" s="294"/>
      <c r="AE257" s="294"/>
      <c r="AF257" s="294"/>
      <c r="AG257" s="294"/>
    </row>
    <row r="258" spans="2:33" x14ac:dyDescent="0.25">
      <c r="B258" s="294"/>
      <c r="C258" s="294"/>
      <c r="D258" s="294"/>
      <c r="E258" s="294"/>
      <c r="F258" s="294"/>
      <c r="G258" s="294"/>
      <c r="H258" s="294"/>
      <c r="I258" s="294"/>
      <c r="J258" s="294"/>
      <c r="L258" s="295"/>
      <c r="M258" s="294"/>
      <c r="O258" s="294"/>
      <c r="P258" s="294"/>
      <c r="Q258" s="294"/>
      <c r="R258" s="294"/>
      <c r="S258" s="294"/>
      <c r="T258" s="294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294"/>
      <c r="AE258" s="294"/>
      <c r="AF258" s="294"/>
      <c r="AG258" s="294"/>
    </row>
    <row r="259" spans="2:33" x14ac:dyDescent="0.25">
      <c r="B259" s="294"/>
      <c r="C259" s="294"/>
      <c r="D259" s="294"/>
      <c r="E259" s="294"/>
      <c r="F259" s="294"/>
      <c r="G259" s="294"/>
      <c r="H259" s="294"/>
      <c r="I259" s="294"/>
      <c r="J259" s="294"/>
      <c r="L259" s="295"/>
      <c r="M259" s="294"/>
      <c r="O259" s="294"/>
      <c r="P259" s="294"/>
      <c r="Q259" s="294"/>
      <c r="R259" s="294"/>
      <c r="S259" s="294"/>
      <c r="T259" s="294"/>
      <c r="U259" s="294"/>
      <c r="V259" s="294"/>
      <c r="W259" s="294"/>
      <c r="X259" s="294"/>
      <c r="Y259" s="294"/>
      <c r="Z259" s="294"/>
      <c r="AA259" s="294"/>
      <c r="AB259" s="294"/>
      <c r="AC259" s="294"/>
      <c r="AD259" s="294"/>
      <c r="AE259" s="294"/>
      <c r="AF259" s="294"/>
      <c r="AG259" s="294"/>
    </row>
    <row r="260" spans="2:33" x14ac:dyDescent="0.25">
      <c r="B260" s="294"/>
      <c r="C260" s="294"/>
      <c r="D260" s="294"/>
      <c r="E260" s="294"/>
      <c r="F260" s="294"/>
      <c r="G260" s="294"/>
      <c r="H260" s="294"/>
      <c r="I260" s="294"/>
      <c r="J260" s="294"/>
      <c r="L260" s="295"/>
      <c r="M260" s="294"/>
      <c r="O260" s="294"/>
      <c r="P260" s="294"/>
      <c r="Q260" s="294"/>
      <c r="R260" s="294"/>
      <c r="S260" s="294"/>
      <c r="T260" s="294"/>
      <c r="U260" s="294"/>
      <c r="V260" s="294"/>
      <c r="W260" s="294"/>
      <c r="X260" s="294"/>
      <c r="Y260" s="294"/>
      <c r="Z260" s="294"/>
      <c r="AA260" s="294"/>
      <c r="AB260" s="294"/>
      <c r="AC260" s="294"/>
      <c r="AD260" s="294"/>
      <c r="AE260" s="294"/>
      <c r="AF260" s="294"/>
      <c r="AG260" s="294"/>
    </row>
    <row r="261" spans="2:33" x14ac:dyDescent="0.25">
      <c r="B261" s="294"/>
      <c r="C261" s="294"/>
      <c r="D261" s="294"/>
      <c r="E261" s="294"/>
      <c r="F261" s="294"/>
      <c r="G261" s="294"/>
      <c r="H261" s="294"/>
      <c r="I261" s="294"/>
      <c r="J261" s="294"/>
      <c r="L261" s="295"/>
      <c r="M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4"/>
      <c r="AF261" s="294"/>
      <c r="AG261" s="294"/>
    </row>
    <row r="262" spans="2:33" x14ac:dyDescent="0.25">
      <c r="B262" s="294"/>
      <c r="C262" s="294"/>
      <c r="D262" s="294"/>
      <c r="E262" s="294"/>
      <c r="F262" s="294"/>
      <c r="G262" s="294"/>
      <c r="H262" s="294"/>
      <c r="I262" s="294"/>
      <c r="J262" s="294"/>
      <c r="L262" s="295"/>
      <c r="M262" s="294"/>
      <c r="O262" s="294"/>
      <c r="P262" s="294"/>
      <c r="Q262" s="294"/>
      <c r="R262" s="294"/>
      <c r="S262" s="294"/>
      <c r="T262" s="294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294"/>
      <c r="AE262" s="294"/>
      <c r="AF262" s="294"/>
      <c r="AG262" s="294"/>
    </row>
    <row r="263" spans="2:33" x14ac:dyDescent="0.25">
      <c r="B263" s="294"/>
      <c r="C263" s="294"/>
      <c r="D263" s="294"/>
      <c r="E263" s="294"/>
      <c r="F263" s="294"/>
      <c r="G263" s="294"/>
      <c r="H263" s="294"/>
      <c r="I263" s="294"/>
      <c r="J263" s="294"/>
      <c r="L263" s="295"/>
      <c r="M263" s="294"/>
      <c r="O263" s="294"/>
      <c r="P263" s="294"/>
      <c r="Q263" s="294"/>
      <c r="R263" s="294"/>
      <c r="S263" s="294"/>
      <c r="T263" s="294"/>
      <c r="U263" s="294"/>
      <c r="V263" s="294"/>
      <c r="W263" s="294"/>
      <c r="X263" s="294"/>
      <c r="Y263" s="294"/>
      <c r="Z263" s="294"/>
      <c r="AA263" s="294"/>
      <c r="AB263" s="294"/>
      <c r="AC263" s="294"/>
      <c r="AD263" s="294"/>
      <c r="AE263" s="294"/>
      <c r="AF263" s="294"/>
      <c r="AG263" s="294"/>
    </row>
    <row r="264" spans="2:33" x14ac:dyDescent="0.25">
      <c r="B264" s="294"/>
      <c r="C264" s="294"/>
      <c r="D264" s="294"/>
      <c r="E264" s="294"/>
      <c r="F264" s="294"/>
      <c r="G264" s="294"/>
      <c r="H264" s="294"/>
      <c r="I264" s="294"/>
      <c r="J264" s="294"/>
      <c r="L264" s="295"/>
      <c r="M264" s="294"/>
      <c r="O264" s="294"/>
      <c r="P264" s="294"/>
      <c r="Q264" s="294"/>
      <c r="R264" s="294"/>
      <c r="S264" s="294"/>
      <c r="T264" s="294"/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4"/>
      <c r="AF264" s="294"/>
      <c r="AG264" s="294"/>
    </row>
    <row r="265" spans="2:33" x14ac:dyDescent="0.25">
      <c r="B265" s="294"/>
      <c r="C265" s="294"/>
      <c r="D265" s="294"/>
      <c r="E265" s="294"/>
      <c r="F265" s="294"/>
      <c r="G265" s="294"/>
      <c r="H265" s="294"/>
      <c r="I265" s="294"/>
      <c r="J265" s="294"/>
      <c r="L265" s="295"/>
      <c r="M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</row>
    <row r="266" spans="2:33" x14ac:dyDescent="0.25">
      <c r="B266" s="294"/>
      <c r="C266" s="294"/>
      <c r="D266" s="294"/>
      <c r="E266" s="294"/>
      <c r="F266" s="294"/>
      <c r="G266" s="294"/>
      <c r="H266" s="294"/>
      <c r="I266" s="294"/>
      <c r="J266" s="294"/>
      <c r="L266" s="295"/>
      <c r="M266" s="294"/>
      <c r="O266" s="294"/>
      <c r="P266" s="294"/>
      <c r="Q266" s="294"/>
      <c r="R266" s="294"/>
      <c r="S266" s="294"/>
      <c r="T266" s="294"/>
      <c r="U266" s="294"/>
      <c r="V266" s="294"/>
      <c r="W266" s="294"/>
      <c r="X266" s="294"/>
      <c r="Y266" s="294"/>
      <c r="Z266" s="294"/>
      <c r="AA266" s="294"/>
      <c r="AB266" s="294"/>
      <c r="AC266" s="294"/>
      <c r="AD266" s="294"/>
      <c r="AE266" s="294"/>
      <c r="AF266" s="294"/>
      <c r="AG266" s="294"/>
    </row>
    <row r="267" spans="2:33" x14ac:dyDescent="0.25">
      <c r="B267" s="294"/>
      <c r="C267" s="294"/>
      <c r="D267" s="294"/>
      <c r="E267" s="294"/>
      <c r="F267" s="294"/>
      <c r="G267" s="294"/>
      <c r="H267" s="294"/>
      <c r="I267" s="294"/>
      <c r="J267" s="294"/>
      <c r="L267" s="295"/>
      <c r="M267" s="294"/>
      <c r="O267" s="294"/>
      <c r="P267" s="294"/>
      <c r="Q267" s="294"/>
      <c r="R267" s="294"/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294"/>
      <c r="AD267" s="294"/>
      <c r="AE267" s="294"/>
      <c r="AF267" s="294"/>
      <c r="AG267" s="294"/>
    </row>
    <row r="268" spans="2:33" x14ac:dyDescent="0.25">
      <c r="B268" s="294"/>
      <c r="C268" s="294"/>
      <c r="D268" s="294"/>
      <c r="E268" s="294"/>
      <c r="F268" s="294"/>
      <c r="G268" s="294"/>
      <c r="H268" s="294"/>
      <c r="I268" s="294"/>
      <c r="J268" s="294"/>
      <c r="L268" s="295"/>
      <c r="M268" s="294"/>
      <c r="O268" s="294"/>
      <c r="P268" s="294"/>
      <c r="Q268" s="294"/>
      <c r="R268" s="294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294"/>
      <c r="AD268" s="294"/>
      <c r="AE268" s="294"/>
      <c r="AF268" s="294"/>
      <c r="AG268" s="294"/>
    </row>
    <row r="269" spans="2:33" x14ac:dyDescent="0.25">
      <c r="B269" s="294"/>
      <c r="C269" s="294"/>
      <c r="D269" s="294"/>
      <c r="E269" s="294"/>
      <c r="F269" s="294"/>
      <c r="G269" s="294"/>
      <c r="H269" s="294"/>
      <c r="I269" s="294"/>
      <c r="J269" s="294"/>
      <c r="L269" s="295"/>
      <c r="M269" s="294"/>
      <c r="O269" s="294"/>
      <c r="P269" s="294"/>
      <c r="Q269" s="294"/>
      <c r="R269" s="294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294"/>
      <c r="AD269" s="294"/>
      <c r="AE269" s="294"/>
      <c r="AF269" s="294"/>
      <c r="AG269" s="294"/>
    </row>
    <row r="270" spans="2:33" x14ac:dyDescent="0.25">
      <c r="B270" s="294"/>
      <c r="C270" s="294"/>
      <c r="D270" s="294"/>
      <c r="E270" s="294"/>
      <c r="F270" s="294"/>
      <c r="G270" s="294"/>
      <c r="H270" s="294"/>
      <c r="I270" s="294"/>
      <c r="J270" s="294"/>
      <c r="L270" s="295"/>
      <c r="M270" s="294"/>
      <c r="O270" s="294"/>
      <c r="P270" s="294"/>
      <c r="Q270" s="294"/>
      <c r="R270" s="294"/>
      <c r="S270" s="294"/>
      <c r="T270" s="294"/>
      <c r="U270" s="294"/>
      <c r="V270" s="294"/>
      <c r="W270" s="294"/>
      <c r="X270" s="294"/>
      <c r="Y270" s="294"/>
      <c r="Z270" s="294"/>
      <c r="AA270" s="294"/>
      <c r="AB270" s="294"/>
      <c r="AC270" s="294"/>
      <c r="AD270" s="294"/>
      <c r="AE270" s="294"/>
      <c r="AF270" s="294"/>
      <c r="AG270" s="294"/>
    </row>
    <row r="271" spans="2:33" x14ac:dyDescent="0.25">
      <c r="B271" s="294"/>
      <c r="C271" s="294"/>
      <c r="D271" s="294"/>
      <c r="E271" s="294"/>
      <c r="F271" s="294"/>
      <c r="G271" s="294"/>
      <c r="H271" s="294"/>
      <c r="I271" s="294"/>
      <c r="J271" s="294"/>
      <c r="L271" s="295"/>
      <c r="M271" s="294"/>
      <c r="O271" s="294"/>
      <c r="P271" s="294"/>
      <c r="Q271" s="294"/>
      <c r="R271" s="294"/>
      <c r="S271" s="294"/>
      <c r="T271" s="294"/>
      <c r="U271" s="294"/>
      <c r="V271" s="294"/>
      <c r="W271" s="294"/>
      <c r="X271" s="294"/>
      <c r="Y271" s="294"/>
      <c r="Z271" s="294"/>
      <c r="AA271" s="294"/>
      <c r="AB271" s="294"/>
      <c r="AC271" s="294"/>
      <c r="AD271" s="294"/>
      <c r="AE271" s="294"/>
      <c r="AF271" s="294"/>
      <c r="AG271" s="294"/>
    </row>
    <row r="272" spans="2:33" x14ac:dyDescent="0.25">
      <c r="B272" s="294"/>
      <c r="C272" s="294"/>
      <c r="D272" s="294"/>
      <c r="E272" s="294"/>
      <c r="F272" s="294"/>
      <c r="G272" s="294"/>
      <c r="H272" s="294"/>
      <c r="I272" s="294"/>
      <c r="J272" s="294"/>
      <c r="L272" s="295"/>
      <c r="M272" s="294"/>
      <c r="O272" s="294"/>
      <c r="P272" s="294"/>
      <c r="Q272" s="294"/>
      <c r="R272" s="294"/>
      <c r="S272" s="294"/>
      <c r="T272" s="294"/>
      <c r="U272" s="294"/>
      <c r="V272" s="294"/>
      <c r="W272" s="294"/>
      <c r="X272" s="294"/>
      <c r="Y272" s="294"/>
      <c r="Z272" s="294"/>
      <c r="AA272" s="294"/>
      <c r="AB272" s="294"/>
      <c r="AC272" s="294"/>
      <c r="AD272" s="294"/>
      <c r="AE272" s="294"/>
      <c r="AF272" s="294"/>
      <c r="AG272" s="294"/>
    </row>
    <row r="273" spans="2:33" x14ac:dyDescent="0.25">
      <c r="B273" s="294"/>
      <c r="C273" s="294"/>
      <c r="D273" s="294"/>
      <c r="E273" s="294"/>
      <c r="F273" s="294"/>
      <c r="G273" s="294"/>
      <c r="H273" s="294"/>
      <c r="I273" s="294"/>
      <c r="J273" s="294"/>
      <c r="L273" s="295"/>
      <c r="M273" s="294"/>
      <c r="O273" s="294"/>
      <c r="P273" s="294"/>
      <c r="Q273" s="294"/>
      <c r="R273" s="294"/>
      <c r="S273" s="294"/>
      <c r="T273" s="294"/>
      <c r="U273" s="294"/>
      <c r="V273" s="294"/>
      <c r="W273" s="294"/>
      <c r="X273" s="294"/>
      <c r="Y273" s="294"/>
      <c r="Z273" s="294"/>
      <c r="AA273" s="294"/>
      <c r="AB273" s="294"/>
      <c r="AC273" s="294"/>
      <c r="AD273" s="294"/>
      <c r="AE273" s="294"/>
      <c r="AF273" s="294"/>
      <c r="AG273" s="294"/>
    </row>
    <row r="274" spans="2:33" x14ac:dyDescent="0.25">
      <c r="B274" s="294"/>
      <c r="C274" s="294"/>
      <c r="D274" s="294"/>
      <c r="E274" s="294"/>
      <c r="F274" s="294"/>
      <c r="G274" s="294"/>
      <c r="H274" s="294"/>
      <c r="I274" s="294"/>
      <c r="J274" s="294"/>
      <c r="L274" s="295"/>
      <c r="M274" s="294"/>
      <c r="O274" s="294"/>
      <c r="P274" s="294"/>
      <c r="Q274" s="294"/>
      <c r="R274" s="294"/>
      <c r="S274" s="294"/>
      <c r="T274" s="294"/>
      <c r="U274" s="294"/>
      <c r="V274" s="294"/>
      <c r="W274" s="294"/>
      <c r="X274" s="294"/>
      <c r="Y274" s="294"/>
      <c r="Z274" s="294"/>
      <c r="AA274" s="294"/>
      <c r="AB274" s="294"/>
      <c r="AC274" s="294"/>
      <c r="AD274" s="294"/>
      <c r="AE274" s="294"/>
      <c r="AF274" s="294"/>
      <c r="AG274" s="294"/>
    </row>
    <row r="275" spans="2:33" x14ac:dyDescent="0.25">
      <c r="B275" s="294"/>
      <c r="C275" s="294"/>
      <c r="D275" s="294"/>
      <c r="E275" s="294"/>
      <c r="F275" s="294"/>
      <c r="G275" s="294"/>
      <c r="H275" s="294"/>
      <c r="I275" s="294"/>
      <c r="J275" s="294"/>
      <c r="L275" s="295"/>
      <c r="M275" s="294"/>
      <c r="O275" s="294"/>
      <c r="P275" s="294"/>
      <c r="Q275" s="294"/>
      <c r="R275" s="294"/>
      <c r="S275" s="294"/>
      <c r="T275" s="294"/>
      <c r="U275" s="294"/>
      <c r="V275" s="294"/>
      <c r="W275" s="294"/>
      <c r="X275" s="294"/>
      <c r="Y275" s="294"/>
      <c r="Z275" s="294"/>
      <c r="AA275" s="294"/>
      <c r="AB275" s="294"/>
      <c r="AC275" s="294"/>
      <c r="AD275" s="294"/>
      <c r="AE275" s="294"/>
      <c r="AF275" s="294"/>
      <c r="AG275" s="294"/>
    </row>
    <row r="276" spans="2:33" x14ac:dyDescent="0.25">
      <c r="B276" s="294"/>
      <c r="C276" s="294"/>
      <c r="D276" s="294"/>
      <c r="E276" s="294"/>
      <c r="F276" s="294"/>
      <c r="G276" s="294"/>
      <c r="H276" s="294"/>
      <c r="I276" s="294"/>
      <c r="J276" s="294"/>
      <c r="L276" s="295"/>
      <c r="M276" s="294"/>
      <c r="O276" s="294"/>
      <c r="P276" s="294"/>
      <c r="Q276" s="294"/>
      <c r="R276" s="294"/>
      <c r="S276" s="294"/>
      <c r="T276" s="294"/>
      <c r="U276" s="294"/>
      <c r="V276" s="294"/>
      <c r="W276" s="294"/>
      <c r="X276" s="294"/>
      <c r="Y276" s="294"/>
      <c r="Z276" s="294"/>
      <c r="AA276" s="294"/>
      <c r="AB276" s="294"/>
      <c r="AC276" s="294"/>
      <c r="AD276" s="294"/>
      <c r="AE276" s="294"/>
      <c r="AF276" s="294"/>
      <c r="AG276" s="294"/>
    </row>
    <row r="277" spans="2:33" x14ac:dyDescent="0.25">
      <c r="B277" s="294"/>
      <c r="C277" s="294"/>
      <c r="D277" s="294"/>
      <c r="E277" s="294"/>
      <c r="F277" s="294"/>
      <c r="G277" s="294"/>
      <c r="H277" s="294"/>
      <c r="I277" s="294"/>
      <c r="J277" s="294"/>
      <c r="L277" s="295"/>
      <c r="M277" s="294"/>
      <c r="O277" s="294"/>
      <c r="P277" s="294"/>
      <c r="Q277" s="294"/>
      <c r="R277" s="294"/>
      <c r="S277" s="294"/>
      <c r="T277" s="294"/>
      <c r="U277" s="294"/>
      <c r="V277" s="294"/>
      <c r="W277" s="294"/>
      <c r="X277" s="294"/>
      <c r="Y277" s="294"/>
      <c r="Z277" s="294"/>
      <c r="AA277" s="294"/>
      <c r="AB277" s="294"/>
      <c r="AC277" s="294"/>
      <c r="AD277" s="294"/>
      <c r="AE277" s="294"/>
      <c r="AF277" s="294"/>
      <c r="AG277" s="294"/>
    </row>
    <row r="278" spans="2:33" x14ac:dyDescent="0.25">
      <c r="B278" s="294"/>
      <c r="C278" s="294"/>
      <c r="D278" s="294"/>
      <c r="E278" s="294"/>
      <c r="F278" s="294"/>
      <c r="G278" s="294"/>
      <c r="H278" s="294"/>
      <c r="I278" s="294"/>
      <c r="J278" s="294"/>
      <c r="L278" s="295"/>
      <c r="M278" s="294"/>
      <c r="O278" s="294"/>
      <c r="P278" s="294"/>
      <c r="Q278" s="294"/>
      <c r="R278" s="294"/>
      <c r="S278" s="294"/>
      <c r="T278" s="294"/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4"/>
      <c r="AF278" s="294"/>
      <c r="AG278" s="294"/>
    </row>
    <row r="279" spans="2:33" x14ac:dyDescent="0.25">
      <c r="B279" s="294"/>
      <c r="C279" s="294"/>
      <c r="D279" s="294"/>
      <c r="E279" s="294"/>
      <c r="F279" s="294"/>
      <c r="G279" s="294"/>
      <c r="H279" s="294"/>
      <c r="I279" s="294"/>
      <c r="J279" s="294"/>
      <c r="L279" s="295"/>
      <c r="M279" s="294"/>
      <c r="O279" s="294"/>
      <c r="P279" s="294"/>
      <c r="Q279" s="294"/>
      <c r="R279" s="294"/>
      <c r="S279" s="294"/>
      <c r="T279" s="294"/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4"/>
      <c r="AF279" s="294"/>
      <c r="AG279" s="294"/>
    </row>
    <row r="280" spans="2:33" x14ac:dyDescent="0.25">
      <c r="B280" s="294"/>
      <c r="C280" s="294"/>
      <c r="D280" s="294"/>
      <c r="E280" s="294"/>
      <c r="F280" s="294"/>
      <c r="G280" s="294"/>
      <c r="H280" s="294"/>
      <c r="I280" s="294"/>
      <c r="J280" s="294"/>
      <c r="L280" s="295"/>
      <c r="M280" s="294"/>
      <c r="O280" s="294"/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</row>
    <row r="281" spans="2:33" x14ac:dyDescent="0.25">
      <c r="B281" s="294"/>
      <c r="C281" s="294"/>
      <c r="D281" s="294"/>
      <c r="E281" s="294"/>
      <c r="F281" s="294"/>
      <c r="G281" s="294"/>
      <c r="H281" s="294"/>
      <c r="I281" s="294"/>
      <c r="J281" s="294"/>
      <c r="L281" s="295"/>
      <c r="M281" s="294"/>
      <c r="O281" s="294"/>
      <c r="P281" s="294"/>
      <c r="Q281" s="294"/>
      <c r="R281" s="294"/>
      <c r="S281" s="294"/>
      <c r="T281" s="294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294"/>
      <c r="AE281" s="294"/>
      <c r="AF281" s="294"/>
      <c r="AG281" s="294"/>
    </row>
    <row r="282" spans="2:33" x14ac:dyDescent="0.25">
      <c r="B282" s="294"/>
      <c r="C282" s="294"/>
      <c r="D282" s="294"/>
      <c r="E282" s="294"/>
      <c r="F282" s="294"/>
      <c r="G282" s="294"/>
      <c r="H282" s="294"/>
      <c r="I282" s="294"/>
      <c r="J282" s="294"/>
      <c r="L282" s="295"/>
      <c r="M282" s="294"/>
      <c r="O282" s="294"/>
      <c r="P282" s="294"/>
      <c r="Q282" s="294"/>
      <c r="R282" s="294"/>
      <c r="S282" s="294"/>
      <c r="T282" s="294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294"/>
      <c r="AE282" s="294"/>
      <c r="AF282" s="294"/>
      <c r="AG282" s="294"/>
    </row>
    <row r="283" spans="2:33" x14ac:dyDescent="0.25">
      <c r="B283" s="294"/>
      <c r="C283" s="294"/>
      <c r="D283" s="294"/>
      <c r="E283" s="294"/>
      <c r="F283" s="294"/>
      <c r="G283" s="294"/>
      <c r="H283" s="294"/>
      <c r="I283" s="294"/>
      <c r="J283" s="294"/>
      <c r="L283" s="295"/>
      <c r="M283" s="294"/>
      <c r="O283" s="294"/>
      <c r="P283" s="294"/>
      <c r="Q283" s="294"/>
      <c r="R283" s="294"/>
      <c r="S283" s="294"/>
      <c r="T283" s="294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294"/>
      <c r="AE283" s="294"/>
      <c r="AF283" s="294"/>
      <c r="AG283" s="294"/>
    </row>
    <row r="284" spans="2:33" x14ac:dyDescent="0.25">
      <c r="B284" s="294"/>
      <c r="C284" s="294"/>
      <c r="D284" s="294"/>
      <c r="E284" s="294"/>
      <c r="F284" s="294"/>
      <c r="G284" s="294"/>
      <c r="H284" s="294"/>
      <c r="I284" s="294"/>
      <c r="J284" s="294"/>
      <c r="L284" s="295"/>
      <c r="M284" s="294"/>
      <c r="O284" s="294"/>
      <c r="P284" s="294"/>
      <c r="Q284" s="294"/>
      <c r="R284" s="294"/>
      <c r="S284" s="294"/>
      <c r="T284" s="294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294"/>
      <c r="AE284" s="294"/>
      <c r="AF284" s="294"/>
      <c r="AG284" s="294"/>
    </row>
    <row r="285" spans="2:33" x14ac:dyDescent="0.25">
      <c r="B285" s="294"/>
      <c r="C285" s="294"/>
      <c r="D285" s="294"/>
      <c r="E285" s="294"/>
      <c r="F285" s="294"/>
      <c r="G285" s="294"/>
      <c r="H285" s="294"/>
      <c r="I285" s="294"/>
      <c r="J285" s="294"/>
      <c r="L285" s="295"/>
      <c r="M285" s="294"/>
      <c r="O285" s="294"/>
      <c r="P285" s="294"/>
      <c r="Q285" s="294"/>
      <c r="R285" s="294"/>
      <c r="S285" s="294"/>
      <c r="T285" s="294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294"/>
      <c r="AE285" s="294"/>
      <c r="AF285" s="294"/>
      <c r="AG285" s="294"/>
    </row>
    <row r="286" spans="2:33" x14ac:dyDescent="0.25">
      <c r="B286" s="294"/>
      <c r="C286" s="294"/>
      <c r="D286" s="294"/>
      <c r="E286" s="294"/>
      <c r="F286" s="294"/>
      <c r="G286" s="294"/>
      <c r="H286" s="294"/>
      <c r="I286" s="294"/>
      <c r="J286" s="294"/>
      <c r="L286" s="295"/>
      <c r="M286" s="294"/>
      <c r="O286" s="294"/>
      <c r="P286" s="294"/>
      <c r="Q286" s="294"/>
      <c r="R286" s="294"/>
      <c r="S286" s="294"/>
      <c r="T286" s="294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294"/>
      <c r="AE286" s="294"/>
      <c r="AF286" s="294"/>
      <c r="AG286" s="294"/>
    </row>
    <row r="287" spans="2:33" x14ac:dyDescent="0.25">
      <c r="B287" s="294"/>
      <c r="C287" s="294"/>
      <c r="D287" s="294"/>
      <c r="E287" s="294"/>
      <c r="F287" s="294"/>
      <c r="G287" s="294"/>
      <c r="H287" s="294"/>
      <c r="I287" s="294"/>
      <c r="J287" s="294"/>
      <c r="L287" s="295"/>
      <c r="M287" s="294"/>
      <c r="O287" s="294"/>
      <c r="P287" s="294"/>
      <c r="Q287" s="294"/>
      <c r="R287" s="294"/>
      <c r="S287" s="294"/>
      <c r="T287" s="294"/>
      <c r="U287" s="294"/>
      <c r="V287" s="294"/>
      <c r="W287" s="294"/>
      <c r="X287" s="294"/>
      <c r="Y287" s="294"/>
      <c r="Z287" s="294"/>
      <c r="AA287" s="294"/>
      <c r="AB287" s="294"/>
      <c r="AC287" s="294"/>
      <c r="AD287" s="294"/>
      <c r="AE287" s="294"/>
      <c r="AF287" s="294"/>
      <c r="AG287" s="294"/>
    </row>
    <row r="288" spans="2:33" x14ac:dyDescent="0.25">
      <c r="B288" s="294"/>
      <c r="C288" s="294"/>
      <c r="D288" s="294"/>
      <c r="E288" s="294"/>
      <c r="F288" s="294"/>
      <c r="G288" s="294"/>
      <c r="H288" s="294"/>
      <c r="I288" s="294"/>
      <c r="J288" s="294"/>
      <c r="L288" s="295"/>
      <c r="M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  <c r="Z288" s="294"/>
      <c r="AA288" s="294"/>
      <c r="AB288" s="294"/>
      <c r="AC288" s="294"/>
      <c r="AD288" s="294"/>
      <c r="AE288" s="294"/>
      <c r="AF288" s="294"/>
      <c r="AG288" s="294"/>
    </row>
    <row r="289" spans="2:33" x14ac:dyDescent="0.25">
      <c r="B289" s="294"/>
      <c r="C289" s="294"/>
      <c r="D289" s="294"/>
      <c r="E289" s="294"/>
      <c r="F289" s="294"/>
      <c r="G289" s="294"/>
      <c r="H289" s="294"/>
      <c r="I289" s="294"/>
      <c r="J289" s="294"/>
      <c r="L289" s="295"/>
      <c r="M289" s="294"/>
      <c r="O289" s="294"/>
      <c r="P289" s="294"/>
      <c r="Q289" s="294"/>
      <c r="R289" s="294"/>
      <c r="S289" s="294"/>
      <c r="T289" s="294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294"/>
      <c r="AE289" s="294"/>
      <c r="AF289" s="294"/>
      <c r="AG289" s="294"/>
    </row>
    <row r="290" spans="2:33" x14ac:dyDescent="0.25">
      <c r="B290" s="294"/>
      <c r="C290" s="294"/>
      <c r="D290" s="294"/>
      <c r="E290" s="294"/>
      <c r="F290" s="294"/>
      <c r="G290" s="294"/>
      <c r="H290" s="294"/>
      <c r="I290" s="294"/>
      <c r="J290" s="294"/>
      <c r="L290" s="295"/>
      <c r="M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  <c r="Z290" s="294"/>
      <c r="AA290" s="294"/>
      <c r="AB290" s="294"/>
      <c r="AC290" s="294"/>
      <c r="AD290" s="294"/>
      <c r="AE290" s="294"/>
      <c r="AF290" s="294"/>
      <c r="AG290" s="294"/>
    </row>
    <row r="291" spans="2:33" x14ac:dyDescent="0.25">
      <c r="B291" s="294"/>
      <c r="C291" s="294"/>
      <c r="D291" s="294"/>
      <c r="E291" s="294"/>
      <c r="F291" s="294"/>
      <c r="G291" s="294"/>
      <c r="H291" s="294"/>
      <c r="I291" s="294"/>
      <c r="J291" s="294"/>
      <c r="L291" s="295"/>
      <c r="M291" s="294"/>
      <c r="O291" s="294"/>
      <c r="P291" s="294"/>
      <c r="Q291" s="294"/>
      <c r="R291" s="294"/>
      <c r="S291" s="294"/>
      <c r="T291" s="294"/>
      <c r="U291" s="294"/>
      <c r="V291" s="294"/>
      <c r="W291" s="294"/>
      <c r="X291" s="294"/>
      <c r="Y291" s="294"/>
      <c r="Z291" s="294"/>
      <c r="AA291" s="294"/>
      <c r="AB291" s="294"/>
      <c r="AC291" s="294"/>
      <c r="AD291" s="294"/>
      <c r="AE291" s="294"/>
      <c r="AF291" s="294"/>
      <c r="AG291" s="294"/>
    </row>
    <row r="292" spans="2:33" x14ac:dyDescent="0.25">
      <c r="B292" s="294"/>
      <c r="C292" s="294"/>
      <c r="D292" s="294"/>
      <c r="E292" s="294"/>
      <c r="F292" s="294"/>
      <c r="G292" s="294"/>
      <c r="H292" s="294"/>
      <c r="I292" s="294"/>
      <c r="J292" s="294"/>
      <c r="L292" s="295"/>
      <c r="M292" s="294"/>
      <c r="O292" s="294"/>
      <c r="P292" s="294"/>
      <c r="Q292" s="294"/>
      <c r="R292" s="294"/>
      <c r="S292" s="294"/>
      <c r="T292" s="294"/>
      <c r="U292" s="294"/>
      <c r="V292" s="294"/>
      <c r="W292" s="294"/>
      <c r="X292" s="294"/>
      <c r="Y292" s="294"/>
      <c r="Z292" s="294"/>
      <c r="AA292" s="294"/>
      <c r="AB292" s="294"/>
      <c r="AC292" s="294"/>
      <c r="AD292" s="294"/>
      <c r="AE292" s="294"/>
      <c r="AF292" s="294"/>
      <c r="AG292" s="294"/>
    </row>
    <row r="293" spans="2:33" x14ac:dyDescent="0.25">
      <c r="B293" s="294"/>
      <c r="C293" s="294"/>
      <c r="D293" s="294"/>
      <c r="E293" s="294"/>
      <c r="F293" s="294"/>
      <c r="G293" s="294"/>
      <c r="H293" s="294"/>
      <c r="I293" s="294"/>
      <c r="J293" s="294"/>
      <c r="L293" s="295"/>
      <c r="M293" s="294"/>
      <c r="O293" s="294"/>
      <c r="P293" s="294"/>
      <c r="Q293" s="294"/>
      <c r="R293" s="294"/>
      <c r="S293" s="294"/>
      <c r="T293" s="294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294"/>
      <c r="AE293" s="294"/>
      <c r="AF293" s="294"/>
      <c r="AG293" s="294"/>
    </row>
    <row r="294" spans="2:33" x14ac:dyDescent="0.25">
      <c r="B294" s="294"/>
      <c r="C294" s="294"/>
      <c r="D294" s="294"/>
      <c r="E294" s="294"/>
      <c r="F294" s="294"/>
      <c r="G294" s="294"/>
      <c r="H294" s="294"/>
      <c r="I294" s="294"/>
      <c r="J294" s="294"/>
      <c r="L294" s="295"/>
      <c r="M294" s="294"/>
      <c r="O294" s="294"/>
      <c r="P294" s="294"/>
      <c r="Q294" s="294"/>
      <c r="R294" s="294"/>
      <c r="S294" s="294"/>
      <c r="T294" s="294"/>
      <c r="U294" s="294"/>
      <c r="V294" s="294"/>
      <c r="W294" s="294"/>
      <c r="X294" s="294"/>
      <c r="Y294" s="294"/>
      <c r="Z294" s="294"/>
      <c r="AA294" s="294"/>
      <c r="AB294" s="294"/>
      <c r="AC294" s="294"/>
      <c r="AD294" s="294"/>
      <c r="AE294" s="294"/>
      <c r="AF294" s="294"/>
      <c r="AG294" s="294"/>
    </row>
    <row r="295" spans="2:33" x14ac:dyDescent="0.25">
      <c r="B295" s="294"/>
      <c r="C295" s="294"/>
      <c r="D295" s="294"/>
      <c r="E295" s="294"/>
      <c r="F295" s="294"/>
      <c r="G295" s="294"/>
      <c r="H295" s="294"/>
      <c r="I295" s="294"/>
      <c r="J295" s="294"/>
      <c r="L295" s="295"/>
      <c r="M295" s="294"/>
      <c r="O295" s="294"/>
      <c r="P295" s="294"/>
      <c r="Q295" s="294"/>
      <c r="R295" s="294"/>
      <c r="S295" s="294"/>
      <c r="T295" s="294"/>
      <c r="U295" s="294"/>
      <c r="V295" s="294"/>
      <c r="W295" s="294"/>
      <c r="X295" s="294"/>
      <c r="Y295" s="294"/>
      <c r="Z295" s="294"/>
      <c r="AA295" s="294"/>
      <c r="AB295" s="294"/>
      <c r="AC295" s="294"/>
      <c r="AD295" s="294"/>
      <c r="AE295" s="294"/>
      <c r="AF295" s="294"/>
      <c r="AG295" s="294"/>
    </row>
    <row r="296" spans="2:33" x14ac:dyDescent="0.25">
      <c r="B296" s="294"/>
      <c r="C296" s="294"/>
      <c r="D296" s="294"/>
      <c r="E296" s="294"/>
      <c r="F296" s="294"/>
      <c r="G296" s="294"/>
      <c r="H296" s="294"/>
      <c r="I296" s="294"/>
      <c r="J296" s="294"/>
      <c r="L296" s="295"/>
      <c r="M296" s="294"/>
      <c r="O296" s="294"/>
      <c r="P296" s="294"/>
      <c r="Q296" s="294"/>
      <c r="R296" s="294"/>
      <c r="S296" s="294"/>
      <c r="T296" s="294"/>
      <c r="U296" s="294"/>
      <c r="V296" s="294"/>
      <c r="W296" s="294"/>
      <c r="X296" s="294"/>
      <c r="Y296" s="294"/>
      <c r="Z296" s="294"/>
      <c r="AA296" s="294"/>
      <c r="AB296" s="294"/>
      <c r="AC296" s="294"/>
      <c r="AD296" s="294"/>
      <c r="AE296" s="294"/>
      <c r="AF296" s="294"/>
      <c r="AG296" s="294"/>
    </row>
    <row r="297" spans="2:33" x14ac:dyDescent="0.25">
      <c r="B297" s="294"/>
      <c r="C297" s="294"/>
      <c r="D297" s="294"/>
      <c r="E297" s="294"/>
      <c r="F297" s="294"/>
      <c r="G297" s="294"/>
      <c r="H297" s="294"/>
      <c r="I297" s="294"/>
      <c r="J297" s="294"/>
      <c r="L297" s="295"/>
      <c r="M297" s="294"/>
      <c r="O297" s="294"/>
      <c r="P297" s="294"/>
      <c r="Q297" s="294"/>
      <c r="R297" s="294"/>
      <c r="S297" s="294"/>
      <c r="T297" s="294"/>
      <c r="U297" s="294"/>
      <c r="V297" s="294"/>
      <c r="W297" s="294"/>
      <c r="X297" s="294"/>
      <c r="Y297" s="294"/>
      <c r="Z297" s="294"/>
      <c r="AA297" s="294"/>
      <c r="AB297" s="294"/>
      <c r="AC297" s="294"/>
      <c r="AD297" s="294"/>
      <c r="AE297" s="294"/>
      <c r="AF297" s="294"/>
      <c r="AG297" s="294"/>
    </row>
    <row r="298" spans="2:33" x14ac:dyDescent="0.25">
      <c r="B298" s="294"/>
      <c r="C298" s="294"/>
      <c r="D298" s="294"/>
      <c r="E298" s="294"/>
      <c r="F298" s="294"/>
      <c r="G298" s="294"/>
      <c r="H298" s="294"/>
      <c r="I298" s="294"/>
      <c r="J298" s="294"/>
      <c r="L298" s="295"/>
      <c r="M298" s="294"/>
      <c r="O298" s="294"/>
      <c r="P298" s="294"/>
      <c r="Q298" s="294"/>
      <c r="R298" s="294"/>
      <c r="S298" s="294"/>
      <c r="T298" s="294"/>
      <c r="U298" s="294"/>
      <c r="V298" s="294"/>
      <c r="W298" s="294"/>
      <c r="X298" s="294"/>
      <c r="Y298" s="294"/>
      <c r="Z298" s="294"/>
      <c r="AA298" s="294"/>
      <c r="AB298" s="294"/>
      <c r="AC298" s="294"/>
      <c r="AD298" s="294"/>
      <c r="AE298" s="294"/>
      <c r="AF298" s="294"/>
      <c r="AG298" s="294"/>
    </row>
    <row r="299" spans="2:33" x14ac:dyDescent="0.25">
      <c r="B299" s="294"/>
      <c r="C299" s="294"/>
      <c r="D299" s="294"/>
      <c r="E299" s="294"/>
      <c r="F299" s="294"/>
      <c r="G299" s="294"/>
      <c r="H299" s="294"/>
      <c r="I299" s="294"/>
      <c r="J299" s="294"/>
      <c r="L299" s="295"/>
      <c r="M299" s="294"/>
      <c r="O299" s="294"/>
      <c r="P299" s="294"/>
      <c r="Q299" s="294"/>
      <c r="R299" s="294"/>
      <c r="S299" s="294"/>
      <c r="T299" s="294"/>
      <c r="U299" s="294"/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294"/>
      <c r="AF299" s="294"/>
      <c r="AG299" s="294"/>
    </row>
    <row r="300" spans="2:33" x14ac:dyDescent="0.25">
      <c r="B300" s="294"/>
      <c r="C300" s="294"/>
      <c r="D300" s="294"/>
      <c r="E300" s="294"/>
      <c r="F300" s="294"/>
      <c r="G300" s="294"/>
      <c r="H300" s="294"/>
      <c r="I300" s="294"/>
      <c r="J300" s="294"/>
      <c r="L300" s="295"/>
      <c r="M300" s="294"/>
      <c r="O300" s="294"/>
      <c r="P300" s="294"/>
      <c r="Q300" s="294"/>
      <c r="R300" s="294"/>
      <c r="S300" s="294"/>
      <c r="T300" s="294"/>
      <c r="U300" s="294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294"/>
      <c r="AF300" s="294"/>
      <c r="AG300" s="294"/>
    </row>
    <row r="301" spans="2:33" x14ac:dyDescent="0.25">
      <c r="B301" s="294"/>
      <c r="C301" s="294"/>
      <c r="D301" s="294"/>
      <c r="E301" s="294"/>
      <c r="F301" s="294"/>
      <c r="G301" s="294"/>
      <c r="H301" s="294"/>
      <c r="I301" s="294"/>
      <c r="J301" s="294"/>
      <c r="L301" s="295"/>
      <c r="M301" s="294"/>
      <c r="O301" s="294"/>
      <c r="P301" s="294"/>
      <c r="Q301" s="294"/>
      <c r="R301" s="294"/>
      <c r="S301" s="294"/>
      <c r="T301" s="294"/>
      <c r="U301" s="294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294"/>
      <c r="AF301" s="294"/>
      <c r="AG301" s="294"/>
    </row>
    <row r="302" spans="2:33" x14ac:dyDescent="0.25">
      <c r="B302" s="294"/>
      <c r="C302" s="294"/>
      <c r="D302" s="294"/>
      <c r="E302" s="294"/>
      <c r="F302" s="294"/>
      <c r="G302" s="294"/>
      <c r="H302" s="294"/>
      <c r="I302" s="294"/>
      <c r="J302" s="294"/>
      <c r="L302" s="295"/>
      <c r="M302" s="294"/>
      <c r="O302" s="294"/>
      <c r="P302" s="294"/>
      <c r="Q302" s="294"/>
      <c r="R302" s="294"/>
      <c r="S302" s="294"/>
      <c r="T302" s="294"/>
      <c r="U302" s="294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294"/>
      <c r="AF302" s="294"/>
      <c r="AG302" s="294"/>
    </row>
    <row r="303" spans="2:33" x14ac:dyDescent="0.25">
      <c r="B303" s="294"/>
      <c r="C303" s="294"/>
      <c r="D303" s="294"/>
      <c r="E303" s="294"/>
      <c r="F303" s="294"/>
      <c r="G303" s="294"/>
      <c r="H303" s="294"/>
      <c r="I303" s="294"/>
      <c r="J303" s="294"/>
      <c r="L303" s="295"/>
      <c r="M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</row>
    <row r="304" spans="2:33" x14ac:dyDescent="0.25">
      <c r="B304" s="294"/>
      <c r="C304" s="294"/>
      <c r="D304" s="294"/>
      <c r="E304" s="294"/>
      <c r="F304" s="294"/>
      <c r="G304" s="294"/>
      <c r="H304" s="294"/>
      <c r="I304" s="294"/>
      <c r="J304" s="294"/>
      <c r="L304" s="295"/>
      <c r="M304" s="294"/>
      <c r="O304" s="294"/>
      <c r="P304" s="294"/>
      <c r="Q304" s="294"/>
      <c r="R304" s="294"/>
      <c r="S304" s="294"/>
      <c r="T304" s="294"/>
      <c r="U304" s="294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294"/>
      <c r="AF304" s="294"/>
      <c r="AG304" s="294"/>
    </row>
    <row r="305" spans="2:33" x14ac:dyDescent="0.25">
      <c r="B305" s="294"/>
      <c r="C305" s="294"/>
      <c r="D305" s="294"/>
      <c r="E305" s="294"/>
      <c r="F305" s="294"/>
      <c r="G305" s="294"/>
      <c r="H305" s="294"/>
      <c r="I305" s="294"/>
      <c r="J305" s="294"/>
      <c r="L305" s="295"/>
      <c r="M305" s="294"/>
      <c r="O305" s="294"/>
      <c r="P305" s="294"/>
      <c r="Q305" s="294"/>
      <c r="R305" s="294"/>
      <c r="S305" s="294"/>
      <c r="T305" s="294"/>
      <c r="U305" s="294"/>
      <c r="V305" s="294"/>
      <c r="W305" s="294"/>
      <c r="X305" s="294"/>
      <c r="Y305" s="294"/>
      <c r="Z305" s="294"/>
      <c r="AA305" s="294"/>
      <c r="AB305" s="294"/>
      <c r="AC305" s="294"/>
      <c r="AD305" s="294"/>
      <c r="AE305" s="294"/>
      <c r="AF305" s="294"/>
      <c r="AG305" s="294"/>
    </row>
    <row r="306" spans="2:33" x14ac:dyDescent="0.25">
      <c r="B306" s="294"/>
      <c r="C306" s="294"/>
      <c r="D306" s="294"/>
      <c r="E306" s="294"/>
      <c r="F306" s="294"/>
      <c r="G306" s="294"/>
      <c r="H306" s="294"/>
      <c r="I306" s="294"/>
      <c r="J306" s="294"/>
      <c r="L306" s="295"/>
      <c r="M306" s="294"/>
      <c r="O306" s="294"/>
      <c r="P306" s="294"/>
      <c r="Q306" s="294"/>
      <c r="R306" s="294"/>
      <c r="S306" s="294"/>
      <c r="T306" s="294"/>
      <c r="U306" s="294"/>
      <c r="V306" s="294"/>
      <c r="W306" s="294"/>
      <c r="X306" s="294"/>
      <c r="Y306" s="294"/>
      <c r="Z306" s="294"/>
      <c r="AA306" s="294"/>
      <c r="AB306" s="294"/>
      <c r="AC306" s="294"/>
      <c r="AD306" s="294"/>
      <c r="AE306" s="294"/>
      <c r="AF306" s="294"/>
      <c r="AG306" s="294"/>
    </row>
    <row r="307" spans="2:33" x14ac:dyDescent="0.25">
      <c r="B307" s="294"/>
      <c r="C307" s="294"/>
      <c r="D307" s="294"/>
      <c r="E307" s="294"/>
      <c r="F307" s="294"/>
      <c r="G307" s="294"/>
      <c r="H307" s="294"/>
      <c r="I307" s="294"/>
      <c r="J307" s="294"/>
      <c r="L307" s="295"/>
      <c r="M307" s="294"/>
      <c r="O307" s="294"/>
      <c r="P307" s="294"/>
      <c r="Q307" s="294"/>
      <c r="R307" s="294"/>
      <c r="S307" s="294"/>
      <c r="T307" s="294"/>
      <c r="U307" s="294"/>
      <c r="V307" s="294"/>
      <c r="W307" s="294"/>
      <c r="X307" s="294"/>
      <c r="Y307" s="294"/>
      <c r="Z307" s="294"/>
      <c r="AA307" s="294"/>
      <c r="AB307" s="294"/>
      <c r="AC307" s="294"/>
      <c r="AD307" s="294"/>
      <c r="AE307" s="294"/>
      <c r="AF307" s="294"/>
      <c r="AG307" s="294"/>
    </row>
    <row r="308" spans="2:33" x14ac:dyDescent="0.25">
      <c r="B308" s="294"/>
      <c r="C308" s="294"/>
      <c r="D308" s="294"/>
      <c r="E308" s="294"/>
      <c r="F308" s="294"/>
      <c r="G308" s="294"/>
      <c r="H308" s="294"/>
      <c r="I308" s="294"/>
      <c r="J308" s="294"/>
      <c r="L308" s="295"/>
      <c r="M308" s="294"/>
      <c r="O308" s="294"/>
      <c r="P308" s="294"/>
      <c r="Q308" s="294"/>
      <c r="R308" s="294"/>
      <c r="S308" s="294"/>
      <c r="T308" s="294"/>
      <c r="U308" s="294"/>
      <c r="V308" s="294"/>
      <c r="W308" s="294"/>
      <c r="X308" s="294"/>
      <c r="Y308" s="294"/>
      <c r="Z308" s="294"/>
      <c r="AA308" s="294"/>
      <c r="AB308" s="294"/>
      <c r="AC308" s="294"/>
      <c r="AD308" s="294"/>
      <c r="AE308" s="294"/>
      <c r="AF308" s="294"/>
      <c r="AG308" s="294"/>
    </row>
    <row r="309" spans="2:33" x14ac:dyDescent="0.25">
      <c r="B309" s="294"/>
      <c r="C309" s="294"/>
      <c r="D309" s="294"/>
      <c r="E309" s="294"/>
      <c r="F309" s="294"/>
      <c r="G309" s="294"/>
      <c r="H309" s="294"/>
      <c r="I309" s="294"/>
      <c r="J309" s="294"/>
      <c r="L309" s="295"/>
      <c r="M309" s="294"/>
      <c r="O309" s="294"/>
      <c r="P309" s="294"/>
      <c r="Q309" s="294"/>
      <c r="R309" s="294"/>
      <c r="S309" s="294"/>
      <c r="T309" s="294"/>
      <c r="U309" s="294"/>
      <c r="V309" s="294"/>
      <c r="W309" s="294"/>
      <c r="X309" s="294"/>
      <c r="Y309" s="294"/>
      <c r="Z309" s="294"/>
      <c r="AA309" s="294"/>
      <c r="AB309" s="294"/>
      <c r="AC309" s="294"/>
      <c r="AD309" s="294"/>
      <c r="AE309" s="294"/>
      <c r="AF309" s="294"/>
      <c r="AG309" s="294"/>
    </row>
    <row r="310" spans="2:33" x14ac:dyDescent="0.25">
      <c r="B310" s="294"/>
      <c r="C310" s="294"/>
      <c r="D310" s="294"/>
      <c r="E310" s="294"/>
      <c r="F310" s="294"/>
      <c r="G310" s="294"/>
      <c r="H310" s="294"/>
      <c r="I310" s="294"/>
      <c r="J310" s="294"/>
      <c r="L310" s="295"/>
      <c r="M310" s="294"/>
      <c r="O310" s="294"/>
      <c r="P310" s="294"/>
      <c r="Q310" s="294"/>
      <c r="R310" s="294"/>
      <c r="S310" s="294"/>
      <c r="T310" s="294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294"/>
      <c r="AE310" s="294"/>
      <c r="AF310" s="294"/>
      <c r="AG310" s="294"/>
    </row>
    <row r="311" spans="2:33" x14ac:dyDescent="0.25">
      <c r="B311" s="294"/>
      <c r="C311" s="294"/>
      <c r="D311" s="294"/>
      <c r="E311" s="294"/>
      <c r="F311" s="294"/>
      <c r="G311" s="294"/>
      <c r="H311" s="294"/>
      <c r="I311" s="294"/>
      <c r="J311" s="294"/>
      <c r="L311" s="295"/>
      <c r="M311" s="294"/>
      <c r="O311" s="294"/>
      <c r="P311" s="294"/>
      <c r="Q311" s="294"/>
      <c r="R311" s="294"/>
      <c r="S311" s="294"/>
      <c r="T311" s="294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294"/>
      <c r="AE311" s="294"/>
      <c r="AF311" s="294"/>
      <c r="AG311" s="294"/>
    </row>
    <row r="312" spans="2:33" x14ac:dyDescent="0.25">
      <c r="B312" s="294"/>
      <c r="C312" s="294"/>
      <c r="D312" s="294"/>
      <c r="E312" s="294"/>
      <c r="F312" s="294"/>
      <c r="G312" s="294"/>
      <c r="H312" s="294"/>
      <c r="I312" s="294"/>
      <c r="J312" s="294"/>
      <c r="L312" s="295"/>
      <c r="M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294"/>
      <c r="AE312" s="294"/>
      <c r="AF312" s="294"/>
      <c r="AG312" s="294"/>
    </row>
    <row r="313" spans="2:33" x14ac:dyDescent="0.25">
      <c r="B313" s="294"/>
      <c r="C313" s="294"/>
      <c r="D313" s="294"/>
      <c r="E313" s="294"/>
      <c r="F313" s="294"/>
      <c r="G313" s="294"/>
      <c r="H313" s="294"/>
      <c r="I313" s="294"/>
      <c r="J313" s="294"/>
      <c r="L313" s="295"/>
      <c r="M313" s="294"/>
      <c r="O313" s="294"/>
      <c r="P313" s="294"/>
      <c r="Q313" s="294"/>
      <c r="R313" s="294"/>
      <c r="S313" s="294"/>
      <c r="T313" s="294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294"/>
      <c r="AE313" s="294"/>
      <c r="AF313" s="294"/>
      <c r="AG313" s="294"/>
    </row>
    <row r="314" spans="2:33" x14ac:dyDescent="0.25">
      <c r="B314" s="294"/>
      <c r="C314" s="294"/>
      <c r="D314" s="294"/>
      <c r="E314" s="294"/>
      <c r="F314" s="294"/>
      <c r="G314" s="294"/>
      <c r="H314" s="294"/>
      <c r="I314" s="294"/>
      <c r="J314" s="294"/>
      <c r="L314" s="295"/>
      <c r="M314" s="294"/>
      <c r="O314" s="294"/>
      <c r="P314" s="294"/>
      <c r="Q314" s="294"/>
      <c r="R314" s="294"/>
      <c r="S314" s="294"/>
      <c r="T314" s="294"/>
      <c r="U314" s="294"/>
      <c r="V314" s="294"/>
      <c r="W314" s="294"/>
      <c r="X314" s="294"/>
      <c r="Y314" s="294"/>
      <c r="Z314" s="294"/>
      <c r="AA314" s="294"/>
      <c r="AB314" s="294"/>
      <c r="AC314" s="294"/>
      <c r="AD314" s="294"/>
      <c r="AE314" s="294"/>
      <c r="AF314" s="294"/>
      <c r="AG314" s="294"/>
    </row>
    <row r="315" spans="2:33" x14ac:dyDescent="0.25">
      <c r="B315" s="294"/>
      <c r="C315" s="294"/>
      <c r="D315" s="294"/>
      <c r="E315" s="294"/>
      <c r="F315" s="294"/>
      <c r="G315" s="294"/>
      <c r="H315" s="294"/>
      <c r="I315" s="294"/>
      <c r="J315" s="294"/>
      <c r="L315" s="295"/>
      <c r="M315" s="294"/>
      <c r="O315" s="294"/>
      <c r="P315" s="294"/>
      <c r="Q315" s="294"/>
      <c r="R315" s="294"/>
      <c r="S315" s="294"/>
      <c r="T315" s="294"/>
      <c r="U315" s="294"/>
      <c r="V315" s="294"/>
      <c r="W315" s="294"/>
      <c r="X315" s="294"/>
      <c r="Y315" s="294"/>
      <c r="Z315" s="294"/>
      <c r="AA315" s="294"/>
      <c r="AB315" s="294"/>
      <c r="AC315" s="294"/>
      <c r="AD315" s="294"/>
      <c r="AE315" s="294"/>
      <c r="AF315" s="294"/>
      <c r="AG315" s="294"/>
    </row>
    <row r="316" spans="2:33" x14ac:dyDescent="0.25">
      <c r="B316" s="294"/>
      <c r="C316" s="294"/>
      <c r="D316" s="294"/>
      <c r="E316" s="294"/>
      <c r="F316" s="294"/>
      <c r="G316" s="294"/>
      <c r="H316" s="294"/>
      <c r="I316" s="294"/>
      <c r="J316" s="294"/>
      <c r="L316" s="295"/>
      <c r="M316" s="294"/>
      <c r="O316" s="294"/>
      <c r="P316" s="294"/>
      <c r="Q316" s="294"/>
      <c r="R316" s="294"/>
      <c r="S316" s="294"/>
      <c r="T316" s="294"/>
      <c r="U316" s="294"/>
      <c r="V316" s="294"/>
      <c r="W316" s="294"/>
      <c r="X316" s="294"/>
      <c r="Y316" s="294"/>
      <c r="Z316" s="294"/>
      <c r="AA316" s="294"/>
      <c r="AB316" s="294"/>
      <c r="AC316" s="294"/>
      <c r="AD316" s="294"/>
      <c r="AE316" s="294"/>
      <c r="AF316" s="294"/>
      <c r="AG316" s="294"/>
    </row>
    <row r="317" spans="2:33" x14ac:dyDescent="0.25">
      <c r="B317" s="294"/>
      <c r="C317" s="294"/>
      <c r="D317" s="294"/>
      <c r="E317" s="294"/>
      <c r="F317" s="294"/>
      <c r="G317" s="294"/>
      <c r="H317" s="294"/>
      <c r="I317" s="294"/>
      <c r="J317" s="294"/>
      <c r="L317" s="295"/>
      <c r="M317" s="294"/>
      <c r="O317" s="294"/>
      <c r="P317" s="294"/>
      <c r="Q317" s="294"/>
      <c r="R317" s="294"/>
      <c r="S317" s="294"/>
      <c r="T317" s="294"/>
      <c r="U317" s="294"/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</row>
    <row r="318" spans="2:33" x14ac:dyDescent="0.25">
      <c r="B318" s="294"/>
      <c r="C318" s="294"/>
      <c r="D318" s="294"/>
      <c r="E318" s="294"/>
      <c r="F318" s="294"/>
      <c r="G318" s="294"/>
      <c r="H318" s="294"/>
      <c r="I318" s="294"/>
      <c r="J318" s="294"/>
      <c r="L318" s="295"/>
      <c r="M318" s="294"/>
      <c r="O318" s="294"/>
      <c r="P318" s="294"/>
      <c r="Q318" s="294"/>
      <c r="R318" s="294"/>
      <c r="S318" s="294"/>
      <c r="T318" s="294"/>
      <c r="U318" s="294"/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294"/>
      <c r="AF318" s="294"/>
      <c r="AG318" s="294"/>
    </row>
    <row r="319" spans="2:33" x14ac:dyDescent="0.25">
      <c r="B319" s="294"/>
      <c r="C319" s="294"/>
      <c r="D319" s="294"/>
      <c r="E319" s="294"/>
      <c r="F319" s="294"/>
      <c r="G319" s="294"/>
      <c r="H319" s="294"/>
      <c r="I319" s="294"/>
      <c r="J319" s="294"/>
      <c r="L319" s="295"/>
      <c r="M319" s="294"/>
      <c r="O319" s="294"/>
      <c r="P319" s="294"/>
      <c r="Q319" s="294"/>
      <c r="R319" s="294"/>
      <c r="S319" s="294"/>
      <c r="T319" s="294"/>
      <c r="U319" s="294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294"/>
      <c r="AF319" s="294"/>
      <c r="AG319" s="294"/>
    </row>
    <row r="320" spans="2:33" x14ac:dyDescent="0.25">
      <c r="B320" s="294"/>
      <c r="C320" s="294"/>
      <c r="D320" s="294"/>
      <c r="E320" s="294"/>
      <c r="F320" s="294"/>
      <c r="G320" s="294"/>
      <c r="H320" s="294"/>
      <c r="I320" s="294"/>
      <c r="J320" s="294"/>
      <c r="L320" s="295"/>
      <c r="M320" s="294"/>
      <c r="O320" s="294"/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  <c r="Z320" s="294"/>
      <c r="AA320" s="294"/>
      <c r="AB320" s="294"/>
      <c r="AC320" s="294"/>
      <c r="AD320" s="294"/>
      <c r="AE320" s="294"/>
      <c r="AF320" s="294"/>
      <c r="AG320" s="294"/>
    </row>
    <row r="321" spans="2:33" x14ac:dyDescent="0.25">
      <c r="B321" s="294"/>
      <c r="C321" s="294"/>
      <c r="D321" s="294"/>
      <c r="E321" s="294"/>
      <c r="F321" s="294"/>
      <c r="G321" s="294"/>
      <c r="H321" s="294"/>
      <c r="I321" s="294"/>
      <c r="J321" s="294"/>
      <c r="L321" s="295"/>
      <c r="M321" s="294"/>
      <c r="O321" s="294"/>
      <c r="P321" s="294"/>
      <c r="Q321" s="294"/>
      <c r="R321" s="294"/>
      <c r="S321" s="294"/>
      <c r="T321" s="294"/>
      <c r="U321" s="294"/>
      <c r="V321" s="294"/>
      <c r="W321" s="294"/>
      <c r="X321" s="294"/>
      <c r="Y321" s="294"/>
      <c r="Z321" s="294"/>
      <c r="AA321" s="294"/>
      <c r="AB321" s="294"/>
      <c r="AC321" s="294"/>
      <c r="AD321" s="294"/>
      <c r="AE321" s="294"/>
      <c r="AF321" s="294"/>
      <c r="AG321" s="294"/>
    </row>
    <row r="322" spans="2:33" x14ac:dyDescent="0.25">
      <c r="B322" s="294"/>
      <c r="C322" s="294"/>
      <c r="D322" s="294"/>
      <c r="E322" s="294"/>
      <c r="F322" s="294"/>
      <c r="G322" s="294"/>
      <c r="H322" s="294"/>
      <c r="I322" s="294"/>
      <c r="J322" s="294"/>
      <c r="L322" s="295"/>
      <c r="M322" s="294"/>
      <c r="O322" s="294"/>
      <c r="P322" s="294"/>
      <c r="Q322" s="294"/>
      <c r="R322" s="294"/>
      <c r="S322" s="294"/>
      <c r="T322" s="294"/>
      <c r="U322" s="294"/>
      <c r="V322" s="294"/>
      <c r="W322" s="294"/>
      <c r="X322" s="294"/>
      <c r="Y322" s="294"/>
      <c r="Z322" s="294"/>
      <c r="AA322" s="294"/>
      <c r="AB322" s="294"/>
      <c r="AC322" s="294"/>
      <c r="AD322" s="294"/>
      <c r="AE322" s="294"/>
      <c r="AF322" s="294"/>
      <c r="AG322" s="294"/>
    </row>
    <row r="323" spans="2:33" x14ac:dyDescent="0.25">
      <c r="B323" s="294"/>
      <c r="C323" s="294"/>
      <c r="D323" s="294"/>
      <c r="E323" s="294"/>
      <c r="F323" s="294"/>
      <c r="G323" s="294"/>
      <c r="H323" s="294"/>
      <c r="I323" s="294"/>
      <c r="J323" s="294"/>
      <c r="L323" s="295"/>
      <c r="M323" s="294"/>
      <c r="O323" s="294"/>
      <c r="P323" s="294"/>
      <c r="Q323" s="294"/>
      <c r="R323" s="294"/>
      <c r="S323" s="294"/>
      <c r="T323" s="294"/>
      <c r="U323" s="294"/>
      <c r="V323" s="294"/>
      <c r="W323" s="294"/>
      <c r="X323" s="294"/>
      <c r="Y323" s="294"/>
      <c r="Z323" s="294"/>
      <c r="AA323" s="294"/>
      <c r="AB323" s="294"/>
      <c r="AC323" s="294"/>
      <c r="AD323" s="294"/>
      <c r="AE323" s="294"/>
      <c r="AF323" s="294"/>
      <c r="AG323" s="294"/>
    </row>
    <row r="324" spans="2:33" x14ac:dyDescent="0.25">
      <c r="B324" s="294"/>
      <c r="C324" s="294"/>
      <c r="D324" s="294"/>
      <c r="E324" s="294"/>
      <c r="F324" s="294"/>
      <c r="G324" s="294"/>
      <c r="H324" s="294"/>
      <c r="I324" s="294"/>
      <c r="J324" s="294"/>
      <c r="L324" s="295"/>
      <c r="M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</row>
    <row r="325" spans="2:33" x14ac:dyDescent="0.25">
      <c r="B325" s="294"/>
      <c r="C325" s="294"/>
      <c r="D325" s="294"/>
      <c r="E325" s="294"/>
      <c r="F325" s="294"/>
      <c r="G325" s="294"/>
      <c r="H325" s="294"/>
      <c r="I325" s="294"/>
      <c r="J325" s="294"/>
      <c r="L325" s="295"/>
      <c r="M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  <c r="Z325" s="294"/>
      <c r="AA325" s="294"/>
      <c r="AB325" s="294"/>
      <c r="AC325" s="294"/>
      <c r="AD325" s="294"/>
      <c r="AE325" s="294"/>
      <c r="AF325" s="294"/>
      <c r="AG325" s="294"/>
    </row>
    <row r="326" spans="2:33" x14ac:dyDescent="0.25">
      <c r="B326" s="294"/>
      <c r="C326" s="294"/>
      <c r="D326" s="294"/>
      <c r="E326" s="294"/>
      <c r="F326" s="294"/>
      <c r="G326" s="294"/>
      <c r="H326" s="294"/>
      <c r="I326" s="294"/>
      <c r="J326" s="294"/>
      <c r="L326" s="295"/>
      <c r="M326" s="294"/>
      <c r="O326" s="294"/>
      <c r="P326" s="294"/>
      <c r="Q326" s="294"/>
      <c r="R326" s="294"/>
      <c r="S326" s="294"/>
      <c r="T326" s="294"/>
      <c r="U326" s="294"/>
      <c r="V326" s="294"/>
      <c r="W326" s="294"/>
      <c r="X326" s="294"/>
      <c r="Y326" s="294"/>
      <c r="Z326" s="294"/>
      <c r="AA326" s="294"/>
      <c r="AB326" s="294"/>
      <c r="AC326" s="294"/>
      <c r="AD326" s="294"/>
      <c r="AE326" s="294"/>
      <c r="AF326" s="294"/>
      <c r="AG326" s="294"/>
    </row>
    <row r="327" spans="2:33" x14ac:dyDescent="0.25">
      <c r="B327" s="294"/>
      <c r="C327" s="294"/>
      <c r="D327" s="294"/>
      <c r="E327" s="294"/>
      <c r="F327" s="294"/>
      <c r="G327" s="294"/>
      <c r="H327" s="294"/>
      <c r="I327" s="294"/>
      <c r="J327" s="294"/>
      <c r="L327" s="295"/>
      <c r="M327" s="294"/>
      <c r="O327" s="294"/>
      <c r="P327" s="294"/>
      <c r="Q327" s="294"/>
      <c r="R327" s="294"/>
      <c r="S327" s="294"/>
      <c r="T327" s="294"/>
      <c r="U327" s="294"/>
      <c r="V327" s="294"/>
      <c r="W327" s="294"/>
      <c r="X327" s="294"/>
      <c r="Y327" s="294"/>
      <c r="Z327" s="294"/>
      <c r="AA327" s="294"/>
      <c r="AB327" s="294"/>
      <c r="AC327" s="294"/>
      <c r="AD327" s="294"/>
      <c r="AE327" s="294"/>
      <c r="AF327" s="294"/>
      <c r="AG327" s="294"/>
    </row>
    <row r="328" spans="2:33" x14ac:dyDescent="0.25">
      <c r="B328" s="294"/>
      <c r="C328" s="294"/>
      <c r="D328" s="294"/>
      <c r="E328" s="294"/>
      <c r="F328" s="294"/>
      <c r="G328" s="294"/>
      <c r="H328" s="294"/>
      <c r="I328" s="294"/>
      <c r="J328" s="294"/>
      <c r="L328" s="295"/>
      <c r="M328" s="294"/>
      <c r="O328" s="294"/>
      <c r="P328" s="294"/>
      <c r="Q328" s="294"/>
      <c r="R328" s="294"/>
      <c r="S328" s="294"/>
      <c r="T328" s="294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294"/>
      <c r="AE328" s="294"/>
      <c r="AF328" s="294"/>
      <c r="AG328" s="294"/>
    </row>
    <row r="329" spans="2:33" x14ac:dyDescent="0.25">
      <c r="B329" s="294"/>
      <c r="C329" s="294"/>
      <c r="D329" s="294"/>
      <c r="E329" s="294"/>
      <c r="F329" s="294"/>
      <c r="G329" s="294"/>
      <c r="H329" s="294"/>
      <c r="I329" s="294"/>
      <c r="J329" s="294"/>
      <c r="L329" s="295"/>
      <c r="M329" s="294"/>
      <c r="O329" s="294"/>
      <c r="P329" s="294"/>
      <c r="Q329" s="294"/>
      <c r="R329" s="294"/>
      <c r="S329" s="294"/>
      <c r="T329" s="294"/>
      <c r="U329" s="294"/>
      <c r="V329" s="294"/>
      <c r="W329" s="294"/>
      <c r="X329" s="294"/>
      <c r="Y329" s="294"/>
      <c r="Z329" s="294"/>
      <c r="AA329" s="294"/>
      <c r="AB329" s="294"/>
      <c r="AC329" s="294"/>
      <c r="AD329" s="294"/>
      <c r="AE329" s="294"/>
      <c r="AF329" s="294"/>
      <c r="AG329" s="294"/>
    </row>
    <row r="330" spans="2:33" x14ac:dyDescent="0.25">
      <c r="B330" s="294"/>
      <c r="C330" s="294"/>
      <c r="D330" s="294"/>
      <c r="E330" s="294"/>
      <c r="F330" s="294"/>
      <c r="G330" s="294"/>
      <c r="H330" s="294"/>
      <c r="I330" s="294"/>
      <c r="J330" s="294"/>
      <c r="L330" s="295"/>
      <c r="M330" s="294"/>
      <c r="O330" s="294"/>
      <c r="P330" s="294"/>
      <c r="Q330" s="294"/>
      <c r="R330" s="294"/>
      <c r="S330" s="294"/>
      <c r="T330" s="294"/>
      <c r="U330" s="294"/>
      <c r="V330" s="294"/>
      <c r="W330" s="294"/>
      <c r="X330" s="294"/>
      <c r="Y330" s="294"/>
      <c r="Z330" s="294"/>
      <c r="AA330" s="294"/>
      <c r="AB330" s="294"/>
      <c r="AC330" s="294"/>
      <c r="AD330" s="294"/>
      <c r="AE330" s="294"/>
      <c r="AF330" s="294"/>
      <c r="AG330" s="294"/>
    </row>
    <row r="331" spans="2:33" x14ac:dyDescent="0.25">
      <c r="B331" s="294"/>
      <c r="C331" s="294"/>
      <c r="D331" s="294"/>
      <c r="E331" s="294"/>
      <c r="F331" s="294"/>
      <c r="G331" s="294"/>
      <c r="H331" s="294"/>
      <c r="I331" s="294"/>
      <c r="J331" s="294"/>
      <c r="L331" s="295"/>
      <c r="M331" s="294"/>
      <c r="O331" s="294"/>
      <c r="P331" s="294"/>
      <c r="Q331" s="294"/>
      <c r="R331" s="294"/>
      <c r="S331" s="294"/>
      <c r="T331" s="294"/>
      <c r="U331" s="294"/>
      <c r="V331" s="294"/>
      <c r="W331" s="294"/>
      <c r="X331" s="294"/>
      <c r="Y331" s="294"/>
      <c r="Z331" s="294"/>
      <c r="AA331" s="294"/>
      <c r="AB331" s="294"/>
      <c r="AC331" s="294"/>
      <c r="AD331" s="294"/>
      <c r="AE331" s="294"/>
      <c r="AF331" s="294"/>
      <c r="AG331" s="294"/>
    </row>
    <row r="332" spans="2:33" x14ac:dyDescent="0.25">
      <c r="B332" s="294"/>
      <c r="C332" s="294"/>
      <c r="D332" s="294"/>
      <c r="E332" s="294"/>
      <c r="F332" s="294"/>
      <c r="G332" s="294"/>
      <c r="H332" s="294"/>
      <c r="I332" s="294"/>
      <c r="J332" s="294"/>
      <c r="L332" s="295"/>
      <c r="M332" s="294"/>
      <c r="O332" s="294"/>
      <c r="P332" s="294"/>
      <c r="Q332" s="294"/>
      <c r="R332" s="294"/>
      <c r="S332" s="294"/>
      <c r="T332" s="294"/>
      <c r="U332" s="294"/>
      <c r="V332" s="294"/>
      <c r="W332" s="294"/>
      <c r="X332" s="294"/>
      <c r="Y332" s="294"/>
      <c r="Z332" s="294"/>
      <c r="AA332" s="294"/>
      <c r="AB332" s="294"/>
      <c r="AC332" s="294"/>
      <c r="AD332" s="294"/>
      <c r="AE332" s="294"/>
      <c r="AF332" s="294"/>
      <c r="AG332" s="294"/>
    </row>
    <row r="333" spans="2:33" x14ac:dyDescent="0.25">
      <c r="B333" s="294"/>
      <c r="C333" s="294"/>
      <c r="D333" s="294"/>
      <c r="E333" s="294"/>
      <c r="F333" s="294"/>
      <c r="G333" s="294"/>
      <c r="H333" s="294"/>
      <c r="I333" s="294"/>
      <c r="J333" s="294"/>
      <c r="L333" s="295"/>
      <c r="M333" s="294"/>
      <c r="O333" s="294"/>
      <c r="P333" s="294"/>
      <c r="Q333" s="294"/>
      <c r="R333" s="294"/>
      <c r="S333" s="294"/>
      <c r="T333" s="294"/>
      <c r="U333" s="294"/>
      <c r="V333" s="294"/>
      <c r="W333" s="294"/>
      <c r="X333" s="294"/>
      <c r="Y333" s="294"/>
      <c r="Z333" s="294"/>
      <c r="AA333" s="294"/>
      <c r="AB333" s="294"/>
      <c r="AC333" s="294"/>
      <c r="AD333" s="294"/>
      <c r="AE333" s="294"/>
      <c r="AF333" s="294"/>
      <c r="AG333" s="294"/>
    </row>
    <row r="334" spans="2:33" x14ac:dyDescent="0.25">
      <c r="B334" s="294"/>
      <c r="C334" s="294"/>
      <c r="D334" s="294"/>
      <c r="E334" s="294"/>
      <c r="F334" s="294"/>
      <c r="G334" s="294"/>
      <c r="H334" s="294"/>
      <c r="I334" s="294"/>
      <c r="J334" s="294"/>
      <c r="L334" s="295"/>
      <c r="M334" s="294"/>
      <c r="O334" s="294"/>
      <c r="P334" s="294"/>
      <c r="Q334" s="294"/>
      <c r="R334" s="294"/>
      <c r="S334" s="294"/>
      <c r="T334" s="294"/>
      <c r="U334" s="294"/>
      <c r="V334" s="294"/>
      <c r="W334" s="294"/>
      <c r="X334" s="294"/>
      <c r="Y334" s="294"/>
      <c r="Z334" s="294"/>
      <c r="AA334" s="294"/>
      <c r="AB334" s="294"/>
      <c r="AC334" s="294"/>
      <c r="AD334" s="294"/>
      <c r="AE334" s="294"/>
      <c r="AF334" s="294"/>
      <c r="AG334" s="294"/>
    </row>
    <row r="335" spans="2:33" x14ac:dyDescent="0.25">
      <c r="B335" s="294"/>
      <c r="C335" s="294"/>
      <c r="D335" s="294"/>
      <c r="E335" s="294"/>
      <c r="F335" s="294"/>
      <c r="G335" s="294"/>
      <c r="H335" s="294"/>
      <c r="I335" s="294"/>
      <c r="J335" s="294"/>
      <c r="L335" s="295"/>
      <c r="M335" s="294"/>
      <c r="O335" s="294"/>
      <c r="P335" s="294"/>
      <c r="Q335" s="294"/>
      <c r="R335" s="294"/>
      <c r="S335" s="294"/>
      <c r="T335" s="294"/>
      <c r="U335" s="294"/>
      <c r="V335" s="294"/>
      <c r="W335" s="294"/>
      <c r="X335" s="294"/>
      <c r="Y335" s="294"/>
      <c r="Z335" s="294"/>
      <c r="AA335" s="294"/>
      <c r="AB335" s="294"/>
      <c r="AC335" s="294"/>
      <c r="AD335" s="294"/>
      <c r="AE335" s="294"/>
      <c r="AF335" s="294"/>
      <c r="AG335" s="294"/>
    </row>
    <row r="336" spans="2:33" x14ac:dyDescent="0.25">
      <c r="B336" s="294"/>
      <c r="C336" s="294"/>
      <c r="D336" s="294"/>
      <c r="E336" s="294"/>
      <c r="F336" s="294"/>
      <c r="G336" s="294"/>
      <c r="H336" s="294"/>
      <c r="I336" s="294"/>
      <c r="J336" s="294"/>
      <c r="L336" s="295"/>
      <c r="M336" s="294"/>
      <c r="O336" s="294"/>
      <c r="P336" s="294"/>
      <c r="Q336" s="294"/>
      <c r="R336" s="294"/>
      <c r="S336" s="294"/>
      <c r="T336" s="294"/>
      <c r="U336" s="294"/>
      <c r="V336" s="294"/>
      <c r="W336" s="294"/>
      <c r="X336" s="294"/>
      <c r="Y336" s="294"/>
      <c r="Z336" s="294"/>
      <c r="AA336" s="294"/>
      <c r="AB336" s="294"/>
      <c r="AC336" s="294"/>
      <c r="AD336" s="294"/>
      <c r="AE336" s="294"/>
      <c r="AF336" s="294"/>
      <c r="AG336" s="294"/>
    </row>
    <row r="337" spans="2:33" x14ac:dyDescent="0.25">
      <c r="B337" s="294"/>
      <c r="C337" s="294"/>
      <c r="D337" s="294"/>
      <c r="E337" s="294"/>
      <c r="F337" s="294"/>
      <c r="G337" s="294"/>
      <c r="H337" s="294"/>
      <c r="I337" s="294"/>
      <c r="J337" s="294"/>
      <c r="L337" s="295"/>
      <c r="M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  <c r="Z337" s="294"/>
      <c r="AA337" s="294"/>
      <c r="AB337" s="294"/>
      <c r="AC337" s="294"/>
      <c r="AD337" s="294"/>
      <c r="AE337" s="294"/>
      <c r="AF337" s="294"/>
      <c r="AG337" s="294"/>
    </row>
    <row r="338" spans="2:33" x14ac:dyDescent="0.25">
      <c r="B338" s="294"/>
      <c r="C338" s="294"/>
      <c r="D338" s="294"/>
      <c r="E338" s="294"/>
      <c r="F338" s="294"/>
      <c r="G338" s="294"/>
      <c r="H338" s="294"/>
      <c r="I338" s="294"/>
      <c r="J338" s="294"/>
      <c r="L338" s="295"/>
      <c r="M338" s="294"/>
      <c r="O338" s="294"/>
      <c r="P338" s="294"/>
      <c r="Q338" s="294"/>
      <c r="R338" s="294"/>
      <c r="S338" s="294"/>
      <c r="T338" s="294"/>
      <c r="U338" s="294"/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294"/>
      <c r="AF338" s="294"/>
      <c r="AG338" s="294"/>
    </row>
    <row r="339" spans="2:33" x14ac:dyDescent="0.25">
      <c r="B339" s="294"/>
      <c r="C339" s="294"/>
      <c r="D339" s="294"/>
      <c r="E339" s="294"/>
      <c r="F339" s="294"/>
      <c r="G339" s="294"/>
      <c r="H339" s="294"/>
      <c r="I339" s="294"/>
      <c r="J339" s="294"/>
      <c r="L339" s="295"/>
      <c r="M339" s="294"/>
      <c r="O339" s="294"/>
      <c r="P339" s="294"/>
      <c r="Q339" s="294"/>
      <c r="R339" s="294"/>
      <c r="S339" s="294"/>
      <c r="T339" s="294"/>
      <c r="U339" s="294"/>
      <c r="V339" s="294"/>
      <c r="W339" s="294"/>
      <c r="X339" s="294"/>
      <c r="Y339" s="294"/>
      <c r="Z339" s="294"/>
      <c r="AA339" s="294"/>
      <c r="AB339" s="294"/>
      <c r="AC339" s="294"/>
      <c r="AD339" s="294"/>
      <c r="AE339" s="294"/>
      <c r="AF339" s="294"/>
      <c r="AG339" s="294"/>
    </row>
    <row r="340" spans="2:33" x14ac:dyDescent="0.25">
      <c r="B340" s="294"/>
      <c r="C340" s="294"/>
      <c r="D340" s="294"/>
      <c r="E340" s="294"/>
      <c r="F340" s="294"/>
      <c r="G340" s="294"/>
      <c r="H340" s="294"/>
      <c r="I340" s="294"/>
      <c r="J340" s="294"/>
      <c r="L340" s="295"/>
      <c r="M340" s="294"/>
      <c r="O340" s="294"/>
      <c r="P340" s="294"/>
      <c r="Q340" s="294"/>
      <c r="R340" s="294"/>
      <c r="S340" s="294"/>
      <c r="T340" s="294"/>
      <c r="U340" s="294"/>
      <c r="V340" s="294"/>
      <c r="W340" s="294"/>
      <c r="X340" s="294"/>
      <c r="Y340" s="294"/>
      <c r="Z340" s="294"/>
      <c r="AA340" s="294"/>
      <c r="AB340" s="294"/>
      <c r="AC340" s="294"/>
      <c r="AD340" s="294"/>
      <c r="AE340" s="294"/>
      <c r="AF340" s="294"/>
      <c r="AG340" s="294"/>
    </row>
    <row r="341" spans="2:33" x14ac:dyDescent="0.25">
      <c r="B341" s="294"/>
      <c r="C341" s="294"/>
      <c r="D341" s="294"/>
      <c r="E341" s="294"/>
      <c r="F341" s="294"/>
      <c r="G341" s="294"/>
      <c r="H341" s="294"/>
      <c r="I341" s="294"/>
      <c r="J341" s="294"/>
      <c r="L341" s="295"/>
      <c r="M341" s="294"/>
      <c r="O341" s="294"/>
      <c r="P341" s="294"/>
      <c r="Q341" s="294"/>
      <c r="R341" s="294"/>
      <c r="S341" s="294"/>
      <c r="T341" s="294"/>
      <c r="U341" s="294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294"/>
      <c r="AF341" s="294"/>
      <c r="AG341" s="294"/>
    </row>
    <row r="342" spans="2:33" x14ac:dyDescent="0.25">
      <c r="B342" s="294"/>
      <c r="C342" s="294"/>
      <c r="D342" s="294"/>
      <c r="E342" s="294"/>
      <c r="F342" s="294"/>
      <c r="G342" s="294"/>
      <c r="H342" s="294"/>
      <c r="I342" s="294"/>
      <c r="J342" s="294"/>
      <c r="L342" s="295"/>
      <c r="M342" s="294"/>
      <c r="O342" s="294"/>
      <c r="P342" s="294"/>
      <c r="Q342" s="294"/>
      <c r="R342" s="294"/>
      <c r="S342" s="294"/>
      <c r="T342" s="294"/>
      <c r="U342" s="294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294"/>
      <c r="AF342" s="294"/>
      <c r="AG342" s="294"/>
    </row>
    <row r="343" spans="2:33" x14ac:dyDescent="0.25">
      <c r="B343" s="294"/>
      <c r="C343" s="294"/>
      <c r="D343" s="294"/>
      <c r="E343" s="294"/>
      <c r="F343" s="294"/>
      <c r="G343" s="294"/>
      <c r="H343" s="294"/>
      <c r="I343" s="294"/>
      <c r="J343" s="294"/>
      <c r="L343" s="295"/>
      <c r="M343" s="294"/>
      <c r="O343" s="294"/>
      <c r="P343" s="294"/>
      <c r="Q343" s="294"/>
      <c r="R343" s="294"/>
      <c r="S343" s="294"/>
      <c r="T343" s="294"/>
      <c r="U343" s="294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294"/>
      <c r="AF343" s="294"/>
      <c r="AG343" s="294"/>
    </row>
    <row r="344" spans="2:33" x14ac:dyDescent="0.25">
      <c r="B344" s="294"/>
      <c r="C344" s="294"/>
      <c r="D344" s="294"/>
      <c r="E344" s="294"/>
      <c r="F344" s="294"/>
      <c r="G344" s="294"/>
      <c r="H344" s="294"/>
      <c r="I344" s="294"/>
      <c r="J344" s="294"/>
      <c r="L344" s="295"/>
      <c r="M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</row>
    <row r="345" spans="2:33" x14ac:dyDescent="0.25">
      <c r="B345" s="294"/>
      <c r="C345" s="294"/>
      <c r="D345" s="294"/>
      <c r="E345" s="294"/>
      <c r="F345" s="294"/>
      <c r="G345" s="294"/>
      <c r="H345" s="294"/>
      <c r="I345" s="294"/>
      <c r="J345" s="294"/>
      <c r="L345" s="295"/>
      <c r="M345" s="294"/>
      <c r="O345" s="294"/>
      <c r="P345" s="294"/>
      <c r="Q345" s="294"/>
      <c r="R345" s="294"/>
      <c r="S345" s="294"/>
      <c r="T345" s="294"/>
      <c r="U345" s="294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294"/>
      <c r="AF345" s="294"/>
      <c r="AG345" s="294"/>
    </row>
    <row r="346" spans="2:33" x14ac:dyDescent="0.25">
      <c r="B346" s="294"/>
      <c r="C346" s="294"/>
      <c r="D346" s="294"/>
      <c r="E346" s="294"/>
      <c r="F346" s="294"/>
      <c r="G346" s="294"/>
      <c r="H346" s="294"/>
      <c r="I346" s="294"/>
      <c r="J346" s="294"/>
      <c r="L346" s="295"/>
      <c r="M346" s="294"/>
      <c r="O346" s="294"/>
      <c r="P346" s="294"/>
      <c r="Q346" s="294"/>
      <c r="R346" s="294"/>
      <c r="S346" s="294"/>
      <c r="T346" s="294"/>
      <c r="U346" s="294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294"/>
      <c r="AF346" s="294"/>
      <c r="AG346" s="294"/>
    </row>
    <row r="347" spans="2:33" x14ac:dyDescent="0.25">
      <c r="B347" s="294"/>
      <c r="C347" s="294"/>
      <c r="D347" s="294"/>
      <c r="E347" s="294"/>
      <c r="F347" s="294"/>
      <c r="G347" s="294"/>
      <c r="H347" s="294"/>
      <c r="I347" s="294"/>
      <c r="J347" s="294"/>
      <c r="L347" s="295"/>
      <c r="M347" s="294"/>
      <c r="O347" s="294"/>
      <c r="P347" s="294"/>
      <c r="Q347" s="294"/>
      <c r="R347" s="294"/>
      <c r="S347" s="294"/>
      <c r="T347" s="294"/>
      <c r="U347" s="294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294"/>
      <c r="AF347" s="294"/>
      <c r="AG347" s="294"/>
    </row>
    <row r="348" spans="2:33" x14ac:dyDescent="0.25">
      <c r="B348" s="294"/>
      <c r="C348" s="294"/>
      <c r="D348" s="294"/>
      <c r="E348" s="294"/>
      <c r="F348" s="294"/>
      <c r="G348" s="294"/>
      <c r="H348" s="294"/>
      <c r="I348" s="294"/>
      <c r="J348" s="294"/>
      <c r="L348" s="295"/>
      <c r="M348" s="294"/>
      <c r="O348" s="294"/>
      <c r="P348" s="294"/>
      <c r="Q348" s="294"/>
      <c r="R348" s="294"/>
      <c r="S348" s="294"/>
      <c r="T348" s="294"/>
      <c r="U348" s="294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294"/>
      <c r="AF348" s="294"/>
      <c r="AG348" s="294"/>
    </row>
    <row r="349" spans="2:33" x14ac:dyDescent="0.25">
      <c r="B349" s="294"/>
      <c r="C349" s="294"/>
      <c r="D349" s="294"/>
      <c r="E349" s="294"/>
      <c r="F349" s="294"/>
      <c r="G349" s="294"/>
      <c r="H349" s="294"/>
      <c r="I349" s="294"/>
      <c r="J349" s="294"/>
      <c r="L349" s="295"/>
      <c r="M349" s="294"/>
      <c r="O349" s="294"/>
      <c r="P349" s="294"/>
      <c r="Q349" s="294"/>
      <c r="R349" s="294"/>
      <c r="S349" s="294"/>
      <c r="T349" s="294"/>
      <c r="U349" s="294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294"/>
      <c r="AF349" s="294"/>
      <c r="AG349" s="294"/>
    </row>
    <row r="350" spans="2:33" x14ac:dyDescent="0.25">
      <c r="B350" s="294"/>
      <c r="C350" s="294"/>
      <c r="D350" s="294"/>
      <c r="E350" s="294"/>
      <c r="F350" s="294"/>
      <c r="G350" s="294"/>
      <c r="H350" s="294"/>
      <c r="I350" s="294"/>
      <c r="J350" s="294"/>
      <c r="L350" s="295"/>
      <c r="M350" s="294"/>
      <c r="O350" s="294"/>
      <c r="P350" s="294"/>
      <c r="Q350" s="294"/>
      <c r="R350" s="294"/>
      <c r="S350" s="294"/>
      <c r="T350" s="294"/>
      <c r="U350" s="294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294"/>
      <c r="AF350" s="294"/>
      <c r="AG350" s="294"/>
    </row>
    <row r="351" spans="2:33" x14ac:dyDescent="0.25">
      <c r="B351" s="294"/>
      <c r="C351" s="294"/>
      <c r="D351" s="294"/>
      <c r="E351" s="294"/>
      <c r="F351" s="294"/>
      <c r="G351" s="294"/>
      <c r="H351" s="294"/>
      <c r="I351" s="294"/>
      <c r="J351" s="294"/>
      <c r="L351" s="295"/>
      <c r="M351" s="294"/>
      <c r="O351" s="294"/>
      <c r="P351" s="294"/>
      <c r="Q351" s="294"/>
      <c r="R351" s="294"/>
      <c r="S351" s="294"/>
      <c r="T351" s="294"/>
      <c r="U351" s="294"/>
      <c r="V351" s="294"/>
      <c r="W351" s="294"/>
      <c r="X351" s="294"/>
      <c r="Y351" s="294"/>
      <c r="Z351" s="294"/>
      <c r="AA351" s="294"/>
      <c r="AB351" s="294"/>
      <c r="AC351" s="294"/>
      <c r="AD351" s="294"/>
      <c r="AE351" s="294"/>
      <c r="AF351" s="294"/>
      <c r="AG351" s="294"/>
    </row>
    <row r="352" spans="2:33" x14ac:dyDescent="0.25">
      <c r="B352" s="294"/>
      <c r="C352" s="294"/>
      <c r="D352" s="294"/>
      <c r="E352" s="294"/>
      <c r="F352" s="294"/>
      <c r="G352" s="294"/>
      <c r="H352" s="294"/>
      <c r="I352" s="294"/>
      <c r="J352" s="294"/>
      <c r="L352" s="295"/>
      <c r="M352" s="294"/>
      <c r="O352" s="294"/>
      <c r="P352" s="294"/>
      <c r="Q352" s="294"/>
      <c r="R352" s="294"/>
      <c r="S352" s="294"/>
      <c r="T352" s="294"/>
      <c r="U352" s="294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294"/>
      <c r="AF352" s="294"/>
      <c r="AG352" s="294"/>
    </row>
    <row r="353" spans="2:33" x14ac:dyDescent="0.25">
      <c r="B353" s="294"/>
      <c r="C353" s="294"/>
      <c r="D353" s="294"/>
      <c r="E353" s="294"/>
      <c r="F353" s="294"/>
      <c r="G353" s="294"/>
      <c r="H353" s="294"/>
      <c r="I353" s="294"/>
      <c r="J353" s="294"/>
      <c r="L353" s="295"/>
      <c r="M353" s="294"/>
      <c r="O353" s="294"/>
      <c r="P353" s="294"/>
      <c r="Q353" s="294"/>
      <c r="R353" s="294"/>
      <c r="S353" s="294"/>
      <c r="T353" s="294"/>
      <c r="U353" s="294"/>
      <c r="V353" s="294"/>
      <c r="W353" s="294"/>
      <c r="X353" s="294"/>
      <c r="Y353" s="294"/>
      <c r="Z353" s="294"/>
      <c r="AA353" s="294"/>
      <c r="AB353" s="294"/>
      <c r="AC353" s="294"/>
      <c r="AD353" s="294"/>
      <c r="AE353" s="294"/>
      <c r="AF353" s="294"/>
      <c r="AG353" s="294"/>
    </row>
    <row r="354" spans="2:33" x14ac:dyDescent="0.25">
      <c r="B354" s="294"/>
      <c r="C354" s="294"/>
      <c r="D354" s="294"/>
      <c r="E354" s="294"/>
      <c r="F354" s="294"/>
      <c r="G354" s="294"/>
      <c r="H354" s="294"/>
      <c r="I354" s="294"/>
      <c r="J354" s="294"/>
      <c r="L354" s="295"/>
      <c r="M354" s="294"/>
      <c r="O354" s="294"/>
      <c r="P354" s="294"/>
      <c r="Q354" s="294"/>
      <c r="R354" s="294"/>
      <c r="S354" s="294"/>
      <c r="T354" s="294"/>
      <c r="U354" s="294"/>
      <c r="V354" s="294"/>
      <c r="W354" s="294"/>
      <c r="X354" s="294"/>
      <c r="Y354" s="294"/>
      <c r="Z354" s="294"/>
      <c r="AA354" s="294"/>
      <c r="AB354" s="294"/>
      <c r="AC354" s="294"/>
      <c r="AD354" s="294"/>
      <c r="AE354" s="294"/>
      <c r="AF354" s="294"/>
      <c r="AG354" s="294"/>
    </row>
    <row r="355" spans="2:33" x14ac:dyDescent="0.25">
      <c r="B355" s="294"/>
      <c r="C355" s="294"/>
      <c r="D355" s="294"/>
      <c r="E355" s="294"/>
      <c r="F355" s="294"/>
      <c r="G355" s="294"/>
      <c r="H355" s="294"/>
      <c r="I355" s="294"/>
      <c r="J355" s="294"/>
      <c r="L355" s="295"/>
      <c r="M355" s="294"/>
      <c r="O355" s="294"/>
      <c r="P355" s="294"/>
      <c r="Q355" s="294"/>
      <c r="R355" s="294"/>
      <c r="S355" s="294"/>
      <c r="T355" s="294"/>
      <c r="U355" s="294"/>
      <c r="V355" s="294"/>
      <c r="W355" s="294"/>
      <c r="X355" s="294"/>
      <c r="Y355" s="294"/>
      <c r="Z355" s="294"/>
      <c r="AA355" s="294"/>
      <c r="AB355" s="294"/>
      <c r="AC355" s="294"/>
      <c r="AD355" s="294"/>
      <c r="AE355" s="294"/>
      <c r="AF355" s="294"/>
      <c r="AG355" s="294"/>
    </row>
    <row r="356" spans="2:33" x14ac:dyDescent="0.25">
      <c r="B356" s="294"/>
      <c r="C356" s="294"/>
      <c r="D356" s="294"/>
      <c r="E356" s="294"/>
      <c r="F356" s="294"/>
      <c r="G356" s="294"/>
      <c r="H356" s="294"/>
      <c r="I356" s="294"/>
      <c r="J356" s="294"/>
      <c r="L356" s="295"/>
      <c r="M356" s="294"/>
      <c r="O356" s="294"/>
      <c r="P356" s="294"/>
      <c r="Q356" s="294"/>
      <c r="R356" s="294"/>
      <c r="S356" s="294"/>
      <c r="T356" s="294"/>
      <c r="U356" s="294"/>
      <c r="V356" s="294"/>
      <c r="W356" s="294"/>
      <c r="X356" s="294"/>
      <c r="Y356" s="294"/>
      <c r="Z356" s="294"/>
      <c r="AA356" s="294"/>
      <c r="AB356" s="294"/>
      <c r="AC356" s="294"/>
      <c r="AD356" s="294"/>
      <c r="AE356" s="294"/>
      <c r="AF356" s="294"/>
      <c r="AG356" s="294"/>
    </row>
    <row r="357" spans="2:33" x14ac:dyDescent="0.25">
      <c r="B357" s="294"/>
      <c r="C357" s="294"/>
      <c r="D357" s="294"/>
      <c r="E357" s="294"/>
      <c r="F357" s="294"/>
      <c r="G357" s="294"/>
      <c r="H357" s="294"/>
      <c r="I357" s="294"/>
      <c r="J357" s="294"/>
      <c r="L357" s="295"/>
      <c r="M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</row>
    <row r="358" spans="2:33" x14ac:dyDescent="0.25">
      <c r="B358" s="294"/>
      <c r="C358" s="294"/>
      <c r="D358" s="294"/>
      <c r="E358" s="294"/>
      <c r="F358" s="294"/>
      <c r="G358" s="294"/>
      <c r="H358" s="294"/>
      <c r="I358" s="294"/>
      <c r="J358" s="294"/>
      <c r="L358" s="295"/>
      <c r="M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94"/>
      <c r="Y358" s="294"/>
      <c r="Z358" s="294"/>
      <c r="AA358" s="294"/>
      <c r="AB358" s="294"/>
      <c r="AC358" s="294"/>
      <c r="AD358" s="294"/>
      <c r="AE358" s="294"/>
      <c r="AF358" s="294"/>
      <c r="AG358" s="294"/>
    </row>
    <row r="359" spans="2:33" x14ac:dyDescent="0.25">
      <c r="B359" s="294"/>
      <c r="C359" s="294"/>
      <c r="D359" s="294"/>
      <c r="E359" s="294"/>
      <c r="F359" s="294"/>
      <c r="G359" s="294"/>
      <c r="H359" s="294"/>
      <c r="I359" s="294"/>
      <c r="J359" s="294"/>
      <c r="L359" s="295"/>
      <c r="M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94"/>
      <c r="Y359" s="294"/>
      <c r="Z359" s="294"/>
      <c r="AA359" s="294"/>
      <c r="AB359" s="294"/>
      <c r="AC359" s="294"/>
      <c r="AD359" s="294"/>
      <c r="AE359" s="294"/>
      <c r="AF359" s="294"/>
      <c r="AG359" s="294"/>
    </row>
    <row r="360" spans="2:33" x14ac:dyDescent="0.25">
      <c r="B360" s="294"/>
      <c r="C360" s="294"/>
      <c r="D360" s="294"/>
      <c r="E360" s="294"/>
      <c r="F360" s="294"/>
      <c r="G360" s="294"/>
      <c r="H360" s="294"/>
      <c r="I360" s="294"/>
      <c r="J360" s="294"/>
      <c r="L360" s="295"/>
      <c r="M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</row>
    <row r="361" spans="2:33" x14ac:dyDescent="0.25">
      <c r="B361" s="294"/>
      <c r="C361" s="294"/>
      <c r="D361" s="294"/>
      <c r="E361" s="294"/>
      <c r="F361" s="294"/>
      <c r="G361" s="294"/>
      <c r="H361" s="294"/>
      <c r="I361" s="294"/>
      <c r="J361" s="294"/>
      <c r="L361" s="295"/>
      <c r="M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94"/>
      <c r="Y361" s="294"/>
      <c r="Z361" s="294"/>
      <c r="AA361" s="294"/>
      <c r="AB361" s="294"/>
      <c r="AC361" s="294"/>
      <c r="AD361" s="294"/>
      <c r="AE361" s="294"/>
      <c r="AF361" s="294"/>
      <c r="AG361" s="294"/>
    </row>
    <row r="362" spans="2:33" x14ac:dyDescent="0.25">
      <c r="B362" s="294"/>
      <c r="C362" s="294"/>
      <c r="D362" s="294"/>
      <c r="E362" s="294"/>
      <c r="F362" s="294"/>
      <c r="G362" s="294"/>
      <c r="H362" s="294"/>
      <c r="I362" s="294"/>
      <c r="J362" s="294"/>
      <c r="L362" s="295"/>
      <c r="M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</row>
    <row r="363" spans="2:33" x14ac:dyDescent="0.25">
      <c r="B363" s="294"/>
      <c r="C363" s="294"/>
      <c r="D363" s="294"/>
      <c r="E363" s="294"/>
      <c r="F363" s="294"/>
      <c r="G363" s="294"/>
      <c r="H363" s="294"/>
      <c r="I363" s="294"/>
      <c r="J363" s="294"/>
      <c r="L363" s="295"/>
      <c r="M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94"/>
      <c r="Y363" s="294"/>
      <c r="Z363" s="294"/>
      <c r="AA363" s="294"/>
      <c r="AB363" s="294"/>
      <c r="AC363" s="294"/>
      <c r="AD363" s="294"/>
      <c r="AE363" s="294"/>
      <c r="AF363" s="294"/>
      <c r="AG363" s="294"/>
    </row>
    <row r="364" spans="2:33" x14ac:dyDescent="0.25">
      <c r="B364" s="294"/>
      <c r="C364" s="294"/>
      <c r="D364" s="294"/>
      <c r="E364" s="294"/>
      <c r="F364" s="294"/>
      <c r="G364" s="294"/>
      <c r="H364" s="294"/>
      <c r="I364" s="294"/>
      <c r="J364" s="294"/>
      <c r="L364" s="295"/>
      <c r="M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94"/>
      <c r="Y364" s="294"/>
      <c r="Z364" s="294"/>
      <c r="AA364" s="294"/>
      <c r="AB364" s="294"/>
      <c r="AC364" s="294"/>
      <c r="AD364" s="294"/>
      <c r="AE364" s="294"/>
      <c r="AF364" s="294"/>
      <c r="AG364" s="294"/>
    </row>
    <row r="365" spans="2:33" x14ac:dyDescent="0.25">
      <c r="B365" s="294"/>
      <c r="C365" s="294"/>
      <c r="D365" s="294"/>
      <c r="E365" s="294"/>
      <c r="F365" s="294"/>
      <c r="G365" s="294"/>
      <c r="H365" s="294"/>
      <c r="I365" s="294"/>
      <c r="J365" s="294"/>
      <c r="L365" s="295"/>
      <c r="M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</row>
    <row r="366" spans="2:33" x14ac:dyDescent="0.25">
      <c r="B366" s="294"/>
      <c r="C366" s="294"/>
      <c r="D366" s="294"/>
      <c r="E366" s="294"/>
      <c r="F366" s="294"/>
      <c r="G366" s="294"/>
      <c r="H366" s="294"/>
      <c r="I366" s="294"/>
      <c r="J366" s="294"/>
      <c r="L366" s="295"/>
      <c r="M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</row>
    <row r="367" spans="2:33" x14ac:dyDescent="0.25">
      <c r="B367" s="294"/>
      <c r="C367" s="294"/>
      <c r="D367" s="294"/>
      <c r="E367" s="294"/>
      <c r="F367" s="294"/>
      <c r="G367" s="294"/>
      <c r="H367" s="294"/>
      <c r="I367" s="294"/>
      <c r="J367" s="294"/>
      <c r="L367" s="295"/>
      <c r="M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94"/>
      <c r="Y367" s="294"/>
      <c r="Z367" s="294"/>
      <c r="AA367" s="294"/>
      <c r="AB367" s="294"/>
      <c r="AC367" s="294"/>
      <c r="AD367" s="294"/>
      <c r="AE367" s="294"/>
      <c r="AF367" s="294"/>
      <c r="AG367" s="294"/>
    </row>
    <row r="368" spans="2:33" x14ac:dyDescent="0.25">
      <c r="B368" s="294"/>
      <c r="C368" s="294"/>
      <c r="D368" s="294"/>
      <c r="E368" s="294"/>
      <c r="F368" s="294"/>
      <c r="G368" s="294"/>
      <c r="H368" s="294"/>
      <c r="I368" s="294"/>
      <c r="J368" s="294"/>
      <c r="L368" s="295"/>
      <c r="M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</row>
    <row r="369" spans="2:33" x14ac:dyDescent="0.25">
      <c r="B369" s="294"/>
      <c r="C369" s="294"/>
      <c r="D369" s="294"/>
      <c r="E369" s="294"/>
      <c r="F369" s="294"/>
      <c r="G369" s="294"/>
      <c r="H369" s="294"/>
      <c r="I369" s="294"/>
      <c r="J369" s="294"/>
      <c r="L369" s="295"/>
      <c r="M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94"/>
      <c r="Y369" s="294"/>
      <c r="Z369" s="294"/>
      <c r="AA369" s="294"/>
      <c r="AB369" s="294"/>
      <c r="AC369" s="294"/>
      <c r="AD369" s="294"/>
      <c r="AE369" s="294"/>
      <c r="AF369" s="294"/>
      <c r="AG369" s="294"/>
    </row>
    <row r="370" spans="2:33" x14ac:dyDescent="0.25">
      <c r="B370" s="294"/>
      <c r="C370" s="294"/>
      <c r="D370" s="294"/>
      <c r="E370" s="294"/>
      <c r="F370" s="294"/>
      <c r="G370" s="294"/>
      <c r="H370" s="294"/>
      <c r="I370" s="294"/>
      <c r="J370" s="294"/>
      <c r="L370" s="295"/>
      <c r="M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94"/>
      <c r="Y370" s="294"/>
      <c r="Z370" s="294"/>
      <c r="AA370" s="294"/>
      <c r="AB370" s="294"/>
      <c r="AC370" s="294"/>
      <c r="AD370" s="294"/>
      <c r="AE370" s="294"/>
      <c r="AF370" s="294"/>
      <c r="AG370" s="294"/>
    </row>
    <row r="371" spans="2:33" x14ac:dyDescent="0.25">
      <c r="B371" s="294"/>
      <c r="C371" s="294"/>
      <c r="D371" s="294"/>
      <c r="E371" s="294"/>
      <c r="F371" s="294"/>
      <c r="G371" s="294"/>
      <c r="H371" s="294"/>
      <c r="I371" s="294"/>
      <c r="J371" s="294"/>
      <c r="L371" s="295"/>
      <c r="M371" s="294"/>
      <c r="O371" s="294"/>
      <c r="P371" s="294"/>
      <c r="Q371" s="294"/>
      <c r="R371" s="294"/>
      <c r="S371" s="294"/>
      <c r="T371" s="294"/>
      <c r="U371" s="294"/>
      <c r="V371" s="294"/>
      <c r="W371" s="294"/>
      <c r="X371" s="294"/>
      <c r="Y371" s="294"/>
      <c r="Z371" s="294"/>
      <c r="AA371" s="294"/>
      <c r="AB371" s="294"/>
      <c r="AC371" s="294"/>
      <c r="AD371" s="294"/>
      <c r="AE371" s="294"/>
      <c r="AF371" s="294"/>
      <c r="AG371" s="294"/>
    </row>
    <row r="372" spans="2:33" x14ac:dyDescent="0.25">
      <c r="B372" s="294"/>
      <c r="C372" s="294"/>
      <c r="D372" s="294"/>
      <c r="E372" s="294"/>
      <c r="F372" s="294"/>
      <c r="G372" s="294"/>
      <c r="H372" s="294"/>
      <c r="I372" s="294"/>
      <c r="J372" s="294"/>
      <c r="L372" s="295"/>
      <c r="M372" s="294"/>
      <c r="O372" s="294"/>
      <c r="P372" s="294"/>
      <c r="Q372" s="294"/>
      <c r="R372" s="294"/>
      <c r="S372" s="294"/>
      <c r="T372" s="294"/>
      <c r="U372" s="294"/>
      <c r="V372" s="294"/>
      <c r="W372" s="294"/>
      <c r="X372" s="294"/>
      <c r="Y372" s="294"/>
      <c r="Z372" s="294"/>
      <c r="AA372" s="294"/>
      <c r="AB372" s="294"/>
      <c r="AC372" s="294"/>
      <c r="AD372" s="294"/>
      <c r="AE372" s="294"/>
      <c r="AF372" s="294"/>
      <c r="AG372" s="294"/>
    </row>
    <row r="373" spans="2:33" x14ac:dyDescent="0.25">
      <c r="B373" s="294"/>
      <c r="C373" s="294"/>
      <c r="D373" s="294"/>
      <c r="E373" s="294"/>
      <c r="F373" s="294"/>
      <c r="G373" s="294"/>
      <c r="H373" s="294"/>
      <c r="I373" s="294"/>
      <c r="J373" s="294"/>
      <c r="L373" s="295"/>
      <c r="M373" s="294"/>
      <c r="O373" s="294"/>
      <c r="P373" s="294"/>
      <c r="Q373" s="294"/>
      <c r="R373" s="294"/>
      <c r="S373" s="294"/>
      <c r="T373" s="294"/>
      <c r="U373" s="294"/>
      <c r="V373" s="294"/>
      <c r="W373" s="294"/>
      <c r="X373" s="294"/>
      <c r="Y373" s="294"/>
      <c r="Z373" s="294"/>
      <c r="AA373" s="294"/>
      <c r="AB373" s="294"/>
      <c r="AC373" s="294"/>
      <c r="AD373" s="294"/>
      <c r="AE373" s="294"/>
      <c r="AF373" s="294"/>
      <c r="AG373" s="294"/>
    </row>
    <row r="374" spans="2:33" x14ac:dyDescent="0.25">
      <c r="B374" s="294"/>
      <c r="C374" s="294"/>
      <c r="D374" s="294"/>
      <c r="E374" s="294"/>
      <c r="F374" s="294"/>
      <c r="G374" s="294"/>
      <c r="H374" s="294"/>
      <c r="I374" s="294"/>
      <c r="J374" s="294"/>
      <c r="L374" s="295"/>
      <c r="M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94"/>
      <c r="AC374" s="294"/>
      <c r="AD374" s="294"/>
      <c r="AE374" s="294"/>
      <c r="AF374" s="294"/>
      <c r="AG374" s="294"/>
    </row>
    <row r="375" spans="2:33" x14ac:dyDescent="0.25">
      <c r="B375" s="294"/>
      <c r="C375" s="294"/>
      <c r="D375" s="294"/>
      <c r="E375" s="294"/>
      <c r="F375" s="294"/>
      <c r="G375" s="294"/>
      <c r="H375" s="294"/>
      <c r="I375" s="294"/>
      <c r="J375" s="294"/>
      <c r="L375" s="295"/>
      <c r="M375" s="294"/>
      <c r="O375" s="294"/>
      <c r="P375" s="294"/>
      <c r="Q375" s="294"/>
      <c r="R375" s="294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</row>
    <row r="376" spans="2:33" x14ac:dyDescent="0.25">
      <c r="B376" s="294"/>
      <c r="C376" s="294"/>
      <c r="D376" s="294"/>
      <c r="E376" s="294"/>
      <c r="F376" s="294"/>
      <c r="G376" s="294"/>
      <c r="H376" s="294"/>
      <c r="I376" s="294"/>
      <c r="J376" s="294"/>
      <c r="L376" s="295"/>
      <c r="M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94"/>
      <c r="Y376" s="294"/>
      <c r="Z376" s="294"/>
      <c r="AA376" s="294"/>
      <c r="AB376" s="294"/>
      <c r="AC376" s="294"/>
      <c r="AD376" s="294"/>
      <c r="AE376" s="294"/>
      <c r="AF376" s="294"/>
      <c r="AG376" s="294"/>
    </row>
    <row r="377" spans="2:33" x14ac:dyDescent="0.25">
      <c r="B377" s="294"/>
      <c r="C377" s="294"/>
      <c r="D377" s="294"/>
      <c r="E377" s="294"/>
      <c r="F377" s="294"/>
      <c r="G377" s="294"/>
      <c r="H377" s="294"/>
      <c r="I377" s="294"/>
      <c r="J377" s="294"/>
      <c r="L377" s="295"/>
      <c r="M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</row>
    <row r="378" spans="2:33" x14ac:dyDescent="0.25">
      <c r="B378" s="294"/>
      <c r="C378" s="294"/>
      <c r="D378" s="294"/>
      <c r="E378" s="294"/>
      <c r="F378" s="294"/>
      <c r="G378" s="294"/>
      <c r="H378" s="294"/>
      <c r="I378" s="294"/>
      <c r="J378" s="294"/>
      <c r="L378" s="295"/>
      <c r="M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</row>
    <row r="379" spans="2:33" x14ac:dyDescent="0.25">
      <c r="B379" s="294"/>
      <c r="C379" s="294"/>
      <c r="D379" s="294"/>
      <c r="E379" s="294"/>
      <c r="F379" s="294"/>
      <c r="G379" s="294"/>
      <c r="H379" s="294"/>
      <c r="I379" s="294"/>
      <c r="J379" s="294"/>
      <c r="L379" s="295"/>
      <c r="M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</row>
    <row r="380" spans="2:33" x14ac:dyDescent="0.25">
      <c r="B380" s="294"/>
      <c r="C380" s="294"/>
      <c r="D380" s="294"/>
      <c r="E380" s="294"/>
      <c r="F380" s="294"/>
      <c r="G380" s="294"/>
      <c r="H380" s="294"/>
      <c r="I380" s="294"/>
      <c r="J380" s="294"/>
      <c r="L380" s="295"/>
      <c r="M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94"/>
      <c r="Y380" s="294"/>
      <c r="Z380" s="294"/>
      <c r="AA380" s="294"/>
      <c r="AB380" s="294"/>
      <c r="AC380" s="294"/>
      <c r="AD380" s="294"/>
      <c r="AE380" s="294"/>
      <c r="AF380" s="294"/>
      <c r="AG380" s="294"/>
    </row>
    <row r="381" spans="2:33" x14ac:dyDescent="0.25">
      <c r="B381" s="294"/>
      <c r="C381" s="294"/>
      <c r="D381" s="294"/>
      <c r="E381" s="294"/>
      <c r="F381" s="294"/>
      <c r="G381" s="294"/>
      <c r="H381" s="294"/>
      <c r="I381" s="294"/>
      <c r="J381" s="294"/>
      <c r="L381" s="295"/>
      <c r="M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94"/>
      <c r="Y381" s="294"/>
      <c r="Z381" s="294"/>
      <c r="AA381" s="294"/>
      <c r="AB381" s="294"/>
      <c r="AC381" s="294"/>
      <c r="AD381" s="294"/>
      <c r="AE381" s="294"/>
      <c r="AF381" s="294"/>
      <c r="AG381" s="294"/>
    </row>
    <row r="382" spans="2:33" x14ac:dyDescent="0.25">
      <c r="B382" s="294"/>
      <c r="C382" s="294"/>
      <c r="D382" s="294"/>
      <c r="E382" s="294"/>
      <c r="F382" s="294"/>
      <c r="G382" s="294"/>
      <c r="H382" s="294"/>
      <c r="I382" s="294"/>
      <c r="J382" s="294"/>
      <c r="L382" s="295"/>
      <c r="M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94"/>
      <c r="Y382" s="294"/>
      <c r="Z382" s="294"/>
      <c r="AA382" s="294"/>
      <c r="AB382" s="294"/>
      <c r="AC382" s="294"/>
      <c r="AD382" s="294"/>
      <c r="AE382" s="294"/>
      <c r="AF382" s="294"/>
      <c r="AG382" s="294"/>
    </row>
    <row r="383" spans="2:33" x14ac:dyDescent="0.25">
      <c r="B383" s="294"/>
      <c r="C383" s="294"/>
      <c r="D383" s="294"/>
      <c r="E383" s="294"/>
      <c r="F383" s="294"/>
      <c r="G383" s="294"/>
      <c r="H383" s="294"/>
      <c r="I383" s="294"/>
      <c r="J383" s="294"/>
      <c r="L383" s="295"/>
      <c r="M383" s="294"/>
      <c r="O383" s="294"/>
      <c r="P383" s="294"/>
      <c r="Q383" s="294"/>
      <c r="R383" s="294"/>
      <c r="S383" s="294"/>
      <c r="T383" s="294"/>
      <c r="U383" s="294"/>
      <c r="V383" s="294"/>
      <c r="W383" s="294"/>
      <c r="X383" s="294"/>
      <c r="Y383" s="294"/>
      <c r="Z383" s="294"/>
      <c r="AA383" s="294"/>
      <c r="AB383" s="294"/>
      <c r="AC383" s="294"/>
      <c r="AD383" s="294"/>
      <c r="AE383" s="294"/>
      <c r="AF383" s="294"/>
      <c r="AG383" s="294"/>
    </row>
    <row r="384" spans="2:33" x14ac:dyDescent="0.25">
      <c r="B384" s="294"/>
      <c r="C384" s="294"/>
      <c r="D384" s="294"/>
      <c r="E384" s="294"/>
      <c r="F384" s="294"/>
      <c r="G384" s="294"/>
      <c r="H384" s="294"/>
      <c r="I384" s="294"/>
      <c r="J384" s="294"/>
      <c r="L384" s="295"/>
      <c r="M384" s="294"/>
      <c r="O384" s="294"/>
      <c r="P384" s="294"/>
      <c r="Q384" s="294"/>
      <c r="R384" s="294"/>
      <c r="S384" s="294"/>
      <c r="T384" s="294"/>
      <c r="U384" s="294"/>
      <c r="V384" s="294"/>
      <c r="W384" s="294"/>
      <c r="X384" s="294"/>
      <c r="Y384" s="294"/>
      <c r="Z384" s="294"/>
      <c r="AA384" s="294"/>
      <c r="AB384" s="294"/>
      <c r="AC384" s="294"/>
      <c r="AD384" s="294"/>
      <c r="AE384" s="294"/>
      <c r="AF384" s="294"/>
      <c r="AG384" s="294"/>
    </row>
    <row r="385" spans="2:33" x14ac:dyDescent="0.25">
      <c r="B385" s="294"/>
      <c r="C385" s="294"/>
      <c r="D385" s="294"/>
      <c r="E385" s="294"/>
      <c r="F385" s="294"/>
      <c r="G385" s="294"/>
      <c r="H385" s="294"/>
      <c r="I385" s="294"/>
      <c r="J385" s="294"/>
      <c r="L385" s="295"/>
      <c r="M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</row>
    <row r="386" spans="2:33" x14ac:dyDescent="0.25">
      <c r="B386" s="294"/>
      <c r="C386" s="294"/>
      <c r="D386" s="294"/>
      <c r="E386" s="294"/>
      <c r="F386" s="294"/>
      <c r="G386" s="294"/>
      <c r="H386" s="294"/>
      <c r="I386" s="294"/>
      <c r="J386" s="294"/>
      <c r="L386" s="295"/>
      <c r="M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</row>
    <row r="387" spans="2:33" x14ac:dyDescent="0.25">
      <c r="B387" s="294"/>
      <c r="C387" s="294"/>
      <c r="D387" s="294"/>
      <c r="E387" s="294"/>
      <c r="F387" s="294"/>
      <c r="G387" s="294"/>
      <c r="H387" s="294"/>
      <c r="I387" s="294"/>
      <c r="J387" s="294"/>
      <c r="L387" s="295"/>
      <c r="M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  <c r="Z387" s="294"/>
      <c r="AA387" s="294"/>
      <c r="AB387" s="294"/>
      <c r="AC387" s="294"/>
      <c r="AD387" s="294"/>
      <c r="AE387" s="294"/>
      <c r="AF387" s="294"/>
      <c r="AG387" s="294"/>
    </row>
    <row r="388" spans="2:33" x14ac:dyDescent="0.25">
      <c r="B388" s="294"/>
      <c r="C388" s="294"/>
      <c r="D388" s="294"/>
      <c r="E388" s="294"/>
      <c r="F388" s="294"/>
      <c r="G388" s="294"/>
      <c r="H388" s="294"/>
      <c r="I388" s="294"/>
      <c r="J388" s="294"/>
      <c r="L388" s="295"/>
      <c r="M388" s="294"/>
      <c r="O388" s="294"/>
      <c r="P388" s="294"/>
      <c r="Q388" s="294"/>
      <c r="R388" s="294"/>
      <c r="S388" s="294"/>
      <c r="T388" s="294"/>
      <c r="U388" s="294"/>
      <c r="V388" s="294"/>
      <c r="W388" s="294"/>
      <c r="X388" s="294"/>
      <c r="Y388" s="294"/>
      <c r="Z388" s="294"/>
      <c r="AA388" s="294"/>
      <c r="AB388" s="294"/>
      <c r="AC388" s="294"/>
      <c r="AD388" s="294"/>
      <c r="AE388" s="294"/>
      <c r="AF388" s="294"/>
      <c r="AG388" s="294"/>
    </row>
    <row r="389" spans="2:33" x14ac:dyDescent="0.25">
      <c r="B389" s="294"/>
      <c r="C389" s="294"/>
      <c r="D389" s="294"/>
      <c r="E389" s="294"/>
      <c r="F389" s="294"/>
      <c r="G389" s="294"/>
      <c r="H389" s="294"/>
      <c r="I389" s="294"/>
      <c r="J389" s="294"/>
      <c r="L389" s="295"/>
      <c r="M389" s="294"/>
      <c r="O389" s="294"/>
      <c r="P389" s="294"/>
      <c r="Q389" s="294"/>
      <c r="R389" s="294"/>
      <c r="S389" s="294"/>
      <c r="T389" s="294"/>
      <c r="U389" s="294"/>
      <c r="V389" s="294"/>
      <c r="W389" s="294"/>
      <c r="X389" s="294"/>
      <c r="Y389" s="294"/>
      <c r="Z389" s="294"/>
      <c r="AA389" s="294"/>
      <c r="AB389" s="294"/>
      <c r="AC389" s="294"/>
      <c r="AD389" s="294"/>
      <c r="AE389" s="294"/>
      <c r="AF389" s="294"/>
      <c r="AG389" s="294"/>
    </row>
    <row r="390" spans="2:33" x14ac:dyDescent="0.25">
      <c r="B390" s="294"/>
      <c r="C390" s="294"/>
      <c r="D390" s="294"/>
      <c r="E390" s="294"/>
      <c r="F390" s="294"/>
      <c r="G390" s="294"/>
      <c r="H390" s="294"/>
      <c r="I390" s="294"/>
      <c r="J390" s="294"/>
      <c r="L390" s="295"/>
      <c r="M390" s="294"/>
      <c r="O390" s="294"/>
      <c r="P390" s="294"/>
      <c r="Q390" s="294"/>
      <c r="R390" s="294"/>
      <c r="S390" s="294"/>
      <c r="T390" s="294"/>
      <c r="U390" s="294"/>
      <c r="V390" s="294"/>
      <c r="W390" s="294"/>
      <c r="X390" s="294"/>
      <c r="Y390" s="294"/>
      <c r="Z390" s="294"/>
      <c r="AA390" s="294"/>
      <c r="AB390" s="294"/>
      <c r="AC390" s="294"/>
      <c r="AD390" s="294"/>
      <c r="AE390" s="294"/>
      <c r="AF390" s="294"/>
      <c r="AG390" s="294"/>
    </row>
    <row r="391" spans="2:33" x14ac:dyDescent="0.25">
      <c r="B391" s="294"/>
      <c r="C391" s="294"/>
      <c r="D391" s="294"/>
      <c r="E391" s="294"/>
      <c r="F391" s="294"/>
      <c r="G391" s="294"/>
      <c r="H391" s="294"/>
      <c r="I391" s="294"/>
      <c r="J391" s="294"/>
      <c r="L391" s="295"/>
      <c r="M391" s="294"/>
      <c r="O391" s="294"/>
      <c r="P391" s="294"/>
      <c r="Q391" s="294"/>
      <c r="R391" s="294"/>
      <c r="S391" s="294"/>
      <c r="T391" s="294"/>
      <c r="U391" s="294"/>
      <c r="V391" s="294"/>
      <c r="W391" s="294"/>
      <c r="X391" s="294"/>
      <c r="Y391" s="294"/>
      <c r="Z391" s="294"/>
      <c r="AA391" s="294"/>
      <c r="AB391" s="294"/>
      <c r="AC391" s="294"/>
      <c r="AD391" s="294"/>
      <c r="AE391" s="294"/>
      <c r="AF391" s="294"/>
      <c r="AG391" s="294"/>
    </row>
    <row r="392" spans="2:33" x14ac:dyDescent="0.25">
      <c r="B392" s="294"/>
      <c r="C392" s="294"/>
      <c r="D392" s="294"/>
      <c r="E392" s="294"/>
      <c r="F392" s="294"/>
      <c r="G392" s="294"/>
      <c r="H392" s="294"/>
      <c r="I392" s="294"/>
      <c r="J392" s="294"/>
      <c r="L392" s="295"/>
      <c r="M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4"/>
      <c r="AF392" s="294"/>
      <c r="AG392" s="294"/>
    </row>
    <row r="393" spans="2:33" x14ac:dyDescent="0.25">
      <c r="B393" s="294"/>
      <c r="C393" s="294"/>
      <c r="D393" s="294"/>
      <c r="E393" s="294"/>
      <c r="F393" s="294"/>
      <c r="G393" s="294"/>
      <c r="H393" s="294"/>
      <c r="I393" s="294"/>
      <c r="J393" s="294"/>
      <c r="L393" s="295"/>
      <c r="M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4"/>
      <c r="AF393" s="294"/>
      <c r="AG393" s="294"/>
    </row>
    <row r="394" spans="2:33" x14ac:dyDescent="0.25">
      <c r="B394" s="294"/>
      <c r="C394" s="294"/>
      <c r="D394" s="294"/>
      <c r="E394" s="294"/>
      <c r="F394" s="294"/>
      <c r="G394" s="294"/>
      <c r="H394" s="294"/>
      <c r="I394" s="294"/>
      <c r="J394" s="294"/>
      <c r="L394" s="295"/>
      <c r="M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4"/>
      <c r="AF394" s="294"/>
      <c r="AG394" s="294"/>
    </row>
    <row r="395" spans="2:33" x14ac:dyDescent="0.25">
      <c r="B395" s="294"/>
      <c r="C395" s="294"/>
      <c r="D395" s="294"/>
      <c r="E395" s="294"/>
      <c r="F395" s="294"/>
      <c r="G395" s="294"/>
      <c r="H395" s="294"/>
      <c r="I395" s="294"/>
      <c r="J395" s="294"/>
      <c r="L395" s="295"/>
      <c r="M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94"/>
      <c r="Y395" s="294"/>
      <c r="Z395" s="294"/>
      <c r="AA395" s="294"/>
      <c r="AB395" s="294"/>
      <c r="AC395" s="294"/>
      <c r="AD395" s="294"/>
      <c r="AE395" s="294"/>
      <c r="AF395" s="294"/>
      <c r="AG395" s="294"/>
    </row>
    <row r="396" spans="2:33" x14ac:dyDescent="0.25">
      <c r="B396" s="294"/>
      <c r="C396" s="294"/>
      <c r="D396" s="294"/>
      <c r="E396" s="294"/>
      <c r="F396" s="294"/>
      <c r="G396" s="294"/>
      <c r="H396" s="294"/>
      <c r="I396" s="294"/>
      <c r="J396" s="294"/>
      <c r="L396" s="295"/>
      <c r="M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94"/>
      <c r="Y396" s="294"/>
      <c r="Z396" s="294"/>
      <c r="AA396" s="294"/>
      <c r="AB396" s="294"/>
      <c r="AC396" s="294"/>
      <c r="AD396" s="294"/>
      <c r="AE396" s="294"/>
      <c r="AF396" s="294"/>
      <c r="AG396" s="294"/>
    </row>
    <row r="397" spans="2:33" x14ac:dyDescent="0.25">
      <c r="B397" s="294"/>
      <c r="C397" s="294"/>
      <c r="D397" s="294"/>
      <c r="E397" s="294"/>
      <c r="F397" s="294"/>
      <c r="G397" s="294"/>
      <c r="H397" s="294"/>
      <c r="I397" s="294"/>
      <c r="J397" s="294"/>
      <c r="L397" s="295"/>
      <c r="M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94"/>
      <c r="Y397" s="294"/>
      <c r="Z397" s="294"/>
      <c r="AA397" s="294"/>
      <c r="AB397" s="294"/>
      <c r="AC397" s="294"/>
      <c r="AD397" s="294"/>
      <c r="AE397" s="294"/>
      <c r="AF397" s="294"/>
      <c r="AG397" s="294"/>
    </row>
    <row r="398" spans="2:33" x14ac:dyDescent="0.25">
      <c r="B398" s="294"/>
      <c r="C398" s="294"/>
      <c r="D398" s="294"/>
      <c r="E398" s="294"/>
      <c r="F398" s="294"/>
      <c r="G398" s="294"/>
      <c r="H398" s="294"/>
      <c r="I398" s="294"/>
      <c r="J398" s="294"/>
      <c r="L398" s="295"/>
      <c r="M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  <c r="Z398" s="294"/>
      <c r="AA398" s="294"/>
      <c r="AB398" s="294"/>
      <c r="AC398" s="294"/>
      <c r="AD398" s="294"/>
      <c r="AE398" s="294"/>
      <c r="AF398" s="294"/>
      <c r="AG398" s="294"/>
    </row>
    <row r="399" spans="2:33" x14ac:dyDescent="0.25">
      <c r="B399" s="294"/>
      <c r="C399" s="294"/>
      <c r="D399" s="294"/>
      <c r="E399" s="294"/>
      <c r="F399" s="294"/>
      <c r="G399" s="294"/>
      <c r="H399" s="294"/>
      <c r="I399" s="294"/>
      <c r="J399" s="294"/>
      <c r="L399" s="295"/>
      <c r="M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  <c r="Z399" s="294"/>
      <c r="AA399" s="294"/>
      <c r="AB399" s="294"/>
      <c r="AC399" s="294"/>
      <c r="AD399" s="294"/>
      <c r="AE399" s="294"/>
      <c r="AF399" s="294"/>
      <c r="AG399" s="294"/>
    </row>
    <row r="400" spans="2:33" x14ac:dyDescent="0.25">
      <c r="B400" s="294"/>
      <c r="C400" s="294"/>
      <c r="D400" s="294"/>
      <c r="E400" s="294"/>
      <c r="F400" s="294"/>
      <c r="G400" s="294"/>
      <c r="H400" s="294"/>
      <c r="I400" s="294"/>
      <c r="J400" s="294"/>
      <c r="L400" s="295"/>
      <c r="M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  <c r="Z400" s="294"/>
      <c r="AA400" s="294"/>
      <c r="AB400" s="294"/>
      <c r="AC400" s="294"/>
      <c r="AD400" s="294"/>
      <c r="AE400" s="294"/>
      <c r="AF400" s="294"/>
      <c r="AG400" s="294"/>
    </row>
    <row r="401" spans="2:33" x14ac:dyDescent="0.25">
      <c r="B401" s="294"/>
      <c r="C401" s="294"/>
      <c r="D401" s="294"/>
      <c r="E401" s="294"/>
      <c r="F401" s="294"/>
      <c r="G401" s="294"/>
      <c r="H401" s="294"/>
      <c r="I401" s="294"/>
      <c r="J401" s="294"/>
      <c r="L401" s="295"/>
      <c r="M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94"/>
      <c r="Y401" s="294"/>
      <c r="Z401" s="294"/>
      <c r="AA401" s="294"/>
      <c r="AB401" s="294"/>
      <c r="AC401" s="294"/>
      <c r="AD401" s="294"/>
      <c r="AE401" s="294"/>
      <c r="AF401" s="294"/>
      <c r="AG401" s="294"/>
    </row>
    <row r="402" spans="2:33" x14ac:dyDescent="0.25">
      <c r="B402" s="294"/>
      <c r="C402" s="294"/>
      <c r="D402" s="294"/>
      <c r="E402" s="294"/>
      <c r="F402" s="294"/>
      <c r="G402" s="294"/>
      <c r="H402" s="294"/>
      <c r="I402" s="294"/>
      <c r="J402" s="294"/>
      <c r="L402" s="295"/>
      <c r="M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94"/>
      <c r="Y402" s="294"/>
      <c r="Z402" s="294"/>
      <c r="AA402" s="294"/>
      <c r="AB402" s="294"/>
      <c r="AC402" s="294"/>
      <c r="AD402" s="294"/>
      <c r="AE402" s="294"/>
      <c r="AF402" s="294"/>
      <c r="AG402" s="294"/>
    </row>
    <row r="403" spans="2:33" x14ac:dyDescent="0.25">
      <c r="B403" s="294"/>
      <c r="C403" s="294"/>
      <c r="D403" s="294"/>
      <c r="E403" s="294"/>
      <c r="F403" s="294"/>
      <c r="G403" s="294"/>
      <c r="H403" s="294"/>
      <c r="I403" s="294"/>
      <c r="J403" s="294"/>
      <c r="L403" s="295"/>
      <c r="M403" s="294"/>
      <c r="O403" s="294"/>
      <c r="P403" s="294"/>
      <c r="Q403" s="294"/>
      <c r="R403" s="294"/>
      <c r="S403" s="294"/>
      <c r="T403" s="294"/>
      <c r="U403" s="294"/>
      <c r="V403" s="294"/>
      <c r="W403" s="294"/>
      <c r="X403" s="294"/>
      <c r="Y403" s="294"/>
      <c r="Z403" s="294"/>
      <c r="AA403" s="294"/>
      <c r="AB403" s="294"/>
      <c r="AC403" s="294"/>
      <c r="AD403" s="294"/>
      <c r="AE403" s="294"/>
      <c r="AF403" s="294"/>
      <c r="AG403" s="294"/>
    </row>
    <row r="404" spans="2:33" x14ac:dyDescent="0.25">
      <c r="B404" s="294"/>
      <c r="C404" s="294"/>
      <c r="D404" s="294"/>
      <c r="E404" s="294"/>
      <c r="F404" s="294"/>
      <c r="G404" s="294"/>
      <c r="H404" s="294"/>
      <c r="I404" s="294"/>
      <c r="J404" s="294"/>
      <c r="L404" s="295"/>
      <c r="M404" s="294"/>
      <c r="O404" s="294"/>
      <c r="P404" s="294"/>
      <c r="Q404" s="294"/>
      <c r="R404" s="294"/>
      <c r="S404" s="294"/>
      <c r="T404" s="294"/>
      <c r="U404" s="294"/>
      <c r="V404" s="294"/>
      <c r="W404" s="294"/>
      <c r="X404" s="294"/>
      <c r="Y404" s="294"/>
      <c r="Z404" s="294"/>
      <c r="AA404" s="294"/>
      <c r="AB404" s="294"/>
      <c r="AC404" s="294"/>
      <c r="AD404" s="294"/>
      <c r="AE404" s="294"/>
      <c r="AF404" s="294"/>
      <c r="AG404" s="294"/>
    </row>
    <row r="405" spans="2:33" x14ac:dyDescent="0.25">
      <c r="B405" s="294"/>
      <c r="C405" s="294"/>
      <c r="D405" s="294"/>
      <c r="E405" s="294"/>
      <c r="F405" s="294"/>
      <c r="G405" s="294"/>
      <c r="H405" s="294"/>
      <c r="I405" s="294"/>
      <c r="J405" s="294"/>
      <c r="L405" s="295"/>
      <c r="M405" s="294"/>
      <c r="O405" s="294"/>
      <c r="P405" s="294"/>
      <c r="Q405" s="294"/>
      <c r="R405" s="294"/>
      <c r="S405" s="294"/>
      <c r="T405" s="294"/>
      <c r="U405" s="294"/>
      <c r="V405" s="294"/>
      <c r="W405" s="294"/>
      <c r="X405" s="294"/>
      <c r="Y405" s="294"/>
      <c r="Z405" s="294"/>
      <c r="AA405" s="294"/>
      <c r="AB405" s="294"/>
      <c r="AC405" s="294"/>
      <c r="AD405" s="294"/>
      <c r="AE405" s="294"/>
      <c r="AF405" s="294"/>
      <c r="AG405" s="294"/>
    </row>
    <row r="406" spans="2:33" x14ac:dyDescent="0.25">
      <c r="B406" s="294"/>
      <c r="C406" s="294"/>
      <c r="D406" s="294"/>
      <c r="E406" s="294"/>
      <c r="F406" s="294"/>
      <c r="G406" s="294"/>
      <c r="H406" s="294"/>
      <c r="I406" s="294"/>
      <c r="J406" s="294"/>
      <c r="L406" s="295"/>
      <c r="M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</row>
    <row r="407" spans="2:33" x14ac:dyDescent="0.25">
      <c r="B407" s="294"/>
      <c r="C407" s="294"/>
      <c r="D407" s="294"/>
      <c r="E407" s="294"/>
      <c r="F407" s="294"/>
      <c r="G407" s="294"/>
      <c r="H407" s="294"/>
      <c r="I407" s="294"/>
      <c r="J407" s="294"/>
      <c r="L407" s="295"/>
      <c r="M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94"/>
      <c r="Y407" s="294"/>
      <c r="Z407" s="294"/>
      <c r="AA407" s="294"/>
      <c r="AB407" s="294"/>
      <c r="AC407" s="294"/>
      <c r="AD407" s="294"/>
      <c r="AE407" s="294"/>
      <c r="AF407" s="294"/>
      <c r="AG407" s="294"/>
    </row>
    <row r="408" spans="2:33" x14ac:dyDescent="0.25">
      <c r="B408" s="294"/>
      <c r="C408" s="294"/>
      <c r="D408" s="294"/>
      <c r="E408" s="294"/>
      <c r="F408" s="294"/>
      <c r="G408" s="294"/>
      <c r="H408" s="294"/>
      <c r="I408" s="294"/>
      <c r="J408" s="294"/>
      <c r="L408" s="295"/>
      <c r="M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94"/>
      <c r="Y408" s="294"/>
      <c r="Z408" s="294"/>
      <c r="AA408" s="294"/>
      <c r="AB408" s="294"/>
      <c r="AC408" s="294"/>
      <c r="AD408" s="294"/>
      <c r="AE408" s="294"/>
      <c r="AF408" s="294"/>
      <c r="AG408" s="294"/>
    </row>
    <row r="409" spans="2:33" x14ac:dyDescent="0.25">
      <c r="B409" s="294"/>
      <c r="C409" s="294"/>
      <c r="D409" s="294"/>
      <c r="E409" s="294"/>
      <c r="F409" s="294"/>
      <c r="G409" s="294"/>
      <c r="H409" s="294"/>
      <c r="I409" s="294"/>
      <c r="J409" s="294"/>
      <c r="L409" s="295"/>
      <c r="M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94"/>
      <c r="Y409" s="294"/>
      <c r="Z409" s="294"/>
      <c r="AA409" s="294"/>
      <c r="AB409" s="294"/>
      <c r="AC409" s="294"/>
      <c r="AD409" s="294"/>
      <c r="AE409" s="294"/>
      <c r="AF409" s="294"/>
      <c r="AG409" s="294"/>
    </row>
    <row r="410" spans="2:33" x14ac:dyDescent="0.25">
      <c r="B410" s="294"/>
      <c r="C410" s="294"/>
      <c r="D410" s="294"/>
      <c r="E410" s="294"/>
      <c r="F410" s="294"/>
      <c r="G410" s="294"/>
      <c r="H410" s="294"/>
      <c r="I410" s="294"/>
      <c r="J410" s="294"/>
      <c r="L410" s="295"/>
      <c r="M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4"/>
      <c r="AF410" s="294"/>
      <c r="AG410" s="294"/>
    </row>
    <row r="411" spans="2:33" x14ac:dyDescent="0.25">
      <c r="B411" s="294"/>
      <c r="C411" s="294"/>
      <c r="D411" s="294"/>
      <c r="E411" s="294"/>
      <c r="F411" s="294"/>
      <c r="G411" s="294"/>
      <c r="H411" s="294"/>
      <c r="I411" s="294"/>
      <c r="J411" s="294"/>
      <c r="L411" s="295"/>
      <c r="M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4"/>
      <c r="AF411" s="294"/>
      <c r="AG411" s="294"/>
    </row>
    <row r="412" spans="2:33" x14ac:dyDescent="0.25">
      <c r="B412" s="294"/>
      <c r="C412" s="294"/>
      <c r="D412" s="294"/>
      <c r="E412" s="294"/>
      <c r="F412" s="294"/>
      <c r="G412" s="294"/>
      <c r="H412" s="294"/>
      <c r="I412" s="294"/>
      <c r="J412" s="294"/>
      <c r="L412" s="295"/>
      <c r="M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4"/>
      <c r="AF412" s="294"/>
      <c r="AG412" s="294"/>
    </row>
    <row r="413" spans="2:33" x14ac:dyDescent="0.25">
      <c r="B413" s="294"/>
      <c r="C413" s="294"/>
      <c r="D413" s="294"/>
      <c r="E413" s="294"/>
      <c r="F413" s="294"/>
      <c r="G413" s="294"/>
      <c r="H413" s="294"/>
      <c r="I413" s="294"/>
      <c r="J413" s="294"/>
      <c r="L413" s="295"/>
      <c r="M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94"/>
      <c r="Y413" s="294"/>
      <c r="Z413" s="294"/>
      <c r="AA413" s="294"/>
      <c r="AB413" s="294"/>
      <c r="AC413" s="294"/>
      <c r="AD413" s="294"/>
      <c r="AE413" s="294"/>
      <c r="AF413" s="294"/>
      <c r="AG413" s="294"/>
    </row>
    <row r="414" spans="2:33" x14ac:dyDescent="0.25">
      <c r="B414" s="294"/>
      <c r="C414" s="294"/>
      <c r="D414" s="294"/>
      <c r="E414" s="294"/>
      <c r="F414" s="294"/>
      <c r="G414" s="294"/>
      <c r="H414" s="294"/>
      <c r="I414" s="294"/>
      <c r="J414" s="294"/>
      <c r="L414" s="295"/>
      <c r="M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94"/>
      <c r="Y414" s="294"/>
      <c r="Z414" s="294"/>
      <c r="AA414" s="294"/>
      <c r="AB414" s="294"/>
      <c r="AC414" s="294"/>
      <c r="AD414" s="294"/>
      <c r="AE414" s="294"/>
      <c r="AF414" s="294"/>
      <c r="AG414" s="294"/>
    </row>
    <row r="415" spans="2:33" x14ac:dyDescent="0.25">
      <c r="B415" s="294"/>
      <c r="C415" s="294"/>
      <c r="D415" s="294"/>
      <c r="E415" s="294"/>
      <c r="F415" s="294"/>
      <c r="G415" s="294"/>
      <c r="H415" s="294"/>
      <c r="I415" s="294"/>
      <c r="J415" s="294"/>
      <c r="L415" s="295"/>
      <c r="M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94"/>
      <c r="Y415" s="294"/>
      <c r="Z415" s="294"/>
      <c r="AA415" s="294"/>
      <c r="AB415" s="294"/>
      <c r="AC415" s="294"/>
      <c r="AD415" s="294"/>
      <c r="AE415" s="294"/>
      <c r="AF415" s="294"/>
      <c r="AG415" s="294"/>
    </row>
    <row r="416" spans="2:33" x14ac:dyDescent="0.25">
      <c r="B416" s="294"/>
      <c r="C416" s="294"/>
      <c r="D416" s="294"/>
      <c r="E416" s="294"/>
      <c r="F416" s="294"/>
      <c r="G416" s="294"/>
      <c r="H416" s="294"/>
      <c r="I416" s="294"/>
      <c r="J416" s="294"/>
      <c r="L416" s="295"/>
      <c r="M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94"/>
      <c r="Y416" s="294"/>
      <c r="Z416" s="294"/>
      <c r="AA416" s="294"/>
      <c r="AB416" s="294"/>
      <c r="AC416" s="294"/>
      <c r="AD416" s="294"/>
      <c r="AE416" s="294"/>
      <c r="AF416" s="294"/>
      <c r="AG416" s="294"/>
    </row>
    <row r="417" spans="2:33" x14ac:dyDescent="0.25">
      <c r="B417" s="294"/>
      <c r="C417" s="294"/>
      <c r="D417" s="294"/>
      <c r="E417" s="294"/>
      <c r="F417" s="294"/>
      <c r="G417" s="294"/>
      <c r="H417" s="294"/>
      <c r="I417" s="294"/>
      <c r="J417" s="294"/>
      <c r="L417" s="295"/>
      <c r="M417" s="294"/>
      <c r="O417" s="294"/>
      <c r="P417" s="294"/>
      <c r="Q417" s="294"/>
      <c r="R417" s="294"/>
      <c r="S417" s="294"/>
      <c r="T417" s="294"/>
      <c r="U417" s="294"/>
      <c r="V417" s="294"/>
      <c r="W417" s="294"/>
      <c r="X417" s="294"/>
      <c r="Y417" s="294"/>
      <c r="Z417" s="294"/>
      <c r="AA417" s="294"/>
      <c r="AB417" s="294"/>
      <c r="AC417" s="294"/>
      <c r="AD417" s="294"/>
      <c r="AE417" s="294"/>
      <c r="AF417" s="294"/>
      <c r="AG417" s="294"/>
    </row>
    <row r="418" spans="2:33" x14ac:dyDescent="0.25">
      <c r="B418" s="294"/>
      <c r="C418" s="294"/>
      <c r="D418" s="294"/>
      <c r="E418" s="294"/>
      <c r="F418" s="294"/>
      <c r="G418" s="294"/>
      <c r="H418" s="294"/>
      <c r="I418" s="294"/>
      <c r="J418" s="294"/>
      <c r="L418" s="295"/>
      <c r="M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94"/>
      <c r="Y418" s="294"/>
      <c r="Z418" s="294"/>
      <c r="AA418" s="294"/>
      <c r="AB418" s="294"/>
      <c r="AC418" s="294"/>
      <c r="AD418" s="294"/>
      <c r="AE418" s="294"/>
      <c r="AF418" s="294"/>
      <c r="AG418" s="294"/>
    </row>
    <row r="419" spans="2:33" x14ac:dyDescent="0.25">
      <c r="B419" s="294"/>
      <c r="C419" s="294"/>
      <c r="D419" s="294"/>
      <c r="E419" s="294"/>
      <c r="F419" s="294"/>
      <c r="G419" s="294"/>
      <c r="H419" s="294"/>
      <c r="I419" s="294"/>
      <c r="J419" s="294"/>
      <c r="L419" s="295"/>
      <c r="M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  <c r="Z419" s="294"/>
      <c r="AA419" s="294"/>
      <c r="AB419" s="294"/>
      <c r="AC419" s="294"/>
      <c r="AD419" s="294"/>
      <c r="AE419" s="294"/>
      <c r="AF419" s="294"/>
      <c r="AG419" s="294"/>
    </row>
    <row r="420" spans="2:33" x14ac:dyDescent="0.25">
      <c r="B420" s="294"/>
      <c r="C420" s="294"/>
      <c r="D420" s="294"/>
      <c r="E420" s="294"/>
      <c r="F420" s="294"/>
      <c r="G420" s="294"/>
      <c r="H420" s="294"/>
      <c r="I420" s="294"/>
      <c r="J420" s="294"/>
      <c r="L420" s="295"/>
      <c r="M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</row>
    <row r="421" spans="2:33" x14ac:dyDescent="0.25">
      <c r="B421" s="294"/>
      <c r="C421" s="294"/>
      <c r="D421" s="294"/>
      <c r="E421" s="294"/>
      <c r="F421" s="294"/>
      <c r="G421" s="294"/>
      <c r="H421" s="294"/>
      <c r="I421" s="294"/>
      <c r="J421" s="294"/>
      <c r="L421" s="295"/>
      <c r="M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  <c r="Z421" s="294"/>
      <c r="AA421" s="294"/>
      <c r="AB421" s="294"/>
      <c r="AC421" s="294"/>
      <c r="AD421" s="294"/>
      <c r="AE421" s="294"/>
      <c r="AF421" s="294"/>
      <c r="AG421" s="294"/>
    </row>
    <row r="422" spans="2:33" x14ac:dyDescent="0.25">
      <c r="B422" s="294"/>
      <c r="C422" s="294"/>
      <c r="D422" s="294"/>
      <c r="E422" s="294"/>
      <c r="F422" s="294"/>
      <c r="G422" s="294"/>
      <c r="H422" s="294"/>
      <c r="I422" s="294"/>
      <c r="J422" s="294"/>
      <c r="L422" s="295"/>
      <c r="M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94"/>
      <c r="Y422" s="294"/>
      <c r="Z422" s="294"/>
      <c r="AA422" s="294"/>
      <c r="AB422" s="294"/>
      <c r="AC422" s="294"/>
      <c r="AD422" s="294"/>
      <c r="AE422" s="294"/>
      <c r="AF422" s="294"/>
      <c r="AG422" s="294"/>
    </row>
    <row r="423" spans="2:33" x14ac:dyDescent="0.25">
      <c r="B423" s="294"/>
      <c r="C423" s="294"/>
      <c r="D423" s="294"/>
      <c r="E423" s="294"/>
      <c r="F423" s="294"/>
      <c r="G423" s="294"/>
      <c r="H423" s="294"/>
      <c r="I423" s="294"/>
      <c r="J423" s="294"/>
      <c r="L423" s="295"/>
      <c r="M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94"/>
      <c r="Y423" s="294"/>
      <c r="Z423" s="294"/>
      <c r="AA423" s="294"/>
      <c r="AB423" s="294"/>
      <c r="AC423" s="294"/>
      <c r="AD423" s="294"/>
      <c r="AE423" s="294"/>
      <c r="AF423" s="294"/>
      <c r="AG423" s="294"/>
    </row>
    <row r="424" spans="2:33" x14ac:dyDescent="0.25">
      <c r="B424" s="294"/>
      <c r="C424" s="294"/>
      <c r="D424" s="294"/>
      <c r="E424" s="294"/>
      <c r="F424" s="294"/>
      <c r="G424" s="294"/>
      <c r="H424" s="294"/>
      <c r="I424" s="294"/>
      <c r="J424" s="294"/>
      <c r="L424" s="295"/>
      <c r="M424" s="294"/>
      <c r="O424" s="294"/>
      <c r="P424" s="294"/>
      <c r="Q424" s="294"/>
      <c r="R424" s="294"/>
      <c r="S424" s="294"/>
      <c r="T424" s="294"/>
      <c r="U424" s="294"/>
      <c r="V424" s="294"/>
      <c r="W424" s="294"/>
      <c r="X424" s="294"/>
      <c r="Y424" s="294"/>
      <c r="Z424" s="294"/>
      <c r="AA424" s="294"/>
      <c r="AB424" s="294"/>
      <c r="AC424" s="294"/>
      <c r="AD424" s="294"/>
      <c r="AE424" s="294"/>
      <c r="AF424" s="294"/>
      <c r="AG424" s="294"/>
    </row>
    <row r="425" spans="2:33" x14ac:dyDescent="0.25">
      <c r="B425" s="294"/>
      <c r="C425" s="294"/>
      <c r="D425" s="294"/>
      <c r="E425" s="294"/>
      <c r="F425" s="294"/>
      <c r="G425" s="294"/>
      <c r="H425" s="294"/>
      <c r="I425" s="294"/>
      <c r="J425" s="294"/>
      <c r="L425" s="295"/>
      <c r="M425" s="294"/>
      <c r="O425" s="294"/>
      <c r="P425" s="294"/>
      <c r="Q425" s="294"/>
      <c r="R425" s="294"/>
      <c r="S425" s="294"/>
      <c r="T425" s="294"/>
      <c r="U425" s="294"/>
      <c r="V425" s="294"/>
      <c r="W425" s="294"/>
      <c r="X425" s="294"/>
      <c r="Y425" s="294"/>
      <c r="Z425" s="294"/>
      <c r="AA425" s="294"/>
      <c r="AB425" s="294"/>
      <c r="AC425" s="294"/>
      <c r="AD425" s="294"/>
      <c r="AE425" s="294"/>
      <c r="AF425" s="294"/>
      <c r="AG425" s="294"/>
    </row>
    <row r="426" spans="2:33" x14ac:dyDescent="0.25">
      <c r="B426" s="294"/>
      <c r="C426" s="294"/>
      <c r="D426" s="294"/>
      <c r="E426" s="294"/>
      <c r="F426" s="294"/>
      <c r="G426" s="294"/>
      <c r="H426" s="294"/>
      <c r="I426" s="294"/>
      <c r="J426" s="294"/>
      <c r="L426" s="295"/>
      <c r="M426" s="294"/>
      <c r="O426" s="294"/>
      <c r="P426" s="294"/>
      <c r="Q426" s="294"/>
      <c r="R426" s="294"/>
      <c r="S426" s="294"/>
      <c r="T426" s="294"/>
      <c r="U426" s="294"/>
      <c r="V426" s="294"/>
      <c r="W426" s="294"/>
      <c r="X426" s="294"/>
      <c r="Y426" s="294"/>
      <c r="Z426" s="294"/>
      <c r="AA426" s="294"/>
      <c r="AB426" s="294"/>
      <c r="AC426" s="294"/>
      <c r="AD426" s="294"/>
      <c r="AE426" s="294"/>
      <c r="AF426" s="294"/>
      <c r="AG426" s="294"/>
    </row>
    <row r="427" spans="2:33" x14ac:dyDescent="0.25">
      <c r="B427" s="294"/>
      <c r="C427" s="294"/>
      <c r="D427" s="294"/>
      <c r="E427" s="294"/>
      <c r="F427" s="294"/>
      <c r="G427" s="294"/>
      <c r="H427" s="294"/>
      <c r="I427" s="294"/>
      <c r="J427" s="294"/>
      <c r="L427" s="295"/>
      <c r="M427" s="294"/>
      <c r="O427" s="294"/>
      <c r="P427" s="294"/>
      <c r="Q427" s="294"/>
      <c r="R427" s="294"/>
      <c r="S427" s="294"/>
      <c r="T427" s="294"/>
      <c r="U427" s="294"/>
      <c r="V427" s="294"/>
      <c r="W427" s="294"/>
      <c r="X427" s="294"/>
      <c r="Y427" s="294"/>
      <c r="Z427" s="294"/>
      <c r="AA427" s="294"/>
      <c r="AB427" s="294"/>
      <c r="AC427" s="294"/>
      <c r="AD427" s="294"/>
      <c r="AE427" s="294"/>
      <c r="AF427" s="294"/>
      <c r="AG427" s="294"/>
    </row>
    <row r="428" spans="2:33" x14ac:dyDescent="0.25">
      <c r="B428" s="294"/>
      <c r="C428" s="294"/>
      <c r="D428" s="294"/>
      <c r="E428" s="294"/>
      <c r="F428" s="294"/>
      <c r="G428" s="294"/>
      <c r="H428" s="294"/>
      <c r="I428" s="294"/>
      <c r="J428" s="294"/>
      <c r="L428" s="295"/>
      <c r="M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</row>
    <row r="429" spans="2:33" x14ac:dyDescent="0.25">
      <c r="B429" s="294"/>
      <c r="C429" s="294"/>
      <c r="D429" s="294"/>
      <c r="E429" s="294"/>
      <c r="F429" s="294"/>
      <c r="G429" s="294"/>
      <c r="H429" s="294"/>
      <c r="I429" s="294"/>
      <c r="J429" s="294"/>
      <c r="L429" s="295"/>
      <c r="M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94"/>
      <c r="Y429" s="294"/>
      <c r="Z429" s="294"/>
      <c r="AA429" s="294"/>
      <c r="AB429" s="294"/>
      <c r="AC429" s="294"/>
      <c r="AD429" s="294"/>
      <c r="AE429" s="294"/>
      <c r="AF429" s="294"/>
      <c r="AG429" s="294"/>
    </row>
    <row r="430" spans="2:33" x14ac:dyDescent="0.25">
      <c r="B430" s="294"/>
      <c r="C430" s="294"/>
      <c r="D430" s="294"/>
      <c r="E430" s="294"/>
      <c r="F430" s="294"/>
      <c r="G430" s="294"/>
      <c r="H430" s="294"/>
      <c r="I430" s="294"/>
      <c r="J430" s="294"/>
      <c r="L430" s="295"/>
      <c r="M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94"/>
      <c r="Y430" s="294"/>
      <c r="Z430" s="294"/>
      <c r="AA430" s="294"/>
      <c r="AB430" s="294"/>
      <c r="AC430" s="294"/>
      <c r="AD430" s="294"/>
      <c r="AE430" s="294"/>
      <c r="AF430" s="294"/>
      <c r="AG430" s="294"/>
    </row>
    <row r="431" spans="2:33" x14ac:dyDescent="0.25">
      <c r="B431" s="294"/>
      <c r="C431" s="294"/>
      <c r="D431" s="294"/>
      <c r="E431" s="294"/>
      <c r="F431" s="294"/>
      <c r="G431" s="294"/>
      <c r="H431" s="294"/>
      <c r="I431" s="294"/>
      <c r="J431" s="294"/>
      <c r="L431" s="295"/>
      <c r="M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94"/>
      <c r="Y431" s="294"/>
      <c r="Z431" s="294"/>
      <c r="AA431" s="294"/>
      <c r="AB431" s="294"/>
      <c r="AC431" s="294"/>
      <c r="AD431" s="294"/>
      <c r="AE431" s="294"/>
      <c r="AF431" s="294"/>
      <c r="AG431" s="294"/>
    </row>
    <row r="432" spans="2:33" x14ac:dyDescent="0.25">
      <c r="B432" s="294"/>
      <c r="C432" s="294"/>
      <c r="D432" s="294"/>
      <c r="E432" s="294"/>
      <c r="F432" s="294"/>
      <c r="G432" s="294"/>
      <c r="H432" s="294"/>
      <c r="I432" s="294"/>
      <c r="J432" s="294"/>
      <c r="L432" s="295"/>
      <c r="M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94"/>
      <c r="Y432" s="294"/>
      <c r="Z432" s="294"/>
      <c r="AA432" s="294"/>
      <c r="AB432" s="294"/>
      <c r="AC432" s="294"/>
      <c r="AD432" s="294"/>
      <c r="AE432" s="294"/>
      <c r="AF432" s="294"/>
      <c r="AG432" s="294"/>
    </row>
    <row r="433" spans="2:33" x14ac:dyDescent="0.25">
      <c r="B433" s="294"/>
      <c r="C433" s="294"/>
      <c r="D433" s="294"/>
      <c r="E433" s="294"/>
      <c r="F433" s="294"/>
      <c r="G433" s="294"/>
      <c r="H433" s="294"/>
      <c r="I433" s="294"/>
      <c r="J433" s="294"/>
      <c r="L433" s="295"/>
      <c r="M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94"/>
      <c r="Y433" s="294"/>
      <c r="Z433" s="294"/>
      <c r="AA433" s="294"/>
      <c r="AB433" s="294"/>
      <c r="AC433" s="294"/>
      <c r="AD433" s="294"/>
      <c r="AE433" s="294"/>
      <c r="AF433" s="294"/>
      <c r="AG433" s="294"/>
    </row>
    <row r="434" spans="2:33" x14ac:dyDescent="0.25">
      <c r="B434" s="294"/>
      <c r="C434" s="294"/>
      <c r="D434" s="294"/>
      <c r="E434" s="294"/>
      <c r="F434" s="294"/>
      <c r="G434" s="294"/>
      <c r="H434" s="294"/>
      <c r="I434" s="294"/>
      <c r="J434" s="294"/>
      <c r="L434" s="295"/>
      <c r="M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94"/>
      <c r="Y434" s="294"/>
      <c r="Z434" s="294"/>
      <c r="AA434" s="294"/>
      <c r="AB434" s="294"/>
      <c r="AC434" s="294"/>
      <c r="AD434" s="294"/>
      <c r="AE434" s="294"/>
      <c r="AF434" s="294"/>
      <c r="AG434" s="294"/>
    </row>
    <row r="435" spans="2:33" x14ac:dyDescent="0.25">
      <c r="B435" s="294"/>
      <c r="C435" s="294"/>
      <c r="D435" s="294"/>
      <c r="E435" s="294"/>
      <c r="F435" s="294"/>
      <c r="G435" s="294"/>
      <c r="H435" s="294"/>
      <c r="I435" s="294"/>
      <c r="J435" s="294"/>
      <c r="L435" s="295"/>
      <c r="M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94"/>
      <c r="Y435" s="294"/>
      <c r="Z435" s="294"/>
      <c r="AA435" s="294"/>
      <c r="AB435" s="294"/>
      <c r="AC435" s="294"/>
      <c r="AD435" s="294"/>
      <c r="AE435" s="294"/>
      <c r="AF435" s="294"/>
      <c r="AG435" s="294"/>
    </row>
    <row r="436" spans="2:33" x14ac:dyDescent="0.25">
      <c r="B436" s="294"/>
      <c r="C436" s="294"/>
      <c r="D436" s="294"/>
      <c r="E436" s="294"/>
      <c r="F436" s="294"/>
      <c r="G436" s="294"/>
      <c r="H436" s="294"/>
      <c r="I436" s="294"/>
      <c r="J436" s="294"/>
      <c r="L436" s="295"/>
      <c r="M436" s="294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  <c r="Z436" s="294"/>
      <c r="AA436" s="294"/>
      <c r="AB436" s="294"/>
      <c r="AC436" s="294"/>
      <c r="AD436" s="294"/>
      <c r="AE436" s="294"/>
      <c r="AF436" s="294"/>
      <c r="AG436" s="294"/>
    </row>
    <row r="437" spans="2:33" x14ac:dyDescent="0.25">
      <c r="B437" s="294"/>
      <c r="C437" s="294"/>
      <c r="D437" s="294"/>
      <c r="E437" s="294"/>
      <c r="F437" s="294"/>
      <c r="G437" s="294"/>
      <c r="H437" s="294"/>
      <c r="I437" s="294"/>
      <c r="J437" s="294"/>
      <c r="L437" s="295"/>
      <c r="M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  <c r="Z437" s="294"/>
      <c r="AA437" s="294"/>
      <c r="AB437" s="294"/>
      <c r="AC437" s="294"/>
      <c r="AD437" s="294"/>
      <c r="AE437" s="294"/>
      <c r="AF437" s="294"/>
      <c r="AG437" s="294"/>
    </row>
    <row r="438" spans="2:33" x14ac:dyDescent="0.25">
      <c r="B438" s="294"/>
      <c r="C438" s="294"/>
      <c r="D438" s="294"/>
      <c r="E438" s="294"/>
      <c r="F438" s="294"/>
      <c r="G438" s="294"/>
      <c r="H438" s="294"/>
      <c r="I438" s="294"/>
      <c r="J438" s="294"/>
      <c r="L438" s="295"/>
      <c r="M438" s="294"/>
      <c r="O438" s="294"/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  <c r="Z438" s="294"/>
      <c r="AA438" s="294"/>
      <c r="AB438" s="294"/>
      <c r="AC438" s="294"/>
      <c r="AD438" s="294"/>
      <c r="AE438" s="294"/>
      <c r="AF438" s="294"/>
      <c r="AG438" s="294"/>
    </row>
    <row r="439" spans="2:33" x14ac:dyDescent="0.25">
      <c r="B439" s="294"/>
      <c r="C439" s="294"/>
      <c r="D439" s="294"/>
      <c r="E439" s="294"/>
      <c r="F439" s="294"/>
      <c r="G439" s="294"/>
      <c r="H439" s="294"/>
      <c r="I439" s="294"/>
      <c r="J439" s="294"/>
      <c r="L439" s="295"/>
      <c r="M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  <c r="Z439" s="294"/>
      <c r="AA439" s="294"/>
      <c r="AB439" s="294"/>
      <c r="AC439" s="294"/>
      <c r="AD439" s="294"/>
      <c r="AE439" s="294"/>
      <c r="AF439" s="294"/>
      <c r="AG439" s="294"/>
    </row>
    <row r="440" spans="2:33" x14ac:dyDescent="0.25">
      <c r="B440" s="294"/>
      <c r="C440" s="294"/>
      <c r="D440" s="294"/>
      <c r="E440" s="294"/>
      <c r="F440" s="294"/>
      <c r="G440" s="294"/>
      <c r="H440" s="294"/>
      <c r="I440" s="294"/>
      <c r="J440" s="294"/>
      <c r="L440" s="295"/>
      <c r="M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</row>
    <row r="441" spans="2:33" x14ac:dyDescent="0.25">
      <c r="B441" s="294"/>
      <c r="C441" s="294"/>
      <c r="D441" s="294"/>
      <c r="E441" s="294"/>
      <c r="F441" s="294"/>
      <c r="G441" s="294"/>
      <c r="H441" s="294"/>
      <c r="I441" s="294"/>
      <c r="J441" s="294"/>
      <c r="L441" s="295"/>
      <c r="M441" s="294"/>
      <c r="O441" s="294"/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  <c r="Z441" s="294"/>
      <c r="AA441" s="294"/>
      <c r="AB441" s="294"/>
      <c r="AC441" s="294"/>
      <c r="AD441" s="294"/>
      <c r="AE441" s="294"/>
      <c r="AF441" s="294"/>
      <c r="AG441" s="294"/>
    </row>
    <row r="442" spans="2:33" x14ac:dyDescent="0.25">
      <c r="B442" s="294"/>
      <c r="C442" s="294"/>
      <c r="D442" s="294"/>
      <c r="E442" s="294"/>
      <c r="F442" s="294"/>
      <c r="G442" s="294"/>
      <c r="H442" s="294"/>
      <c r="I442" s="294"/>
      <c r="J442" s="294"/>
      <c r="L442" s="295"/>
      <c r="M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  <c r="Z442" s="294"/>
      <c r="AA442" s="294"/>
      <c r="AB442" s="294"/>
      <c r="AC442" s="294"/>
      <c r="AD442" s="294"/>
      <c r="AE442" s="294"/>
      <c r="AF442" s="294"/>
      <c r="AG442" s="294"/>
    </row>
    <row r="443" spans="2:33" x14ac:dyDescent="0.25">
      <c r="B443" s="294"/>
      <c r="C443" s="294"/>
      <c r="D443" s="294"/>
      <c r="E443" s="294"/>
      <c r="F443" s="294"/>
      <c r="G443" s="294"/>
      <c r="H443" s="294"/>
      <c r="I443" s="294"/>
      <c r="J443" s="294"/>
      <c r="L443" s="295"/>
      <c r="M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</row>
    <row r="444" spans="2:33" x14ac:dyDescent="0.25">
      <c r="B444" s="294"/>
      <c r="C444" s="294"/>
      <c r="D444" s="294"/>
      <c r="E444" s="294"/>
      <c r="F444" s="294"/>
      <c r="G444" s="294"/>
      <c r="H444" s="294"/>
      <c r="I444" s="294"/>
      <c r="J444" s="294"/>
      <c r="L444" s="295"/>
      <c r="M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</row>
    <row r="445" spans="2:33" x14ac:dyDescent="0.25">
      <c r="B445" s="294"/>
      <c r="C445" s="294"/>
      <c r="D445" s="294"/>
      <c r="E445" s="294"/>
      <c r="F445" s="294"/>
      <c r="G445" s="294"/>
      <c r="H445" s="294"/>
      <c r="I445" s="294"/>
      <c r="J445" s="294"/>
      <c r="L445" s="295"/>
      <c r="M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  <c r="Z445" s="294"/>
      <c r="AA445" s="294"/>
      <c r="AB445" s="294"/>
      <c r="AC445" s="294"/>
      <c r="AD445" s="294"/>
      <c r="AE445" s="294"/>
      <c r="AF445" s="294"/>
      <c r="AG445" s="294"/>
    </row>
    <row r="446" spans="2:33" x14ac:dyDescent="0.25">
      <c r="B446" s="294"/>
      <c r="C446" s="294"/>
      <c r="D446" s="294"/>
      <c r="E446" s="294"/>
      <c r="F446" s="294"/>
      <c r="G446" s="294"/>
      <c r="H446" s="294"/>
      <c r="I446" s="294"/>
      <c r="J446" s="294"/>
      <c r="L446" s="295"/>
      <c r="M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  <c r="Z446" s="294"/>
      <c r="AA446" s="294"/>
      <c r="AB446" s="294"/>
      <c r="AC446" s="294"/>
      <c r="AD446" s="294"/>
      <c r="AE446" s="294"/>
      <c r="AF446" s="294"/>
      <c r="AG446" s="294"/>
    </row>
    <row r="447" spans="2:33" x14ac:dyDescent="0.25">
      <c r="B447" s="294"/>
      <c r="C447" s="294"/>
      <c r="D447" s="294"/>
      <c r="E447" s="294"/>
      <c r="F447" s="294"/>
      <c r="G447" s="294"/>
      <c r="H447" s="294"/>
      <c r="I447" s="294"/>
      <c r="J447" s="294"/>
      <c r="L447" s="295"/>
      <c r="M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  <c r="Z447" s="294"/>
      <c r="AA447" s="294"/>
      <c r="AB447" s="294"/>
      <c r="AC447" s="294"/>
      <c r="AD447" s="294"/>
      <c r="AE447" s="294"/>
      <c r="AF447" s="294"/>
      <c r="AG447" s="294"/>
    </row>
    <row r="448" spans="2:33" x14ac:dyDescent="0.25">
      <c r="B448" s="294"/>
      <c r="C448" s="294"/>
      <c r="D448" s="294"/>
      <c r="E448" s="294"/>
      <c r="F448" s="294"/>
      <c r="G448" s="294"/>
      <c r="H448" s="294"/>
      <c r="I448" s="294"/>
      <c r="J448" s="294"/>
      <c r="L448" s="295"/>
      <c r="M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94"/>
      <c r="Y448" s="294"/>
      <c r="Z448" s="294"/>
      <c r="AA448" s="294"/>
      <c r="AB448" s="294"/>
      <c r="AC448" s="294"/>
      <c r="AD448" s="294"/>
      <c r="AE448" s="294"/>
      <c r="AF448" s="294"/>
      <c r="AG448" s="294"/>
    </row>
    <row r="449" spans="2:33" x14ac:dyDescent="0.25">
      <c r="B449" s="294"/>
      <c r="C449" s="294"/>
      <c r="D449" s="294"/>
      <c r="E449" s="294"/>
      <c r="F449" s="294"/>
      <c r="G449" s="294"/>
      <c r="H449" s="294"/>
      <c r="I449" s="294"/>
      <c r="J449" s="294"/>
      <c r="L449" s="295"/>
      <c r="M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94"/>
      <c r="Y449" s="294"/>
      <c r="Z449" s="294"/>
      <c r="AA449" s="294"/>
      <c r="AB449" s="294"/>
      <c r="AC449" s="294"/>
      <c r="AD449" s="294"/>
      <c r="AE449" s="294"/>
      <c r="AF449" s="294"/>
      <c r="AG449" s="294"/>
    </row>
    <row r="450" spans="2:33" x14ac:dyDescent="0.25">
      <c r="B450" s="294"/>
      <c r="C450" s="294"/>
      <c r="D450" s="294"/>
      <c r="E450" s="294"/>
      <c r="F450" s="294"/>
      <c r="G450" s="294"/>
      <c r="H450" s="294"/>
      <c r="I450" s="294"/>
      <c r="J450" s="294"/>
      <c r="L450" s="295"/>
      <c r="M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94"/>
      <c r="Y450" s="294"/>
      <c r="Z450" s="294"/>
      <c r="AA450" s="294"/>
      <c r="AB450" s="294"/>
      <c r="AC450" s="294"/>
      <c r="AD450" s="294"/>
      <c r="AE450" s="294"/>
      <c r="AF450" s="294"/>
      <c r="AG450" s="294"/>
    </row>
    <row r="451" spans="2:33" x14ac:dyDescent="0.25">
      <c r="B451" s="294"/>
      <c r="C451" s="294"/>
      <c r="D451" s="294"/>
      <c r="E451" s="294"/>
      <c r="F451" s="294"/>
      <c r="G451" s="294"/>
      <c r="H451" s="294"/>
      <c r="I451" s="294"/>
      <c r="J451" s="294"/>
      <c r="L451" s="295"/>
      <c r="M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94"/>
      <c r="Y451" s="294"/>
      <c r="Z451" s="294"/>
      <c r="AA451" s="294"/>
      <c r="AB451" s="294"/>
      <c r="AC451" s="294"/>
      <c r="AD451" s="294"/>
      <c r="AE451" s="294"/>
      <c r="AF451" s="294"/>
      <c r="AG451" s="294"/>
    </row>
    <row r="452" spans="2:33" x14ac:dyDescent="0.25">
      <c r="B452" s="294"/>
      <c r="C452" s="294"/>
      <c r="D452" s="294"/>
      <c r="E452" s="294"/>
      <c r="F452" s="294"/>
      <c r="G452" s="294"/>
      <c r="H452" s="294"/>
      <c r="I452" s="294"/>
      <c r="J452" s="294"/>
      <c r="L452" s="295"/>
      <c r="M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94"/>
      <c r="Y452" s="294"/>
      <c r="Z452" s="294"/>
      <c r="AA452" s="294"/>
      <c r="AB452" s="294"/>
      <c r="AC452" s="294"/>
      <c r="AD452" s="294"/>
      <c r="AE452" s="294"/>
      <c r="AF452" s="294"/>
      <c r="AG452" s="294"/>
    </row>
    <row r="453" spans="2:33" x14ac:dyDescent="0.25">
      <c r="B453" s="294"/>
      <c r="C453" s="294"/>
      <c r="D453" s="294"/>
      <c r="E453" s="294"/>
      <c r="F453" s="294"/>
      <c r="G453" s="294"/>
      <c r="H453" s="294"/>
      <c r="I453" s="294"/>
      <c r="J453" s="294"/>
      <c r="L453" s="295"/>
      <c r="M453" s="294"/>
      <c r="O453" s="294"/>
      <c r="P453" s="294"/>
      <c r="Q453" s="294"/>
      <c r="R453" s="294"/>
      <c r="S453" s="294"/>
      <c r="T453" s="294"/>
      <c r="U453" s="294"/>
      <c r="V453" s="294"/>
      <c r="W453" s="294"/>
      <c r="X453" s="294"/>
      <c r="Y453" s="294"/>
      <c r="Z453" s="294"/>
      <c r="AA453" s="294"/>
      <c r="AB453" s="294"/>
      <c r="AC453" s="294"/>
      <c r="AD453" s="294"/>
      <c r="AE453" s="294"/>
      <c r="AF453" s="294"/>
      <c r="AG453" s="294"/>
    </row>
    <row r="454" spans="2:33" x14ac:dyDescent="0.25">
      <c r="B454" s="294"/>
      <c r="C454" s="294"/>
      <c r="D454" s="294"/>
      <c r="E454" s="294"/>
      <c r="F454" s="294"/>
      <c r="G454" s="294"/>
      <c r="H454" s="294"/>
      <c r="I454" s="294"/>
      <c r="J454" s="294"/>
      <c r="L454" s="295"/>
      <c r="M454" s="294"/>
      <c r="O454" s="294"/>
      <c r="P454" s="294"/>
      <c r="Q454" s="294"/>
      <c r="R454" s="294"/>
      <c r="S454" s="294"/>
      <c r="T454" s="294"/>
      <c r="U454" s="294"/>
      <c r="V454" s="294"/>
      <c r="W454" s="294"/>
      <c r="X454" s="294"/>
      <c r="Y454" s="294"/>
      <c r="Z454" s="294"/>
      <c r="AA454" s="294"/>
      <c r="AB454" s="294"/>
      <c r="AC454" s="294"/>
      <c r="AD454" s="294"/>
      <c r="AE454" s="294"/>
      <c r="AF454" s="294"/>
      <c r="AG454" s="294"/>
    </row>
    <row r="455" spans="2:33" x14ac:dyDescent="0.25">
      <c r="B455" s="294"/>
      <c r="C455" s="294"/>
      <c r="D455" s="294"/>
      <c r="E455" s="294"/>
      <c r="F455" s="294"/>
      <c r="G455" s="294"/>
      <c r="H455" s="294"/>
      <c r="I455" s="294"/>
      <c r="J455" s="294"/>
      <c r="L455" s="295"/>
      <c r="M455" s="294"/>
      <c r="O455" s="294"/>
      <c r="P455" s="294"/>
      <c r="Q455" s="294"/>
      <c r="R455" s="294"/>
      <c r="S455" s="294"/>
      <c r="T455" s="294"/>
      <c r="U455" s="294"/>
      <c r="V455" s="294"/>
      <c r="W455" s="294"/>
      <c r="X455" s="294"/>
      <c r="Y455" s="294"/>
      <c r="Z455" s="294"/>
      <c r="AA455" s="294"/>
      <c r="AB455" s="294"/>
      <c r="AC455" s="294"/>
      <c r="AD455" s="294"/>
      <c r="AE455" s="294"/>
      <c r="AF455" s="294"/>
      <c r="AG455" s="294"/>
    </row>
    <row r="456" spans="2:33" x14ac:dyDescent="0.25">
      <c r="B456" s="294"/>
      <c r="C456" s="294"/>
      <c r="D456" s="294"/>
      <c r="E456" s="294"/>
      <c r="F456" s="294"/>
      <c r="G456" s="294"/>
      <c r="H456" s="294"/>
      <c r="I456" s="294"/>
      <c r="J456" s="294"/>
      <c r="L456" s="295"/>
      <c r="M456" s="294"/>
      <c r="O456" s="294"/>
      <c r="P456" s="294"/>
      <c r="Q456" s="294"/>
      <c r="R456" s="294"/>
      <c r="S456" s="294"/>
      <c r="T456" s="294"/>
      <c r="U456" s="294"/>
      <c r="V456" s="294"/>
      <c r="W456" s="294"/>
      <c r="X456" s="294"/>
      <c r="Y456" s="294"/>
      <c r="Z456" s="294"/>
      <c r="AA456" s="294"/>
      <c r="AB456" s="294"/>
      <c r="AC456" s="294"/>
      <c r="AD456" s="294"/>
      <c r="AE456" s="294"/>
      <c r="AF456" s="294"/>
      <c r="AG456" s="294"/>
    </row>
    <row r="457" spans="2:33" x14ac:dyDescent="0.25">
      <c r="B457" s="294"/>
      <c r="C457" s="294"/>
      <c r="D457" s="294"/>
      <c r="E457" s="294"/>
      <c r="F457" s="294"/>
      <c r="G457" s="294"/>
      <c r="H457" s="294"/>
      <c r="I457" s="294"/>
      <c r="J457" s="294"/>
      <c r="L457" s="295"/>
      <c r="M457" s="294"/>
      <c r="O457" s="294"/>
      <c r="P457" s="294"/>
      <c r="Q457" s="294"/>
      <c r="R457" s="294"/>
      <c r="S457" s="294"/>
      <c r="T457" s="294"/>
      <c r="U457" s="294"/>
      <c r="V457" s="294"/>
      <c r="W457" s="294"/>
      <c r="X457" s="294"/>
      <c r="Y457" s="294"/>
      <c r="Z457" s="294"/>
      <c r="AA457" s="294"/>
      <c r="AB457" s="294"/>
      <c r="AC457" s="294"/>
      <c r="AD457" s="294"/>
      <c r="AE457" s="294"/>
      <c r="AF457" s="294"/>
      <c r="AG457" s="294"/>
    </row>
    <row r="458" spans="2:33" x14ac:dyDescent="0.25">
      <c r="B458" s="294"/>
      <c r="C458" s="294"/>
      <c r="D458" s="294"/>
      <c r="E458" s="294"/>
      <c r="F458" s="294"/>
      <c r="G458" s="294"/>
      <c r="H458" s="294"/>
      <c r="I458" s="294"/>
      <c r="J458" s="294"/>
      <c r="L458" s="295"/>
      <c r="M458" s="294"/>
      <c r="O458" s="294"/>
      <c r="P458" s="294"/>
      <c r="Q458" s="294"/>
      <c r="R458" s="294"/>
      <c r="S458" s="294"/>
      <c r="T458" s="294"/>
      <c r="U458" s="294"/>
      <c r="V458" s="294"/>
      <c r="W458" s="294"/>
      <c r="X458" s="294"/>
      <c r="Y458" s="294"/>
      <c r="Z458" s="294"/>
      <c r="AA458" s="294"/>
      <c r="AB458" s="294"/>
      <c r="AC458" s="294"/>
      <c r="AD458" s="294"/>
      <c r="AE458" s="294"/>
      <c r="AF458" s="294"/>
      <c r="AG458" s="294"/>
    </row>
    <row r="459" spans="2:33" x14ac:dyDescent="0.25">
      <c r="B459" s="294"/>
      <c r="C459" s="294"/>
      <c r="D459" s="294"/>
      <c r="E459" s="294"/>
      <c r="F459" s="294"/>
      <c r="G459" s="294"/>
      <c r="H459" s="294"/>
      <c r="I459" s="294"/>
      <c r="J459" s="294"/>
      <c r="L459" s="295"/>
      <c r="M459" s="294"/>
      <c r="O459" s="294"/>
      <c r="P459" s="294"/>
      <c r="Q459" s="294"/>
      <c r="R459" s="294"/>
      <c r="S459" s="294"/>
      <c r="T459" s="294"/>
      <c r="U459" s="294"/>
      <c r="V459" s="294"/>
      <c r="W459" s="294"/>
      <c r="X459" s="294"/>
      <c r="Y459" s="294"/>
      <c r="Z459" s="294"/>
      <c r="AA459" s="294"/>
      <c r="AB459" s="294"/>
      <c r="AC459" s="294"/>
      <c r="AD459" s="294"/>
      <c r="AE459" s="294"/>
      <c r="AF459" s="294"/>
      <c r="AG459" s="294"/>
    </row>
    <row r="460" spans="2:33" x14ac:dyDescent="0.25">
      <c r="B460" s="294"/>
      <c r="C460" s="294"/>
      <c r="D460" s="294"/>
      <c r="E460" s="294"/>
      <c r="F460" s="294"/>
      <c r="G460" s="294"/>
      <c r="H460" s="294"/>
      <c r="I460" s="294"/>
      <c r="J460" s="294"/>
      <c r="L460" s="295"/>
      <c r="M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94"/>
      <c r="Y460" s="294"/>
      <c r="Z460" s="294"/>
      <c r="AA460" s="294"/>
      <c r="AB460" s="294"/>
      <c r="AC460" s="294"/>
      <c r="AD460" s="294"/>
      <c r="AE460" s="294"/>
      <c r="AF460" s="294"/>
      <c r="AG460" s="294"/>
    </row>
    <row r="461" spans="2:33" x14ac:dyDescent="0.25">
      <c r="B461" s="294"/>
      <c r="C461" s="294"/>
      <c r="D461" s="294"/>
      <c r="E461" s="294"/>
      <c r="F461" s="294"/>
      <c r="G461" s="294"/>
      <c r="H461" s="294"/>
      <c r="I461" s="294"/>
      <c r="J461" s="294"/>
      <c r="L461" s="295"/>
      <c r="M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94"/>
      <c r="Y461" s="294"/>
      <c r="Z461" s="294"/>
      <c r="AA461" s="294"/>
      <c r="AB461" s="294"/>
      <c r="AC461" s="294"/>
      <c r="AD461" s="294"/>
      <c r="AE461" s="294"/>
      <c r="AF461" s="294"/>
      <c r="AG461" s="294"/>
    </row>
    <row r="462" spans="2:33" x14ac:dyDescent="0.25">
      <c r="B462" s="294"/>
      <c r="C462" s="294"/>
      <c r="D462" s="294"/>
      <c r="E462" s="294"/>
      <c r="F462" s="294"/>
      <c r="G462" s="294"/>
      <c r="H462" s="294"/>
      <c r="I462" s="294"/>
      <c r="J462" s="294"/>
      <c r="L462" s="295"/>
      <c r="M462" s="294"/>
      <c r="O462" s="294"/>
      <c r="P462" s="294"/>
      <c r="Q462" s="294"/>
      <c r="R462" s="294"/>
      <c r="S462" s="294"/>
      <c r="T462" s="294"/>
      <c r="U462" s="294"/>
      <c r="V462" s="294"/>
      <c r="W462" s="294"/>
      <c r="X462" s="294"/>
      <c r="Y462" s="294"/>
      <c r="Z462" s="294"/>
      <c r="AA462" s="294"/>
      <c r="AB462" s="294"/>
      <c r="AC462" s="294"/>
      <c r="AD462" s="294"/>
      <c r="AE462" s="294"/>
      <c r="AF462" s="294"/>
      <c r="AG462" s="294"/>
    </row>
    <row r="463" spans="2:33" x14ac:dyDescent="0.25">
      <c r="B463" s="294"/>
      <c r="C463" s="294"/>
      <c r="D463" s="294"/>
      <c r="E463" s="294"/>
      <c r="F463" s="294"/>
      <c r="G463" s="294"/>
      <c r="H463" s="294"/>
      <c r="I463" s="294"/>
      <c r="J463" s="294"/>
      <c r="L463" s="295"/>
      <c r="M463" s="294"/>
      <c r="O463" s="294"/>
      <c r="P463" s="294"/>
      <c r="Q463" s="294"/>
      <c r="R463" s="294"/>
      <c r="S463" s="294"/>
      <c r="T463" s="294"/>
      <c r="U463" s="294"/>
      <c r="V463" s="294"/>
      <c r="W463" s="294"/>
      <c r="X463" s="294"/>
      <c r="Y463" s="294"/>
      <c r="Z463" s="294"/>
      <c r="AA463" s="294"/>
      <c r="AB463" s="294"/>
      <c r="AC463" s="294"/>
      <c r="AD463" s="294"/>
      <c r="AE463" s="294"/>
      <c r="AF463" s="294"/>
      <c r="AG463" s="294"/>
    </row>
    <row r="464" spans="2:33" x14ac:dyDescent="0.25">
      <c r="B464" s="294"/>
      <c r="C464" s="294"/>
      <c r="D464" s="294"/>
      <c r="E464" s="294"/>
      <c r="F464" s="294"/>
      <c r="G464" s="294"/>
      <c r="H464" s="294"/>
      <c r="I464" s="294"/>
      <c r="J464" s="294"/>
      <c r="L464" s="295"/>
      <c r="M464" s="294"/>
      <c r="O464" s="294"/>
      <c r="P464" s="294"/>
      <c r="Q464" s="294"/>
      <c r="R464" s="294"/>
      <c r="S464" s="294"/>
      <c r="T464" s="294"/>
      <c r="U464" s="294"/>
      <c r="V464" s="294"/>
      <c r="W464" s="294"/>
      <c r="X464" s="294"/>
      <c r="Y464" s="294"/>
      <c r="Z464" s="294"/>
      <c r="AA464" s="294"/>
      <c r="AB464" s="294"/>
      <c r="AC464" s="294"/>
      <c r="AD464" s="294"/>
      <c r="AE464" s="294"/>
      <c r="AF464" s="294"/>
      <c r="AG464" s="294"/>
    </row>
    <row r="465" spans="2:33" x14ac:dyDescent="0.25">
      <c r="B465" s="294"/>
      <c r="C465" s="294"/>
      <c r="D465" s="294"/>
      <c r="E465" s="294"/>
      <c r="F465" s="294"/>
      <c r="G465" s="294"/>
      <c r="H465" s="294"/>
      <c r="I465" s="294"/>
      <c r="J465" s="294"/>
      <c r="L465" s="295"/>
      <c r="M465" s="294"/>
      <c r="O465" s="294"/>
      <c r="P465" s="294"/>
      <c r="Q465" s="294"/>
      <c r="R465" s="294"/>
      <c r="S465" s="294"/>
      <c r="T465" s="294"/>
      <c r="U465" s="294"/>
      <c r="V465" s="294"/>
      <c r="W465" s="294"/>
      <c r="X465" s="294"/>
      <c r="Y465" s="294"/>
      <c r="Z465" s="294"/>
      <c r="AA465" s="294"/>
      <c r="AB465" s="294"/>
      <c r="AC465" s="294"/>
      <c r="AD465" s="294"/>
      <c r="AE465" s="294"/>
      <c r="AF465" s="294"/>
      <c r="AG465" s="294"/>
    </row>
    <row r="466" spans="2:33" x14ac:dyDescent="0.25">
      <c r="B466" s="294"/>
      <c r="C466" s="294"/>
      <c r="D466" s="294"/>
      <c r="E466" s="294"/>
      <c r="F466" s="294"/>
      <c r="G466" s="294"/>
      <c r="H466" s="294"/>
      <c r="I466" s="294"/>
      <c r="J466" s="294"/>
      <c r="L466" s="295"/>
      <c r="M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94"/>
      <c r="Y466" s="294"/>
      <c r="Z466" s="294"/>
      <c r="AA466" s="294"/>
      <c r="AB466" s="294"/>
      <c r="AC466" s="294"/>
      <c r="AD466" s="294"/>
      <c r="AE466" s="294"/>
      <c r="AF466" s="294"/>
      <c r="AG466" s="294"/>
    </row>
    <row r="467" spans="2:33" x14ac:dyDescent="0.25">
      <c r="B467" s="294"/>
      <c r="C467" s="294"/>
      <c r="D467" s="294"/>
      <c r="E467" s="294"/>
      <c r="F467" s="294"/>
      <c r="G467" s="294"/>
      <c r="H467" s="294"/>
      <c r="I467" s="294"/>
      <c r="J467" s="294"/>
      <c r="L467" s="295"/>
      <c r="M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  <c r="Z467" s="294"/>
      <c r="AA467" s="294"/>
      <c r="AB467" s="294"/>
      <c r="AC467" s="294"/>
      <c r="AD467" s="294"/>
      <c r="AE467" s="294"/>
      <c r="AF467" s="294"/>
      <c r="AG467" s="294"/>
    </row>
    <row r="468" spans="2:33" x14ac:dyDescent="0.25">
      <c r="B468" s="294"/>
      <c r="C468" s="294"/>
      <c r="D468" s="294"/>
      <c r="E468" s="294"/>
      <c r="F468" s="294"/>
      <c r="G468" s="294"/>
      <c r="H468" s="294"/>
      <c r="I468" s="294"/>
      <c r="J468" s="294"/>
      <c r="L468" s="295"/>
      <c r="M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  <c r="Z468" s="294"/>
      <c r="AA468" s="294"/>
      <c r="AB468" s="294"/>
      <c r="AC468" s="294"/>
      <c r="AD468" s="294"/>
      <c r="AE468" s="294"/>
      <c r="AF468" s="294"/>
      <c r="AG468" s="294"/>
    </row>
    <row r="469" spans="2:33" x14ac:dyDescent="0.25">
      <c r="B469" s="294"/>
      <c r="C469" s="294"/>
      <c r="D469" s="294"/>
      <c r="E469" s="294"/>
      <c r="F469" s="294"/>
      <c r="G469" s="294"/>
      <c r="H469" s="294"/>
      <c r="I469" s="294"/>
      <c r="J469" s="294"/>
      <c r="L469" s="295"/>
      <c r="M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  <c r="Z469" s="294"/>
      <c r="AA469" s="294"/>
      <c r="AB469" s="294"/>
      <c r="AC469" s="294"/>
      <c r="AD469" s="294"/>
      <c r="AE469" s="294"/>
      <c r="AF469" s="294"/>
      <c r="AG469" s="294"/>
    </row>
    <row r="470" spans="2:33" x14ac:dyDescent="0.25">
      <c r="B470" s="294"/>
      <c r="C470" s="294"/>
      <c r="D470" s="294"/>
      <c r="E470" s="294"/>
      <c r="F470" s="294"/>
      <c r="G470" s="294"/>
      <c r="H470" s="294"/>
      <c r="I470" s="294"/>
      <c r="J470" s="294"/>
      <c r="L470" s="295"/>
      <c r="M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</row>
    <row r="471" spans="2:33" x14ac:dyDescent="0.25">
      <c r="B471" s="294"/>
      <c r="C471" s="294"/>
      <c r="D471" s="294"/>
      <c r="E471" s="294"/>
      <c r="F471" s="294"/>
      <c r="G471" s="294"/>
      <c r="H471" s="294"/>
      <c r="I471" s="294"/>
      <c r="J471" s="294"/>
      <c r="L471" s="295"/>
      <c r="M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  <c r="Z471" s="294"/>
      <c r="AA471" s="294"/>
      <c r="AB471" s="294"/>
      <c r="AC471" s="294"/>
      <c r="AD471" s="294"/>
      <c r="AE471" s="294"/>
      <c r="AF471" s="294"/>
      <c r="AG471" s="294"/>
    </row>
    <row r="472" spans="2:33" x14ac:dyDescent="0.25">
      <c r="B472" s="294"/>
      <c r="C472" s="294"/>
      <c r="D472" s="294"/>
      <c r="E472" s="294"/>
      <c r="F472" s="294"/>
      <c r="G472" s="294"/>
      <c r="H472" s="294"/>
      <c r="I472" s="294"/>
      <c r="J472" s="294"/>
      <c r="L472" s="295"/>
      <c r="M472" s="294"/>
      <c r="O472" s="294"/>
      <c r="P472" s="294"/>
      <c r="Q472" s="294"/>
      <c r="R472" s="294"/>
      <c r="S472" s="294"/>
      <c r="T472" s="294"/>
      <c r="U472" s="294"/>
      <c r="V472" s="294"/>
      <c r="W472" s="294"/>
      <c r="X472" s="294"/>
      <c r="Y472" s="294"/>
      <c r="Z472" s="294"/>
      <c r="AA472" s="294"/>
      <c r="AB472" s="294"/>
      <c r="AC472" s="294"/>
      <c r="AD472" s="294"/>
      <c r="AE472" s="294"/>
      <c r="AF472" s="294"/>
      <c r="AG472" s="294"/>
    </row>
    <row r="473" spans="2:33" x14ac:dyDescent="0.25">
      <c r="B473" s="294"/>
      <c r="C473" s="294"/>
      <c r="D473" s="294"/>
      <c r="E473" s="294"/>
      <c r="F473" s="294"/>
      <c r="G473" s="294"/>
      <c r="H473" s="294"/>
      <c r="I473" s="294"/>
      <c r="J473" s="294"/>
      <c r="L473" s="295"/>
      <c r="M473" s="294"/>
      <c r="O473" s="294"/>
      <c r="P473" s="294"/>
      <c r="Q473" s="294"/>
      <c r="R473" s="294"/>
      <c r="S473" s="294"/>
      <c r="T473" s="294"/>
      <c r="U473" s="294"/>
      <c r="V473" s="294"/>
      <c r="W473" s="294"/>
      <c r="X473" s="294"/>
      <c r="Y473" s="294"/>
      <c r="Z473" s="294"/>
      <c r="AA473" s="294"/>
      <c r="AB473" s="294"/>
      <c r="AC473" s="294"/>
      <c r="AD473" s="294"/>
      <c r="AE473" s="294"/>
      <c r="AF473" s="294"/>
      <c r="AG473" s="294"/>
    </row>
    <row r="474" spans="2:33" x14ac:dyDescent="0.25">
      <c r="B474" s="294"/>
      <c r="C474" s="294"/>
      <c r="D474" s="294"/>
      <c r="E474" s="294"/>
      <c r="F474" s="294"/>
      <c r="G474" s="294"/>
      <c r="H474" s="294"/>
      <c r="I474" s="294"/>
      <c r="J474" s="294"/>
      <c r="L474" s="295"/>
      <c r="M474" s="294"/>
      <c r="O474" s="294"/>
      <c r="P474" s="294"/>
      <c r="Q474" s="294"/>
      <c r="R474" s="294"/>
      <c r="S474" s="294"/>
      <c r="T474" s="294"/>
      <c r="U474" s="294"/>
      <c r="V474" s="294"/>
      <c r="W474" s="294"/>
      <c r="X474" s="294"/>
      <c r="Y474" s="294"/>
      <c r="Z474" s="294"/>
      <c r="AA474" s="294"/>
      <c r="AB474" s="294"/>
      <c r="AC474" s="294"/>
      <c r="AD474" s="294"/>
      <c r="AE474" s="294"/>
      <c r="AF474" s="294"/>
      <c r="AG474" s="294"/>
    </row>
    <row r="475" spans="2:33" x14ac:dyDescent="0.25">
      <c r="B475" s="294"/>
      <c r="C475" s="294"/>
      <c r="D475" s="294"/>
      <c r="E475" s="294"/>
      <c r="F475" s="294"/>
      <c r="G475" s="294"/>
      <c r="H475" s="294"/>
      <c r="I475" s="294"/>
      <c r="J475" s="294"/>
      <c r="L475" s="295"/>
      <c r="M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  <c r="Z475" s="294"/>
      <c r="AA475" s="294"/>
      <c r="AB475" s="294"/>
      <c r="AC475" s="294"/>
      <c r="AD475" s="294"/>
      <c r="AE475" s="294"/>
      <c r="AF475" s="294"/>
      <c r="AG475" s="294"/>
    </row>
    <row r="476" spans="2:33" x14ac:dyDescent="0.25">
      <c r="B476" s="294"/>
      <c r="C476" s="294"/>
      <c r="D476" s="294"/>
      <c r="E476" s="294"/>
      <c r="F476" s="294"/>
      <c r="G476" s="294"/>
      <c r="H476" s="294"/>
      <c r="I476" s="294"/>
      <c r="J476" s="294"/>
      <c r="L476" s="295"/>
      <c r="M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4"/>
      <c r="AF476" s="294"/>
      <c r="AG476" s="294"/>
    </row>
    <row r="477" spans="2:33" x14ac:dyDescent="0.25">
      <c r="B477" s="294"/>
      <c r="C477" s="294"/>
      <c r="D477" s="294"/>
      <c r="E477" s="294"/>
      <c r="F477" s="294"/>
      <c r="G477" s="294"/>
      <c r="H477" s="294"/>
      <c r="I477" s="294"/>
      <c r="J477" s="294"/>
      <c r="L477" s="295"/>
      <c r="M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4"/>
      <c r="AF477" s="294"/>
      <c r="AG477" s="294"/>
    </row>
    <row r="478" spans="2:33" x14ac:dyDescent="0.25">
      <c r="B478" s="294"/>
      <c r="C478" s="294"/>
      <c r="D478" s="294"/>
      <c r="E478" s="294"/>
      <c r="F478" s="294"/>
      <c r="G478" s="294"/>
      <c r="H478" s="294"/>
      <c r="I478" s="294"/>
      <c r="J478" s="294"/>
      <c r="L478" s="295"/>
      <c r="M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94"/>
      <c r="Y478" s="294"/>
      <c r="Z478" s="294"/>
      <c r="AA478" s="294"/>
      <c r="AB478" s="294"/>
      <c r="AC478" s="294"/>
      <c r="AD478" s="294"/>
      <c r="AE478" s="294"/>
      <c r="AF478" s="294"/>
      <c r="AG478" s="294"/>
    </row>
    <row r="479" spans="2:33" x14ac:dyDescent="0.25">
      <c r="B479" s="294"/>
      <c r="C479" s="294"/>
      <c r="D479" s="294"/>
      <c r="E479" s="294"/>
      <c r="F479" s="294"/>
      <c r="G479" s="294"/>
      <c r="H479" s="294"/>
      <c r="I479" s="294"/>
      <c r="J479" s="294"/>
      <c r="L479" s="295"/>
      <c r="M479" s="294"/>
      <c r="O479" s="294"/>
      <c r="P479" s="294"/>
      <c r="Q479" s="294"/>
      <c r="R479" s="294"/>
      <c r="S479" s="294"/>
      <c r="T479" s="294"/>
      <c r="U479" s="294"/>
      <c r="V479" s="294"/>
      <c r="W479" s="294"/>
      <c r="X479" s="294"/>
      <c r="Y479" s="294"/>
      <c r="Z479" s="294"/>
      <c r="AA479" s="294"/>
      <c r="AB479" s="294"/>
      <c r="AC479" s="294"/>
      <c r="AD479" s="294"/>
      <c r="AE479" s="294"/>
      <c r="AF479" s="294"/>
      <c r="AG479" s="294"/>
    </row>
    <row r="480" spans="2:33" x14ac:dyDescent="0.25">
      <c r="B480" s="294"/>
      <c r="C480" s="294"/>
      <c r="D480" s="294"/>
      <c r="E480" s="294"/>
      <c r="F480" s="294"/>
      <c r="G480" s="294"/>
      <c r="H480" s="294"/>
      <c r="I480" s="294"/>
      <c r="J480" s="294"/>
      <c r="L480" s="295"/>
      <c r="M480" s="294"/>
      <c r="O480" s="294"/>
      <c r="P480" s="294"/>
      <c r="Q480" s="294"/>
      <c r="R480" s="294"/>
      <c r="S480" s="294"/>
      <c r="T480" s="294"/>
      <c r="U480" s="294"/>
      <c r="V480" s="294"/>
      <c r="W480" s="294"/>
      <c r="X480" s="294"/>
      <c r="Y480" s="294"/>
      <c r="Z480" s="294"/>
      <c r="AA480" s="294"/>
      <c r="AB480" s="294"/>
      <c r="AC480" s="294"/>
      <c r="AD480" s="294"/>
      <c r="AE480" s="294"/>
      <c r="AF480" s="294"/>
      <c r="AG480" s="294"/>
    </row>
    <row r="481" spans="2:33" x14ac:dyDescent="0.25">
      <c r="B481" s="294"/>
      <c r="C481" s="294"/>
      <c r="D481" s="294"/>
      <c r="E481" s="294"/>
      <c r="F481" s="294"/>
      <c r="G481" s="294"/>
      <c r="H481" s="294"/>
      <c r="I481" s="294"/>
      <c r="J481" s="294"/>
      <c r="L481" s="295"/>
      <c r="M481" s="294"/>
      <c r="O481" s="294"/>
      <c r="P481" s="294"/>
      <c r="Q481" s="294"/>
      <c r="R481" s="294"/>
      <c r="S481" s="294"/>
      <c r="T481" s="294"/>
      <c r="U481" s="294"/>
      <c r="V481" s="294"/>
      <c r="W481" s="294"/>
      <c r="X481" s="294"/>
      <c r="Y481" s="294"/>
      <c r="Z481" s="294"/>
      <c r="AA481" s="294"/>
      <c r="AB481" s="294"/>
      <c r="AC481" s="294"/>
      <c r="AD481" s="294"/>
      <c r="AE481" s="294"/>
      <c r="AF481" s="294"/>
      <c r="AG481" s="294"/>
    </row>
    <row r="482" spans="2:33" x14ac:dyDescent="0.25">
      <c r="B482" s="294"/>
      <c r="C482" s="294"/>
      <c r="D482" s="294"/>
      <c r="E482" s="294"/>
      <c r="F482" s="294"/>
      <c r="G482" s="294"/>
      <c r="H482" s="294"/>
      <c r="I482" s="294"/>
      <c r="J482" s="294"/>
      <c r="L482" s="295"/>
      <c r="M482" s="294"/>
      <c r="O482" s="294"/>
      <c r="P482" s="294"/>
      <c r="Q482" s="294"/>
      <c r="R482" s="294"/>
      <c r="S482" s="294"/>
      <c r="T482" s="294"/>
      <c r="U482" s="294"/>
      <c r="V482" s="294"/>
      <c r="W482" s="294"/>
      <c r="X482" s="294"/>
      <c r="Y482" s="294"/>
      <c r="Z482" s="294"/>
      <c r="AA482" s="294"/>
      <c r="AB482" s="294"/>
      <c r="AC482" s="294"/>
      <c r="AD482" s="294"/>
      <c r="AE482" s="294"/>
      <c r="AF482" s="294"/>
      <c r="AG482" s="294"/>
    </row>
    <row r="483" spans="2:33" x14ac:dyDescent="0.25">
      <c r="B483" s="294"/>
      <c r="C483" s="294"/>
      <c r="D483" s="294"/>
      <c r="E483" s="294"/>
      <c r="F483" s="294"/>
      <c r="G483" s="294"/>
      <c r="H483" s="294"/>
      <c r="I483" s="294"/>
      <c r="J483" s="294"/>
      <c r="L483" s="295"/>
      <c r="M483" s="294"/>
      <c r="O483" s="294"/>
      <c r="P483" s="294"/>
      <c r="Q483" s="294"/>
      <c r="R483" s="294"/>
      <c r="S483" s="294"/>
      <c r="T483" s="294"/>
      <c r="U483" s="294"/>
      <c r="V483" s="294"/>
      <c r="W483" s="294"/>
      <c r="X483" s="294"/>
      <c r="Y483" s="294"/>
      <c r="Z483" s="294"/>
      <c r="AA483" s="294"/>
      <c r="AB483" s="294"/>
      <c r="AC483" s="294"/>
      <c r="AD483" s="294"/>
      <c r="AE483" s="294"/>
      <c r="AF483" s="294"/>
      <c r="AG483" s="294"/>
    </row>
    <row r="484" spans="2:33" x14ac:dyDescent="0.25">
      <c r="B484" s="294"/>
      <c r="C484" s="294"/>
      <c r="D484" s="294"/>
      <c r="E484" s="294"/>
      <c r="F484" s="294"/>
      <c r="G484" s="294"/>
      <c r="H484" s="294"/>
      <c r="I484" s="294"/>
      <c r="J484" s="294"/>
      <c r="L484" s="295"/>
      <c r="M484" s="294"/>
      <c r="O484" s="294"/>
      <c r="P484" s="294"/>
      <c r="Q484" s="294"/>
      <c r="R484" s="294"/>
      <c r="S484" s="294"/>
      <c r="T484" s="294"/>
      <c r="U484" s="294"/>
      <c r="V484" s="294"/>
      <c r="W484" s="294"/>
      <c r="X484" s="294"/>
      <c r="Y484" s="294"/>
      <c r="Z484" s="294"/>
      <c r="AA484" s="294"/>
      <c r="AB484" s="294"/>
      <c r="AC484" s="294"/>
      <c r="AD484" s="294"/>
      <c r="AE484" s="294"/>
      <c r="AF484" s="294"/>
      <c r="AG484" s="294"/>
    </row>
    <row r="485" spans="2:33" x14ac:dyDescent="0.25">
      <c r="B485" s="294"/>
      <c r="C485" s="294"/>
      <c r="D485" s="294"/>
      <c r="E485" s="294"/>
      <c r="F485" s="294"/>
      <c r="G485" s="294"/>
      <c r="H485" s="294"/>
      <c r="I485" s="294"/>
      <c r="J485" s="294"/>
      <c r="L485" s="295"/>
      <c r="M485" s="294"/>
      <c r="O485" s="294"/>
      <c r="P485" s="294"/>
      <c r="Q485" s="294"/>
      <c r="R485" s="294"/>
      <c r="S485" s="294"/>
      <c r="T485" s="294"/>
      <c r="U485" s="294"/>
      <c r="V485" s="294"/>
      <c r="W485" s="294"/>
      <c r="X485" s="294"/>
      <c r="Y485" s="294"/>
      <c r="Z485" s="294"/>
      <c r="AA485" s="294"/>
      <c r="AB485" s="294"/>
      <c r="AC485" s="294"/>
      <c r="AD485" s="294"/>
      <c r="AE485" s="294"/>
      <c r="AF485" s="294"/>
      <c r="AG485" s="294"/>
    </row>
    <row r="486" spans="2:33" x14ac:dyDescent="0.25">
      <c r="B486" s="294"/>
      <c r="C486" s="294"/>
      <c r="D486" s="294"/>
      <c r="E486" s="294"/>
      <c r="F486" s="294"/>
      <c r="G486" s="294"/>
      <c r="H486" s="294"/>
      <c r="I486" s="294"/>
      <c r="J486" s="294"/>
      <c r="L486" s="295"/>
      <c r="M486" s="294"/>
      <c r="O486" s="294"/>
      <c r="P486" s="294"/>
      <c r="Q486" s="294"/>
      <c r="R486" s="294"/>
      <c r="S486" s="294"/>
      <c r="T486" s="294"/>
      <c r="U486" s="294"/>
      <c r="V486" s="294"/>
      <c r="W486" s="294"/>
      <c r="X486" s="294"/>
      <c r="Y486" s="294"/>
      <c r="Z486" s="294"/>
      <c r="AA486" s="294"/>
      <c r="AB486" s="294"/>
      <c r="AC486" s="294"/>
      <c r="AD486" s="294"/>
      <c r="AE486" s="294"/>
      <c r="AF486" s="294"/>
      <c r="AG486" s="294"/>
    </row>
    <row r="487" spans="2:33" x14ac:dyDescent="0.25">
      <c r="B487" s="294"/>
      <c r="C487" s="294"/>
      <c r="D487" s="294"/>
      <c r="E487" s="294"/>
      <c r="F487" s="294"/>
      <c r="G487" s="294"/>
      <c r="H487" s="294"/>
      <c r="I487" s="294"/>
      <c r="J487" s="294"/>
      <c r="L487" s="295"/>
      <c r="M487" s="294"/>
      <c r="O487" s="294"/>
      <c r="P487" s="294"/>
      <c r="Q487" s="294"/>
      <c r="R487" s="294"/>
      <c r="S487" s="294"/>
      <c r="T487" s="294"/>
      <c r="U487" s="294"/>
      <c r="V487" s="294"/>
      <c r="W487" s="294"/>
      <c r="X487" s="294"/>
      <c r="Y487" s="294"/>
      <c r="Z487" s="294"/>
      <c r="AA487" s="294"/>
      <c r="AB487" s="294"/>
      <c r="AC487" s="294"/>
      <c r="AD487" s="294"/>
      <c r="AE487" s="294"/>
      <c r="AF487" s="294"/>
      <c r="AG487" s="294"/>
    </row>
    <row r="488" spans="2:33" x14ac:dyDescent="0.25">
      <c r="B488" s="294"/>
      <c r="C488" s="294"/>
      <c r="D488" s="294"/>
      <c r="E488" s="294"/>
      <c r="F488" s="294"/>
      <c r="G488" s="294"/>
      <c r="H488" s="294"/>
      <c r="I488" s="294"/>
      <c r="J488" s="294"/>
      <c r="L488" s="295"/>
      <c r="M488" s="294"/>
      <c r="O488" s="294"/>
      <c r="P488" s="294"/>
      <c r="Q488" s="294"/>
      <c r="R488" s="294"/>
      <c r="S488" s="294"/>
      <c r="T488" s="294"/>
      <c r="U488" s="294"/>
      <c r="V488" s="294"/>
      <c r="W488" s="294"/>
      <c r="X488" s="294"/>
      <c r="Y488" s="294"/>
      <c r="Z488" s="294"/>
      <c r="AA488" s="294"/>
      <c r="AB488" s="294"/>
      <c r="AC488" s="294"/>
      <c r="AD488" s="294"/>
      <c r="AE488" s="294"/>
      <c r="AF488" s="294"/>
      <c r="AG488" s="294"/>
    </row>
    <row r="489" spans="2:33" x14ac:dyDescent="0.25">
      <c r="B489" s="294"/>
      <c r="C489" s="294"/>
      <c r="D489" s="294"/>
      <c r="E489" s="294"/>
      <c r="F489" s="294"/>
      <c r="G489" s="294"/>
      <c r="H489" s="294"/>
      <c r="I489" s="294"/>
      <c r="J489" s="294"/>
      <c r="L489" s="295"/>
      <c r="M489" s="294"/>
      <c r="O489" s="294"/>
      <c r="P489" s="294"/>
      <c r="Q489" s="294"/>
      <c r="R489" s="294"/>
      <c r="S489" s="294"/>
      <c r="T489" s="294"/>
      <c r="U489" s="294"/>
      <c r="V489" s="294"/>
      <c r="W489" s="294"/>
      <c r="X489" s="294"/>
      <c r="Y489" s="294"/>
      <c r="Z489" s="294"/>
      <c r="AA489" s="294"/>
      <c r="AB489" s="294"/>
      <c r="AC489" s="294"/>
      <c r="AD489" s="294"/>
      <c r="AE489" s="294"/>
      <c r="AF489" s="294"/>
      <c r="AG489" s="294"/>
    </row>
    <row r="490" spans="2:33" x14ac:dyDescent="0.25">
      <c r="B490" s="294"/>
      <c r="C490" s="294"/>
      <c r="D490" s="294"/>
      <c r="E490" s="294"/>
      <c r="F490" s="294"/>
      <c r="G490" s="294"/>
      <c r="H490" s="294"/>
      <c r="I490" s="294"/>
      <c r="J490" s="294"/>
      <c r="L490" s="295"/>
      <c r="M490" s="294"/>
      <c r="O490" s="294"/>
      <c r="P490" s="294"/>
      <c r="Q490" s="294"/>
      <c r="R490" s="294"/>
      <c r="S490" s="294"/>
      <c r="T490" s="294"/>
      <c r="U490" s="294"/>
      <c r="V490" s="294"/>
      <c r="W490" s="294"/>
      <c r="X490" s="294"/>
      <c r="Y490" s="294"/>
      <c r="Z490" s="294"/>
      <c r="AA490" s="294"/>
      <c r="AB490" s="294"/>
      <c r="AC490" s="294"/>
      <c r="AD490" s="294"/>
      <c r="AE490" s="294"/>
      <c r="AF490" s="294"/>
      <c r="AG490" s="294"/>
    </row>
    <row r="491" spans="2:33" x14ac:dyDescent="0.25">
      <c r="B491" s="294"/>
      <c r="C491" s="294"/>
      <c r="D491" s="294"/>
      <c r="E491" s="294"/>
      <c r="F491" s="294"/>
      <c r="G491" s="294"/>
      <c r="H491" s="294"/>
      <c r="I491" s="294"/>
      <c r="J491" s="294"/>
      <c r="L491" s="295"/>
      <c r="M491" s="294"/>
      <c r="O491" s="294"/>
      <c r="P491" s="294"/>
      <c r="Q491" s="294"/>
      <c r="R491" s="294"/>
      <c r="S491" s="294"/>
      <c r="T491" s="294"/>
      <c r="U491" s="294"/>
      <c r="V491" s="294"/>
      <c r="W491" s="294"/>
      <c r="X491" s="294"/>
      <c r="Y491" s="294"/>
      <c r="Z491" s="294"/>
      <c r="AA491" s="294"/>
      <c r="AB491" s="294"/>
      <c r="AC491" s="294"/>
      <c r="AD491" s="294"/>
      <c r="AE491" s="294"/>
      <c r="AF491" s="294"/>
      <c r="AG491" s="294"/>
    </row>
    <row r="492" spans="2:33" x14ac:dyDescent="0.25">
      <c r="B492" s="294"/>
      <c r="C492" s="294"/>
      <c r="D492" s="294"/>
      <c r="E492" s="294"/>
      <c r="F492" s="294"/>
      <c r="G492" s="294"/>
      <c r="H492" s="294"/>
      <c r="I492" s="294"/>
      <c r="J492" s="294"/>
      <c r="L492" s="295"/>
      <c r="M492" s="294"/>
      <c r="O492" s="294"/>
      <c r="P492" s="294"/>
      <c r="Q492" s="294"/>
      <c r="R492" s="294"/>
      <c r="S492" s="294"/>
      <c r="T492" s="294"/>
      <c r="U492" s="294"/>
      <c r="V492" s="294"/>
      <c r="W492" s="294"/>
      <c r="X492" s="294"/>
      <c r="Y492" s="294"/>
      <c r="Z492" s="294"/>
      <c r="AA492" s="294"/>
      <c r="AB492" s="294"/>
      <c r="AC492" s="294"/>
      <c r="AD492" s="294"/>
      <c r="AE492" s="294"/>
      <c r="AF492" s="294"/>
      <c r="AG492" s="294"/>
    </row>
    <row r="493" spans="2:33" x14ac:dyDescent="0.25">
      <c r="B493" s="294"/>
      <c r="C493" s="294"/>
      <c r="D493" s="294"/>
      <c r="E493" s="294"/>
      <c r="F493" s="294"/>
      <c r="G493" s="294"/>
      <c r="H493" s="294"/>
      <c r="I493" s="294"/>
      <c r="J493" s="294"/>
      <c r="L493" s="295"/>
      <c r="M493" s="294"/>
      <c r="O493" s="294"/>
      <c r="P493" s="294"/>
      <c r="Q493" s="294"/>
      <c r="R493" s="294"/>
      <c r="S493" s="294"/>
      <c r="T493" s="294"/>
      <c r="U493" s="294"/>
      <c r="V493" s="294"/>
      <c r="W493" s="294"/>
      <c r="X493" s="294"/>
      <c r="Y493" s="294"/>
      <c r="Z493" s="294"/>
      <c r="AA493" s="294"/>
      <c r="AB493" s="294"/>
      <c r="AC493" s="294"/>
      <c r="AD493" s="294"/>
      <c r="AE493" s="294"/>
      <c r="AF493" s="294"/>
      <c r="AG493" s="294"/>
    </row>
    <row r="494" spans="2:33" x14ac:dyDescent="0.25">
      <c r="B494" s="294"/>
      <c r="C494" s="294"/>
      <c r="D494" s="294"/>
      <c r="E494" s="294"/>
      <c r="F494" s="294"/>
      <c r="G494" s="294"/>
      <c r="H494" s="294"/>
      <c r="I494" s="294"/>
      <c r="J494" s="294"/>
      <c r="L494" s="295"/>
      <c r="M494" s="294"/>
      <c r="O494" s="294"/>
      <c r="P494" s="294"/>
      <c r="Q494" s="294"/>
      <c r="R494" s="294"/>
      <c r="S494" s="294"/>
      <c r="T494" s="294"/>
      <c r="U494" s="294"/>
      <c r="V494" s="294"/>
      <c r="W494" s="294"/>
      <c r="X494" s="294"/>
      <c r="Y494" s="294"/>
      <c r="Z494" s="294"/>
      <c r="AA494" s="294"/>
      <c r="AB494" s="294"/>
      <c r="AC494" s="294"/>
      <c r="AD494" s="294"/>
      <c r="AE494" s="294"/>
      <c r="AF494" s="294"/>
      <c r="AG494" s="294"/>
    </row>
    <row r="495" spans="2:33" x14ac:dyDescent="0.25">
      <c r="B495" s="294"/>
      <c r="C495" s="294"/>
      <c r="D495" s="294"/>
      <c r="E495" s="294"/>
      <c r="F495" s="294"/>
      <c r="G495" s="294"/>
      <c r="H495" s="294"/>
      <c r="I495" s="294"/>
      <c r="J495" s="294"/>
      <c r="L495" s="295"/>
      <c r="M495" s="294"/>
      <c r="O495" s="294"/>
      <c r="P495" s="294"/>
      <c r="Q495" s="294"/>
      <c r="R495" s="294"/>
      <c r="S495" s="294"/>
      <c r="T495" s="294"/>
      <c r="U495" s="294"/>
      <c r="V495" s="294"/>
      <c r="W495" s="294"/>
      <c r="X495" s="294"/>
      <c r="Y495" s="294"/>
      <c r="Z495" s="294"/>
      <c r="AA495" s="294"/>
      <c r="AB495" s="294"/>
      <c r="AC495" s="294"/>
      <c r="AD495" s="294"/>
      <c r="AE495" s="294"/>
      <c r="AF495" s="294"/>
      <c r="AG495" s="294"/>
    </row>
    <row r="496" spans="2:33" x14ac:dyDescent="0.25">
      <c r="B496" s="294"/>
      <c r="C496" s="294"/>
      <c r="D496" s="294"/>
      <c r="E496" s="294"/>
      <c r="F496" s="294"/>
      <c r="G496" s="294"/>
      <c r="H496" s="294"/>
      <c r="I496" s="294"/>
      <c r="J496" s="294"/>
      <c r="L496" s="295"/>
      <c r="M496" s="294"/>
      <c r="O496" s="294"/>
      <c r="P496" s="294"/>
      <c r="Q496" s="294"/>
      <c r="R496" s="294"/>
      <c r="S496" s="294"/>
      <c r="T496" s="294"/>
      <c r="U496" s="294"/>
      <c r="V496" s="294"/>
      <c r="W496" s="294"/>
      <c r="X496" s="294"/>
      <c r="Y496" s="294"/>
      <c r="Z496" s="294"/>
      <c r="AA496" s="294"/>
      <c r="AB496" s="294"/>
      <c r="AC496" s="294"/>
      <c r="AD496" s="294"/>
      <c r="AE496" s="294"/>
      <c r="AF496" s="294"/>
      <c r="AG496" s="294"/>
    </row>
    <row r="497" spans="2:33" x14ac:dyDescent="0.25">
      <c r="B497" s="294"/>
      <c r="C497" s="294"/>
      <c r="D497" s="294"/>
      <c r="E497" s="294"/>
      <c r="F497" s="294"/>
      <c r="G497" s="294"/>
      <c r="H497" s="294"/>
      <c r="I497" s="294"/>
      <c r="J497" s="294"/>
      <c r="L497" s="295"/>
      <c r="M497" s="294"/>
      <c r="O497" s="294"/>
      <c r="P497" s="294"/>
      <c r="Q497" s="294"/>
      <c r="R497" s="294"/>
      <c r="S497" s="294"/>
      <c r="T497" s="294"/>
      <c r="U497" s="294"/>
      <c r="V497" s="294"/>
      <c r="W497" s="294"/>
      <c r="X497" s="294"/>
      <c r="Y497" s="294"/>
      <c r="Z497" s="294"/>
      <c r="AA497" s="294"/>
      <c r="AB497" s="294"/>
      <c r="AC497" s="294"/>
      <c r="AD497" s="294"/>
      <c r="AE497" s="294"/>
      <c r="AF497" s="294"/>
      <c r="AG497" s="294"/>
    </row>
    <row r="498" spans="2:33" x14ac:dyDescent="0.25">
      <c r="B498" s="294"/>
      <c r="C498" s="294"/>
      <c r="D498" s="294"/>
      <c r="E498" s="294"/>
      <c r="F498" s="294"/>
      <c r="G498" s="294"/>
      <c r="H498" s="294"/>
      <c r="I498" s="294"/>
      <c r="J498" s="294"/>
      <c r="L498" s="295"/>
      <c r="M498" s="294"/>
      <c r="O498" s="294"/>
      <c r="P498" s="294"/>
      <c r="Q498" s="294"/>
      <c r="R498" s="294"/>
      <c r="S498" s="294"/>
      <c r="T498" s="294"/>
      <c r="U498" s="294"/>
      <c r="V498" s="294"/>
      <c r="W498" s="294"/>
      <c r="X498" s="294"/>
      <c r="Y498" s="294"/>
      <c r="Z498" s="294"/>
      <c r="AA498" s="294"/>
      <c r="AB498" s="294"/>
      <c r="AC498" s="294"/>
      <c r="AD498" s="294"/>
      <c r="AE498" s="294"/>
      <c r="AF498" s="294"/>
      <c r="AG498" s="294"/>
    </row>
    <row r="499" spans="2:33" x14ac:dyDescent="0.25">
      <c r="B499" s="294"/>
      <c r="C499" s="294"/>
      <c r="D499" s="294"/>
      <c r="E499" s="294"/>
      <c r="F499" s="294"/>
      <c r="G499" s="294"/>
      <c r="H499" s="294"/>
      <c r="I499" s="294"/>
      <c r="J499" s="294"/>
      <c r="L499" s="295"/>
      <c r="M499" s="294"/>
      <c r="O499" s="294"/>
      <c r="P499" s="294"/>
      <c r="Q499" s="294"/>
      <c r="R499" s="294"/>
      <c r="S499" s="294"/>
      <c r="T499" s="294"/>
      <c r="U499" s="294"/>
      <c r="V499" s="294"/>
      <c r="W499" s="294"/>
      <c r="X499" s="294"/>
      <c r="Y499" s="294"/>
      <c r="Z499" s="294"/>
      <c r="AA499" s="294"/>
      <c r="AB499" s="294"/>
      <c r="AC499" s="294"/>
      <c r="AD499" s="294"/>
      <c r="AE499" s="294"/>
      <c r="AF499" s="294"/>
      <c r="AG499" s="294"/>
    </row>
    <row r="500" spans="2:33" x14ac:dyDescent="0.25">
      <c r="B500" s="294"/>
      <c r="C500" s="294"/>
      <c r="D500" s="294"/>
      <c r="E500" s="294"/>
      <c r="F500" s="294"/>
      <c r="G500" s="294"/>
      <c r="H500" s="294"/>
      <c r="I500" s="294"/>
      <c r="J500" s="294"/>
      <c r="L500" s="295"/>
      <c r="M500" s="294"/>
      <c r="O500" s="294"/>
      <c r="P500" s="294"/>
      <c r="Q500" s="294"/>
      <c r="R500" s="294"/>
      <c r="S500" s="294"/>
      <c r="T500" s="294"/>
      <c r="U500" s="294"/>
      <c r="V500" s="294"/>
      <c r="W500" s="294"/>
      <c r="X500" s="294"/>
      <c r="Y500" s="294"/>
      <c r="Z500" s="294"/>
      <c r="AA500" s="294"/>
      <c r="AB500" s="294"/>
      <c r="AC500" s="294"/>
      <c r="AD500" s="294"/>
      <c r="AE500" s="294"/>
      <c r="AF500" s="294"/>
      <c r="AG500" s="294"/>
    </row>
    <row r="501" spans="2:33" x14ac:dyDescent="0.25">
      <c r="B501" s="294"/>
      <c r="C501" s="294"/>
      <c r="D501" s="294"/>
      <c r="E501" s="294"/>
      <c r="F501" s="294"/>
      <c r="G501" s="294"/>
      <c r="H501" s="294"/>
      <c r="I501" s="294"/>
      <c r="J501" s="294"/>
      <c r="L501" s="295"/>
      <c r="M501" s="294"/>
      <c r="O501" s="294"/>
      <c r="P501" s="294"/>
      <c r="Q501" s="294"/>
      <c r="R501" s="294"/>
      <c r="S501" s="294"/>
      <c r="T501" s="294"/>
      <c r="U501" s="294"/>
      <c r="V501" s="294"/>
      <c r="W501" s="294"/>
      <c r="X501" s="294"/>
      <c r="Y501" s="294"/>
      <c r="Z501" s="294"/>
      <c r="AA501" s="294"/>
      <c r="AB501" s="294"/>
      <c r="AC501" s="294"/>
      <c r="AD501" s="294"/>
      <c r="AE501" s="294"/>
      <c r="AF501" s="294"/>
      <c r="AG501" s="294"/>
    </row>
    <row r="502" spans="2:33" x14ac:dyDescent="0.25">
      <c r="B502" s="294"/>
      <c r="C502" s="294"/>
      <c r="D502" s="294"/>
      <c r="E502" s="294"/>
      <c r="F502" s="294"/>
      <c r="G502" s="294"/>
      <c r="H502" s="294"/>
      <c r="I502" s="294"/>
      <c r="J502" s="294"/>
      <c r="L502" s="295"/>
      <c r="M502" s="294"/>
      <c r="O502" s="294"/>
      <c r="P502" s="294"/>
      <c r="Q502" s="294"/>
      <c r="R502" s="294"/>
      <c r="S502" s="294"/>
      <c r="T502" s="294"/>
      <c r="U502" s="294"/>
      <c r="V502" s="294"/>
      <c r="W502" s="294"/>
      <c r="X502" s="294"/>
      <c r="Y502" s="294"/>
      <c r="Z502" s="294"/>
      <c r="AA502" s="294"/>
      <c r="AB502" s="294"/>
      <c r="AC502" s="294"/>
      <c r="AD502" s="294"/>
      <c r="AE502" s="294"/>
      <c r="AF502" s="294"/>
      <c r="AG502" s="294"/>
    </row>
    <row r="503" spans="2:33" x14ac:dyDescent="0.25">
      <c r="B503" s="294"/>
      <c r="C503" s="294"/>
      <c r="D503" s="294"/>
      <c r="E503" s="294"/>
      <c r="F503" s="294"/>
      <c r="G503" s="294"/>
      <c r="H503" s="294"/>
      <c r="I503" s="294"/>
      <c r="J503" s="294"/>
      <c r="L503" s="295"/>
      <c r="M503" s="294"/>
      <c r="O503" s="294"/>
      <c r="P503" s="294"/>
      <c r="Q503" s="294"/>
      <c r="R503" s="294"/>
      <c r="S503" s="294"/>
      <c r="T503" s="294"/>
      <c r="U503" s="294"/>
      <c r="V503" s="294"/>
      <c r="W503" s="294"/>
      <c r="X503" s="294"/>
      <c r="Y503" s="294"/>
      <c r="Z503" s="294"/>
      <c r="AA503" s="294"/>
      <c r="AB503" s="294"/>
      <c r="AC503" s="294"/>
      <c r="AD503" s="294"/>
      <c r="AE503" s="294"/>
      <c r="AF503" s="294"/>
      <c r="AG503" s="294"/>
    </row>
    <row r="504" spans="2:33" x14ac:dyDescent="0.25">
      <c r="B504" s="294"/>
      <c r="C504" s="294"/>
      <c r="D504" s="294"/>
      <c r="E504" s="294"/>
      <c r="F504" s="294"/>
      <c r="G504" s="294"/>
      <c r="H504" s="294"/>
      <c r="I504" s="294"/>
      <c r="J504" s="294"/>
      <c r="L504" s="295"/>
      <c r="M504" s="294"/>
      <c r="O504" s="294"/>
      <c r="P504" s="294"/>
      <c r="Q504" s="294"/>
      <c r="R504" s="294"/>
      <c r="S504" s="294"/>
      <c r="T504" s="294"/>
      <c r="U504" s="294"/>
      <c r="V504" s="294"/>
      <c r="W504" s="294"/>
      <c r="X504" s="294"/>
      <c r="Y504" s="294"/>
      <c r="Z504" s="294"/>
      <c r="AA504" s="294"/>
      <c r="AB504" s="294"/>
      <c r="AC504" s="294"/>
      <c r="AD504" s="294"/>
      <c r="AE504" s="294"/>
      <c r="AF504" s="294"/>
      <c r="AG504" s="294"/>
    </row>
    <row r="505" spans="2:33" x14ac:dyDescent="0.25">
      <c r="B505" s="294"/>
      <c r="C505" s="294"/>
      <c r="D505" s="294"/>
      <c r="E505" s="294"/>
      <c r="F505" s="294"/>
      <c r="G505" s="294"/>
      <c r="H505" s="294"/>
      <c r="I505" s="294"/>
      <c r="J505" s="294"/>
      <c r="L505" s="295"/>
      <c r="M505" s="294"/>
      <c r="O505" s="294"/>
      <c r="P505" s="294"/>
      <c r="Q505" s="294"/>
      <c r="R505" s="294"/>
      <c r="S505" s="294"/>
      <c r="T505" s="294"/>
      <c r="U505" s="294"/>
      <c r="V505" s="294"/>
      <c r="W505" s="294"/>
      <c r="X505" s="294"/>
      <c r="Y505" s="294"/>
      <c r="Z505" s="294"/>
      <c r="AA505" s="294"/>
      <c r="AB505" s="294"/>
      <c r="AC505" s="294"/>
      <c r="AD505" s="294"/>
      <c r="AE505" s="294"/>
      <c r="AF505" s="294"/>
      <c r="AG505" s="294"/>
    </row>
    <row r="506" spans="2:33" x14ac:dyDescent="0.25">
      <c r="B506" s="294"/>
      <c r="C506" s="294"/>
      <c r="D506" s="294"/>
      <c r="E506" s="294"/>
      <c r="F506" s="294"/>
      <c r="G506" s="294"/>
      <c r="H506" s="294"/>
      <c r="I506" s="294"/>
      <c r="J506" s="294"/>
      <c r="L506" s="295"/>
      <c r="M506" s="294"/>
      <c r="O506" s="294"/>
      <c r="P506" s="294"/>
      <c r="Q506" s="294"/>
      <c r="R506" s="294"/>
      <c r="S506" s="294"/>
      <c r="T506" s="294"/>
      <c r="U506" s="294"/>
      <c r="V506" s="294"/>
      <c r="W506" s="294"/>
      <c r="X506" s="294"/>
      <c r="Y506" s="294"/>
      <c r="Z506" s="294"/>
      <c r="AA506" s="294"/>
      <c r="AB506" s="294"/>
      <c r="AC506" s="294"/>
      <c r="AD506" s="294"/>
      <c r="AE506" s="294"/>
      <c r="AF506" s="294"/>
      <c r="AG506" s="294"/>
    </row>
    <row r="507" spans="2:33" x14ac:dyDescent="0.25">
      <c r="B507" s="294"/>
      <c r="C507" s="294"/>
      <c r="D507" s="294"/>
      <c r="E507" s="294"/>
      <c r="F507" s="294"/>
      <c r="G507" s="294"/>
      <c r="H507" s="294"/>
      <c r="I507" s="294"/>
      <c r="J507" s="294"/>
      <c r="L507" s="295"/>
      <c r="M507" s="294"/>
      <c r="O507" s="294"/>
      <c r="P507" s="294"/>
      <c r="Q507" s="294"/>
      <c r="R507" s="294"/>
      <c r="S507" s="294"/>
      <c r="T507" s="294"/>
      <c r="U507" s="294"/>
      <c r="V507" s="294"/>
      <c r="W507" s="294"/>
      <c r="X507" s="294"/>
      <c r="Y507" s="294"/>
      <c r="Z507" s="294"/>
      <c r="AA507" s="294"/>
      <c r="AB507" s="294"/>
      <c r="AC507" s="294"/>
      <c r="AD507" s="294"/>
      <c r="AE507" s="294"/>
      <c r="AF507" s="294"/>
      <c r="AG507" s="294"/>
    </row>
    <row r="508" spans="2:33" x14ac:dyDescent="0.25">
      <c r="B508" s="294"/>
      <c r="C508" s="294"/>
      <c r="D508" s="294"/>
      <c r="E508" s="294"/>
      <c r="F508" s="294"/>
      <c r="G508" s="294"/>
      <c r="H508" s="294"/>
      <c r="I508" s="294"/>
      <c r="J508" s="294"/>
      <c r="L508" s="295"/>
      <c r="M508" s="294"/>
      <c r="O508" s="294"/>
      <c r="P508" s="294"/>
      <c r="Q508" s="294"/>
      <c r="R508" s="294"/>
      <c r="S508" s="294"/>
      <c r="T508" s="294"/>
      <c r="U508" s="294"/>
      <c r="V508" s="294"/>
      <c r="W508" s="294"/>
      <c r="X508" s="294"/>
      <c r="Y508" s="294"/>
      <c r="Z508" s="294"/>
      <c r="AA508" s="294"/>
      <c r="AB508" s="294"/>
      <c r="AC508" s="294"/>
      <c r="AD508" s="294"/>
      <c r="AE508" s="294"/>
      <c r="AF508" s="294"/>
      <c r="AG508" s="294"/>
    </row>
    <row r="509" spans="2:33" x14ac:dyDescent="0.25">
      <c r="B509" s="294"/>
      <c r="C509" s="294"/>
      <c r="D509" s="294"/>
      <c r="E509" s="294"/>
      <c r="F509" s="294"/>
      <c r="G509" s="294"/>
      <c r="H509" s="294"/>
      <c r="I509" s="294"/>
      <c r="J509" s="294"/>
      <c r="L509" s="295"/>
      <c r="M509" s="294"/>
      <c r="O509" s="294"/>
      <c r="P509" s="294"/>
      <c r="Q509" s="294"/>
      <c r="R509" s="294"/>
      <c r="S509" s="294"/>
      <c r="T509" s="294"/>
      <c r="U509" s="294"/>
      <c r="V509" s="294"/>
      <c r="W509" s="294"/>
      <c r="X509" s="294"/>
      <c r="Y509" s="294"/>
      <c r="Z509" s="294"/>
      <c r="AA509" s="294"/>
      <c r="AB509" s="294"/>
      <c r="AC509" s="294"/>
      <c r="AD509" s="294"/>
      <c r="AE509" s="294"/>
      <c r="AF509" s="294"/>
      <c r="AG509" s="294"/>
    </row>
    <row r="510" spans="2:33" x14ac:dyDescent="0.25">
      <c r="B510" s="294"/>
      <c r="C510" s="294"/>
      <c r="D510" s="294"/>
      <c r="E510" s="294"/>
      <c r="F510" s="294"/>
      <c r="G510" s="294"/>
      <c r="H510" s="294"/>
      <c r="I510" s="294"/>
      <c r="J510" s="294"/>
      <c r="L510" s="295"/>
      <c r="M510" s="294"/>
      <c r="O510" s="294"/>
      <c r="P510" s="294"/>
      <c r="Q510" s="294"/>
      <c r="R510" s="294"/>
      <c r="S510" s="294"/>
      <c r="T510" s="294"/>
      <c r="U510" s="294"/>
      <c r="V510" s="294"/>
      <c r="W510" s="294"/>
      <c r="X510" s="294"/>
      <c r="Y510" s="294"/>
      <c r="Z510" s="294"/>
      <c r="AA510" s="294"/>
      <c r="AB510" s="294"/>
      <c r="AC510" s="294"/>
      <c r="AD510" s="294"/>
      <c r="AE510" s="294"/>
      <c r="AF510" s="294"/>
      <c r="AG510" s="294"/>
    </row>
    <row r="511" spans="2:33" x14ac:dyDescent="0.25">
      <c r="B511" s="294"/>
      <c r="C511" s="294"/>
      <c r="D511" s="294"/>
      <c r="E511" s="294"/>
      <c r="F511" s="294"/>
      <c r="G511" s="294"/>
      <c r="H511" s="294"/>
      <c r="I511" s="294"/>
      <c r="J511" s="294"/>
      <c r="L511" s="295"/>
      <c r="M511" s="294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</row>
    <row r="512" spans="2:33" x14ac:dyDescent="0.25">
      <c r="B512" s="294"/>
      <c r="C512" s="294"/>
      <c r="D512" s="294"/>
      <c r="E512" s="294"/>
      <c r="F512" s="294"/>
      <c r="G512" s="294"/>
      <c r="H512" s="294"/>
      <c r="I512" s="294"/>
      <c r="J512" s="294"/>
      <c r="L512" s="295"/>
      <c r="M512" s="294"/>
      <c r="O512" s="294"/>
      <c r="P512" s="294"/>
      <c r="Q512" s="294"/>
      <c r="R512" s="294"/>
      <c r="S512" s="294"/>
      <c r="T512" s="294"/>
      <c r="U512" s="294"/>
      <c r="V512" s="294"/>
      <c r="W512" s="294"/>
      <c r="X512" s="294"/>
      <c r="Y512" s="294"/>
      <c r="Z512" s="294"/>
      <c r="AA512" s="294"/>
      <c r="AB512" s="294"/>
      <c r="AC512" s="294"/>
      <c r="AD512" s="294"/>
      <c r="AE512" s="294"/>
      <c r="AF512" s="294"/>
      <c r="AG512" s="294"/>
    </row>
    <row r="513" spans="2:33" x14ac:dyDescent="0.25">
      <c r="B513" s="294"/>
      <c r="C513" s="294"/>
      <c r="D513" s="294"/>
      <c r="E513" s="294"/>
      <c r="F513" s="294"/>
      <c r="G513" s="294"/>
      <c r="H513" s="294"/>
      <c r="I513" s="294"/>
      <c r="J513" s="294"/>
      <c r="L513" s="295"/>
      <c r="M513" s="294"/>
      <c r="O513" s="294"/>
      <c r="P513" s="294"/>
      <c r="Q513" s="294"/>
      <c r="R513" s="294"/>
      <c r="S513" s="294"/>
      <c r="T513" s="294"/>
      <c r="U513" s="294"/>
      <c r="V513" s="294"/>
      <c r="W513" s="294"/>
      <c r="X513" s="294"/>
      <c r="Y513" s="294"/>
      <c r="Z513" s="294"/>
      <c r="AA513" s="294"/>
      <c r="AB513" s="294"/>
      <c r="AC513" s="294"/>
      <c r="AD513" s="294"/>
      <c r="AE513" s="294"/>
      <c r="AF513" s="294"/>
      <c r="AG513" s="294"/>
    </row>
    <row r="514" spans="2:33" x14ac:dyDescent="0.25">
      <c r="B514" s="294"/>
      <c r="C514" s="294"/>
      <c r="D514" s="294"/>
      <c r="E514" s="294"/>
      <c r="F514" s="294"/>
      <c r="G514" s="294"/>
      <c r="H514" s="294"/>
      <c r="I514" s="294"/>
      <c r="J514" s="294"/>
      <c r="L514" s="295"/>
      <c r="M514" s="294"/>
      <c r="O514" s="294"/>
      <c r="P514" s="294"/>
      <c r="Q514" s="294"/>
      <c r="R514" s="294"/>
      <c r="S514" s="294"/>
      <c r="T514" s="294"/>
      <c r="U514" s="294"/>
      <c r="V514" s="294"/>
      <c r="W514" s="294"/>
      <c r="X514" s="294"/>
      <c r="Y514" s="294"/>
      <c r="Z514" s="294"/>
      <c r="AA514" s="294"/>
      <c r="AB514" s="294"/>
      <c r="AC514" s="294"/>
      <c r="AD514" s="294"/>
      <c r="AE514" s="294"/>
      <c r="AF514" s="294"/>
      <c r="AG514" s="294"/>
    </row>
    <row r="515" spans="2:33" x14ac:dyDescent="0.25">
      <c r="B515" s="294"/>
      <c r="C515" s="294"/>
      <c r="D515" s="294"/>
      <c r="E515" s="294"/>
      <c r="F515" s="294"/>
      <c r="G515" s="294"/>
      <c r="H515" s="294"/>
      <c r="I515" s="294"/>
      <c r="J515" s="294"/>
      <c r="L515" s="295"/>
      <c r="M515" s="294"/>
      <c r="O515" s="294"/>
      <c r="P515" s="294"/>
      <c r="Q515" s="294"/>
      <c r="R515" s="294"/>
      <c r="S515" s="294"/>
      <c r="T515" s="294"/>
      <c r="U515" s="294"/>
      <c r="V515" s="294"/>
      <c r="W515" s="294"/>
      <c r="X515" s="294"/>
      <c r="Y515" s="294"/>
      <c r="Z515" s="294"/>
      <c r="AA515" s="294"/>
      <c r="AB515" s="294"/>
      <c r="AC515" s="294"/>
      <c r="AD515" s="294"/>
      <c r="AE515" s="294"/>
      <c r="AF515" s="294"/>
      <c r="AG515" s="294"/>
    </row>
    <row r="516" spans="2:33" x14ac:dyDescent="0.25">
      <c r="B516" s="294"/>
      <c r="C516" s="294"/>
      <c r="D516" s="294"/>
      <c r="E516" s="294"/>
      <c r="F516" s="294"/>
      <c r="G516" s="294"/>
      <c r="H516" s="294"/>
      <c r="I516" s="294"/>
      <c r="J516" s="294"/>
      <c r="L516" s="295"/>
      <c r="M516" s="294"/>
      <c r="O516" s="294"/>
      <c r="P516" s="294"/>
      <c r="Q516" s="294"/>
      <c r="R516" s="294"/>
      <c r="S516" s="294"/>
      <c r="T516" s="294"/>
      <c r="U516" s="294"/>
      <c r="V516" s="294"/>
      <c r="W516" s="294"/>
      <c r="X516" s="294"/>
      <c r="Y516" s="294"/>
      <c r="Z516" s="294"/>
      <c r="AA516" s="294"/>
      <c r="AB516" s="294"/>
      <c r="AC516" s="294"/>
      <c r="AD516" s="294"/>
      <c r="AE516" s="294"/>
      <c r="AF516" s="294"/>
      <c r="AG516" s="294"/>
    </row>
    <row r="517" spans="2:33" x14ac:dyDescent="0.25">
      <c r="B517" s="294"/>
      <c r="C517" s="294"/>
      <c r="D517" s="294"/>
      <c r="E517" s="294"/>
      <c r="F517" s="294"/>
      <c r="G517" s="294"/>
      <c r="H517" s="294"/>
      <c r="I517" s="294"/>
      <c r="J517" s="294"/>
      <c r="L517" s="295"/>
      <c r="M517" s="294"/>
      <c r="O517" s="294"/>
      <c r="P517" s="294"/>
      <c r="Q517" s="294"/>
      <c r="R517" s="294"/>
      <c r="S517" s="294"/>
      <c r="T517" s="294"/>
      <c r="U517" s="294"/>
      <c r="V517" s="294"/>
      <c r="W517" s="294"/>
      <c r="X517" s="294"/>
      <c r="Y517" s="294"/>
      <c r="Z517" s="294"/>
      <c r="AA517" s="294"/>
      <c r="AB517" s="294"/>
      <c r="AC517" s="294"/>
      <c r="AD517" s="294"/>
      <c r="AE517" s="294"/>
      <c r="AF517" s="294"/>
      <c r="AG517" s="294"/>
    </row>
    <row r="518" spans="2:33" x14ac:dyDescent="0.25">
      <c r="B518" s="294"/>
      <c r="C518" s="294"/>
      <c r="D518" s="294"/>
      <c r="E518" s="294"/>
      <c r="F518" s="294"/>
      <c r="G518" s="294"/>
      <c r="H518" s="294"/>
      <c r="I518" s="294"/>
      <c r="J518" s="294"/>
      <c r="L518" s="295"/>
      <c r="M518" s="294"/>
      <c r="O518" s="294"/>
      <c r="P518" s="294"/>
      <c r="Q518" s="294"/>
      <c r="R518" s="294"/>
      <c r="S518" s="294"/>
      <c r="T518" s="294"/>
      <c r="U518" s="294"/>
      <c r="V518" s="294"/>
      <c r="W518" s="294"/>
      <c r="X518" s="294"/>
      <c r="Y518" s="294"/>
      <c r="Z518" s="294"/>
      <c r="AA518" s="294"/>
      <c r="AB518" s="294"/>
      <c r="AC518" s="294"/>
      <c r="AD518" s="294"/>
      <c r="AE518" s="294"/>
      <c r="AF518" s="294"/>
      <c r="AG518" s="294"/>
    </row>
    <row r="519" spans="2:33" x14ac:dyDescent="0.25">
      <c r="B519" s="294"/>
      <c r="C519" s="294"/>
      <c r="D519" s="294"/>
      <c r="E519" s="294"/>
      <c r="F519" s="294"/>
      <c r="G519" s="294"/>
      <c r="H519" s="294"/>
      <c r="I519" s="294"/>
      <c r="J519" s="294"/>
      <c r="L519" s="295"/>
      <c r="M519" s="294"/>
      <c r="O519" s="294"/>
      <c r="P519" s="294"/>
      <c r="Q519" s="294"/>
      <c r="R519" s="294"/>
      <c r="S519" s="294"/>
      <c r="T519" s="294"/>
      <c r="U519" s="294"/>
      <c r="V519" s="294"/>
      <c r="W519" s="294"/>
      <c r="X519" s="294"/>
      <c r="Y519" s="294"/>
      <c r="Z519" s="294"/>
      <c r="AA519" s="294"/>
      <c r="AB519" s="294"/>
      <c r="AC519" s="294"/>
      <c r="AD519" s="294"/>
      <c r="AE519" s="294"/>
      <c r="AF519" s="294"/>
      <c r="AG519" s="294"/>
    </row>
    <row r="520" spans="2:33" x14ac:dyDescent="0.25">
      <c r="B520" s="294"/>
      <c r="C520" s="294"/>
      <c r="D520" s="294"/>
      <c r="E520" s="294"/>
      <c r="F520" s="294"/>
      <c r="G520" s="294"/>
      <c r="H520" s="294"/>
      <c r="I520" s="294"/>
      <c r="J520" s="294"/>
      <c r="L520" s="295"/>
      <c r="M520" s="294"/>
      <c r="O520" s="294"/>
      <c r="P520" s="294"/>
      <c r="Q520" s="294"/>
      <c r="R520" s="294"/>
      <c r="S520" s="294"/>
      <c r="T520" s="294"/>
      <c r="U520" s="294"/>
      <c r="V520" s="294"/>
      <c r="W520" s="294"/>
      <c r="X520" s="294"/>
      <c r="Y520" s="294"/>
      <c r="Z520" s="294"/>
      <c r="AA520" s="294"/>
      <c r="AB520" s="294"/>
      <c r="AC520" s="294"/>
      <c r="AD520" s="294"/>
      <c r="AE520" s="294"/>
      <c r="AF520" s="294"/>
      <c r="AG520" s="294"/>
    </row>
    <row r="521" spans="2:33" x14ac:dyDescent="0.25">
      <c r="B521" s="294"/>
      <c r="C521" s="294"/>
      <c r="D521" s="294"/>
      <c r="E521" s="294"/>
      <c r="F521" s="294"/>
      <c r="G521" s="294"/>
      <c r="H521" s="294"/>
      <c r="I521" s="294"/>
      <c r="J521" s="294"/>
      <c r="L521" s="295"/>
      <c r="M521" s="294"/>
      <c r="O521" s="294"/>
      <c r="P521" s="294"/>
      <c r="Q521" s="294"/>
      <c r="R521" s="294"/>
      <c r="S521" s="294"/>
      <c r="T521" s="294"/>
      <c r="U521" s="294"/>
      <c r="V521" s="294"/>
      <c r="W521" s="294"/>
      <c r="X521" s="294"/>
      <c r="Y521" s="294"/>
      <c r="Z521" s="294"/>
      <c r="AA521" s="294"/>
      <c r="AB521" s="294"/>
      <c r="AC521" s="294"/>
      <c r="AD521" s="294"/>
      <c r="AE521" s="294"/>
      <c r="AF521" s="294"/>
      <c r="AG521" s="294"/>
    </row>
    <row r="522" spans="2:33" x14ac:dyDescent="0.25">
      <c r="B522" s="294"/>
      <c r="C522" s="294"/>
      <c r="D522" s="294"/>
      <c r="E522" s="294"/>
      <c r="F522" s="294"/>
      <c r="G522" s="294"/>
      <c r="H522" s="294"/>
      <c r="I522" s="294"/>
      <c r="J522" s="294"/>
      <c r="L522" s="295"/>
      <c r="M522" s="294"/>
      <c r="O522" s="294"/>
      <c r="P522" s="294"/>
      <c r="Q522" s="294"/>
      <c r="R522" s="294"/>
      <c r="S522" s="294"/>
      <c r="T522" s="294"/>
      <c r="U522" s="294"/>
      <c r="V522" s="294"/>
      <c r="W522" s="294"/>
      <c r="X522" s="294"/>
      <c r="Y522" s="294"/>
      <c r="Z522" s="294"/>
      <c r="AA522" s="294"/>
      <c r="AB522" s="294"/>
      <c r="AC522" s="294"/>
      <c r="AD522" s="294"/>
      <c r="AE522" s="294"/>
      <c r="AF522" s="294"/>
      <c r="AG522" s="294"/>
    </row>
    <row r="523" spans="2:33" x14ac:dyDescent="0.25">
      <c r="B523" s="294"/>
      <c r="C523" s="294"/>
      <c r="D523" s="294"/>
      <c r="E523" s="294"/>
      <c r="F523" s="294"/>
      <c r="G523" s="294"/>
      <c r="H523" s="294"/>
      <c r="I523" s="294"/>
      <c r="J523" s="294"/>
      <c r="L523" s="295"/>
      <c r="M523" s="294"/>
      <c r="O523" s="294"/>
      <c r="P523" s="294"/>
      <c r="Q523" s="294"/>
      <c r="R523" s="294"/>
      <c r="S523" s="294"/>
      <c r="T523" s="294"/>
      <c r="U523" s="294"/>
      <c r="V523" s="294"/>
      <c r="W523" s="294"/>
      <c r="X523" s="294"/>
      <c r="Y523" s="294"/>
      <c r="Z523" s="294"/>
      <c r="AA523" s="294"/>
      <c r="AB523" s="294"/>
      <c r="AC523" s="294"/>
      <c r="AD523" s="294"/>
      <c r="AE523" s="294"/>
      <c r="AF523" s="294"/>
      <c r="AG523" s="294"/>
    </row>
    <row r="524" spans="2:33" x14ac:dyDescent="0.25">
      <c r="B524" s="294"/>
      <c r="C524" s="294"/>
      <c r="D524" s="294"/>
      <c r="E524" s="294"/>
      <c r="F524" s="294"/>
      <c r="G524" s="294"/>
      <c r="H524" s="294"/>
      <c r="I524" s="294"/>
      <c r="J524" s="294"/>
      <c r="L524" s="295"/>
      <c r="M524" s="294"/>
      <c r="O524" s="294"/>
      <c r="P524" s="294"/>
      <c r="Q524" s="294"/>
      <c r="R524" s="294"/>
      <c r="S524" s="294"/>
      <c r="T524" s="294"/>
      <c r="U524" s="294"/>
      <c r="V524" s="294"/>
      <c r="W524" s="294"/>
      <c r="X524" s="294"/>
      <c r="Y524" s="294"/>
      <c r="Z524" s="294"/>
      <c r="AA524" s="294"/>
      <c r="AB524" s="294"/>
      <c r="AC524" s="294"/>
      <c r="AD524" s="294"/>
      <c r="AE524" s="294"/>
      <c r="AF524" s="294"/>
      <c r="AG524" s="294"/>
    </row>
    <row r="525" spans="2:33" x14ac:dyDescent="0.25">
      <c r="B525" s="294"/>
      <c r="C525" s="294"/>
      <c r="D525" s="294"/>
      <c r="E525" s="294"/>
      <c r="F525" s="294"/>
      <c r="G525" s="294"/>
      <c r="H525" s="294"/>
      <c r="I525" s="294"/>
      <c r="J525" s="294"/>
      <c r="L525" s="295"/>
      <c r="M525" s="294"/>
      <c r="O525" s="294"/>
      <c r="P525" s="294"/>
      <c r="Q525" s="294"/>
      <c r="R525" s="294"/>
      <c r="S525" s="294"/>
      <c r="T525" s="294"/>
      <c r="U525" s="294"/>
      <c r="V525" s="294"/>
      <c r="W525" s="294"/>
      <c r="X525" s="294"/>
      <c r="Y525" s="294"/>
      <c r="Z525" s="294"/>
      <c r="AA525" s="294"/>
      <c r="AB525" s="294"/>
      <c r="AC525" s="294"/>
      <c r="AD525" s="294"/>
      <c r="AE525" s="294"/>
      <c r="AF525" s="294"/>
      <c r="AG525" s="294"/>
    </row>
    <row r="526" spans="2:33" x14ac:dyDescent="0.25">
      <c r="B526" s="294"/>
      <c r="C526" s="294"/>
      <c r="D526" s="294"/>
      <c r="E526" s="294"/>
      <c r="F526" s="294"/>
      <c r="G526" s="294"/>
      <c r="H526" s="294"/>
      <c r="I526" s="294"/>
      <c r="J526" s="294"/>
      <c r="L526" s="295"/>
      <c r="M526" s="294"/>
      <c r="O526" s="294"/>
      <c r="P526" s="294"/>
      <c r="Q526" s="294"/>
      <c r="R526" s="294"/>
      <c r="S526" s="294"/>
      <c r="T526" s="294"/>
      <c r="U526" s="294"/>
      <c r="V526" s="294"/>
      <c r="W526" s="294"/>
      <c r="X526" s="294"/>
      <c r="Y526" s="294"/>
      <c r="Z526" s="294"/>
      <c r="AA526" s="294"/>
      <c r="AB526" s="294"/>
      <c r="AC526" s="294"/>
      <c r="AD526" s="294"/>
      <c r="AE526" s="294"/>
      <c r="AF526" s="294"/>
      <c r="AG526" s="294"/>
    </row>
    <row r="527" spans="2:33" x14ac:dyDescent="0.25">
      <c r="B527" s="294"/>
      <c r="C527" s="294"/>
      <c r="D527" s="294"/>
      <c r="E527" s="294"/>
      <c r="F527" s="294"/>
      <c r="G527" s="294"/>
      <c r="H527" s="294"/>
      <c r="I527" s="294"/>
      <c r="J527" s="294"/>
      <c r="L527" s="295"/>
      <c r="M527" s="294"/>
      <c r="O527" s="294"/>
      <c r="P527" s="294"/>
      <c r="Q527" s="294"/>
      <c r="R527" s="294"/>
      <c r="S527" s="294"/>
      <c r="T527" s="294"/>
      <c r="U527" s="294"/>
      <c r="V527" s="294"/>
      <c r="W527" s="294"/>
      <c r="X527" s="294"/>
      <c r="Y527" s="294"/>
      <c r="Z527" s="294"/>
      <c r="AA527" s="294"/>
      <c r="AB527" s="294"/>
      <c r="AC527" s="294"/>
      <c r="AD527" s="294"/>
      <c r="AE527" s="294"/>
      <c r="AF527" s="294"/>
      <c r="AG527" s="294"/>
    </row>
    <row r="528" spans="2:33" x14ac:dyDescent="0.25">
      <c r="B528" s="294"/>
      <c r="C528" s="294"/>
      <c r="D528" s="294"/>
      <c r="E528" s="294"/>
      <c r="F528" s="294"/>
      <c r="G528" s="294"/>
      <c r="H528" s="294"/>
      <c r="I528" s="294"/>
      <c r="J528" s="294"/>
      <c r="L528" s="295"/>
      <c r="M528" s="294"/>
      <c r="O528" s="294"/>
      <c r="P528" s="294"/>
      <c r="Q528" s="294"/>
      <c r="R528" s="294"/>
      <c r="S528" s="294"/>
      <c r="T528" s="294"/>
      <c r="U528" s="294"/>
      <c r="V528" s="294"/>
      <c r="W528" s="294"/>
      <c r="X528" s="294"/>
      <c r="Y528" s="294"/>
      <c r="Z528" s="294"/>
      <c r="AA528" s="294"/>
      <c r="AB528" s="294"/>
      <c r="AC528" s="294"/>
      <c r="AD528" s="294"/>
      <c r="AE528" s="294"/>
      <c r="AF528" s="294"/>
      <c r="AG528" s="294"/>
    </row>
    <row r="529" spans="2:33" x14ac:dyDescent="0.25">
      <c r="B529" s="294"/>
      <c r="C529" s="294"/>
      <c r="D529" s="294"/>
      <c r="E529" s="294"/>
      <c r="F529" s="294"/>
      <c r="G529" s="294"/>
      <c r="H529" s="294"/>
      <c r="I529" s="294"/>
      <c r="J529" s="294"/>
      <c r="L529" s="295"/>
      <c r="M529" s="294"/>
      <c r="O529" s="294"/>
      <c r="P529" s="294"/>
      <c r="Q529" s="294"/>
      <c r="R529" s="294"/>
      <c r="S529" s="294"/>
      <c r="T529" s="294"/>
      <c r="U529" s="294"/>
      <c r="V529" s="294"/>
      <c r="W529" s="294"/>
      <c r="X529" s="294"/>
      <c r="Y529" s="294"/>
      <c r="Z529" s="294"/>
      <c r="AA529" s="294"/>
      <c r="AB529" s="294"/>
      <c r="AC529" s="294"/>
      <c r="AD529" s="294"/>
      <c r="AE529" s="294"/>
      <c r="AF529" s="294"/>
      <c r="AG529" s="294"/>
    </row>
    <row r="530" spans="2:33" x14ac:dyDescent="0.25">
      <c r="B530" s="294"/>
      <c r="C530" s="294"/>
      <c r="D530" s="294"/>
      <c r="E530" s="294"/>
      <c r="F530" s="294"/>
      <c r="G530" s="294"/>
      <c r="H530" s="294"/>
      <c r="I530" s="294"/>
      <c r="J530" s="294"/>
      <c r="L530" s="295"/>
      <c r="M530" s="294"/>
      <c r="O530" s="294"/>
      <c r="P530" s="294"/>
      <c r="Q530" s="294"/>
      <c r="R530" s="294"/>
      <c r="S530" s="294"/>
      <c r="T530" s="294"/>
      <c r="U530" s="294"/>
      <c r="V530" s="294"/>
      <c r="W530" s="294"/>
      <c r="X530" s="294"/>
      <c r="Y530" s="294"/>
      <c r="Z530" s="294"/>
      <c r="AA530" s="294"/>
      <c r="AB530" s="294"/>
      <c r="AC530" s="294"/>
      <c r="AD530" s="294"/>
      <c r="AE530" s="294"/>
      <c r="AF530" s="294"/>
      <c r="AG530" s="294"/>
    </row>
    <row r="531" spans="2:33" x14ac:dyDescent="0.25">
      <c r="B531" s="294"/>
      <c r="C531" s="294"/>
      <c r="D531" s="294"/>
      <c r="E531" s="294"/>
      <c r="F531" s="294"/>
      <c r="G531" s="294"/>
      <c r="H531" s="294"/>
      <c r="I531" s="294"/>
      <c r="J531" s="294"/>
      <c r="L531" s="295"/>
      <c r="M531" s="294"/>
      <c r="O531" s="294"/>
      <c r="P531" s="294"/>
      <c r="Q531" s="294"/>
      <c r="R531" s="294"/>
      <c r="S531" s="294"/>
      <c r="T531" s="294"/>
      <c r="U531" s="294"/>
      <c r="V531" s="294"/>
      <c r="W531" s="294"/>
      <c r="X531" s="294"/>
      <c r="Y531" s="294"/>
      <c r="Z531" s="294"/>
      <c r="AA531" s="294"/>
      <c r="AB531" s="294"/>
      <c r="AC531" s="294"/>
      <c r="AD531" s="294"/>
      <c r="AE531" s="294"/>
      <c r="AF531" s="294"/>
      <c r="AG531" s="294"/>
    </row>
    <row r="532" spans="2:33" x14ac:dyDescent="0.25">
      <c r="B532" s="294"/>
      <c r="C532" s="294"/>
      <c r="D532" s="294"/>
      <c r="E532" s="294"/>
      <c r="F532" s="294"/>
      <c r="G532" s="294"/>
      <c r="H532" s="294"/>
      <c r="I532" s="294"/>
      <c r="J532" s="294"/>
      <c r="L532" s="295"/>
      <c r="M532" s="294"/>
      <c r="O532" s="294"/>
      <c r="P532" s="294"/>
      <c r="Q532" s="294"/>
      <c r="R532" s="294"/>
      <c r="S532" s="294"/>
      <c r="T532" s="294"/>
      <c r="U532" s="294"/>
      <c r="V532" s="294"/>
      <c r="W532" s="294"/>
      <c r="X532" s="294"/>
      <c r="Y532" s="294"/>
      <c r="Z532" s="294"/>
      <c r="AA532" s="294"/>
      <c r="AB532" s="294"/>
      <c r="AC532" s="294"/>
      <c r="AD532" s="294"/>
      <c r="AE532" s="294"/>
      <c r="AF532" s="294"/>
      <c r="AG532" s="294"/>
    </row>
    <row r="533" spans="2:33" x14ac:dyDescent="0.25">
      <c r="B533" s="294"/>
      <c r="C533" s="294"/>
      <c r="D533" s="294"/>
      <c r="E533" s="294"/>
      <c r="F533" s="294"/>
      <c r="G533" s="294"/>
      <c r="H533" s="294"/>
      <c r="I533" s="294"/>
      <c r="J533" s="294"/>
      <c r="L533" s="295"/>
      <c r="M533" s="294"/>
      <c r="O533" s="294"/>
      <c r="P533" s="294"/>
      <c r="Q533" s="294"/>
      <c r="R533" s="294"/>
      <c r="S533" s="294"/>
      <c r="T533" s="294"/>
      <c r="U533" s="294"/>
      <c r="V533" s="294"/>
      <c r="W533" s="294"/>
      <c r="X533" s="294"/>
      <c r="Y533" s="294"/>
      <c r="Z533" s="294"/>
      <c r="AA533" s="294"/>
      <c r="AB533" s="294"/>
      <c r="AC533" s="294"/>
      <c r="AD533" s="294"/>
      <c r="AE533" s="294"/>
      <c r="AF533" s="294"/>
      <c r="AG533" s="294"/>
    </row>
    <row r="534" spans="2:33" x14ac:dyDescent="0.25">
      <c r="B534" s="294"/>
      <c r="C534" s="294"/>
      <c r="D534" s="294"/>
      <c r="E534" s="294"/>
      <c r="F534" s="294"/>
      <c r="G534" s="294"/>
      <c r="H534" s="294"/>
      <c r="I534" s="294"/>
      <c r="J534" s="294"/>
      <c r="L534" s="295"/>
      <c r="M534" s="294"/>
      <c r="O534" s="294"/>
      <c r="P534" s="294"/>
      <c r="Q534" s="294"/>
      <c r="R534" s="294"/>
      <c r="S534" s="294"/>
      <c r="T534" s="294"/>
      <c r="U534" s="294"/>
      <c r="V534" s="294"/>
      <c r="W534" s="294"/>
      <c r="X534" s="294"/>
      <c r="Y534" s="294"/>
      <c r="Z534" s="294"/>
      <c r="AA534" s="294"/>
      <c r="AB534" s="294"/>
      <c r="AC534" s="294"/>
      <c r="AD534" s="294"/>
      <c r="AE534" s="294"/>
      <c r="AF534" s="294"/>
      <c r="AG534" s="294"/>
    </row>
    <row r="535" spans="2:33" x14ac:dyDescent="0.25">
      <c r="B535" s="294"/>
      <c r="C535" s="294"/>
      <c r="D535" s="294"/>
      <c r="E535" s="294"/>
      <c r="F535" s="294"/>
      <c r="G535" s="294"/>
      <c r="H535" s="294"/>
      <c r="I535" s="294"/>
      <c r="J535" s="294"/>
      <c r="L535" s="295"/>
      <c r="M535" s="294"/>
      <c r="O535" s="294"/>
      <c r="P535" s="294"/>
      <c r="Q535" s="294"/>
      <c r="R535" s="294"/>
      <c r="S535" s="294"/>
      <c r="T535" s="294"/>
      <c r="U535" s="294"/>
      <c r="V535" s="294"/>
      <c r="W535" s="294"/>
      <c r="X535" s="294"/>
      <c r="Y535" s="294"/>
      <c r="Z535" s="294"/>
      <c r="AA535" s="294"/>
      <c r="AB535" s="294"/>
      <c r="AC535" s="294"/>
      <c r="AD535" s="294"/>
      <c r="AE535" s="294"/>
      <c r="AF535" s="294"/>
      <c r="AG535" s="294"/>
    </row>
    <row r="536" spans="2:33" x14ac:dyDescent="0.25">
      <c r="B536" s="294"/>
      <c r="C536" s="294"/>
      <c r="D536" s="294"/>
      <c r="E536" s="294"/>
      <c r="F536" s="294"/>
      <c r="G536" s="294"/>
      <c r="H536" s="294"/>
      <c r="I536" s="294"/>
      <c r="J536" s="294"/>
      <c r="L536" s="295"/>
      <c r="M536" s="294"/>
      <c r="O536" s="294"/>
      <c r="P536" s="294"/>
      <c r="Q536" s="294"/>
      <c r="R536" s="294"/>
      <c r="S536" s="294"/>
      <c r="T536" s="294"/>
      <c r="U536" s="294"/>
      <c r="V536" s="294"/>
      <c r="W536" s="294"/>
      <c r="X536" s="294"/>
      <c r="Y536" s="294"/>
      <c r="Z536" s="294"/>
      <c r="AA536" s="294"/>
      <c r="AB536" s="294"/>
      <c r="AC536" s="294"/>
      <c r="AD536" s="294"/>
      <c r="AE536" s="294"/>
      <c r="AF536" s="294"/>
      <c r="AG536" s="294"/>
    </row>
    <row r="537" spans="2:33" x14ac:dyDescent="0.25">
      <c r="B537" s="294"/>
      <c r="C537" s="294"/>
      <c r="D537" s="294"/>
      <c r="E537" s="294"/>
      <c r="F537" s="294"/>
      <c r="G537" s="294"/>
      <c r="H537" s="294"/>
      <c r="I537" s="294"/>
      <c r="J537" s="294"/>
      <c r="L537" s="295"/>
      <c r="M537" s="294"/>
      <c r="O537" s="294"/>
      <c r="P537" s="294"/>
      <c r="Q537" s="294"/>
      <c r="R537" s="294"/>
      <c r="S537" s="294"/>
      <c r="T537" s="294"/>
      <c r="U537" s="294"/>
      <c r="V537" s="294"/>
      <c r="W537" s="294"/>
      <c r="X537" s="294"/>
      <c r="Y537" s="294"/>
      <c r="Z537" s="294"/>
      <c r="AA537" s="294"/>
      <c r="AB537" s="294"/>
      <c r="AC537" s="294"/>
      <c r="AD537" s="294"/>
      <c r="AE537" s="294"/>
      <c r="AF537" s="294"/>
      <c r="AG537" s="294"/>
    </row>
    <row r="538" spans="2:33" x14ac:dyDescent="0.25">
      <c r="B538" s="294"/>
      <c r="C538" s="294"/>
      <c r="D538" s="294"/>
      <c r="E538" s="294"/>
      <c r="F538" s="294"/>
      <c r="G538" s="294"/>
      <c r="H538" s="294"/>
      <c r="I538" s="294"/>
      <c r="J538" s="294"/>
      <c r="L538" s="295"/>
      <c r="M538" s="294"/>
      <c r="O538" s="294"/>
      <c r="P538" s="294"/>
      <c r="Q538" s="294"/>
      <c r="R538" s="294"/>
      <c r="S538" s="294"/>
      <c r="T538" s="294"/>
      <c r="U538" s="294"/>
      <c r="V538" s="294"/>
      <c r="W538" s="294"/>
      <c r="X538" s="294"/>
      <c r="Y538" s="294"/>
      <c r="Z538" s="294"/>
      <c r="AA538" s="294"/>
      <c r="AB538" s="294"/>
      <c r="AC538" s="294"/>
      <c r="AD538" s="294"/>
      <c r="AE538" s="294"/>
      <c r="AF538" s="294"/>
      <c r="AG538" s="294"/>
    </row>
    <row r="539" spans="2:33" x14ac:dyDescent="0.25">
      <c r="B539" s="294"/>
      <c r="C539" s="294"/>
      <c r="D539" s="294"/>
      <c r="E539" s="294"/>
      <c r="F539" s="294"/>
      <c r="G539" s="294"/>
      <c r="H539" s="294"/>
      <c r="I539" s="294"/>
      <c r="J539" s="294"/>
      <c r="L539" s="295"/>
      <c r="M539" s="294"/>
      <c r="O539" s="294"/>
      <c r="P539" s="294"/>
      <c r="Q539" s="294"/>
      <c r="R539" s="294"/>
      <c r="S539" s="294"/>
      <c r="T539" s="294"/>
      <c r="U539" s="294"/>
      <c r="V539" s="294"/>
      <c r="W539" s="294"/>
      <c r="X539" s="294"/>
      <c r="Y539" s="294"/>
      <c r="Z539" s="294"/>
      <c r="AA539" s="294"/>
      <c r="AB539" s="294"/>
      <c r="AC539" s="294"/>
      <c r="AD539" s="294"/>
      <c r="AE539" s="294"/>
      <c r="AF539" s="294"/>
      <c r="AG539" s="294"/>
    </row>
    <row r="540" spans="2:33" x14ac:dyDescent="0.25">
      <c r="B540" s="294"/>
      <c r="C540" s="294"/>
      <c r="D540" s="294"/>
      <c r="E540" s="294"/>
      <c r="F540" s="294"/>
      <c r="G540" s="294"/>
      <c r="H540" s="294"/>
      <c r="I540" s="294"/>
      <c r="J540" s="294"/>
      <c r="L540" s="295"/>
      <c r="M540" s="294"/>
      <c r="O540" s="294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294"/>
      <c r="AD540" s="294"/>
      <c r="AE540" s="294"/>
      <c r="AF540" s="294"/>
      <c r="AG540" s="294"/>
    </row>
    <row r="541" spans="2:33" x14ac:dyDescent="0.25">
      <c r="B541" s="294"/>
      <c r="C541" s="294"/>
      <c r="D541" s="294"/>
      <c r="E541" s="294"/>
      <c r="F541" s="294"/>
      <c r="G541" s="294"/>
      <c r="H541" s="294"/>
      <c r="I541" s="294"/>
      <c r="J541" s="294"/>
      <c r="L541" s="295"/>
      <c r="M541" s="294"/>
      <c r="O541" s="294"/>
      <c r="P541" s="294"/>
      <c r="Q541" s="294"/>
      <c r="R541" s="294"/>
      <c r="S541" s="294"/>
      <c r="T541" s="294"/>
      <c r="U541" s="294"/>
      <c r="V541" s="294"/>
      <c r="W541" s="294"/>
      <c r="X541" s="294"/>
      <c r="Y541" s="294"/>
      <c r="Z541" s="294"/>
      <c r="AA541" s="294"/>
      <c r="AB541" s="294"/>
      <c r="AC541" s="294"/>
      <c r="AD541" s="294"/>
      <c r="AE541" s="294"/>
      <c r="AF541" s="294"/>
      <c r="AG541" s="294"/>
    </row>
    <row r="542" spans="2:33" x14ac:dyDescent="0.25">
      <c r="B542" s="294"/>
      <c r="C542" s="294"/>
      <c r="D542" s="294"/>
      <c r="E542" s="294"/>
      <c r="F542" s="294"/>
      <c r="G542" s="294"/>
      <c r="H542" s="294"/>
      <c r="I542" s="294"/>
      <c r="J542" s="294"/>
      <c r="L542" s="295"/>
      <c r="M542" s="294"/>
      <c r="O542" s="294"/>
      <c r="P542" s="294"/>
      <c r="Q542" s="294"/>
      <c r="R542" s="294"/>
      <c r="S542" s="294"/>
      <c r="T542" s="294"/>
      <c r="U542" s="294"/>
      <c r="V542" s="294"/>
      <c r="W542" s="294"/>
      <c r="X542" s="294"/>
      <c r="Y542" s="294"/>
      <c r="Z542" s="294"/>
      <c r="AA542" s="294"/>
      <c r="AB542" s="294"/>
      <c r="AC542" s="294"/>
      <c r="AD542" s="294"/>
      <c r="AE542" s="294"/>
      <c r="AF542" s="294"/>
      <c r="AG542" s="294"/>
    </row>
    <row r="543" spans="2:33" x14ac:dyDescent="0.25">
      <c r="B543" s="294"/>
      <c r="C543" s="294"/>
      <c r="D543" s="294"/>
      <c r="E543" s="294"/>
      <c r="F543" s="294"/>
      <c r="G543" s="294"/>
      <c r="H543" s="294"/>
      <c r="I543" s="294"/>
      <c r="J543" s="294"/>
      <c r="L543" s="295"/>
      <c r="M543" s="294"/>
      <c r="O543" s="294"/>
      <c r="P543" s="294"/>
      <c r="Q543" s="294"/>
      <c r="R543" s="294"/>
      <c r="S543" s="294"/>
      <c r="T543" s="294"/>
      <c r="U543" s="294"/>
      <c r="V543" s="294"/>
      <c r="W543" s="294"/>
      <c r="X543" s="294"/>
      <c r="Y543" s="294"/>
      <c r="Z543" s="294"/>
      <c r="AA543" s="294"/>
      <c r="AB543" s="294"/>
      <c r="AC543" s="294"/>
      <c r="AD543" s="294"/>
      <c r="AE543" s="294"/>
      <c r="AF543" s="294"/>
      <c r="AG543" s="294"/>
    </row>
    <row r="544" spans="2:33" x14ac:dyDescent="0.25">
      <c r="B544" s="294"/>
      <c r="C544" s="294"/>
      <c r="D544" s="294"/>
      <c r="E544" s="294"/>
      <c r="F544" s="294"/>
      <c r="G544" s="294"/>
      <c r="H544" s="294"/>
      <c r="I544" s="294"/>
      <c r="J544" s="294"/>
      <c r="L544" s="295"/>
      <c r="M544" s="294"/>
      <c r="O544" s="294"/>
      <c r="P544" s="294"/>
      <c r="Q544" s="294"/>
      <c r="R544" s="294"/>
      <c r="S544" s="294"/>
      <c r="T544" s="294"/>
      <c r="U544" s="294"/>
      <c r="V544" s="294"/>
      <c r="W544" s="294"/>
      <c r="X544" s="294"/>
      <c r="Y544" s="294"/>
      <c r="Z544" s="294"/>
      <c r="AA544" s="294"/>
      <c r="AB544" s="294"/>
      <c r="AC544" s="294"/>
      <c r="AD544" s="294"/>
      <c r="AE544" s="294"/>
      <c r="AF544" s="294"/>
      <c r="AG544" s="294"/>
    </row>
    <row r="545" spans="2:33" x14ac:dyDescent="0.25">
      <c r="B545" s="294"/>
      <c r="C545" s="294"/>
      <c r="D545" s="294"/>
      <c r="E545" s="294"/>
      <c r="F545" s="294"/>
      <c r="G545" s="294"/>
      <c r="H545" s="294"/>
      <c r="I545" s="294"/>
      <c r="J545" s="294"/>
      <c r="L545" s="295"/>
      <c r="M545" s="294"/>
      <c r="O545" s="294"/>
      <c r="P545" s="294"/>
      <c r="Q545" s="294"/>
      <c r="R545" s="294"/>
      <c r="S545" s="294"/>
      <c r="T545" s="294"/>
      <c r="U545" s="294"/>
      <c r="V545" s="294"/>
      <c r="W545" s="294"/>
      <c r="X545" s="294"/>
      <c r="Y545" s="294"/>
      <c r="Z545" s="294"/>
      <c r="AA545" s="294"/>
      <c r="AB545" s="294"/>
      <c r="AC545" s="294"/>
      <c r="AD545" s="294"/>
      <c r="AE545" s="294"/>
      <c r="AF545" s="294"/>
      <c r="AG545" s="294"/>
    </row>
    <row r="546" spans="2:33" x14ac:dyDescent="0.25">
      <c r="B546" s="294"/>
      <c r="C546" s="294"/>
      <c r="D546" s="294"/>
      <c r="E546" s="294"/>
      <c r="F546" s="294"/>
      <c r="G546" s="294"/>
      <c r="H546" s="294"/>
      <c r="I546" s="294"/>
      <c r="J546" s="294"/>
      <c r="L546" s="295"/>
      <c r="M546" s="294"/>
      <c r="O546" s="294"/>
      <c r="P546" s="294"/>
      <c r="Q546" s="294"/>
      <c r="R546" s="294"/>
      <c r="S546" s="294"/>
      <c r="T546" s="294"/>
      <c r="U546" s="294"/>
      <c r="V546" s="294"/>
      <c r="W546" s="294"/>
      <c r="X546" s="294"/>
      <c r="Y546" s="294"/>
      <c r="Z546" s="294"/>
      <c r="AA546" s="294"/>
      <c r="AB546" s="294"/>
      <c r="AC546" s="294"/>
      <c r="AD546" s="294"/>
      <c r="AE546" s="294"/>
      <c r="AF546" s="294"/>
      <c r="AG546" s="294"/>
    </row>
    <row r="547" spans="2:33" x14ac:dyDescent="0.25">
      <c r="B547" s="294"/>
      <c r="C547" s="294"/>
      <c r="D547" s="294"/>
      <c r="E547" s="294"/>
      <c r="F547" s="294"/>
      <c r="G547" s="294"/>
      <c r="H547" s="294"/>
      <c r="I547" s="294"/>
      <c r="J547" s="294"/>
      <c r="L547" s="295"/>
      <c r="M547" s="294"/>
      <c r="O547" s="294"/>
      <c r="P547" s="294"/>
      <c r="Q547" s="294"/>
      <c r="R547" s="294"/>
      <c r="S547" s="294"/>
      <c r="T547" s="294"/>
      <c r="U547" s="294"/>
      <c r="V547" s="294"/>
      <c r="W547" s="294"/>
      <c r="X547" s="294"/>
      <c r="Y547" s="294"/>
      <c r="Z547" s="294"/>
      <c r="AA547" s="294"/>
      <c r="AB547" s="294"/>
      <c r="AC547" s="294"/>
      <c r="AD547" s="294"/>
      <c r="AE547" s="294"/>
      <c r="AF547" s="294"/>
      <c r="AG547" s="294"/>
    </row>
    <row r="548" spans="2:33" x14ac:dyDescent="0.25">
      <c r="B548" s="294"/>
      <c r="C548" s="294"/>
      <c r="D548" s="294"/>
      <c r="E548" s="294"/>
      <c r="F548" s="294"/>
      <c r="G548" s="294"/>
      <c r="H548" s="294"/>
      <c r="I548" s="294"/>
      <c r="J548" s="294"/>
      <c r="L548" s="295"/>
      <c r="M548" s="294"/>
      <c r="O548" s="294"/>
      <c r="P548" s="294"/>
      <c r="Q548" s="294"/>
      <c r="R548" s="294"/>
      <c r="S548" s="294"/>
      <c r="T548" s="294"/>
      <c r="U548" s="294"/>
      <c r="V548" s="294"/>
      <c r="W548" s="294"/>
      <c r="X548" s="294"/>
      <c r="Y548" s="294"/>
      <c r="Z548" s="294"/>
      <c r="AA548" s="294"/>
      <c r="AB548" s="294"/>
      <c r="AC548" s="294"/>
      <c r="AD548" s="294"/>
      <c r="AE548" s="294"/>
      <c r="AF548" s="294"/>
      <c r="AG548" s="294"/>
    </row>
    <row r="549" spans="2:33" x14ac:dyDescent="0.25">
      <c r="B549" s="294"/>
      <c r="C549" s="294"/>
      <c r="D549" s="294"/>
      <c r="E549" s="294"/>
      <c r="F549" s="294"/>
      <c r="G549" s="294"/>
      <c r="H549" s="294"/>
      <c r="I549" s="294"/>
      <c r="J549" s="294"/>
      <c r="L549" s="295"/>
      <c r="M549" s="294"/>
      <c r="O549" s="294"/>
      <c r="P549" s="294"/>
      <c r="Q549" s="294"/>
      <c r="R549" s="294"/>
      <c r="S549" s="294"/>
      <c r="T549" s="294"/>
      <c r="U549" s="294"/>
      <c r="V549" s="294"/>
      <c r="W549" s="294"/>
      <c r="X549" s="294"/>
      <c r="Y549" s="294"/>
      <c r="Z549" s="294"/>
      <c r="AA549" s="294"/>
      <c r="AB549" s="294"/>
      <c r="AC549" s="294"/>
      <c r="AD549" s="294"/>
      <c r="AE549" s="294"/>
      <c r="AF549" s="294"/>
      <c r="AG549" s="294"/>
    </row>
    <row r="550" spans="2:33" x14ac:dyDescent="0.25">
      <c r="B550" s="294"/>
      <c r="C550" s="294"/>
      <c r="D550" s="294"/>
      <c r="E550" s="294"/>
      <c r="F550" s="294"/>
      <c r="G550" s="294"/>
      <c r="H550" s="294"/>
      <c r="I550" s="294"/>
      <c r="J550" s="294"/>
      <c r="L550" s="295"/>
      <c r="M550" s="294"/>
      <c r="O550" s="294"/>
      <c r="P550" s="294"/>
      <c r="Q550" s="294"/>
      <c r="R550" s="294"/>
      <c r="S550" s="294"/>
      <c r="T550" s="294"/>
      <c r="U550" s="294"/>
      <c r="V550" s="294"/>
      <c r="W550" s="294"/>
      <c r="X550" s="294"/>
      <c r="Y550" s="294"/>
      <c r="Z550" s="294"/>
      <c r="AA550" s="294"/>
      <c r="AB550" s="294"/>
      <c r="AC550" s="294"/>
      <c r="AD550" s="294"/>
      <c r="AE550" s="294"/>
      <c r="AF550" s="294"/>
      <c r="AG550" s="294"/>
    </row>
    <row r="551" spans="2:33" x14ac:dyDescent="0.25">
      <c r="B551" s="294"/>
      <c r="C551" s="294"/>
      <c r="D551" s="294"/>
      <c r="E551" s="294"/>
      <c r="F551" s="294"/>
      <c r="G551" s="294"/>
      <c r="H551" s="294"/>
      <c r="I551" s="294"/>
      <c r="J551" s="294"/>
      <c r="L551" s="295"/>
      <c r="M551" s="294"/>
      <c r="O551" s="294"/>
      <c r="P551" s="294"/>
      <c r="Q551" s="294"/>
      <c r="R551" s="294"/>
      <c r="S551" s="294"/>
      <c r="T551" s="294"/>
      <c r="U551" s="294"/>
      <c r="V551" s="294"/>
      <c r="W551" s="294"/>
      <c r="X551" s="294"/>
      <c r="Y551" s="294"/>
      <c r="Z551" s="294"/>
      <c r="AA551" s="294"/>
      <c r="AB551" s="294"/>
      <c r="AC551" s="294"/>
      <c r="AD551" s="294"/>
      <c r="AE551" s="294"/>
      <c r="AF551" s="294"/>
      <c r="AG551" s="294"/>
    </row>
    <row r="552" spans="2:33" x14ac:dyDescent="0.25">
      <c r="B552" s="294"/>
      <c r="C552" s="294"/>
      <c r="D552" s="294"/>
      <c r="E552" s="294"/>
      <c r="F552" s="294"/>
      <c r="G552" s="294"/>
      <c r="H552" s="294"/>
      <c r="I552" s="294"/>
      <c r="J552" s="294"/>
      <c r="L552" s="295"/>
      <c r="M552" s="294"/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</row>
    <row r="553" spans="2:33" x14ac:dyDescent="0.25">
      <c r="B553" s="294"/>
      <c r="C553" s="294"/>
      <c r="D553" s="294"/>
      <c r="E553" s="294"/>
      <c r="F553" s="294"/>
      <c r="G553" s="294"/>
      <c r="H553" s="294"/>
      <c r="I553" s="294"/>
      <c r="J553" s="294"/>
      <c r="L553" s="295"/>
      <c r="M553" s="294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94"/>
      <c r="AC553" s="294"/>
      <c r="AD553" s="294"/>
      <c r="AE553" s="294"/>
      <c r="AF553" s="294"/>
      <c r="AG553" s="294"/>
    </row>
    <row r="554" spans="2:33" x14ac:dyDescent="0.25">
      <c r="B554" s="294"/>
      <c r="C554" s="294"/>
      <c r="D554" s="294"/>
      <c r="E554" s="294"/>
      <c r="F554" s="294"/>
      <c r="G554" s="294"/>
      <c r="H554" s="294"/>
      <c r="I554" s="294"/>
      <c r="J554" s="294"/>
      <c r="L554" s="295"/>
      <c r="M554" s="294"/>
      <c r="O554" s="294"/>
      <c r="P554" s="294"/>
      <c r="Q554" s="294"/>
      <c r="R554" s="294"/>
      <c r="S554" s="294"/>
      <c r="T554" s="294"/>
      <c r="U554" s="294"/>
      <c r="V554" s="294"/>
      <c r="W554" s="294"/>
      <c r="X554" s="294"/>
      <c r="Y554" s="294"/>
      <c r="Z554" s="294"/>
      <c r="AA554" s="294"/>
      <c r="AB554" s="294"/>
      <c r="AC554" s="294"/>
      <c r="AD554" s="294"/>
      <c r="AE554" s="294"/>
      <c r="AF554" s="294"/>
      <c r="AG554" s="294"/>
    </row>
    <row r="555" spans="2:33" x14ac:dyDescent="0.25">
      <c r="B555" s="294"/>
      <c r="C555" s="294"/>
      <c r="D555" s="294"/>
      <c r="E555" s="294"/>
      <c r="F555" s="294"/>
      <c r="G555" s="294"/>
      <c r="H555" s="294"/>
      <c r="I555" s="294"/>
      <c r="J555" s="294"/>
      <c r="L555" s="295"/>
      <c r="M555" s="294"/>
      <c r="O555" s="294"/>
      <c r="P555" s="294"/>
      <c r="Q555" s="294"/>
      <c r="R555" s="294"/>
      <c r="S555" s="294"/>
      <c r="T555" s="294"/>
      <c r="U555" s="294"/>
      <c r="V555" s="294"/>
      <c r="W555" s="294"/>
      <c r="X555" s="294"/>
      <c r="Y555" s="294"/>
      <c r="Z555" s="294"/>
      <c r="AA555" s="294"/>
      <c r="AB555" s="294"/>
      <c r="AC555" s="294"/>
      <c r="AD555" s="294"/>
      <c r="AE555" s="294"/>
      <c r="AF555" s="294"/>
      <c r="AG555" s="294"/>
    </row>
    <row r="556" spans="2:33" x14ac:dyDescent="0.25">
      <c r="B556" s="294"/>
      <c r="C556" s="294"/>
      <c r="D556" s="294"/>
      <c r="E556" s="294"/>
      <c r="F556" s="294"/>
      <c r="G556" s="294"/>
      <c r="H556" s="294"/>
      <c r="I556" s="294"/>
      <c r="J556" s="294"/>
      <c r="L556" s="295"/>
      <c r="M556" s="294"/>
      <c r="O556" s="294"/>
      <c r="P556" s="294"/>
      <c r="Q556" s="294"/>
      <c r="R556" s="294"/>
      <c r="S556" s="294"/>
      <c r="T556" s="294"/>
      <c r="U556" s="294"/>
      <c r="V556" s="294"/>
      <c r="W556" s="294"/>
      <c r="X556" s="294"/>
      <c r="Y556" s="294"/>
      <c r="Z556" s="294"/>
      <c r="AA556" s="294"/>
      <c r="AB556" s="294"/>
      <c r="AC556" s="294"/>
      <c r="AD556" s="294"/>
      <c r="AE556" s="294"/>
      <c r="AF556" s="294"/>
      <c r="AG556" s="294"/>
    </row>
    <row r="557" spans="2:33" x14ac:dyDescent="0.25">
      <c r="B557" s="294"/>
      <c r="C557" s="294"/>
      <c r="D557" s="294"/>
      <c r="E557" s="294"/>
      <c r="F557" s="294"/>
      <c r="G557" s="294"/>
      <c r="H557" s="294"/>
      <c r="I557" s="294"/>
      <c r="J557" s="294"/>
      <c r="L557" s="295"/>
      <c r="M557" s="294"/>
      <c r="O557" s="294"/>
      <c r="P557" s="294"/>
      <c r="Q557" s="294"/>
      <c r="R557" s="294"/>
      <c r="S557" s="294"/>
      <c r="T557" s="294"/>
      <c r="U557" s="294"/>
      <c r="V557" s="294"/>
      <c r="W557" s="294"/>
      <c r="X557" s="294"/>
      <c r="Y557" s="294"/>
      <c r="Z557" s="294"/>
      <c r="AA557" s="294"/>
      <c r="AB557" s="294"/>
      <c r="AC557" s="294"/>
      <c r="AD557" s="294"/>
      <c r="AE557" s="294"/>
      <c r="AF557" s="294"/>
      <c r="AG557" s="294"/>
    </row>
    <row r="558" spans="2:33" x14ac:dyDescent="0.25">
      <c r="B558" s="294"/>
      <c r="C558" s="294"/>
      <c r="D558" s="294"/>
      <c r="E558" s="294"/>
      <c r="F558" s="294"/>
      <c r="G558" s="294"/>
      <c r="H558" s="294"/>
      <c r="I558" s="294"/>
      <c r="J558" s="294"/>
      <c r="L558" s="295"/>
      <c r="M558" s="294"/>
      <c r="O558" s="294"/>
      <c r="P558" s="294"/>
      <c r="Q558" s="294"/>
      <c r="R558" s="294"/>
      <c r="S558" s="294"/>
      <c r="T558" s="294"/>
      <c r="U558" s="294"/>
      <c r="V558" s="294"/>
      <c r="W558" s="294"/>
      <c r="X558" s="294"/>
      <c r="Y558" s="294"/>
      <c r="Z558" s="294"/>
      <c r="AA558" s="294"/>
      <c r="AB558" s="294"/>
      <c r="AC558" s="294"/>
      <c r="AD558" s="294"/>
      <c r="AE558" s="294"/>
      <c r="AF558" s="294"/>
      <c r="AG558" s="294"/>
    </row>
    <row r="559" spans="2:33" x14ac:dyDescent="0.25">
      <c r="B559" s="294"/>
      <c r="C559" s="294"/>
      <c r="D559" s="294"/>
      <c r="E559" s="294"/>
      <c r="F559" s="294"/>
      <c r="G559" s="294"/>
      <c r="H559" s="294"/>
      <c r="I559" s="294"/>
      <c r="J559" s="294"/>
      <c r="L559" s="295"/>
      <c r="M559" s="294"/>
      <c r="O559" s="294"/>
      <c r="P559" s="294"/>
      <c r="Q559" s="294"/>
      <c r="R559" s="294"/>
      <c r="S559" s="294"/>
      <c r="T559" s="294"/>
      <c r="U559" s="294"/>
      <c r="V559" s="294"/>
      <c r="W559" s="294"/>
      <c r="X559" s="294"/>
      <c r="Y559" s="294"/>
      <c r="Z559" s="294"/>
      <c r="AA559" s="294"/>
      <c r="AB559" s="294"/>
      <c r="AC559" s="294"/>
      <c r="AD559" s="294"/>
      <c r="AE559" s="294"/>
      <c r="AF559" s="294"/>
      <c r="AG559" s="294"/>
    </row>
    <row r="560" spans="2:33" x14ac:dyDescent="0.25">
      <c r="B560" s="294"/>
      <c r="C560" s="294"/>
      <c r="D560" s="294"/>
      <c r="E560" s="294"/>
      <c r="F560" s="294"/>
      <c r="G560" s="294"/>
      <c r="H560" s="294"/>
      <c r="I560" s="294"/>
      <c r="J560" s="294"/>
      <c r="L560" s="295"/>
      <c r="M560" s="294"/>
      <c r="O560" s="294"/>
      <c r="P560" s="294"/>
      <c r="Q560" s="294"/>
      <c r="R560" s="294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294"/>
      <c r="AD560" s="294"/>
      <c r="AE560" s="294"/>
      <c r="AF560" s="294"/>
      <c r="AG560" s="294"/>
    </row>
    <row r="561" spans="2:33" x14ac:dyDescent="0.25">
      <c r="B561" s="294"/>
      <c r="C561" s="294"/>
      <c r="D561" s="294"/>
      <c r="E561" s="294"/>
      <c r="F561" s="294"/>
      <c r="G561" s="294"/>
      <c r="H561" s="294"/>
      <c r="I561" s="294"/>
      <c r="J561" s="294"/>
      <c r="L561" s="295"/>
      <c r="M561" s="294"/>
      <c r="O561" s="294"/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  <c r="Z561" s="294"/>
      <c r="AA561" s="294"/>
      <c r="AB561" s="294"/>
      <c r="AC561" s="294"/>
      <c r="AD561" s="294"/>
      <c r="AE561" s="294"/>
      <c r="AF561" s="294"/>
      <c r="AG561" s="294"/>
    </row>
    <row r="562" spans="2:33" x14ac:dyDescent="0.25">
      <c r="B562" s="294"/>
      <c r="C562" s="294"/>
      <c r="D562" s="294"/>
      <c r="E562" s="294"/>
      <c r="F562" s="294"/>
      <c r="G562" s="294"/>
      <c r="H562" s="294"/>
      <c r="I562" s="294"/>
      <c r="J562" s="294"/>
      <c r="L562" s="295"/>
      <c r="M562" s="294"/>
      <c r="O562" s="294"/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  <c r="Z562" s="294"/>
      <c r="AA562" s="294"/>
      <c r="AB562" s="294"/>
      <c r="AC562" s="294"/>
      <c r="AD562" s="294"/>
      <c r="AE562" s="294"/>
      <c r="AF562" s="294"/>
      <c r="AG562" s="294"/>
    </row>
    <row r="563" spans="2:33" x14ac:dyDescent="0.25">
      <c r="B563" s="294"/>
      <c r="C563" s="294"/>
      <c r="D563" s="294"/>
      <c r="E563" s="294"/>
      <c r="F563" s="294"/>
      <c r="G563" s="294"/>
      <c r="H563" s="294"/>
      <c r="I563" s="294"/>
      <c r="J563" s="294"/>
      <c r="L563" s="295"/>
      <c r="M563" s="294"/>
      <c r="O563" s="294"/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  <c r="Z563" s="294"/>
      <c r="AA563" s="294"/>
      <c r="AB563" s="294"/>
      <c r="AC563" s="294"/>
      <c r="AD563" s="294"/>
      <c r="AE563" s="294"/>
      <c r="AF563" s="294"/>
      <c r="AG563" s="294"/>
    </row>
    <row r="564" spans="2:33" x14ac:dyDescent="0.25">
      <c r="B564" s="294"/>
      <c r="C564" s="294"/>
      <c r="D564" s="294"/>
      <c r="E564" s="294"/>
      <c r="F564" s="294"/>
      <c r="G564" s="294"/>
      <c r="H564" s="294"/>
      <c r="I564" s="294"/>
      <c r="J564" s="294"/>
      <c r="L564" s="295"/>
      <c r="M564" s="294"/>
      <c r="O564" s="294"/>
      <c r="P564" s="294"/>
      <c r="Q564" s="294"/>
      <c r="R564" s="294"/>
      <c r="S564" s="294"/>
      <c r="T564" s="294"/>
      <c r="U564" s="294"/>
      <c r="V564" s="294"/>
      <c r="W564" s="294"/>
      <c r="X564" s="294"/>
      <c r="Y564" s="294"/>
      <c r="Z564" s="294"/>
      <c r="AA564" s="294"/>
      <c r="AB564" s="294"/>
      <c r="AC564" s="294"/>
      <c r="AD564" s="294"/>
      <c r="AE564" s="294"/>
      <c r="AF564" s="294"/>
      <c r="AG564" s="294"/>
    </row>
    <row r="565" spans="2:33" x14ac:dyDescent="0.25">
      <c r="B565" s="294"/>
      <c r="C565" s="294"/>
      <c r="D565" s="294"/>
      <c r="E565" s="294"/>
      <c r="F565" s="294"/>
      <c r="G565" s="294"/>
      <c r="H565" s="294"/>
      <c r="I565" s="294"/>
      <c r="J565" s="294"/>
      <c r="L565" s="295"/>
      <c r="M565" s="294"/>
      <c r="O565" s="294"/>
      <c r="P565" s="294"/>
      <c r="Q565" s="294"/>
      <c r="R565" s="294"/>
      <c r="S565" s="294"/>
      <c r="T565" s="294"/>
      <c r="U565" s="294"/>
      <c r="V565" s="294"/>
      <c r="W565" s="294"/>
      <c r="X565" s="294"/>
      <c r="Y565" s="294"/>
      <c r="Z565" s="294"/>
      <c r="AA565" s="294"/>
      <c r="AB565" s="294"/>
      <c r="AC565" s="294"/>
      <c r="AD565" s="294"/>
      <c r="AE565" s="294"/>
      <c r="AF565" s="294"/>
      <c r="AG565" s="294"/>
    </row>
    <row r="566" spans="2:33" x14ac:dyDescent="0.25">
      <c r="B566" s="294"/>
      <c r="C566" s="294"/>
      <c r="D566" s="294"/>
      <c r="E566" s="294"/>
      <c r="F566" s="294"/>
      <c r="G566" s="294"/>
      <c r="H566" s="294"/>
      <c r="I566" s="294"/>
      <c r="J566" s="294"/>
      <c r="L566" s="295"/>
      <c r="M566" s="294"/>
      <c r="O566" s="294"/>
      <c r="P566" s="294"/>
      <c r="Q566" s="294"/>
      <c r="R566" s="294"/>
      <c r="S566" s="294"/>
      <c r="T566" s="294"/>
      <c r="U566" s="294"/>
      <c r="V566" s="294"/>
      <c r="W566" s="294"/>
      <c r="X566" s="294"/>
      <c r="Y566" s="294"/>
      <c r="Z566" s="294"/>
      <c r="AA566" s="294"/>
      <c r="AB566" s="294"/>
      <c r="AC566" s="294"/>
      <c r="AD566" s="294"/>
      <c r="AE566" s="294"/>
      <c r="AF566" s="294"/>
      <c r="AG566" s="294"/>
    </row>
    <row r="567" spans="2:33" x14ac:dyDescent="0.25">
      <c r="B567" s="294"/>
      <c r="C567" s="294"/>
      <c r="D567" s="294"/>
      <c r="E567" s="294"/>
      <c r="F567" s="294"/>
      <c r="G567" s="294"/>
      <c r="H567" s="294"/>
      <c r="I567" s="294"/>
      <c r="J567" s="294"/>
      <c r="L567" s="295"/>
      <c r="M567" s="294"/>
      <c r="O567" s="294"/>
      <c r="P567" s="294"/>
      <c r="Q567" s="294"/>
      <c r="R567" s="294"/>
      <c r="S567" s="294"/>
      <c r="T567" s="294"/>
      <c r="U567" s="294"/>
      <c r="V567" s="294"/>
      <c r="W567" s="294"/>
      <c r="X567" s="294"/>
      <c r="Y567" s="294"/>
      <c r="Z567" s="294"/>
      <c r="AA567" s="294"/>
      <c r="AB567" s="294"/>
      <c r="AC567" s="294"/>
      <c r="AD567" s="294"/>
      <c r="AE567" s="294"/>
      <c r="AF567" s="294"/>
      <c r="AG567" s="294"/>
    </row>
    <row r="568" spans="2:33" x14ac:dyDescent="0.25">
      <c r="B568" s="294"/>
      <c r="C568" s="294"/>
      <c r="D568" s="294"/>
      <c r="E568" s="294"/>
      <c r="F568" s="294"/>
      <c r="G568" s="294"/>
      <c r="H568" s="294"/>
      <c r="I568" s="294"/>
      <c r="J568" s="294"/>
      <c r="L568" s="295"/>
      <c r="M568" s="294"/>
      <c r="O568" s="294"/>
      <c r="P568" s="294"/>
      <c r="Q568" s="294"/>
      <c r="R568" s="294"/>
      <c r="S568" s="294"/>
      <c r="T568" s="294"/>
      <c r="U568" s="294"/>
      <c r="V568" s="294"/>
      <c r="W568" s="294"/>
      <c r="X568" s="294"/>
      <c r="Y568" s="294"/>
      <c r="Z568" s="294"/>
      <c r="AA568" s="294"/>
      <c r="AB568" s="294"/>
      <c r="AC568" s="294"/>
      <c r="AD568" s="294"/>
      <c r="AE568" s="294"/>
      <c r="AF568" s="294"/>
      <c r="AG568" s="294"/>
    </row>
    <row r="569" spans="2:33" x14ac:dyDescent="0.25">
      <c r="B569" s="294"/>
      <c r="C569" s="294"/>
      <c r="D569" s="294"/>
      <c r="E569" s="294"/>
      <c r="F569" s="294"/>
      <c r="G569" s="294"/>
      <c r="H569" s="294"/>
      <c r="I569" s="294"/>
      <c r="J569" s="294"/>
      <c r="L569" s="295"/>
      <c r="M569" s="294"/>
      <c r="O569" s="294"/>
      <c r="P569" s="294"/>
      <c r="Q569" s="294"/>
      <c r="R569" s="294"/>
      <c r="S569" s="294"/>
      <c r="T569" s="294"/>
      <c r="U569" s="294"/>
      <c r="V569" s="294"/>
      <c r="W569" s="294"/>
      <c r="X569" s="294"/>
      <c r="Y569" s="294"/>
      <c r="Z569" s="294"/>
      <c r="AA569" s="294"/>
      <c r="AB569" s="294"/>
      <c r="AC569" s="294"/>
      <c r="AD569" s="294"/>
      <c r="AE569" s="294"/>
      <c r="AF569" s="294"/>
      <c r="AG569" s="294"/>
    </row>
    <row r="570" spans="2:33" x14ac:dyDescent="0.25">
      <c r="B570" s="294"/>
      <c r="C570" s="294"/>
      <c r="D570" s="294"/>
      <c r="E570" s="294"/>
      <c r="F570" s="294"/>
      <c r="G570" s="294"/>
      <c r="H570" s="294"/>
      <c r="I570" s="294"/>
      <c r="J570" s="294"/>
      <c r="L570" s="295"/>
      <c r="M570" s="294"/>
      <c r="O570" s="294"/>
      <c r="P570" s="294"/>
      <c r="Q570" s="294"/>
      <c r="R570" s="294"/>
      <c r="S570" s="294"/>
      <c r="T570" s="294"/>
      <c r="U570" s="294"/>
      <c r="V570" s="294"/>
      <c r="W570" s="294"/>
      <c r="X570" s="294"/>
      <c r="Y570" s="294"/>
      <c r="Z570" s="294"/>
      <c r="AA570" s="294"/>
      <c r="AB570" s="294"/>
      <c r="AC570" s="294"/>
      <c r="AD570" s="294"/>
      <c r="AE570" s="294"/>
      <c r="AF570" s="294"/>
      <c r="AG570" s="294"/>
    </row>
    <row r="571" spans="2:33" x14ac:dyDescent="0.25">
      <c r="B571" s="294"/>
      <c r="C571" s="294"/>
      <c r="D571" s="294"/>
      <c r="E571" s="294"/>
      <c r="F571" s="294"/>
      <c r="G571" s="294"/>
      <c r="H571" s="294"/>
      <c r="I571" s="294"/>
      <c r="J571" s="294"/>
      <c r="L571" s="295"/>
      <c r="M571" s="294"/>
      <c r="O571" s="294"/>
      <c r="P571" s="294"/>
      <c r="Q571" s="294"/>
      <c r="R571" s="294"/>
      <c r="S571" s="294"/>
      <c r="T571" s="294"/>
      <c r="U571" s="294"/>
      <c r="V571" s="294"/>
      <c r="W571" s="294"/>
      <c r="X571" s="294"/>
      <c r="Y571" s="294"/>
      <c r="Z571" s="294"/>
      <c r="AA571" s="294"/>
      <c r="AB571" s="294"/>
      <c r="AC571" s="294"/>
      <c r="AD571" s="294"/>
      <c r="AE571" s="294"/>
      <c r="AF571" s="294"/>
      <c r="AG571" s="294"/>
    </row>
    <row r="572" spans="2:33" x14ac:dyDescent="0.25">
      <c r="B572" s="294"/>
      <c r="C572" s="294"/>
      <c r="D572" s="294"/>
      <c r="E572" s="294"/>
      <c r="F572" s="294"/>
      <c r="G572" s="294"/>
      <c r="H572" s="294"/>
      <c r="I572" s="294"/>
      <c r="J572" s="294"/>
      <c r="L572" s="295"/>
      <c r="M572" s="294"/>
      <c r="O572" s="294"/>
      <c r="P572" s="294"/>
      <c r="Q572" s="294"/>
      <c r="R572" s="294"/>
      <c r="S572" s="294"/>
      <c r="T572" s="294"/>
      <c r="U572" s="294"/>
      <c r="V572" s="294"/>
      <c r="W572" s="294"/>
      <c r="X572" s="294"/>
      <c r="Y572" s="294"/>
      <c r="Z572" s="294"/>
      <c r="AA572" s="294"/>
      <c r="AB572" s="294"/>
      <c r="AC572" s="294"/>
      <c r="AD572" s="294"/>
      <c r="AE572" s="294"/>
      <c r="AF572" s="294"/>
      <c r="AG572" s="294"/>
    </row>
    <row r="573" spans="2:33" x14ac:dyDescent="0.25">
      <c r="B573" s="294"/>
      <c r="C573" s="294"/>
      <c r="D573" s="294"/>
      <c r="E573" s="294"/>
      <c r="F573" s="294"/>
      <c r="G573" s="294"/>
      <c r="H573" s="294"/>
      <c r="I573" s="294"/>
      <c r="J573" s="294"/>
      <c r="L573" s="295"/>
      <c r="M573" s="294"/>
      <c r="O573" s="294"/>
      <c r="P573" s="294"/>
      <c r="Q573" s="294"/>
      <c r="R573" s="294"/>
      <c r="S573" s="294"/>
      <c r="T573" s="294"/>
      <c r="U573" s="294"/>
      <c r="V573" s="294"/>
      <c r="W573" s="294"/>
      <c r="X573" s="294"/>
      <c r="Y573" s="294"/>
      <c r="Z573" s="294"/>
      <c r="AA573" s="294"/>
      <c r="AB573" s="294"/>
      <c r="AC573" s="294"/>
      <c r="AD573" s="294"/>
      <c r="AE573" s="294"/>
      <c r="AF573" s="294"/>
      <c r="AG573" s="294"/>
    </row>
    <row r="574" spans="2:33" x14ac:dyDescent="0.25">
      <c r="B574" s="294"/>
      <c r="C574" s="294"/>
      <c r="D574" s="294"/>
      <c r="E574" s="294"/>
      <c r="F574" s="294"/>
      <c r="G574" s="294"/>
      <c r="H574" s="294"/>
      <c r="I574" s="294"/>
      <c r="J574" s="294"/>
      <c r="L574" s="295"/>
      <c r="M574" s="294"/>
      <c r="O574" s="294"/>
      <c r="P574" s="294"/>
      <c r="Q574" s="294"/>
      <c r="R574" s="294"/>
      <c r="S574" s="294"/>
      <c r="T574" s="294"/>
      <c r="U574" s="294"/>
      <c r="V574" s="294"/>
      <c r="W574" s="294"/>
      <c r="X574" s="294"/>
      <c r="Y574" s="294"/>
      <c r="Z574" s="294"/>
      <c r="AA574" s="294"/>
      <c r="AB574" s="294"/>
      <c r="AC574" s="294"/>
      <c r="AD574" s="294"/>
      <c r="AE574" s="294"/>
      <c r="AF574" s="294"/>
      <c r="AG574" s="294"/>
    </row>
    <row r="575" spans="2:33" x14ac:dyDescent="0.25">
      <c r="B575" s="294"/>
      <c r="C575" s="294"/>
      <c r="D575" s="294"/>
      <c r="E575" s="294"/>
      <c r="F575" s="294"/>
      <c r="G575" s="294"/>
      <c r="H575" s="294"/>
      <c r="I575" s="294"/>
      <c r="J575" s="294"/>
      <c r="L575" s="295"/>
      <c r="M575" s="294"/>
      <c r="O575" s="294"/>
      <c r="P575" s="294"/>
      <c r="Q575" s="294"/>
      <c r="R575" s="294"/>
      <c r="S575" s="294"/>
      <c r="T575" s="294"/>
      <c r="U575" s="294"/>
      <c r="V575" s="294"/>
      <c r="W575" s="294"/>
      <c r="X575" s="294"/>
      <c r="Y575" s="294"/>
      <c r="Z575" s="294"/>
      <c r="AA575" s="294"/>
      <c r="AB575" s="294"/>
      <c r="AC575" s="294"/>
      <c r="AD575" s="294"/>
      <c r="AE575" s="294"/>
      <c r="AF575" s="294"/>
      <c r="AG575" s="294"/>
    </row>
    <row r="576" spans="2:33" x14ac:dyDescent="0.25">
      <c r="B576" s="294"/>
      <c r="C576" s="294"/>
      <c r="D576" s="294"/>
      <c r="E576" s="294"/>
      <c r="F576" s="294"/>
      <c r="G576" s="294"/>
      <c r="H576" s="294"/>
      <c r="I576" s="294"/>
      <c r="J576" s="294"/>
      <c r="L576" s="295"/>
      <c r="M576" s="294"/>
      <c r="O576" s="294"/>
      <c r="P576" s="294"/>
      <c r="Q576" s="294"/>
      <c r="R576" s="294"/>
      <c r="S576" s="294"/>
      <c r="T576" s="294"/>
      <c r="U576" s="294"/>
      <c r="V576" s="294"/>
      <c r="W576" s="294"/>
      <c r="X576" s="294"/>
      <c r="Y576" s="294"/>
      <c r="Z576" s="294"/>
      <c r="AA576" s="294"/>
      <c r="AB576" s="294"/>
      <c r="AC576" s="294"/>
      <c r="AD576" s="294"/>
      <c r="AE576" s="294"/>
      <c r="AF576" s="294"/>
      <c r="AG576" s="294"/>
    </row>
    <row r="577" spans="2:33" x14ac:dyDescent="0.25">
      <c r="B577" s="294"/>
      <c r="C577" s="294"/>
      <c r="D577" s="294"/>
      <c r="E577" s="294"/>
      <c r="F577" s="294"/>
      <c r="G577" s="294"/>
      <c r="H577" s="294"/>
      <c r="I577" s="294"/>
      <c r="J577" s="294"/>
      <c r="L577" s="295"/>
      <c r="M577" s="294"/>
      <c r="O577" s="294"/>
      <c r="P577" s="294"/>
      <c r="Q577" s="294"/>
      <c r="R577" s="294"/>
      <c r="S577" s="294"/>
      <c r="T577" s="294"/>
      <c r="U577" s="294"/>
      <c r="V577" s="294"/>
      <c r="W577" s="294"/>
      <c r="X577" s="294"/>
      <c r="Y577" s="294"/>
      <c r="Z577" s="294"/>
      <c r="AA577" s="294"/>
      <c r="AB577" s="294"/>
      <c r="AC577" s="294"/>
      <c r="AD577" s="294"/>
      <c r="AE577" s="294"/>
      <c r="AF577" s="294"/>
      <c r="AG577" s="294"/>
    </row>
    <row r="578" spans="2:33" x14ac:dyDescent="0.25">
      <c r="B578" s="294"/>
      <c r="C578" s="294"/>
      <c r="D578" s="294"/>
      <c r="E578" s="294"/>
      <c r="F578" s="294"/>
      <c r="G578" s="294"/>
      <c r="H578" s="294"/>
      <c r="I578" s="294"/>
      <c r="J578" s="294"/>
      <c r="L578" s="295"/>
      <c r="M578" s="294"/>
      <c r="O578" s="294"/>
      <c r="P578" s="294"/>
      <c r="Q578" s="294"/>
      <c r="R578" s="294"/>
      <c r="S578" s="294"/>
      <c r="T578" s="294"/>
      <c r="U578" s="294"/>
      <c r="V578" s="294"/>
      <c r="W578" s="294"/>
      <c r="X578" s="294"/>
      <c r="Y578" s="294"/>
      <c r="Z578" s="294"/>
      <c r="AA578" s="294"/>
      <c r="AB578" s="294"/>
      <c r="AC578" s="294"/>
      <c r="AD578" s="294"/>
      <c r="AE578" s="294"/>
      <c r="AF578" s="294"/>
      <c r="AG578" s="294"/>
    </row>
    <row r="579" spans="2:33" x14ac:dyDescent="0.25">
      <c r="B579" s="294"/>
      <c r="C579" s="294"/>
      <c r="D579" s="294"/>
      <c r="E579" s="294"/>
      <c r="F579" s="294"/>
      <c r="G579" s="294"/>
      <c r="H579" s="294"/>
      <c r="I579" s="294"/>
      <c r="J579" s="294"/>
      <c r="L579" s="295"/>
      <c r="M579" s="294"/>
      <c r="O579" s="294"/>
      <c r="P579" s="294"/>
      <c r="Q579" s="294"/>
      <c r="R579" s="294"/>
      <c r="S579" s="294"/>
      <c r="T579" s="294"/>
      <c r="U579" s="294"/>
      <c r="V579" s="294"/>
      <c r="W579" s="294"/>
      <c r="X579" s="294"/>
      <c r="Y579" s="294"/>
      <c r="Z579" s="294"/>
      <c r="AA579" s="294"/>
      <c r="AB579" s="294"/>
      <c r="AC579" s="294"/>
      <c r="AD579" s="294"/>
      <c r="AE579" s="294"/>
      <c r="AF579" s="294"/>
      <c r="AG579" s="294"/>
    </row>
    <row r="580" spans="2:33" x14ac:dyDescent="0.25">
      <c r="B580" s="294"/>
      <c r="C580" s="294"/>
      <c r="D580" s="294"/>
      <c r="E580" s="294"/>
      <c r="F580" s="294"/>
      <c r="G580" s="294"/>
      <c r="H580" s="294"/>
      <c r="I580" s="294"/>
      <c r="J580" s="294"/>
      <c r="L580" s="295"/>
      <c r="M580" s="294"/>
      <c r="O580" s="294"/>
      <c r="P580" s="294"/>
      <c r="Q580" s="294"/>
      <c r="R580" s="294"/>
      <c r="S580" s="294"/>
      <c r="T580" s="294"/>
      <c r="U580" s="294"/>
      <c r="V580" s="294"/>
      <c r="W580" s="294"/>
      <c r="X580" s="294"/>
      <c r="Y580" s="294"/>
      <c r="Z580" s="294"/>
      <c r="AA580" s="294"/>
      <c r="AB580" s="294"/>
      <c r="AC580" s="294"/>
      <c r="AD580" s="294"/>
      <c r="AE580" s="294"/>
      <c r="AF580" s="294"/>
      <c r="AG580" s="294"/>
    </row>
    <row r="581" spans="2:33" x14ac:dyDescent="0.25">
      <c r="B581" s="294"/>
      <c r="C581" s="294"/>
      <c r="D581" s="294"/>
      <c r="E581" s="294"/>
      <c r="F581" s="294"/>
      <c r="G581" s="294"/>
      <c r="H581" s="294"/>
      <c r="I581" s="294"/>
      <c r="J581" s="294"/>
      <c r="L581" s="295"/>
      <c r="M581" s="294"/>
      <c r="O581" s="294"/>
      <c r="P581" s="294"/>
      <c r="Q581" s="294"/>
      <c r="R581" s="294"/>
      <c r="S581" s="294"/>
      <c r="T581" s="294"/>
      <c r="U581" s="294"/>
      <c r="V581" s="294"/>
      <c r="W581" s="294"/>
      <c r="X581" s="294"/>
      <c r="Y581" s="294"/>
      <c r="Z581" s="294"/>
      <c r="AA581" s="294"/>
      <c r="AB581" s="294"/>
      <c r="AC581" s="294"/>
      <c r="AD581" s="294"/>
      <c r="AE581" s="294"/>
      <c r="AF581" s="294"/>
      <c r="AG581" s="294"/>
    </row>
    <row r="582" spans="2:33" x14ac:dyDescent="0.25">
      <c r="B582" s="294"/>
      <c r="C582" s="294"/>
      <c r="D582" s="294"/>
      <c r="E582" s="294"/>
      <c r="F582" s="294"/>
      <c r="G582" s="294"/>
      <c r="H582" s="294"/>
      <c r="I582" s="294"/>
      <c r="J582" s="294"/>
      <c r="L582" s="295"/>
      <c r="M582" s="294"/>
      <c r="O582" s="294"/>
      <c r="P582" s="294"/>
      <c r="Q582" s="294"/>
      <c r="R582" s="294"/>
      <c r="S582" s="294"/>
      <c r="T582" s="294"/>
      <c r="U582" s="294"/>
      <c r="V582" s="294"/>
      <c r="W582" s="294"/>
      <c r="X582" s="294"/>
      <c r="Y582" s="294"/>
      <c r="Z582" s="294"/>
      <c r="AA582" s="294"/>
      <c r="AB582" s="294"/>
      <c r="AC582" s="294"/>
      <c r="AD582" s="294"/>
      <c r="AE582" s="294"/>
      <c r="AF582" s="294"/>
      <c r="AG582" s="294"/>
    </row>
    <row r="583" spans="2:33" x14ac:dyDescent="0.25">
      <c r="B583" s="294"/>
      <c r="C583" s="294"/>
      <c r="D583" s="294"/>
      <c r="E583" s="294"/>
      <c r="F583" s="294"/>
      <c r="G583" s="294"/>
      <c r="H583" s="294"/>
      <c r="I583" s="294"/>
      <c r="J583" s="294"/>
      <c r="L583" s="295"/>
      <c r="M583" s="294"/>
      <c r="O583" s="294"/>
      <c r="P583" s="294"/>
      <c r="Q583" s="294"/>
      <c r="R583" s="294"/>
      <c r="S583" s="294"/>
      <c r="T583" s="294"/>
      <c r="U583" s="294"/>
      <c r="V583" s="294"/>
      <c r="W583" s="294"/>
      <c r="X583" s="294"/>
      <c r="Y583" s="294"/>
      <c r="Z583" s="294"/>
      <c r="AA583" s="294"/>
      <c r="AB583" s="294"/>
      <c r="AC583" s="294"/>
      <c r="AD583" s="294"/>
      <c r="AE583" s="294"/>
      <c r="AF583" s="294"/>
      <c r="AG583" s="294"/>
    </row>
    <row r="584" spans="2:33" x14ac:dyDescent="0.25">
      <c r="B584" s="294"/>
      <c r="C584" s="294"/>
      <c r="D584" s="294"/>
      <c r="E584" s="294"/>
      <c r="F584" s="294"/>
      <c r="G584" s="294"/>
      <c r="H584" s="294"/>
      <c r="I584" s="294"/>
      <c r="J584" s="294"/>
      <c r="L584" s="295"/>
      <c r="M584" s="294"/>
      <c r="O584" s="294"/>
      <c r="P584" s="294"/>
      <c r="Q584" s="294"/>
      <c r="R584" s="294"/>
      <c r="S584" s="294"/>
      <c r="T584" s="294"/>
      <c r="U584" s="294"/>
      <c r="V584" s="294"/>
      <c r="W584" s="294"/>
      <c r="X584" s="294"/>
      <c r="Y584" s="294"/>
      <c r="Z584" s="294"/>
      <c r="AA584" s="294"/>
      <c r="AB584" s="294"/>
      <c r="AC584" s="294"/>
      <c r="AD584" s="294"/>
      <c r="AE584" s="294"/>
      <c r="AF584" s="294"/>
      <c r="AG584" s="294"/>
    </row>
    <row r="585" spans="2:33" x14ac:dyDescent="0.25">
      <c r="B585" s="294"/>
      <c r="C585" s="294"/>
      <c r="D585" s="294"/>
      <c r="E585" s="294"/>
      <c r="F585" s="294"/>
      <c r="G585" s="294"/>
      <c r="H585" s="294"/>
      <c r="I585" s="294"/>
      <c r="J585" s="294"/>
      <c r="L585" s="295"/>
      <c r="M585" s="294"/>
      <c r="O585" s="294"/>
      <c r="P585" s="294"/>
      <c r="Q585" s="294"/>
      <c r="R585" s="294"/>
      <c r="S585" s="294"/>
      <c r="T585" s="294"/>
      <c r="U585" s="294"/>
      <c r="V585" s="294"/>
      <c r="W585" s="294"/>
      <c r="X585" s="294"/>
      <c r="Y585" s="294"/>
      <c r="Z585" s="294"/>
      <c r="AA585" s="294"/>
      <c r="AB585" s="294"/>
      <c r="AC585" s="294"/>
      <c r="AD585" s="294"/>
      <c r="AE585" s="294"/>
      <c r="AF585" s="294"/>
      <c r="AG585" s="294"/>
    </row>
    <row r="586" spans="2:33" x14ac:dyDescent="0.25">
      <c r="B586" s="294"/>
      <c r="C586" s="294"/>
      <c r="D586" s="294"/>
      <c r="E586" s="294"/>
      <c r="F586" s="294"/>
      <c r="G586" s="294"/>
      <c r="H586" s="294"/>
      <c r="I586" s="294"/>
      <c r="J586" s="294"/>
      <c r="L586" s="295"/>
      <c r="M586" s="294"/>
      <c r="O586" s="294"/>
      <c r="P586" s="294"/>
      <c r="Q586" s="294"/>
      <c r="R586" s="294"/>
      <c r="S586" s="294"/>
      <c r="T586" s="294"/>
      <c r="U586" s="294"/>
      <c r="V586" s="294"/>
      <c r="W586" s="294"/>
      <c r="X586" s="294"/>
      <c r="Y586" s="294"/>
      <c r="Z586" s="294"/>
      <c r="AA586" s="294"/>
      <c r="AB586" s="294"/>
      <c r="AC586" s="294"/>
      <c r="AD586" s="294"/>
      <c r="AE586" s="294"/>
      <c r="AF586" s="294"/>
      <c r="AG586" s="294"/>
    </row>
    <row r="587" spans="2:33" x14ac:dyDescent="0.25">
      <c r="B587" s="294"/>
      <c r="C587" s="294"/>
      <c r="D587" s="294"/>
      <c r="E587" s="294"/>
      <c r="F587" s="294"/>
      <c r="G587" s="294"/>
      <c r="H587" s="294"/>
      <c r="I587" s="294"/>
      <c r="J587" s="294"/>
      <c r="L587" s="295"/>
      <c r="M587" s="294"/>
      <c r="O587" s="294"/>
      <c r="P587" s="294"/>
      <c r="Q587" s="294"/>
      <c r="R587" s="294"/>
      <c r="S587" s="294"/>
      <c r="T587" s="294"/>
      <c r="U587" s="294"/>
      <c r="V587" s="294"/>
      <c r="W587" s="294"/>
      <c r="X587" s="294"/>
      <c r="Y587" s="294"/>
      <c r="Z587" s="294"/>
      <c r="AA587" s="294"/>
      <c r="AB587" s="294"/>
      <c r="AC587" s="294"/>
      <c r="AD587" s="294"/>
      <c r="AE587" s="294"/>
      <c r="AF587" s="294"/>
      <c r="AG587" s="294"/>
    </row>
    <row r="588" spans="2:33" x14ac:dyDescent="0.25">
      <c r="B588" s="294"/>
      <c r="C588" s="294"/>
      <c r="D588" s="294"/>
      <c r="E588" s="294"/>
      <c r="F588" s="294"/>
      <c r="G588" s="294"/>
      <c r="H588" s="294"/>
      <c r="I588" s="294"/>
      <c r="J588" s="294"/>
      <c r="L588" s="295"/>
      <c r="M588" s="294"/>
      <c r="O588" s="294"/>
      <c r="P588" s="294"/>
      <c r="Q588" s="294"/>
      <c r="R588" s="294"/>
      <c r="S588" s="294"/>
      <c r="T588" s="294"/>
      <c r="U588" s="294"/>
      <c r="V588" s="294"/>
      <c r="W588" s="294"/>
      <c r="X588" s="294"/>
      <c r="Y588" s="294"/>
      <c r="Z588" s="294"/>
      <c r="AA588" s="294"/>
      <c r="AB588" s="294"/>
      <c r="AC588" s="294"/>
      <c r="AD588" s="294"/>
      <c r="AE588" s="294"/>
      <c r="AF588" s="294"/>
      <c r="AG588" s="294"/>
    </row>
    <row r="589" spans="2:33" x14ac:dyDescent="0.25">
      <c r="B589" s="294"/>
      <c r="C589" s="294"/>
      <c r="D589" s="294"/>
      <c r="E589" s="294"/>
      <c r="F589" s="294"/>
      <c r="G589" s="294"/>
      <c r="H589" s="294"/>
      <c r="I589" s="294"/>
      <c r="J589" s="294"/>
      <c r="L589" s="295"/>
      <c r="M589" s="294"/>
      <c r="O589" s="294"/>
      <c r="P589" s="294"/>
      <c r="Q589" s="294"/>
      <c r="R589" s="294"/>
      <c r="S589" s="294"/>
      <c r="T589" s="294"/>
      <c r="U589" s="294"/>
      <c r="V589" s="294"/>
      <c r="W589" s="294"/>
      <c r="X589" s="294"/>
      <c r="Y589" s="294"/>
      <c r="Z589" s="294"/>
      <c r="AA589" s="294"/>
      <c r="AB589" s="294"/>
      <c r="AC589" s="294"/>
      <c r="AD589" s="294"/>
      <c r="AE589" s="294"/>
      <c r="AF589" s="294"/>
      <c r="AG589" s="294"/>
    </row>
    <row r="590" spans="2:33" x14ac:dyDescent="0.25">
      <c r="B590" s="294"/>
      <c r="C590" s="294"/>
      <c r="D590" s="294"/>
      <c r="E590" s="294"/>
      <c r="F590" s="294"/>
      <c r="G590" s="294"/>
      <c r="H590" s="294"/>
      <c r="I590" s="294"/>
      <c r="J590" s="294"/>
      <c r="L590" s="295"/>
      <c r="M590" s="294"/>
      <c r="O590" s="294"/>
      <c r="P590" s="294"/>
      <c r="Q590" s="294"/>
      <c r="R590" s="294"/>
      <c r="S590" s="294"/>
      <c r="T590" s="294"/>
      <c r="U590" s="294"/>
      <c r="V590" s="294"/>
      <c r="W590" s="294"/>
      <c r="X590" s="294"/>
      <c r="Y590" s="294"/>
      <c r="Z590" s="294"/>
      <c r="AA590" s="294"/>
      <c r="AB590" s="294"/>
      <c r="AC590" s="294"/>
      <c r="AD590" s="294"/>
      <c r="AE590" s="294"/>
      <c r="AF590" s="294"/>
      <c r="AG590" s="294"/>
    </row>
    <row r="591" spans="2:33" x14ac:dyDescent="0.25">
      <c r="B591" s="294"/>
      <c r="C591" s="294"/>
      <c r="D591" s="294"/>
      <c r="E591" s="294"/>
      <c r="F591" s="294"/>
      <c r="G591" s="294"/>
      <c r="H591" s="294"/>
      <c r="I591" s="294"/>
      <c r="J591" s="294"/>
      <c r="L591" s="295"/>
      <c r="M591" s="294"/>
      <c r="O591" s="294"/>
      <c r="P591" s="294"/>
      <c r="Q591" s="294"/>
      <c r="R591" s="294"/>
      <c r="S591" s="294"/>
      <c r="T591" s="294"/>
      <c r="U591" s="294"/>
      <c r="V591" s="294"/>
      <c r="W591" s="294"/>
      <c r="X591" s="294"/>
      <c r="Y591" s="294"/>
      <c r="Z591" s="294"/>
      <c r="AA591" s="294"/>
      <c r="AB591" s="294"/>
      <c r="AC591" s="294"/>
      <c r="AD591" s="294"/>
      <c r="AE591" s="294"/>
      <c r="AF591" s="294"/>
      <c r="AG591" s="294"/>
    </row>
    <row r="592" spans="2:33" x14ac:dyDescent="0.25">
      <c r="B592" s="294"/>
      <c r="C592" s="294"/>
      <c r="D592" s="294"/>
      <c r="E592" s="294"/>
      <c r="F592" s="294"/>
      <c r="G592" s="294"/>
      <c r="H592" s="294"/>
      <c r="I592" s="294"/>
      <c r="J592" s="294"/>
      <c r="L592" s="295"/>
      <c r="M592" s="294"/>
      <c r="O592" s="294"/>
      <c r="P592" s="294"/>
      <c r="Q592" s="294"/>
      <c r="R592" s="294"/>
      <c r="S592" s="294"/>
      <c r="T592" s="294"/>
      <c r="U592" s="294"/>
      <c r="V592" s="294"/>
      <c r="W592" s="294"/>
      <c r="X592" s="294"/>
      <c r="Y592" s="294"/>
      <c r="Z592" s="294"/>
      <c r="AA592" s="294"/>
      <c r="AB592" s="294"/>
      <c r="AC592" s="294"/>
      <c r="AD592" s="294"/>
      <c r="AE592" s="294"/>
      <c r="AF592" s="294"/>
      <c r="AG592" s="294"/>
    </row>
    <row r="593" spans="2:33" x14ac:dyDescent="0.25">
      <c r="B593" s="294"/>
      <c r="C593" s="294"/>
      <c r="D593" s="294"/>
      <c r="E593" s="294"/>
      <c r="F593" s="294"/>
      <c r="G593" s="294"/>
      <c r="H593" s="294"/>
      <c r="I593" s="294"/>
      <c r="J593" s="294"/>
      <c r="L593" s="295"/>
      <c r="M593" s="294"/>
      <c r="O593" s="294"/>
      <c r="P593" s="294"/>
      <c r="Q593" s="294"/>
      <c r="R593" s="294"/>
      <c r="S593" s="294"/>
      <c r="T593" s="294"/>
      <c r="U593" s="294"/>
      <c r="V593" s="294"/>
      <c r="W593" s="294"/>
      <c r="X593" s="294"/>
      <c r="Y593" s="294"/>
      <c r="Z593" s="294"/>
      <c r="AA593" s="294"/>
      <c r="AB593" s="294"/>
      <c r="AC593" s="294"/>
      <c r="AD593" s="294"/>
      <c r="AE593" s="294"/>
      <c r="AF593" s="294"/>
      <c r="AG593" s="294"/>
    </row>
    <row r="594" spans="2:33" x14ac:dyDescent="0.25">
      <c r="B594" s="294"/>
      <c r="C594" s="294"/>
      <c r="D594" s="294"/>
      <c r="E594" s="294"/>
      <c r="F594" s="294"/>
      <c r="G594" s="294"/>
      <c r="H594" s="294"/>
      <c r="I594" s="294"/>
      <c r="J594" s="294"/>
      <c r="L594" s="295"/>
      <c r="M594" s="294"/>
      <c r="O594" s="294"/>
      <c r="P594" s="294"/>
      <c r="Q594" s="294"/>
      <c r="R594" s="294"/>
      <c r="S594" s="294"/>
      <c r="T594" s="294"/>
      <c r="U594" s="294"/>
      <c r="V594" s="294"/>
      <c r="W594" s="294"/>
      <c r="X594" s="294"/>
      <c r="Y594" s="294"/>
      <c r="Z594" s="294"/>
      <c r="AA594" s="294"/>
      <c r="AB594" s="294"/>
      <c r="AC594" s="294"/>
      <c r="AD594" s="294"/>
      <c r="AE594" s="294"/>
      <c r="AF594" s="294"/>
      <c r="AG594" s="294"/>
    </row>
    <row r="595" spans="2:33" x14ac:dyDescent="0.25">
      <c r="B595" s="294"/>
      <c r="C595" s="294"/>
      <c r="D595" s="294"/>
      <c r="E595" s="294"/>
      <c r="F595" s="294"/>
      <c r="G595" s="294"/>
      <c r="H595" s="294"/>
      <c r="I595" s="294"/>
      <c r="J595" s="294"/>
      <c r="L595" s="295"/>
      <c r="M595" s="294"/>
      <c r="O595" s="294"/>
      <c r="P595" s="294"/>
      <c r="Q595" s="294"/>
      <c r="R595" s="294"/>
      <c r="S595" s="294"/>
      <c r="T595" s="294"/>
      <c r="U595" s="294"/>
      <c r="V595" s="294"/>
      <c r="W595" s="294"/>
      <c r="X595" s="294"/>
      <c r="Y595" s="294"/>
      <c r="Z595" s="294"/>
      <c r="AA595" s="294"/>
      <c r="AB595" s="294"/>
      <c r="AC595" s="294"/>
      <c r="AD595" s="294"/>
      <c r="AE595" s="294"/>
      <c r="AF595" s="294"/>
      <c r="AG595" s="294"/>
    </row>
    <row r="596" spans="2:33" x14ac:dyDescent="0.25">
      <c r="B596" s="294"/>
      <c r="C596" s="294"/>
      <c r="D596" s="294"/>
      <c r="E596" s="294"/>
      <c r="F596" s="294"/>
      <c r="G596" s="294"/>
      <c r="H596" s="294"/>
      <c r="I596" s="294"/>
      <c r="J596" s="294"/>
      <c r="L596" s="295"/>
      <c r="M596" s="294"/>
      <c r="O596" s="294"/>
      <c r="P596" s="294"/>
      <c r="Q596" s="294"/>
      <c r="R596" s="294"/>
      <c r="S596" s="294"/>
      <c r="T596" s="294"/>
      <c r="U596" s="294"/>
      <c r="V596" s="294"/>
      <c r="W596" s="294"/>
      <c r="X596" s="294"/>
      <c r="Y596" s="294"/>
      <c r="Z596" s="294"/>
      <c r="AA596" s="294"/>
      <c r="AB596" s="294"/>
      <c r="AC596" s="294"/>
      <c r="AD596" s="294"/>
      <c r="AE596" s="294"/>
      <c r="AF596" s="294"/>
      <c r="AG596" s="294"/>
    </row>
    <row r="597" spans="2:33" x14ac:dyDescent="0.25">
      <c r="B597" s="294"/>
      <c r="C597" s="294"/>
      <c r="D597" s="294"/>
      <c r="E597" s="294"/>
      <c r="F597" s="294"/>
      <c r="G597" s="294"/>
      <c r="H597" s="294"/>
      <c r="I597" s="294"/>
      <c r="J597" s="294"/>
      <c r="L597" s="295"/>
      <c r="M597" s="294"/>
      <c r="O597" s="294"/>
      <c r="P597" s="294"/>
      <c r="Q597" s="294"/>
      <c r="R597" s="294"/>
      <c r="S597" s="294"/>
      <c r="T597" s="294"/>
      <c r="U597" s="294"/>
      <c r="V597" s="294"/>
      <c r="W597" s="294"/>
      <c r="X597" s="294"/>
      <c r="Y597" s="294"/>
      <c r="Z597" s="294"/>
      <c r="AA597" s="294"/>
      <c r="AB597" s="294"/>
      <c r="AC597" s="294"/>
      <c r="AD597" s="294"/>
      <c r="AE597" s="294"/>
      <c r="AF597" s="294"/>
      <c r="AG597" s="294"/>
    </row>
    <row r="598" spans="2:33" x14ac:dyDescent="0.25">
      <c r="B598" s="294"/>
      <c r="C598" s="294"/>
      <c r="D598" s="294"/>
      <c r="E598" s="294"/>
      <c r="F598" s="294"/>
      <c r="G598" s="294"/>
      <c r="H598" s="294"/>
      <c r="I598" s="294"/>
      <c r="J598" s="294"/>
      <c r="L598" s="295"/>
      <c r="M598" s="294"/>
      <c r="O598" s="294"/>
      <c r="P598" s="294"/>
      <c r="Q598" s="294"/>
      <c r="R598" s="294"/>
      <c r="S598" s="294"/>
      <c r="T598" s="294"/>
      <c r="U598" s="294"/>
      <c r="V598" s="294"/>
      <c r="W598" s="294"/>
      <c r="X598" s="294"/>
      <c r="Y598" s="294"/>
      <c r="Z598" s="294"/>
      <c r="AA598" s="294"/>
      <c r="AB598" s="294"/>
      <c r="AC598" s="294"/>
      <c r="AD598" s="294"/>
      <c r="AE598" s="294"/>
      <c r="AF598" s="294"/>
      <c r="AG598" s="294"/>
    </row>
    <row r="599" spans="2:33" x14ac:dyDescent="0.25">
      <c r="B599" s="294"/>
      <c r="C599" s="294"/>
      <c r="D599" s="294"/>
      <c r="E599" s="294"/>
      <c r="F599" s="294"/>
      <c r="G599" s="294"/>
      <c r="H599" s="294"/>
      <c r="I599" s="294"/>
      <c r="J599" s="294"/>
      <c r="L599" s="295"/>
      <c r="M599" s="294"/>
      <c r="O599" s="294"/>
      <c r="P599" s="294"/>
      <c r="Q599" s="294"/>
      <c r="R599" s="294"/>
      <c r="S599" s="294"/>
      <c r="T599" s="294"/>
      <c r="U599" s="294"/>
      <c r="V599" s="294"/>
      <c r="W599" s="294"/>
      <c r="X599" s="294"/>
      <c r="Y599" s="294"/>
      <c r="Z599" s="294"/>
      <c r="AA599" s="294"/>
      <c r="AB599" s="294"/>
      <c r="AC599" s="294"/>
      <c r="AD599" s="294"/>
      <c r="AE599" s="294"/>
      <c r="AF599" s="294"/>
      <c r="AG599" s="294"/>
    </row>
    <row r="600" spans="2:33" x14ac:dyDescent="0.25">
      <c r="B600" s="294"/>
      <c r="C600" s="294"/>
      <c r="D600" s="294"/>
      <c r="E600" s="294"/>
      <c r="F600" s="294"/>
      <c r="G600" s="294"/>
      <c r="H600" s="294"/>
      <c r="I600" s="294"/>
      <c r="J600" s="294"/>
      <c r="L600" s="295"/>
      <c r="M600" s="294"/>
      <c r="O600" s="294"/>
      <c r="P600" s="294"/>
      <c r="Q600" s="294"/>
      <c r="R600" s="294"/>
      <c r="S600" s="294"/>
      <c r="T600" s="294"/>
      <c r="U600" s="294"/>
      <c r="V600" s="294"/>
      <c r="W600" s="294"/>
      <c r="X600" s="294"/>
      <c r="Y600" s="294"/>
      <c r="Z600" s="294"/>
      <c r="AA600" s="294"/>
      <c r="AB600" s="294"/>
      <c r="AC600" s="294"/>
      <c r="AD600" s="294"/>
      <c r="AE600" s="294"/>
      <c r="AF600" s="294"/>
      <c r="AG600" s="294"/>
    </row>
    <row r="601" spans="2:33" x14ac:dyDescent="0.25">
      <c r="B601" s="294"/>
      <c r="C601" s="294"/>
      <c r="D601" s="294"/>
      <c r="E601" s="294"/>
      <c r="F601" s="294"/>
      <c r="G601" s="294"/>
      <c r="H601" s="294"/>
      <c r="I601" s="294"/>
      <c r="J601" s="294"/>
      <c r="L601" s="295"/>
      <c r="M601" s="294"/>
      <c r="O601" s="294"/>
      <c r="P601" s="294"/>
      <c r="Q601" s="294"/>
      <c r="R601" s="294"/>
      <c r="S601" s="294"/>
      <c r="T601" s="294"/>
      <c r="U601" s="294"/>
      <c r="V601" s="294"/>
      <c r="W601" s="294"/>
      <c r="X601" s="294"/>
      <c r="Y601" s="294"/>
      <c r="Z601" s="294"/>
      <c r="AA601" s="294"/>
      <c r="AB601" s="294"/>
      <c r="AC601" s="294"/>
      <c r="AD601" s="294"/>
      <c r="AE601" s="294"/>
      <c r="AF601" s="294"/>
      <c r="AG601" s="294"/>
    </row>
    <row r="602" spans="2:33" x14ac:dyDescent="0.25">
      <c r="B602" s="294"/>
      <c r="C602" s="294"/>
      <c r="D602" s="294"/>
      <c r="E602" s="294"/>
      <c r="F602" s="294"/>
      <c r="G602" s="294"/>
      <c r="H602" s="294"/>
      <c r="I602" s="294"/>
      <c r="J602" s="294"/>
      <c r="L602" s="295"/>
      <c r="M602" s="294"/>
      <c r="O602" s="294"/>
      <c r="P602" s="294"/>
      <c r="Q602" s="294"/>
      <c r="R602" s="294"/>
      <c r="S602" s="294"/>
      <c r="T602" s="294"/>
      <c r="U602" s="294"/>
      <c r="V602" s="294"/>
      <c r="W602" s="294"/>
      <c r="X602" s="294"/>
      <c r="Y602" s="294"/>
      <c r="Z602" s="294"/>
      <c r="AA602" s="294"/>
      <c r="AB602" s="294"/>
      <c r="AC602" s="294"/>
      <c r="AD602" s="294"/>
      <c r="AE602" s="294"/>
      <c r="AF602" s="294"/>
      <c r="AG602" s="294"/>
    </row>
    <row r="603" spans="2:33" x14ac:dyDescent="0.25">
      <c r="B603" s="294"/>
      <c r="C603" s="294"/>
      <c r="D603" s="294"/>
      <c r="E603" s="294"/>
      <c r="F603" s="294"/>
      <c r="G603" s="294"/>
      <c r="H603" s="294"/>
      <c r="I603" s="294"/>
      <c r="J603" s="294"/>
      <c r="L603" s="295"/>
      <c r="M603" s="294"/>
      <c r="O603" s="294"/>
      <c r="P603" s="294"/>
      <c r="Q603" s="294"/>
      <c r="R603" s="294"/>
      <c r="S603" s="294"/>
      <c r="T603" s="294"/>
      <c r="U603" s="294"/>
      <c r="V603" s="294"/>
      <c r="W603" s="294"/>
      <c r="X603" s="294"/>
      <c r="Y603" s="294"/>
      <c r="Z603" s="294"/>
      <c r="AA603" s="294"/>
      <c r="AB603" s="294"/>
      <c r="AC603" s="294"/>
      <c r="AD603" s="294"/>
      <c r="AE603" s="294"/>
      <c r="AF603" s="294"/>
      <c r="AG603" s="294"/>
    </row>
    <row r="604" spans="2:33" x14ac:dyDescent="0.25">
      <c r="B604" s="294"/>
      <c r="C604" s="294"/>
      <c r="D604" s="294"/>
      <c r="E604" s="294"/>
      <c r="F604" s="294"/>
      <c r="G604" s="294"/>
      <c r="H604" s="294"/>
      <c r="I604" s="294"/>
      <c r="J604" s="294"/>
      <c r="L604" s="295"/>
      <c r="M604" s="294"/>
      <c r="O604" s="294"/>
      <c r="P604" s="294"/>
      <c r="Q604" s="294"/>
      <c r="R604" s="294"/>
      <c r="S604" s="294"/>
      <c r="T604" s="294"/>
      <c r="U604" s="294"/>
      <c r="V604" s="294"/>
      <c r="W604" s="294"/>
      <c r="X604" s="294"/>
      <c r="Y604" s="294"/>
      <c r="Z604" s="294"/>
      <c r="AA604" s="294"/>
      <c r="AB604" s="294"/>
      <c r="AC604" s="294"/>
      <c r="AD604" s="294"/>
      <c r="AE604" s="294"/>
      <c r="AF604" s="294"/>
      <c r="AG604" s="294"/>
    </row>
    <row r="605" spans="2:33" x14ac:dyDescent="0.25">
      <c r="B605" s="294"/>
      <c r="C605" s="294"/>
      <c r="D605" s="294"/>
      <c r="E605" s="294"/>
      <c r="F605" s="294"/>
      <c r="G605" s="294"/>
      <c r="H605" s="294"/>
      <c r="I605" s="294"/>
      <c r="J605" s="294"/>
      <c r="L605" s="295"/>
      <c r="M605" s="294"/>
      <c r="O605" s="294"/>
      <c r="P605" s="294"/>
      <c r="Q605" s="294"/>
      <c r="R605" s="294"/>
      <c r="S605" s="294"/>
      <c r="T605" s="294"/>
      <c r="U605" s="294"/>
      <c r="V605" s="294"/>
      <c r="W605" s="294"/>
      <c r="X605" s="294"/>
      <c r="Y605" s="294"/>
      <c r="Z605" s="294"/>
      <c r="AA605" s="294"/>
      <c r="AB605" s="294"/>
      <c r="AC605" s="294"/>
      <c r="AD605" s="294"/>
      <c r="AE605" s="294"/>
      <c r="AF605" s="294"/>
      <c r="AG605" s="294"/>
    </row>
    <row r="606" spans="2:33" x14ac:dyDescent="0.25">
      <c r="B606" s="294"/>
      <c r="C606" s="294"/>
      <c r="D606" s="294"/>
      <c r="E606" s="294"/>
      <c r="F606" s="294"/>
      <c r="G606" s="294"/>
      <c r="H606" s="294"/>
      <c r="I606" s="294"/>
      <c r="J606" s="294"/>
      <c r="L606" s="295"/>
      <c r="M606" s="294"/>
      <c r="O606" s="294"/>
      <c r="P606" s="294"/>
      <c r="Q606" s="294"/>
      <c r="R606" s="294"/>
      <c r="S606" s="294"/>
      <c r="T606" s="294"/>
      <c r="U606" s="294"/>
      <c r="V606" s="294"/>
      <c r="W606" s="294"/>
      <c r="X606" s="294"/>
      <c r="Y606" s="294"/>
      <c r="Z606" s="294"/>
      <c r="AA606" s="294"/>
      <c r="AB606" s="294"/>
      <c r="AC606" s="294"/>
      <c r="AD606" s="294"/>
      <c r="AE606" s="294"/>
      <c r="AF606" s="294"/>
      <c r="AG606" s="294"/>
    </row>
    <row r="607" spans="2:33" x14ac:dyDescent="0.25">
      <c r="B607" s="294"/>
      <c r="C607" s="294"/>
      <c r="D607" s="294"/>
      <c r="E607" s="294"/>
      <c r="F607" s="294"/>
      <c r="G607" s="294"/>
      <c r="H607" s="294"/>
      <c r="I607" s="294"/>
      <c r="J607" s="294"/>
      <c r="L607" s="295"/>
      <c r="M607" s="294"/>
      <c r="O607" s="294"/>
      <c r="P607" s="294"/>
      <c r="Q607" s="294"/>
      <c r="R607" s="294"/>
      <c r="S607" s="294"/>
      <c r="T607" s="294"/>
      <c r="U607" s="294"/>
      <c r="V607" s="294"/>
      <c r="W607" s="294"/>
      <c r="X607" s="294"/>
      <c r="Y607" s="294"/>
      <c r="Z607" s="294"/>
      <c r="AA607" s="294"/>
      <c r="AB607" s="294"/>
      <c r="AC607" s="294"/>
      <c r="AD607" s="294"/>
      <c r="AE607" s="294"/>
      <c r="AF607" s="294"/>
      <c r="AG607" s="294"/>
    </row>
    <row r="608" spans="2:33" x14ac:dyDescent="0.25">
      <c r="B608" s="294"/>
      <c r="C608" s="294"/>
      <c r="D608" s="294"/>
      <c r="E608" s="294"/>
      <c r="F608" s="294"/>
      <c r="G608" s="294"/>
      <c r="H608" s="294"/>
      <c r="I608" s="294"/>
      <c r="J608" s="294"/>
      <c r="L608" s="295"/>
      <c r="M608" s="294"/>
      <c r="O608" s="294"/>
      <c r="P608" s="294"/>
      <c r="Q608" s="294"/>
      <c r="R608" s="294"/>
      <c r="S608" s="294"/>
      <c r="T608" s="294"/>
      <c r="U608" s="294"/>
      <c r="V608" s="294"/>
      <c r="W608" s="294"/>
      <c r="X608" s="294"/>
      <c r="Y608" s="294"/>
      <c r="Z608" s="294"/>
      <c r="AA608" s="294"/>
      <c r="AB608" s="294"/>
      <c r="AC608" s="294"/>
      <c r="AD608" s="294"/>
      <c r="AE608" s="294"/>
      <c r="AF608" s="294"/>
      <c r="AG608" s="294"/>
    </row>
    <row r="609" spans="2:33" x14ac:dyDescent="0.25">
      <c r="B609" s="294"/>
      <c r="C609" s="294"/>
      <c r="D609" s="294"/>
      <c r="E609" s="294"/>
      <c r="F609" s="294"/>
      <c r="G609" s="294"/>
      <c r="H609" s="294"/>
      <c r="I609" s="294"/>
      <c r="J609" s="294"/>
      <c r="L609" s="295"/>
      <c r="M609" s="294"/>
      <c r="O609" s="294"/>
      <c r="P609" s="294"/>
      <c r="Q609" s="294"/>
      <c r="R609" s="294"/>
      <c r="S609" s="294"/>
      <c r="T609" s="294"/>
      <c r="U609" s="294"/>
      <c r="V609" s="294"/>
      <c r="W609" s="294"/>
      <c r="X609" s="294"/>
      <c r="Y609" s="294"/>
      <c r="Z609" s="294"/>
      <c r="AA609" s="294"/>
      <c r="AB609" s="294"/>
      <c r="AC609" s="294"/>
      <c r="AD609" s="294"/>
      <c r="AE609" s="294"/>
      <c r="AF609" s="294"/>
      <c r="AG609" s="294"/>
    </row>
    <row r="610" spans="2:33" x14ac:dyDescent="0.25">
      <c r="B610" s="294"/>
      <c r="C610" s="294"/>
      <c r="D610" s="294"/>
      <c r="E610" s="294"/>
      <c r="F610" s="294"/>
      <c r="G610" s="294"/>
      <c r="H610" s="294"/>
      <c r="I610" s="294"/>
      <c r="J610" s="294"/>
      <c r="L610" s="295"/>
      <c r="M610" s="294"/>
      <c r="O610" s="294"/>
      <c r="P610" s="294"/>
      <c r="Q610" s="294"/>
      <c r="R610" s="294"/>
      <c r="S610" s="294"/>
      <c r="T610" s="294"/>
      <c r="U610" s="294"/>
      <c r="V610" s="294"/>
      <c r="W610" s="294"/>
      <c r="X610" s="294"/>
      <c r="Y610" s="294"/>
      <c r="Z610" s="294"/>
      <c r="AA610" s="294"/>
      <c r="AB610" s="294"/>
      <c r="AC610" s="294"/>
      <c r="AD610" s="294"/>
      <c r="AE610" s="294"/>
      <c r="AF610" s="294"/>
      <c r="AG610" s="294"/>
    </row>
    <row r="611" spans="2:33" x14ac:dyDescent="0.25">
      <c r="B611" s="294"/>
      <c r="C611" s="294"/>
      <c r="D611" s="294"/>
      <c r="E611" s="294"/>
      <c r="F611" s="294"/>
      <c r="G611" s="294"/>
      <c r="H611" s="294"/>
      <c r="I611" s="294"/>
      <c r="J611" s="294"/>
      <c r="L611" s="295"/>
      <c r="M611" s="294"/>
      <c r="O611" s="294"/>
      <c r="P611" s="294"/>
      <c r="Q611" s="294"/>
      <c r="R611" s="294"/>
      <c r="S611" s="294"/>
      <c r="T611" s="294"/>
      <c r="U611" s="294"/>
      <c r="V611" s="294"/>
      <c r="W611" s="294"/>
      <c r="X611" s="294"/>
      <c r="Y611" s="294"/>
      <c r="Z611" s="294"/>
      <c r="AA611" s="294"/>
      <c r="AB611" s="294"/>
      <c r="AC611" s="294"/>
      <c r="AD611" s="294"/>
      <c r="AE611" s="294"/>
      <c r="AF611" s="294"/>
      <c r="AG611" s="294"/>
    </row>
    <row r="612" spans="2:33" x14ac:dyDescent="0.25">
      <c r="B612" s="294"/>
      <c r="C612" s="294"/>
      <c r="D612" s="294"/>
      <c r="E612" s="294"/>
      <c r="F612" s="294"/>
      <c r="G612" s="294"/>
      <c r="H612" s="294"/>
      <c r="I612" s="294"/>
      <c r="J612" s="294"/>
      <c r="L612" s="295"/>
      <c r="M612" s="294"/>
      <c r="O612" s="294"/>
      <c r="P612" s="294"/>
      <c r="Q612" s="294"/>
      <c r="R612" s="294"/>
      <c r="S612" s="294"/>
      <c r="T612" s="294"/>
      <c r="U612" s="294"/>
      <c r="V612" s="294"/>
      <c r="W612" s="294"/>
      <c r="X612" s="294"/>
      <c r="Y612" s="294"/>
      <c r="Z612" s="294"/>
      <c r="AA612" s="294"/>
      <c r="AB612" s="294"/>
      <c r="AC612" s="294"/>
      <c r="AD612" s="294"/>
      <c r="AE612" s="294"/>
      <c r="AF612" s="294"/>
      <c r="AG612" s="294"/>
    </row>
    <row r="613" spans="2:33" x14ac:dyDescent="0.25">
      <c r="B613" s="294"/>
      <c r="C613" s="294"/>
      <c r="D613" s="294"/>
      <c r="E613" s="294"/>
      <c r="F613" s="294"/>
      <c r="G613" s="294"/>
      <c r="H613" s="294"/>
      <c r="I613" s="294"/>
      <c r="J613" s="294"/>
      <c r="L613" s="295"/>
      <c r="M613" s="294"/>
      <c r="O613" s="294"/>
      <c r="P613" s="294"/>
      <c r="Q613" s="294"/>
      <c r="R613" s="294"/>
      <c r="S613" s="294"/>
      <c r="T613" s="294"/>
      <c r="U613" s="294"/>
      <c r="V613" s="294"/>
      <c r="W613" s="294"/>
      <c r="X613" s="294"/>
      <c r="Y613" s="294"/>
      <c r="Z613" s="294"/>
      <c r="AA613" s="294"/>
      <c r="AB613" s="294"/>
      <c r="AC613" s="294"/>
      <c r="AD613" s="294"/>
      <c r="AE613" s="294"/>
      <c r="AF613" s="294"/>
      <c r="AG613" s="294"/>
    </row>
    <row r="614" spans="2:33" x14ac:dyDescent="0.25">
      <c r="B614" s="294"/>
      <c r="C614" s="294"/>
      <c r="D614" s="294"/>
      <c r="E614" s="294"/>
      <c r="F614" s="294"/>
      <c r="G614" s="294"/>
      <c r="H614" s="294"/>
      <c r="I614" s="294"/>
      <c r="J614" s="294"/>
      <c r="L614" s="295"/>
      <c r="M614" s="294"/>
      <c r="O614" s="294"/>
      <c r="P614" s="294"/>
      <c r="Q614" s="294"/>
      <c r="R614" s="294"/>
      <c r="S614" s="294"/>
      <c r="T614" s="294"/>
      <c r="U614" s="294"/>
      <c r="V614" s="294"/>
      <c r="W614" s="294"/>
      <c r="X614" s="294"/>
      <c r="Y614" s="294"/>
      <c r="Z614" s="294"/>
      <c r="AA614" s="294"/>
      <c r="AB614" s="294"/>
      <c r="AC614" s="294"/>
      <c r="AD614" s="294"/>
      <c r="AE614" s="294"/>
      <c r="AF614" s="294"/>
      <c r="AG614" s="294"/>
    </row>
    <row r="615" spans="2:33" x14ac:dyDescent="0.25">
      <c r="B615" s="294"/>
      <c r="C615" s="294"/>
      <c r="D615" s="294"/>
      <c r="E615" s="294"/>
      <c r="F615" s="294"/>
      <c r="G615" s="294"/>
      <c r="H615" s="294"/>
      <c r="I615" s="294"/>
      <c r="J615" s="294"/>
      <c r="L615" s="295"/>
      <c r="M615" s="294"/>
      <c r="O615" s="294"/>
      <c r="P615" s="294"/>
      <c r="Q615" s="294"/>
      <c r="R615" s="294"/>
      <c r="S615" s="294"/>
      <c r="T615" s="294"/>
      <c r="U615" s="294"/>
      <c r="V615" s="294"/>
      <c r="W615" s="294"/>
      <c r="X615" s="294"/>
      <c r="Y615" s="294"/>
      <c r="Z615" s="294"/>
      <c r="AA615" s="294"/>
      <c r="AB615" s="294"/>
      <c r="AC615" s="294"/>
      <c r="AD615" s="294"/>
      <c r="AE615" s="294"/>
      <c r="AF615" s="294"/>
      <c r="AG615" s="294"/>
    </row>
    <row r="616" spans="2:33" x14ac:dyDescent="0.25">
      <c r="B616" s="294"/>
      <c r="C616" s="294"/>
      <c r="D616" s="294"/>
      <c r="E616" s="294"/>
      <c r="F616" s="294"/>
      <c r="G616" s="294"/>
      <c r="H616" s="294"/>
      <c r="I616" s="294"/>
      <c r="J616" s="294"/>
      <c r="L616" s="295"/>
      <c r="M616" s="294"/>
      <c r="O616" s="294"/>
      <c r="P616" s="294"/>
      <c r="Q616" s="294"/>
      <c r="R616" s="294"/>
      <c r="S616" s="294"/>
      <c r="T616" s="294"/>
      <c r="U616" s="294"/>
      <c r="V616" s="294"/>
      <c r="W616" s="294"/>
      <c r="X616" s="294"/>
      <c r="Y616" s="294"/>
      <c r="Z616" s="294"/>
      <c r="AA616" s="294"/>
      <c r="AB616" s="294"/>
      <c r="AC616" s="294"/>
      <c r="AD616" s="294"/>
      <c r="AE616" s="294"/>
      <c r="AF616" s="294"/>
      <c r="AG616" s="294"/>
    </row>
    <row r="617" spans="2:33" x14ac:dyDescent="0.25">
      <c r="B617" s="294"/>
      <c r="C617" s="294"/>
      <c r="D617" s="294"/>
      <c r="E617" s="294"/>
      <c r="F617" s="294"/>
      <c r="G617" s="294"/>
      <c r="H617" s="294"/>
      <c r="I617" s="294"/>
      <c r="J617" s="294"/>
      <c r="L617" s="295"/>
      <c r="M617" s="294"/>
      <c r="O617" s="294"/>
      <c r="P617" s="294"/>
      <c r="Q617" s="294"/>
      <c r="R617" s="294"/>
      <c r="S617" s="294"/>
      <c r="T617" s="294"/>
      <c r="U617" s="294"/>
      <c r="V617" s="294"/>
      <c r="W617" s="294"/>
      <c r="X617" s="294"/>
      <c r="Y617" s="294"/>
      <c r="Z617" s="294"/>
      <c r="AA617" s="294"/>
      <c r="AB617" s="294"/>
      <c r="AC617" s="294"/>
      <c r="AD617" s="294"/>
      <c r="AE617" s="294"/>
      <c r="AF617" s="294"/>
      <c r="AG617" s="294"/>
    </row>
    <row r="618" spans="2:33" x14ac:dyDescent="0.25">
      <c r="B618" s="294"/>
      <c r="C618" s="294"/>
      <c r="D618" s="294"/>
      <c r="E618" s="294"/>
      <c r="F618" s="294"/>
      <c r="G618" s="294"/>
      <c r="H618" s="294"/>
      <c r="I618" s="294"/>
      <c r="J618" s="294"/>
      <c r="L618" s="295"/>
      <c r="M618" s="294"/>
      <c r="O618" s="294"/>
      <c r="P618" s="294"/>
      <c r="Q618" s="294"/>
      <c r="R618" s="294"/>
      <c r="S618" s="294"/>
      <c r="T618" s="294"/>
      <c r="U618" s="294"/>
      <c r="V618" s="294"/>
      <c r="W618" s="294"/>
      <c r="X618" s="294"/>
      <c r="Y618" s="294"/>
      <c r="Z618" s="294"/>
      <c r="AA618" s="294"/>
      <c r="AB618" s="294"/>
      <c r="AC618" s="294"/>
      <c r="AD618" s="294"/>
      <c r="AE618" s="294"/>
      <c r="AF618" s="294"/>
      <c r="AG618" s="294"/>
    </row>
    <row r="619" spans="2:33" x14ac:dyDescent="0.25">
      <c r="B619" s="294"/>
      <c r="C619" s="294"/>
      <c r="D619" s="294"/>
      <c r="E619" s="294"/>
      <c r="F619" s="294"/>
      <c r="G619" s="294"/>
      <c r="H619" s="294"/>
      <c r="I619" s="294"/>
      <c r="J619" s="294"/>
      <c r="L619" s="295"/>
      <c r="M619" s="294"/>
      <c r="O619" s="294"/>
      <c r="P619" s="294"/>
      <c r="Q619" s="294"/>
      <c r="R619" s="294"/>
      <c r="S619" s="294"/>
      <c r="T619" s="294"/>
      <c r="U619" s="294"/>
      <c r="V619" s="294"/>
      <c r="W619" s="294"/>
      <c r="X619" s="294"/>
      <c r="Y619" s="294"/>
      <c r="Z619" s="294"/>
      <c r="AA619" s="294"/>
      <c r="AB619" s="294"/>
      <c r="AC619" s="294"/>
      <c r="AD619" s="294"/>
      <c r="AE619" s="294"/>
      <c r="AF619" s="294"/>
      <c r="AG619" s="294"/>
    </row>
    <row r="620" spans="2:33" x14ac:dyDescent="0.25">
      <c r="B620" s="294"/>
      <c r="C620" s="294"/>
      <c r="D620" s="294"/>
      <c r="E620" s="294"/>
      <c r="F620" s="294"/>
      <c r="G620" s="294"/>
      <c r="H620" s="294"/>
      <c r="I620" s="294"/>
      <c r="J620" s="294"/>
      <c r="L620" s="295"/>
      <c r="M620" s="294"/>
      <c r="O620" s="294"/>
      <c r="P620" s="294"/>
      <c r="Q620" s="294"/>
      <c r="R620" s="294"/>
      <c r="S620" s="294"/>
      <c r="T620" s="294"/>
      <c r="U620" s="294"/>
      <c r="V620" s="294"/>
      <c r="W620" s="294"/>
      <c r="X620" s="294"/>
      <c r="Y620" s="294"/>
      <c r="Z620" s="294"/>
      <c r="AA620" s="294"/>
      <c r="AB620" s="294"/>
      <c r="AC620" s="294"/>
      <c r="AD620" s="294"/>
      <c r="AE620" s="294"/>
      <c r="AF620" s="294"/>
      <c r="AG620" s="294"/>
    </row>
    <row r="621" spans="2:33" x14ac:dyDescent="0.25">
      <c r="B621" s="294"/>
      <c r="C621" s="294"/>
      <c r="D621" s="294"/>
      <c r="E621" s="294"/>
      <c r="F621" s="294"/>
      <c r="G621" s="294"/>
      <c r="H621" s="294"/>
      <c r="I621" s="294"/>
      <c r="J621" s="294"/>
      <c r="L621" s="295"/>
      <c r="M621" s="294"/>
      <c r="O621" s="294"/>
      <c r="P621" s="294"/>
      <c r="Q621" s="294"/>
      <c r="R621" s="294"/>
      <c r="S621" s="294"/>
      <c r="T621" s="294"/>
      <c r="U621" s="294"/>
      <c r="V621" s="294"/>
      <c r="W621" s="294"/>
      <c r="X621" s="294"/>
      <c r="Y621" s="294"/>
      <c r="Z621" s="294"/>
      <c r="AA621" s="294"/>
      <c r="AB621" s="294"/>
      <c r="AC621" s="294"/>
      <c r="AD621" s="294"/>
      <c r="AE621" s="294"/>
      <c r="AF621" s="294"/>
      <c r="AG621" s="294"/>
    </row>
    <row r="622" spans="2:33" x14ac:dyDescent="0.25">
      <c r="B622" s="294"/>
      <c r="C622" s="294"/>
      <c r="D622" s="294"/>
      <c r="E622" s="294"/>
      <c r="F622" s="294"/>
      <c r="G622" s="294"/>
      <c r="H622" s="294"/>
      <c r="I622" s="294"/>
      <c r="J622" s="294"/>
      <c r="L622" s="295"/>
      <c r="M622" s="294"/>
      <c r="O622" s="294"/>
      <c r="P622" s="294"/>
      <c r="Q622" s="294"/>
      <c r="R622" s="294"/>
      <c r="S622" s="294"/>
      <c r="T622" s="294"/>
      <c r="U622" s="294"/>
      <c r="V622" s="294"/>
      <c r="W622" s="294"/>
      <c r="X622" s="294"/>
      <c r="Y622" s="294"/>
      <c r="Z622" s="294"/>
      <c r="AA622" s="294"/>
      <c r="AB622" s="294"/>
      <c r="AC622" s="294"/>
      <c r="AD622" s="294"/>
      <c r="AE622" s="294"/>
      <c r="AF622" s="294"/>
      <c r="AG622" s="294"/>
    </row>
    <row r="623" spans="2:33" x14ac:dyDescent="0.25">
      <c r="B623" s="294"/>
      <c r="C623" s="294"/>
      <c r="D623" s="294"/>
      <c r="E623" s="294"/>
      <c r="F623" s="294"/>
      <c r="G623" s="294"/>
      <c r="H623" s="294"/>
      <c r="I623" s="294"/>
      <c r="J623" s="294"/>
      <c r="L623" s="295"/>
      <c r="M623" s="294"/>
      <c r="O623" s="294"/>
      <c r="P623" s="294"/>
      <c r="Q623" s="294"/>
      <c r="R623" s="294"/>
      <c r="S623" s="294"/>
      <c r="T623" s="294"/>
      <c r="U623" s="294"/>
      <c r="V623" s="294"/>
      <c r="W623" s="294"/>
      <c r="X623" s="294"/>
      <c r="Y623" s="294"/>
      <c r="Z623" s="294"/>
      <c r="AA623" s="294"/>
      <c r="AB623" s="294"/>
      <c r="AC623" s="294"/>
      <c r="AD623" s="294"/>
      <c r="AE623" s="294"/>
      <c r="AF623" s="294"/>
      <c r="AG623" s="294"/>
    </row>
    <row r="624" spans="2:33" x14ac:dyDescent="0.25">
      <c r="B624" s="294"/>
      <c r="C624" s="294"/>
      <c r="D624" s="294"/>
      <c r="E624" s="294"/>
      <c r="F624" s="294"/>
      <c r="G624" s="294"/>
      <c r="H624" s="294"/>
      <c r="I624" s="294"/>
      <c r="J624" s="294"/>
      <c r="L624" s="295"/>
      <c r="M624" s="294"/>
      <c r="O624" s="294"/>
      <c r="P624" s="294"/>
      <c r="Q624" s="294"/>
      <c r="R624" s="294"/>
      <c r="S624" s="294"/>
      <c r="T624" s="294"/>
      <c r="U624" s="294"/>
      <c r="V624" s="294"/>
      <c r="W624" s="294"/>
      <c r="X624" s="294"/>
      <c r="Y624" s="294"/>
      <c r="Z624" s="294"/>
      <c r="AA624" s="294"/>
      <c r="AB624" s="294"/>
      <c r="AC624" s="294"/>
      <c r="AD624" s="294"/>
      <c r="AE624" s="294"/>
      <c r="AF624" s="294"/>
      <c r="AG624" s="294"/>
    </row>
    <row r="625" spans="2:33" x14ac:dyDescent="0.25">
      <c r="B625" s="294"/>
      <c r="C625" s="294"/>
      <c r="D625" s="294"/>
      <c r="E625" s="294"/>
      <c r="F625" s="294"/>
      <c r="G625" s="294"/>
      <c r="H625" s="294"/>
      <c r="I625" s="294"/>
      <c r="J625" s="294"/>
      <c r="L625" s="295"/>
      <c r="M625" s="294"/>
      <c r="O625" s="294"/>
      <c r="P625" s="294"/>
      <c r="Q625" s="294"/>
      <c r="R625" s="294"/>
      <c r="S625" s="294"/>
      <c r="T625" s="294"/>
      <c r="U625" s="294"/>
      <c r="V625" s="294"/>
      <c r="W625" s="294"/>
      <c r="X625" s="294"/>
      <c r="Y625" s="294"/>
      <c r="Z625" s="294"/>
      <c r="AA625" s="294"/>
      <c r="AB625" s="294"/>
      <c r="AC625" s="294"/>
      <c r="AD625" s="294"/>
      <c r="AE625" s="294"/>
      <c r="AF625" s="294"/>
      <c r="AG625" s="294"/>
    </row>
    <row r="626" spans="2:33" x14ac:dyDescent="0.25">
      <c r="B626" s="294"/>
      <c r="C626" s="294"/>
      <c r="D626" s="294"/>
      <c r="E626" s="294"/>
      <c r="F626" s="294"/>
      <c r="G626" s="294"/>
      <c r="H626" s="294"/>
      <c r="I626" s="294"/>
      <c r="J626" s="294"/>
      <c r="L626" s="295"/>
      <c r="M626" s="294"/>
      <c r="O626" s="294"/>
      <c r="P626" s="294"/>
      <c r="Q626" s="294"/>
      <c r="R626" s="294"/>
      <c r="S626" s="294"/>
      <c r="T626" s="294"/>
      <c r="U626" s="294"/>
      <c r="V626" s="294"/>
      <c r="W626" s="294"/>
      <c r="X626" s="294"/>
      <c r="Y626" s="294"/>
      <c r="Z626" s="294"/>
      <c r="AA626" s="294"/>
      <c r="AB626" s="294"/>
      <c r="AC626" s="294"/>
      <c r="AD626" s="294"/>
      <c r="AE626" s="294"/>
      <c r="AF626" s="294"/>
      <c r="AG626" s="294"/>
    </row>
    <row r="627" spans="2:33" x14ac:dyDescent="0.25">
      <c r="B627" s="294"/>
      <c r="C627" s="294"/>
      <c r="D627" s="294"/>
      <c r="E627" s="294"/>
      <c r="F627" s="294"/>
      <c r="G627" s="294"/>
      <c r="H627" s="294"/>
      <c r="I627" s="294"/>
      <c r="J627" s="294"/>
      <c r="L627" s="295"/>
      <c r="M627" s="294"/>
      <c r="O627" s="294"/>
      <c r="P627" s="294"/>
      <c r="Q627" s="294"/>
      <c r="R627" s="294"/>
      <c r="S627" s="294"/>
      <c r="T627" s="294"/>
      <c r="U627" s="294"/>
      <c r="V627" s="294"/>
      <c r="W627" s="294"/>
      <c r="X627" s="294"/>
      <c r="Y627" s="294"/>
      <c r="Z627" s="294"/>
      <c r="AA627" s="294"/>
      <c r="AB627" s="294"/>
      <c r="AC627" s="294"/>
      <c r="AD627" s="294"/>
      <c r="AE627" s="294"/>
      <c r="AF627" s="294"/>
      <c r="AG627" s="294"/>
    </row>
    <row r="628" spans="2:33" x14ac:dyDescent="0.25">
      <c r="B628" s="294"/>
      <c r="C628" s="294"/>
      <c r="D628" s="294"/>
      <c r="E628" s="294"/>
      <c r="F628" s="294"/>
      <c r="G628" s="294"/>
      <c r="H628" s="294"/>
      <c r="I628" s="294"/>
      <c r="J628" s="294"/>
      <c r="L628" s="295"/>
      <c r="M628" s="294"/>
      <c r="O628" s="294"/>
      <c r="P628" s="294"/>
      <c r="Q628" s="294"/>
      <c r="R628" s="294"/>
      <c r="S628" s="294"/>
      <c r="T628" s="294"/>
      <c r="U628" s="294"/>
      <c r="V628" s="294"/>
      <c r="W628" s="294"/>
      <c r="X628" s="294"/>
      <c r="Y628" s="294"/>
      <c r="Z628" s="294"/>
      <c r="AA628" s="294"/>
      <c r="AB628" s="294"/>
      <c r="AC628" s="294"/>
      <c r="AD628" s="294"/>
      <c r="AE628" s="294"/>
      <c r="AF628" s="294"/>
      <c r="AG628" s="294"/>
    </row>
    <row r="629" spans="2:33" x14ac:dyDescent="0.25">
      <c r="B629" s="294"/>
      <c r="C629" s="294"/>
      <c r="D629" s="294"/>
      <c r="E629" s="294"/>
      <c r="F629" s="294"/>
      <c r="G629" s="294"/>
      <c r="H629" s="294"/>
      <c r="I629" s="294"/>
      <c r="J629" s="294"/>
      <c r="L629" s="295"/>
      <c r="M629" s="294"/>
      <c r="O629" s="294"/>
      <c r="P629" s="294"/>
      <c r="Q629" s="294"/>
      <c r="R629" s="294"/>
      <c r="S629" s="294"/>
      <c r="T629" s="294"/>
      <c r="U629" s="294"/>
      <c r="V629" s="294"/>
      <c r="W629" s="294"/>
      <c r="X629" s="294"/>
      <c r="Y629" s="294"/>
      <c r="Z629" s="294"/>
      <c r="AA629" s="294"/>
      <c r="AB629" s="294"/>
      <c r="AC629" s="294"/>
      <c r="AD629" s="294"/>
      <c r="AE629" s="294"/>
      <c r="AF629" s="294"/>
      <c r="AG629" s="294"/>
    </row>
    <row r="630" spans="2:33" x14ac:dyDescent="0.25">
      <c r="B630" s="294"/>
      <c r="C630" s="294"/>
      <c r="D630" s="294"/>
      <c r="E630" s="294"/>
      <c r="F630" s="294"/>
      <c r="G630" s="294"/>
      <c r="H630" s="294"/>
      <c r="I630" s="294"/>
      <c r="J630" s="294"/>
      <c r="L630" s="295"/>
      <c r="M630" s="294"/>
      <c r="O630" s="294"/>
      <c r="P630" s="294"/>
      <c r="Q630" s="294"/>
      <c r="R630" s="294"/>
      <c r="S630" s="294"/>
      <c r="T630" s="294"/>
      <c r="U630" s="294"/>
      <c r="V630" s="294"/>
      <c r="W630" s="294"/>
      <c r="X630" s="294"/>
      <c r="Y630" s="294"/>
      <c r="Z630" s="294"/>
      <c r="AA630" s="294"/>
      <c r="AB630" s="294"/>
      <c r="AC630" s="294"/>
      <c r="AD630" s="294"/>
      <c r="AE630" s="294"/>
      <c r="AF630" s="294"/>
      <c r="AG630" s="294"/>
    </row>
    <row r="631" spans="2:33" x14ac:dyDescent="0.25">
      <c r="B631" s="294"/>
      <c r="C631" s="294"/>
      <c r="D631" s="294"/>
      <c r="E631" s="294"/>
      <c r="F631" s="294"/>
      <c r="G631" s="294"/>
      <c r="H631" s="294"/>
      <c r="I631" s="294"/>
      <c r="J631" s="294"/>
      <c r="L631" s="295"/>
      <c r="M631" s="294"/>
      <c r="O631" s="294"/>
      <c r="P631" s="294"/>
      <c r="Q631" s="294"/>
      <c r="R631" s="294"/>
      <c r="S631" s="294"/>
      <c r="T631" s="294"/>
      <c r="U631" s="294"/>
      <c r="V631" s="294"/>
      <c r="W631" s="294"/>
      <c r="X631" s="294"/>
      <c r="Y631" s="294"/>
      <c r="Z631" s="294"/>
      <c r="AA631" s="294"/>
      <c r="AB631" s="294"/>
      <c r="AC631" s="294"/>
      <c r="AD631" s="294"/>
      <c r="AE631" s="294"/>
      <c r="AF631" s="294"/>
      <c r="AG631" s="294"/>
    </row>
    <row r="632" spans="2:33" x14ac:dyDescent="0.25">
      <c r="B632" s="294"/>
      <c r="C632" s="294"/>
      <c r="D632" s="294"/>
      <c r="E632" s="294"/>
      <c r="F632" s="294"/>
      <c r="G632" s="294"/>
      <c r="H632" s="294"/>
      <c r="I632" s="294"/>
      <c r="J632" s="294"/>
      <c r="L632" s="295"/>
      <c r="M632" s="294"/>
      <c r="O632" s="294"/>
      <c r="P632" s="294"/>
      <c r="Q632" s="294"/>
      <c r="R632" s="294"/>
      <c r="S632" s="294"/>
      <c r="T632" s="294"/>
      <c r="U632" s="294"/>
      <c r="V632" s="294"/>
      <c r="W632" s="294"/>
      <c r="X632" s="294"/>
      <c r="Y632" s="294"/>
      <c r="Z632" s="294"/>
      <c r="AA632" s="294"/>
      <c r="AB632" s="294"/>
      <c r="AC632" s="294"/>
      <c r="AD632" s="294"/>
      <c r="AE632" s="294"/>
      <c r="AF632" s="294"/>
      <c r="AG632" s="294"/>
    </row>
    <row r="633" spans="2:33" x14ac:dyDescent="0.25">
      <c r="B633" s="294"/>
      <c r="C633" s="294"/>
      <c r="D633" s="294"/>
      <c r="E633" s="294"/>
      <c r="F633" s="294"/>
      <c r="G633" s="294"/>
      <c r="H633" s="294"/>
      <c r="I633" s="294"/>
      <c r="J633" s="294"/>
      <c r="L633" s="295"/>
      <c r="M633" s="294"/>
      <c r="O633" s="294"/>
      <c r="P633" s="294"/>
      <c r="Q633" s="294"/>
      <c r="R633" s="294"/>
      <c r="S633" s="294"/>
      <c r="T633" s="294"/>
      <c r="U633" s="294"/>
      <c r="V633" s="294"/>
      <c r="W633" s="294"/>
      <c r="X633" s="294"/>
      <c r="Y633" s="294"/>
      <c r="Z633" s="294"/>
      <c r="AA633" s="294"/>
      <c r="AB633" s="294"/>
      <c r="AC633" s="294"/>
      <c r="AD633" s="294"/>
      <c r="AE633" s="294"/>
      <c r="AF633" s="294"/>
      <c r="AG633" s="294"/>
    </row>
    <row r="634" spans="2:33" x14ac:dyDescent="0.25">
      <c r="B634" s="294"/>
      <c r="C634" s="294"/>
      <c r="D634" s="294"/>
      <c r="E634" s="294"/>
      <c r="F634" s="294"/>
      <c r="G634" s="294"/>
      <c r="H634" s="294"/>
      <c r="I634" s="294"/>
      <c r="J634" s="294"/>
      <c r="L634" s="295"/>
      <c r="M634" s="294"/>
      <c r="O634" s="294"/>
      <c r="P634" s="294"/>
      <c r="Q634" s="294"/>
      <c r="R634" s="294"/>
      <c r="S634" s="294"/>
      <c r="T634" s="294"/>
      <c r="U634" s="294"/>
      <c r="V634" s="294"/>
      <c r="W634" s="294"/>
      <c r="X634" s="294"/>
      <c r="Y634" s="294"/>
      <c r="Z634" s="294"/>
      <c r="AA634" s="294"/>
      <c r="AB634" s="294"/>
      <c r="AC634" s="294"/>
      <c r="AD634" s="294"/>
      <c r="AE634" s="294"/>
      <c r="AF634" s="294"/>
      <c r="AG634" s="294"/>
    </row>
    <row r="635" spans="2:33" x14ac:dyDescent="0.25">
      <c r="B635" s="294"/>
      <c r="C635" s="294"/>
      <c r="D635" s="294"/>
      <c r="E635" s="294"/>
      <c r="F635" s="294"/>
      <c r="G635" s="294"/>
      <c r="H635" s="294"/>
      <c r="I635" s="294"/>
      <c r="J635" s="294"/>
      <c r="L635" s="295"/>
      <c r="M635" s="294"/>
      <c r="O635" s="294"/>
      <c r="P635" s="294"/>
      <c r="Q635" s="294"/>
      <c r="R635" s="294"/>
      <c r="S635" s="294"/>
      <c r="T635" s="294"/>
      <c r="U635" s="294"/>
      <c r="V635" s="294"/>
      <c r="W635" s="294"/>
      <c r="X635" s="294"/>
      <c r="Y635" s="294"/>
      <c r="Z635" s="294"/>
      <c r="AA635" s="294"/>
      <c r="AB635" s="294"/>
      <c r="AC635" s="294"/>
      <c r="AD635" s="294"/>
      <c r="AE635" s="294"/>
      <c r="AF635" s="294"/>
      <c r="AG635" s="294"/>
    </row>
    <row r="636" spans="2:33" x14ac:dyDescent="0.25">
      <c r="B636" s="294"/>
      <c r="C636" s="294"/>
      <c r="D636" s="294"/>
      <c r="E636" s="294"/>
      <c r="F636" s="294"/>
      <c r="G636" s="294"/>
      <c r="H636" s="294"/>
      <c r="I636" s="294"/>
      <c r="J636" s="294"/>
      <c r="L636" s="295"/>
      <c r="M636" s="294"/>
      <c r="O636" s="294"/>
      <c r="P636" s="294"/>
      <c r="Q636" s="294"/>
      <c r="R636" s="294"/>
      <c r="S636" s="294"/>
      <c r="T636" s="294"/>
      <c r="U636" s="294"/>
      <c r="V636" s="294"/>
      <c r="W636" s="294"/>
      <c r="X636" s="294"/>
      <c r="Y636" s="294"/>
      <c r="Z636" s="294"/>
      <c r="AA636" s="294"/>
      <c r="AB636" s="294"/>
      <c r="AC636" s="294"/>
      <c r="AD636" s="294"/>
      <c r="AE636" s="294"/>
      <c r="AF636" s="294"/>
      <c r="AG636" s="294"/>
    </row>
    <row r="637" spans="2:33" x14ac:dyDescent="0.25">
      <c r="B637" s="294"/>
      <c r="C637" s="294"/>
      <c r="D637" s="294"/>
      <c r="E637" s="294"/>
      <c r="F637" s="294"/>
      <c r="G637" s="294"/>
      <c r="H637" s="294"/>
      <c r="I637" s="294"/>
      <c r="J637" s="294"/>
      <c r="L637" s="295"/>
      <c r="M637" s="294"/>
      <c r="O637" s="294"/>
      <c r="P637" s="294"/>
      <c r="Q637" s="294"/>
      <c r="R637" s="294"/>
      <c r="S637" s="294"/>
      <c r="T637" s="294"/>
      <c r="U637" s="294"/>
      <c r="V637" s="294"/>
      <c r="W637" s="294"/>
      <c r="X637" s="294"/>
      <c r="Y637" s="294"/>
      <c r="Z637" s="294"/>
      <c r="AA637" s="294"/>
      <c r="AB637" s="294"/>
      <c r="AC637" s="294"/>
      <c r="AD637" s="294"/>
      <c r="AE637" s="294"/>
      <c r="AF637" s="294"/>
      <c r="AG637" s="294"/>
    </row>
    <row r="638" spans="2:33" x14ac:dyDescent="0.25">
      <c r="B638" s="294"/>
      <c r="C638" s="294"/>
      <c r="D638" s="294"/>
      <c r="E638" s="294"/>
      <c r="F638" s="294"/>
      <c r="G638" s="294"/>
      <c r="H638" s="294"/>
      <c r="I638" s="294"/>
      <c r="J638" s="294"/>
      <c r="L638" s="295"/>
      <c r="M638" s="294"/>
      <c r="O638" s="294"/>
      <c r="P638" s="294"/>
      <c r="Q638" s="294"/>
      <c r="R638" s="294"/>
      <c r="S638" s="294"/>
      <c r="T638" s="294"/>
      <c r="U638" s="294"/>
      <c r="V638" s="294"/>
      <c r="W638" s="294"/>
      <c r="X638" s="294"/>
      <c r="Y638" s="294"/>
      <c r="Z638" s="294"/>
      <c r="AA638" s="294"/>
      <c r="AB638" s="294"/>
      <c r="AC638" s="294"/>
      <c r="AD638" s="294"/>
      <c r="AE638" s="294"/>
      <c r="AF638" s="294"/>
      <c r="AG638" s="294"/>
    </row>
    <row r="639" spans="2:33" x14ac:dyDescent="0.25">
      <c r="B639" s="294"/>
      <c r="C639" s="294"/>
      <c r="D639" s="294"/>
      <c r="E639" s="294"/>
      <c r="F639" s="294"/>
      <c r="G639" s="294"/>
      <c r="H639" s="294"/>
      <c r="I639" s="294"/>
      <c r="J639" s="294"/>
      <c r="L639" s="295"/>
      <c r="M639" s="294"/>
      <c r="O639" s="294"/>
      <c r="P639" s="294"/>
      <c r="Q639" s="294"/>
      <c r="R639" s="294"/>
      <c r="S639" s="294"/>
      <c r="T639" s="294"/>
      <c r="U639" s="294"/>
      <c r="V639" s="294"/>
      <c r="W639" s="294"/>
      <c r="X639" s="294"/>
      <c r="Y639" s="294"/>
      <c r="Z639" s="294"/>
      <c r="AA639" s="294"/>
      <c r="AB639" s="294"/>
      <c r="AC639" s="294"/>
      <c r="AD639" s="294"/>
      <c r="AE639" s="294"/>
      <c r="AF639" s="294"/>
      <c r="AG639" s="294"/>
    </row>
    <row r="640" spans="2:33" x14ac:dyDescent="0.25">
      <c r="B640" s="294"/>
      <c r="C640" s="294"/>
      <c r="D640" s="294"/>
      <c r="E640" s="294"/>
      <c r="F640" s="294"/>
      <c r="G640" s="294"/>
      <c r="H640" s="294"/>
      <c r="I640" s="294"/>
      <c r="J640" s="294"/>
      <c r="L640" s="295"/>
      <c r="M640" s="294"/>
      <c r="O640" s="294"/>
      <c r="P640" s="294"/>
      <c r="Q640" s="294"/>
      <c r="R640" s="294"/>
      <c r="S640" s="294"/>
      <c r="T640" s="294"/>
      <c r="U640" s="294"/>
      <c r="V640" s="294"/>
      <c r="W640" s="294"/>
      <c r="X640" s="294"/>
      <c r="Y640" s="294"/>
      <c r="Z640" s="294"/>
      <c r="AA640" s="294"/>
      <c r="AB640" s="294"/>
      <c r="AC640" s="294"/>
      <c r="AD640" s="294"/>
      <c r="AE640" s="294"/>
      <c r="AF640" s="294"/>
      <c r="AG640" s="294"/>
    </row>
    <row r="641" spans="2:33" x14ac:dyDescent="0.25">
      <c r="B641" s="294"/>
      <c r="C641" s="294"/>
      <c r="D641" s="294"/>
      <c r="E641" s="294"/>
      <c r="F641" s="294"/>
      <c r="G641" s="294"/>
      <c r="H641" s="294"/>
      <c r="I641" s="294"/>
      <c r="J641" s="294"/>
      <c r="L641" s="295"/>
      <c r="M641" s="294"/>
      <c r="O641" s="294"/>
      <c r="P641" s="294"/>
      <c r="Q641" s="294"/>
      <c r="R641" s="294"/>
      <c r="S641" s="294"/>
      <c r="T641" s="294"/>
      <c r="U641" s="294"/>
      <c r="V641" s="294"/>
      <c r="W641" s="294"/>
      <c r="X641" s="294"/>
      <c r="Y641" s="294"/>
      <c r="Z641" s="294"/>
      <c r="AA641" s="294"/>
      <c r="AB641" s="294"/>
      <c r="AC641" s="294"/>
      <c r="AD641" s="294"/>
      <c r="AE641" s="294"/>
      <c r="AF641" s="294"/>
      <c r="AG641" s="294"/>
    </row>
    <row r="642" spans="2:33" x14ac:dyDescent="0.25">
      <c r="B642" s="294"/>
      <c r="C642" s="294"/>
      <c r="D642" s="294"/>
      <c r="E642" s="294"/>
      <c r="F642" s="294"/>
      <c r="G642" s="294"/>
      <c r="H642" s="294"/>
      <c r="I642" s="294"/>
      <c r="J642" s="294"/>
      <c r="L642" s="295"/>
      <c r="M642" s="294"/>
      <c r="O642" s="294"/>
      <c r="P642" s="294"/>
      <c r="Q642" s="294"/>
      <c r="R642" s="294"/>
      <c r="S642" s="294"/>
      <c r="T642" s="294"/>
      <c r="U642" s="294"/>
      <c r="V642" s="294"/>
      <c r="W642" s="294"/>
      <c r="X642" s="294"/>
      <c r="Y642" s="294"/>
      <c r="Z642" s="294"/>
      <c r="AA642" s="294"/>
      <c r="AB642" s="294"/>
      <c r="AC642" s="294"/>
      <c r="AD642" s="294"/>
      <c r="AE642" s="294"/>
      <c r="AF642" s="294"/>
      <c r="AG642" s="294"/>
    </row>
    <row r="643" spans="2:33" x14ac:dyDescent="0.25">
      <c r="B643" s="294"/>
      <c r="C643" s="294"/>
      <c r="D643" s="294"/>
      <c r="E643" s="294"/>
      <c r="F643" s="294"/>
      <c r="G643" s="294"/>
      <c r="H643" s="294"/>
      <c r="I643" s="294"/>
      <c r="J643" s="294"/>
      <c r="L643" s="295"/>
      <c r="M643" s="294"/>
      <c r="O643" s="294"/>
      <c r="P643" s="294"/>
      <c r="Q643" s="294"/>
      <c r="R643" s="294"/>
      <c r="S643" s="294"/>
      <c r="T643" s="294"/>
      <c r="U643" s="294"/>
      <c r="V643" s="294"/>
      <c r="W643" s="294"/>
      <c r="X643" s="294"/>
      <c r="Y643" s="294"/>
      <c r="Z643" s="294"/>
      <c r="AA643" s="294"/>
      <c r="AB643" s="294"/>
      <c r="AC643" s="294"/>
      <c r="AD643" s="294"/>
      <c r="AE643" s="294"/>
      <c r="AF643" s="294"/>
      <c r="AG643" s="294"/>
    </row>
    <row r="644" spans="2:33" x14ac:dyDescent="0.25">
      <c r="B644" s="294"/>
      <c r="C644" s="294"/>
      <c r="D644" s="294"/>
      <c r="E644" s="294"/>
      <c r="F644" s="294"/>
      <c r="G644" s="294"/>
      <c r="H644" s="294"/>
      <c r="I644" s="294"/>
      <c r="J644" s="294"/>
      <c r="L644" s="295"/>
      <c r="M644" s="294"/>
      <c r="O644" s="294"/>
      <c r="P644" s="294"/>
      <c r="Q644" s="294"/>
      <c r="R644" s="294"/>
      <c r="S644" s="294"/>
      <c r="T644" s="294"/>
      <c r="U644" s="294"/>
      <c r="V644" s="294"/>
      <c r="W644" s="294"/>
      <c r="X644" s="294"/>
      <c r="Y644" s="294"/>
      <c r="Z644" s="294"/>
      <c r="AA644" s="294"/>
      <c r="AB644" s="294"/>
      <c r="AC644" s="294"/>
      <c r="AD644" s="294"/>
      <c r="AE644" s="294"/>
      <c r="AF644" s="294"/>
      <c r="AG644" s="294"/>
    </row>
    <row r="645" spans="2:33" x14ac:dyDescent="0.25">
      <c r="B645" s="294"/>
      <c r="C645" s="294"/>
      <c r="D645" s="294"/>
      <c r="E645" s="294"/>
      <c r="F645" s="294"/>
      <c r="G645" s="294"/>
      <c r="H645" s="294"/>
      <c r="I645" s="294"/>
      <c r="J645" s="294"/>
      <c r="L645" s="295"/>
      <c r="M645" s="294"/>
      <c r="O645" s="294"/>
      <c r="P645" s="294"/>
      <c r="Q645" s="294"/>
      <c r="R645" s="294"/>
      <c r="S645" s="294"/>
      <c r="T645" s="294"/>
      <c r="U645" s="294"/>
      <c r="V645" s="294"/>
      <c r="W645" s="294"/>
      <c r="X645" s="294"/>
      <c r="Y645" s="294"/>
      <c r="Z645" s="294"/>
      <c r="AA645" s="294"/>
      <c r="AB645" s="294"/>
      <c r="AC645" s="294"/>
      <c r="AD645" s="294"/>
      <c r="AE645" s="294"/>
      <c r="AF645" s="294"/>
      <c r="AG645" s="294"/>
    </row>
    <row r="646" spans="2:33" x14ac:dyDescent="0.25">
      <c r="B646" s="294"/>
      <c r="C646" s="294"/>
      <c r="D646" s="294"/>
      <c r="E646" s="294"/>
      <c r="F646" s="294"/>
      <c r="G646" s="294"/>
      <c r="H646" s="294"/>
      <c r="I646" s="294"/>
      <c r="J646" s="294"/>
      <c r="L646" s="295"/>
      <c r="M646" s="294"/>
      <c r="O646" s="294"/>
      <c r="P646" s="294"/>
      <c r="Q646" s="294"/>
      <c r="R646" s="294"/>
      <c r="S646" s="294"/>
      <c r="T646" s="294"/>
      <c r="U646" s="294"/>
      <c r="V646" s="294"/>
      <c r="W646" s="294"/>
      <c r="X646" s="294"/>
      <c r="Y646" s="294"/>
      <c r="Z646" s="294"/>
      <c r="AA646" s="294"/>
      <c r="AB646" s="294"/>
      <c r="AC646" s="294"/>
      <c r="AD646" s="294"/>
      <c r="AE646" s="294"/>
      <c r="AF646" s="294"/>
      <c r="AG646" s="294"/>
    </row>
    <row r="647" spans="2:33" x14ac:dyDescent="0.25">
      <c r="B647" s="294"/>
      <c r="C647" s="294"/>
      <c r="D647" s="294"/>
      <c r="E647" s="294"/>
      <c r="F647" s="294"/>
      <c r="G647" s="294"/>
      <c r="H647" s="294"/>
      <c r="I647" s="294"/>
      <c r="J647" s="294"/>
      <c r="L647" s="295"/>
      <c r="M647" s="294"/>
      <c r="O647" s="294"/>
      <c r="P647" s="294"/>
      <c r="Q647" s="294"/>
      <c r="R647" s="294"/>
      <c r="S647" s="294"/>
      <c r="T647" s="294"/>
      <c r="U647" s="294"/>
      <c r="V647" s="294"/>
      <c r="W647" s="294"/>
      <c r="X647" s="294"/>
      <c r="Y647" s="294"/>
      <c r="Z647" s="294"/>
      <c r="AA647" s="294"/>
      <c r="AB647" s="294"/>
      <c r="AC647" s="294"/>
      <c r="AD647" s="294"/>
      <c r="AE647" s="294"/>
      <c r="AF647" s="294"/>
      <c r="AG647" s="294"/>
    </row>
    <row r="648" spans="2:33" x14ac:dyDescent="0.25">
      <c r="B648" s="294"/>
      <c r="C648" s="294"/>
      <c r="D648" s="294"/>
      <c r="E648" s="294"/>
      <c r="F648" s="294"/>
      <c r="G648" s="294"/>
      <c r="H648" s="294"/>
      <c r="I648" s="294"/>
      <c r="J648" s="294"/>
      <c r="L648" s="295"/>
      <c r="M648" s="294"/>
      <c r="O648" s="294"/>
      <c r="P648" s="294"/>
      <c r="Q648" s="294"/>
      <c r="R648" s="294"/>
      <c r="S648" s="294"/>
      <c r="T648" s="294"/>
      <c r="U648" s="294"/>
      <c r="V648" s="294"/>
      <c r="W648" s="294"/>
      <c r="X648" s="294"/>
      <c r="Y648" s="294"/>
      <c r="Z648" s="294"/>
      <c r="AA648" s="294"/>
      <c r="AB648" s="294"/>
      <c r="AC648" s="294"/>
      <c r="AD648" s="294"/>
      <c r="AE648" s="294"/>
      <c r="AF648" s="294"/>
      <c r="AG648" s="294"/>
    </row>
    <row r="649" spans="2:33" x14ac:dyDescent="0.25">
      <c r="B649" s="294"/>
      <c r="C649" s="294"/>
      <c r="D649" s="294"/>
      <c r="E649" s="294"/>
      <c r="F649" s="294"/>
      <c r="G649" s="294"/>
      <c r="H649" s="294"/>
      <c r="I649" s="294"/>
      <c r="J649" s="294"/>
      <c r="L649" s="295"/>
      <c r="M649" s="294"/>
      <c r="O649" s="294"/>
      <c r="P649" s="294"/>
      <c r="Q649" s="294"/>
      <c r="R649" s="294"/>
      <c r="S649" s="294"/>
      <c r="T649" s="294"/>
      <c r="U649" s="294"/>
      <c r="V649" s="294"/>
      <c r="W649" s="294"/>
      <c r="X649" s="294"/>
      <c r="Y649" s="294"/>
      <c r="Z649" s="294"/>
      <c r="AA649" s="294"/>
      <c r="AB649" s="294"/>
      <c r="AC649" s="294"/>
      <c r="AD649" s="294"/>
      <c r="AE649" s="294"/>
      <c r="AF649" s="294"/>
      <c r="AG649" s="294"/>
    </row>
    <row r="650" spans="2:33" x14ac:dyDescent="0.25">
      <c r="B650" s="294"/>
      <c r="C650" s="294"/>
      <c r="D650" s="294"/>
      <c r="E650" s="294"/>
      <c r="F650" s="294"/>
      <c r="G650" s="294"/>
      <c r="H650" s="294"/>
      <c r="I650" s="294"/>
      <c r="J650" s="294"/>
      <c r="L650" s="295"/>
      <c r="M650" s="294"/>
      <c r="O650" s="294"/>
      <c r="P650" s="294"/>
      <c r="Q650" s="294"/>
      <c r="R650" s="294"/>
      <c r="S650" s="294"/>
      <c r="T650" s="294"/>
      <c r="U650" s="294"/>
      <c r="V650" s="294"/>
      <c r="W650" s="294"/>
      <c r="X650" s="294"/>
      <c r="Y650" s="294"/>
      <c r="Z650" s="294"/>
      <c r="AA650" s="294"/>
      <c r="AB650" s="294"/>
      <c r="AC650" s="294"/>
      <c r="AD650" s="294"/>
      <c r="AE650" s="294"/>
      <c r="AF650" s="294"/>
      <c r="AG650" s="294"/>
    </row>
    <row r="651" spans="2:33" x14ac:dyDescent="0.25">
      <c r="B651" s="294"/>
      <c r="C651" s="294"/>
      <c r="D651" s="294"/>
      <c r="E651" s="294"/>
      <c r="F651" s="294"/>
      <c r="G651" s="294"/>
      <c r="H651" s="294"/>
      <c r="I651" s="294"/>
      <c r="J651" s="294"/>
      <c r="L651" s="295"/>
      <c r="M651" s="294"/>
      <c r="O651" s="294"/>
      <c r="P651" s="294"/>
      <c r="Q651" s="294"/>
      <c r="R651" s="294"/>
      <c r="S651" s="294"/>
      <c r="T651" s="294"/>
      <c r="U651" s="294"/>
      <c r="V651" s="294"/>
      <c r="W651" s="294"/>
      <c r="X651" s="294"/>
      <c r="Y651" s="294"/>
      <c r="Z651" s="294"/>
      <c r="AA651" s="294"/>
      <c r="AB651" s="294"/>
      <c r="AC651" s="294"/>
      <c r="AD651" s="294"/>
      <c r="AE651" s="294"/>
      <c r="AF651" s="294"/>
      <c r="AG651" s="294"/>
    </row>
    <row r="652" spans="2:33" x14ac:dyDescent="0.25">
      <c r="B652" s="294"/>
      <c r="C652" s="294"/>
      <c r="D652" s="294"/>
      <c r="E652" s="294"/>
      <c r="F652" s="294"/>
      <c r="G652" s="294"/>
      <c r="H652" s="294"/>
      <c r="I652" s="294"/>
      <c r="J652" s="294"/>
      <c r="L652" s="295"/>
      <c r="M652" s="294"/>
      <c r="O652" s="294"/>
      <c r="P652" s="294"/>
      <c r="Q652" s="294"/>
      <c r="R652" s="294"/>
      <c r="S652" s="294"/>
      <c r="T652" s="294"/>
      <c r="U652" s="294"/>
      <c r="V652" s="294"/>
      <c r="W652" s="294"/>
      <c r="X652" s="294"/>
      <c r="Y652" s="294"/>
      <c r="Z652" s="294"/>
      <c r="AA652" s="294"/>
      <c r="AB652" s="294"/>
      <c r="AC652" s="294"/>
      <c r="AD652" s="294"/>
      <c r="AE652" s="294"/>
      <c r="AF652" s="294"/>
      <c r="AG652" s="294"/>
    </row>
    <row r="653" spans="2:33" x14ac:dyDescent="0.25">
      <c r="B653" s="294"/>
      <c r="C653" s="294"/>
      <c r="D653" s="294"/>
      <c r="E653" s="294"/>
      <c r="F653" s="294"/>
      <c r="G653" s="294"/>
      <c r="H653" s="294"/>
      <c r="I653" s="294"/>
      <c r="J653" s="294"/>
      <c r="L653" s="295"/>
      <c r="M653" s="294"/>
      <c r="O653" s="294"/>
      <c r="P653" s="294"/>
      <c r="Q653" s="294"/>
      <c r="R653" s="294"/>
      <c r="S653" s="294"/>
      <c r="T653" s="294"/>
      <c r="U653" s="294"/>
      <c r="V653" s="294"/>
      <c r="W653" s="294"/>
      <c r="X653" s="294"/>
      <c r="Y653" s="294"/>
      <c r="Z653" s="294"/>
      <c r="AA653" s="294"/>
      <c r="AB653" s="294"/>
      <c r="AC653" s="294"/>
      <c r="AD653" s="294"/>
      <c r="AE653" s="294"/>
      <c r="AF653" s="294"/>
      <c r="AG653" s="294"/>
    </row>
    <row r="654" spans="2:33" x14ac:dyDescent="0.25">
      <c r="B654" s="294"/>
      <c r="C654" s="294"/>
      <c r="D654" s="294"/>
      <c r="E654" s="294"/>
      <c r="F654" s="294"/>
      <c r="G654" s="294"/>
      <c r="H654" s="294"/>
      <c r="I654" s="294"/>
      <c r="J654" s="294"/>
      <c r="L654" s="295"/>
      <c r="M654" s="294"/>
      <c r="O654" s="294"/>
      <c r="P654" s="294"/>
      <c r="Q654" s="294"/>
      <c r="R654" s="294"/>
      <c r="S654" s="294"/>
      <c r="T654" s="294"/>
      <c r="U654" s="294"/>
      <c r="V654" s="294"/>
      <c r="W654" s="294"/>
      <c r="X654" s="294"/>
      <c r="Y654" s="294"/>
      <c r="Z654" s="294"/>
      <c r="AA654" s="294"/>
      <c r="AB654" s="294"/>
      <c r="AC654" s="294"/>
      <c r="AD654" s="294"/>
      <c r="AE654" s="294"/>
      <c r="AF654" s="294"/>
      <c r="AG654" s="294"/>
    </row>
    <row r="655" spans="2:33" x14ac:dyDescent="0.25">
      <c r="B655" s="294"/>
      <c r="C655" s="294"/>
      <c r="D655" s="294"/>
      <c r="E655" s="294"/>
      <c r="F655" s="294"/>
      <c r="G655" s="294"/>
      <c r="H655" s="294"/>
      <c r="I655" s="294"/>
      <c r="J655" s="294"/>
      <c r="L655" s="295"/>
      <c r="M655" s="294"/>
      <c r="O655" s="294"/>
      <c r="P655" s="294"/>
      <c r="Q655" s="294"/>
      <c r="R655" s="294"/>
      <c r="S655" s="294"/>
      <c r="T655" s="294"/>
      <c r="U655" s="294"/>
      <c r="V655" s="294"/>
      <c r="W655" s="294"/>
      <c r="X655" s="294"/>
      <c r="Y655" s="294"/>
      <c r="Z655" s="294"/>
      <c r="AA655" s="294"/>
      <c r="AB655" s="294"/>
      <c r="AC655" s="294"/>
      <c r="AD655" s="294"/>
      <c r="AE655" s="294"/>
      <c r="AF655" s="294"/>
      <c r="AG655" s="294"/>
    </row>
    <row r="656" spans="2:33" x14ac:dyDescent="0.25">
      <c r="B656" s="294"/>
      <c r="C656" s="294"/>
      <c r="D656" s="294"/>
      <c r="E656" s="294"/>
      <c r="F656" s="294"/>
      <c r="G656" s="294"/>
      <c r="H656" s="294"/>
      <c r="I656" s="294"/>
      <c r="J656" s="294"/>
      <c r="L656" s="295"/>
      <c r="M656" s="294"/>
      <c r="O656" s="294"/>
      <c r="P656" s="294"/>
      <c r="Q656" s="294"/>
      <c r="R656" s="294"/>
      <c r="S656" s="294"/>
      <c r="T656" s="294"/>
      <c r="U656" s="294"/>
      <c r="V656" s="294"/>
      <c r="W656" s="294"/>
      <c r="X656" s="294"/>
      <c r="Y656" s="294"/>
      <c r="Z656" s="294"/>
      <c r="AA656" s="294"/>
      <c r="AB656" s="294"/>
      <c r="AC656" s="294"/>
      <c r="AD656" s="294"/>
      <c r="AE656" s="294"/>
      <c r="AF656" s="294"/>
      <c r="AG656" s="294"/>
    </row>
    <row r="657" spans="2:33" x14ac:dyDescent="0.25">
      <c r="B657" s="294"/>
      <c r="C657" s="294"/>
      <c r="D657" s="294"/>
      <c r="E657" s="294"/>
      <c r="F657" s="294"/>
      <c r="G657" s="294"/>
      <c r="H657" s="294"/>
      <c r="I657" s="294"/>
      <c r="J657" s="294"/>
      <c r="L657" s="295"/>
      <c r="M657" s="294"/>
      <c r="O657" s="294"/>
      <c r="P657" s="294"/>
      <c r="Q657" s="294"/>
      <c r="R657" s="294"/>
      <c r="S657" s="294"/>
      <c r="T657" s="294"/>
      <c r="U657" s="294"/>
      <c r="V657" s="294"/>
      <c r="W657" s="294"/>
      <c r="X657" s="294"/>
      <c r="Y657" s="294"/>
      <c r="Z657" s="294"/>
      <c r="AA657" s="294"/>
      <c r="AB657" s="294"/>
      <c r="AC657" s="294"/>
      <c r="AD657" s="294"/>
      <c r="AE657" s="294"/>
      <c r="AF657" s="294"/>
      <c r="AG657" s="294"/>
    </row>
    <row r="658" spans="2:33" x14ac:dyDescent="0.25">
      <c r="B658" s="294"/>
      <c r="C658" s="294"/>
      <c r="D658" s="294"/>
      <c r="E658" s="294"/>
      <c r="F658" s="294"/>
      <c r="G658" s="294"/>
      <c r="H658" s="294"/>
      <c r="I658" s="294"/>
      <c r="J658" s="294"/>
      <c r="L658" s="295"/>
      <c r="M658" s="294"/>
      <c r="O658" s="294"/>
      <c r="P658" s="294"/>
      <c r="Q658" s="294"/>
      <c r="R658" s="294"/>
      <c r="S658" s="294"/>
      <c r="T658" s="294"/>
      <c r="U658" s="294"/>
      <c r="V658" s="294"/>
      <c r="W658" s="294"/>
      <c r="X658" s="294"/>
      <c r="Y658" s="294"/>
      <c r="Z658" s="294"/>
      <c r="AA658" s="294"/>
      <c r="AB658" s="294"/>
      <c r="AC658" s="294"/>
      <c r="AD658" s="294"/>
      <c r="AE658" s="294"/>
      <c r="AF658" s="294"/>
      <c r="AG658" s="294"/>
    </row>
    <row r="659" spans="2:33" x14ac:dyDescent="0.25">
      <c r="B659" s="294"/>
      <c r="C659" s="294"/>
      <c r="D659" s="294"/>
      <c r="E659" s="294"/>
      <c r="F659" s="294"/>
      <c r="G659" s="294"/>
      <c r="H659" s="294"/>
      <c r="I659" s="294"/>
      <c r="J659" s="294"/>
      <c r="L659" s="295"/>
      <c r="M659" s="294"/>
      <c r="O659" s="294"/>
      <c r="P659" s="294"/>
      <c r="Q659" s="294"/>
      <c r="R659" s="294"/>
      <c r="S659" s="294"/>
      <c r="T659" s="294"/>
      <c r="U659" s="294"/>
      <c r="V659" s="294"/>
      <c r="W659" s="294"/>
      <c r="X659" s="294"/>
      <c r="Y659" s="294"/>
      <c r="Z659" s="294"/>
      <c r="AA659" s="294"/>
      <c r="AB659" s="294"/>
      <c r="AC659" s="294"/>
      <c r="AD659" s="294"/>
      <c r="AE659" s="294"/>
      <c r="AF659" s="294"/>
      <c r="AG659" s="294"/>
    </row>
    <row r="660" spans="2:33" x14ac:dyDescent="0.25">
      <c r="B660" s="294"/>
      <c r="C660" s="294"/>
      <c r="D660" s="294"/>
      <c r="E660" s="294"/>
      <c r="F660" s="294"/>
      <c r="G660" s="294"/>
      <c r="H660" s="294"/>
      <c r="I660" s="294"/>
      <c r="J660" s="294"/>
      <c r="L660" s="295"/>
      <c r="M660" s="294"/>
      <c r="O660" s="294"/>
      <c r="P660" s="294"/>
      <c r="Q660" s="294"/>
      <c r="R660" s="294"/>
      <c r="S660" s="294"/>
      <c r="T660" s="294"/>
      <c r="U660" s="294"/>
      <c r="V660" s="294"/>
      <c r="W660" s="294"/>
      <c r="X660" s="294"/>
      <c r="Y660" s="294"/>
      <c r="Z660" s="294"/>
      <c r="AA660" s="294"/>
      <c r="AB660" s="294"/>
      <c r="AC660" s="294"/>
      <c r="AD660" s="294"/>
      <c r="AE660" s="294"/>
      <c r="AF660" s="294"/>
      <c r="AG660" s="294"/>
    </row>
    <row r="661" spans="2:33" x14ac:dyDescent="0.25">
      <c r="B661" s="294"/>
      <c r="C661" s="294"/>
      <c r="D661" s="294"/>
      <c r="E661" s="294"/>
      <c r="F661" s="294"/>
      <c r="G661" s="294"/>
      <c r="H661" s="294"/>
      <c r="I661" s="294"/>
      <c r="J661" s="294"/>
      <c r="L661" s="295"/>
      <c r="M661" s="294"/>
      <c r="O661" s="294"/>
      <c r="P661" s="294"/>
      <c r="Q661" s="294"/>
      <c r="R661" s="294"/>
      <c r="S661" s="294"/>
      <c r="T661" s="294"/>
      <c r="U661" s="294"/>
      <c r="V661" s="294"/>
      <c r="W661" s="294"/>
      <c r="X661" s="294"/>
      <c r="Y661" s="294"/>
      <c r="Z661" s="294"/>
      <c r="AA661" s="294"/>
      <c r="AB661" s="294"/>
      <c r="AC661" s="294"/>
      <c r="AD661" s="294"/>
      <c r="AE661" s="294"/>
      <c r="AF661" s="294"/>
      <c r="AG661" s="294"/>
    </row>
    <row r="662" spans="2:33" x14ac:dyDescent="0.25">
      <c r="B662" s="294"/>
      <c r="C662" s="294"/>
      <c r="D662" s="294"/>
      <c r="E662" s="294"/>
      <c r="F662" s="294"/>
      <c r="G662" s="294"/>
      <c r="H662" s="294"/>
      <c r="I662" s="294"/>
      <c r="J662" s="294"/>
      <c r="L662" s="295"/>
      <c r="M662" s="294"/>
      <c r="O662" s="294"/>
      <c r="P662" s="294"/>
      <c r="Q662" s="294"/>
      <c r="R662" s="294"/>
      <c r="S662" s="294"/>
      <c r="T662" s="294"/>
      <c r="U662" s="294"/>
      <c r="V662" s="294"/>
      <c r="W662" s="294"/>
      <c r="X662" s="294"/>
      <c r="Y662" s="294"/>
      <c r="Z662" s="294"/>
      <c r="AA662" s="294"/>
      <c r="AB662" s="294"/>
      <c r="AC662" s="294"/>
      <c r="AD662" s="294"/>
      <c r="AE662" s="294"/>
      <c r="AF662" s="294"/>
      <c r="AG662" s="294"/>
    </row>
    <row r="663" spans="2:33" x14ac:dyDescent="0.25">
      <c r="B663" s="294"/>
      <c r="C663" s="294"/>
      <c r="D663" s="294"/>
      <c r="E663" s="294"/>
      <c r="F663" s="294"/>
      <c r="G663" s="294"/>
      <c r="H663" s="294"/>
      <c r="I663" s="294"/>
      <c r="J663" s="294"/>
      <c r="L663" s="295"/>
      <c r="M663" s="294"/>
      <c r="O663" s="294"/>
      <c r="P663" s="294"/>
      <c r="Q663" s="294"/>
      <c r="R663" s="294"/>
      <c r="S663" s="294"/>
      <c r="T663" s="294"/>
      <c r="U663" s="294"/>
      <c r="V663" s="294"/>
      <c r="W663" s="294"/>
      <c r="X663" s="294"/>
      <c r="Y663" s="294"/>
      <c r="Z663" s="294"/>
      <c r="AA663" s="294"/>
      <c r="AB663" s="294"/>
      <c r="AC663" s="294"/>
      <c r="AD663" s="294"/>
      <c r="AE663" s="294"/>
      <c r="AF663" s="294"/>
      <c r="AG663" s="294"/>
    </row>
    <row r="664" spans="2:33" x14ac:dyDescent="0.25">
      <c r="B664" s="294"/>
      <c r="C664" s="294"/>
      <c r="D664" s="294"/>
      <c r="E664" s="294"/>
      <c r="F664" s="294"/>
      <c r="G664" s="294"/>
      <c r="H664" s="294"/>
      <c r="I664" s="294"/>
      <c r="J664" s="294"/>
      <c r="L664" s="295"/>
      <c r="M664" s="294"/>
      <c r="O664" s="294"/>
      <c r="P664" s="294"/>
      <c r="Q664" s="294"/>
      <c r="R664" s="294"/>
      <c r="S664" s="294"/>
      <c r="T664" s="294"/>
      <c r="U664" s="294"/>
      <c r="V664" s="294"/>
      <c r="W664" s="294"/>
      <c r="X664" s="294"/>
      <c r="Y664" s="294"/>
      <c r="Z664" s="294"/>
      <c r="AA664" s="294"/>
      <c r="AB664" s="294"/>
      <c r="AC664" s="294"/>
      <c r="AD664" s="294"/>
      <c r="AE664" s="294"/>
      <c r="AF664" s="294"/>
      <c r="AG664" s="294"/>
    </row>
    <row r="665" spans="2:33" x14ac:dyDescent="0.25">
      <c r="B665" s="294"/>
      <c r="C665" s="294"/>
      <c r="D665" s="294"/>
      <c r="E665" s="294"/>
      <c r="F665" s="294"/>
      <c r="G665" s="294"/>
      <c r="H665" s="294"/>
      <c r="I665" s="294"/>
      <c r="J665" s="294"/>
      <c r="L665" s="295"/>
      <c r="M665" s="294"/>
      <c r="O665" s="294"/>
      <c r="P665" s="294"/>
      <c r="Q665" s="294"/>
      <c r="R665" s="294"/>
      <c r="S665" s="294"/>
      <c r="T665" s="294"/>
      <c r="U665" s="294"/>
      <c r="V665" s="294"/>
      <c r="W665" s="294"/>
      <c r="X665" s="294"/>
      <c r="Y665" s="294"/>
      <c r="Z665" s="294"/>
      <c r="AA665" s="294"/>
      <c r="AB665" s="294"/>
      <c r="AC665" s="294"/>
      <c r="AD665" s="294"/>
      <c r="AE665" s="294"/>
      <c r="AF665" s="294"/>
      <c r="AG665" s="294"/>
    </row>
    <row r="666" spans="2:33" x14ac:dyDescent="0.25">
      <c r="B666" s="294"/>
      <c r="C666" s="294"/>
      <c r="D666" s="294"/>
      <c r="E666" s="294"/>
      <c r="F666" s="294"/>
      <c r="G666" s="294"/>
      <c r="H666" s="294"/>
      <c r="I666" s="294"/>
      <c r="J666" s="294"/>
      <c r="L666" s="295"/>
      <c r="M666" s="294"/>
      <c r="O666" s="294"/>
      <c r="P666" s="294"/>
      <c r="Q666" s="294"/>
      <c r="R666" s="294"/>
      <c r="S666" s="294"/>
      <c r="T666" s="294"/>
      <c r="U666" s="294"/>
      <c r="V666" s="294"/>
      <c r="W666" s="294"/>
      <c r="X666" s="294"/>
      <c r="Y666" s="294"/>
      <c r="Z666" s="294"/>
      <c r="AA666" s="294"/>
      <c r="AB666" s="294"/>
      <c r="AC666" s="294"/>
      <c r="AD666" s="294"/>
      <c r="AE666" s="294"/>
      <c r="AF666" s="294"/>
      <c r="AG666" s="294"/>
    </row>
    <row r="667" spans="2:33" x14ac:dyDescent="0.25">
      <c r="B667" s="294"/>
      <c r="C667" s="294"/>
      <c r="D667" s="294"/>
      <c r="E667" s="294"/>
      <c r="F667" s="294"/>
      <c r="G667" s="294"/>
      <c r="H667" s="294"/>
      <c r="I667" s="294"/>
      <c r="J667" s="294"/>
      <c r="L667" s="295"/>
      <c r="M667" s="294"/>
      <c r="O667" s="294"/>
      <c r="P667" s="294"/>
      <c r="Q667" s="294"/>
      <c r="R667" s="294"/>
      <c r="S667" s="294"/>
      <c r="T667" s="294"/>
      <c r="U667" s="294"/>
      <c r="V667" s="294"/>
      <c r="W667" s="294"/>
      <c r="X667" s="294"/>
      <c r="Y667" s="294"/>
      <c r="Z667" s="294"/>
      <c r="AA667" s="294"/>
      <c r="AB667" s="294"/>
      <c r="AC667" s="294"/>
      <c r="AD667" s="294"/>
      <c r="AE667" s="294"/>
      <c r="AF667" s="294"/>
      <c r="AG667" s="294"/>
    </row>
    <row r="668" spans="2:33" x14ac:dyDescent="0.25">
      <c r="B668" s="294"/>
      <c r="C668" s="294"/>
      <c r="D668" s="294"/>
      <c r="E668" s="294"/>
      <c r="F668" s="294"/>
      <c r="G668" s="294"/>
      <c r="H668" s="294"/>
      <c r="I668" s="294"/>
      <c r="J668" s="294"/>
      <c r="L668" s="295"/>
      <c r="M668" s="294"/>
      <c r="O668" s="294"/>
      <c r="P668" s="294"/>
      <c r="Q668" s="294"/>
      <c r="R668" s="294"/>
      <c r="S668" s="294"/>
      <c r="T668" s="294"/>
      <c r="U668" s="294"/>
      <c r="V668" s="294"/>
      <c r="W668" s="294"/>
      <c r="X668" s="294"/>
      <c r="Y668" s="294"/>
      <c r="Z668" s="294"/>
      <c r="AA668" s="294"/>
      <c r="AB668" s="294"/>
      <c r="AC668" s="294"/>
      <c r="AD668" s="294"/>
      <c r="AE668" s="294"/>
      <c r="AF668" s="294"/>
      <c r="AG668" s="294"/>
    </row>
    <row r="669" spans="2:33" x14ac:dyDescent="0.25">
      <c r="B669" s="294"/>
      <c r="C669" s="294"/>
      <c r="D669" s="294"/>
      <c r="E669" s="294"/>
      <c r="F669" s="294"/>
      <c r="G669" s="294"/>
      <c r="H669" s="294"/>
      <c r="I669" s="294"/>
      <c r="J669" s="294"/>
      <c r="L669" s="295"/>
      <c r="M669" s="294"/>
      <c r="O669" s="294"/>
      <c r="P669" s="294"/>
      <c r="Q669" s="294"/>
      <c r="R669" s="294"/>
      <c r="S669" s="294"/>
      <c r="T669" s="294"/>
      <c r="U669" s="294"/>
      <c r="V669" s="294"/>
      <c r="W669" s="294"/>
      <c r="X669" s="294"/>
      <c r="Y669" s="294"/>
      <c r="Z669" s="294"/>
      <c r="AA669" s="294"/>
      <c r="AB669" s="294"/>
      <c r="AC669" s="294"/>
      <c r="AD669" s="294"/>
      <c r="AE669" s="294"/>
      <c r="AF669" s="294"/>
      <c r="AG669" s="294"/>
    </row>
    <row r="670" spans="2:33" x14ac:dyDescent="0.25">
      <c r="B670" s="294"/>
      <c r="C670" s="294"/>
      <c r="D670" s="294"/>
      <c r="E670" s="294"/>
      <c r="F670" s="294"/>
      <c r="G670" s="294"/>
      <c r="H670" s="294"/>
      <c r="I670" s="294"/>
      <c r="J670" s="294"/>
      <c r="L670" s="295"/>
      <c r="M670" s="294"/>
      <c r="O670" s="294"/>
      <c r="P670" s="294"/>
      <c r="Q670" s="294"/>
      <c r="R670" s="294"/>
      <c r="S670" s="294"/>
      <c r="T670" s="294"/>
      <c r="U670" s="294"/>
      <c r="V670" s="294"/>
      <c r="W670" s="294"/>
      <c r="X670" s="294"/>
      <c r="Y670" s="294"/>
      <c r="Z670" s="294"/>
      <c r="AA670" s="294"/>
      <c r="AB670" s="294"/>
      <c r="AC670" s="294"/>
      <c r="AD670" s="294"/>
      <c r="AE670" s="294"/>
      <c r="AF670" s="294"/>
      <c r="AG670" s="294"/>
    </row>
    <row r="671" spans="2:33" x14ac:dyDescent="0.25">
      <c r="B671" s="294"/>
      <c r="C671" s="294"/>
      <c r="D671" s="294"/>
      <c r="E671" s="294"/>
      <c r="F671" s="294"/>
      <c r="G671" s="294"/>
      <c r="H671" s="294"/>
      <c r="I671" s="294"/>
      <c r="J671" s="294"/>
      <c r="L671" s="295"/>
      <c r="M671" s="294"/>
      <c r="O671" s="294"/>
      <c r="P671" s="294"/>
      <c r="Q671" s="294"/>
      <c r="R671" s="294"/>
      <c r="S671" s="294"/>
      <c r="T671" s="294"/>
      <c r="U671" s="294"/>
      <c r="V671" s="294"/>
      <c r="W671" s="294"/>
      <c r="X671" s="294"/>
      <c r="Y671" s="294"/>
      <c r="Z671" s="294"/>
      <c r="AA671" s="294"/>
      <c r="AB671" s="294"/>
      <c r="AC671" s="294"/>
      <c r="AD671" s="294"/>
      <c r="AE671" s="294"/>
      <c r="AF671" s="294"/>
      <c r="AG671" s="294"/>
    </row>
    <row r="672" spans="2:33" x14ac:dyDescent="0.25">
      <c r="B672" s="294"/>
      <c r="C672" s="294"/>
      <c r="D672" s="294"/>
      <c r="E672" s="294"/>
      <c r="F672" s="294"/>
      <c r="G672" s="294"/>
      <c r="H672" s="294"/>
      <c r="I672" s="294"/>
      <c r="J672" s="294"/>
      <c r="L672" s="295"/>
      <c r="M672" s="294"/>
      <c r="O672" s="294"/>
      <c r="P672" s="294"/>
      <c r="Q672" s="294"/>
      <c r="R672" s="294"/>
      <c r="S672" s="294"/>
      <c r="T672" s="294"/>
      <c r="U672" s="294"/>
      <c r="V672" s="294"/>
      <c r="W672" s="294"/>
      <c r="X672" s="294"/>
      <c r="Y672" s="294"/>
      <c r="Z672" s="294"/>
      <c r="AA672" s="294"/>
      <c r="AB672" s="294"/>
      <c r="AC672" s="294"/>
      <c r="AD672" s="294"/>
      <c r="AE672" s="294"/>
      <c r="AF672" s="294"/>
      <c r="AG672" s="294"/>
    </row>
    <row r="673" spans="2:33" x14ac:dyDescent="0.25">
      <c r="B673" s="294"/>
      <c r="C673" s="294"/>
      <c r="D673" s="294"/>
      <c r="E673" s="294"/>
      <c r="F673" s="294"/>
      <c r="G673" s="294"/>
      <c r="H673" s="294"/>
      <c r="I673" s="294"/>
      <c r="J673" s="294"/>
      <c r="L673" s="295"/>
      <c r="M673" s="294"/>
      <c r="O673" s="294"/>
      <c r="P673" s="294"/>
      <c r="Q673" s="294"/>
      <c r="R673" s="294"/>
      <c r="S673" s="294"/>
      <c r="T673" s="294"/>
      <c r="U673" s="294"/>
      <c r="V673" s="294"/>
      <c r="W673" s="294"/>
      <c r="X673" s="294"/>
      <c r="Y673" s="294"/>
      <c r="Z673" s="294"/>
      <c r="AA673" s="294"/>
      <c r="AB673" s="294"/>
      <c r="AC673" s="294"/>
      <c r="AD673" s="294"/>
      <c r="AE673" s="294"/>
      <c r="AF673" s="294"/>
      <c r="AG673" s="294"/>
    </row>
    <row r="674" spans="2:33" x14ac:dyDescent="0.25">
      <c r="B674" s="294"/>
      <c r="C674" s="294"/>
      <c r="D674" s="294"/>
      <c r="E674" s="294"/>
      <c r="F674" s="294"/>
      <c r="G674" s="294"/>
      <c r="H674" s="294"/>
      <c r="I674" s="294"/>
      <c r="J674" s="294"/>
      <c r="L674" s="295"/>
      <c r="M674" s="294"/>
      <c r="O674" s="294"/>
      <c r="P674" s="294"/>
      <c r="Q674" s="294"/>
      <c r="R674" s="294"/>
      <c r="S674" s="294"/>
      <c r="T674" s="294"/>
      <c r="U674" s="294"/>
      <c r="V674" s="294"/>
      <c r="W674" s="294"/>
      <c r="X674" s="294"/>
      <c r="Y674" s="294"/>
      <c r="Z674" s="294"/>
      <c r="AA674" s="294"/>
      <c r="AB674" s="294"/>
      <c r="AC674" s="294"/>
      <c r="AD674" s="294"/>
      <c r="AE674" s="294"/>
      <c r="AF674" s="294"/>
      <c r="AG674" s="294"/>
    </row>
    <row r="675" spans="2:33" x14ac:dyDescent="0.25">
      <c r="B675" s="294"/>
      <c r="C675" s="294"/>
      <c r="D675" s="294"/>
      <c r="E675" s="294"/>
      <c r="F675" s="294"/>
      <c r="G675" s="294"/>
      <c r="H675" s="294"/>
      <c r="I675" s="294"/>
      <c r="J675" s="294"/>
      <c r="L675" s="295"/>
      <c r="M675" s="294"/>
      <c r="O675" s="294"/>
      <c r="P675" s="294"/>
      <c r="Q675" s="294"/>
      <c r="R675" s="294"/>
      <c r="S675" s="294"/>
      <c r="T675" s="294"/>
      <c r="U675" s="294"/>
      <c r="V675" s="294"/>
      <c r="W675" s="294"/>
      <c r="X675" s="294"/>
      <c r="Y675" s="294"/>
      <c r="Z675" s="294"/>
      <c r="AA675" s="294"/>
      <c r="AB675" s="294"/>
      <c r="AC675" s="294"/>
      <c r="AD675" s="294"/>
      <c r="AE675" s="294"/>
      <c r="AF675" s="294"/>
      <c r="AG675" s="294"/>
    </row>
    <row r="676" spans="2:33" x14ac:dyDescent="0.25">
      <c r="B676" s="294"/>
      <c r="C676" s="294"/>
      <c r="D676" s="294"/>
      <c r="E676" s="294"/>
      <c r="F676" s="294"/>
      <c r="G676" s="294"/>
      <c r="H676" s="294"/>
      <c r="I676" s="294"/>
      <c r="J676" s="294"/>
      <c r="L676" s="295"/>
      <c r="M676" s="294"/>
      <c r="O676" s="294"/>
      <c r="P676" s="294"/>
      <c r="Q676" s="294"/>
      <c r="R676" s="294"/>
      <c r="S676" s="294"/>
      <c r="T676" s="294"/>
      <c r="U676" s="294"/>
      <c r="V676" s="294"/>
      <c r="W676" s="294"/>
      <c r="X676" s="294"/>
      <c r="Y676" s="294"/>
      <c r="Z676" s="294"/>
      <c r="AA676" s="294"/>
      <c r="AB676" s="294"/>
      <c r="AC676" s="294"/>
      <c r="AD676" s="294"/>
      <c r="AE676" s="294"/>
      <c r="AF676" s="294"/>
      <c r="AG676" s="294"/>
    </row>
    <row r="677" spans="2:33" x14ac:dyDescent="0.25">
      <c r="B677" s="294"/>
      <c r="C677" s="294"/>
      <c r="D677" s="294"/>
      <c r="E677" s="294"/>
      <c r="F677" s="294"/>
      <c r="G677" s="294"/>
      <c r="H677" s="294"/>
      <c r="I677" s="294"/>
      <c r="J677" s="294"/>
      <c r="L677" s="295"/>
      <c r="M677" s="294"/>
      <c r="O677" s="294"/>
      <c r="P677" s="294"/>
      <c r="Q677" s="294"/>
      <c r="R677" s="294"/>
      <c r="S677" s="294"/>
      <c r="T677" s="294"/>
      <c r="U677" s="294"/>
      <c r="V677" s="294"/>
      <c r="W677" s="294"/>
      <c r="X677" s="294"/>
      <c r="Y677" s="294"/>
      <c r="Z677" s="294"/>
      <c r="AA677" s="294"/>
      <c r="AB677" s="294"/>
      <c r="AC677" s="294"/>
      <c r="AD677" s="294"/>
      <c r="AE677" s="294"/>
      <c r="AF677" s="294"/>
      <c r="AG677" s="294"/>
    </row>
    <row r="678" spans="2:33" x14ac:dyDescent="0.25">
      <c r="B678" s="294"/>
      <c r="C678" s="294"/>
      <c r="D678" s="294"/>
      <c r="E678" s="294"/>
      <c r="F678" s="294"/>
      <c r="G678" s="294"/>
      <c r="H678" s="294"/>
      <c r="I678" s="294"/>
      <c r="J678" s="294"/>
      <c r="L678" s="295"/>
      <c r="M678" s="294"/>
      <c r="O678" s="294"/>
      <c r="P678" s="294"/>
      <c r="Q678" s="294"/>
      <c r="R678" s="294"/>
      <c r="S678" s="294"/>
      <c r="T678" s="294"/>
      <c r="U678" s="294"/>
      <c r="V678" s="294"/>
      <c r="W678" s="294"/>
      <c r="X678" s="294"/>
      <c r="Y678" s="294"/>
      <c r="Z678" s="294"/>
      <c r="AA678" s="294"/>
      <c r="AB678" s="294"/>
      <c r="AC678" s="294"/>
      <c r="AD678" s="294"/>
      <c r="AE678" s="294"/>
      <c r="AF678" s="294"/>
      <c r="AG678" s="294"/>
    </row>
    <row r="679" spans="2:33" x14ac:dyDescent="0.25">
      <c r="B679" s="294"/>
      <c r="C679" s="294"/>
      <c r="D679" s="294"/>
      <c r="E679" s="294"/>
      <c r="F679" s="294"/>
      <c r="G679" s="294"/>
      <c r="H679" s="294"/>
      <c r="I679" s="294"/>
      <c r="J679" s="294"/>
      <c r="L679" s="295"/>
      <c r="M679" s="294"/>
      <c r="O679" s="294"/>
      <c r="P679" s="294"/>
      <c r="Q679" s="294"/>
      <c r="R679" s="294"/>
      <c r="S679" s="294"/>
      <c r="T679" s="294"/>
      <c r="U679" s="294"/>
      <c r="V679" s="294"/>
      <c r="W679" s="294"/>
      <c r="X679" s="294"/>
      <c r="Y679" s="294"/>
      <c r="Z679" s="294"/>
      <c r="AA679" s="294"/>
      <c r="AB679" s="294"/>
      <c r="AC679" s="294"/>
      <c r="AD679" s="294"/>
      <c r="AE679" s="294"/>
      <c r="AF679" s="294"/>
      <c r="AG679" s="294"/>
    </row>
    <row r="680" spans="2:33" x14ac:dyDescent="0.25">
      <c r="B680" s="294"/>
      <c r="C680" s="294"/>
      <c r="D680" s="294"/>
      <c r="E680" s="294"/>
      <c r="F680" s="294"/>
      <c r="G680" s="294"/>
      <c r="H680" s="294"/>
      <c r="I680" s="294"/>
      <c r="J680" s="294"/>
      <c r="L680" s="295"/>
      <c r="M680" s="294"/>
      <c r="O680" s="294"/>
      <c r="P680" s="294"/>
      <c r="Q680" s="294"/>
      <c r="R680" s="294"/>
      <c r="S680" s="294"/>
      <c r="T680" s="294"/>
      <c r="U680" s="294"/>
      <c r="V680" s="294"/>
      <c r="W680" s="294"/>
      <c r="X680" s="294"/>
      <c r="Y680" s="294"/>
      <c r="Z680" s="294"/>
      <c r="AA680" s="294"/>
      <c r="AB680" s="294"/>
      <c r="AC680" s="294"/>
      <c r="AD680" s="294"/>
      <c r="AE680" s="294"/>
      <c r="AF680" s="294"/>
      <c r="AG680" s="294"/>
    </row>
    <row r="681" spans="2:33" x14ac:dyDescent="0.25">
      <c r="B681" s="294"/>
      <c r="C681" s="294"/>
      <c r="D681" s="294"/>
      <c r="E681" s="294"/>
      <c r="F681" s="294"/>
      <c r="G681" s="294"/>
      <c r="H681" s="294"/>
      <c r="I681" s="294"/>
      <c r="J681" s="294"/>
      <c r="L681" s="295"/>
      <c r="M681" s="294"/>
      <c r="O681" s="294"/>
      <c r="P681" s="294"/>
      <c r="Q681" s="294"/>
      <c r="R681" s="294"/>
      <c r="S681" s="294"/>
      <c r="T681" s="294"/>
      <c r="U681" s="294"/>
      <c r="V681" s="294"/>
      <c r="W681" s="294"/>
      <c r="X681" s="294"/>
      <c r="Y681" s="294"/>
      <c r="Z681" s="294"/>
      <c r="AA681" s="294"/>
      <c r="AB681" s="294"/>
      <c r="AC681" s="294"/>
      <c r="AD681" s="294"/>
      <c r="AE681" s="294"/>
      <c r="AF681" s="294"/>
      <c r="AG681" s="294"/>
    </row>
    <row r="682" spans="2:33" x14ac:dyDescent="0.25">
      <c r="B682" s="294"/>
      <c r="C682" s="294"/>
      <c r="D682" s="294"/>
      <c r="E682" s="294"/>
      <c r="F682" s="294"/>
      <c r="G682" s="294"/>
      <c r="H682" s="294"/>
      <c r="I682" s="294"/>
      <c r="J682" s="294"/>
      <c r="L682" s="295"/>
      <c r="M682" s="294"/>
      <c r="O682" s="294"/>
      <c r="P682" s="294"/>
      <c r="Q682" s="294"/>
      <c r="R682" s="294"/>
      <c r="S682" s="294"/>
      <c r="T682" s="294"/>
      <c r="U682" s="294"/>
      <c r="V682" s="294"/>
      <c r="W682" s="294"/>
      <c r="X682" s="294"/>
      <c r="Y682" s="294"/>
      <c r="Z682" s="294"/>
      <c r="AA682" s="294"/>
      <c r="AB682" s="294"/>
      <c r="AC682" s="294"/>
      <c r="AD682" s="294"/>
      <c r="AE682" s="294"/>
      <c r="AF682" s="294"/>
      <c r="AG682" s="294"/>
    </row>
    <row r="683" spans="2:33" x14ac:dyDescent="0.25">
      <c r="B683" s="294"/>
      <c r="C683" s="294"/>
      <c r="D683" s="294"/>
      <c r="E683" s="294"/>
      <c r="F683" s="294"/>
      <c r="G683" s="294"/>
      <c r="H683" s="294"/>
      <c r="I683" s="294"/>
      <c r="J683" s="294"/>
      <c r="L683" s="295"/>
      <c r="M683" s="294"/>
      <c r="O683" s="294"/>
      <c r="P683" s="294"/>
      <c r="Q683" s="294"/>
      <c r="R683" s="294"/>
      <c r="S683" s="294"/>
      <c r="T683" s="294"/>
      <c r="U683" s="294"/>
      <c r="V683" s="294"/>
      <c r="W683" s="294"/>
      <c r="X683" s="294"/>
      <c r="Y683" s="294"/>
      <c r="Z683" s="294"/>
      <c r="AA683" s="294"/>
      <c r="AB683" s="294"/>
      <c r="AC683" s="294"/>
      <c r="AD683" s="294"/>
      <c r="AE683" s="294"/>
      <c r="AF683" s="294"/>
      <c r="AG683" s="294"/>
    </row>
    <row r="684" spans="2:33" x14ac:dyDescent="0.25">
      <c r="B684" s="294"/>
      <c r="C684" s="294"/>
      <c r="D684" s="294"/>
      <c r="E684" s="294"/>
      <c r="F684" s="294"/>
      <c r="G684" s="294"/>
      <c r="H684" s="294"/>
      <c r="I684" s="294"/>
      <c r="J684" s="294"/>
      <c r="L684" s="295"/>
      <c r="M684" s="294"/>
      <c r="O684" s="294"/>
      <c r="P684" s="294"/>
      <c r="Q684" s="294"/>
      <c r="R684" s="294"/>
      <c r="S684" s="294"/>
      <c r="T684" s="294"/>
      <c r="U684" s="294"/>
      <c r="V684" s="294"/>
      <c r="W684" s="294"/>
      <c r="X684" s="294"/>
      <c r="Y684" s="294"/>
      <c r="Z684" s="294"/>
      <c r="AA684" s="294"/>
      <c r="AB684" s="294"/>
      <c r="AC684" s="294"/>
      <c r="AD684" s="294"/>
      <c r="AE684" s="294"/>
      <c r="AF684" s="294"/>
      <c r="AG684" s="294"/>
    </row>
    <row r="685" spans="2:33" x14ac:dyDescent="0.25">
      <c r="B685" s="294"/>
      <c r="C685" s="294"/>
      <c r="D685" s="294"/>
      <c r="E685" s="294"/>
      <c r="F685" s="294"/>
      <c r="G685" s="294"/>
      <c r="H685" s="294"/>
      <c r="I685" s="294"/>
      <c r="J685" s="294"/>
      <c r="L685" s="295"/>
      <c r="M685" s="294"/>
      <c r="O685" s="294"/>
      <c r="P685" s="294"/>
      <c r="Q685" s="294"/>
      <c r="R685" s="294"/>
      <c r="S685" s="294"/>
      <c r="T685" s="294"/>
      <c r="U685" s="294"/>
      <c r="V685" s="294"/>
      <c r="W685" s="294"/>
      <c r="X685" s="294"/>
      <c r="Y685" s="294"/>
      <c r="Z685" s="294"/>
      <c r="AA685" s="294"/>
      <c r="AB685" s="294"/>
      <c r="AC685" s="294"/>
      <c r="AD685" s="294"/>
      <c r="AE685" s="294"/>
      <c r="AF685" s="294"/>
      <c r="AG685" s="294"/>
    </row>
    <row r="686" spans="2:33" x14ac:dyDescent="0.25">
      <c r="B686" s="294"/>
      <c r="C686" s="294"/>
      <c r="D686" s="294"/>
      <c r="E686" s="294"/>
      <c r="F686" s="294"/>
      <c r="G686" s="294"/>
      <c r="H686" s="294"/>
      <c r="I686" s="294"/>
      <c r="J686" s="294"/>
      <c r="L686" s="295"/>
      <c r="M686" s="294"/>
      <c r="O686" s="294"/>
      <c r="P686" s="294"/>
      <c r="Q686" s="294"/>
      <c r="R686" s="294"/>
      <c r="S686" s="294"/>
      <c r="T686" s="294"/>
      <c r="U686" s="294"/>
      <c r="V686" s="294"/>
      <c r="W686" s="294"/>
      <c r="X686" s="294"/>
      <c r="Y686" s="294"/>
      <c r="Z686" s="294"/>
      <c r="AA686" s="294"/>
      <c r="AB686" s="294"/>
      <c r="AC686" s="294"/>
      <c r="AD686" s="294"/>
      <c r="AE686" s="294"/>
      <c r="AF686" s="294"/>
      <c r="AG686" s="294"/>
    </row>
    <row r="687" spans="2:33" x14ac:dyDescent="0.25">
      <c r="B687" s="294"/>
      <c r="C687" s="294"/>
      <c r="D687" s="294"/>
      <c r="E687" s="294"/>
      <c r="F687" s="294"/>
      <c r="G687" s="294"/>
      <c r="H687" s="294"/>
      <c r="I687" s="294"/>
      <c r="J687" s="294"/>
      <c r="L687" s="295"/>
      <c r="M687" s="294"/>
      <c r="O687" s="294"/>
      <c r="P687" s="294"/>
      <c r="Q687" s="294"/>
      <c r="R687" s="294"/>
      <c r="S687" s="294"/>
      <c r="T687" s="294"/>
      <c r="U687" s="294"/>
      <c r="V687" s="294"/>
      <c r="W687" s="294"/>
      <c r="X687" s="294"/>
      <c r="Y687" s="294"/>
      <c r="Z687" s="294"/>
      <c r="AA687" s="294"/>
      <c r="AB687" s="294"/>
      <c r="AC687" s="294"/>
      <c r="AD687" s="294"/>
      <c r="AE687" s="294"/>
      <c r="AF687" s="294"/>
      <c r="AG687" s="294"/>
    </row>
    <row r="688" spans="2:33" x14ac:dyDescent="0.25">
      <c r="B688" s="294"/>
      <c r="C688" s="294"/>
      <c r="D688" s="294"/>
      <c r="E688" s="294"/>
      <c r="F688" s="294"/>
      <c r="G688" s="294"/>
      <c r="H688" s="294"/>
      <c r="I688" s="294"/>
      <c r="J688" s="294"/>
      <c r="L688" s="295"/>
      <c r="M688" s="294"/>
      <c r="O688" s="294"/>
      <c r="P688" s="294"/>
      <c r="Q688" s="294"/>
      <c r="R688" s="294"/>
      <c r="S688" s="294"/>
      <c r="T688" s="294"/>
      <c r="U688" s="294"/>
      <c r="V688" s="294"/>
      <c r="W688" s="294"/>
      <c r="X688" s="294"/>
      <c r="Y688" s="294"/>
      <c r="Z688" s="294"/>
      <c r="AA688" s="294"/>
      <c r="AB688" s="294"/>
      <c r="AC688" s="294"/>
      <c r="AD688" s="294"/>
      <c r="AE688" s="294"/>
      <c r="AF688" s="294"/>
      <c r="AG688" s="294"/>
    </row>
    <row r="689" spans="2:33" x14ac:dyDescent="0.25">
      <c r="B689" s="294"/>
      <c r="C689" s="294"/>
      <c r="D689" s="294"/>
      <c r="E689" s="294"/>
      <c r="F689" s="294"/>
      <c r="G689" s="294"/>
      <c r="H689" s="294"/>
      <c r="I689" s="294"/>
      <c r="J689" s="294"/>
      <c r="L689" s="295"/>
      <c r="M689" s="294"/>
      <c r="O689" s="294"/>
      <c r="P689" s="294"/>
      <c r="Q689" s="294"/>
      <c r="R689" s="294"/>
      <c r="S689" s="294"/>
      <c r="T689" s="294"/>
      <c r="U689" s="294"/>
      <c r="V689" s="294"/>
      <c r="W689" s="294"/>
      <c r="X689" s="294"/>
      <c r="Y689" s="294"/>
      <c r="Z689" s="294"/>
      <c r="AA689" s="294"/>
      <c r="AB689" s="294"/>
      <c r="AC689" s="294"/>
      <c r="AD689" s="294"/>
      <c r="AE689" s="294"/>
      <c r="AF689" s="294"/>
      <c r="AG689" s="294"/>
    </row>
    <row r="690" spans="2:33" x14ac:dyDescent="0.25">
      <c r="B690" s="294"/>
      <c r="C690" s="294"/>
      <c r="D690" s="294"/>
      <c r="E690" s="294"/>
      <c r="F690" s="294"/>
      <c r="G690" s="294"/>
      <c r="H690" s="294"/>
      <c r="I690" s="294"/>
      <c r="J690" s="294"/>
      <c r="L690" s="295"/>
      <c r="M690" s="294"/>
      <c r="O690" s="294"/>
      <c r="P690" s="294"/>
      <c r="Q690" s="294"/>
      <c r="R690" s="294"/>
      <c r="S690" s="294"/>
      <c r="T690" s="294"/>
      <c r="U690" s="294"/>
      <c r="V690" s="294"/>
      <c r="W690" s="294"/>
      <c r="X690" s="294"/>
      <c r="Y690" s="294"/>
      <c r="Z690" s="294"/>
      <c r="AA690" s="294"/>
      <c r="AB690" s="294"/>
      <c r="AC690" s="294"/>
      <c r="AD690" s="294"/>
      <c r="AE690" s="294"/>
      <c r="AF690" s="294"/>
      <c r="AG690" s="294"/>
    </row>
    <row r="691" spans="2:33" x14ac:dyDescent="0.25">
      <c r="B691" s="294"/>
      <c r="C691" s="294"/>
      <c r="D691" s="294"/>
      <c r="E691" s="294"/>
      <c r="F691" s="294"/>
      <c r="G691" s="294"/>
      <c r="H691" s="294"/>
      <c r="I691" s="294"/>
      <c r="J691" s="294"/>
      <c r="L691" s="295"/>
      <c r="M691" s="294"/>
      <c r="O691" s="294"/>
      <c r="P691" s="294"/>
      <c r="Q691" s="294"/>
      <c r="R691" s="294"/>
      <c r="S691" s="294"/>
      <c r="T691" s="294"/>
      <c r="U691" s="294"/>
      <c r="V691" s="294"/>
      <c r="W691" s="294"/>
      <c r="X691" s="294"/>
      <c r="Y691" s="294"/>
      <c r="Z691" s="294"/>
      <c r="AA691" s="294"/>
      <c r="AB691" s="294"/>
      <c r="AC691" s="294"/>
      <c r="AD691" s="294"/>
      <c r="AE691" s="294"/>
      <c r="AF691" s="294"/>
      <c r="AG691" s="294"/>
    </row>
    <row r="692" spans="2:33" x14ac:dyDescent="0.25">
      <c r="B692" s="294"/>
      <c r="C692" s="294"/>
      <c r="D692" s="294"/>
      <c r="E692" s="294"/>
      <c r="F692" s="294"/>
      <c r="G692" s="294"/>
      <c r="H692" s="294"/>
      <c r="I692" s="294"/>
      <c r="J692" s="294"/>
      <c r="L692" s="295"/>
      <c r="M692" s="294"/>
      <c r="O692" s="294"/>
      <c r="P692" s="294"/>
      <c r="Q692" s="294"/>
      <c r="R692" s="294"/>
      <c r="S692" s="294"/>
      <c r="T692" s="294"/>
      <c r="U692" s="294"/>
      <c r="V692" s="294"/>
      <c r="W692" s="294"/>
      <c r="X692" s="294"/>
      <c r="Y692" s="294"/>
      <c r="Z692" s="294"/>
      <c r="AA692" s="294"/>
      <c r="AB692" s="294"/>
      <c r="AC692" s="294"/>
      <c r="AD692" s="294"/>
      <c r="AE692" s="294"/>
      <c r="AF692" s="294"/>
      <c r="AG692" s="294"/>
    </row>
    <row r="693" spans="2:33" x14ac:dyDescent="0.25">
      <c r="B693" s="294"/>
      <c r="C693" s="294"/>
      <c r="D693" s="294"/>
      <c r="E693" s="294"/>
      <c r="F693" s="294"/>
      <c r="G693" s="294"/>
      <c r="H693" s="294"/>
      <c r="I693" s="294"/>
      <c r="J693" s="294"/>
      <c r="L693" s="295"/>
      <c r="M693" s="294"/>
      <c r="O693" s="294"/>
      <c r="P693" s="294"/>
      <c r="Q693" s="294"/>
      <c r="R693" s="294"/>
      <c r="S693" s="294"/>
      <c r="T693" s="294"/>
      <c r="U693" s="294"/>
      <c r="V693" s="294"/>
      <c r="W693" s="294"/>
      <c r="X693" s="294"/>
      <c r="Y693" s="294"/>
      <c r="Z693" s="294"/>
      <c r="AA693" s="294"/>
      <c r="AB693" s="294"/>
      <c r="AC693" s="294"/>
      <c r="AD693" s="294"/>
      <c r="AE693" s="294"/>
      <c r="AF693" s="294"/>
      <c r="AG693" s="294"/>
    </row>
    <row r="694" spans="2:33" x14ac:dyDescent="0.25">
      <c r="B694" s="294"/>
      <c r="C694" s="294"/>
      <c r="D694" s="294"/>
      <c r="E694" s="294"/>
      <c r="F694" s="294"/>
      <c r="G694" s="294"/>
      <c r="H694" s="294"/>
      <c r="I694" s="294"/>
      <c r="J694" s="294"/>
      <c r="L694" s="295"/>
      <c r="M694" s="294"/>
      <c r="O694" s="294"/>
      <c r="P694" s="294"/>
      <c r="Q694" s="294"/>
      <c r="R694" s="294"/>
      <c r="S694" s="294"/>
      <c r="T694" s="294"/>
      <c r="U694" s="294"/>
      <c r="V694" s="294"/>
      <c r="W694" s="294"/>
      <c r="X694" s="294"/>
      <c r="Y694" s="294"/>
      <c r="Z694" s="294"/>
      <c r="AA694" s="294"/>
      <c r="AB694" s="294"/>
      <c r="AC694" s="294"/>
      <c r="AD694" s="294"/>
      <c r="AE694" s="294"/>
      <c r="AF694" s="294"/>
      <c r="AG694" s="294"/>
    </row>
    <row r="695" spans="2:33" x14ac:dyDescent="0.25">
      <c r="B695" s="294"/>
      <c r="C695" s="294"/>
      <c r="D695" s="294"/>
      <c r="E695" s="294"/>
      <c r="F695" s="294"/>
      <c r="G695" s="294"/>
      <c r="H695" s="294"/>
      <c r="I695" s="294"/>
      <c r="J695" s="294"/>
      <c r="L695" s="295"/>
      <c r="M695" s="294"/>
      <c r="O695" s="294"/>
      <c r="P695" s="294"/>
      <c r="Q695" s="294"/>
      <c r="R695" s="294"/>
      <c r="S695" s="294"/>
      <c r="T695" s="294"/>
      <c r="U695" s="294"/>
      <c r="V695" s="294"/>
      <c r="W695" s="294"/>
      <c r="X695" s="294"/>
      <c r="Y695" s="294"/>
      <c r="Z695" s="294"/>
      <c r="AA695" s="294"/>
      <c r="AB695" s="294"/>
      <c r="AC695" s="294"/>
      <c r="AD695" s="294"/>
      <c r="AE695" s="294"/>
      <c r="AF695" s="294"/>
      <c r="AG695" s="294"/>
    </row>
    <row r="696" spans="2:33" x14ac:dyDescent="0.25">
      <c r="B696" s="294"/>
      <c r="C696" s="294"/>
      <c r="D696" s="294"/>
      <c r="E696" s="294"/>
      <c r="F696" s="294"/>
      <c r="G696" s="294"/>
      <c r="H696" s="294"/>
      <c r="I696" s="294"/>
      <c r="J696" s="294"/>
      <c r="L696" s="295"/>
      <c r="M696" s="294"/>
      <c r="O696" s="294"/>
      <c r="P696" s="294"/>
      <c r="Q696" s="294"/>
      <c r="R696" s="294"/>
      <c r="S696" s="294"/>
      <c r="T696" s="294"/>
      <c r="U696" s="294"/>
      <c r="V696" s="294"/>
      <c r="W696" s="294"/>
      <c r="X696" s="294"/>
      <c r="Y696" s="294"/>
      <c r="Z696" s="294"/>
      <c r="AA696" s="294"/>
      <c r="AB696" s="294"/>
      <c r="AC696" s="294"/>
      <c r="AD696" s="294"/>
      <c r="AE696" s="294"/>
      <c r="AF696" s="294"/>
      <c r="AG696" s="294"/>
    </row>
    <row r="697" spans="2:33" x14ac:dyDescent="0.25">
      <c r="B697" s="294"/>
      <c r="C697" s="294"/>
      <c r="D697" s="294"/>
      <c r="E697" s="294"/>
      <c r="F697" s="294"/>
      <c r="G697" s="294"/>
      <c r="H697" s="294"/>
      <c r="I697" s="294"/>
      <c r="J697" s="294"/>
      <c r="L697" s="295"/>
      <c r="M697" s="294"/>
      <c r="O697" s="294"/>
      <c r="P697" s="294"/>
      <c r="Q697" s="294"/>
      <c r="R697" s="294"/>
      <c r="S697" s="294"/>
      <c r="T697" s="294"/>
      <c r="U697" s="294"/>
      <c r="V697" s="294"/>
      <c r="W697" s="294"/>
      <c r="X697" s="294"/>
      <c r="Y697" s="294"/>
      <c r="Z697" s="294"/>
      <c r="AA697" s="294"/>
      <c r="AB697" s="294"/>
      <c r="AC697" s="294"/>
      <c r="AD697" s="294"/>
      <c r="AE697" s="294"/>
      <c r="AF697" s="294"/>
      <c r="AG697" s="294"/>
    </row>
    <row r="698" spans="2:33" x14ac:dyDescent="0.25">
      <c r="B698" s="294"/>
      <c r="C698" s="294"/>
      <c r="D698" s="294"/>
      <c r="E698" s="294"/>
      <c r="F698" s="294"/>
      <c r="G698" s="294"/>
      <c r="H698" s="294"/>
      <c r="I698" s="294"/>
      <c r="J698" s="294"/>
      <c r="L698" s="295"/>
      <c r="M698" s="294"/>
      <c r="O698" s="294"/>
      <c r="P698" s="294"/>
      <c r="Q698" s="294"/>
      <c r="R698" s="294"/>
      <c r="S698" s="294"/>
      <c r="T698" s="294"/>
      <c r="U698" s="294"/>
      <c r="V698" s="294"/>
      <c r="W698" s="294"/>
      <c r="X698" s="294"/>
      <c r="Y698" s="294"/>
      <c r="Z698" s="294"/>
      <c r="AA698" s="294"/>
      <c r="AB698" s="294"/>
      <c r="AC698" s="294"/>
      <c r="AD698" s="294"/>
      <c r="AE698" s="294"/>
      <c r="AF698" s="294"/>
      <c r="AG698" s="294"/>
    </row>
    <row r="699" spans="2:33" x14ac:dyDescent="0.25">
      <c r="B699" s="294"/>
      <c r="C699" s="294"/>
      <c r="D699" s="294"/>
      <c r="E699" s="294"/>
      <c r="F699" s="294"/>
      <c r="G699" s="294"/>
      <c r="H699" s="294"/>
      <c r="I699" s="294"/>
      <c r="J699" s="294"/>
      <c r="L699" s="295"/>
      <c r="M699" s="294"/>
      <c r="O699" s="294"/>
      <c r="P699" s="294"/>
      <c r="Q699" s="294"/>
      <c r="R699" s="294"/>
      <c r="S699" s="294"/>
      <c r="T699" s="294"/>
      <c r="U699" s="294"/>
      <c r="V699" s="294"/>
      <c r="W699" s="294"/>
      <c r="X699" s="294"/>
      <c r="Y699" s="294"/>
      <c r="Z699" s="294"/>
      <c r="AA699" s="294"/>
      <c r="AB699" s="294"/>
      <c r="AC699" s="294"/>
      <c r="AD699" s="294"/>
      <c r="AE699" s="294"/>
      <c r="AF699" s="294"/>
      <c r="AG699" s="294"/>
    </row>
    <row r="700" spans="2:33" x14ac:dyDescent="0.25">
      <c r="B700" s="294"/>
      <c r="C700" s="294"/>
      <c r="D700" s="294"/>
      <c r="E700" s="294"/>
      <c r="F700" s="294"/>
      <c r="G700" s="294"/>
      <c r="H700" s="294"/>
      <c r="I700" s="294"/>
      <c r="J700" s="294"/>
      <c r="L700" s="295"/>
      <c r="M700" s="294"/>
      <c r="O700" s="294"/>
      <c r="P700" s="294"/>
      <c r="Q700" s="294"/>
      <c r="R700" s="294"/>
      <c r="S700" s="294"/>
      <c r="T700" s="294"/>
      <c r="U700" s="294"/>
      <c r="V700" s="294"/>
      <c r="W700" s="294"/>
      <c r="X700" s="294"/>
      <c r="Y700" s="294"/>
      <c r="Z700" s="294"/>
      <c r="AA700" s="294"/>
      <c r="AB700" s="294"/>
      <c r="AC700" s="294"/>
      <c r="AD700" s="294"/>
      <c r="AE700" s="294"/>
      <c r="AF700" s="294"/>
      <c r="AG700" s="294"/>
    </row>
    <row r="701" spans="2:33" x14ac:dyDescent="0.25">
      <c r="B701" s="294"/>
      <c r="C701" s="294"/>
      <c r="D701" s="294"/>
      <c r="E701" s="294"/>
      <c r="F701" s="294"/>
      <c r="G701" s="294"/>
      <c r="H701" s="294"/>
      <c r="I701" s="294"/>
      <c r="J701" s="294"/>
      <c r="L701" s="295"/>
      <c r="M701" s="294"/>
      <c r="O701" s="294"/>
      <c r="P701" s="294"/>
      <c r="Q701" s="294"/>
      <c r="R701" s="294"/>
      <c r="S701" s="294"/>
      <c r="T701" s="294"/>
      <c r="U701" s="294"/>
      <c r="V701" s="294"/>
      <c r="W701" s="294"/>
      <c r="X701" s="294"/>
      <c r="Y701" s="294"/>
      <c r="Z701" s="294"/>
      <c r="AA701" s="294"/>
      <c r="AB701" s="294"/>
      <c r="AC701" s="294"/>
      <c r="AD701" s="294"/>
      <c r="AE701" s="294"/>
      <c r="AF701" s="294"/>
      <c r="AG701" s="294"/>
    </row>
    <row r="702" spans="2:33" x14ac:dyDescent="0.25">
      <c r="B702" s="294"/>
      <c r="C702" s="294"/>
      <c r="D702" s="294"/>
      <c r="E702" s="294"/>
      <c r="F702" s="294"/>
      <c r="G702" s="294"/>
      <c r="H702" s="294"/>
      <c r="I702" s="294"/>
      <c r="J702" s="294"/>
      <c r="L702" s="295"/>
      <c r="M702" s="294"/>
      <c r="O702" s="294"/>
      <c r="P702" s="294"/>
      <c r="Q702" s="294"/>
      <c r="R702" s="294"/>
      <c r="S702" s="294"/>
      <c r="T702" s="294"/>
      <c r="U702" s="294"/>
      <c r="V702" s="294"/>
      <c r="W702" s="294"/>
      <c r="X702" s="294"/>
      <c r="Y702" s="294"/>
      <c r="Z702" s="294"/>
      <c r="AA702" s="294"/>
      <c r="AB702" s="294"/>
      <c r="AC702" s="294"/>
      <c r="AD702" s="294"/>
      <c r="AE702" s="294"/>
      <c r="AF702" s="294"/>
      <c r="AG702" s="294"/>
    </row>
    <row r="703" spans="2:33" x14ac:dyDescent="0.25">
      <c r="B703" s="294"/>
      <c r="C703" s="294"/>
      <c r="D703" s="294"/>
      <c r="E703" s="294"/>
      <c r="F703" s="294"/>
      <c r="G703" s="294"/>
      <c r="H703" s="294"/>
      <c r="I703" s="294"/>
      <c r="J703" s="294"/>
      <c r="L703" s="295"/>
      <c r="M703" s="294"/>
      <c r="O703" s="294"/>
      <c r="P703" s="294"/>
      <c r="Q703" s="294"/>
      <c r="R703" s="294"/>
      <c r="S703" s="294"/>
      <c r="T703" s="294"/>
      <c r="U703" s="294"/>
      <c r="V703" s="294"/>
      <c r="W703" s="294"/>
      <c r="X703" s="294"/>
      <c r="Y703" s="294"/>
      <c r="Z703" s="294"/>
      <c r="AA703" s="294"/>
      <c r="AB703" s="294"/>
      <c r="AC703" s="294"/>
      <c r="AD703" s="294"/>
      <c r="AE703" s="294"/>
      <c r="AF703" s="294"/>
      <c r="AG703" s="294"/>
    </row>
    <row r="704" spans="2:33" x14ac:dyDescent="0.25">
      <c r="B704" s="294"/>
      <c r="C704" s="294"/>
      <c r="D704" s="294"/>
      <c r="E704" s="294"/>
      <c r="F704" s="294"/>
      <c r="G704" s="294"/>
      <c r="H704" s="294"/>
      <c r="I704" s="294"/>
      <c r="J704" s="294"/>
      <c r="L704" s="295"/>
      <c r="M704" s="294"/>
      <c r="O704" s="294"/>
      <c r="P704" s="294"/>
      <c r="Q704" s="294"/>
      <c r="R704" s="294"/>
      <c r="S704" s="294"/>
      <c r="T704" s="294"/>
      <c r="U704" s="294"/>
      <c r="V704" s="294"/>
      <c r="W704" s="294"/>
      <c r="X704" s="294"/>
      <c r="Y704" s="294"/>
      <c r="Z704" s="294"/>
      <c r="AA704" s="294"/>
      <c r="AB704" s="294"/>
      <c r="AC704" s="294"/>
      <c r="AD704" s="294"/>
      <c r="AE704" s="294"/>
      <c r="AF704" s="294"/>
      <c r="AG704" s="294"/>
    </row>
    <row r="705" spans="2:33" x14ac:dyDescent="0.25">
      <c r="B705" s="294"/>
      <c r="C705" s="294"/>
      <c r="D705" s="294"/>
      <c r="E705" s="294"/>
      <c r="F705" s="294"/>
      <c r="G705" s="294"/>
      <c r="H705" s="294"/>
      <c r="I705" s="294"/>
      <c r="J705" s="294"/>
      <c r="L705" s="295"/>
      <c r="M705" s="294"/>
      <c r="O705" s="294"/>
      <c r="P705" s="294"/>
      <c r="Q705" s="294"/>
      <c r="R705" s="294"/>
      <c r="S705" s="294"/>
      <c r="T705" s="294"/>
      <c r="U705" s="294"/>
      <c r="V705" s="294"/>
      <c r="W705" s="294"/>
      <c r="X705" s="294"/>
      <c r="Y705" s="294"/>
      <c r="Z705" s="294"/>
      <c r="AA705" s="294"/>
      <c r="AB705" s="294"/>
      <c r="AC705" s="294"/>
      <c r="AD705" s="294"/>
      <c r="AE705" s="294"/>
      <c r="AF705" s="294"/>
      <c r="AG705" s="294"/>
    </row>
    <row r="706" spans="2:33" x14ac:dyDescent="0.25">
      <c r="B706" s="294"/>
      <c r="C706" s="294"/>
      <c r="D706" s="294"/>
      <c r="E706" s="294"/>
      <c r="F706" s="294"/>
      <c r="G706" s="294"/>
      <c r="H706" s="294"/>
      <c r="I706" s="294"/>
      <c r="J706" s="294"/>
      <c r="L706" s="295"/>
      <c r="M706" s="294"/>
      <c r="O706" s="294"/>
      <c r="P706" s="294"/>
      <c r="Q706" s="294"/>
      <c r="R706" s="294"/>
      <c r="S706" s="294"/>
      <c r="T706" s="294"/>
      <c r="U706" s="294"/>
      <c r="V706" s="294"/>
      <c r="W706" s="294"/>
      <c r="X706" s="294"/>
      <c r="Y706" s="294"/>
      <c r="Z706" s="294"/>
      <c r="AA706" s="294"/>
      <c r="AB706" s="294"/>
      <c r="AC706" s="294"/>
      <c r="AD706" s="294"/>
      <c r="AE706" s="294"/>
      <c r="AF706" s="294"/>
      <c r="AG706" s="294"/>
    </row>
    <row r="707" spans="2:33" x14ac:dyDescent="0.25">
      <c r="B707" s="294"/>
      <c r="C707" s="294"/>
      <c r="D707" s="294"/>
      <c r="E707" s="294"/>
      <c r="F707" s="294"/>
      <c r="G707" s="294"/>
      <c r="H707" s="294"/>
      <c r="I707" s="294"/>
      <c r="J707" s="294"/>
      <c r="L707" s="295"/>
      <c r="M707" s="294"/>
      <c r="O707" s="294"/>
      <c r="P707" s="294"/>
      <c r="Q707" s="294"/>
      <c r="R707" s="294"/>
      <c r="S707" s="294"/>
      <c r="T707" s="294"/>
      <c r="U707" s="294"/>
      <c r="V707" s="294"/>
      <c r="W707" s="294"/>
      <c r="X707" s="294"/>
      <c r="Y707" s="294"/>
      <c r="Z707" s="294"/>
      <c r="AA707" s="294"/>
      <c r="AB707" s="294"/>
      <c r="AC707" s="294"/>
      <c r="AD707" s="294"/>
      <c r="AE707" s="294"/>
      <c r="AF707" s="294"/>
      <c r="AG707" s="294"/>
    </row>
    <row r="708" spans="2:33" x14ac:dyDescent="0.25">
      <c r="B708" s="294"/>
      <c r="C708" s="294"/>
      <c r="D708" s="294"/>
      <c r="E708" s="294"/>
      <c r="F708" s="294"/>
      <c r="G708" s="294"/>
      <c r="H708" s="294"/>
      <c r="I708" s="294"/>
      <c r="J708" s="294"/>
      <c r="L708" s="295"/>
      <c r="M708" s="294"/>
      <c r="O708" s="294"/>
      <c r="P708" s="294"/>
      <c r="Q708" s="294"/>
      <c r="R708" s="294"/>
      <c r="S708" s="294"/>
      <c r="T708" s="294"/>
      <c r="U708" s="294"/>
      <c r="V708" s="294"/>
      <c r="W708" s="294"/>
      <c r="X708" s="294"/>
      <c r="Y708" s="294"/>
      <c r="Z708" s="294"/>
      <c r="AA708" s="294"/>
      <c r="AB708" s="294"/>
      <c r="AC708" s="294"/>
      <c r="AD708" s="294"/>
      <c r="AE708" s="294"/>
      <c r="AF708" s="294"/>
      <c r="AG708" s="294"/>
    </row>
    <row r="709" spans="2:33" x14ac:dyDescent="0.25">
      <c r="B709" s="294"/>
      <c r="C709" s="294"/>
      <c r="D709" s="294"/>
      <c r="E709" s="294"/>
      <c r="F709" s="294"/>
      <c r="G709" s="294"/>
      <c r="H709" s="294"/>
      <c r="I709" s="294"/>
      <c r="J709" s="294"/>
      <c r="L709" s="295"/>
      <c r="M709" s="294"/>
      <c r="O709" s="294"/>
      <c r="P709" s="294"/>
      <c r="Q709" s="294"/>
      <c r="R709" s="294"/>
      <c r="S709" s="294"/>
      <c r="T709" s="294"/>
      <c r="U709" s="294"/>
      <c r="V709" s="294"/>
      <c r="W709" s="294"/>
      <c r="X709" s="294"/>
      <c r="Y709" s="294"/>
      <c r="Z709" s="294"/>
      <c r="AA709" s="294"/>
      <c r="AB709" s="294"/>
      <c r="AC709" s="294"/>
      <c r="AD709" s="294"/>
      <c r="AE709" s="294"/>
      <c r="AF709" s="294"/>
      <c r="AG709" s="294"/>
    </row>
    <row r="710" spans="2:33" x14ac:dyDescent="0.25">
      <c r="B710" s="294"/>
      <c r="C710" s="294"/>
      <c r="D710" s="294"/>
      <c r="E710" s="294"/>
      <c r="F710" s="294"/>
      <c r="G710" s="294"/>
      <c r="H710" s="294"/>
      <c r="I710" s="294"/>
      <c r="J710" s="294"/>
      <c r="L710" s="295"/>
      <c r="M710" s="294"/>
      <c r="O710" s="294"/>
      <c r="P710" s="294"/>
      <c r="Q710" s="294"/>
      <c r="R710" s="294"/>
      <c r="S710" s="294"/>
      <c r="T710" s="294"/>
      <c r="U710" s="294"/>
      <c r="V710" s="294"/>
      <c r="W710" s="294"/>
      <c r="X710" s="294"/>
      <c r="Y710" s="294"/>
      <c r="Z710" s="294"/>
      <c r="AA710" s="294"/>
      <c r="AB710" s="294"/>
      <c r="AC710" s="294"/>
      <c r="AD710" s="294"/>
      <c r="AE710" s="294"/>
      <c r="AF710" s="294"/>
      <c r="AG710" s="294"/>
    </row>
    <row r="711" spans="2:33" x14ac:dyDescent="0.25">
      <c r="B711" s="294"/>
      <c r="C711" s="294"/>
      <c r="D711" s="294"/>
      <c r="E711" s="294"/>
      <c r="F711" s="294"/>
      <c r="G711" s="294"/>
      <c r="H711" s="294"/>
      <c r="I711" s="294"/>
      <c r="J711" s="294"/>
      <c r="L711" s="295"/>
      <c r="M711" s="294"/>
      <c r="O711" s="294"/>
      <c r="P711" s="294"/>
      <c r="Q711" s="294"/>
      <c r="R711" s="294"/>
      <c r="S711" s="294"/>
      <c r="T711" s="294"/>
      <c r="U711" s="294"/>
      <c r="V711" s="294"/>
      <c r="W711" s="294"/>
      <c r="X711" s="294"/>
      <c r="Y711" s="294"/>
      <c r="Z711" s="294"/>
      <c r="AA711" s="294"/>
      <c r="AB711" s="294"/>
      <c r="AC711" s="294"/>
      <c r="AD711" s="294"/>
      <c r="AE711" s="294"/>
      <c r="AF711" s="294"/>
      <c r="AG711" s="294"/>
    </row>
    <row r="712" spans="2:33" x14ac:dyDescent="0.25">
      <c r="B712" s="294"/>
      <c r="C712" s="294"/>
      <c r="D712" s="294"/>
      <c r="E712" s="294"/>
      <c r="F712" s="294"/>
      <c r="G712" s="294"/>
      <c r="H712" s="294"/>
      <c r="I712" s="294"/>
      <c r="J712" s="294"/>
      <c r="L712" s="295"/>
      <c r="M712" s="294"/>
      <c r="O712" s="294"/>
      <c r="P712" s="294"/>
      <c r="Q712" s="294"/>
      <c r="R712" s="294"/>
      <c r="S712" s="294"/>
      <c r="T712" s="294"/>
      <c r="U712" s="294"/>
      <c r="V712" s="294"/>
      <c r="W712" s="294"/>
      <c r="X712" s="294"/>
      <c r="Y712" s="294"/>
      <c r="Z712" s="294"/>
      <c r="AA712" s="294"/>
      <c r="AB712" s="294"/>
      <c r="AC712" s="294"/>
      <c r="AD712" s="294"/>
      <c r="AE712" s="294"/>
      <c r="AF712" s="294"/>
      <c r="AG712" s="294"/>
    </row>
    <row r="713" spans="2:33" x14ac:dyDescent="0.25">
      <c r="B713" s="294"/>
      <c r="C713" s="294"/>
      <c r="D713" s="294"/>
      <c r="E713" s="294"/>
      <c r="F713" s="294"/>
      <c r="G713" s="294"/>
      <c r="H713" s="294"/>
      <c r="I713" s="294"/>
      <c r="J713" s="294"/>
      <c r="L713" s="295"/>
      <c r="M713" s="294"/>
      <c r="O713" s="294"/>
      <c r="P713" s="294"/>
      <c r="Q713" s="294"/>
      <c r="R713" s="294"/>
      <c r="S713" s="294"/>
      <c r="T713" s="294"/>
      <c r="U713" s="294"/>
      <c r="V713" s="294"/>
      <c r="W713" s="294"/>
      <c r="X713" s="294"/>
      <c r="Y713" s="294"/>
      <c r="Z713" s="294"/>
      <c r="AA713" s="294"/>
      <c r="AB713" s="294"/>
      <c r="AC713" s="294"/>
      <c r="AD713" s="294"/>
      <c r="AE713" s="294"/>
      <c r="AF713" s="294"/>
      <c r="AG713" s="294"/>
    </row>
    <row r="714" spans="2:33" x14ac:dyDescent="0.25">
      <c r="B714" s="294"/>
      <c r="C714" s="294"/>
      <c r="D714" s="294"/>
      <c r="E714" s="294"/>
      <c r="F714" s="294"/>
      <c r="G714" s="294"/>
      <c r="H714" s="294"/>
      <c r="I714" s="294"/>
      <c r="J714" s="294"/>
      <c r="L714" s="295"/>
      <c r="M714" s="294"/>
      <c r="O714" s="294"/>
      <c r="P714" s="294"/>
      <c r="Q714" s="294"/>
      <c r="R714" s="294"/>
      <c r="S714" s="294"/>
      <c r="T714" s="294"/>
      <c r="U714" s="294"/>
      <c r="V714" s="294"/>
      <c r="W714" s="294"/>
      <c r="X714" s="294"/>
      <c r="Y714" s="294"/>
      <c r="Z714" s="294"/>
      <c r="AA714" s="294"/>
      <c r="AB714" s="294"/>
      <c r="AC714" s="294"/>
      <c r="AD714" s="294"/>
      <c r="AE714" s="294"/>
      <c r="AF714" s="294"/>
      <c r="AG714" s="294"/>
    </row>
    <row r="715" spans="2:33" x14ac:dyDescent="0.25">
      <c r="B715" s="294"/>
      <c r="C715" s="294"/>
      <c r="D715" s="294"/>
      <c r="E715" s="294"/>
      <c r="F715" s="294"/>
      <c r="G715" s="294"/>
      <c r="H715" s="294"/>
      <c r="I715" s="294"/>
      <c r="J715" s="294"/>
      <c r="L715" s="295"/>
      <c r="M715" s="294"/>
      <c r="O715" s="294"/>
      <c r="P715" s="294"/>
      <c r="Q715" s="294"/>
      <c r="R715" s="294"/>
      <c r="S715" s="294"/>
      <c r="T715" s="294"/>
      <c r="U715" s="294"/>
      <c r="V715" s="294"/>
      <c r="W715" s="294"/>
      <c r="X715" s="294"/>
      <c r="Y715" s="294"/>
      <c r="Z715" s="294"/>
      <c r="AA715" s="294"/>
      <c r="AB715" s="294"/>
      <c r="AC715" s="294"/>
      <c r="AD715" s="294"/>
      <c r="AE715" s="294"/>
      <c r="AF715" s="294"/>
      <c r="AG715" s="294"/>
    </row>
    <row r="716" spans="2:33" x14ac:dyDescent="0.25">
      <c r="B716" s="294"/>
      <c r="C716" s="294"/>
      <c r="D716" s="294"/>
      <c r="E716" s="294"/>
      <c r="F716" s="294"/>
      <c r="G716" s="294"/>
      <c r="H716" s="294"/>
      <c r="I716" s="294"/>
      <c r="J716" s="294"/>
      <c r="L716" s="295"/>
      <c r="M716" s="294"/>
      <c r="O716" s="294"/>
      <c r="P716" s="294"/>
      <c r="Q716" s="294"/>
      <c r="R716" s="294"/>
      <c r="S716" s="294"/>
      <c r="T716" s="294"/>
      <c r="U716" s="294"/>
      <c r="V716" s="294"/>
      <c r="W716" s="294"/>
      <c r="X716" s="294"/>
      <c r="Y716" s="294"/>
      <c r="Z716" s="294"/>
      <c r="AA716" s="294"/>
      <c r="AB716" s="294"/>
      <c r="AC716" s="294"/>
      <c r="AD716" s="294"/>
      <c r="AE716" s="294"/>
      <c r="AF716" s="294"/>
      <c r="AG716" s="294"/>
    </row>
    <row r="717" spans="2:33" x14ac:dyDescent="0.25">
      <c r="B717" s="294"/>
      <c r="C717" s="294"/>
      <c r="D717" s="294"/>
      <c r="E717" s="294"/>
      <c r="F717" s="294"/>
      <c r="G717" s="294"/>
      <c r="H717" s="294"/>
      <c r="I717" s="294"/>
      <c r="J717" s="294"/>
      <c r="L717" s="295"/>
      <c r="M717" s="294"/>
      <c r="O717" s="294"/>
      <c r="P717" s="294"/>
      <c r="Q717" s="294"/>
      <c r="R717" s="294"/>
      <c r="S717" s="294"/>
      <c r="T717" s="294"/>
      <c r="U717" s="294"/>
      <c r="V717" s="294"/>
      <c r="W717" s="294"/>
      <c r="X717" s="294"/>
      <c r="Y717" s="294"/>
      <c r="Z717" s="294"/>
      <c r="AA717" s="294"/>
      <c r="AB717" s="294"/>
      <c r="AC717" s="294"/>
      <c r="AD717" s="294"/>
      <c r="AE717" s="294"/>
      <c r="AF717" s="294"/>
      <c r="AG717" s="294"/>
    </row>
    <row r="718" spans="2:33" x14ac:dyDescent="0.25">
      <c r="B718" s="294"/>
      <c r="C718" s="294"/>
      <c r="D718" s="294"/>
      <c r="E718" s="294"/>
      <c r="F718" s="294"/>
      <c r="G718" s="294"/>
      <c r="H718" s="294"/>
      <c r="I718" s="294"/>
      <c r="J718" s="294"/>
      <c r="L718" s="295"/>
      <c r="M718" s="294"/>
      <c r="O718" s="294"/>
      <c r="P718" s="294"/>
      <c r="Q718" s="294"/>
      <c r="R718" s="294"/>
      <c r="S718" s="294"/>
      <c r="T718" s="294"/>
      <c r="U718" s="294"/>
      <c r="V718" s="294"/>
      <c r="W718" s="294"/>
      <c r="X718" s="294"/>
      <c r="Y718" s="294"/>
      <c r="Z718" s="294"/>
      <c r="AA718" s="294"/>
      <c r="AB718" s="294"/>
      <c r="AC718" s="294"/>
      <c r="AD718" s="294"/>
      <c r="AE718" s="294"/>
      <c r="AF718" s="294"/>
      <c r="AG718" s="294"/>
    </row>
    <row r="719" spans="2:33" x14ac:dyDescent="0.25">
      <c r="B719" s="294"/>
      <c r="C719" s="294"/>
      <c r="D719" s="294"/>
      <c r="E719" s="294"/>
      <c r="F719" s="294"/>
      <c r="G719" s="294"/>
      <c r="H719" s="294"/>
      <c r="I719" s="294"/>
      <c r="J719" s="294"/>
      <c r="L719" s="295"/>
      <c r="M719" s="294"/>
      <c r="O719" s="294"/>
      <c r="P719" s="294"/>
      <c r="Q719" s="294"/>
      <c r="R719" s="294"/>
      <c r="S719" s="294"/>
      <c r="T719" s="294"/>
      <c r="U719" s="294"/>
      <c r="V719" s="294"/>
      <c r="W719" s="294"/>
      <c r="X719" s="294"/>
      <c r="Y719" s="294"/>
      <c r="Z719" s="294"/>
      <c r="AA719" s="294"/>
      <c r="AB719" s="294"/>
      <c r="AC719" s="294"/>
      <c r="AD719" s="294"/>
      <c r="AE719" s="294"/>
      <c r="AF719" s="294"/>
      <c r="AG719" s="294"/>
    </row>
    <row r="720" spans="2:33" x14ac:dyDescent="0.25">
      <c r="B720" s="294"/>
      <c r="C720" s="294"/>
      <c r="D720" s="294"/>
      <c r="E720" s="294"/>
      <c r="F720" s="294"/>
      <c r="G720" s="294"/>
      <c r="H720" s="294"/>
      <c r="I720" s="294"/>
      <c r="J720" s="294"/>
      <c r="L720" s="295"/>
      <c r="M720" s="294"/>
      <c r="O720" s="294"/>
      <c r="P720" s="294"/>
      <c r="Q720" s="294"/>
      <c r="R720" s="294"/>
      <c r="S720" s="294"/>
      <c r="T720" s="294"/>
      <c r="U720" s="294"/>
      <c r="V720" s="294"/>
      <c r="W720" s="294"/>
      <c r="X720" s="294"/>
      <c r="Y720" s="294"/>
      <c r="Z720" s="294"/>
      <c r="AA720" s="294"/>
      <c r="AB720" s="294"/>
      <c r="AC720" s="294"/>
      <c r="AD720" s="294"/>
      <c r="AE720" s="294"/>
      <c r="AF720" s="294"/>
      <c r="AG720" s="294"/>
    </row>
    <row r="721" spans="2:33" x14ac:dyDescent="0.25">
      <c r="B721" s="294"/>
      <c r="C721" s="294"/>
      <c r="D721" s="294"/>
      <c r="E721" s="294"/>
      <c r="F721" s="294"/>
      <c r="G721" s="294"/>
      <c r="H721" s="294"/>
      <c r="I721" s="294"/>
      <c r="J721" s="294"/>
      <c r="L721" s="295"/>
      <c r="M721" s="294"/>
      <c r="O721" s="294"/>
      <c r="P721" s="294"/>
      <c r="Q721" s="294"/>
      <c r="R721" s="294"/>
      <c r="S721" s="294"/>
      <c r="T721" s="294"/>
      <c r="U721" s="294"/>
      <c r="V721" s="294"/>
      <c r="W721" s="294"/>
      <c r="X721" s="294"/>
      <c r="Y721" s="294"/>
      <c r="Z721" s="294"/>
      <c r="AA721" s="294"/>
      <c r="AB721" s="294"/>
      <c r="AC721" s="294"/>
      <c r="AD721" s="294"/>
      <c r="AE721" s="294"/>
      <c r="AF721" s="294"/>
      <c r="AG721" s="294"/>
    </row>
    <row r="722" spans="2:33" x14ac:dyDescent="0.25">
      <c r="B722" s="294"/>
      <c r="C722" s="294"/>
      <c r="D722" s="294"/>
      <c r="E722" s="294"/>
      <c r="F722" s="294"/>
      <c r="G722" s="294"/>
      <c r="H722" s="294"/>
      <c r="I722" s="294"/>
      <c r="J722" s="294"/>
      <c r="L722" s="295"/>
      <c r="M722" s="294"/>
      <c r="O722" s="294"/>
      <c r="P722" s="294"/>
      <c r="Q722" s="294"/>
      <c r="R722" s="294"/>
      <c r="S722" s="294"/>
      <c r="T722" s="294"/>
      <c r="U722" s="294"/>
      <c r="V722" s="294"/>
      <c r="W722" s="294"/>
      <c r="X722" s="294"/>
      <c r="Y722" s="294"/>
      <c r="Z722" s="294"/>
      <c r="AA722" s="294"/>
      <c r="AB722" s="294"/>
      <c r="AC722" s="294"/>
      <c r="AD722" s="294"/>
      <c r="AE722" s="294"/>
      <c r="AF722" s="294"/>
      <c r="AG722" s="294"/>
    </row>
    <row r="723" spans="2:33" x14ac:dyDescent="0.25">
      <c r="B723" s="294"/>
      <c r="C723" s="294"/>
      <c r="D723" s="294"/>
      <c r="E723" s="294"/>
      <c r="F723" s="294"/>
      <c r="G723" s="294"/>
      <c r="H723" s="294"/>
      <c r="I723" s="294"/>
      <c r="J723" s="294"/>
      <c r="L723" s="295"/>
      <c r="M723" s="294"/>
      <c r="O723" s="294"/>
      <c r="P723" s="294"/>
      <c r="Q723" s="294"/>
      <c r="R723" s="294"/>
      <c r="S723" s="294"/>
      <c r="T723" s="294"/>
      <c r="U723" s="294"/>
      <c r="V723" s="294"/>
      <c r="W723" s="294"/>
      <c r="X723" s="294"/>
      <c r="Y723" s="294"/>
      <c r="Z723" s="294"/>
      <c r="AA723" s="294"/>
      <c r="AB723" s="294"/>
      <c r="AC723" s="294"/>
      <c r="AD723" s="294"/>
      <c r="AE723" s="294"/>
      <c r="AF723" s="294"/>
      <c r="AG723" s="294"/>
    </row>
    <row r="724" spans="2:33" x14ac:dyDescent="0.25">
      <c r="B724" s="294"/>
      <c r="C724" s="294"/>
      <c r="D724" s="294"/>
      <c r="E724" s="294"/>
      <c r="F724" s="294"/>
      <c r="G724" s="294"/>
      <c r="H724" s="294"/>
      <c r="I724" s="294"/>
      <c r="J724" s="294"/>
      <c r="L724" s="295"/>
      <c r="M724" s="294"/>
      <c r="O724" s="294"/>
      <c r="P724" s="294"/>
      <c r="Q724" s="294"/>
      <c r="R724" s="294"/>
      <c r="S724" s="294"/>
      <c r="T724" s="294"/>
      <c r="U724" s="294"/>
      <c r="V724" s="294"/>
      <c r="W724" s="294"/>
      <c r="X724" s="294"/>
      <c r="Y724" s="294"/>
      <c r="Z724" s="294"/>
      <c r="AA724" s="294"/>
      <c r="AB724" s="294"/>
      <c r="AC724" s="294"/>
      <c r="AD724" s="294"/>
      <c r="AE724" s="294"/>
      <c r="AF724" s="294"/>
      <c r="AG724" s="294"/>
    </row>
    <row r="725" spans="2:33" x14ac:dyDescent="0.25">
      <c r="B725" s="294"/>
      <c r="C725" s="294"/>
      <c r="D725" s="294"/>
      <c r="E725" s="294"/>
      <c r="F725" s="294"/>
      <c r="G725" s="294"/>
      <c r="H725" s="294"/>
      <c r="I725" s="294"/>
      <c r="J725" s="294"/>
      <c r="L725" s="295"/>
      <c r="M725" s="294"/>
      <c r="O725" s="294"/>
      <c r="P725" s="294"/>
      <c r="Q725" s="294"/>
      <c r="R725" s="294"/>
      <c r="S725" s="294"/>
      <c r="T725" s="294"/>
      <c r="U725" s="294"/>
      <c r="V725" s="294"/>
      <c r="W725" s="294"/>
      <c r="X725" s="294"/>
      <c r="Y725" s="294"/>
      <c r="Z725" s="294"/>
      <c r="AA725" s="294"/>
      <c r="AB725" s="294"/>
      <c r="AC725" s="294"/>
      <c r="AD725" s="294"/>
      <c r="AE725" s="294"/>
      <c r="AF725" s="294"/>
      <c r="AG725" s="294"/>
    </row>
    <row r="726" spans="2:33" x14ac:dyDescent="0.25">
      <c r="B726" s="294"/>
      <c r="C726" s="294"/>
      <c r="D726" s="294"/>
      <c r="E726" s="294"/>
      <c r="F726" s="294"/>
      <c r="G726" s="294"/>
      <c r="H726" s="294"/>
      <c r="I726" s="294"/>
      <c r="J726" s="294"/>
      <c r="L726" s="295"/>
      <c r="M726" s="294"/>
      <c r="O726" s="294"/>
      <c r="P726" s="294"/>
      <c r="Q726" s="294"/>
      <c r="R726" s="294"/>
      <c r="S726" s="294"/>
      <c r="T726" s="294"/>
      <c r="U726" s="294"/>
      <c r="V726" s="294"/>
      <c r="W726" s="294"/>
      <c r="X726" s="294"/>
      <c r="Y726" s="294"/>
      <c r="Z726" s="294"/>
      <c r="AA726" s="294"/>
      <c r="AB726" s="294"/>
      <c r="AC726" s="294"/>
      <c r="AD726" s="294"/>
      <c r="AE726" s="294"/>
      <c r="AF726" s="294"/>
      <c r="AG726" s="294"/>
    </row>
    <row r="727" spans="2:33" x14ac:dyDescent="0.25">
      <c r="B727" s="294"/>
      <c r="C727" s="294"/>
      <c r="D727" s="294"/>
      <c r="E727" s="294"/>
      <c r="F727" s="294"/>
      <c r="G727" s="294"/>
      <c r="H727" s="294"/>
      <c r="I727" s="294"/>
      <c r="J727" s="294"/>
      <c r="L727" s="295"/>
      <c r="M727" s="294"/>
      <c r="O727" s="294"/>
      <c r="P727" s="294"/>
      <c r="Q727" s="294"/>
      <c r="R727" s="294"/>
      <c r="S727" s="294"/>
      <c r="T727" s="294"/>
      <c r="U727" s="294"/>
      <c r="V727" s="294"/>
      <c r="W727" s="294"/>
      <c r="X727" s="294"/>
      <c r="Y727" s="294"/>
      <c r="Z727" s="294"/>
      <c r="AA727" s="294"/>
      <c r="AB727" s="294"/>
      <c r="AC727" s="294"/>
      <c r="AD727" s="294"/>
      <c r="AE727" s="294"/>
      <c r="AF727" s="294"/>
      <c r="AG727" s="294"/>
    </row>
    <row r="728" spans="2:33" x14ac:dyDescent="0.25">
      <c r="B728" s="294"/>
      <c r="C728" s="294"/>
      <c r="D728" s="294"/>
      <c r="E728" s="294"/>
      <c r="F728" s="294"/>
      <c r="G728" s="294"/>
      <c r="H728" s="294"/>
      <c r="I728" s="294"/>
      <c r="J728" s="294"/>
      <c r="L728" s="295"/>
      <c r="M728" s="294"/>
      <c r="O728" s="294"/>
      <c r="P728" s="294"/>
      <c r="Q728" s="294"/>
      <c r="R728" s="294"/>
      <c r="S728" s="294"/>
      <c r="T728" s="294"/>
      <c r="U728" s="294"/>
      <c r="V728" s="294"/>
      <c r="W728" s="294"/>
      <c r="X728" s="294"/>
      <c r="Y728" s="294"/>
      <c r="Z728" s="294"/>
      <c r="AA728" s="294"/>
      <c r="AB728" s="294"/>
      <c r="AC728" s="294"/>
      <c r="AD728" s="294"/>
      <c r="AE728" s="294"/>
      <c r="AF728" s="294"/>
      <c r="AG728" s="294"/>
    </row>
    <row r="729" spans="2:33" x14ac:dyDescent="0.25">
      <c r="B729" s="294"/>
      <c r="C729" s="294"/>
      <c r="D729" s="294"/>
      <c r="E729" s="294"/>
      <c r="F729" s="294"/>
      <c r="G729" s="294"/>
      <c r="H729" s="294"/>
      <c r="I729" s="294"/>
      <c r="J729" s="294"/>
      <c r="L729" s="295"/>
      <c r="M729" s="294"/>
      <c r="O729" s="294"/>
      <c r="P729" s="294"/>
      <c r="Q729" s="294"/>
      <c r="R729" s="294"/>
      <c r="S729" s="294"/>
      <c r="T729" s="294"/>
      <c r="U729" s="294"/>
      <c r="V729" s="294"/>
      <c r="W729" s="294"/>
      <c r="X729" s="294"/>
      <c r="Y729" s="294"/>
      <c r="Z729" s="294"/>
      <c r="AA729" s="294"/>
      <c r="AB729" s="294"/>
      <c r="AC729" s="294"/>
      <c r="AD729" s="294"/>
      <c r="AE729" s="294"/>
      <c r="AF729" s="294"/>
      <c r="AG729" s="294"/>
    </row>
    <row r="730" spans="2:33" x14ac:dyDescent="0.25">
      <c r="B730" s="294"/>
      <c r="C730" s="294"/>
      <c r="D730" s="294"/>
      <c r="E730" s="294"/>
      <c r="F730" s="294"/>
      <c r="G730" s="294"/>
      <c r="H730" s="294"/>
      <c r="I730" s="294"/>
      <c r="J730" s="294"/>
      <c r="L730" s="295"/>
      <c r="M730" s="294"/>
      <c r="O730" s="294"/>
      <c r="P730" s="294"/>
      <c r="Q730" s="294"/>
      <c r="R730" s="294"/>
      <c r="S730" s="294"/>
      <c r="T730" s="294"/>
      <c r="U730" s="294"/>
      <c r="V730" s="294"/>
      <c r="W730" s="294"/>
      <c r="X730" s="294"/>
      <c r="Y730" s="294"/>
      <c r="Z730" s="294"/>
      <c r="AA730" s="294"/>
      <c r="AB730" s="294"/>
      <c r="AC730" s="294"/>
      <c r="AD730" s="294"/>
      <c r="AE730" s="294"/>
      <c r="AF730" s="294"/>
      <c r="AG730" s="294"/>
    </row>
    <row r="731" spans="2:33" x14ac:dyDescent="0.25">
      <c r="B731" s="294"/>
      <c r="C731" s="294"/>
      <c r="D731" s="294"/>
      <c r="E731" s="294"/>
      <c r="F731" s="294"/>
      <c r="G731" s="294"/>
      <c r="H731" s="294"/>
      <c r="I731" s="294"/>
      <c r="J731" s="294"/>
      <c r="L731" s="295"/>
      <c r="M731" s="294"/>
      <c r="O731" s="294"/>
      <c r="P731" s="294"/>
      <c r="Q731" s="294"/>
      <c r="R731" s="294"/>
      <c r="S731" s="294"/>
      <c r="T731" s="294"/>
      <c r="U731" s="294"/>
      <c r="V731" s="294"/>
      <c r="W731" s="294"/>
      <c r="X731" s="294"/>
      <c r="Y731" s="294"/>
      <c r="Z731" s="294"/>
      <c r="AA731" s="294"/>
      <c r="AB731" s="294"/>
      <c r="AC731" s="294"/>
      <c r="AD731" s="294"/>
      <c r="AE731" s="294"/>
      <c r="AF731" s="294"/>
      <c r="AG731" s="294"/>
    </row>
    <row r="732" spans="2:33" x14ac:dyDescent="0.25">
      <c r="B732" s="294"/>
      <c r="C732" s="294"/>
      <c r="D732" s="294"/>
      <c r="E732" s="294"/>
      <c r="F732" s="294"/>
      <c r="G732" s="294"/>
      <c r="H732" s="294"/>
      <c r="I732" s="294"/>
      <c r="J732" s="294"/>
      <c r="L732" s="295"/>
      <c r="M732" s="294"/>
      <c r="O732" s="294"/>
      <c r="P732" s="294"/>
      <c r="Q732" s="294"/>
      <c r="R732" s="294"/>
      <c r="S732" s="294"/>
      <c r="T732" s="294"/>
      <c r="U732" s="294"/>
      <c r="V732" s="294"/>
      <c r="W732" s="294"/>
      <c r="X732" s="294"/>
      <c r="Y732" s="294"/>
      <c r="Z732" s="294"/>
      <c r="AA732" s="294"/>
      <c r="AB732" s="294"/>
      <c r="AC732" s="294"/>
      <c r="AD732" s="294"/>
      <c r="AE732" s="294"/>
      <c r="AF732" s="294"/>
      <c r="AG732" s="294"/>
    </row>
    <row r="733" spans="2:33" x14ac:dyDescent="0.25">
      <c r="B733" s="294"/>
      <c r="C733" s="294"/>
      <c r="D733" s="294"/>
      <c r="E733" s="294"/>
      <c r="F733" s="294"/>
      <c r="G733" s="294"/>
      <c r="H733" s="294"/>
      <c r="I733" s="294"/>
      <c r="J733" s="294"/>
      <c r="L733" s="295"/>
      <c r="M733" s="294"/>
      <c r="O733" s="294"/>
      <c r="P733" s="294"/>
      <c r="Q733" s="294"/>
      <c r="R733" s="294"/>
      <c r="S733" s="294"/>
      <c r="T733" s="294"/>
      <c r="U733" s="294"/>
      <c r="V733" s="294"/>
      <c r="W733" s="294"/>
      <c r="X733" s="294"/>
      <c r="Y733" s="294"/>
      <c r="Z733" s="294"/>
      <c r="AA733" s="294"/>
      <c r="AB733" s="294"/>
      <c r="AC733" s="294"/>
      <c r="AD733" s="294"/>
      <c r="AE733" s="294"/>
      <c r="AF733" s="294"/>
      <c r="AG733" s="294"/>
    </row>
    <row r="734" spans="2:33" x14ac:dyDescent="0.25">
      <c r="B734" s="294"/>
      <c r="C734" s="294"/>
      <c r="D734" s="294"/>
      <c r="E734" s="294"/>
      <c r="F734" s="294"/>
      <c r="G734" s="294"/>
      <c r="H734" s="294"/>
      <c r="I734" s="294"/>
      <c r="J734" s="294"/>
      <c r="L734" s="295"/>
      <c r="M734" s="294"/>
      <c r="O734" s="294"/>
      <c r="P734" s="294"/>
      <c r="Q734" s="294"/>
      <c r="R734" s="294"/>
      <c r="S734" s="294"/>
      <c r="T734" s="294"/>
      <c r="U734" s="294"/>
      <c r="V734" s="294"/>
      <c r="W734" s="294"/>
      <c r="X734" s="294"/>
      <c r="Y734" s="294"/>
      <c r="Z734" s="294"/>
      <c r="AA734" s="294"/>
      <c r="AB734" s="294"/>
      <c r="AC734" s="294"/>
      <c r="AD734" s="294"/>
      <c r="AE734" s="294"/>
      <c r="AF734" s="294"/>
      <c r="AG734" s="294"/>
    </row>
    <row r="735" spans="2:33" x14ac:dyDescent="0.25">
      <c r="B735" s="294"/>
      <c r="C735" s="294"/>
      <c r="D735" s="294"/>
      <c r="E735" s="294"/>
      <c r="F735" s="294"/>
      <c r="G735" s="294"/>
      <c r="H735" s="294"/>
      <c r="I735" s="294"/>
      <c r="J735" s="294"/>
      <c r="L735" s="295"/>
      <c r="M735" s="294"/>
      <c r="O735" s="294"/>
      <c r="P735" s="294"/>
      <c r="Q735" s="294"/>
      <c r="R735" s="294"/>
      <c r="S735" s="294"/>
      <c r="T735" s="294"/>
      <c r="U735" s="294"/>
      <c r="V735" s="294"/>
      <c r="W735" s="294"/>
      <c r="X735" s="294"/>
      <c r="Y735" s="294"/>
      <c r="Z735" s="294"/>
      <c r="AA735" s="294"/>
      <c r="AB735" s="294"/>
      <c r="AC735" s="294"/>
      <c r="AD735" s="294"/>
      <c r="AE735" s="294"/>
      <c r="AF735" s="294"/>
      <c r="AG735" s="294"/>
    </row>
    <row r="736" spans="2:33" x14ac:dyDescent="0.25">
      <c r="B736" s="294"/>
      <c r="C736" s="294"/>
      <c r="D736" s="294"/>
      <c r="E736" s="294"/>
      <c r="F736" s="294"/>
      <c r="G736" s="294"/>
      <c r="H736" s="294"/>
      <c r="I736" s="294"/>
      <c r="J736" s="294"/>
      <c r="L736" s="295"/>
      <c r="M736" s="294"/>
      <c r="O736" s="294"/>
      <c r="P736" s="294"/>
      <c r="Q736" s="294"/>
      <c r="R736" s="294"/>
      <c r="S736" s="294"/>
      <c r="T736" s="294"/>
      <c r="U736" s="294"/>
      <c r="V736" s="294"/>
      <c r="W736" s="294"/>
      <c r="X736" s="294"/>
      <c r="Y736" s="294"/>
      <c r="Z736" s="294"/>
      <c r="AA736" s="294"/>
      <c r="AB736" s="294"/>
      <c r="AC736" s="294"/>
      <c r="AD736" s="294"/>
      <c r="AE736" s="294"/>
      <c r="AF736" s="294"/>
      <c r="AG736" s="294"/>
    </row>
    <row r="737" spans="2:33" x14ac:dyDescent="0.25">
      <c r="B737" s="294"/>
      <c r="C737" s="294"/>
      <c r="D737" s="294"/>
      <c r="E737" s="294"/>
      <c r="F737" s="294"/>
      <c r="G737" s="294"/>
      <c r="H737" s="294"/>
      <c r="I737" s="294"/>
      <c r="J737" s="294"/>
      <c r="L737" s="295"/>
      <c r="M737" s="294"/>
      <c r="O737" s="294"/>
      <c r="P737" s="294"/>
      <c r="Q737" s="294"/>
      <c r="R737" s="294"/>
      <c r="S737" s="294"/>
      <c r="T737" s="294"/>
      <c r="U737" s="294"/>
      <c r="V737" s="294"/>
      <c r="W737" s="294"/>
      <c r="X737" s="294"/>
      <c r="Y737" s="294"/>
      <c r="Z737" s="294"/>
      <c r="AA737" s="294"/>
      <c r="AB737" s="294"/>
      <c r="AC737" s="294"/>
      <c r="AD737" s="294"/>
      <c r="AE737" s="294"/>
      <c r="AF737" s="294"/>
      <c r="AG737" s="294"/>
    </row>
    <row r="738" spans="2:33" x14ac:dyDescent="0.25">
      <c r="B738" s="294"/>
      <c r="C738" s="294"/>
      <c r="D738" s="294"/>
      <c r="E738" s="294"/>
      <c r="F738" s="294"/>
      <c r="G738" s="294"/>
      <c r="H738" s="294"/>
      <c r="I738" s="294"/>
      <c r="J738" s="294"/>
      <c r="L738" s="295"/>
      <c r="M738" s="294"/>
      <c r="O738" s="294"/>
      <c r="P738" s="294"/>
      <c r="Q738" s="294"/>
      <c r="R738" s="294"/>
      <c r="S738" s="294"/>
      <c r="T738" s="294"/>
      <c r="U738" s="294"/>
      <c r="V738" s="294"/>
      <c r="W738" s="294"/>
      <c r="X738" s="294"/>
      <c r="Y738" s="294"/>
      <c r="Z738" s="294"/>
      <c r="AA738" s="294"/>
      <c r="AB738" s="294"/>
      <c r="AC738" s="294"/>
      <c r="AD738" s="294"/>
      <c r="AE738" s="294"/>
      <c r="AF738" s="294"/>
      <c r="AG738" s="294"/>
    </row>
    <row r="739" spans="2:33" x14ac:dyDescent="0.25">
      <c r="B739" s="294"/>
      <c r="C739" s="294"/>
      <c r="D739" s="294"/>
      <c r="E739" s="294"/>
      <c r="F739" s="294"/>
      <c r="G739" s="294"/>
      <c r="H739" s="294"/>
      <c r="I739" s="294"/>
      <c r="J739" s="294"/>
      <c r="L739" s="295"/>
      <c r="M739" s="294"/>
      <c r="O739" s="294"/>
      <c r="P739" s="294"/>
      <c r="Q739" s="294"/>
      <c r="R739" s="294"/>
      <c r="S739" s="294"/>
      <c r="T739" s="294"/>
      <c r="U739" s="294"/>
      <c r="V739" s="294"/>
      <c r="W739" s="294"/>
      <c r="X739" s="294"/>
      <c r="Y739" s="294"/>
      <c r="Z739" s="294"/>
      <c r="AA739" s="294"/>
      <c r="AB739" s="294"/>
      <c r="AC739" s="294"/>
      <c r="AD739" s="294"/>
      <c r="AE739" s="294"/>
      <c r="AF739" s="294"/>
      <c r="AG739" s="294"/>
    </row>
    <row r="740" spans="2:33" x14ac:dyDescent="0.25">
      <c r="B740" s="294"/>
      <c r="C740" s="294"/>
      <c r="D740" s="294"/>
      <c r="E740" s="294"/>
      <c r="F740" s="294"/>
      <c r="G740" s="294"/>
      <c r="H740" s="294"/>
      <c r="I740" s="294"/>
      <c r="J740" s="294"/>
      <c r="L740" s="295"/>
      <c r="M740" s="294"/>
      <c r="O740" s="294"/>
      <c r="P740" s="294"/>
      <c r="Q740" s="294"/>
      <c r="R740" s="294"/>
      <c r="S740" s="294"/>
      <c r="T740" s="294"/>
      <c r="U740" s="294"/>
      <c r="V740" s="294"/>
      <c r="W740" s="294"/>
      <c r="X740" s="294"/>
      <c r="Y740" s="294"/>
      <c r="Z740" s="294"/>
      <c r="AA740" s="294"/>
      <c r="AB740" s="294"/>
      <c r="AC740" s="294"/>
      <c r="AD740" s="294"/>
      <c r="AE740" s="294"/>
      <c r="AF740" s="294"/>
      <c r="AG740" s="294"/>
    </row>
    <row r="741" spans="2:33" x14ac:dyDescent="0.25">
      <c r="B741" s="294"/>
      <c r="C741" s="294"/>
      <c r="D741" s="294"/>
      <c r="E741" s="294"/>
      <c r="F741" s="294"/>
      <c r="G741" s="294"/>
      <c r="H741" s="294"/>
      <c r="I741" s="294"/>
      <c r="J741" s="294"/>
      <c r="L741" s="295"/>
      <c r="M741" s="294"/>
      <c r="O741" s="294"/>
      <c r="P741" s="294"/>
      <c r="Q741" s="294"/>
      <c r="R741" s="294"/>
      <c r="S741" s="294"/>
      <c r="T741" s="294"/>
      <c r="U741" s="294"/>
      <c r="V741" s="294"/>
      <c r="W741" s="294"/>
      <c r="X741" s="294"/>
      <c r="Y741" s="294"/>
      <c r="Z741" s="294"/>
      <c r="AA741" s="294"/>
      <c r="AB741" s="294"/>
      <c r="AC741" s="294"/>
      <c r="AD741" s="294"/>
      <c r="AE741" s="294"/>
      <c r="AF741" s="294"/>
      <c r="AG741" s="294"/>
    </row>
    <row r="742" spans="2:33" x14ac:dyDescent="0.25">
      <c r="B742" s="294"/>
      <c r="C742" s="294"/>
      <c r="D742" s="294"/>
      <c r="E742" s="294"/>
      <c r="F742" s="294"/>
      <c r="G742" s="294"/>
      <c r="H742" s="294"/>
      <c r="I742" s="294"/>
      <c r="J742" s="294"/>
      <c r="L742" s="295"/>
      <c r="M742" s="294"/>
      <c r="O742" s="294"/>
      <c r="P742" s="294"/>
      <c r="Q742" s="294"/>
      <c r="R742" s="294"/>
      <c r="S742" s="294"/>
      <c r="T742" s="294"/>
      <c r="U742" s="294"/>
      <c r="V742" s="294"/>
      <c r="W742" s="294"/>
      <c r="X742" s="294"/>
      <c r="Y742" s="294"/>
      <c r="Z742" s="294"/>
      <c r="AA742" s="294"/>
      <c r="AB742" s="294"/>
      <c r="AC742" s="294"/>
      <c r="AD742" s="294"/>
      <c r="AE742" s="294"/>
      <c r="AF742" s="294"/>
      <c r="AG742" s="294"/>
    </row>
    <row r="743" spans="2:33" x14ac:dyDescent="0.25">
      <c r="B743" s="294"/>
      <c r="C743" s="294"/>
      <c r="D743" s="294"/>
      <c r="E743" s="294"/>
      <c r="F743" s="294"/>
      <c r="G743" s="294"/>
      <c r="H743" s="294"/>
      <c r="I743" s="294"/>
      <c r="J743" s="294"/>
      <c r="L743" s="295"/>
      <c r="M743" s="294"/>
      <c r="O743" s="294"/>
      <c r="P743" s="294"/>
      <c r="Q743" s="294"/>
      <c r="R743" s="294"/>
      <c r="S743" s="294"/>
      <c r="T743" s="294"/>
      <c r="U743" s="294"/>
      <c r="V743" s="294"/>
      <c r="W743" s="294"/>
      <c r="X743" s="294"/>
      <c r="Y743" s="294"/>
      <c r="Z743" s="294"/>
      <c r="AA743" s="294"/>
      <c r="AB743" s="294"/>
      <c r="AC743" s="294"/>
      <c r="AD743" s="294"/>
      <c r="AE743" s="294"/>
      <c r="AF743" s="294"/>
      <c r="AG743" s="294"/>
    </row>
    <row r="744" spans="2:33" x14ac:dyDescent="0.25">
      <c r="B744" s="294"/>
      <c r="C744" s="294"/>
      <c r="D744" s="294"/>
      <c r="E744" s="294"/>
      <c r="F744" s="294"/>
      <c r="G744" s="294"/>
      <c r="H744" s="294"/>
      <c r="I744" s="294"/>
      <c r="J744" s="294"/>
      <c r="L744" s="295"/>
      <c r="M744" s="294"/>
      <c r="O744" s="294"/>
      <c r="P744" s="294"/>
      <c r="Q744" s="294"/>
      <c r="R744" s="294"/>
      <c r="S744" s="294"/>
      <c r="T744" s="294"/>
      <c r="U744" s="294"/>
      <c r="V744" s="294"/>
      <c r="W744" s="294"/>
      <c r="X744" s="294"/>
      <c r="Y744" s="294"/>
      <c r="Z744" s="294"/>
      <c r="AA744" s="294"/>
      <c r="AB744" s="294"/>
      <c r="AC744" s="294"/>
      <c r="AD744" s="294"/>
      <c r="AE744" s="294"/>
      <c r="AF744" s="294"/>
      <c r="AG744" s="294"/>
    </row>
    <row r="745" spans="2:33" x14ac:dyDescent="0.25">
      <c r="B745" s="294"/>
      <c r="C745" s="294"/>
      <c r="D745" s="294"/>
      <c r="E745" s="294"/>
      <c r="F745" s="294"/>
      <c r="G745" s="294"/>
      <c r="H745" s="294"/>
      <c r="I745" s="294"/>
      <c r="J745" s="294"/>
      <c r="L745" s="295"/>
      <c r="M745" s="294"/>
      <c r="O745" s="294"/>
      <c r="P745" s="294"/>
      <c r="Q745" s="294"/>
      <c r="R745" s="294"/>
      <c r="S745" s="294"/>
      <c r="T745" s="294"/>
      <c r="U745" s="294"/>
      <c r="V745" s="294"/>
      <c r="W745" s="294"/>
      <c r="X745" s="294"/>
      <c r="Y745" s="294"/>
      <c r="Z745" s="294"/>
      <c r="AA745" s="294"/>
      <c r="AB745" s="294"/>
      <c r="AC745" s="294"/>
      <c r="AD745" s="294"/>
      <c r="AE745" s="294"/>
      <c r="AF745" s="294"/>
      <c r="AG745" s="294"/>
    </row>
    <row r="746" spans="2:33" x14ac:dyDescent="0.25">
      <c r="B746" s="294"/>
      <c r="C746" s="294"/>
      <c r="D746" s="294"/>
      <c r="E746" s="294"/>
      <c r="F746" s="294"/>
      <c r="G746" s="294"/>
      <c r="H746" s="294"/>
      <c r="I746" s="294"/>
      <c r="J746" s="294"/>
      <c r="L746" s="295"/>
      <c r="M746" s="294"/>
      <c r="O746" s="294"/>
      <c r="P746" s="294"/>
      <c r="Q746" s="294"/>
      <c r="R746" s="294"/>
      <c r="S746" s="294"/>
      <c r="T746" s="294"/>
      <c r="U746" s="294"/>
      <c r="V746" s="294"/>
      <c r="W746" s="294"/>
      <c r="X746" s="294"/>
      <c r="Y746" s="294"/>
      <c r="Z746" s="294"/>
      <c r="AA746" s="294"/>
      <c r="AB746" s="294"/>
      <c r="AC746" s="294"/>
      <c r="AD746" s="294"/>
      <c r="AE746" s="294"/>
      <c r="AF746" s="294"/>
      <c r="AG746" s="294"/>
    </row>
    <row r="747" spans="2:33" x14ac:dyDescent="0.25">
      <c r="B747" s="294"/>
      <c r="C747" s="294"/>
      <c r="D747" s="294"/>
      <c r="E747" s="294"/>
      <c r="F747" s="294"/>
      <c r="G747" s="294"/>
      <c r="H747" s="294"/>
      <c r="I747" s="294"/>
      <c r="J747" s="294"/>
      <c r="L747" s="295"/>
      <c r="M747" s="294"/>
      <c r="O747" s="294"/>
      <c r="P747" s="294"/>
      <c r="Q747" s="294"/>
      <c r="R747" s="294"/>
      <c r="S747" s="294"/>
      <c r="T747" s="294"/>
      <c r="U747" s="294"/>
      <c r="V747" s="294"/>
      <c r="W747" s="294"/>
      <c r="X747" s="294"/>
      <c r="Y747" s="294"/>
      <c r="Z747" s="294"/>
      <c r="AA747" s="294"/>
      <c r="AB747" s="294"/>
      <c r="AC747" s="294"/>
      <c r="AD747" s="294"/>
      <c r="AE747" s="294"/>
      <c r="AF747" s="294"/>
      <c r="AG747" s="294"/>
    </row>
    <row r="748" spans="2:33" x14ac:dyDescent="0.25">
      <c r="B748" s="294"/>
      <c r="C748" s="294"/>
      <c r="D748" s="294"/>
      <c r="E748" s="294"/>
      <c r="F748" s="294"/>
      <c r="G748" s="294"/>
      <c r="H748" s="294"/>
      <c r="I748" s="294"/>
      <c r="J748" s="294"/>
      <c r="L748" s="295"/>
      <c r="M748" s="294"/>
      <c r="O748" s="294"/>
      <c r="P748" s="294"/>
      <c r="Q748" s="294"/>
      <c r="R748" s="294"/>
      <c r="S748" s="294"/>
      <c r="T748" s="294"/>
      <c r="U748" s="294"/>
      <c r="V748" s="294"/>
      <c r="W748" s="294"/>
      <c r="X748" s="294"/>
      <c r="Y748" s="294"/>
      <c r="Z748" s="294"/>
      <c r="AA748" s="294"/>
      <c r="AB748" s="294"/>
      <c r="AC748" s="294"/>
      <c r="AD748" s="294"/>
      <c r="AE748" s="294"/>
      <c r="AF748" s="294"/>
      <c r="AG748" s="294"/>
    </row>
    <row r="749" spans="2:33" x14ac:dyDescent="0.25">
      <c r="B749" s="294"/>
      <c r="C749" s="294"/>
      <c r="D749" s="294"/>
      <c r="E749" s="294"/>
      <c r="F749" s="294"/>
      <c r="G749" s="294"/>
      <c r="H749" s="294"/>
      <c r="I749" s="294"/>
      <c r="J749" s="294"/>
      <c r="L749" s="295"/>
      <c r="M749" s="294"/>
      <c r="O749" s="294"/>
      <c r="P749" s="294"/>
      <c r="Q749" s="294"/>
      <c r="R749" s="294"/>
      <c r="S749" s="294"/>
      <c r="T749" s="294"/>
      <c r="U749" s="294"/>
      <c r="V749" s="294"/>
      <c r="W749" s="294"/>
      <c r="X749" s="294"/>
      <c r="Y749" s="294"/>
      <c r="Z749" s="294"/>
      <c r="AA749" s="294"/>
      <c r="AB749" s="294"/>
      <c r="AC749" s="294"/>
      <c r="AD749" s="294"/>
      <c r="AE749" s="294"/>
      <c r="AF749" s="294"/>
      <c r="AG749" s="294"/>
    </row>
    <row r="750" spans="2:33" x14ac:dyDescent="0.25">
      <c r="B750" s="294"/>
      <c r="C750" s="294"/>
      <c r="D750" s="294"/>
      <c r="E750" s="294"/>
      <c r="F750" s="294"/>
      <c r="G750" s="294"/>
      <c r="H750" s="294"/>
      <c r="I750" s="294"/>
      <c r="J750" s="294"/>
      <c r="L750" s="295"/>
      <c r="M750" s="294"/>
      <c r="O750" s="294"/>
      <c r="P750" s="294"/>
      <c r="Q750" s="294"/>
      <c r="R750" s="294"/>
      <c r="S750" s="294"/>
      <c r="T750" s="294"/>
      <c r="U750" s="294"/>
      <c r="V750" s="294"/>
      <c r="W750" s="294"/>
      <c r="X750" s="294"/>
      <c r="Y750" s="294"/>
      <c r="Z750" s="294"/>
      <c r="AA750" s="294"/>
      <c r="AB750" s="294"/>
      <c r="AC750" s="294"/>
      <c r="AD750" s="294"/>
      <c r="AE750" s="294"/>
      <c r="AF750" s="294"/>
      <c r="AG750" s="294"/>
    </row>
    <row r="751" spans="2:33" x14ac:dyDescent="0.25">
      <c r="B751" s="294"/>
      <c r="C751" s="294"/>
      <c r="D751" s="294"/>
      <c r="E751" s="294"/>
      <c r="F751" s="294"/>
      <c r="G751" s="294"/>
      <c r="H751" s="294"/>
      <c r="I751" s="294"/>
      <c r="J751" s="294"/>
      <c r="L751" s="295"/>
      <c r="M751" s="294"/>
      <c r="O751" s="294"/>
      <c r="P751" s="294"/>
      <c r="Q751" s="294"/>
      <c r="R751" s="294"/>
      <c r="S751" s="294"/>
      <c r="T751" s="294"/>
      <c r="U751" s="294"/>
      <c r="V751" s="294"/>
      <c r="W751" s="294"/>
      <c r="X751" s="294"/>
      <c r="Y751" s="294"/>
      <c r="Z751" s="294"/>
      <c r="AA751" s="294"/>
      <c r="AB751" s="294"/>
      <c r="AC751" s="294"/>
      <c r="AD751" s="294"/>
      <c r="AE751" s="294"/>
      <c r="AF751" s="294"/>
      <c r="AG751" s="294"/>
    </row>
    <row r="752" spans="2:33" x14ac:dyDescent="0.25">
      <c r="B752" s="294"/>
      <c r="C752" s="294"/>
      <c r="D752" s="294"/>
      <c r="E752" s="294"/>
      <c r="F752" s="294"/>
      <c r="G752" s="294"/>
      <c r="H752" s="294"/>
      <c r="I752" s="294"/>
      <c r="J752" s="294"/>
      <c r="L752" s="295"/>
      <c r="M752" s="294"/>
      <c r="O752" s="294"/>
      <c r="P752" s="294"/>
      <c r="Q752" s="294"/>
      <c r="R752" s="294"/>
      <c r="S752" s="294"/>
      <c r="T752" s="294"/>
      <c r="U752" s="294"/>
      <c r="V752" s="294"/>
      <c r="W752" s="294"/>
      <c r="X752" s="294"/>
      <c r="Y752" s="294"/>
      <c r="Z752" s="294"/>
      <c r="AA752" s="294"/>
      <c r="AB752" s="294"/>
      <c r="AC752" s="294"/>
      <c r="AD752" s="294"/>
      <c r="AE752" s="294"/>
      <c r="AF752" s="294"/>
      <c r="AG752" s="294"/>
    </row>
    <row r="753" spans="2:33" x14ac:dyDescent="0.25">
      <c r="B753" s="294"/>
      <c r="C753" s="294"/>
      <c r="D753" s="294"/>
      <c r="E753" s="294"/>
      <c r="F753" s="294"/>
      <c r="G753" s="294"/>
      <c r="H753" s="294"/>
      <c r="I753" s="294"/>
      <c r="J753" s="294"/>
      <c r="L753" s="295"/>
      <c r="M753" s="294"/>
      <c r="O753" s="294"/>
      <c r="P753" s="294"/>
      <c r="Q753" s="294"/>
      <c r="R753" s="294"/>
      <c r="S753" s="294"/>
      <c r="T753" s="294"/>
      <c r="U753" s="294"/>
      <c r="V753" s="294"/>
      <c r="W753" s="294"/>
      <c r="X753" s="294"/>
      <c r="Y753" s="294"/>
      <c r="Z753" s="294"/>
      <c r="AA753" s="294"/>
      <c r="AB753" s="294"/>
      <c r="AC753" s="294"/>
      <c r="AD753" s="294"/>
      <c r="AE753" s="294"/>
      <c r="AF753" s="294"/>
      <c r="AG753" s="294"/>
    </row>
    <row r="754" spans="2:33" x14ac:dyDescent="0.25">
      <c r="B754" s="294"/>
      <c r="C754" s="294"/>
      <c r="D754" s="294"/>
      <c r="E754" s="294"/>
      <c r="F754" s="294"/>
      <c r="G754" s="294"/>
      <c r="H754" s="294"/>
      <c r="I754" s="294"/>
      <c r="J754" s="294"/>
      <c r="L754" s="295"/>
      <c r="M754" s="294"/>
      <c r="O754" s="294"/>
      <c r="P754" s="294"/>
      <c r="Q754" s="294"/>
      <c r="R754" s="294"/>
      <c r="S754" s="294"/>
      <c r="T754" s="294"/>
      <c r="U754" s="294"/>
      <c r="V754" s="294"/>
      <c r="W754" s="294"/>
      <c r="X754" s="294"/>
      <c r="Y754" s="294"/>
      <c r="Z754" s="294"/>
      <c r="AA754" s="294"/>
      <c r="AB754" s="294"/>
      <c r="AC754" s="294"/>
      <c r="AD754" s="294"/>
      <c r="AE754" s="294"/>
      <c r="AF754" s="294"/>
      <c r="AG754" s="294"/>
    </row>
    <row r="755" spans="2:33" x14ac:dyDescent="0.25">
      <c r="B755" s="294"/>
      <c r="C755" s="294"/>
      <c r="D755" s="294"/>
      <c r="E755" s="294"/>
      <c r="F755" s="294"/>
      <c r="G755" s="294"/>
      <c r="H755" s="294"/>
      <c r="I755" s="294"/>
      <c r="J755" s="294"/>
      <c r="L755" s="295"/>
      <c r="M755" s="294"/>
      <c r="O755" s="294"/>
      <c r="P755" s="294"/>
      <c r="Q755" s="294"/>
      <c r="R755" s="294"/>
      <c r="S755" s="294"/>
      <c r="T755" s="294"/>
      <c r="U755" s="294"/>
      <c r="V755" s="294"/>
      <c r="W755" s="294"/>
      <c r="X755" s="294"/>
      <c r="Y755" s="294"/>
      <c r="Z755" s="294"/>
      <c r="AA755" s="294"/>
      <c r="AB755" s="294"/>
      <c r="AC755" s="294"/>
      <c r="AD755" s="294"/>
      <c r="AE755" s="294"/>
      <c r="AF755" s="294"/>
      <c r="AG755" s="294"/>
    </row>
    <row r="756" spans="2:33" x14ac:dyDescent="0.25">
      <c r="B756" s="294"/>
      <c r="C756" s="294"/>
      <c r="D756" s="294"/>
      <c r="E756" s="294"/>
      <c r="F756" s="294"/>
      <c r="G756" s="294"/>
      <c r="H756" s="294"/>
      <c r="I756" s="294"/>
      <c r="J756" s="294"/>
      <c r="L756" s="295"/>
      <c r="M756" s="294"/>
      <c r="O756" s="294"/>
      <c r="P756" s="294"/>
      <c r="Q756" s="294"/>
      <c r="R756" s="294"/>
      <c r="S756" s="294"/>
      <c r="T756" s="294"/>
      <c r="U756" s="294"/>
      <c r="V756" s="294"/>
      <c r="W756" s="294"/>
      <c r="X756" s="294"/>
      <c r="Y756" s="294"/>
      <c r="Z756" s="294"/>
      <c r="AA756" s="294"/>
      <c r="AB756" s="294"/>
      <c r="AC756" s="294"/>
      <c r="AD756" s="294"/>
      <c r="AE756" s="294"/>
      <c r="AF756" s="294"/>
      <c r="AG756" s="294"/>
    </row>
    <row r="757" spans="2:33" x14ac:dyDescent="0.25">
      <c r="B757" s="294"/>
      <c r="C757" s="294"/>
      <c r="D757" s="294"/>
      <c r="E757" s="294"/>
      <c r="F757" s="294"/>
      <c r="G757" s="294"/>
      <c r="H757" s="294"/>
      <c r="I757" s="294"/>
      <c r="J757" s="294"/>
      <c r="L757" s="295"/>
      <c r="M757" s="294"/>
      <c r="O757" s="294"/>
      <c r="P757" s="294"/>
      <c r="Q757" s="294"/>
      <c r="R757" s="294"/>
      <c r="S757" s="294"/>
      <c r="T757" s="294"/>
      <c r="U757" s="294"/>
      <c r="V757" s="294"/>
      <c r="W757" s="294"/>
      <c r="X757" s="294"/>
      <c r="Y757" s="294"/>
      <c r="Z757" s="294"/>
      <c r="AA757" s="294"/>
      <c r="AB757" s="294"/>
      <c r="AC757" s="294"/>
      <c r="AD757" s="294"/>
      <c r="AE757" s="294"/>
      <c r="AF757" s="294"/>
      <c r="AG757" s="294"/>
    </row>
    <row r="758" spans="2:33" x14ac:dyDescent="0.25">
      <c r="B758" s="294"/>
      <c r="C758" s="294"/>
      <c r="D758" s="294"/>
      <c r="E758" s="294"/>
      <c r="F758" s="294"/>
      <c r="G758" s="294"/>
      <c r="H758" s="294"/>
      <c r="I758" s="294"/>
      <c r="J758" s="294"/>
      <c r="L758" s="295"/>
      <c r="M758" s="294"/>
      <c r="O758" s="294"/>
      <c r="P758" s="294"/>
      <c r="Q758" s="294"/>
      <c r="R758" s="294"/>
      <c r="S758" s="294"/>
      <c r="T758" s="294"/>
      <c r="U758" s="294"/>
      <c r="V758" s="294"/>
      <c r="W758" s="294"/>
      <c r="X758" s="294"/>
      <c r="Y758" s="294"/>
      <c r="Z758" s="294"/>
      <c r="AA758" s="294"/>
      <c r="AB758" s="294"/>
      <c r="AC758" s="294"/>
      <c r="AD758" s="294"/>
      <c r="AE758" s="294"/>
      <c r="AF758" s="294"/>
      <c r="AG758" s="294"/>
    </row>
    <row r="759" spans="2:33" x14ac:dyDescent="0.25">
      <c r="B759" s="294"/>
      <c r="C759" s="294"/>
      <c r="D759" s="294"/>
      <c r="E759" s="294"/>
      <c r="F759" s="294"/>
      <c r="G759" s="294"/>
      <c r="H759" s="294"/>
      <c r="I759" s="294"/>
      <c r="J759" s="294"/>
      <c r="L759" s="295"/>
      <c r="M759" s="294"/>
      <c r="O759" s="294"/>
      <c r="P759" s="294"/>
      <c r="Q759" s="294"/>
      <c r="R759" s="294"/>
      <c r="S759" s="294"/>
      <c r="T759" s="294"/>
      <c r="U759" s="294"/>
      <c r="V759" s="294"/>
      <c r="W759" s="294"/>
      <c r="X759" s="294"/>
      <c r="Y759" s="294"/>
      <c r="Z759" s="294"/>
      <c r="AA759" s="294"/>
      <c r="AB759" s="294"/>
      <c r="AC759" s="294"/>
      <c r="AD759" s="294"/>
      <c r="AE759" s="294"/>
      <c r="AF759" s="294"/>
      <c r="AG759" s="294"/>
    </row>
    <row r="760" spans="2:33" x14ac:dyDescent="0.25">
      <c r="B760" s="294"/>
      <c r="C760" s="294"/>
      <c r="D760" s="294"/>
      <c r="E760" s="294"/>
      <c r="F760" s="294"/>
      <c r="G760" s="294"/>
      <c r="H760" s="294"/>
      <c r="I760" s="294"/>
      <c r="J760" s="294"/>
      <c r="L760" s="295"/>
      <c r="M760" s="294"/>
      <c r="O760" s="294"/>
      <c r="P760" s="294"/>
      <c r="Q760" s="294"/>
      <c r="R760" s="294"/>
      <c r="S760" s="294"/>
      <c r="T760" s="294"/>
      <c r="U760" s="294"/>
      <c r="V760" s="294"/>
      <c r="W760" s="294"/>
      <c r="X760" s="294"/>
      <c r="Y760" s="294"/>
      <c r="Z760" s="294"/>
      <c r="AA760" s="294"/>
      <c r="AB760" s="294"/>
      <c r="AC760" s="294"/>
      <c r="AD760" s="294"/>
      <c r="AE760" s="294"/>
      <c r="AF760" s="294"/>
      <c r="AG760" s="294"/>
    </row>
    <row r="761" spans="2:33" x14ac:dyDescent="0.25">
      <c r="B761" s="294"/>
      <c r="C761" s="294"/>
      <c r="D761" s="294"/>
      <c r="E761" s="294"/>
      <c r="F761" s="294"/>
      <c r="G761" s="294"/>
      <c r="H761" s="294"/>
      <c r="I761" s="294"/>
      <c r="J761" s="294"/>
      <c r="L761" s="295"/>
      <c r="M761" s="294"/>
      <c r="O761" s="294"/>
      <c r="P761" s="294"/>
      <c r="Q761" s="294"/>
      <c r="R761" s="294"/>
      <c r="S761" s="294"/>
      <c r="T761" s="294"/>
      <c r="U761" s="294"/>
      <c r="V761" s="294"/>
      <c r="W761" s="294"/>
      <c r="X761" s="294"/>
      <c r="Y761" s="294"/>
      <c r="Z761" s="294"/>
      <c r="AA761" s="294"/>
      <c r="AB761" s="294"/>
      <c r="AC761" s="294"/>
      <c r="AD761" s="294"/>
      <c r="AE761" s="294"/>
      <c r="AF761" s="294"/>
      <c r="AG761" s="294"/>
    </row>
    <row r="762" spans="2:33" x14ac:dyDescent="0.25">
      <c r="B762" s="294"/>
      <c r="C762" s="294"/>
      <c r="D762" s="294"/>
      <c r="E762" s="294"/>
      <c r="F762" s="294"/>
      <c r="G762" s="294"/>
      <c r="H762" s="294"/>
      <c r="I762" s="294"/>
      <c r="J762" s="294"/>
      <c r="L762" s="295"/>
      <c r="M762" s="294"/>
      <c r="O762" s="294"/>
      <c r="P762" s="294"/>
      <c r="Q762" s="294"/>
      <c r="R762" s="294"/>
      <c r="S762" s="294"/>
      <c r="T762" s="294"/>
      <c r="U762" s="294"/>
      <c r="V762" s="294"/>
      <c r="W762" s="294"/>
      <c r="X762" s="294"/>
      <c r="Y762" s="294"/>
      <c r="Z762" s="294"/>
      <c r="AA762" s="294"/>
      <c r="AB762" s="294"/>
      <c r="AC762" s="294"/>
      <c r="AD762" s="294"/>
      <c r="AE762" s="294"/>
      <c r="AF762" s="294"/>
      <c r="AG762" s="294"/>
    </row>
    <row r="763" spans="2:33" x14ac:dyDescent="0.25">
      <c r="B763" s="294"/>
      <c r="C763" s="294"/>
      <c r="D763" s="294"/>
      <c r="E763" s="294"/>
      <c r="F763" s="294"/>
      <c r="G763" s="294"/>
      <c r="H763" s="294"/>
      <c r="I763" s="294"/>
      <c r="J763" s="294"/>
      <c r="L763" s="295"/>
      <c r="M763" s="294"/>
      <c r="O763" s="294"/>
      <c r="P763" s="294"/>
      <c r="Q763" s="294"/>
      <c r="R763" s="294"/>
      <c r="S763" s="294"/>
      <c r="T763" s="294"/>
      <c r="U763" s="294"/>
      <c r="V763" s="294"/>
      <c r="W763" s="294"/>
      <c r="X763" s="294"/>
      <c r="Y763" s="294"/>
      <c r="Z763" s="294"/>
      <c r="AA763" s="294"/>
      <c r="AB763" s="294"/>
      <c r="AC763" s="294"/>
      <c r="AD763" s="294"/>
      <c r="AE763" s="294"/>
      <c r="AF763" s="294"/>
      <c r="AG763" s="294"/>
    </row>
    <row r="764" spans="2:33" x14ac:dyDescent="0.25">
      <c r="B764" s="294"/>
      <c r="C764" s="294"/>
      <c r="D764" s="294"/>
      <c r="E764" s="294"/>
      <c r="F764" s="294"/>
      <c r="G764" s="294"/>
      <c r="H764" s="294"/>
      <c r="I764" s="294"/>
      <c r="J764" s="294"/>
      <c r="L764" s="295"/>
      <c r="M764" s="294"/>
      <c r="O764" s="294"/>
      <c r="P764" s="294"/>
      <c r="Q764" s="294"/>
      <c r="R764" s="294"/>
      <c r="S764" s="294"/>
      <c r="T764" s="294"/>
      <c r="U764" s="294"/>
      <c r="V764" s="294"/>
      <c r="W764" s="294"/>
      <c r="X764" s="294"/>
      <c r="Y764" s="294"/>
      <c r="Z764" s="294"/>
      <c r="AA764" s="294"/>
      <c r="AB764" s="294"/>
      <c r="AC764" s="294"/>
      <c r="AD764" s="294"/>
      <c r="AE764" s="294"/>
      <c r="AF764" s="294"/>
      <c r="AG764" s="294"/>
    </row>
    <row r="765" spans="2:33" x14ac:dyDescent="0.25">
      <c r="B765" s="294"/>
      <c r="C765" s="294"/>
      <c r="D765" s="294"/>
      <c r="E765" s="294"/>
      <c r="F765" s="294"/>
      <c r="G765" s="294"/>
      <c r="H765" s="294"/>
      <c r="I765" s="294"/>
      <c r="J765" s="294"/>
      <c r="L765" s="295"/>
      <c r="M765" s="294"/>
      <c r="O765" s="294"/>
      <c r="P765" s="294"/>
      <c r="Q765" s="294"/>
      <c r="R765" s="294"/>
      <c r="S765" s="294"/>
      <c r="T765" s="294"/>
      <c r="U765" s="294"/>
      <c r="V765" s="294"/>
      <c r="W765" s="294"/>
      <c r="X765" s="294"/>
      <c r="Y765" s="294"/>
      <c r="Z765" s="294"/>
      <c r="AA765" s="294"/>
      <c r="AB765" s="294"/>
      <c r="AC765" s="294"/>
      <c r="AD765" s="294"/>
      <c r="AE765" s="294"/>
      <c r="AF765" s="294"/>
      <c r="AG765" s="294"/>
    </row>
    <row r="766" spans="2:33" x14ac:dyDescent="0.25">
      <c r="B766" s="294"/>
      <c r="C766" s="294"/>
      <c r="D766" s="294"/>
      <c r="E766" s="294"/>
      <c r="F766" s="294"/>
      <c r="G766" s="294"/>
      <c r="H766" s="294"/>
      <c r="I766" s="294"/>
      <c r="J766" s="294"/>
      <c r="L766" s="295"/>
      <c r="M766" s="294"/>
      <c r="O766" s="294"/>
      <c r="P766" s="294"/>
      <c r="Q766" s="294"/>
      <c r="R766" s="294"/>
      <c r="S766" s="294"/>
      <c r="T766" s="294"/>
      <c r="U766" s="294"/>
      <c r="V766" s="294"/>
      <c r="W766" s="294"/>
      <c r="X766" s="294"/>
      <c r="Y766" s="294"/>
      <c r="Z766" s="294"/>
      <c r="AA766" s="294"/>
      <c r="AB766" s="294"/>
      <c r="AC766" s="294"/>
      <c r="AD766" s="294"/>
      <c r="AE766" s="294"/>
      <c r="AF766" s="294"/>
      <c r="AG766" s="294"/>
    </row>
    <row r="767" spans="2:33" x14ac:dyDescent="0.25">
      <c r="B767" s="294"/>
      <c r="C767" s="294"/>
      <c r="D767" s="294"/>
      <c r="E767" s="294"/>
      <c r="F767" s="294"/>
      <c r="G767" s="294"/>
      <c r="H767" s="294"/>
      <c r="I767" s="294"/>
      <c r="J767" s="294"/>
      <c r="L767" s="295"/>
      <c r="M767" s="294"/>
      <c r="O767" s="294"/>
      <c r="P767" s="294"/>
      <c r="Q767" s="294"/>
      <c r="R767" s="294"/>
      <c r="S767" s="294"/>
      <c r="T767" s="294"/>
      <c r="U767" s="294"/>
      <c r="V767" s="294"/>
      <c r="W767" s="294"/>
      <c r="X767" s="294"/>
      <c r="Y767" s="294"/>
      <c r="Z767" s="294"/>
      <c r="AA767" s="294"/>
      <c r="AB767" s="294"/>
      <c r="AC767" s="294"/>
      <c r="AD767" s="294"/>
      <c r="AE767" s="294"/>
      <c r="AF767" s="294"/>
      <c r="AG767" s="294"/>
    </row>
    <row r="768" spans="2:33" x14ac:dyDescent="0.25">
      <c r="B768" s="294"/>
      <c r="C768" s="294"/>
      <c r="D768" s="294"/>
      <c r="E768" s="294"/>
      <c r="F768" s="294"/>
      <c r="G768" s="294"/>
      <c r="H768" s="294"/>
      <c r="I768" s="294"/>
      <c r="J768" s="294"/>
      <c r="L768" s="295"/>
      <c r="M768" s="294"/>
      <c r="O768" s="294"/>
      <c r="P768" s="294"/>
      <c r="Q768" s="294"/>
      <c r="R768" s="294"/>
      <c r="S768" s="294"/>
      <c r="T768" s="294"/>
      <c r="U768" s="294"/>
      <c r="V768" s="294"/>
      <c r="W768" s="294"/>
      <c r="X768" s="294"/>
      <c r="Y768" s="294"/>
      <c r="Z768" s="294"/>
      <c r="AA768" s="294"/>
      <c r="AB768" s="294"/>
      <c r="AC768" s="294"/>
      <c r="AD768" s="294"/>
      <c r="AE768" s="294"/>
      <c r="AF768" s="294"/>
      <c r="AG768" s="294"/>
    </row>
    <row r="769" spans="2:33" x14ac:dyDescent="0.25">
      <c r="B769" s="294"/>
      <c r="C769" s="294"/>
      <c r="D769" s="294"/>
      <c r="E769" s="294"/>
      <c r="F769" s="294"/>
      <c r="G769" s="294"/>
      <c r="H769" s="294"/>
      <c r="I769" s="294"/>
      <c r="J769" s="294"/>
      <c r="L769" s="295"/>
      <c r="M769" s="294"/>
      <c r="O769" s="294"/>
      <c r="P769" s="294"/>
      <c r="Q769" s="294"/>
      <c r="R769" s="294"/>
      <c r="S769" s="294"/>
      <c r="T769" s="294"/>
      <c r="U769" s="294"/>
      <c r="V769" s="294"/>
      <c r="W769" s="294"/>
      <c r="X769" s="294"/>
      <c r="Y769" s="294"/>
      <c r="Z769" s="294"/>
      <c r="AA769" s="294"/>
      <c r="AB769" s="294"/>
      <c r="AC769" s="294"/>
      <c r="AD769" s="294"/>
      <c r="AE769" s="294"/>
      <c r="AF769" s="294"/>
      <c r="AG769" s="294"/>
    </row>
    <row r="770" spans="2:33" x14ac:dyDescent="0.25">
      <c r="B770" s="294"/>
      <c r="C770" s="294"/>
      <c r="D770" s="294"/>
      <c r="E770" s="294"/>
      <c r="F770" s="294"/>
      <c r="G770" s="294"/>
      <c r="H770" s="294"/>
      <c r="I770" s="294"/>
      <c r="J770" s="294"/>
      <c r="L770" s="295"/>
      <c r="M770" s="294"/>
      <c r="O770" s="294"/>
      <c r="P770" s="294"/>
      <c r="Q770" s="294"/>
      <c r="R770" s="294"/>
      <c r="S770" s="294"/>
      <c r="T770" s="294"/>
      <c r="U770" s="294"/>
      <c r="V770" s="294"/>
      <c r="W770" s="294"/>
      <c r="X770" s="294"/>
      <c r="Y770" s="294"/>
      <c r="Z770" s="294"/>
      <c r="AA770" s="294"/>
      <c r="AB770" s="294"/>
      <c r="AC770" s="294"/>
      <c r="AD770" s="294"/>
      <c r="AE770" s="294"/>
      <c r="AF770" s="294"/>
      <c r="AG770" s="294"/>
    </row>
    <row r="771" spans="2:33" x14ac:dyDescent="0.25">
      <c r="B771" s="294"/>
      <c r="C771" s="294"/>
      <c r="D771" s="294"/>
      <c r="E771" s="294"/>
      <c r="F771" s="294"/>
      <c r="G771" s="294"/>
      <c r="H771" s="294"/>
      <c r="I771" s="294"/>
      <c r="J771" s="294"/>
      <c r="L771" s="295"/>
      <c r="M771" s="294"/>
      <c r="O771" s="294"/>
      <c r="P771" s="294"/>
      <c r="Q771" s="294"/>
      <c r="R771" s="294"/>
      <c r="S771" s="294"/>
      <c r="T771" s="294"/>
      <c r="U771" s="294"/>
      <c r="V771" s="294"/>
      <c r="W771" s="294"/>
      <c r="X771" s="294"/>
      <c r="Y771" s="294"/>
      <c r="Z771" s="294"/>
      <c r="AA771" s="294"/>
      <c r="AB771" s="294"/>
      <c r="AC771" s="294"/>
      <c r="AD771" s="294"/>
      <c r="AE771" s="294"/>
      <c r="AF771" s="294"/>
      <c r="AG771" s="294"/>
    </row>
    <row r="772" spans="2:33" x14ac:dyDescent="0.25">
      <c r="B772" s="294"/>
      <c r="C772" s="294"/>
      <c r="D772" s="294"/>
      <c r="E772" s="294"/>
      <c r="F772" s="294"/>
      <c r="G772" s="294"/>
      <c r="H772" s="294"/>
      <c r="I772" s="294"/>
      <c r="J772" s="294"/>
      <c r="L772" s="295"/>
      <c r="M772" s="294"/>
      <c r="O772" s="294"/>
      <c r="P772" s="294"/>
      <c r="Q772" s="294"/>
      <c r="R772" s="294"/>
      <c r="S772" s="294"/>
      <c r="T772" s="294"/>
      <c r="U772" s="294"/>
      <c r="V772" s="294"/>
      <c r="W772" s="294"/>
      <c r="X772" s="294"/>
      <c r="Y772" s="294"/>
      <c r="Z772" s="294"/>
      <c r="AA772" s="294"/>
      <c r="AB772" s="294"/>
      <c r="AC772" s="294"/>
      <c r="AD772" s="294"/>
      <c r="AE772" s="294"/>
      <c r="AF772" s="294"/>
      <c r="AG772" s="294"/>
    </row>
    <row r="773" spans="2:33" x14ac:dyDescent="0.25">
      <c r="B773" s="294"/>
      <c r="C773" s="294"/>
      <c r="D773" s="294"/>
      <c r="E773" s="294"/>
      <c r="F773" s="294"/>
      <c r="G773" s="294"/>
      <c r="H773" s="294"/>
      <c r="I773" s="294"/>
      <c r="J773" s="294"/>
      <c r="L773" s="295"/>
      <c r="M773" s="294"/>
      <c r="O773" s="294"/>
      <c r="P773" s="294"/>
      <c r="Q773" s="294"/>
      <c r="R773" s="294"/>
      <c r="S773" s="294"/>
      <c r="T773" s="294"/>
      <c r="U773" s="294"/>
      <c r="V773" s="294"/>
      <c r="W773" s="294"/>
      <c r="X773" s="294"/>
      <c r="Y773" s="294"/>
      <c r="Z773" s="294"/>
      <c r="AA773" s="294"/>
      <c r="AB773" s="294"/>
      <c r="AC773" s="294"/>
      <c r="AD773" s="294"/>
      <c r="AE773" s="294"/>
      <c r="AF773" s="294"/>
      <c r="AG773" s="294"/>
    </row>
    <row r="774" spans="2:33" x14ac:dyDescent="0.25">
      <c r="B774" s="294"/>
      <c r="C774" s="294"/>
      <c r="D774" s="294"/>
      <c r="E774" s="294"/>
      <c r="F774" s="294"/>
      <c r="G774" s="294"/>
      <c r="H774" s="294"/>
      <c r="I774" s="294"/>
      <c r="J774" s="294"/>
      <c r="L774" s="295"/>
      <c r="M774" s="294"/>
      <c r="O774" s="294"/>
      <c r="P774" s="294"/>
      <c r="Q774" s="294"/>
      <c r="R774" s="294"/>
      <c r="S774" s="294"/>
      <c r="T774" s="294"/>
      <c r="U774" s="294"/>
      <c r="V774" s="294"/>
      <c r="W774" s="294"/>
      <c r="X774" s="294"/>
      <c r="Y774" s="294"/>
      <c r="Z774" s="294"/>
      <c r="AA774" s="294"/>
      <c r="AB774" s="294"/>
      <c r="AC774" s="294"/>
      <c r="AD774" s="294"/>
      <c r="AE774" s="294"/>
      <c r="AF774" s="294"/>
      <c r="AG774" s="294"/>
    </row>
    <row r="775" spans="2:33" x14ac:dyDescent="0.25">
      <c r="B775" s="294"/>
      <c r="C775" s="294"/>
      <c r="D775" s="294"/>
      <c r="E775" s="294"/>
      <c r="F775" s="294"/>
      <c r="G775" s="294"/>
      <c r="H775" s="294"/>
      <c r="I775" s="294"/>
      <c r="J775" s="294"/>
      <c r="L775" s="295"/>
      <c r="M775" s="294"/>
      <c r="O775" s="294"/>
      <c r="P775" s="294"/>
      <c r="Q775" s="294"/>
      <c r="R775" s="294"/>
      <c r="S775" s="294"/>
      <c r="T775" s="294"/>
      <c r="U775" s="294"/>
      <c r="V775" s="294"/>
      <c r="W775" s="294"/>
      <c r="X775" s="294"/>
      <c r="Y775" s="294"/>
      <c r="Z775" s="294"/>
      <c r="AA775" s="294"/>
      <c r="AB775" s="294"/>
      <c r="AC775" s="294"/>
      <c r="AD775" s="294"/>
      <c r="AE775" s="294"/>
      <c r="AF775" s="294"/>
      <c r="AG775" s="294"/>
    </row>
    <row r="776" spans="2:33" x14ac:dyDescent="0.25">
      <c r="B776" s="294"/>
      <c r="C776" s="294"/>
      <c r="D776" s="294"/>
      <c r="E776" s="294"/>
      <c r="F776" s="294"/>
      <c r="G776" s="294"/>
      <c r="H776" s="294"/>
      <c r="I776" s="294"/>
      <c r="J776" s="294"/>
      <c r="L776" s="295"/>
      <c r="M776" s="294"/>
      <c r="O776" s="294"/>
      <c r="P776" s="294"/>
      <c r="Q776" s="294"/>
      <c r="R776" s="294"/>
      <c r="S776" s="294"/>
      <c r="T776" s="294"/>
      <c r="U776" s="294"/>
      <c r="V776" s="294"/>
      <c r="W776" s="294"/>
      <c r="X776" s="294"/>
      <c r="Y776" s="294"/>
      <c r="Z776" s="294"/>
      <c r="AA776" s="294"/>
      <c r="AB776" s="294"/>
      <c r="AC776" s="294"/>
      <c r="AD776" s="294"/>
      <c r="AE776" s="294"/>
      <c r="AF776" s="294"/>
      <c r="AG776" s="294"/>
    </row>
    <row r="777" spans="2:33" x14ac:dyDescent="0.25">
      <c r="B777" s="294"/>
      <c r="C777" s="294"/>
      <c r="D777" s="294"/>
      <c r="E777" s="294"/>
      <c r="F777" s="294"/>
      <c r="G777" s="294"/>
      <c r="H777" s="294"/>
      <c r="I777" s="294"/>
      <c r="J777" s="294"/>
      <c r="L777" s="295"/>
      <c r="M777" s="294"/>
      <c r="O777" s="294"/>
      <c r="P777" s="294"/>
      <c r="Q777" s="294"/>
      <c r="R777" s="294"/>
      <c r="S777" s="294"/>
      <c r="T777" s="294"/>
      <c r="U777" s="294"/>
      <c r="V777" s="294"/>
      <c r="W777" s="294"/>
      <c r="X777" s="294"/>
      <c r="Y777" s="294"/>
      <c r="Z777" s="294"/>
      <c r="AA777" s="294"/>
      <c r="AB777" s="294"/>
      <c r="AC777" s="294"/>
      <c r="AD777" s="294"/>
      <c r="AE777" s="294"/>
      <c r="AF777" s="294"/>
      <c r="AG777" s="294"/>
    </row>
    <row r="778" spans="2:33" x14ac:dyDescent="0.25">
      <c r="B778" s="294"/>
      <c r="C778" s="294"/>
      <c r="D778" s="294"/>
      <c r="E778" s="294"/>
      <c r="F778" s="294"/>
      <c r="G778" s="294"/>
      <c r="H778" s="294"/>
      <c r="I778" s="294"/>
      <c r="J778" s="294"/>
      <c r="L778" s="295"/>
      <c r="M778" s="294"/>
      <c r="O778" s="294"/>
      <c r="P778" s="294"/>
      <c r="Q778" s="294"/>
      <c r="R778" s="294"/>
      <c r="S778" s="294"/>
      <c r="T778" s="294"/>
      <c r="U778" s="294"/>
      <c r="V778" s="294"/>
      <c r="W778" s="294"/>
      <c r="X778" s="294"/>
      <c r="Y778" s="294"/>
      <c r="Z778" s="294"/>
      <c r="AA778" s="294"/>
      <c r="AB778" s="294"/>
      <c r="AC778" s="294"/>
      <c r="AD778" s="294"/>
      <c r="AE778" s="294"/>
      <c r="AF778" s="294"/>
      <c r="AG778" s="294"/>
    </row>
    <row r="779" spans="2:33" x14ac:dyDescent="0.25">
      <c r="B779" s="294"/>
      <c r="C779" s="294"/>
      <c r="D779" s="294"/>
      <c r="E779" s="294"/>
      <c r="F779" s="294"/>
      <c r="G779" s="294"/>
      <c r="H779" s="294"/>
      <c r="I779" s="294"/>
      <c r="J779" s="294"/>
      <c r="L779" s="295"/>
      <c r="M779" s="294"/>
      <c r="O779" s="294"/>
      <c r="P779" s="294"/>
      <c r="Q779" s="294"/>
      <c r="R779" s="294"/>
      <c r="S779" s="294"/>
      <c r="T779" s="294"/>
      <c r="U779" s="294"/>
      <c r="V779" s="294"/>
      <c r="W779" s="294"/>
      <c r="X779" s="294"/>
      <c r="Y779" s="294"/>
      <c r="Z779" s="294"/>
      <c r="AA779" s="294"/>
      <c r="AB779" s="294"/>
      <c r="AC779" s="294"/>
      <c r="AD779" s="294"/>
      <c r="AE779" s="294"/>
      <c r="AF779" s="294"/>
      <c r="AG779" s="294"/>
    </row>
    <row r="780" spans="2:33" x14ac:dyDescent="0.25">
      <c r="B780" s="294"/>
      <c r="C780" s="294"/>
      <c r="D780" s="294"/>
      <c r="E780" s="294"/>
      <c r="F780" s="294"/>
      <c r="G780" s="294"/>
      <c r="H780" s="294"/>
      <c r="I780" s="294"/>
      <c r="J780" s="294"/>
      <c r="L780" s="295"/>
      <c r="M780" s="294"/>
      <c r="O780" s="294"/>
      <c r="P780" s="294"/>
      <c r="Q780" s="294"/>
      <c r="R780" s="294"/>
      <c r="S780" s="294"/>
      <c r="T780" s="294"/>
      <c r="U780" s="294"/>
      <c r="V780" s="294"/>
      <c r="W780" s="294"/>
      <c r="X780" s="294"/>
      <c r="Y780" s="294"/>
      <c r="Z780" s="294"/>
      <c r="AA780" s="294"/>
      <c r="AB780" s="294"/>
      <c r="AC780" s="294"/>
      <c r="AD780" s="294"/>
      <c r="AE780" s="294"/>
      <c r="AF780" s="294"/>
      <c r="AG780" s="294"/>
    </row>
    <row r="781" spans="2:33" x14ac:dyDescent="0.25">
      <c r="B781" s="294"/>
      <c r="C781" s="294"/>
      <c r="D781" s="294"/>
      <c r="E781" s="294"/>
      <c r="F781" s="294"/>
      <c r="G781" s="294"/>
      <c r="H781" s="294"/>
      <c r="I781" s="294"/>
      <c r="J781" s="294"/>
      <c r="L781" s="295"/>
      <c r="M781" s="294"/>
      <c r="O781" s="294"/>
      <c r="P781" s="294"/>
      <c r="Q781" s="294"/>
      <c r="R781" s="294"/>
      <c r="S781" s="294"/>
      <c r="T781" s="294"/>
      <c r="U781" s="294"/>
      <c r="V781" s="294"/>
      <c r="W781" s="294"/>
      <c r="X781" s="294"/>
      <c r="Y781" s="294"/>
      <c r="Z781" s="294"/>
      <c r="AA781" s="294"/>
      <c r="AB781" s="294"/>
      <c r="AC781" s="294"/>
      <c r="AD781" s="294"/>
      <c r="AE781" s="294"/>
      <c r="AF781" s="294"/>
      <c r="AG781" s="294"/>
    </row>
    <row r="782" spans="2:33" x14ac:dyDescent="0.25">
      <c r="B782" s="294"/>
      <c r="C782" s="294"/>
      <c r="D782" s="294"/>
      <c r="E782" s="294"/>
      <c r="F782" s="294"/>
      <c r="G782" s="294"/>
      <c r="H782" s="294"/>
      <c r="I782" s="294"/>
      <c r="J782" s="294"/>
      <c r="L782" s="295"/>
      <c r="M782" s="294"/>
      <c r="O782" s="294"/>
      <c r="P782" s="294"/>
      <c r="Q782" s="294"/>
      <c r="R782" s="294"/>
      <c r="S782" s="294"/>
      <c r="T782" s="294"/>
      <c r="U782" s="294"/>
      <c r="V782" s="294"/>
      <c r="W782" s="294"/>
      <c r="X782" s="294"/>
      <c r="Y782" s="294"/>
      <c r="Z782" s="294"/>
      <c r="AA782" s="294"/>
      <c r="AB782" s="294"/>
      <c r="AC782" s="294"/>
      <c r="AD782" s="294"/>
      <c r="AE782" s="294"/>
      <c r="AF782" s="294"/>
      <c r="AG782" s="294"/>
    </row>
    <row r="783" spans="2:33" x14ac:dyDescent="0.25">
      <c r="B783" s="294"/>
      <c r="C783" s="294"/>
      <c r="D783" s="294"/>
      <c r="E783" s="294"/>
      <c r="F783" s="294"/>
      <c r="G783" s="294"/>
      <c r="H783" s="294"/>
      <c r="I783" s="294"/>
      <c r="J783" s="294"/>
      <c r="L783" s="295"/>
      <c r="M783" s="294"/>
      <c r="O783" s="294"/>
      <c r="P783" s="294"/>
      <c r="Q783" s="294"/>
      <c r="R783" s="294"/>
      <c r="S783" s="294"/>
      <c r="T783" s="294"/>
      <c r="U783" s="294"/>
      <c r="V783" s="294"/>
      <c r="W783" s="294"/>
      <c r="X783" s="294"/>
      <c r="Y783" s="294"/>
      <c r="Z783" s="294"/>
      <c r="AA783" s="294"/>
      <c r="AB783" s="294"/>
      <c r="AC783" s="294"/>
      <c r="AD783" s="294"/>
      <c r="AE783" s="294"/>
      <c r="AF783" s="294"/>
      <c r="AG783" s="294"/>
    </row>
    <row r="784" spans="2:33" x14ac:dyDescent="0.25">
      <c r="B784" s="294"/>
      <c r="C784" s="294"/>
      <c r="D784" s="294"/>
      <c r="E784" s="294"/>
      <c r="F784" s="294"/>
      <c r="G784" s="294"/>
      <c r="H784" s="294"/>
      <c r="I784" s="294"/>
      <c r="J784" s="294"/>
      <c r="L784" s="295"/>
      <c r="M784" s="294"/>
      <c r="O784" s="294"/>
      <c r="P784" s="294"/>
      <c r="Q784" s="294"/>
      <c r="R784" s="294"/>
      <c r="S784" s="294"/>
      <c r="T784" s="294"/>
      <c r="U784" s="294"/>
      <c r="V784" s="294"/>
      <c r="W784" s="294"/>
      <c r="X784" s="294"/>
      <c r="Y784" s="294"/>
      <c r="Z784" s="294"/>
      <c r="AA784" s="294"/>
      <c r="AB784" s="294"/>
      <c r="AC784" s="294"/>
      <c r="AD784" s="294"/>
      <c r="AE784" s="294"/>
      <c r="AF784" s="294"/>
      <c r="AG784" s="294"/>
    </row>
    <row r="785" spans="2:33" x14ac:dyDescent="0.25">
      <c r="B785" s="294"/>
      <c r="C785" s="294"/>
      <c r="D785" s="294"/>
      <c r="E785" s="294"/>
      <c r="F785" s="294"/>
      <c r="G785" s="294"/>
      <c r="H785" s="294"/>
      <c r="I785" s="294"/>
      <c r="J785" s="294"/>
      <c r="L785" s="295"/>
      <c r="M785" s="294"/>
      <c r="O785" s="294"/>
      <c r="P785" s="294"/>
      <c r="Q785" s="294"/>
      <c r="R785" s="294"/>
      <c r="S785" s="294"/>
      <c r="T785" s="294"/>
      <c r="U785" s="294"/>
      <c r="V785" s="294"/>
      <c r="W785" s="294"/>
      <c r="X785" s="294"/>
      <c r="Y785" s="294"/>
      <c r="Z785" s="294"/>
      <c r="AA785" s="294"/>
      <c r="AB785" s="294"/>
      <c r="AC785" s="294"/>
      <c r="AD785" s="294"/>
      <c r="AE785" s="294"/>
      <c r="AF785" s="294"/>
      <c r="AG785" s="294"/>
    </row>
    <row r="786" spans="2:33" x14ac:dyDescent="0.25">
      <c r="B786" s="294"/>
      <c r="C786" s="294"/>
      <c r="D786" s="294"/>
      <c r="E786" s="294"/>
      <c r="F786" s="294"/>
      <c r="G786" s="294"/>
      <c r="H786" s="294"/>
      <c r="I786" s="294"/>
      <c r="J786" s="294"/>
      <c r="L786" s="295"/>
      <c r="M786" s="294"/>
      <c r="O786" s="294"/>
      <c r="P786" s="294"/>
      <c r="Q786" s="294"/>
      <c r="R786" s="294"/>
      <c r="S786" s="294"/>
      <c r="T786" s="294"/>
      <c r="U786" s="294"/>
      <c r="V786" s="294"/>
      <c r="W786" s="294"/>
      <c r="X786" s="294"/>
      <c r="Y786" s="294"/>
      <c r="Z786" s="294"/>
      <c r="AA786" s="294"/>
      <c r="AB786" s="294"/>
      <c r="AC786" s="294"/>
      <c r="AD786" s="294"/>
      <c r="AE786" s="294"/>
      <c r="AF786" s="294"/>
      <c r="AG786" s="294"/>
    </row>
    <row r="787" spans="2:33" x14ac:dyDescent="0.25">
      <c r="B787" s="294"/>
      <c r="C787" s="294"/>
      <c r="D787" s="294"/>
      <c r="E787" s="294"/>
      <c r="F787" s="294"/>
      <c r="G787" s="294"/>
      <c r="H787" s="294"/>
      <c r="I787" s="294"/>
      <c r="J787" s="294"/>
      <c r="L787" s="295"/>
      <c r="M787" s="294"/>
      <c r="O787" s="294"/>
      <c r="P787" s="294"/>
      <c r="Q787" s="294"/>
      <c r="R787" s="294"/>
      <c r="S787" s="294"/>
      <c r="T787" s="294"/>
      <c r="U787" s="294"/>
      <c r="V787" s="294"/>
      <c r="W787" s="294"/>
      <c r="X787" s="294"/>
      <c r="Y787" s="294"/>
      <c r="Z787" s="294"/>
      <c r="AA787" s="294"/>
      <c r="AB787" s="294"/>
      <c r="AC787" s="294"/>
      <c r="AD787" s="294"/>
      <c r="AE787" s="294"/>
      <c r="AF787" s="294"/>
      <c r="AG787" s="294"/>
    </row>
    <row r="788" spans="2:33" x14ac:dyDescent="0.25">
      <c r="B788" s="294"/>
      <c r="C788" s="294"/>
      <c r="D788" s="294"/>
      <c r="E788" s="294"/>
      <c r="F788" s="294"/>
      <c r="G788" s="294"/>
      <c r="H788" s="294"/>
      <c r="I788" s="294"/>
      <c r="J788" s="294"/>
      <c r="L788" s="295"/>
      <c r="M788" s="294"/>
      <c r="O788" s="294"/>
      <c r="P788" s="294"/>
      <c r="Q788" s="294"/>
      <c r="R788" s="294"/>
      <c r="S788" s="294"/>
      <c r="T788" s="294"/>
      <c r="U788" s="294"/>
      <c r="V788" s="294"/>
      <c r="W788" s="294"/>
      <c r="X788" s="294"/>
      <c r="Y788" s="294"/>
      <c r="Z788" s="294"/>
      <c r="AA788" s="294"/>
      <c r="AB788" s="294"/>
      <c r="AC788" s="294"/>
      <c r="AD788" s="294"/>
      <c r="AE788" s="294"/>
      <c r="AF788" s="294"/>
      <c r="AG788" s="294"/>
    </row>
    <row r="789" spans="2:33" x14ac:dyDescent="0.25">
      <c r="B789" s="294"/>
      <c r="C789" s="294"/>
      <c r="D789" s="294"/>
      <c r="E789" s="294"/>
      <c r="F789" s="294"/>
      <c r="G789" s="294"/>
      <c r="H789" s="294"/>
      <c r="I789" s="294"/>
      <c r="J789" s="294"/>
      <c r="L789" s="295"/>
      <c r="M789" s="294"/>
      <c r="O789" s="294"/>
      <c r="P789" s="294"/>
      <c r="Q789" s="294"/>
      <c r="R789" s="294"/>
      <c r="S789" s="294"/>
      <c r="T789" s="294"/>
      <c r="U789" s="294"/>
      <c r="V789" s="294"/>
      <c r="W789" s="294"/>
      <c r="X789" s="294"/>
      <c r="Y789" s="294"/>
      <c r="Z789" s="294"/>
      <c r="AA789" s="294"/>
      <c r="AB789" s="294"/>
      <c r="AC789" s="294"/>
      <c r="AD789" s="294"/>
      <c r="AE789" s="294"/>
      <c r="AF789" s="294"/>
      <c r="AG789" s="294"/>
    </row>
    <row r="790" spans="2:33" x14ac:dyDescent="0.25">
      <c r="B790" s="294"/>
      <c r="C790" s="294"/>
      <c r="D790" s="294"/>
      <c r="E790" s="294"/>
      <c r="F790" s="294"/>
      <c r="G790" s="294"/>
      <c r="H790" s="294"/>
      <c r="I790" s="294"/>
      <c r="J790" s="294"/>
      <c r="L790" s="295"/>
      <c r="M790" s="294"/>
      <c r="O790" s="294"/>
      <c r="P790" s="294"/>
      <c r="Q790" s="294"/>
      <c r="R790" s="294"/>
      <c r="S790" s="294"/>
      <c r="T790" s="294"/>
      <c r="U790" s="294"/>
      <c r="V790" s="294"/>
      <c r="W790" s="294"/>
      <c r="X790" s="294"/>
      <c r="Y790" s="294"/>
      <c r="Z790" s="294"/>
      <c r="AA790" s="294"/>
      <c r="AB790" s="294"/>
      <c r="AC790" s="294"/>
      <c r="AD790" s="294"/>
      <c r="AE790" s="294"/>
      <c r="AF790" s="294"/>
      <c r="AG790" s="294"/>
    </row>
    <row r="791" spans="2:33" x14ac:dyDescent="0.25">
      <c r="B791" s="294"/>
      <c r="C791" s="294"/>
      <c r="D791" s="294"/>
      <c r="E791" s="294"/>
      <c r="F791" s="294"/>
      <c r="G791" s="294"/>
      <c r="H791" s="294"/>
      <c r="I791" s="294"/>
      <c r="J791" s="294"/>
      <c r="L791" s="295"/>
      <c r="M791" s="294"/>
      <c r="O791" s="294"/>
      <c r="P791" s="294"/>
      <c r="Q791" s="294"/>
      <c r="R791" s="294"/>
      <c r="S791" s="294"/>
      <c r="T791" s="294"/>
      <c r="U791" s="294"/>
      <c r="V791" s="294"/>
      <c r="W791" s="294"/>
      <c r="X791" s="294"/>
      <c r="Y791" s="294"/>
      <c r="Z791" s="294"/>
      <c r="AA791" s="294"/>
      <c r="AB791" s="294"/>
      <c r="AC791" s="294"/>
      <c r="AD791" s="294"/>
      <c r="AE791" s="294"/>
      <c r="AF791" s="294"/>
      <c r="AG791" s="294"/>
    </row>
    <row r="792" spans="2:33" x14ac:dyDescent="0.25">
      <c r="B792" s="294"/>
      <c r="C792" s="294"/>
      <c r="D792" s="294"/>
      <c r="E792" s="294"/>
      <c r="F792" s="294"/>
      <c r="G792" s="294"/>
      <c r="H792" s="294"/>
      <c r="I792" s="294"/>
      <c r="J792" s="294"/>
      <c r="L792" s="295"/>
      <c r="M792" s="294"/>
      <c r="O792" s="294"/>
      <c r="P792" s="294"/>
      <c r="Q792" s="294"/>
      <c r="R792" s="294"/>
      <c r="S792" s="294"/>
      <c r="T792" s="294"/>
      <c r="U792" s="294"/>
      <c r="V792" s="294"/>
      <c r="W792" s="294"/>
      <c r="X792" s="294"/>
      <c r="Y792" s="294"/>
      <c r="Z792" s="294"/>
      <c r="AA792" s="294"/>
      <c r="AB792" s="294"/>
      <c r="AC792" s="294"/>
      <c r="AD792" s="294"/>
      <c r="AE792" s="294"/>
      <c r="AF792" s="294"/>
      <c r="AG792" s="294"/>
    </row>
    <row r="793" spans="2:33" x14ac:dyDescent="0.25">
      <c r="B793" s="294"/>
      <c r="C793" s="294"/>
      <c r="D793" s="294"/>
      <c r="E793" s="294"/>
      <c r="F793" s="294"/>
      <c r="G793" s="294"/>
      <c r="H793" s="294"/>
      <c r="I793" s="294"/>
      <c r="J793" s="294"/>
      <c r="L793" s="295"/>
      <c r="M793" s="294"/>
      <c r="O793" s="294"/>
      <c r="P793" s="294"/>
      <c r="Q793" s="294"/>
      <c r="R793" s="294"/>
      <c r="S793" s="294"/>
      <c r="T793" s="294"/>
      <c r="U793" s="294"/>
      <c r="V793" s="294"/>
      <c r="W793" s="294"/>
      <c r="X793" s="294"/>
      <c r="Y793" s="294"/>
      <c r="Z793" s="294"/>
      <c r="AA793" s="294"/>
      <c r="AB793" s="294"/>
      <c r="AC793" s="294"/>
      <c r="AD793" s="294"/>
      <c r="AE793" s="294"/>
      <c r="AF793" s="294"/>
      <c r="AG793" s="294"/>
    </row>
    <row r="794" spans="2:33" x14ac:dyDescent="0.25">
      <c r="B794" s="294"/>
      <c r="C794" s="294"/>
      <c r="D794" s="294"/>
      <c r="E794" s="294"/>
      <c r="F794" s="294"/>
      <c r="G794" s="294"/>
      <c r="H794" s="294"/>
      <c r="I794" s="294"/>
      <c r="J794" s="294"/>
      <c r="L794" s="295"/>
      <c r="M794" s="294"/>
      <c r="O794" s="294"/>
      <c r="P794" s="294"/>
      <c r="Q794" s="294"/>
      <c r="R794" s="294"/>
      <c r="S794" s="294"/>
      <c r="T794" s="294"/>
      <c r="U794" s="294"/>
      <c r="V794" s="294"/>
      <c r="W794" s="294"/>
      <c r="X794" s="294"/>
      <c r="Y794" s="294"/>
      <c r="Z794" s="294"/>
      <c r="AA794" s="294"/>
      <c r="AB794" s="294"/>
      <c r="AC794" s="294"/>
      <c r="AD794" s="294"/>
      <c r="AE794" s="294"/>
      <c r="AF794" s="294"/>
      <c r="AG794" s="294"/>
    </row>
    <row r="795" spans="2:33" x14ac:dyDescent="0.25">
      <c r="B795" s="294"/>
      <c r="C795" s="294"/>
      <c r="D795" s="294"/>
      <c r="E795" s="294"/>
      <c r="F795" s="294"/>
      <c r="G795" s="294"/>
      <c r="H795" s="294"/>
      <c r="I795" s="294"/>
      <c r="J795" s="294"/>
      <c r="L795" s="295"/>
      <c r="M795" s="294"/>
      <c r="O795" s="294"/>
      <c r="P795" s="294"/>
      <c r="Q795" s="294"/>
      <c r="R795" s="294"/>
      <c r="S795" s="294"/>
      <c r="T795" s="294"/>
      <c r="U795" s="294"/>
      <c r="V795" s="294"/>
      <c r="W795" s="294"/>
      <c r="X795" s="294"/>
      <c r="Y795" s="294"/>
      <c r="Z795" s="294"/>
      <c r="AA795" s="294"/>
      <c r="AB795" s="294"/>
      <c r="AC795" s="294"/>
      <c r="AD795" s="294"/>
      <c r="AE795" s="294"/>
      <c r="AF795" s="294"/>
      <c r="AG795" s="294"/>
    </row>
    <row r="796" spans="2:33" x14ac:dyDescent="0.25">
      <c r="B796" s="294"/>
      <c r="C796" s="294"/>
      <c r="D796" s="294"/>
      <c r="E796" s="294"/>
      <c r="F796" s="294"/>
      <c r="G796" s="294"/>
      <c r="H796" s="294"/>
      <c r="I796" s="294"/>
      <c r="J796" s="294"/>
      <c r="L796" s="295"/>
      <c r="M796" s="294"/>
      <c r="O796" s="294"/>
      <c r="P796" s="294"/>
      <c r="Q796" s="294"/>
      <c r="R796" s="294"/>
      <c r="S796" s="294"/>
      <c r="T796" s="294"/>
      <c r="U796" s="294"/>
      <c r="V796" s="294"/>
      <c r="W796" s="294"/>
      <c r="X796" s="294"/>
      <c r="Y796" s="294"/>
      <c r="Z796" s="294"/>
      <c r="AA796" s="294"/>
      <c r="AB796" s="294"/>
      <c r="AC796" s="294"/>
      <c r="AD796" s="294"/>
      <c r="AE796" s="294"/>
      <c r="AF796" s="294"/>
      <c r="AG796" s="294"/>
    </row>
    <row r="797" spans="2:33" x14ac:dyDescent="0.25">
      <c r="B797" s="294"/>
      <c r="C797" s="294"/>
      <c r="D797" s="294"/>
      <c r="E797" s="294"/>
      <c r="F797" s="294"/>
      <c r="G797" s="294"/>
      <c r="H797" s="294"/>
      <c r="I797" s="294"/>
      <c r="J797" s="294"/>
      <c r="L797" s="295"/>
      <c r="M797" s="294"/>
      <c r="O797" s="294"/>
      <c r="P797" s="294"/>
      <c r="Q797" s="294"/>
      <c r="R797" s="294"/>
      <c r="S797" s="294"/>
      <c r="T797" s="294"/>
      <c r="U797" s="294"/>
      <c r="V797" s="294"/>
      <c r="W797" s="294"/>
      <c r="X797" s="294"/>
      <c r="Y797" s="294"/>
      <c r="Z797" s="294"/>
      <c r="AA797" s="294"/>
      <c r="AB797" s="294"/>
      <c r="AC797" s="294"/>
      <c r="AD797" s="294"/>
      <c r="AE797" s="294"/>
      <c r="AF797" s="294"/>
      <c r="AG797" s="294"/>
    </row>
    <row r="798" spans="2:33" x14ac:dyDescent="0.25">
      <c r="B798" s="294"/>
      <c r="C798" s="294"/>
      <c r="D798" s="294"/>
      <c r="E798" s="294"/>
      <c r="F798" s="294"/>
      <c r="G798" s="294"/>
      <c r="H798" s="294"/>
      <c r="I798" s="294"/>
      <c r="J798" s="294"/>
      <c r="L798" s="295"/>
      <c r="M798" s="294"/>
      <c r="O798" s="294"/>
      <c r="P798" s="294"/>
      <c r="Q798" s="294"/>
      <c r="R798" s="294"/>
      <c r="S798" s="294"/>
      <c r="T798" s="294"/>
      <c r="U798" s="294"/>
      <c r="V798" s="294"/>
      <c r="W798" s="294"/>
      <c r="X798" s="294"/>
      <c r="Y798" s="294"/>
      <c r="Z798" s="294"/>
      <c r="AA798" s="294"/>
      <c r="AB798" s="294"/>
      <c r="AC798" s="294"/>
      <c r="AD798" s="294"/>
      <c r="AE798" s="294"/>
      <c r="AF798" s="294"/>
      <c r="AG798" s="294"/>
    </row>
    <row r="799" spans="2:33" x14ac:dyDescent="0.25">
      <c r="B799" s="294"/>
      <c r="C799" s="294"/>
      <c r="D799" s="294"/>
      <c r="E799" s="294"/>
      <c r="F799" s="294"/>
      <c r="G799" s="294"/>
      <c r="H799" s="294"/>
      <c r="I799" s="294"/>
      <c r="J799" s="294"/>
      <c r="L799" s="295"/>
      <c r="M799" s="294"/>
      <c r="O799" s="294"/>
      <c r="P799" s="294"/>
      <c r="Q799" s="294"/>
      <c r="R799" s="294"/>
      <c r="S799" s="294"/>
      <c r="T799" s="294"/>
      <c r="U799" s="294"/>
      <c r="V799" s="294"/>
      <c r="W799" s="294"/>
      <c r="X799" s="294"/>
      <c r="Y799" s="294"/>
      <c r="Z799" s="294"/>
      <c r="AA799" s="294"/>
      <c r="AB799" s="294"/>
      <c r="AC799" s="294"/>
      <c r="AD799" s="294"/>
      <c r="AE799" s="294"/>
      <c r="AF799" s="294"/>
      <c r="AG799" s="294"/>
    </row>
    <row r="800" spans="2:33" x14ac:dyDescent="0.25">
      <c r="B800" s="294"/>
      <c r="C800" s="294"/>
      <c r="D800" s="294"/>
      <c r="E800" s="294"/>
      <c r="F800" s="294"/>
      <c r="G800" s="294"/>
      <c r="H800" s="294"/>
      <c r="I800" s="294"/>
      <c r="J800" s="294"/>
      <c r="L800" s="295"/>
      <c r="M800" s="294"/>
      <c r="O800" s="294"/>
      <c r="P800" s="294"/>
      <c r="Q800" s="294"/>
      <c r="R800" s="294"/>
      <c r="S800" s="294"/>
      <c r="T800" s="294"/>
      <c r="U800" s="294"/>
      <c r="V800" s="294"/>
      <c r="W800" s="294"/>
      <c r="X800" s="294"/>
      <c r="Y800" s="294"/>
      <c r="Z800" s="294"/>
      <c r="AA800" s="294"/>
      <c r="AB800" s="294"/>
      <c r="AC800" s="294"/>
      <c r="AD800" s="294"/>
      <c r="AE800" s="294"/>
      <c r="AF800" s="294"/>
      <c r="AG800" s="294"/>
    </row>
    <row r="801" spans="2:33" x14ac:dyDescent="0.25">
      <c r="B801" s="294"/>
      <c r="C801" s="294"/>
      <c r="D801" s="294"/>
      <c r="E801" s="294"/>
      <c r="F801" s="294"/>
      <c r="G801" s="294"/>
      <c r="H801" s="294"/>
      <c r="I801" s="294"/>
      <c r="J801" s="294"/>
      <c r="L801" s="295"/>
      <c r="M801" s="294"/>
      <c r="O801" s="294"/>
      <c r="P801" s="294"/>
      <c r="Q801" s="294"/>
      <c r="R801" s="294"/>
      <c r="S801" s="294"/>
      <c r="T801" s="294"/>
      <c r="U801" s="294"/>
      <c r="V801" s="294"/>
      <c r="W801" s="294"/>
      <c r="X801" s="294"/>
      <c r="Y801" s="294"/>
      <c r="Z801" s="294"/>
      <c r="AA801" s="294"/>
      <c r="AB801" s="294"/>
      <c r="AC801" s="294"/>
      <c r="AD801" s="294"/>
      <c r="AE801" s="294"/>
      <c r="AF801" s="294"/>
      <c r="AG801" s="294"/>
    </row>
    <row r="802" spans="2:33" x14ac:dyDescent="0.25">
      <c r="B802" s="294"/>
      <c r="C802" s="294"/>
      <c r="D802" s="294"/>
      <c r="E802" s="294"/>
      <c r="F802" s="294"/>
      <c r="G802" s="294"/>
      <c r="H802" s="294"/>
      <c r="I802" s="294"/>
      <c r="J802" s="294"/>
      <c r="L802" s="295"/>
      <c r="M802" s="294"/>
      <c r="O802" s="294"/>
      <c r="P802" s="294"/>
      <c r="Q802" s="294"/>
      <c r="R802" s="294"/>
      <c r="S802" s="294"/>
      <c r="T802" s="294"/>
      <c r="U802" s="294"/>
      <c r="V802" s="294"/>
      <c r="W802" s="294"/>
      <c r="X802" s="294"/>
      <c r="Y802" s="294"/>
      <c r="Z802" s="294"/>
      <c r="AA802" s="294"/>
      <c r="AB802" s="294"/>
      <c r="AC802" s="294"/>
      <c r="AD802" s="294"/>
      <c r="AE802" s="294"/>
      <c r="AF802" s="294"/>
      <c r="AG802" s="294"/>
    </row>
    <row r="803" spans="2:33" x14ac:dyDescent="0.25">
      <c r="B803" s="294"/>
      <c r="C803" s="294"/>
      <c r="D803" s="294"/>
      <c r="E803" s="294"/>
      <c r="F803" s="294"/>
      <c r="G803" s="294"/>
      <c r="H803" s="294"/>
      <c r="I803" s="294"/>
      <c r="J803" s="294"/>
      <c r="L803" s="295"/>
      <c r="M803" s="294"/>
      <c r="O803" s="294"/>
      <c r="P803" s="294"/>
      <c r="Q803" s="294"/>
      <c r="R803" s="294"/>
      <c r="S803" s="294"/>
      <c r="T803" s="294"/>
      <c r="U803" s="294"/>
      <c r="V803" s="294"/>
      <c r="W803" s="294"/>
      <c r="X803" s="294"/>
      <c r="Y803" s="294"/>
      <c r="Z803" s="294"/>
      <c r="AA803" s="294"/>
      <c r="AB803" s="294"/>
      <c r="AC803" s="294"/>
      <c r="AD803" s="294"/>
      <c r="AE803" s="294"/>
      <c r="AF803" s="294"/>
      <c r="AG803" s="294"/>
    </row>
    <row r="804" spans="2:33" x14ac:dyDescent="0.25">
      <c r="B804" s="294"/>
      <c r="C804" s="294"/>
      <c r="D804" s="294"/>
      <c r="E804" s="294"/>
      <c r="F804" s="294"/>
      <c r="G804" s="294"/>
      <c r="H804" s="294"/>
      <c r="I804" s="294"/>
      <c r="J804" s="294"/>
      <c r="L804" s="295"/>
      <c r="M804" s="294"/>
      <c r="O804" s="294"/>
      <c r="P804" s="294"/>
      <c r="Q804" s="294"/>
      <c r="R804" s="294"/>
      <c r="S804" s="294"/>
      <c r="T804" s="294"/>
      <c r="U804" s="294"/>
      <c r="V804" s="294"/>
      <c r="W804" s="294"/>
      <c r="X804" s="294"/>
      <c r="Y804" s="294"/>
      <c r="Z804" s="294"/>
      <c r="AA804" s="294"/>
      <c r="AB804" s="294"/>
      <c r="AC804" s="294"/>
      <c r="AD804" s="294"/>
      <c r="AE804" s="294"/>
      <c r="AF804" s="294"/>
      <c r="AG804" s="294"/>
    </row>
    <row r="805" spans="2:33" x14ac:dyDescent="0.25">
      <c r="B805" s="294"/>
      <c r="C805" s="294"/>
      <c r="D805" s="294"/>
      <c r="E805" s="294"/>
      <c r="F805" s="294"/>
      <c r="G805" s="294"/>
      <c r="H805" s="294"/>
      <c r="I805" s="294"/>
      <c r="J805" s="294"/>
      <c r="L805" s="295"/>
      <c r="M805" s="294"/>
      <c r="O805" s="294"/>
      <c r="P805" s="294"/>
      <c r="Q805" s="294"/>
      <c r="R805" s="294"/>
      <c r="S805" s="294"/>
      <c r="T805" s="294"/>
      <c r="U805" s="294"/>
      <c r="V805" s="294"/>
      <c r="W805" s="294"/>
      <c r="X805" s="294"/>
      <c r="Y805" s="294"/>
      <c r="Z805" s="294"/>
      <c r="AA805" s="294"/>
      <c r="AB805" s="294"/>
      <c r="AC805" s="294"/>
      <c r="AD805" s="294"/>
      <c r="AE805" s="294"/>
      <c r="AF805" s="294"/>
      <c r="AG805" s="294"/>
    </row>
    <row r="806" spans="2:33" x14ac:dyDescent="0.25">
      <c r="B806" s="294"/>
      <c r="C806" s="294"/>
      <c r="D806" s="294"/>
      <c r="E806" s="294"/>
      <c r="F806" s="294"/>
      <c r="G806" s="294"/>
      <c r="H806" s="294"/>
      <c r="I806" s="294"/>
      <c r="J806" s="294"/>
      <c r="L806" s="295"/>
      <c r="M806" s="294"/>
      <c r="O806" s="294"/>
      <c r="P806" s="294"/>
      <c r="Q806" s="294"/>
      <c r="R806" s="294"/>
      <c r="S806" s="294"/>
      <c r="T806" s="294"/>
      <c r="U806" s="294"/>
      <c r="V806" s="294"/>
      <c r="W806" s="294"/>
      <c r="X806" s="294"/>
      <c r="Y806" s="294"/>
      <c r="Z806" s="294"/>
      <c r="AA806" s="294"/>
      <c r="AB806" s="294"/>
      <c r="AC806" s="294"/>
      <c r="AD806" s="294"/>
      <c r="AE806" s="294"/>
      <c r="AF806" s="294"/>
      <c r="AG806" s="294"/>
    </row>
    <row r="807" spans="2:33" x14ac:dyDescent="0.25">
      <c r="B807" s="294"/>
      <c r="C807" s="294"/>
      <c r="D807" s="294"/>
      <c r="E807" s="294"/>
      <c r="F807" s="294"/>
      <c r="G807" s="294"/>
      <c r="H807" s="294"/>
      <c r="I807" s="294"/>
      <c r="J807" s="294"/>
      <c r="L807" s="295"/>
      <c r="M807" s="294"/>
      <c r="O807" s="294"/>
      <c r="P807" s="294"/>
      <c r="Q807" s="294"/>
      <c r="R807" s="294"/>
      <c r="S807" s="294"/>
      <c r="T807" s="294"/>
      <c r="U807" s="294"/>
      <c r="V807" s="294"/>
      <c r="W807" s="294"/>
      <c r="X807" s="294"/>
      <c r="Y807" s="294"/>
      <c r="Z807" s="294"/>
      <c r="AA807" s="294"/>
      <c r="AB807" s="294"/>
      <c r="AC807" s="294"/>
      <c r="AD807" s="294"/>
      <c r="AE807" s="294"/>
      <c r="AF807" s="294"/>
      <c r="AG807" s="294"/>
    </row>
    <row r="808" spans="2:33" x14ac:dyDescent="0.25">
      <c r="B808" s="294"/>
      <c r="C808" s="294"/>
      <c r="D808" s="294"/>
      <c r="E808" s="294"/>
      <c r="F808" s="294"/>
      <c r="G808" s="294"/>
      <c r="H808" s="294"/>
      <c r="I808" s="294"/>
      <c r="J808" s="294"/>
      <c r="L808" s="295"/>
      <c r="M808" s="294"/>
      <c r="O808" s="294"/>
      <c r="P808" s="294"/>
      <c r="Q808" s="294"/>
      <c r="R808" s="294"/>
      <c r="S808" s="294"/>
      <c r="T808" s="294"/>
      <c r="U808" s="294"/>
      <c r="V808" s="294"/>
      <c r="W808" s="294"/>
      <c r="X808" s="294"/>
      <c r="Y808" s="294"/>
      <c r="Z808" s="294"/>
      <c r="AA808" s="294"/>
      <c r="AB808" s="294"/>
      <c r="AC808" s="294"/>
      <c r="AD808" s="294"/>
      <c r="AE808" s="294"/>
      <c r="AF808" s="294"/>
      <c r="AG808" s="294"/>
    </row>
    <row r="809" spans="2:33" x14ac:dyDescent="0.25">
      <c r="B809" s="294"/>
      <c r="C809" s="294"/>
      <c r="D809" s="294"/>
      <c r="E809" s="294"/>
      <c r="F809" s="294"/>
      <c r="G809" s="294"/>
      <c r="H809" s="294"/>
      <c r="I809" s="294"/>
      <c r="J809" s="294"/>
      <c r="L809" s="295"/>
      <c r="M809" s="294"/>
      <c r="O809" s="294"/>
      <c r="P809" s="294"/>
      <c r="Q809" s="294"/>
      <c r="R809" s="294"/>
      <c r="S809" s="294"/>
      <c r="T809" s="294"/>
      <c r="U809" s="294"/>
      <c r="V809" s="294"/>
      <c r="W809" s="294"/>
      <c r="X809" s="294"/>
      <c r="Y809" s="294"/>
      <c r="Z809" s="294"/>
      <c r="AA809" s="294"/>
      <c r="AB809" s="294"/>
      <c r="AC809" s="294"/>
      <c r="AD809" s="294"/>
      <c r="AE809" s="294"/>
      <c r="AF809" s="294"/>
      <c r="AG809" s="294"/>
    </row>
    <row r="810" spans="2:33" x14ac:dyDescent="0.25">
      <c r="B810" s="294"/>
      <c r="C810" s="294"/>
      <c r="D810" s="294"/>
      <c r="E810" s="294"/>
      <c r="F810" s="294"/>
      <c r="G810" s="294"/>
      <c r="H810" s="294"/>
      <c r="I810" s="294"/>
      <c r="J810" s="294"/>
      <c r="L810" s="295"/>
      <c r="M810" s="294"/>
      <c r="O810" s="294"/>
      <c r="P810" s="294"/>
      <c r="Q810" s="294"/>
      <c r="R810" s="294"/>
      <c r="S810" s="294"/>
      <c r="T810" s="294"/>
      <c r="U810" s="294"/>
      <c r="V810" s="294"/>
      <c r="W810" s="294"/>
      <c r="X810" s="294"/>
      <c r="Y810" s="294"/>
      <c r="Z810" s="294"/>
      <c r="AA810" s="294"/>
      <c r="AB810" s="294"/>
      <c r="AC810" s="294"/>
      <c r="AD810" s="294"/>
      <c r="AE810" s="294"/>
      <c r="AF810" s="294"/>
      <c r="AG810" s="294"/>
    </row>
    <row r="811" spans="2:33" x14ac:dyDescent="0.25">
      <c r="B811" s="294"/>
      <c r="C811" s="294"/>
      <c r="D811" s="294"/>
      <c r="E811" s="294"/>
      <c r="F811" s="294"/>
      <c r="G811" s="294"/>
      <c r="H811" s="294"/>
      <c r="I811" s="294"/>
      <c r="J811" s="294"/>
      <c r="L811" s="295"/>
      <c r="M811" s="294"/>
      <c r="O811" s="294"/>
      <c r="P811" s="294"/>
      <c r="Q811" s="294"/>
      <c r="R811" s="294"/>
      <c r="S811" s="294"/>
      <c r="T811" s="294"/>
      <c r="U811" s="294"/>
      <c r="V811" s="294"/>
      <c r="W811" s="294"/>
      <c r="X811" s="294"/>
      <c r="Y811" s="294"/>
      <c r="Z811" s="294"/>
      <c r="AA811" s="294"/>
      <c r="AB811" s="294"/>
      <c r="AC811" s="294"/>
      <c r="AD811" s="294"/>
      <c r="AE811" s="294"/>
      <c r="AF811" s="294"/>
      <c r="AG811" s="294"/>
    </row>
    <row r="812" spans="2:33" x14ac:dyDescent="0.25">
      <c r="B812" s="294"/>
      <c r="C812" s="294"/>
      <c r="D812" s="294"/>
      <c r="E812" s="294"/>
      <c r="F812" s="294"/>
      <c r="G812" s="294"/>
      <c r="H812" s="294"/>
      <c r="I812" s="294"/>
      <c r="J812" s="294"/>
      <c r="L812" s="295"/>
      <c r="M812" s="294"/>
      <c r="O812" s="294"/>
      <c r="P812" s="294"/>
      <c r="Q812" s="294"/>
      <c r="R812" s="294"/>
      <c r="S812" s="294"/>
      <c r="T812" s="294"/>
      <c r="U812" s="294"/>
      <c r="V812" s="294"/>
      <c r="W812" s="294"/>
      <c r="X812" s="294"/>
      <c r="Y812" s="294"/>
      <c r="Z812" s="294"/>
      <c r="AA812" s="294"/>
      <c r="AB812" s="294"/>
      <c r="AC812" s="294"/>
      <c r="AD812" s="294"/>
      <c r="AE812" s="294"/>
      <c r="AF812" s="294"/>
      <c r="AG812" s="294"/>
    </row>
    <row r="813" spans="2:33" x14ac:dyDescent="0.25">
      <c r="B813" s="294"/>
      <c r="C813" s="294"/>
      <c r="D813" s="294"/>
      <c r="E813" s="294"/>
      <c r="F813" s="294"/>
      <c r="G813" s="294"/>
      <c r="H813" s="294"/>
      <c r="I813" s="294"/>
      <c r="J813" s="294"/>
      <c r="L813" s="295"/>
      <c r="M813" s="294"/>
      <c r="O813" s="294"/>
      <c r="P813" s="294"/>
      <c r="Q813" s="294"/>
      <c r="R813" s="294"/>
      <c r="S813" s="294"/>
      <c r="T813" s="294"/>
      <c r="U813" s="294"/>
      <c r="V813" s="294"/>
      <c r="W813" s="294"/>
      <c r="X813" s="294"/>
      <c r="Y813" s="294"/>
      <c r="Z813" s="294"/>
      <c r="AA813" s="294"/>
      <c r="AB813" s="294"/>
      <c r="AC813" s="294"/>
      <c r="AD813" s="294"/>
      <c r="AE813" s="294"/>
      <c r="AF813" s="294"/>
      <c r="AG813" s="294"/>
    </row>
    <row r="814" spans="2:33" x14ac:dyDescent="0.25">
      <c r="B814" s="294"/>
      <c r="C814" s="294"/>
      <c r="D814" s="294"/>
      <c r="E814" s="294"/>
      <c r="F814" s="294"/>
      <c r="G814" s="294"/>
      <c r="H814" s="294"/>
      <c r="I814" s="294"/>
      <c r="J814" s="294"/>
      <c r="L814" s="295"/>
      <c r="M814" s="294"/>
      <c r="O814" s="294"/>
      <c r="P814" s="294"/>
      <c r="Q814" s="294"/>
      <c r="R814" s="294"/>
      <c r="S814" s="294"/>
      <c r="T814" s="294"/>
      <c r="U814" s="294"/>
      <c r="V814" s="294"/>
      <c r="W814" s="294"/>
      <c r="X814" s="294"/>
      <c r="Y814" s="294"/>
      <c r="Z814" s="294"/>
      <c r="AA814" s="294"/>
      <c r="AB814" s="294"/>
      <c r="AC814" s="294"/>
      <c r="AD814" s="294"/>
      <c r="AE814" s="294"/>
      <c r="AF814" s="294"/>
      <c r="AG814" s="294"/>
    </row>
    <row r="815" spans="2:33" x14ac:dyDescent="0.25">
      <c r="B815" s="294"/>
      <c r="C815" s="294"/>
      <c r="D815" s="294"/>
      <c r="E815" s="294"/>
      <c r="F815" s="294"/>
      <c r="G815" s="294"/>
      <c r="H815" s="294"/>
      <c r="I815" s="294"/>
      <c r="J815" s="294"/>
      <c r="L815" s="295"/>
      <c r="M815" s="294"/>
      <c r="O815" s="294"/>
      <c r="P815" s="294"/>
      <c r="Q815" s="294"/>
      <c r="R815" s="294"/>
      <c r="S815" s="294"/>
      <c r="T815" s="294"/>
      <c r="U815" s="294"/>
      <c r="V815" s="294"/>
      <c r="W815" s="294"/>
      <c r="X815" s="294"/>
      <c r="Y815" s="294"/>
      <c r="Z815" s="294"/>
      <c r="AA815" s="294"/>
      <c r="AB815" s="294"/>
      <c r="AC815" s="294"/>
      <c r="AD815" s="294"/>
      <c r="AE815" s="294"/>
      <c r="AF815" s="294"/>
      <c r="AG815" s="294"/>
    </row>
    <row r="816" spans="2:33" x14ac:dyDescent="0.25">
      <c r="B816" s="294"/>
      <c r="C816" s="294"/>
      <c r="D816" s="294"/>
      <c r="E816" s="294"/>
      <c r="F816" s="294"/>
      <c r="G816" s="294"/>
      <c r="H816" s="294"/>
      <c r="I816" s="294"/>
      <c r="J816" s="294"/>
      <c r="L816" s="295"/>
      <c r="M816" s="294"/>
      <c r="O816" s="294"/>
      <c r="P816" s="294"/>
      <c r="Q816" s="294"/>
      <c r="R816" s="294"/>
      <c r="S816" s="294"/>
      <c r="T816" s="294"/>
      <c r="U816" s="294"/>
      <c r="V816" s="294"/>
      <c r="W816" s="294"/>
      <c r="X816" s="294"/>
      <c r="Y816" s="294"/>
      <c r="Z816" s="294"/>
      <c r="AA816" s="294"/>
      <c r="AB816" s="294"/>
      <c r="AC816" s="294"/>
      <c r="AD816" s="294"/>
      <c r="AE816" s="294"/>
      <c r="AF816" s="294"/>
      <c r="AG816" s="294"/>
    </row>
    <row r="817" spans="2:33" x14ac:dyDescent="0.25">
      <c r="B817" s="294"/>
      <c r="C817" s="294"/>
      <c r="D817" s="294"/>
      <c r="E817" s="294"/>
      <c r="F817" s="294"/>
      <c r="G817" s="294"/>
      <c r="H817" s="294"/>
      <c r="I817" s="294"/>
      <c r="J817" s="294"/>
      <c r="L817" s="295"/>
      <c r="M817" s="294"/>
      <c r="O817" s="294"/>
      <c r="P817" s="294"/>
      <c r="Q817" s="294"/>
      <c r="R817" s="294"/>
      <c r="S817" s="294"/>
      <c r="T817" s="294"/>
      <c r="U817" s="294"/>
      <c r="V817" s="294"/>
      <c r="W817" s="294"/>
      <c r="X817" s="294"/>
      <c r="Y817" s="294"/>
      <c r="Z817" s="294"/>
      <c r="AA817" s="294"/>
      <c r="AB817" s="294"/>
      <c r="AC817" s="294"/>
      <c r="AD817" s="294"/>
      <c r="AE817" s="294"/>
      <c r="AF817" s="294"/>
      <c r="AG817" s="294"/>
    </row>
    <row r="818" spans="2:33" x14ac:dyDescent="0.25">
      <c r="B818" s="294"/>
      <c r="C818" s="294"/>
      <c r="D818" s="294"/>
      <c r="E818" s="294"/>
      <c r="F818" s="294"/>
      <c r="G818" s="294"/>
      <c r="H818" s="294"/>
      <c r="I818" s="294"/>
      <c r="J818" s="294"/>
      <c r="L818" s="295"/>
      <c r="M818" s="294"/>
      <c r="O818" s="294"/>
      <c r="P818" s="294"/>
      <c r="Q818" s="294"/>
      <c r="R818" s="294"/>
      <c r="S818" s="294"/>
      <c r="T818" s="294"/>
      <c r="U818" s="294"/>
      <c r="V818" s="294"/>
      <c r="W818" s="294"/>
      <c r="X818" s="294"/>
      <c r="Y818" s="294"/>
      <c r="Z818" s="294"/>
      <c r="AA818" s="294"/>
      <c r="AB818" s="294"/>
      <c r="AC818" s="294"/>
      <c r="AD818" s="294"/>
      <c r="AE818" s="294"/>
      <c r="AF818" s="294"/>
      <c r="AG818" s="294"/>
    </row>
    <row r="819" spans="2:33" x14ac:dyDescent="0.25">
      <c r="B819" s="294"/>
      <c r="C819" s="294"/>
      <c r="D819" s="294"/>
      <c r="E819" s="294"/>
      <c r="F819" s="294"/>
      <c r="G819" s="294"/>
      <c r="H819" s="294"/>
      <c r="I819" s="294"/>
      <c r="J819" s="294"/>
      <c r="L819" s="295"/>
      <c r="M819" s="294"/>
      <c r="O819" s="294"/>
      <c r="P819" s="294"/>
      <c r="Q819" s="294"/>
      <c r="R819" s="294"/>
      <c r="S819" s="294"/>
      <c r="T819" s="294"/>
      <c r="U819" s="294"/>
      <c r="V819" s="294"/>
      <c r="W819" s="294"/>
      <c r="X819" s="294"/>
      <c r="Y819" s="294"/>
      <c r="Z819" s="294"/>
      <c r="AA819" s="294"/>
      <c r="AB819" s="294"/>
      <c r="AC819" s="294"/>
      <c r="AD819" s="294"/>
      <c r="AE819" s="294"/>
      <c r="AF819" s="294"/>
      <c r="AG819" s="294"/>
    </row>
    <row r="820" spans="2:33" x14ac:dyDescent="0.25">
      <c r="B820" s="294"/>
      <c r="C820" s="294"/>
      <c r="D820" s="294"/>
      <c r="E820" s="294"/>
      <c r="F820" s="294"/>
      <c r="G820" s="294"/>
      <c r="H820" s="294"/>
      <c r="I820" s="294"/>
      <c r="J820" s="294"/>
      <c r="L820" s="295"/>
      <c r="M820" s="294"/>
      <c r="O820" s="294"/>
      <c r="P820" s="294"/>
      <c r="Q820" s="294"/>
      <c r="R820" s="294"/>
      <c r="S820" s="294"/>
      <c r="T820" s="294"/>
      <c r="U820" s="294"/>
      <c r="V820" s="294"/>
      <c r="W820" s="294"/>
      <c r="X820" s="294"/>
      <c r="Y820" s="294"/>
      <c r="Z820" s="294"/>
      <c r="AA820" s="294"/>
      <c r="AB820" s="294"/>
      <c r="AC820" s="294"/>
      <c r="AD820" s="294"/>
      <c r="AE820" s="294"/>
      <c r="AF820" s="294"/>
      <c r="AG820" s="294"/>
    </row>
    <row r="821" spans="2:33" x14ac:dyDescent="0.25">
      <c r="B821" s="294"/>
      <c r="C821" s="294"/>
      <c r="D821" s="294"/>
      <c r="E821" s="294"/>
      <c r="F821" s="294"/>
      <c r="G821" s="294"/>
      <c r="H821" s="294"/>
      <c r="I821" s="294"/>
      <c r="J821" s="294"/>
      <c r="L821" s="295"/>
      <c r="M821" s="294"/>
      <c r="O821" s="294"/>
      <c r="P821" s="294"/>
      <c r="Q821" s="294"/>
      <c r="R821" s="294"/>
      <c r="S821" s="294"/>
      <c r="T821" s="294"/>
      <c r="U821" s="294"/>
      <c r="V821" s="294"/>
      <c r="W821" s="294"/>
      <c r="X821" s="294"/>
      <c r="Y821" s="294"/>
      <c r="Z821" s="294"/>
      <c r="AA821" s="294"/>
      <c r="AB821" s="294"/>
      <c r="AC821" s="294"/>
      <c r="AD821" s="294"/>
      <c r="AE821" s="294"/>
      <c r="AF821" s="294"/>
      <c r="AG821" s="294"/>
    </row>
    <row r="822" spans="2:33" x14ac:dyDescent="0.25">
      <c r="B822" s="294"/>
      <c r="C822" s="294"/>
      <c r="D822" s="294"/>
      <c r="E822" s="294"/>
      <c r="F822" s="294"/>
      <c r="G822" s="294"/>
      <c r="H822" s="294"/>
      <c r="I822" s="294"/>
      <c r="J822" s="294"/>
      <c r="L822" s="295"/>
      <c r="M822" s="294"/>
      <c r="O822" s="294"/>
      <c r="P822" s="294"/>
      <c r="Q822" s="294"/>
      <c r="R822" s="294"/>
      <c r="S822" s="294"/>
      <c r="T822" s="294"/>
      <c r="U822" s="294"/>
      <c r="V822" s="294"/>
      <c r="W822" s="294"/>
      <c r="X822" s="294"/>
      <c r="Y822" s="294"/>
      <c r="Z822" s="294"/>
      <c r="AA822" s="294"/>
      <c r="AB822" s="294"/>
      <c r="AC822" s="294"/>
      <c r="AD822" s="294"/>
      <c r="AE822" s="294"/>
      <c r="AF822" s="294"/>
      <c r="AG822" s="294"/>
    </row>
    <row r="823" spans="2:33" x14ac:dyDescent="0.25">
      <c r="B823" s="294"/>
      <c r="C823" s="294"/>
      <c r="D823" s="294"/>
      <c r="E823" s="294"/>
      <c r="F823" s="294"/>
      <c r="G823" s="294"/>
      <c r="H823" s="294"/>
      <c r="I823" s="294"/>
      <c r="J823" s="294"/>
      <c r="L823" s="295"/>
      <c r="M823" s="294"/>
      <c r="O823" s="294"/>
      <c r="P823" s="294"/>
      <c r="Q823" s="294"/>
      <c r="R823" s="294"/>
      <c r="S823" s="294"/>
      <c r="T823" s="294"/>
      <c r="U823" s="294"/>
      <c r="V823" s="294"/>
      <c r="W823" s="294"/>
      <c r="X823" s="294"/>
      <c r="Y823" s="294"/>
      <c r="Z823" s="294"/>
      <c r="AA823" s="294"/>
      <c r="AB823" s="294"/>
      <c r="AC823" s="294"/>
      <c r="AD823" s="294"/>
      <c r="AE823" s="294"/>
      <c r="AF823" s="294"/>
      <c r="AG823" s="294"/>
    </row>
    <row r="824" spans="2:33" x14ac:dyDescent="0.25">
      <c r="B824" s="294"/>
      <c r="C824" s="294"/>
      <c r="D824" s="294"/>
      <c r="E824" s="294"/>
      <c r="F824" s="294"/>
      <c r="G824" s="294"/>
      <c r="H824" s="294"/>
      <c r="I824" s="294"/>
      <c r="J824" s="294"/>
      <c r="L824" s="295"/>
      <c r="M824" s="294"/>
      <c r="O824" s="294"/>
      <c r="P824" s="294"/>
      <c r="Q824" s="294"/>
      <c r="R824" s="294"/>
      <c r="S824" s="294"/>
      <c r="T824" s="294"/>
      <c r="U824" s="294"/>
      <c r="V824" s="294"/>
      <c r="W824" s="294"/>
      <c r="X824" s="294"/>
      <c r="Y824" s="294"/>
      <c r="Z824" s="294"/>
      <c r="AA824" s="294"/>
      <c r="AB824" s="294"/>
      <c r="AC824" s="294"/>
      <c r="AD824" s="294"/>
      <c r="AE824" s="294"/>
      <c r="AF824" s="294"/>
      <c r="AG824" s="294"/>
    </row>
    <row r="825" spans="2:33" x14ac:dyDescent="0.25">
      <c r="B825" s="294"/>
      <c r="C825" s="294"/>
      <c r="D825" s="294"/>
      <c r="E825" s="294"/>
      <c r="F825" s="294"/>
      <c r="G825" s="294"/>
      <c r="H825" s="294"/>
      <c r="I825" s="294"/>
      <c r="J825" s="294"/>
      <c r="L825" s="295"/>
      <c r="M825" s="294"/>
      <c r="O825" s="294"/>
      <c r="P825" s="294"/>
      <c r="Q825" s="294"/>
      <c r="R825" s="294"/>
      <c r="S825" s="294"/>
      <c r="T825" s="294"/>
      <c r="U825" s="294"/>
      <c r="V825" s="294"/>
      <c r="W825" s="294"/>
      <c r="X825" s="294"/>
      <c r="Y825" s="294"/>
      <c r="Z825" s="294"/>
      <c r="AA825" s="294"/>
      <c r="AB825" s="294"/>
      <c r="AC825" s="294"/>
      <c r="AD825" s="294"/>
      <c r="AE825" s="294"/>
      <c r="AF825" s="294"/>
      <c r="AG825" s="294"/>
    </row>
    <row r="826" spans="2:33" x14ac:dyDescent="0.25">
      <c r="B826" s="294"/>
      <c r="C826" s="294"/>
      <c r="D826" s="294"/>
      <c r="E826" s="294"/>
      <c r="F826" s="294"/>
      <c r="G826" s="294"/>
      <c r="H826" s="294"/>
      <c r="I826" s="294"/>
      <c r="J826" s="294"/>
      <c r="L826" s="295"/>
      <c r="M826" s="294"/>
      <c r="O826" s="294"/>
      <c r="P826" s="294"/>
      <c r="Q826" s="294"/>
      <c r="R826" s="294"/>
      <c r="S826" s="294"/>
      <c r="T826" s="294"/>
      <c r="U826" s="294"/>
      <c r="V826" s="294"/>
      <c r="W826" s="294"/>
      <c r="X826" s="294"/>
      <c r="Y826" s="294"/>
      <c r="Z826" s="294"/>
      <c r="AA826" s="294"/>
      <c r="AB826" s="294"/>
      <c r="AC826" s="294"/>
      <c r="AD826" s="294"/>
      <c r="AE826" s="294"/>
      <c r="AF826" s="294"/>
      <c r="AG826" s="294"/>
    </row>
    <row r="827" spans="2:33" x14ac:dyDescent="0.25">
      <c r="B827" s="294"/>
      <c r="C827" s="294"/>
      <c r="D827" s="294"/>
      <c r="E827" s="294"/>
      <c r="F827" s="294"/>
      <c r="G827" s="294"/>
      <c r="H827" s="294"/>
      <c r="I827" s="294"/>
      <c r="J827" s="294"/>
      <c r="L827" s="295"/>
      <c r="M827" s="294"/>
      <c r="O827" s="294"/>
      <c r="P827" s="294"/>
      <c r="Q827" s="294"/>
      <c r="R827" s="294"/>
      <c r="S827" s="294"/>
      <c r="T827" s="294"/>
      <c r="U827" s="294"/>
      <c r="V827" s="294"/>
      <c r="W827" s="294"/>
      <c r="X827" s="294"/>
      <c r="Y827" s="294"/>
      <c r="Z827" s="294"/>
      <c r="AA827" s="294"/>
      <c r="AB827" s="294"/>
      <c r="AC827" s="294"/>
      <c r="AD827" s="294"/>
      <c r="AE827" s="294"/>
      <c r="AF827" s="294"/>
      <c r="AG827" s="294"/>
    </row>
    <row r="828" spans="2:33" x14ac:dyDescent="0.25">
      <c r="B828" s="294"/>
      <c r="C828" s="294"/>
      <c r="D828" s="294"/>
      <c r="E828" s="294"/>
      <c r="F828" s="294"/>
      <c r="G828" s="294"/>
      <c r="H828" s="294"/>
      <c r="I828" s="294"/>
      <c r="J828" s="294"/>
      <c r="L828" s="295"/>
      <c r="M828" s="294"/>
      <c r="O828" s="294"/>
      <c r="P828" s="294"/>
      <c r="Q828" s="294"/>
      <c r="R828" s="294"/>
      <c r="S828" s="294"/>
      <c r="T828" s="294"/>
      <c r="U828" s="294"/>
      <c r="V828" s="294"/>
      <c r="W828" s="294"/>
      <c r="X828" s="294"/>
      <c r="Y828" s="294"/>
      <c r="Z828" s="294"/>
      <c r="AA828" s="294"/>
      <c r="AB828" s="294"/>
      <c r="AC828" s="294"/>
      <c r="AD828" s="294"/>
      <c r="AE828" s="294"/>
      <c r="AF828" s="294"/>
      <c r="AG828" s="294"/>
    </row>
    <row r="829" spans="2:33" x14ac:dyDescent="0.25">
      <c r="B829" s="294"/>
      <c r="C829" s="294"/>
      <c r="D829" s="294"/>
      <c r="E829" s="294"/>
      <c r="F829" s="294"/>
      <c r="G829" s="294"/>
      <c r="H829" s="294"/>
      <c r="I829" s="294"/>
      <c r="J829" s="294"/>
      <c r="L829" s="295"/>
      <c r="M829" s="294"/>
      <c r="O829" s="294"/>
      <c r="P829" s="294"/>
      <c r="Q829" s="294"/>
      <c r="R829" s="294"/>
      <c r="S829" s="294"/>
      <c r="T829" s="294"/>
      <c r="U829" s="294"/>
      <c r="V829" s="294"/>
      <c r="W829" s="294"/>
      <c r="X829" s="294"/>
      <c r="Y829" s="294"/>
      <c r="Z829" s="294"/>
      <c r="AA829" s="294"/>
      <c r="AB829" s="294"/>
      <c r="AC829" s="294"/>
      <c r="AD829" s="294"/>
      <c r="AE829" s="294"/>
      <c r="AF829" s="294"/>
      <c r="AG829" s="294"/>
    </row>
    <row r="830" spans="2:33" x14ac:dyDescent="0.25">
      <c r="B830" s="294"/>
      <c r="C830" s="294"/>
      <c r="D830" s="294"/>
      <c r="E830" s="294"/>
      <c r="F830" s="294"/>
      <c r="G830" s="294"/>
      <c r="H830" s="294"/>
      <c r="I830" s="294"/>
      <c r="J830" s="294"/>
      <c r="L830" s="295"/>
      <c r="M830" s="294"/>
      <c r="O830" s="294"/>
      <c r="P830" s="294"/>
      <c r="Q830" s="294"/>
      <c r="R830" s="294"/>
      <c r="S830" s="294"/>
      <c r="T830" s="294"/>
      <c r="U830" s="294"/>
      <c r="V830" s="294"/>
      <c r="W830" s="294"/>
      <c r="X830" s="294"/>
      <c r="Y830" s="294"/>
      <c r="Z830" s="294"/>
      <c r="AA830" s="294"/>
      <c r="AB830" s="294"/>
      <c r="AC830" s="294"/>
      <c r="AD830" s="294"/>
      <c r="AE830" s="294"/>
      <c r="AF830" s="294"/>
      <c r="AG830" s="294"/>
    </row>
    <row r="831" spans="2:33" x14ac:dyDescent="0.25">
      <c r="B831" s="294"/>
      <c r="C831" s="294"/>
      <c r="D831" s="294"/>
      <c r="E831" s="294"/>
      <c r="F831" s="294"/>
      <c r="G831" s="294"/>
      <c r="H831" s="294"/>
      <c r="I831" s="294"/>
      <c r="J831" s="294"/>
      <c r="L831" s="295"/>
      <c r="M831" s="294"/>
      <c r="O831" s="294"/>
      <c r="P831" s="294"/>
      <c r="Q831" s="294"/>
      <c r="R831" s="294"/>
      <c r="S831" s="294"/>
      <c r="T831" s="294"/>
      <c r="U831" s="294"/>
      <c r="V831" s="294"/>
      <c r="W831" s="294"/>
      <c r="X831" s="294"/>
      <c r="Y831" s="294"/>
      <c r="Z831" s="294"/>
      <c r="AA831" s="294"/>
      <c r="AB831" s="294"/>
      <c r="AC831" s="294"/>
      <c r="AD831" s="294"/>
      <c r="AE831" s="294"/>
      <c r="AF831" s="294"/>
      <c r="AG831" s="294"/>
    </row>
    <row r="832" spans="2:33" x14ac:dyDescent="0.25">
      <c r="B832" s="294"/>
      <c r="C832" s="294"/>
      <c r="D832" s="294"/>
      <c r="E832" s="294"/>
      <c r="F832" s="294"/>
      <c r="G832" s="294"/>
      <c r="H832" s="294"/>
      <c r="I832" s="294"/>
      <c r="J832" s="294"/>
      <c r="L832" s="295"/>
      <c r="M832" s="294"/>
      <c r="O832" s="294"/>
      <c r="P832" s="294"/>
      <c r="Q832" s="294"/>
      <c r="R832" s="294"/>
      <c r="S832" s="294"/>
      <c r="T832" s="294"/>
      <c r="U832" s="294"/>
      <c r="V832" s="294"/>
      <c r="W832" s="294"/>
      <c r="X832" s="294"/>
      <c r="Y832" s="294"/>
      <c r="Z832" s="294"/>
      <c r="AA832" s="294"/>
      <c r="AB832" s="294"/>
      <c r="AC832" s="294"/>
      <c r="AD832" s="294"/>
      <c r="AE832" s="294"/>
      <c r="AF832" s="294"/>
      <c r="AG832" s="294"/>
    </row>
    <row r="833" spans="2:33" x14ac:dyDescent="0.25">
      <c r="B833" s="294"/>
      <c r="C833" s="294"/>
      <c r="D833" s="294"/>
      <c r="E833" s="294"/>
      <c r="F833" s="294"/>
      <c r="G833" s="294"/>
      <c r="H833" s="294"/>
      <c r="I833" s="294"/>
      <c r="J833" s="294"/>
      <c r="L833" s="295"/>
      <c r="M833" s="294"/>
      <c r="O833" s="294"/>
      <c r="P833" s="294"/>
      <c r="Q833" s="294"/>
      <c r="R833" s="294"/>
      <c r="S833" s="294"/>
      <c r="T833" s="294"/>
      <c r="U833" s="294"/>
      <c r="V833" s="294"/>
      <c r="W833" s="294"/>
      <c r="X833" s="294"/>
      <c r="Y833" s="294"/>
      <c r="Z833" s="294"/>
      <c r="AA833" s="294"/>
      <c r="AB833" s="294"/>
      <c r="AC833" s="294"/>
      <c r="AD833" s="294"/>
      <c r="AE833" s="294"/>
      <c r="AF833" s="294"/>
      <c r="AG833" s="294"/>
    </row>
    <row r="834" spans="2:33" x14ac:dyDescent="0.25">
      <c r="B834" s="294"/>
      <c r="C834" s="294"/>
      <c r="D834" s="294"/>
      <c r="E834" s="294"/>
      <c r="F834" s="294"/>
      <c r="G834" s="294"/>
      <c r="H834" s="294"/>
      <c r="I834" s="294"/>
      <c r="J834" s="294"/>
      <c r="L834" s="295"/>
      <c r="M834" s="294"/>
      <c r="O834" s="294"/>
      <c r="P834" s="294"/>
      <c r="Q834" s="294"/>
      <c r="R834" s="294"/>
      <c r="S834" s="294"/>
      <c r="T834" s="294"/>
      <c r="U834" s="294"/>
      <c r="V834" s="294"/>
      <c r="W834" s="294"/>
      <c r="X834" s="294"/>
      <c r="Y834" s="294"/>
      <c r="Z834" s="294"/>
      <c r="AA834" s="294"/>
      <c r="AB834" s="294"/>
      <c r="AC834" s="294"/>
      <c r="AD834" s="294"/>
      <c r="AE834" s="294"/>
      <c r="AF834" s="294"/>
      <c r="AG834" s="294"/>
    </row>
    <row r="835" spans="2:33" x14ac:dyDescent="0.25">
      <c r="B835" s="294"/>
      <c r="C835" s="294"/>
      <c r="D835" s="294"/>
      <c r="E835" s="294"/>
      <c r="F835" s="294"/>
      <c r="G835" s="294"/>
      <c r="H835" s="294"/>
      <c r="I835" s="294"/>
      <c r="J835" s="294"/>
      <c r="L835" s="295"/>
      <c r="M835" s="294"/>
      <c r="O835" s="294"/>
      <c r="P835" s="294"/>
      <c r="Q835" s="294"/>
      <c r="R835" s="294"/>
      <c r="S835" s="294"/>
      <c r="T835" s="294"/>
      <c r="U835" s="294"/>
      <c r="V835" s="294"/>
      <c r="W835" s="294"/>
      <c r="X835" s="294"/>
      <c r="Y835" s="294"/>
      <c r="Z835" s="294"/>
      <c r="AA835" s="294"/>
      <c r="AB835" s="294"/>
      <c r="AC835" s="294"/>
      <c r="AD835" s="294"/>
      <c r="AE835" s="294"/>
      <c r="AF835" s="294"/>
      <c r="AG835" s="294"/>
    </row>
    <row r="836" spans="2:33" x14ac:dyDescent="0.25">
      <c r="B836" s="294"/>
      <c r="C836" s="294"/>
      <c r="D836" s="294"/>
      <c r="E836" s="294"/>
      <c r="F836" s="294"/>
      <c r="G836" s="294"/>
      <c r="H836" s="294"/>
      <c r="I836" s="294"/>
      <c r="J836" s="294"/>
      <c r="L836" s="295"/>
      <c r="M836" s="294"/>
      <c r="O836" s="294"/>
      <c r="P836" s="294"/>
      <c r="Q836" s="294"/>
      <c r="R836" s="294"/>
      <c r="S836" s="294"/>
      <c r="T836" s="294"/>
      <c r="U836" s="294"/>
      <c r="V836" s="294"/>
      <c r="W836" s="294"/>
      <c r="X836" s="294"/>
      <c r="Y836" s="294"/>
      <c r="Z836" s="294"/>
      <c r="AA836" s="294"/>
      <c r="AB836" s="294"/>
      <c r="AC836" s="294"/>
      <c r="AD836" s="294"/>
      <c r="AE836" s="294"/>
      <c r="AF836" s="294"/>
      <c r="AG836" s="294"/>
    </row>
    <row r="837" spans="2:33" x14ac:dyDescent="0.25">
      <c r="B837" s="294"/>
      <c r="C837" s="294"/>
      <c r="D837" s="294"/>
      <c r="E837" s="294"/>
      <c r="F837" s="294"/>
      <c r="G837" s="294"/>
      <c r="H837" s="294"/>
      <c r="I837" s="294"/>
      <c r="J837" s="294"/>
      <c r="L837" s="295"/>
      <c r="M837" s="294"/>
      <c r="O837" s="294"/>
      <c r="P837" s="294"/>
      <c r="Q837" s="294"/>
      <c r="R837" s="294"/>
      <c r="S837" s="294"/>
      <c r="T837" s="294"/>
      <c r="U837" s="294"/>
      <c r="V837" s="294"/>
      <c r="W837" s="294"/>
      <c r="X837" s="294"/>
      <c r="Y837" s="294"/>
      <c r="Z837" s="294"/>
      <c r="AA837" s="294"/>
      <c r="AB837" s="294"/>
      <c r="AC837" s="294"/>
      <c r="AD837" s="294"/>
      <c r="AE837" s="294"/>
      <c r="AF837" s="294"/>
      <c r="AG837" s="294"/>
    </row>
    <row r="838" spans="2:33" x14ac:dyDescent="0.25">
      <c r="B838" s="294"/>
      <c r="C838" s="294"/>
      <c r="D838" s="294"/>
      <c r="E838" s="294"/>
      <c r="F838" s="294"/>
      <c r="G838" s="294"/>
      <c r="H838" s="294"/>
      <c r="I838" s="294"/>
      <c r="J838" s="294"/>
      <c r="L838" s="295"/>
      <c r="M838" s="294"/>
      <c r="O838" s="294"/>
      <c r="P838" s="294"/>
      <c r="Q838" s="294"/>
      <c r="R838" s="294"/>
      <c r="S838" s="294"/>
      <c r="T838" s="294"/>
      <c r="U838" s="294"/>
      <c r="V838" s="294"/>
      <c r="W838" s="294"/>
      <c r="X838" s="294"/>
      <c r="Y838" s="294"/>
      <c r="Z838" s="294"/>
      <c r="AA838" s="294"/>
      <c r="AB838" s="294"/>
      <c r="AC838" s="294"/>
      <c r="AD838" s="294"/>
      <c r="AE838" s="294"/>
      <c r="AF838" s="294"/>
      <c r="AG838" s="294"/>
    </row>
    <row r="839" spans="2:33" x14ac:dyDescent="0.25">
      <c r="B839" s="294"/>
      <c r="C839" s="294"/>
      <c r="D839" s="294"/>
      <c r="E839" s="294"/>
      <c r="F839" s="294"/>
      <c r="G839" s="294"/>
      <c r="H839" s="294"/>
      <c r="I839" s="294"/>
      <c r="J839" s="294"/>
      <c r="L839" s="295"/>
      <c r="M839" s="294"/>
      <c r="O839" s="294"/>
      <c r="P839" s="294"/>
      <c r="Q839" s="294"/>
      <c r="R839" s="294"/>
      <c r="S839" s="294"/>
      <c r="T839" s="294"/>
      <c r="U839" s="294"/>
      <c r="V839" s="294"/>
      <c r="W839" s="294"/>
      <c r="X839" s="294"/>
      <c r="Y839" s="294"/>
      <c r="Z839" s="294"/>
      <c r="AA839" s="294"/>
      <c r="AB839" s="294"/>
      <c r="AC839" s="294"/>
      <c r="AD839" s="294"/>
      <c r="AE839" s="294"/>
      <c r="AF839" s="294"/>
      <c r="AG839" s="294"/>
    </row>
    <row r="840" spans="2:33" x14ac:dyDescent="0.25">
      <c r="B840" s="294"/>
      <c r="C840" s="294"/>
      <c r="D840" s="294"/>
      <c r="E840" s="294"/>
      <c r="F840" s="294"/>
      <c r="G840" s="294"/>
      <c r="H840" s="294"/>
      <c r="I840" s="294"/>
      <c r="J840" s="294"/>
      <c r="L840" s="295"/>
      <c r="M840" s="294"/>
      <c r="O840" s="294"/>
      <c r="P840" s="294"/>
      <c r="Q840" s="294"/>
      <c r="R840" s="294"/>
      <c r="S840" s="294"/>
      <c r="T840" s="294"/>
      <c r="U840" s="294"/>
      <c r="V840" s="294"/>
      <c r="W840" s="294"/>
      <c r="X840" s="294"/>
      <c r="Y840" s="294"/>
      <c r="Z840" s="294"/>
      <c r="AA840" s="294"/>
      <c r="AB840" s="294"/>
      <c r="AC840" s="294"/>
      <c r="AD840" s="294"/>
      <c r="AE840" s="294"/>
      <c r="AF840" s="294"/>
      <c r="AG840" s="294"/>
    </row>
    <row r="841" spans="2:33" x14ac:dyDescent="0.25">
      <c r="B841" s="294"/>
      <c r="C841" s="294"/>
      <c r="D841" s="294"/>
      <c r="E841" s="294"/>
      <c r="F841" s="294"/>
      <c r="G841" s="294"/>
      <c r="H841" s="294"/>
      <c r="I841" s="294"/>
      <c r="J841" s="294"/>
      <c r="L841" s="295"/>
      <c r="M841" s="294"/>
      <c r="O841" s="294"/>
      <c r="P841" s="294"/>
      <c r="Q841" s="294"/>
      <c r="R841" s="294"/>
      <c r="S841" s="294"/>
      <c r="T841" s="294"/>
      <c r="U841" s="294"/>
      <c r="V841" s="294"/>
      <c r="W841" s="294"/>
      <c r="X841" s="294"/>
      <c r="Y841" s="294"/>
      <c r="Z841" s="294"/>
      <c r="AA841" s="294"/>
      <c r="AB841" s="294"/>
      <c r="AC841" s="294"/>
      <c r="AD841" s="294"/>
      <c r="AE841" s="294"/>
      <c r="AF841" s="294"/>
      <c r="AG841" s="294"/>
    </row>
    <row r="842" spans="2:33" x14ac:dyDescent="0.25">
      <c r="B842" s="294"/>
      <c r="C842" s="294"/>
      <c r="D842" s="294"/>
      <c r="E842" s="294"/>
      <c r="F842" s="294"/>
      <c r="G842" s="294"/>
      <c r="H842" s="294"/>
      <c r="I842" s="294"/>
      <c r="J842" s="294"/>
      <c r="L842" s="295"/>
      <c r="M842" s="294"/>
      <c r="O842" s="294"/>
      <c r="P842" s="294"/>
      <c r="Q842" s="294"/>
      <c r="R842" s="294"/>
      <c r="S842" s="294"/>
      <c r="T842" s="294"/>
      <c r="U842" s="294"/>
      <c r="V842" s="294"/>
      <c r="W842" s="294"/>
      <c r="X842" s="294"/>
      <c r="Y842" s="294"/>
      <c r="Z842" s="294"/>
      <c r="AA842" s="294"/>
      <c r="AB842" s="294"/>
      <c r="AC842" s="294"/>
      <c r="AD842" s="294"/>
      <c r="AE842" s="294"/>
      <c r="AF842" s="294"/>
      <c r="AG842" s="294"/>
    </row>
    <row r="843" spans="2:33" x14ac:dyDescent="0.25">
      <c r="B843" s="294"/>
      <c r="C843" s="294"/>
      <c r="D843" s="294"/>
      <c r="E843" s="294"/>
      <c r="F843" s="294"/>
      <c r="G843" s="294"/>
      <c r="H843" s="294"/>
      <c r="I843" s="294"/>
      <c r="J843" s="294"/>
      <c r="L843" s="295"/>
      <c r="M843" s="294"/>
      <c r="O843" s="294"/>
      <c r="P843" s="294"/>
      <c r="Q843" s="294"/>
      <c r="R843" s="294"/>
      <c r="S843" s="294"/>
      <c r="T843" s="294"/>
      <c r="U843" s="294"/>
      <c r="V843" s="294"/>
      <c r="W843" s="294"/>
      <c r="X843" s="294"/>
      <c r="Y843" s="294"/>
      <c r="Z843" s="294"/>
      <c r="AA843" s="294"/>
      <c r="AB843" s="294"/>
      <c r="AC843" s="294"/>
      <c r="AD843" s="294"/>
      <c r="AE843" s="294"/>
      <c r="AF843" s="294"/>
      <c r="AG843" s="294"/>
    </row>
    <row r="844" spans="2:33" x14ac:dyDescent="0.25">
      <c r="B844" s="294"/>
      <c r="C844" s="294"/>
      <c r="D844" s="294"/>
      <c r="E844" s="294"/>
      <c r="F844" s="294"/>
      <c r="G844" s="294"/>
      <c r="H844" s="294"/>
      <c r="I844" s="294"/>
      <c r="J844" s="294"/>
      <c r="L844" s="295"/>
      <c r="M844" s="294"/>
      <c r="O844" s="294"/>
      <c r="P844" s="294"/>
      <c r="Q844" s="294"/>
      <c r="R844" s="294"/>
      <c r="S844" s="294"/>
      <c r="T844" s="294"/>
      <c r="U844" s="294"/>
      <c r="V844" s="294"/>
      <c r="W844" s="294"/>
      <c r="X844" s="294"/>
      <c r="Y844" s="294"/>
      <c r="Z844" s="294"/>
      <c r="AA844" s="294"/>
      <c r="AB844" s="294"/>
      <c r="AC844" s="294"/>
      <c r="AD844" s="294"/>
      <c r="AE844" s="294"/>
      <c r="AF844" s="294"/>
      <c r="AG844" s="294"/>
    </row>
    <row r="845" spans="2:33" x14ac:dyDescent="0.25">
      <c r="B845" s="294"/>
      <c r="C845" s="294"/>
      <c r="D845" s="294"/>
      <c r="E845" s="294"/>
      <c r="F845" s="294"/>
      <c r="G845" s="294"/>
      <c r="H845" s="294"/>
      <c r="I845" s="294"/>
      <c r="J845" s="294"/>
      <c r="L845" s="295"/>
      <c r="M845" s="294"/>
      <c r="O845" s="294"/>
      <c r="P845" s="294"/>
      <c r="Q845" s="294"/>
      <c r="R845" s="294"/>
      <c r="S845" s="294"/>
      <c r="T845" s="294"/>
      <c r="U845" s="294"/>
      <c r="V845" s="294"/>
      <c r="W845" s="294"/>
      <c r="X845" s="294"/>
      <c r="Y845" s="294"/>
      <c r="Z845" s="294"/>
      <c r="AA845" s="294"/>
      <c r="AB845" s="294"/>
      <c r="AC845" s="294"/>
      <c r="AD845" s="294"/>
      <c r="AE845" s="294"/>
      <c r="AF845" s="294"/>
      <c r="AG845" s="294"/>
    </row>
    <row r="846" spans="2:33" x14ac:dyDescent="0.25">
      <c r="B846" s="294"/>
      <c r="C846" s="294"/>
      <c r="D846" s="294"/>
      <c r="E846" s="294"/>
      <c r="F846" s="294"/>
      <c r="G846" s="294"/>
      <c r="H846" s="294"/>
      <c r="I846" s="294"/>
      <c r="J846" s="294"/>
      <c r="L846" s="295"/>
      <c r="M846" s="294"/>
      <c r="O846" s="294"/>
      <c r="P846" s="294"/>
      <c r="Q846" s="294"/>
      <c r="R846" s="294"/>
      <c r="S846" s="294"/>
      <c r="T846" s="294"/>
      <c r="U846" s="294"/>
      <c r="V846" s="294"/>
      <c r="W846" s="294"/>
      <c r="X846" s="294"/>
      <c r="Y846" s="294"/>
      <c r="Z846" s="294"/>
      <c r="AA846" s="294"/>
      <c r="AB846" s="294"/>
      <c r="AC846" s="294"/>
      <c r="AD846" s="294"/>
      <c r="AE846" s="294"/>
      <c r="AF846" s="294"/>
      <c r="AG846" s="294"/>
    </row>
    <row r="847" spans="2:33" x14ac:dyDescent="0.25">
      <c r="B847" s="294"/>
      <c r="C847" s="294"/>
      <c r="D847" s="294"/>
      <c r="E847" s="294"/>
      <c r="F847" s="294"/>
      <c r="G847" s="294"/>
      <c r="H847" s="294"/>
      <c r="I847" s="294"/>
      <c r="J847" s="294"/>
      <c r="L847" s="295"/>
      <c r="M847" s="294"/>
      <c r="O847" s="294"/>
      <c r="P847" s="294"/>
      <c r="Q847" s="294"/>
      <c r="R847" s="294"/>
      <c r="S847" s="294"/>
      <c r="T847" s="294"/>
      <c r="U847" s="294"/>
      <c r="V847" s="294"/>
      <c r="W847" s="294"/>
      <c r="X847" s="294"/>
      <c r="Y847" s="294"/>
      <c r="Z847" s="294"/>
      <c r="AA847" s="294"/>
      <c r="AB847" s="294"/>
      <c r="AC847" s="294"/>
      <c r="AD847" s="294"/>
      <c r="AE847" s="294"/>
      <c r="AF847" s="294"/>
      <c r="AG847" s="294"/>
    </row>
    <row r="848" spans="2:33" x14ac:dyDescent="0.25">
      <c r="B848" s="294"/>
      <c r="C848" s="294"/>
      <c r="D848" s="294"/>
      <c r="E848" s="294"/>
      <c r="F848" s="294"/>
      <c r="G848" s="294"/>
      <c r="H848" s="294"/>
      <c r="I848" s="294"/>
      <c r="J848" s="294"/>
      <c r="L848" s="295"/>
      <c r="M848" s="294"/>
      <c r="O848" s="294"/>
      <c r="P848" s="294"/>
      <c r="Q848" s="294"/>
      <c r="R848" s="294"/>
      <c r="S848" s="294"/>
      <c r="T848" s="294"/>
      <c r="U848" s="294"/>
      <c r="V848" s="294"/>
      <c r="W848" s="294"/>
      <c r="X848" s="294"/>
      <c r="Y848" s="294"/>
      <c r="Z848" s="294"/>
      <c r="AA848" s="294"/>
      <c r="AB848" s="294"/>
      <c r="AC848" s="294"/>
      <c r="AD848" s="294"/>
      <c r="AE848" s="294"/>
      <c r="AF848" s="294"/>
      <c r="AG848" s="294"/>
    </row>
    <row r="849" spans="2:33" x14ac:dyDescent="0.25">
      <c r="B849" s="294"/>
      <c r="C849" s="294"/>
      <c r="D849" s="294"/>
      <c r="E849" s="294"/>
      <c r="F849" s="294"/>
      <c r="G849" s="294"/>
      <c r="H849" s="294"/>
      <c r="I849" s="294"/>
      <c r="J849" s="294"/>
      <c r="L849" s="295"/>
      <c r="M849" s="294"/>
      <c r="O849" s="294"/>
      <c r="P849" s="294"/>
      <c r="Q849" s="294"/>
      <c r="R849" s="294"/>
      <c r="S849" s="294"/>
      <c r="T849" s="294"/>
      <c r="U849" s="294"/>
      <c r="V849" s="294"/>
      <c r="W849" s="294"/>
      <c r="X849" s="294"/>
      <c r="Y849" s="294"/>
      <c r="Z849" s="294"/>
      <c r="AA849" s="294"/>
      <c r="AB849" s="294"/>
      <c r="AC849" s="294"/>
      <c r="AD849" s="294"/>
      <c r="AE849" s="294"/>
      <c r="AF849" s="294"/>
      <c r="AG849" s="294"/>
    </row>
    <row r="850" spans="2:33" x14ac:dyDescent="0.25">
      <c r="B850" s="294"/>
      <c r="C850" s="294"/>
      <c r="D850" s="294"/>
      <c r="E850" s="294"/>
      <c r="F850" s="294"/>
      <c r="G850" s="294"/>
      <c r="H850" s="294"/>
      <c r="I850" s="294"/>
      <c r="J850" s="294"/>
      <c r="L850" s="295"/>
      <c r="M850" s="294"/>
      <c r="O850" s="294"/>
      <c r="P850" s="294"/>
      <c r="Q850" s="294"/>
      <c r="R850" s="294"/>
      <c r="S850" s="294"/>
      <c r="T850" s="294"/>
      <c r="U850" s="294"/>
      <c r="V850" s="294"/>
      <c r="W850" s="294"/>
      <c r="X850" s="294"/>
      <c r="Y850" s="294"/>
      <c r="Z850" s="294"/>
      <c r="AA850" s="294"/>
      <c r="AB850" s="294"/>
      <c r="AC850" s="294"/>
      <c r="AD850" s="294"/>
      <c r="AE850" s="294"/>
      <c r="AF850" s="294"/>
      <c r="AG850" s="294"/>
    </row>
    <row r="851" spans="2:33" x14ac:dyDescent="0.25">
      <c r="B851" s="294"/>
      <c r="C851" s="294"/>
      <c r="D851" s="294"/>
      <c r="E851" s="294"/>
      <c r="F851" s="294"/>
      <c r="G851" s="294"/>
      <c r="H851" s="294"/>
      <c r="I851" s="294"/>
      <c r="J851" s="294"/>
      <c r="L851" s="295"/>
      <c r="M851" s="294"/>
      <c r="O851" s="294"/>
      <c r="P851" s="294"/>
      <c r="Q851" s="294"/>
      <c r="R851" s="294"/>
      <c r="S851" s="294"/>
      <c r="T851" s="294"/>
      <c r="U851" s="294"/>
      <c r="V851" s="294"/>
      <c r="W851" s="294"/>
      <c r="X851" s="294"/>
      <c r="Y851" s="294"/>
      <c r="Z851" s="294"/>
      <c r="AA851" s="294"/>
      <c r="AB851" s="294"/>
      <c r="AC851" s="294"/>
      <c r="AD851" s="294"/>
      <c r="AE851" s="294"/>
      <c r="AF851" s="294"/>
      <c r="AG851" s="294"/>
    </row>
    <row r="852" spans="2:33" x14ac:dyDescent="0.25">
      <c r="B852" s="294"/>
      <c r="C852" s="294"/>
      <c r="D852" s="294"/>
      <c r="E852" s="294"/>
      <c r="F852" s="294"/>
      <c r="G852" s="294"/>
      <c r="H852" s="294"/>
      <c r="I852" s="294"/>
      <c r="J852" s="294"/>
      <c r="L852" s="295"/>
      <c r="M852" s="294"/>
      <c r="O852" s="294"/>
      <c r="P852" s="294"/>
      <c r="Q852" s="294"/>
      <c r="R852" s="294"/>
      <c r="S852" s="294"/>
      <c r="T852" s="294"/>
      <c r="U852" s="294"/>
      <c r="V852" s="294"/>
      <c r="W852" s="294"/>
      <c r="X852" s="294"/>
      <c r="Y852" s="294"/>
      <c r="Z852" s="294"/>
      <c r="AA852" s="294"/>
      <c r="AB852" s="294"/>
      <c r="AC852" s="294"/>
      <c r="AD852" s="294"/>
      <c r="AE852" s="294"/>
      <c r="AF852" s="294"/>
      <c r="AG852" s="294"/>
    </row>
    <row r="853" spans="2:33" x14ac:dyDescent="0.25">
      <c r="B853" s="294"/>
      <c r="C853" s="294"/>
      <c r="D853" s="294"/>
      <c r="E853" s="294"/>
      <c r="F853" s="294"/>
      <c r="G853" s="294"/>
      <c r="H853" s="294"/>
      <c r="I853" s="294"/>
      <c r="J853" s="294"/>
      <c r="L853" s="295"/>
      <c r="M853" s="294"/>
      <c r="O853" s="294"/>
      <c r="P853" s="294"/>
      <c r="Q853" s="294"/>
      <c r="R853" s="294"/>
      <c r="S853" s="294"/>
      <c r="T853" s="294"/>
      <c r="U853" s="294"/>
      <c r="V853" s="294"/>
      <c r="W853" s="294"/>
      <c r="X853" s="294"/>
      <c r="Y853" s="294"/>
      <c r="Z853" s="294"/>
      <c r="AA853" s="294"/>
      <c r="AB853" s="294"/>
      <c r="AC853" s="294"/>
      <c r="AD853" s="294"/>
      <c r="AE853" s="294"/>
      <c r="AF853" s="294"/>
      <c r="AG853" s="294"/>
    </row>
    <row r="854" spans="2:33" x14ac:dyDescent="0.25">
      <c r="B854" s="294"/>
      <c r="C854" s="294"/>
      <c r="D854" s="294"/>
      <c r="E854" s="294"/>
      <c r="F854" s="294"/>
      <c r="G854" s="294"/>
      <c r="H854" s="294"/>
      <c r="I854" s="294"/>
      <c r="J854" s="294"/>
      <c r="L854" s="295"/>
      <c r="M854" s="294"/>
      <c r="O854" s="294"/>
      <c r="P854" s="294"/>
      <c r="Q854" s="294"/>
      <c r="R854" s="294"/>
      <c r="S854" s="294"/>
      <c r="T854" s="294"/>
      <c r="U854" s="294"/>
      <c r="V854" s="294"/>
      <c r="W854" s="294"/>
      <c r="X854" s="294"/>
      <c r="Y854" s="294"/>
      <c r="Z854" s="294"/>
      <c r="AA854" s="294"/>
      <c r="AB854" s="294"/>
      <c r="AC854" s="294"/>
      <c r="AD854" s="294"/>
      <c r="AE854" s="294"/>
      <c r="AF854" s="294"/>
      <c r="AG854" s="294"/>
    </row>
    <row r="855" spans="2:33" x14ac:dyDescent="0.25">
      <c r="B855" s="294"/>
      <c r="C855" s="294"/>
      <c r="D855" s="294"/>
      <c r="E855" s="294"/>
      <c r="F855" s="294"/>
      <c r="G855" s="294"/>
      <c r="H855" s="294"/>
      <c r="I855" s="294"/>
      <c r="J855" s="294"/>
      <c r="L855" s="295"/>
      <c r="M855" s="294"/>
      <c r="O855" s="294"/>
      <c r="P855" s="294"/>
      <c r="Q855" s="294"/>
      <c r="R855" s="294"/>
      <c r="S855" s="294"/>
      <c r="T855" s="294"/>
      <c r="U855" s="294"/>
      <c r="V855" s="294"/>
      <c r="W855" s="294"/>
      <c r="X855" s="294"/>
      <c r="Y855" s="294"/>
      <c r="Z855" s="294"/>
      <c r="AA855" s="294"/>
      <c r="AB855" s="294"/>
      <c r="AC855" s="294"/>
      <c r="AD855" s="294"/>
      <c r="AE855" s="294"/>
      <c r="AF855" s="294"/>
      <c r="AG855" s="294"/>
    </row>
    <row r="856" spans="2:33" x14ac:dyDescent="0.25">
      <c r="B856" s="294"/>
      <c r="C856" s="294"/>
      <c r="D856" s="294"/>
      <c r="E856" s="294"/>
      <c r="F856" s="294"/>
      <c r="G856" s="294"/>
      <c r="H856" s="294"/>
      <c r="I856" s="294"/>
      <c r="J856" s="294"/>
      <c r="L856" s="295"/>
      <c r="M856" s="294"/>
      <c r="O856" s="294"/>
      <c r="P856" s="294"/>
      <c r="Q856" s="294"/>
      <c r="R856" s="294"/>
      <c r="S856" s="294"/>
      <c r="T856" s="294"/>
      <c r="U856" s="294"/>
      <c r="V856" s="294"/>
      <c r="W856" s="294"/>
      <c r="X856" s="294"/>
      <c r="Y856" s="294"/>
      <c r="Z856" s="294"/>
      <c r="AA856" s="294"/>
      <c r="AB856" s="294"/>
      <c r="AC856" s="294"/>
      <c r="AD856" s="294"/>
      <c r="AE856" s="294"/>
      <c r="AF856" s="294"/>
      <c r="AG856" s="294"/>
    </row>
    <row r="857" spans="2:33" x14ac:dyDescent="0.25">
      <c r="B857" s="294"/>
      <c r="C857" s="294"/>
      <c r="D857" s="294"/>
      <c r="E857" s="294"/>
      <c r="F857" s="294"/>
      <c r="G857" s="294"/>
      <c r="H857" s="294"/>
      <c r="I857" s="294"/>
      <c r="J857" s="294"/>
      <c r="L857" s="295"/>
      <c r="M857" s="294"/>
      <c r="O857" s="294"/>
      <c r="P857" s="294"/>
      <c r="Q857" s="294"/>
      <c r="R857" s="294"/>
      <c r="S857" s="294"/>
      <c r="T857" s="294"/>
      <c r="U857" s="294"/>
      <c r="V857" s="294"/>
      <c r="W857" s="294"/>
      <c r="X857" s="294"/>
      <c r="Y857" s="294"/>
      <c r="Z857" s="294"/>
      <c r="AA857" s="294"/>
      <c r="AB857" s="294"/>
      <c r="AC857" s="294"/>
      <c r="AD857" s="294"/>
      <c r="AE857" s="294"/>
      <c r="AF857" s="294"/>
      <c r="AG857" s="294"/>
    </row>
    <row r="858" spans="2:33" x14ac:dyDescent="0.25">
      <c r="B858" s="294"/>
      <c r="C858" s="294"/>
      <c r="D858" s="294"/>
      <c r="E858" s="294"/>
      <c r="F858" s="294"/>
      <c r="G858" s="294"/>
      <c r="H858" s="294"/>
      <c r="I858" s="294"/>
      <c r="J858" s="294"/>
      <c r="L858" s="295"/>
      <c r="M858" s="294"/>
      <c r="O858" s="294"/>
      <c r="P858" s="294"/>
      <c r="Q858" s="294"/>
      <c r="R858" s="294"/>
      <c r="S858" s="294"/>
      <c r="T858" s="294"/>
      <c r="U858" s="294"/>
      <c r="V858" s="294"/>
      <c r="W858" s="294"/>
      <c r="X858" s="294"/>
      <c r="Y858" s="294"/>
      <c r="Z858" s="294"/>
      <c r="AA858" s="294"/>
      <c r="AB858" s="294"/>
      <c r="AC858" s="294"/>
      <c r="AD858" s="294"/>
      <c r="AE858" s="294"/>
      <c r="AF858" s="294"/>
      <c r="AG858" s="294"/>
    </row>
    <row r="859" spans="2:33" x14ac:dyDescent="0.25">
      <c r="B859" s="294"/>
      <c r="C859" s="294"/>
      <c r="D859" s="294"/>
      <c r="E859" s="294"/>
      <c r="F859" s="294"/>
      <c r="G859" s="294"/>
      <c r="H859" s="294"/>
      <c r="I859" s="294"/>
      <c r="J859" s="294"/>
      <c r="L859" s="295"/>
      <c r="M859" s="294"/>
      <c r="O859" s="294"/>
      <c r="P859" s="294"/>
      <c r="Q859" s="294"/>
      <c r="R859" s="294"/>
      <c r="S859" s="294"/>
      <c r="T859" s="294"/>
      <c r="U859" s="294"/>
      <c r="V859" s="294"/>
      <c r="W859" s="294"/>
      <c r="X859" s="294"/>
      <c r="Y859" s="294"/>
      <c r="Z859" s="294"/>
      <c r="AA859" s="294"/>
      <c r="AB859" s="294"/>
      <c r="AC859" s="294"/>
      <c r="AD859" s="294"/>
      <c r="AE859" s="294"/>
      <c r="AF859" s="294"/>
      <c r="AG859" s="294"/>
    </row>
    <row r="860" spans="2:33" x14ac:dyDescent="0.25">
      <c r="B860" s="294"/>
      <c r="C860" s="294"/>
      <c r="D860" s="294"/>
      <c r="E860" s="294"/>
      <c r="F860" s="294"/>
      <c r="G860" s="294"/>
      <c r="H860" s="294"/>
      <c r="I860" s="294"/>
      <c r="J860" s="294"/>
      <c r="L860" s="295"/>
      <c r="M860" s="294"/>
      <c r="O860" s="294"/>
      <c r="P860" s="294"/>
      <c r="Q860" s="294"/>
      <c r="R860" s="294"/>
      <c r="S860" s="294"/>
      <c r="T860" s="294"/>
      <c r="U860" s="294"/>
      <c r="V860" s="294"/>
      <c r="W860" s="294"/>
      <c r="X860" s="294"/>
      <c r="Y860" s="294"/>
      <c r="Z860" s="294"/>
      <c r="AA860" s="294"/>
      <c r="AB860" s="294"/>
      <c r="AC860" s="294"/>
      <c r="AD860" s="294"/>
      <c r="AE860" s="294"/>
      <c r="AF860" s="294"/>
      <c r="AG860" s="294"/>
    </row>
    <row r="861" spans="2:33" x14ac:dyDescent="0.25">
      <c r="B861" s="294"/>
      <c r="C861" s="294"/>
      <c r="D861" s="294"/>
      <c r="E861" s="294"/>
      <c r="F861" s="294"/>
      <c r="G861" s="294"/>
      <c r="H861" s="294"/>
      <c r="I861" s="294"/>
      <c r="J861" s="294"/>
      <c r="L861" s="295"/>
      <c r="M861" s="294"/>
      <c r="O861" s="294"/>
      <c r="P861" s="294"/>
      <c r="Q861" s="294"/>
      <c r="R861" s="294"/>
      <c r="S861" s="294"/>
      <c r="T861" s="294"/>
      <c r="U861" s="294"/>
      <c r="V861" s="294"/>
      <c r="W861" s="294"/>
      <c r="X861" s="294"/>
      <c r="Y861" s="294"/>
      <c r="Z861" s="294"/>
      <c r="AA861" s="294"/>
      <c r="AB861" s="294"/>
      <c r="AC861" s="294"/>
      <c r="AD861" s="294"/>
      <c r="AE861" s="294"/>
      <c r="AF861" s="294"/>
      <c r="AG861" s="294"/>
    </row>
    <row r="862" spans="2:33" x14ac:dyDescent="0.25">
      <c r="B862" s="294"/>
      <c r="C862" s="294"/>
      <c r="D862" s="294"/>
      <c r="E862" s="294"/>
      <c r="F862" s="294"/>
      <c r="G862" s="294"/>
      <c r="H862" s="294"/>
      <c r="I862" s="294"/>
      <c r="J862" s="294"/>
      <c r="L862" s="295"/>
      <c r="M862" s="294"/>
      <c r="O862" s="294"/>
      <c r="P862" s="294"/>
      <c r="Q862" s="294"/>
      <c r="R862" s="294"/>
      <c r="S862" s="294"/>
      <c r="T862" s="294"/>
      <c r="U862" s="294"/>
      <c r="V862" s="294"/>
      <c r="W862" s="294"/>
      <c r="X862" s="294"/>
      <c r="Y862" s="294"/>
      <c r="Z862" s="294"/>
      <c r="AA862" s="294"/>
      <c r="AB862" s="294"/>
      <c r="AC862" s="294"/>
      <c r="AD862" s="294"/>
      <c r="AE862" s="294"/>
      <c r="AF862" s="294"/>
      <c r="AG862" s="294"/>
    </row>
    <row r="863" spans="2:33" x14ac:dyDescent="0.25">
      <c r="B863" s="294"/>
      <c r="C863" s="294"/>
      <c r="D863" s="294"/>
      <c r="E863" s="294"/>
      <c r="F863" s="294"/>
      <c r="G863" s="294"/>
      <c r="H863" s="294"/>
      <c r="I863" s="294"/>
      <c r="J863" s="294"/>
      <c r="L863" s="295"/>
      <c r="M863" s="294"/>
      <c r="O863" s="294"/>
      <c r="P863" s="294"/>
      <c r="Q863" s="294"/>
      <c r="R863" s="294"/>
      <c r="S863" s="294"/>
      <c r="T863" s="294"/>
      <c r="U863" s="294"/>
      <c r="V863" s="294"/>
      <c r="W863" s="294"/>
      <c r="X863" s="294"/>
      <c r="Y863" s="294"/>
      <c r="Z863" s="294"/>
      <c r="AA863" s="294"/>
      <c r="AB863" s="294"/>
      <c r="AC863" s="294"/>
      <c r="AD863" s="294"/>
      <c r="AE863" s="294"/>
      <c r="AF863" s="294"/>
      <c r="AG863" s="294"/>
    </row>
    <row r="864" spans="2:33" x14ac:dyDescent="0.25">
      <c r="B864" s="294"/>
      <c r="C864" s="294"/>
      <c r="D864" s="294"/>
      <c r="E864" s="294"/>
      <c r="F864" s="294"/>
      <c r="G864" s="294"/>
      <c r="H864" s="294"/>
      <c r="I864" s="294"/>
      <c r="J864" s="294"/>
      <c r="L864" s="295"/>
      <c r="M864" s="294"/>
      <c r="O864" s="294"/>
      <c r="P864" s="294"/>
      <c r="Q864" s="294"/>
      <c r="R864" s="294"/>
      <c r="S864" s="294"/>
      <c r="T864" s="294"/>
      <c r="U864" s="294"/>
      <c r="V864" s="294"/>
      <c r="W864" s="294"/>
      <c r="X864" s="294"/>
      <c r="Y864" s="294"/>
      <c r="Z864" s="294"/>
      <c r="AA864" s="294"/>
      <c r="AB864" s="294"/>
      <c r="AC864" s="294"/>
      <c r="AD864" s="294"/>
      <c r="AE864" s="294"/>
      <c r="AF864" s="294"/>
      <c r="AG864" s="294"/>
    </row>
    <row r="865" spans="2:33" x14ac:dyDescent="0.25">
      <c r="B865" s="294"/>
      <c r="C865" s="294"/>
      <c r="D865" s="294"/>
      <c r="E865" s="294"/>
      <c r="F865" s="294"/>
      <c r="G865" s="294"/>
      <c r="H865" s="294"/>
      <c r="I865" s="294"/>
      <c r="J865" s="294"/>
      <c r="L865" s="295"/>
      <c r="M865" s="294"/>
      <c r="O865" s="294"/>
      <c r="P865" s="294"/>
      <c r="Q865" s="294"/>
      <c r="R865" s="294"/>
      <c r="S865" s="294"/>
      <c r="T865" s="294"/>
      <c r="U865" s="294"/>
      <c r="V865" s="294"/>
      <c r="W865" s="294"/>
      <c r="X865" s="294"/>
      <c r="Y865" s="294"/>
      <c r="Z865" s="294"/>
      <c r="AA865" s="294"/>
      <c r="AB865" s="294"/>
      <c r="AC865" s="294"/>
      <c r="AD865" s="294"/>
      <c r="AE865" s="294"/>
      <c r="AF865" s="294"/>
      <c r="AG865" s="294"/>
    </row>
    <row r="866" spans="2:33" x14ac:dyDescent="0.25">
      <c r="B866" s="294"/>
      <c r="C866" s="294"/>
      <c r="D866" s="294"/>
      <c r="E866" s="294"/>
      <c r="F866" s="294"/>
      <c r="G866" s="294"/>
      <c r="H866" s="294"/>
      <c r="I866" s="294"/>
      <c r="J866" s="294"/>
      <c r="L866" s="295"/>
      <c r="M866" s="294"/>
      <c r="O866" s="294"/>
      <c r="P866" s="294"/>
      <c r="Q866" s="294"/>
      <c r="R866" s="294"/>
      <c r="S866" s="294"/>
      <c r="T866" s="294"/>
      <c r="U866" s="294"/>
      <c r="V866" s="294"/>
      <c r="W866" s="294"/>
      <c r="X866" s="294"/>
      <c r="Y866" s="294"/>
      <c r="Z866" s="294"/>
      <c r="AA866" s="294"/>
      <c r="AB866" s="294"/>
      <c r="AC866" s="294"/>
      <c r="AD866" s="294"/>
      <c r="AE866" s="294"/>
      <c r="AF866" s="294"/>
      <c r="AG866" s="294"/>
    </row>
    <row r="867" spans="2:33" x14ac:dyDescent="0.25">
      <c r="B867" s="294"/>
      <c r="C867" s="294"/>
      <c r="D867" s="294"/>
      <c r="E867" s="294"/>
      <c r="F867" s="294"/>
      <c r="G867" s="294"/>
      <c r="H867" s="294"/>
      <c r="I867" s="294"/>
      <c r="J867" s="294"/>
      <c r="L867" s="295"/>
      <c r="M867" s="294"/>
      <c r="O867" s="294"/>
      <c r="P867" s="294"/>
      <c r="Q867" s="294"/>
      <c r="R867" s="294"/>
      <c r="S867" s="294"/>
      <c r="T867" s="294"/>
      <c r="U867" s="294"/>
      <c r="V867" s="294"/>
      <c r="W867" s="294"/>
      <c r="X867" s="294"/>
      <c r="Y867" s="294"/>
      <c r="Z867" s="294"/>
      <c r="AA867" s="294"/>
      <c r="AB867" s="294"/>
      <c r="AC867" s="294"/>
      <c r="AD867" s="294"/>
      <c r="AE867" s="294"/>
      <c r="AF867" s="294"/>
      <c r="AG867" s="294"/>
    </row>
    <row r="868" spans="2:33" x14ac:dyDescent="0.25">
      <c r="B868" s="294"/>
      <c r="C868" s="294"/>
      <c r="D868" s="294"/>
      <c r="E868" s="294"/>
      <c r="F868" s="294"/>
      <c r="G868" s="294"/>
      <c r="H868" s="294"/>
      <c r="I868" s="294"/>
      <c r="J868" s="294"/>
      <c r="L868" s="295"/>
      <c r="M868" s="294"/>
      <c r="O868" s="294"/>
      <c r="P868" s="294"/>
      <c r="Q868" s="294"/>
      <c r="R868" s="294"/>
      <c r="S868" s="294"/>
      <c r="T868" s="294"/>
      <c r="U868" s="294"/>
      <c r="V868" s="294"/>
      <c r="W868" s="294"/>
      <c r="X868" s="294"/>
      <c r="Y868" s="294"/>
      <c r="Z868" s="294"/>
      <c r="AA868" s="294"/>
      <c r="AB868" s="294"/>
      <c r="AC868" s="294"/>
      <c r="AD868" s="294"/>
      <c r="AE868" s="294"/>
      <c r="AF868" s="294"/>
      <c r="AG868" s="294"/>
    </row>
    <row r="869" spans="2:33" x14ac:dyDescent="0.25">
      <c r="B869" s="294"/>
      <c r="C869" s="294"/>
      <c r="D869" s="294"/>
      <c r="E869" s="294"/>
      <c r="F869" s="294"/>
      <c r="G869" s="294"/>
      <c r="H869" s="294"/>
      <c r="I869" s="294"/>
      <c r="J869" s="294"/>
      <c r="L869" s="295"/>
      <c r="M869" s="294"/>
      <c r="O869" s="294"/>
      <c r="P869" s="294"/>
      <c r="Q869" s="294"/>
      <c r="R869" s="294"/>
      <c r="S869" s="294"/>
      <c r="T869" s="294"/>
      <c r="U869" s="294"/>
      <c r="V869" s="294"/>
      <c r="W869" s="294"/>
      <c r="X869" s="294"/>
      <c r="Y869" s="294"/>
      <c r="Z869" s="294"/>
      <c r="AA869" s="294"/>
      <c r="AB869" s="294"/>
      <c r="AC869" s="294"/>
      <c r="AD869" s="294"/>
      <c r="AE869" s="294"/>
      <c r="AF869" s="294"/>
      <c r="AG869" s="294"/>
    </row>
    <row r="870" spans="2:33" x14ac:dyDescent="0.25">
      <c r="B870" s="294"/>
      <c r="C870" s="294"/>
      <c r="D870" s="294"/>
      <c r="E870" s="294"/>
      <c r="F870" s="294"/>
      <c r="G870" s="294"/>
      <c r="H870" s="294"/>
      <c r="I870" s="294"/>
      <c r="J870" s="294"/>
      <c r="L870" s="295"/>
      <c r="M870" s="294"/>
      <c r="O870" s="294"/>
      <c r="P870" s="294"/>
      <c r="Q870" s="294"/>
      <c r="R870" s="294"/>
      <c r="S870" s="294"/>
      <c r="T870" s="294"/>
      <c r="U870" s="294"/>
      <c r="V870" s="294"/>
      <c r="W870" s="294"/>
      <c r="X870" s="294"/>
      <c r="Y870" s="294"/>
      <c r="Z870" s="294"/>
      <c r="AA870" s="294"/>
      <c r="AB870" s="294"/>
      <c r="AC870" s="294"/>
      <c r="AD870" s="294"/>
      <c r="AE870" s="294"/>
      <c r="AF870" s="294"/>
      <c r="AG870" s="294"/>
    </row>
    <row r="871" spans="2:33" x14ac:dyDescent="0.25">
      <c r="B871" s="294"/>
      <c r="C871" s="294"/>
      <c r="D871" s="294"/>
      <c r="E871" s="294"/>
      <c r="F871" s="294"/>
      <c r="G871" s="294"/>
      <c r="H871" s="294"/>
      <c r="I871" s="294"/>
      <c r="J871" s="294"/>
      <c r="L871" s="295"/>
      <c r="M871" s="294"/>
      <c r="O871" s="294"/>
      <c r="P871" s="294"/>
      <c r="Q871" s="294"/>
      <c r="R871" s="294"/>
      <c r="S871" s="294"/>
      <c r="T871" s="294"/>
      <c r="U871" s="294"/>
      <c r="V871" s="294"/>
      <c r="W871" s="294"/>
      <c r="X871" s="294"/>
      <c r="Y871" s="294"/>
      <c r="Z871" s="294"/>
      <c r="AA871" s="294"/>
      <c r="AB871" s="294"/>
      <c r="AC871" s="294"/>
      <c r="AD871" s="294"/>
      <c r="AE871" s="294"/>
      <c r="AF871" s="294"/>
      <c r="AG871" s="294"/>
    </row>
    <row r="872" spans="2:33" x14ac:dyDescent="0.25">
      <c r="B872" s="294"/>
      <c r="C872" s="294"/>
      <c r="D872" s="294"/>
      <c r="E872" s="294"/>
      <c r="F872" s="294"/>
      <c r="G872" s="294"/>
      <c r="H872" s="294"/>
      <c r="I872" s="294"/>
      <c r="J872" s="294"/>
      <c r="L872" s="295"/>
      <c r="M872" s="294"/>
      <c r="O872" s="294"/>
      <c r="P872" s="294"/>
      <c r="Q872" s="294"/>
      <c r="R872" s="294"/>
      <c r="S872" s="294"/>
      <c r="T872" s="294"/>
      <c r="U872" s="294"/>
      <c r="V872" s="294"/>
      <c r="W872" s="294"/>
      <c r="X872" s="294"/>
      <c r="Y872" s="294"/>
      <c r="Z872" s="294"/>
      <c r="AA872" s="294"/>
      <c r="AB872" s="294"/>
      <c r="AC872" s="294"/>
      <c r="AD872" s="294"/>
      <c r="AE872" s="294"/>
      <c r="AF872" s="294"/>
      <c r="AG872" s="294"/>
    </row>
    <row r="873" spans="2:33" x14ac:dyDescent="0.25">
      <c r="B873" s="294"/>
      <c r="C873" s="294"/>
      <c r="D873" s="294"/>
      <c r="E873" s="294"/>
      <c r="F873" s="294"/>
      <c r="G873" s="294"/>
      <c r="H873" s="294"/>
      <c r="I873" s="294"/>
      <c r="J873" s="294"/>
      <c r="L873" s="295"/>
      <c r="M873" s="294"/>
      <c r="O873" s="294"/>
      <c r="P873" s="294"/>
      <c r="Q873" s="294"/>
      <c r="R873" s="294"/>
      <c r="S873" s="294"/>
      <c r="T873" s="294"/>
      <c r="U873" s="294"/>
      <c r="V873" s="294"/>
      <c r="W873" s="294"/>
      <c r="X873" s="294"/>
      <c r="Y873" s="294"/>
      <c r="Z873" s="294"/>
      <c r="AA873" s="294"/>
      <c r="AB873" s="294"/>
      <c r="AC873" s="294"/>
      <c r="AD873" s="294"/>
      <c r="AE873" s="294"/>
      <c r="AF873" s="294"/>
      <c r="AG873" s="294"/>
    </row>
    <row r="874" spans="2:33" x14ac:dyDescent="0.25">
      <c r="B874" s="294"/>
      <c r="C874" s="294"/>
      <c r="D874" s="294"/>
      <c r="E874" s="294"/>
      <c r="F874" s="294"/>
      <c r="G874" s="294"/>
      <c r="H874" s="294"/>
      <c r="I874" s="294"/>
      <c r="J874" s="294"/>
      <c r="L874" s="295"/>
      <c r="M874" s="294"/>
      <c r="O874" s="294"/>
      <c r="P874" s="294"/>
      <c r="Q874" s="294"/>
      <c r="R874" s="294"/>
      <c r="S874" s="294"/>
      <c r="T874" s="294"/>
      <c r="U874" s="294"/>
      <c r="V874" s="294"/>
      <c r="W874" s="294"/>
      <c r="X874" s="294"/>
      <c r="Y874" s="294"/>
      <c r="Z874" s="294"/>
      <c r="AA874" s="294"/>
      <c r="AB874" s="294"/>
      <c r="AC874" s="294"/>
      <c r="AD874" s="294"/>
      <c r="AE874" s="294"/>
      <c r="AF874" s="294"/>
      <c r="AG874" s="294"/>
    </row>
    <row r="875" spans="2:33" x14ac:dyDescent="0.25">
      <c r="B875" s="294"/>
      <c r="C875" s="294"/>
      <c r="D875" s="294"/>
      <c r="E875" s="294"/>
      <c r="F875" s="294"/>
      <c r="G875" s="294"/>
      <c r="H875" s="294"/>
      <c r="I875" s="294"/>
      <c r="J875" s="294"/>
      <c r="L875" s="295"/>
      <c r="M875" s="294"/>
      <c r="O875" s="294"/>
      <c r="P875" s="294"/>
      <c r="Q875" s="294"/>
      <c r="R875" s="294"/>
      <c r="S875" s="294"/>
      <c r="T875" s="294"/>
      <c r="U875" s="294"/>
      <c r="V875" s="294"/>
      <c r="W875" s="294"/>
      <c r="X875" s="294"/>
      <c r="Y875" s="294"/>
      <c r="Z875" s="294"/>
      <c r="AA875" s="294"/>
      <c r="AB875" s="294"/>
      <c r="AC875" s="294"/>
      <c r="AD875" s="294"/>
      <c r="AE875" s="294"/>
      <c r="AF875" s="294"/>
      <c r="AG875" s="294"/>
    </row>
    <row r="876" spans="2:33" x14ac:dyDescent="0.25">
      <c r="B876" s="294"/>
      <c r="C876" s="294"/>
      <c r="D876" s="294"/>
      <c r="E876" s="294"/>
      <c r="F876" s="294"/>
      <c r="G876" s="294"/>
      <c r="H876" s="294"/>
      <c r="I876" s="294"/>
      <c r="J876" s="294"/>
      <c r="L876" s="295"/>
      <c r="M876" s="294"/>
      <c r="O876" s="294"/>
      <c r="P876" s="294"/>
      <c r="Q876" s="294"/>
      <c r="R876" s="294"/>
      <c r="S876" s="294"/>
      <c r="T876" s="294"/>
      <c r="U876" s="294"/>
      <c r="V876" s="294"/>
      <c r="W876" s="294"/>
      <c r="X876" s="294"/>
      <c r="Y876" s="294"/>
      <c r="Z876" s="294"/>
      <c r="AA876" s="294"/>
      <c r="AB876" s="294"/>
      <c r="AC876" s="294"/>
      <c r="AD876" s="294"/>
      <c r="AE876" s="294"/>
      <c r="AF876" s="294"/>
      <c r="AG876" s="294"/>
    </row>
    <row r="877" spans="2:33" x14ac:dyDescent="0.25">
      <c r="B877" s="294"/>
      <c r="C877" s="294"/>
      <c r="D877" s="294"/>
      <c r="E877" s="294"/>
      <c r="F877" s="294"/>
      <c r="G877" s="294"/>
      <c r="H877" s="294"/>
      <c r="I877" s="294"/>
      <c r="J877" s="294"/>
      <c r="L877" s="295"/>
      <c r="M877" s="294"/>
      <c r="O877" s="294"/>
      <c r="P877" s="294"/>
      <c r="Q877" s="294"/>
      <c r="R877" s="294"/>
      <c r="S877" s="294"/>
      <c r="T877" s="294"/>
      <c r="U877" s="294"/>
      <c r="V877" s="294"/>
      <c r="W877" s="294"/>
      <c r="X877" s="294"/>
      <c r="Y877" s="294"/>
      <c r="Z877" s="294"/>
      <c r="AA877" s="294"/>
      <c r="AB877" s="294"/>
      <c r="AC877" s="294"/>
      <c r="AD877" s="294"/>
      <c r="AE877" s="294"/>
      <c r="AF877" s="294"/>
      <c r="AG877" s="294"/>
    </row>
    <row r="878" spans="2:33" x14ac:dyDescent="0.25">
      <c r="B878" s="294"/>
      <c r="C878" s="294"/>
      <c r="D878" s="294"/>
      <c r="E878" s="294"/>
      <c r="F878" s="294"/>
      <c r="G878" s="294"/>
      <c r="H878" s="294"/>
      <c r="I878" s="294"/>
      <c r="J878" s="294"/>
      <c r="L878" s="295"/>
      <c r="M878" s="294"/>
      <c r="O878" s="294"/>
      <c r="P878" s="294"/>
      <c r="Q878" s="294"/>
      <c r="R878" s="294"/>
      <c r="S878" s="294"/>
      <c r="T878" s="294"/>
      <c r="U878" s="294"/>
      <c r="V878" s="294"/>
      <c r="W878" s="294"/>
      <c r="X878" s="294"/>
      <c r="Y878" s="294"/>
      <c r="Z878" s="294"/>
      <c r="AA878" s="294"/>
      <c r="AB878" s="294"/>
      <c r="AC878" s="294"/>
      <c r="AD878" s="294"/>
      <c r="AE878" s="294"/>
      <c r="AF878" s="294"/>
      <c r="AG878" s="294"/>
    </row>
    <row r="879" spans="2:33" x14ac:dyDescent="0.25">
      <c r="B879" s="294"/>
      <c r="C879" s="294"/>
      <c r="D879" s="294"/>
      <c r="E879" s="294"/>
      <c r="F879" s="294"/>
      <c r="G879" s="294"/>
      <c r="H879" s="294"/>
      <c r="I879" s="294"/>
      <c r="J879" s="294"/>
      <c r="L879" s="295"/>
      <c r="M879" s="294"/>
      <c r="O879" s="294"/>
      <c r="P879" s="294"/>
      <c r="Q879" s="294"/>
      <c r="R879" s="294"/>
      <c r="S879" s="294"/>
      <c r="T879" s="294"/>
      <c r="U879" s="294"/>
      <c r="V879" s="294"/>
      <c r="W879" s="294"/>
      <c r="X879" s="294"/>
      <c r="Y879" s="294"/>
      <c r="Z879" s="294"/>
      <c r="AA879" s="294"/>
      <c r="AB879" s="294"/>
      <c r="AC879" s="294"/>
      <c r="AD879" s="294"/>
      <c r="AE879" s="294"/>
      <c r="AF879" s="294"/>
      <c r="AG879" s="294"/>
    </row>
    <row r="880" spans="2:33" x14ac:dyDescent="0.25">
      <c r="B880" s="294"/>
      <c r="C880" s="294"/>
      <c r="D880" s="294"/>
      <c r="E880" s="294"/>
      <c r="F880" s="294"/>
      <c r="G880" s="294"/>
      <c r="H880" s="294"/>
      <c r="I880" s="294"/>
      <c r="J880" s="294"/>
      <c r="L880" s="295"/>
      <c r="M880" s="294"/>
      <c r="O880" s="294"/>
      <c r="P880" s="294"/>
      <c r="Q880" s="294"/>
      <c r="R880" s="294"/>
      <c r="S880" s="294"/>
      <c r="T880" s="294"/>
      <c r="U880" s="294"/>
      <c r="V880" s="294"/>
      <c r="W880" s="294"/>
      <c r="X880" s="294"/>
      <c r="Y880" s="294"/>
      <c r="Z880" s="294"/>
      <c r="AA880" s="294"/>
      <c r="AB880" s="294"/>
      <c r="AC880" s="294"/>
      <c r="AD880" s="294"/>
      <c r="AE880" s="294"/>
      <c r="AF880" s="294"/>
      <c r="AG880" s="294"/>
    </row>
    <row r="881" spans="2:33" x14ac:dyDescent="0.25">
      <c r="B881" s="294"/>
      <c r="C881" s="294"/>
      <c r="D881" s="294"/>
      <c r="E881" s="294"/>
      <c r="F881" s="294"/>
      <c r="G881" s="294"/>
      <c r="H881" s="294"/>
      <c r="I881" s="294"/>
      <c r="J881" s="294"/>
      <c r="L881" s="295"/>
      <c r="M881" s="294"/>
      <c r="O881" s="294"/>
      <c r="P881" s="294"/>
      <c r="Q881" s="294"/>
      <c r="R881" s="294"/>
      <c r="S881" s="294"/>
      <c r="T881" s="294"/>
      <c r="U881" s="294"/>
      <c r="V881" s="294"/>
      <c r="W881" s="294"/>
      <c r="X881" s="294"/>
      <c r="Y881" s="294"/>
      <c r="Z881" s="294"/>
      <c r="AA881" s="294"/>
      <c r="AB881" s="294"/>
      <c r="AC881" s="294"/>
      <c r="AD881" s="294"/>
      <c r="AE881" s="294"/>
      <c r="AF881" s="294"/>
      <c r="AG881" s="294"/>
    </row>
    <row r="882" spans="2:33" x14ac:dyDescent="0.25">
      <c r="B882" s="294"/>
      <c r="C882" s="294"/>
      <c r="D882" s="294"/>
      <c r="E882" s="294"/>
      <c r="F882" s="294"/>
      <c r="G882" s="294"/>
      <c r="H882" s="294"/>
      <c r="I882" s="294"/>
      <c r="J882" s="294"/>
      <c r="L882" s="295"/>
      <c r="M882" s="294"/>
      <c r="O882" s="294"/>
      <c r="P882" s="294"/>
      <c r="Q882" s="294"/>
      <c r="R882" s="294"/>
      <c r="S882" s="294"/>
      <c r="T882" s="294"/>
      <c r="U882" s="294"/>
      <c r="V882" s="294"/>
      <c r="W882" s="294"/>
      <c r="X882" s="294"/>
      <c r="Y882" s="294"/>
      <c r="Z882" s="294"/>
      <c r="AA882" s="294"/>
      <c r="AB882" s="294"/>
      <c r="AC882" s="294"/>
      <c r="AD882" s="294"/>
      <c r="AE882" s="294"/>
      <c r="AF882" s="294"/>
      <c r="AG882" s="294"/>
    </row>
    <row r="883" spans="2:33" x14ac:dyDescent="0.25">
      <c r="B883" s="294"/>
      <c r="C883" s="294"/>
      <c r="D883" s="294"/>
      <c r="E883" s="294"/>
      <c r="F883" s="294"/>
      <c r="G883" s="294"/>
      <c r="H883" s="294"/>
      <c r="I883" s="294"/>
      <c r="J883" s="294"/>
      <c r="L883" s="295"/>
      <c r="M883" s="294"/>
      <c r="O883" s="294"/>
      <c r="P883" s="294"/>
      <c r="Q883" s="294"/>
      <c r="R883" s="294"/>
      <c r="S883" s="294"/>
      <c r="T883" s="294"/>
      <c r="U883" s="294"/>
      <c r="V883" s="294"/>
      <c r="W883" s="294"/>
      <c r="X883" s="294"/>
      <c r="Y883" s="294"/>
      <c r="Z883" s="294"/>
      <c r="AA883" s="294"/>
      <c r="AB883" s="294"/>
      <c r="AC883" s="294"/>
      <c r="AD883" s="294"/>
      <c r="AE883" s="294"/>
      <c r="AF883" s="294"/>
      <c r="AG883" s="294"/>
    </row>
    <row r="884" spans="2:33" x14ac:dyDescent="0.25">
      <c r="B884" s="294"/>
      <c r="C884" s="294"/>
      <c r="D884" s="294"/>
      <c r="E884" s="294"/>
      <c r="F884" s="294"/>
      <c r="G884" s="294"/>
      <c r="H884" s="294"/>
      <c r="I884" s="294"/>
      <c r="J884" s="294"/>
      <c r="L884" s="295"/>
      <c r="M884" s="294"/>
      <c r="O884" s="294"/>
      <c r="P884" s="294"/>
      <c r="Q884" s="294"/>
      <c r="R884" s="294"/>
      <c r="S884" s="294"/>
      <c r="T884" s="294"/>
      <c r="U884" s="294"/>
      <c r="V884" s="294"/>
      <c r="W884" s="294"/>
      <c r="X884" s="294"/>
      <c r="Y884" s="294"/>
      <c r="Z884" s="294"/>
      <c r="AA884" s="294"/>
      <c r="AB884" s="294"/>
      <c r="AC884" s="294"/>
      <c r="AD884" s="294"/>
      <c r="AE884" s="294"/>
      <c r="AF884" s="294"/>
      <c r="AG884" s="294"/>
    </row>
    <row r="885" spans="2:33" x14ac:dyDescent="0.25">
      <c r="B885" s="294"/>
      <c r="C885" s="294"/>
      <c r="D885" s="294"/>
      <c r="E885" s="294"/>
      <c r="F885" s="294"/>
      <c r="G885" s="294"/>
      <c r="H885" s="294"/>
      <c r="I885" s="294"/>
      <c r="J885" s="294"/>
      <c r="L885" s="295"/>
      <c r="M885" s="294"/>
      <c r="O885" s="294"/>
      <c r="P885" s="294"/>
      <c r="Q885" s="294"/>
      <c r="R885" s="294"/>
      <c r="S885" s="294"/>
      <c r="T885" s="294"/>
      <c r="U885" s="294"/>
      <c r="V885" s="294"/>
      <c r="W885" s="294"/>
      <c r="X885" s="294"/>
      <c r="Y885" s="294"/>
      <c r="Z885" s="294"/>
      <c r="AA885" s="294"/>
      <c r="AB885" s="294"/>
      <c r="AC885" s="294"/>
      <c r="AD885" s="294"/>
      <c r="AE885" s="294"/>
      <c r="AF885" s="294"/>
      <c r="AG885" s="294"/>
    </row>
    <row r="886" spans="2:33" x14ac:dyDescent="0.25">
      <c r="B886" s="294"/>
      <c r="C886" s="294"/>
      <c r="D886" s="294"/>
      <c r="E886" s="294"/>
      <c r="F886" s="294"/>
      <c r="G886" s="294"/>
      <c r="H886" s="294"/>
      <c r="I886" s="294"/>
      <c r="J886" s="294"/>
      <c r="L886" s="295"/>
      <c r="M886" s="294"/>
      <c r="O886" s="294"/>
      <c r="P886" s="294"/>
      <c r="Q886" s="294"/>
      <c r="R886" s="294"/>
      <c r="S886" s="294"/>
      <c r="T886" s="294"/>
      <c r="U886" s="294"/>
      <c r="V886" s="294"/>
      <c r="W886" s="294"/>
      <c r="X886" s="294"/>
      <c r="Y886" s="294"/>
      <c r="Z886" s="294"/>
      <c r="AA886" s="294"/>
      <c r="AB886" s="294"/>
      <c r="AC886" s="294"/>
      <c r="AD886" s="294"/>
      <c r="AE886" s="294"/>
      <c r="AF886" s="294"/>
      <c r="AG886" s="294"/>
    </row>
    <row r="887" spans="2:33" x14ac:dyDescent="0.25">
      <c r="B887" s="294"/>
      <c r="C887" s="294"/>
      <c r="D887" s="294"/>
      <c r="E887" s="294"/>
      <c r="F887" s="294"/>
      <c r="G887" s="294"/>
      <c r="H887" s="294"/>
      <c r="I887" s="294"/>
      <c r="J887" s="294"/>
      <c r="L887" s="295"/>
      <c r="M887" s="294"/>
      <c r="O887" s="294"/>
      <c r="P887" s="294"/>
      <c r="Q887" s="294"/>
      <c r="R887" s="294"/>
      <c r="S887" s="294"/>
      <c r="T887" s="294"/>
      <c r="U887" s="294"/>
      <c r="V887" s="294"/>
      <c r="W887" s="294"/>
      <c r="X887" s="294"/>
      <c r="Y887" s="294"/>
      <c r="Z887" s="294"/>
      <c r="AA887" s="294"/>
      <c r="AB887" s="294"/>
      <c r="AC887" s="294"/>
      <c r="AD887" s="294"/>
      <c r="AE887" s="294"/>
      <c r="AF887" s="294"/>
      <c r="AG887" s="294"/>
    </row>
    <row r="888" spans="2:33" x14ac:dyDescent="0.25">
      <c r="B888" s="294"/>
      <c r="C888" s="294"/>
      <c r="D888" s="294"/>
      <c r="E888" s="294"/>
      <c r="F888" s="294"/>
      <c r="G888" s="294"/>
      <c r="H888" s="294"/>
      <c r="I888" s="294"/>
      <c r="J888" s="294"/>
      <c r="L888" s="295"/>
      <c r="M888" s="294"/>
      <c r="O888" s="294"/>
      <c r="P888" s="294"/>
      <c r="Q888" s="294"/>
      <c r="R888" s="294"/>
      <c r="S888" s="294"/>
      <c r="T888" s="294"/>
      <c r="U888" s="294"/>
      <c r="V888" s="294"/>
      <c r="W888" s="294"/>
      <c r="X888" s="294"/>
      <c r="Y888" s="294"/>
      <c r="Z888" s="294"/>
      <c r="AA888" s="294"/>
      <c r="AB888" s="294"/>
      <c r="AC888" s="294"/>
      <c r="AD888" s="294"/>
      <c r="AE888" s="294"/>
      <c r="AF888" s="294"/>
      <c r="AG888" s="294"/>
    </row>
    <row r="889" spans="2:33" x14ac:dyDescent="0.25">
      <c r="B889" s="294"/>
      <c r="C889" s="294"/>
      <c r="D889" s="294"/>
      <c r="E889" s="294"/>
      <c r="F889" s="294"/>
      <c r="G889" s="294"/>
      <c r="H889" s="294"/>
      <c r="I889" s="294"/>
      <c r="J889" s="294"/>
      <c r="L889" s="295"/>
      <c r="M889" s="294"/>
      <c r="O889" s="294"/>
      <c r="P889" s="294"/>
      <c r="Q889" s="294"/>
      <c r="R889" s="294"/>
      <c r="S889" s="294"/>
      <c r="T889" s="294"/>
      <c r="U889" s="294"/>
      <c r="V889" s="294"/>
      <c r="W889" s="294"/>
      <c r="X889" s="294"/>
      <c r="Y889" s="294"/>
      <c r="Z889" s="294"/>
      <c r="AA889" s="294"/>
      <c r="AB889" s="294"/>
      <c r="AC889" s="294"/>
      <c r="AD889" s="294"/>
      <c r="AE889" s="294"/>
      <c r="AF889" s="294"/>
      <c r="AG889" s="294"/>
    </row>
    <row r="890" spans="2:33" x14ac:dyDescent="0.25">
      <c r="B890" s="294"/>
      <c r="C890" s="294"/>
      <c r="D890" s="294"/>
      <c r="E890" s="294"/>
      <c r="F890" s="294"/>
      <c r="G890" s="294"/>
      <c r="H890" s="294"/>
      <c r="I890" s="294"/>
      <c r="J890" s="294"/>
      <c r="L890" s="295"/>
      <c r="M890" s="294"/>
      <c r="O890" s="294"/>
      <c r="P890" s="294"/>
      <c r="Q890" s="294"/>
      <c r="R890" s="294"/>
      <c r="S890" s="294"/>
      <c r="T890" s="294"/>
      <c r="U890" s="294"/>
      <c r="V890" s="294"/>
      <c r="W890" s="294"/>
      <c r="X890" s="294"/>
      <c r="Y890" s="294"/>
      <c r="Z890" s="294"/>
      <c r="AA890" s="294"/>
      <c r="AB890" s="294"/>
      <c r="AC890" s="294"/>
      <c r="AD890" s="294"/>
      <c r="AE890" s="294"/>
      <c r="AF890" s="294"/>
      <c r="AG890" s="294"/>
    </row>
    <row r="891" spans="2:33" x14ac:dyDescent="0.25">
      <c r="B891" s="294"/>
      <c r="C891" s="294"/>
      <c r="D891" s="294"/>
      <c r="E891" s="294"/>
      <c r="F891" s="294"/>
      <c r="G891" s="294"/>
      <c r="H891" s="294"/>
      <c r="I891" s="294"/>
      <c r="J891" s="294"/>
      <c r="L891" s="295"/>
      <c r="M891" s="294"/>
      <c r="O891" s="294"/>
      <c r="P891" s="294"/>
      <c r="Q891" s="294"/>
      <c r="R891" s="294"/>
      <c r="S891" s="294"/>
      <c r="T891" s="294"/>
      <c r="U891" s="294"/>
      <c r="V891" s="294"/>
      <c r="W891" s="294"/>
      <c r="X891" s="294"/>
      <c r="Y891" s="294"/>
      <c r="Z891" s="294"/>
      <c r="AA891" s="294"/>
      <c r="AB891" s="294"/>
      <c r="AC891" s="294"/>
      <c r="AD891" s="294"/>
      <c r="AE891" s="294"/>
      <c r="AF891" s="294"/>
      <c r="AG891" s="294"/>
    </row>
    <row r="892" spans="2:33" x14ac:dyDescent="0.25">
      <c r="B892" s="294"/>
      <c r="C892" s="294"/>
      <c r="D892" s="294"/>
      <c r="E892" s="294"/>
      <c r="F892" s="294"/>
      <c r="G892" s="294"/>
      <c r="H892" s="294"/>
      <c r="I892" s="294"/>
      <c r="J892" s="294"/>
      <c r="L892" s="295"/>
      <c r="M892" s="294"/>
      <c r="O892" s="294"/>
      <c r="P892" s="294"/>
      <c r="Q892" s="294"/>
      <c r="R892" s="294"/>
      <c r="S892" s="294"/>
      <c r="T892" s="294"/>
      <c r="U892" s="294"/>
      <c r="V892" s="294"/>
      <c r="W892" s="294"/>
      <c r="X892" s="294"/>
      <c r="Y892" s="294"/>
      <c r="Z892" s="294"/>
      <c r="AA892" s="294"/>
      <c r="AB892" s="294"/>
      <c r="AC892" s="294"/>
      <c r="AD892" s="294"/>
      <c r="AE892" s="294"/>
      <c r="AF892" s="294"/>
      <c r="AG892" s="294"/>
    </row>
    <row r="893" spans="2:33" x14ac:dyDescent="0.25">
      <c r="B893" s="294"/>
      <c r="C893" s="294"/>
      <c r="D893" s="294"/>
      <c r="E893" s="294"/>
      <c r="F893" s="294"/>
      <c r="G893" s="294"/>
      <c r="H893" s="294"/>
      <c r="I893" s="294"/>
      <c r="J893" s="294"/>
      <c r="L893" s="295"/>
      <c r="M893" s="294"/>
      <c r="O893" s="294"/>
      <c r="P893" s="294"/>
      <c r="Q893" s="294"/>
      <c r="R893" s="294"/>
      <c r="S893" s="294"/>
      <c r="T893" s="294"/>
      <c r="U893" s="294"/>
      <c r="V893" s="294"/>
      <c r="W893" s="294"/>
      <c r="X893" s="294"/>
      <c r="Y893" s="294"/>
      <c r="Z893" s="294"/>
      <c r="AA893" s="294"/>
      <c r="AB893" s="294"/>
      <c r="AC893" s="294"/>
      <c r="AD893" s="294"/>
      <c r="AE893" s="294"/>
      <c r="AF893" s="294"/>
      <c r="AG893" s="294"/>
    </row>
    <row r="894" spans="2:33" x14ac:dyDescent="0.25">
      <c r="B894" s="294"/>
      <c r="C894" s="294"/>
      <c r="D894" s="294"/>
      <c r="E894" s="294"/>
      <c r="F894" s="294"/>
      <c r="G894" s="294"/>
      <c r="H894" s="294"/>
      <c r="I894" s="294"/>
      <c r="J894" s="294"/>
      <c r="L894" s="295"/>
      <c r="M894" s="294"/>
      <c r="O894" s="294"/>
      <c r="P894" s="294"/>
      <c r="Q894" s="294"/>
      <c r="R894" s="294"/>
      <c r="S894" s="294"/>
      <c r="T894" s="294"/>
      <c r="U894" s="294"/>
      <c r="V894" s="294"/>
      <c r="W894" s="294"/>
      <c r="X894" s="294"/>
      <c r="Y894" s="294"/>
      <c r="Z894" s="294"/>
      <c r="AA894" s="294"/>
      <c r="AB894" s="294"/>
      <c r="AC894" s="294"/>
      <c r="AD894" s="294"/>
      <c r="AE894" s="294"/>
      <c r="AF894" s="294"/>
      <c r="AG894" s="294"/>
    </row>
    <row r="895" spans="2:33" x14ac:dyDescent="0.25">
      <c r="B895" s="294"/>
      <c r="C895" s="294"/>
      <c r="D895" s="294"/>
      <c r="E895" s="294"/>
      <c r="F895" s="294"/>
      <c r="G895" s="294"/>
      <c r="H895" s="294"/>
      <c r="I895" s="294"/>
      <c r="J895" s="294"/>
      <c r="L895" s="295"/>
      <c r="M895" s="294"/>
      <c r="O895" s="294"/>
      <c r="P895" s="294"/>
      <c r="Q895" s="294"/>
      <c r="R895" s="294"/>
      <c r="S895" s="294"/>
      <c r="T895" s="294"/>
      <c r="U895" s="294"/>
      <c r="V895" s="294"/>
      <c r="W895" s="294"/>
      <c r="X895" s="294"/>
      <c r="Y895" s="294"/>
      <c r="Z895" s="294"/>
      <c r="AA895" s="294"/>
      <c r="AB895" s="294"/>
      <c r="AC895" s="294"/>
      <c r="AD895" s="294"/>
      <c r="AE895" s="294"/>
      <c r="AF895" s="294"/>
      <c r="AG895" s="294"/>
    </row>
    <row r="896" spans="2:33" x14ac:dyDescent="0.25">
      <c r="B896" s="294"/>
      <c r="C896" s="294"/>
      <c r="D896" s="294"/>
      <c r="E896" s="294"/>
      <c r="F896" s="294"/>
      <c r="G896" s="294"/>
      <c r="H896" s="294"/>
      <c r="I896" s="294"/>
      <c r="J896" s="294"/>
      <c r="L896" s="295"/>
      <c r="M896" s="294"/>
      <c r="O896" s="294"/>
      <c r="P896" s="294"/>
      <c r="Q896" s="294"/>
      <c r="R896" s="294"/>
      <c r="S896" s="294"/>
      <c r="T896" s="294"/>
      <c r="U896" s="294"/>
      <c r="V896" s="294"/>
      <c r="W896" s="294"/>
      <c r="X896" s="294"/>
      <c r="Y896" s="294"/>
      <c r="Z896" s="294"/>
      <c r="AA896" s="294"/>
      <c r="AB896" s="294"/>
      <c r="AC896" s="294"/>
      <c r="AD896" s="294"/>
      <c r="AE896" s="294"/>
      <c r="AF896" s="294"/>
      <c r="AG896" s="294"/>
    </row>
    <row r="897" spans="2:33" x14ac:dyDescent="0.25">
      <c r="B897" s="294"/>
      <c r="C897" s="294"/>
      <c r="D897" s="294"/>
      <c r="E897" s="294"/>
      <c r="F897" s="294"/>
      <c r="G897" s="294"/>
      <c r="H897" s="294"/>
      <c r="I897" s="294"/>
      <c r="J897" s="294"/>
      <c r="L897" s="295"/>
      <c r="M897" s="294"/>
      <c r="O897" s="294"/>
      <c r="P897" s="294"/>
      <c r="Q897" s="294"/>
      <c r="R897" s="294"/>
      <c r="S897" s="294"/>
      <c r="T897" s="294"/>
      <c r="U897" s="294"/>
      <c r="V897" s="294"/>
      <c r="W897" s="294"/>
      <c r="X897" s="294"/>
      <c r="Y897" s="294"/>
      <c r="Z897" s="294"/>
      <c r="AA897" s="294"/>
      <c r="AB897" s="294"/>
      <c r="AC897" s="294"/>
      <c r="AD897" s="294"/>
      <c r="AE897" s="294"/>
      <c r="AF897" s="294"/>
      <c r="AG897" s="294"/>
    </row>
    <row r="898" spans="2:33" x14ac:dyDescent="0.25">
      <c r="B898" s="294"/>
      <c r="C898" s="294"/>
      <c r="D898" s="294"/>
      <c r="E898" s="294"/>
      <c r="F898" s="294"/>
      <c r="G898" s="294"/>
      <c r="H898" s="294"/>
      <c r="I898" s="294"/>
      <c r="J898" s="294"/>
      <c r="L898" s="295"/>
      <c r="M898" s="294"/>
      <c r="O898" s="294"/>
      <c r="P898" s="294"/>
      <c r="Q898" s="294"/>
      <c r="R898" s="294"/>
      <c r="S898" s="294"/>
      <c r="T898" s="294"/>
      <c r="U898" s="294"/>
      <c r="V898" s="294"/>
      <c r="W898" s="294"/>
      <c r="X898" s="294"/>
      <c r="Y898" s="294"/>
      <c r="Z898" s="294"/>
      <c r="AA898" s="294"/>
      <c r="AB898" s="294"/>
      <c r="AC898" s="294"/>
      <c r="AD898" s="294"/>
      <c r="AE898" s="294"/>
      <c r="AF898" s="294"/>
      <c r="AG898" s="294"/>
    </row>
    <row r="899" spans="2:33" x14ac:dyDescent="0.25">
      <c r="B899" s="294"/>
      <c r="C899" s="294"/>
      <c r="D899" s="294"/>
      <c r="E899" s="294"/>
      <c r="F899" s="294"/>
      <c r="G899" s="294"/>
      <c r="H899" s="294"/>
      <c r="I899" s="294"/>
      <c r="J899" s="294"/>
      <c r="L899" s="295"/>
      <c r="M899" s="294"/>
      <c r="O899" s="294"/>
      <c r="P899" s="294"/>
      <c r="Q899" s="294"/>
      <c r="R899" s="294"/>
      <c r="S899" s="294"/>
      <c r="T899" s="294"/>
      <c r="U899" s="294"/>
      <c r="V899" s="294"/>
      <c r="W899" s="294"/>
      <c r="X899" s="294"/>
      <c r="Y899" s="294"/>
      <c r="Z899" s="294"/>
      <c r="AA899" s="294"/>
      <c r="AB899" s="294"/>
      <c r="AC899" s="294"/>
      <c r="AD899" s="294"/>
      <c r="AE899" s="294"/>
      <c r="AF899" s="294"/>
      <c r="AG899" s="294"/>
    </row>
    <row r="900" spans="2:33" x14ac:dyDescent="0.25">
      <c r="B900" s="294"/>
      <c r="C900" s="294"/>
      <c r="D900" s="294"/>
      <c r="E900" s="294"/>
      <c r="F900" s="294"/>
      <c r="G900" s="294"/>
      <c r="H900" s="294"/>
      <c r="I900" s="294"/>
      <c r="J900" s="294"/>
      <c r="L900" s="295"/>
      <c r="M900" s="294"/>
      <c r="O900" s="294"/>
      <c r="P900" s="294"/>
      <c r="Q900" s="294"/>
      <c r="R900" s="294"/>
      <c r="S900" s="294"/>
      <c r="T900" s="294"/>
      <c r="U900" s="294"/>
      <c r="V900" s="294"/>
      <c r="W900" s="294"/>
      <c r="X900" s="294"/>
      <c r="Y900" s="294"/>
      <c r="Z900" s="294"/>
      <c r="AA900" s="294"/>
      <c r="AB900" s="294"/>
      <c r="AC900" s="294"/>
      <c r="AD900" s="294"/>
      <c r="AE900" s="294"/>
      <c r="AF900" s="294"/>
      <c r="AG900" s="294"/>
    </row>
    <row r="901" spans="2:33" x14ac:dyDescent="0.25">
      <c r="B901" s="294"/>
      <c r="C901" s="294"/>
      <c r="D901" s="294"/>
      <c r="E901" s="294"/>
      <c r="F901" s="294"/>
      <c r="G901" s="294"/>
      <c r="H901" s="294"/>
      <c r="I901" s="294"/>
      <c r="J901" s="294"/>
      <c r="L901" s="295"/>
      <c r="M901" s="294"/>
      <c r="O901" s="294"/>
      <c r="P901" s="294"/>
      <c r="Q901" s="294"/>
      <c r="R901" s="294"/>
      <c r="S901" s="294"/>
      <c r="T901" s="294"/>
      <c r="U901" s="294"/>
      <c r="V901" s="294"/>
      <c r="W901" s="294"/>
      <c r="X901" s="294"/>
      <c r="Y901" s="294"/>
      <c r="Z901" s="294"/>
      <c r="AA901" s="294"/>
      <c r="AB901" s="294"/>
      <c r="AC901" s="294"/>
      <c r="AD901" s="294"/>
      <c r="AE901" s="294"/>
      <c r="AF901" s="294"/>
      <c r="AG901" s="294"/>
    </row>
    <row r="902" spans="2:33" x14ac:dyDescent="0.25">
      <c r="B902" s="294"/>
      <c r="C902" s="294"/>
      <c r="D902" s="294"/>
      <c r="E902" s="294"/>
      <c r="F902" s="294"/>
      <c r="G902" s="294"/>
      <c r="H902" s="294"/>
      <c r="I902" s="294"/>
      <c r="J902" s="294"/>
      <c r="L902" s="295"/>
      <c r="M902" s="294"/>
      <c r="O902" s="294"/>
      <c r="P902" s="294"/>
      <c r="Q902" s="294"/>
      <c r="R902" s="294"/>
      <c r="S902" s="294"/>
      <c r="T902" s="294"/>
      <c r="U902" s="294"/>
      <c r="V902" s="294"/>
      <c r="W902" s="294"/>
      <c r="X902" s="294"/>
      <c r="Y902" s="294"/>
      <c r="Z902" s="294"/>
      <c r="AA902" s="294"/>
      <c r="AB902" s="294"/>
      <c r="AC902" s="294"/>
      <c r="AD902" s="294"/>
      <c r="AE902" s="294"/>
      <c r="AF902" s="294"/>
      <c r="AG902" s="294"/>
    </row>
    <row r="903" spans="2:33" x14ac:dyDescent="0.25">
      <c r="B903" s="294"/>
      <c r="C903" s="294"/>
      <c r="D903" s="294"/>
      <c r="E903" s="294"/>
      <c r="F903" s="294"/>
      <c r="G903" s="294"/>
      <c r="H903" s="294"/>
      <c r="I903" s="294"/>
      <c r="J903" s="294"/>
      <c r="L903" s="295"/>
      <c r="M903" s="294"/>
      <c r="O903" s="294"/>
      <c r="P903" s="294"/>
      <c r="Q903" s="294"/>
      <c r="R903" s="294"/>
      <c r="S903" s="294"/>
      <c r="T903" s="294"/>
      <c r="U903" s="294"/>
      <c r="V903" s="294"/>
      <c r="W903" s="294"/>
      <c r="X903" s="294"/>
      <c r="Y903" s="294"/>
      <c r="Z903" s="294"/>
      <c r="AA903" s="294"/>
      <c r="AB903" s="294"/>
      <c r="AC903" s="294"/>
      <c r="AD903" s="294"/>
      <c r="AE903" s="294"/>
      <c r="AF903" s="294"/>
      <c r="AG903" s="294"/>
    </row>
    <row r="904" spans="2:33" x14ac:dyDescent="0.25">
      <c r="B904" s="294"/>
      <c r="C904" s="294"/>
      <c r="D904" s="294"/>
      <c r="E904" s="294"/>
      <c r="F904" s="294"/>
      <c r="G904" s="294"/>
      <c r="H904" s="294"/>
      <c r="I904" s="294"/>
      <c r="J904" s="294"/>
      <c r="L904" s="295"/>
      <c r="M904" s="294"/>
      <c r="O904" s="294"/>
      <c r="P904" s="294"/>
      <c r="Q904" s="294"/>
      <c r="R904" s="294"/>
      <c r="S904" s="294"/>
      <c r="T904" s="294"/>
      <c r="U904" s="294"/>
      <c r="V904" s="294"/>
      <c r="W904" s="294"/>
      <c r="X904" s="294"/>
      <c r="Y904" s="294"/>
      <c r="Z904" s="294"/>
      <c r="AA904" s="294"/>
      <c r="AB904" s="294"/>
      <c r="AC904" s="294"/>
      <c r="AD904" s="294"/>
      <c r="AE904" s="294"/>
      <c r="AF904" s="294"/>
      <c r="AG904" s="294"/>
    </row>
    <row r="905" spans="2:33" x14ac:dyDescent="0.25">
      <c r="B905" s="294"/>
      <c r="C905" s="294"/>
      <c r="D905" s="294"/>
      <c r="E905" s="294"/>
      <c r="F905" s="294"/>
      <c r="G905" s="294"/>
      <c r="H905" s="294"/>
      <c r="I905" s="294"/>
      <c r="J905" s="294"/>
      <c r="L905" s="295"/>
      <c r="M905" s="294"/>
      <c r="O905" s="294"/>
      <c r="P905" s="294"/>
      <c r="Q905" s="294"/>
      <c r="R905" s="294"/>
      <c r="S905" s="294"/>
      <c r="T905" s="294"/>
      <c r="U905" s="294"/>
      <c r="V905" s="294"/>
      <c r="W905" s="294"/>
      <c r="X905" s="294"/>
      <c r="Y905" s="294"/>
      <c r="Z905" s="294"/>
      <c r="AA905" s="294"/>
      <c r="AB905" s="294"/>
      <c r="AC905" s="294"/>
      <c r="AD905" s="294"/>
      <c r="AE905" s="294"/>
      <c r="AF905" s="294"/>
      <c r="AG905" s="294"/>
    </row>
    <row r="906" spans="2:33" x14ac:dyDescent="0.25">
      <c r="B906" s="294"/>
      <c r="C906" s="294"/>
      <c r="D906" s="294"/>
      <c r="E906" s="294"/>
      <c r="F906" s="294"/>
      <c r="G906" s="294"/>
      <c r="H906" s="294"/>
      <c r="I906" s="294"/>
      <c r="J906" s="294"/>
      <c r="L906" s="295"/>
      <c r="M906" s="294"/>
      <c r="O906" s="294"/>
      <c r="P906" s="294"/>
      <c r="Q906" s="294"/>
      <c r="R906" s="294"/>
      <c r="S906" s="294"/>
      <c r="T906" s="294"/>
      <c r="U906" s="294"/>
      <c r="V906" s="294"/>
      <c r="W906" s="294"/>
      <c r="X906" s="294"/>
      <c r="Y906" s="294"/>
      <c r="Z906" s="294"/>
      <c r="AA906" s="294"/>
      <c r="AB906" s="294"/>
      <c r="AC906" s="294"/>
      <c r="AD906" s="294"/>
      <c r="AE906" s="294"/>
      <c r="AF906" s="294"/>
      <c r="AG906" s="294"/>
    </row>
    <row r="907" spans="2:33" x14ac:dyDescent="0.25">
      <c r="B907" s="294"/>
      <c r="C907" s="294"/>
      <c r="D907" s="294"/>
      <c r="E907" s="294"/>
      <c r="F907" s="294"/>
      <c r="G907" s="294"/>
      <c r="H907" s="294"/>
      <c r="I907" s="294"/>
      <c r="J907" s="294"/>
      <c r="L907" s="295"/>
      <c r="M907" s="294"/>
      <c r="O907" s="294"/>
      <c r="P907" s="294"/>
      <c r="Q907" s="294"/>
      <c r="R907" s="294"/>
      <c r="S907" s="294"/>
      <c r="T907" s="294"/>
      <c r="U907" s="294"/>
      <c r="V907" s="294"/>
      <c r="W907" s="294"/>
      <c r="X907" s="294"/>
      <c r="Y907" s="294"/>
      <c r="Z907" s="294"/>
      <c r="AA907" s="294"/>
      <c r="AB907" s="294"/>
      <c r="AC907" s="294"/>
      <c r="AD907" s="294"/>
      <c r="AE907" s="294"/>
      <c r="AF907" s="294"/>
      <c r="AG907" s="294"/>
    </row>
    <row r="908" spans="2:33" x14ac:dyDescent="0.25">
      <c r="B908" s="294"/>
      <c r="C908" s="294"/>
      <c r="D908" s="294"/>
      <c r="E908" s="294"/>
      <c r="F908" s="294"/>
      <c r="G908" s="294"/>
      <c r="H908" s="294"/>
      <c r="I908" s="294"/>
      <c r="J908" s="294"/>
      <c r="L908" s="295"/>
      <c r="M908" s="294"/>
      <c r="O908" s="294"/>
      <c r="P908" s="294"/>
      <c r="Q908" s="294"/>
      <c r="R908" s="294"/>
      <c r="S908" s="294"/>
      <c r="T908" s="294"/>
      <c r="U908" s="294"/>
      <c r="V908" s="294"/>
      <c r="W908" s="294"/>
      <c r="X908" s="294"/>
      <c r="Y908" s="294"/>
      <c r="Z908" s="294"/>
      <c r="AA908" s="294"/>
      <c r="AB908" s="294"/>
      <c r="AC908" s="294"/>
      <c r="AD908" s="294"/>
      <c r="AE908" s="294"/>
      <c r="AF908" s="294"/>
      <c r="AG908" s="294"/>
    </row>
    <row r="909" spans="2:33" x14ac:dyDescent="0.25">
      <c r="B909" s="294"/>
      <c r="C909" s="294"/>
      <c r="D909" s="294"/>
      <c r="E909" s="294"/>
      <c r="F909" s="294"/>
      <c r="G909" s="294"/>
      <c r="H909" s="294"/>
      <c r="I909" s="294"/>
      <c r="J909" s="294"/>
      <c r="L909" s="295"/>
      <c r="M909" s="294"/>
      <c r="O909" s="294"/>
      <c r="P909" s="294"/>
      <c r="Q909" s="294"/>
      <c r="R909" s="294"/>
      <c r="S909" s="294"/>
      <c r="T909" s="294"/>
      <c r="U909" s="294"/>
      <c r="V909" s="294"/>
      <c r="W909" s="294"/>
      <c r="X909" s="294"/>
      <c r="Y909" s="294"/>
      <c r="Z909" s="294"/>
      <c r="AA909" s="294"/>
      <c r="AB909" s="294"/>
      <c r="AC909" s="294"/>
      <c r="AD909" s="294"/>
      <c r="AE909" s="294"/>
      <c r="AF909" s="294"/>
      <c r="AG909" s="294"/>
    </row>
    <row r="910" spans="2:33" x14ac:dyDescent="0.25">
      <c r="B910" s="294"/>
      <c r="C910" s="294"/>
      <c r="D910" s="294"/>
      <c r="E910" s="294"/>
      <c r="F910" s="294"/>
      <c r="G910" s="294"/>
      <c r="H910" s="294"/>
      <c r="I910" s="294"/>
      <c r="J910" s="294"/>
      <c r="L910" s="295"/>
      <c r="M910" s="294"/>
      <c r="O910" s="294"/>
      <c r="P910" s="294"/>
      <c r="Q910" s="294"/>
      <c r="R910" s="294"/>
      <c r="S910" s="294"/>
      <c r="T910" s="294"/>
      <c r="U910" s="294"/>
      <c r="V910" s="294"/>
      <c r="W910" s="294"/>
      <c r="X910" s="294"/>
      <c r="Y910" s="294"/>
      <c r="Z910" s="294"/>
      <c r="AA910" s="294"/>
      <c r="AB910" s="294"/>
      <c r="AC910" s="294"/>
      <c r="AD910" s="294"/>
      <c r="AE910" s="294"/>
      <c r="AF910" s="294"/>
      <c r="AG910" s="294"/>
    </row>
    <row r="911" spans="2:33" x14ac:dyDescent="0.25">
      <c r="B911" s="294"/>
      <c r="C911" s="294"/>
      <c r="D911" s="294"/>
      <c r="E911" s="294"/>
      <c r="F911" s="294"/>
      <c r="G911" s="294"/>
      <c r="H911" s="294"/>
      <c r="I911" s="294"/>
      <c r="J911" s="294"/>
      <c r="L911" s="295"/>
      <c r="M911" s="294"/>
      <c r="O911" s="294"/>
      <c r="P911" s="294"/>
      <c r="Q911" s="294"/>
      <c r="R911" s="294"/>
      <c r="S911" s="294"/>
      <c r="T911" s="294"/>
      <c r="U911" s="294"/>
      <c r="V911" s="294"/>
      <c r="W911" s="294"/>
      <c r="X911" s="294"/>
      <c r="Y911" s="294"/>
      <c r="Z911" s="294"/>
      <c r="AA911" s="294"/>
      <c r="AB911" s="294"/>
      <c r="AC911" s="294"/>
      <c r="AD911" s="294"/>
      <c r="AE911" s="294"/>
      <c r="AF911" s="294"/>
      <c r="AG911" s="294"/>
    </row>
    <row r="912" spans="2:33" x14ac:dyDescent="0.25">
      <c r="B912" s="294"/>
      <c r="C912" s="294"/>
      <c r="D912" s="294"/>
      <c r="E912" s="294"/>
      <c r="F912" s="294"/>
      <c r="G912" s="294"/>
      <c r="H912" s="294"/>
      <c r="I912" s="294"/>
      <c r="J912" s="294"/>
      <c r="L912" s="295"/>
      <c r="M912" s="294"/>
      <c r="O912" s="294"/>
      <c r="P912" s="294"/>
      <c r="Q912" s="294"/>
      <c r="R912" s="294"/>
      <c r="S912" s="294"/>
      <c r="T912" s="294"/>
      <c r="U912" s="294"/>
      <c r="V912" s="294"/>
      <c r="W912" s="294"/>
      <c r="X912" s="294"/>
      <c r="Y912" s="294"/>
      <c r="Z912" s="294"/>
      <c r="AA912" s="294"/>
      <c r="AB912" s="294"/>
      <c r="AC912" s="294"/>
      <c r="AD912" s="294"/>
      <c r="AE912" s="294"/>
      <c r="AF912" s="294"/>
      <c r="AG912" s="294"/>
    </row>
    <row r="913" spans="2:33" x14ac:dyDescent="0.25">
      <c r="B913" s="294"/>
      <c r="C913" s="294"/>
      <c r="D913" s="294"/>
      <c r="E913" s="294"/>
      <c r="F913" s="294"/>
      <c r="G913" s="294"/>
      <c r="H913" s="294"/>
      <c r="I913" s="294"/>
      <c r="J913" s="294"/>
      <c r="L913" s="295"/>
      <c r="M913" s="294"/>
      <c r="O913" s="294"/>
      <c r="P913" s="294"/>
      <c r="Q913" s="294"/>
      <c r="R913" s="294"/>
      <c r="S913" s="294"/>
      <c r="T913" s="294"/>
      <c r="U913" s="294"/>
      <c r="V913" s="294"/>
      <c r="W913" s="294"/>
      <c r="X913" s="294"/>
      <c r="Y913" s="294"/>
      <c r="Z913" s="294"/>
      <c r="AA913" s="294"/>
      <c r="AB913" s="294"/>
      <c r="AC913" s="294"/>
      <c r="AD913" s="294"/>
      <c r="AE913" s="294"/>
      <c r="AF913" s="294"/>
      <c r="AG913" s="294"/>
    </row>
    <row r="914" spans="2:33" x14ac:dyDescent="0.25">
      <c r="B914" s="294"/>
      <c r="C914" s="294"/>
      <c r="D914" s="294"/>
      <c r="E914" s="294"/>
      <c r="F914" s="294"/>
      <c r="G914" s="294"/>
      <c r="H914" s="294"/>
      <c r="I914" s="294"/>
      <c r="J914" s="294"/>
      <c r="L914" s="295"/>
      <c r="M914" s="294"/>
      <c r="O914" s="294"/>
      <c r="P914" s="294"/>
      <c r="Q914" s="294"/>
      <c r="R914" s="294"/>
      <c r="S914" s="294"/>
      <c r="T914" s="294"/>
      <c r="U914" s="294"/>
      <c r="V914" s="294"/>
      <c r="W914" s="294"/>
      <c r="X914" s="294"/>
      <c r="Y914" s="294"/>
      <c r="Z914" s="294"/>
      <c r="AA914" s="294"/>
      <c r="AB914" s="294"/>
      <c r="AC914" s="294"/>
      <c r="AD914" s="294"/>
      <c r="AE914" s="294"/>
      <c r="AF914" s="294"/>
      <c r="AG914" s="294"/>
    </row>
    <row r="915" spans="2:33" x14ac:dyDescent="0.25">
      <c r="B915" s="294"/>
      <c r="C915" s="294"/>
      <c r="D915" s="294"/>
      <c r="E915" s="294"/>
      <c r="F915" s="294"/>
      <c r="G915" s="294"/>
      <c r="H915" s="294"/>
      <c r="I915" s="294"/>
      <c r="J915" s="294"/>
      <c r="L915" s="295"/>
      <c r="M915" s="294"/>
      <c r="O915" s="294"/>
      <c r="P915" s="294"/>
      <c r="Q915" s="294"/>
      <c r="R915" s="294"/>
      <c r="S915" s="294"/>
      <c r="T915" s="294"/>
      <c r="U915" s="294"/>
      <c r="V915" s="294"/>
      <c r="W915" s="294"/>
      <c r="X915" s="294"/>
      <c r="Y915" s="294"/>
      <c r="Z915" s="294"/>
      <c r="AA915" s="294"/>
      <c r="AB915" s="294"/>
      <c r="AC915" s="294"/>
      <c r="AD915" s="294"/>
      <c r="AE915" s="294"/>
      <c r="AF915" s="294"/>
      <c r="AG915" s="294"/>
    </row>
    <row r="916" spans="2:33" x14ac:dyDescent="0.25">
      <c r="B916" s="294"/>
      <c r="C916" s="294"/>
      <c r="D916" s="294"/>
      <c r="E916" s="294"/>
      <c r="F916" s="294"/>
      <c r="G916" s="294"/>
      <c r="H916" s="294"/>
      <c r="I916" s="294"/>
      <c r="J916" s="294"/>
      <c r="L916" s="295"/>
      <c r="M916" s="294"/>
      <c r="O916" s="294"/>
      <c r="P916" s="294"/>
      <c r="Q916" s="294"/>
      <c r="R916" s="294"/>
      <c r="S916" s="294"/>
      <c r="T916" s="294"/>
      <c r="U916" s="294"/>
      <c r="V916" s="294"/>
      <c r="W916" s="294"/>
      <c r="X916" s="294"/>
      <c r="Y916" s="294"/>
      <c r="Z916" s="294"/>
      <c r="AA916" s="294"/>
      <c r="AB916" s="294"/>
      <c r="AC916" s="294"/>
      <c r="AD916" s="294"/>
      <c r="AE916" s="294"/>
      <c r="AF916" s="294"/>
      <c r="AG916" s="294"/>
    </row>
    <row r="917" spans="2:33" x14ac:dyDescent="0.25">
      <c r="B917" s="294"/>
      <c r="C917" s="294"/>
      <c r="D917" s="294"/>
      <c r="E917" s="294"/>
      <c r="F917" s="294"/>
      <c r="G917" s="294"/>
      <c r="H917" s="294"/>
      <c r="I917" s="294"/>
      <c r="J917" s="294"/>
      <c r="L917" s="295"/>
      <c r="M917" s="294"/>
      <c r="O917" s="294"/>
      <c r="P917" s="294"/>
      <c r="Q917" s="294"/>
      <c r="R917" s="294"/>
      <c r="S917" s="294"/>
      <c r="T917" s="294"/>
      <c r="U917" s="294"/>
      <c r="V917" s="294"/>
      <c r="W917" s="294"/>
      <c r="X917" s="294"/>
      <c r="Y917" s="294"/>
      <c r="Z917" s="294"/>
      <c r="AA917" s="294"/>
      <c r="AB917" s="294"/>
      <c r="AC917" s="294"/>
      <c r="AD917" s="294"/>
      <c r="AE917" s="294"/>
      <c r="AF917" s="294"/>
      <c r="AG917" s="294"/>
    </row>
    <row r="918" spans="2:33" x14ac:dyDescent="0.25">
      <c r="B918" s="294"/>
      <c r="C918" s="294"/>
      <c r="D918" s="294"/>
      <c r="E918" s="294"/>
      <c r="F918" s="294"/>
      <c r="G918" s="294"/>
      <c r="H918" s="294"/>
      <c r="I918" s="294"/>
      <c r="J918" s="294"/>
      <c r="L918" s="295"/>
      <c r="M918" s="294"/>
      <c r="O918" s="294"/>
      <c r="P918" s="294"/>
      <c r="Q918" s="294"/>
      <c r="R918" s="294"/>
      <c r="S918" s="294"/>
      <c r="T918" s="294"/>
      <c r="U918" s="294"/>
      <c r="V918" s="294"/>
      <c r="W918" s="294"/>
      <c r="X918" s="294"/>
      <c r="Y918" s="294"/>
      <c r="Z918" s="294"/>
      <c r="AA918" s="294"/>
      <c r="AB918" s="294"/>
      <c r="AC918" s="294"/>
      <c r="AD918" s="294"/>
      <c r="AE918" s="294"/>
      <c r="AF918" s="294"/>
      <c r="AG918" s="294"/>
    </row>
    <row r="919" spans="2:33" x14ac:dyDescent="0.25">
      <c r="B919" s="294"/>
      <c r="C919" s="294"/>
      <c r="D919" s="294"/>
      <c r="E919" s="294"/>
      <c r="F919" s="294"/>
      <c r="G919" s="294"/>
      <c r="H919" s="294"/>
      <c r="I919" s="294"/>
      <c r="J919" s="294"/>
      <c r="L919" s="295"/>
      <c r="M919" s="294"/>
      <c r="O919" s="294"/>
      <c r="P919" s="294"/>
      <c r="Q919" s="294"/>
      <c r="R919" s="294"/>
      <c r="S919" s="294"/>
      <c r="T919" s="294"/>
      <c r="U919" s="294"/>
      <c r="V919" s="294"/>
      <c r="W919" s="294"/>
      <c r="X919" s="294"/>
      <c r="Y919" s="294"/>
      <c r="Z919" s="294"/>
      <c r="AA919" s="294"/>
      <c r="AB919" s="294"/>
      <c r="AC919" s="294"/>
      <c r="AD919" s="294"/>
      <c r="AE919" s="294"/>
      <c r="AF919" s="294"/>
      <c r="AG919" s="294"/>
    </row>
    <row r="920" spans="2:33" x14ac:dyDescent="0.25">
      <c r="B920" s="294"/>
      <c r="C920" s="294"/>
      <c r="D920" s="294"/>
      <c r="E920" s="294"/>
      <c r="F920" s="294"/>
      <c r="G920" s="294"/>
      <c r="H920" s="294"/>
      <c r="I920" s="294"/>
      <c r="J920" s="294"/>
      <c r="L920" s="295"/>
      <c r="M920" s="294"/>
      <c r="O920" s="294"/>
      <c r="P920" s="294"/>
      <c r="Q920" s="294"/>
      <c r="R920" s="294"/>
      <c r="S920" s="294"/>
      <c r="T920" s="294"/>
      <c r="U920" s="294"/>
      <c r="V920" s="294"/>
      <c r="W920" s="294"/>
      <c r="X920" s="294"/>
      <c r="Y920" s="294"/>
      <c r="Z920" s="294"/>
      <c r="AA920" s="294"/>
      <c r="AB920" s="294"/>
      <c r="AC920" s="294"/>
      <c r="AD920" s="294"/>
      <c r="AE920" s="294"/>
      <c r="AF920" s="294"/>
      <c r="AG920" s="294"/>
    </row>
    <row r="921" spans="2:33" x14ac:dyDescent="0.25">
      <c r="B921" s="294"/>
      <c r="C921" s="294"/>
      <c r="D921" s="294"/>
      <c r="E921" s="294"/>
      <c r="F921" s="294"/>
      <c r="G921" s="294"/>
      <c r="H921" s="294"/>
      <c r="I921" s="294"/>
      <c r="J921" s="294"/>
      <c r="L921" s="295"/>
      <c r="M921" s="294"/>
      <c r="O921" s="294"/>
      <c r="P921" s="294"/>
      <c r="Q921" s="294"/>
      <c r="R921" s="294"/>
      <c r="S921" s="294"/>
      <c r="T921" s="294"/>
      <c r="U921" s="294"/>
      <c r="V921" s="294"/>
      <c r="W921" s="294"/>
      <c r="X921" s="294"/>
      <c r="Y921" s="294"/>
      <c r="Z921" s="294"/>
      <c r="AA921" s="294"/>
      <c r="AB921" s="294"/>
      <c r="AC921" s="294"/>
      <c r="AD921" s="294"/>
      <c r="AE921" s="294"/>
      <c r="AF921" s="294"/>
      <c r="AG921" s="294"/>
    </row>
    <row r="922" spans="2:33" x14ac:dyDescent="0.25">
      <c r="B922" s="294"/>
      <c r="C922" s="294"/>
      <c r="D922" s="294"/>
      <c r="E922" s="294"/>
      <c r="F922" s="294"/>
      <c r="G922" s="294"/>
      <c r="H922" s="294"/>
      <c r="I922" s="294"/>
      <c r="J922" s="294"/>
      <c r="L922" s="295"/>
      <c r="M922" s="294"/>
      <c r="O922" s="294"/>
      <c r="P922" s="294"/>
      <c r="Q922" s="294"/>
      <c r="R922" s="294"/>
      <c r="S922" s="294"/>
      <c r="T922" s="294"/>
      <c r="U922" s="294"/>
      <c r="V922" s="294"/>
      <c r="W922" s="294"/>
      <c r="X922" s="294"/>
      <c r="Y922" s="294"/>
      <c r="Z922" s="294"/>
      <c r="AA922" s="294"/>
      <c r="AB922" s="294"/>
      <c r="AC922" s="294"/>
      <c r="AD922" s="294"/>
      <c r="AE922" s="294"/>
      <c r="AF922" s="294"/>
      <c r="AG922" s="294"/>
    </row>
    <row r="923" spans="2:33" x14ac:dyDescent="0.25">
      <c r="B923" s="294"/>
      <c r="C923" s="294"/>
      <c r="D923" s="294"/>
      <c r="E923" s="294"/>
      <c r="F923" s="294"/>
      <c r="G923" s="294"/>
      <c r="H923" s="294"/>
      <c r="I923" s="294"/>
      <c r="J923" s="294"/>
      <c r="L923" s="295"/>
      <c r="M923" s="294"/>
      <c r="O923" s="294"/>
      <c r="P923" s="294"/>
      <c r="Q923" s="294"/>
      <c r="R923" s="294"/>
      <c r="S923" s="294"/>
      <c r="T923" s="294"/>
      <c r="U923" s="294"/>
      <c r="V923" s="294"/>
      <c r="W923" s="294"/>
      <c r="X923" s="294"/>
      <c r="Y923" s="294"/>
      <c r="Z923" s="294"/>
      <c r="AA923" s="294"/>
      <c r="AB923" s="294"/>
      <c r="AC923" s="294"/>
      <c r="AD923" s="294"/>
      <c r="AE923" s="294"/>
      <c r="AF923" s="294"/>
      <c r="AG923" s="294"/>
    </row>
    <row r="924" spans="2:33" x14ac:dyDescent="0.25">
      <c r="B924" s="294"/>
      <c r="C924" s="294"/>
      <c r="D924" s="294"/>
      <c r="E924" s="294"/>
      <c r="F924" s="294"/>
      <c r="G924" s="294"/>
      <c r="H924" s="294"/>
      <c r="I924" s="294"/>
      <c r="J924" s="294"/>
      <c r="L924" s="295"/>
      <c r="M924" s="294"/>
      <c r="O924" s="294"/>
      <c r="P924" s="294"/>
      <c r="Q924" s="294"/>
      <c r="R924" s="294"/>
      <c r="S924" s="294"/>
      <c r="T924" s="294"/>
      <c r="U924" s="294"/>
      <c r="V924" s="294"/>
      <c r="W924" s="294"/>
      <c r="X924" s="294"/>
      <c r="Y924" s="294"/>
      <c r="Z924" s="294"/>
      <c r="AA924" s="294"/>
      <c r="AB924" s="294"/>
      <c r="AC924" s="294"/>
      <c r="AD924" s="294"/>
      <c r="AE924" s="294"/>
      <c r="AF924" s="294"/>
      <c r="AG924" s="294"/>
    </row>
    <row r="925" spans="2:33" x14ac:dyDescent="0.25">
      <c r="B925" s="294"/>
      <c r="C925" s="294"/>
      <c r="D925" s="294"/>
      <c r="E925" s="294"/>
      <c r="F925" s="294"/>
      <c r="G925" s="294"/>
      <c r="H925" s="294"/>
      <c r="I925" s="294"/>
      <c r="J925" s="294"/>
      <c r="L925" s="295"/>
      <c r="M925" s="294"/>
      <c r="O925" s="294"/>
      <c r="P925" s="294"/>
      <c r="Q925" s="294"/>
      <c r="R925" s="294"/>
      <c r="S925" s="294"/>
      <c r="T925" s="294"/>
      <c r="U925" s="294"/>
      <c r="V925" s="294"/>
      <c r="W925" s="294"/>
      <c r="X925" s="294"/>
      <c r="Y925" s="294"/>
      <c r="Z925" s="294"/>
      <c r="AA925" s="294"/>
      <c r="AB925" s="294"/>
      <c r="AC925" s="294"/>
      <c r="AD925" s="294"/>
      <c r="AE925" s="294"/>
      <c r="AF925" s="294"/>
      <c r="AG925" s="294"/>
    </row>
    <row r="926" spans="2:33" x14ac:dyDescent="0.25">
      <c r="B926" s="294"/>
      <c r="C926" s="294"/>
      <c r="D926" s="294"/>
      <c r="E926" s="294"/>
      <c r="F926" s="294"/>
      <c r="G926" s="294"/>
      <c r="H926" s="294"/>
      <c r="I926" s="294"/>
      <c r="J926" s="294"/>
      <c r="L926" s="295"/>
      <c r="M926" s="294"/>
      <c r="O926" s="294"/>
      <c r="P926" s="294"/>
      <c r="Q926" s="294"/>
      <c r="R926" s="294"/>
      <c r="S926" s="294"/>
      <c r="T926" s="294"/>
      <c r="U926" s="294"/>
      <c r="V926" s="294"/>
      <c r="W926" s="294"/>
      <c r="X926" s="294"/>
      <c r="Y926" s="294"/>
      <c r="Z926" s="294"/>
      <c r="AA926" s="294"/>
      <c r="AB926" s="294"/>
      <c r="AC926" s="294"/>
      <c r="AD926" s="294"/>
      <c r="AE926" s="294"/>
      <c r="AF926" s="294"/>
      <c r="AG926" s="294"/>
    </row>
    <row r="927" spans="2:33" x14ac:dyDescent="0.25">
      <c r="B927" s="294"/>
      <c r="C927" s="294"/>
      <c r="D927" s="294"/>
      <c r="E927" s="294"/>
      <c r="F927" s="294"/>
      <c r="G927" s="294"/>
      <c r="H927" s="294"/>
      <c r="I927" s="294"/>
      <c r="J927" s="294"/>
      <c r="L927" s="295"/>
      <c r="M927" s="294"/>
      <c r="O927" s="294"/>
      <c r="P927" s="294"/>
      <c r="Q927" s="294"/>
      <c r="R927" s="294"/>
      <c r="S927" s="294"/>
      <c r="T927" s="294"/>
      <c r="U927" s="294"/>
      <c r="V927" s="294"/>
      <c r="W927" s="294"/>
      <c r="X927" s="294"/>
      <c r="Y927" s="294"/>
      <c r="Z927" s="294"/>
      <c r="AA927" s="294"/>
      <c r="AB927" s="294"/>
      <c r="AC927" s="294"/>
      <c r="AD927" s="294"/>
      <c r="AE927" s="294"/>
      <c r="AF927" s="294"/>
      <c r="AG927" s="294"/>
    </row>
    <row r="928" spans="2:33" x14ac:dyDescent="0.25">
      <c r="B928" s="294"/>
      <c r="C928" s="294"/>
      <c r="D928" s="294"/>
      <c r="E928" s="294"/>
      <c r="F928" s="294"/>
      <c r="G928" s="294"/>
      <c r="H928" s="294"/>
      <c r="I928" s="294"/>
      <c r="J928" s="294"/>
      <c r="L928" s="295"/>
      <c r="M928" s="294"/>
      <c r="O928" s="294"/>
      <c r="P928" s="294"/>
      <c r="Q928" s="294"/>
      <c r="R928" s="294"/>
      <c r="S928" s="294"/>
      <c r="T928" s="294"/>
      <c r="U928" s="294"/>
      <c r="V928" s="294"/>
      <c r="W928" s="294"/>
      <c r="X928" s="294"/>
      <c r="Y928" s="294"/>
      <c r="Z928" s="294"/>
      <c r="AA928" s="294"/>
      <c r="AB928" s="294"/>
      <c r="AC928" s="294"/>
      <c r="AD928" s="294"/>
      <c r="AE928" s="294"/>
      <c r="AF928" s="294"/>
      <c r="AG928" s="294"/>
    </row>
    <row r="929" spans="2:33" x14ac:dyDescent="0.25">
      <c r="B929" s="294"/>
      <c r="C929" s="294"/>
      <c r="D929" s="294"/>
      <c r="E929" s="294"/>
      <c r="F929" s="294"/>
      <c r="G929" s="294"/>
      <c r="H929" s="294"/>
      <c r="I929" s="294"/>
      <c r="J929" s="294"/>
      <c r="L929" s="295"/>
      <c r="M929" s="294"/>
      <c r="O929" s="294"/>
      <c r="P929" s="294"/>
      <c r="Q929" s="294"/>
      <c r="R929" s="294"/>
      <c r="S929" s="294"/>
      <c r="T929" s="294"/>
      <c r="U929" s="294"/>
      <c r="V929" s="294"/>
      <c r="W929" s="294"/>
      <c r="X929" s="294"/>
      <c r="Y929" s="294"/>
      <c r="Z929" s="294"/>
      <c r="AA929" s="294"/>
      <c r="AB929" s="294"/>
      <c r="AC929" s="294"/>
      <c r="AD929" s="294"/>
      <c r="AE929" s="294"/>
      <c r="AF929" s="294"/>
      <c r="AG929" s="294"/>
    </row>
    <row r="930" spans="2:33" x14ac:dyDescent="0.25">
      <c r="B930" s="294"/>
      <c r="C930" s="294"/>
      <c r="D930" s="294"/>
      <c r="E930" s="294"/>
      <c r="F930" s="294"/>
      <c r="G930" s="294"/>
      <c r="H930" s="294"/>
      <c r="I930" s="294"/>
      <c r="J930" s="294"/>
      <c r="L930" s="295"/>
      <c r="M930" s="294"/>
      <c r="O930" s="294"/>
      <c r="P930" s="294"/>
      <c r="Q930" s="294"/>
      <c r="R930" s="294"/>
      <c r="S930" s="294"/>
      <c r="T930" s="294"/>
      <c r="U930" s="294"/>
      <c r="V930" s="294"/>
      <c r="W930" s="294"/>
      <c r="X930" s="294"/>
      <c r="Y930" s="294"/>
      <c r="Z930" s="294"/>
      <c r="AA930" s="294"/>
      <c r="AB930" s="294"/>
      <c r="AC930" s="294"/>
      <c r="AD930" s="294"/>
      <c r="AE930" s="294"/>
      <c r="AF930" s="294"/>
      <c r="AG930" s="294"/>
    </row>
    <row r="931" spans="2:33" x14ac:dyDescent="0.25">
      <c r="B931" s="294"/>
      <c r="C931" s="294"/>
      <c r="D931" s="294"/>
      <c r="E931" s="294"/>
      <c r="F931" s="294"/>
      <c r="G931" s="294"/>
      <c r="H931" s="294"/>
      <c r="I931" s="294"/>
      <c r="J931" s="294"/>
      <c r="L931" s="295"/>
      <c r="M931" s="294"/>
      <c r="O931" s="294"/>
      <c r="P931" s="294"/>
      <c r="Q931" s="294"/>
      <c r="R931" s="294"/>
      <c r="S931" s="294"/>
      <c r="T931" s="294"/>
      <c r="U931" s="294"/>
      <c r="V931" s="294"/>
      <c r="W931" s="294"/>
      <c r="X931" s="294"/>
      <c r="Y931" s="294"/>
      <c r="Z931" s="294"/>
      <c r="AA931" s="294"/>
      <c r="AB931" s="294"/>
      <c r="AC931" s="294"/>
      <c r="AD931" s="294"/>
      <c r="AE931" s="294"/>
      <c r="AF931" s="294"/>
      <c r="AG931" s="294"/>
    </row>
    <row r="932" spans="2:33" x14ac:dyDescent="0.25">
      <c r="B932" s="294"/>
      <c r="C932" s="294"/>
      <c r="D932" s="294"/>
      <c r="E932" s="294"/>
      <c r="F932" s="294"/>
      <c r="G932" s="294"/>
      <c r="H932" s="294"/>
      <c r="I932" s="294"/>
      <c r="J932" s="294"/>
      <c r="L932" s="295"/>
      <c r="M932" s="294"/>
      <c r="O932" s="294"/>
      <c r="P932" s="294"/>
      <c r="Q932" s="294"/>
      <c r="R932" s="294"/>
      <c r="S932" s="294"/>
      <c r="T932" s="294"/>
      <c r="U932" s="294"/>
      <c r="V932" s="294"/>
      <c r="W932" s="294"/>
      <c r="X932" s="294"/>
      <c r="Y932" s="294"/>
      <c r="Z932" s="294"/>
      <c r="AA932" s="294"/>
      <c r="AB932" s="294"/>
      <c r="AC932" s="294"/>
      <c r="AD932" s="294"/>
      <c r="AE932" s="294"/>
      <c r="AF932" s="294"/>
      <c r="AG932" s="294"/>
    </row>
    <row r="933" spans="2:33" x14ac:dyDescent="0.25">
      <c r="B933" s="294"/>
      <c r="C933" s="294"/>
      <c r="D933" s="294"/>
      <c r="E933" s="294"/>
      <c r="F933" s="294"/>
      <c r="G933" s="294"/>
      <c r="H933" s="294"/>
      <c r="I933" s="294"/>
      <c r="J933" s="294"/>
      <c r="L933" s="295"/>
      <c r="M933" s="294"/>
      <c r="O933" s="294"/>
      <c r="P933" s="294"/>
      <c r="Q933" s="294"/>
      <c r="R933" s="294"/>
      <c r="S933" s="294"/>
      <c r="T933" s="294"/>
      <c r="U933" s="294"/>
      <c r="V933" s="294"/>
      <c r="W933" s="294"/>
      <c r="X933" s="294"/>
      <c r="Y933" s="294"/>
      <c r="Z933" s="294"/>
      <c r="AA933" s="294"/>
      <c r="AB933" s="294"/>
      <c r="AC933" s="294"/>
      <c r="AD933" s="294"/>
      <c r="AE933" s="294"/>
      <c r="AF933" s="294"/>
      <c r="AG933" s="294"/>
    </row>
    <row r="934" spans="2:33" x14ac:dyDescent="0.25">
      <c r="B934" s="294"/>
      <c r="C934" s="294"/>
      <c r="D934" s="294"/>
      <c r="E934" s="294"/>
      <c r="F934" s="294"/>
      <c r="G934" s="294"/>
      <c r="H934" s="294"/>
      <c r="I934" s="294"/>
      <c r="J934" s="294"/>
      <c r="L934" s="295"/>
      <c r="M934" s="294"/>
      <c r="O934" s="294"/>
      <c r="P934" s="294"/>
      <c r="Q934" s="294"/>
      <c r="R934" s="294"/>
      <c r="S934" s="294"/>
      <c r="T934" s="294"/>
      <c r="U934" s="294"/>
      <c r="V934" s="294"/>
      <c r="W934" s="294"/>
      <c r="X934" s="294"/>
      <c r="Y934" s="294"/>
      <c r="Z934" s="294"/>
      <c r="AA934" s="294"/>
      <c r="AB934" s="294"/>
      <c r="AC934" s="294"/>
      <c r="AD934" s="294"/>
      <c r="AE934" s="294"/>
      <c r="AF934" s="294"/>
      <c r="AG934" s="294"/>
    </row>
    <row r="935" spans="2:33" x14ac:dyDescent="0.25">
      <c r="B935" s="294"/>
      <c r="C935" s="294"/>
      <c r="D935" s="294"/>
      <c r="E935" s="294"/>
      <c r="F935" s="294"/>
      <c r="G935" s="294"/>
      <c r="H935" s="294"/>
      <c r="I935" s="294"/>
      <c r="J935" s="294"/>
      <c r="L935" s="295"/>
      <c r="M935" s="294"/>
      <c r="O935" s="294"/>
      <c r="P935" s="294"/>
      <c r="Q935" s="294"/>
      <c r="R935" s="294"/>
      <c r="S935" s="294"/>
      <c r="T935" s="294"/>
      <c r="U935" s="294"/>
      <c r="V935" s="294"/>
      <c r="W935" s="294"/>
      <c r="X935" s="294"/>
      <c r="Y935" s="294"/>
      <c r="Z935" s="294"/>
      <c r="AA935" s="294"/>
      <c r="AB935" s="294"/>
      <c r="AC935" s="294"/>
      <c r="AD935" s="294"/>
      <c r="AE935" s="294"/>
      <c r="AF935" s="294"/>
      <c r="AG935" s="294"/>
    </row>
    <row r="936" spans="2:33" x14ac:dyDescent="0.25">
      <c r="B936" s="294"/>
      <c r="C936" s="294"/>
      <c r="D936" s="294"/>
      <c r="E936" s="294"/>
      <c r="F936" s="294"/>
      <c r="G936" s="294"/>
      <c r="H936" s="294"/>
      <c r="I936" s="294"/>
      <c r="J936" s="294"/>
      <c r="L936" s="295"/>
      <c r="M936" s="294"/>
      <c r="O936" s="294"/>
      <c r="P936" s="294"/>
      <c r="Q936" s="294"/>
      <c r="R936" s="294"/>
      <c r="S936" s="294"/>
      <c r="T936" s="294"/>
      <c r="U936" s="294"/>
      <c r="V936" s="294"/>
      <c r="W936" s="294"/>
      <c r="X936" s="294"/>
      <c r="Y936" s="294"/>
      <c r="Z936" s="294"/>
      <c r="AA936" s="294"/>
      <c r="AB936" s="294"/>
      <c r="AC936" s="294"/>
      <c r="AD936" s="294"/>
      <c r="AE936" s="294"/>
      <c r="AF936" s="294"/>
      <c r="AG936" s="294"/>
    </row>
    <row r="937" spans="2:33" x14ac:dyDescent="0.25">
      <c r="B937" s="294"/>
      <c r="C937" s="294"/>
      <c r="D937" s="294"/>
      <c r="E937" s="294"/>
      <c r="F937" s="294"/>
      <c r="G937" s="294"/>
      <c r="H937" s="294"/>
      <c r="I937" s="294"/>
      <c r="J937" s="294"/>
      <c r="L937" s="295"/>
      <c r="M937" s="294"/>
      <c r="O937" s="294"/>
      <c r="P937" s="294"/>
      <c r="Q937" s="294"/>
      <c r="R937" s="294"/>
      <c r="S937" s="294"/>
      <c r="T937" s="294"/>
      <c r="U937" s="294"/>
      <c r="V937" s="294"/>
      <c r="W937" s="294"/>
      <c r="X937" s="294"/>
      <c r="Y937" s="294"/>
      <c r="Z937" s="294"/>
      <c r="AA937" s="294"/>
      <c r="AB937" s="294"/>
      <c r="AC937" s="294"/>
      <c r="AD937" s="294"/>
      <c r="AE937" s="294"/>
      <c r="AF937" s="294"/>
      <c r="AG937" s="294"/>
    </row>
    <row r="938" spans="2:33" x14ac:dyDescent="0.25">
      <c r="B938" s="294"/>
      <c r="C938" s="294"/>
      <c r="D938" s="294"/>
      <c r="E938" s="294"/>
      <c r="F938" s="294"/>
      <c r="G938" s="294"/>
      <c r="H938" s="294"/>
      <c r="I938" s="294"/>
      <c r="J938" s="294"/>
      <c r="L938" s="295"/>
      <c r="M938" s="294"/>
      <c r="O938" s="294"/>
      <c r="P938" s="294"/>
      <c r="Q938" s="294"/>
      <c r="R938" s="294"/>
      <c r="S938" s="294"/>
      <c r="T938" s="294"/>
      <c r="U938" s="294"/>
      <c r="V938" s="294"/>
      <c r="W938" s="294"/>
      <c r="X938" s="294"/>
      <c r="Y938" s="294"/>
      <c r="Z938" s="294"/>
      <c r="AA938" s="294"/>
      <c r="AB938" s="294"/>
      <c r="AC938" s="294"/>
      <c r="AD938" s="294"/>
      <c r="AE938" s="294"/>
      <c r="AF938" s="294"/>
      <c r="AG938" s="294"/>
    </row>
    <row r="939" spans="2:33" x14ac:dyDescent="0.25">
      <c r="B939" s="294"/>
      <c r="C939" s="294"/>
      <c r="D939" s="294"/>
      <c r="E939" s="294"/>
      <c r="F939" s="294"/>
      <c r="G939" s="294"/>
      <c r="H939" s="294"/>
      <c r="I939" s="294"/>
      <c r="J939" s="294"/>
      <c r="L939" s="295"/>
      <c r="M939" s="294"/>
      <c r="O939" s="294"/>
      <c r="P939" s="294"/>
      <c r="Q939" s="294"/>
      <c r="R939" s="294"/>
      <c r="S939" s="294"/>
      <c r="T939" s="294"/>
      <c r="U939" s="294"/>
      <c r="V939" s="294"/>
      <c r="W939" s="294"/>
      <c r="X939" s="294"/>
      <c r="Y939" s="294"/>
      <c r="Z939" s="294"/>
      <c r="AA939" s="294"/>
      <c r="AB939" s="294"/>
      <c r="AC939" s="294"/>
      <c r="AD939" s="294"/>
      <c r="AE939" s="294"/>
      <c r="AF939" s="294"/>
      <c r="AG939" s="294"/>
    </row>
    <row r="940" spans="2:33" x14ac:dyDescent="0.25">
      <c r="B940" s="294"/>
      <c r="C940" s="294"/>
      <c r="D940" s="294"/>
      <c r="E940" s="294"/>
      <c r="F940" s="294"/>
      <c r="G940" s="294"/>
      <c r="H940" s="294"/>
      <c r="I940" s="294"/>
      <c r="J940" s="294"/>
      <c r="L940" s="295"/>
      <c r="M940" s="294"/>
      <c r="O940" s="294"/>
      <c r="P940" s="294"/>
      <c r="Q940" s="294"/>
      <c r="R940" s="294"/>
      <c r="S940" s="294"/>
      <c r="T940" s="294"/>
      <c r="U940" s="294"/>
      <c r="V940" s="294"/>
      <c r="W940" s="294"/>
      <c r="X940" s="294"/>
      <c r="Y940" s="294"/>
      <c r="Z940" s="294"/>
      <c r="AA940" s="294"/>
      <c r="AB940" s="294"/>
      <c r="AC940" s="294"/>
      <c r="AD940" s="294"/>
      <c r="AE940" s="294"/>
      <c r="AF940" s="294"/>
      <c r="AG940" s="294"/>
    </row>
    <row r="941" spans="2:33" x14ac:dyDescent="0.25">
      <c r="B941" s="294"/>
      <c r="C941" s="294"/>
      <c r="D941" s="294"/>
      <c r="E941" s="294"/>
      <c r="F941" s="294"/>
      <c r="G941" s="294"/>
      <c r="H941" s="294"/>
      <c r="I941" s="294"/>
      <c r="J941" s="294"/>
      <c r="L941" s="295"/>
      <c r="M941" s="294"/>
      <c r="O941" s="294"/>
      <c r="P941" s="294"/>
      <c r="Q941" s="294"/>
      <c r="R941" s="294"/>
      <c r="S941" s="294"/>
      <c r="T941" s="294"/>
      <c r="U941" s="294"/>
      <c r="V941" s="294"/>
      <c r="W941" s="294"/>
      <c r="X941" s="294"/>
      <c r="Y941" s="294"/>
      <c r="Z941" s="294"/>
      <c r="AA941" s="294"/>
      <c r="AB941" s="294"/>
      <c r="AC941" s="294"/>
      <c r="AD941" s="294"/>
      <c r="AE941" s="294"/>
      <c r="AF941" s="294"/>
      <c r="AG941" s="294"/>
    </row>
    <row r="942" spans="2:33" x14ac:dyDescent="0.25">
      <c r="B942" s="294"/>
      <c r="C942" s="294"/>
      <c r="D942" s="294"/>
      <c r="E942" s="294"/>
      <c r="F942" s="294"/>
      <c r="G942" s="294"/>
      <c r="H942" s="294"/>
      <c r="I942" s="294"/>
      <c r="J942" s="294"/>
      <c r="L942" s="295"/>
      <c r="M942" s="294"/>
      <c r="O942" s="294"/>
      <c r="P942" s="294"/>
      <c r="Q942" s="294"/>
      <c r="R942" s="294"/>
      <c r="S942" s="294"/>
      <c r="T942" s="294"/>
      <c r="U942" s="294"/>
      <c r="V942" s="294"/>
      <c r="W942" s="294"/>
      <c r="X942" s="294"/>
      <c r="Y942" s="294"/>
      <c r="Z942" s="294"/>
      <c r="AA942" s="294"/>
      <c r="AB942" s="294"/>
      <c r="AC942" s="294"/>
      <c r="AD942" s="294"/>
      <c r="AE942" s="294"/>
      <c r="AF942" s="294"/>
      <c r="AG942" s="294"/>
    </row>
    <row r="943" spans="2:33" x14ac:dyDescent="0.25">
      <c r="B943" s="294"/>
      <c r="C943" s="294"/>
      <c r="D943" s="294"/>
      <c r="E943" s="294"/>
      <c r="F943" s="294"/>
      <c r="G943" s="294"/>
      <c r="H943" s="294"/>
      <c r="I943" s="294"/>
      <c r="J943" s="294"/>
      <c r="L943" s="295"/>
      <c r="M943" s="294"/>
      <c r="O943" s="294"/>
      <c r="P943" s="294"/>
      <c r="Q943" s="294"/>
      <c r="R943" s="294"/>
      <c r="S943" s="294"/>
      <c r="T943" s="294"/>
      <c r="U943" s="294"/>
      <c r="V943" s="294"/>
      <c r="W943" s="294"/>
      <c r="X943" s="294"/>
      <c r="Y943" s="294"/>
      <c r="Z943" s="294"/>
      <c r="AA943" s="294"/>
      <c r="AB943" s="294"/>
      <c r="AC943" s="294"/>
      <c r="AD943" s="294"/>
      <c r="AE943" s="294"/>
      <c r="AF943" s="294"/>
      <c r="AG943" s="294"/>
    </row>
    <row r="944" spans="2:33" x14ac:dyDescent="0.25">
      <c r="B944" s="294"/>
      <c r="C944" s="294"/>
      <c r="D944" s="294"/>
      <c r="E944" s="294"/>
      <c r="F944" s="294"/>
      <c r="G944" s="294"/>
      <c r="H944" s="294"/>
      <c r="I944" s="294"/>
      <c r="J944" s="294"/>
      <c r="L944" s="295"/>
      <c r="M944" s="294"/>
      <c r="O944" s="294"/>
      <c r="P944" s="294"/>
      <c r="Q944" s="294"/>
      <c r="R944" s="294"/>
      <c r="S944" s="294"/>
      <c r="T944" s="294"/>
      <c r="U944" s="294"/>
      <c r="V944" s="294"/>
      <c r="W944" s="294"/>
      <c r="X944" s="294"/>
      <c r="Y944" s="294"/>
      <c r="Z944" s="294"/>
      <c r="AA944" s="294"/>
      <c r="AB944" s="294"/>
      <c r="AC944" s="294"/>
      <c r="AD944" s="294"/>
      <c r="AE944" s="294"/>
      <c r="AF944" s="294"/>
      <c r="AG944" s="294"/>
    </row>
    <row r="945" spans="2:33" x14ac:dyDescent="0.25">
      <c r="B945" s="294"/>
      <c r="C945" s="294"/>
      <c r="D945" s="294"/>
      <c r="E945" s="294"/>
      <c r="F945" s="294"/>
      <c r="G945" s="294"/>
      <c r="H945" s="294"/>
      <c r="I945" s="294"/>
      <c r="J945" s="294"/>
      <c r="L945" s="295"/>
      <c r="M945" s="294"/>
      <c r="O945" s="294"/>
      <c r="P945" s="294"/>
      <c r="Q945" s="294"/>
      <c r="R945" s="294"/>
      <c r="S945" s="294"/>
      <c r="T945" s="294"/>
      <c r="U945" s="294"/>
      <c r="V945" s="294"/>
      <c r="W945" s="294"/>
      <c r="X945" s="294"/>
      <c r="Y945" s="294"/>
      <c r="Z945" s="294"/>
      <c r="AA945" s="294"/>
      <c r="AB945" s="294"/>
      <c r="AC945" s="294"/>
      <c r="AD945" s="294"/>
      <c r="AE945" s="294"/>
      <c r="AF945" s="294"/>
      <c r="AG945" s="294"/>
    </row>
    <row r="946" spans="2:33" x14ac:dyDescent="0.25">
      <c r="B946" s="294"/>
      <c r="C946" s="294"/>
      <c r="D946" s="294"/>
      <c r="E946" s="294"/>
      <c r="F946" s="294"/>
      <c r="G946" s="294"/>
      <c r="H946" s="294"/>
      <c r="I946" s="294"/>
      <c r="J946" s="294"/>
      <c r="L946" s="295"/>
      <c r="M946" s="294"/>
      <c r="O946" s="294"/>
      <c r="P946" s="294"/>
      <c r="Q946" s="294"/>
      <c r="R946" s="294"/>
      <c r="S946" s="294"/>
      <c r="T946" s="294"/>
      <c r="U946" s="294"/>
      <c r="V946" s="294"/>
      <c r="W946" s="294"/>
      <c r="X946" s="294"/>
      <c r="Y946" s="294"/>
      <c r="Z946" s="294"/>
      <c r="AA946" s="294"/>
      <c r="AB946" s="294"/>
      <c r="AC946" s="294"/>
      <c r="AD946" s="294"/>
      <c r="AE946" s="294"/>
      <c r="AF946" s="294"/>
      <c r="AG946" s="294"/>
    </row>
    <row r="947" spans="2:33" x14ac:dyDescent="0.25">
      <c r="B947" s="294"/>
      <c r="C947" s="294"/>
      <c r="D947" s="294"/>
      <c r="E947" s="294"/>
      <c r="F947" s="294"/>
      <c r="G947" s="294"/>
      <c r="H947" s="294"/>
      <c r="I947" s="294"/>
      <c r="J947" s="294"/>
      <c r="L947" s="295"/>
      <c r="M947" s="294"/>
      <c r="O947" s="294"/>
      <c r="P947" s="294"/>
      <c r="Q947" s="294"/>
      <c r="R947" s="294"/>
      <c r="S947" s="294"/>
      <c r="T947" s="294"/>
      <c r="U947" s="294"/>
      <c r="V947" s="294"/>
      <c r="W947" s="294"/>
      <c r="X947" s="294"/>
      <c r="Y947" s="294"/>
      <c r="Z947" s="294"/>
      <c r="AA947" s="294"/>
      <c r="AB947" s="294"/>
      <c r="AC947" s="294"/>
      <c r="AD947" s="294"/>
      <c r="AE947" s="294"/>
      <c r="AF947" s="294"/>
      <c r="AG947" s="294"/>
    </row>
    <row r="948" spans="2:33" x14ac:dyDescent="0.25">
      <c r="B948" s="294"/>
      <c r="C948" s="294"/>
      <c r="D948" s="294"/>
      <c r="E948" s="294"/>
      <c r="F948" s="294"/>
      <c r="G948" s="294"/>
      <c r="H948" s="294"/>
      <c r="I948" s="294"/>
      <c r="J948" s="294"/>
      <c r="L948" s="295"/>
      <c r="M948" s="294"/>
      <c r="O948" s="294"/>
      <c r="P948" s="294"/>
      <c r="Q948" s="294"/>
      <c r="R948" s="294"/>
      <c r="S948" s="294"/>
      <c r="T948" s="294"/>
      <c r="U948" s="294"/>
      <c r="V948" s="294"/>
      <c r="W948" s="294"/>
      <c r="X948" s="294"/>
      <c r="Y948" s="294"/>
      <c r="Z948" s="294"/>
      <c r="AA948" s="294"/>
      <c r="AB948" s="294"/>
      <c r="AC948" s="294"/>
      <c r="AD948" s="294"/>
      <c r="AE948" s="294"/>
      <c r="AF948" s="294"/>
      <c r="AG948" s="294"/>
    </row>
    <row r="949" spans="2:33" x14ac:dyDescent="0.25">
      <c r="B949" s="294"/>
      <c r="C949" s="294"/>
      <c r="D949" s="294"/>
      <c r="E949" s="294"/>
      <c r="F949" s="294"/>
      <c r="G949" s="294"/>
      <c r="H949" s="294"/>
      <c r="I949" s="294"/>
      <c r="J949" s="294"/>
      <c r="L949" s="295"/>
      <c r="M949" s="294"/>
      <c r="O949" s="294"/>
      <c r="P949" s="294"/>
      <c r="Q949" s="294"/>
      <c r="R949" s="294"/>
      <c r="S949" s="294"/>
      <c r="T949" s="294"/>
      <c r="U949" s="294"/>
      <c r="V949" s="294"/>
      <c r="W949" s="294"/>
      <c r="X949" s="294"/>
      <c r="Y949" s="294"/>
      <c r="Z949" s="294"/>
      <c r="AA949" s="294"/>
      <c r="AB949" s="294"/>
      <c r="AC949" s="294"/>
      <c r="AD949" s="294"/>
      <c r="AE949" s="294"/>
      <c r="AF949" s="294"/>
      <c r="AG949" s="294"/>
    </row>
    <row r="950" spans="2:33" x14ac:dyDescent="0.25">
      <c r="B950" s="294"/>
      <c r="C950" s="294"/>
      <c r="D950" s="294"/>
      <c r="E950" s="294"/>
      <c r="F950" s="294"/>
      <c r="G950" s="294"/>
      <c r="H950" s="294"/>
      <c r="I950" s="294"/>
      <c r="J950" s="294"/>
      <c r="L950" s="295"/>
      <c r="M950" s="294"/>
      <c r="O950" s="294"/>
      <c r="P950" s="294"/>
      <c r="Q950" s="294"/>
      <c r="R950" s="294"/>
      <c r="S950" s="294"/>
      <c r="T950" s="294"/>
      <c r="U950" s="294"/>
      <c r="V950" s="294"/>
      <c r="W950" s="294"/>
      <c r="X950" s="294"/>
      <c r="Y950" s="294"/>
      <c r="Z950" s="294"/>
      <c r="AA950" s="294"/>
      <c r="AB950" s="294"/>
      <c r="AC950" s="294"/>
      <c r="AD950" s="294"/>
      <c r="AE950" s="294"/>
      <c r="AF950" s="294"/>
      <c r="AG950" s="294"/>
    </row>
    <row r="951" spans="2:33" x14ac:dyDescent="0.25">
      <c r="B951" s="294"/>
      <c r="C951" s="294"/>
      <c r="D951" s="294"/>
      <c r="E951" s="294"/>
      <c r="F951" s="294"/>
      <c r="G951" s="294"/>
      <c r="H951" s="294"/>
      <c r="I951" s="294"/>
      <c r="J951" s="294"/>
      <c r="L951" s="295"/>
      <c r="M951" s="294"/>
      <c r="O951" s="294"/>
      <c r="P951" s="294"/>
      <c r="Q951" s="294"/>
      <c r="R951" s="294"/>
      <c r="S951" s="294"/>
      <c r="T951" s="294"/>
      <c r="U951" s="294"/>
      <c r="V951" s="294"/>
      <c r="W951" s="294"/>
      <c r="X951" s="294"/>
      <c r="Y951" s="294"/>
      <c r="Z951" s="294"/>
      <c r="AA951" s="294"/>
      <c r="AB951" s="294"/>
      <c r="AC951" s="294"/>
      <c r="AD951" s="294"/>
      <c r="AE951" s="294"/>
      <c r="AF951" s="294"/>
      <c r="AG951" s="294"/>
    </row>
    <row r="952" spans="2:33" x14ac:dyDescent="0.25">
      <c r="B952" s="294"/>
      <c r="C952" s="294"/>
      <c r="D952" s="294"/>
      <c r="E952" s="294"/>
      <c r="F952" s="294"/>
      <c r="G952" s="294"/>
      <c r="H952" s="294"/>
      <c r="I952" s="294"/>
      <c r="J952" s="294"/>
      <c r="L952" s="295"/>
      <c r="M952" s="294"/>
      <c r="O952" s="294"/>
      <c r="P952" s="294"/>
      <c r="Q952" s="294"/>
      <c r="R952" s="294"/>
      <c r="S952" s="294"/>
      <c r="T952" s="294"/>
      <c r="U952" s="294"/>
      <c r="V952" s="294"/>
      <c r="W952" s="294"/>
      <c r="X952" s="294"/>
      <c r="Y952" s="294"/>
      <c r="Z952" s="294"/>
      <c r="AA952" s="294"/>
      <c r="AB952" s="294"/>
      <c r="AC952" s="294"/>
      <c r="AD952" s="294"/>
      <c r="AE952" s="294"/>
      <c r="AF952" s="294"/>
      <c r="AG952" s="294"/>
    </row>
    <row r="953" spans="2:33" x14ac:dyDescent="0.25">
      <c r="B953" s="294"/>
      <c r="C953" s="294"/>
      <c r="D953" s="294"/>
      <c r="E953" s="294"/>
      <c r="F953" s="294"/>
      <c r="G953" s="294"/>
      <c r="H953" s="294"/>
      <c r="I953" s="294"/>
      <c r="J953" s="294"/>
      <c r="L953" s="295"/>
      <c r="M953" s="294"/>
      <c r="O953" s="294"/>
      <c r="P953" s="294"/>
      <c r="Q953" s="294"/>
      <c r="R953" s="294"/>
      <c r="S953" s="294"/>
      <c r="T953" s="294"/>
      <c r="U953" s="294"/>
      <c r="V953" s="294"/>
      <c r="W953" s="294"/>
      <c r="X953" s="294"/>
      <c r="Y953" s="294"/>
      <c r="Z953" s="294"/>
      <c r="AA953" s="294"/>
      <c r="AB953" s="294"/>
      <c r="AC953" s="294"/>
      <c r="AD953" s="294"/>
      <c r="AE953" s="294"/>
      <c r="AF953" s="294"/>
      <c r="AG953" s="294"/>
    </row>
    <row r="954" spans="2:33" x14ac:dyDescent="0.25">
      <c r="B954" s="294"/>
      <c r="C954" s="294"/>
      <c r="D954" s="294"/>
      <c r="E954" s="294"/>
      <c r="F954" s="294"/>
      <c r="G954" s="294"/>
      <c r="H954" s="294"/>
      <c r="I954" s="294"/>
      <c r="J954" s="294"/>
      <c r="L954" s="295"/>
      <c r="M954" s="294"/>
      <c r="O954" s="294"/>
      <c r="P954" s="294"/>
      <c r="Q954" s="294"/>
      <c r="R954" s="294"/>
      <c r="S954" s="294"/>
      <c r="T954" s="294"/>
      <c r="U954" s="294"/>
      <c r="V954" s="294"/>
      <c r="W954" s="294"/>
      <c r="X954" s="294"/>
      <c r="Y954" s="294"/>
      <c r="Z954" s="294"/>
      <c r="AA954" s="294"/>
      <c r="AB954" s="294"/>
      <c r="AC954" s="294"/>
      <c r="AD954" s="294"/>
      <c r="AE954" s="294"/>
      <c r="AF954" s="294"/>
      <c r="AG954" s="294"/>
    </row>
    <row r="955" spans="2:33" x14ac:dyDescent="0.25">
      <c r="B955" s="294"/>
      <c r="C955" s="294"/>
      <c r="D955" s="294"/>
      <c r="E955" s="294"/>
      <c r="F955" s="294"/>
      <c r="G955" s="294"/>
      <c r="H955" s="294"/>
      <c r="I955" s="294"/>
      <c r="J955" s="294"/>
      <c r="L955" s="295"/>
      <c r="M955" s="294"/>
      <c r="O955" s="294"/>
      <c r="P955" s="294"/>
      <c r="Q955" s="294"/>
      <c r="R955" s="294"/>
      <c r="S955" s="294"/>
      <c r="T955" s="294"/>
      <c r="U955" s="294"/>
      <c r="V955" s="294"/>
      <c r="W955" s="294"/>
      <c r="X955" s="294"/>
      <c r="Y955" s="294"/>
      <c r="Z955" s="294"/>
      <c r="AA955" s="294"/>
      <c r="AB955" s="294"/>
      <c r="AC955" s="294"/>
      <c r="AD955" s="294"/>
      <c r="AE955" s="294"/>
      <c r="AF955" s="294"/>
      <c r="AG955" s="294"/>
    </row>
    <row r="956" spans="2:33" x14ac:dyDescent="0.25">
      <c r="B956" s="294"/>
      <c r="C956" s="294"/>
      <c r="D956" s="294"/>
      <c r="E956" s="294"/>
      <c r="F956" s="294"/>
      <c r="G956" s="294"/>
      <c r="H956" s="294"/>
      <c r="I956" s="294"/>
      <c r="J956" s="294"/>
      <c r="L956" s="295"/>
      <c r="M956" s="294"/>
      <c r="O956" s="294"/>
      <c r="P956" s="294"/>
      <c r="Q956" s="294"/>
      <c r="R956" s="294"/>
      <c r="S956" s="294"/>
      <c r="T956" s="294"/>
      <c r="U956" s="294"/>
      <c r="V956" s="294"/>
      <c r="W956" s="294"/>
      <c r="X956" s="294"/>
      <c r="Y956" s="294"/>
      <c r="Z956" s="294"/>
      <c r="AA956" s="294"/>
      <c r="AB956" s="294"/>
      <c r="AC956" s="294"/>
      <c r="AD956" s="294"/>
      <c r="AE956" s="294"/>
      <c r="AF956" s="294"/>
      <c r="AG956" s="294"/>
    </row>
    <row r="957" spans="2:33" x14ac:dyDescent="0.25">
      <c r="B957" s="294"/>
      <c r="C957" s="294"/>
      <c r="D957" s="294"/>
      <c r="E957" s="294"/>
      <c r="F957" s="294"/>
      <c r="G957" s="294"/>
      <c r="H957" s="294"/>
      <c r="I957" s="294"/>
      <c r="J957" s="294"/>
      <c r="L957" s="295"/>
      <c r="M957" s="294"/>
      <c r="O957" s="294"/>
      <c r="P957" s="294"/>
      <c r="Q957" s="294"/>
      <c r="R957" s="294"/>
      <c r="S957" s="294"/>
      <c r="T957" s="294"/>
      <c r="U957" s="294"/>
      <c r="V957" s="294"/>
      <c r="W957" s="294"/>
      <c r="X957" s="294"/>
      <c r="Y957" s="294"/>
      <c r="Z957" s="294"/>
      <c r="AA957" s="294"/>
      <c r="AB957" s="294"/>
      <c r="AC957" s="294"/>
      <c r="AD957" s="294"/>
      <c r="AE957" s="294"/>
      <c r="AF957" s="294"/>
      <c r="AG957" s="294"/>
    </row>
    <row r="958" spans="2:33" x14ac:dyDescent="0.25">
      <c r="B958" s="294"/>
      <c r="C958" s="294"/>
      <c r="D958" s="294"/>
      <c r="E958" s="294"/>
      <c r="F958" s="294"/>
      <c r="G958" s="294"/>
      <c r="H958" s="294"/>
      <c r="I958" s="294"/>
      <c r="J958" s="294"/>
      <c r="L958" s="295"/>
      <c r="M958" s="294"/>
      <c r="O958" s="294"/>
      <c r="P958" s="294"/>
      <c r="Q958" s="294"/>
      <c r="R958" s="294"/>
      <c r="S958" s="294"/>
      <c r="T958" s="294"/>
      <c r="U958" s="294"/>
      <c r="V958" s="294"/>
      <c r="W958" s="294"/>
      <c r="X958" s="294"/>
      <c r="Y958" s="294"/>
      <c r="Z958" s="294"/>
      <c r="AA958" s="294"/>
      <c r="AB958" s="294"/>
      <c r="AC958" s="294"/>
      <c r="AD958" s="294"/>
      <c r="AE958" s="294"/>
      <c r="AF958" s="294"/>
      <c r="AG958" s="294"/>
    </row>
    <row r="959" spans="2:33" x14ac:dyDescent="0.25">
      <c r="B959" s="294"/>
      <c r="C959" s="294"/>
      <c r="D959" s="294"/>
      <c r="E959" s="294"/>
      <c r="F959" s="294"/>
      <c r="G959" s="294"/>
      <c r="H959" s="294"/>
      <c r="I959" s="294"/>
      <c r="J959" s="294"/>
      <c r="L959" s="295"/>
      <c r="M959" s="294"/>
      <c r="O959" s="294"/>
      <c r="P959" s="294"/>
      <c r="Q959" s="294"/>
      <c r="R959" s="294"/>
      <c r="S959" s="294"/>
      <c r="T959" s="294"/>
      <c r="U959" s="294"/>
      <c r="V959" s="294"/>
      <c r="W959" s="294"/>
      <c r="X959" s="294"/>
      <c r="Y959" s="294"/>
      <c r="Z959" s="294"/>
      <c r="AA959" s="294"/>
      <c r="AB959" s="294"/>
      <c r="AC959" s="294"/>
      <c r="AD959" s="294"/>
      <c r="AE959" s="294"/>
      <c r="AF959" s="294"/>
      <c r="AG959" s="294"/>
    </row>
    <row r="960" spans="2:33" x14ac:dyDescent="0.25">
      <c r="B960" s="294"/>
      <c r="C960" s="294"/>
      <c r="D960" s="294"/>
      <c r="E960" s="294"/>
      <c r="F960" s="294"/>
      <c r="G960" s="294"/>
      <c r="H960" s="294"/>
      <c r="I960" s="294"/>
      <c r="J960" s="294"/>
      <c r="L960" s="295"/>
      <c r="M960" s="294"/>
      <c r="O960" s="294"/>
      <c r="P960" s="294"/>
      <c r="Q960" s="294"/>
      <c r="R960" s="294"/>
      <c r="S960" s="294"/>
      <c r="T960" s="294"/>
      <c r="U960" s="294"/>
      <c r="V960" s="294"/>
      <c r="W960" s="294"/>
      <c r="X960" s="294"/>
      <c r="Y960" s="294"/>
      <c r="Z960" s="294"/>
      <c r="AA960" s="294"/>
      <c r="AB960" s="294"/>
      <c r="AC960" s="294"/>
      <c r="AD960" s="294"/>
      <c r="AE960" s="294"/>
      <c r="AF960" s="294"/>
      <c r="AG960" s="294"/>
    </row>
    <row r="961" spans="2:33" x14ac:dyDescent="0.25">
      <c r="B961" s="294"/>
      <c r="C961" s="294"/>
      <c r="D961" s="294"/>
      <c r="E961" s="294"/>
      <c r="F961" s="294"/>
      <c r="G961" s="294"/>
      <c r="H961" s="294"/>
      <c r="I961" s="294"/>
      <c r="J961" s="294"/>
      <c r="L961" s="295"/>
      <c r="M961" s="294"/>
      <c r="O961" s="294"/>
      <c r="P961" s="294"/>
      <c r="Q961" s="294"/>
      <c r="R961" s="294"/>
      <c r="S961" s="294"/>
      <c r="T961" s="294"/>
      <c r="U961" s="294"/>
      <c r="V961" s="294"/>
      <c r="W961" s="294"/>
      <c r="X961" s="294"/>
      <c r="Y961" s="294"/>
      <c r="Z961" s="294"/>
      <c r="AA961" s="294"/>
      <c r="AB961" s="294"/>
      <c r="AC961" s="294"/>
      <c r="AD961" s="294"/>
      <c r="AE961" s="294"/>
      <c r="AF961" s="294"/>
      <c r="AG961" s="294"/>
    </row>
    <row r="962" spans="2:33" x14ac:dyDescent="0.25">
      <c r="B962" s="294"/>
      <c r="C962" s="294"/>
      <c r="D962" s="294"/>
      <c r="E962" s="294"/>
      <c r="F962" s="294"/>
      <c r="G962" s="294"/>
      <c r="H962" s="294"/>
      <c r="I962" s="294"/>
      <c r="J962" s="294"/>
      <c r="L962" s="295"/>
      <c r="M962" s="294"/>
      <c r="O962" s="294"/>
      <c r="P962" s="294"/>
      <c r="Q962" s="294"/>
      <c r="R962" s="294"/>
      <c r="S962" s="294"/>
      <c r="T962" s="294"/>
      <c r="U962" s="294"/>
      <c r="V962" s="294"/>
      <c r="W962" s="294"/>
      <c r="X962" s="294"/>
      <c r="Y962" s="294"/>
      <c r="Z962" s="294"/>
      <c r="AA962" s="294"/>
      <c r="AB962" s="294"/>
      <c r="AC962" s="294"/>
      <c r="AD962" s="294"/>
      <c r="AE962" s="294"/>
      <c r="AF962" s="294"/>
      <c r="AG962" s="294"/>
    </row>
    <row r="963" spans="2:33" x14ac:dyDescent="0.25">
      <c r="B963" s="294"/>
      <c r="C963" s="294"/>
      <c r="D963" s="294"/>
      <c r="E963" s="294"/>
      <c r="F963" s="294"/>
      <c r="G963" s="294"/>
      <c r="H963" s="294"/>
      <c r="I963" s="294"/>
      <c r="J963" s="294"/>
      <c r="L963" s="295"/>
      <c r="M963" s="294"/>
      <c r="O963" s="294"/>
      <c r="P963" s="294"/>
      <c r="Q963" s="294"/>
      <c r="R963" s="294"/>
      <c r="S963" s="294"/>
      <c r="T963" s="294"/>
      <c r="U963" s="294"/>
      <c r="V963" s="294"/>
      <c r="W963" s="294"/>
      <c r="X963" s="294"/>
      <c r="Y963" s="294"/>
      <c r="Z963" s="294"/>
      <c r="AA963" s="294"/>
      <c r="AB963" s="294"/>
      <c r="AC963" s="294"/>
      <c r="AD963" s="294"/>
      <c r="AE963" s="294"/>
      <c r="AF963" s="294"/>
      <c r="AG963" s="294"/>
    </row>
    <row r="964" spans="2:33" x14ac:dyDescent="0.25">
      <c r="B964" s="294"/>
      <c r="C964" s="294"/>
      <c r="D964" s="294"/>
      <c r="E964" s="294"/>
      <c r="F964" s="294"/>
      <c r="G964" s="294"/>
      <c r="H964" s="294"/>
      <c r="I964" s="294"/>
      <c r="J964" s="294"/>
      <c r="L964" s="295"/>
      <c r="M964" s="294"/>
      <c r="O964" s="294"/>
      <c r="P964" s="294"/>
      <c r="Q964" s="294"/>
      <c r="R964" s="294"/>
      <c r="S964" s="294"/>
      <c r="T964" s="294"/>
      <c r="U964" s="294"/>
      <c r="V964" s="294"/>
      <c r="W964" s="294"/>
      <c r="X964" s="294"/>
      <c r="Y964" s="294"/>
      <c r="Z964" s="294"/>
      <c r="AA964" s="294"/>
      <c r="AB964" s="294"/>
      <c r="AC964" s="294"/>
      <c r="AD964" s="294"/>
      <c r="AE964" s="294"/>
      <c r="AF964" s="294"/>
      <c r="AG964" s="294"/>
    </row>
    <row r="965" spans="2:33" x14ac:dyDescent="0.25">
      <c r="B965" s="294"/>
      <c r="C965" s="294"/>
      <c r="D965" s="294"/>
      <c r="E965" s="294"/>
      <c r="F965" s="294"/>
      <c r="G965" s="294"/>
      <c r="H965" s="294"/>
      <c r="I965" s="294"/>
      <c r="J965" s="294"/>
      <c r="L965" s="295"/>
      <c r="M965" s="294"/>
      <c r="O965" s="294"/>
      <c r="P965" s="294"/>
      <c r="Q965" s="294"/>
      <c r="R965" s="294"/>
      <c r="S965" s="294"/>
      <c r="T965" s="294"/>
      <c r="U965" s="294"/>
      <c r="V965" s="294"/>
      <c r="W965" s="294"/>
      <c r="X965" s="294"/>
      <c r="Y965" s="294"/>
      <c r="Z965" s="294"/>
      <c r="AA965" s="294"/>
      <c r="AB965" s="294"/>
      <c r="AC965" s="294"/>
      <c r="AD965" s="294"/>
      <c r="AE965" s="294"/>
      <c r="AF965" s="294"/>
      <c r="AG965" s="294"/>
    </row>
    <row r="966" spans="2:33" x14ac:dyDescent="0.25">
      <c r="B966" s="294"/>
      <c r="C966" s="294"/>
      <c r="D966" s="294"/>
      <c r="E966" s="294"/>
      <c r="F966" s="294"/>
      <c r="G966" s="294"/>
      <c r="H966" s="294"/>
      <c r="I966" s="294"/>
      <c r="J966" s="294"/>
      <c r="L966" s="295"/>
      <c r="M966" s="294"/>
      <c r="O966" s="294"/>
      <c r="P966" s="294"/>
      <c r="Q966" s="294"/>
      <c r="R966" s="294"/>
      <c r="S966" s="294"/>
      <c r="T966" s="294"/>
      <c r="U966" s="294"/>
      <c r="V966" s="294"/>
      <c r="W966" s="294"/>
      <c r="X966" s="294"/>
      <c r="Y966" s="294"/>
      <c r="Z966" s="294"/>
      <c r="AA966" s="294"/>
      <c r="AB966" s="294"/>
      <c r="AC966" s="294"/>
      <c r="AD966" s="294"/>
      <c r="AE966" s="294"/>
      <c r="AF966" s="294"/>
      <c r="AG966" s="294"/>
    </row>
    <row r="967" spans="2:33" x14ac:dyDescent="0.25">
      <c r="B967" s="294"/>
      <c r="C967" s="294"/>
      <c r="D967" s="294"/>
      <c r="E967" s="294"/>
      <c r="F967" s="294"/>
      <c r="G967" s="294"/>
      <c r="H967" s="294"/>
      <c r="I967" s="294"/>
      <c r="J967" s="294"/>
      <c r="L967" s="295"/>
      <c r="M967" s="294"/>
      <c r="O967" s="294"/>
      <c r="P967" s="294"/>
      <c r="Q967" s="294"/>
      <c r="R967" s="294"/>
      <c r="S967" s="294"/>
      <c r="T967" s="294"/>
      <c r="U967" s="294"/>
      <c r="V967" s="294"/>
      <c r="W967" s="294"/>
      <c r="X967" s="294"/>
      <c r="Y967" s="294"/>
      <c r="Z967" s="294"/>
      <c r="AA967" s="294"/>
      <c r="AB967" s="294"/>
      <c r="AC967" s="294"/>
      <c r="AD967" s="294"/>
      <c r="AE967" s="294"/>
      <c r="AF967" s="294"/>
      <c r="AG967" s="294"/>
    </row>
    <row r="968" spans="2:33" x14ac:dyDescent="0.25">
      <c r="B968" s="294"/>
      <c r="C968" s="294"/>
      <c r="D968" s="294"/>
      <c r="E968" s="294"/>
      <c r="F968" s="294"/>
      <c r="G968" s="294"/>
      <c r="H968" s="294"/>
      <c r="I968" s="294"/>
      <c r="J968" s="294"/>
      <c r="L968" s="295"/>
      <c r="M968" s="294"/>
      <c r="O968" s="294"/>
      <c r="P968" s="294"/>
      <c r="Q968" s="294"/>
      <c r="R968" s="294"/>
      <c r="S968" s="294"/>
      <c r="T968" s="294"/>
      <c r="U968" s="294"/>
      <c r="V968" s="294"/>
      <c r="W968" s="294"/>
      <c r="X968" s="294"/>
      <c r="Y968" s="294"/>
      <c r="Z968" s="294"/>
      <c r="AA968" s="294"/>
      <c r="AB968" s="294"/>
      <c r="AC968" s="294"/>
      <c r="AD968" s="294"/>
      <c r="AE968" s="294"/>
      <c r="AF968" s="294"/>
      <c r="AG968" s="294"/>
    </row>
    <row r="969" spans="2:33" x14ac:dyDescent="0.25">
      <c r="B969" s="294"/>
      <c r="C969" s="294"/>
      <c r="D969" s="294"/>
      <c r="E969" s="294"/>
      <c r="F969" s="294"/>
      <c r="G969" s="294"/>
      <c r="H969" s="294"/>
      <c r="I969" s="294"/>
      <c r="J969" s="294"/>
      <c r="L969" s="295"/>
      <c r="M969" s="294"/>
      <c r="O969" s="294"/>
      <c r="P969" s="294"/>
      <c r="Q969" s="294"/>
      <c r="R969" s="294"/>
      <c r="S969" s="294"/>
      <c r="T969" s="294"/>
      <c r="U969" s="294"/>
      <c r="V969" s="294"/>
      <c r="W969" s="294"/>
      <c r="X969" s="294"/>
      <c r="Y969" s="294"/>
      <c r="Z969" s="294"/>
      <c r="AA969" s="294"/>
      <c r="AB969" s="294"/>
      <c r="AC969" s="294"/>
      <c r="AD969" s="294"/>
      <c r="AE969" s="294"/>
      <c r="AF969" s="294"/>
      <c r="AG969" s="294"/>
    </row>
    <row r="970" spans="2:33" x14ac:dyDescent="0.25">
      <c r="B970" s="294"/>
      <c r="C970" s="294"/>
      <c r="D970" s="294"/>
      <c r="E970" s="294"/>
      <c r="F970" s="294"/>
      <c r="G970" s="294"/>
      <c r="H970" s="294"/>
      <c r="I970" s="294"/>
      <c r="J970" s="294"/>
      <c r="L970" s="295"/>
      <c r="M970" s="294"/>
      <c r="O970" s="294"/>
      <c r="P970" s="294"/>
      <c r="Q970" s="294"/>
      <c r="R970" s="294"/>
      <c r="S970" s="294"/>
      <c r="T970" s="294"/>
      <c r="U970" s="294"/>
      <c r="V970" s="294"/>
      <c r="W970" s="294"/>
      <c r="X970" s="294"/>
      <c r="Y970" s="294"/>
      <c r="Z970" s="294"/>
      <c r="AA970" s="294"/>
      <c r="AB970" s="294"/>
      <c r="AC970" s="294"/>
      <c r="AD970" s="294"/>
      <c r="AE970" s="294"/>
      <c r="AF970" s="294"/>
      <c r="AG970" s="294"/>
    </row>
    <row r="971" spans="2:33" x14ac:dyDescent="0.25">
      <c r="B971" s="294"/>
      <c r="C971" s="294"/>
      <c r="D971" s="294"/>
      <c r="E971" s="294"/>
      <c r="F971" s="294"/>
      <c r="G971" s="294"/>
      <c r="H971" s="294"/>
      <c r="I971" s="294"/>
      <c r="J971" s="294"/>
      <c r="L971" s="295"/>
      <c r="M971" s="294"/>
      <c r="O971" s="294"/>
      <c r="P971" s="294"/>
      <c r="Q971" s="294"/>
      <c r="R971" s="294"/>
      <c r="S971" s="294"/>
      <c r="T971" s="294"/>
      <c r="U971" s="294"/>
      <c r="V971" s="294"/>
      <c r="W971" s="294"/>
      <c r="X971" s="294"/>
      <c r="Y971" s="294"/>
      <c r="Z971" s="294"/>
      <c r="AA971" s="294"/>
      <c r="AB971" s="294"/>
      <c r="AC971" s="294"/>
      <c r="AD971" s="294"/>
      <c r="AE971" s="294"/>
      <c r="AF971" s="294"/>
      <c r="AG971" s="294"/>
    </row>
    <row r="972" spans="2:33" x14ac:dyDescent="0.25">
      <c r="B972" s="294"/>
      <c r="C972" s="294"/>
      <c r="D972" s="294"/>
      <c r="E972" s="294"/>
      <c r="F972" s="294"/>
      <c r="G972" s="294"/>
      <c r="H972" s="294"/>
      <c r="I972" s="294"/>
      <c r="J972" s="294"/>
      <c r="L972" s="295"/>
      <c r="M972" s="294"/>
      <c r="O972" s="294"/>
      <c r="P972" s="294"/>
      <c r="Q972" s="294"/>
      <c r="R972" s="294"/>
      <c r="S972" s="294"/>
      <c r="T972" s="294"/>
      <c r="U972" s="294"/>
      <c r="V972" s="294"/>
      <c r="W972" s="294"/>
      <c r="X972" s="294"/>
      <c r="Y972" s="294"/>
      <c r="Z972" s="294"/>
      <c r="AA972" s="294"/>
      <c r="AB972" s="294"/>
      <c r="AC972" s="294"/>
      <c r="AD972" s="294"/>
      <c r="AE972" s="294"/>
      <c r="AF972" s="294"/>
      <c r="AG972" s="294"/>
    </row>
    <row r="973" spans="2:33" x14ac:dyDescent="0.25">
      <c r="B973" s="294"/>
      <c r="C973" s="294"/>
      <c r="D973" s="294"/>
      <c r="E973" s="294"/>
      <c r="F973" s="294"/>
      <c r="G973" s="294"/>
      <c r="H973" s="294"/>
      <c r="I973" s="294"/>
      <c r="J973" s="294"/>
      <c r="L973" s="295"/>
      <c r="M973" s="294"/>
      <c r="O973" s="294"/>
      <c r="P973" s="294"/>
      <c r="Q973" s="294"/>
      <c r="R973" s="294"/>
      <c r="S973" s="294"/>
      <c r="T973" s="294"/>
      <c r="U973" s="294"/>
      <c r="V973" s="294"/>
      <c r="W973" s="294"/>
      <c r="X973" s="294"/>
      <c r="Y973" s="294"/>
      <c r="Z973" s="294"/>
      <c r="AA973" s="294"/>
      <c r="AB973" s="294"/>
      <c r="AC973" s="294"/>
      <c r="AD973" s="294"/>
      <c r="AE973" s="294"/>
      <c r="AF973" s="294"/>
      <c r="AG973" s="294"/>
    </row>
    <row r="974" spans="2:33" x14ac:dyDescent="0.25">
      <c r="B974" s="294"/>
      <c r="C974" s="294"/>
      <c r="D974" s="294"/>
      <c r="E974" s="294"/>
      <c r="F974" s="294"/>
      <c r="G974" s="294"/>
      <c r="H974" s="294"/>
      <c r="I974" s="294"/>
      <c r="J974" s="294"/>
      <c r="L974" s="295"/>
      <c r="M974" s="294"/>
      <c r="O974" s="294"/>
      <c r="P974" s="294"/>
      <c r="Q974" s="294"/>
      <c r="R974" s="294"/>
      <c r="S974" s="294"/>
      <c r="T974" s="294"/>
      <c r="U974" s="294"/>
      <c r="V974" s="294"/>
      <c r="W974" s="294"/>
      <c r="X974" s="294"/>
      <c r="Y974" s="294"/>
      <c r="Z974" s="294"/>
      <c r="AA974" s="294"/>
      <c r="AB974" s="294"/>
      <c r="AC974" s="294"/>
      <c r="AD974" s="294"/>
      <c r="AE974" s="294"/>
      <c r="AF974" s="294"/>
      <c r="AG974" s="294"/>
    </row>
    <row r="975" spans="2:33" x14ac:dyDescent="0.25">
      <c r="B975" s="294"/>
      <c r="C975" s="294"/>
      <c r="D975" s="294"/>
      <c r="E975" s="294"/>
      <c r="F975" s="294"/>
      <c r="G975" s="294"/>
      <c r="H975" s="294"/>
      <c r="I975" s="294"/>
      <c r="J975" s="294"/>
      <c r="L975" s="295"/>
      <c r="M975" s="294"/>
      <c r="O975" s="294"/>
      <c r="P975" s="294"/>
      <c r="Q975" s="294"/>
      <c r="R975" s="294"/>
      <c r="S975" s="294"/>
      <c r="T975" s="294"/>
      <c r="U975" s="294"/>
      <c r="V975" s="294"/>
      <c r="W975" s="294"/>
      <c r="X975" s="294"/>
      <c r="Y975" s="294"/>
      <c r="Z975" s="294"/>
      <c r="AA975" s="294"/>
      <c r="AB975" s="294"/>
      <c r="AC975" s="294"/>
      <c r="AD975" s="294"/>
      <c r="AE975" s="294"/>
      <c r="AF975" s="294"/>
      <c r="AG975" s="294"/>
    </row>
    <row r="976" spans="2:33" x14ac:dyDescent="0.25">
      <c r="B976" s="294"/>
      <c r="C976" s="294"/>
      <c r="D976" s="294"/>
      <c r="E976" s="294"/>
      <c r="F976" s="294"/>
      <c r="G976" s="294"/>
      <c r="H976" s="294"/>
      <c r="I976" s="294"/>
      <c r="J976" s="294"/>
      <c r="L976" s="295"/>
      <c r="M976" s="294"/>
      <c r="O976" s="294"/>
      <c r="P976" s="294"/>
      <c r="Q976" s="294"/>
      <c r="R976" s="294"/>
      <c r="S976" s="294"/>
      <c r="T976" s="294"/>
      <c r="U976" s="294"/>
      <c r="V976" s="294"/>
      <c r="W976" s="294"/>
      <c r="X976" s="294"/>
      <c r="Y976" s="294"/>
      <c r="Z976" s="294"/>
      <c r="AA976" s="294"/>
      <c r="AB976" s="294"/>
      <c r="AC976" s="294"/>
      <c r="AD976" s="294"/>
      <c r="AE976" s="294"/>
      <c r="AF976" s="294"/>
      <c r="AG976" s="294"/>
    </row>
    <row r="977" spans="2:33" x14ac:dyDescent="0.25">
      <c r="B977" s="294"/>
      <c r="C977" s="294"/>
      <c r="D977" s="294"/>
      <c r="E977" s="294"/>
      <c r="F977" s="294"/>
      <c r="G977" s="294"/>
      <c r="H977" s="294"/>
      <c r="I977" s="294"/>
      <c r="J977" s="294"/>
      <c r="L977" s="295"/>
      <c r="M977" s="294"/>
      <c r="O977" s="294"/>
      <c r="P977" s="294"/>
      <c r="Q977" s="294"/>
      <c r="R977" s="294"/>
      <c r="S977" s="294"/>
      <c r="T977" s="294"/>
      <c r="U977" s="294"/>
      <c r="V977" s="294"/>
      <c r="W977" s="294"/>
      <c r="X977" s="294"/>
      <c r="Y977" s="294"/>
      <c r="Z977" s="294"/>
      <c r="AA977" s="294"/>
      <c r="AB977" s="294"/>
      <c r="AC977" s="294"/>
      <c r="AD977" s="294"/>
      <c r="AE977" s="294"/>
      <c r="AF977" s="294"/>
      <c r="AG977" s="294"/>
    </row>
    <row r="978" spans="2:33" x14ac:dyDescent="0.25">
      <c r="B978" s="294"/>
      <c r="C978" s="294"/>
      <c r="D978" s="294"/>
      <c r="E978" s="294"/>
      <c r="F978" s="294"/>
      <c r="G978" s="294"/>
      <c r="H978" s="294"/>
      <c r="I978" s="294"/>
      <c r="J978" s="294"/>
      <c r="L978" s="295"/>
      <c r="M978" s="294"/>
      <c r="O978" s="294"/>
      <c r="P978" s="294"/>
      <c r="Q978" s="294"/>
      <c r="R978" s="294"/>
      <c r="S978" s="294"/>
      <c r="T978" s="294"/>
      <c r="U978" s="294"/>
      <c r="V978" s="294"/>
      <c r="W978" s="294"/>
      <c r="X978" s="294"/>
      <c r="Y978" s="294"/>
      <c r="Z978" s="294"/>
      <c r="AA978" s="294"/>
      <c r="AB978" s="294"/>
      <c r="AC978" s="294"/>
      <c r="AD978" s="294"/>
      <c r="AE978" s="294"/>
      <c r="AF978" s="294"/>
      <c r="AG978" s="294"/>
    </row>
    <row r="979" spans="2:33" x14ac:dyDescent="0.25">
      <c r="B979" s="294"/>
      <c r="C979" s="294"/>
      <c r="D979" s="294"/>
      <c r="E979" s="294"/>
      <c r="F979" s="294"/>
      <c r="G979" s="294"/>
      <c r="H979" s="294"/>
      <c r="I979" s="294"/>
      <c r="J979" s="294"/>
      <c r="L979" s="295"/>
      <c r="M979" s="294"/>
      <c r="O979" s="294"/>
      <c r="P979" s="294"/>
      <c r="Q979" s="294"/>
      <c r="R979" s="294"/>
      <c r="S979" s="294"/>
      <c r="T979" s="294"/>
      <c r="U979" s="294"/>
      <c r="V979" s="294"/>
      <c r="W979" s="294"/>
      <c r="X979" s="294"/>
      <c r="Y979" s="294"/>
      <c r="Z979" s="294"/>
      <c r="AA979" s="294"/>
      <c r="AB979" s="294"/>
      <c r="AC979" s="294"/>
      <c r="AD979" s="294"/>
      <c r="AE979" s="294"/>
      <c r="AF979" s="294"/>
      <c r="AG979" s="294"/>
    </row>
    <row r="980" spans="2:33" x14ac:dyDescent="0.25">
      <c r="B980" s="294"/>
      <c r="C980" s="294"/>
      <c r="D980" s="294"/>
      <c r="E980" s="294"/>
      <c r="F980" s="294"/>
      <c r="G980" s="294"/>
      <c r="H980" s="294"/>
      <c r="I980" s="294"/>
      <c r="J980" s="294"/>
      <c r="L980" s="295"/>
      <c r="M980" s="294"/>
      <c r="O980" s="294"/>
      <c r="P980" s="294"/>
      <c r="Q980" s="294"/>
      <c r="R980" s="294"/>
      <c r="S980" s="294"/>
      <c r="T980" s="294"/>
      <c r="U980" s="294"/>
      <c r="V980" s="294"/>
      <c r="W980" s="294"/>
      <c r="X980" s="294"/>
      <c r="Y980" s="294"/>
      <c r="Z980" s="294"/>
      <c r="AA980" s="294"/>
      <c r="AB980" s="294"/>
      <c r="AC980" s="294"/>
      <c r="AD980" s="294"/>
      <c r="AE980" s="294"/>
      <c r="AF980" s="294"/>
      <c r="AG980" s="294"/>
    </row>
    <row r="981" spans="2:33" x14ac:dyDescent="0.25">
      <c r="B981" s="294"/>
      <c r="C981" s="294"/>
      <c r="D981" s="294"/>
      <c r="E981" s="294"/>
      <c r="F981" s="294"/>
      <c r="G981" s="294"/>
      <c r="H981" s="294"/>
      <c r="I981" s="294"/>
      <c r="J981" s="294"/>
      <c r="L981" s="295"/>
      <c r="M981" s="294"/>
      <c r="O981" s="294"/>
      <c r="P981" s="294"/>
      <c r="Q981" s="294"/>
      <c r="R981" s="294"/>
      <c r="S981" s="294"/>
      <c r="T981" s="294"/>
      <c r="U981" s="294"/>
      <c r="V981" s="294"/>
      <c r="W981" s="294"/>
      <c r="X981" s="294"/>
      <c r="Y981" s="294"/>
      <c r="Z981" s="294"/>
      <c r="AA981" s="294"/>
      <c r="AB981" s="294"/>
      <c r="AC981" s="294"/>
      <c r="AD981" s="294"/>
      <c r="AE981" s="294"/>
      <c r="AF981" s="294"/>
      <c r="AG981" s="294"/>
    </row>
    <row r="982" spans="2:33" x14ac:dyDescent="0.25">
      <c r="B982" s="294"/>
      <c r="C982" s="294"/>
      <c r="D982" s="294"/>
      <c r="E982" s="294"/>
      <c r="F982" s="294"/>
      <c r="G982" s="294"/>
      <c r="H982" s="294"/>
      <c r="I982" s="294"/>
      <c r="J982" s="294"/>
      <c r="L982" s="295"/>
      <c r="M982" s="294"/>
      <c r="O982" s="294"/>
      <c r="P982" s="294"/>
      <c r="Q982" s="294"/>
      <c r="R982" s="294"/>
      <c r="S982" s="294"/>
      <c r="T982" s="294"/>
      <c r="U982" s="294"/>
      <c r="V982" s="294"/>
      <c r="W982" s="294"/>
      <c r="X982" s="294"/>
      <c r="Y982" s="294"/>
      <c r="Z982" s="294"/>
      <c r="AA982" s="294"/>
      <c r="AB982" s="294"/>
      <c r="AC982" s="294"/>
      <c r="AD982" s="294"/>
      <c r="AE982" s="294"/>
      <c r="AF982" s="294"/>
      <c r="AG982" s="294"/>
    </row>
    <row r="983" spans="2:33" x14ac:dyDescent="0.25">
      <c r="B983" s="294"/>
      <c r="C983" s="294"/>
      <c r="D983" s="294"/>
      <c r="E983" s="294"/>
      <c r="F983" s="294"/>
      <c r="G983" s="294"/>
      <c r="H983" s="294"/>
      <c r="I983" s="294"/>
      <c r="J983" s="294"/>
      <c r="L983" s="295"/>
      <c r="M983" s="294"/>
      <c r="O983" s="294"/>
      <c r="P983" s="294"/>
      <c r="Q983" s="294"/>
      <c r="R983" s="294"/>
      <c r="S983" s="294"/>
      <c r="T983" s="294"/>
      <c r="U983" s="294"/>
      <c r="V983" s="294"/>
      <c r="W983" s="294"/>
      <c r="X983" s="294"/>
      <c r="Y983" s="294"/>
      <c r="Z983" s="294"/>
      <c r="AA983" s="294"/>
      <c r="AB983" s="294"/>
      <c r="AC983" s="294"/>
      <c r="AD983" s="294"/>
      <c r="AE983" s="294"/>
      <c r="AF983" s="294"/>
      <c r="AG983" s="294"/>
    </row>
    <row r="984" spans="2:33" x14ac:dyDescent="0.25">
      <c r="B984" s="294"/>
      <c r="C984" s="294"/>
      <c r="D984" s="294"/>
      <c r="E984" s="294"/>
      <c r="F984" s="294"/>
      <c r="G984" s="294"/>
      <c r="H984" s="294"/>
      <c r="I984" s="294"/>
      <c r="J984" s="294"/>
      <c r="L984" s="295"/>
      <c r="M984" s="294"/>
      <c r="O984" s="294"/>
      <c r="P984" s="294"/>
      <c r="Q984" s="294"/>
      <c r="R984" s="294"/>
      <c r="S984" s="294"/>
      <c r="T984" s="294"/>
      <c r="U984" s="294"/>
      <c r="V984" s="294"/>
      <c r="W984" s="294"/>
      <c r="X984" s="294"/>
      <c r="Y984" s="294"/>
      <c r="Z984" s="294"/>
      <c r="AA984" s="294"/>
      <c r="AB984" s="294"/>
      <c r="AC984" s="294"/>
      <c r="AD984" s="294"/>
      <c r="AE984" s="294"/>
      <c r="AF984" s="294"/>
      <c r="AG984" s="294"/>
    </row>
    <row r="985" spans="2:33" x14ac:dyDescent="0.25">
      <c r="B985" s="294"/>
      <c r="C985" s="294"/>
      <c r="D985" s="294"/>
      <c r="E985" s="294"/>
      <c r="F985" s="294"/>
      <c r="G985" s="294"/>
      <c r="H985" s="294"/>
      <c r="I985" s="294"/>
      <c r="J985" s="294"/>
      <c r="L985" s="295"/>
      <c r="M985" s="294"/>
      <c r="O985" s="294"/>
      <c r="P985" s="294"/>
      <c r="Q985" s="294"/>
      <c r="R985" s="294"/>
      <c r="S985" s="294"/>
      <c r="T985" s="294"/>
      <c r="U985" s="294"/>
      <c r="V985" s="294"/>
      <c r="W985" s="294"/>
      <c r="X985" s="294"/>
      <c r="Y985" s="294"/>
      <c r="Z985" s="294"/>
      <c r="AA985" s="294"/>
      <c r="AB985" s="294"/>
      <c r="AC985" s="294"/>
      <c r="AD985" s="294"/>
      <c r="AE985" s="294"/>
      <c r="AF985" s="294"/>
      <c r="AG985" s="294"/>
    </row>
    <row r="986" spans="2:33" x14ac:dyDescent="0.25">
      <c r="B986" s="294"/>
      <c r="C986" s="294"/>
      <c r="D986" s="294"/>
      <c r="E986" s="294"/>
      <c r="F986" s="294"/>
      <c r="G986" s="294"/>
      <c r="H986" s="294"/>
      <c r="I986" s="294"/>
      <c r="J986" s="294"/>
      <c r="L986" s="295"/>
      <c r="M986" s="294"/>
      <c r="O986" s="294"/>
      <c r="P986" s="294"/>
      <c r="Q986" s="294"/>
      <c r="R986" s="294"/>
      <c r="S986" s="294"/>
      <c r="T986" s="294"/>
      <c r="U986" s="294"/>
      <c r="V986" s="294"/>
      <c r="W986" s="294"/>
      <c r="X986" s="294"/>
      <c r="Y986" s="294"/>
      <c r="Z986" s="294"/>
      <c r="AA986" s="294"/>
      <c r="AB986" s="294"/>
      <c r="AC986" s="294"/>
      <c r="AD986" s="294"/>
      <c r="AE986" s="294"/>
      <c r="AF986" s="294"/>
      <c r="AG986" s="294"/>
    </row>
    <row r="987" spans="2:33" x14ac:dyDescent="0.25">
      <c r="B987" s="294"/>
      <c r="C987" s="294"/>
      <c r="D987" s="294"/>
      <c r="E987" s="294"/>
      <c r="F987" s="294"/>
      <c r="G987" s="294"/>
      <c r="H987" s="294"/>
      <c r="I987" s="294"/>
      <c r="J987" s="294"/>
      <c r="L987" s="295"/>
      <c r="M987" s="294"/>
      <c r="O987" s="294"/>
      <c r="P987" s="294"/>
      <c r="Q987" s="294"/>
      <c r="R987" s="294"/>
      <c r="S987" s="294"/>
      <c r="T987" s="294"/>
      <c r="U987" s="294"/>
      <c r="V987" s="294"/>
      <c r="W987" s="294"/>
      <c r="X987" s="294"/>
      <c r="Y987" s="294"/>
      <c r="Z987" s="294"/>
      <c r="AA987" s="294"/>
      <c r="AB987" s="294"/>
      <c r="AC987" s="294"/>
      <c r="AD987" s="294"/>
      <c r="AE987" s="294"/>
      <c r="AF987" s="294"/>
      <c r="AG987" s="294"/>
    </row>
    <row r="988" spans="2:33" x14ac:dyDescent="0.25">
      <c r="B988" s="294"/>
      <c r="C988" s="294"/>
      <c r="D988" s="294"/>
      <c r="E988" s="294"/>
      <c r="F988" s="294"/>
      <c r="G988" s="294"/>
      <c r="H988" s="294"/>
      <c r="I988" s="294"/>
      <c r="J988" s="294"/>
      <c r="L988" s="295"/>
      <c r="M988" s="294"/>
      <c r="O988" s="294"/>
      <c r="P988" s="294"/>
      <c r="Q988" s="294"/>
      <c r="R988" s="294"/>
      <c r="S988" s="294"/>
      <c r="T988" s="294"/>
      <c r="U988" s="294"/>
      <c r="V988" s="294"/>
      <c r="W988" s="294"/>
      <c r="X988" s="294"/>
      <c r="Y988" s="294"/>
      <c r="Z988" s="294"/>
      <c r="AA988" s="294"/>
      <c r="AB988" s="294"/>
      <c r="AC988" s="294"/>
      <c r="AD988" s="294"/>
      <c r="AE988" s="294"/>
      <c r="AF988" s="294"/>
      <c r="AG988" s="294"/>
    </row>
    <row r="989" spans="2:33" x14ac:dyDescent="0.25">
      <c r="B989" s="294"/>
      <c r="C989" s="294"/>
      <c r="D989" s="294"/>
      <c r="E989" s="294"/>
      <c r="F989" s="294"/>
      <c r="G989" s="294"/>
      <c r="H989" s="294"/>
      <c r="I989" s="294"/>
      <c r="J989" s="294"/>
      <c r="L989" s="295"/>
      <c r="M989" s="294"/>
      <c r="O989" s="294"/>
      <c r="P989" s="294"/>
      <c r="Q989" s="294"/>
      <c r="R989" s="294"/>
      <c r="S989" s="294"/>
      <c r="T989" s="294"/>
      <c r="U989" s="294"/>
      <c r="V989" s="294"/>
      <c r="W989" s="294"/>
      <c r="X989" s="294"/>
      <c r="Y989" s="294"/>
      <c r="Z989" s="294"/>
      <c r="AA989" s="294"/>
      <c r="AB989" s="294"/>
      <c r="AC989" s="294"/>
      <c r="AD989" s="294"/>
      <c r="AE989" s="294"/>
      <c r="AF989" s="294"/>
      <c r="AG989" s="294"/>
    </row>
    <row r="990" spans="2:33" x14ac:dyDescent="0.25">
      <c r="B990" s="294"/>
      <c r="C990" s="294"/>
      <c r="D990" s="294"/>
      <c r="E990" s="294"/>
      <c r="F990" s="294"/>
      <c r="G990" s="294"/>
      <c r="H990" s="294"/>
      <c r="I990" s="294"/>
      <c r="J990" s="294"/>
      <c r="L990" s="295"/>
      <c r="M990" s="294"/>
      <c r="O990" s="294"/>
      <c r="P990" s="294"/>
      <c r="Q990" s="294"/>
      <c r="R990" s="294"/>
      <c r="S990" s="294"/>
      <c r="T990" s="294"/>
      <c r="U990" s="294"/>
      <c r="V990" s="294"/>
      <c r="W990" s="294"/>
      <c r="X990" s="294"/>
      <c r="Y990" s="294"/>
      <c r="Z990" s="294"/>
      <c r="AA990" s="294"/>
      <c r="AB990" s="294"/>
      <c r="AC990" s="294"/>
      <c r="AD990" s="294"/>
      <c r="AE990" s="294"/>
      <c r="AF990" s="294"/>
      <c r="AG990" s="294"/>
    </row>
    <row r="991" spans="2:33" x14ac:dyDescent="0.25">
      <c r="B991" s="294"/>
      <c r="C991" s="294"/>
      <c r="D991" s="294"/>
      <c r="E991" s="294"/>
      <c r="F991" s="294"/>
      <c r="G991" s="294"/>
      <c r="H991" s="294"/>
      <c r="I991" s="294"/>
      <c r="J991" s="294"/>
      <c r="L991" s="295"/>
      <c r="M991" s="294"/>
      <c r="O991" s="294"/>
      <c r="P991" s="294"/>
      <c r="Q991" s="294"/>
      <c r="R991" s="294"/>
      <c r="S991" s="294"/>
      <c r="T991" s="294"/>
      <c r="U991" s="294"/>
      <c r="V991" s="294"/>
      <c r="W991" s="294"/>
      <c r="X991" s="294"/>
      <c r="Y991" s="294"/>
      <c r="Z991" s="294"/>
      <c r="AA991" s="294"/>
      <c r="AB991" s="294"/>
      <c r="AC991" s="294"/>
      <c r="AD991" s="294"/>
      <c r="AE991" s="294"/>
      <c r="AF991" s="294"/>
      <c r="AG991" s="294"/>
    </row>
    <row r="992" spans="2:33" x14ac:dyDescent="0.25">
      <c r="B992" s="294"/>
      <c r="C992" s="294"/>
      <c r="D992" s="294"/>
      <c r="E992" s="294"/>
      <c r="F992" s="294"/>
      <c r="G992" s="294"/>
      <c r="H992" s="294"/>
      <c r="I992" s="294"/>
      <c r="J992" s="294"/>
      <c r="L992" s="295"/>
      <c r="M992" s="294"/>
      <c r="O992" s="294"/>
      <c r="P992" s="294"/>
      <c r="Q992" s="294"/>
      <c r="R992" s="294"/>
      <c r="S992" s="294"/>
      <c r="T992" s="294"/>
      <c r="U992" s="294"/>
      <c r="V992" s="294"/>
      <c r="W992" s="294"/>
      <c r="X992" s="294"/>
      <c r="Y992" s="294"/>
      <c r="Z992" s="294"/>
      <c r="AA992" s="294"/>
      <c r="AB992" s="294"/>
      <c r="AC992" s="294"/>
      <c r="AD992" s="294"/>
      <c r="AE992" s="294"/>
      <c r="AF992" s="294"/>
      <c r="AG992" s="294"/>
    </row>
    <row r="993" spans="2:33" x14ac:dyDescent="0.25">
      <c r="B993" s="294"/>
      <c r="C993" s="294"/>
      <c r="D993" s="294"/>
      <c r="E993" s="294"/>
      <c r="F993" s="294"/>
      <c r="G993" s="294"/>
      <c r="H993" s="294"/>
      <c r="I993" s="294"/>
      <c r="J993" s="294"/>
      <c r="L993" s="295"/>
      <c r="M993" s="294"/>
      <c r="O993" s="294"/>
      <c r="P993" s="294"/>
      <c r="Q993" s="294"/>
      <c r="R993" s="294"/>
      <c r="S993" s="294"/>
      <c r="T993" s="294"/>
      <c r="U993" s="294"/>
      <c r="V993" s="294"/>
      <c r="W993" s="294"/>
      <c r="X993" s="294"/>
      <c r="Y993" s="294"/>
      <c r="Z993" s="294"/>
      <c r="AA993" s="294"/>
      <c r="AB993" s="294"/>
      <c r="AC993" s="294"/>
      <c r="AD993" s="294"/>
      <c r="AE993" s="294"/>
      <c r="AF993" s="294"/>
      <c r="AG993" s="294"/>
    </row>
    <row r="994" spans="2:33" x14ac:dyDescent="0.25">
      <c r="B994" s="294"/>
      <c r="C994" s="294"/>
      <c r="D994" s="294"/>
      <c r="E994" s="294"/>
      <c r="F994" s="294"/>
      <c r="G994" s="294"/>
      <c r="H994" s="294"/>
      <c r="I994" s="294"/>
      <c r="J994" s="294"/>
      <c r="L994" s="295"/>
      <c r="M994" s="294"/>
      <c r="O994" s="294"/>
      <c r="P994" s="294"/>
      <c r="Q994" s="294"/>
      <c r="R994" s="294"/>
      <c r="S994" s="294"/>
      <c r="T994" s="294"/>
      <c r="U994" s="294"/>
      <c r="V994" s="294"/>
      <c r="W994" s="294"/>
      <c r="X994" s="294"/>
      <c r="Y994" s="294"/>
      <c r="Z994" s="294"/>
      <c r="AA994" s="294"/>
      <c r="AB994" s="294"/>
      <c r="AC994" s="294"/>
      <c r="AD994" s="294"/>
      <c r="AE994" s="294"/>
      <c r="AF994" s="294"/>
      <c r="AG994" s="294"/>
    </row>
    <row r="995" spans="2:33" x14ac:dyDescent="0.25">
      <c r="B995" s="294"/>
      <c r="C995" s="294"/>
      <c r="D995" s="294"/>
      <c r="E995" s="294"/>
      <c r="F995" s="294"/>
      <c r="G995" s="294"/>
      <c r="H995" s="294"/>
      <c r="I995" s="294"/>
      <c r="J995" s="294"/>
      <c r="L995" s="295"/>
      <c r="M995" s="294"/>
      <c r="O995" s="294"/>
      <c r="P995" s="294"/>
      <c r="Q995" s="294"/>
      <c r="R995" s="294"/>
      <c r="S995" s="294"/>
      <c r="T995" s="294"/>
      <c r="U995" s="294"/>
      <c r="V995" s="294"/>
      <c r="W995" s="294"/>
      <c r="X995" s="294"/>
      <c r="Y995" s="294"/>
      <c r="Z995" s="294"/>
      <c r="AA995" s="294"/>
      <c r="AB995" s="294"/>
      <c r="AC995" s="294"/>
      <c r="AD995" s="294"/>
      <c r="AE995" s="294"/>
      <c r="AF995" s="294"/>
      <c r="AG995" s="294"/>
    </row>
    <row r="996" spans="2:33" x14ac:dyDescent="0.25">
      <c r="B996" s="294"/>
      <c r="C996" s="294"/>
      <c r="D996" s="294"/>
      <c r="E996" s="294"/>
      <c r="F996" s="294"/>
      <c r="G996" s="294"/>
      <c r="H996" s="294"/>
      <c r="I996" s="294"/>
      <c r="J996" s="294"/>
      <c r="L996" s="295"/>
      <c r="M996" s="294"/>
      <c r="O996" s="294"/>
      <c r="P996" s="294"/>
      <c r="Q996" s="294"/>
      <c r="R996" s="294"/>
      <c r="S996" s="294"/>
      <c r="T996" s="294"/>
      <c r="U996" s="294"/>
      <c r="V996" s="294"/>
      <c r="W996" s="294"/>
      <c r="X996" s="294"/>
      <c r="Y996" s="294"/>
      <c r="Z996" s="294"/>
      <c r="AA996" s="294"/>
      <c r="AB996" s="294"/>
      <c r="AC996" s="294"/>
      <c r="AD996" s="294"/>
      <c r="AE996" s="294"/>
      <c r="AF996" s="294"/>
      <c r="AG996" s="294"/>
    </row>
    <row r="997" spans="2:33" x14ac:dyDescent="0.25">
      <c r="B997" s="294"/>
      <c r="C997" s="294"/>
      <c r="D997" s="294"/>
      <c r="E997" s="294"/>
      <c r="F997" s="294"/>
      <c r="G997" s="294"/>
      <c r="H997" s="294"/>
      <c r="I997" s="294"/>
      <c r="J997" s="294"/>
      <c r="L997" s="295"/>
      <c r="M997" s="294"/>
      <c r="O997" s="294"/>
      <c r="P997" s="294"/>
      <c r="Q997" s="294"/>
      <c r="R997" s="294"/>
      <c r="S997" s="294"/>
      <c r="T997" s="294"/>
      <c r="U997" s="294"/>
      <c r="V997" s="294"/>
      <c r="W997" s="294"/>
      <c r="X997" s="294"/>
      <c r="Y997" s="294"/>
      <c r="Z997" s="294"/>
      <c r="AA997" s="294"/>
      <c r="AB997" s="294"/>
      <c r="AC997" s="294"/>
      <c r="AD997" s="294"/>
      <c r="AE997" s="294"/>
      <c r="AF997" s="294"/>
      <c r="AG997" s="294"/>
    </row>
    <row r="998" spans="2:33" x14ac:dyDescent="0.25">
      <c r="B998" s="294"/>
      <c r="C998" s="294"/>
      <c r="D998" s="294"/>
      <c r="E998" s="294"/>
      <c r="F998" s="294"/>
      <c r="G998" s="294"/>
      <c r="H998" s="294"/>
      <c r="I998" s="294"/>
      <c r="J998" s="294"/>
      <c r="L998" s="295"/>
      <c r="M998" s="294"/>
      <c r="O998" s="294"/>
      <c r="P998" s="294"/>
      <c r="Q998" s="294"/>
      <c r="R998" s="294"/>
      <c r="S998" s="294"/>
      <c r="T998" s="294"/>
      <c r="U998" s="294"/>
      <c r="V998" s="294"/>
      <c r="W998" s="294"/>
      <c r="X998" s="294"/>
      <c r="Y998" s="294"/>
      <c r="Z998" s="294"/>
      <c r="AA998" s="294"/>
      <c r="AB998" s="294"/>
      <c r="AC998" s="294"/>
      <c r="AD998" s="294"/>
      <c r="AE998" s="294"/>
      <c r="AF998" s="294"/>
      <c r="AG998" s="294"/>
    </row>
    <row r="999" spans="2:33" x14ac:dyDescent="0.25">
      <c r="B999" s="294"/>
      <c r="C999" s="294"/>
      <c r="D999" s="294"/>
      <c r="E999" s="294"/>
      <c r="F999" s="294"/>
      <c r="G999" s="294"/>
      <c r="H999" s="294"/>
      <c r="I999" s="294"/>
      <c r="J999" s="294"/>
      <c r="L999" s="295"/>
      <c r="M999" s="294"/>
      <c r="O999" s="294"/>
      <c r="P999" s="294"/>
      <c r="Q999" s="294"/>
      <c r="R999" s="294"/>
      <c r="S999" s="294"/>
      <c r="T999" s="294"/>
      <c r="U999" s="294"/>
      <c r="V999" s="294"/>
      <c r="W999" s="294"/>
      <c r="X999" s="294"/>
      <c r="Y999" s="294"/>
      <c r="Z999" s="294"/>
      <c r="AA999" s="294"/>
      <c r="AB999" s="294"/>
      <c r="AC999" s="294"/>
      <c r="AD999" s="294"/>
      <c r="AE999" s="294"/>
      <c r="AF999" s="294"/>
      <c r="AG999" s="294"/>
    </row>
    <row r="1000" spans="2:33" x14ac:dyDescent="0.25">
      <c r="B1000" s="294"/>
      <c r="C1000" s="294"/>
      <c r="D1000" s="294"/>
      <c r="E1000" s="294"/>
      <c r="F1000" s="294"/>
      <c r="G1000" s="294"/>
      <c r="H1000" s="294"/>
      <c r="I1000" s="294"/>
      <c r="J1000" s="294"/>
      <c r="L1000" s="295"/>
      <c r="M1000" s="294"/>
      <c r="O1000" s="294"/>
      <c r="P1000" s="294"/>
      <c r="Q1000" s="294"/>
      <c r="R1000" s="294"/>
      <c r="S1000" s="294"/>
      <c r="T1000" s="294"/>
      <c r="U1000" s="294"/>
      <c r="V1000" s="294"/>
      <c r="W1000" s="294"/>
      <c r="X1000" s="294"/>
      <c r="Y1000" s="294"/>
      <c r="Z1000" s="294"/>
      <c r="AA1000" s="294"/>
      <c r="AB1000" s="294"/>
      <c r="AC1000" s="294"/>
      <c r="AD1000" s="294"/>
      <c r="AE1000" s="294"/>
      <c r="AF1000" s="294"/>
      <c r="AG1000" s="294"/>
    </row>
    <row r="1001" spans="2:33" x14ac:dyDescent="0.25">
      <c r="B1001" s="294"/>
      <c r="C1001" s="294"/>
      <c r="D1001" s="294"/>
      <c r="E1001" s="294"/>
      <c r="F1001" s="294"/>
      <c r="G1001" s="294"/>
      <c r="H1001" s="294"/>
      <c r="I1001" s="294"/>
      <c r="J1001" s="294"/>
      <c r="L1001" s="295"/>
      <c r="M1001" s="294"/>
      <c r="O1001" s="294"/>
      <c r="P1001" s="294"/>
      <c r="Q1001" s="294"/>
      <c r="R1001" s="294"/>
      <c r="S1001" s="294"/>
      <c r="T1001" s="294"/>
      <c r="U1001" s="294"/>
      <c r="V1001" s="294"/>
      <c r="W1001" s="294"/>
      <c r="X1001" s="294"/>
      <c r="Y1001" s="294"/>
      <c r="Z1001" s="294"/>
      <c r="AA1001" s="294"/>
      <c r="AB1001" s="294"/>
      <c r="AC1001" s="294"/>
      <c r="AD1001" s="294"/>
      <c r="AE1001" s="294"/>
      <c r="AF1001" s="294"/>
      <c r="AG1001" s="294"/>
    </row>
    <row r="1002" spans="2:33" x14ac:dyDescent="0.25">
      <c r="B1002" s="294"/>
      <c r="C1002" s="294"/>
      <c r="D1002" s="294"/>
      <c r="E1002" s="294"/>
      <c r="F1002" s="294"/>
      <c r="G1002" s="294"/>
      <c r="H1002" s="294"/>
      <c r="I1002" s="294"/>
      <c r="J1002" s="294"/>
      <c r="L1002" s="295"/>
      <c r="M1002" s="294"/>
      <c r="O1002" s="294"/>
      <c r="P1002" s="294"/>
      <c r="Q1002" s="294"/>
      <c r="R1002" s="294"/>
      <c r="S1002" s="294"/>
      <c r="T1002" s="294"/>
      <c r="U1002" s="294"/>
      <c r="V1002" s="294"/>
      <c r="W1002" s="294"/>
      <c r="X1002" s="294"/>
      <c r="Y1002" s="294"/>
      <c r="Z1002" s="294"/>
      <c r="AA1002" s="294"/>
      <c r="AB1002" s="294"/>
      <c r="AC1002" s="294"/>
      <c r="AD1002" s="294"/>
      <c r="AE1002" s="294"/>
      <c r="AF1002" s="294"/>
      <c r="AG1002" s="294"/>
    </row>
    <row r="1003" spans="2:33" x14ac:dyDescent="0.25">
      <c r="B1003" s="294"/>
      <c r="C1003" s="294"/>
      <c r="D1003" s="294"/>
      <c r="E1003" s="294"/>
      <c r="F1003" s="294"/>
      <c r="G1003" s="294"/>
      <c r="H1003" s="294"/>
      <c r="I1003" s="294"/>
      <c r="J1003" s="294"/>
      <c r="L1003" s="295"/>
      <c r="M1003" s="294"/>
      <c r="O1003" s="294"/>
      <c r="P1003" s="294"/>
      <c r="Q1003" s="294"/>
      <c r="R1003" s="294"/>
      <c r="S1003" s="294"/>
      <c r="T1003" s="294"/>
      <c r="U1003" s="294"/>
      <c r="V1003" s="294"/>
      <c r="W1003" s="294"/>
      <c r="X1003" s="294"/>
      <c r="Y1003" s="294"/>
      <c r="Z1003" s="294"/>
      <c r="AA1003" s="294"/>
      <c r="AB1003" s="294"/>
      <c r="AC1003" s="294"/>
      <c r="AD1003" s="294"/>
      <c r="AE1003" s="294"/>
      <c r="AF1003" s="294"/>
      <c r="AG1003" s="294"/>
    </row>
    <row r="1004" spans="2:33" x14ac:dyDescent="0.25">
      <c r="B1004" s="294"/>
      <c r="C1004" s="294"/>
      <c r="D1004" s="294"/>
      <c r="E1004" s="294"/>
      <c r="F1004" s="294"/>
      <c r="G1004" s="294"/>
      <c r="H1004" s="294"/>
      <c r="I1004" s="294"/>
      <c r="J1004" s="294"/>
      <c r="L1004" s="295"/>
      <c r="M1004" s="294"/>
      <c r="O1004" s="294"/>
      <c r="P1004" s="294"/>
      <c r="Q1004" s="294"/>
      <c r="R1004" s="294"/>
      <c r="S1004" s="294"/>
      <c r="T1004" s="294"/>
      <c r="U1004" s="294"/>
      <c r="V1004" s="294"/>
      <c r="W1004" s="294"/>
      <c r="X1004" s="294"/>
      <c r="Y1004" s="294"/>
      <c r="Z1004" s="294"/>
      <c r="AA1004" s="294"/>
      <c r="AB1004" s="294"/>
      <c r="AC1004" s="294"/>
      <c r="AD1004" s="294"/>
      <c r="AE1004" s="294"/>
      <c r="AF1004" s="294"/>
      <c r="AG1004" s="294"/>
    </row>
    <row r="1005" spans="2:33" x14ac:dyDescent="0.25">
      <c r="B1005" s="294"/>
      <c r="C1005" s="294"/>
      <c r="D1005" s="294"/>
      <c r="E1005" s="294"/>
      <c r="F1005" s="294"/>
      <c r="G1005" s="294"/>
      <c r="H1005" s="294"/>
      <c r="I1005" s="294"/>
      <c r="J1005" s="294"/>
      <c r="L1005" s="295"/>
      <c r="M1005" s="294"/>
      <c r="O1005" s="294"/>
      <c r="P1005" s="294"/>
      <c r="Q1005" s="294"/>
      <c r="R1005" s="294"/>
      <c r="S1005" s="294"/>
      <c r="T1005" s="294"/>
      <c r="U1005" s="294"/>
      <c r="V1005" s="294"/>
      <c r="W1005" s="294"/>
      <c r="X1005" s="294"/>
      <c r="Y1005" s="294"/>
      <c r="Z1005" s="294"/>
      <c r="AA1005" s="294"/>
      <c r="AB1005" s="294"/>
      <c r="AC1005" s="294"/>
      <c r="AD1005" s="294"/>
      <c r="AE1005" s="294"/>
      <c r="AF1005" s="294"/>
      <c r="AG1005" s="294"/>
    </row>
    <row r="1006" spans="2:33" x14ac:dyDescent="0.25">
      <c r="B1006" s="294"/>
      <c r="C1006" s="294"/>
      <c r="D1006" s="294"/>
      <c r="E1006" s="294"/>
      <c r="F1006" s="294"/>
      <c r="G1006" s="294"/>
      <c r="H1006" s="294"/>
      <c r="I1006" s="294"/>
      <c r="J1006" s="294"/>
      <c r="L1006" s="295"/>
      <c r="M1006" s="294"/>
      <c r="O1006" s="294"/>
      <c r="P1006" s="294"/>
      <c r="Q1006" s="294"/>
      <c r="R1006" s="294"/>
      <c r="S1006" s="294"/>
      <c r="T1006" s="294"/>
      <c r="U1006" s="294"/>
      <c r="V1006" s="294"/>
      <c r="W1006" s="294"/>
      <c r="X1006" s="294"/>
      <c r="Y1006" s="294"/>
      <c r="Z1006" s="294"/>
      <c r="AA1006" s="294"/>
      <c r="AB1006" s="294"/>
      <c r="AC1006" s="294"/>
      <c r="AD1006" s="294"/>
      <c r="AE1006" s="294"/>
      <c r="AF1006" s="294"/>
      <c r="AG1006" s="294"/>
    </row>
    <row r="1007" spans="2:33" x14ac:dyDescent="0.25">
      <c r="B1007" s="294"/>
      <c r="C1007" s="294"/>
      <c r="D1007" s="294"/>
      <c r="E1007" s="294"/>
      <c r="F1007" s="294"/>
      <c r="G1007" s="294"/>
      <c r="H1007" s="294"/>
      <c r="I1007" s="294"/>
      <c r="J1007" s="294"/>
      <c r="L1007" s="295"/>
      <c r="M1007" s="294"/>
      <c r="O1007" s="294"/>
      <c r="P1007" s="294"/>
      <c r="Q1007" s="294"/>
      <c r="R1007" s="294"/>
      <c r="S1007" s="294"/>
      <c r="T1007" s="294"/>
      <c r="U1007" s="294"/>
      <c r="V1007" s="294"/>
      <c r="W1007" s="294"/>
      <c r="X1007" s="294"/>
      <c r="Y1007" s="294"/>
      <c r="Z1007" s="294"/>
      <c r="AA1007" s="294"/>
      <c r="AB1007" s="294"/>
      <c r="AC1007" s="294"/>
      <c r="AD1007" s="294"/>
      <c r="AE1007" s="294"/>
      <c r="AF1007" s="294"/>
      <c r="AG1007" s="294"/>
    </row>
    <row r="1008" spans="2:33" x14ac:dyDescent="0.25">
      <c r="B1008" s="294"/>
      <c r="C1008" s="294"/>
      <c r="D1008" s="294"/>
      <c r="E1008" s="294"/>
      <c r="F1008" s="294"/>
      <c r="G1008" s="294"/>
      <c r="H1008" s="294"/>
      <c r="I1008" s="294"/>
      <c r="J1008" s="294"/>
      <c r="L1008" s="295"/>
      <c r="M1008" s="294"/>
      <c r="O1008" s="294"/>
      <c r="P1008" s="294"/>
      <c r="Q1008" s="294"/>
      <c r="R1008" s="294"/>
      <c r="S1008" s="294"/>
      <c r="T1008" s="294"/>
      <c r="U1008" s="294"/>
      <c r="V1008" s="294"/>
      <c r="W1008" s="294"/>
      <c r="X1008" s="294"/>
      <c r="Y1008" s="294"/>
      <c r="Z1008" s="294"/>
      <c r="AA1008" s="294"/>
      <c r="AB1008" s="294"/>
      <c r="AC1008" s="294"/>
      <c r="AD1008" s="294"/>
      <c r="AE1008" s="294"/>
      <c r="AF1008" s="294"/>
      <c r="AG1008" s="294"/>
    </row>
    <row r="1009" spans="2:33" x14ac:dyDescent="0.25">
      <c r="B1009" s="294"/>
      <c r="C1009" s="294"/>
      <c r="D1009" s="294"/>
      <c r="E1009" s="294"/>
      <c r="F1009" s="294"/>
      <c r="G1009" s="294"/>
      <c r="H1009" s="294"/>
      <c r="I1009" s="294"/>
      <c r="J1009" s="294"/>
      <c r="L1009" s="295"/>
      <c r="M1009" s="294"/>
      <c r="O1009" s="294"/>
      <c r="P1009" s="294"/>
      <c r="Q1009" s="294"/>
      <c r="R1009" s="294"/>
      <c r="S1009" s="294"/>
      <c r="T1009" s="294"/>
      <c r="U1009" s="294"/>
      <c r="V1009" s="294"/>
      <c r="W1009" s="294"/>
      <c r="X1009" s="294"/>
      <c r="Y1009" s="294"/>
      <c r="Z1009" s="294"/>
      <c r="AA1009" s="294"/>
      <c r="AB1009" s="294"/>
      <c r="AC1009" s="294"/>
      <c r="AD1009" s="294"/>
      <c r="AE1009" s="294"/>
      <c r="AF1009" s="294"/>
      <c r="AG1009" s="294"/>
    </row>
    <row r="1010" spans="2:33" x14ac:dyDescent="0.25">
      <c r="B1010" s="294"/>
      <c r="C1010" s="294"/>
      <c r="D1010" s="294"/>
      <c r="E1010" s="294"/>
      <c r="F1010" s="294"/>
      <c r="G1010" s="294"/>
      <c r="H1010" s="294"/>
      <c r="I1010" s="294"/>
      <c r="J1010" s="294"/>
      <c r="L1010" s="295"/>
      <c r="M1010" s="294"/>
      <c r="O1010" s="294"/>
      <c r="P1010" s="294"/>
      <c r="Q1010" s="294"/>
      <c r="R1010" s="294"/>
      <c r="S1010" s="294"/>
      <c r="T1010" s="294"/>
      <c r="U1010" s="294"/>
      <c r="V1010" s="294"/>
      <c r="W1010" s="294"/>
      <c r="X1010" s="294"/>
      <c r="Y1010" s="294"/>
      <c r="Z1010" s="294"/>
      <c r="AA1010" s="294"/>
      <c r="AB1010" s="294"/>
      <c r="AC1010" s="294"/>
      <c r="AD1010" s="294"/>
      <c r="AE1010" s="294"/>
      <c r="AF1010" s="294"/>
      <c r="AG1010" s="294"/>
    </row>
    <row r="1011" spans="2:33" x14ac:dyDescent="0.25">
      <c r="B1011" s="294"/>
      <c r="C1011" s="294"/>
      <c r="D1011" s="294"/>
      <c r="E1011" s="294"/>
      <c r="F1011" s="294"/>
      <c r="G1011" s="294"/>
      <c r="H1011" s="294"/>
      <c r="I1011" s="294"/>
      <c r="J1011" s="294"/>
      <c r="L1011" s="295"/>
      <c r="M1011" s="294"/>
      <c r="O1011" s="294"/>
      <c r="P1011" s="294"/>
      <c r="Q1011" s="294"/>
      <c r="R1011" s="294"/>
      <c r="S1011" s="294"/>
      <c r="T1011" s="294"/>
      <c r="U1011" s="294"/>
      <c r="V1011" s="294"/>
      <c r="W1011" s="294"/>
      <c r="X1011" s="294"/>
      <c r="Y1011" s="294"/>
      <c r="Z1011" s="294"/>
      <c r="AA1011" s="294"/>
      <c r="AB1011" s="294"/>
      <c r="AC1011" s="294"/>
      <c r="AD1011" s="294"/>
      <c r="AE1011" s="294"/>
      <c r="AF1011" s="294"/>
      <c r="AG1011" s="294"/>
    </row>
    <row r="1012" spans="2:33" x14ac:dyDescent="0.25">
      <c r="B1012" s="294"/>
      <c r="C1012" s="294"/>
      <c r="D1012" s="294"/>
      <c r="E1012" s="294"/>
      <c r="F1012" s="294"/>
      <c r="G1012" s="294"/>
      <c r="H1012" s="294"/>
      <c r="I1012" s="294"/>
      <c r="J1012" s="294"/>
      <c r="L1012" s="295"/>
      <c r="M1012" s="294"/>
      <c r="O1012" s="294"/>
      <c r="P1012" s="294"/>
      <c r="Q1012" s="294"/>
      <c r="R1012" s="294"/>
      <c r="S1012" s="294"/>
      <c r="T1012" s="294"/>
      <c r="U1012" s="294"/>
      <c r="V1012" s="294"/>
      <c r="W1012" s="294"/>
      <c r="X1012" s="294"/>
      <c r="Y1012" s="294"/>
      <c r="Z1012" s="294"/>
      <c r="AA1012" s="294"/>
      <c r="AB1012" s="294"/>
      <c r="AC1012" s="294"/>
      <c r="AD1012" s="294"/>
      <c r="AE1012" s="294"/>
      <c r="AF1012" s="294"/>
      <c r="AG1012" s="294"/>
    </row>
    <row r="1013" spans="2:33" x14ac:dyDescent="0.25">
      <c r="B1013" s="294"/>
      <c r="C1013" s="294"/>
      <c r="D1013" s="294"/>
      <c r="E1013" s="294"/>
      <c r="F1013" s="294"/>
      <c r="G1013" s="294"/>
      <c r="H1013" s="294"/>
      <c r="I1013" s="294"/>
      <c r="J1013" s="294"/>
      <c r="L1013" s="295"/>
      <c r="M1013" s="294"/>
      <c r="O1013" s="294"/>
      <c r="P1013" s="294"/>
      <c r="Q1013" s="294"/>
      <c r="R1013" s="294"/>
      <c r="S1013" s="294"/>
      <c r="T1013" s="294"/>
      <c r="U1013" s="294"/>
      <c r="V1013" s="294"/>
      <c r="W1013" s="294"/>
      <c r="X1013" s="294"/>
      <c r="Y1013" s="294"/>
      <c r="Z1013" s="294"/>
      <c r="AA1013" s="294"/>
      <c r="AB1013" s="294"/>
      <c r="AC1013" s="294"/>
      <c r="AD1013" s="294"/>
      <c r="AE1013" s="294"/>
      <c r="AF1013" s="294"/>
      <c r="AG1013" s="294"/>
    </row>
    <row r="1014" spans="2:33" x14ac:dyDescent="0.25">
      <c r="B1014" s="294"/>
      <c r="C1014" s="294"/>
      <c r="D1014" s="294"/>
      <c r="E1014" s="294"/>
      <c r="F1014" s="294"/>
      <c r="G1014" s="294"/>
      <c r="H1014" s="294"/>
      <c r="I1014" s="294"/>
      <c r="J1014" s="294"/>
      <c r="L1014" s="295"/>
      <c r="M1014" s="294"/>
      <c r="O1014" s="294"/>
      <c r="P1014" s="294"/>
      <c r="Q1014" s="294"/>
      <c r="R1014" s="294"/>
      <c r="S1014" s="294"/>
      <c r="T1014" s="294"/>
      <c r="U1014" s="294"/>
      <c r="V1014" s="294"/>
      <c r="W1014" s="294"/>
      <c r="X1014" s="294"/>
      <c r="Y1014" s="294"/>
      <c r="Z1014" s="294"/>
      <c r="AA1014" s="294"/>
      <c r="AB1014" s="294"/>
      <c r="AC1014" s="294"/>
      <c r="AD1014" s="294"/>
      <c r="AE1014" s="294"/>
      <c r="AF1014" s="294"/>
      <c r="AG1014" s="294"/>
    </row>
    <row r="1015" spans="2:33" x14ac:dyDescent="0.25">
      <c r="B1015" s="294"/>
      <c r="C1015" s="294"/>
      <c r="D1015" s="294"/>
      <c r="E1015" s="294"/>
      <c r="F1015" s="294"/>
      <c r="G1015" s="294"/>
      <c r="H1015" s="294"/>
      <c r="I1015" s="294"/>
      <c r="J1015" s="294"/>
      <c r="L1015" s="295"/>
      <c r="M1015" s="294"/>
      <c r="O1015" s="294"/>
      <c r="P1015" s="294"/>
      <c r="Q1015" s="294"/>
      <c r="R1015" s="294"/>
      <c r="S1015" s="294"/>
      <c r="T1015" s="294"/>
      <c r="U1015" s="294"/>
      <c r="V1015" s="294"/>
      <c r="W1015" s="294"/>
      <c r="X1015" s="294"/>
      <c r="Y1015" s="294"/>
      <c r="Z1015" s="294"/>
      <c r="AA1015" s="294"/>
      <c r="AB1015" s="294"/>
      <c r="AC1015" s="294"/>
      <c r="AD1015" s="294"/>
      <c r="AE1015" s="294"/>
      <c r="AF1015" s="294"/>
      <c r="AG1015" s="294"/>
    </row>
    <row r="1016" spans="2:33" x14ac:dyDescent="0.25">
      <c r="B1016" s="294"/>
      <c r="C1016" s="294"/>
      <c r="D1016" s="294"/>
      <c r="E1016" s="294"/>
      <c r="F1016" s="294"/>
      <c r="G1016" s="294"/>
      <c r="H1016" s="294"/>
      <c r="I1016" s="294"/>
      <c r="J1016" s="294"/>
      <c r="L1016" s="295"/>
      <c r="M1016" s="294"/>
      <c r="O1016" s="294"/>
      <c r="P1016" s="294"/>
      <c r="Q1016" s="294"/>
      <c r="R1016" s="294"/>
      <c r="S1016" s="294"/>
      <c r="T1016" s="294"/>
      <c r="U1016" s="294"/>
      <c r="V1016" s="294"/>
      <c r="W1016" s="294"/>
      <c r="X1016" s="294"/>
      <c r="Y1016" s="294"/>
      <c r="Z1016" s="294"/>
      <c r="AA1016" s="294"/>
      <c r="AB1016" s="294"/>
      <c r="AC1016" s="294"/>
      <c r="AD1016" s="294"/>
      <c r="AE1016" s="294"/>
      <c r="AF1016" s="294"/>
      <c r="AG1016" s="294"/>
    </row>
    <row r="1017" spans="2:33" x14ac:dyDescent="0.25">
      <c r="B1017" s="294"/>
      <c r="C1017" s="294"/>
      <c r="D1017" s="294"/>
      <c r="E1017" s="294"/>
      <c r="F1017" s="294"/>
      <c r="G1017" s="294"/>
      <c r="H1017" s="294"/>
      <c r="I1017" s="294"/>
      <c r="J1017" s="294"/>
      <c r="L1017" s="295"/>
      <c r="M1017" s="294"/>
      <c r="O1017" s="294"/>
      <c r="P1017" s="294"/>
      <c r="Q1017" s="294"/>
      <c r="R1017" s="294"/>
      <c r="S1017" s="294"/>
      <c r="T1017" s="294"/>
      <c r="U1017" s="294"/>
      <c r="V1017" s="294"/>
      <c r="W1017" s="294"/>
      <c r="X1017" s="294"/>
      <c r="Y1017" s="294"/>
      <c r="Z1017" s="294"/>
      <c r="AA1017" s="294"/>
      <c r="AB1017" s="294"/>
      <c r="AC1017" s="294"/>
      <c r="AD1017" s="294"/>
      <c r="AE1017" s="294"/>
      <c r="AF1017" s="294"/>
      <c r="AG1017" s="294"/>
    </row>
    <row r="1018" spans="2:33" x14ac:dyDescent="0.25">
      <c r="B1018" s="294"/>
      <c r="C1018" s="294"/>
      <c r="D1018" s="294"/>
      <c r="E1018" s="294"/>
      <c r="F1018" s="294"/>
      <c r="G1018" s="294"/>
      <c r="H1018" s="294"/>
      <c r="I1018" s="294"/>
      <c r="J1018" s="294"/>
      <c r="L1018" s="295"/>
      <c r="M1018" s="294"/>
      <c r="O1018" s="294"/>
      <c r="P1018" s="294"/>
      <c r="Q1018" s="294"/>
      <c r="R1018" s="294"/>
      <c r="S1018" s="294"/>
      <c r="T1018" s="294"/>
      <c r="U1018" s="294"/>
      <c r="V1018" s="294"/>
      <c r="W1018" s="294"/>
      <c r="X1018" s="294"/>
      <c r="Y1018" s="294"/>
      <c r="Z1018" s="294"/>
      <c r="AA1018" s="294"/>
      <c r="AB1018" s="294"/>
      <c r="AC1018" s="294"/>
      <c r="AD1018" s="294"/>
      <c r="AE1018" s="294"/>
      <c r="AF1018" s="294"/>
      <c r="AG1018" s="294"/>
    </row>
    <row r="1019" spans="2:33" x14ac:dyDescent="0.25">
      <c r="B1019" s="294"/>
      <c r="C1019" s="294"/>
      <c r="D1019" s="294"/>
      <c r="E1019" s="294"/>
      <c r="F1019" s="294"/>
      <c r="G1019" s="294"/>
      <c r="H1019" s="294"/>
      <c r="I1019" s="294"/>
      <c r="J1019" s="294"/>
      <c r="L1019" s="295"/>
      <c r="M1019" s="294"/>
      <c r="O1019" s="294"/>
      <c r="P1019" s="294"/>
      <c r="Q1019" s="294"/>
      <c r="R1019" s="294"/>
      <c r="S1019" s="294"/>
      <c r="T1019" s="294"/>
      <c r="U1019" s="294"/>
      <c r="V1019" s="294"/>
      <c r="W1019" s="294"/>
      <c r="X1019" s="294"/>
      <c r="Y1019" s="294"/>
      <c r="Z1019" s="294"/>
      <c r="AA1019" s="294"/>
      <c r="AB1019" s="294"/>
      <c r="AC1019" s="294"/>
      <c r="AD1019" s="294"/>
      <c r="AE1019" s="294"/>
      <c r="AF1019" s="294"/>
      <c r="AG1019" s="294"/>
    </row>
    <row r="1020" spans="2:33" x14ac:dyDescent="0.25">
      <c r="B1020" s="294"/>
      <c r="C1020" s="294"/>
      <c r="D1020" s="294"/>
      <c r="E1020" s="294"/>
      <c r="F1020" s="294"/>
      <c r="G1020" s="294"/>
      <c r="H1020" s="294"/>
      <c r="I1020" s="294"/>
      <c r="J1020" s="294"/>
      <c r="L1020" s="295"/>
      <c r="M1020" s="294"/>
      <c r="O1020" s="294"/>
      <c r="P1020" s="294"/>
      <c r="Q1020" s="294"/>
      <c r="R1020" s="294"/>
      <c r="S1020" s="294"/>
      <c r="T1020" s="294"/>
      <c r="U1020" s="294"/>
      <c r="V1020" s="294"/>
      <c r="W1020" s="294"/>
      <c r="X1020" s="294"/>
      <c r="Y1020" s="294"/>
      <c r="Z1020" s="294"/>
      <c r="AA1020" s="294"/>
      <c r="AB1020" s="294"/>
      <c r="AC1020" s="294"/>
      <c r="AD1020" s="294"/>
      <c r="AE1020" s="294"/>
      <c r="AF1020" s="294"/>
      <c r="AG1020" s="294"/>
    </row>
    <row r="1021" spans="2:33" x14ac:dyDescent="0.25">
      <c r="B1021" s="294"/>
      <c r="C1021" s="294"/>
      <c r="D1021" s="294"/>
      <c r="E1021" s="294"/>
      <c r="F1021" s="294"/>
      <c r="G1021" s="294"/>
      <c r="H1021" s="294"/>
      <c r="I1021" s="294"/>
      <c r="J1021" s="294"/>
      <c r="L1021" s="295"/>
      <c r="M1021" s="294"/>
      <c r="O1021" s="294"/>
      <c r="P1021" s="294"/>
      <c r="Q1021" s="294"/>
      <c r="R1021" s="294"/>
      <c r="S1021" s="294"/>
      <c r="T1021" s="294"/>
      <c r="U1021" s="294"/>
      <c r="V1021" s="294"/>
      <c r="W1021" s="294"/>
      <c r="X1021" s="294"/>
      <c r="Y1021" s="294"/>
      <c r="Z1021" s="294"/>
      <c r="AA1021" s="294"/>
      <c r="AB1021" s="294"/>
      <c r="AC1021" s="294"/>
      <c r="AD1021" s="294"/>
      <c r="AE1021" s="294"/>
      <c r="AF1021" s="294"/>
      <c r="AG1021" s="294"/>
    </row>
    <row r="1022" spans="2:33" x14ac:dyDescent="0.25">
      <c r="B1022" s="294"/>
      <c r="C1022" s="294"/>
      <c r="D1022" s="294"/>
      <c r="E1022" s="294"/>
      <c r="F1022" s="294"/>
      <c r="G1022" s="294"/>
      <c r="H1022" s="294"/>
      <c r="I1022" s="294"/>
      <c r="J1022" s="294"/>
      <c r="L1022" s="295"/>
      <c r="M1022" s="294"/>
      <c r="O1022" s="294"/>
      <c r="P1022" s="294"/>
      <c r="Q1022" s="294"/>
      <c r="R1022" s="294"/>
      <c r="S1022" s="294"/>
      <c r="T1022" s="294"/>
      <c r="U1022" s="294"/>
      <c r="V1022" s="294"/>
      <c r="W1022" s="294"/>
      <c r="X1022" s="294"/>
      <c r="Y1022" s="294"/>
      <c r="Z1022" s="294"/>
      <c r="AA1022" s="294"/>
      <c r="AB1022" s="294"/>
      <c r="AC1022" s="294"/>
      <c r="AD1022" s="294"/>
      <c r="AE1022" s="294"/>
      <c r="AF1022" s="294"/>
      <c r="AG1022" s="294"/>
    </row>
    <row r="1023" spans="2:33" x14ac:dyDescent="0.25">
      <c r="B1023" s="294"/>
      <c r="C1023" s="294"/>
      <c r="D1023" s="294"/>
      <c r="E1023" s="294"/>
      <c r="F1023" s="294"/>
      <c r="G1023" s="294"/>
      <c r="H1023" s="294"/>
      <c r="I1023" s="294"/>
      <c r="J1023" s="294"/>
      <c r="L1023" s="295"/>
      <c r="M1023" s="294"/>
      <c r="O1023" s="294"/>
      <c r="P1023" s="294"/>
      <c r="Q1023" s="294"/>
      <c r="R1023" s="294"/>
      <c r="S1023" s="294"/>
      <c r="T1023" s="294"/>
      <c r="U1023" s="294"/>
      <c r="V1023" s="294"/>
      <c r="W1023" s="294"/>
      <c r="X1023" s="294"/>
      <c r="Y1023" s="294"/>
      <c r="Z1023" s="294"/>
      <c r="AA1023" s="294"/>
      <c r="AB1023" s="294"/>
      <c r="AC1023" s="294"/>
      <c r="AD1023" s="294"/>
      <c r="AE1023" s="294"/>
      <c r="AF1023" s="294"/>
      <c r="AG1023" s="294"/>
    </row>
    <row r="1024" spans="2:33" x14ac:dyDescent="0.25">
      <c r="B1024" s="294"/>
      <c r="C1024" s="294"/>
      <c r="D1024" s="294"/>
      <c r="E1024" s="294"/>
      <c r="F1024" s="294"/>
      <c r="G1024" s="294"/>
      <c r="H1024" s="294"/>
      <c r="I1024" s="294"/>
      <c r="J1024" s="294"/>
      <c r="L1024" s="295"/>
      <c r="M1024" s="294"/>
      <c r="O1024" s="294"/>
      <c r="P1024" s="294"/>
      <c r="Q1024" s="294"/>
      <c r="R1024" s="294"/>
      <c r="S1024" s="294"/>
      <c r="T1024" s="294"/>
      <c r="U1024" s="294"/>
      <c r="V1024" s="294"/>
      <c r="W1024" s="294"/>
      <c r="X1024" s="294"/>
      <c r="Y1024" s="294"/>
      <c r="Z1024" s="294"/>
      <c r="AA1024" s="294"/>
      <c r="AB1024" s="294"/>
      <c r="AC1024" s="294"/>
      <c r="AD1024" s="294"/>
      <c r="AE1024" s="294"/>
      <c r="AF1024" s="294"/>
      <c r="AG1024" s="294"/>
    </row>
    <row r="1025" spans="2:33" x14ac:dyDescent="0.25">
      <c r="B1025" s="294"/>
      <c r="C1025" s="294"/>
      <c r="D1025" s="294"/>
      <c r="E1025" s="294"/>
      <c r="F1025" s="294"/>
      <c r="G1025" s="294"/>
      <c r="H1025" s="294"/>
      <c r="I1025" s="294"/>
      <c r="J1025" s="294"/>
      <c r="L1025" s="295"/>
      <c r="M1025" s="294"/>
      <c r="O1025" s="294"/>
      <c r="P1025" s="294"/>
      <c r="Q1025" s="294"/>
      <c r="R1025" s="294"/>
      <c r="S1025" s="294"/>
      <c r="T1025" s="294"/>
      <c r="U1025" s="294"/>
      <c r="V1025" s="294"/>
      <c r="W1025" s="294"/>
      <c r="X1025" s="294"/>
      <c r="Y1025" s="294"/>
      <c r="Z1025" s="294"/>
      <c r="AA1025" s="294"/>
      <c r="AB1025" s="294"/>
      <c r="AC1025" s="294"/>
      <c r="AD1025" s="294"/>
      <c r="AE1025" s="294"/>
      <c r="AF1025" s="294"/>
      <c r="AG1025" s="294"/>
    </row>
    <row r="1026" spans="2:33" x14ac:dyDescent="0.25">
      <c r="B1026" s="294"/>
      <c r="C1026" s="294"/>
      <c r="D1026" s="294"/>
      <c r="E1026" s="294"/>
      <c r="F1026" s="294"/>
      <c r="G1026" s="294"/>
      <c r="H1026" s="294"/>
      <c r="I1026" s="294"/>
      <c r="J1026" s="294"/>
      <c r="L1026" s="295"/>
      <c r="M1026" s="294"/>
      <c r="O1026" s="294"/>
      <c r="P1026" s="294"/>
      <c r="Q1026" s="294"/>
      <c r="R1026" s="294"/>
      <c r="S1026" s="294"/>
      <c r="T1026" s="294"/>
      <c r="U1026" s="294"/>
      <c r="V1026" s="294"/>
      <c r="W1026" s="294"/>
      <c r="X1026" s="294"/>
      <c r="Y1026" s="294"/>
      <c r="Z1026" s="294"/>
      <c r="AA1026" s="294"/>
      <c r="AB1026" s="294"/>
      <c r="AC1026" s="294"/>
      <c r="AD1026" s="294"/>
      <c r="AE1026" s="294"/>
      <c r="AF1026" s="294"/>
      <c r="AG1026" s="294"/>
    </row>
    <row r="1027" spans="2:33" x14ac:dyDescent="0.25">
      <c r="B1027" s="294"/>
      <c r="C1027" s="294"/>
      <c r="D1027" s="294"/>
      <c r="E1027" s="294"/>
      <c r="F1027" s="294"/>
      <c r="G1027" s="294"/>
      <c r="H1027" s="294"/>
      <c r="I1027" s="294"/>
      <c r="J1027" s="294"/>
      <c r="L1027" s="295"/>
      <c r="M1027" s="294"/>
      <c r="O1027" s="294"/>
      <c r="P1027" s="294"/>
      <c r="Q1027" s="294"/>
      <c r="R1027" s="294"/>
      <c r="S1027" s="294"/>
      <c r="T1027" s="294"/>
      <c r="U1027" s="294"/>
      <c r="V1027" s="294"/>
      <c r="W1027" s="294"/>
      <c r="X1027" s="294"/>
      <c r="Y1027" s="294"/>
      <c r="Z1027" s="294"/>
      <c r="AA1027" s="294"/>
      <c r="AB1027" s="294"/>
      <c r="AC1027" s="294"/>
      <c r="AD1027" s="294"/>
      <c r="AE1027" s="294"/>
      <c r="AF1027" s="294"/>
      <c r="AG1027" s="294"/>
    </row>
    <row r="1028" spans="2:33" x14ac:dyDescent="0.25">
      <c r="B1028" s="294"/>
      <c r="C1028" s="294"/>
      <c r="D1028" s="294"/>
      <c r="E1028" s="294"/>
      <c r="F1028" s="294"/>
      <c r="G1028" s="294"/>
      <c r="H1028" s="294"/>
      <c r="I1028" s="294"/>
      <c r="J1028" s="294"/>
      <c r="L1028" s="295"/>
      <c r="M1028" s="294"/>
      <c r="O1028" s="294"/>
      <c r="P1028" s="294"/>
      <c r="Q1028" s="294"/>
      <c r="R1028" s="294"/>
      <c r="S1028" s="294"/>
      <c r="T1028" s="294"/>
      <c r="U1028" s="294"/>
      <c r="V1028" s="294"/>
      <c r="W1028" s="294"/>
      <c r="X1028" s="294"/>
      <c r="Y1028" s="294"/>
      <c r="Z1028" s="294"/>
      <c r="AA1028" s="294"/>
      <c r="AB1028" s="294"/>
      <c r="AC1028" s="294"/>
      <c r="AD1028" s="294"/>
      <c r="AE1028" s="294"/>
      <c r="AF1028" s="294"/>
      <c r="AG1028" s="294"/>
    </row>
    <row r="1029" spans="2:33" x14ac:dyDescent="0.25">
      <c r="B1029" s="294"/>
      <c r="C1029" s="294"/>
      <c r="D1029" s="294"/>
      <c r="E1029" s="294"/>
      <c r="F1029" s="294"/>
      <c r="G1029" s="294"/>
      <c r="H1029" s="294"/>
      <c r="I1029" s="294"/>
      <c r="J1029" s="294"/>
      <c r="L1029" s="295"/>
      <c r="M1029" s="294"/>
      <c r="O1029" s="294"/>
      <c r="P1029" s="294"/>
      <c r="Q1029" s="294"/>
      <c r="R1029" s="294"/>
      <c r="S1029" s="294"/>
      <c r="T1029" s="294"/>
      <c r="U1029" s="294"/>
      <c r="V1029" s="294"/>
      <c r="W1029" s="294"/>
      <c r="X1029" s="294"/>
      <c r="Y1029" s="294"/>
      <c r="Z1029" s="294"/>
      <c r="AA1029" s="294"/>
      <c r="AB1029" s="294"/>
      <c r="AC1029" s="294"/>
      <c r="AD1029" s="294"/>
      <c r="AE1029" s="294"/>
      <c r="AF1029" s="294"/>
      <c r="AG1029" s="294"/>
    </row>
    <row r="1030" spans="2:33" x14ac:dyDescent="0.25">
      <c r="B1030" s="294"/>
      <c r="C1030" s="294"/>
      <c r="D1030" s="294"/>
      <c r="E1030" s="294"/>
      <c r="F1030" s="294"/>
      <c r="G1030" s="294"/>
      <c r="H1030" s="294"/>
      <c r="I1030" s="294"/>
      <c r="J1030" s="294"/>
      <c r="L1030" s="295"/>
      <c r="M1030" s="294"/>
      <c r="O1030" s="294"/>
      <c r="P1030" s="294"/>
      <c r="Q1030" s="294"/>
      <c r="R1030" s="294"/>
      <c r="S1030" s="294"/>
      <c r="T1030" s="294"/>
      <c r="U1030" s="294"/>
      <c r="V1030" s="294"/>
      <c r="W1030" s="294"/>
      <c r="X1030" s="294"/>
      <c r="Y1030" s="294"/>
      <c r="Z1030" s="294"/>
      <c r="AA1030" s="294"/>
      <c r="AB1030" s="294"/>
      <c r="AC1030" s="294"/>
      <c r="AD1030" s="294"/>
      <c r="AE1030" s="294"/>
      <c r="AF1030" s="294"/>
      <c r="AG1030" s="294"/>
    </row>
    <row r="1031" spans="2:33" x14ac:dyDescent="0.25">
      <c r="B1031" s="294"/>
      <c r="C1031" s="294"/>
      <c r="D1031" s="294"/>
      <c r="E1031" s="294"/>
      <c r="F1031" s="294"/>
      <c r="G1031" s="294"/>
      <c r="H1031" s="294"/>
      <c r="I1031" s="294"/>
      <c r="J1031" s="294"/>
      <c r="L1031" s="295"/>
      <c r="M1031" s="294"/>
      <c r="O1031" s="294"/>
      <c r="P1031" s="294"/>
      <c r="Q1031" s="294"/>
      <c r="R1031" s="294"/>
      <c r="S1031" s="294"/>
      <c r="T1031" s="294"/>
      <c r="U1031" s="294"/>
      <c r="V1031" s="294"/>
      <c r="W1031" s="294"/>
      <c r="X1031" s="294"/>
      <c r="Y1031" s="294"/>
      <c r="Z1031" s="294"/>
      <c r="AA1031" s="294"/>
      <c r="AB1031" s="294"/>
      <c r="AC1031" s="294"/>
      <c r="AD1031" s="294"/>
      <c r="AE1031" s="294"/>
      <c r="AF1031" s="294"/>
      <c r="AG1031" s="294"/>
    </row>
    <row r="1032" spans="2:33" x14ac:dyDescent="0.25">
      <c r="B1032" s="294"/>
      <c r="C1032" s="294"/>
      <c r="D1032" s="294"/>
      <c r="E1032" s="294"/>
      <c r="F1032" s="294"/>
      <c r="G1032" s="294"/>
      <c r="H1032" s="294"/>
      <c r="I1032" s="294"/>
      <c r="J1032" s="294"/>
      <c r="L1032" s="295"/>
      <c r="M1032" s="294"/>
      <c r="O1032" s="294"/>
      <c r="P1032" s="294"/>
      <c r="Q1032" s="294"/>
      <c r="R1032" s="294"/>
      <c r="S1032" s="294"/>
      <c r="T1032" s="294"/>
      <c r="U1032" s="294"/>
      <c r="V1032" s="294"/>
      <c r="W1032" s="294"/>
      <c r="X1032" s="294"/>
      <c r="Y1032" s="294"/>
      <c r="Z1032" s="294"/>
      <c r="AA1032" s="294"/>
      <c r="AB1032" s="294"/>
      <c r="AC1032" s="294"/>
      <c r="AD1032" s="294"/>
      <c r="AE1032" s="294"/>
      <c r="AF1032" s="294"/>
      <c r="AG1032" s="294"/>
    </row>
    <row r="1033" spans="2:33" x14ac:dyDescent="0.25">
      <c r="B1033" s="294"/>
      <c r="C1033" s="294"/>
      <c r="D1033" s="294"/>
      <c r="E1033" s="294"/>
      <c r="F1033" s="294"/>
      <c r="G1033" s="294"/>
      <c r="H1033" s="294"/>
      <c r="I1033" s="294"/>
      <c r="J1033" s="294"/>
      <c r="L1033" s="295"/>
      <c r="M1033" s="294"/>
      <c r="O1033" s="294"/>
      <c r="P1033" s="294"/>
      <c r="Q1033" s="294"/>
      <c r="R1033" s="294"/>
      <c r="S1033" s="294"/>
      <c r="T1033" s="294"/>
      <c r="U1033" s="294"/>
      <c r="V1033" s="294"/>
      <c r="W1033" s="294"/>
      <c r="X1033" s="294"/>
      <c r="Y1033" s="294"/>
      <c r="Z1033" s="294"/>
      <c r="AA1033" s="294"/>
      <c r="AB1033" s="294"/>
      <c r="AC1033" s="294"/>
      <c r="AD1033" s="294"/>
      <c r="AE1033" s="294"/>
      <c r="AF1033" s="294"/>
      <c r="AG1033" s="294"/>
    </row>
    <row r="1034" spans="2:33" x14ac:dyDescent="0.25">
      <c r="B1034" s="294"/>
      <c r="C1034" s="294"/>
      <c r="D1034" s="294"/>
      <c r="E1034" s="294"/>
      <c r="F1034" s="294"/>
      <c r="G1034" s="294"/>
      <c r="H1034" s="294"/>
      <c r="I1034" s="294"/>
      <c r="J1034" s="294"/>
      <c r="L1034" s="295"/>
      <c r="M1034" s="294"/>
      <c r="O1034" s="294"/>
      <c r="P1034" s="294"/>
      <c r="Q1034" s="294"/>
      <c r="R1034" s="294"/>
      <c r="S1034" s="294"/>
      <c r="T1034" s="294"/>
      <c r="U1034" s="294"/>
      <c r="V1034" s="294"/>
      <c r="W1034" s="294"/>
      <c r="X1034" s="294"/>
      <c r="Y1034" s="294"/>
      <c r="Z1034" s="294"/>
      <c r="AA1034" s="294"/>
      <c r="AB1034" s="294"/>
      <c r="AC1034" s="294"/>
      <c r="AD1034" s="294"/>
      <c r="AE1034" s="294"/>
      <c r="AF1034" s="294"/>
      <c r="AG1034" s="294"/>
    </row>
    <row r="1035" spans="2:33" x14ac:dyDescent="0.25">
      <c r="B1035" s="294"/>
      <c r="C1035" s="294"/>
      <c r="D1035" s="294"/>
      <c r="E1035" s="294"/>
      <c r="F1035" s="294"/>
      <c r="G1035" s="294"/>
      <c r="H1035" s="294"/>
      <c r="I1035" s="294"/>
      <c r="J1035" s="294"/>
      <c r="L1035" s="295"/>
      <c r="M1035" s="294"/>
      <c r="O1035" s="294"/>
      <c r="P1035" s="294"/>
      <c r="Q1035" s="294"/>
      <c r="R1035" s="294"/>
      <c r="S1035" s="294"/>
      <c r="T1035" s="294"/>
      <c r="U1035" s="294"/>
      <c r="V1035" s="294"/>
      <c r="W1035" s="294"/>
      <c r="X1035" s="294"/>
      <c r="Y1035" s="294"/>
      <c r="Z1035" s="294"/>
      <c r="AA1035" s="294"/>
      <c r="AB1035" s="294"/>
      <c r="AC1035" s="294"/>
      <c r="AD1035" s="294"/>
      <c r="AE1035" s="294"/>
      <c r="AF1035" s="294"/>
      <c r="AG1035" s="294"/>
    </row>
    <row r="1036" spans="2:33" x14ac:dyDescent="0.25">
      <c r="B1036" s="294"/>
      <c r="C1036" s="294"/>
      <c r="D1036" s="294"/>
      <c r="E1036" s="294"/>
      <c r="F1036" s="294"/>
      <c r="G1036" s="294"/>
      <c r="H1036" s="294"/>
      <c r="I1036" s="294"/>
      <c r="J1036" s="294"/>
      <c r="L1036" s="295"/>
      <c r="M1036" s="294"/>
      <c r="O1036" s="294"/>
      <c r="P1036" s="294"/>
      <c r="Q1036" s="294"/>
      <c r="R1036" s="294"/>
      <c r="S1036" s="294"/>
      <c r="T1036" s="294"/>
      <c r="U1036" s="294"/>
      <c r="V1036" s="294"/>
      <c r="W1036" s="294"/>
      <c r="X1036" s="294"/>
      <c r="Y1036" s="294"/>
      <c r="Z1036" s="294"/>
      <c r="AA1036" s="294"/>
      <c r="AB1036" s="294"/>
      <c r="AC1036" s="294"/>
      <c r="AD1036" s="294"/>
      <c r="AE1036" s="294"/>
      <c r="AF1036" s="294"/>
      <c r="AG1036" s="294"/>
    </row>
    <row r="1037" spans="2:33" x14ac:dyDescent="0.25">
      <c r="B1037" s="294"/>
      <c r="C1037" s="294"/>
      <c r="D1037" s="294"/>
      <c r="E1037" s="294"/>
      <c r="F1037" s="294"/>
      <c r="G1037" s="294"/>
      <c r="H1037" s="294"/>
      <c r="I1037" s="294"/>
      <c r="J1037" s="294"/>
      <c r="L1037" s="295"/>
      <c r="M1037" s="294"/>
      <c r="O1037" s="294"/>
      <c r="P1037" s="294"/>
      <c r="Q1037" s="294"/>
      <c r="R1037" s="294"/>
      <c r="S1037" s="294"/>
      <c r="T1037" s="294"/>
      <c r="U1037" s="294"/>
      <c r="V1037" s="294"/>
      <c r="W1037" s="294"/>
      <c r="X1037" s="294"/>
      <c r="Y1037" s="294"/>
      <c r="Z1037" s="294"/>
      <c r="AA1037" s="294"/>
      <c r="AB1037" s="294"/>
      <c r="AC1037" s="294"/>
      <c r="AD1037" s="294"/>
      <c r="AE1037" s="294"/>
      <c r="AF1037" s="294"/>
      <c r="AG1037" s="294"/>
    </row>
    <row r="1038" spans="2:33" x14ac:dyDescent="0.25">
      <c r="B1038" s="294"/>
      <c r="C1038" s="294"/>
      <c r="D1038" s="294"/>
      <c r="E1038" s="294"/>
      <c r="F1038" s="294"/>
      <c r="G1038" s="294"/>
      <c r="H1038" s="294"/>
      <c r="I1038" s="294"/>
      <c r="J1038" s="294"/>
      <c r="L1038" s="295"/>
      <c r="M1038" s="294"/>
      <c r="O1038" s="294"/>
      <c r="P1038" s="294"/>
      <c r="Q1038" s="294"/>
      <c r="R1038" s="294"/>
      <c r="S1038" s="294"/>
      <c r="T1038" s="294"/>
      <c r="U1038" s="294"/>
      <c r="V1038" s="294"/>
      <c r="W1038" s="294"/>
      <c r="X1038" s="294"/>
      <c r="Y1038" s="294"/>
      <c r="Z1038" s="294"/>
      <c r="AA1038" s="294"/>
      <c r="AB1038" s="294"/>
      <c r="AC1038" s="294"/>
      <c r="AD1038" s="294"/>
      <c r="AE1038" s="294"/>
      <c r="AF1038" s="294"/>
      <c r="AG1038" s="294"/>
    </row>
    <row r="1039" spans="2:33" x14ac:dyDescent="0.25">
      <c r="B1039" s="294"/>
      <c r="C1039" s="294"/>
      <c r="D1039" s="294"/>
      <c r="E1039" s="294"/>
      <c r="F1039" s="294"/>
      <c r="G1039" s="294"/>
      <c r="H1039" s="294"/>
      <c r="I1039" s="294"/>
      <c r="J1039" s="294"/>
      <c r="L1039" s="295"/>
      <c r="M1039" s="294"/>
      <c r="O1039" s="294"/>
      <c r="P1039" s="294"/>
      <c r="Q1039" s="294"/>
      <c r="R1039" s="294"/>
      <c r="S1039" s="294"/>
      <c r="T1039" s="294"/>
      <c r="U1039" s="294"/>
      <c r="V1039" s="294"/>
      <c r="W1039" s="294"/>
      <c r="X1039" s="294"/>
      <c r="Y1039" s="294"/>
      <c r="Z1039" s="294"/>
      <c r="AA1039" s="294"/>
      <c r="AB1039" s="294"/>
      <c r="AC1039" s="294"/>
      <c r="AD1039" s="294"/>
      <c r="AE1039" s="294"/>
      <c r="AF1039" s="294"/>
      <c r="AG1039" s="294"/>
    </row>
    <row r="1040" spans="2:33" x14ac:dyDescent="0.25">
      <c r="B1040" s="294"/>
      <c r="C1040" s="294"/>
      <c r="D1040" s="294"/>
      <c r="E1040" s="294"/>
      <c r="F1040" s="294"/>
      <c r="G1040" s="294"/>
      <c r="H1040" s="294"/>
      <c r="I1040" s="294"/>
      <c r="J1040" s="294"/>
      <c r="L1040" s="295"/>
      <c r="M1040" s="294"/>
      <c r="O1040" s="294"/>
      <c r="P1040" s="294"/>
      <c r="Q1040" s="294"/>
      <c r="R1040" s="294"/>
      <c r="S1040" s="294"/>
      <c r="T1040" s="294"/>
      <c r="U1040" s="294"/>
      <c r="V1040" s="294"/>
      <c r="W1040" s="294"/>
      <c r="X1040" s="294"/>
      <c r="Y1040" s="294"/>
      <c r="Z1040" s="294"/>
      <c r="AA1040" s="294"/>
      <c r="AB1040" s="294"/>
      <c r="AC1040" s="294"/>
      <c r="AD1040" s="294"/>
      <c r="AE1040" s="294"/>
      <c r="AF1040" s="294"/>
      <c r="AG1040" s="294"/>
    </row>
    <row r="1041" spans="2:33" x14ac:dyDescent="0.25">
      <c r="B1041" s="294"/>
      <c r="C1041" s="294"/>
      <c r="D1041" s="294"/>
      <c r="E1041" s="294"/>
      <c r="F1041" s="294"/>
      <c r="G1041" s="294"/>
      <c r="H1041" s="294"/>
      <c r="I1041" s="294"/>
      <c r="J1041" s="294"/>
      <c r="L1041" s="295"/>
      <c r="M1041" s="294"/>
      <c r="O1041" s="294"/>
      <c r="P1041" s="294"/>
      <c r="Q1041" s="294"/>
      <c r="R1041" s="294"/>
      <c r="S1041" s="294"/>
      <c r="T1041" s="294"/>
      <c r="U1041" s="294"/>
      <c r="V1041" s="294"/>
      <c r="W1041" s="294"/>
      <c r="X1041" s="294"/>
      <c r="Y1041" s="294"/>
      <c r="Z1041" s="294"/>
      <c r="AA1041" s="294"/>
      <c r="AB1041" s="294"/>
      <c r="AC1041" s="294"/>
      <c r="AD1041" s="294"/>
      <c r="AE1041" s="294"/>
      <c r="AF1041" s="294"/>
      <c r="AG1041" s="294"/>
    </row>
    <row r="1042" spans="2:33" x14ac:dyDescent="0.25">
      <c r="B1042" s="294"/>
      <c r="C1042" s="294"/>
      <c r="D1042" s="294"/>
      <c r="E1042" s="294"/>
      <c r="F1042" s="294"/>
      <c r="G1042" s="294"/>
      <c r="H1042" s="294"/>
      <c r="I1042" s="294"/>
      <c r="J1042" s="294"/>
      <c r="L1042" s="295"/>
      <c r="M1042" s="294"/>
      <c r="O1042" s="294"/>
      <c r="P1042" s="294"/>
      <c r="Q1042" s="294"/>
      <c r="R1042" s="294"/>
      <c r="S1042" s="294"/>
      <c r="T1042" s="294"/>
      <c r="U1042" s="294"/>
      <c r="V1042" s="294"/>
      <c r="W1042" s="294"/>
      <c r="X1042" s="294"/>
      <c r="Y1042" s="294"/>
      <c r="Z1042" s="294"/>
      <c r="AA1042" s="294"/>
      <c r="AB1042" s="294"/>
      <c r="AC1042" s="294"/>
      <c r="AD1042" s="294"/>
      <c r="AE1042" s="294"/>
      <c r="AF1042" s="294"/>
      <c r="AG1042" s="294"/>
    </row>
    <row r="1043" spans="2:33" x14ac:dyDescent="0.25">
      <c r="B1043" s="294"/>
      <c r="C1043" s="294"/>
      <c r="D1043" s="294"/>
      <c r="E1043" s="294"/>
      <c r="F1043" s="294"/>
      <c r="G1043" s="294"/>
      <c r="H1043" s="294"/>
      <c r="I1043" s="294"/>
      <c r="J1043" s="294"/>
      <c r="L1043" s="295"/>
      <c r="M1043" s="294"/>
      <c r="O1043" s="294"/>
      <c r="P1043" s="294"/>
      <c r="Q1043" s="294"/>
      <c r="R1043" s="294"/>
      <c r="S1043" s="294"/>
      <c r="T1043" s="294"/>
      <c r="U1043" s="294"/>
      <c r="V1043" s="294"/>
      <c r="W1043" s="294"/>
      <c r="X1043" s="294"/>
      <c r="Y1043" s="294"/>
      <c r="Z1043" s="294"/>
      <c r="AA1043" s="294"/>
      <c r="AB1043" s="294"/>
      <c r="AC1043" s="294"/>
      <c r="AD1043" s="294"/>
      <c r="AE1043" s="294"/>
      <c r="AF1043" s="294"/>
      <c r="AG1043" s="294"/>
    </row>
    <row r="1044" spans="2:33" x14ac:dyDescent="0.25">
      <c r="B1044" s="294"/>
      <c r="C1044" s="294"/>
      <c r="D1044" s="294"/>
      <c r="E1044" s="294"/>
      <c r="F1044" s="294"/>
      <c r="G1044" s="294"/>
      <c r="H1044" s="294"/>
      <c r="I1044" s="294"/>
      <c r="J1044" s="294"/>
      <c r="L1044" s="295"/>
      <c r="M1044" s="294"/>
      <c r="O1044" s="294"/>
      <c r="P1044" s="294"/>
      <c r="Q1044" s="294"/>
      <c r="R1044" s="294"/>
      <c r="S1044" s="294"/>
      <c r="T1044" s="294"/>
      <c r="U1044" s="294"/>
      <c r="V1044" s="294"/>
      <c r="W1044" s="294"/>
      <c r="X1044" s="294"/>
      <c r="Y1044" s="294"/>
      <c r="Z1044" s="294"/>
      <c r="AA1044" s="294"/>
      <c r="AB1044" s="294"/>
      <c r="AC1044" s="294"/>
      <c r="AD1044" s="294"/>
      <c r="AE1044" s="294"/>
      <c r="AF1044" s="294"/>
      <c r="AG1044" s="294"/>
    </row>
    <row r="1045" spans="2:33" x14ac:dyDescent="0.25">
      <c r="B1045" s="294"/>
      <c r="C1045" s="294"/>
      <c r="D1045" s="294"/>
      <c r="E1045" s="294"/>
      <c r="F1045" s="294"/>
      <c r="G1045" s="294"/>
      <c r="H1045" s="294"/>
      <c r="I1045" s="294"/>
      <c r="J1045" s="294"/>
      <c r="L1045" s="295"/>
      <c r="M1045" s="294"/>
      <c r="O1045" s="294"/>
      <c r="P1045" s="294"/>
      <c r="Q1045" s="294"/>
      <c r="R1045" s="294"/>
      <c r="S1045" s="294"/>
      <c r="T1045" s="294"/>
      <c r="U1045" s="294"/>
      <c r="V1045" s="294"/>
      <c r="W1045" s="294"/>
      <c r="X1045" s="294"/>
      <c r="Y1045" s="294"/>
      <c r="Z1045" s="294"/>
      <c r="AA1045" s="294"/>
      <c r="AB1045" s="294"/>
      <c r="AC1045" s="294"/>
      <c r="AD1045" s="294"/>
      <c r="AE1045" s="294"/>
      <c r="AF1045" s="294"/>
      <c r="AG1045" s="294"/>
    </row>
    <row r="1046" spans="2:33" x14ac:dyDescent="0.25">
      <c r="B1046" s="294"/>
      <c r="C1046" s="294"/>
      <c r="D1046" s="294"/>
      <c r="E1046" s="294"/>
      <c r="F1046" s="294"/>
      <c r="G1046" s="294"/>
      <c r="H1046" s="294"/>
      <c r="I1046" s="294"/>
      <c r="J1046" s="294"/>
      <c r="L1046" s="295"/>
      <c r="M1046" s="294"/>
      <c r="O1046" s="294"/>
      <c r="P1046" s="294"/>
      <c r="Q1046" s="294"/>
      <c r="R1046" s="294"/>
      <c r="S1046" s="294"/>
      <c r="T1046" s="294"/>
      <c r="U1046" s="294"/>
      <c r="V1046" s="294"/>
      <c r="W1046" s="294"/>
      <c r="X1046" s="294"/>
      <c r="Y1046" s="294"/>
      <c r="Z1046" s="294"/>
      <c r="AA1046" s="294"/>
      <c r="AB1046" s="294"/>
      <c r="AC1046" s="294"/>
      <c r="AD1046" s="294"/>
      <c r="AE1046" s="294"/>
      <c r="AF1046" s="294"/>
      <c r="AG1046" s="294"/>
    </row>
    <row r="1047" spans="2:33" x14ac:dyDescent="0.25">
      <c r="B1047" s="294"/>
      <c r="C1047" s="294"/>
      <c r="D1047" s="294"/>
      <c r="E1047" s="294"/>
      <c r="F1047" s="294"/>
      <c r="G1047" s="294"/>
      <c r="H1047" s="294"/>
      <c r="I1047" s="294"/>
      <c r="J1047" s="294"/>
      <c r="L1047" s="295"/>
      <c r="M1047" s="294"/>
      <c r="O1047" s="294"/>
      <c r="P1047" s="294"/>
      <c r="Q1047" s="294"/>
      <c r="R1047" s="294"/>
      <c r="S1047" s="294"/>
      <c r="T1047" s="294"/>
      <c r="U1047" s="294"/>
      <c r="V1047" s="294"/>
      <c r="W1047" s="294"/>
      <c r="X1047" s="294"/>
      <c r="Y1047" s="294"/>
      <c r="Z1047" s="294"/>
      <c r="AA1047" s="294"/>
      <c r="AB1047" s="294"/>
      <c r="AC1047" s="294"/>
      <c r="AD1047" s="294"/>
      <c r="AE1047" s="294"/>
      <c r="AF1047" s="294"/>
      <c r="AG1047" s="294"/>
    </row>
    <row r="1048" spans="2:33" x14ac:dyDescent="0.25">
      <c r="B1048" s="294"/>
      <c r="C1048" s="294"/>
      <c r="D1048" s="294"/>
      <c r="E1048" s="294"/>
      <c r="F1048" s="294"/>
      <c r="G1048" s="294"/>
      <c r="H1048" s="294"/>
      <c r="I1048" s="294"/>
      <c r="J1048" s="294"/>
      <c r="L1048" s="295"/>
      <c r="M1048" s="294"/>
      <c r="O1048" s="294"/>
      <c r="P1048" s="294"/>
      <c r="Q1048" s="294"/>
      <c r="R1048" s="294"/>
      <c r="S1048" s="294"/>
      <c r="T1048" s="294"/>
      <c r="U1048" s="294"/>
      <c r="V1048" s="294"/>
      <c r="W1048" s="294"/>
      <c r="X1048" s="294"/>
      <c r="Y1048" s="294"/>
      <c r="Z1048" s="294"/>
      <c r="AA1048" s="294"/>
      <c r="AB1048" s="294"/>
      <c r="AC1048" s="294"/>
      <c r="AD1048" s="294"/>
      <c r="AE1048" s="294"/>
      <c r="AF1048" s="294"/>
      <c r="AG1048" s="294"/>
    </row>
    <row r="1049" spans="2:33" x14ac:dyDescent="0.25">
      <c r="B1049" s="294"/>
      <c r="C1049" s="294"/>
      <c r="D1049" s="294"/>
      <c r="E1049" s="294"/>
      <c r="F1049" s="294"/>
      <c r="G1049" s="294"/>
      <c r="H1049" s="294"/>
      <c r="I1049" s="294"/>
      <c r="J1049" s="294"/>
      <c r="L1049" s="295"/>
      <c r="M1049" s="294"/>
      <c r="O1049" s="294"/>
      <c r="P1049" s="294"/>
      <c r="Q1049" s="294"/>
      <c r="R1049" s="294"/>
      <c r="S1049" s="294"/>
      <c r="T1049" s="294"/>
      <c r="U1049" s="294"/>
      <c r="V1049" s="294"/>
      <c r="W1049" s="294"/>
      <c r="X1049" s="294"/>
      <c r="Y1049" s="294"/>
      <c r="Z1049" s="294"/>
      <c r="AA1049" s="294"/>
      <c r="AB1049" s="294"/>
      <c r="AC1049" s="294"/>
      <c r="AD1049" s="294"/>
      <c r="AE1049" s="294"/>
      <c r="AF1049" s="294"/>
      <c r="AG1049" s="294"/>
    </row>
    <row r="1050" spans="2:33" x14ac:dyDescent="0.25">
      <c r="B1050" s="294"/>
      <c r="C1050" s="294"/>
      <c r="D1050" s="294"/>
      <c r="E1050" s="294"/>
      <c r="F1050" s="294"/>
      <c r="G1050" s="294"/>
      <c r="H1050" s="294"/>
      <c r="I1050" s="294"/>
      <c r="J1050" s="294"/>
      <c r="L1050" s="295"/>
      <c r="M1050" s="294"/>
      <c r="O1050" s="294"/>
      <c r="P1050" s="294"/>
      <c r="Q1050" s="294"/>
      <c r="R1050" s="294"/>
      <c r="S1050" s="294"/>
      <c r="T1050" s="294"/>
      <c r="U1050" s="294"/>
      <c r="V1050" s="294"/>
      <c r="W1050" s="294"/>
      <c r="X1050" s="294"/>
      <c r="Y1050" s="294"/>
      <c r="Z1050" s="294"/>
      <c r="AA1050" s="294"/>
      <c r="AB1050" s="294"/>
      <c r="AC1050" s="294"/>
      <c r="AD1050" s="294"/>
      <c r="AE1050" s="294"/>
      <c r="AF1050" s="294"/>
      <c r="AG1050" s="294"/>
    </row>
    <row r="1051" spans="2:33" x14ac:dyDescent="0.25">
      <c r="B1051" s="294"/>
      <c r="C1051" s="294"/>
      <c r="D1051" s="294"/>
      <c r="E1051" s="294"/>
      <c r="F1051" s="294"/>
      <c r="G1051" s="294"/>
      <c r="H1051" s="294"/>
      <c r="I1051" s="294"/>
      <c r="J1051" s="294"/>
      <c r="L1051" s="295"/>
      <c r="M1051" s="294"/>
      <c r="O1051" s="294"/>
      <c r="P1051" s="294"/>
      <c r="Q1051" s="294"/>
      <c r="R1051" s="294"/>
      <c r="S1051" s="294"/>
      <c r="T1051" s="294"/>
      <c r="U1051" s="294"/>
      <c r="V1051" s="294"/>
      <c r="W1051" s="294"/>
      <c r="X1051" s="294"/>
      <c r="Y1051" s="294"/>
      <c r="Z1051" s="294"/>
      <c r="AA1051" s="294"/>
      <c r="AB1051" s="294"/>
      <c r="AC1051" s="294"/>
      <c r="AD1051" s="294"/>
      <c r="AE1051" s="294"/>
      <c r="AF1051" s="294"/>
      <c r="AG1051" s="294"/>
    </row>
    <row r="1052" spans="2:33" x14ac:dyDescent="0.25">
      <c r="B1052" s="294"/>
      <c r="C1052" s="294"/>
      <c r="D1052" s="294"/>
      <c r="E1052" s="294"/>
      <c r="F1052" s="294"/>
      <c r="G1052" s="294"/>
      <c r="H1052" s="294"/>
      <c r="I1052" s="294"/>
      <c r="J1052" s="294"/>
      <c r="L1052" s="295"/>
      <c r="M1052" s="294"/>
      <c r="O1052" s="294"/>
      <c r="P1052" s="294"/>
      <c r="Q1052" s="294"/>
      <c r="R1052" s="294"/>
      <c r="S1052" s="294"/>
      <c r="T1052" s="294"/>
      <c r="U1052" s="294"/>
      <c r="V1052" s="294"/>
      <c r="W1052" s="294"/>
      <c r="X1052" s="294"/>
      <c r="Y1052" s="294"/>
      <c r="Z1052" s="294"/>
      <c r="AA1052" s="294"/>
      <c r="AB1052" s="294"/>
      <c r="AC1052" s="294"/>
      <c r="AD1052" s="294"/>
      <c r="AE1052" s="294"/>
      <c r="AF1052" s="294"/>
      <c r="AG1052" s="294"/>
    </row>
    <row r="1053" spans="2:33" x14ac:dyDescent="0.25">
      <c r="B1053" s="294"/>
      <c r="C1053" s="294"/>
      <c r="D1053" s="294"/>
      <c r="E1053" s="294"/>
      <c r="F1053" s="294"/>
      <c r="G1053" s="294"/>
      <c r="H1053" s="294"/>
      <c r="I1053" s="294"/>
      <c r="J1053" s="294"/>
      <c r="L1053" s="295"/>
      <c r="M1053" s="294"/>
      <c r="O1053" s="294"/>
      <c r="P1053" s="294"/>
      <c r="Q1053" s="294"/>
      <c r="R1053" s="294"/>
      <c r="S1053" s="294"/>
      <c r="T1053" s="294"/>
      <c r="U1053" s="294"/>
      <c r="V1053" s="294"/>
      <c r="W1053" s="294"/>
      <c r="X1053" s="294"/>
      <c r="Y1053" s="294"/>
      <c r="Z1053" s="294"/>
      <c r="AA1053" s="294"/>
      <c r="AB1053" s="294"/>
      <c r="AC1053" s="294"/>
      <c r="AD1053" s="294"/>
      <c r="AE1053" s="294"/>
      <c r="AF1053" s="294"/>
      <c r="AG1053" s="294"/>
    </row>
    <row r="1054" spans="2:33" x14ac:dyDescent="0.25">
      <c r="B1054" s="294"/>
      <c r="C1054" s="294"/>
      <c r="D1054" s="294"/>
      <c r="E1054" s="294"/>
      <c r="F1054" s="294"/>
      <c r="G1054" s="294"/>
      <c r="H1054" s="294"/>
      <c r="I1054" s="294"/>
      <c r="J1054" s="294"/>
      <c r="L1054" s="295"/>
      <c r="M1054" s="294"/>
      <c r="O1054" s="294"/>
      <c r="P1054" s="294"/>
      <c r="Q1054" s="294"/>
      <c r="R1054" s="294"/>
      <c r="S1054" s="294"/>
      <c r="T1054" s="294"/>
      <c r="U1054" s="294"/>
      <c r="V1054" s="294"/>
      <c r="W1054" s="294"/>
      <c r="X1054" s="294"/>
      <c r="Y1054" s="294"/>
      <c r="Z1054" s="294"/>
      <c r="AA1054" s="294"/>
      <c r="AB1054" s="294"/>
      <c r="AC1054" s="294"/>
      <c r="AD1054" s="294"/>
      <c r="AE1054" s="294"/>
      <c r="AF1054" s="294"/>
      <c r="AG1054" s="294"/>
    </row>
    <row r="1055" spans="2:33" x14ac:dyDescent="0.25">
      <c r="B1055" s="294"/>
      <c r="C1055" s="294"/>
      <c r="D1055" s="294"/>
      <c r="E1055" s="294"/>
      <c r="F1055" s="294"/>
      <c r="G1055" s="294"/>
      <c r="H1055" s="294"/>
      <c r="I1055" s="294"/>
      <c r="J1055" s="294"/>
      <c r="L1055" s="295"/>
      <c r="M1055" s="294"/>
      <c r="O1055" s="294"/>
      <c r="P1055" s="294"/>
      <c r="Q1055" s="294"/>
      <c r="R1055" s="294"/>
      <c r="S1055" s="294"/>
      <c r="T1055" s="294"/>
      <c r="U1055" s="294"/>
      <c r="V1055" s="294"/>
      <c r="W1055" s="294"/>
      <c r="X1055" s="294"/>
      <c r="Y1055" s="294"/>
      <c r="Z1055" s="294"/>
      <c r="AA1055" s="294"/>
      <c r="AB1055" s="294"/>
      <c r="AC1055" s="294"/>
      <c r="AD1055" s="294"/>
      <c r="AE1055" s="294"/>
      <c r="AF1055" s="294"/>
      <c r="AG1055" s="294"/>
    </row>
    <row r="1056" spans="2:33" x14ac:dyDescent="0.25">
      <c r="B1056" s="294"/>
      <c r="C1056" s="294"/>
      <c r="D1056" s="294"/>
      <c r="E1056" s="294"/>
      <c r="F1056" s="294"/>
      <c r="G1056" s="294"/>
      <c r="H1056" s="294"/>
      <c r="I1056" s="294"/>
      <c r="J1056" s="294"/>
      <c r="L1056" s="295"/>
      <c r="M1056" s="294"/>
      <c r="O1056" s="294"/>
      <c r="P1056" s="294"/>
      <c r="Q1056" s="294"/>
      <c r="R1056" s="294"/>
      <c r="S1056" s="294"/>
      <c r="T1056" s="294"/>
      <c r="U1056" s="294"/>
      <c r="V1056" s="294"/>
      <c r="W1056" s="294"/>
      <c r="X1056" s="294"/>
      <c r="Y1056" s="294"/>
      <c r="Z1056" s="294"/>
      <c r="AA1056" s="294"/>
      <c r="AB1056" s="294"/>
      <c r="AC1056" s="294"/>
      <c r="AD1056" s="294"/>
      <c r="AE1056" s="294"/>
      <c r="AF1056" s="294"/>
      <c r="AG1056" s="294"/>
    </row>
    <row r="1057" spans="2:33" x14ac:dyDescent="0.25">
      <c r="B1057" s="294"/>
      <c r="C1057" s="294"/>
      <c r="D1057" s="294"/>
      <c r="E1057" s="294"/>
      <c r="F1057" s="294"/>
      <c r="G1057" s="294"/>
      <c r="H1057" s="294"/>
      <c r="I1057" s="294"/>
      <c r="J1057" s="294"/>
      <c r="L1057" s="295"/>
      <c r="M1057" s="294"/>
      <c r="O1057" s="294"/>
      <c r="P1057" s="294"/>
      <c r="Q1057" s="294"/>
      <c r="R1057" s="294"/>
      <c r="S1057" s="294"/>
      <c r="T1057" s="294"/>
      <c r="U1057" s="294"/>
      <c r="V1057" s="294"/>
      <c r="W1057" s="294"/>
      <c r="X1057" s="294"/>
      <c r="Y1057" s="294"/>
      <c r="Z1057" s="294"/>
      <c r="AA1057" s="294"/>
      <c r="AB1057" s="294"/>
      <c r="AC1057" s="294"/>
      <c r="AD1057" s="294"/>
      <c r="AE1057" s="294"/>
      <c r="AF1057" s="294"/>
      <c r="AG1057" s="294"/>
    </row>
    <row r="1058" spans="2:33" x14ac:dyDescent="0.25">
      <c r="B1058" s="294"/>
      <c r="C1058" s="294"/>
      <c r="D1058" s="294"/>
      <c r="E1058" s="294"/>
      <c r="F1058" s="294"/>
      <c r="G1058" s="294"/>
      <c r="H1058" s="294"/>
      <c r="I1058" s="294"/>
      <c r="J1058" s="294"/>
      <c r="L1058" s="295"/>
      <c r="M1058" s="294"/>
      <c r="O1058" s="294"/>
      <c r="P1058" s="294"/>
      <c r="Q1058" s="294"/>
      <c r="R1058" s="294"/>
      <c r="S1058" s="294"/>
      <c r="T1058" s="294"/>
      <c r="U1058" s="294"/>
      <c r="V1058" s="294"/>
      <c r="W1058" s="294"/>
      <c r="X1058" s="294"/>
      <c r="Y1058" s="294"/>
      <c r="Z1058" s="294"/>
      <c r="AA1058" s="294"/>
      <c r="AB1058" s="294"/>
      <c r="AC1058" s="294"/>
      <c r="AD1058" s="294"/>
      <c r="AE1058" s="294"/>
      <c r="AF1058" s="294"/>
      <c r="AG1058" s="294"/>
    </row>
    <row r="1059" spans="2:33" x14ac:dyDescent="0.25">
      <c r="B1059" s="294"/>
      <c r="C1059" s="294"/>
      <c r="D1059" s="294"/>
      <c r="E1059" s="294"/>
      <c r="F1059" s="294"/>
      <c r="G1059" s="294"/>
      <c r="H1059" s="294"/>
      <c r="I1059" s="294"/>
      <c r="J1059" s="294"/>
      <c r="L1059" s="295"/>
      <c r="M1059" s="294"/>
      <c r="O1059" s="294"/>
      <c r="P1059" s="294"/>
      <c r="Q1059" s="294"/>
      <c r="R1059" s="294"/>
      <c r="S1059" s="294"/>
      <c r="T1059" s="294"/>
      <c r="U1059" s="294"/>
      <c r="V1059" s="294"/>
      <c r="W1059" s="294"/>
      <c r="X1059" s="294"/>
      <c r="Y1059" s="294"/>
      <c r="Z1059" s="294"/>
      <c r="AA1059" s="294"/>
      <c r="AB1059" s="294"/>
      <c r="AC1059" s="294"/>
      <c r="AD1059" s="294"/>
      <c r="AE1059" s="294"/>
      <c r="AF1059" s="294"/>
      <c r="AG1059" s="294"/>
    </row>
    <row r="1060" spans="2:33" x14ac:dyDescent="0.25">
      <c r="B1060" s="294"/>
      <c r="C1060" s="294"/>
      <c r="D1060" s="294"/>
      <c r="E1060" s="294"/>
      <c r="F1060" s="294"/>
      <c r="G1060" s="294"/>
      <c r="H1060" s="294"/>
      <c r="I1060" s="294"/>
      <c r="J1060" s="294"/>
      <c r="L1060" s="295"/>
      <c r="M1060" s="294"/>
      <c r="O1060" s="294"/>
      <c r="P1060" s="294"/>
      <c r="Q1060" s="294"/>
      <c r="R1060" s="294"/>
      <c r="S1060" s="294"/>
      <c r="T1060" s="294"/>
      <c r="U1060" s="294"/>
      <c r="V1060" s="294"/>
      <c r="W1060" s="294"/>
      <c r="X1060" s="294"/>
      <c r="Y1060" s="294"/>
      <c r="Z1060" s="294"/>
      <c r="AA1060" s="294"/>
      <c r="AB1060" s="294"/>
      <c r="AC1060" s="294"/>
      <c r="AD1060" s="294"/>
      <c r="AE1060" s="294"/>
      <c r="AF1060" s="294"/>
      <c r="AG1060" s="294"/>
    </row>
    <row r="1061" spans="2:33" x14ac:dyDescent="0.25">
      <c r="B1061" s="294"/>
      <c r="C1061" s="294"/>
      <c r="D1061" s="294"/>
      <c r="E1061" s="294"/>
      <c r="F1061" s="294"/>
      <c r="G1061" s="294"/>
      <c r="H1061" s="294"/>
      <c r="I1061" s="294"/>
      <c r="J1061" s="294"/>
      <c r="L1061" s="295"/>
      <c r="M1061" s="294"/>
      <c r="O1061" s="294"/>
      <c r="P1061" s="294"/>
      <c r="Q1061" s="294"/>
      <c r="R1061" s="294"/>
      <c r="S1061" s="294"/>
      <c r="T1061" s="294"/>
      <c r="U1061" s="294"/>
      <c r="V1061" s="294"/>
      <c r="W1061" s="294"/>
      <c r="X1061" s="294"/>
      <c r="Y1061" s="294"/>
      <c r="Z1061" s="294"/>
      <c r="AA1061" s="294"/>
      <c r="AB1061" s="294"/>
      <c r="AC1061" s="294"/>
      <c r="AD1061" s="294"/>
      <c r="AE1061" s="294"/>
      <c r="AF1061" s="294"/>
      <c r="AG1061" s="294"/>
    </row>
    <row r="1062" spans="2:33" x14ac:dyDescent="0.25">
      <c r="B1062" s="294"/>
      <c r="C1062" s="294"/>
      <c r="D1062" s="294"/>
      <c r="E1062" s="294"/>
      <c r="F1062" s="294"/>
      <c r="G1062" s="294"/>
      <c r="H1062" s="294"/>
      <c r="I1062" s="294"/>
      <c r="J1062" s="294"/>
      <c r="L1062" s="295"/>
      <c r="M1062" s="294"/>
      <c r="O1062" s="294"/>
      <c r="P1062" s="294"/>
      <c r="Q1062" s="294"/>
      <c r="R1062" s="294"/>
      <c r="S1062" s="294"/>
      <c r="T1062" s="294"/>
      <c r="U1062" s="294"/>
      <c r="V1062" s="294"/>
      <c r="W1062" s="294"/>
      <c r="X1062" s="294"/>
      <c r="Y1062" s="294"/>
      <c r="Z1062" s="294"/>
      <c r="AA1062" s="294"/>
      <c r="AB1062" s="294"/>
      <c r="AC1062" s="294"/>
      <c r="AD1062" s="294"/>
      <c r="AE1062" s="294"/>
      <c r="AF1062" s="294"/>
      <c r="AG1062" s="294"/>
    </row>
    <row r="1063" spans="2:33" x14ac:dyDescent="0.25">
      <c r="B1063" s="294"/>
      <c r="C1063" s="294"/>
      <c r="D1063" s="294"/>
      <c r="E1063" s="294"/>
      <c r="F1063" s="294"/>
      <c r="G1063" s="294"/>
      <c r="H1063" s="294"/>
      <c r="I1063" s="294"/>
      <c r="J1063" s="294"/>
      <c r="L1063" s="295"/>
      <c r="M1063" s="294"/>
      <c r="O1063" s="294"/>
      <c r="P1063" s="294"/>
      <c r="Q1063" s="294"/>
      <c r="R1063" s="294"/>
      <c r="S1063" s="294"/>
      <c r="T1063" s="294"/>
      <c r="U1063" s="294"/>
      <c r="V1063" s="294"/>
      <c r="W1063" s="294"/>
      <c r="X1063" s="294"/>
      <c r="Y1063" s="294"/>
      <c r="Z1063" s="294"/>
      <c r="AA1063" s="294"/>
      <c r="AB1063" s="294"/>
      <c r="AC1063" s="294"/>
      <c r="AD1063" s="294"/>
      <c r="AE1063" s="294"/>
      <c r="AF1063" s="294"/>
      <c r="AG1063" s="294"/>
    </row>
    <row r="1064" spans="2:33" x14ac:dyDescent="0.25">
      <c r="B1064" s="294"/>
      <c r="C1064" s="294"/>
      <c r="D1064" s="294"/>
      <c r="E1064" s="294"/>
      <c r="F1064" s="294"/>
      <c r="G1064" s="294"/>
      <c r="H1064" s="294"/>
      <c r="I1064" s="294"/>
      <c r="J1064" s="294"/>
      <c r="L1064" s="295"/>
      <c r="M1064" s="294"/>
      <c r="O1064" s="294"/>
      <c r="P1064" s="294"/>
      <c r="Q1064" s="294"/>
      <c r="R1064" s="294"/>
      <c r="S1064" s="294"/>
      <c r="T1064" s="294"/>
      <c r="U1064" s="294"/>
      <c r="V1064" s="294"/>
      <c r="W1064" s="294"/>
      <c r="X1064" s="294"/>
      <c r="Y1064" s="294"/>
      <c r="Z1064" s="294"/>
      <c r="AA1064" s="294"/>
      <c r="AB1064" s="294"/>
      <c r="AC1064" s="294"/>
      <c r="AD1064" s="294"/>
      <c r="AE1064" s="294"/>
      <c r="AF1064" s="294"/>
      <c r="AG1064" s="294"/>
    </row>
    <row r="1065" spans="2:33" x14ac:dyDescent="0.25">
      <c r="B1065" s="294"/>
      <c r="C1065" s="294"/>
      <c r="D1065" s="294"/>
      <c r="E1065" s="294"/>
      <c r="F1065" s="294"/>
      <c r="G1065" s="294"/>
      <c r="H1065" s="294"/>
      <c r="I1065" s="294"/>
      <c r="J1065" s="294"/>
      <c r="L1065" s="295"/>
      <c r="M1065" s="294"/>
      <c r="O1065" s="294"/>
      <c r="P1065" s="294"/>
      <c r="Q1065" s="294"/>
      <c r="R1065" s="294"/>
      <c r="S1065" s="294"/>
      <c r="T1065" s="294"/>
      <c r="U1065" s="294"/>
      <c r="V1065" s="294"/>
      <c r="W1065" s="294"/>
      <c r="X1065" s="294"/>
      <c r="Y1065" s="294"/>
      <c r="Z1065" s="294"/>
      <c r="AA1065" s="294"/>
      <c r="AB1065" s="294"/>
      <c r="AC1065" s="294"/>
      <c r="AD1065" s="294"/>
      <c r="AE1065" s="294"/>
      <c r="AF1065" s="294"/>
      <c r="AG1065" s="294"/>
    </row>
    <row r="1066" spans="2:33" x14ac:dyDescent="0.25">
      <c r="B1066" s="294"/>
      <c r="C1066" s="294"/>
      <c r="D1066" s="294"/>
      <c r="E1066" s="294"/>
      <c r="F1066" s="294"/>
      <c r="G1066" s="294"/>
      <c r="H1066" s="294"/>
      <c r="I1066" s="294"/>
      <c r="J1066" s="294"/>
      <c r="L1066" s="295"/>
      <c r="M1066" s="294"/>
      <c r="O1066" s="294"/>
      <c r="P1066" s="294"/>
      <c r="Q1066" s="294"/>
      <c r="R1066" s="294"/>
      <c r="S1066" s="294"/>
      <c r="T1066" s="294"/>
      <c r="U1066" s="294"/>
      <c r="V1066" s="294"/>
      <c r="W1066" s="294"/>
      <c r="X1066" s="294"/>
      <c r="Y1066" s="294"/>
      <c r="Z1066" s="294"/>
      <c r="AA1066" s="294"/>
      <c r="AB1066" s="294"/>
      <c r="AC1066" s="294"/>
      <c r="AD1066" s="294"/>
      <c r="AE1066" s="294"/>
      <c r="AF1066" s="294"/>
      <c r="AG1066" s="294"/>
    </row>
    <row r="1067" spans="2:33" x14ac:dyDescent="0.25">
      <c r="B1067" s="294"/>
      <c r="C1067" s="294"/>
      <c r="D1067" s="294"/>
      <c r="E1067" s="294"/>
      <c r="F1067" s="294"/>
      <c r="G1067" s="294"/>
      <c r="H1067" s="294"/>
      <c r="I1067" s="294"/>
      <c r="J1067" s="294"/>
      <c r="L1067" s="295"/>
      <c r="M1067" s="294"/>
      <c r="O1067" s="294"/>
      <c r="P1067" s="294"/>
      <c r="Q1067" s="294"/>
      <c r="R1067" s="294"/>
      <c r="S1067" s="294"/>
      <c r="T1067" s="294"/>
      <c r="U1067" s="294"/>
      <c r="V1067" s="294"/>
      <c r="W1067" s="294"/>
      <c r="X1067" s="294"/>
      <c r="Y1067" s="294"/>
      <c r="Z1067" s="294"/>
      <c r="AA1067" s="294"/>
      <c r="AB1067" s="294"/>
      <c r="AC1067" s="294"/>
      <c r="AD1067" s="294"/>
      <c r="AE1067" s="294"/>
      <c r="AF1067" s="294"/>
      <c r="AG1067" s="294"/>
    </row>
    <row r="1068" spans="2:33" x14ac:dyDescent="0.25">
      <c r="B1068" s="294"/>
      <c r="C1068" s="294"/>
      <c r="D1068" s="294"/>
      <c r="E1068" s="294"/>
      <c r="F1068" s="294"/>
      <c r="G1068" s="294"/>
      <c r="H1068" s="294"/>
      <c r="I1068" s="294"/>
      <c r="J1068" s="294"/>
      <c r="L1068" s="295"/>
      <c r="M1068" s="294"/>
      <c r="O1068" s="294"/>
      <c r="P1068" s="294"/>
      <c r="Q1068" s="294"/>
      <c r="R1068" s="294"/>
      <c r="S1068" s="294"/>
      <c r="T1068" s="294"/>
      <c r="U1068" s="294"/>
      <c r="V1068" s="294"/>
      <c r="W1068" s="294"/>
      <c r="X1068" s="294"/>
      <c r="Y1068" s="294"/>
      <c r="Z1068" s="294"/>
      <c r="AA1068" s="294"/>
      <c r="AB1068" s="294"/>
      <c r="AC1068" s="294"/>
      <c r="AD1068" s="294"/>
      <c r="AE1068" s="294"/>
      <c r="AF1068" s="294"/>
      <c r="AG1068" s="294"/>
    </row>
    <row r="1069" spans="2:33" x14ac:dyDescent="0.25">
      <c r="B1069" s="294"/>
      <c r="C1069" s="294"/>
      <c r="D1069" s="294"/>
      <c r="E1069" s="294"/>
      <c r="F1069" s="294"/>
      <c r="G1069" s="294"/>
      <c r="H1069" s="294"/>
      <c r="I1069" s="294"/>
      <c r="J1069" s="294"/>
      <c r="L1069" s="295"/>
      <c r="M1069" s="294"/>
      <c r="O1069" s="294"/>
      <c r="P1069" s="294"/>
      <c r="Q1069" s="294"/>
      <c r="R1069" s="294"/>
      <c r="S1069" s="294"/>
      <c r="T1069" s="294"/>
      <c r="U1069" s="294"/>
      <c r="V1069" s="294"/>
      <c r="W1069" s="294"/>
      <c r="X1069" s="294"/>
      <c r="Y1069" s="294"/>
      <c r="Z1069" s="294"/>
      <c r="AA1069" s="294"/>
      <c r="AB1069" s="294"/>
      <c r="AC1069" s="294"/>
      <c r="AD1069" s="294"/>
      <c r="AE1069" s="294"/>
      <c r="AF1069" s="294"/>
      <c r="AG1069" s="294"/>
    </row>
    <row r="1070" spans="2:33" x14ac:dyDescent="0.25">
      <c r="B1070" s="294"/>
      <c r="C1070" s="294"/>
      <c r="D1070" s="294"/>
      <c r="E1070" s="294"/>
      <c r="F1070" s="294"/>
      <c r="G1070" s="294"/>
      <c r="H1070" s="294"/>
      <c r="I1070" s="294"/>
      <c r="J1070" s="294"/>
      <c r="L1070" s="295"/>
      <c r="M1070" s="294"/>
      <c r="O1070" s="294"/>
      <c r="P1070" s="294"/>
      <c r="Q1070" s="294"/>
      <c r="R1070" s="294"/>
      <c r="S1070" s="294"/>
      <c r="T1070" s="294"/>
      <c r="U1070" s="294"/>
      <c r="V1070" s="294"/>
      <c r="W1070" s="294"/>
      <c r="X1070" s="294"/>
      <c r="Y1070" s="294"/>
      <c r="Z1070" s="294"/>
      <c r="AA1070" s="294"/>
      <c r="AB1070" s="294"/>
      <c r="AC1070" s="294"/>
      <c r="AD1070" s="294"/>
      <c r="AE1070" s="294"/>
      <c r="AF1070" s="294"/>
      <c r="AG1070" s="294"/>
    </row>
    <row r="1071" spans="2:33" x14ac:dyDescent="0.25">
      <c r="B1071" s="294"/>
      <c r="C1071" s="294"/>
      <c r="D1071" s="294"/>
      <c r="E1071" s="294"/>
      <c r="F1071" s="294"/>
      <c r="G1071" s="294"/>
      <c r="H1071" s="294"/>
      <c r="I1071" s="294"/>
      <c r="J1071" s="294"/>
      <c r="L1071" s="295"/>
      <c r="M1071" s="294"/>
      <c r="O1071" s="294"/>
      <c r="P1071" s="294"/>
      <c r="Q1071" s="294"/>
      <c r="R1071" s="294"/>
      <c r="S1071" s="294"/>
      <c r="T1071" s="294"/>
      <c r="U1071" s="294"/>
      <c r="V1071" s="294"/>
      <c r="W1071" s="294"/>
      <c r="X1071" s="294"/>
      <c r="Y1071" s="294"/>
      <c r="Z1071" s="294"/>
      <c r="AA1071" s="294"/>
      <c r="AB1071" s="294"/>
      <c r="AC1071" s="294"/>
      <c r="AD1071" s="294"/>
      <c r="AE1071" s="294"/>
      <c r="AF1071" s="294"/>
      <c r="AG1071" s="294"/>
    </row>
    <row r="1072" spans="2:33" x14ac:dyDescent="0.25">
      <c r="B1072" s="294"/>
      <c r="C1072" s="294"/>
      <c r="D1072" s="294"/>
      <c r="E1072" s="294"/>
      <c r="F1072" s="294"/>
      <c r="G1072" s="294"/>
      <c r="H1072" s="294"/>
      <c r="I1072" s="294"/>
      <c r="J1072" s="294"/>
      <c r="L1072" s="295"/>
      <c r="M1072" s="294"/>
      <c r="O1072" s="294"/>
      <c r="P1072" s="294"/>
      <c r="Q1072" s="294"/>
      <c r="R1072" s="294"/>
      <c r="S1072" s="294"/>
      <c r="T1072" s="294"/>
      <c r="U1072" s="294"/>
      <c r="V1072" s="294"/>
      <c r="W1072" s="294"/>
      <c r="X1072" s="294"/>
      <c r="Y1072" s="294"/>
      <c r="Z1072" s="294"/>
      <c r="AA1072" s="294"/>
      <c r="AB1072" s="294"/>
      <c r="AC1072" s="294"/>
      <c r="AD1072" s="294"/>
      <c r="AE1072" s="294"/>
      <c r="AF1072" s="294"/>
      <c r="AG1072" s="294"/>
    </row>
    <row r="1073" spans="2:33" x14ac:dyDescent="0.25">
      <c r="B1073" s="294"/>
      <c r="C1073" s="294"/>
      <c r="D1073" s="294"/>
      <c r="E1073" s="294"/>
      <c r="F1073" s="294"/>
      <c r="G1073" s="294"/>
      <c r="H1073" s="294"/>
      <c r="I1073" s="294"/>
      <c r="J1073" s="294"/>
      <c r="L1073" s="295"/>
      <c r="M1073" s="294"/>
      <c r="O1073" s="294"/>
      <c r="P1073" s="294"/>
      <c r="Q1073" s="294"/>
      <c r="R1073" s="294"/>
      <c r="S1073" s="294"/>
      <c r="T1073" s="294"/>
      <c r="U1073" s="294"/>
      <c r="V1073" s="294"/>
      <c r="W1073" s="294"/>
      <c r="X1073" s="294"/>
      <c r="Y1073" s="294"/>
      <c r="Z1073" s="294"/>
      <c r="AA1073" s="294"/>
      <c r="AB1073" s="294"/>
      <c r="AC1073" s="294"/>
      <c r="AD1073" s="294"/>
      <c r="AE1073" s="294"/>
      <c r="AF1073" s="294"/>
      <c r="AG1073" s="294"/>
    </row>
    <row r="1074" spans="2:33" x14ac:dyDescent="0.25">
      <c r="B1074" s="294"/>
      <c r="C1074" s="294"/>
      <c r="D1074" s="294"/>
      <c r="E1074" s="294"/>
      <c r="F1074" s="294"/>
      <c r="G1074" s="294"/>
      <c r="H1074" s="294"/>
      <c r="I1074" s="294"/>
      <c r="J1074" s="294"/>
      <c r="L1074" s="295"/>
      <c r="M1074" s="294"/>
      <c r="O1074" s="294"/>
      <c r="P1074" s="294"/>
      <c r="Q1074" s="294"/>
      <c r="R1074" s="294"/>
      <c r="S1074" s="294"/>
      <c r="T1074" s="294"/>
      <c r="U1074" s="294"/>
      <c r="V1074" s="294"/>
      <c r="W1074" s="294"/>
      <c r="X1074" s="294"/>
      <c r="Y1074" s="294"/>
      <c r="Z1074" s="294"/>
      <c r="AA1074" s="294"/>
      <c r="AB1074" s="294"/>
      <c r="AC1074" s="294"/>
      <c r="AD1074" s="294"/>
      <c r="AE1074" s="294"/>
      <c r="AF1074" s="294"/>
      <c r="AG1074" s="294"/>
    </row>
    <row r="1075" spans="2:33" x14ac:dyDescent="0.25">
      <c r="B1075" s="294"/>
      <c r="C1075" s="294"/>
      <c r="D1075" s="294"/>
      <c r="E1075" s="294"/>
      <c r="F1075" s="294"/>
      <c r="G1075" s="294"/>
      <c r="H1075" s="294"/>
      <c r="I1075" s="294"/>
      <c r="J1075" s="294"/>
      <c r="L1075" s="295"/>
      <c r="M1075" s="294"/>
      <c r="O1075" s="294"/>
      <c r="P1075" s="294"/>
      <c r="Q1075" s="294"/>
      <c r="R1075" s="294"/>
      <c r="S1075" s="294"/>
      <c r="T1075" s="294"/>
      <c r="U1075" s="294"/>
      <c r="V1075" s="294"/>
      <c r="W1075" s="294"/>
      <c r="X1075" s="294"/>
      <c r="Y1075" s="294"/>
      <c r="Z1075" s="294"/>
      <c r="AA1075" s="294"/>
      <c r="AB1075" s="294"/>
      <c r="AC1075" s="294"/>
      <c r="AD1075" s="294"/>
      <c r="AE1075" s="294"/>
      <c r="AF1075" s="294"/>
      <c r="AG1075" s="294"/>
    </row>
    <row r="1076" spans="2:33" x14ac:dyDescent="0.25">
      <c r="B1076" s="294"/>
      <c r="C1076" s="294"/>
      <c r="D1076" s="294"/>
      <c r="E1076" s="294"/>
      <c r="F1076" s="294"/>
      <c r="G1076" s="294"/>
      <c r="H1076" s="294"/>
      <c r="I1076" s="294"/>
      <c r="J1076" s="294"/>
      <c r="L1076" s="295"/>
      <c r="M1076" s="294"/>
      <c r="O1076" s="294"/>
      <c r="P1076" s="294"/>
      <c r="Q1076" s="294"/>
      <c r="R1076" s="294"/>
      <c r="S1076" s="294"/>
      <c r="T1076" s="294"/>
      <c r="U1076" s="294"/>
      <c r="V1076" s="294"/>
      <c r="W1076" s="294"/>
      <c r="X1076" s="294"/>
      <c r="Y1076" s="294"/>
      <c r="Z1076" s="294"/>
      <c r="AA1076" s="294"/>
      <c r="AB1076" s="294"/>
      <c r="AC1076" s="294"/>
      <c r="AD1076" s="294"/>
      <c r="AE1076" s="294"/>
      <c r="AF1076" s="294"/>
      <c r="AG1076" s="294"/>
    </row>
    <row r="1077" spans="2:33" x14ac:dyDescent="0.25">
      <c r="B1077" s="294"/>
      <c r="C1077" s="294"/>
      <c r="D1077" s="294"/>
      <c r="E1077" s="294"/>
      <c r="F1077" s="294"/>
      <c r="G1077" s="294"/>
      <c r="H1077" s="294"/>
      <c r="I1077" s="294"/>
      <c r="J1077" s="294"/>
      <c r="L1077" s="295"/>
      <c r="M1077" s="294"/>
      <c r="O1077" s="294"/>
      <c r="P1077" s="294"/>
      <c r="Q1077" s="294"/>
      <c r="R1077" s="294"/>
      <c r="S1077" s="294"/>
      <c r="T1077" s="294"/>
      <c r="U1077" s="294"/>
      <c r="V1077" s="294"/>
      <c r="W1077" s="294"/>
      <c r="X1077" s="294"/>
      <c r="Y1077" s="294"/>
      <c r="Z1077" s="294"/>
      <c r="AA1077" s="294"/>
      <c r="AB1077" s="294"/>
      <c r="AC1077" s="294"/>
      <c r="AD1077" s="294"/>
      <c r="AE1077" s="294"/>
      <c r="AF1077" s="294"/>
      <c r="AG1077" s="294"/>
    </row>
    <row r="1078" spans="2:33" x14ac:dyDescent="0.25">
      <c r="B1078" s="294"/>
      <c r="C1078" s="294"/>
      <c r="D1078" s="294"/>
      <c r="E1078" s="294"/>
      <c r="F1078" s="294"/>
      <c r="G1078" s="294"/>
      <c r="H1078" s="294"/>
      <c r="I1078" s="294"/>
      <c r="J1078" s="294"/>
      <c r="L1078" s="295"/>
      <c r="M1078" s="294"/>
      <c r="O1078" s="294"/>
      <c r="P1078" s="294"/>
      <c r="Q1078" s="294"/>
      <c r="R1078" s="294"/>
      <c r="S1078" s="294"/>
      <c r="T1078" s="294"/>
      <c r="U1078" s="294"/>
      <c r="V1078" s="294"/>
      <c r="W1078" s="294"/>
      <c r="X1078" s="294"/>
      <c r="Y1078" s="294"/>
      <c r="Z1078" s="294"/>
      <c r="AA1078" s="294"/>
      <c r="AB1078" s="294"/>
      <c r="AC1078" s="294"/>
      <c r="AD1078" s="294"/>
      <c r="AE1078" s="294"/>
      <c r="AF1078" s="294"/>
      <c r="AG1078" s="294"/>
    </row>
    <row r="1079" spans="2:33" x14ac:dyDescent="0.25">
      <c r="B1079" s="294"/>
      <c r="C1079" s="294"/>
      <c r="D1079" s="294"/>
      <c r="E1079" s="294"/>
      <c r="F1079" s="294"/>
      <c r="G1079" s="294"/>
      <c r="H1079" s="294"/>
      <c r="I1079" s="294"/>
      <c r="J1079" s="294"/>
      <c r="L1079" s="295"/>
      <c r="M1079" s="294"/>
      <c r="O1079" s="294"/>
      <c r="P1079" s="294"/>
      <c r="Q1079" s="294"/>
      <c r="R1079" s="294"/>
      <c r="S1079" s="294"/>
      <c r="T1079" s="294"/>
      <c r="U1079" s="294"/>
      <c r="V1079" s="294"/>
      <c r="W1079" s="294"/>
      <c r="X1079" s="294"/>
      <c r="Y1079" s="294"/>
      <c r="Z1079" s="294"/>
      <c r="AA1079" s="294"/>
      <c r="AB1079" s="294"/>
      <c r="AC1079" s="294"/>
      <c r="AD1079" s="294"/>
      <c r="AE1079" s="294"/>
      <c r="AF1079" s="294"/>
      <c r="AG1079" s="294"/>
    </row>
    <row r="1080" spans="2:33" x14ac:dyDescent="0.25">
      <c r="B1080" s="294"/>
      <c r="C1080" s="294"/>
      <c r="D1080" s="294"/>
      <c r="E1080" s="294"/>
      <c r="F1080" s="294"/>
      <c r="G1080" s="294"/>
      <c r="H1080" s="294"/>
      <c r="I1080" s="294"/>
      <c r="J1080" s="294"/>
      <c r="L1080" s="295"/>
      <c r="M1080" s="294"/>
      <c r="O1080" s="294"/>
      <c r="P1080" s="294"/>
      <c r="Q1080" s="294"/>
      <c r="R1080" s="294"/>
      <c r="S1080" s="294"/>
      <c r="T1080" s="294"/>
      <c r="U1080" s="294"/>
      <c r="V1080" s="294"/>
      <c r="W1080" s="294"/>
      <c r="X1080" s="294"/>
      <c r="Y1080" s="294"/>
      <c r="Z1080" s="294"/>
      <c r="AA1080" s="294"/>
      <c r="AB1080" s="294"/>
      <c r="AC1080" s="294"/>
      <c r="AD1080" s="294"/>
      <c r="AE1080" s="294"/>
      <c r="AF1080" s="294"/>
      <c r="AG1080" s="294"/>
    </row>
    <row r="1081" spans="2:33" x14ac:dyDescent="0.25">
      <c r="B1081" s="294"/>
      <c r="C1081" s="294"/>
      <c r="D1081" s="294"/>
      <c r="E1081" s="294"/>
      <c r="F1081" s="294"/>
      <c r="G1081" s="294"/>
      <c r="H1081" s="294"/>
      <c r="I1081" s="294"/>
      <c r="J1081" s="294"/>
      <c r="L1081" s="295"/>
      <c r="M1081" s="294"/>
      <c r="O1081" s="294"/>
      <c r="P1081" s="294"/>
      <c r="Q1081" s="294"/>
      <c r="R1081" s="294"/>
      <c r="S1081" s="294"/>
      <c r="T1081" s="294"/>
      <c r="U1081" s="294"/>
      <c r="V1081" s="294"/>
      <c r="W1081" s="294"/>
      <c r="X1081" s="294"/>
      <c r="Y1081" s="294"/>
      <c r="Z1081" s="294"/>
      <c r="AA1081" s="294"/>
      <c r="AB1081" s="294"/>
      <c r="AC1081" s="294"/>
      <c r="AD1081" s="294"/>
      <c r="AE1081" s="294"/>
      <c r="AF1081" s="294"/>
      <c r="AG1081" s="294"/>
    </row>
    <row r="1082" spans="2:33" x14ac:dyDescent="0.25">
      <c r="B1082" s="294"/>
      <c r="C1082" s="294"/>
      <c r="D1082" s="294"/>
      <c r="E1082" s="294"/>
      <c r="F1082" s="294"/>
      <c r="G1082" s="294"/>
      <c r="H1082" s="294"/>
      <c r="I1082" s="294"/>
      <c r="J1082" s="294"/>
      <c r="L1082" s="295"/>
      <c r="M1082" s="294"/>
      <c r="O1082" s="294"/>
      <c r="P1082" s="294"/>
      <c r="Q1082" s="294"/>
      <c r="R1082" s="294"/>
      <c r="S1082" s="294"/>
      <c r="T1082" s="294"/>
      <c r="U1082" s="294"/>
      <c r="V1082" s="294"/>
      <c r="W1082" s="294"/>
      <c r="X1082" s="294"/>
      <c r="Y1082" s="294"/>
      <c r="Z1082" s="294"/>
      <c r="AA1082" s="294"/>
      <c r="AB1082" s="294"/>
      <c r="AC1082" s="294"/>
      <c r="AD1082" s="294"/>
      <c r="AE1082" s="294"/>
      <c r="AF1082" s="294"/>
      <c r="AG1082" s="294"/>
    </row>
    <row r="1083" spans="2:33" x14ac:dyDescent="0.25">
      <c r="B1083" s="294"/>
      <c r="C1083" s="294"/>
      <c r="D1083" s="294"/>
      <c r="E1083" s="294"/>
      <c r="F1083" s="294"/>
      <c r="G1083" s="294"/>
      <c r="H1083" s="294"/>
      <c r="I1083" s="294"/>
      <c r="J1083" s="294"/>
      <c r="L1083" s="295"/>
      <c r="M1083" s="294"/>
      <c r="O1083" s="294"/>
      <c r="P1083" s="294"/>
      <c r="Q1083" s="294"/>
      <c r="R1083" s="294"/>
      <c r="S1083" s="294"/>
      <c r="T1083" s="294"/>
      <c r="U1083" s="294"/>
      <c r="V1083" s="294"/>
      <c r="W1083" s="294"/>
      <c r="X1083" s="294"/>
      <c r="Y1083" s="294"/>
      <c r="Z1083" s="294"/>
      <c r="AA1083" s="294"/>
      <c r="AB1083" s="294"/>
      <c r="AC1083" s="294"/>
      <c r="AD1083" s="294"/>
      <c r="AE1083" s="294"/>
      <c r="AF1083" s="294"/>
      <c r="AG1083" s="294"/>
    </row>
    <row r="1084" spans="2:33" x14ac:dyDescent="0.25">
      <c r="B1084" s="294"/>
      <c r="C1084" s="294"/>
      <c r="D1084" s="294"/>
      <c r="E1084" s="294"/>
      <c r="F1084" s="294"/>
      <c r="G1084" s="294"/>
      <c r="H1084" s="294"/>
      <c r="I1084" s="294"/>
      <c r="J1084" s="294"/>
      <c r="L1084" s="295"/>
      <c r="M1084" s="294"/>
      <c r="O1084" s="294"/>
      <c r="P1084" s="294"/>
      <c r="Q1084" s="294"/>
      <c r="R1084" s="294"/>
      <c r="S1084" s="294"/>
      <c r="T1084" s="294"/>
      <c r="U1084" s="294"/>
      <c r="V1084" s="294"/>
      <c r="W1084" s="294"/>
      <c r="X1084" s="294"/>
      <c r="Y1084" s="294"/>
      <c r="Z1084" s="294"/>
      <c r="AA1084" s="294"/>
      <c r="AB1084" s="294"/>
      <c r="AC1084" s="294"/>
      <c r="AD1084" s="294"/>
      <c r="AE1084" s="294"/>
      <c r="AF1084" s="294"/>
      <c r="AG1084" s="294"/>
    </row>
    <row r="1085" spans="2:33" x14ac:dyDescent="0.25">
      <c r="B1085" s="294"/>
      <c r="C1085" s="294"/>
      <c r="D1085" s="294"/>
      <c r="E1085" s="294"/>
      <c r="F1085" s="294"/>
      <c r="G1085" s="294"/>
      <c r="H1085" s="294"/>
      <c r="I1085" s="294"/>
      <c r="J1085" s="294"/>
      <c r="L1085" s="295"/>
      <c r="M1085" s="294"/>
      <c r="O1085" s="294"/>
      <c r="P1085" s="294"/>
      <c r="Q1085" s="294"/>
      <c r="R1085" s="294"/>
      <c r="S1085" s="294"/>
      <c r="T1085" s="294"/>
      <c r="U1085" s="294"/>
      <c r="V1085" s="294"/>
      <c r="W1085" s="294"/>
      <c r="X1085" s="294"/>
      <c r="Y1085" s="294"/>
      <c r="Z1085" s="294"/>
      <c r="AA1085" s="294"/>
      <c r="AB1085" s="294"/>
      <c r="AC1085" s="294"/>
      <c r="AD1085" s="294"/>
      <c r="AE1085" s="294"/>
      <c r="AF1085" s="294"/>
      <c r="AG1085" s="294"/>
    </row>
    <row r="1086" spans="2:33" x14ac:dyDescent="0.25">
      <c r="B1086" s="294"/>
      <c r="C1086" s="294"/>
      <c r="D1086" s="294"/>
      <c r="E1086" s="294"/>
      <c r="F1086" s="294"/>
      <c r="G1086" s="294"/>
      <c r="H1086" s="294"/>
      <c r="I1086" s="294"/>
      <c r="J1086" s="294"/>
      <c r="L1086" s="295"/>
      <c r="M1086" s="294"/>
      <c r="O1086" s="294"/>
      <c r="P1086" s="294"/>
      <c r="Q1086" s="294"/>
      <c r="R1086" s="294"/>
      <c r="S1086" s="294"/>
      <c r="T1086" s="294"/>
      <c r="U1086" s="294"/>
      <c r="V1086" s="294"/>
      <c r="W1086" s="294"/>
      <c r="X1086" s="294"/>
      <c r="Y1086" s="294"/>
      <c r="Z1086" s="294"/>
      <c r="AA1086" s="294"/>
      <c r="AB1086" s="294"/>
      <c r="AC1086" s="294"/>
      <c r="AD1086" s="294"/>
      <c r="AE1086" s="294"/>
      <c r="AF1086" s="294"/>
      <c r="AG1086" s="294"/>
    </row>
    <row r="1087" spans="2:33" x14ac:dyDescent="0.25">
      <c r="B1087" s="294"/>
      <c r="C1087" s="294"/>
      <c r="D1087" s="294"/>
      <c r="E1087" s="294"/>
      <c r="F1087" s="294"/>
      <c r="G1087" s="294"/>
      <c r="H1087" s="294"/>
      <c r="I1087" s="294"/>
      <c r="J1087" s="294"/>
      <c r="L1087" s="295"/>
      <c r="M1087" s="294"/>
      <c r="O1087" s="294"/>
      <c r="P1087" s="294"/>
      <c r="Q1087" s="294"/>
      <c r="R1087" s="294"/>
      <c r="S1087" s="294"/>
      <c r="T1087" s="294"/>
      <c r="U1087" s="294"/>
      <c r="V1087" s="294"/>
      <c r="W1087" s="294"/>
      <c r="X1087" s="294"/>
      <c r="Y1087" s="294"/>
      <c r="Z1087" s="294"/>
      <c r="AA1087" s="294"/>
      <c r="AB1087" s="294"/>
      <c r="AC1087" s="294"/>
      <c r="AD1087" s="294"/>
      <c r="AE1087" s="294"/>
      <c r="AF1087" s="294"/>
      <c r="AG1087" s="294"/>
    </row>
    <row r="1088" spans="2:33" x14ac:dyDescent="0.25">
      <c r="B1088" s="294"/>
      <c r="C1088" s="294"/>
      <c r="D1088" s="294"/>
      <c r="E1088" s="294"/>
      <c r="F1088" s="294"/>
      <c r="G1088" s="294"/>
      <c r="H1088" s="294"/>
      <c r="I1088" s="294"/>
      <c r="J1088" s="294"/>
      <c r="L1088" s="295"/>
      <c r="M1088" s="294"/>
      <c r="O1088" s="294"/>
      <c r="P1088" s="294"/>
      <c r="Q1088" s="294"/>
      <c r="R1088" s="294"/>
      <c r="S1088" s="294"/>
      <c r="T1088" s="294"/>
      <c r="U1088" s="294"/>
      <c r="V1088" s="294"/>
      <c r="W1088" s="294"/>
      <c r="X1088" s="294"/>
      <c r="Y1088" s="294"/>
      <c r="Z1088" s="294"/>
      <c r="AA1088" s="294"/>
      <c r="AB1088" s="294"/>
      <c r="AC1088" s="294"/>
      <c r="AD1088" s="294"/>
      <c r="AE1088" s="294"/>
      <c r="AF1088" s="294"/>
      <c r="AG1088" s="294"/>
    </row>
    <row r="1089" spans="2:33" x14ac:dyDescent="0.25">
      <c r="B1089" s="294"/>
      <c r="C1089" s="294"/>
      <c r="D1089" s="294"/>
      <c r="E1089" s="294"/>
      <c r="F1089" s="294"/>
      <c r="G1089" s="294"/>
      <c r="H1089" s="294"/>
      <c r="I1089" s="294"/>
      <c r="J1089" s="294"/>
      <c r="L1089" s="295"/>
      <c r="M1089" s="294"/>
      <c r="O1089" s="294"/>
      <c r="P1089" s="294"/>
      <c r="Q1089" s="294"/>
      <c r="R1089" s="294"/>
      <c r="S1089" s="294"/>
      <c r="T1089" s="294"/>
      <c r="U1089" s="294"/>
      <c r="V1089" s="294"/>
      <c r="W1089" s="294"/>
      <c r="X1089" s="294"/>
      <c r="Y1089" s="294"/>
      <c r="Z1089" s="294"/>
      <c r="AA1089" s="294"/>
      <c r="AB1089" s="294"/>
      <c r="AC1089" s="294"/>
      <c r="AD1089" s="294"/>
      <c r="AE1089" s="294"/>
      <c r="AF1089" s="294"/>
      <c r="AG1089" s="294"/>
    </row>
    <row r="1090" spans="2:33" x14ac:dyDescent="0.25">
      <c r="B1090" s="294"/>
      <c r="C1090" s="294"/>
      <c r="D1090" s="294"/>
      <c r="E1090" s="294"/>
      <c r="F1090" s="294"/>
      <c r="G1090" s="294"/>
      <c r="H1090" s="294"/>
      <c r="I1090" s="294"/>
      <c r="J1090" s="294"/>
      <c r="L1090" s="295"/>
      <c r="M1090" s="294"/>
      <c r="O1090" s="294"/>
      <c r="P1090" s="294"/>
      <c r="Q1090" s="294"/>
      <c r="R1090" s="294"/>
      <c r="S1090" s="294"/>
      <c r="T1090" s="294"/>
      <c r="U1090" s="294"/>
      <c r="V1090" s="294"/>
      <c r="W1090" s="294"/>
      <c r="X1090" s="294"/>
      <c r="Y1090" s="294"/>
      <c r="Z1090" s="294"/>
      <c r="AA1090" s="294"/>
      <c r="AB1090" s="294"/>
      <c r="AC1090" s="294"/>
      <c r="AD1090" s="294"/>
      <c r="AE1090" s="294"/>
      <c r="AF1090" s="294"/>
      <c r="AG1090" s="294"/>
    </row>
    <row r="1091" spans="2:33" x14ac:dyDescent="0.25">
      <c r="B1091" s="294"/>
      <c r="C1091" s="294"/>
      <c r="D1091" s="294"/>
      <c r="E1091" s="294"/>
      <c r="F1091" s="294"/>
      <c r="G1091" s="294"/>
      <c r="H1091" s="294"/>
      <c r="I1091" s="294"/>
      <c r="J1091" s="294"/>
      <c r="L1091" s="295"/>
      <c r="M1091" s="294"/>
      <c r="O1091" s="294"/>
      <c r="P1091" s="294"/>
      <c r="Q1091" s="294"/>
      <c r="R1091" s="294"/>
      <c r="S1091" s="294"/>
      <c r="T1091" s="294"/>
      <c r="U1091" s="294"/>
      <c r="V1091" s="294"/>
      <c r="W1091" s="294"/>
      <c r="X1091" s="294"/>
      <c r="Y1091" s="294"/>
      <c r="Z1091" s="294"/>
      <c r="AA1091" s="294"/>
      <c r="AB1091" s="294"/>
      <c r="AC1091" s="294"/>
      <c r="AD1091" s="294"/>
      <c r="AE1091" s="294"/>
      <c r="AF1091" s="294"/>
      <c r="AG1091" s="294"/>
    </row>
    <row r="1092" spans="2:33" x14ac:dyDescent="0.25">
      <c r="B1092" s="294"/>
      <c r="C1092" s="294"/>
      <c r="D1092" s="294"/>
      <c r="E1092" s="294"/>
      <c r="F1092" s="294"/>
      <c r="G1092" s="294"/>
      <c r="H1092" s="294"/>
      <c r="I1092" s="294"/>
      <c r="J1092" s="294"/>
      <c r="L1092" s="295"/>
      <c r="M1092" s="294"/>
      <c r="O1092" s="294"/>
      <c r="P1092" s="294"/>
      <c r="Q1092" s="294"/>
      <c r="R1092" s="294"/>
      <c r="S1092" s="294"/>
      <c r="T1092" s="294"/>
      <c r="U1092" s="294"/>
      <c r="V1092" s="294"/>
      <c r="W1092" s="294"/>
      <c r="X1092" s="294"/>
      <c r="Y1092" s="294"/>
      <c r="Z1092" s="294"/>
      <c r="AA1092" s="294"/>
      <c r="AB1092" s="294"/>
      <c r="AC1092" s="294"/>
      <c r="AD1092" s="294"/>
      <c r="AE1092" s="294"/>
      <c r="AF1092" s="294"/>
      <c r="AG1092" s="294"/>
    </row>
    <row r="1093" spans="2:33" x14ac:dyDescent="0.25">
      <c r="B1093" s="294"/>
      <c r="C1093" s="294"/>
      <c r="D1093" s="294"/>
      <c r="E1093" s="294"/>
      <c r="F1093" s="294"/>
      <c r="G1093" s="294"/>
      <c r="H1093" s="294"/>
      <c r="I1093" s="294"/>
      <c r="J1093" s="294"/>
      <c r="L1093" s="295"/>
      <c r="M1093" s="294"/>
      <c r="O1093" s="294"/>
      <c r="P1093" s="294"/>
      <c r="Q1093" s="294"/>
      <c r="R1093" s="294"/>
      <c r="S1093" s="294"/>
      <c r="T1093" s="294"/>
      <c r="U1093" s="294"/>
      <c r="V1093" s="294"/>
      <c r="W1093" s="294"/>
      <c r="X1093" s="294"/>
      <c r="Y1093" s="294"/>
      <c r="Z1093" s="294"/>
      <c r="AA1093" s="294"/>
      <c r="AB1093" s="294"/>
      <c r="AC1093" s="294"/>
      <c r="AD1093" s="294"/>
      <c r="AE1093" s="294"/>
      <c r="AF1093" s="294"/>
      <c r="AG1093" s="294"/>
    </row>
    <row r="1094" spans="2:33" x14ac:dyDescent="0.25">
      <c r="B1094" s="294"/>
      <c r="C1094" s="294"/>
      <c r="D1094" s="294"/>
      <c r="E1094" s="294"/>
      <c r="F1094" s="294"/>
      <c r="G1094" s="294"/>
      <c r="H1094" s="294"/>
      <c r="I1094" s="294"/>
      <c r="J1094" s="294"/>
      <c r="L1094" s="295"/>
      <c r="M1094" s="294"/>
      <c r="O1094" s="294"/>
      <c r="P1094" s="294"/>
      <c r="Q1094" s="294"/>
      <c r="R1094" s="294"/>
      <c r="S1094" s="294"/>
      <c r="T1094" s="294"/>
      <c r="U1094" s="294"/>
      <c r="V1094" s="294"/>
      <c r="W1094" s="294"/>
      <c r="X1094" s="294"/>
      <c r="Y1094" s="294"/>
      <c r="Z1094" s="294"/>
      <c r="AA1094" s="294"/>
      <c r="AB1094" s="294"/>
      <c r="AC1094" s="294"/>
      <c r="AD1094" s="294"/>
      <c r="AE1094" s="294"/>
      <c r="AF1094" s="294"/>
      <c r="AG1094" s="294"/>
    </row>
    <row r="1095" spans="2:33" x14ac:dyDescent="0.25">
      <c r="B1095" s="294"/>
      <c r="C1095" s="294"/>
      <c r="D1095" s="294"/>
      <c r="E1095" s="294"/>
      <c r="F1095" s="294"/>
      <c r="G1095" s="294"/>
      <c r="H1095" s="294"/>
      <c r="I1095" s="294"/>
      <c r="J1095" s="294"/>
      <c r="L1095" s="295"/>
      <c r="M1095" s="294"/>
      <c r="O1095" s="294"/>
      <c r="P1095" s="294"/>
      <c r="Q1095" s="294"/>
      <c r="R1095" s="294"/>
      <c r="S1095" s="294"/>
      <c r="T1095" s="294"/>
      <c r="U1095" s="294"/>
      <c r="V1095" s="294"/>
      <c r="W1095" s="294"/>
      <c r="X1095" s="294"/>
      <c r="Y1095" s="294"/>
      <c r="Z1095" s="294"/>
      <c r="AA1095" s="294"/>
      <c r="AB1095" s="294"/>
      <c r="AC1095" s="294"/>
      <c r="AD1095" s="294"/>
      <c r="AE1095" s="294"/>
      <c r="AF1095" s="294"/>
      <c r="AG1095" s="294"/>
    </row>
    <row r="1096" spans="2:33" x14ac:dyDescent="0.25">
      <c r="B1096" s="294"/>
      <c r="C1096" s="294"/>
      <c r="D1096" s="294"/>
      <c r="E1096" s="294"/>
      <c r="F1096" s="294"/>
      <c r="G1096" s="294"/>
      <c r="H1096" s="294"/>
      <c r="I1096" s="294"/>
      <c r="J1096" s="294"/>
      <c r="L1096" s="295"/>
      <c r="M1096" s="294"/>
      <c r="O1096" s="294"/>
      <c r="P1096" s="294"/>
      <c r="Q1096" s="294"/>
      <c r="R1096" s="294"/>
      <c r="S1096" s="294"/>
      <c r="T1096" s="294"/>
      <c r="U1096" s="294"/>
      <c r="V1096" s="294"/>
      <c r="W1096" s="294"/>
      <c r="X1096" s="294"/>
      <c r="Y1096" s="294"/>
      <c r="Z1096" s="294"/>
      <c r="AA1096" s="294"/>
      <c r="AB1096" s="294"/>
      <c r="AC1096" s="294"/>
      <c r="AD1096" s="294"/>
      <c r="AE1096" s="294"/>
      <c r="AF1096" s="294"/>
      <c r="AG1096" s="294"/>
    </row>
    <row r="1097" spans="2:33" x14ac:dyDescent="0.25">
      <c r="B1097" s="294"/>
      <c r="C1097" s="294"/>
      <c r="D1097" s="294"/>
      <c r="E1097" s="294"/>
      <c r="F1097" s="294"/>
      <c r="G1097" s="294"/>
      <c r="H1097" s="294"/>
      <c r="I1097" s="294"/>
      <c r="J1097" s="294"/>
      <c r="L1097" s="295"/>
      <c r="M1097" s="294"/>
      <c r="O1097" s="294"/>
      <c r="P1097" s="294"/>
      <c r="Q1097" s="294"/>
      <c r="R1097" s="294"/>
      <c r="S1097" s="294"/>
      <c r="T1097" s="294"/>
      <c r="U1097" s="294"/>
      <c r="V1097" s="294"/>
      <c r="W1097" s="294"/>
      <c r="X1097" s="294"/>
      <c r="Y1097" s="294"/>
      <c r="Z1097" s="294"/>
      <c r="AA1097" s="294"/>
      <c r="AB1097" s="294"/>
      <c r="AC1097" s="294"/>
      <c r="AD1097" s="294"/>
      <c r="AE1097" s="294"/>
      <c r="AF1097" s="294"/>
      <c r="AG1097" s="294"/>
    </row>
    <row r="1098" spans="2:33" x14ac:dyDescent="0.25">
      <c r="B1098" s="294"/>
      <c r="C1098" s="294"/>
      <c r="D1098" s="294"/>
      <c r="E1098" s="294"/>
      <c r="F1098" s="294"/>
      <c r="G1098" s="294"/>
      <c r="H1098" s="294"/>
      <c r="I1098" s="294"/>
      <c r="J1098" s="294"/>
      <c r="L1098" s="295"/>
      <c r="M1098" s="294"/>
      <c r="O1098" s="294"/>
      <c r="P1098" s="294"/>
      <c r="Q1098" s="294"/>
      <c r="R1098" s="294"/>
      <c r="S1098" s="294"/>
      <c r="T1098" s="294"/>
      <c r="U1098" s="294"/>
      <c r="V1098" s="294"/>
      <c r="W1098" s="294"/>
      <c r="X1098" s="294"/>
      <c r="Y1098" s="294"/>
      <c r="Z1098" s="294"/>
      <c r="AA1098" s="294"/>
      <c r="AB1098" s="294"/>
      <c r="AC1098" s="294"/>
      <c r="AD1098" s="294"/>
      <c r="AE1098" s="294"/>
      <c r="AF1098" s="294"/>
      <c r="AG1098" s="294"/>
    </row>
    <row r="1099" spans="2:33" x14ac:dyDescent="0.25">
      <c r="B1099" s="294"/>
      <c r="C1099" s="294"/>
      <c r="D1099" s="294"/>
      <c r="E1099" s="294"/>
      <c r="F1099" s="294"/>
      <c r="G1099" s="294"/>
      <c r="H1099" s="294"/>
      <c r="I1099" s="294"/>
      <c r="J1099" s="294"/>
      <c r="L1099" s="295"/>
      <c r="M1099" s="294"/>
      <c r="O1099" s="294"/>
      <c r="P1099" s="294"/>
      <c r="Q1099" s="294"/>
      <c r="R1099" s="294"/>
      <c r="S1099" s="294"/>
      <c r="T1099" s="294"/>
      <c r="U1099" s="294"/>
      <c r="V1099" s="294"/>
      <c r="W1099" s="294"/>
      <c r="X1099" s="294"/>
      <c r="Y1099" s="294"/>
      <c r="Z1099" s="294"/>
      <c r="AA1099" s="294"/>
      <c r="AB1099" s="294"/>
      <c r="AC1099" s="294"/>
      <c r="AD1099" s="294"/>
      <c r="AE1099" s="294"/>
      <c r="AF1099" s="294"/>
      <c r="AG1099" s="294"/>
    </row>
    <row r="1100" spans="2:33" x14ac:dyDescent="0.25">
      <c r="B1100" s="294"/>
      <c r="C1100" s="294"/>
      <c r="D1100" s="294"/>
      <c r="E1100" s="294"/>
      <c r="F1100" s="294"/>
      <c r="G1100" s="294"/>
      <c r="H1100" s="294"/>
      <c r="I1100" s="294"/>
      <c r="J1100" s="294"/>
      <c r="L1100" s="295"/>
      <c r="M1100" s="294"/>
      <c r="O1100" s="294"/>
      <c r="P1100" s="294"/>
      <c r="Q1100" s="294"/>
      <c r="R1100" s="294"/>
      <c r="S1100" s="294"/>
      <c r="T1100" s="294"/>
      <c r="U1100" s="294"/>
      <c r="V1100" s="294"/>
      <c r="W1100" s="294"/>
      <c r="X1100" s="294"/>
      <c r="Y1100" s="294"/>
      <c r="Z1100" s="294"/>
      <c r="AA1100" s="294"/>
      <c r="AB1100" s="294"/>
      <c r="AC1100" s="294"/>
      <c r="AD1100" s="294"/>
      <c r="AE1100" s="294"/>
      <c r="AF1100" s="294"/>
      <c r="AG1100" s="294"/>
    </row>
    <row r="1101" spans="2:33" x14ac:dyDescent="0.25">
      <c r="B1101" s="294"/>
      <c r="C1101" s="294"/>
      <c r="D1101" s="294"/>
      <c r="E1101" s="294"/>
      <c r="F1101" s="294"/>
      <c r="G1101" s="294"/>
      <c r="H1101" s="294"/>
      <c r="I1101" s="294"/>
      <c r="J1101" s="294"/>
      <c r="L1101" s="295"/>
      <c r="M1101" s="294"/>
      <c r="O1101" s="294"/>
      <c r="P1101" s="294"/>
      <c r="Q1101" s="294"/>
      <c r="R1101" s="294"/>
      <c r="S1101" s="294"/>
      <c r="T1101" s="294"/>
      <c r="U1101" s="294"/>
      <c r="V1101" s="294"/>
      <c r="W1101" s="294"/>
      <c r="X1101" s="294"/>
      <c r="Y1101" s="294"/>
      <c r="Z1101" s="294"/>
      <c r="AA1101" s="294"/>
      <c r="AB1101" s="294"/>
      <c r="AC1101" s="294"/>
      <c r="AD1101" s="294"/>
      <c r="AE1101" s="294"/>
      <c r="AF1101" s="294"/>
      <c r="AG1101" s="294"/>
    </row>
    <row r="1102" spans="2:33" x14ac:dyDescent="0.25">
      <c r="B1102" s="294"/>
      <c r="C1102" s="294"/>
      <c r="D1102" s="294"/>
      <c r="E1102" s="294"/>
      <c r="F1102" s="294"/>
      <c r="G1102" s="294"/>
      <c r="H1102" s="294"/>
      <c r="I1102" s="294"/>
      <c r="J1102" s="294"/>
      <c r="L1102" s="295"/>
      <c r="M1102" s="294"/>
      <c r="O1102" s="294"/>
      <c r="P1102" s="294"/>
      <c r="Q1102" s="294"/>
      <c r="R1102" s="294"/>
      <c r="S1102" s="294"/>
      <c r="T1102" s="294"/>
      <c r="U1102" s="294"/>
      <c r="V1102" s="294"/>
      <c r="W1102" s="294"/>
      <c r="X1102" s="294"/>
      <c r="Y1102" s="294"/>
      <c r="Z1102" s="294"/>
      <c r="AA1102" s="294"/>
      <c r="AB1102" s="294"/>
      <c r="AC1102" s="294"/>
      <c r="AD1102" s="294"/>
      <c r="AE1102" s="294"/>
      <c r="AF1102" s="294"/>
      <c r="AG1102" s="294"/>
    </row>
    <row r="1103" spans="2:33" x14ac:dyDescent="0.25">
      <c r="B1103" s="294"/>
      <c r="C1103" s="294"/>
      <c r="D1103" s="294"/>
      <c r="E1103" s="294"/>
      <c r="F1103" s="294"/>
      <c r="G1103" s="294"/>
      <c r="H1103" s="294"/>
      <c r="I1103" s="294"/>
      <c r="J1103" s="294"/>
      <c r="L1103" s="295"/>
      <c r="M1103" s="294"/>
      <c r="O1103" s="294"/>
      <c r="P1103" s="294"/>
      <c r="Q1103" s="294"/>
      <c r="R1103" s="294"/>
      <c r="S1103" s="294"/>
      <c r="T1103" s="294"/>
      <c r="U1103" s="294"/>
      <c r="V1103" s="294"/>
      <c r="W1103" s="294"/>
      <c r="X1103" s="294"/>
      <c r="Y1103" s="294"/>
      <c r="Z1103" s="294"/>
      <c r="AA1103" s="294"/>
      <c r="AB1103" s="294"/>
      <c r="AC1103" s="294"/>
      <c r="AD1103" s="294"/>
      <c r="AE1103" s="294"/>
      <c r="AF1103" s="294"/>
      <c r="AG1103" s="294"/>
    </row>
    <row r="1104" spans="2:33" x14ac:dyDescent="0.25">
      <c r="B1104" s="294"/>
      <c r="C1104" s="294"/>
      <c r="D1104" s="294"/>
      <c r="E1104" s="294"/>
      <c r="F1104" s="294"/>
      <c r="G1104" s="294"/>
      <c r="H1104" s="294"/>
      <c r="I1104" s="294"/>
      <c r="J1104" s="294"/>
      <c r="L1104" s="295"/>
      <c r="M1104" s="294"/>
      <c r="O1104" s="294"/>
      <c r="P1104" s="294"/>
      <c r="Q1104" s="294"/>
      <c r="R1104" s="294"/>
      <c r="S1104" s="294"/>
      <c r="T1104" s="294"/>
      <c r="U1104" s="294"/>
      <c r="V1104" s="294"/>
      <c r="W1104" s="294"/>
      <c r="X1104" s="294"/>
      <c r="Y1104" s="294"/>
      <c r="Z1104" s="294"/>
      <c r="AA1104" s="294"/>
      <c r="AB1104" s="294"/>
      <c r="AC1104" s="294"/>
      <c r="AD1104" s="294"/>
      <c r="AE1104" s="294"/>
      <c r="AF1104" s="294"/>
      <c r="AG1104" s="294"/>
    </row>
    <row r="1105" spans="2:33" x14ac:dyDescent="0.25">
      <c r="B1105" s="294"/>
      <c r="C1105" s="294"/>
      <c r="D1105" s="294"/>
      <c r="E1105" s="294"/>
      <c r="F1105" s="294"/>
      <c r="G1105" s="294"/>
      <c r="H1105" s="294"/>
      <c r="I1105" s="294"/>
      <c r="J1105" s="294"/>
      <c r="L1105" s="295"/>
      <c r="M1105" s="294"/>
      <c r="O1105" s="294"/>
      <c r="P1105" s="294"/>
      <c r="Q1105" s="294"/>
      <c r="R1105" s="294"/>
      <c r="S1105" s="294"/>
      <c r="T1105" s="294"/>
      <c r="U1105" s="294"/>
      <c r="V1105" s="294"/>
      <c r="W1105" s="294"/>
      <c r="X1105" s="294"/>
      <c r="Y1105" s="294"/>
      <c r="Z1105" s="294"/>
      <c r="AA1105" s="294"/>
      <c r="AB1105" s="294"/>
      <c r="AC1105" s="294"/>
      <c r="AD1105" s="294"/>
      <c r="AE1105" s="294"/>
      <c r="AF1105" s="294"/>
      <c r="AG1105" s="294"/>
    </row>
    <row r="1106" spans="2:33" x14ac:dyDescent="0.25">
      <c r="B1106" s="294"/>
      <c r="C1106" s="294"/>
      <c r="D1106" s="294"/>
      <c r="E1106" s="294"/>
      <c r="F1106" s="294"/>
      <c r="G1106" s="294"/>
      <c r="H1106" s="294"/>
      <c r="I1106" s="294"/>
      <c r="J1106" s="294"/>
      <c r="L1106" s="295"/>
      <c r="M1106" s="294"/>
      <c r="O1106" s="294"/>
      <c r="P1106" s="294"/>
      <c r="Q1106" s="294"/>
      <c r="R1106" s="294"/>
      <c r="S1106" s="294"/>
      <c r="T1106" s="294"/>
      <c r="U1106" s="294"/>
      <c r="V1106" s="294"/>
      <c r="W1106" s="294"/>
      <c r="X1106" s="294"/>
      <c r="Y1106" s="294"/>
      <c r="Z1106" s="294"/>
      <c r="AA1106" s="294"/>
      <c r="AB1106" s="294"/>
      <c r="AC1106" s="294"/>
      <c r="AD1106" s="294"/>
      <c r="AE1106" s="294"/>
      <c r="AF1106" s="294"/>
      <c r="AG1106" s="294"/>
    </row>
    <row r="1107" spans="2:33" x14ac:dyDescent="0.25">
      <c r="B1107" s="294"/>
      <c r="C1107" s="294"/>
      <c r="D1107" s="294"/>
      <c r="E1107" s="294"/>
      <c r="F1107" s="294"/>
      <c r="G1107" s="294"/>
      <c r="H1107" s="294"/>
      <c r="I1107" s="294"/>
      <c r="J1107" s="294"/>
      <c r="L1107" s="295"/>
      <c r="M1107" s="294"/>
      <c r="O1107" s="294"/>
      <c r="P1107" s="294"/>
      <c r="Q1107" s="294"/>
      <c r="R1107" s="294"/>
      <c r="S1107" s="294"/>
      <c r="T1107" s="294"/>
      <c r="U1107" s="294"/>
      <c r="V1107" s="294"/>
      <c r="W1107" s="294"/>
      <c r="X1107" s="294"/>
      <c r="Y1107" s="294"/>
      <c r="Z1107" s="294"/>
      <c r="AA1107" s="294"/>
      <c r="AB1107" s="294"/>
      <c r="AC1107" s="294"/>
      <c r="AD1107" s="294"/>
      <c r="AE1107" s="294"/>
      <c r="AF1107" s="294"/>
      <c r="AG1107" s="294"/>
    </row>
    <row r="1108" spans="2:33" x14ac:dyDescent="0.25">
      <c r="B1108" s="294"/>
      <c r="C1108" s="294"/>
      <c r="D1108" s="294"/>
      <c r="E1108" s="294"/>
      <c r="F1108" s="294"/>
      <c r="G1108" s="294"/>
      <c r="H1108" s="294"/>
      <c r="I1108" s="294"/>
      <c r="J1108" s="294"/>
      <c r="L1108" s="295"/>
      <c r="M1108" s="294"/>
      <c r="O1108" s="294"/>
      <c r="P1108" s="294"/>
      <c r="Q1108" s="294"/>
      <c r="R1108" s="294"/>
      <c r="S1108" s="294"/>
      <c r="T1108" s="294"/>
      <c r="U1108" s="294"/>
      <c r="V1108" s="294"/>
      <c r="W1108" s="294"/>
      <c r="X1108" s="294"/>
      <c r="Y1108" s="294"/>
      <c r="Z1108" s="294"/>
      <c r="AA1108" s="294"/>
      <c r="AB1108" s="294"/>
      <c r="AC1108" s="294"/>
      <c r="AD1108" s="294"/>
      <c r="AE1108" s="294"/>
      <c r="AF1108" s="294"/>
      <c r="AG1108" s="294"/>
    </row>
    <row r="1109" spans="2:33" x14ac:dyDescent="0.25">
      <c r="B1109" s="294"/>
      <c r="C1109" s="294"/>
      <c r="D1109" s="294"/>
      <c r="E1109" s="294"/>
      <c r="F1109" s="294"/>
      <c r="G1109" s="294"/>
      <c r="H1109" s="294"/>
      <c r="I1109" s="294"/>
      <c r="J1109" s="294"/>
      <c r="L1109" s="295"/>
      <c r="M1109" s="294"/>
      <c r="O1109" s="294"/>
      <c r="P1109" s="294"/>
      <c r="Q1109" s="294"/>
      <c r="R1109" s="294"/>
      <c r="S1109" s="294"/>
      <c r="T1109" s="294"/>
      <c r="U1109" s="294"/>
      <c r="V1109" s="294"/>
      <c r="W1109" s="294"/>
      <c r="X1109" s="294"/>
      <c r="Y1109" s="294"/>
      <c r="Z1109" s="294"/>
      <c r="AA1109" s="294"/>
      <c r="AB1109" s="294"/>
      <c r="AC1109" s="294"/>
      <c r="AD1109" s="294"/>
      <c r="AE1109" s="294"/>
      <c r="AF1109" s="294"/>
      <c r="AG1109" s="294"/>
    </row>
    <row r="1110" spans="2:33" x14ac:dyDescent="0.25">
      <c r="B1110" s="294"/>
      <c r="C1110" s="294"/>
      <c r="D1110" s="294"/>
      <c r="E1110" s="294"/>
      <c r="F1110" s="294"/>
      <c r="G1110" s="294"/>
      <c r="H1110" s="294"/>
      <c r="I1110" s="294"/>
      <c r="J1110" s="294"/>
      <c r="L1110" s="295"/>
      <c r="M1110" s="294"/>
      <c r="O1110" s="294"/>
      <c r="P1110" s="294"/>
      <c r="Q1110" s="294"/>
      <c r="R1110" s="294"/>
      <c r="S1110" s="294"/>
      <c r="T1110" s="294"/>
      <c r="U1110" s="294"/>
      <c r="V1110" s="294"/>
      <c r="W1110" s="294"/>
      <c r="X1110" s="294"/>
      <c r="Y1110" s="294"/>
      <c r="Z1110" s="294"/>
      <c r="AA1110" s="294"/>
      <c r="AB1110" s="294"/>
      <c r="AC1110" s="294"/>
      <c r="AD1110" s="294"/>
      <c r="AE1110" s="294"/>
      <c r="AF1110" s="294"/>
      <c r="AG1110" s="294"/>
    </row>
    <row r="1111" spans="2:33" x14ac:dyDescent="0.25">
      <c r="B1111" s="294"/>
      <c r="C1111" s="294"/>
      <c r="D1111" s="294"/>
      <c r="E1111" s="294"/>
      <c r="F1111" s="294"/>
      <c r="G1111" s="294"/>
      <c r="H1111" s="294"/>
      <c r="I1111" s="294"/>
      <c r="J1111" s="294"/>
      <c r="L1111" s="295"/>
      <c r="M1111" s="294"/>
      <c r="O1111" s="294"/>
      <c r="P1111" s="294"/>
      <c r="Q1111" s="294"/>
      <c r="R1111" s="294"/>
      <c r="S1111" s="294"/>
      <c r="T1111" s="294"/>
      <c r="U1111" s="294"/>
      <c r="V1111" s="294"/>
      <c r="W1111" s="294"/>
      <c r="X1111" s="294"/>
      <c r="Y1111" s="294"/>
      <c r="Z1111" s="294"/>
      <c r="AA1111" s="294"/>
      <c r="AB1111" s="294"/>
      <c r="AC1111" s="294"/>
      <c r="AD1111" s="294"/>
      <c r="AE1111" s="294"/>
      <c r="AF1111" s="294"/>
      <c r="AG1111" s="294"/>
    </row>
    <row r="1112" spans="2:33" x14ac:dyDescent="0.25">
      <c r="B1112" s="294"/>
      <c r="C1112" s="294"/>
      <c r="D1112" s="294"/>
      <c r="E1112" s="294"/>
      <c r="F1112" s="294"/>
      <c r="G1112" s="294"/>
      <c r="H1112" s="294"/>
      <c r="I1112" s="294"/>
      <c r="J1112" s="294"/>
      <c r="L1112" s="295"/>
      <c r="M1112" s="294"/>
      <c r="O1112" s="294"/>
      <c r="P1112" s="294"/>
      <c r="Q1112" s="294"/>
      <c r="R1112" s="294"/>
      <c r="S1112" s="294"/>
      <c r="T1112" s="294"/>
      <c r="U1112" s="294"/>
      <c r="V1112" s="294"/>
      <c r="W1112" s="294"/>
      <c r="X1112" s="294"/>
      <c r="Y1112" s="294"/>
      <c r="Z1112" s="294"/>
      <c r="AA1112" s="294"/>
      <c r="AB1112" s="294"/>
      <c r="AC1112" s="294"/>
      <c r="AD1112" s="294"/>
      <c r="AE1112" s="294"/>
      <c r="AF1112" s="294"/>
      <c r="AG1112" s="294"/>
    </row>
    <row r="1113" spans="2:33" x14ac:dyDescent="0.25">
      <c r="B1113" s="294"/>
      <c r="C1113" s="294"/>
      <c r="D1113" s="294"/>
      <c r="E1113" s="294"/>
      <c r="F1113" s="294"/>
      <c r="G1113" s="294"/>
      <c r="H1113" s="294"/>
      <c r="I1113" s="294"/>
      <c r="J1113" s="294"/>
      <c r="L1113" s="295"/>
      <c r="M1113" s="294"/>
      <c r="O1113" s="294"/>
      <c r="P1113" s="294"/>
      <c r="Q1113" s="294"/>
      <c r="R1113" s="294"/>
      <c r="S1113" s="294"/>
      <c r="T1113" s="294"/>
      <c r="U1113" s="294"/>
      <c r="V1113" s="294"/>
      <c r="W1113" s="294"/>
      <c r="X1113" s="294"/>
      <c r="Y1113" s="294"/>
      <c r="Z1113" s="294"/>
      <c r="AA1113" s="294"/>
      <c r="AB1113" s="294"/>
      <c r="AC1113" s="294"/>
      <c r="AD1113" s="294"/>
      <c r="AE1113" s="294"/>
      <c r="AF1113" s="294"/>
      <c r="AG1113" s="294"/>
    </row>
    <row r="1114" spans="2:33" x14ac:dyDescent="0.25">
      <c r="B1114" s="294"/>
      <c r="C1114" s="294"/>
      <c r="D1114" s="294"/>
      <c r="E1114" s="294"/>
      <c r="F1114" s="294"/>
      <c r="G1114" s="294"/>
      <c r="H1114" s="294"/>
      <c r="I1114" s="294"/>
      <c r="J1114" s="294"/>
      <c r="L1114" s="295"/>
      <c r="M1114" s="294"/>
      <c r="O1114" s="294"/>
      <c r="P1114" s="294"/>
      <c r="Q1114" s="294"/>
      <c r="R1114" s="294"/>
      <c r="S1114" s="294"/>
      <c r="T1114" s="294"/>
      <c r="U1114" s="294"/>
      <c r="V1114" s="294"/>
      <c r="W1114" s="294"/>
      <c r="X1114" s="294"/>
      <c r="Y1114" s="294"/>
      <c r="Z1114" s="294"/>
      <c r="AA1114" s="294"/>
      <c r="AB1114" s="294"/>
      <c r="AC1114" s="294"/>
      <c r="AD1114" s="294"/>
      <c r="AE1114" s="294"/>
      <c r="AF1114" s="294"/>
      <c r="AG1114" s="294"/>
    </row>
    <row r="1115" spans="2:33" x14ac:dyDescent="0.25">
      <c r="B1115" s="294"/>
      <c r="C1115" s="294"/>
      <c r="D1115" s="294"/>
      <c r="E1115" s="294"/>
      <c r="F1115" s="294"/>
      <c r="G1115" s="294"/>
      <c r="H1115" s="294"/>
      <c r="I1115" s="294"/>
      <c r="J1115" s="294"/>
      <c r="L1115" s="295"/>
      <c r="M1115" s="294"/>
      <c r="O1115" s="294"/>
      <c r="P1115" s="294"/>
      <c r="Q1115" s="294"/>
      <c r="R1115" s="294"/>
      <c r="S1115" s="294"/>
      <c r="T1115" s="294"/>
      <c r="U1115" s="294"/>
      <c r="V1115" s="294"/>
      <c r="W1115" s="294"/>
      <c r="X1115" s="294"/>
      <c r="Y1115" s="294"/>
      <c r="Z1115" s="294"/>
      <c r="AA1115" s="294"/>
      <c r="AB1115" s="294"/>
      <c r="AC1115" s="294"/>
      <c r="AD1115" s="294"/>
      <c r="AE1115" s="294"/>
      <c r="AF1115" s="294"/>
      <c r="AG1115" s="294"/>
    </row>
    <row r="1116" spans="2:33" x14ac:dyDescent="0.25">
      <c r="B1116" s="294"/>
      <c r="C1116" s="294"/>
      <c r="D1116" s="294"/>
      <c r="E1116" s="294"/>
      <c r="F1116" s="294"/>
      <c r="G1116" s="294"/>
      <c r="H1116" s="294"/>
      <c r="I1116" s="294"/>
      <c r="J1116" s="294"/>
      <c r="L1116" s="295"/>
      <c r="M1116" s="294"/>
      <c r="O1116" s="294"/>
      <c r="P1116" s="294"/>
      <c r="Q1116" s="294"/>
      <c r="R1116" s="294"/>
      <c r="S1116" s="294"/>
      <c r="T1116" s="294"/>
      <c r="U1116" s="294"/>
      <c r="V1116" s="294"/>
      <c r="W1116" s="294"/>
      <c r="X1116" s="294"/>
      <c r="Y1116" s="294"/>
      <c r="Z1116" s="294"/>
      <c r="AA1116" s="294"/>
      <c r="AB1116" s="294"/>
      <c r="AC1116" s="294"/>
      <c r="AD1116" s="294"/>
      <c r="AE1116" s="294"/>
      <c r="AF1116" s="294"/>
      <c r="AG1116" s="294"/>
    </row>
    <row r="1117" spans="2:33" x14ac:dyDescent="0.25">
      <c r="B1117" s="294"/>
      <c r="C1117" s="294"/>
      <c r="D1117" s="294"/>
      <c r="E1117" s="294"/>
      <c r="F1117" s="294"/>
      <c r="G1117" s="294"/>
      <c r="H1117" s="294"/>
      <c r="I1117" s="294"/>
      <c r="J1117" s="294"/>
      <c r="L1117" s="295"/>
      <c r="M1117" s="294"/>
      <c r="O1117" s="294"/>
      <c r="P1117" s="294"/>
      <c r="Q1117" s="294"/>
      <c r="R1117" s="294"/>
      <c r="S1117" s="294"/>
      <c r="T1117" s="294"/>
      <c r="U1117" s="294"/>
      <c r="V1117" s="294"/>
      <c r="W1117" s="294"/>
      <c r="X1117" s="294"/>
      <c r="Y1117" s="294"/>
      <c r="Z1117" s="294"/>
      <c r="AA1117" s="294"/>
      <c r="AB1117" s="294"/>
      <c r="AC1117" s="294"/>
      <c r="AD1117" s="294"/>
      <c r="AE1117" s="294"/>
      <c r="AF1117" s="294"/>
      <c r="AG1117" s="294"/>
    </row>
    <row r="1118" spans="2:33" x14ac:dyDescent="0.25">
      <c r="B1118" s="294"/>
      <c r="C1118" s="294"/>
      <c r="D1118" s="294"/>
      <c r="E1118" s="294"/>
      <c r="F1118" s="294"/>
      <c r="G1118" s="294"/>
      <c r="H1118" s="294"/>
      <c r="I1118" s="294"/>
      <c r="J1118" s="294"/>
      <c r="L1118" s="295"/>
      <c r="M1118" s="294"/>
      <c r="O1118" s="294"/>
      <c r="P1118" s="294"/>
      <c r="Q1118" s="294"/>
      <c r="R1118" s="294"/>
      <c r="S1118" s="294"/>
      <c r="T1118" s="294"/>
      <c r="U1118" s="294"/>
      <c r="V1118" s="294"/>
      <c r="W1118" s="294"/>
      <c r="X1118" s="294"/>
      <c r="Y1118" s="294"/>
      <c r="Z1118" s="294"/>
      <c r="AA1118" s="294"/>
      <c r="AB1118" s="294"/>
      <c r="AC1118" s="294"/>
      <c r="AD1118" s="294"/>
      <c r="AE1118" s="294"/>
      <c r="AF1118" s="294"/>
      <c r="AG1118" s="294"/>
    </row>
    <row r="1119" spans="2:33" x14ac:dyDescent="0.25">
      <c r="B1119" s="294"/>
      <c r="C1119" s="294"/>
      <c r="D1119" s="294"/>
      <c r="E1119" s="294"/>
      <c r="F1119" s="294"/>
      <c r="G1119" s="294"/>
      <c r="H1119" s="294"/>
      <c r="I1119" s="294"/>
      <c r="J1119" s="294"/>
      <c r="L1119" s="295"/>
      <c r="M1119" s="294"/>
      <c r="O1119" s="294"/>
      <c r="P1119" s="294"/>
      <c r="Q1119" s="294"/>
      <c r="R1119" s="294"/>
      <c r="S1119" s="294"/>
      <c r="T1119" s="294"/>
      <c r="U1119" s="294"/>
      <c r="V1119" s="294"/>
      <c r="W1119" s="294"/>
      <c r="X1119" s="294"/>
      <c r="Y1119" s="294"/>
      <c r="Z1119" s="294"/>
      <c r="AA1119" s="294"/>
      <c r="AB1119" s="294"/>
      <c r="AC1119" s="294"/>
      <c r="AD1119" s="294"/>
      <c r="AE1119" s="294"/>
      <c r="AF1119" s="294"/>
      <c r="AG1119" s="294"/>
    </row>
    <row r="1120" spans="2:33" x14ac:dyDescent="0.25">
      <c r="B1120" s="294"/>
      <c r="C1120" s="294"/>
      <c r="D1120" s="294"/>
      <c r="E1120" s="294"/>
      <c r="F1120" s="294"/>
      <c r="G1120" s="294"/>
      <c r="H1120" s="294"/>
      <c r="I1120" s="294"/>
      <c r="J1120" s="294"/>
      <c r="L1120" s="295"/>
      <c r="M1120" s="294"/>
      <c r="O1120" s="294"/>
      <c r="P1120" s="294"/>
      <c r="Q1120" s="294"/>
      <c r="R1120" s="294"/>
      <c r="S1120" s="294"/>
      <c r="T1120" s="294"/>
      <c r="U1120" s="294"/>
      <c r="V1120" s="294"/>
      <c r="W1120" s="294"/>
      <c r="X1120" s="294"/>
      <c r="Y1120" s="294"/>
      <c r="Z1120" s="294"/>
      <c r="AA1120" s="294"/>
      <c r="AB1120" s="294"/>
      <c r="AC1120" s="294"/>
      <c r="AD1120" s="294"/>
      <c r="AE1120" s="294"/>
      <c r="AF1120" s="294"/>
      <c r="AG1120" s="294"/>
    </row>
    <row r="1121" spans="2:33" x14ac:dyDescent="0.25">
      <c r="B1121" s="294"/>
      <c r="C1121" s="294"/>
      <c r="D1121" s="294"/>
      <c r="E1121" s="294"/>
      <c r="F1121" s="294"/>
      <c r="G1121" s="294"/>
      <c r="H1121" s="294"/>
      <c r="I1121" s="294"/>
      <c r="J1121" s="294"/>
      <c r="L1121" s="295"/>
      <c r="M1121" s="294"/>
      <c r="O1121" s="294"/>
      <c r="P1121" s="294"/>
      <c r="Q1121" s="294"/>
      <c r="R1121" s="294"/>
      <c r="S1121" s="294"/>
      <c r="T1121" s="294"/>
      <c r="U1121" s="294"/>
      <c r="V1121" s="294"/>
      <c r="W1121" s="294"/>
      <c r="X1121" s="294"/>
      <c r="Y1121" s="294"/>
      <c r="Z1121" s="294"/>
      <c r="AA1121" s="294"/>
      <c r="AB1121" s="294"/>
      <c r="AC1121" s="294"/>
      <c r="AD1121" s="294"/>
      <c r="AE1121" s="294"/>
      <c r="AF1121" s="294"/>
      <c r="AG1121" s="294"/>
    </row>
    <row r="1122" spans="2:33" x14ac:dyDescent="0.25">
      <c r="B1122" s="294"/>
      <c r="C1122" s="294"/>
      <c r="D1122" s="294"/>
      <c r="E1122" s="294"/>
      <c r="F1122" s="294"/>
      <c r="G1122" s="294"/>
      <c r="H1122" s="294"/>
      <c r="I1122" s="294"/>
      <c r="J1122" s="294"/>
      <c r="L1122" s="295"/>
      <c r="M1122" s="294"/>
      <c r="O1122" s="294"/>
      <c r="P1122" s="294"/>
      <c r="Q1122" s="294"/>
      <c r="R1122" s="294"/>
      <c r="S1122" s="294"/>
      <c r="T1122" s="294"/>
      <c r="U1122" s="294"/>
      <c r="V1122" s="294"/>
      <c r="W1122" s="294"/>
      <c r="X1122" s="294"/>
      <c r="Y1122" s="294"/>
      <c r="Z1122" s="294"/>
      <c r="AA1122" s="294"/>
      <c r="AB1122" s="294"/>
      <c r="AC1122" s="294"/>
      <c r="AD1122" s="294"/>
      <c r="AE1122" s="294"/>
      <c r="AF1122" s="294"/>
      <c r="AG1122" s="294"/>
    </row>
    <row r="1123" spans="2:33" x14ac:dyDescent="0.25">
      <c r="B1123" s="294"/>
      <c r="C1123" s="294"/>
      <c r="D1123" s="294"/>
      <c r="E1123" s="294"/>
      <c r="F1123" s="294"/>
      <c r="G1123" s="294"/>
      <c r="H1123" s="294"/>
      <c r="I1123" s="294"/>
      <c r="J1123" s="294"/>
      <c r="L1123" s="295"/>
      <c r="M1123" s="294"/>
      <c r="O1123" s="294"/>
      <c r="P1123" s="294"/>
      <c r="Q1123" s="294"/>
      <c r="R1123" s="294"/>
      <c r="S1123" s="294"/>
      <c r="T1123" s="294"/>
      <c r="U1123" s="294"/>
      <c r="V1123" s="294"/>
      <c r="W1123" s="294"/>
      <c r="X1123" s="294"/>
      <c r="Y1123" s="294"/>
      <c r="Z1123" s="294"/>
      <c r="AA1123" s="294"/>
      <c r="AB1123" s="294"/>
      <c r="AC1123" s="294"/>
      <c r="AD1123" s="294"/>
      <c r="AE1123" s="294"/>
      <c r="AF1123" s="294"/>
      <c r="AG1123" s="294"/>
    </row>
    <row r="1124" spans="2:33" x14ac:dyDescent="0.25">
      <c r="B1124" s="294"/>
      <c r="C1124" s="294"/>
      <c r="D1124" s="294"/>
      <c r="E1124" s="294"/>
      <c r="F1124" s="294"/>
      <c r="G1124" s="294"/>
      <c r="H1124" s="294"/>
      <c r="I1124" s="294"/>
      <c r="J1124" s="294"/>
      <c r="L1124" s="295"/>
      <c r="M1124" s="294"/>
      <c r="O1124" s="294"/>
      <c r="P1124" s="294"/>
      <c r="Q1124" s="294"/>
      <c r="R1124" s="294"/>
      <c r="S1124" s="294"/>
      <c r="T1124" s="294"/>
      <c r="U1124" s="294"/>
      <c r="V1124" s="294"/>
      <c r="W1124" s="294"/>
      <c r="X1124" s="294"/>
      <c r="Y1124" s="294"/>
      <c r="Z1124" s="294"/>
      <c r="AA1124" s="294"/>
      <c r="AB1124" s="294"/>
      <c r="AC1124" s="294"/>
      <c r="AD1124" s="294"/>
      <c r="AE1124" s="294"/>
      <c r="AF1124" s="294"/>
      <c r="AG1124" s="294"/>
    </row>
    <row r="1125" spans="2:33" x14ac:dyDescent="0.25">
      <c r="B1125" s="294"/>
      <c r="C1125" s="294"/>
      <c r="D1125" s="294"/>
      <c r="E1125" s="294"/>
      <c r="F1125" s="294"/>
      <c r="G1125" s="294"/>
      <c r="H1125" s="294"/>
      <c r="I1125" s="294"/>
      <c r="J1125" s="294"/>
      <c r="L1125" s="295"/>
      <c r="M1125" s="294"/>
      <c r="O1125" s="294"/>
      <c r="P1125" s="294"/>
      <c r="Q1125" s="294"/>
      <c r="R1125" s="294"/>
      <c r="S1125" s="294"/>
      <c r="T1125" s="294"/>
      <c r="U1125" s="294"/>
      <c r="V1125" s="294"/>
      <c r="W1125" s="294"/>
      <c r="X1125" s="294"/>
      <c r="Y1125" s="294"/>
      <c r="Z1125" s="294"/>
      <c r="AA1125" s="294"/>
      <c r="AB1125" s="294"/>
      <c r="AC1125" s="294"/>
      <c r="AD1125" s="294"/>
      <c r="AE1125" s="294"/>
      <c r="AF1125" s="294"/>
      <c r="AG1125" s="294"/>
    </row>
    <row r="1126" spans="2:33" x14ac:dyDescent="0.25">
      <c r="B1126" s="294"/>
      <c r="C1126" s="294"/>
      <c r="D1126" s="294"/>
      <c r="E1126" s="294"/>
      <c r="F1126" s="294"/>
      <c r="G1126" s="294"/>
      <c r="H1126" s="294"/>
      <c r="I1126" s="294"/>
      <c r="J1126" s="294"/>
      <c r="L1126" s="295"/>
      <c r="M1126" s="294"/>
      <c r="O1126" s="294"/>
      <c r="P1126" s="294"/>
      <c r="Q1126" s="294"/>
      <c r="R1126" s="294"/>
      <c r="S1126" s="294"/>
      <c r="T1126" s="294"/>
      <c r="U1126" s="294"/>
      <c r="V1126" s="294"/>
      <c r="W1126" s="294"/>
      <c r="X1126" s="294"/>
      <c r="Y1126" s="294"/>
      <c r="Z1126" s="294"/>
      <c r="AA1126" s="294"/>
      <c r="AB1126" s="294"/>
      <c r="AC1126" s="294"/>
      <c r="AD1126" s="294"/>
      <c r="AE1126" s="294"/>
      <c r="AF1126" s="294"/>
      <c r="AG1126" s="294"/>
    </row>
    <row r="1127" spans="2:33" x14ac:dyDescent="0.25">
      <c r="B1127" s="294"/>
      <c r="C1127" s="294"/>
      <c r="D1127" s="294"/>
      <c r="E1127" s="294"/>
      <c r="F1127" s="294"/>
      <c r="G1127" s="294"/>
      <c r="H1127" s="294"/>
      <c r="I1127" s="294"/>
      <c r="J1127" s="294"/>
      <c r="L1127" s="295"/>
      <c r="M1127" s="294"/>
      <c r="O1127" s="294"/>
      <c r="P1127" s="294"/>
      <c r="Q1127" s="294"/>
      <c r="R1127" s="294"/>
      <c r="S1127" s="294"/>
      <c r="T1127" s="294"/>
      <c r="U1127" s="294"/>
      <c r="V1127" s="294"/>
      <c r="W1127" s="294"/>
      <c r="X1127" s="294"/>
      <c r="Y1127" s="294"/>
      <c r="Z1127" s="294"/>
      <c r="AA1127" s="294"/>
      <c r="AB1127" s="294"/>
      <c r="AC1127" s="294"/>
      <c r="AD1127" s="294"/>
      <c r="AE1127" s="294"/>
      <c r="AF1127" s="294"/>
      <c r="AG1127" s="294"/>
    </row>
    <row r="1128" spans="2:33" x14ac:dyDescent="0.25">
      <c r="B1128" s="294"/>
      <c r="C1128" s="294"/>
      <c r="D1128" s="294"/>
      <c r="E1128" s="294"/>
      <c r="F1128" s="294"/>
      <c r="G1128" s="294"/>
      <c r="H1128" s="294"/>
      <c r="I1128" s="294"/>
      <c r="J1128" s="294"/>
      <c r="L1128" s="295"/>
      <c r="M1128" s="294"/>
      <c r="O1128" s="294"/>
      <c r="P1128" s="294"/>
      <c r="Q1128" s="294"/>
      <c r="R1128" s="294"/>
      <c r="S1128" s="294"/>
      <c r="T1128" s="294"/>
      <c r="U1128" s="294"/>
      <c r="V1128" s="294"/>
      <c r="W1128" s="294"/>
      <c r="X1128" s="294"/>
      <c r="Y1128" s="294"/>
      <c r="Z1128" s="294"/>
      <c r="AA1128" s="294"/>
      <c r="AB1128" s="294"/>
      <c r="AC1128" s="294"/>
      <c r="AD1128" s="294"/>
      <c r="AE1128" s="294"/>
      <c r="AF1128" s="294"/>
      <c r="AG1128" s="294"/>
    </row>
    <row r="1129" spans="2:33" x14ac:dyDescent="0.25">
      <c r="B1129" s="294"/>
      <c r="C1129" s="294"/>
      <c r="D1129" s="294"/>
      <c r="E1129" s="294"/>
      <c r="F1129" s="294"/>
      <c r="G1129" s="294"/>
      <c r="H1129" s="294"/>
      <c r="I1129" s="294"/>
      <c r="J1129" s="294"/>
      <c r="L1129" s="295"/>
      <c r="M1129" s="294"/>
      <c r="O1129" s="294"/>
      <c r="P1129" s="294"/>
      <c r="Q1129" s="294"/>
      <c r="R1129" s="294"/>
      <c r="S1129" s="294"/>
      <c r="T1129" s="294"/>
      <c r="U1129" s="294"/>
      <c r="V1129" s="294"/>
      <c r="W1129" s="294"/>
      <c r="X1129" s="294"/>
      <c r="Y1129" s="294"/>
      <c r="Z1129" s="294"/>
      <c r="AA1129" s="294"/>
      <c r="AB1129" s="294"/>
      <c r="AC1129" s="294"/>
      <c r="AD1129" s="294"/>
      <c r="AE1129" s="294"/>
      <c r="AF1129" s="294"/>
      <c r="AG1129" s="294"/>
    </row>
    <row r="1130" spans="2:33" x14ac:dyDescent="0.25">
      <c r="B1130" s="294"/>
      <c r="C1130" s="294"/>
      <c r="D1130" s="294"/>
      <c r="E1130" s="294"/>
      <c r="F1130" s="294"/>
      <c r="G1130" s="294"/>
      <c r="H1130" s="294"/>
      <c r="I1130" s="294"/>
      <c r="J1130" s="294"/>
      <c r="L1130" s="295"/>
      <c r="M1130" s="294"/>
      <c r="O1130" s="294"/>
      <c r="P1130" s="294"/>
      <c r="Q1130" s="294"/>
      <c r="R1130" s="294"/>
      <c r="S1130" s="294"/>
      <c r="T1130" s="294"/>
      <c r="U1130" s="294"/>
      <c r="V1130" s="294"/>
      <c r="W1130" s="294"/>
      <c r="X1130" s="294"/>
      <c r="Y1130" s="294"/>
      <c r="Z1130" s="294"/>
      <c r="AA1130" s="294"/>
      <c r="AB1130" s="294"/>
      <c r="AC1130" s="294"/>
      <c r="AD1130" s="294"/>
      <c r="AE1130" s="294"/>
      <c r="AF1130" s="294"/>
      <c r="AG1130" s="294"/>
    </row>
    <row r="1131" spans="2:33" x14ac:dyDescent="0.25">
      <c r="B1131" s="294"/>
      <c r="C1131" s="294"/>
      <c r="D1131" s="294"/>
      <c r="E1131" s="294"/>
      <c r="F1131" s="294"/>
      <c r="G1131" s="294"/>
      <c r="H1131" s="294"/>
      <c r="I1131" s="294"/>
      <c r="J1131" s="294"/>
      <c r="L1131" s="295"/>
      <c r="M1131" s="294"/>
      <c r="O1131" s="294"/>
      <c r="P1131" s="294"/>
      <c r="Q1131" s="294"/>
      <c r="R1131" s="294"/>
      <c r="S1131" s="294"/>
      <c r="T1131" s="294"/>
      <c r="U1131" s="294"/>
      <c r="V1131" s="294"/>
      <c r="W1131" s="294"/>
      <c r="X1131" s="294"/>
      <c r="Y1131" s="294"/>
      <c r="Z1131" s="294"/>
      <c r="AA1131" s="294"/>
      <c r="AB1131" s="294"/>
      <c r="AC1131" s="294"/>
      <c r="AD1131" s="294"/>
      <c r="AE1131" s="294"/>
      <c r="AF1131" s="294"/>
      <c r="AG1131" s="294"/>
    </row>
    <row r="1132" spans="2:33" x14ac:dyDescent="0.25">
      <c r="B1132" s="294"/>
      <c r="C1132" s="294"/>
      <c r="D1132" s="294"/>
      <c r="E1132" s="294"/>
      <c r="F1132" s="294"/>
      <c r="G1132" s="294"/>
      <c r="H1132" s="294"/>
      <c r="I1132" s="294"/>
      <c r="J1132" s="294"/>
      <c r="L1132" s="295"/>
      <c r="M1132" s="294"/>
      <c r="O1132" s="294"/>
      <c r="P1132" s="294"/>
      <c r="Q1132" s="294"/>
      <c r="R1132" s="294"/>
      <c r="S1132" s="294"/>
      <c r="T1132" s="294"/>
      <c r="U1132" s="294"/>
      <c r="V1132" s="294"/>
      <c r="W1132" s="294"/>
      <c r="X1132" s="294"/>
      <c r="Y1132" s="294"/>
      <c r="Z1132" s="294"/>
      <c r="AA1132" s="294"/>
      <c r="AB1132" s="294"/>
      <c r="AC1132" s="294"/>
      <c r="AD1132" s="294"/>
      <c r="AE1132" s="294"/>
      <c r="AF1132" s="294"/>
      <c r="AG1132" s="294"/>
    </row>
    <row r="1133" spans="2:33" x14ac:dyDescent="0.25">
      <c r="B1133" s="294"/>
      <c r="C1133" s="294"/>
      <c r="D1133" s="294"/>
      <c r="E1133" s="294"/>
      <c r="F1133" s="294"/>
      <c r="G1133" s="294"/>
      <c r="H1133" s="294"/>
      <c r="I1133" s="294"/>
      <c r="J1133" s="294"/>
      <c r="L1133" s="295"/>
      <c r="M1133" s="294"/>
      <c r="O1133" s="294"/>
      <c r="P1133" s="294"/>
      <c r="Q1133" s="294"/>
      <c r="R1133" s="294"/>
      <c r="S1133" s="294"/>
      <c r="T1133" s="294"/>
      <c r="U1133" s="294"/>
      <c r="V1133" s="294"/>
      <c r="W1133" s="294"/>
      <c r="X1133" s="294"/>
      <c r="Y1133" s="294"/>
      <c r="Z1133" s="294"/>
      <c r="AA1133" s="294"/>
      <c r="AB1133" s="294"/>
      <c r="AC1133" s="294"/>
      <c r="AD1133" s="294"/>
      <c r="AE1133" s="294"/>
      <c r="AF1133" s="294"/>
      <c r="AG1133" s="294"/>
    </row>
    <row r="1134" spans="2:33" x14ac:dyDescent="0.25">
      <c r="B1134" s="294"/>
      <c r="C1134" s="294"/>
      <c r="D1134" s="294"/>
      <c r="E1134" s="294"/>
      <c r="F1134" s="294"/>
      <c r="G1134" s="294"/>
      <c r="H1134" s="294"/>
      <c r="I1134" s="294"/>
      <c r="J1134" s="294"/>
      <c r="L1134" s="295"/>
      <c r="M1134" s="294"/>
      <c r="O1134" s="294"/>
      <c r="P1134" s="294"/>
      <c r="Q1134" s="294"/>
      <c r="R1134" s="294"/>
      <c r="S1134" s="294"/>
      <c r="T1134" s="294"/>
      <c r="U1134" s="294"/>
      <c r="V1134" s="294"/>
      <c r="W1134" s="294"/>
      <c r="X1134" s="294"/>
      <c r="Y1134" s="294"/>
      <c r="Z1134" s="294"/>
      <c r="AA1134" s="294"/>
      <c r="AB1134" s="294"/>
      <c r="AC1134" s="294"/>
      <c r="AD1134" s="294"/>
      <c r="AE1134" s="294"/>
      <c r="AF1134" s="294"/>
      <c r="AG1134" s="294"/>
    </row>
    <row r="1135" spans="2:33" x14ac:dyDescent="0.25">
      <c r="B1135" s="294"/>
      <c r="C1135" s="294"/>
      <c r="D1135" s="294"/>
      <c r="E1135" s="294"/>
      <c r="F1135" s="294"/>
      <c r="G1135" s="294"/>
      <c r="H1135" s="294"/>
      <c r="I1135" s="294"/>
      <c r="J1135" s="294"/>
      <c r="L1135" s="295"/>
      <c r="M1135" s="294"/>
      <c r="O1135" s="294"/>
      <c r="P1135" s="294"/>
      <c r="Q1135" s="294"/>
      <c r="R1135" s="294"/>
      <c r="S1135" s="294"/>
      <c r="T1135" s="294"/>
      <c r="U1135" s="294"/>
      <c r="V1135" s="294"/>
      <c r="W1135" s="294"/>
      <c r="X1135" s="294"/>
      <c r="Y1135" s="294"/>
      <c r="Z1135" s="294"/>
      <c r="AA1135" s="294"/>
      <c r="AB1135" s="294"/>
      <c r="AC1135" s="294"/>
      <c r="AD1135" s="294"/>
      <c r="AE1135" s="294"/>
      <c r="AF1135" s="294"/>
      <c r="AG1135" s="294"/>
    </row>
    <row r="1136" spans="2:33" x14ac:dyDescent="0.25">
      <c r="B1136" s="294"/>
      <c r="C1136" s="294"/>
      <c r="D1136" s="294"/>
      <c r="E1136" s="294"/>
      <c r="F1136" s="294"/>
      <c r="G1136" s="294"/>
      <c r="H1136" s="294"/>
      <c r="I1136" s="294"/>
      <c r="J1136" s="294"/>
      <c r="L1136" s="295"/>
      <c r="M1136" s="294"/>
      <c r="O1136" s="294"/>
      <c r="P1136" s="294"/>
      <c r="Q1136" s="294"/>
      <c r="R1136" s="294"/>
      <c r="S1136" s="294"/>
      <c r="T1136" s="294"/>
      <c r="U1136" s="294"/>
      <c r="V1136" s="294"/>
      <c r="W1136" s="294"/>
      <c r="X1136" s="294"/>
      <c r="Y1136" s="294"/>
      <c r="Z1136" s="294"/>
      <c r="AA1136" s="294"/>
      <c r="AB1136" s="294"/>
      <c r="AC1136" s="294"/>
      <c r="AD1136" s="294"/>
      <c r="AE1136" s="294"/>
      <c r="AF1136" s="294"/>
      <c r="AG1136" s="294"/>
    </row>
    <row r="1137" spans="2:33" x14ac:dyDescent="0.25">
      <c r="B1137" s="294"/>
      <c r="C1137" s="294"/>
      <c r="D1137" s="294"/>
      <c r="E1137" s="294"/>
      <c r="F1137" s="294"/>
      <c r="G1137" s="294"/>
      <c r="H1137" s="294"/>
      <c r="I1137" s="294"/>
      <c r="J1137" s="294"/>
      <c r="L1137" s="295"/>
      <c r="M1137" s="294"/>
      <c r="O1137" s="294"/>
      <c r="P1137" s="294"/>
      <c r="Q1137" s="294"/>
      <c r="R1137" s="294"/>
      <c r="S1137" s="294"/>
      <c r="T1137" s="294"/>
      <c r="U1137" s="294"/>
      <c r="V1137" s="294"/>
      <c r="W1137" s="294"/>
      <c r="X1137" s="294"/>
      <c r="Y1137" s="294"/>
      <c r="Z1137" s="294"/>
      <c r="AA1137" s="294"/>
      <c r="AB1137" s="294"/>
      <c r="AC1137" s="294"/>
      <c r="AD1137" s="294"/>
      <c r="AE1137" s="294"/>
      <c r="AF1137" s="294"/>
      <c r="AG1137" s="294"/>
    </row>
    <row r="1138" spans="2:33" x14ac:dyDescent="0.25">
      <c r="B1138" s="294"/>
      <c r="C1138" s="294"/>
      <c r="D1138" s="294"/>
      <c r="E1138" s="294"/>
      <c r="F1138" s="294"/>
      <c r="G1138" s="294"/>
      <c r="H1138" s="294"/>
      <c r="I1138" s="294"/>
      <c r="J1138" s="294"/>
      <c r="L1138" s="295"/>
      <c r="M1138" s="294"/>
      <c r="O1138" s="294"/>
      <c r="P1138" s="294"/>
      <c r="Q1138" s="294"/>
      <c r="R1138" s="294"/>
      <c r="S1138" s="294"/>
      <c r="T1138" s="294"/>
      <c r="U1138" s="294"/>
      <c r="V1138" s="294"/>
      <c r="W1138" s="294"/>
      <c r="X1138" s="294"/>
      <c r="Y1138" s="294"/>
      <c r="Z1138" s="294"/>
      <c r="AA1138" s="294"/>
      <c r="AB1138" s="294"/>
      <c r="AC1138" s="294"/>
      <c r="AD1138" s="294"/>
      <c r="AE1138" s="294"/>
      <c r="AF1138" s="294"/>
      <c r="AG1138" s="294"/>
    </row>
    <row r="1139" spans="2:33" x14ac:dyDescent="0.25">
      <c r="B1139" s="294"/>
      <c r="C1139" s="294"/>
      <c r="D1139" s="294"/>
      <c r="E1139" s="294"/>
      <c r="F1139" s="294"/>
      <c r="G1139" s="294"/>
      <c r="H1139" s="294"/>
      <c r="I1139" s="294"/>
      <c r="J1139" s="294"/>
      <c r="L1139" s="295"/>
      <c r="M1139" s="294"/>
      <c r="O1139" s="294"/>
      <c r="P1139" s="294"/>
      <c r="Q1139" s="294"/>
      <c r="R1139" s="294"/>
      <c r="S1139" s="294"/>
      <c r="T1139" s="294"/>
      <c r="U1139" s="294"/>
      <c r="V1139" s="294"/>
      <c r="W1139" s="294"/>
      <c r="X1139" s="294"/>
      <c r="Y1139" s="294"/>
      <c r="Z1139" s="294"/>
      <c r="AA1139" s="294"/>
      <c r="AB1139" s="294"/>
      <c r="AC1139" s="294"/>
      <c r="AD1139" s="294"/>
      <c r="AE1139" s="294"/>
      <c r="AF1139" s="294"/>
      <c r="AG1139" s="294"/>
    </row>
    <row r="1140" spans="2:33" x14ac:dyDescent="0.25">
      <c r="B1140" s="294"/>
      <c r="C1140" s="294"/>
      <c r="D1140" s="294"/>
      <c r="E1140" s="294"/>
      <c r="F1140" s="294"/>
      <c r="G1140" s="294"/>
      <c r="H1140" s="294"/>
      <c r="I1140" s="294"/>
      <c r="J1140" s="294"/>
      <c r="L1140" s="295"/>
      <c r="M1140" s="294"/>
      <c r="O1140" s="294"/>
      <c r="P1140" s="294"/>
      <c r="Q1140" s="294"/>
      <c r="R1140" s="294"/>
      <c r="S1140" s="294"/>
      <c r="T1140" s="294"/>
      <c r="U1140" s="294"/>
      <c r="V1140" s="294"/>
      <c r="W1140" s="294"/>
      <c r="X1140" s="294"/>
      <c r="Y1140" s="294"/>
      <c r="Z1140" s="294"/>
      <c r="AA1140" s="294"/>
      <c r="AB1140" s="294"/>
      <c r="AC1140" s="294"/>
      <c r="AD1140" s="294"/>
      <c r="AE1140" s="294"/>
      <c r="AF1140" s="294"/>
      <c r="AG1140" s="294"/>
    </row>
    <row r="1141" spans="2:33" x14ac:dyDescent="0.25">
      <c r="B1141" s="294"/>
      <c r="C1141" s="294"/>
      <c r="D1141" s="294"/>
      <c r="E1141" s="294"/>
      <c r="F1141" s="294"/>
      <c r="G1141" s="294"/>
      <c r="H1141" s="294"/>
      <c r="I1141" s="294"/>
      <c r="J1141" s="294"/>
      <c r="L1141" s="295"/>
      <c r="M1141" s="294"/>
      <c r="O1141" s="294"/>
      <c r="P1141" s="294"/>
      <c r="Q1141" s="294"/>
      <c r="R1141" s="294"/>
      <c r="S1141" s="294"/>
      <c r="T1141" s="294"/>
      <c r="U1141" s="294"/>
      <c r="V1141" s="294"/>
      <c r="W1141" s="294"/>
      <c r="X1141" s="294"/>
      <c r="Y1141" s="294"/>
      <c r="Z1141" s="294"/>
      <c r="AA1141" s="294"/>
      <c r="AB1141" s="294"/>
      <c r="AC1141" s="294"/>
      <c r="AD1141" s="294"/>
      <c r="AE1141" s="294"/>
      <c r="AF1141" s="294"/>
      <c r="AG1141" s="294"/>
    </row>
    <row r="1142" spans="2:33" x14ac:dyDescent="0.25">
      <c r="B1142" s="294"/>
      <c r="C1142" s="294"/>
      <c r="D1142" s="294"/>
      <c r="E1142" s="294"/>
      <c r="F1142" s="294"/>
      <c r="G1142" s="294"/>
      <c r="H1142" s="294"/>
      <c r="I1142" s="294"/>
      <c r="J1142" s="294"/>
      <c r="L1142" s="295"/>
      <c r="M1142" s="294"/>
      <c r="O1142" s="294"/>
      <c r="P1142" s="294"/>
      <c r="Q1142" s="294"/>
      <c r="R1142" s="294"/>
      <c r="S1142" s="294"/>
      <c r="T1142" s="294"/>
      <c r="U1142" s="294"/>
      <c r="V1142" s="294"/>
      <c r="W1142" s="294"/>
      <c r="X1142" s="294"/>
      <c r="Y1142" s="294"/>
      <c r="Z1142" s="294"/>
      <c r="AA1142" s="294"/>
      <c r="AB1142" s="294"/>
      <c r="AC1142" s="294"/>
      <c r="AD1142" s="294"/>
      <c r="AE1142" s="294"/>
      <c r="AF1142" s="294"/>
      <c r="AG1142" s="294"/>
    </row>
    <row r="1143" spans="2:33" x14ac:dyDescent="0.25">
      <c r="B1143" s="294"/>
      <c r="C1143" s="294"/>
      <c r="D1143" s="294"/>
      <c r="E1143" s="294"/>
      <c r="F1143" s="294"/>
      <c r="G1143" s="294"/>
      <c r="H1143" s="294"/>
      <c r="I1143" s="294"/>
      <c r="J1143" s="294"/>
      <c r="L1143" s="295"/>
      <c r="M1143" s="294"/>
      <c r="O1143" s="294"/>
      <c r="P1143" s="294"/>
      <c r="Q1143" s="294"/>
      <c r="R1143" s="294"/>
      <c r="S1143" s="294"/>
      <c r="T1143" s="294"/>
      <c r="U1143" s="294"/>
      <c r="V1143" s="294"/>
      <c r="W1143" s="294"/>
      <c r="X1143" s="294"/>
      <c r="Y1143" s="294"/>
      <c r="Z1143" s="294"/>
      <c r="AA1143" s="294"/>
      <c r="AB1143" s="294"/>
      <c r="AC1143" s="294"/>
      <c r="AD1143" s="294"/>
      <c r="AE1143" s="294"/>
      <c r="AF1143" s="294"/>
      <c r="AG1143" s="294"/>
    </row>
    <row r="1144" spans="2:33" x14ac:dyDescent="0.25">
      <c r="B1144" s="294"/>
      <c r="C1144" s="294"/>
      <c r="D1144" s="294"/>
      <c r="E1144" s="294"/>
      <c r="F1144" s="294"/>
      <c r="G1144" s="294"/>
      <c r="H1144" s="294"/>
      <c r="I1144" s="294"/>
      <c r="J1144" s="294"/>
      <c r="L1144" s="295"/>
      <c r="M1144" s="294"/>
      <c r="O1144" s="294"/>
      <c r="P1144" s="294"/>
      <c r="Q1144" s="294"/>
      <c r="R1144" s="294"/>
      <c r="S1144" s="294"/>
      <c r="T1144" s="294"/>
      <c r="U1144" s="294"/>
      <c r="V1144" s="294"/>
      <c r="W1144" s="294"/>
      <c r="X1144" s="294"/>
      <c r="Y1144" s="294"/>
      <c r="Z1144" s="294"/>
      <c r="AA1144" s="294"/>
      <c r="AB1144" s="294"/>
      <c r="AC1144" s="294"/>
      <c r="AD1144" s="294"/>
      <c r="AE1144" s="294"/>
      <c r="AF1144" s="294"/>
      <c r="AG1144" s="294"/>
    </row>
    <row r="1145" spans="2:33" x14ac:dyDescent="0.25">
      <c r="B1145" s="294"/>
      <c r="C1145" s="294"/>
      <c r="D1145" s="294"/>
      <c r="E1145" s="294"/>
      <c r="F1145" s="294"/>
      <c r="G1145" s="294"/>
      <c r="H1145" s="294"/>
      <c r="I1145" s="294"/>
      <c r="J1145" s="294"/>
      <c r="L1145" s="295"/>
      <c r="M1145" s="294"/>
      <c r="O1145" s="294"/>
      <c r="P1145" s="294"/>
      <c r="Q1145" s="294"/>
      <c r="R1145" s="294"/>
      <c r="S1145" s="294"/>
      <c r="T1145" s="294"/>
      <c r="U1145" s="294"/>
      <c r="V1145" s="294"/>
      <c r="W1145" s="294"/>
      <c r="X1145" s="294"/>
      <c r="Y1145" s="294"/>
      <c r="Z1145" s="294"/>
      <c r="AA1145" s="294"/>
      <c r="AB1145" s="294"/>
      <c r="AC1145" s="294"/>
      <c r="AD1145" s="294"/>
      <c r="AE1145" s="294"/>
      <c r="AF1145" s="294"/>
      <c r="AG1145" s="294"/>
    </row>
    <row r="1146" spans="2:33" x14ac:dyDescent="0.25">
      <c r="B1146" s="294"/>
      <c r="C1146" s="294"/>
      <c r="D1146" s="294"/>
      <c r="E1146" s="294"/>
      <c r="F1146" s="294"/>
      <c r="G1146" s="294"/>
      <c r="H1146" s="294"/>
      <c r="I1146" s="294"/>
      <c r="J1146" s="294"/>
      <c r="L1146" s="295"/>
      <c r="M1146" s="294"/>
      <c r="O1146" s="294"/>
      <c r="P1146" s="294"/>
      <c r="Q1146" s="294"/>
      <c r="R1146" s="294"/>
      <c r="S1146" s="294"/>
      <c r="T1146" s="294"/>
      <c r="U1146" s="294"/>
      <c r="V1146" s="294"/>
      <c r="W1146" s="294"/>
      <c r="X1146" s="294"/>
      <c r="Y1146" s="294"/>
      <c r="Z1146" s="294"/>
      <c r="AA1146" s="294"/>
      <c r="AB1146" s="294"/>
      <c r="AC1146" s="294"/>
      <c r="AD1146" s="294"/>
      <c r="AE1146" s="294"/>
      <c r="AF1146" s="294"/>
      <c r="AG1146" s="294"/>
    </row>
    <row r="1147" spans="2:33" x14ac:dyDescent="0.25">
      <c r="B1147" s="294"/>
      <c r="C1147" s="294"/>
      <c r="D1147" s="294"/>
      <c r="E1147" s="294"/>
      <c r="F1147" s="294"/>
      <c r="G1147" s="294"/>
      <c r="H1147" s="294"/>
      <c r="I1147" s="294"/>
      <c r="J1147" s="294"/>
      <c r="L1147" s="295"/>
      <c r="M1147" s="294"/>
      <c r="O1147" s="294"/>
      <c r="P1147" s="294"/>
      <c r="Q1147" s="294"/>
      <c r="R1147" s="294"/>
      <c r="S1147" s="294"/>
      <c r="T1147" s="294"/>
      <c r="U1147" s="294"/>
      <c r="V1147" s="294"/>
      <c r="W1147" s="294"/>
      <c r="X1147" s="294"/>
      <c r="Y1147" s="294"/>
      <c r="Z1147" s="294"/>
      <c r="AA1147" s="294"/>
      <c r="AB1147" s="294"/>
      <c r="AC1147" s="294"/>
      <c r="AD1147" s="294"/>
      <c r="AE1147" s="294"/>
      <c r="AF1147" s="294"/>
      <c r="AG1147" s="294"/>
    </row>
    <row r="1148" spans="2:33" x14ac:dyDescent="0.25">
      <c r="B1148" s="294"/>
      <c r="C1148" s="294"/>
      <c r="D1148" s="294"/>
      <c r="E1148" s="294"/>
      <c r="F1148" s="294"/>
      <c r="G1148" s="294"/>
      <c r="H1148" s="294"/>
      <c r="I1148" s="294"/>
      <c r="J1148" s="294"/>
      <c r="L1148" s="295"/>
      <c r="M1148" s="294"/>
      <c r="O1148" s="294"/>
      <c r="P1148" s="294"/>
      <c r="Q1148" s="294"/>
      <c r="R1148" s="294"/>
      <c r="S1148" s="294"/>
      <c r="T1148" s="294"/>
      <c r="U1148" s="294"/>
      <c r="V1148" s="294"/>
      <c r="W1148" s="294"/>
      <c r="X1148" s="294"/>
      <c r="Y1148" s="294"/>
      <c r="Z1148" s="294"/>
      <c r="AA1148" s="294"/>
      <c r="AB1148" s="294"/>
      <c r="AC1148" s="294"/>
      <c r="AD1148" s="294"/>
      <c r="AE1148" s="294"/>
      <c r="AF1148" s="294"/>
      <c r="AG1148" s="294"/>
    </row>
    <row r="1149" spans="2:33" x14ac:dyDescent="0.25">
      <c r="B1149" s="294"/>
      <c r="C1149" s="294"/>
      <c r="D1149" s="294"/>
      <c r="E1149" s="294"/>
      <c r="F1149" s="294"/>
      <c r="G1149" s="294"/>
      <c r="H1149" s="294"/>
      <c r="I1149" s="294"/>
      <c r="J1149" s="294"/>
      <c r="L1149" s="295"/>
      <c r="M1149" s="294"/>
      <c r="O1149" s="294"/>
      <c r="P1149" s="294"/>
      <c r="Q1149" s="294"/>
      <c r="R1149" s="294"/>
      <c r="S1149" s="294"/>
      <c r="T1149" s="294"/>
      <c r="U1149" s="294"/>
      <c r="V1149" s="294"/>
      <c r="W1149" s="294"/>
      <c r="X1149" s="294"/>
      <c r="Y1149" s="294"/>
      <c r="Z1149" s="294"/>
      <c r="AA1149" s="294"/>
      <c r="AB1149" s="294"/>
      <c r="AC1149" s="294"/>
      <c r="AD1149" s="294"/>
      <c r="AE1149" s="294"/>
      <c r="AF1149" s="294"/>
      <c r="AG1149" s="294"/>
    </row>
    <row r="1150" spans="2:33" x14ac:dyDescent="0.25">
      <c r="B1150" s="294"/>
      <c r="C1150" s="294"/>
      <c r="D1150" s="294"/>
      <c r="E1150" s="294"/>
      <c r="F1150" s="294"/>
      <c r="G1150" s="294"/>
      <c r="H1150" s="294"/>
      <c r="I1150" s="294"/>
      <c r="J1150" s="294"/>
      <c r="L1150" s="295"/>
      <c r="M1150" s="294"/>
      <c r="O1150" s="294"/>
      <c r="P1150" s="294"/>
      <c r="Q1150" s="294"/>
      <c r="R1150" s="294"/>
      <c r="S1150" s="294"/>
      <c r="T1150" s="294"/>
      <c r="U1150" s="294"/>
      <c r="V1150" s="294"/>
      <c r="W1150" s="294"/>
      <c r="X1150" s="294"/>
      <c r="Y1150" s="294"/>
      <c r="Z1150" s="294"/>
      <c r="AA1150" s="294"/>
      <c r="AB1150" s="294"/>
      <c r="AC1150" s="294"/>
      <c r="AD1150" s="294"/>
      <c r="AE1150" s="294"/>
      <c r="AF1150" s="294"/>
      <c r="AG1150" s="294"/>
    </row>
    <row r="1151" spans="2:33" x14ac:dyDescent="0.25">
      <c r="B1151" s="294"/>
      <c r="C1151" s="294"/>
      <c r="D1151" s="294"/>
      <c r="E1151" s="294"/>
      <c r="F1151" s="294"/>
      <c r="G1151" s="294"/>
      <c r="H1151" s="294"/>
      <c r="I1151" s="294"/>
      <c r="J1151" s="294"/>
      <c r="L1151" s="295"/>
      <c r="M1151" s="294"/>
      <c r="O1151" s="294"/>
      <c r="P1151" s="294"/>
      <c r="Q1151" s="294"/>
      <c r="R1151" s="294"/>
      <c r="S1151" s="294"/>
      <c r="T1151" s="294"/>
      <c r="U1151" s="294"/>
      <c r="V1151" s="294"/>
      <c r="W1151" s="294"/>
      <c r="X1151" s="294"/>
      <c r="Y1151" s="294"/>
      <c r="Z1151" s="294"/>
      <c r="AA1151" s="294"/>
      <c r="AB1151" s="294"/>
      <c r="AC1151" s="294"/>
      <c r="AD1151" s="294"/>
      <c r="AE1151" s="294"/>
      <c r="AF1151" s="294"/>
      <c r="AG1151" s="294"/>
    </row>
    <row r="1152" spans="2:33" x14ac:dyDescent="0.25">
      <c r="B1152" s="294"/>
      <c r="C1152" s="294"/>
      <c r="D1152" s="294"/>
      <c r="E1152" s="294"/>
      <c r="F1152" s="294"/>
      <c r="G1152" s="294"/>
      <c r="H1152" s="294"/>
      <c r="I1152" s="294"/>
      <c r="J1152" s="294"/>
      <c r="L1152" s="295"/>
      <c r="M1152" s="294"/>
      <c r="O1152" s="294"/>
      <c r="P1152" s="294"/>
      <c r="Q1152" s="294"/>
      <c r="R1152" s="294"/>
      <c r="S1152" s="294"/>
      <c r="T1152" s="294"/>
      <c r="U1152" s="294"/>
      <c r="V1152" s="294"/>
      <c r="W1152" s="294"/>
      <c r="X1152" s="294"/>
      <c r="Y1152" s="294"/>
      <c r="Z1152" s="294"/>
      <c r="AA1152" s="294"/>
      <c r="AB1152" s="294"/>
      <c r="AC1152" s="294"/>
      <c r="AD1152" s="294"/>
      <c r="AE1152" s="294"/>
      <c r="AF1152" s="294"/>
      <c r="AG1152" s="294"/>
    </row>
    <row r="1153" spans="2:33" x14ac:dyDescent="0.25">
      <c r="B1153" s="294"/>
      <c r="C1153" s="294"/>
      <c r="D1153" s="294"/>
      <c r="E1153" s="294"/>
      <c r="F1153" s="294"/>
      <c r="G1153" s="294"/>
      <c r="H1153" s="294"/>
      <c r="I1153" s="294"/>
      <c r="J1153" s="294"/>
      <c r="L1153" s="295"/>
      <c r="M1153" s="294"/>
      <c r="O1153" s="294"/>
      <c r="P1153" s="294"/>
      <c r="Q1153" s="294"/>
      <c r="R1153" s="294"/>
      <c r="S1153" s="294"/>
      <c r="T1153" s="294"/>
      <c r="U1153" s="294"/>
      <c r="V1153" s="294"/>
      <c r="W1153" s="294"/>
      <c r="X1153" s="294"/>
      <c r="Y1153" s="294"/>
      <c r="Z1153" s="294"/>
      <c r="AA1153" s="294"/>
      <c r="AB1153" s="294"/>
      <c r="AC1153" s="294"/>
      <c r="AD1153" s="294"/>
      <c r="AE1153" s="294"/>
      <c r="AF1153" s="294"/>
      <c r="AG1153" s="294"/>
    </row>
    <row r="1154" spans="2:33" x14ac:dyDescent="0.25">
      <c r="B1154" s="294"/>
      <c r="C1154" s="294"/>
      <c r="D1154" s="294"/>
      <c r="E1154" s="294"/>
      <c r="F1154" s="294"/>
      <c r="G1154" s="294"/>
      <c r="H1154" s="294"/>
      <c r="I1154" s="294"/>
      <c r="J1154" s="294"/>
      <c r="L1154" s="295"/>
      <c r="M1154" s="294"/>
      <c r="O1154" s="294"/>
      <c r="P1154" s="294"/>
      <c r="Q1154" s="294"/>
      <c r="R1154" s="294"/>
      <c r="S1154" s="294"/>
      <c r="T1154" s="294"/>
      <c r="U1154" s="294"/>
      <c r="V1154" s="294"/>
      <c r="W1154" s="294"/>
      <c r="X1154" s="294"/>
      <c r="Y1154" s="294"/>
      <c r="Z1154" s="294"/>
      <c r="AA1154" s="294"/>
      <c r="AB1154" s="294"/>
      <c r="AC1154" s="294"/>
      <c r="AD1154" s="294"/>
      <c r="AE1154" s="294"/>
      <c r="AF1154" s="294"/>
      <c r="AG1154" s="294"/>
    </row>
    <row r="1155" spans="2:33" x14ac:dyDescent="0.25">
      <c r="B1155" s="294"/>
      <c r="C1155" s="294"/>
      <c r="D1155" s="294"/>
      <c r="E1155" s="294"/>
      <c r="F1155" s="294"/>
      <c r="G1155" s="294"/>
      <c r="H1155" s="294"/>
      <c r="I1155" s="294"/>
      <c r="J1155" s="294"/>
      <c r="L1155" s="295"/>
      <c r="M1155" s="294"/>
      <c r="O1155" s="294"/>
      <c r="P1155" s="294"/>
      <c r="Q1155" s="294"/>
      <c r="R1155" s="294"/>
      <c r="S1155" s="294"/>
      <c r="T1155" s="294"/>
      <c r="U1155" s="294"/>
      <c r="V1155" s="294"/>
      <c r="W1155" s="294"/>
      <c r="X1155" s="294"/>
      <c r="Y1155" s="294"/>
      <c r="Z1155" s="294"/>
      <c r="AA1155" s="294"/>
      <c r="AB1155" s="294"/>
      <c r="AC1155" s="294"/>
      <c r="AD1155" s="294"/>
      <c r="AE1155" s="294"/>
      <c r="AF1155" s="294"/>
      <c r="AG1155" s="294"/>
    </row>
    <row r="1156" spans="2:33" x14ac:dyDescent="0.25">
      <c r="B1156" s="294"/>
      <c r="C1156" s="294"/>
      <c r="D1156" s="294"/>
      <c r="E1156" s="294"/>
      <c r="F1156" s="294"/>
      <c r="G1156" s="294"/>
      <c r="H1156" s="294"/>
      <c r="I1156" s="294"/>
      <c r="J1156" s="294"/>
      <c r="L1156" s="295"/>
      <c r="M1156" s="294"/>
      <c r="O1156" s="294"/>
      <c r="P1156" s="294"/>
      <c r="Q1156" s="294"/>
      <c r="R1156" s="294"/>
      <c r="S1156" s="294"/>
      <c r="T1156" s="294"/>
      <c r="U1156" s="294"/>
      <c r="V1156" s="294"/>
      <c r="W1156" s="294"/>
      <c r="X1156" s="294"/>
      <c r="Y1156" s="294"/>
      <c r="Z1156" s="294"/>
      <c r="AA1156" s="294"/>
      <c r="AB1156" s="294"/>
      <c r="AC1156" s="294"/>
      <c r="AD1156" s="294"/>
      <c r="AE1156" s="294"/>
      <c r="AF1156" s="294"/>
      <c r="AG1156" s="294"/>
    </row>
    <row r="1157" spans="2:33" x14ac:dyDescent="0.25">
      <c r="B1157" s="294"/>
      <c r="C1157" s="294"/>
      <c r="D1157" s="294"/>
      <c r="E1157" s="294"/>
      <c r="F1157" s="294"/>
      <c r="G1157" s="294"/>
      <c r="H1157" s="294"/>
      <c r="I1157" s="294"/>
      <c r="J1157" s="294"/>
      <c r="L1157" s="295"/>
      <c r="M1157" s="294"/>
      <c r="O1157" s="294"/>
      <c r="P1157" s="294"/>
      <c r="Q1157" s="294"/>
      <c r="R1157" s="294"/>
      <c r="S1157" s="294"/>
      <c r="T1157" s="294"/>
      <c r="U1157" s="294"/>
      <c r="V1157" s="294"/>
      <c r="W1157" s="294"/>
      <c r="X1157" s="294"/>
      <c r="Y1157" s="294"/>
      <c r="Z1157" s="294"/>
      <c r="AA1157" s="294"/>
      <c r="AB1157" s="294"/>
      <c r="AC1157" s="294"/>
      <c r="AD1157" s="294"/>
      <c r="AE1157" s="294"/>
      <c r="AF1157" s="294"/>
      <c r="AG1157" s="294"/>
    </row>
    <row r="1158" spans="2:33" x14ac:dyDescent="0.25">
      <c r="B1158" s="294"/>
      <c r="C1158" s="294"/>
      <c r="D1158" s="294"/>
      <c r="E1158" s="294"/>
      <c r="F1158" s="294"/>
      <c r="G1158" s="294"/>
      <c r="H1158" s="294"/>
      <c r="I1158" s="294"/>
      <c r="J1158" s="294"/>
      <c r="L1158" s="295"/>
      <c r="M1158" s="294"/>
      <c r="O1158" s="294"/>
      <c r="P1158" s="294"/>
      <c r="Q1158" s="294"/>
      <c r="R1158" s="294"/>
      <c r="S1158" s="294"/>
      <c r="T1158" s="294"/>
      <c r="U1158" s="294"/>
      <c r="V1158" s="294"/>
      <c r="W1158" s="294"/>
      <c r="X1158" s="294"/>
      <c r="Y1158" s="294"/>
      <c r="Z1158" s="294"/>
      <c r="AA1158" s="294"/>
      <c r="AB1158" s="294"/>
      <c r="AC1158" s="294"/>
      <c r="AD1158" s="294"/>
      <c r="AE1158" s="294"/>
      <c r="AF1158" s="294"/>
      <c r="AG1158" s="294"/>
    </row>
    <row r="1159" spans="2:33" x14ac:dyDescent="0.25">
      <c r="B1159" s="294"/>
      <c r="C1159" s="294"/>
      <c r="D1159" s="294"/>
      <c r="E1159" s="294"/>
      <c r="F1159" s="294"/>
      <c r="G1159" s="294"/>
      <c r="H1159" s="294"/>
      <c r="I1159" s="294"/>
      <c r="J1159" s="294"/>
      <c r="L1159" s="295"/>
      <c r="M1159" s="294"/>
      <c r="O1159" s="294"/>
      <c r="P1159" s="294"/>
      <c r="Q1159" s="294"/>
      <c r="R1159" s="294"/>
      <c r="S1159" s="294"/>
      <c r="T1159" s="294"/>
      <c r="U1159" s="294"/>
      <c r="V1159" s="294"/>
      <c r="W1159" s="294"/>
      <c r="X1159" s="294"/>
      <c r="Y1159" s="294"/>
      <c r="Z1159" s="294"/>
      <c r="AA1159" s="294"/>
      <c r="AB1159" s="294"/>
      <c r="AC1159" s="294"/>
      <c r="AD1159" s="294"/>
      <c r="AE1159" s="294"/>
      <c r="AF1159" s="294"/>
      <c r="AG1159" s="294"/>
    </row>
    <row r="1160" spans="2:33" x14ac:dyDescent="0.25">
      <c r="B1160" s="294"/>
      <c r="C1160" s="294"/>
      <c r="D1160" s="294"/>
      <c r="E1160" s="294"/>
      <c r="F1160" s="294"/>
      <c r="G1160" s="294"/>
      <c r="H1160" s="294"/>
      <c r="I1160" s="294"/>
      <c r="J1160" s="294"/>
      <c r="L1160" s="295"/>
      <c r="M1160" s="294"/>
      <c r="O1160" s="294"/>
      <c r="P1160" s="294"/>
      <c r="Q1160" s="294"/>
      <c r="R1160" s="294"/>
      <c r="S1160" s="294"/>
      <c r="T1160" s="294"/>
      <c r="U1160" s="294"/>
      <c r="V1160" s="294"/>
      <c r="W1160" s="294"/>
      <c r="X1160" s="294"/>
      <c r="Y1160" s="294"/>
      <c r="Z1160" s="294"/>
      <c r="AA1160" s="294"/>
      <c r="AB1160" s="294"/>
      <c r="AC1160" s="294"/>
      <c r="AD1160" s="294"/>
      <c r="AE1160" s="294"/>
      <c r="AF1160" s="294"/>
      <c r="AG1160" s="294"/>
    </row>
    <row r="1161" spans="2:33" x14ac:dyDescent="0.25">
      <c r="B1161" s="294"/>
      <c r="C1161" s="294"/>
      <c r="D1161" s="294"/>
      <c r="E1161" s="294"/>
      <c r="F1161" s="294"/>
      <c r="G1161" s="294"/>
      <c r="H1161" s="294"/>
      <c r="I1161" s="294"/>
      <c r="J1161" s="294"/>
      <c r="L1161" s="295"/>
      <c r="M1161" s="294"/>
      <c r="O1161" s="294"/>
      <c r="P1161" s="294"/>
      <c r="Q1161" s="294"/>
      <c r="R1161" s="294"/>
      <c r="S1161" s="294"/>
      <c r="T1161" s="294"/>
      <c r="U1161" s="294"/>
      <c r="V1161" s="294"/>
      <c r="W1161" s="294"/>
      <c r="X1161" s="294"/>
      <c r="Y1161" s="294"/>
      <c r="Z1161" s="294"/>
      <c r="AA1161" s="294"/>
      <c r="AB1161" s="294"/>
      <c r="AC1161" s="294"/>
      <c r="AD1161" s="294"/>
      <c r="AE1161" s="294"/>
      <c r="AF1161" s="294"/>
      <c r="AG1161" s="294"/>
    </row>
    <row r="1162" spans="2:33" x14ac:dyDescent="0.25">
      <c r="B1162" s="294"/>
      <c r="C1162" s="294"/>
      <c r="D1162" s="294"/>
      <c r="E1162" s="294"/>
      <c r="F1162" s="294"/>
      <c r="G1162" s="294"/>
      <c r="H1162" s="294"/>
      <c r="I1162" s="294"/>
      <c r="J1162" s="294"/>
      <c r="L1162" s="295"/>
      <c r="M1162" s="294"/>
      <c r="O1162" s="294"/>
      <c r="P1162" s="294"/>
      <c r="Q1162" s="294"/>
      <c r="R1162" s="294"/>
      <c r="S1162" s="294"/>
      <c r="T1162" s="294"/>
      <c r="U1162" s="294"/>
      <c r="V1162" s="294"/>
      <c r="W1162" s="294"/>
      <c r="X1162" s="294"/>
      <c r="Y1162" s="294"/>
      <c r="Z1162" s="294"/>
      <c r="AA1162" s="294"/>
      <c r="AB1162" s="294"/>
      <c r="AC1162" s="294"/>
      <c r="AD1162" s="294"/>
      <c r="AE1162" s="294"/>
      <c r="AF1162" s="294"/>
      <c r="AG1162" s="294"/>
    </row>
    <row r="1163" spans="2:33" x14ac:dyDescent="0.25">
      <c r="B1163" s="294"/>
      <c r="C1163" s="294"/>
      <c r="D1163" s="294"/>
      <c r="E1163" s="294"/>
      <c r="F1163" s="294"/>
      <c r="G1163" s="294"/>
      <c r="H1163" s="294"/>
      <c r="I1163" s="294"/>
      <c r="J1163" s="294"/>
      <c r="L1163" s="295"/>
      <c r="M1163" s="294"/>
      <c r="O1163" s="294"/>
      <c r="P1163" s="294"/>
      <c r="Q1163" s="294"/>
      <c r="R1163" s="294"/>
      <c r="S1163" s="294"/>
      <c r="T1163" s="294"/>
      <c r="U1163" s="294"/>
      <c r="V1163" s="294"/>
      <c r="W1163" s="294"/>
      <c r="X1163" s="294"/>
      <c r="Y1163" s="294"/>
      <c r="Z1163" s="294"/>
      <c r="AA1163" s="294"/>
      <c r="AB1163" s="294"/>
      <c r="AC1163" s="294"/>
      <c r="AD1163" s="294"/>
      <c r="AE1163" s="294"/>
      <c r="AF1163" s="294"/>
      <c r="AG1163" s="294"/>
    </row>
    <row r="1164" spans="2:33" x14ac:dyDescent="0.25">
      <c r="B1164" s="294"/>
      <c r="C1164" s="294"/>
      <c r="D1164" s="294"/>
      <c r="E1164" s="294"/>
      <c r="F1164" s="294"/>
      <c r="G1164" s="294"/>
      <c r="H1164" s="294"/>
      <c r="I1164" s="294"/>
      <c r="J1164" s="294"/>
      <c r="L1164" s="295"/>
      <c r="M1164" s="294"/>
      <c r="O1164" s="294"/>
      <c r="P1164" s="294"/>
      <c r="Q1164" s="294"/>
      <c r="R1164" s="294"/>
      <c r="S1164" s="294"/>
      <c r="T1164" s="294"/>
      <c r="U1164" s="294"/>
      <c r="V1164" s="294"/>
      <c r="W1164" s="294"/>
      <c r="X1164" s="294"/>
      <c r="Y1164" s="294"/>
      <c r="Z1164" s="294"/>
      <c r="AA1164" s="294"/>
      <c r="AB1164" s="294"/>
      <c r="AC1164" s="294"/>
      <c r="AD1164" s="294"/>
      <c r="AE1164" s="294"/>
      <c r="AF1164" s="294"/>
      <c r="AG1164" s="294"/>
    </row>
    <row r="1165" spans="2:33" x14ac:dyDescent="0.25">
      <c r="B1165" s="294"/>
      <c r="C1165" s="294"/>
      <c r="D1165" s="294"/>
      <c r="E1165" s="294"/>
      <c r="F1165" s="294"/>
      <c r="G1165" s="294"/>
      <c r="H1165" s="294"/>
      <c r="I1165" s="294"/>
      <c r="J1165" s="294"/>
      <c r="L1165" s="295"/>
      <c r="M1165" s="294"/>
      <c r="O1165" s="294"/>
      <c r="P1165" s="294"/>
      <c r="Q1165" s="294"/>
      <c r="R1165" s="294"/>
      <c r="S1165" s="294"/>
      <c r="T1165" s="294"/>
      <c r="U1165" s="294"/>
      <c r="V1165" s="294"/>
      <c r="W1165" s="294"/>
      <c r="X1165" s="294"/>
      <c r="Y1165" s="294"/>
      <c r="Z1165" s="294"/>
      <c r="AA1165" s="294"/>
      <c r="AB1165" s="294"/>
      <c r="AC1165" s="294"/>
      <c r="AD1165" s="294"/>
      <c r="AE1165" s="294"/>
      <c r="AF1165" s="294"/>
      <c r="AG1165" s="294"/>
    </row>
    <row r="1166" spans="2:33" x14ac:dyDescent="0.25">
      <c r="B1166" s="294"/>
      <c r="C1166" s="294"/>
      <c r="D1166" s="294"/>
      <c r="E1166" s="294"/>
      <c r="F1166" s="294"/>
      <c r="G1166" s="294"/>
      <c r="H1166" s="294"/>
      <c r="I1166" s="294"/>
      <c r="J1166" s="294"/>
      <c r="L1166" s="295"/>
      <c r="M1166" s="294"/>
      <c r="O1166" s="294"/>
      <c r="P1166" s="294"/>
      <c r="Q1166" s="294"/>
      <c r="R1166" s="294"/>
      <c r="S1166" s="294"/>
      <c r="T1166" s="294"/>
      <c r="U1166" s="294"/>
      <c r="V1166" s="294"/>
      <c r="W1166" s="294"/>
      <c r="X1166" s="294"/>
      <c r="Y1166" s="294"/>
      <c r="Z1166" s="294"/>
      <c r="AA1166" s="294"/>
      <c r="AB1166" s="294"/>
      <c r="AC1166" s="294"/>
      <c r="AD1166" s="294"/>
      <c r="AE1166" s="294"/>
      <c r="AF1166" s="294"/>
      <c r="AG1166" s="294"/>
    </row>
    <row r="1167" spans="2:33" x14ac:dyDescent="0.25">
      <c r="B1167" s="294"/>
      <c r="C1167" s="294"/>
      <c r="D1167" s="294"/>
      <c r="E1167" s="294"/>
      <c r="F1167" s="294"/>
      <c r="G1167" s="294"/>
      <c r="H1167" s="294"/>
      <c r="I1167" s="294"/>
      <c r="J1167" s="294"/>
      <c r="L1167" s="295"/>
      <c r="M1167" s="294"/>
      <c r="O1167" s="294"/>
      <c r="P1167" s="294"/>
      <c r="Q1167" s="294"/>
      <c r="R1167" s="294"/>
      <c r="S1167" s="294"/>
      <c r="T1167" s="294"/>
      <c r="U1167" s="294"/>
      <c r="V1167" s="294"/>
      <c r="W1167" s="294"/>
      <c r="X1167" s="294"/>
      <c r="Y1167" s="294"/>
      <c r="Z1167" s="294"/>
      <c r="AA1167" s="294"/>
      <c r="AB1167" s="294"/>
      <c r="AC1167" s="294"/>
      <c r="AD1167" s="294"/>
      <c r="AE1167" s="294"/>
      <c r="AF1167" s="294"/>
      <c r="AG1167" s="294"/>
    </row>
    <row r="1168" spans="2:33" x14ac:dyDescent="0.25">
      <c r="B1168" s="294"/>
      <c r="C1168" s="294"/>
      <c r="D1168" s="294"/>
      <c r="E1168" s="294"/>
      <c r="F1168" s="294"/>
      <c r="G1168" s="294"/>
      <c r="H1168" s="294"/>
      <c r="I1168" s="294"/>
      <c r="J1168" s="294"/>
      <c r="L1168" s="295"/>
      <c r="M1168" s="294"/>
      <c r="O1168" s="294"/>
      <c r="P1168" s="294"/>
      <c r="Q1168" s="294"/>
      <c r="R1168" s="294"/>
      <c r="S1168" s="294"/>
      <c r="T1168" s="294"/>
      <c r="U1168" s="294"/>
      <c r="V1168" s="294"/>
      <c r="W1168" s="294"/>
      <c r="X1168" s="294"/>
      <c r="Y1168" s="294"/>
      <c r="Z1168" s="294"/>
      <c r="AA1168" s="294"/>
      <c r="AB1168" s="294"/>
      <c r="AC1168" s="294"/>
      <c r="AD1168" s="294"/>
      <c r="AE1168" s="294"/>
      <c r="AF1168" s="294"/>
      <c r="AG1168" s="294"/>
    </row>
    <row r="1169" spans="2:33" x14ac:dyDescent="0.25">
      <c r="B1169" s="294"/>
      <c r="C1169" s="294"/>
      <c r="D1169" s="294"/>
      <c r="E1169" s="294"/>
      <c r="F1169" s="294"/>
      <c r="G1169" s="294"/>
      <c r="H1169" s="294"/>
      <c r="I1169" s="294"/>
      <c r="J1169" s="294"/>
      <c r="L1169" s="295"/>
      <c r="M1169" s="294"/>
      <c r="O1169" s="294"/>
      <c r="P1169" s="294"/>
      <c r="Q1169" s="294"/>
      <c r="R1169" s="294"/>
      <c r="S1169" s="294"/>
      <c r="T1169" s="294"/>
      <c r="U1169" s="294"/>
      <c r="V1169" s="294"/>
      <c r="W1169" s="294"/>
      <c r="X1169" s="294"/>
      <c r="Y1169" s="294"/>
      <c r="Z1169" s="294"/>
      <c r="AA1169" s="294"/>
      <c r="AB1169" s="294"/>
      <c r="AC1169" s="294"/>
      <c r="AD1169" s="294"/>
      <c r="AE1169" s="294"/>
      <c r="AF1169" s="294"/>
      <c r="AG1169" s="294"/>
    </row>
    <row r="1170" spans="2:33" x14ac:dyDescent="0.25">
      <c r="B1170" s="294"/>
      <c r="C1170" s="294"/>
      <c r="D1170" s="294"/>
      <c r="E1170" s="294"/>
      <c r="F1170" s="294"/>
      <c r="G1170" s="294"/>
      <c r="H1170" s="294"/>
      <c r="I1170" s="294"/>
      <c r="J1170" s="294"/>
      <c r="L1170" s="295"/>
      <c r="M1170" s="294"/>
      <c r="O1170" s="294"/>
      <c r="P1170" s="294"/>
      <c r="Q1170" s="294"/>
      <c r="R1170" s="294"/>
      <c r="S1170" s="294"/>
      <c r="T1170" s="294"/>
      <c r="U1170" s="294"/>
      <c r="V1170" s="294"/>
      <c r="W1170" s="294"/>
      <c r="X1170" s="294"/>
      <c r="Y1170" s="294"/>
      <c r="Z1170" s="294"/>
      <c r="AA1170" s="294"/>
      <c r="AB1170" s="294"/>
      <c r="AC1170" s="294"/>
      <c r="AD1170" s="294"/>
      <c r="AE1170" s="294"/>
      <c r="AF1170" s="294"/>
      <c r="AG1170" s="294"/>
    </row>
    <row r="1171" spans="2:33" x14ac:dyDescent="0.25">
      <c r="B1171" s="294"/>
      <c r="C1171" s="294"/>
      <c r="D1171" s="294"/>
      <c r="E1171" s="294"/>
      <c r="F1171" s="294"/>
      <c r="G1171" s="294"/>
      <c r="H1171" s="294"/>
      <c r="I1171" s="294"/>
      <c r="J1171" s="294"/>
      <c r="L1171" s="295"/>
      <c r="M1171" s="294"/>
      <c r="O1171" s="294"/>
      <c r="P1171" s="294"/>
      <c r="Q1171" s="294"/>
      <c r="R1171" s="294"/>
      <c r="S1171" s="294"/>
      <c r="T1171" s="294"/>
      <c r="U1171" s="294"/>
      <c r="V1171" s="294"/>
      <c r="W1171" s="294"/>
      <c r="X1171" s="294"/>
      <c r="Y1171" s="294"/>
      <c r="Z1171" s="294"/>
      <c r="AA1171" s="294"/>
      <c r="AB1171" s="294"/>
      <c r="AC1171" s="294"/>
      <c r="AD1171" s="294"/>
      <c r="AE1171" s="294"/>
      <c r="AF1171" s="294"/>
      <c r="AG1171" s="294"/>
    </row>
    <row r="1172" spans="2:33" x14ac:dyDescent="0.25">
      <c r="B1172" s="294"/>
      <c r="C1172" s="294"/>
      <c r="D1172" s="294"/>
      <c r="E1172" s="294"/>
      <c r="F1172" s="294"/>
      <c r="G1172" s="294"/>
      <c r="H1172" s="294"/>
      <c r="I1172" s="294"/>
      <c r="J1172" s="294"/>
      <c r="L1172" s="295"/>
      <c r="M1172" s="294"/>
      <c r="O1172" s="294"/>
      <c r="P1172" s="294"/>
      <c r="Q1172" s="294"/>
      <c r="R1172" s="294"/>
      <c r="S1172" s="294"/>
      <c r="T1172" s="294"/>
      <c r="U1172" s="294"/>
      <c r="V1172" s="294"/>
      <c r="W1172" s="294"/>
      <c r="X1172" s="294"/>
      <c r="Y1172" s="294"/>
      <c r="Z1172" s="294"/>
      <c r="AA1172" s="294"/>
      <c r="AB1172" s="294"/>
      <c r="AC1172" s="294"/>
      <c r="AD1172" s="294"/>
      <c r="AE1172" s="294"/>
      <c r="AF1172" s="294"/>
      <c r="AG1172" s="294"/>
    </row>
    <row r="1173" spans="2:33" x14ac:dyDescent="0.25">
      <c r="B1173" s="294"/>
      <c r="C1173" s="294"/>
      <c r="D1173" s="294"/>
      <c r="E1173" s="294"/>
      <c r="F1173" s="294"/>
      <c r="G1173" s="294"/>
      <c r="H1173" s="294"/>
      <c r="I1173" s="294"/>
      <c r="J1173" s="294"/>
      <c r="L1173" s="295"/>
      <c r="M1173" s="294"/>
      <c r="O1173" s="294"/>
      <c r="P1173" s="294"/>
      <c r="Q1173" s="294"/>
      <c r="R1173" s="294"/>
      <c r="S1173" s="294"/>
      <c r="T1173" s="294"/>
      <c r="U1173" s="294"/>
      <c r="V1173" s="294"/>
      <c r="W1173" s="294"/>
      <c r="X1173" s="294"/>
      <c r="Y1173" s="294"/>
      <c r="Z1173" s="294"/>
      <c r="AA1173" s="294"/>
      <c r="AB1173" s="294"/>
      <c r="AC1173" s="294"/>
      <c r="AD1173" s="294"/>
      <c r="AE1173" s="294"/>
      <c r="AF1173" s="294"/>
      <c r="AG1173" s="294"/>
    </row>
    <row r="1174" spans="2:33" x14ac:dyDescent="0.25">
      <c r="B1174" s="294"/>
      <c r="C1174" s="294"/>
      <c r="D1174" s="294"/>
      <c r="E1174" s="294"/>
      <c r="F1174" s="294"/>
      <c r="G1174" s="294"/>
      <c r="H1174" s="294"/>
      <c r="I1174" s="294"/>
      <c r="J1174" s="294"/>
      <c r="L1174" s="295"/>
      <c r="M1174" s="294"/>
      <c r="O1174" s="294"/>
      <c r="P1174" s="294"/>
      <c r="Q1174" s="294"/>
      <c r="R1174" s="294"/>
      <c r="S1174" s="294"/>
      <c r="T1174" s="294"/>
      <c r="U1174" s="294"/>
      <c r="V1174" s="294"/>
      <c r="W1174" s="294"/>
      <c r="X1174" s="294"/>
      <c r="Y1174" s="294"/>
      <c r="Z1174" s="294"/>
      <c r="AA1174" s="294"/>
      <c r="AB1174" s="294"/>
      <c r="AC1174" s="294"/>
      <c r="AD1174" s="294"/>
      <c r="AE1174" s="294"/>
      <c r="AF1174" s="294"/>
      <c r="AG1174" s="294"/>
    </row>
    <row r="1175" spans="2:33" x14ac:dyDescent="0.25">
      <c r="B1175" s="294"/>
      <c r="C1175" s="294"/>
      <c r="D1175" s="294"/>
      <c r="E1175" s="294"/>
      <c r="F1175" s="294"/>
      <c r="G1175" s="294"/>
      <c r="H1175" s="294"/>
      <c r="I1175" s="294"/>
      <c r="J1175" s="294"/>
      <c r="L1175" s="295"/>
      <c r="M1175" s="294"/>
      <c r="O1175" s="294"/>
      <c r="P1175" s="294"/>
      <c r="Q1175" s="294"/>
      <c r="R1175" s="294"/>
      <c r="S1175" s="294"/>
      <c r="T1175" s="294"/>
      <c r="U1175" s="294"/>
      <c r="V1175" s="294"/>
      <c r="W1175" s="294"/>
      <c r="X1175" s="294"/>
      <c r="Y1175" s="294"/>
      <c r="Z1175" s="294"/>
      <c r="AA1175" s="294"/>
      <c r="AB1175" s="294"/>
      <c r="AC1175" s="294"/>
      <c r="AD1175" s="294"/>
      <c r="AE1175" s="294"/>
      <c r="AF1175" s="294"/>
      <c r="AG1175" s="294"/>
    </row>
    <row r="1176" spans="2:33" x14ac:dyDescent="0.25">
      <c r="B1176" s="294"/>
      <c r="C1176" s="294"/>
      <c r="D1176" s="294"/>
      <c r="E1176" s="294"/>
      <c r="F1176" s="294"/>
      <c r="G1176" s="294"/>
      <c r="H1176" s="294"/>
      <c r="I1176" s="294"/>
      <c r="J1176" s="294"/>
      <c r="L1176" s="295"/>
      <c r="M1176" s="294"/>
      <c r="O1176" s="294"/>
      <c r="P1176" s="294"/>
      <c r="Q1176" s="294"/>
      <c r="R1176" s="294"/>
      <c r="S1176" s="294"/>
      <c r="T1176" s="294"/>
      <c r="U1176" s="294"/>
      <c r="V1176" s="294"/>
      <c r="W1176" s="294"/>
      <c r="X1176" s="294"/>
      <c r="Y1176" s="294"/>
      <c r="Z1176" s="294"/>
      <c r="AA1176" s="294"/>
      <c r="AB1176" s="294"/>
      <c r="AC1176" s="294"/>
      <c r="AD1176" s="294"/>
      <c r="AE1176" s="294"/>
      <c r="AF1176" s="294"/>
      <c r="AG1176" s="294"/>
    </row>
    <row r="1177" spans="2:33" x14ac:dyDescent="0.25">
      <c r="B1177" s="294"/>
      <c r="C1177" s="294"/>
      <c r="D1177" s="294"/>
      <c r="E1177" s="294"/>
      <c r="F1177" s="294"/>
      <c r="G1177" s="294"/>
      <c r="H1177" s="294"/>
      <c r="I1177" s="294"/>
      <c r="J1177" s="294"/>
      <c r="L1177" s="295"/>
      <c r="M1177" s="294"/>
      <c r="O1177" s="294"/>
      <c r="P1177" s="294"/>
      <c r="Q1177" s="294"/>
      <c r="R1177" s="294"/>
      <c r="S1177" s="294"/>
      <c r="T1177" s="294"/>
      <c r="U1177" s="294"/>
      <c r="V1177" s="294"/>
      <c r="W1177" s="294"/>
      <c r="X1177" s="294"/>
      <c r="Y1177" s="294"/>
      <c r="Z1177" s="294"/>
      <c r="AA1177" s="294"/>
      <c r="AB1177" s="294"/>
      <c r="AC1177" s="294"/>
      <c r="AD1177" s="294"/>
      <c r="AE1177" s="294"/>
      <c r="AF1177" s="294"/>
      <c r="AG1177" s="294"/>
    </row>
    <row r="1178" spans="2:33" x14ac:dyDescent="0.25">
      <c r="B1178" s="294"/>
      <c r="C1178" s="294"/>
      <c r="D1178" s="294"/>
      <c r="E1178" s="294"/>
      <c r="F1178" s="294"/>
      <c r="G1178" s="294"/>
      <c r="H1178" s="294"/>
      <c r="I1178" s="294"/>
      <c r="J1178" s="294"/>
      <c r="L1178" s="295"/>
      <c r="M1178" s="294"/>
      <c r="O1178" s="294"/>
      <c r="P1178" s="294"/>
      <c r="Q1178" s="294"/>
      <c r="R1178" s="294"/>
      <c r="S1178" s="294"/>
      <c r="T1178" s="294"/>
      <c r="U1178" s="294"/>
      <c r="V1178" s="294"/>
      <c r="W1178" s="294"/>
      <c r="X1178" s="294"/>
      <c r="Y1178" s="294"/>
      <c r="Z1178" s="294"/>
      <c r="AA1178" s="294"/>
      <c r="AB1178" s="294"/>
      <c r="AC1178" s="294"/>
      <c r="AD1178" s="294"/>
      <c r="AE1178" s="294"/>
      <c r="AF1178" s="294"/>
      <c r="AG1178" s="294"/>
    </row>
    <row r="1179" spans="2:33" x14ac:dyDescent="0.25">
      <c r="B1179" s="294"/>
      <c r="C1179" s="294"/>
      <c r="D1179" s="294"/>
      <c r="E1179" s="294"/>
      <c r="F1179" s="294"/>
      <c r="G1179" s="294"/>
      <c r="H1179" s="294"/>
      <c r="I1179" s="294"/>
      <c r="J1179" s="294"/>
      <c r="L1179" s="295"/>
      <c r="M1179" s="294"/>
      <c r="O1179" s="294"/>
      <c r="P1179" s="294"/>
      <c r="Q1179" s="294"/>
      <c r="R1179" s="294"/>
      <c r="S1179" s="294"/>
      <c r="T1179" s="294"/>
      <c r="U1179" s="294"/>
      <c r="V1179" s="294"/>
      <c r="W1179" s="294"/>
      <c r="X1179" s="294"/>
      <c r="Y1179" s="294"/>
      <c r="Z1179" s="294"/>
      <c r="AA1179" s="294"/>
      <c r="AB1179" s="294"/>
      <c r="AC1179" s="294"/>
      <c r="AD1179" s="294"/>
      <c r="AE1179" s="294"/>
      <c r="AF1179" s="294"/>
      <c r="AG1179" s="294"/>
    </row>
    <row r="1180" spans="2:33" x14ac:dyDescent="0.25">
      <c r="B1180" s="294"/>
      <c r="C1180" s="294"/>
      <c r="D1180" s="294"/>
      <c r="E1180" s="294"/>
      <c r="F1180" s="294"/>
      <c r="G1180" s="294"/>
      <c r="H1180" s="294"/>
      <c r="I1180" s="294"/>
      <c r="J1180" s="294"/>
      <c r="L1180" s="295"/>
      <c r="M1180" s="294"/>
      <c r="O1180" s="294"/>
      <c r="P1180" s="294"/>
      <c r="Q1180" s="294"/>
      <c r="R1180" s="294"/>
      <c r="S1180" s="294"/>
      <c r="T1180" s="294"/>
      <c r="U1180" s="294"/>
      <c r="V1180" s="294"/>
      <c r="W1180" s="294"/>
      <c r="X1180" s="294"/>
      <c r="Y1180" s="294"/>
      <c r="Z1180" s="294"/>
      <c r="AA1180" s="294"/>
      <c r="AB1180" s="294"/>
      <c r="AC1180" s="294"/>
      <c r="AD1180" s="294"/>
      <c r="AE1180" s="294"/>
      <c r="AF1180" s="294"/>
      <c r="AG1180" s="294"/>
    </row>
    <row r="1181" spans="2:33" x14ac:dyDescent="0.25">
      <c r="B1181" s="294"/>
      <c r="C1181" s="294"/>
      <c r="D1181" s="294"/>
      <c r="E1181" s="294"/>
      <c r="F1181" s="294"/>
      <c r="G1181" s="294"/>
      <c r="H1181" s="294"/>
      <c r="I1181" s="294"/>
      <c r="J1181" s="294"/>
      <c r="L1181" s="295"/>
      <c r="M1181" s="294"/>
      <c r="O1181" s="294"/>
      <c r="P1181" s="294"/>
      <c r="Q1181" s="294"/>
      <c r="R1181" s="294"/>
      <c r="S1181" s="294"/>
      <c r="T1181" s="294"/>
      <c r="U1181" s="294"/>
      <c r="V1181" s="294"/>
      <c r="W1181" s="294"/>
      <c r="X1181" s="294"/>
      <c r="Y1181" s="294"/>
      <c r="Z1181" s="294"/>
      <c r="AA1181" s="294"/>
      <c r="AB1181" s="294"/>
      <c r="AC1181" s="294"/>
      <c r="AD1181" s="294"/>
      <c r="AE1181" s="294"/>
      <c r="AF1181" s="294"/>
      <c r="AG1181" s="294"/>
    </row>
    <row r="1182" spans="2:33" x14ac:dyDescent="0.25">
      <c r="B1182" s="294"/>
      <c r="C1182" s="294"/>
      <c r="D1182" s="294"/>
      <c r="E1182" s="294"/>
      <c r="F1182" s="294"/>
      <c r="G1182" s="294"/>
      <c r="H1182" s="294"/>
      <c r="I1182" s="294"/>
      <c r="J1182" s="294"/>
      <c r="L1182" s="295"/>
      <c r="M1182" s="294"/>
      <c r="O1182" s="294"/>
      <c r="P1182" s="294"/>
      <c r="Q1182" s="294"/>
      <c r="R1182" s="294"/>
      <c r="S1182" s="294"/>
      <c r="T1182" s="294"/>
      <c r="U1182" s="294"/>
      <c r="V1182" s="294"/>
      <c r="W1182" s="294"/>
      <c r="X1182" s="294"/>
      <c r="Y1182" s="294"/>
      <c r="Z1182" s="294"/>
      <c r="AA1182" s="294"/>
      <c r="AB1182" s="294"/>
      <c r="AC1182" s="294"/>
      <c r="AD1182" s="294"/>
      <c r="AE1182" s="294"/>
      <c r="AF1182" s="294"/>
      <c r="AG1182" s="294"/>
    </row>
    <row r="1183" spans="2:33" x14ac:dyDescent="0.25">
      <c r="B1183" s="294"/>
      <c r="C1183" s="294"/>
      <c r="D1183" s="294"/>
      <c r="E1183" s="294"/>
      <c r="F1183" s="294"/>
      <c r="G1183" s="294"/>
      <c r="H1183" s="294"/>
      <c r="I1183" s="294"/>
      <c r="J1183" s="294"/>
      <c r="L1183" s="295"/>
      <c r="M1183" s="294"/>
      <c r="O1183" s="294"/>
      <c r="P1183" s="294"/>
      <c r="Q1183" s="294"/>
      <c r="R1183" s="294"/>
      <c r="S1183" s="294"/>
      <c r="T1183" s="294"/>
      <c r="U1183" s="294"/>
      <c r="V1183" s="294"/>
      <c r="W1183" s="294"/>
      <c r="X1183" s="294"/>
      <c r="Y1183" s="294"/>
      <c r="Z1183" s="294"/>
      <c r="AA1183" s="294"/>
      <c r="AB1183" s="294"/>
      <c r="AC1183" s="294"/>
      <c r="AD1183" s="294"/>
      <c r="AE1183" s="294"/>
      <c r="AF1183" s="294"/>
      <c r="AG1183" s="294"/>
    </row>
    <row r="1184" spans="2:33" x14ac:dyDescent="0.25">
      <c r="B1184" s="294"/>
      <c r="C1184" s="294"/>
      <c r="D1184" s="294"/>
      <c r="E1184" s="294"/>
      <c r="F1184" s="294"/>
      <c r="G1184" s="294"/>
      <c r="H1184" s="294"/>
      <c r="I1184" s="294"/>
      <c r="J1184" s="294"/>
      <c r="L1184" s="295"/>
      <c r="M1184" s="294"/>
      <c r="O1184" s="294"/>
      <c r="P1184" s="294"/>
      <c r="Q1184" s="294"/>
      <c r="R1184" s="294"/>
      <c r="S1184" s="294"/>
      <c r="T1184" s="294"/>
      <c r="U1184" s="294"/>
      <c r="V1184" s="294"/>
      <c r="W1184" s="294"/>
      <c r="X1184" s="294"/>
      <c r="Y1184" s="294"/>
      <c r="Z1184" s="294"/>
      <c r="AA1184" s="294"/>
      <c r="AB1184" s="294"/>
      <c r="AC1184" s="294"/>
      <c r="AD1184" s="294"/>
      <c r="AE1184" s="294"/>
      <c r="AF1184" s="294"/>
      <c r="AG1184" s="294"/>
    </row>
    <row r="1185" spans="2:33" x14ac:dyDescent="0.25">
      <c r="B1185" s="294"/>
      <c r="C1185" s="294"/>
      <c r="D1185" s="294"/>
      <c r="E1185" s="294"/>
      <c r="F1185" s="294"/>
      <c r="G1185" s="294"/>
      <c r="H1185" s="294"/>
      <c r="I1185" s="294"/>
      <c r="J1185" s="294"/>
      <c r="L1185" s="295"/>
      <c r="M1185" s="294"/>
      <c r="O1185" s="294"/>
      <c r="P1185" s="294"/>
      <c r="Q1185" s="294"/>
      <c r="R1185" s="294"/>
      <c r="S1185" s="294"/>
      <c r="T1185" s="294"/>
      <c r="U1185" s="294"/>
      <c r="V1185" s="294"/>
      <c r="W1185" s="294"/>
      <c r="X1185" s="294"/>
      <c r="Y1185" s="294"/>
      <c r="Z1185" s="294"/>
      <c r="AA1185" s="294"/>
      <c r="AB1185" s="294"/>
      <c r="AC1185" s="294"/>
      <c r="AD1185" s="294"/>
      <c r="AE1185" s="294"/>
      <c r="AF1185" s="294"/>
      <c r="AG1185" s="294"/>
    </row>
    <row r="1186" spans="2:33" x14ac:dyDescent="0.25">
      <c r="B1186" s="294"/>
      <c r="C1186" s="294"/>
      <c r="D1186" s="294"/>
      <c r="E1186" s="294"/>
      <c r="F1186" s="294"/>
      <c r="G1186" s="294"/>
      <c r="H1186" s="294"/>
      <c r="I1186" s="294"/>
      <c r="J1186" s="294"/>
      <c r="L1186" s="295"/>
      <c r="M1186" s="294"/>
      <c r="O1186" s="294"/>
      <c r="P1186" s="294"/>
      <c r="Q1186" s="294"/>
      <c r="R1186" s="294"/>
      <c r="S1186" s="294"/>
      <c r="T1186" s="294"/>
      <c r="U1186" s="294"/>
      <c r="V1186" s="294"/>
      <c r="W1186" s="294"/>
      <c r="X1186" s="294"/>
      <c r="Y1186" s="294"/>
      <c r="Z1186" s="294"/>
      <c r="AA1186" s="294"/>
      <c r="AB1186" s="294"/>
      <c r="AC1186" s="294"/>
      <c r="AD1186" s="294"/>
      <c r="AE1186" s="294"/>
      <c r="AF1186" s="294"/>
      <c r="AG1186" s="294"/>
    </row>
    <row r="1187" spans="2:33" x14ac:dyDescent="0.25">
      <c r="B1187" s="294"/>
      <c r="C1187" s="294"/>
      <c r="D1187" s="294"/>
      <c r="E1187" s="294"/>
      <c r="F1187" s="294"/>
      <c r="G1187" s="294"/>
      <c r="H1187" s="294"/>
      <c r="I1187" s="294"/>
      <c r="J1187" s="294"/>
      <c r="L1187" s="295"/>
      <c r="M1187" s="294"/>
      <c r="O1187" s="294"/>
      <c r="P1187" s="294"/>
      <c r="Q1187" s="294"/>
      <c r="R1187" s="294"/>
      <c r="S1187" s="294"/>
      <c r="T1187" s="294"/>
      <c r="U1187" s="294"/>
      <c r="V1187" s="294"/>
      <c r="W1187" s="294"/>
      <c r="X1187" s="294"/>
      <c r="Y1187" s="294"/>
      <c r="Z1187" s="294"/>
      <c r="AA1187" s="294"/>
      <c r="AB1187" s="294"/>
      <c r="AC1187" s="294"/>
      <c r="AD1187" s="294"/>
      <c r="AE1187" s="294"/>
      <c r="AF1187" s="294"/>
      <c r="AG1187" s="294"/>
    </row>
    <row r="1188" spans="2:33" x14ac:dyDescent="0.25">
      <c r="B1188" s="294"/>
      <c r="C1188" s="294"/>
      <c r="D1188" s="294"/>
      <c r="E1188" s="294"/>
      <c r="F1188" s="294"/>
      <c r="G1188" s="294"/>
      <c r="H1188" s="294"/>
      <c r="I1188" s="294"/>
      <c r="J1188" s="294"/>
      <c r="L1188" s="295"/>
      <c r="M1188" s="294"/>
      <c r="O1188" s="294"/>
      <c r="P1188" s="294"/>
      <c r="Q1188" s="294"/>
      <c r="R1188" s="294"/>
      <c r="S1188" s="294"/>
      <c r="T1188" s="294"/>
      <c r="U1188" s="294"/>
      <c r="V1188" s="294"/>
      <c r="W1188" s="294"/>
      <c r="X1188" s="294"/>
      <c r="Y1188" s="294"/>
      <c r="Z1188" s="294"/>
      <c r="AA1188" s="294"/>
      <c r="AB1188" s="294"/>
      <c r="AC1188" s="294"/>
      <c r="AD1188" s="294"/>
      <c r="AE1188" s="294"/>
      <c r="AF1188" s="294"/>
      <c r="AG1188" s="294"/>
    </row>
    <row r="1189" spans="2:33" x14ac:dyDescent="0.25">
      <c r="B1189" s="294"/>
      <c r="C1189" s="294"/>
      <c r="D1189" s="294"/>
      <c r="E1189" s="294"/>
      <c r="F1189" s="294"/>
      <c r="G1189" s="294"/>
      <c r="H1189" s="294"/>
      <c r="I1189" s="294"/>
      <c r="J1189" s="294"/>
      <c r="L1189" s="295"/>
      <c r="M1189" s="294"/>
      <c r="O1189" s="294"/>
      <c r="P1189" s="294"/>
      <c r="Q1189" s="294"/>
      <c r="R1189" s="294"/>
      <c r="S1189" s="294"/>
      <c r="T1189" s="294"/>
      <c r="U1189" s="294"/>
      <c r="V1189" s="294"/>
      <c r="W1189" s="294"/>
      <c r="X1189" s="294"/>
      <c r="Y1189" s="294"/>
      <c r="Z1189" s="294"/>
      <c r="AA1189" s="294"/>
      <c r="AB1189" s="294"/>
      <c r="AC1189" s="294"/>
      <c r="AD1189" s="294"/>
      <c r="AE1189" s="294"/>
      <c r="AF1189" s="294"/>
      <c r="AG1189" s="294"/>
    </row>
    <row r="1190" spans="2:33" x14ac:dyDescent="0.25">
      <c r="B1190" s="294"/>
      <c r="C1190" s="294"/>
      <c r="D1190" s="294"/>
      <c r="E1190" s="294"/>
      <c r="F1190" s="294"/>
      <c r="G1190" s="294"/>
      <c r="H1190" s="294"/>
      <c r="I1190" s="294"/>
      <c r="J1190" s="294"/>
      <c r="L1190" s="295"/>
      <c r="M1190" s="294"/>
      <c r="O1190" s="294"/>
      <c r="P1190" s="294"/>
      <c r="Q1190" s="294"/>
      <c r="R1190" s="294"/>
      <c r="S1190" s="294"/>
      <c r="T1190" s="294"/>
      <c r="U1190" s="294"/>
      <c r="V1190" s="294"/>
      <c r="W1190" s="294"/>
      <c r="X1190" s="294"/>
      <c r="Y1190" s="294"/>
      <c r="Z1190" s="294"/>
      <c r="AA1190" s="294"/>
      <c r="AB1190" s="294"/>
      <c r="AC1190" s="294"/>
      <c r="AD1190" s="294"/>
      <c r="AE1190" s="294"/>
      <c r="AF1190" s="294"/>
      <c r="AG1190" s="294"/>
    </row>
    <row r="1191" spans="2:33" x14ac:dyDescent="0.25">
      <c r="B1191" s="294"/>
      <c r="C1191" s="294"/>
      <c r="D1191" s="294"/>
      <c r="E1191" s="294"/>
      <c r="F1191" s="294"/>
      <c r="G1191" s="294"/>
      <c r="H1191" s="294"/>
      <c r="I1191" s="294"/>
      <c r="J1191" s="294"/>
      <c r="L1191" s="295"/>
      <c r="M1191" s="294"/>
      <c r="O1191" s="294"/>
      <c r="P1191" s="294"/>
      <c r="Q1191" s="294"/>
      <c r="R1191" s="294"/>
      <c r="S1191" s="294"/>
      <c r="T1191" s="294"/>
      <c r="U1191" s="294"/>
      <c r="V1191" s="294"/>
      <c r="W1191" s="294"/>
      <c r="X1191" s="294"/>
      <c r="Y1191" s="294"/>
      <c r="Z1191" s="294"/>
      <c r="AA1191" s="294"/>
      <c r="AB1191" s="294"/>
      <c r="AC1191" s="294"/>
      <c r="AD1191" s="294"/>
      <c r="AE1191" s="294"/>
      <c r="AF1191" s="294"/>
      <c r="AG1191" s="294"/>
    </row>
    <row r="1192" spans="2:33" x14ac:dyDescent="0.25">
      <c r="B1192" s="294"/>
      <c r="C1192" s="294"/>
      <c r="D1192" s="294"/>
      <c r="E1192" s="294"/>
      <c r="F1192" s="294"/>
      <c r="G1192" s="294"/>
      <c r="H1192" s="294"/>
      <c r="I1192" s="294"/>
      <c r="J1192" s="294"/>
      <c r="L1192" s="295"/>
      <c r="M1192" s="294"/>
      <c r="O1192" s="294"/>
      <c r="P1192" s="294"/>
      <c r="Q1192" s="294"/>
      <c r="R1192" s="294"/>
      <c r="S1192" s="294"/>
      <c r="T1192" s="294"/>
      <c r="U1192" s="294"/>
      <c r="V1192" s="294"/>
      <c r="W1192" s="294"/>
      <c r="X1192" s="294"/>
      <c r="Y1192" s="294"/>
      <c r="Z1192" s="294"/>
      <c r="AA1192" s="294"/>
      <c r="AB1192" s="294"/>
      <c r="AC1192" s="294"/>
      <c r="AD1192" s="294"/>
      <c r="AE1192" s="294"/>
      <c r="AF1192" s="294"/>
      <c r="AG1192" s="294"/>
    </row>
    <row r="1193" spans="2:33" x14ac:dyDescent="0.25">
      <c r="B1193" s="294"/>
      <c r="C1193" s="294"/>
      <c r="D1193" s="294"/>
      <c r="E1193" s="294"/>
      <c r="F1193" s="294"/>
      <c r="G1193" s="294"/>
      <c r="H1193" s="294"/>
      <c r="I1193" s="294"/>
      <c r="J1193" s="294"/>
      <c r="L1193" s="295"/>
      <c r="M1193" s="294"/>
      <c r="O1193" s="294"/>
      <c r="P1193" s="294"/>
      <c r="Q1193" s="294"/>
      <c r="R1193" s="294"/>
      <c r="S1193" s="294"/>
      <c r="T1193" s="294"/>
      <c r="U1193" s="294"/>
      <c r="V1193" s="294"/>
      <c r="W1193" s="294"/>
      <c r="X1193" s="294"/>
      <c r="Y1193" s="294"/>
      <c r="Z1193" s="294"/>
      <c r="AA1193" s="294"/>
      <c r="AB1193" s="294"/>
      <c r="AC1193" s="294"/>
      <c r="AD1193" s="294"/>
      <c r="AE1193" s="294"/>
      <c r="AF1193" s="294"/>
      <c r="AG1193" s="294"/>
    </row>
    <row r="1194" spans="2:33" x14ac:dyDescent="0.25">
      <c r="B1194" s="294"/>
      <c r="C1194" s="294"/>
      <c r="D1194" s="294"/>
      <c r="E1194" s="294"/>
      <c r="F1194" s="294"/>
      <c r="G1194" s="294"/>
      <c r="H1194" s="294"/>
      <c r="I1194" s="294"/>
      <c r="J1194" s="294"/>
      <c r="L1194" s="295"/>
      <c r="M1194" s="294"/>
      <c r="O1194" s="294"/>
      <c r="P1194" s="294"/>
      <c r="Q1194" s="294"/>
      <c r="R1194" s="294"/>
      <c r="S1194" s="294"/>
      <c r="T1194" s="294"/>
      <c r="U1194" s="294"/>
      <c r="V1194" s="294"/>
      <c r="W1194" s="294"/>
      <c r="X1194" s="294"/>
      <c r="Y1194" s="294"/>
      <c r="Z1194" s="294"/>
      <c r="AA1194" s="294"/>
      <c r="AB1194" s="294"/>
      <c r="AC1194" s="294"/>
      <c r="AD1194" s="294"/>
      <c r="AE1194" s="294"/>
      <c r="AF1194" s="294"/>
      <c r="AG1194" s="294"/>
    </row>
    <row r="1195" spans="2:33" x14ac:dyDescent="0.25">
      <c r="B1195" s="294"/>
      <c r="C1195" s="294"/>
      <c r="D1195" s="294"/>
      <c r="E1195" s="294"/>
      <c r="F1195" s="294"/>
      <c r="G1195" s="294"/>
      <c r="H1195" s="294"/>
      <c r="I1195" s="294"/>
      <c r="J1195" s="294"/>
      <c r="L1195" s="295"/>
      <c r="M1195" s="294"/>
      <c r="O1195" s="294"/>
      <c r="P1195" s="294"/>
      <c r="Q1195" s="294"/>
      <c r="R1195" s="294"/>
      <c r="S1195" s="294"/>
      <c r="T1195" s="294"/>
      <c r="U1195" s="294"/>
      <c r="V1195" s="294"/>
      <c r="W1195" s="294"/>
      <c r="X1195" s="294"/>
      <c r="Y1195" s="294"/>
      <c r="Z1195" s="294"/>
      <c r="AA1195" s="294"/>
      <c r="AB1195" s="294"/>
      <c r="AC1195" s="294"/>
      <c r="AD1195" s="294"/>
      <c r="AE1195" s="294"/>
      <c r="AF1195" s="294"/>
      <c r="AG1195" s="294"/>
    </row>
    <row r="1196" spans="2:33" x14ac:dyDescent="0.25">
      <c r="B1196" s="294"/>
      <c r="C1196" s="294"/>
      <c r="D1196" s="294"/>
      <c r="E1196" s="294"/>
      <c r="F1196" s="294"/>
      <c r="G1196" s="294"/>
      <c r="H1196" s="294"/>
      <c r="I1196" s="294"/>
      <c r="J1196" s="294"/>
      <c r="L1196" s="295"/>
      <c r="M1196" s="294"/>
      <c r="O1196" s="294"/>
      <c r="P1196" s="294"/>
      <c r="Q1196" s="294"/>
      <c r="R1196" s="294"/>
      <c r="S1196" s="294"/>
      <c r="T1196" s="294"/>
      <c r="U1196" s="294"/>
      <c r="V1196" s="294"/>
      <c r="W1196" s="294"/>
      <c r="X1196" s="294"/>
      <c r="Y1196" s="294"/>
      <c r="Z1196" s="294"/>
      <c r="AA1196" s="294"/>
      <c r="AB1196" s="294"/>
      <c r="AC1196" s="294"/>
      <c r="AD1196" s="294"/>
      <c r="AE1196" s="294"/>
      <c r="AF1196" s="294"/>
      <c r="AG1196" s="294"/>
    </row>
    <row r="1197" spans="2:33" x14ac:dyDescent="0.25">
      <c r="B1197" s="294"/>
      <c r="C1197" s="294"/>
      <c r="D1197" s="294"/>
      <c r="E1197" s="294"/>
      <c r="F1197" s="294"/>
      <c r="G1197" s="294"/>
      <c r="H1197" s="294"/>
      <c r="I1197" s="294"/>
      <c r="J1197" s="294"/>
      <c r="L1197" s="295"/>
      <c r="M1197" s="294"/>
      <c r="O1197" s="294"/>
      <c r="P1197" s="294"/>
      <c r="Q1197" s="294"/>
      <c r="R1197" s="294"/>
      <c r="S1197" s="294"/>
      <c r="T1197" s="294"/>
      <c r="U1197" s="294"/>
      <c r="V1197" s="294"/>
      <c r="W1197" s="294"/>
      <c r="X1197" s="294"/>
      <c r="Y1197" s="294"/>
      <c r="Z1197" s="294"/>
      <c r="AA1197" s="294"/>
      <c r="AB1197" s="294"/>
      <c r="AC1197" s="294"/>
      <c r="AD1197" s="294"/>
      <c r="AE1197" s="294"/>
      <c r="AF1197" s="294"/>
      <c r="AG1197" s="294"/>
    </row>
    <row r="1198" spans="2:33" x14ac:dyDescent="0.25">
      <c r="B1198" s="294"/>
      <c r="C1198" s="294"/>
      <c r="D1198" s="294"/>
      <c r="E1198" s="294"/>
      <c r="F1198" s="294"/>
      <c r="G1198" s="294"/>
      <c r="H1198" s="294"/>
      <c r="I1198" s="294"/>
      <c r="J1198" s="294"/>
      <c r="L1198" s="295"/>
      <c r="M1198" s="294"/>
      <c r="O1198" s="294"/>
      <c r="P1198" s="294"/>
      <c r="Q1198" s="294"/>
      <c r="R1198" s="294"/>
      <c r="S1198" s="294"/>
      <c r="T1198" s="294"/>
      <c r="U1198" s="294"/>
      <c r="V1198" s="294"/>
      <c r="W1198" s="294"/>
      <c r="X1198" s="294"/>
      <c r="Y1198" s="294"/>
      <c r="Z1198" s="294"/>
      <c r="AA1198" s="294"/>
      <c r="AB1198" s="294"/>
      <c r="AC1198" s="294"/>
      <c r="AD1198" s="294"/>
      <c r="AE1198" s="294"/>
      <c r="AF1198" s="294"/>
      <c r="AG1198" s="294"/>
    </row>
    <row r="1199" spans="2:33" x14ac:dyDescent="0.25">
      <c r="B1199" s="294"/>
      <c r="C1199" s="294"/>
      <c r="D1199" s="294"/>
      <c r="E1199" s="294"/>
      <c r="F1199" s="294"/>
      <c r="G1199" s="294"/>
      <c r="H1199" s="294"/>
      <c r="I1199" s="294"/>
      <c r="J1199" s="294"/>
      <c r="L1199" s="295"/>
      <c r="M1199" s="294"/>
      <c r="O1199" s="294"/>
      <c r="P1199" s="294"/>
      <c r="Q1199" s="294"/>
      <c r="R1199" s="294"/>
      <c r="S1199" s="294"/>
      <c r="T1199" s="294"/>
      <c r="U1199" s="294"/>
      <c r="V1199" s="294"/>
      <c r="W1199" s="294"/>
      <c r="X1199" s="294"/>
      <c r="Y1199" s="294"/>
      <c r="Z1199" s="294"/>
      <c r="AA1199" s="294"/>
      <c r="AB1199" s="294"/>
      <c r="AC1199" s="294"/>
      <c r="AD1199" s="294"/>
      <c r="AE1199" s="294"/>
      <c r="AF1199" s="294"/>
      <c r="AG1199" s="294"/>
    </row>
    <row r="1200" spans="2:33" x14ac:dyDescent="0.25">
      <c r="B1200" s="294"/>
      <c r="C1200" s="294"/>
      <c r="D1200" s="294"/>
      <c r="E1200" s="294"/>
      <c r="F1200" s="294"/>
      <c r="G1200" s="294"/>
      <c r="H1200" s="294"/>
      <c r="I1200" s="294"/>
      <c r="J1200" s="294"/>
      <c r="L1200" s="295"/>
      <c r="M1200" s="294"/>
      <c r="O1200" s="294"/>
      <c r="P1200" s="294"/>
      <c r="Q1200" s="294"/>
      <c r="R1200" s="294"/>
      <c r="S1200" s="294"/>
      <c r="T1200" s="294"/>
      <c r="U1200" s="294"/>
      <c r="V1200" s="294"/>
      <c r="W1200" s="294"/>
      <c r="X1200" s="294"/>
      <c r="Y1200" s="294"/>
      <c r="Z1200" s="294"/>
      <c r="AA1200" s="294"/>
      <c r="AB1200" s="294"/>
      <c r="AC1200" s="294"/>
      <c r="AD1200" s="294"/>
      <c r="AE1200" s="294"/>
      <c r="AF1200" s="294"/>
      <c r="AG1200" s="294"/>
    </row>
    <row r="1201" spans="2:33" x14ac:dyDescent="0.25">
      <c r="B1201" s="294"/>
      <c r="C1201" s="294"/>
      <c r="D1201" s="294"/>
      <c r="E1201" s="294"/>
      <c r="F1201" s="294"/>
      <c r="G1201" s="294"/>
      <c r="H1201" s="294"/>
      <c r="I1201" s="294"/>
      <c r="J1201" s="294"/>
      <c r="L1201" s="295"/>
      <c r="M1201" s="294"/>
      <c r="O1201" s="294"/>
      <c r="P1201" s="294"/>
      <c r="Q1201" s="294"/>
      <c r="R1201" s="294"/>
      <c r="S1201" s="294"/>
      <c r="T1201" s="294"/>
      <c r="U1201" s="294"/>
      <c r="V1201" s="294"/>
      <c r="W1201" s="294"/>
      <c r="X1201" s="294"/>
      <c r="Y1201" s="294"/>
      <c r="Z1201" s="294"/>
      <c r="AA1201" s="294"/>
      <c r="AB1201" s="294"/>
      <c r="AC1201" s="294"/>
      <c r="AD1201" s="294"/>
      <c r="AE1201" s="294"/>
      <c r="AF1201" s="294"/>
      <c r="AG1201" s="294"/>
    </row>
    <row r="1202" spans="2:33" x14ac:dyDescent="0.25">
      <c r="B1202" s="294"/>
      <c r="C1202" s="294"/>
      <c r="D1202" s="294"/>
      <c r="E1202" s="294"/>
      <c r="F1202" s="294"/>
      <c r="G1202" s="294"/>
      <c r="H1202" s="294"/>
      <c r="I1202" s="294"/>
      <c r="J1202" s="294"/>
      <c r="L1202" s="295"/>
      <c r="M1202" s="294"/>
      <c r="O1202" s="294"/>
      <c r="P1202" s="294"/>
      <c r="Q1202" s="294"/>
      <c r="R1202" s="294"/>
      <c r="S1202" s="294"/>
      <c r="T1202" s="294"/>
      <c r="U1202" s="294"/>
      <c r="V1202" s="294"/>
      <c r="W1202" s="294"/>
      <c r="X1202" s="294"/>
      <c r="Y1202" s="294"/>
      <c r="Z1202" s="294"/>
      <c r="AA1202" s="294"/>
      <c r="AB1202" s="294"/>
      <c r="AC1202" s="294"/>
      <c r="AD1202" s="294"/>
      <c r="AE1202" s="294"/>
      <c r="AF1202" s="294"/>
      <c r="AG1202" s="294"/>
    </row>
    <row r="1203" spans="2:33" x14ac:dyDescent="0.25">
      <c r="B1203" s="294"/>
      <c r="C1203" s="294"/>
      <c r="D1203" s="294"/>
      <c r="E1203" s="294"/>
      <c r="F1203" s="294"/>
      <c r="G1203" s="294"/>
      <c r="H1203" s="294"/>
      <c r="I1203" s="294"/>
      <c r="J1203" s="294"/>
      <c r="L1203" s="295"/>
      <c r="M1203" s="294"/>
      <c r="O1203" s="294"/>
      <c r="P1203" s="294"/>
      <c r="Q1203" s="294"/>
      <c r="R1203" s="294"/>
      <c r="S1203" s="294"/>
      <c r="T1203" s="294"/>
      <c r="U1203" s="294"/>
      <c r="V1203" s="294"/>
      <c r="W1203" s="294"/>
      <c r="X1203" s="294"/>
      <c r="Y1203" s="294"/>
      <c r="Z1203" s="294"/>
      <c r="AA1203" s="294"/>
      <c r="AB1203" s="294"/>
      <c r="AC1203" s="294"/>
      <c r="AD1203" s="294"/>
      <c r="AE1203" s="294"/>
      <c r="AF1203" s="294"/>
      <c r="AG1203" s="294"/>
    </row>
    <row r="1204" spans="2:33" x14ac:dyDescent="0.25">
      <c r="B1204" s="294"/>
      <c r="C1204" s="294"/>
      <c r="D1204" s="294"/>
      <c r="E1204" s="294"/>
      <c r="F1204" s="294"/>
      <c r="G1204" s="294"/>
      <c r="H1204" s="294"/>
      <c r="I1204" s="294"/>
      <c r="J1204" s="294"/>
      <c r="L1204" s="295"/>
      <c r="M1204" s="294"/>
      <c r="O1204" s="294"/>
      <c r="P1204" s="294"/>
      <c r="Q1204" s="294"/>
      <c r="R1204" s="294"/>
      <c r="S1204" s="294"/>
      <c r="T1204" s="294"/>
      <c r="U1204" s="294"/>
      <c r="V1204" s="294"/>
      <c r="W1204" s="294"/>
      <c r="X1204" s="294"/>
      <c r="Y1204" s="294"/>
      <c r="Z1204" s="294"/>
      <c r="AA1204" s="294"/>
      <c r="AB1204" s="294"/>
      <c r="AC1204" s="294"/>
      <c r="AD1204" s="294"/>
      <c r="AE1204" s="294"/>
      <c r="AF1204" s="294"/>
      <c r="AG1204" s="294"/>
    </row>
    <row r="1205" spans="2:33" x14ac:dyDescent="0.25">
      <c r="B1205" s="294"/>
      <c r="C1205" s="294"/>
      <c r="D1205" s="294"/>
      <c r="E1205" s="294"/>
      <c r="F1205" s="294"/>
      <c r="G1205" s="294"/>
      <c r="H1205" s="294"/>
      <c r="I1205" s="294"/>
      <c r="J1205" s="294"/>
      <c r="L1205" s="295"/>
      <c r="M1205" s="294"/>
      <c r="O1205" s="294"/>
      <c r="P1205" s="294"/>
      <c r="Q1205" s="294"/>
      <c r="R1205" s="294"/>
      <c r="S1205" s="294"/>
      <c r="T1205" s="294"/>
      <c r="U1205" s="294"/>
      <c r="V1205" s="294"/>
      <c r="W1205" s="294"/>
      <c r="X1205" s="294"/>
      <c r="Y1205" s="294"/>
      <c r="Z1205" s="294"/>
      <c r="AA1205" s="294"/>
      <c r="AB1205" s="294"/>
      <c r="AC1205" s="294"/>
      <c r="AD1205" s="294"/>
      <c r="AE1205" s="294"/>
      <c r="AF1205" s="294"/>
      <c r="AG1205" s="294"/>
    </row>
    <row r="1206" spans="2:33" x14ac:dyDescent="0.25">
      <c r="B1206" s="294"/>
      <c r="C1206" s="294"/>
      <c r="D1206" s="294"/>
      <c r="E1206" s="294"/>
      <c r="F1206" s="294"/>
      <c r="G1206" s="294"/>
      <c r="H1206" s="294"/>
      <c r="I1206" s="294"/>
      <c r="J1206" s="294"/>
      <c r="L1206" s="295"/>
      <c r="M1206" s="294"/>
      <c r="O1206" s="294"/>
      <c r="P1206" s="294"/>
      <c r="Q1206" s="294"/>
      <c r="R1206" s="294"/>
      <c r="S1206" s="294"/>
      <c r="T1206" s="294"/>
      <c r="U1206" s="294"/>
      <c r="V1206" s="294"/>
      <c r="W1206" s="294"/>
      <c r="X1206" s="294"/>
      <c r="Y1206" s="294"/>
      <c r="Z1206" s="294"/>
      <c r="AA1206" s="294"/>
      <c r="AB1206" s="294"/>
      <c r="AC1206" s="294"/>
      <c r="AD1206" s="294"/>
      <c r="AE1206" s="294"/>
      <c r="AF1206" s="294"/>
      <c r="AG1206" s="294"/>
    </row>
    <row r="1207" spans="2:33" x14ac:dyDescent="0.25">
      <c r="B1207" s="294"/>
      <c r="C1207" s="294"/>
      <c r="D1207" s="294"/>
      <c r="E1207" s="294"/>
      <c r="F1207" s="294"/>
      <c r="G1207" s="294"/>
      <c r="H1207" s="294"/>
      <c r="I1207" s="294"/>
      <c r="J1207" s="294"/>
      <c r="L1207" s="295"/>
      <c r="M1207" s="294"/>
      <c r="O1207" s="294"/>
      <c r="P1207" s="294"/>
      <c r="Q1207" s="294"/>
      <c r="R1207" s="294"/>
      <c r="S1207" s="294"/>
      <c r="T1207" s="294"/>
      <c r="U1207" s="294"/>
      <c r="V1207" s="294"/>
      <c r="W1207" s="294"/>
      <c r="X1207" s="294"/>
      <c r="Y1207" s="294"/>
      <c r="Z1207" s="294"/>
      <c r="AA1207" s="294"/>
      <c r="AB1207" s="294"/>
      <c r="AC1207" s="294"/>
      <c r="AD1207" s="294"/>
      <c r="AE1207" s="294"/>
      <c r="AF1207" s="294"/>
      <c r="AG1207" s="294"/>
    </row>
    <row r="1208" spans="2:33" x14ac:dyDescent="0.25">
      <c r="B1208" s="294"/>
      <c r="C1208" s="294"/>
      <c r="D1208" s="294"/>
      <c r="E1208" s="294"/>
      <c r="F1208" s="294"/>
      <c r="G1208" s="294"/>
      <c r="H1208" s="294"/>
      <c r="I1208" s="294"/>
      <c r="J1208" s="294"/>
      <c r="L1208" s="295"/>
      <c r="M1208" s="294"/>
      <c r="O1208" s="294"/>
      <c r="P1208" s="294"/>
      <c r="Q1208" s="294"/>
      <c r="R1208" s="294"/>
      <c r="S1208" s="294"/>
      <c r="T1208" s="294"/>
      <c r="U1208" s="294"/>
      <c r="V1208" s="294"/>
      <c r="W1208" s="294"/>
      <c r="X1208" s="294"/>
      <c r="Y1208" s="294"/>
      <c r="Z1208" s="294"/>
      <c r="AA1208" s="294"/>
      <c r="AB1208" s="294"/>
      <c r="AC1208" s="294"/>
      <c r="AD1208" s="294"/>
      <c r="AE1208" s="294"/>
      <c r="AF1208" s="294"/>
      <c r="AG1208" s="294"/>
    </row>
    <row r="1209" spans="2:33" x14ac:dyDescent="0.25">
      <c r="B1209" s="294"/>
      <c r="C1209" s="294"/>
      <c r="D1209" s="294"/>
      <c r="E1209" s="294"/>
      <c r="F1209" s="294"/>
      <c r="G1209" s="294"/>
      <c r="H1209" s="294"/>
      <c r="I1209" s="294"/>
      <c r="J1209" s="294"/>
      <c r="L1209" s="295"/>
      <c r="M1209" s="294"/>
      <c r="O1209" s="294"/>
      <c r="P1209" s="294"/>
      <c r="Q1209" s="294"/>
      <c r="R1209" s="294"/>
      <c r="S1209" s="294"/>
      <c r="T1209" s="294"/>
      <c r="U1209" s="294"/>
      <c r="V1209" s="294"/>
      <c r="W1209" s="294"/>
      <c r="X1209" s="294"/>
      <c r="Y1209" s="294"/>
      <c r="Z1209" s="294"/>
      <c r="AA1209" s="294"/>
      <c r="AB1209" s="294"/>
      <c r="AC1209" s="294"/>
      <c r="AD1209" s="294"/>
      <c r="AE1209" s="294"/>
      <c r="AF1209" s="294"/>
      <c r="AG1209" s="294"/>
    </row>
    <row r="1210" spans="2:33" x14ac:dyDescent="0.25">
      <c r="B1210" s="294"/>
      <c r="C1210" s="294"/>
      <c r="D1210" s="294"/>
      <c r="E1210" s="294"/>
      <c r="F1210" s="294"/>
      <c r="G1210" s="294"/>
      <c r="H1210" s="294"/>
      <c r="I1210" s="294"/>
      <c r="J1210" s="294"/>
      <c r="L1210" s="295"/>
      <c r="M1210" s="294"/>
      <c r="O1210" s="294"/>
      <c r="P1210" s="294"/>
      <c r="Q1210" s="294"/>
      <c r="R1210" s="294"/>
      <c r="S1210" s="294"/>
      <c r="T1210" s="294"/>
      <c r="U1210" s="294"/>
      <c r="V1210" s="294"/>
      <c r="W1210" s="294"/>
      <c r="X1210" s="294"/>
      <c r="Y1210" s="294"/>
      <c r="Z1210" s="294"/>
      <c r="AA1210" s="294"/>
      <c r="AB1210" s="294"/>
      <c r="AC1210" s="294"/>
      <c r="AD1210" s="294"/>
      <c r="AE1210" s="294"/>
      <c r="AF1210" s="294"/>
      <c r="AG1210" s="294"/>
    </row>
    <row r="1211" spans="2:33" x14ac:dyDescent="0.25">
      <c r="B1211" s="294"/>
      <c r="C1211" s="294"/>
      <c r="D1211" s="294"/>
      <c r="E1211" s="294"/>
      <c r="F1211" s="294"/>
      <c r="G1211" s="294"/>
      <c r="H1211" s="294"/>
      <c r="I1211" s="294"/>
      <c r="J1211" s="294"/>
      <c r="L1211" s="295"/>
      <c r="M1211" s="294"/>
      <c r="O1211" s="294"/>
      <c r="P1211" s="294"/>
      <c r="Q1211" s="294"/>
      <c r="R1211" s="294"/>
      <c r="S1211" s="294"/>
      <c r="T1211" s="294"/>
      <c r="U1211" s="294"/>
      <c r="V1211" s="294"/>
      <c r="W1211" s="294"/>
      <c r="X1211" s="294"/>
      <c r="Y1211" s="294"/>
      <c r="Z1211" s="294"/>
      <c r="AA1211" s="294"/>
      <c r="AB1211" s="294"/>
      <c r="AC1211" s="294"/>
      <c r="AD1211" s="294"/>
      <c r="AE1211" s="294"/>
      <c r="AF1211" s="294"/>
      <c r="AG1211" s="294"/>
    </row>
    <row r="1212" spans="2:33" x14ac:dyDescent="0.25">
      <c r="B1212" s="294"/>
      <c r="C1212" s="294"/>
      <c r="D1212" s="294"/>
      <c r="E1212" s="294"/>
      <c r="F1212" s="294"/>
      <c r="G1212" s="294"/>
      <c r="H1212" s="294"/>
      <c r="I1212" s="294"/>
      <c r="J1212" s="294"/>
      <c r="L1212" s="295"/>
      <c r="M1212" s="294"/>
      <c r="O1212" s="294"/>
      <c r="P1212" s="294"/>
      <c r="Q1212" s="294"/>
      <c r="R1212" s="294"/>
      <c r="S1212" s="294"/>
      <c r="T1212" s="294"/>
      <c r="U1212" s="294"/>
      <c r="V1212" s="294"/>
      <c r="W1212" s="294"/>
      <c r="X1212" s="294"/>
      <c r="Y1212" s="294"/>
      <c r="Z1212" s="294"/>
      <c r="AA1212" s="294"/>
      <c r="AB1212" s="294"/>
      <c r="AC1212" s="294"/>
      <c r="AD1212" s="294"/>
      <c r="AE1212" s="294"/>
      <c r="AF1212" s="294"/>
      <c r="AG1212" s="294"/>
    </row>
    <row r="1213" spans="2:33" x14ac:dyDescent="0.25">
      <c r="B1213" s="294"/>
      <c r="C1213" s="294"/>
      <c r="D1213" s="294"/>
      <c r="E1213" s="294"/>
      <c r="F1213" s="294"/>
      <c r="G1213" s="294"/>
      <c r="H1213" s="294"/>
      <c r="I1213" s="294"/>
      <c r="J1213" s="294"/>
      <c r="L1213" s="295"/>
      <c r="M1213" s="294"/>
      <c r="O1213" s="294"/>
      <c r="P1213" s="294"/>
      <c r="Q1213" s="294"/>
      <c r="R1213" s="294"/>
      <c r="S1213" s="294"/>
      <c r="T1213" s="294"/>
      <c r="U1213" s="294"/>
      <c r="V1213" s="294"/>
      <c r="W1213" s="294"/>
      <c r="X1213" s="294"/>
      <c r="Y1213" s="294"/>
      <c r="Z1213" s="294"/>
      <c r="AA1213" s="294"/>
      <c r="AB1213" s="294"/>
      <c r="AC1213" s="294"/>
      <c r="AD1213" s="294"/>
      <c r="AE1213" s="294"/>
      <c r="AF1213" s="294"/>
      <c r="AG1213" s="294"/>
    </row>
    <row r="1214" spans="2:33" x14ac:dyDescent="0.25">
      <c r="B1214" s="294"/>
      <c r="C1214" s="294"/>
      <c r="D1214" s="294"/>
      <c r="E1214" s="294"/>
      <c r="F1214" s="294"/>
      <c r="G1214" s="294"/>
      <c r="H1214" s="294"/>
      <c r="I1214" s="294"/>
      <c r="J1214" s="294"/>
      <c r="L1214" s="295"/>
      <c r="M1214" s="294"/>
      <c r="O1214" s="294"/>
      <c r="P1214" s="294"/>
      <c r="Q1214" s="294"/>
      <c r="R1214" s="294"/>
      <c r="S1214" s="294"/>
      <c r="T1214" s="294"/>
      <c r="U1214" s="294"/>
      <c r="V1214" s="294"/>
      <c r="W1214" s="294"/>
      <c r="X1214" s="294"/>
      <c r="Y1214" s="294"/>
      <c r="Z1214" s="294"/>
      <c r="AA1214" s="294"/>
      <c r="AB1214" s="294"/>
      <c r="AC1214" s="294"/>
      <c r="AD1214" s="294"/>
      <c r="AE1214" s="294"/>
      <c r="AF1214" s="294"/>
      <c r="AG1214" s="294"/>
    </row>
    <row r="1215" spans="2:33" x14ac:dyDescent="0.25">
      <c r="B1215" s="294"/>
      <c r="C1215" s="294"/>
      <c r="D1215" s="294"/>
      <c r="E1215" s="294"/>
      <c r="F1215" s="294"/>
      <c r="G1215" s="294"/>
      <c r="H1215" s="294"/>
      <c r="I1215" s="294"/>
      <c r="J1215" s="294"/>
      <c r="L1215" s="295"/>
      <c r="M1215" s="294"/>
      <c r="O1215" s="294"/>
      <c r="P1215" s="294"/>
      <c r="Q1215" s="294"/>
      <c r="R1215" s="294"/>
      <c r="S1215" s="294"/>
      <c r="T1215" s="294"/>
      <c r="U1215" s="294"/>
      <c r="V1215" s="294"/>
      <c r="W1215" s="294"/>
      <c r="X1215" s="294"/>
      <c r="Y1215" s="294"/>
      <c r="Z1215" s="294"/>
      <c r="AA1215" s="294"/>
      <c r="AB1215" s="294"/>
      <c r="AC1215" s="294"/>
      <c r="AD1215" s="294"/>
      <c r="AE1215" s="294"/>
      <c r="AF1215" s="294"/>
      <c r="AG1215" s="294"/>
    </row>
    <row r="1216" spans="2:33" x14ac:dyDescent="0.25">
      <c r="B1216" s="294"/>
      <c r="C1216" s="294"/>
      <c r="D1216" s="294"/>
      <c r="E1216" s="294"/>
      <c r="F1216" s="294"/>
      <c r="G1216" s="294"/>
      <c r="H1216" s="294"/>
      <c r="I1216" s="294"/>
      <c r="J1216" s="294"/>
      <c r="L1216" s="295"/>
      <c r="M1216" s="294"/>
      <c r="O1216" s="294"/>
      <c r="P1216" s="294"/>
      <c r="Q1216" s="294"/>
      <c r="R1216" s="294"/>
      <c r="S1216" s="294"/>
      <c r="T1216" s="294"/>
      <c r="U1216" s="294"/>
      <c r="V1216" s="294"/>
      <c r="W1216" s="294"/>
      <c r="X1216" s="294"/>
      <c r="Y1216" s="294"/>
      <c r="Z1216" s="294"/>
      <c r="AA1216" s="294"/>
      <c r="AB1216" s="294"/>
      <c r="AC1216" s="294"/>
      <c r="AD1216" s="294"/>
      <c r="AE1216" s="294"/>
      <c r="AF1216" s="294"/>
      <c r="AG1216" s="294"/>
    </row>
    <row r="1217" spans="2:33" x14ac:dyDescent="0.25">
      <c r="B1217" s="294"/>
      <c r="C1217" s="294"/>
      <c r="D1217" s="294"/>
      <c r="E1217" s="294"/>
      <c r="F1217" s="294"/>
      <c r="G1217" s="294"/>
      <c r="H1217" s="294"/>
      <c r="I1217" s="294"/>
      <c r="J1217" s="294"/>
      <c r="L1217" s="295"/>
      <c r="M1217" s="294"/>
      <c r="O1217" s="294"/>
      <c r="P1217" s="294"/>
      <c r="Q1217" s="294"/>
      <c r="R1217" s="294"/>
      <c r="S1217" s="294"/>
      <c r="T1217" s="294"/>
      <c r="U1217" s="294"/>
      <c r="V1217" s="294"/>
      <c r="W1217" s="294"/>
      <c r="X1217" s="294"/>
      <c r="Y1217" s="294"/>
      <c r="Z1217" s="294"/>
      <c r="AA1217" s="294"/>
      <c r="AB1217" s="294"/>
      <c r="AC1217" s="294"/>
      <c r="AD1217" s="294"/>
      <c r="AE1217" s="294"/>
      <c r="AF1217" s="294"/>
      <c r="AG1217" s="294"/>
    </row>
    <row r="1218" spans="2:33" x14ac:dyDescent="0.25">
      <c r="B1218" s="294"/>
      <c r="C1218" s="294"/>
      <c r="D1218" s="294"/>
      <c r="E1218" s="294"/>
      <c r="F1218" s="294"/>
      <c r="G1218" s="294"/>
      <c r="H1218" s="294"/>
      <c r="I1218" s="294"/>
      <c r="J1218" s="294"/>
      <c r="L1218" s="295"/>
      <c r="M1218" s="294"/>
      <c r="O1218" s="294"/>
      <c r="P1218" s="294"/>
      <c r="Q1218" s="294"/>
      <c r="R1218" s="294"/>
      <c r="S1218" s="294"/>
      <c r="T1218" s="294"/>
      <c r="U1218" s="294"/>
      <c r="V1218" s="294"/>
      <c r="W1218" s="294"/>
      <c r="X1218" s="294"/>
      <c r="Y1218" s="294"/>
      <c r="Z1218" s="294"/>
      <c r="AA1218" s="294"/>
      <c r="AB1218" s="294"/>
      <c r="AC1218" s="294"/>
      <c r="AD1218" s="294"/>
      <c r="AE1218" s="294"/>
      <c r="AF1218" s="294"/>
      <c r="AG1218" s="294"/>
    </row>
    <row r="1219" spans="2:33" x14ac:dyDescent="0.25">
      <c r="B1219" s="294"/>
      <c r="C1219" s="294"/>
      <c r="D1219" s="294"/>
      <c r="E1219" s="294"/>
      <c r="F1219" s="294"/>
      <c r="G1219" s="294"/>
      <c r="H1219" s="294"/>
      <c r="I1219" s="294"/>
      <c r="J1219" s="294"/>
      <c r="L1219" s="295"/>
      <c r="M1219" s="294"/>
      <c r="O1219" s="294"/>
      <c r="P1219" s="294"/>
      <c r="Q1219" s="294"/>
      <c r="R1219" s="294"/>
      <c r="S1219" s="294"/>
      <c r="T1219" s="294"/>
      <c r="U1219" s="294"/>
      <c r="V1219" s="294"/>
      <c r="W1219" s="294"/>
      <c r="X1219" s="294"/>
      <c r="Y1219" s="294"/>
      <c r="Z1219" s="294"/>
      <c r="AA1219" s="294"/>
      <c r="AB1219" s="294"/>
      <c r="AC1219" s="294"/>
      <c r="AD1219" s="294"/>
      <c r="AE1219" s="294"/>
      <c r="AF1219" s="294"/>
      <c r="AG1219" s="294"/>
    </row>
    <row r="1220" spans="2:33" x14ac:dyDescent="0.25">
      <c r="B1220" s="294"/>
      <c r="C1220" s="294"/>
      <c r="D1220" s="294"/>
      <c r="E1220" s="294"/>
      <c r="F1220" s="294"/>
      <c r="G1220" s="294"/>
      <c r="H1220" s="294"/>
      <c r="I1220" s="294"/>
      <c r="J1220" s="294"/>
      <c r="L1220" s="295"/>
      <c r="M1220" s="294"/>
      <c r="O1220" s="294"/>
      <c r="P1220" s="294"/>
      <c r="Q1220" s="294"/>
      <c r="R1220" s="294"/>
      <c r="S1220" s="294"/>
      <c r="T1220" s="294"/>
      <c r="U1220" s="294"/>
      <c r="V1220" s="294"/>
      <c r="W1220" s="294"/>
      <c r="X1220" s="294"/>
      <c r="Y1220" s="294"/>
      <c r="Z1220" s="294"/>
      <c r="AA1220" s="294"/>
      <c r="AB1220" s="294"/>
      <c r="AC1220" s="294"/>
      <c r="AD1220" s="294"/>
      <c r="AE1220" s="294"/>
      <c r="AF1220" s="294"/>
      <c r="AG1220" s="294"/>
    </row>
    <row r="1221" spans="2:33" x14ac:dyDescent="0.25">
      <c r="B1221" s="294"/>
      <c r="C1221" s="294"/>
      <c r="D1221" s="294"/>
      <c r="E1221" s="294"/>
      <c r="F1221" s="294"/>
      <c r="G1221" s="294"/>
      <c r="H1221" s="294"/>
      <c r="I1221" s="294"/>
      <c r="J1221" s="294"/>
      <c r="L1221" s="295"/>
      <c r="M1221" s="294"/>
      <c r="O1221" s="294"/>
      <c r="P1221" s="294"/>
      <c r="Q1221" s="294"/>
      <c r="R1221" s="294"/>
      <c r="S1221" s="294"/>
      <c r="T1221" s="294"/>
      <c r="U1221" s="294"/>
      <c r="V1221" s="294"/>
      <c r="W1221" s="294"/>
      <c r="X1221" s="294"/>
      <c r="Y1221" s="294"/>
      <c r="Z1221" s="294"/>
      <c r="AA1221" s="294"/>
      <c r="AB1221" s="294"/>
      <c r="AC1221" s="294"/>
      <c r="AD1221" s="294"/>
      <c r="AE1221" s="294"/>
      <c r="AF1221" s="294"/>
      <c r="AG1221" s="294"/>
    </row>
    <row r="1222" spans="2:33" x14ac:dyDescent="0.25">
      <c r="B1222" s="294"/>
      <c r="C1222" s="294"/>
      <c r="D1222" s="294"/>
      <c r="E1222" s="294"/>
      <c r="F1222" s="294"/>
      <c r="G1222" s="294"/>
      <c r="H1222" s="294"/>
      <c r="I1222" s="294"/>
      <c r="J1222" s="294"/>
      <c r="L1222" s="295"/>
      <c r="M1222" s="294"/>
      <c r="O1222" s="294"/>
      <c r="P1222" s="294"/>
      <c r="Q1222" s="294"/>
      <c r="R1222" s="294"/>
      <c r="S1222" s="294"/>
      <c r="T1222" s="294"/>
      <c r="U1222" s="294"/>
      <c r="V1222" s="294"/>
      <c r="W1222" s="294"/>
      <c r="X1222" s="294"/>
      <c r="Y1222" s="294"/>
      <c r="Z1222" s="294"/>
      <c r="AA1222" s="294"/>
      <c r="AB1222" s="294"/>
      <c r="AC1222" s="294"/>
      <c r="AD1222" s="294"/>
      <c r="AE1222" s="294"/>
      <c r="AF1222" s="294"/>
      <c r="AG1222" s="294"/>
    </row>
    <row r="1223" spans="2:33" x14ac:dyDescent="0.25">
      <c r="B1223" s="294"/>
      <c r="C1223" s="294"/>
      <c r="D1223" s="294"/>
      <c r="E1223" s="294"/>
      <c r="F1223" s="294"/>
      <c r="G1223" s="294"/>
      <c r="H1223" s="294"/>
      <c r="I1223" s="294"/>
      <c r="J1223" s="294"/>
      <c r="L1223" s="295"/>
      <c r="M1223" s="294"/>
      <c r="O1223" s="294"/>
      <c r="P1223" s="294"/>
      <c r="Q1223" s="294"/>
      <c r="R1223" s="294"/>
      <c r="S1223" s="294"/>
      <c r="T1223" s="294"/>
      <c r="U1223" s="294"/>
      <c r="V1223" s="294"/>
      <c r="W1223" s="294"/>
      <c r="X1223" s="294"/>
      <c r="Y1223" s="294"/>
      <c r="Z1223" s="294"/>
      <c r="AA1223" s="294"/>
      <c r="AB1223" s="294"/>
      <c r="AC1223" s="294"/>
      <c r="AD1223" s="294"/>
      <c r="AE1223" s="294"/>
      <c r="AF1223" s="294"/>
      <c r="AG1223" s="294"/>
    </row>
    <row r="1224" spans="2:33" x14ac:dyDescent="0.25">
      <c r="B1224" s="294"/>
      <c r="C1224" s="294"/>
      <c r="D1224" s="294"/>
      <c r="E1224" s="294"/>
      <c r="F1224" s="294"/>
      <c r="G1224" s="294"/>
      <c r="H1224" s="294"/>
      <c r="I1224" s="294"/>
      <c r="J1224" s="294"/>
      <c r="L1224" s="295"/>
      <c r="M1224" s="294"/>
      <c r="O1224" s="294"/>
      <c r="P1224" s="294"/>
      <c r="Q1224" s="294"/>
      <c r="R1224" s="294"/>
      <c r="S1224" s="294"/>
      <c r="T1224" s="294"/>
      <c r="U1224" s="294"/>
      <c r="V1224" s="294"/>
      <c r="W1224" s="294"/>
      <c r="X1224" s="294"/>
      <c r="Y1224" s="294"/>
      <c r="Z1224" s="294"/>
      <c r="AA1224" s="294"/>
      <c r="AB1224" s="294"/>
      <c r="AC1224" s="294"/>
      <c r="AD1224" s="294"/>
      <c r="AE1224" s="294"/>
      <c r="AF1224" s="294"/>
      <c r="AG1224" s="294"/>
    </row>
    <row r="1225" spans="2:33" x14ac:dyDescent="0.25">
      <c r="B1225" s="294"/>
      <c r="C1225" s="294"/>
      <c r="D1225" s="294"/>
      <c r="E1225" s="294"/>
      <c r="F1225" s="294"/>
      <c r="G1225" s="294"/>
      <c r="H1225" s="294"/>
      <c r="I1225" s="294"/>
      <c r="J1225" s="294"/>
      <c r="L1225" s="295"/>
      <c r="M1225" s="294"/>
      <c r="O1225" s="294"/>
      <c r="P1225" s="294"/>
      <c r="Q1225" s="294"/>
      <c r="R1225" s="294"/>
      <c r="S1225" s="294"/>
      <c r="T1225" s="294"/>
      <c r="U1225" s="294"/>
      <c r="V1225" s="294"/>
      <c r="W1225" s="294"/>
      <c r="X1225" s="294"/>
      <c r="Y1225" s="294"/>
      <c r="Z1225" s="294"/>
      <c r="AA1225" s="294"/>
      <c r="AB1225" s="294"/>
      <c r="AC1225" s="294"/>
      <c r="AD1225" s="294"/>
      <c r="AE1225" s="294"/>
      <c r="AF1225" s="294"/>
      <c r="AG1225" s="294"/>
    </row>
    <row r="1226" spans="2:33" x14ac:dyDescent="0.25">
      <c r="B1226" s="294"/>
      <c r="C1226" s="294"/>
      <c r="D1226" s="294"/>
      <c r="E1226" s="294"/>
      <c r="F1226" s="294"/>
      <c r="G1226" s="294"/>
      <c r="H1226" s="294"/>
      <c r="I1226" s="294"/>
      <c r="J1226" s="294"/>
      <c r="L1226" s="295"/>
      <c r="M1226" s="294"/>
      <c r="O1226" s="294"/>
      <c r="P1226" s="294"/>
      <c r="Q1226" s="294"/>
      <c r="R1226" s="294"/>
      <c r="S1226" s="294"/>
      <c r="T1226" s="294"/>
      <c r="U1226" s="294"/>
      <c r="V1226" s="294"/>
      <c r="W1226" s="294"/>
      <c r="X1226" s="294"/>
      <c r="Y1226" s="294"/>
      <c r="Z1226" s="294"/>
      <c r="AA1226" s="294"/>
      <c r="AB1226" s="294"/>
      <c r="AC1226" s="294"/>
      <c r="AD1226" s="294"/>
      <c r="AE1226" s="294"/>
      <c r="AF1226" s="294"/>
      <c r="AG1226" s="294"/>
    </row>
    <row r="1227" spans="2:33" x14ac:dyDescent="0.25">
      <c r="B1227" s="294"/>
      <c r="C1227" s="294"/>
      <c r="D1227" s="294"/>
      <c r="E1227" s="294"/>
      <c r="F1227" s="294"/>
      <c r="G1227" s="294"/>
      <c r="H1227" s="294"/>
      <c r="I1227" s="294"/>
      <c r="J1227" s="294"/>
      <c r="L1227" s="295"/>
      <c r="M1227" s="294"/>
      <c r="O1227" s="294"/>
      <c r="P1227" s="294"/>
      <c r="Q1227" s="294"/>
      <c r="R1227" s="294"/>
      <c r="S1227" s="294"/>
      <c r="T1227" s="294"/>
      <c r="U1227" s="294"/>
      <c r="V1227" s="294"/>
      <c r="W1227" s="294"/>
      <c r="X1227" s="294"/>
      <c r="Y1227" s="294"/>
      <c r="Z1227" s="294"/>
      <c r="AA1227" s="294"/>
      <c r="AB1227" s="294"/>
      <c r="AC1227" s="294"/>
      <c r="AD1227" s="294"/>
      <c r="AE1227" s="294"/>
      <c r="AF1227" s="294"/>
      <c r="AG1227" s="294"/>
    </row>
    <row r="1228" spans="2:33" x14ac:dyDescent="0.25">
      <c r="B1228" s="294"/>
      <c r="C1228" s="294"/>
      <c r="D1228" s="294"/>
      <c r="E1228" s="294"/>
      <c r="F1228" s="294"/>
      <c r="G1228" s="294"/>
      <c r="H1228" s="294"/>
      <c r="I1228" s="294"/>
      <c r="J1228" s="294"/>
      <c r="L1228" s="295"/>
      <c r="M1228" s="294"/>
      <c r="O1228" s="294"/>
      <c r="P1228" s="294"/>
      <c r="Q1228" s="294"/>
      <c r="R1228" s="294"/>
      <c r="S1228" s="294"/>
      <c r="T1228" s="294"/>
      <c r="U1228" s="294"/>
      <c r="V1228" s="294"/>
      <c r="W1228" s="294"/>
      <c r="X1228" s="294"/>
      <c r="Y1228" s="294"/>
      <c r="Z1228" s="294"/>
      <c r="AA1228" s="294"/>
      <c r="AB1228" s="294"/>
      <c r="AC1228" s="294"/>
      <c r="AD1228" s="294"/>
      <c r="AE1228" s="294"/>
      <c r="AF1228" s="294"/>
      <c r="AG1228" s="294"/>
    </row>
    <row r="1229" spans="2:33" x14ac:dyDescent="0.25">
      <c r="B1229" s="294"/>
      <c r="C1229" s="294"/>
      <c r="D1229" s="294"/>
      <c r="E1229" s="294"/>
      <c r="F1229" s="294"/>
      <c r="G1229" s="294"/>
      <c r="H1229" s="294"/>
      <c r="I1229" s="294"/>
      <c r="J1229" s="294"/>
      <c r="L1229" s="295"/>
      <c r="M1229" s="294"/>
      <c r="O1229" s="294"/>
      <c r="P1229" s="294"/>
      <c r="Q1229" s="294"/>
      <c r="R1229" s="294"/>
      <c r="S1229" s="294"/>
      <c r="T1229" s="294"/>
      <c r="U1229" s="294"/>
      <c r="V1229" s="294"/>
      <c r="W1229" s="294"/>
      <c r="X1229" s="294"/>
      <c r="Y1229" s="294"/>
      <c r="Z1229" s="294"/>
      <c r="AA1229" s="294"/>
      <c r="AB1229" s="294"/>
      <c r="AC1229" s="294"/>
      <c r="AD1229" s="294"/>
      <c r="AE1229" s="294"/>
      <c r="AF1229" s="294"/>
      <c r="AG1229" s="294"/>
    </row>
    <row r="1230" spans="2:33" x14ac:dyDescent="0.25">
      <c r="B1230" s="294"/>
      <c r="C1230" s="294"/>
      <c r="D1230" s="294"/>
      <c r="E1230" s="294"/>
      <c r="F1230" s="294"/>
      <c r="G1230" s="294"/>
      <c r="H1230" s="294"/>
      <c r="I1230" s="294"/>
      <c r="J1230" s="294"/>
      <c r="L1230" s="295"/>
      <c r="M1230" s="294"/>
      <c r="O1230" s="294"/>
      <c r="P1230" s="294"/>
      <c r="Q1230" s="294"/>
      <c r="R1230" s="294"/>
      <c r="S1230" s="294"/>
      <c r="T1230" s="294"/>
      <c r="U1230" s="294"/>
      <c r="V1230" s="294"/>
      <c r="W1230" s="294"/>
      <c r="X1230" s="294"/>
      <c r="Y1230" s="294"/>
      <c r="Z1230" s="294"/>
      <c r="AA1230" s="294"/>
      <c r="AB1230" s="294"/>
      <c r="AC1230" s="294"/>
      <c r="AD1230" s="294"/>
      <c r="AE1230" s="294"/>
      <c r="AF1230" s="294"/>
      <c r="AG1230" s="294"/>
    </row>
    <row r="1231" spans="2:33" x14ac:dyDescent="0.25">
      <c r="B1231" s="294"/>
      <c r="C1231" s="294"/>
      <c r="D1231" s="294"/>
      <c r="E1231" s="294"/>
      <c r="F1231" s="294"/>
      <c r="G1231" s="294"/>
      <c r="H1231" s="294"/>
      <c r="I1231" s="294"/>
      <c r="J1231" s="294"/>
      <c r="L1231" s="295"/>
      <c r="M1231" s="294"/>
      <c r="O1231" s="294"/>
      <c r="P1231" s="294"/>
      <c r="Q1231" s="294"/>
      <c r="R1231" s="294"/>
      <c r="S1231" s="294"/>
      <c r="T1231" s="294"/>
      <c r="U1231" s="294"/>
      <c r="V1231" s="294"/>
      <c r="W1231" s="294"/>
      <c r="X1231" s="294"/>
      <c r="Y1231" s="294"/>
      <c r="Z1231" s="294"/>
      <c r="AA1231" s="294"/>
      <c r="AB1231" s="294"/>
      <c r="AC1231" s="294"/>
      <c r="AD1231" s="294"/>
      <c r="AE1231" s="294"/>
      <c r="AF1231" s="294"/>
      <c r="AG1231" s="294"/>
    </row>
    <row r="1232" spans="2:33" x14ac:dyDescent="0.25">
      <c r="B1232" s="294"/>
      <c r="C1232" s="294"/>
      <c r="D1232" s="294"/>
      <c r="E1232" s="294"/>
      <c r="F1232" s="294"/>
      <c r="G1232" s="294"/>
      <c r="H1232" s="294"/>
      <c r="I1232" s="294"/>
      <c r="J1232" s="294"/>
      <c r="L1232" s="295"/>
      <c r="M1232" s="294"/>
      <c r="O1232" s="294"/>
      <c r="P1232" s="294"/>
      <c r="Q1232" s="294"/>
      <c r="R1232" s="294"/>
      <c r="S1232" s="294"/>
      <c r="T1232" s="294"/>
      <c r="U1232" s="294"/>
      <c r="V1232" s="294"/>
      <c r="W1232" s="294"/>
      <c r="X1232" s="294"/>
      <c r="Y1232" s="294"/>
      <c r="Z1232" s="294"/>
      <c r="AA1232" s="294"/>
      <c r="AB1232" s="294"/>
      <c r="AC1232" s="294"/>
      <c r="AD1232" s="294"/>
      <c r="AE1232" s="294"/>
      <c r="AF1232" s="294"/>
      <c r="AG1232" s="294"/>
    </row>
    <row r="1233" spans="2:33" x14ac:dyDescent="0.25">
      <c r="B1233" s="294"/>
      <c r="C1233" s="294"/>
      <c r="D1233" s="294"/>
      <c r="E1233" s="294"/>
      <c r="F1233" s="294"/>
      <c r="G1233" s="294"/>
      <c r="H1233" s="294"/>
      <c r="I1233" s="294"/>
      <c r="J1233" s="294"/>
      <c r="L1233" s="295"/>
      <c r="M1233" s="294"/>
      <c r="O1233" s="294"/>
      <c r="P1233" s="294"/>
      <c r="Q1233" s="294"/>
      <c r="R1233" s="294"/>
      <c r="S1233" s="294"/>
      <c r="T1233" s="294"/>
      <c r="U1233" s="294"/>
      <c r="V1233" s="294"/>
      <c r="W1233" s="294"/>
      <c r="X1233" s="294"/>
      <c r="Y1233" s="294"/>
      <c r="Z1233" s="294"/>
      <c r="AA1233" s="294"/>
      <c r="AB1233" s="294"/>
      <c r="AC1233" s="294"/>
      <c r="AD1233" s="294"/>
      <c r="AE1233" s="294"/>
      <c r="AF1233" s="294"/>
      <c r="AG1233" s="294"/>
    </row>
    <row r="1234" spans="2:33" x14ac:dyDescent="0.25">
      <c r="B1234" s="294"/>
      <c r="C1234" s="294"/>
      <c r="D1234" s="294"/>
      <c r="E1234" s="294"/>
      <c r="F1234" s="294"/>
      <c r="G1234" s="294"/>
      <c r="H1234" s="294"/>
      <c r="I1234" s="294"/>
      <c r="J1234" s="294"/>
      <c r="L1234" s="295"/>
      <c r="M1234" s="294"/>
      <c r="O1234" s="294"/>
      <c r="P1234" s="294"/>
      <c r="Q1234" s="294"/>
      <c r="R1234" s="294"/>
      <c r="S1234" s="294"/>
      <c r="T1234" s="294"/>
      <c r="U1234" s="294"/>
      <c r="V1234" s="294"/>
      <c r="W1234" s="294"/>
      <c r="X1234" s="294"/>
      <c r="Y1234" s="294"/>
      <c r="Z1234" s="294"/>
      <c r="AA1234" s="294"/>
      <c r="AB1234" s="294"/>
      <c r="AC1234" s="294"/>
      <c r="AD1234" s="294"/>
      <c r="AE1234" s="294"/>
      <c r="AF1234" s="294"/>
      <c r="AG1234" s="294"/>
    </row>
    <row r="1235" spans="2:33" x14ac:dyDescent="0.25">
      <c r="B1235" s="294"/>
      <c r="C1235" s="294"/>
      <c r="D1235" s="294"/>
      <c r="E1235" s="294"/>
      <c r="F1235" s="294"/>
      <c r="G1235" s="294"/>
      <c r="H1235" s="294"/>
      <c r="I1235" s="294"/>
      <c r="J1235" s="294"/>
      <c r="L1235" s="295"/>
      <c r="M1235" s="294"/>
      <c r="O1235" s="294"/>
      <c r="P1235" s="294"/>
      <c r="Q1235" s="294"/>
      <c r="R1235" s="294"/>
      <c r="S1235" s="294"/>
      <c r="T1235" s="294"/>
      <c r="U1235" s="294"/>
      <c r="V1235" s="294"/>
      <c r="W1235" s="294"/>
      <c r="X1235" s="294"/>
      <c r="Y1235" s="294"/>
      <c r="Z1235" s="294"/>
      <c r="AA1235" s="294"/>
      <c r="AB1235" s="294"/>
      <c r="AC1235" s="294"/>
      <c r="AD1235" s="294"/>
      <c r="AE1235" s="294"/>
      <c r="AF1235" s="294"/>
      <c r="AG1235" s="294"/>
    </row>
    <row r="1236" spans="2:33" x14ac:dyDescent="0.25">
      <c r="B1236" s="294"/>
      <c r="C1236" s="294"/>
      <c r="D1236" s="294"/>
      <c r="E1236" s="294"/>
      <c r="F1236" s="294"/>
      <c r="G1236" s="294"/>
      <c r="H1236" s="294"/>
      <c r="I1236" s="294"/>
      <c r="J1236" s="294"/>
      <c r="L1236" s="295"/>
      <c r="M1236" s="294"/>
      <c r="O1236" s="294"/>
      <c r="P1236" s="294"/>
      <c r="Q1236" s="294"/>
      <c r="R1236" s="294"/>
      <c r="S1236" s="294"/>
      <c r="T1236" s="294"/>
      <c r="U1236" s="294"/>
      <c r="V1236" s="294"/>
      <c r="W1236" s="294"/>
      <c r="X1236" s="294"/>
      <c r="Y1236" s="294"/>
      <c r="Z1236" s="294"/>
      <c r="AA1236" s="294"/>
      <c r="AB1236" s="294"/>
      <c r="AC1236" s="294"/>
      <c r="AD1236" s="294"/>
      <c r="AE1236" s="294"/>
      <c r="AF1236" s="294"/>
      <c r="AG1236" s="294"/>
    </row>
    <row r="1237" spans="2:33" x14ac:dyDescent="0.25">
      <c r="B1237" s="294"/>
      <c r="C1237" s="294"/>
      <c r="D1237" s="294"/>
      <c r="E1237" s="294"/>
      <c r="F1237" s="294"/>
      <c r="G1237" s="294"/>
      <c r="H1237" s="294"/>
      <c r="I1237" s="294"/>
      <c r="J1237" s="294"/>
      <c r="L1237" s="295"/>
      <c r="M1237" s="294"/>
      <c r="O1237" s="294"/>
      <c r="P1237" s="294"/>
      <c r="Q1237" s="294"/>
      <c r="R1237" s="294"/>
      <c r="S1237" s="294"/>
      <c r="T1237" s="294"/>
      <c r="U1237" s="294"/>
      <c r="V1237" s="294"/>
      <c r="W1237" s="294"/>
      <c r="X1237" s="294"/>
      <c r="Y1237" s="294"/>
      <c r="Z1237" s="294"/>
      <c r="AA1237" s="294"/>
      <c r="AB1237" s="294"/>
      <c r="AC1237" s="294"/>
      <c r="AD1237" s="294"/>
      <c r="AE1237" s="294"/>
      <c r="AF1237" s="294"/>
      <c r="AG1237" s="294"/>
    </row>
    <row r="1238" spans="2:33" x14ac:dyDescent="0.25">
      <c r="B1238" s="294"/>
      <c r="C1238" s="294"/>
      <c r="D1238" s="294"/>
      <c r="E1238" s="294"/>
      <c r="F1238" s="294"/>
      <c r="G1238" s="294"/>
      <c r="H1238" s="294"/>
      <c r="I1238" s="294"/>
      <c r="J1238" s="294"/>
      <c r="L1238" s="295"/>
      <c r="M1238" s="294"/>
      <c r="O1238" s="294"/>
      <c r="P1238" s="294"/>
      <c r="Q1238" s="294"/>
      <c r="R1238" s="294"/>
      <c r="S1238" s="294"/>
      <c r="T1238" s="294"/>
      <c r="U1238" s="294"/>
      <c r="V1238" s="294"/>
      <c r="W1238" s="294"/>
      <c r="X1238" s="294"/>
      <c r="Y1238" s="294"/>
      <c r="Z1238" s="294"/>
      <c r="AA1238" s="294"/>
      <c r="AB1238" s="294"/>
      <c r="AC1238" s="294"/>
      <c r="AD1238" s="294"/>
      <c r="AE1238" s="294"/>
      <c r="AF1238" s="294"/>
      <c r="AG1238" s="294"/>
    </row>
    <row r="1239" spans="2:33" x14ac:dyDescent="0.25">
      <c r="B1239" s="294"/>
      <c r="C1239" s="294"/>
      <c r="D1239" s="294"/>
      <c r="E1239" s="294"/>
      <c r="F1239" s="294"/>
      <c r="G1239" s="294"/>
      <c r="H1239" s="294"/>
      <c r="I1239" s="294"/>
      <c r="J1239" s="294"/>
      <c r="L1239" s="295"/>
      <c r="M1239" s="294"/>
      <c r="O1239" s="294"/>
      <c r="P1239" s="294"/>
      <c r="Q1239" s="294"/>
      <c r="R1239" s="294"/>
      <c r="S1239" s="294"/>
      <c r="T1239" s="294"/>
      <c r="U1239" s="294"/>
      <c r="V1239" s="294"/>
      <c r="W1239" s="294"/>
      <c r="X1239" s="294"/>
      <c r="Y1239" s="294"/>
      <c r="Z1239" s="294"/>
      <c r="AA1239" s="294"/>
      <c r="AB1239" s="294"/>
      <c r="AC1239" s="294"/>
      <c r="AD1239" s="294"/>
      <c r="AE1239" s="294"/>
      <c r="AF1239" s="294"/>
      <c r="AG1239" s="294"/>
    </row>
    <row r="1240" spans="2:33" x14ac:dyDescent="0.25">
      <c r="B1240" s="294"/>
      <c r="C1240" s="294"/>
      <c r="D1240" s="294"/>
      <c r="E1240" s="294"/>
      <c r="F1240" s="294"/>
      <c r="G1240" s="294"/>
      <c r="H1240" s="294"/>
      <c r="I1240" s="294"/>
      <c r="J1240" s="294"/>
      <c r="L1240" s="295"/>
      <c r="M1240" s="294"/>
      <c r="O1240" s="294"/>
      <c r="P1240" s="294"/>
      <c r="Q1240" s="294"/>
      <c r="R1240" s="294"/>
      <c r="S1240" s="294"/>
      <c r="T1240" s="294"/>
      <c r="U1240" s="294"/>
      <c r="V1240" s="294"/>
      <c r="W1240" s="294"/>
      <c r="X1240" s="294"/>
      <c r="Y1240" s="294"/>
      <c r="Z1240" s="294"/>
      <c r="AA1240" s="294"/>
      <c r="AB1240" s="294"/>
      <c r="AC1240" s="294"/>
      <c r="AD1240" s="294"/>
      <c r="AE1240" s="294"/>
      <c r="AF1240" s="294"/>
      <c r="AG1240" s="294"/>
    </row>
    <row r="1241" spans="2:33" x14ac:dyDescent="0.25">
      <c r="B1241" s="294"/>
      <c r="C1241" s="294"/>
      <c r="D1241" s="294"/>
      <c r="E1241" s="294"/>
      <c r="F1241" s="294"/>
      <c r="G1241" s="294"/>
      <c r="H1241" s="294"/>
      <c r="I1241" s="294"/>
      <c r="J1241" s="294"/>
      <c r="L1241" s="295"/>
      <c r="M1241" s="294"/>
      <c r="O1241" s="294"/>
      <c r="P1241" s="294"/>
      <c r="Q1241" s="294"/>
      <c r="R1241" s="294"/>
      <c r="S1241" s="294"/>
      <c r="T1241" s="294"/>
      <c r="U1241" s="294"/>
      <c r="V1241" s="294"/>
      <c r="W1241" s="294"/>
      <c r="X1241" s="294"/>
      <c r="Y1241" s="294"/>
      <c r="Z1241" s="294"/>
      <c r="AA1241" s="294"/>
      <c r="AB1241" s="294"/>
      <c r="AC1241" s="294"/>
      <c r="AD1241" s="294"/>
      <c r="AE1241" s="294"/>
      <c r="AF1241" s="294"/>
      <c r="AG1241" s="294"/>
    </row>
    <row r="1242" spans="2:33" x14ac:dyDescent="0.25">
      <c r="B1242" s="294"/>
      <c r="C1242" s="294"/>
      <c r="D1242" s="294"/>
      <c r="E1242" s="294"/>
      <c r="F1242" s="294"/>
      <c r="G1242" s="294"/>
      <c r="H1242" s="294"/>
      <c r="I1242" s="294"/>
      <c r="J1242" s="294"/>
      <c r="L1242" s="295"/>
      <c r="M1242" s="294"/>
      <c r="O1242" s="294"/>
      <c r="P1242" s="294"/>
      <c r="Q1242" s="294"/>
      <c r="R1242" s="294"/>
      <c r="S1242" s="294"/>
      <c r="T1242" s="294"/>
      <c r="U1242" s="294"/>
      <c r="V1242" s="294"/>
      <c r="W1242" s="294"/>
      <c r="X1242" s="294"/>
      <c r="Y1242" s="294"/>
      <c r="Z1242" s="294"/>
      <c r="AA1242" s="294"/>
      <c r="AB1242" s="294"/>
      <c r="AC1242" s="294"/>
      <c r="AD1242" s="294"/>
      <c r="AE1242" s="294"/>
      <c r="AF1242" s="294"/>
      <c r="AG1242" s="294"/>
    </row>
    <row r="1243" spans="2:33" x14ac:dyDescent="0.25">
      <c r="B1243" s="294"/>
      <c r="C1243" s="294"/>
      <c r="D1243" s="294"/>
      <c r="E1243" s="294"/>
      <c r="F1243" s="294"/>
      <c r="G1243" s="294"/>
      <c r="H1243" s="294"/>
      <c r="I1243" s="294"/>
      <c r="J1243" s="294"/>
      <c r="L1243" s="295"/>
      <c r="M1243" s="294"/>
      <c r="O1243" s="294"/>
      <c r="P1243" s="294"/>
      <c r="Q1243" s="294"/>
      <c r="R1243" s="294"/>
      <c r="S1243" s="294"/>
      <c r="T1243" s="294"/>
      <c r="U1243" s="294"/>
      <c r="V1243" s="294"/>
      <c r="W1243" s="294"/>
      <c r="X1243" s="294"/>
      <c r="Y1243" s="294"/>
      <c r="Z1243" s="294"/>
      <c r="AA1243" s="294"/>
      <c r="AB1243" s="294"/>
      <c r="AC1243" s="294"/>
      <c r="AD1243" s="294"/>
      <c r="AE1243" s="294"/>
      <c r="AF1243" s="294"/>
      <c r="AG1243" s="294"/>
    </row>
    <row r="1244" spans="2:33" x14ac:dyDescent="0.25">
      <c r="B1244" s="294"/>
      <c r="C1244" s="294"/>
      <c r="D1244" s="294"/>
      <c r="E1244" s="294"/>
      <c r="F1244" s="294"/>
      <c r="G1244" s="294"/>
      <c r="H1244" s="294"/>
      <c r="I1244" s="294"/>
      <c r="J1244" s="294"/>
      <c r="L1244" s="295"/>
      <c r="M1244" s="294"/>
      <c r="O1244" s="294"/>
      <c r="P1244" s="294"/>
      <c r="Q1244" s="294"/>
      <c r="R1244" s="294"/>
      <c r="S1244" s="294"/>
      <c r="T1244" s="294"/>
      <c r="U1244" s="294"/>
      <c r="V1244" s="294"/>
      <c r="W1244" s="294"/>
      <c r="X1244" s="294"/>
      <c r="Y1244" s="294"/>
      <c r="Z1244" s="294"/>
      <c r="AA1244" s="294"/>
      <c r="AB1244" s="294"/>
      <c r="AC1244" s="294"/>
      <c r="AD1244" s="294"/>
      <c r="AE1244" s="294"/>
      <c r="AF1244" s="294"/>
      <c r="AG1244" s="294"/>
    </row>
    <row r="1245" spans="2:33" x14ac:dyDescent="0.25">
      <c r="B1245" s="294"/>
      <c r="C1245" s="294"/>
      <c r="D1245" s="294"/>
      <c r="E1245" s="294"/>
      <c r="F1245" s="294"/>
      <c r="G1245" s="294"/>
      <c r="H1245" s="294"/>
      <c r="I1245" s="294"/>
      <c r="J1245" s="294"/>
      <c r="L1245" s="295"/>
      <c r="M1245" s="294"/>
      <c r="O1245" s="294"/>
      <c r="P1245" s="294"/>
      <c r="Q1245" s="294"/>
      <c r="R1245" s="294"/>
      <c r="S1245" s="294"/>
      <c r="T1245" s="294"/>
      <c r="U1245" s="294"/>
      <c r="V1245" s="294"/>
      <c r="W1245" s="294"/>
      <c r="X1245" s="294"/>
      <c r="Y1245" s="294"/>
      <c r="Z1245" s="294"/>
      <c r="AA1245" s="294"/>
      <c r="AB1245" s="294"/>
      <c r="AC1245" s="294"/>
      <c r="AD1245" s="294"/>
      <c r="AE1245" s="294"/>
      <c r="AF1245" s="294"/>
      <c r="AG1245" s="294"/>
    </row>
    <row r="1246" spans="2:33" x14ac:dyDescent="0.25">
      <c r="B1246" s="294"/>
      <c r="C1246" s="294"/>
      <c r="D1246" s="294"/>
      <c r="E1246" s="294"/>
      <c r="F1246" s="294"/>
      <c r="G1246" s="294"/>
      <c r="H1246" s="294"/>
      <c r="I1246" s="294"/>
      <c r="J1246" s="294"/>
      <c r="L1246" s="295"/>
      <c r="M1246" s="294"/>
      <c r="O1246" s="294"/>
      <c r="P1246" s="294"/>
      <c r="Q1246" s="294"/>
      <c r="R1246" s="294"/>
      <c r="S1246" s="294"/>
      <c r="T1246" s="294"/>
      <c r="U1246" s="294"/>
      <c r="V1246" s="294"/>
      <c r="W1246" s="294"/>
      <c r="X1246" s="294"/>
      <c r="Y1246" s="294"/>
      <c r="Z1246" s="294"/>
      <c r="AA1246" s="294"/>
      <c r="AB1246" s="294"/>
      <c r="AC1246" s="294"/>
      <c r="AD1246" s="294"/>
      <c r="AE1246" s="294"/>
      <c r="AF1246" s="294"/>
      <c r="AG1246" s="294"/>
    </row>
    <row r="1247" spans="2:33" x14ac:dyDescent="0.25">
      <c r="B1247" s="294"/>
      <c r="C1247" s="294"/>
      <c r="D1247" s="294"/>
      <c r="E1247" s="294"/>
      <c r="F1247" s="294"/>
      <c r="G1247" s="294"/>
      <c r="H1247" s="294"/>
      <c r="I1247" s="294"/>
      <c r="J1247" s="294"/>
      <c r="L1247" s="295"/>
      <c r="M1247" s="294"/>
      <c r="O1247" s="294"/>
      <c r="P1247" s="294"/>
      <c r="Q1247" s="294"/>
      <c r="R1247" s="294"/>
      <c r="S1247" s="294"/>
      <c r="T1247" s="294"/>
      <c r="U1247" s="294"/>
      <c r="V1247" s="294"/>
      <c r="W1247" s="294"/>
      <c r="X1247" s="294"/>
      <c r="Y1247" s="294"/>
      <c r="Z1247" s="294"/>
      <c r="AA1247" s="294"/>
      <c r="AB1247" s="294"/>
      <c r="AC1247" s="294"/>
      <c r="AD1247" s="294"/>
      <c r="AE1247" s="294"/>
      <c r="AF1247" s="294"/>
      <c r="AG1247" s="294"/>
    </row>
    <row r="1248" spans="2:33" x14ac:dyDescent="0.25">
      <c r="B1248" s="294"/>
      <c r="C1248" s="294"/>
      <c r="D1248" s="294"/>
      <c r="E1248" s="294"/>
      <c r="F1248" s="294"/>
      <c r="G1248" s="294"/>
      <c r="H1248" s="294"/>
      <c r="I1248" s="294"/>
      <c r="J1248" s="294"/>
      <c r="L1248" s="295"/>
      <c r="M1248" s="294"/>
      <c r="O1248" s="294"/>
      <c r="P1248" s="294"/>
      <c r="Q1248" s="294"/>
      <c r="R1248" s="294"/>
      <c r="S1248" s="294"/>
      <c r="T1248" s="294"/>
      <c r="U1248" s="294"/>
      <c r="V1248" s="294"/>
      <c r="W1248" s="294"/>
      <c r="X1248" s="294"/>
      <c r="Y1248" s="294"/>
      <c r="Z1248" s="294"/>
      <c r="AA1248" s="294"/>
      <c r="AB1248" s="294"/>
      <c r="AC1248" s="294"/>
      <c r="AD1248" s="294"/>
      <c r="AE1248" s="294"/>
      <c r="AF1248" s="294"/>
      <c r="AG1248" s="294"/>
    </row>
    <row r="1249" spans="2:33" x14ac:dyDescent="0.25">
      <c r="B1249" s="294"/>
      <c r="C1249" s="294"/>
      <c r="D1249" s="294"/>
      <c r="E1249" s="294"/>
      <c r="F1249" s="294"/>
      <c r="G1249" s="294"/>
      <c r="H1249" s="294"/>
      <c r="I1249" s="294"/>
      <c r="J1249" s="294"/>
      <c r="L1249" s="295"/>
      <c r="M1249" s="294"/>
      <c r="O1249" s="294"/>
      <c r="P1249" s="294"/>
      <c r="Q1249" s="294"/>
      <c r="R1249" s="294"/>
      <c r="S1249" s="294"/>
      <c r="T1249" s="294"/>
      <c r="U1249" s="294"/>
      <c r="V1249" s="294"/>
      <c r="W1249" s="294"/>
      <c r="X1249" s="294"/>
      <c r="Y1249" s="294"/>
      <c r="Z1249" s="294"/>
      <c r="AA1249" s="294"/>
      <c r="AB1249" s="294"/>
      <c r="AC1249" s="294"/>
      <c r="AD1249" s="294"/>
      <c r="AE1249" s="294"/>
      <c r="AF1249" s="294"/>
      <c r="AG1249" s="294"/>
    </row>
    <row r="1250" spans="2:33" x14ac:dyDescent="0.25">
      <c r="B1250" s="294"/>
      <c r="C1250" s="294"/>
      <c r="D1250" s="294"/>
      <c r="E1250" s="294"/>
      <c r="F1250" s="294"/>
      <c r="G1250" s="294"/>
      <c r="H1250" s="294"/>
      <c r="I1250" s="294"/>
      <c r="J1250" s="294"/>
      <c r="L1250" s="295"/>
      <c r="M1250" s="294"/>
      <c r="O1250" s="294"/>
      <c r="P1250" s="294"/>
      <c r="Q1250" s="294"/>
      <c r="R1250" s="294"/>
      <c r="S1250" s="294"/>
      <c r="T1250" s="294"/>
      <c r="U1250" s="294"/>
      <c r="V1250" s="294"/>
      <c r="W1250" s="294"/>
      <c r="X1250" s="294"/>
      <c r="Y1250" s="294"/>
      <c r="Z1250" s="294"/>
      <c r="AA1250" s="294"/>
      <c r="AB1250" s="294"/>
      <c r="AC1250" s="294"/>
      <c r="AD1250" s="294"/>
      <c r="AE1250" s="294"/>
      <c r="AF1250" s="294"/>
      <c r="AG1250" s="294"/>
    </row>
    <row r="1251" spans="2:33" x14ac:dyDescent="0.25">
      <c r="B1251" s="294"/>
      <c r="C1251" s="294"/>
      <c r="D1251" s="294"/>
      <c r="E1251" s="294"/>
      <c r="F1251" s="294"/>
      <c r="G1251" s="294"/>
      <c r="H1251" s="294"/>
      <c r="I1251" s="294"/>
      <c r="J1251" s="294"/>
      <c r="L1251" s="295"/>
      <c r="M1251" s="294"/>
      <c r="O1251" s="294"/>
      <c r="P1251" s="294"/>
      <c r="Q1251" s="294"/>
      <c r="R1251" s="294"/>
      <c r="S1251" s="294"/>
      <c r="T1251" s="294"/>
      <c r="U1251" s="294"/>
      <c r="V1251" s="294"/>
      <c r="W1251" s="294"/>
      <c r="X1251" s="294"/>
      <c r="Y1251" s="294"/>
      <c r="Z1251" s="294"/>
      <c r="AA1251" s="294"/>
      <c r="AB1251" s="294"/>
      <c r="AC1251" s="294"/>
      <c r="AD1251" s="294"/>
      <c r="AE1251" s="294"/>
      <c r="AF1251" s="294"/>
      <c r="AG1251" s="294"/>
    </row>
    <row r="1252" spans="2:33" x14ac:dyDescent="0.25">
      <c r="B1252" s="294"/>
      <c r="C1252" s="294"/>
      <c r="D1252" s="294"/>
      <c r="E1252" s="294"/>
      <c r="F1252" s="294"/>
      <c r="G1252" s="294"/>
      <c r="H1252" s="294"/>
      <c r="I1252" s="294"/>
      <c r="J1252" s="294"/>
      <c r="L1252" s="295"/>
      <c r="M1252" s="294"/>
      <c r="O1252" s="294"/>
      <c r="P1252" s="294"/>
      <c r="Q1252" s="294"/>
      <c r="R1252" s="294"/>
      <c r="S1252" s="294"/>
      <c r="T1252" s="294"/>
      <c r="U1252" s="294"/>
      <c r="V1252" s="294"/>
      <c r="W1252" s="294"/>
      <c r="X1252" s="294"/>
      <c r="Y1252" s="294"/>
      <c r="Z1252" s="294"/>
      <c r="AA1252" s="294"/>
      <c r="AB1252" s="294"/>
      <c r="AC1252" s="294"/>
      <c r="AD1252" s="294"/>
      <c r="AE1252" s="294"/>
      <c r="AF1252" s="294"/>
      <c r="AG1252" s="294"/>
    </row>
    <row r="1253" spans="2:33" x14ac:dyDescent="0.25">
      <c r="B1253" s="294"/>
      <c r="C1253" s="294"/>
      <c r="D1253" s="294"/>
      <c r="E1253" s="294"/>
      <c r="F1253" s="294"/>
      <c r="G1253" s="294"/>
      <c r="H1253" s="294"/>
      <c r="I1253" s="294"/>
      <c r="J1253" s="294"/>
      <c r="L1253" s="295"/>
      <c r="M1253" s="294"/>
      <c r="O1253" s="294"/>
      <c r="P1253" s="294"/>
      <c r="Q1253" s="294"/>
      <c r="R1253" s="294"/>
      <c r="S1253" s="294"/>
      <c r="T1253" s="294"/>
      <c r="U1253" s="294"/>
      <c r="V1253" s="294"/>
      <c r="W1253" s="294"/>
      <c r="X1253" s="294"/>
      <c r="Y1253" s="294"/>
      <c r="Z1253" s="294"/>
      <c r="AA1253" s="294"/>
      <c r="AB1253" s="294"/>
      <c r="AC1253" s="294"/>
      <c r="AD1253" s="294"/>
      <c r="AE1253" s="294"/>
      <c r="AF1253" s="294"/>
      <c r="AG1253" s="294"/>
    </row>
    <row r="1254" spans="2:33" x14ac:dyDescent="0.25">
      <c r="B1254" s="294"/>
      <c r="C1254" s="294"/>
      <c r="D1254" s="294"/>
      <c r="E1254" s="294"/>
      <c r="F1254" s="294"/>
      <c r="G1254" s="294"/>
      <c r="H1254" s="294"/>
      <c r="I1254" s="294"/>
      <c r="J1254" s="294"/>
      <c r="L1254" s="295"/>
      <c r="M1254" s="294"/>
      <c r="O1254" s="294"/>
      <c r="P1254" s="294"/>
      <c r="Q1254" s="294"/>
      <c r="R1254" s="294"/>
      <c r="S1254" s="294"/>
      <c r="T1254" s="294"/>
      <c r="U1254" s="294"/>
      <c r="V1254" s="294"/>
      <c r="W1254" s="294"/>
      <c r="X1254" s="294"/>
      <c r="Y1254" s="294"/>
      <c r="Z1254" s="294"/>
      <c r="AA1254" s="294"/>
      <c r="AB1254" s="294"/>
      <c r="AC1254" s="294"/>
      <c r="AD1254" s="294"/>
      <c r="AE1254" s="294"/>
      <c r="AF1254" s="294"/>
      <c r="AG1254" s="294"/>
    </row>
    <row r="1255" spans="2:33" x14ac:dyDescent="0.25">
      <c r="B1255" s="294"/>
      <c r="C1255" s="294"/>
      <c r="D1255" s="294"/>
      <c r="E1255" s="294"/>
      <c r="F1255" s="294"/>
      <c r="G1255" s="294"/>
      <c r="H1255" s="294"/>
      <c r="I1255" s="294"/>
      <c r="J1255" s="294"/>
      <c r="L1255" s="295"/>
      <c r="M1255" s="294"/>
      <c r="O1255" s="294"/>
      <c r="P1255" s="294"/>
      <c r="Q1255" s="294"/>
      <c r="R1255" s="294"/>
      <c r="S1255" s="294"/>
      <c r="T1255" s="294"/>
      <c r="U1255" s="294"/>
      <c r="V1255" s="294"/>
      <c r="W1255" s="294"/>
      <c r="X1255" s="294"/>
      <c r="Y1255" s="294"/>
      <c r="Z1255" s="294"/>
      <c r="AA1255" s="294"/>
      <c r="AB1255" s="294"/>
      <c r="AC1255" s="294"/>
      <c r="AD1255" s="294"/>
      <c r="AE1255" s="294"/>
      <c r="AF1255" s="294"/>
      <c r="AG1255" s="294"/>
    </row>
    <row r="1256" spans="2:33" x14ac:dyDescent="0.25">
      <c r="B1256" s="294"/>
      <c r="C1256" s="294"/>
      <c r="D1256" s="294"/>
      <c r="E1256" s="294"/>
      <c r="F1256" s="294"/>
      <c r="G1256" s="294"/>
      <c r="H1256" s="294"/>
      <c r="I1256" s="294"/>
      <c r="J1256" s="294"/>
      <c r="L1256" s="295"/>
      <c r="M1256" s="294"/>
      <c r="O1256" s="294"/>
      <c r="P1256" s="294"/>
      <c r="Q1256" s="294"/>
      <c r="R1256" s="294"/>
      <c r="S1256" s="294"/>
      <c r="T1256" s="294"/>
      <c r="U1256" s="294"/>
      <c r="V1256" s="294"/>
      <c r="W1256" s="294"/>
      <c r="X1256" s="294"/>
      <c r="Y1256" s="294"/>
      <c r="Z1256" s="294"/>
      <c r="AA1256" s="294"/>
      <c r="AB1256" s="294"/>
      <c r="AC1256" s="294"/>
      <c r="AD1256" s="294"/>
      <c r="AE1256" s="294"/>
      <c r="AF1256" s="294"/>
      <c r="AG1256" s="294"/>
    </row>
    <row r="1257" spans="2:33" x14ac:dyDescent="0.25">
      <c r="B1257" s="294"/>
      <c r="C1257" s="294"/>
      <c r="D1257" s="294"/>
      <c r="E1257" s="294"/>
      <c r="F1257" s="294"/>
      <c r="G1257" s="294"/>
      <c r="H1257" s="294"/>
      <c r="I1257" s="294"/>
      <c r="J1257" s="294"/>
      <c r="L1257" s="295"/>
      <c r="M1257" s="294"/>
      <c r="O1257" s="294"/>
      <c r="P1257" s="294"/>
      <c r="Q1257" s="294"/>
      <c r="R1257" s="294"/>
      <c r="S1257" s="294"/>
      <c r="T1257" s="294"/>
      <c r="U1257" s="294"/>
      <c r="V1257" s="294"/>
      <c r="W1257" s="294"/>
      <c r="X1257" s="294"/>
      <c r="Y1257" s="294"/>
      <c r="Z1257" s="294"/>
      <c r="AA1257" s="294"/>
      <c r="AB1257" s="294"/>
      <c r="AC1257" s="294"/>
      <c r="AD1257" s="294"/>
      <c r="AE1257" s="294"/>
      <c r="AF1257" s="294"/>
      <c r="AG1257" s="294"/>
    </row>
    <row r="1258" spans="2:33" x14ac:dyDescent="0.25">
      <c r="B1258" s="294"/>
      <c r="C1258" s="294"/>
      <c r="D1258" s="294"/>
      <c r="E1258" s="294"/>
      <c r="F1258" s="294"/>
      <c r="G1258" s="294"/>
      <c r="H1258" s="294"/>
      <c r="I1258" s="294"/>
      <c r="J1258" s="294"/>
      <c r="L1258" s="295"/>
      <c r="M1258" s="294"/>
      <c r="O1258" s="294"/>
      <c r="P1258" s="294"/>
      <c r="Q1258" s="294"/>
      <c r="R1258" s="294"/>
      <c r="S1258" s="294"/>
      <c r="T1258" s="294"/>
      <c r="U1258" s="294"/>
      <c r="V1258" s="294"/>
      <c r="W1258" s="294"/>
      <c r="X1258" s="294"/>
      <c r="Y1258" s="294"/>
      <c r="Z1258" s="294"/>
      <c r="AA1258" s="294"/>
      <c r="AB1258" s="294"/>
      <c r="AC1258" s="294"/>
      <c r="AD1258" s="294"/>
      <c r="AE1258" s="294"/>
      <c r="AF1258" s="294"/>
      <c r="AG1258" s="294"/>
    </row>
    <row r="1259" spans="2:33" x14ac:dyDescent="0.25">
      <c r="B1259" s="294"/>
      <c r="C1259" s="294"/>
      <c r="D1259" s="294"/>
      <c r="E1259" s="294"/>
      <c r="F1259" s="294"/>
      <c r="G1259" s="294"/>
      <c r="H1259" s="294"/>
      <c r="I1259" s="294"/>
      <c r="J1259" s="294"/>
      <c r="L1259" s="295"/>
      <c r="M1259" s="294"/>
      <c r="O1259" s="294"/>
      <c r="P1259" s="294"/>
      <c r="Q1259" s="294"/>
      <c r="R1259" s="294"/>
      <c r="S1259" s="294"/>
      <c r="T1259" s="294"/>
      <c r="U1259" s="294"/>
      <c r="V1259" s="294"/>
      <c r="W1259" s="294"/>
      <c r="X1259" s="294"/>
      <c r="Y1259" s="294"/>
      <c r="Z1259" s="294"/>
      <c r="AA1259" s="294"/>
      <c r="AB1259" s="294"/>
      <c r="AC1259" s="294"/>
      <c r="AD1259" s="294"/>
      <c r="AE1259" s="294"/>
      <c r="AF1259" s="294"/>
      <c r="AG1259" s="294"/>
    </row>
    <row r="1260" spans="2:33" x14ac:dyDescent="0.25">
      <c r="B1260" s="294"/>
      <c r="C1260" s="294"/>
      <c r="D1260" s="294"/>
      <c r="E1260" s="294"/>
      <c r="F1260" s="294"/>
      <c r="G1260" s="294"/>
      <c r="H1260" s="294"/>
      <c r="I1260" s="294"/>
      <c r="J1260" s="294"/>
      <c r="L1260" s="295"/>
      <c r="M1260" s="294"/>
      <c r="O1260" s="294"/>
      <c r="P1260" s="294"/>
      <c r="Q1260" s="294"/>
      <c r="R1260" s="294"/>
      <c r="S1260" s="294"/>
      <c r="T1260" s="294"/>
      <c r="U1260" s="294"/>
      <c r="V1260" s="294"/>
      <c r="W1260" s="294"/>
      <c r="X1260" s="294"/>
      <c r="Y1260" s="294"/>
      <c r="Z1260" s="294"/>
      <c r="AA1260" s="294"/>
      <c r="AB1260" s="294"/>
      <c r="AC1260" s="294"/>
      <c r="AD1260" s="294"/>
      <c r="AE1260" s="294"/>
      <c r="AF1260" s="294"/>
      <c r="AG1260" s="294"/>
    </row>
    <row r="1261" spans="2:33" x14ac:dyDescent="0.25">
      <c r="B1261" s="294"/>
      <c r="C1261" s="294"/>
      <c r="D1261" s="294"/>
      <c r="E1261" s="294"/>
      <c r="F1261" s="294"/>
      <c r="G1261" s="294"/>
      <c r="H1261" s="294"/>
      <c r="I1261" s="294"/>
      <c r="J1261" s="294"/>
      <c r="L1261" s="295"/>
      <c r="M1261" s="294"/>
      <c r="O1261" s="294"/>
      <c r="P1261" s="294"/>
      <c r="Q1261" s="294"/>
      <c r="R1261" s="294"/>
      <c r="S1261" s="294"/>
      <c r="T1261" s="294"/>
      <c r="U1261" s="294"/>
      <c r="V1261" s="294"/>
      <c r="W1261" s="294"/>
      <c r="X1261" s="294"/>
      <c r="Y1261" s="294"/>
      <c r="Z1261" s="294"/>
      <c r="AA1261" s="294"/>
      <c r="AB1261" s="294"/>
      <c r="AC1261" s="294"/>
      <c r="AD1261" s="294"/>
      <c r="AE1261" s="294"/>
      <c r="AF1261" s="294"/>
      <c r="AG1261" s="294"/>
    </row>
    <row r="1262" spans="2:33" x14ac:dyDescent="0.25">
      <c r="B1262" s="294"/>
      <c r="C1262" s="294"/>
      <c r="D1262" s="294"/>
      <c r="E1262" s="294"/>
      <c r="F1262" s="294"/>
      <c r="G1262" s="294"/>
      <c r="H1262" s="294"/>
      <c r="I1262" s="294"/>
      <c r="J1262" s="294"/>
      <c r="L1262" s="295"/>
      <c r="M1262" s="294"/>
      <c r="O1262" s="294"/>
      <c r="P1262" s="294"/>
      <c r="Q1262" s="294"/>
      <c r="R1262" s="294"/>
      <c r="S1262" s="294"/>
      <c r="T1262" s="294"/>
      <c r="U1262" s="294"/>
      <c r="V1262" s="294"/>
      <c r="W1262" s="294"/>
      <c r="X1262" s="294"/>
      <c r="Y1262" s="294"/>
      <c r="Z1262" s="294"/>
      <c r="AA1262" s="294"/>
      <c r="AB1262" s="294"/>
      <c r="AC1262" s="294"/>
      <c r="AD1262" s="294"/>
      <c r="AE1262" s="294"/>
      <c r="AF1262" s="294"/>
      <c r="AG1262" s="294"/>
    </row>
    <row r="1263" spans="2:33" x14ac:dyDescent="0.25">
      <c r="B1263" s="294"/>
      <c r="C1263" s="294"/>
      <c r="D1263" s="294"/>
      <c r="E1263" s="294"/>
      <c r="F1263" s="294"/>
      <c r="G1263" s="294"/>
      <c r="H1263" s="294"/>
      <c r="I1263" s="294"/>
      <c r="J1263" s="294"/>
      <c r="L1263" s="295"/>
      <c r="M1263" s="294"/>
      <c r="O1263" s="294"/>
      <c r="P1263" s="294"/>
      <c r="Q1263" s="294"/>
      <c r="R1263" s="294"/>
      <c r="S1263" s="294"/>
      <c r="T1263" s="294"/>
      <c r="U1263" s="294"/>
      <c r="V1263" s="294"/>
      <c r="W1263" s="294"/>
      <c r="X1263" s="294"/>
      <c r="Y1263" s="294"/>
      <c r="Z1263" s="294"/>
      <c r="AA1263" s="294"/>
      <c r="AB1263" s="294"/>
      <c r="AC1263" s="294"/>
      <c r="AD1263" s="294"/>
      <c r="AE1263" s="294"/>
      <c r="AF1263" s="294"/>
      <c r="AG1263" s="294"/>
    </row>
    <row r="1264" spans="2:33" x14ac:dyDescent="0.25">
      <c r="B1264" s="294"/>
      <c r="C1264" s="294"/>
      <c r="D1264" s="294"/>
      <c r="E1264" s="294"/>
      <c r="F1264" s="294"/>
      <c r="G1264" s="294"/>
      <c r="H1264" s="294"/>
      <c r="I1264" s="294"/>
      <c r="J1264" s="294"/>
      <c r="L1264" s="295"/>
      <c r="M1264" s="294"/>
      <c r="O1264" s="294"/>
      <c r="P1264" s="294"/>
      <c r="Q1264" s="294"/>
      <c r="R1264" s="294"/>
      <c r="S1264" s="294"/>
      <c r="T1264" s="294"/>
      <c r="U1264" s="294"/>
      <c r="V1264" s="294"/>
      <c r="W1264" s="294"/>
      <c r="X1264" s="294"/>
      <c r="Y1264" s="294"/>
      <c r="Z1264" s="294"/>
      <c r="AA1264" s="294"/>
      <c r="AB1264" s="294"/>
      <c r="AC1264" s="294"/>
      <c r="AD1264" s="294"/>
      <c r="AE1264" s="294"/>
      <c r="AF1264" s="294"/>
      <c r="AG1264" s="294"/>
    </row>
    <row r="1265" spans="2:33" x14ac:dyDescent="0.25">
      <c r="B1265" s="294"/>
      <c r="C1265" s="294"/>
      <c r="D1265" s="294"/>
      <c r="E1265" s="294"/>
      <c r="F1265" s="294"/>
      <c r="G1265" s="294"/>
      <c r="H1265" s="294"/>
      <c r="I1265" s="294"/>
      <c r="J1265" s="294"/>
      <c r="L1265" s="295"/>
      <c r="M1265" s="294"/>
      <c r="O1265" s="294"/>
      <c r="P1265" s="294"/>
      <c r="Q1265" s="294"/>
      <c r="R1265" s="294"/>
      <c r="S1265" s="294"/>
      <c r="T1265" s="294"/>
      <c r="U1265" s="294"/>
      <c r="V1265" s="294"/>
      <c r="W1265" s="294"/>
      <c r="X1265" s="294"/>
      <c r="Y1265" s="294"/>
      <c r="Z1265" s="294"/>
      <c r="AA1265" s="294"/>
      <c r="AB1265" s="294"/>
      <c r="AC1265" s="294"/>
      <c r="AD1265" s="294"/>
      <c r="AE1265" s="294"/>
      <c r="AF1265" s="294"/>
      <c r="AG1265" s="294"/>
    </row>
    <row r="1266" spans="2:33" x14ac:dyDescent="0.25">
      <c r="B1266" s="294"/>
      <c r="C1266" s="294"/>
      <c r="D1266" s="294"/>
      <c r="E1266" s="294"/>
      <c r="F1266" s="294"/>
      <c r="G1266" s="294"/>
      <c r="H1266" s="294"/>
      <c r="I1266" s="294"/>
      <c r="J1266" s="294"/>
      <c r="L1266" s="295"/>
      <c r="M1266" s="294"/>
      <c r="O1266" s="294"/>
      <c r="P1266" s="294"/>
      <c r="Q1266" s="294"/>
      <c r="R1266" s="294"/>
      <c r="S1266" s="294"/>
      <c r="T1266" s="294"/>
      <c r="U1266" s="294"/>
      <c r="V1266" s="294"/>
      <c r="W1266" s="294"/>
      <c r="X1266" s="294"/>
      <c r="Y1266" s="294"/>
      <c r="Z1266" s="294"/>
      <c r="AA1266" s="294"/>
      <c r="AB1266" s="294"/>
      <c r="AC1266" s="294"/>
      <c r="AD1266" s="294"/>
      <c r="AE1266" s="294"/>
      <c r="AF1266" s="294"/>
      <c r="AG1266" s="294"/>
    </row>
    <row r="1267" spans="2:33" x14ac:dyDescent="0.25">
      <c r="B1267" s="294"/>
      <c r="C1267" s="294"/>
      <c r="D1267" s="294"/>
      <c r="E1267" s="294"/>
      <c r="F1267" s="294"/>
      <c r="G1267" s="294"/>
      <c r="H1267" s="294"/>
      <c r="I1267" s="294"/>
      <c r="J1267" s="294"/>
      <c r="L1267" s="295"/>
      <c r="M1267" s="294"/>
      <c r="O1267" s="294"/>
      <c r="P1267" s="294"/>
      <c r="Q1267" s="294"/>
      <c r="R1267" s="294"/>
      <c r="S1267" s="294"/>
      <c r="T1267" s="294"/>
      <c r="U1267" s="294"/>
      <c r="V1267" s="294"/>
      <c r="W1267" s="294"/>
      <c r="X1267" s="294"/>
      <c r="Y1267" s="294"/>
      <c r="Z1267" s="294"/>
      <c r="AA1267" s="294"/>
      <c r="AB1267" s="294"/>
      <c r="AC1267" s="294"/>
      <c r="AD1267" s="294"/>
      <c r="AE1267" s="294"/>
      <c r="AF1267" s="294"/>
      <c r="AG1267" s="294"/>
    </row>
    <row r="1268" spans="2:33" x14ac:dyDescent="0.25">
      <c r="B1268" s="294"/>
      <c r="C1268" s="294"/>
      <c r="D1268" s="294"/>
      <c r="E1268" s="294"/>
      <c r="F1268" s="294"/>
      <c r="G1268" s="294"/>
      <c r="H1268" s="294"/>
      <c r="I1268" s="294"/>
      <c r="J1268" s="294"/>
      <c r="L1268" s="295"/>
      <c r="M1268" s="294"/>
      <c r="O1268" s="294"/>
      <c r="P1268" s="294"/>
      <c r="Q1268" s="294"/>
      <c r="R1268" s="294"/>
      <c r="S1268" s="294"/>
      <c r="T1268" s="294"/>
      <c r="U1268" s="294"/>
      <c r="V1268" s="294"/>
      <c r="W1268" s="294"/>
      <c r="X1268" s="294"/>
      <c r="Y1268" s="294"/>
      <c r="Z1268" s="294"/>
      <c r="AA1268" s="294"/>
      <c r="AB1268" s="294"/>
      <c r="AC1268" s="294"/>
      <c r="AD1268" s="294"/>
      <c r="AE1268" s="294"/>
      <c r="AF1268" s="294"/>
      <c r="AG1268" s="294"/>
    </row>
    <row r="1269" spans="2:33" x14ac:dyDescent="0.25">
      <c r="B1269" s="294"/>
      <c r="C1269" s="294"/>
      <c r="D1269" s="294"/>
      <c r="E1269" s="294"/>
      <c r="F1269" s="294"/>
      <c r="G1269" s="294"/>
      <c r="H1269" s="294"/>
      <c r="I1269" s="294"/>
      <c r="J1269" s="294"/>
      <c r="L1269" s="295"/>
      <c r="M1269" s="294"/>
      <c r="O1269" s="294"/>
      <c r="P1269" s="294"/>
      <c r="Q1269" s="294"/>
      <c r="R1269" s="294"/>
      <c r="S1269" s="294"/>
      <c r="T1269" s="294"/>
      <c r="U1269" s="294"/>
      <c r="V1269" s="294"/>
      <c r="W1269" s="294"/>
      <c r="X1269" s="294"/>
      <c r="Y1269" s="294"/>
      <c r="Z1269" s="294"/>
      <c r="AA1269" s="294"/>
      <c r="AB1269" s="294"/>
      <c r="AC1269" s="294"/>
      <c r="AD1269" s="294"/>
      <c r="AE1269" s="294"/>
      <c r="AF1269" s="294"/>
      <c r="AG1269" s="294"/>
    </row>
    <row r="1270" spans="2:33" x14ac:dyDescent="0.25">
      <c r="B1270" s="294"/>
      <c r="C1270" s="294"/>
      <c r="D1270" s="294"/>
      <c r="E1270" s="294"/>
      <c r="F1270" s="294"/>
      <c r="G1270" s="294"/>
      <c r="H1270" s="294"/>
      <c r="I1270" s="294"/>
      <c r="J1270" s="294"/>
      <c r="L1270" s="295"/>
      <c r="M1270" s="294"/>
      <c r="O1270" s="294"/>
      <c r="P1270" s="294"/>
      <c r="Q1270" s="294"/>
      <c r="R1270" s="294"/>
      <c r="S1270" s="294"/>
      <c r="T1270" s="294"/>
      <c r="U1270" s="294"/>
      <c r="V1270" s="294"/>
      <c r="W1270" s="294"/>
      <c r="X1270" s="294"/>
      <c r="Y1270" s="294"/>
      <c r="Z1270" s="294"/>
      <c r="AA1270" s="294"/>
      <c r="AB1270" s="294"/>
      <c r="AC1270" s="294"/>
      <c r="AD1270" s="294"/>
      <c r="AE1270" s="294"/>
      <c r="AF1270" s="294"/>
      <c r="AG1270" s="294"/>
    </row>
    <row r="1271" spans="2:33" x14ac:dyDescent="0.25">
      <c r="B1271" s="294"/>
      <c r="C1271" s="294"/>
      <c r="D1271" s="294"/>
      <c r="E1271" s="294"/>
      <c r="F1271" s="294"/>
      <c r="G1271" s="294"/>
      <c r="H1271" s="294"/>
      <c r="I1271" s="294"/>
      <c r="J1271" s="294"/>
      <c r="L1271" s="295"/>
      <c r="M1271" s="294"/>
      <c r="O1271" s="294"/>
      <c r="P1271" s="294"/>
      <c r="Q1271" s="294"/>
      <c r="R1271" s="294"/>
      <c r="S1271" s="294"/>
      <c r="T1271" s="294"/>
      <c r="U1271" s="294"/>
      <c r="V1271" s="294"/>
      <c r="W1271" s="294"/>
      <c r="X1271" s="294"/>
      <c r="Y1271" s="294"/>
      <c r="Z1271" s="294"/>
      <c r="AA1271" s="294"/>
      <c r="AB1271" s="294"/>
      <c r="AC1271" s="294"/>
      <c r="AD1271" s="294"/>
      <c r="AE1271" s="294"/>
      <c r="AF1271" s="294"/>
      <c r="AG1271" s="294"/>
    </row>
    <row r="1272" spans="2:33" x14ac:dyDescent="0.25">
      <c r="B1272" s="294"/>
      <c r="C1272" s="294"/>
      <c r="D1272" s="294"/>
      <c r="E1272" s="294"/>
      <c r="F1272" s="294"/>
      <c r="G1272" s="294"/>
      <c r="H1272" s="294"/>
      <c r="I1272" s="294"/>
      <c r="J1272" s="294"/>
      <c r="L1272" s="295"/>
      <c r="M1272" s="294"/>
      <c r="O1272" s="294"/>
      <c r="P1272" s="294"/>
      <c r="Q1272" s="294"/>
      <c r="R1272" s="294"/>
      <c r="S1272" s="294"/>
      <c r="T1272" s="294"/>
      <c r="U1272" s="294"/>
      <c r="V1272" s="294"/>
      <c r="W1272" s="294"/>
      <c r="X1272" s="294"/>
      <c r="Y1272" s="294"/>
      <c r="Z1272" s="294"/>
      <c r="AA1272" s="294"/>
      <c r="AB1272" s="294"/>
      <c r="AC1272" s="294"/>
      <c r="AD1272" s="294"/>
      <c r="AE1272" s="294"/>
      <c r="AF1272" s="294"/>
      <c r="AG1272" s="294"/>
    </row>
    <row r="1273" spans="2:33" x14ac:dyDescent="0.25">
      <c r="B1273" s="294"/>
      <c r="C1273" s="294"/>
      <c r="D1273" s="294"/>
      <c r="E1273" s="294"/>
      <c r="F1273" s="294"/>
      <c r="G1273" s="294"/>
      <c r="H1273" s="294"/>
      <c r="I1273" s="294"/>
      <c r="J1273" s="294"/>
      <c r="L1273" s="295"/>
      <c r="M1273" s="294"/>
      <c r="O1273" s="294"/>
      <c r="P1273" s="294"/>
      <c r="Q1273" s="294"/>
      <c r="R1273" s="294"/>
      <c r="S1273" s="294"/>
      <c r="T1273" s="294"/>
      <c r="U1273" s="294"/>
      <c r="V1273" s="294"/>
      <c r="W1273" s="294"/>
      <c r="X1273" s="294"/>
      <c r="Y1273" s="294"/>
      <c r="Z1273" s="294"/>
      <c r="AA1273" s="294"/>
      <c r="AB1273" s="294"/>
      <c r="AC1273" s="294"/>
      <c r="AD1273" s="294"/>
      <c r="AE1273" s="294"/>
      <c r="AF1273" s="294"/>
      <c r="AG1273" s="294"/>
    </row>
    <row r="1274" spans="2:33" x14ac:dyDescent="0.25">
      <c r="B1274" s="294"/>
      <c r="C1274" s="294"/>
      <c r="D1274" s="294"/>
      <c r="E1274" s="294"/>
      <c r="F1274" s="294"/>
      <c r="G1274" s="294"/>
      <c r="H1274" s="294"/>
      <c r="I1274" s="294"/>
      <c r="J1274" s="294"/>
      <c r="L1274" s="295"/>
      <c r="M1274" s="294"/>
      <c r="O1274" s="294"/>
      <c r="P1274" s="294"/>
      <c r="Q1274" s="294"/>
      <c r="R1274" s="294"/>
      <c r="S1274" s="294"/>
      <c r="T1274" s="294"/>
      <c r="U1274" s="294"/>
      <c r="V1274" s="294"/>
      <c r="W1274" s="294"/>
      <c r="X1274" s="294"/>
      <c r="Y1274" s="294"/>
      <c r="Z1274" s="294"/>
      <c r="AA1274" s="294"/>
      <c r="AB1274" s="294"/>
      <c r="AC1274" s="294"/>
      <c r="AD1274" s="294"/>
      <c r="AE1274" s="294"/>
      <c r="AF1274" s="294"/>
      <c r="AG1274" s="294"/>
    </row>
    <row r="1275" spans="2:33" x14ac:dyDescent="0.25">
      <c r="B1275" s="294"/>
      <c r="C1275" s="294"/>
      <c r="D1275" s="294"/>
      <c r="E1275" s="294"/>
      <c r="F1275" s="294"/>
      <c r="G1275" s="294"/>
      <c r="H1275" s="294"/>
      <c r="I1275" s="294"/>
      <c r="J1275" s="294"/>
      <c r="L1275" s="295"/>
      <c r="M1275" s="294"/>
      <c r="O1275" s="294"/>
      <c r="P1275" s="294"/>
      <c r="Q1275" s="294"/>
      <c r="R1275" s="294"/>
      <c r="S1275" s="294"/>
      <c r="T1275" s="294"/>
      <c r="U1275" s="294"/>
      <c r="V1275" s="294"/>
      <c r="W1275" s="294"/>
      <c r="X1275" s="294"/>
      <c r="Y1275" s="294"/>
      <c r="Z1275" s="294"/>
      <c r="AA1275" s="294"/>
      <c r="AB1275" s="294"/>
      <c r="AC1275" s="294"/>
      <c r="AD1275" s="294"/>
      <c r="AE1275" s="294"/>
      <c r="AF1275" s="294"/>
      <c r="AG1275" s="294"/>
    </row>
    <row r="1276" spans="2:33" x14ac:dyDescent="0.25">
      <c r="B1276" s="294"/>
      <c r="C1276" s="294"/>
      <c r="D1276" s="294"/>
      <c r="E1276" s="294"/>
      <c r="F1276" s="294"/>
      <c r="G1276" s="294"/>
      <c r="H1276" s="294"/>
      <c r="I1276" s="294"/>
      <c r="J1276" s="294"/>
      <c r="L1276" s="295"/>
      <c r="M1276" s="294"/>
      <c r="O1276" s="294"/>
      <c r="P1276" s="294"/>
      <c r="Q1276" s="294"/>
      <c r="R1276" s="294"/>
      <c r="S1276" s="294"/>
      <c r="T1276" s="294"/>
      <c r="U1276" s="294"/>
      <c r="V1276" s="294"/>
      <c r="W1276" s="294"/>
      <c r="X1276" s="294"/>
      <c r="Y1276" s="294"/>
      <c r="Z1276" s="294"/>
      <c r="AA1276" s="294"/>
      <c r="AB1276" s="294"/>
      <c r="AC1276" s="294"/>
      <c r="AD1276" s="294"/>
      <c r="AE1276" s="294"/>
      <c r="AF1276" s="294"/>
      <c r="AG1276" s="294"/>
    </row>
    <row r="1277" spans="2:33" x14ac:dyDescent="0.25">
      <c r="B1277" s="294"/>
      <c r="C1277" s="294"/>
      <c r="D1277" s="294"/>
      <c r="E1277" s="294"/>
      <c r="F1277" s="294"/>
      <c r="G1277" s="294"/>
      <c r="H1277" s="294"/>
      <c r="I1277" s="294"/>
      <c r="J1277" s="294"/>
      <c r="L1277" s="295"/>
      <c r="M1277" s="294"/>
      <c r="O1277" s="294"/>
      <c r="P1277" s="294"/>
      <c r="Q1277" s="294"/>
      <c r="R1277" s="294"/>
      <c r="S1277" s="294"/>
      <c r="T1277" s="294"/>
      <c r="U1277" s="294"/>
      <c r="V1277" s="294"/>
      <c r="W1277" s="294"/>
      <c r="X1277" s="294"/>
      <c r="Y1277" s="294"/>
      <c r="Z1277" s="294"/>
      <c r="AA1277" s="294"/>
      <c r="AB1277" s="294"/>
      <c r="AC1277" s="294"/>
      <c r="AD1277" s="294"/>
      <c r="AE1277" s="294"/>
      <c r="AF1277" s="294"/>
      <c r="AG1277" s="294"/>
    </row>
    <row r="1278" spans="2:33" x14ac:dyDescent="0.25">
      <c r="B1278" s="294"/>
      <c r="C1278" s="294"/>
      <c r="D1278" s="294"/>
      <c r="E1278" s="294"/>
      <c r="F1278" s="294"/>
      <c r="G1278" s="294"/>
      <c r="H1278" s="294"/>
      <c r="I1278" s="294"/>
      <c r="J1278" s="294"/>
      <c r="L1278" s="295"/>
      <c r="M1278" s="294"/>
      <c r="O1278" s="294"/>
      <c r="P1278" s="294"/>
      <c r="Q1278" s="294"/>
      <c r="R1278" s="294"/>
      <c r="S1278" s="294"/>
      <c r="T1278" s="294"/>
      <c r="U1278" s="294"/>
      <c r="V1278" s="294"/>
      <c r="W1278" s="294"/>
      <c r="X1278" s="294"/>
      <c r="Y1278" s="294"/>
      <c r="Z1278" s="294"/>
      <c r="AA1278" s="294"/>
      <c r="AB1278" s="294"/>
      <c r="AC1278" s="294"/>
      <c r="AD1278" s="294"/>
      <c r="AE1278" s="294"/>
      <c r="AF1278" s="294"/>
      <c r="AG1278" s="294"/>
    </row>
    <row r="1279" spans="2:33" x14ac:dyDescent="0.25">
      <c r="B1279" s="294"/>
      <c r="C1279" s="294"/>
      <c r="D1279" s="294"/>
      <c r="E1279" s="294"/>
      <c r="F1279" s="294"/>
      <c r="G1279" s="294"/>
      <c r="H1279" s="294"/>
      <c r="I1279" s="294"/>
      <c r="J1279" s="294"/>
      <c r="L1279" s="295"/>
      <c r="M1279" s="294"/>
      <c r="O1279" s="294"/>
      <c r="P1279" s="294"/>
      <c r="Q1279" s="294"/>
      <c r="R1279" s="294"/>
      <c r="S1279" s="294"/>
      <c r="T1279" s="294"/>
      <c r="U1279" s="294"/>
      <c r="V1279" s="294"/>
      <c r="W1279" s="294"/>
      <c r="X1279" s="294"/>
      <c r="Y1279" s="294"/>
      <c r="Z1279" s="294"/>
      <c r="AA1279" s="294"/>
      <c r="AB1279" s="294"/>
      <c r="AC1279" s="294"/>
      <c r="AD1279" s="294"/>
      <c r="AE1279" s="294"/>
      <c r="AF1279" s="294"/>
      <c r="AG1279" s="294"/>
    </row>
    <row r="1280" spans="2:33" x14ac:dyDescent="0.25">
      <c r="B1280" s="294"/>
      <c r="C1280" s="294"/>
      <c r="D1280" s="294"/>
      <c r="E1280" s="294"/>
      <c r="F1280" s="294"/>
      <c r="G1280" s="294"/>
      <c r="H1280" s="294"/>
      <c r="I1280" s="294"/>
      <c r="J1280" s="294"/>
      <c r="L1280" s="295"/>
      <c r="M1280" s="294"/>
      <c r="O1280" s="294"/>
      <c r="P1280" s="294"/>
      <c r="Q1280" s="294"/>
      <c r="R1280" s="294"/>
      <c r="S1280" s="294"/>
      <c r="T1280" s="294"/>
      <c r="U1280" s="294"/>
      <c r="V1280" s="294"/>
      <c r="W1280" s="294"/>
      <c r="X1280" s="294"/>
      <c r="Y1280" s="294"/>
      <c r="Z1280" s="294"/>
      <c r="AA1280" s="294"/>
      <c r="AB1280" s="294"/>
      <c r="AC1280" s="294"/>
      <c r="AD1280" s="294"/>
      <c r="AE1280" s="294"/>
      <c r="AF1280" s="294"/>
      <c r="AG1280" s="294"/>
    </row>
    <row r="1281" spans="2:33" x14ac:dyDescent="0.25">
      <c r="B1281" s="294"/>
      <c r="C1281" s="294"/>
      <c r="D1281" s="294"/>
      <c r="E1281" s="294"/>
      <c r="F1281" s="294"/>
      <c r="G1281" s="294"/>
      <c r="H1281" s="294"/>
      <c r="I1281" s="294"/>
      <c r="J1281" s="294"/>
      <c r="L1281" s="295"/>
      <c r="M1281" s="294"/>
      <c r="O1281" s="294"/>
      <c r="P1281" s="294"/>
      <c r="Q1281" s="294"/>
      <c r="R1281" s="294"/>
      <c r="S1281" s="294"/>
      <c r="T1281" s="294"/>
      <c r="U1281" s="294"/>
      <c r="V1281" s="294"/>
      <c r="W1281" s="294"/>
      <c r="X1281" s="294"/>
      <c r="Y1281" s="294"/>
      <c r="Z1281" s="294"/>
      <c r="AA1281" s="294"/>
      <c r="AB1281" s="294"/>
      <c r="AC1281" s="294"/>
      <c r="AD1281" s="294"/>
      <c r="AE1281" s="294"/>
      <c r="AF1281" s="294"/>
      <c r="AG1281" s="294"/>
    </row>
    <row r="1282" spans="2:33" x14ac:dyDescent="0.25">
      <c r="B1282" s="294"/>
      <c r="C1282" s="294"/>
      <c r="D1282" s="294"/>
      <c r="E1282" s="294"/>
      <c r="F1282" s="294"/>
      <c r="G1282" s="294"/>
      <c r="H1282" s="294"/>
      <c r="I1282" s="294"/>
      <c r="J1282" s="294"/>
      <c r="L1282" s="295"/>
      <c r="M1282" s="294"/>
      <c r="O1282" s="294"/>
      <c r="P1282" s="294"/>
      <c r="Q1282" s="294"/>
      <c r="R1282" s="294"/>
      <c r="S1282" s="294"/>
      <c r="T1282" s="294"/>
      <c r="U1282" s="294"/>
      <c r="V1282" s="294"/>
      <c r="W1282" s="294"/>
      <c r="X1282" s="294"/>
      <c r="Y1282" s="294"/>
      <c r="Z1282" s="294"/>
      <c r="AA1282" s="294"/>
      <c r="AB1282" s="294"/>
      <c r="AC1282" s="294"/>
      <c r="AD1282" s="294"/>
      <c r="AE1282" s="294"/>
      <c r="AF1282" s="294"/>
      <c r="AG1282" s="294"/>
    </row>
    <row r="1283" spans="2:33" x14ac:dyDescent="0.25">
      <c r="B1283" s="294"/>
      <c r="C1283" s="294"/>
      <c r="D1283" s="294"/>
      <c r="E1283" s="294"/>
      <c r="F1283" s="294"/>
      <c r="G1283" s="294"/>
      <c r="H1283" s="294"/>
      <c r="I1283" s="294"/>
      <c r="J1283" s="294"/>
      <c r="L1283" s="295"/>
      <c r="M1283" s="294"/>
      <c r="O1283" s="294"/>
      <c r="P1283" s="294"/>
      <c r="Q1283" s="294"/>
      <c r="R1283" s="294"/>
      <c r="S1283" s="294"/>
      <c r="T1283" s="294"/>
      <c r="U1283" s="294"/>
      <c r="V1283" s="294"/>
      <c r="W1283" s="294"/>
      <c r="X1283" s="294"/>
      <c r="Y1283" s="294"/>
      <c r="Z1283" s="294"/>
      <c r="AA1283" s="294"/>
      <c r="AB1283" s="294"/>
      <c r="AC1283" s="294"/>
      <c r="AD1283" s="294"/>
      <c r="AE1283" s="294"/>
      <c r="AF1283" s="294"/>
      <c r="AG1283" s="294"/>
    </row>
    <row r="1284" spans="2:33" x14ac:dyDescent="0.25">
      <c r="B1284" s="294"/>
      <c r="C1284" s="294"/>
      <c r="D1284" s="294"/>
      <c r="E1284" s="294"/>
      <c r="F1284" s="294"/>
      <c r="G1284" s="294"/>
      <c r="H1284" s="294"/>
      <c r="I1284" s="294"/>
      <c r="J1284" s="294"/>
      <c r="L1284" s="295"/>
      <c r="M1284" s="294"/>
      <c r="O1284" s="294"/>
      <c r="P1284" s="294"/>
      <c r="Q1284" s="294"/>
      <c r="R1284" s="294"/>
      <c r="S1284" s="294"/>
      <c r="T1284" s="294"/>
      <c r="U1284" s="294"/>
      <c r="V1284" s="294"/>
      <c r="W1284" s="294"/>
      <c r="X1284" s="294"/>
      <c r="Y1284" s="294"/>
      <c r="Z1284" s="294"/>
      <c r="AA1284" s="294"/>
      <c r="AB1284" s="294"/>
      <c r="AC1284" s="294"/>
      <c r="AD1284" s="294"/>
      <c r="AE1284" s="294"/>
      <c r="AF1284" s="294"/>
      <c r="AG1284" s="294"/>
    </row>
    <row r="1285" spans="2:33" x14ac:dyDescent="0.25">
      <c r="B1285" s="294"/>
      <c r="C1285" s="294"/>
      <c r="D1285" s="294"/>
      <c r="E1285" s="294"/>
      <c r="F1285" s="294"/>
      <c r="G1285" s="294"/>
      <c r="H1285" s="294"/>
      <c r="I1285" s="294"/>
      <c r="J1285" s="294"/>
      <c r="L1285" s="295"/>
      <c r="M1285" s="294"/>
      <c r="O1285" s="294"/>
      <c r="P1285" s="294"/>
      <c r="Q1285" s="294"/>
      <c r="R1285" s="294"/>
      <c r="S1285" s="294"/>
      <c r="T1285" s="294"/>
      <c r="U1285" s="294"/>
      <c r="V1285" s="294"/>
      <c r="W1285" s="294"/>
      <c r="X1285" s="294"/>
      <c r="Y1285" s="294"/>
      <c r="Z1285" s="294"/>
      <c r="AA1285" s="294"/>
      <c r="AB1285" s="294"/>
      <c r="AC1285" s="294"/>
      <c r="AD1285" s="294"/>
      <c r="AE1285" s="294"/>
      <c r="AF1285" s="294"/>
      <c r="AG1285" s="294"/>
    </row>
    <row r="1286" spans="2:33" x14ac:dyDescent="0.25">
      <c r="B1286" s="294"/>
      <c r="C1286" s="294"/>
      <c r="D1286" s="294"/>
      <c r="E1286" s="294"/>
      <c r="F1286" s="294"/>
      <c r="G1286" s="294"/>
      <c r="H1286" s="294"/>
      <c r="I1286" s="294"/>
      <c r="J1286" s="294"/>
      <c r="L1286" s="295"/>
      <c r="M1286" s="294"/>
      <c r="O1286" s="294"/>
      <c r="P1286" s="294"/>
      <c r="Q1286" s="294"/>
      <c r="R1286" s="294"/>
      <c r="S1286" s="294"/>
      <c r="T1286" s="294"/>
      <c r="U1286" s="294"/>
      <c r="V1286" s="294"/>
      <c r="W1286" s="294"/>
      <c r="X1286" s="294"/>
      <c r="Y1286" s="294"/>
      <c r="Z1286" s="294"/>
      <c r="AA1286" s="294"/>
      <c r="AB1286" s="294"/>
      <c r="AC1286" s="294"/>
      <c r="AD1286" s="294"/>
      <c r="AE1286" s="294"/>
      <c r="AF1286" s="294"/>
      <c r="AG1286" s="294"/>
    </row>
    <row r="1287" spans="2:33" x14ac:dyDescent="0.25">
      <c r="B1287" s="294"/>
      <c r="C1287" s="294"/>
      <c r="D1287" s="294"/>
      <c r="E1287" s="294"/>
      <c r="F1287" s="294"/>
      <c r="G1287" s="294"/>
      <c r="H1287" s="294"/>
      <c r="I1287" s="294"/>
      <c r="J1287" s="294"/>
      <c r="L1287" s="295"/>
      <c r="M1287" s="294"/>
      <c r="O1287" s="294"/>
      <c r="P1287" s="294"/>
      <c r="Q1287" s="294"/>
      <c r="R1287" s="294"/>
      <c r="S1287" s="294"/>
      <c r="T1287" s="294"/>
      <c r="U1287" s="294"/>
      <c r="V1287" s="294"/>
      <c r="W1287" s="294"/>
      <c r="X1287" s="294"/>
      <c r="Y1287" s="294"/>
      <c r="Z1287" s="294"/>
      <c r="AA1287" s="294"/>
      <c r="AB1287" s="294"/>
      <c r="AC1287" s="294"/>
      <c r="AD1287" s="294"/>
      <c r="AE1287" s="294"/>
      <c r="AF1287" s="294"/>
      <c r="AG1287" s="294"/>
    </row>
    <row r="1288" spans="2:33" x14ac:dyDescent="0.25">
      <c r="B1288" s="294"/>
      <c r="C1288" s="294"/>
      <c r="D1288" s="294"/>
      <c r="E1288" s="294"/>
      <c r="F1288" s="294"/>
      <c r="G1288" s="294"/>
      <c r="H1288" s="294"/>
      <c r="I1288" s="294"/>
      <c r="J1288" s="294"/>
      <c r="L1288" s="295"/>
      <c r="M1288" s="294"/>
      <c r="O1288" s="294"/>
      <c r="P1288" s="294"/>
      <c r="Q1288" s="294"/>
      <c r="R1288" s="294"/>
      <c r="S1288" s="294"/>
      <c r="T1288" s="294"/>
      <c r="U1288" s="294"/>
      <c r="V1288" s="294"/>
      <c r="W1288" s="294"/>
      <c r="X1288" s="294"/>
      <c r="Y1288" s="294"/>
      <c r="Z1288" s="294"/>
      <c r="AA1288" s="294"/>
      <c r="AB1288" s="294"/>
      <c r="AC1288" s="294"/>
      <c r="AD1288" s="294"/>
      <c r="AE1288" s="294"/>
      <c r="AF1288" s="294"/>
      <c r="AG1288" s="294"/>
    </row>
    <row r="1289" spans="2:33" x14ac:dyDescent="0.25">
      <c r="B1289" s="294"/>
      <c r="C1289" s="294"/>
      <c r="D1289" s="294"/>
      <c r="E1289" s="294"/>
      <c r="F1289" s="294"/>
      <c r="G1289" s="294"/>
      <c r="H1289" s="294"/>
      <c r="I1289" s="294"/>
      <c r="J1289" s="294"/>
      <c r="L1289" s="295"/>
      <c r="M1289" s="294"/>
      <c r="O1289" s="294"/>
      <c r="P1289" s="294"/>
      <c r="Q1289" s="294"/>
      <c r="R1289" s="294"/>
      <c r="S1289" s="294"/>
      <c r="T1289" s="294"/>
      <c r="U1289" s="294"/>
      <c r="V1289" s="294"/>
      <c r="W1289" s="294"/>
      <c r="X1289" s="294"/>
      <c r="Y1289" s="294"/>
      <c r="Z1289" s="294"/>
      <c r="AA1289" s="294"/>
      <c r="AB1289" s="294"/>
      <c r="AC1289" s="294"/>
      <c r="AD1289" s="294"/>
      <c r="AE1289" s="294"/>
      <c r="AF1289" s="294"/>
      <c r="AG1289" s="294"/>
    </row>
    <row r="1290" spans="2:33" x14ac:dyDescent="0.25">
      <c r="B1290" s="294"/>
      <c r="C1290" s="294"/>
      <c r="D1290" s="294"/>
      <c r="E1290" s="294"/>
      <c r="F1290" s="294"/>
      <c r="G1290" s="294"/>
      <c r="H1290" s="294"/>
      <c r="I1290" s="294"/>
      <c r="J1290" s="294"/>
      <c r="L1290" s="295"/>
      <c r="M1290" s="294"/>
      <c r="O1290" s="294"/>
      <c r="P1290" s="294"/>
      <c r="Q1290" s="294"/>
      <c r="R1290" s="294"/>
      <c r="S1290" s="294"/>
      <c r="T1290" s="294"/>
      <c r="U1290" s="294"/>
      <c r="V1290" s="294"/>
      <c r="W1290" s="294"/>
      <c r="X1290" s="294"/>
      <c r="Y1290" s="294"/>
      <c r="Z1290" s="294"/>
      <c r="AA1290" s="294"/>
      <c r="AB1290" s="294"/>
      <c r="AC1290" s="294"/>
      <c r="AD1290" s="294"/>
      <c r="AE1290" s="294"/>
      <c r="AF1290" s="294"/>
      <c r="AG1290" s="294"/>
    </row>
    <row r="1291" spans="2:33" x14ac:dyDescent="0.25">
      <c r="B1291" s="294"/>
      <c r="C1291" s="294"/>
      <c r="D1291" s="294"/>
      <c r="E1291" s="294"/>
      <c r="F1291" s="294"/>
      <c r="G1291" s="294"/>
      <c r="H1291" s="294"/>
      <c r="I1291" s="294"/>
      <c r="J1291" s="294"/>
      <c r="L1291" s="295"/>
      <c r="M1291" s="294"/>
      <c r="O1291" s="294"/>
      <c r="P1291" s="294"/>
      <c r="Q1291" s="294"/>
      <c r="R1291" s="294"/>
      <c r="S1291" s="294"/>
      <c r="T1291" s="294"/>
      <c r="U1291" s="294"/>
      <c r="V1291" s="294"/>
      <c r="W1291" s="294"/>
      <c r="X1291" s="294"/>
      <c r="Y1291" s="294"/>
      <c r="Z1291" s="294"/>
      <c r="AA1291" s="294"/>
      <c r="AB1291" s="294"/>
      <c r="AC1291" s="294"/>
      <c r="AD1291" s="294"/>
      <c r="AE1291" s="294"/>
      <c r="AF1291" s="294"/>
      <c r="AG1291" s="294"/>
    </row>
    <row r="1292" spans="2:33" x14ac:dyDescent="0.25">
      <c r="B1292" s="294"/>
      <c r="C1292" s="294"/>
      <c r="D1292" s="294"/>
      <c r="E1292" s="294"/>
      <c r="F1292" s="294"/>
      <c r="G1292" s="294"/>
      <c r="H1292" s="294"/>
      <c r="I1292" s="294"/>
      <c r="J1292" s="294"/>
      <c r="L1292" s="295"/>
      <c r="M1292" s="294"/>
      <c r="O1292" s="294"/>
      <c r="P1292" s="294"/>
      <c r="Q1292" s="294"/>
      <c r="R1292" s="294"/>
      <c r="S1292" s="294"/>
      <c r="T1292" s="294"/>
      <c r="U1292" s="294"/>
      <c r="V1292" s="294"/>
      <c r="W1292" s="294"/>
      <c r="X1292" s="294"/>
      <c r="Y1292" s="294"/>
      <c r="Z1292" s="294"/>
      <c r="AA1292" s="294"/>
      <c r="AB1292" s="294"/>
      <c r="AC1292" s="294"/>
      <c r="AD1292" s="294"/>
      <c r="AE1292" s="294"/>
      <c r="AF1292" s="294"/>
      <c r="AG1292" s="294"/>
    </row>
    <row r="1293" spans="2:33" x14ac:dyDescent="0.25">
      <c r="B1293" s="294"/>
      <c r="C1293" s="294"/>
      <c r="D1293" s="294"/>
      <c r="E1293" s="294"/>
      <c r="F1293" s="294"/>
      <c r="G1293" s="294"/>
      <c r="H1293" s="294"/>
      <c r="I1293" s="294"/>
      <c r="J1293" s="294"/>
      <c r="L1293" s="295"/>
      <c r="M1293" s="294"/>
      <c r="O1293" s="294"/>
      <c r="P1293" s="294"/>
      <c r="Q1293" s="294"/>
      <c r="R1293" s="294"/>
      <c r="S1293" s="294"/>
      <c r="T1293" s="294"/>
      <c r="U1293" s="294"/>
      <c r="V1293" s="294"/>
      <c r="W1293" s="294"/>
      <c r="X1293" s="294"/>
      <c r="Y1293" s="294"/>
      <c r="Z1293" s="294"/>
      <c r="AA1293" s="294"/>
      <c r="AB1293" s="294"/>
      <c r="AC1293" s="294"/>
      <c r="AD1293" s="294"/>
      <c r="AE1293" s="294"/>
      <c r="AF1293" s="294"/>
      <c r="AG1293" s="294"/>
    </row>
    <row r="1294" spans="2:33" x14ac:dyDescent="0.25">
      <c r="B1294" s="294"/>
      <c r="C1294" s="294"/>
      <c r="D1294" s="294"/>
      <c r="E1294" s="294"/>
      <c r="F1294" s="294"/>
      <c r="G1294" s="294"/>
      <c r="H1294" s="294"/>
      <c r="I1294" s="294"/>
      <c r="J1294" s="294"/>
      <c r="L1294" s="295"/>
      <c r="M1294" s="294"/>
      <c r="O1294" s="294"/>
      <c r="P1294" s="294"/>
      <c r="Q1294" s="294"/>
      <c r="R1294" s="294"/>
      <c r="S1294" s="294"/>
      <c r="T1294" s="294"/>
      <c r="U1294" s="294"/>
      <c r="V1294" s="294"/>
      <c r="W1294" s="294"/>
      <c r="X1294" s="294"/>
      <c r="Y1294" s="294"/>
      <c r="Z1294" s="294"/>
      <c r="AA1294" s="294"/>
      <c r="AB1294" s="294"/>
      <c r="AC1294" s="294"/>
      <c r="AD1294" s="294"/>
      <c r="AE1294" s="294"/>
      <c r="AF1294" s="294"/>
      <c r="AG1294" s="294"/>
    </row>
    <row r="1295" spans="2:33" x14ac:dyDescent="0.25">
      <c r="B1295" s="294"/>
      <c r="C1295" s="294"/>
      <c r="D1295" s="294"/>
      <c r="E1295" s="294"/>
      <c r="F1295" s="294"/>
      <c r="G1295" s="294"/>
      <c r="H1295" s="294"/>
      <c r="I1295" s="294"/>
      <c r="J1295" s="294"/>
      <c r="L1295" s="295"/>
      <c r="M1295" s="294"/>
      <c r="O1295" s="294"/>
      <c r="P1295" s="294"/>
      <c r="Q1295" s="294"/>
      <c r="R1295" s="294"/>
      <c r="S1295" s="294"/>
      <c r="T1295" s="294"/>
      <c r="U1295" s="294"/>
      <c r="V1295" s="294"/>
      <c r="W1295" s="294"/>
      <c r="X1295" s="294"/>
      <c r="Y1295" s="294"/>
      <c r="Z1295" s="294"/>
      <c r="AA1295" s="294"/>
      <c r="AB1295" s="294"/>
      <c r="AC1295" s="294"/>
      <c r="AD1295" s="294"/>
      <c r="AE1295" s="294"/>
      <c r="AF1295" s="294"/>
      <c r="AG1295" s="294"/>
    </row>
    <row r="1296" spans="2:33" x14ac:dyDescent="0.25">
      <c r="B1296" s="294"/>
      <c r="C1296" s="294"/>
      <c r="D1296" s="294"/>
      <c r="E1296" s="294"/>
      <c r="F1296" s="294"/>
      <c r="G1296" s="294"/>
      <c r="H1296" s="294"/>
      <c r="I1296" s="294"/>
      <c r="J1296" s="294"/>
      <c r="L1296" s="295"/>
      <c r="M1296" s="294"/>
      <c r="O1296" s="294"/>
      <c r="P1296" s="294"/>
      <c r="Q1296" s="294"/>
      <c r="R1296" s="294"/>
      <c r="S1296" s="294"/>
      <c r="T1296" s="294"/>
      <c r="U1296" s="294"/>
      <c r="V1296" s="294"/>
      <c r="W1296" s="294"/>
      <c r="X1296" s="294"/>
      <c r="Y1296" s="294"/>
      <c r="Z1296" s="294"/>
      <c r="AA1296" s="294"/>
      <c r="AB1296" s="294"/>
      <c r="AC1296" s="294"/>
      <c r="AD1296" s="294"/>
      <c r="AE1296" s="294"/>
      <c r="AF1296" s="294"/>
      <c r="AG1296" s="294"/>
    </row>
    <row r="1297" spans="2:33" x14ac:dyDescent="0.25">
      <c r="B1297" s="294"/>
      <c r="C1297" s="294"/>
      <c r="D1297" s="294"/>
      <c r="E1297" s="294"/>
      <c r="F1297" s="294"/>
      <c r="G1297" s="294"/>
      <c r="H1297" s="294"/>
      <c r="I1297" s="294"/>
      <c r="J1297" s="294"/>
      <c r="L1297" s="295"/>
      <c r="M1297" s="294"/>
      <c r="O1297" s="294"/>
      <c r="P1297" s="294"/>
      <c r="Q1297" s="294"/>
      <c r="R1297" s="294"/>
      <c r="S1297" s="294"/>
      <c r="T1297" s="294"/>
      <c r="U1297" s="294"/>
      <c r="V1297" s="294"/>
      <c r="W1297" s="294"/>
      <c r="X1297" s="294"/>
      <c r="Y1297" s="294"/>
      <c r="Z1297" s="294"/>
      <c r="AA1297" s="294"/>
      <c r="AB1297" s="294"/>
      <c r="AC1297" s="294"/>
      <c r="AD1297" s="294"/>
      <c r="AE1297" s="294"/>
      <c r="AF1297" s="294"/>
      <c r="AG1297" s="294"/>
    </row>
    <row r="1298" spans="2:33" x14ac:dyDescent="0.25">
      <c r="B1298" s="294"/>
      <c r="C1298" s="294"/>
      <c r="D1298" s="294"/>
      <c r="E1298" s="294"/>
      <c r="F1298" s="294"/>
      <c r="G1298" s="294"/>
      <c r="H1298" s="294"/>
      <c r="I1298" s="294"/>
      <c r="J1298" s="294"/>
      <c r="L1298" s="295"/>
      <c r="M1298" s="294"/>
      <c r="O1298" s="294"/>
      <c r="P1298" s="294"/>
      <c r="Q1298" s="294"/>
      <c r="R1298" s="294"/>
      <c r="S1298" s="294"/>
      <c r="T1298" s="294"/>
      <c r="U1298" s="294"/>
      <c r="V1298" s="294"/>
      <c r="W1298" s="294"/>
      <c r="X1298" s="294"/>
      <c r="Y1298" s="294"/>
      <c r="Z1298" s="294"/>
      <c r="AA1298" s="294"/>
      <c r="AB1298" s="294"/>
      <c r="AC1298" s="294"/>
      <c r="AD1298" s="294"/>
      <c r="AE1298" s="294"/>
      <c r="AF1298" s="294"/>
      <c r="AG1298" s="294"/>
    </row>
    <row r="1299" spans="2:33" x14ac:dyDescent="0.25">
      <c r="B1299" s="294"/>
      <c r="C1299" s="294"/>
      <c r="D1299" s="294"/>
      <c r="E1299" s="294"/>
      <c r="F1299" s="294"/>
      <c r="G1299" s="294"/>
      <c r="H1299" s="294"/>
      <c r="I1299" s="294"/>
      <c r="J1299" s="294"/>
      <c r="L1299" s="295"/>
      <c r="M1299" s="294"/>
      <c r="O1299" s="294"/>
      <c r="P1299" s="294"/>
      <c r="Q1299" s="294"/>
      <c r="R1299" s="294"/>
      <c r="S1299" s="294"/>
      <c r="T1299" s="294"/>
      <c r="U1299" s="294"/>
      <c r="V1299" s="294"/>
      <c r="W1299" s="294"/>
      <c r="X1299" s="294"/>
      <c r="Y1299" s="294"/>
      <c r="Z1299" s="294"/>
      <c r="AA1299" s="294"/>
      <c r="AB1299" s="294"/>
      <c r="AC1299" s="294"/>
      <c r="AD1299" s="294"/>
      <c r="AE1299" s="294"/>
      <c r="AF1299" s="294"/>
      <c r="AG1299" s="294"/>
    </row>
    <row r="1300" spans="2:33" x14ac:dyDescent="0.25">
      <c r="B1300" s="294"/>
      <c r="C1300" s="294"/>
      <c r="D1300" s="294"/>
      <c r="E1300" s="294"/>
      <c r="F1300" s="294"/>
      <c r="G1300" s="294"/>
      <c r="H1300" s="294"/>
      <c r="I1300" s="294"/>
      <c r="J1300" s="294"/>
      <c r="L1300" s="295"/>
      <c r="M1300" s="294"/>
      <c r="O1300" s="294"/>
      <c r="P1300" s="294"/>
      <c r="Q1300" s="294"/>
      <c r="R1300" s="294"/>
      <c r="S1300" s="294"/>
      <c r="T1300" s="294"/>
      <c r="U1300" s="294"/>
      <c r="V1300" s="294"/>
      <c r="W1300" s="294"/>
      <c r="X1300" s="294"/>
      <c r="Y1300" s="294"/>
      <c r="Z1300" s="294"/>
      <c r="AA1300" s="294"/>
      <c r="AB1300" s="294"/>
      <c r="AC1300" s="294"/>
      <c r="AD1300" s="294"/>
      <c r="AE1300" s="294"/>
      <c r="AF1300" s="294"/>
      <c r="AG1300" s="294"/>
    </row>
    <row r="1301" spans="2:33" x14ac:dyDescent="0.25">
      <c r="B1301" s="294"/>
      <c r="C1301" s="294"/>
      <c r="D1301" s="294"/>
      <c r="E1301" s="294"/>
      <c r="F1301" s="294"/>
      <c r="G1301" s="294"/>
      <c r="H1301" s="294"/>
      <c r="I1301" s="294"/>
      <c r="J1301" s="294"/>
      <c r="L1301" s="295"/>
      <c r="M1301" s="294"/>
      <c r="O1301" s="294"/>
      <c r="P1301" s="294"/>
      <c r="Q1301" s="294"/>
      <c r="R1301" s="294"/>
      <c r="S1301" s="294"/>
      <c r="T1301" s="294"/>
      <c r="U1301" s="294"/>
      <c r="V1301" s="294"/>
      <c r="W1301" s="294"/>
      <c r="X1301" s="294"/>
      <c r="Y1301" s="294"/>
      <c r="Z1301" s="294"/>
      <c r="AA1301" s="294"/>
      <c r="AB1301" s="294"/>
      <c r="AC1301" s="294"/>
      <c r="AD1301" s="294"/>
      <c r="AE1301" s="294"/>
      <c r="AF1301" s="294"/>
      <c r="AG1301" s="294"/>
    </row>
    <row r="1302" spans="2:33" x14ac:dyDescent="0.25">
      <c r="B1302" s="294"/>
      <c r="C1302" s="294"/>
      <c r="D1302" s="294"/>
      <c r="E1302" s="294"/>
      <c r="F1302" s="294"/>
      <c r="G1302" s="294"/>
      <c r="H1302" s="294"/>
      <c r="I1302" s="294"/>
      <c r="J1302" s="294"/>
      <c r="L1302" s="295"/>
      <c r="M1302" s="294"/>
      <c r="O1302" s="294"/>
      <c r="P1302" s="294"/>
      <c r="Q1302" s="294"/>
      <c r="R1302" s="294"/>
      <c r="S1302" s="294"/>
      <c r="T1302" s="294"/>
      <c r="U1302" s="294"/>
      <c r="V1302" s="294"/>
      <c r="W1302" s="294"/>
      <c r="X1302" s="294"/>
      <c r="Y1302" s="294"/>
      <c r="Z1302" s="294"/>
      <c r="AA1302" s="294"/>
      <c r="AB1302" s="294"/>
      <c r="AC1302" s="294"/>
      <c r="AD1302" s="294"/>
      <c r="AE1302" s="294"/>
      <c r="AF1302" s="294"/>
      <c r="AG1302" s="294"/>
    </row>
    <row r="1303" spans="2:33" x14ac:dyDescent="0.25">
      <c r="B1303" s="294"/>
      <c r="C1303" s="294"/>
      <c r="D1303" s="294"/>
      <c r="E1303" s="294"/>
      <c r="F1303" s="294"/>
      <c r="G1303" s="294"/>
      <c r="H1303" s="294"/>
      <c r="I1303" s="294"/>
      <c r="J1303" s="294"/>
      <c r="L1303" s="295"/>
      <c r="M1303" s="294"/>
      <c r="O1303" s="294"/>
      <c r="P1303" s="294"/>
      <c r="Q1303" s="294"/>
      <c r="R1303" s="294"/>
      <c r="S1303" s="294"/>
      <c r="T1303" s="294"/>
      <c r="U1303" s="294"/>
      <c r="V1303" s="294"/>
      <c r="W1303" s="294"/>
      <c r="X1303" s="294"/>
      <c r="Y1303" s="294"/>
      <c r="Z1303" s="294"/>
      <c r="AA1303" s="294"/>
      <c r="AB1303" s="294"/>
      <c r="AC1303" s="294"/>
      <c r="AD1303" s="294"/>
      <c r="AE1303" s="294"/>
      <c r="AF1303" s="294"/>
      <c r="AG1303" s="294"/>
    </row>
    <row r="1304" spans="2:33" x14ac:dyDescent="0.25">
      <c r="B1304" s="294"/>
      <c r="C1304" s="294"/>
      <c r="D1304" s="294"/>
      <c r="E1304" s="294"/>
      <c r="F1304" s="294"/>
      <c r="G1304" s="294"/>
      <c r="H1304" s="294"/>
      <c r="I1304" s="294"/>
      <c r="J1304" s="294"/>
      <c r="L1304" s="295"/>
      <c r="M1304" s="294"/>
      <c r="O1304" s="294"/>
      <c r="P1304" s="294"/>
      <c r="Q1304" s="294"/>
      <c r="R1304" s="294"/>
      <c r="S1304" s="294"/>
      <c r="T1304" s="294"/>
      <c r="U1304" s="294"/>
      <c r="V1304" s="294"/>
      <c r="W1304" s="294"/>
      <c r="X1304" s="294"/>
      <c r="Y1304" s="294"/>
      <c r="Z1304" s="294"/>
      <c r="AA1304" s="294"/>
      <c r="AB1304" s="294"/>
      <c r="AC1304" s="294"/>
      <c r="AD1304" s="294"/>
      <c r="AE1304" s="294"/>
      <c r="AF1304" s="294"/>
      <c r="AG1304" s="294"/>
    </row>
    <row r="1305" spans="2:33" x14ac:dyDescent="0.25">
      <c r="B1305" s="294"/>
      <c r="C1305" s="294"/>
      <c r="D1305" s="294"/>
      <c r="E1305" s="294"/>
      <c r="F1305" s="294"/>
      <c r="G1305" s="294"/>
      <c r="H1305" s="294"/>
      <c r="I1305" s="294"/>
      <c r="J1305" s="294"/>
      <c r="L1305" s="295"/>
      <c r="M1305" s="294"/>
      <c r="O1305" s="294"/>
      <c r="P1305" s="294"/>
      <c r="Q1305" s="294"/>
      <c r="R1305" s="294"/>
      <c r="S1305" s="294"/>
      <c r="T1305" s="294"/>
      <c r="U1305" s="294"/>
      <c r="V1305" s="294"/>
      <c r="W1305" s="294"/>
      <c r="X1305" s="294"/>
      <c r="Y1305" s="294"/>
      <c r="Z1305" s="294"/>
      <c r="AA1305" s="294"/>
      <c r="AB1305" s="294"/>
      <c r="AC1305" s="294"/>
      <c r="AD1305" s="294"/>
      <c r="AE1305" s="294"/>
      <c r="AF1305" s="294"/>
      <c r="AG1305" s="294"/>
    </row>
    <row r="1306" spans="2:33" x14ac:dyDescent="0.25">
      <c r="B1306" s="294"/>
      <c r="C1306" s="294"/>
      <c r="D1306" s="294"/>
      <c r="E1306" s="294"/>
      <c r="F1306" s="294"/>
      <c r="G1306" s="294"/>
      <c r="H1306" s="294"/>
      <c r="I1306" s="294"/>
      <c r="J1306" s="294"/>
      <c r="L1306" s="295"/>
      <c r="M1306" s="294"/>
      <c r="O1306" s="294"/>
      <c r="P1306" s="294"/>
      <c r="Q1306" s="294"/>
      <c r="R1306" s="294"/>
      <c r="S1306" s="294"/>
      <c r="T1306" s="294"/>
      <c r="U1306" s="294"/>
      <c r="V1306" s="294"/>
      <c r="W1306" s="294"/>
      <c r="X1306" s="294"/>
      <c r="Y1306" s="294"/>
      <c r="Z1306" s="294"/>
      <c r="AA1306" s="294"/>
      <c r="AB1306" s="294"/>
      <c r="AC1306" s="294"/>
      <c r="AD1306" s="294"/>
      <c r="AE1306" s="294"/>
      <c r="AF1306" s="294"/>
      <c r="AG1306" s="294"/>
    </row>
    <row r="1307" spans="2:33" x14ac:dyDescent="0.25">
      <c r="B1307" s="294"/>
      <c r="C1307" s="294"/>
      <c r="D1307" s="294"/>
      <c r="E1307" s="294"/>
      <c r="F1307" s="294"/>
      <c r="G1307" s="294"/>
      <c r="H1307" s="294"/>
      <c r="I1307" s="294"/>
      <c r="J1307" s="294"/>
      <c r="L1307" s="295"/>
      <c r="M1307" s="294"/>
      <c r="O1307" s="294"/>
      <c r="P1307" s="294"/>
      <c r="Q1307" s="294"/>
      <c r="R1307" s="294"/>
      <c r="S1307" s="294"/>
      <c r="T1307" s="294"/>
      <c r="U1307" s="294"/>
      <c r="V1307" s="294"/>
      <c r="W1307" s="294"/>
      <c r="X1307" s="294"/>
      <c r="Y1307" s="294"/>
      <c r="Z1307" s="294"/>
      <c r="AA1307" s="294"/>
      <c r="AB1307" s="294"/>
      <c r="AC1307" s="294"/>
      <c r="AD1307" s="294"/>
      <c r="AE1307" s="294"/>
      <c r="AF1307" s="294"/>
      <c r="AG1307" s="294"/>
    </row>
    <row r="1308" spans="2:33" x14ac:dyDescent="0.25">
      <c r="B1308" s="294"/>
      <c r="C1308" s="294"/>
      <c r="D1308" s="294"/>
      <c r="E1308" s="294"/>
      <c r="F1308" s="294"/>
      <c r="G1308" s="294"/>
      <c r="H1308" s="294"/>
      <c r="I1308" s="294"/>
      <c r="J1308" s="294"/>
      <c r="L1308" s="295"/>
      <c r="M1308" s="294"/>
      <c r="O1308" s="294"/>
      <c r="P1308" s="294"/>
      <c r="Q1308" s="294"/>
      <c r="R1308" s="294"/>
      <c r="S1308" s="294"/>
      <c r="T1308" s="294"/>
      <c r="U1308" s="294"/>
      <c r="V1308" s="294"/>
      <c r="W1308" s="294"/>
      <c r="X1308" s="294"/>
      <c r="Y1308" s="294"/>
      <c r="Z1308" s="294"/>
      <c r="AA1308" s="294"/>
      <c r="AB1308" s="294"/>
      <c r="AC1308" s="294"/>
      <c r="AD1308" s="294"/>
      <c r="AE1308" s="294"/>
      <c r="AF1308" s="294"/>
      <c r="AG1308" s="294"/>
    </row>
    <row r="1309" spans="2:33" x14ac:dyDescent="0.25">
      <c r="B1309" s="294"/>
      <c r="C1309" s="294"/>
      <c r="D1309" s="294"/>
      <c r="E1309" s="294"/>
      <c r="F1309" s="294"/>
      <c r="G1309" s="294"/>
      <c r="H1309" s="294"/>
      <c r="I1309" s="294"/>
      <c r="J1309" s="294"/>
      <c r="L1309" s="295"/>
      <c r="M1309" s="294"/>
      <c r="O1309" s="294"/>
      <c r="P1309" s="294"/>
      <c r="Q1309" s="294"/>
      <c r="R1309" s="294"/>
      <c r="S1309" s="294"/>
      <c r="T1309" s="294"/>
      <c r="U1309" s="294"/>
      <c r="V1309" s="294"/>
      <c r="W1309" s="294"/>
      <c r="X1309" s="294"/>
      <c r="Y1309" s="294"/>
      <c r="Z1309" s="294"/>
      <c r="AA1309" s="294"/>
      <c r="AB1309" s="294"/>
      <c r="AC1309" s="294"/>
      <c r="AD1309" s="294"/>
      <c r="AE1309" s="294"/>
      <c r="AF1309" s="294"/>
      <c r="AG1309" s="294"/>
    </row>
    <row r="1310" spans="2:33" x14ac:dyDescent="0.25">
      <c r="B1310" s="294"/>
      <c r="C1310" s="294"/>
      <c r="D1310" s="294"/>
      <c r="E1310" s="294"/>
      <c r="F1310" s="294"/>
      <c r="G1310" s="294"/>
      <c r="H1310" s="294"/>
      <c r="I1310" s="294"/>
      <c r="J1310" s="294"/>
      <c r="L1310" s="295"/>
      <c r="M1310" s="294"/>
      <c r="O1310" s="294"/>
      <c r="P1310" s="294"/>
      <c r="Q1310" s="294"/>
      <c r="R1310" s="294"/>
      <c r="S1310" s="294"/>
      <c r="T1310" s="294"/>
      <c r="U1310" s="294"/>
      <c r="V1310" s="294"/>
      <c r="W1310" s="294"/>
      <c r="X1310" s="294"/>
      <c r="Y1310" s="294"/>
      <c r="Z1310" s="294"/>
      <c r="AA1310" s="294"/>
      <c r="AB1310" s="294"/>
      <c r="AC1310" s="294"/>
      <c r="AD1310" s="294"/>
      <c r="AE1310" s="294"/>
      <c r="AF1310" s="294"/>
      <c r="AG1310" s="294"/>
    </row>
    <row r="1311" spans="2:33" x14ac:dyDescent="0.25">
      <c r="B1311" s="294"/>
      <c r="C1311" s="294"/>
      <c r="D1311" s="294"/>
      <c r="E1311" s="294"/>
      <c r="F1311" s="294"/>
      <c r="G1311" s="294"/>
      <c r="H1311" s="294"/>
      <c r="I1311" s="294"/>
      <c r="J1311" s="294"/>
      <c r="L1311" s="295"/>
      <c r="M1311" s="294"/>
      <c r="O1311" s="294"/>
      <c r="P1311" s="294"/>
      <c r="Q1311" s="294"/>
      <c r="R1311" s="294"/>
      <c r="S1311" s="294"/>
      <c r="T1311" s="294"/>
      <c r="U1311" s="294"/>
      <c r="V1311" s="294"/>
      <c r="W1311" s="294"/>
      <c r="X1311" s="294"/>
      <c r="Y1311" s="294"/>
      <c r="Z1311" s="294"/>
      <c r="AA1311" s="294"/>
      <c r="AB1311" s="294"/>
      <c r="AC1311" s="294"/>
      <c r="AD1311" s="294"/>
      <c r="AE1311" s="294"/>
      <c r="AF1311" s="294"/>
      <c r="AG1311" s="294"/>
    </row>
    <row r="1312" spans="2:33" x14ac:dyDescent="0.25">
      <c r="B1312" s="294"/>
      <c r="C1312" s="294"/>
      <c r="D1312" s="294"/>
      <c r="E1312" s="294"/>
      <c r="F1312" s="294"/>
      <c r="G1312" s="294"/>
      <c r="H1312" s="294"/>
      <c r="I1312" s="294"/>
      <c r="J1312" s="294"/>
      <c r="L1312" s="295"/>
      <c r="M1312" s="294"/>
      <c r="O1312" s="294"/>
      <c r="P1312" s="294"/>
      <c r="Q1312" s="294"/>
      <c r="R1312" s="294"/>
      <c r="S1312" s="294"/>
      <c r="T1312" s="294"/>
      <c r="U1312" s="294"/>
      <c r="V1312" s="294"/>
      <c r="W1312" s="294"/>
      <c r="X1312" s="294"/>
      <c r="Y1312" s="294"/>
      <c r="Z1312" s="294"/>
      <c r="AA1312" s="294"/>
      <c r="AB1312" s="294"/>
      <c r="AC1312" s="294"/>
      <c r="AD1312" s="294"/>
      <c r="AE1312" s="294"/>
      <c r="AF1312" s="294"/>
      <c r="AG1312" s="294"/>
    </row>
    <row r="1313" spans="2:33" x14ac:dyDescent="0.25">
      <c r="B1313" s="294"/>
      <c r="C1313" s="294"/>
      <c r="D1313" s="294"/>
      <c r="E1313" s="294"/>
      <c r="F1313" s="294"/>
      <c r="G1313" s="294"/>
      <c r="H1313" s="294"/>
      <c r="I1313" s="294"/>
      <c r="J1313" s="294"/>
      <c r="L1313" s="295"/>
      <c r="M1313" s="294"/>
      <c r="O1313" s="294"/>
      <c r="P1313" s="294"/>
      <c r="Q1313" s="294"/>
      <c r="R1313" s="294"/>
      <c r="S1313" s="294"/>
      <c r="T1313" s="294"/>
      <c r="U1313" s="294"/>
      <c r="V1313" s="294"/>
      <c r="W1313" s="294"/>
      <c r="X1313" s="294"/>
      <c r="Y1313" s="294"/>
      <c r="Z1313" s="294"/>
      <c r="AA1313" s="294"/>
      <c r="AB1313" s="294"/>
      <c r="AC1313" s="294"/>
      <c r="AD1313" s="294"/>
      <c r="AE1313" s="294"/>
      <c r="AF1313" s="294"/>
      <c r="AG1313" s="294"/>
    </row>
    <row r="1314" spans="2:33" x14ac:dyDescent="0.25">
      <c r="B1314" s="294"/>
      <c r="C1314" s="294"/>
      <c r="D1314" s="294"/>
      <c r="E1314" s="294"/>
      <c r="F1314" s="294"/>
      <c r="G1314" s="294"/>
      <c r="H1314" s="294"/>
      <c r="I1314" s="294"/>
      <c r="J1314" s="294"/>
      <c r="L1314" s="295"/>
      <c r="M1314" s="294"/>
      <c r="O1314" s="294"/>
      <c r="P1314" s="294"/>
      <c r="Q1314" s="294"/>
      <c r="R1314" s="294"/>
      <c r="S1314" s="294"/>
      <c r="T1314" s="294"/>
      <c r="U1314" s="294"/>
      <c r="V1314" s="294"/>
      <c r="W1314" s="294"/>
      <c r="X1314" s="294"/>
      <c r="Y1314" s="294"/>
      <c r="Z1314" s="294"/>
      <c r="AA1314" s="294"/>
      <c r="AB1314" s="294"/>
      <c r="AC1314" s="294"/>
      <c r="AD1314" s="294"/>
      <c r="AE1314" s="294"/>
      <c r="AF1314" s="294"/>
      <c r="AG1314" s="294"/>
    </row>
    <row r="1315" spans="2:33" x14ac:dyDescent="0.25">
      <c r="B1315" s="294"/>
      <c r="C1315" s="294"/>
      <c r="D1315" s="294"/>
      <c r="E1315" s="294"/>
      <c r="F1315" s="294"/>
      <c r="G1315" s="294"/>
      <c r="H1315" s="294"/>
      <c r="I1315" s="294"/>
      <c r="J1315" s="294"/>
      <c r="L1315" s="295"/>
      <c r="M1315" s="294"/>
      <c r="O1315" s="294"/>
      <c r="P1315" s="294"/>
      <c r="Q1315" s="294"/>
      <c r="R1315" s="294"/>
      <c r="S1315" s="294"/>
      <c r="T1315" s="294"/>
      <c r="U1315" s="294"/>
      <c r="V1315" s="294"/>
      <c r="W1315" s="294"/>
      <c r="X1315" s="294"/>
      <c r="Y1315" s="294"/>
      <c r="Z1315" s="294"/>
      <c r="AA1315" s="294"/>
      <c r="AB1315" s="294"/>
      <c r="AC1315" s="294"/>
      <c r="AD1315" s="294"/>
      <c r="AE1315" s="294"/>
      <c r="AF1315" s="294"/>
      <c r="AG1315" s="294"/>
    </row>
    <row r="1316" spans="2:33" x14ac:dyDescent="0.25">
      <c r="B1316" s="294"/>
      <c r="C1316" s="294"/>
      <c r="D1316" s="294"/>
      <c r="E1316" s="294"/>
      <c r="F1316" s="294"/>
      <c r="G1316" s="294"/>
      <c r="H1316" s="294"/>
      <c r="I1316" s="294"/>
      <c r="J1316" s="294"/>
      <c r="L1316" s="295"/>
      <c r="M1316" s="294"/>
      <c r="O1316" s="294"/>
      <c r="P1316" s="294"/>
      <c r="Q1316" s="294"/>
      <c r="R1316" s="294"/>
      <c r="S1316" s="294"/>
      <c r="T1316" s="294"/>
      <c r="U1316" s="294"/>
      <c r="V1316" s="294"/>
      <c r="W1316" s="294"/>
      <c r="X1316" s="294"/>
      <c r="Y1316" s="294"/>
      <c r="Z1316" s="294"/>
      <c r="AA1316" s="294"/>
      <c r="AB1316" s="294"/>
      <c r="AC1316" s="294"/>
      <c r="AD1316" s="294"/>
      <c r="AE1316" s="294"/>
      <c r="AF1316" s="294"/>
      <c r="AG1316" s="294"/>
    </row>
    <row r="1317" spans="2:33" x14ac:dyDescent="0.25">
      <c r="B1317" s="294"/>
      <c r="C1317" s="294"/>
      <c r="D1317" s="294"/>
      <c r="E1317" s="294"/>
      <c r="F1317" s="294"/>
      <c r="G1317" s="294"/>
      <c r="H1317" s="294"/>
      <c r="I1317" s="294"/>
      <c r="J1317" s="294"/>
      <c r="L1317" s="295"/>
      <c r="M1317" s="294"/>
      <c r="O1317" s="294"/>
      <c r="P1317" s="294"/>
      <c r="Q1317" s="294"/>
      <c r="R1317" s="294"/>
      <c r="S1317" s="294"/>
      <c r="T1317" s="294"/>
      <c r="U1317" s="294"/>
      <c r="V1317" s="294"/>
      <c r="W1317" s="294"/>
      <c r="X1317" s="294"/>
      <c r="Y1317" s="294"/>
      <c r="Z1317" s="294"/>
      <c r="AA1317" s="294"/>
      <c r="AB1317" s="294"/>
      <c r="AC1317" s="294"/>
      <c r="AD1317" s="294"/>
      <c r="AE1317" s="294"/>
      <c r="AF1317" s="294"/>
      <c r="AG1317" s="294"/>
    </row>
    <row r="1318" spans="2:33" x14ac:dyDescent="0.25">
      <c r="B1318" s="294"/>
      <c r="C1318" s="294"/>
      <c r="D1318" s="294"/>
      <c r="E1318" s="294"/>
      <c r="F1318" s="294"/>
      <c r="G1318" s="294"/>
      <c r="H1318" s="294"/>
      <c r="I1318" s="294"/>
      <c r="J1318" s="294"/>
      <c r="L1318" s="295"/>
      <c r="M1318" s="294"/>
      <c r="O1318" s="294"/>
      <c r="P1318" s="294"/>
      <c r="Q1318" s="294"/>
      <c r="R1318" s="294"/>
      <c r="S1318" s="294"/>
      <c r="T1318" s="294"/>
      <c r="U1318" s="294"/>
      <c r="V1318" s="294"/>
      <c r="W1318" s="294"/>
      <c r="X1318" s="294"/>
      <c r="Y1318" s="294"/>
      <c r="Z1318" s="294"/>
      <c r="AA1318" s="294"/>
      <c r="AB1318" s="294"/>
      <c r="AC1318" s="294"/>
      <c r="AD1318" s="294"/>
      <c r="AE1318" s="294"/>
      <c r="AF1318" s="294"/>
      <c r="AG1318" s="294"/>
    </row>
    <row r="1319" spans="2:33" x14ac:dyDescent="0.25">
      <c r="B1319" s="294"/>
      <c r="C1319" s="294"/>
      <c r="D1319" s="294"/>
      <c r="E1319" s="294"/>
      <c r="F1319" s="294"/>
      <c r="G1319" s="294"/>
      <c r="H1319" s="294"/>
      <c r="I1319" s="294"/>
      <c r="J1319" s="294"/>
      <c r="L1319" s="295"/>
      <c r="M1319" s="294"/>
      <c r="O1319" s="294"/>
      <c r="P1319" s="294"/>
      <c r="Q1319" s="294"/>
      <c r="R1319" s="294"/>
      <c r="S1319" s="294"/>
      <c r="T1319" s="294"/>
      <c r="U1319" s="294"/>
      <c r="V1319" s="294"/>
      <c r="W1319" s="294"/>
      <c r="X1319" s="294"/>
      <c r="Y1319" s="294"/>
      <c r="Z1319" s="294"/>
      <c r="AA1319" s="294"/>
      <c r="AB1319" s="294"/>
      <c r="AC1319" s="294"/>
      <c r="AD1319" s="294"/>
      <c r="AE1319" s="294"/>
      <c r="AF1319" s="294"/>
      <c r="AG1319" s="294"/>
    </row>
    <row r="1320" spans="2:33" x14ac:dyDescent="0.25">
      <c r="B1320" s="294"/>
      <c r="C1320" s="294"/>
      <c r="D1320" s="294"/>
      <c r="E1320" s="294"/>
      <c r="F1320" s="294"/>
      <c r="G1320" s="294"/>
      <c r="H1320" s="294"/>
      <c r="I1320" s="294"/>
      <c r="J1320" s="294"/>
      <c r="L1320" s="295"/>
      <c r="M1320" s="294"/>
      <c r="O1320" s="294"/>
      <c r="P1320" s="294"/>
      <c r="Q1320" s="294"/>
      <c r="R1320" s="294"/>
      <c r="S1320" s="294"/>
      <c r="T1320" s="294"/>
      <c r="U1320" s="294"/>
      <c r="V1320" s="294"/>
      <c r="W1320" s="294"/>
      <c r="X1320" s="294"/>
      <c r="Y1320" s="294"/>
      <c r="Z1320" s="294"/>
      <c r="AA1320" s="294"/>
      <c r="AB1320" s="294"/>
      <c r="AC1320" s="294"/>
      <c r="AD1320" s="294"/>
      <c r="AE1320" s="294"/>
      <c r="AF1320" s="294"/>
      <c r="AG1320" s="294"/>
    </row>
    <row r="1321" spans="2:33" x14ac:dyDescent="0.25">
      <c r="B1321" s="294"/>
      <c r="C1321" s="294"/>
      <c r="D1321" s="294"/>
      <c r="E1321" s="294"/>
      <c r="F1321" s="294"/>
      <c r="G1321" s="294"/>
      <c r="H1321" s="294"/>
      <c r="I1321" s="294"/>
      <c r="J1321" s="294"/>
      <c r="L1321" s="295"/>
      <c r="M1321" s="294"/>
      <c r="O1321" s="294"/>
      <c r="P1321" s="294"/>
      <c r="Q1321" s="294"/>
      <c r="R1321" s="294"/>
      <c r="S1321" s="294"/>
      <c r="T1321" s="294"/>
      <c r="U1321" s="294"/>
      <c r="V1321" s="294"/>
      <c r="W1321" s="294"/>
      <c r="X1321" s="294"/>
      <c r="Y1321" s="294"/>
      <c r="Z1321" s="294"/>
      <c r="AA1321" s="294"/>
      <c r="AB1321" s="294"/>
      <c r="AC1321" s="294"/>
      <c r="AD1321" s="294"/>
      <c r="AE1321" s="294"/>
      <c r="AF1321" s="294"/>
      <c r="AG1321" s="294"/>
    </row>
    <row r="1322" spans="2:33" x14ac:dyDescent="0.25">
      <c r="B1322" s="294"/>
      <c r="C1322" s="294"/>
      <c r="D1322" s="294"/>
      <c r="E1322" s="294"/>
      <c r="F1322" s="294"/>
      <c r="G1322" s="294"/>
      <c r="H1322" s="294"/>
      <c r="I1322" s="294"/>
      <c r="J1322" s="294"/>
      <c r="L1322" s="295"/>
      <c r="M1322" s="294"/>
      <c r="O1322" s="294"/>
      <c r="P1322" s="294"/>
      <c r="Q1322" s="294"/>
      <c r="R1322" s="294"/>
      <c r="S1322" s="294"/>
      <c r="T1322" s="294"/>
      <c r="U1322" s="294"/>
      <c r="V1322" s="294"/>
      <c r="W1322" s="294"/>
      <c r="X1322" s="294"/>
      <c r="Y1322" s="294"/>
      <c r="Z1322" s="294"/>
      <c r="AA1322" s="294"/>
      <c r="AB1322" s="294"/>
      <c r="AC1322" s="294"/>
      <c r="AD1322" s="294"/>
      <c r="AE1322" s="294"/>
      <c r="AF1322" s="294"/>
      <c r="AG1322" s="294"/>
    </row>
    <row r="1323" spans="2:33" x14ac:dyDescent="0.25">
      <c r="B1323" s="294"/>
      <c r="C1323" s="294"/>
      <c r="D1323" s="294"/>
      <c r="E1323" s="294"/>
      <c r="F1323" s="294"/>
      <c r="G1323" s="294"/>
      <c r="H1323" s="294"/>
      <c r="I1323" s="294"/>
      <c r="J1323" s="294"/>
      <c r="L1323" s="295"/>
      <c r="M1323" s="294"/>
      <c r="O1323" s="294"/>
      <c r="P1323" s="294"/>
      <c r="Q1323" s="294"/>
      <c r="R1323" s="294"/>
      <c r="S1323" s="294"/>
      <c r="T1323" s="294"/>
      <c r="U1323" s="294"/>
      <c r="V1323" s="294"/>
      <c r="W1323" s="294"/>
      <c r="X1323" s="294"/>
      <c r="Y1323" s="294"/>
      <c r="Z1323" s="294"/>
      <c r="AA1323" s="294"/>
      <c r="AB1323" s="294"/>
      <c r="AC1323" s="294"/>
      <c r="AD1323" s="294"/>
      <c r="AE1323" s="294"/>
      <c r="AF1323" s="294"/>
      <c r="AG1323" s="294"/>
    </row>
    <row r="1324" spans="2:33" x14ac:dyDescent="0.25">
      <c r="B1324" s="294"/>
      <c r="C1324" s="294"/>
      <c r="D1324" s="294"/>
      <c r="E1324" s="294"/>
      <c r="F1324" s="294"/>
      <c r="G1324" s="294"/>
      <c r="H1324" s="294"/>
      <c r="I1324" s="294"/>
      <c r="J1324" s="294"/>
      <c r="L1324" s="295"/>
      <c r="M1324" s="294"/>
      <c r="O1324" s="294"/>
      <c r="P1324" s="294"/>
      <c r="Q1324" s="294"/>
      <c r="R1324" s="294"/>
      <c r="S1324" s="294"/>
      <c r="T1324" s="294"/>
      <c r="U1324" s="294"/>
      <c r="V1324" s="294"/>
      <c r="W1324" s="294"/>
      <c r="X1324" s="294"/>
      <c r="Y1324" s="294"/>
      <c r="Z1324" s="294"/>
      <c r="AA1324" s="294"/>
      <c r="AB1324" s="294"/>
      <c r="AC1324" s="294"/>
      <c r="AD1324" s="294"/>
      <c r="AE1324" s="294"/>
      <c r="AF1324" s="294"/>
      <c r="AG1324" s="294"/>
    </row>
    <row r="1325" spans="2:33" x14ac:dyDescent="0.25">
      <c r="B1325" s="294"/>
      <c r="C1325" s="294"/>
      <c r="D1325" s="294"/>
      <c r="E1325" s="294"/>
      <c r="F1325" s="294"/>
      <c r="G1325" s="294"/>
      <c r="H1325" s="294"/>
      <c r="I1325" s="294"/>
      <c r="J1325" s="294"/>
      <c r="L1325" s="295"/>
      <c r="M1325" s="294"/>
      <c r="O1325" s="294"/>
      <c r="P1325" s="294"/>
      <c r="Q1325" s="294"/>
      <c r="R1325" s="294"/>
      <c r="S1325" s="294"/>
      <c r="T1325" s="294"/>
      <c r="U1325" s="294"/>
      <c r="V1325" s="294"/>
      <c r="W1325" s="294"/>
      <c r="X1325" s="294"/>
      <c r="Y1325" s="294"/>
      <c r="Z1325" s="294"/>
      <c r="AA1325" s="294"/>
      <c r="AB1325" s="294"/>
      <c r="AC1325" s="294"/>
      <c r="AD1325" s="294"/>
      <c r="AE1325" s="294"/>
      <c r="AF1325" s="294"/>
      <c r="AG1325" s="294"/>
    </row>
    <row r="1326" spans="2:33" x14ac:dyDescent="0.25">
      <c r="B1326" s="294"/>
      <c r="C1326" s="294"/>
      <c r="D1326" s="294"/>
      <c r="E1326" s="294"/>
      <c r="F1326" s="294"/>
      <c r="G1326" s="294"/>
      <c r="H1326" s="294"/>
      <c r="I1326" s="294"/>
      <c r="J1326" s="294"/>
      <c r="L1326" s="295"/>
      <c r="M1326" s="294"/>
      <c r="O1326" s="294"/>
      <c r="P1326" s="294"/>
      <c r="Q1326" s="294"/>
      <c r="R1326" s="294"/>
      <c r="S1326" s="294"/>
      <c r="T1326" s="294"/>
      <c r="U1326" s="294"/>
      <c r="V1326" s="294"/>
      <c r="W1326" s="294"/>
      <c r="X1326" s="294"/>
      <c r="Y1326" s="294"/>
      <c r="Z1326" s="294"/>
      <c r="AA1326" s="294"/>
      <c r="AB1326" s="294"/>
      <c r="AC1326" s="294"/>
      <c r="AD1326" s="294"/>
      <c r="AE1326" s="294"/>
      <c r="AF1326" s="294"/>
      <c r="AG1326" s="294"/>
    </row>
    <row r="1327" spans="2:33" x14ac:dyDescent="0.25">
      <c r="B1327" s="294"/>
      <c r="C1327" s="294"/>
      <c r="D1327" s="294"/>
      <c r="E1327" s="294"/>
      <c r="F1327" s="294"/>
      <c r="G1327" s="294"/>
      <c r="H1327" s="294"/>
      <c r="I1327" s="294"/>
      <c r="J1327" s="294"/>
      <c r="L1327" s="295"/>
      <c r="M1327" s="294"/>
      <c r="O1327" s="294"/>
      <c r="P1327" s="294"/>
      <c r="Q1327" s="294"/>
      <c r="R1327" s="294"/>
      <c r="S1327" s="294"/>
      <c r="T1327" s="294"/>
      <c r="U1327" s="294"/>
      <c r="V1327" s="294"/>
      <c r="W1327" s="294"/>
      <c r="X1327" s="294"/>
      <c r="Y1327" s="294"/>
      <c r="Z1327" s="294"/>
      <c r="AA1327" s="294"/>
      <c r="AB1327" s="294"/>
      <c r="AC1327" s="294"/>
      <c r="AD1327" s="294"/>
      <c r="AE1327" s="294"/>
      <c r="AF1327" s="294"/>
      <c r="AG1327" s="294"/>
    </row>
    <row r="1328" spans="2:33" x14ac:dyDescent="0.25">
      <c r="B1328" s="294"/>
      <c r="C1328" s="294"/>
      <c r="D1328" s="294"/>
      <c r="E1328" s="294"/>
      <c r="F1328" s="294"/>
      <c r="G1328" s="294"/>
      <c r="H1328" s="294"/>
      <c r="I1328" s="294"/>
      <c r="J1328" s="294"/>
      <c r="L1328" s="295"/>
      <c r="M1328" s="294"/>
      <c r="O1328" s="294"/>
      <c r="P1328" s="294"/>
      <c r="Q1328" s="294"/>
      <c r="R1328" s="294"/>
      <c r="S1328" s="294"/>
      <c r="T1328" s="294"/>
      <c r="U1328" s="294"/>
      <c r="V1328" s="294"/>
      <c r="W1328" s="294"/>
      <c r="X1328" s="294"/>
      <c r="Y1328" s="294"/>
      <c r="Z1328" s="294"/>
      <c r="AA1328" s="294"/>
      <c r="AB1328" s="294"/>
      <c r="AC1328" s="294"/>
      <c r="AD1328" s="294"/>
      <c r="AE1328" s="294"/>
      <c r="AF1328" s="294"/>
      <c r="AG1328" s="294"/>
    </row>
    <row r="1329" spans="2:33" x14ac:dyDescent="0.25">
      <c r="B1329" s="294"/>
      <c r="C1329" s="294"/>
      <c r="D1329" s="294"/>
      <c r="E1329" s="294"/>
      <c r="F1329" s="294"/>
      <c r="G1329" s="294"/>
      <c r="H1329" s="294"/>
      <c r="I1329" s="294"/>
      <c r="J1329" s="294"/>
      <c r="L1329" s="295"/>
      <c r="M1329" s="294"/>
      <c r="O1329" s="294"/>
      <c r="P1329" s="294"/>
      <c r="Q1329" s="294"/>
      <c r="R1329" s="294"/>
      <c r="S1329" s="294"/>
      <c r="T1329" s="294"/>
      <c r="U1329" s="294"/>
      <c r="V1329" s="294"/>
      <c r="W1329" s="294"/>
      <c r="X1329" s="294"/>
      <c r="Y1329" s="294"/>
      <c r="Z1329" s="294"/>
      <c r="AA1329" s="294"/>
      <c r="AB1329" s="294"/>
      <c r="AC1329" s="294"/>
      <c r="AD1329" s="294"/>
      <c r="AE1329" s="294"/>
      <c r="AF1329" s="294"/>
      <c r="AG1329" s="294"/>
    </row>
    <row r="1330" spans="2:33" x14ac:dyDescent="0.25">
      <c r="B1330" s="294"/>
      <c r="C1330" s="294"/>
      <c r="D1330" s="294"/>
      <c r="E1330" s="294"/>
      <c r="F1330" s="294"/>
      <c r="G1330" s="294"/>
      <c r="H1330" s="294"/>
      <c r="I1330" s="294"/>
      <c r="J1330" s="294"/>
      <c r="L1330" s="295"/>
      <c r="M1330" s="294"/>
      <c r="O1330" s="294"/>
      <c r="P1330" s="294"/>
      <c r="Q1330" s="294"/>
      <c r="R1330" s="294"/>
      <c r="S1330" s="294"/>
      <c r="T1330" s="294"/>
      <c r="U1330" s="294"/>
      <c r="V1330" s="294"/>
      <c r="W1330" s="294"/>
      <c r="X1330" s="294"/>
      <c r="Y1330" s="294"/>
      <c r="Z1330" s="294"/>
      <c r="AA1330" s="294"/>
      <c r="AB1330" s="294"/>
      <c r="AC1330" s="294"/>
      <c r="AD1330" s="294"/>
      <c r="AE1330" s="294"/>
      <c r="AF1330" s="294"/>
      <c r="AG1330" s="294"/>
    </row>
    <row r="1331" spans="2:33" x14ac:dyDescent="0.25">
      <c r="B1331" s="294"/>
      <c r="C1331" s="294"/>
      <c r="D1331" s="294"/>
      <c r="E1331" s="294"/>
      <c r="F1331" s="294"/>
      <c r="G1331" s="294"/>
      <c r="H1331" s="294"/>
      <c r="I1331" s="294"/>
      <c r="J1331" s="294"/>
      <c r="L1331" s="295"/>
      <c r="M1331" s="294"/>
      <c r="O1331" s="294"/>
      <c r="P1331" s="294"/>
      <c r="Q1331" s="294"/>
      <c r="R1331" s="294"/>
      <c r="S1331" s="294"/>
      <c r="T1331" s="294"/>
      <c r="U1331" s="294"/>
      <c r="V1331" s="294"/>
      <c r="W1331" s="294"/>
      <c r="X1331" s="294"/>
      <c r="Y1331" s="294"/>
      <c r="Z1331" s="294"/>
      <c r="AA1331" s="294"/>
      <c r="AB1331" s="294"/>
      <c r="AC1331" s="294"/>
      <c r="AD1331" s="294"/>
      <c r="AE1331" s="294"/>
      <c r="AF1331" s="294"/>
      <c r="AG1331" s="294"/>
    </row>
    <row r="1332" spans="2:33" x14ac:dyDescent="0.25">
      <c r="B1332" s="294"/>
      <c r="C1332" s="294"/>
      <c r="D1332" s="294"/>
      <c r="E1332" s="294"/>
      <c r="F1332" s="294"/>
      <c r="G1332" s="294"/>
      <c r="H1332" s="294"/>
      <c r="I1332" s="294"/>
      <c r="J1332" s="294"/>
      <c r="L1332" s="295"/>
      <c r="M1332" s="294"/>
      <c r="O1332" s="294"/>
      <c r="P1332" s="294"/>
      <c r="Q1332" s="294"/>
      <c r="R1332" s="294"/>
      <c r="S1332" s="294"/>
      <c r="T1332" s="294"/>
      <c r="U1332" s="294"/>
      <c r="V1332" s="294"/>
      <c r="W1332" s="294"/>
      <c r="X1332" s="294"/>
      <c r="Y1332" s="294"/>
      <c r="Z1332" s="294"/>
      <c r="AA1332" s="294"/>
      <c r="AB1332" s="294"/>
      <c r="AC1332" s="294"/>
      <c r="AD1332" s="294"/>
      <c r="AE1332" s="294"/>
      <c r="AF1332" s="294"/>
      <c r="AG1332" s="294"/>
    </row>
    <row r="1333" spans="2:33" x14ac:dyDescent="0.25">
      <c r="B1333" s="294"/>
      <c r="C1333" s="294"/>
      <c r="D1333" s="294"/>
      <c r="E1333" s="294"/>
      <c r="F1333" s="294"/>
      <c r="G1333" s="294"/>
      <c r="H1333" s="294"/>
      <c r="I1333" s="294"/>
      <c r="J1333" s="294"/>
      <c r="L1333" s="295"/>
      <c r="M1333" s="294"/>
      <c r="O1333" s="294"/>
      <c r="P1333" s="294"/>
      <c r="Q1333" s="294"/>
      <c r="R1333" s="294"/>
      <c r="S1333" s="294"/>
      <c r="T1333" s="294"/>
      <c r="U1333" s="294"/>
      <c r="V1333" s="294"/>
      <c r="W1333" s="294"/>
      <c r="X1333" s="294"/>
      <c r="Y1333" s="294"/>
      <c r="Z1333" s="294"/>
      <c r="AA1333" s="294"/>
      <c r="AB1333" s="294"/>
      <c r="AC1333" s="294"/>
      <c r="AD1333" s="294"/>
      <c r="AE1333" s="294"/>
      <c r="AF1333" s="294"/>
      <c r="AG1333" s="294"/>
    </row>
    <row r="1334" spans="2:33" x14ac:dyDescent="0.25">
      <c r="B1334" s="294"/>
      <c r="C1334" s="294"/>
      <c r="D1334" s="294"/>
      <c r="E1334" s="294"/>
      <c r="F1334" s="294"/>
      <c r="G1334" s="294"/>
      <c r="H1334" s="294"/>
      <c r="I1334" s="294"/>
      <c r="J1334" s="294"/>
      <c r="L1334" s="295"/>
      <c r="M1334" s="294"/>
      <c r="O1334" s="294"/>
      <c r="P1334" s="294"/>
      <c r="Q1334" s="294"/>
      <c r="R1334" s="294"/>
      <c r="S1334" s="294"/>
      <c r="T1334" s="294"/>
      <c r="U1334" s="294"/>
      <c r="V1334" s="294"/>
      <c r="W1334" s="294"/>
      <c r="X1334" s="294"/>
      <c r="Y1334" s="294"/>
      <c r="Z1334" s="294"/>
      <c r="AA1334" s="294"/>
      <c r="AB1334" s="294"/>
      <c r="AC1334" s="294"/>
      <c r="AD1334" s="294"/>
      <c r="AE1334" s="294"/>
      <c r="AF1334" s="294"/>
      <c r="AG1334" s="294"/>
    </row>
    <row r="1335" spans="2:33" x14ac:dyDescent="0.25">
      <c r="B1335" s="294"/>
      <c r="C1335" s="294"/>
      <c r="D1335" s="294"/>
      <c r="E1335" s="294"/>
      <c r="F1335" s="294"/>
      <c r="G1335" s="294"/>
      <c r="H1335" s="294"/>
      <c r="I1335" s="294"/>
      <c r="J1335" s="294"/>
      <c r="L1335" s="295"/>
      <c r="M1335" s="294"/>
      <c r="O1335" s="294"/>
      <c r="P1335" s="294"/>
      <c r="Q1335" s="294"/>
      <c r="R1335" s="294"/>
      <c r="S1335" s="294"/>
      <c r="T1335" s="294"/>
      <c r="U1335" s="294"/>
      <c r="V1335" s="294"/>
      <c r="W1335" s="294"/>
      <c r="X1335" s="294"/>
      <c r="Y1335" s="294"/>
      <c r="Z1335" s="294"/>
      <c r="AA1335" s="294"/>
      <c r="AB1335" s="294"/>
      <c r="AC1335" s="294"/>
      <c r="AD1335" s="294"/>
      <c r="AE1335" s="294"/>
      <c r="AF1335" s="294"/>
      <c r="AG1335" s="294"/>
    </row>
    <row r="1336" spans="2:33" x14ac:dyDescent="0.25">
      <c r="B1336" s="294"/>
      <c r="C1336" s="294"/>
      <c r="D1336" s="294"/>
      <c r="E1336" s="294"/>
      <c r="F1336" s="294"/>
      <c r="G1336" s="294"/>
      <c r="H1336" s="294"/>
      <c r="I1336" s="294"/>
      <c r="J1336" s="294"/>
      <c r="L1336" s="295"/>
      <c r="M1336" s="294"/>
      <c r="O1336" s="294"/>
      <c r="P1336" s="294"/>
      <c r="Q1336" s="294"/>
      <c r="R1336" s="294"/>
      <c r="S1336" s="294"/>
      <c r="T1336" s="294"/>
      <c r="U1336" s="294"/>
      <c r="V1336" s="294"/>
      <c r="W1336" s="294"/>
      <c r="X1336" s="294"/>
      <c r="Y1336" s="294"/>
      <c r="Z1336" s="294"/>
      <c r="AA1336" s="294"/>
      <c r="AB1336" s="294"/>
      <c r="AC1336" s="294"/>
      <c r="AD1336" s="294"/>
      <c r="AE1336" s="294"/>
      <c r="AF1336" s="294"/>
      <c r="AG1336" s="294"/>
    </row>
    <row r="1337" spans="2:33" x14ac:dyDescent="0.25">
      <c r="B1337" s="294"/>
      <c r="C1337" s="294"/>
      <c r="D1337" s="294"/>
      <c r="E1337" s="294"/>
      <c r="F1337" s="294"/>
      <c r="G1337" s="294"/>
      <c r="H1337" s="294"/>
      <c r="I1337" s="294"/>
      <c r="J1337" s="294"/>
      <c r="L1337" s="295"/>
      <c r="M1337" s="294"/>
      <c r="O1337" s="294"/>
      <c r="P1337" s="294"/>
      <c r="Q1337" s="294"/>
      <c r="R1337" s="294"/>
      <c r="S1337" s="294"/>
      <c r="T1337" s="294"/>
      <c r="U1337" s="294"/>
      <c r="V1337" s="294"/>
      <c r="W1337" s="294"/>
      <c r="X1337" s="294"/>
      <c r="Y1337" s="294"/>
      <c r="Z1337" s="294"/>
      <c r="AA1337" s="294"/>
      <c r="AB1337" s="294"/>
      <c r="AC1337" s="294"/>
      <c r="AD1337" s="294"/>
      <c r="AE1337" s="294"/>
      <c r="AF1337" s="294"/>
      <c r="AG1337" s="294"/>
    </row>
    <row r="1338" spans="2:33" x14ac:dyDescent="0.25">
      <c r="B1338" s="294"/>
      <c r="C1338" s="294"/>
      <c r="D1338" s="294"/>
      <c r="E1338" s="294"/>
      <c r="F1338" s="294"/>
      <c r="G1338" s="294"/>
      <c r="H1338" s="294"/>
      <c r="I1338" s="294"/>
      <c r="J1338" s="294"/>
      <c r="L1338" s="295"/>
      <c r="M1338" s="294"/>
      <c r="O1338" s="294"/>
      <c r="P1338" s="294"/>
      <c r="Q1338" s="294"/>
      <c r="R1338" s="294"/>
      <c r="S1338" s="294"/>
      <c r="T1338" s="294"/>
      <c r="U1338" s="294"/>
      <c r="V1338" s="294"/>
      <c r="W1338" s="294"/>
      <c r="X1338" s="294"/>
      <c r="Y1338" s="294"/>
      <c r="Z1338" s="294"/>
      <c r="AA1338" s="294"/>
      <c r="AB1338" s="294"/>
      <c r="AC1338" s="294"/>
      <c r="AD1338" s="294"/>
      <c r="AE1338" s="294"/>
      <c r="AF1338" s="294"/>
      <c r="AG1338" s="294"/>
    </row>
    <row r="1339" spans="2:33" x14ac:dyDescent="0.25">
      <c r="B1339" s="294"/>
      <c r="C1339" s="294"/>
      <c r="D1339" s="294"/>
      <c r="E1339" s="294"/>
      <c r="F1339" s="294"/>
      <c r="G1339" s="294"/>
      <c r="H1339" s="294"/>
      <c r="I1339" s="294"/>
      <c r="J1339" s="294"/>
      <c r="L1339" s="295"/>
      <c r="M1339" s="294"/>
      <c r="O1339" s="294"/>
      <c r="P1339" s="294"/>
      <c r="Q1339" s="294"/>
      <c r="R1339" s="294"/>
      <c r="S1339" s="294"/>
      <c r="T1339" s="294"/>
      <c r="U1339" s="294"/>
      <c r="V1339" s="294"/>
      <c r="W1339" s="294"/>
      <c r="X1339" s="294"/>
      <c r="Y1339" s="294"/>
      <c r="Z1339" s="294"/>
      <c r="AA1339" s="294"/>
      <c r="AB1339" s="294"/>
      <c r="AC1339" s="294"/>
      <c r="AD1339" s="294"/>
      <c r="AE1339" s="294"/>
      <c r="AF1339" s="294"/>
      <c r="AG1339" s="294"/>
    </row>
    <row r="1340" spans="2:33" x14ac:dyDescent="0.25">
      <c r="B1340" s="294"/>
      <c r="C1340" s="294"/>
      <c r="D1340" s="294"/>
      <c r="E1340" s="294"/>
      <c r="F1340" s="294"/>
      <c r="G1340" s="294"/>
      <c r="H1340" s="294"/>
      <c r="I1340" s="294"/>
      <c r="J1340" s="294"/>
      <c r="L1340" s="295"/>
      <c r="M1340" s="294"/>
      <c r="O1340" s="294"/>
      <c r="P1340" s="294"/>
      <c r="Q1340" s="294"/>
      <c r="R1340" s="294"/>
      <c r="S1340" s="294"/>
      <c r="T1340" s="294"/>
      <c r="U1340" s="294"/>
      <c r="V1340" s="294"/>
      <c r="W1340" s="294"/>
      <c r="X1340" s="294"/>
      <c r="Y1340" s="294"/>
      <c r="Z1340" s="294"/>
      <c r="AA1340" s="294"/>
      <c r="AB1340" s="294"/>
      <c r="AC1340" s="294"/>
      <c r="AD1340" s="294"/>
      <c r="AE1340" s="294"/>
      <c r="AF1340" s="294"/>
      <c r="AG1340" s="294"/>
    </row>
    <row r="1341" spans="2:33" x14ac:dyDescent="0.25">
      <c r="B1341" s="294"/>
      <c r="C1341" s="294"/>
      <c r="D1341" s="294"/>
      <c r="E1341" s="294"/>
      <c r="F1341" s="294"/>
      <c r="G1341" s="294"/>
      <c r="H1341" s="294"/>
      <c r="I1341" s="294"/>
      <c r="J1341" s="294"/>
      <c r="L1341" s="295"/>
      <c r="M1341" s="294"/>
      <c r="O1341" s="294"/>
      <c r="P1341" s="294"/>
      <c r="Q1341" s="294"/>
      <c r="R1341" s="294"/>
      <c r="S1341" s="294"/>
      <c r="T1341" s="294"/>
      <c r="U1341" s="294"/>
      <c r="V1341" s="294"/>
      <c r="W1341" s="294"/>
      <c r="X1341" s="294"/>
      <c r="Y1341" s="294"/>
      <c r="Z1341" s="294"/>
      <c r="AA1341" s="294"/>
      <c r="AB1341" s="294"/>
      <c r="AC1341" s="294"/>
      <c r="AD1341" s="294"/>
      <c r="AE1341" s="294"/>
      <c r="AF1341" s="294"/>
      <c r="AG1341" s="294"/>
    </row>
    <row r="1342" spans="2:33" x14ac:dyDescent="0.25">
      <c r="B1342" s="294"/>
      <c r="C1342" s="294"/>
      <c r="D1342" s="294"/>
      <c r="E1342" s="294"/>
      <c r="F1342" s="294"/>
      <c r="G1342" s="294"/>
      <c r="H1342" s="294"/>
      <c r="I1342" s="294"/>
      <c r="J1342" s="294"/>
      <c r="L1342" s="295"/>
      <c r="M1342" s="294"/>
      <c r="O1342" s="294"/>
      <c r="P1342" s="294"/>
      <c r="Q1342" s="294"/>
      <c r="R1342" s="294"/>
      <c r="S1342" s="294"/>
      <c r="T1342" s="294"/>
      <c r="U1342" s="294"/>
      <c r="V1342" s="294"/>
      <c r="W1342" s="294"/>
      <c r="X1342" s="294"/>
      <c r="Y1342" s="294"/>
      <c r="Z1342" s="294"/>
      <c r="AA1342" s="294"/>
      <c r="AB1342" s="294"/>
      <c r="AC1342" s="294"/>
      <c r="AD1342" s="294"/>
      <c r="AE1342" s="294"/>
      <c r="AF1342" s="294"/>
      <c r="AG1342" s="294"/>
    </row>
    <row r="1343" spans="2:33" x14ac:dyDescent="0.25">
      <c r="B1343" s="294"/>
      <c r="C1343" s="294"/>
      <c r="D1343" s="294"/>
      <c r="E1343" s="294"/>
      <c r="F1343" s="294"/>
      <c r="G1343" s="294"/>
      <c r="H1343" s="294"/>
      <c r="I1343" s="294"/>
      <c r="J1343" s="294"/>
      <c r="L1343" s="295"/>
      <c r="M1343" s="294"/>
      <c r="O1343" s="294"/>
      <c r="P1343" s="294"/>
      <c r="Q1343" s="294"/>
      <c r="R1343" s="294"/>
      <c r="S1343" s="294"/>
      <c r="T1343" s="294"/>
      <c r="U1343" s="294"/>
      <c r="V1343" s="294"/>
      <c r="W1343" s="294"/>
      <c r="X1343" s="294"/>
      <c r="Y1343" s="294"/>
      <c r="Z1343" s="294"/>
      <c r="AA1343" s="294"/>
      <c r="AB1343" s="294"/>
      <c r="AC1343" s="294"/>
      <c r="AD1343" s="294"/>
      <c r="AE1343" s="294"/>
      <c r="AF1343" s="294"/>
      <c r="AG1343" s="294"/>
    </row>
    <row r="1344" spans="2:33" x14ac:dyDescent="0.25">
      <c r="B1344" s="294"/>
      <c r="C1344" s="294"/>
      <c r="D1344" s="294"/>
      <c r="E1344" s="294"/>
      <c r="F1344" s="294"/>
      <c r="G1344" s="294"/>
      <c r="H1344" s="294"/>
      <c r="I1344" s="294"/>
      <c r="J1344" s="294"/>
      <c r="L1344" s="295"/>
      <c r="M1344" s="294"/>
      <c r="O1344" s="294"/>
      <c r="P1344" s="294"/>
      <c r="Q1344" s="294"/>
      <c r="R1344" s="294"/>
      <c r="S1344" s="294"/>
      <c r="T1344" s="294"/>
      <c r="U1344" s="294"/>
      <c r="V1344" s="294"/>
      <c r="W1344" s="294"/>
      <c r="X1344" s="294"/>
      <c r="Y1344" s="294"/>
      <c r="Z1344" s="294"/>
      <c r="AA1344" s="294"/>
      <c r="AB1344" s="294"/>
      <c r="AC1344" s="294"/>
      <c r="AD1344" s="294"/>
      <c r="AE1344" s="294"/>
      <c r="AF1344" s="294"/>
      <c r="AG1344" s="294"/>
    </row>
    <row r="1345" spans="2:33" x14ac:dyDescent="0.25">
      <c r="B1345" s="294"/>
      <c r="C1345" s="294"/>
      <c r="D1345" s="294"/>
      <c r="E1345" s="294"/>
      <c r="F1345" s="294"/>
      <c r="G1345" s="294"/>
      <c r="H1345" s="294"/>
      <c r="I1345" s="294"/>
      <c r="J1345" s="294"/>
      <c r="L1345" s="295"/>
      <c r="M1345" s="294"/>
      <c r="O1345" s="294"/>
      <c r="P1345" s="294"/>
      <c r="Q1345" s="294"/>
      <c r="R1345" s="294"/>
      <c r="S1345" s="294"/>
      <c r="T1345" s="294"/>
      <c r="U1345" s="294"/>
      <c r="V1345" s="294"/>
      <c r="W1345" s="294"/>
      <c r="X1345" s="294"/>
      <c r="Y1345" s="294"/>
      <c r="Z1345" s="294"/>
      <c r="AA1345" s="294"/>
      <c r="AB1345" s="294"/>
      <c r="AC1345" s="294"/>
      <c r="AD1345" s="294"/>
      <c r="AE1345" s="294"/>
      <c r="AF1345" s="294"/>
      <c r="AG1345" s="294"/>
    </row>
    <row r="1346" spans="2:33" x14ac:dyDescent="0.25">
      <c r="B1346" s="294"/>
      <c r="C1346" s="294"/>
      <c r="D1346" s="294"/>
      <c r="E1346" s="294"/>
      <c r="F1346" s="294"/>
      <c r="G1346" s="294"/>
      <c r="H1346" s="294"/>
      <c r="I1346" s="294"/>
      <c r="J1346" s="294"/>
      <c r="L1346" s="295"/>
      <c r="M1346" s="294"/>
      <c r="O1346" s="294"/>
      <c r="P1346" s="294"/>
      <c r="Q1346" s="294"/>
      <c r="R1346" s="294"/>
      <c r="S1346" s="294"/>
      <c r="T1346" s="294"/>
      <c r="U1346" s="294"/>
      <c r="V1346" s="294"/>
      <c r="W1346" s="294"/>
      <c r="X1346" s="294"/>
      <c r="Y1346" s="294"/>
      <c r="Z1346" s="294"/>
      <c r="AA1346" s="294"/>
      <c r="AB1346" s="294"/>
      <c r="AC1346" s="294"/>
      <c r="AD1346" s="294"/>
      <c r="AE1346" s="294"/>
      <c r="AF1346" s="294"/>
      <c r="AG1346" s="294"/>
    </row>
    <row r="1347" spans="2:33" x14ac:dyDescent="0.25">
      <c r="B1347" s="294"/>
      <c r="C1347" s="294"/>
      <c r="D1347" s="294"/>
      <c r="E1347" s="294"/>
      <c r="F1347" s="294"/>
      <c r="G1347" s="294"/>
      <c r="H1347" s="294"/>
      <c r="I1347" s="294"/>
      <c r="J1347" s="294"/>
      <c r="L1347" s="295"/>
      <c r="M1347" s="294"/>
      <c r="O1347" s="294"/>
      <c r="P1347" s="294"/>
      <c r="Q1347" s="294"/>
      <c r="R1347" s="294"/>
      <c r="S1347" s="294"/>
      <c r="T1347" s="294"/>
      <c r="U1347" s="294"/>
      <c r="V1347" s="294"/>
      <c r="W1347" s="294"/>
      <c r="X1347" s="294"/>
      <c r="Y1347" s="294"/>
      <c r="Z1347" s="294"/>
      <c r="AA1347" s="294"/>
      <c r="AB1347" s="294"/>
      <c r="AC1347" s="294"/>
      <c r="AD1347" s="294"/>
      <c r="AE1347" s="294"/>
      <c r="AF1347" s="294"/>
      <c r="AG1347" s="294"/>
    </row>
    <row r="1348" spans="2:33" x14ac:dyDescent="0.25">
      <c r="B1348" s="294"/>
      <c r="C1348" s="294"/>
      <c r="D1348" s="294"/>
      <c r="E1348" s="294"/>
      <c r="F1348" s="294"/>
      <c r="G1348" s="294"/>
      <c r="H1348" s="294"/>
      <c r="I1348" s="294"/>
      <c r="J1348" s="294"/>
      <c r="L1348" s="295"/>
      <c r="M1348" s="294"/>
      <c r="O1348" s="294"/>
      <c r="P1348" s="294"/>
      <c r="Q1348" s="294"/>
      <c r="R1348" s="294"/>
      <c r="S1348" s="294"/>
      <c r="T1348" s="294"/>
      <c r="U1348" s="294"/>
      <c r="V1348" s="294"/>
      <c r="W1348" s="294"/>
      <c r="X1348" s="294"/>
      <c r="Y1348" s="294"/>
      <c r="Z1348" s="294"/>
      <c r="AA1348" s="294"/>
      <c r="AB1348" s="294"/>
      <c r="AC1348" s="294"/>
      <c r="AD1348" s="294"/>
      <c r="AE1348" s="294"/>
      <c r="AF1348" s="294"/>
      <c r="AG1348" s="294"/>
    </row>
    <row r="1349" spans="2:33" x14ac:dyDescent="0.25">
      <c r="B1349" s="294"/>
      <c r="C1349" s="294"/>
      <c r="D1349" s="294"/>
      <c r="E1349" s="294"/>
      <c r="F1349" s="294"/>
      <c r="G1349" s="294"/>
      <c r="H1349" s="294"/>
      <c r="I1349" s="294"/>
      <c r="J1349" s="294"/>
      <c r="L1349" s="295"/>
      <c r="M1349" s="294"/>
      <c r="O1349" s="294"/>
      <c r="P1349" s="294"/>
      <c r="Q1349" s="294"/>
      <c r="R1349" s="294"/>
      <c r="S1349" s="294"/>
      <c r="T1349" s="294"/>
      <c r="U1349" s="294"/>
      <c r="V1349" s="294"/>
      <c r="W1349" s="294"/>
      <c r="X1349" s="294"/>
      <c r="Y1349" s="294"/>
      <c r="Z1349" s="294"/>
      <c r="AA1349" s="294"/>
      <c r="AB1349" s="294"/>
      <c r="AC1349" s="294"/>
      <c r="AD1349" s="294"/>
      <c r="AE1349" s="294"/>
      <c r="AF1349" s="294"/>
      <c r="AG1349" s="294"/>
    </row>
    <row r="1350" spans="2:33" x14ac:dyDescent="0.25">
      <c r="B1350" s="294"/>
      <c r="C1350" s="294"/>
      <c r="D1350" s="294"/>
      <c r="E1350" s="294"/>
      <c r="F1350" s="294"/>
      <c r="G1350" s="294"/>
      <c r="H1350" s="294"/>
      <c r="I1350" s="294"/>
      <c r="J1350" s="294"/>
      <c r="L1350" s="295"/>
      <c r="M1350" s="294"/>
      <c r="O1350" s="294"/>
      <c r="P1350" s="294"/>
      <c r="Q1350" s="294"/>
      <c r="R1350" s="294"/>
      <c r="S1350" s="294"/>
      <c r="T1350" s="294"/>
      <c r="U1350" s="294"/>
      <c r="V1350" s="294"/>
      <c r="W1350" s="294"/>
      <c r="X1350" s="294"/>
      <c r="Y1350" s="294"/>
      <c r="Z1350" s="294"/>
      <c r="AA1350" s="294"/>
      <c r="AB1350" s="294"/>
      <c r="AC1350" s="294"/>
      <c r="AD1350" s="294"/>
      <c r="AE1350" s="294"/>
      <c r="AF1350" s="294"/>
      <c r="AG1350" s="294"/>
    </row>
    <row r="1351" spans="2:33" x14ac:dyDescent="0.25">
      <c r="B1351" s="294"/>
      <c r="C1351" s="294"/>
      <c r="D1351" s="294"/>
      <c r="E1351" s="294"/>
      <c r="F1351" s="294"/>
      <c r="G1351" s="294"/>
      <c r="H1351" s="294"/>
      <c r="I1351" s="294"/>
      <c r="J1351" s="294"/>
      <c r="L1351" s="295"/>
      <c r="M1351" s="294"/>
      <c r="O1351" s="294"/>
      <c r="P1351" s="294"/>
      <c r="Q1351" s="294"/>
      <c r="R1351" s="294"/>
      <c r="S1351" s="294"/>
      <c r="T1351" s="294"/>
      <c r="U1351" s="294"/>
      <c r="V1351" s="294"/>
      <c r="W1351" s="294"/>
      <c r="X1351" s="294"/>
      <c r="Y1351" s="294"/>
      <c r="Z1351" s="294"/>
      <c r="AA1351" s="294"/>
      <c r="AB1351" s="294"/>
      <c r="AC1351" s="294"/>
      <c r="AD1351" s="294"/>
      <c r="AE1351" s="294"/>
      <c r="AF1351" s="294"/>
      <c r="AG1351" s="294"/>
    </row>
    <row r="1352" spans="2:33" x14ac:dyDescent="0.25">
      <c r="B1352" s="294"/>
      <c r="C1352" s="294"/>
      <c r="D1352" s="294"/>
      <c r="E1352" s="294"/>
      <c r="F1352" s="294"/>
      <c r="G1352" s="294"/>
      <c r="H1352" s="294"/>
      <c r="I1352" s="294"/>
      <c r="J1352" s="294"/>
      <c r="L1352" s="295"/>
      <c r="M1352" s="294"/>
      <c r="O1352" s="294"/>
      <c r="P1352" s="294"/>
      <c r="Q1352" s="294"/>
      <c r="R1352" s="294"/>
      <c r="S1352" s="294"/>
      <c r="T1352" s="294"/>
      <c r="U1352" s="294"/>
      <c r="V1352" s="294"/>
      <c r="W1352" s="294"/>
      <c r="X1352" s="294"/>
      <c r="Y1352" s="294"/>
      <c r="Z1352" s="294"/>
      <c r="AA1352" s="294"/>
      <c r="AB1352" s="294"/>
      <c r="AC1352" s="294"/>
      <c r="AD1352" s="294"/>
      <c r="AE1352" s="294"/>
      <c r="AF1352" s="294"/>
      <c r="AG1352" s="294"/>
    </row>
    <row r="1353" spans="2:33" x14ac:dyDescent="0.25">
      <c r="B1353" s="294"/>
      <c r="C1353" s="294"/>
      <c r="D1353" s="294"/>
      <c r="E1353" s="294"/>
      <c r="F1353" s="294"/>
      <c r="G1353" s="294"/>
      <c r="H1353" s="294"/>
      <c r="I1353" s="294"/>
      <c r="J1353" s="294"/>
      <c r="L1353" s="295"/>
      <c r="M1353" s="294"/>
      <c r="O1353" s="294"/>
      <c r="P1353" s="294"/>
      <c r="Q1353" s="294"/>
      <c r="R1353" s="294"/>
      <c r="S1353" s="294"/>
      <c r="T1353" s="294"/>
      <c r="U1353" s="294"/>
      <c r="V1353" s="294"/>
      <c r="W1353" s="294"/>
      <c r="X1353" s="294"/>
      <c r="Y1353" s="294"/>
      <c r="Z1353" s="294"/>
      <c r="AA1353" s="294"/>
      <c r="AB1353" s="294"/>
      <c r="AC1353" s="294"/>
      <c r="AD1353" s="294"/>
      <c r="AE1353" s="294"/>
      <c r="AF1353" s="294"/>
      <c r="AG1353" s="294"/>
    </row>
    <row r="1354" spans="2:33" x14ac:dyDescent="0.25">
      <c r="B1354" s="294"/>
      <c r="C1354" s="294"/>
      <c r="D1354" s="294"/>
      <c r="E1354" s="294"/>
      <c r="F1354" s="294"/>
      <c r="G1354" s="294"/>
      <c r="H1354" s="294"/>
      <c r="I1354" s="294"/>
      <c r="J1354" s="294"/>
      <c r="L1354" s="295"/>
      <c r="M1354" s="294"/>
      <c r="O1354" s="294"/>
      <c r="P1354" s="294"/>
      <c r="Q1354" s="294"/>
      <c r="R1354" s="294"/>
      <c r="S1354" s="294"/>
      <c r="T1354" s="294"/>
      <c r="U1354" s="294"/>
      <c r="V1354" s="294"/>
      <c r="W1354" s="294"/>
      <c r="X1354" s="294"/>
      <c r="Y1354" s="294"/>
      <c r="Z1354" s="294"/>
      <c r="AA1354" s="294"/>
      <c r="AB1354" s="294"/>
      <c r="AC1354" s="294"/>
      <c r="AD1354" s="294"/>
      <c r="AE1354" s="294"/>
      <c r="AF1354" s="294"/>
      <c r="AG1354" s="294"/>
    </row>
    <row r="1355" spans="2:33" x14ac:dyDescent="0.25">
      <c r="B1355" s="294"/>
      <c r="C1355" s="294"/>
      <c r="D1355" s="294"/>
      <c r="E1355" s="294"/>
      <c r="F1355" s="294"/>
      <c r="G1355" s="294"/>
      <c r="H1355" s="294"/>
      <c r="I1355" s="294"/>
      <c r="J1355" s="294"/>
      <c r="L1355" s="295"/>
      <c r="M1355" s="294"/>
      <c r="O1355" s="294"/>
      <c r="P1355" s="294"/>
      <c r="Q1355" s="294"/>
      <c r="R1355" s="294"/>
      <c r="S1355" s="294"/>
      <c r="T1355" s="294"/>
      <c r="U1355" s="294"/>
      <c r="V1355" s="294"/>
      <c r="W1355" s="294"/>
      <c r="X1355" s="294"/>
      <c r="Y1355" s="294"/>
      <c r="Z1355" s="294"/>
      <c r="AA1355" s="294"/>
      <c r="AB1355" s="294"/>
      <c r="AC1355" s="294"/>
      <c r="AD1355" s="294"/>
      <c r="AE1355" s="294"/>
      <c r="AF1355" s="294"/>
      <c r="AG1355" s="294"/>
    </row>
    <row r="1356" spans="2:33" x14ac:dyDescent="0.25">
      <c r="B1356" s="294"/>
      <c r="C1356" s="294"/>
      <c r="D1356" s="294"/>
      <c r="E1356" s="294"/>
      <c r="F1356" s="294"/>
      <c r="G1356" s="294"/>
      <c r="H1356" s="294"/>
      <c r="I1356" s="294"/>
      <c r="J1356" s="294"/>
      <c r="L1356" s="295"/>
      <c r="M1356" s="294"/>
      <c r="O1356" s="294"/>
      <c r="P1356" s="294"/>
      <c r="Q1356" s="294"/>
      <c r="R1356" s="294"/>
      <c r="S1356" s="294"/>
      <c r="T1356" s="294"/>
      <c r="U1356" s="294"/>
      <c r="V1356" s="294"/>
      <c r="W1356" s="294"/>
      <c r="X1356" s="294"/>
      <c r="Y1356" s="294"/>
      <c r="Z1356" s="294"/>
      <c r="AA1356" s="294"/>
      <c r="AB1356" s="294"/>
      <c r="AC1356" s="294"/>
      <c r="AD1356" s="294"/>
      <c r="AE1356" s="294"/>
      <c r="AF1356" s="294"/>
      <c r="AG1356" s="294"/>
    </row>
    <row r="1357" spans="2:33" x14ac:dyDescent="0.25">
      <c r="B1357" s="294"/>
      <c r="C1357" s="294"/>
      <c r="D1357" s="294"/>
      <c r="E1357" s="294"/>
      <c r="F1357" s="294"/>
      <c r="G1357" s="294"/>
      <c r="H1357" s="294"/>
      <c r="I1357" s="294"/>
      <c r="J1357" s="294"/>
      <c r="L1357" s="295"/>
      <c r="M1357" s="294"/>
      <c r="O1357" s="294"/>
      <c r="P1357" s="294"/>
      <c r="Q1357" s="294"/>
      <c r="R1357" s="294"/>
      <c r="S1357" s="294"/>
      <c r="T1357" s="294"/>
      <c r="U1357" s="294"/>
      <c r="V1357" s="294"/>
      <c r="W1357" s="294"/>
      <c r="X1357" s="294"/>
      <c r="Y1357" s="294"/>
      <c r="Z1357" s="294"/>
      <c r="AA1357" s="294"/>
      <c r="AB1357" s="294"/>
      <c r="AC1357" s="294"/>
      <c r="AD1357" s="294"/>
      <c r="AE1357" s="294"/>
      <c r="AF1357" s="294"/>
      <c r="AG1357" s="294"/>
    </row>
    <row r="1358" spans="2:33" x14ac:dyDescent="0.25">
      <c r="B1358" s="294"/>
      <c r="C1358" s="294"/>
      <c r="D1358" s="294"/>
      <c r="E1358" s="294"/>
      <c r="F1358" s="294"/>
      <c r="G1358" s="294"/>
      <c r="H1358" s="294"/>
      <c r="I1358" s="294"/>
      <c r="J1358" s="294"/>
      <c r="L1358" s="295"/>
      <c r="M1358" s="294"/>
      <c r="O1358" s="294"/>
      <c r="P1358" s="294"/>
      <c r="Q1358" s="294"/>
      <c r="R1358" s="294"/>
      <c r="S1358" s="294"/>
      <c r="T1358" s="294"/>
      <c r="U1358" s="294"/>
      <c r="V1358" s="294"/>
      <c r="W1358" s="294"/>
      <c r="X1358" s="294"/>
      <c r="Y1358" s="294"/>
      <c r="Z1358" s="294"/>
      <c r="AA1358" s="294"/>
      <c r="AB1358" s="294"/>
      <c r="AC1358" s="294"/>
      <c r="AD1358" s="294"/>
      <c r="AE1358" s="294"/>
      <c r="AF1358" s="294"/>
      <c r="AG1358" s="294"/>
    </row>
    <row r="1359" spans="2:33" x14ac:dyDescent="0.25">
      <c r="B1359" s="294"/>
      <c r="C1359" s="294"/>
      <c r="D1359" s="294"/>
      <c r="E1359" s="294"/>
      <c r="F1359" s="294"/>
      <c r="G1359" s="294"/>
      <c r="H1359" s="294"/>
      <c r="I1359" s="294"/>
      <c r="J1359" s="294"/>
      <c r="L1359" s="295"/>
      <c r="M1359" s="294"/>
      <c r="O1359" s="294"/>
      <c r="P1359" s="294"/>
      <c r="Q1359" s="294"/>
      <c r="R1359" s="294"/>
      <c r="S1359" s="294"/>
      <c r="T1359" s="294"/>
      <c r="U1359" s="294"/>
      <c r="V1359" s="294"/>
      <c r="W1359" s="294"/>
      <c r="X1359" s="294"/>
      <c r="Y1359" s="294"/>
      <c r="Z1359" s="294"/>
      <c r="AA1359" s="294"/>
      <c r="AB1359" s="294"/>
      <c r="AC1359" s="294"/>
      <c r="AD1359" s="294"/>
      <c r="AE1359" s="294"/>
      <c r="AF1359" s="294"/>
      <c r="AG1359" s="294"/>
    </row>
    <row r="1360" spans="2:33" x14ac:dyDescent="0.25">
      <c r="B1360" s="294"/>
      <c r="C1360" s="294"/>
      <c r="D1360" s="294"/>
      <c r="E1360" s="294"/>
      <c r="F1360" s="294"/>
      <c r="G1360" s="294"/>
      <c r="H1360" s="294"/>
      <c r="I1360" s="294"/>
      <c r="J1360" s="294"/>
      <c r="L1360" s="295"/>
      <c r="M1360" s="294"/>
      <c r="O1360" s="294"/>
      <c r="P1360" s="294"/>
      <c r="Q1360" s="294"/>
      <c r="R1360" s="294"/>
      <c r="S1360" s="294"/>
      <c r="T1360" s="294"/>
      <c r="U1360" s="294"/>
      <c r="V1360" s="294"/>
      <c r="W1360" s="294"/>
      <c r="X1360" s="294"/>
      <c r="Y1360" s="294"/>
      <c r="Z1360" s="294"/>
      <c r="AA1360" s="294"/>
      <c r="AB1360" s="294"/>
      <c r="AC1360" s="294"/>
      <c r="AD1360" s="294"/>
      <c r="AE1360" s="294"/>
      <c r="AF1360" s="294"/>
      <c r="AG1360" s="294"/>
    </row>
    <row r="1361" spans="2:33" x14ac:dyDescent="0.25">
      <c r="B1361" s="294"/>
      <c r="C1361" s="294"/>
      <c r="D1361" s="294"/>
      <c r="E1361" s="294"/>
      <c r="F1361" s="294"/>
      <c r="G1361" s="294"/>
      <c r="H1361" s="294"/>
      <c r="I1361" s="294"/>
      <c r="J1361" s="294"/>
      <c r="L1361" s="295"/>
      <c r="M1361" s="294"/>
      <c r="O1361" s="294"/>
      <c r="P1361" s="294"/>
      <c r="Q1361" s="294"/>
      <c r="R1361" s="294"/>
      <c r="S1361" s="294"/>
      <c r="T1361" s="294"/>
      <c r="U1361" s="294"/>
      <c r="V1361" s="294"/>
      <c r="W1361" s="294"/>
      <c r="X1361" s="294"/>
      <c r="Y1361" s="294"/>
      <c r="Z1361" s="294"/>
      <c r="AA1361" s="294"/>
      <c r="AB1361" s="294"/>
      <c r="AC1361" s="294"/>
      <c r="AD1361" s="294"/>
      <c r="AE1361" s="294"/>
      <c r="AF1361" s="294"/>
      <c r="AG1361" s="294"/>
    </row>
    <row r="1362" spans="2:33" x14ac:dyDescent="0.25">
      <c r="B1362" s="294"/>
      <c r="C1362" s="294"/>
      <c r="D1362" s="294"/>
      <c r="E1362" s="294"/>
      <c r="F1362" s="294"/>
      <c r="G1362" s="294"/>
      <c r="H1362" s="294"/>
      <c r="I1362" s="294"/>
      <c r="J1362" s="294"/>
      <c r="L1362" s="295"/>
      <c r="M1362" s="294"/>
      <c r="O1362" s="294"/>
      <c r="P1362" s="294"/>
      <c r="Q1362" s="294"/>
      <c r="R1362" s="294"/>
      <c r="S1362" s="294"/>
      <c r="T1362" s="294"/>
      <c r="U1362" s="294"/>
      <c r="V1362" s="294"/>
      <c r="W1362" s="294"/>
      <c r="X1362" s="294"/>
      <c r="Y1362" s="294"/>
      <c r="Z1362" s="294"/>
      <c r="AA1362" s="294"/>
      <c r="AB1362" s="294"/>
      <c r="AC1362" s="294"/>
      <c r="AD1362" s="294"/>
      <c r="AE1362" s="294"/>
      <c r="AF1362" s="294"/>
      <c r="AG1362" s="294"/>
    </row>
    <row r="1363" spans="2:33" x14ac:dyDescent="0.25">
      <c r="B1363" s="294"/>
      <c r="C1363" s="294"/>
      <c r="D1363" s="294"/>
      <c r="E1363" s="294"/>
      <c r="F1363" s="294"/>
      <c r="G1363" s="294"/>
      <c r="H1363" s="294"/>
      <c r="I1363" s="294"/>
      <c r="J1363" s="294"/>
      <c r="L1363" s="295"/>
      <c r="M1363" s="294"/>
      <c r="O1363" s="294"/>
      <c r="P1363" s="294"/>
      <c r="Q1363" s="294"/>
      <c r="R1363" s="294"/>
      <c r="S1363" s="294"/>
      <c r="T1363" s="294"/>
      <c r="U1363" s="294"/>
      <c r="V1363" s="294"/>
      <c r="W1363" s="294"/>
      <c r="X1363" s="294"/>
      <c r="Y1363" s="294"/>
      <c r="Z1363" s="294"/>
      <c r="AA1363" s="294"/>
      <c r="AB1363" s="294"/>
      <c r="AC1363" s="294"/>
      <c r="AD1363" s="294"/>
      <c r="AE1363" s="294"/>
      <c r="AF1363" s="294"/>
      <c r="AG1363" s="294"/>
    </row>
    <row r="1364" spans="2:33" x14ac:dyDescent="0.25">
      <c r="B1364" s="294"/>
      <c r="C1364" s="294"/>
      <c r="D1364" s="294"/>
      <c r="E1364" s="294"/>
      <c r="F1364" s="294"/>
      <c r="G1364" s="294"/>
      <c r="H1364" s="294"/>
      <c r="I1364" s="294"/>
      <c r="J1364" s="294"/>
      <c r="L1364" s="295"/>
      <c r="M1364" s="294"/>
      <c r="O1364" s="294"/>
      <c r="P1364" s="294"/>
      <c r="Q1364" s="294"/>
      <c r="R1364" s="294"/>
      <c r="S1364" s="294"/>
      <c r="T1364" s="294"/>
      <c r="U1364" s="294"/>
      <c r="V1364" s="294"/>
      <c r="W1364" s="294"/>
      <c r="X1364" s="294"/>
      <c r="Y1364" s="294"/>
      <c r="Z1364" s="294"/>
      <c r="AA1364" s="294"/>
      <c r="AB1364" s="294"/>
      <c r="AC1364" s="294"/>
      <c r="AD1364" s="294"/>
      <c r="AE1364" s="294"/>
      <c r="AF1364" s="294"/>
      <c r="AG1364" s="294"/>
    </row>
    <row r="1365" spans="2:33" x14ac:dyDescent="0.25">
      <c r="B1365" s="294"/>
      <c r="C1365" s="294"/>
      <c r="D1365" s="294"/>
      <c r="E1365" s="294"/>
      <c r="F1365" s="294"/>
      <c r="G1365" s="294"/>
      <c r="H1365" s="294"/>
      <c r="I1365" s="294"/>
      <c r="J1365" s="294"/>
      <c r="L1365" s="295"/>
      <c r="M1365" s="294"/>
      <c r="O1365" s="294"/>
      <c r="P1365" s="294"/>
      <c r="Q1365" s="294"/>
      <c r="R1365" s="294"/>
      <c r="S1365" s="294"/>
      <c r="T1365" s="294"/>
      <c r="U1365" s="294"/>
      <c r="V1365" s="294"/>
      <c r="W1365" s="294"/>
      <c r="X1365" s="294"/>
      <c r="Y1365" s="294"/>
      <c r="Z1365" s="294"/>
      <c r="AA1365" s="294"/>
      <c r="AB1365" s="294"/>
      <c r="AC1365" s="294"/>
      <c r="AD1365" s="294"/>
      <c r="AE1365" s="294"/>
      <c r="AF1365" s="294"/>
      <c r="AG1365" s="294"/>
    </row>
    <row r="1366" spans="2:33" x14ac:dyDescent="0.25">
      <c r="B1366" s="294"/>
      <c r="C1366" s="294"/>
      <c r="D1366" s="294"/>
      <c r="E1366" s="294"/>
      <c r="F1366" s="294"/>
      <c r="G1366" s="294"/>
      <c r="H1366" s="294"/>
      <c r="I1366" s="294"/>
      <c r="J1366" s="294"/>
      <c r="L1366" s="295"/>
      <c r="M1366" s="294"/>
      <c r="O1366" s="294"/>
      <c r="P1366" s="294"/>
      <c r="Q1366" s="294"/>
      <c r="R1366" s="294"/>
      <c r="S1366" s="294"/>
      <c r="T1366" s="294"/>
      <c r="U1366" s="294"/>
      <c r="V1366" s="294"/>
      <c r="W1366" s="294"/>
      <c r="X1366" s="294"/>
      <c r="Y1366" s="294"/>
      <c r="Z1366" s="294"/>
      <c r="AA1366" s="294"/>
      <c r="AB1366" s="294"/>
      <c r="AC1366" s="294"/>
      <c r="AD1366" s="294"/>
      <c r="AE1366" s="294"/>
      <c r="AF1366" s="294"/>
      <c r="AG1366" s="294"/>
    </row>
    <row r="1367" spans="2:33" x14ac:dyDescent="0.25">
      <c r="B1367" s="294"/>
      <c r="C1367" s="294"/>
      <c r="D1367" s="294"/>
      <c r="E1367" s="294"/>
      <c r="F1367" s="294"/>
      <c r="G1367" s="294"/>
      <c r="H1367" s="294"/>
      <c r="I1367" s="294"/>
      <c r="J1367" s="294"/>
      <c r="L1367" s="295"/>
      <c r="M1367" s="294"/>
      <c r="O1367" s="294"/>
      <c r="P1367" s="294"/>
      <c r="Q1367" s="294"/>
      <c r="R1367" s="294"/>
      <c r="S1367" s="294"/>
      <c r="T1367" s="294"/>
      <c r="U1367" s="294"/>
      <c r="V1367" s="294"/>
      <c r="W1367" s="294"/>
      <c r="X1367" s="294"/>
      <c r="Y1367" s="294"/>
      <c r="Z1367" s="294"/>
      <c r="AA1367" s="294"/>
      <c r="AB1367" s="294"/>
      <c r="AC1367" s="294"/>
      <c r="AD1367" s="294"/>
      <c r="AE1367" s="294"/>
      <c r="AF1367" s="294"/>
      <c r="AG1367" s="294"/>
    </row>
    <row r="1368" spans="2:33" x14ac:dyDescent="0.25">
      <c r="B1368" s="294"/>
      <c r="C1368" s="294"/>
      <c r="D1368" s="294"/>
      <c r="E1368" s="294"/>
      <c r="F1368" s="294"/>
      <c r="G1368" s="294"/>
      <c r="H1368" s="294"/>
      <c r="I1368" s="294"/>
      <c r="J1368" s="294"/>
      <c r="L1368" s="295"/>
      <c r="M1368" s="294"/>
      <c r="O1368" s="294"/>
      <c r="P1368" s="294"/>
      <c r="Q1368" s="294"/>
      <c r="R1368" s="294"/>
      <c r="S1368" s="294"/>
      <c r="T1368" s="294"/>
      <c r="U1368" s="294"/>
      <c r="V1368" s="294"/>
      <c r="W1368" s="294"/>
      <c r="X1368" s="294"/>
      <c r="Y1368" s="294"/>
      <c r="Z1368" s="294"/>
      <c r="AA1368" s="294"/>
      <c r="AB1368" s="294"/>
      <c r="AC1368" s="294"/>
      <c r="AD1368" s="294"/>
      <c r="AE1368" s="294"/>
      <c r="AF1368" s="294"/>
      <c r="AG1368" s="294"/>
    </row>
    <row r="1369" spans="2:33" x14ac:dyDescent="0.25">
      <c r="B1369" s="294"/>
      <c r="C1369" s="294"/>
      <c r="D1369" s="294"/>
      <c r="E1369" s="294"/>
      <c r="F1369" s="294"/>
      <c r="G1369" s="294"/>
      <c r="H1369" s="294"/>
      <c r="I1369" s="294"/>
      <c r="J1369" s="294"/>
      <c r="L1369" s="295"/>
      <c r="M1369" s="294"/>
      <c r="O1369" s="294"/>
      <c r="P1369" s="294"/>
      <c r="Q1369" s="294"/>
      <c r="R1369" s="294"/>
      <c r="S1369" s="294"/>
      <c r="T1369" s="294"/>
      <c r="U1369" s="294"/>
      <c r="V1369" s="294"/>
      <c r="W1369" s="294"/>
      <c r="X1369" s="294"/>
      <c r="Y1369" s="294"/>
      <c r="Z1369" s="294"/>
      <c r="AA1369" s="294"/>
      <c r="AB1369" s="294"/>
      <c r="AC1369" s="294"/>
      <c r="AD1369" s="294"/>
      <c r="AE1369" s="294"/>
      <c r="AF1369" s="294"/>
      <c r="AG1369" s="294"/>
    </row>
    <row r="1370" spans="2:33" x14ac:dyDescent="0.25">
      <c r="B1370" s="294"/>
      <c r="C1370" s="294"/>
      <c r="D1370" s="294"/>
      <c r="E1370" s="294"/>
      <c r="F1370" s="294"/>
      <c r="G1370" s="294"/>
      <c r="H1370" s="294"/>
      <c r="I1370" s="294"/>
      <c r="J1370" s="294"/>
      <c r="L1370" s="295"/>
      <c r="M1370" s="294"/>
      <c r="O1370" s="294"/>
      <c r="P1370" s="294"/>
      <c r="Q1370" s="294"/>
      <c r="R1370" s="294"/>
      <c r="S1370" s="294"/>
      <c r="T1370" s="294"/>
      <c r="U1370" s="294"/>
      <c r="V1370" s="294"/>
      <c r="W1370" s="294"/>
      <c r="X1370" s="294"/>
      <c r="Y1370" s="294"/>
      <c r="Z1370" s="294"/>
      <c r="AA1370" s="294"/>
      <c r="AB1370" s="294"/>
      <c r="AC1370" s="294"/>
      <c r="AD1370" s="294"/>
      <c r="AE1370" s="294"/>
      <c r="AF1370" s="294"/>
      <c r="AG1370" s="294"/>
    </row>
    <row r="1371" spans="2:33" x14ac:dyDescent="0.25">
      <c r="B1371" s="294"/>
      <c r="C1371" s="294"/>
      <c r="D1371" s="294"/>
      <c r="E1371" s="294"/>
      <c r="F1371" s="294"/>
      <c r="G1371" s="294"/>
      <c r="H1371" s="294"/>
      <c r="I1371" s="294"/>
      <c r="J1371" s="294"/>
      <c r="L1371" s="295"/>
      <c r="M1371" s="294"/>
      <c r="O1371" s="294"/>
      <c r="P1371" s="294"/>
      <c r="Q1371" s="294"/>
      <c r="R1371" s="294"/>
      <c r="S1371" s="294"/>
      <c r="T1371" s="294"/>
      <c r="U1371" s="294"/>
      <c r="V1371" s="294"/>
      <c r="W1371" s="294"/>
      <c r="X1371" s="294"/>
      <c r="Y1371" s="294"/>
      <c r="Z1371" s="294"/>
      <c r="AA1371" s="294"/>
      <c r="AB1371" s="294"/>
      <c r="AC1371" s="294"/>
      <c r="AD1371" s="294"/>
      <c r="AE1371" s="294"/>
      <c r="AF1371" s="294"/>
      <c r="AG1371" s="294"/>
    </row>
    <row r="1372" spans="2:33" x14ac:dyDescent="0.25">
      <c r="B1372" s="294"/>
      <c r="C1372" s="294"/>
      <c r="D1372" s="294"/>
      <c r="E1372" s="294"/>
      <c r="F1372" s="294"/>
      <c r="G1372" s="294"/>
      <c r="H1372" s="294"/>
      <c r="I1372" s="294"/>
      <c r="J1372" s="294"/>
      <c r="L1372" s="295"/>
      <c r="M1372" s="294"/>
      <c r="O1372" s="294"/>
      <c r="P1372" s="294"/>
      <c r="Q1372" s="294"/>
      <c r="R1372" s="294"/>
      <c r="S1372" s="294"/>
      <c r="T1372" s="294"/>
      <c r="U1372" s="294"/>
      <c r="V1372" s="294"/>
      <c r="W1372" s="294"/>
      <c r="X1372" s="294"/>
      <c r="Y1372" s="294"/>
      <c r="Z1372" s="294"/>
      <c r="AA1372" s="294"/>
      <c r="AB1372" s="294"/>
      <c r="AC1372" s="294"/>
      <c r="AD1372" s="294"/>
      <c r="AE1372" s="294"/>
      <c r="AF1372" s="294"/>
      <c r="AG1372" s="294"/>
    </row>
    <row r="1373" spans="2:33" x14ac:dyDescent="0.25">
      <c r="B1373" s="294"/>
      <c r="C1373" s="294"/>
      <c r="D1373" s="294"/>
      <c r="E1373" s="294"/>
      <c r="F1373" s="294"/>
      <c r="G1373" s="294"/>
      <c r="H1373" s="294"/>
      <c r="I1373" s="294"/>
      <c r="J1373" s="294"/>
      <c r="L1373" s="295"/>
      <c r="M1373" s="294"/>
      <c r="O1373" s="294"/>
      <c r="P1373" s="294"/>
      <c r="Q1373" s="294"/>
      <c r="R1373" s="294"/>
      <c r="S1373" s="294"/>
      <c r="T1373" s="294"/>
      <c r="U1373" s="294"/>
      <c r="V1373" s="294"/>
      <c r="W1373" s="294"/>
      <c r="X1373" s="294"/>
      <c r="Y1373" s="294"/>
      <c r="Z1373" s="294"/>
      <c r="AA1373" s="294"/>
      <c r="AB1373" s="294"/>
      <c r="AC1373" s="294"/>
      <c r="AD1373" s="294"/>
      <c r="AE1373" s="294"/>
      <c r="AF1373" s="294"/>
      <c r="AG1373" s="294"/>
    </row>
    <row r="1374" spans="2:33" x14ac:dyDescent="0.25">
      <c r="B1374" s="294"/>
      <c r="C1374" s="294"/>
      <c r="D1374" s="294"/>
      <c r="E1374" s="294"/>
      <c r="F1374" s="294"/>
      <c r="G1374" s="294"/>
      <c r="H1374" s="294"/>
      <c r="I1374" s="294"/>
      <c r="J1374" s="294"/>
      <c r="L1374" s="295"/>
      <c r="M1374" s="294"/>
      <c r="O1374" s="294"/>
      <c r="P1374" s="294"/>
      <c r="Q1374" s="294"/>
      <c r="R1374" s="294"/>
      <c r="S1374" s="294"/>
      <c r="T1374" s="294"/>
      <c r="U1374" s="294"/>
      <c r="V1374" s="294"/>
      <c r="W1374" s="294"/>
      <c r="X1374" s="294"/>
      <c r="Y1374" s="294"/>
      <c r="Z1374" s="294"/>
      <c r="AA1374" s="294"/>
      <c r="AB1374" s="294"/>
      <c r="AC1374" s="294"/>
      <c r="AD1374" s="294"/>
      <c r="AE1374" s="294"/>
      <c r="AF1374" s="294"/>
      <c r="AG1374" s="294"/>
    </row>
    <row r="1375" spans="2:33" x14ac:dyDescent="0.25">
      <c r="B1375" s="294"/>
      <c r="C1375" s="294"/>
      <c r="D1375" s="294"/>
      <c r="E1375" s="294"/>
      <c r="F1375" s="294"/>
      <c r="G1375" s="294"/>
      <c r="H1375" s="294"/>
      <c r="I1375" s="294"/>
      <c r="J1375" s="294"/>
      <c r="L1375" s="295"/>
      <c r="M1375" s="294"/>
      <c r="O1375" s="294"/>
      <c r="P1375" s="294"/>
      <c r="Q1375" s="294"/>
      <c r="R1375" s="294"/>
      <c r="S1375" s="294"/>
      <c r="T1375" s="294"/>
      <c r="U1375" s="294"/>
      <c r="V1375" s="294"/>
      <c r="W1375" s="294"/>
      <c r="X1375" s="294"/>
      <c r="Y1375" s="294"/>
      <c r="Z1375" s="294"/>
      <c r="AA1375" s="294"/>
      <c r="AB1375" s="294"/>
      <c r="AC1375" s="294"/>
      <c r="AD1375" s="294"/>
      <c r="AE1375" s="294"/>
      <c r="AF1375" s="294"/>
      <c r="AG1375" s="294"/>
    </row>
    <row r="1376" spans="2:33" x14ac:dyDescent="0.25">
      <c r="B1376" s="294"/>
      <c r="C1376" s="294"/>
      <c r="D1376" s="294"/>
      <c r="E1376" s="294"/>
      <c r="F1376" s="294"/>
      <c r="G1376" s="294"/>
      <c r="H1376" s="294"/>
      <c r="I1376" s="294"/>
      <c r="J1376" s="294"/>
      <c r="L1376" s="295"/>
      <c r="M1376" s="294"/>
      <c r="O1376" s="294"/>
      <c r="P1376" s="294"/>
      <c r="Q1376" s="294"/>
      <c r="R1376" s="294"/>
      <c r="S1376" s="294"/>
      <c r="T1376" s="294"/>
      <c r="U1376" s="294"/>
      <c r="V1376" s="294"/>
      <c r="W1376" s="294"/>
      <c r="X1376" s="294"/>
      <c r="Y1376" s="294"/>
      <c r="Z1376" s="294"/>
      <c r="AA1376" s="294"/>
      <c r="AB1376" s="294"/>
      <c r="AC1376" s="294"/>
      <c r="AD1376" s="294"/>
      <c r="AE1376" s="294"/>
      <c r="AF1376" s="294"/>
      <c r="AG1376" s="294"/>
    </row>
    <row r="1377" spans="2:33" x14ac:dyDescent="0.25">
      <c r="B1377" s="294"/>
      <c r="C1377" s="294"/>
      <c r="D1377" s="294"/>
      <c r="E1377" s="294"/>
      <c r="F1377" s="294"/>
      <c r="G1377" s="294"/>
      <c r="H1377" s="294"/>
      <c r="I1377" s="294"/>
      <c r="J1377" s="294"/>
      <c r="L1377" s="295"/>
      <c r="M1377" s="294"/>
      <c r="O1377" s="294"/>
      <c r="P1377" s="294"/>
      <c r="Q1377" s="294"/>
      <c r="R1377" s="294"/>
      <c r="S1377" s="294"/>
      <c r="T1377" s="294"/>
      <c r="U1377" s="294"/>
      <c r="V1377" s="294"/>
      <c r="W1377" s="294"/>
      <c r="X1377" s="294"/>
      <c r="Y1377" s="294"/>
      <c r="Z1377" s="294"/>
      <c r="AA1377" s="294"/>
      <c r="AB1377" s="294"/>
      <c r="AC1377" s="294"/>
      <c r="AD1377" s="294"/>
      <c r="AE1377" s="294"/>
      <c r="AF1377" s="294"/>
      <c r="AG1377" s="294"/>
    </row>
    <row r="1378" spans="2:33" x14ac:dyDescent="0.25">
      <c r="B1378" s="294"/>
      <c r="C1378" s="294"/>
      <c r="D1378" s="294"/>
      <c r="E1378" s="294"/>
      <c r="F1378" s="294"/>
      <c r="G1378" s="294"/>
      <c r="H1378" s="294"/>
      <c r="I1378" s="294"/>
      <c r="J1378" s="294"/>
      <c r="L1378" s="295"/>
      <c r="M1378" s="294"/>
      <c r="O1378" s="294"/>
      <c r="P1378" s="294"/>
      <c r="Q1378" s="294"/>
      <c r="R1378" s="294"/>
      <c r="S1378" s="294"/>
      <c r="T1378" s="294"/>
      <c r="U1378" s="294"/>
      <c r="V1378" s="294"/>
      <c r="W1378" s="294"/>
      <c r="X1378" s="294"/>
      <c r="Y1378" s="294"/>
      <c r="Z1378" s="294"/>
      <c r="AA1378" s="294"/>
      <c r="AB1378" s="294"/>
      <c r="AC1378" s="294"/>
      <c r="AD1378" s="294"/>
      <c r="AE1378" s="294"/>
      <c r="AF1378" s="294"/>
      <c r="AG1378" s="294"/>
    </row>
    <row r="1379" spans="2:33" x14ac:dyDescent="0.25">
      <c r="B1379" s="294"/>
      <c r="C1379" s="294"/>
      <c r="D1379" s="294"/>
      <c r="E1379" s="294"/>
      <c r="F1379" s="294"/>
      <c r="G1379" s="294"/>
      <c r="H1379" s="294"/>
      <c r="I1379" s="294"/>
      <c r="J1379" s="294"/>
      <c r="L1379" s="295"/>
      <c r="M1379" s="294"/>
      <c r="O1379" s="294"/>
      <c r="P1379" s="294"/>
      <c r="Q1379" s="294"/>
      <c r="R1379" s="294"/>
      <c r="S1379" s="294"/>
      <c r="T1379" s="294"/>
      <c r="U1379" s="294"/>
      <c r="V1379" s="294"/>
      <c r="W1379" s="294"/>
      <c r="X1379" s="294"/>
      <c r="Y1379" s="294"/>
      <c r="Z1379" s="294"/>
      <c r="AA1379" s="294"/>
      <c r="AB1379" s="294"/>
      <c r="AC1379" s="294"/>
      <c r="AD1379" s="294"/>
      <c r="AE1379" s="294"/>
      <c r="AF1379" s="294"/>
      <c r="AG1379" s="294"/>
    </row>
    <row r="1380" spans="2:33" x14ac:dyDescent="0.25">
      <c r="B1380" s="294"/>
      <c r="C1380" s="294"/>
      <c r="D1380" s="294"/>
      <c r="E1380" s="294"/>
      <c r="F1380" s="294"/>
      <c r="G1380" s="294"/>
      <c r="H1380" s="294"/>
      <c r="I1380" s="294"/>
      <c r="J1380" s="294"/>
      <c r="L1380" s="295"/>
      <c r="M1380" s="294"/>
      <c r="O1380" s="294"/>
      <c r="P1380" s="294"/>
      <c r="Q1380" s="294"/>
      <c r="R1380" s="294"/>
      <c r="S1380" s="294"/>
      <c r="T1380" s="294"/>
      <c r="U1380" s="294"/>
      <c r="V1380" s="294"/>
      <c r="W1380" s="294"/>
      <c r="X1380" s="294"/>
      <c r="Y1380" s="294"/>
      <c r="Z1380" s="294"/>
      <c r="AA1380" s="294"/>
      <c r="AB1380" s="294"/>
      <c r="AC1380" s="294"/>
      <c r="AD1380" s="294"/>
      <c r="AE1380" s="294"/>
      <c r="AF1380" s="294"/>
      <c r="AG1380" s="294"/>
    </row>
    <row r="1381" spans="2:33" x14ac:dyDescent="0.25">
      <c r="B1381" s="294"/>
      <c r="C1381" s="294"/>
      <c r="D1381" s="294"/>
      <c r="E1381" s="294"/>
      <c r="F1381" s="294"/>
      <c r="G1381" s="294"/>
      <c r="H1381" s="294"/>
      <c r="I1381" s="294"/>
      <c r="J1381" s="294"/>
      <c r="L1381" s="295"/>
      <c r="M1381" s="294"/>
      <c r="O1381" s="294"/>
      <c r="P1381" s="294"/>
      <c r="Q1381" s="294"/>
      <c r="R1381" s="294"/>
      <c r="S1381" s="294"/>
      <c r="T1381" s="294"/>
      <c r="U1381" s="294"/>
      <c r="V1381" s="294"/>
      <c r="W1381" s="294"/>
      <c r="X1381" s="294"/>
      <c r="Y1381" s="294"/>
      <c r="Z1381" s="294"/>
      <c r="AA1381" s="294"/>
      <c r="AB1381" s="294"/>
      <c r="AC1381" s="294"/>
      <c r="AD1381" s="294"/>
      <c r="AE1381" s="294"/>
      <c r="AF1381" s="294"/>
      <c r="AG1381" s="294"/>
    </row>
    <row r="1382" spans="2:33" x14ac:dyDescent="0.25">
      <c r="B1382" s="294"/>
      <c r="C1382" s="294"/>
      <c r="D1382" s="294"/>
      <c r="E1382" s="294"/>
      <c r="F1382" s="294"/>
      <c r="G1382" s="294"/>
      <c r="H1382" s="294"/>
      <c r="I1382" s="294"/>
      <c r="J1382" s="294"/>
      <c r="L1382" s="295"/>
      <c r="M1382" s="294"/>
      <c r="O1382" s="294"/>
      <c r="P1382" s="294"/>
      <c r="Q1382" s="294"/>
      <c r="R1382" s="294"/>
      <c r="S1382" s="294"/>
      <c r="T1382" s="294"/>
      <c r="U1382" s="294"/>
      <c r="V1382" s="294"/>
      <c r="W1382" s="294"/>
      <c r="X1382" s="294"/>
      <c r="Y1382" s="294"/>
      <c r="Z1382" s="294"/>
      <c r="AA1382" s="294"/>
      <c r="AB1382" s="294"/>
      <c r="AC1382" s="294"/>
      <c r="AD1382" s="294"/>
      <c r="AE1382" s="294"/>
      <c r="AF1382" s="294"/>
      <c r="AG1382" s="294"/>
    </row>
    <row r="1383" spans="2:33" x14ac:dyDescent="0.25">
      <c r="B1383" s="294"/>
      <c r="C1383" s="294"/>
      <c r="D1383" s="294"/>
      <c r="E1383" s="294"/>
      <c r="F1383" s="294"/>
      <c r="G1383" s="294"/>
      <c r="H1383" s="294"/>
      <c r="I1383" s="294"/>
      <c r="J1383" s="294"/>
      <c r="L1383" s="295"/>
      <c r="M1383" s="294"/>
      <c r="O1383" s="294"/>
      <c r="P1383" s="294"/>
      <c r="Q1383" s="294"/>
      <c r="R1383" s="294"/>
      <c r="S1383" s="294"/>
      <c r="T1383" s="294"/>
      <c r="U1383" s="294"/>
      <c r="V1383" s="294"/>
      <c r="W1383" s="294"/>
      <c r="X1383" s="294"/>
      <c r="Y1383" s="294"/>
      <c r="Z1383" s="294"/>
      <c r="AA1383" s="294"/>
      <c r="AB1383" s="294"/>
      <c r="AC1383" s="294"/>
      <c r="AD1383" s="294"/>
      <c r="AE1383" s="294"/>
      <c r="AF1383" s="294"/>
      <c r="AG1383" s="294"/>
    </row>
    <row r="1384" spans="2:33" x14ac:dyDescent="0.25">
      <c r="B1384" s="294"/>
      <c r="C1384" s="294"/>
      <c r="D1384" s="294"/>
      <c r="E1384" s="294"/>
      <c r="F1384" s="294"/>
      <c r="G1384" s="294"/>
      <c r="H1384" s="294"/>
      <c r="I1384" s="294"/>
      <c r="J1384" s="294"/>
      <c r="L1384" s="295"/>
      <c r="M1384" s="294"/>
      <c r="O1384" s="294"/>
      <c r="P1384" s="294"/>
      <c r="Q1384" s="294"/>
      <c r="R1384" s="294"/>
      <c r="S1384" s="294"/>
      <c r="T1384" s="294"/>
      <c r="U1384" s="294"/>
      <c r="V1384" s="294"/>
      <c r="W1384" s="294"/>
      <c r="X1384" s="294"/>
      <c r="Y1384" s="294"/>
      <c r="Z1384" s="294"/>
      <c r="AA1384" s="294"/>
      <c r="AB1384" s="294"/>
      <c r="AC1384" s="294"/>
      <c r="AD1384" s="294"/>
      <c r="AE1384" s="294"/>
      <c r="AF1384" s="294"/>
      <c r="AG1384" s="294"/>
    </row>
    <row r="1385" spans="2:33" x14ac:dyDescent="0.25">
      <c r="B1385" s="294"/>
      <c r="C1385" s="294"/>
      <c r="D1385" s="294"/>
      <c r="E1385" s="294"/>
      <c r="F1385" s="294"/>
      <c r="G1385" s="294"/>
      <c r="H1385" s="294"/>
      <c r="I1385" s="294"/>
      <c r="J1385" s="294"/>
      <c r="L1385" s="295"/>
      <c r="M1385" s="294"/>
      <c r="O1385" s="294"/>
      <c r="P1385" s="294"/>
      <c r="Q1385" s="294"/>
      <c r="R1385" s="294"/>
      <c r="S1385" s="294"/>
      <c r="T1385" s="294"/>
      <c r="U1385" s="294"/>
      <c r="V1385" s="294"/>
      <c r="W1385" s="294"/>
      <c r="X1385" s="294"/>
      <c r="Y1385" s="294"/>
      <c r="Z1385" s="294"/>
      <c r="AA1385" s="294"/>
      <c r="AB1385" s="294"/>
      <c r="AC1385" s="294"/>
      <c r="AD1385" s="294"/>
      <c r="AE1385" s="294"/>
      <c r="AF1385" s="294"/>
      <c r="AG1385" s="294"/>
    </row>
    <row r="1386" spans="2:33" x14ac:dyDescent="0.25">
      <c r="B1386" s="294"/>
      <c r="C1386" s="294"/>
      <c r="D1386" s="294"/>
      <c r="E1386" s="294"/>
      <c r="F1386" s="294"/>
      <c r="G1386" s="294"/>
      <c r="H1386" s="294"/>
      <c r="I1386" s="294"/>
      <c r="J1386" s="294"/>
      <c r="L1386" s="295"/>
      <c r="M1386" s="294"/>
      <c r="O1386" s="294"/>
      <c r="P1386" s="294"/>
      <c r="Q1386" s="294"/>
      <c r="R1386" s="294"/>
      <c r="S1386" s="294"/>
      <c r="T1386" s="294"/>
      <c r="U1386" s="294"/>
      <c r="V1386" s="294"/>
      <c r="W1386" s="294"/>
      <c r="X1386" s="294"/>
      <c r="Y1386" s="294"/>
      <c r="Z1386" s="294"/>
      <c r="AA1386" s="294"/>
      <c r="AB1386" s="294"/>
      <c r="AC1386" s="294"/>
      <c r="AD1386" s="294"/>
      <c r="AE1386" s="294"/>
      <c r="AF1386" s="294"/>
      <c r="AG1386" s="294"/>
    </row>
    <row r="1387" spans="2:33" x14ac:dyDescent="0.25">
      <c r="B1387" s="294"/>
      <c r="C1387" s="294"/>
      <c r="D1387" s="294"/>
      <c r="E1387" s="294"/>
      <c r="F1387" s="294"/>
      <c r="G1387" s="294"/>
      <c r="H1387" s="294"/>
      <c r="I1387" s="294"/>
      <c r="J1387" s="294"/>
      <c r="L1387" s="295"/>
      <c r="M1387" s="294"/>
      <c r="O1387" s="294"/>
      <c r="P1387" s="294"/>
      <c r="Q1387" s="294"/>
      <c r="R1387" s="294"/>
      <c r="S1387" s="294"/>
      <c r="T1387" s="294"/>
      <c r="U1387" s="294"/>
      <c r="V1387" s="294"/>
      <c r="W1387" s="294"/>
      <c r="X1387" s="294"/>
      <c r="Y1387" s="294"/>
      <c r="Z1387" s="294"/>
      <c r="AA1387" s="294"/>
      <c r="AB1387" s="294"/>
      <c r="AC1387" s="294"/>
      <c r="AD1387" s="294"/>
      <c r="AE1387" s="294"/>
      <c r="AF1387" s="294"/>
      <c r="AG1387" s="294"/>
    </row>
    <row r="1388" spans="2:33" x14ac:dyDescent="0.25">
      <c r="B1388" s="294"/>
      <c r="C1388" s="294"/>
      <c r="D1388" s="294"/>
      <c r="E1388" s="294"/>
      <c r="F1388" s="294"/>
      <c r="G1388" s="294"/>
      <c r="H1388" s="294"/>
      <c r="I1388" s="294"/>
      <c r="J1388" s="294"/>
      <c r="L1388" s="295"/>
      <c r="M1388" s="294"/>
      <c r="O1388" s="294"/>
      <c r="P1388" s="294"/>
      <c r="Q1388" s="294"/>
      <c r="R1388" s="294"/>
      <c r="S1388" s="294"/>
      <c r="T1388" s="294"/>
      <c r="U1388" s="294"/>
      <c r="V1388" s="294"/>
      <c r="W1388" s="294"/>
      <c r="X1388" s="294"/>
      <c r="Y1388" s="294"/>
      <c r="Z1388" s="294"/>
      <c r="AA1388" s="294"/>
      <c r="AB1388" s="294"/>
      <c r="AC1388" s="294"/>
      <c r="AD1388" s="294"/>
      <c r="AE1388" s="294"/>
      <c r="AF1388" s="294"/>
      <c r="AG1388" s="294"/>
    </row>
    <row r="1389" spans="2:33" x14ac:dyDescent="0.25">
      <c r="B1389" s="294"/>
      <c r="C1389" s="294"/>
      <c r="D1389" s="294"/>
      <c r="E1389" s="294"/>
      <c r="F1389" s="294"/>
      <c r="G1389" s="294"/>
      <c r="H1389" s="294"/>
      <c r="I1389" s="294"/>
      <c r="J1389" s="294"/>
      <c r="L1389" s="295"/>
      <c r="M1389" s="294"/>
      <c r="O1389" s="294"/>
      <c r="P1389" s="294"/>
      <c r="Q1389" s="294"/>
      <c r="R1389" s="294"/>
      <c r="S1389" s="294"/>
      <c r="T1389" s="294"/>
      <c r="U1389" s="294"/>
      <c r="V1389" s="294"/>
      <c r="W1389" s="294"/>
      <c r="X1389" s="294"/>
      <c r="Y1389" s="294"/>
      <c r="Z1389" s="294"/>
      <c r="AA1389" s="294"/>
      <c r="AB1389" s="294"/>
      <c r="AC1389" s="294"/>
      <c r="AD1389" s="294"/>
      <c r="AE1389" s="294"/>
      <c r="AF1389" s="294"/>
      <c r="AG1389" s="294"/>
    </row>
    <row r="1390" spans="2:33" x14ac:dyDescent="0.25">
      <c r="B1390" s="294"/>
      <c r="C1390" s="294"/>
      <c r="D1390" s="294"/>
      <c r="E1390" s="294"/>
      <c r="F1390" s="294"/>
      <c r="G1390" s="294"/>
      <c r="H1390" s="294"/>
      <c r="I1390" s="294"/>
      <c r="J1390" s="294"/>
      <c r="L1390" s="295"/>
      <c r="M1390" s="294"/>
      <c r="O1390" s="294"/>
      <c r="P1390" s="294"/>
      <c r="Q1390" s="294"/>
      <c r="R1390" s="294"/>
      <c r="S1390" s="294"/>
      <c r="T1390" s="294"/>
      <c r="U1390" s="294"/>
      <c r="V1390" s="294"/>
      <c r="W1390" s="294"/>
      <c r="X1390" s="294"/>
      <c r="Y1390" s="294"/>
      <c r="Z1390" s="294"/>
      <c r="AA1390" s="294"/>
      <c r="AB1390" s="294"/>
      <c r="AC1390" s="294"/>
      <c r="AD1390" s="294"/>
      <c r="AE1390" s="294"/>
      <c r="AF1390" s="294"/>
      <c r="AG1390" s="294"/>
    </row>
    <row r="1391" spans="2:33" x14ac:dyDescent="0.25">
      <c r="B1391" s="294"/>
      <c r="C1391" s="294"/>
      <c r="D1391" s="294"/>
      <c r="E1391" s="294"/>
      <c r="F1391" s="294"/>
      <c r="G1391" s="294"/>
      <c r="H1391" s="294"/>
      <c r="I1391" s="294"/>
      <c r="J1391" s="294"/>
      <c r="L1391" s="295"/>
      <c r="M1391" s="294"/>
      <c r="O1391" s="294"/>
      <c r="P1391" s="294"/>
      <c r="Q1391" s="294"/>
      <c r="R1391" s="294"/>
      <c r="S1391" s="294"/>
      <c r="T1391" s="294"/>
      <c r="U1391" s="294"/>
      <c r="V1391" s="294"/>
      <c r="W1391" s="294"/>
      <c r="X1391" s="294"/>
      <c r="Y1391" s="294"/>
      <c r="Z1391" s="294"/>
      <c r="AA1391" s="294"/>
      <c r="AB1391" s="294"/>
      <c r="AC1391" s="294"/>
      <c r="AD1391" s="294"/>
      <c r="AE1391" s="294"/>
      <c r="AF1391" s="294"/>
      <c r="AG1391" s="294"/>
    </row>
    <row r="1392" spans="2:33" x14ac:dyDescent="0.25">
      <c r="B1392" s="294"/>
      <c r="C1392" s="294"/>
      <c r="D1392" s="294"/>
      <c r="E1392" s="294"/>
      <c r="F1392" s="294"/>
      <c r="G1392" s="294"/>
      <c r="H1392" s="294"/>
      <c r="I1392" s="294"/>
      <c r="J1392" s="294"/>
      <c r="L1392" s="295"/>
      <c r="M1392" s="294"/>
      <c r="O1392" s="294"/>
      <c r="P1392" s="294"/>
      <c r="Q1392" s="294"/>
      <c r="R1392" s="294"/>
      <c r="S1392" s="294"/>
      <c r="T1392" s="294"/>
      <c r="U1392" s="294"/>
      <c r="V1392" s="294"/>
      <c r="W1392" s="294"/>
      <c r="X1392" s="294"/>
      <c r="Y1392" s="294"/>
      <c r="Z1392" s="294"/>
      <c r="AA1392" s="294"/>
      <c r="AB1392" s="294"/>
      <c r="AC1392" s="294"/>
      <c r="AD1392" s="294"/>
      <c r="AE1392" s="294"/>
      <c r="AF1392" s="294"/>
      <c r="AG1392" s="294"/>
    </row>
    <row r="1393" spans="2:33" x14ac:dyDescent="0.25">
      <c r="B1393" s="294"/>
      <c r="C1393" s="294"/>
      <c r="D1393" s="294"/>
      <c r="E1393" s="294"/>
      <c r="F1393" s="294"/>
      <c r="G1393" s="294"/>
      <c r="H1393" s="294"/>
      <c r="I1393" s="294"/>
      <c r="J1393" s="294"/>
      <c r="L1393" s="295"/>
      <c r="M1393" s="294"/>
      <c r="O1393" s="294"/>
      <c r="P1393" s="294"/>
      <c r="Q1393" s="294"/>
      <c r="R1393" s="294"/>
      <c r="S1393" s="294"/>
      <c r="T1393" s="294"/>
      <c r="U1393" s="294"/>
      <c r="V1393" s="294"/>
      <c r="W1393" s="294"/>
      <c r="X1393" s="294"/>
      <c r="Y1393" s="294"/>
      <c r="Z1393" s="294"/>
      <c r="AA1393" s="294"/>
      <c r="AB1393" s="294"/>
      <c r="AC1393" s="294"/>
      <c r="AD1393" s="294"/>
      <c r="AE1393" s="294"/>
      <c r="AF1393" s="294"/>
      <c r="AG1393" s="294"/>
    </row>
    <row r="1394" spans="2:33" x14ac:dyDescent="0.25">
      <c r="B1394" s="294"/>
      <c r="C1394" s="294"/>
      <c r="D1394" s="294"/>
      <c r="E1394" s="294"/>
      <c r="F1394" s="294"/>
      <c r="G1394" s="294"/>
      <c r="H1394" s="294"/>
      <c r="I1394" s="294"/>
      <c r="J1394" s="294"/>
      <c r="L1394" s="295"/>
      <c r="M1394" s="294"/>
      <c r="O1394" s="294"/>
      <c r="P1394" s="294"/>
      <c r="Q1394" s="294"/>
      <c r="R1394" s="294"/>
      <c r="S1394" s="294"/>
      <c r="T1394" s="294"/>
      <c r="U1394" s="294"/>
      <c r="V1394" s="294"/>
      <c r="W1394" s="294"/>
      <c r="X1394" s="294"/>
      <c r="Y1394" s="294"/>
      <c r="Z1394" s="294"/>
      <c r="AA1394" s="294"/>
      <c r="AB1394" s="294"/>
      <c r="AC1394" s="294"/>
      <c r="AD1394" s="294"/>
      <c r="AE1394" s="294"/>
      <c r="AF1394" s="294"/>
      <c r="AG1394" s="294"/>
    </row>
    <row r="1395" spans="2:33" x14ac:dyDescent="0.25">
      <c r="B1395" s="294"/>
      <c r="C1395" s="294"/>
      <c r="D1395" s="294"/>
      <c r="E1395" s="294"/>
      <c r="F1395" s="294"/>
      <c r="G1395" s="294"/>
      <c r="H1395" s="294"/>
      <c r="I1395" s="294"/>
      <c r="J1395" s="294"/>
      <c r="L1395" s="295"/>
      <c r="M1395" s="294"/>
      <c r="O1395" s="294"/>
      <c r="P1395" s="294"/>
      <c r="Q1395" s="294"/>
      <c r="R1395" s="294"/>
      <c r="S1395" s="294"/>
      <c r="T1395" s="294"/>
      <c r="U1395" s="294"/>
      <c r="V1395" s="294"/>
      <c r="W1395" s="294"/>
      <c r="X1395" s="294"/>
      <c r="Y1395" s="294"/>
      <c r="Z1395" s="294"/>
      <c r="AA1395" s="294"/>
      <c r="AB1395" s="294"/>
      <c r="AC1395" s="294"/>
      <c r="AD1395" s="294"/>
      <c r="AE1395" s="294"/>
      <c r="AF1395" s="294"/>
      <c r="AG1395" s="294"/>
    </row>
    <row r="1396" spans="2:33" x14ac:dyDescent="0.25">
      <c r="B1396" s="294"/>
      <c r="C1396" s="294"/>
      <c r="D1396" s="294"/>
      <c r="E1396" s="294"/>
      <c r="F1396" s="294"/>
      <c r="G1396" s="294"/>
      <c r="H1396" s="294"/>
      <c r="I1396" s="294"/>
      <c r="J1396" s="294"/>
      <c r="L1396" s="295"/>
      <c r="M1396" s="294"/>
      <c r="O1396" s="294"/>
      <c r="P1396" s="294"/>
      <c r="Q1396" s="294"/>
      <c r="R1396" s="294"/>
      <c r="S1396" s="294"/>
      <c r="T1396" s="294"/>
      <c r="U1396" s="294"/>
      <c r="V1396" s="294"/>
      <c r="W1396" s="294"/>
      <c r="X1396" s="294"/>
      <c r="Y1396" s="294"/>
      <c r="Z1396" s="294"/>
      <c r="AA1396" s="294"/>
      <c r="AB1396" s="294"/>
      <c r="AC1396" s="294"/>
      <c r="AD1396" s="294"/>
      <c r="AE1396" s="294"/>
      <c r="AF1396" s="294"/>
      <c r="AG1396" s="294"/>
    </row>
    <row r="1397" spans="2:33" x14ac:dyDescent="0.25">
      <c r="B1397" s="294"/>
      <c r="C1397" s="294"/>
      <c r="D1397" s="294"/>
      <c r="E1397" s="294"/>
      <c r="F1397" s="294"/>
      <c r="G1397" s="294"/>
      <c r="H1397" s="294"/>
      <c r="I1397" s="294"/>
      <c r="J1397" s="294"/>
      <c r="L1397" s="295"/>
      <c r="M1397" s="294"/>
      <c r="O1397" s="294"/>
      <c r="P1397" s="294"/>
      <c r="Q1397" s="294"/>
      <c r="R1397" s="294"/>
      <c r="S1397" s="294"/>
      <c r="T1397" s="294"/>
      <c r="U1397" s="294"/>
      <c r="V1397" s="294"/>
      <c r="W1397" s="294"/>
      <c r="X1397" s="294"/>
      <c r="Y1397" s="294"/>
      <c r="Z1397" s="294"/>
      <c r="AA1397" s="294"/>
      <c r="AB1397" s="294"/>
      <c r="AC1397" s="294"/>
      <c r="AD1397" s="294"/>
      <c r="AE1397" s="294"/>
      <c r="AF1397" s="294"/>
      <c r="AG1397" s="294"/>
    </row>
    <row r="1398" spans="2:33" x14ac:dyDescent="0.25">
      <c r="B1398" s="294"/>
      <c r="C1398" s="294"/>
      <c r="D1398" s="294"/>
      <c r="E1398" s="294"/>
      <c r="F1398" s="294"/>
      <c r="G1398" s="294"/>
      <c r="H1398" s="294"/>
      <c r="I1398" s="294"/>
      <c r="J1398" s="294"/>
      <c r="L1398" s="295"/>
      <c r="M1398" s="294"/>
      <c r="O1398" s="294"/>
      <c r="P1398" s="294"/>
      <c r="Q1398" s="294"/>
      <c r="R1398" s="294"/>
      <c r="S1398" s="294"/>
      <c r="T1398" s="294"/>
      <c r="U1398" s="294"/>
      <c r="V1398" s="294"/>
      <c r="W1398" s="294"/>
      <c r="X1398" s="294"/>
      <c r="Y1398" s="294"/>
      <c r="Z1398" s="294"/>
      <c r="AA1398" s="294"/>
      <c r="AB1398" s="294"/>
      <c r="AC1398" s="294"/>
      <c r="AD1398" s="294"/>
      <c r="AE1398" s="294"/>
      <c r="AF1398" s="294"/>
      <c r="AG1398" s="294"/>
    </row>
    <row r="1399" spans="2:33" x14ac:dyDescent="0.25">
      <c r="B1399" s="294"/>
      <c r="C1399" s="294"/>
      <c r="D1399" s="294"/>
      <c r="E1399" s="294"/>
      <c r="F1399" s="294"/>
      <c r="G1399" s="294"/>
      <c r="H1399" s="294"/>
      <c r="I1399" s="294"/>
      <c r="J1399" s="294"/>
      <c r="L1399" s="295"/>
      <c r="M1399" s="294"/>
      <c r="O1399" s="294"/>
      <c r="P1399" s="294"/>
      <c r="Q1399" s="294"/>
      <c r="R1399" s="294"/>
      <c r="S1399" s="294"/>
      <c r="T1399" s="294"/>
      <c r="U1399" s="294"/>
      <c r="V1399" s="294"/>
      <c r="W1399" s="294"/>
      <c r="X1399" s="294"/>
      <c r="Y1399" s="294"/>
      <c r="Z1399" s="294"/>
      <c r="AA1399" s="294"/>
      <c r="AB1399" s="294"/>
      <c r="AC1399" s="294"/>
      <c r="AD1399" s="294"/>
      <c r="AE1399" s="294"/>
      <c r="AF1399" s="294"/>
      <c r="AG1399" s="294"/>
    </row>
    <row r="1400" spans="2:33" x14ac:dyDescent="0.25">
      <c r="B1400" s="294"/>
      <c r="C1400" s="294"/>
      <c r="D1400" s="294"/>
      <c r="E1400" s="294"/>
      <c r="F1400" s="294"/>
      <c r="G1400" s="294"/>
      <c r="H1400" s="294"/>
      <c r="I1400" s="294"/>
      <c r="J1400" s="294"/>
      <c r="L1400" s="295"/>
      <c r="M1400" s="294"/>
      <c r="O1400" s="294"/>
      <c r="P1400" s="294"/>
      <c r="Q1400" s="294"/>
      <c r="R1400" s="294"/>
      <c r="S1400" s="294"/>
      <c r="T1400" s="294"/>
      <c r="U1400" s="294"/>
      <c r="V1400" s="294"/>
      <c r="W1400" s="294"/>
      <c r="X1400" s="294"/>
      <c r="Y1400" s="294"/>
      <c r="Z1400" s="294"/>
      <c r="AA1400" s="294"/>
      <c r="AB1400" s="294"/>
      <c r="AC1400" s="294"/>
      <c r="AD1400" s="294"/>
      <c r="AE1400" s="294"/>
      <c r="AF1400" s="294"/>
      <c r="AG1400" s="294"/>
    </row>
    <row r="1401" spans="2:33" x14ac:dyDescent="0.25">
      <c r="B1401" s="294"/>
      <c r="C1401" s="294"/>
      <c r="D1401" s="294"/>
      <c r="E1401" s="294"/>
      <c r="F1401" s="294"/>
      <c r="G1401" s="294"/>
      <c r="H1401" s="294"/>
      <c r="I1401" s="294"/>
      <c r="J1401" s="294"/>
      <c r="L1401" s="295"/>
      <c r="M1401" s="294"/>
      <c r="O1401" s="294"/>
      <c r="P1401" s="294"/>
      <c r="Q1401" s="294"/>
      <c r="R1401" s="294"/>
      <c r="S1401" s="294"/>
      <c r="T1401" s="294"/>
      <c r="U1401" s="294"/>
      <c r="V1401" s="294"/>
      <c r="W1401" s="294"/>
      <c r="X1401" s="294"/>
      <c r="Y1401" s="294"/>
      <c r="Z1401" s="294"/>
      <c r="AA1401" s="294"/>
      <c r="AB1401" s="294"/>
      <c r="AC1401" s="294"/>
      <c r="AD1401" s="294"/>
      <c r="AE1401" s="294"/>
      <c r="AF1401" s="294"/>
      <c r="AG1401" s="294"/>
    </row>
    <row r="1402" spans="2:33" x14ac:dyDescent="0.25">
      <c r="B1402" s="294"/>
      <c r="C1402" s="294"/>
      <c r="D1402" s="294"/>
      <c r="E1402" s="294"/>
      <c r="F1402" s="294"/>
      <c r="G1402" s="294"/>
      <c r="H1402" s="294"/>
      <c r="I1402" s="294"/>
      <c r="J1402" s="294"/>
      <c r="L1402" s="295"/>
      <c r="M1402" s="294"/>
      <c r="O1402" s="294"/>
      <c r="P1402" s="294"/>
      <c r="Q1402" s="294"/>
      <c r="R1402" s="294"/>
      <c r="S1402" s="294"/>
      <c r="T1402" s="294"/>
      <c r="U1402" s="294"/>
      <c r="V1402" s="294"/>
      <c r="W1402" s="294"/>
      <c r="X1402" s="294"/>
      <c r="Y1402" s="294"/>
      <c r="Z1402" s="294"/>
      <c r="AA1402" s="294"/>
      <c r="AB1402" s="294"/>
      <c r="AC1402" s="294"/>
      <c r="AD1402" s="294"/>
      <c r="AE1402" s="294"/>
      <c r="AF1402" s="294"/>
      <c r="AG1402" s="294"/>
    </row>
    <row r="1403" spans="2:33" x14ac:dyDescent="0.25">
      <c r="B1403" s="294"/>
      <c r="C1403" s="294"/>
      <c r="D1403" s="294"/>
      <c r="E1403" s="294"/>
      <c r="F1403" s="294"/>
      <c r="G1403" s="294"/>
      <c r="H1403" s="294"/>
      <c r="I1403" s="294"/>
      <c r="J1403" s="294"/>
      <c r="L1403" s="295"/>
      <c r="M1403" s="294"/>
      <c r="O1403" s="294"/>
      <c r="P1403" s="294"/>
      <c r="Q1403" s="294"/>
      <c r="R1403" s="294"/>
      <c r="S1403" s="294"/>
      <c r="T1403" s="294"/>
      <c r="U1403" s="294"/>
      <c r="V1403" s="294"/>
      <c r="W1403" s="294"/>
      <c r="X1403" s="294"/>
      <c r="Y1403" s="294"/>
      <c r="Z1403" s="294"/>
      <c r="AA1403" s="294"/>
      <c r="AB1403" s="294"/>
      <c r="AC1403" s="294"/>
      <c r="AD1403" s="294"/>
      <c r="AE1403" s="294"/>
      <c r="AF1403" s="294"/>
      <c r="AG1403" s="294"/>
    </row>
    <row r="1404" spans="2:33" x14ac:dyDescent="0.25">
      <c r="B1404" s="294"/>
      <c r="C1404" s="294"/>
      <c r="D1404" s="294"/>
      <c r="E1404" s="294"/>
      <c r="F1404" s="294"/>
      <c r="G1404" s="294"/>
      <c r="H1404" s="294"/>
      <c r="I1404" s="294"/>
      <c r="J1404" s="294"/>
      <c r="L1404" s="295"/>
      <c r="M1404" s="294"/>
      <c r="O1404" s="294"/>
      <c r="P1404" s="294"/>
      <c r="Q1404" s="294"/>
      <c r="R1404" s="294"/>
      <c r="S1404" s="294"/>
      <c r="T1404" s="294"/>
      <c r="U1404" s="294"/>
      <c r="V1404" s="294"/>
      <c r="W1404" s="294"/>
      <c r="X1404" s="294"/>
      <c r="Y1404" s="294"/>
      <c r="Z1404" s="294"/>
      <c r="AA1404" s="294"/>
      <c r="AB1404" s="294"/>
      <c r="AC1404" s="294"/>
      <c r="AD1404" s="294"/>
      <c r="AE1404" s="294"/>
      <c r="AF1404" s="294"/>
      <c r="AG1404" s="294"/>
    </row>
    <row r="1405" spans="2:33" x14ac:dyDescent="0.25">
      <c r="B1405" s="294"/>
      <c r="C1405" s="294"/>
      <c r="D1405" s="294"/>
      <c r="E1405" s="294"/>
      <c r="F1405" s="294"/>
      <c r="G1405" s="294"/>
      <c r="H1405" s="294"/>
      <c r="I1405" s="294"/>
      <c r="J1405" s="294"/>
      <c r="L1405" s="295"/>
      <c r="M1405" s="294"/>
      <c r="O1405" s="294"/>
      <c r="P1405" s="294"/>
      <c r="Q1405" s="294"/>
      <c r="R1405" s="294"/>
      <c r="S1405" s="294"/>
      <c r="T1405" s="294"/>
      <c r="U1405" s="294"/>
      <c r="V1405" s="294"/>
      <c r="W1405" s="294"/>
      <c r="X1405" s="294"/>
      <c r="Y1405" s="294"/>
      <c r="Z1405" s="294"/>
      <c r="AA1405" s="294"/>
      <c r="AB1405" s="294"/>
      <c r="AC1405" s="294"/>
      <c r="AD1405" s="294"/>
      <c r="AE1405" s="294"/>
      <c r="AF1405" s="294"/>
      <c r="AG1405" s="294"/>
    </row>
    <row r="1406" spans="2:33" x14ac:dyDescent="0.25">
      <c r="B1406" s="294"/>
      <c r="C1406" s="294"/>
      <c r="D1406" s="294"/>
      <c r="E1406" s="294"/>
      <c r="F1406" s="294"/>
      <c r="G1406" s="294"/>
      <c r="H1406" s="294"/>
      <c r="I1406" s="294"/>
      <c r="J1406" s="294"/>
      <c r="L1406" s="295"/>
      <c r="M1406" s="294"/>
      <c r="O1406" s="294"/>
      <c r="P1406" s="294"/>
      <c r="Q1406" s="294"/>
      <c r="R1406" s="294"/>
      <c r="S1406" s="294"/>
      <c r="T1406" s="294"/>
      <c r="U1406" s="294"/>
      <c r="V1406" s="294"/>
      <c r="W1406" s="294"/>
      <c r="X1406" s="294"/>
      <c r="Y1406" s="294"/>
      <c r="Z1406" s="294"/>
      <c r="AA1406" s="294"/>
      <c r="AB1406" s="294"/>
      <c r="AC1406" s="294"/>
      <c r="AD1406" s="294"/>
      <c r="AE1406" s="294"/>
      <c r="AF1406" s="294"/>
      <c r="AG1406" s="294"/>
    </row>
    <row r="1407" spans="2:33" x14ac:dyDescent="0.25">
      <c r="B1407" s="294"/>
      <c r="C1407" s="294"/>
      <c r="D1407" s="294"/>
      <c r="E1407" s="294"/>
      <c r="F1407" s="294"/>
      <c r="G1407" s="294"/>
      <c r="H1407" s="294"/>
      <c r="I1407" s="294"/>
      <c r="J1407" s="294"/>
      <c r="L1407" s="295"/>
      <c r="M1407" s="294"/>
      <c r="O1407" s="294"/>
      <c r="P1407" s="294"/>
      <c r="Q1407" s="294"/>
      <c r="R1407" s="294"/>
      <c r="S1407" s="294"/>
      <c r="T1407" s="294"/>
      <c r="U1407" s="294"/>
      <c r="V1407" s="294"/>
      <c r="W1407" s="294"/>
      <c r="X1407" s="294"/>
      <c r="Y1407" s="294"/>
      <c r="Z1407" s="294"/>
      <c r="AA1407" s="294"/>
      <c r="AB1407" s="294"/>
      <c r="AC1407" s="294"/>
      <c r="AD1407" s="294"/>
      <c r="AE1407" s="294"/>
      <c r="AF1407" s="294"/>
      <c r="AG1407" s="294"/>
    </row>
    <row r="1408" spans="2:33" x14ac:dyDescent="0.25">
      <c r="B1408" s="294"/>
      <c r="C1408" s="294"/>
      <c r="D1408" s="294"/>
      <c r="E1408" s="294"/>
      <c r="F1408" s="294"/>
      <c r="G1408" s="294"/>
      <c r="H1408" s="294"/>
      <c r="I1408" s="294"/>
      <c r="J1408" s="294"/>
      <c r="L1408" s="295"/>
      <c r="M1408" s="294"/>
      <c r="O1408" s="294"/>
      <c r="P1408" s="294"/>
      <c r="Q1408" s="294"/>
      <c r="R1408" s="294"/>
      <c r="S1408" s="294"/>
      <c r="T1408" s="294"/>
      <c r="U1408" s="294"/>
      <c r="V1408" s="294"/>
      <c r="W1408" s="294"/>
      <c r="X1408" s="294"/>
      <c r="Y1408" s="294"/>
      <c r="Z1408" s="294"/>
      <c r="AA1408" s="294"/>
      <c r="AB1408" s="294"/>
      <c r="AC1408" s="294"/>
      <c r="AD1408" s="294"/>
      <c r="AE1408" s="294"/>
      <c r="AF1408" s="294"/>
      <c r="AG1408" s="294"/>
    </row>
    <row r="1409" spans="2:33" x14ac:dyDescent="0.25">
      <c r="B1409" s="294"/>
      <c r="C1409" s="294"/>
      <c r="D1409" s="294"/>
      <c r="E1409" s="294"/>
      <c r="F1409" s="294"/>
      <c r="G1409" s="294"/>
      <c r="H1409" s="294"/>
      <c r="I1409" s="294"/>
      <c r="J1409" s="294"/>
      <c r="L1409" s="295"/>
      <c r="M1409" s="294"/>
      <c r="O1409" s="294"/>
      <c r="P1409" s="294"/>
      <c r="Q1409" s="294"/>
      <c r="R1409" s="294"/>
      <c r="S1409" s="294"/>
      <c r="T1409" s="294"/>
      <c r="U1409" s="294"/>
      <c r="V1409" s="294"/>
      <c r="W1409" s="294"/>
      <c r="X1409" s="294"/>
      <c r="Y1409" s="294"/>
      <c r="Z1409" s="294"/>
      <c r="AA1409" s="294"/>
      <c r="AB1409" s="294"/>
      <c r="AC1409" s="294"/>
      <c r="AD1409" s="294"/>
      <c r="AE1409" s="294"/>
      <c r="AF1409" s="294"/>
      <c r="AG1409" s="294"/>
    </row>
    <row r="1410" spans="2:33" x14ac:dyDescent="0.25">
      <c r="B1410" s="294"/>
      <c r="C1410" s="294"/>
      <c r="D1410" s="294"/>
      <c r="E1410" s="294"/>
      <c r="F1410" s="294"/>
      <c r="G1410" s="294"/>
      <c r="H1410" s="294"/>
      <c r="I1410" s="294"/>
      <c r="J1410" s="294"/>
      <c r="L1410" s="295"/>
      <c r="M1410" s="294"/>
      <c r="O1410" s="294"/>
      <c r="P1410" s="294"/>
      <c r="Q1410" s="294"/>
      <c r="R1410" s="294"/>
      <c r="S1410" s="294"/>
      <c r="T1410" s="294"/>
      <c r="U1410" s="294"/>
      <c r="V1410" s="294"/>
      <c r="W1410" s="294"/>
      <c r="X1410" s="294"/>
      <c r="Y1410" s="294"/>
      <c r="Z1410" s="294"/>
      <c r="AA1410" s="294"/>
      <c r="AB1410" s="294"/>
      <c r="AC1410" s="294"/>
      <c r="AD1410" s="294"/>
      <c r="AE1410" s="294"/>
      <c r="AF1410" s="294"/>
      <c r="AG1410" s="294"/>
    </row>
    <row r="1411" spans="2:33" x14ac:dyDescent="0.25">
      <c r="B1411" s="294"/>
      <c r="C1411" s="294"/>
      <c r="D1411" s="294"/>
      <c r="E1411" s="294"/>
      <c r="F1411" s="294"/>
      <c r="G1411" s="294"/>
      <c r="H1411" s="294"/>
      <c r="I1411" s="294"/>
      <c r="J1411" s="294"/>
      <c r="L1411" s="295"/>
      <c r="M1411" s="294"/>
      <c r="O1411" s="294"/>
      <c r="P1411" s="294"/>
      <c r="Q1411" s="294"/>
      <c r="R1411" s="294"/>
      <c r="S1411" s="294"/>
      <c r="T1411" s="294"/>
      <c r="U1411" s="294"/>
      <c r="V1411" s="294"/>
      <c r="W1411" s="294"/>
      <c r="X1411" s="294"/>
      <c r="Y1411" s="294"/>
      <c r="Z1411" s="294"/>
      <c r="AA1411" s="294"/>
      <c r="AB1411" s="294"/>
      <c r="AC1411" s="294"/>
      <c r="AD1411" s="294"/>
      <c r="AE1411" s="294"/>
      <c r="AF1411" s="294"/>
      <c r="AG1411" s="294"/>
    </row>
    <row r="1412" spans="2:33" x14ac:dyDescent="0.25">
      <c r="B1412" s="294"/>
      <c r="C1412" s="294"/>
      <c r="D1412" s="294"/>
      <c r="E1412" s="294"/>
      <c r="F1412" s="294"/>
      <c r="G1412" s="294"/>
      <c r="H1412" s="294"/>
      <c r="I1412" s="294"/>
      <c r="J1412" s="294"/>
      <c r="L1412" s="295"/>
      <c r="M1412" s="294"/>
      <c r="O1412" s="294"/>
      <c r="P1412" s="294"/>
      <c r="Q1412" s="294"/>
      <c r="R1412" s="294"/>
      <c r="S1412" s="294"/>
      <c r="T1412" s="294"/>
      <c r="U1412" s="294"/>
      <c r="V1412" s="294"/>
      <c r="W1412" s="294"/>
      <c r="X1412" s="294"/>
      <c r="Y1412" s="294"/>
      <c r="Z1412" s="294"/>
      <c r="AA1412" s="294"/>
      <c r="AB1412" s="294"/>
      <c r="AC1412" s="294"/>
      <c r="AD1412" s="294"/>
      <c r="AE1412" s="294"/>
      <c r="AF1412" s="294"/>
      <c r="AG1412" s="294"/>
    </row>
    <row r="1413" spans="2:33" x14ac:dyDescent="0.25">
      <c r="B1413" s="294"/>
      <c r="C1413" s="294"/>
      <c r="D1413" s="294"/>
      <c r="E1413" s="294"/>
      <c r="F1413" s="294"/>
      <c r="G1413" s="294"/>
      <c r="H1413" s="294"/>
      <c r="I1413" s="294"/>
      <c r="J1413" s="294"/>
      <c r="L1413" s="295"/>
      <c r="M1413" s="294"/>
      <c r="O1413" s="294"/>
      <c r="P1413" s="294"/>
      <c r="Q1413" s="294"/>
      <c r="R1413" s="294"/>
      <c r="S1413" s="294"/>
      <c r="T1413" s="294"/>
      <c r="U1413" s="294"/>
      <c r="V1413" s="294"/>
      <c r="W1413" s="294"/>
      <c r="X1413" s="294"/>
      <c r="Y1413" s="294"/>
      <c r="Z1413" s="294"/>
      <c r="AA1413" s="294"/>
      <c r="AB1413" s="294"/>
      <c r="AC1413" s="294"/>
      <c r="AD1413" s="294"/>
      <c r="AE1413" s="294"/>
      <c r="AF1413" s="294"/>
      <c r="AG1413" s="294"/>
    </row>
    <row r="1414" spans="2:33" x14ac:dyDescent="0.25">
      <c r="B1414" s="294"/>
      <c r="C1414" s="294"/>
      <c r="D1414" s="294"/>
      <c r="E1414" s="294"/>
      <c r="F1414" s="294"/>
      <c r="G1414" s="294"/>
      <c r="H1414" s="294"/>
      <c r="I1414" s="294"/>
      <c r="J1414" s="294"/>
      <c r="L1414" s="295"/>
      <c r="M1414" s="294"/>
      <c r="O1414" s="294"/>
      <c r="P1414" s="294"/>
      <c r="Q1414" s="294"/>
      <c r="R1414" s="294"/>
      <c r="S1414" s="294"/>
      <c r="T1414" s="294"/>
      <c r="U1414" s="294"/>
      <c r="V1414" s="294"/>
      <c r="W1414" s="294"/>
      <c r="X1414" s="294"/>
      <c r="Y1414" s="294"/>
      <c r="Z1414" s="294"/>
      <c r="AA1414" s="294"/>
      <c r="AB1414" s="294"/>
      <c r="AC1414" s="294"/>
      <c r="AD1414" s="294"/>
      <c r="AE1414" s="294"/>
      <c r="AF1414" s="294"/>
      <c r="AG1414" s="294"/>
    </row>
    <row r="1415" spans="2:33" x14ac:dyDescent="0.25">
      <c r="B1415" s="294"/>
      <c r="C1415" s="294"/>
      <c r="D1415" s="294"/>
      <c r="E1415" s="294"/>
      <c r="F1415" s="294"/>
      <c r="G1415" s="294"/>
      <c r="H1415" s="294"/>
      <c r="I1415" s="294"/>
      <c r="J1415" s="294"/>
      <c r="L1415" s="295"/>
      <c r="M1415" s="294"/>
      <c r="O1415" s="294"/>
      <c r="P1415" s="294"/>
      <c r="Q1415" s="294"/>
      <c r="R1415" s="294"/>
      <c r="S1415" s="294"/>
      <c r="T1415" s="294"/>
      <c r="U1415" s="294"/>
      <c r="V1415" s="294"/>
      <c r="W1415" s="294"/>
      <c r="X1415" s="294"/>
      <c r="Y1415" s="294"/>
      <c r="Z1415" s="294"/>
      <c r="AA1415" s="294"/>
      <c r="AB1415" s="294"/>
      <c r="AC1415" s="294"/>
      <c r="AD1415" s="294"/>
      <c r="AE1415" s="294"/>
      <c r="AF1415" s="294"/>
      <c r="AG1415" s="294"/>
    </row>
    <row r="1416" spans="2:33" x14ac:dyDescent="0.25">
      <c r="B1416" s="294"/>
      <c r="C1416" s="294"/>
      <c r="D1416" s="294"/>
      <c r="E1416" s="294"/>
      <c r="F1416" s="294"/>
      <c r="G1416" s="294"/>
      <c r="H1416" s="294"/>
      <c r="I1416" s="294"/>
      <c r="J1416" s="294"/>
      <c r="L1416" s="295"/>
      <c r="M1416" s="294"/>
      <c r="O1416" s="294"/>
      <c r="P1416" s="294"/>
      <c r="Q1416" s="294"/>
      <c r="R1416" s="294"/>
      <c r="S1416" s="294"/>
      <c r="T1416" s="294"/>
      <c r="U1416" s="294"/>
      <c r="V1416" s="294"/>
      <c r="W1416" s="294"/>
      <c r="X1416" s="294"/>
      <c r="Y1416" s="294"/>
      <c r="Z1416" s="294"/>
      <c r="AA1416" s="294"/>
      <c r="AB1416" s="294"/>
      <c r="AC1416" s="294"/>
      <c r="AD1416" s="294"/>
      <c r="AE1416" s="294"/>
      <c r="AF1416" s="294"/>
      <c r="AG1416" s="294"/>
    </row>
    <row r="1417" spans="2:33" x14ac:dyDescent="0.25">
      <c r="B1417" s="294"/>
      <c r="C1417" s="294"/>
      <c r="D1417" s="294"/>
      <c r="E1417" s="294"/>
      <c r="F1417" s="294"/>
      <c r="G1417" s="294"/>
      <c r="H1417" s="294"/>
      <c r="I1417" s="294"/>
      <c r="J1417" s="294"/>
      <c r="L1417" s="295"/>
      <c r="M1417" s="294"/>
      <c r="O1417" s="294"/>
      <c r="P1417" s="294"/>
      <c r="Q1417" s="294"/>
      <c r="R1417" s="294"/>
      <c r="S1417" s="294"/>
      <c r="T1417" s="294"/>
      <c r="U1417" s="294"/>
      <c r="V1417" s="294"/>
      <c r="W1417" s="294"/>
      <c r="X1417" s="294"/>
      <c r="Y1417" s="294"/>
      <c r="Z1417" s="294"/>
      <c r="AA1417" s="294"/>
      <c r="AB1417" s="294"/>
      <c r="AC1417" s="294"/>
      <c r="AD1417" s="294"/>
      <c r="AE1417" s="294"/>
      <c r="AF1417" s="294"/>
      <c r="AG1417" s="294"/>
    </row>
    <row r="1418" spans="2:33" x14ac:dyDescent="0.25">
      <c r="B1418" s="294"/>
      <c r="C1418" s="294"/>
      <c r="D1418" s="294"/>
      <c r="E1418" s="294"/>
      <c r="F1418" s="294"/>
      <c r="G1418" s="294"/>
      <c r="H1418" s="294"/>
      <c r="I1418" s="294"/>
      <c r="J1418" s="294"/>
      <c r="L1418" s="295"/>
      <c r="M1418" s="294"/>
      <c r="O1418" s="294"/>
      <c r="P1418" s="294"/>
      <c r="Q1418" s="294"/>
      <c r="R1418" s="294"/>
      <c r="S1418" s="294"/>
      <c r="T1418" s="294"/>
      <c r="U1418" s="294"/>
      <c r="V1418" s="294"/>
      <c r="W1418" s="294"/>
      <c r="X1418" s="294"/>
      <c r="Y1418" s="294"/>
      <c r="Z1418" s="294"/>
      <c r="AA1418" s="294"/>
      <c r="AB1418" s="294"/>
      <c r="AC1418" s="294"/>
      <c r="AD1418" s="294"/>
      <c r="AE1418" s="294"/>
      <c r="AF1418" s="294"/>
      <c r="AG1418" s="294"/>
    </row>
    <row r="1419" spans="2:33" x14ac:dyDescent="0.25">
      <c r="B1419" s="294"/>
      <c r="C1419" s="294"/>
      <c r="D1419" s="294"/>
      <c r="E1419" s="294"/>
      <c r="F1419" s="294"/>
      <c r="G1419" s="294"/>
      <c r="H1419" s="294"/>
      <c r="I1419" s="294"/>
      <c r="J1419" s="294"/>
      <c r="L1419" s="295"/>
      <c r="M1419" s="294"/>
      <c r="O1419" s="294"/>
      <c r="P1419" s="294"/>
      <c r="Q1419" s="294"/>
      <c r="R1419" s="294"/>
      <c r="S1419" s="294"/>
      <c r="T1419" s="294"/>
      <c r="U1419" s="294"/>
      <c r="V1419" s="294"/>
      <c r="W1419" s="294"/>
      <c r="X1419" s="294"/>
      <c r="Y1419" s="294"/>
      <c r="Z1419" s="294"/>
      <c r="AA1419" s="294"/>
      <c r="AB1419" s="294"/>
      <c r="AC1419" s="294"/>
      <c r="AD1419" s="294"/>
      <c r="AE1419" s="294"/>
      <c r="AF1419" s="294"/>
      <c r="AG1419" s="294"/>
    </row>
    <row r="1420" spans="2:33" x14ac:dyDescent="0.25">
      <c r="B1420" s="294"/>
      <c r="C1420" s="294"/>
      <c r="D1420" s="294"/>
      <c r="E1420" s="294"/>
      <c r="F1420" s="294"/>
      <c r="G1420" s="294"/>
      <c r="H1420" s="294"/>
      <c r="I1420" s="294"/>
      <c r="J1420" s="294"/>
      <c r="L1420" s="295"/>
      <c r="M1420" s="294"/>
      <c r="O1420" s="294"/>
      <c r="P1420" s="294"/>
      <c r="Q1420" s="294"/>
      <c r="R1420" s="294"/>
      <c r="S1420" s="294"/>
      <c r="T1420" s="294"/>
      <c r="U1420" s="294"/>
      <c r="V1420" s="294"/>
      <c r="W1420" s="294"/>
      <c r="X1420" s="294"/>
      <c r="Y1420" s="294"/>
      <c r="Z1420" s="294"/>
      <c r="AA1420" s="294"/>
      <c r="AB1420" s="294"/>
      <c r="AC1420" s="294"/>
      <c r="AD1420" s="294"/>
      <c r="AE1420" s="294"/>
      <c r="AF1420" s="294"/>
      <c r="AG1420" s="294"/>
    </row>
    <row r="1421" spans="2:33" x14ac:dyDescent="0.25">
      <c r="B1421" s="294"/>
      <c r="C1421" s="294"/>
      <c r="D1421" s="294"/>
      <c r="E1421" s="294"/>
      <c r="F1421" s="294"/>
      <c r="G1421" s="294"/>
      <c r="H1421" s="294"/>
      <c r="I1421" s="294"/>
      <c r="J1421" s="294"/>
      <c r="L1421" s="295"/>
      <c r="M1421" s="294"/>
      <c r="O1421" s="294"/>
      <c r="P1421" s="294"/>
      <c r="Q1421" s="294"/>
      <c r="R1421" s="294"/>
      <c r="S1421" s="294"/>
      <c r="T1421" s="294"/>
      <c r="U1421" s="294"/>
      <c r="V1421" s="294"/>
      <c r="W1421" s="294"/>
      <c r="X1421" s="294"/>
      <c r="Y1421" s="294"/>
      <c r="Z1421" s="294"/>
      <c r="AA1421" s="294"/>
      <c r="AB1421" s="294"/>
      <c r="AC1421" s="294"/>
      <c r="AD1421" s="294"/>
      <c r="AE1421" s="294"/>
      <c r="AF1421" s="294"/>
      <c r="AG1421" s="294"/>
    </row>
    <row r="1422" spans="2:33" x14ac:dyDescent="0.25">
      <c r="B1422" s="294"/>
      <c r="C1422" s="294"/>
      <c r="D1422" s="294"/>
      <c r="E1422" s="294"/>
      <c r="F1422" s="294"/>
      <c r="G1422" s="294"/>
      <c r="H1422" s="294"/>
      <c r="I1422" s="294"/>
      <c r="J1422" s="294"/>
      <c r="L1422" s="295"/>
      <c r="M1422" s="294"/>
      <c r="O1422" s="294"/>
      <c r="P1422" s="294"/>
      <c r="Q1422" s="294"/>
      <c r="R1422" s="294"/>
      <c r="S1422" s="294"/>
      <c r="T1422" s="294"/>
      <c r="U1422" s="294"/>
      <c r="V1422" s="294"/>
      <c r="W1422" s="294"/>
      <c r="X1422" s="294"/>
      <c r="Y1422" s="294"/>
      <c r="Z1422" s="294"/>
      <c r="AA1422" s="294"/>
      <c r="AB1422" s="294"/>
      <c r="AC1422" s="294"/>
      <c r="AD1422" s="294"/>
      <c r="AE1422" s="294"/>
      <c r="AF1422" s="294"/>
      <c r="AG1422" s="294"/>
    </row>
    <row r="1423" spans="2:33" x14ac:dyDescent="0.25">
      <c r="B1423" s="294"/>
      <c r="C1423" s="294"/>
      <c r="D1423" s="294"/>
      <c r="E1423" s="294"/>
      <c r="F1423" s="294"/>
      <c r="G1423" s="294"/>
      <c r="H1423" s="294"/>
      <c r="I1423" s="294"/>
      <c r="J1423" s="294"/>
      <c r="L1423" s="295"/>
      <c r="M1423" s="294"/>
      <c r="O1423" s="294"/>
      <c r="P1423" s="294"/>
      <c r="Q1423" s="294"/>
      <c r="R1423" s="294"/>
      <c r="S1423" s="294"/>
      <c r="T1423" s="294"/>
      <c r="U1423" s="294"/>
      <c r="V1423" s="294"/>
      <c r="W1423" s="294"/>
      <c r="X1423" s="294"/>
      <c r="Y1423" s="294"/>
      <c r="Z1423" s="294"/>
      <c r="AA1423" s="294"/>
      <c r="AB1423" s="294"/>
      <c r="AC1423" s="294"/>
      <c r="AD1423" s="294"/>
      <c r="AE1423" s="294"/>
      <c r="AF1423" s="294"/>
      <c r="AG1423" s="294"/>
    </row>
    <row r="1424" spans="2:33" x14ac:dyDescent="0.25">
      <c r="B1424" s="294"/>
      <c r="C1424" s="294"/>
      <c r="D1424" s="294"/>
      <c r="E1424" s="294"/>
      <c r="F1424" s="294"/>
      <c r="G1424" s="294"/>
      <c r="H1424" s="294"/>
      <c r="I1424" s="294"/>
      <c r="J1424" s="294"/>
      <c r="L1424" s="295"/>
      <c r="M1424" s="294"/>
      <c r="O1424" s="294"/>
      <c r="P1424" s="294"/>
      <c r="Q1424" s="294"/>
      <c r="R1424" s="294"/>
      <c r="S1424" s="294"/>
      <c r="T1424" s="294"/>
      <c r="U1424" s="294"/>
      <c r="V1424" s="294"/>
      <c r="W1424" s="294"/>
      <c r="X1424" s="294"/>
      <c r="Y1424" s="294"/>
      <c r="Z1424" s="294"/>
      <c r="AA1424" s="294"/>
      <c r="AB1424" s="294"/>
      <c r="AC1424" s="294"/>
      <c r="AD1424" s="294"/>
      <c r="AE1424" s="294"/>
      <c r="AF1424" s="294"/>
      <c r="AG1424" s="294"/>
    </row>
    <row r="1425" spans="2:33" x14ac:dyDescent="0.25">
      <c r="B1425" s="294"/>
      <c r="C1425" s="294"/>
      <c r="D1425" s="294"/>
      <c r="E1425" s="294"/>
      <c r="F1425" s="294"/>
      <c r="G1425" s="294"/>
      <c r="H1425" s="294"/>
      <c r="I1425" s="294"/>
      <c r="J1425" s="294"/>
      <c r="L1425" s="295"/>
      <c r="M1425" s="294"/>
      <c r="O1425" s="294"/>
      <c r="P1425" s="294"/>
      <c r="Q1425" s="294"/>
      <c r="R1425" s="294"/>
      <c r="S1425" s="294"/>
      <c r="T1425" s="294"/>
      <c r="U1425" s="294"/>
      <c r="V1425" s="294"/>
      <c r="W1425" s="294"/>
      <c r="X1425" s="294"/>
      <c r="Y1425" s="294"/>
      <c r="Z1425" s="294"/>
      <c r="AA1425" s="294"/>
      <c r="AB1425" s="294"/>
      <c r="AC1425" s="294"/>
      <c r="AD1425" s="294"/>
      <c r="AE1425" s="294"/>
      <c r="AF1425" s="294"/>
      <c r="AG1425" s="294"/>
    </row>
    <row r="1426" spans="2:33" x14ac:dyDescent="0.25">
      <c r="B1426" s="294"/>
      <c r="C1426" s="294"/>
      <c r="D1426" s="294"/>
      <c r="E1426" s="294"/>
      <c r="F1426" s="294"/>
      <c r="G1426" s="294"/>
      <c r="H1426" s="294"/>
      <c r="I1426" s="294"/>
      <c r="J1426" s="294"/>
      <c r="L1426" s="295"/>
      <c r="M1426" s="294"/>
      <c r="O1426" s="294"/>
      <c r="P1426" s="294"/>
      <c r="Q1426" s="294"/>
      <c r="R1426" s="294"/>
      <c r="S1426" s="294"/>
      <c r="T1426" s="294"/>
      <c r="U1426" s="294"/>
      <c r="V1426" s="294"/>
      <c r="W1426" s="294"/>
      <c r="X1426" s="294"/>
      <c r="Y1426" s="294"/>
      <c r="Z1426" s="294"/>
      <c r="AA1426" s="294"/>
      <c r="AB1426" s="294"/>
      <c r="AC1426" s="294"/>
      <c r="AD1426" s="294"/>
      <c r="AE1426" s="294"/>
      <c r="AF1426" s="294"/>
      <c r="AG1426" s="294"/>
    </row>
    <row r="1427" spans="2:33" x14ac:dyDescent="0.25">
      <c r="B1427" s="294"/>
      <c r="C1427" s="294"/>
      <c r="D1427" s="294"/>
      <c r="E1427" s="294"/>
      <c r="F1427" s="294"/>
      <c r="G1427" s="294"/>
      <c r="H1427" s="294"/>
      <c r="I1427" s="294"/>
      <c r="J1427" s="294"/>
      <c r="L1427" s="295"/>
      <c r="M1427" s="294"/>
      <c r="O1427" s="294"/>
      <c r="P1427" s="294"/>
      <c r="Q1427" s="294"/>
      <c r="R1427" s="294"/>
      <c r="S1427" s="294"/>
      <c r="T1427" s="294"/>
      <c r="U1427" s="294"/>
      <c r="V1427" s="294"/>
      <c r="W1427" s="294"/>
      <c r="X1427" s="294"/>
      <c r="Y1427" s="294"/>
      <c r="Z1427" s="294"/>
      <c r="AA1427" s="294"/>
      <c r="AB1427" s="294"/>
      <c r="AC1427" s="294"/>
      <c r="AD1427" s="294"/>
      <c r="AE1427" s="294"/>
      <c r="AF1427" s="294"/>
      <c r="AG1427" s="294"/>
    </row>
    <row r="1428" spans="2:33" x14ac:dyDescent="0.25">
      <c r="B1428" s="294"/>
      <c r="C1428" s="294"/>
      <c r="D1428" s="294"/>
      <c r="E1428" s="294"/>
      <c r="F1428" s="294"/>
      <c r="G1428" s="294"/>
      <c r="H1428" s="294"/>
      <c r="I1428" s="294"/>
      <c r="J1428" s="294"/>
      <c r="L1428" s="295"/>
      <c r="M1428" s="294"/>
      <c r="O1428" s="294"/>
      <c r="P1428" s="294"/>
      <c r="Q1428" s="294"/>
      <c r="R1428" s="294"/>
      <c r="S1428" s="294"/>
      <c r="T1428" s="294"/>
      <c r="U1428" s="294"/>
      <c r="V1428" s="294"/>
      <c r="W1428" s="294"/>
      <c r="X1428" s="294"/>
      <c r="Y1428" s="294"/>
      <c r="Z1428" s="294"/>
      <c r="AA1428" s="294"/>
      <c r="AB1428" s="294"/>
      <c r="AC1428" s="294"/>
      <c r="AD1428" s="294"/>
      <c r="AE1428" s="294"/>
      <c r="AF1428" s="294"/>
      <c r="AG1428" s="294"/>
    </row>
    <row r="1429" spans="2:33" x14ac:dyDescent="0.25">
      <c r="B1429" s="294"/>
      <c r="C1429" s="294"/>
      <c r="D1429" s="294"/>
      <c r="E1429" s="294"/>
      <c r="F1429" s="294"/>
      <c r="G1429" s="294"/>
      <c r="H1429" s="294"/>
      <c r="I1429" s="294"/>
      <c r="J1429" s="294"/>
      <c r="L1429" s="295"/>
      <c r="M1429" s="294"/>
      <c r="O1429" s="294"/>
      <c r="P1429" s="294"/>
      <c r="Q1429" s="294"/>
      <c r="R1429" s="294"/>
      <c r="S1429" s="294"/>
      <c r="T1429" s="294"/>
      <c r="U1429" s="294"/>
      <c r="V1429" s="294"/>
      <c r="W1429" s="294"/>
      <c r="X1429" s="294"/>
      <c r="Y1429" s="294"/>
      <c r="Z1429" s="294"/>
      <c r="AA1429" s="294"/>
      <c r="AB1429" s="294"/>
      <c r="AC1429" s="294"/>
      <c r="AD1429" s="294"/>
      <c r="AE1429" s="294"/>
      <c r="AF1429" s="294"/>
      <c r="AG1429" s="294"/>
    </row>
    <row r="1430" spans="2:33" x14ac:dyDescent="0.25">
      <c r="B1430" s="294"/>
      <c r="C1430" s="294"/>
      <c r="D1430" s="294"/>
      <c r="E1430" s="294"/>
      <c r="F1430" s="294"/>
      <c r="G1430" s="294"/>
      <c r="H1430" s="294"/>
      <c r="I1430" s="294"/>
      <c r="J1430" s="294"/>
      <c r="L1430" s="295"/>
      <c r="M1430" s="294"/>
      <c r="O1430" s="294"/>
      <c r="P1430" s="294"/>
      <c r="Q1430" s="294"/>
      <c r="R1430" s="294"/>
      <c r="S1430" s="294"/>
      <c r="T1430" s="294"/>
      <c r="U1430" s="294"/>
      <c r="V1430" s="294"/>
      <c r="W1430" s="294"/>
      <c r="X1430" s="294"/>
      <c r="Y1430" s="294"/>
      <c r="Z1430" s="294"/>
      <c r="AA1430" s="294"/>
      <c r="AB1430" s="294"/>
      <c r="AC1430" s="294"/>
      <c r="AD1430" s="294"/>
      <c r="AE1430" s="294"/>
      <c r="AF1430" s="294"/>
      <c r="AG1430" s="294"/>
    </row>
    <row r="1431" spans="2:33" x14ac:dyDescent="0.25">
      <c r="B1431" s="294"/>
      <c r="C1431" s="294"/>
      <c r="D1431" s="294"/>
      <c r="E1431" s="294"/>
      <c r="F1431" s="294"/>
      <c r="G1431" s="294"/>
      <c r="H1431" s="294"/>
      <c r="I1431" s="294"/>
      <c r="J1431" s="294"/>
      <c r="L1431" s="295"/>
      <c r="M1431" s="294"/>
      <c r="O1431" s="294"/>
      <c r="P1431" s="294"/>
      <c r="Q1431" s="294"/>
      <c r="R1431" s="294"/>
      <c r="S1431" s="294"/>
      <c r="T1431" s="294"/>
      <c r="U1431" s="294"/>
      <c r="V1431" s="294"/>
      <c r="W1431" s="294"/>
      <c r="X1431" s="294"/>
      <c r="Y1431" s="294"/>
      <c r="Z1431" s="294"/>
      <c r="AA1431" s="294"/>
      <c r="AB1431" s="294"/>
      <c r="AC1431" s="294"/>
      <c r="AD1431" s="294"/>
      <c r="AE1431" s="294"/>
      <c r="AF1431" s="294"/>
      <c r="AG1431" s="294"/>
    </row>
    <row r="1432" spans="2:33" x14ac:dyDescent="0.25">
      <c r="B1432" s="294"/>
      <c r="C1432" s="294"/>
      <c r="D1432" s="294"/>
      <c r="E1432" s="294"/>
      <c r="F1432" s="294"/>
      <c r="G1432" s="294"/>
      <c r="H1432" s="294"/>
      <c r="I1432" s="294"/>
      <c r="J1432" s="294"/>
      <c r="L1432" s="295"/>
      <c r="M1432" s="294"/>
      <c r="O1432" s="294"/>
      <c r="P1432" s="294"/>
      <c r="Q1432" s="294"/>
      <c r="R1432" s="294"/>
      <c r="S1432" s="294"/>
      <c r="T1432" s="294"/>
      <c r="U1432" s="294"/>
      <c r="V1432" s="294"/>
      <c r="W1432" s="294"/>
      <c r="X1432" s="294"/>
      <c r="Y1432" s="294"/>
      <c r="Z1432" s="294"/>
      <c r="AA1432" s="294"/>
      <c r="AB1432" s="294"/>
      <c r="AC1432" s="294"/>
      <c r="AD1432" s="294"/>
      <c r="AE1432" s="294"/>
      <c r="AF1432" s="294"/>
      <c r="AG1432" s="294"/>
    </row>
    <row r="1433" spans="2:33" x14ac:dyDescent="0.25">
      <c r="B1433" s="294"/>
      <c r="C1433" s="294"/>
      <c r="D1433" s="294"/>
      <c r="E1433" s="294"/>
      <c r="F1433" s="294"/>
      <c r="G1433" s="294"/>
      <c r="H1433" s="294"/>
      <c r="I1433" s="294"/>
      <c r="J1433" s="294"/>
      <c r="L1433" s="295"/>
      <c r="M1433" s="294"/>
      <c r="O1433" s="294"/>
      <c r="P1433" s="294"/>
      <c r="Q1433" s="294"/>
      <c r="R1433" s="294"/>
      <c r="S1433" s="294"/>
      <c r="T1433" s="294"/>
      <c r="U1433" s="294"/>
      <c r="V1433" s="294"/>
      <c r="W1433" s="294"/>
      <c r="X1433" s="294"/>
      <c r="Y1433" s="294"/>
      <c r="Z1433" s="294"/>
      <c r="AA1433" s="294"/>
      <c r="AB1433" s="294"/>
      <c r="AC1433" s="294"/>
      <c r="AD1433" s="294"/>
      <c r="AE1433" s="294"/>
      <c r="AF1433" s="294"/>
      <c r="AG1433" s="294"/>
    </row>
    <row r="1434" spans="2:33" x14ac:dyDescent="0.25">
      <c r="B1434" s="294"/>
      <c r="C1434" s="294"/>
      <c r="D1434" s="294"/>
      <c r="E1434" s="294"/>
      <c r="F1434" s="294"/>
      <c r="G1434" s="294"/>
      <c r="H1434" s="294"/>
      <c r="I1434" s="294"/>
      <c r="J1434" s="294"/>
      <c r="L1434" s="295"/>
      <c r="M1434" s="294"/>
      <c r="O1434" s="294"/>
      <c r="P1434" s="294"/>
      <c r="Q1434" s="294"/>
      <c r="R1434" s="294"/>
      <c r="S1434" s="294"/>
      <c r="T1434" s="294"/>
      <c r="U1434" s="294"/>
      <c r="V1434" s="294"/>
      <c r="W1434" s="294"/>
      <c r="X1434" s="294"/>
      <c r="Y1434" s="294"/>
      <c r="Z1434" s="294"/>
      <c r="AA1434" s="294"/>
      <c r="AB1434" s="294"/>
      <c r="AC1434" s="294"/>
      <c r="AD1434" s="294"/>
      <c r="AE1434" s="294"/>
      <c r="AF1434" s="294"/>
      <c r="AG1434" s="294"/>
    </row>
    <row r="1435" spans="2:33" x14ac:dyDescent="0.25">
      <c r="B1435" s="294"/>
      <c r="C1435" s="294"/>
      <c r="D1435" s="294"/>
      <c r="E1435" s="294"/>
      <c r="F1435" s="294"/>
      <c r="G1435" s="294"/>
      <c r="H1435" s="294"/>
      <c r="I1435" s="294"/>
      <c r="J1435" s="294"/>
      <c r="L1435" s="295"/>
      <c r="M1435" s="294"/>
      <c r="O1435" s="294"/>
      <c r="P1435" s="294"/>
      <c r="Q1435" s="294"/>
      <c r="R1435" s="294"/>
      <c r="S1435" s="294"/>
      <c r="T1435" s="294"/>
      <c r="U1435" s="294"/>
      <c r="V1435" s="294"/>
      <c r="W1435" s="294"/>
      <c r="X1435" s="294"/>
      <c r="Y1435" s="294"/>
      <c r="Z1435" s="294"/>
      <c r="AA1435" s="294"/>
      <c r="AB1435" s="294"/>
      <c r="AC1435" s="294"/>
      <c r="AD1435" s="294"/>
      <c r="AE1435" s="294"/>
      <c r="AF1435" s="294"/>
      <c r="AG1435" s="294"/>
    </row>
    <row r="1436" spans="2:33" x14ac:dyDescent="0.25">
      <c r="B1436" s="294"/>
      <c r="C1436" s="294"/>
      <c r="D1436" s="294"/>
      <c r="E1436" s="294"/>
      <c r="F1436" s="294"/>
      <c r="G1436" s="294"/>
      <c r="H1436" s="294"/>
      <c r="I1436" s="294"/>
      <c r="J1436" s="294"/>
      <c r="L1436" s="295"/>
      <c r="M1436" s="294"/>
      <c r="O1436" s="294"/>
      <c r="P1436" s="294"/>
      <c r="Q1436" s="294"/>
      <c r="R1436" s="294"/>
      <c r="S1436" s="294"/>
      <c r="T1436" s="294"/>
      <c r="U1436" s="294"/>
      <c r="V1436" s="294"/>
      <c r="W1436" s="294"/>
      <c r="X1436" s="294"/>
      <c r="Y1436" s="294"/>
      <c r="Z1436" s="294"/>
      <c r="AA1436" s="294"/>
      <c r="AB1436" s="294"/>
      <c r="AC1436" s="294"/>
      <c r="AD1436" s="294"/>
      <c r="AE1436" s="294"/>
      <c r="AF1436" s="294"/>
      <c r="AG1436" s="294"/>
    </row>
    <row r="1437" spans="2:33" x14ac:dyDescent="0.25">
      <c r="B1437" s="294"/>
      <c r="C1437" s="294"/>
      <c r="D1437" s="294"/>
      <c r="E1437" s="294"/>
      <c r="F1437" s="294"/>
      <c r="G1437" s="294"/>
      <c r="H1437" s="294"/>
      <c r="I1437" s="294"/>
      <c r="J1437" s="294"/>
      <c r="L1437" s="295"/>
      <c r="M1437" s="294"/>
      <c r="O1437" s="294"/>
      <c r="P1437" s="294"/>
      <c r="Q1437" s="294"/>
      <c r="R1437" s="294"/>
      <c r="S1437" s="294"/>
      <c r="T1437" s="294"/>
      <c r="U1437" s="294"/>
      <c r="V1437" s="294"/>
      <c r="W1437" s="294"/>
      <c r="X1437" s="294"/>
      <c r="Y1437" s="294"/>
      <c r="Z1437" s="294"/>
      <c r="AA1437" s="294"/>
      <c r="AB1437" s="294"/>
      <c r="AC1437" s="294"/>
      <c r="AD1437" s="294"/>
      <c r="AE1437" s="294"/>
      <c r="AF1437" s="294"/>
      <c r="AG1437" s="294"/>
    </row>
    <row r="1438" spans="2:33" x14ac:dyDescent="0.25">
      <c r="B1438" s="294"/>
      <c r="C1438" s="294"/>
      <c r="D1438" s="294"/>
      <c r="E1438" s="294"/>
      <c r="F1438" s="294"/>
      <c r="G1438" s="294"/>
      <c r="H1438" s="294"/>
      <c r="I1438" s="294"/>
      <c r="J1438" s="294"/>
      <c r="L1438" s="295"/>
      <c r="M1438" s="294"/>
      <c r="O1438" s="294"/>
      <c r="P1438" s="294"/>
      <c r="Q1438" s="294"/>
      <c r="R1438" s="294"/>
      <c r="S1438" s="294"/>
      <c r="T1438" s="294"/>
      <c r="U1438" s="294"/>
      <c r="V1438" s="294"/>
      <c r="W1438" s="294"/>
      <c r="X1438" s="294"/>
      <c r="Y1438" s="294"/>
      <c r="Z1438" s="294"/>
      <c r="AA1438" s="294"/>
      <c r="AB1438" s="294"/>
      <c r="AC1438" s="294"/>
      <c r="AD1438" s="294"/>
      <c r="AE1438" s="294"/>
      <c r="AF1438" s="294"/>
      <c r="AG1438" s="294"/>
    </row>
    <row r="1439" spans="2:33" x14ac:dyDescent="0.25">
      <c r="B1439" s="294"/>
      <c r="C1439" s="294"/>
      <c r="D1439" s="294"/>
      <c r="E1439" s="294"/>
      <c r="F1439" s="294"/>
      <c r="G1439" s="294"/>
      <c r="H1439" s="294"/>
      <c r="I1439" s="294"/>
      <c r="J1439" s="294"/>
      <c r="L1439" s="295"/>
      <c r="M1439" s="294"/>
      <c r="O1439" s="294"/>
      <c r="P1439" s="294"/>
      <c r="Q1439" s="294"/>
      <c r="R1439" s="294"/>
      <c r="S1439" s="294"/>
      <c r="T1439" s="294"/>
      <c r="U1439" s="294"/>
      <c r="V1439" s="294"/>
      <c r="W1439" s="294"/>
      <c r="X1439" s="294"/>
      <c r="Y1439" s="294"/>
      <c r="Z1439" s="294"/>
      <c r="AA1439" s="294"/>
      <c r="AB1439" s="294"/>
      <c r="AC1439" s="294"/>
      <c r="AD1439" s="294"/>
      <c r="AE1439" s="294"/>
      <c r="AF1439" s="294"/>
      <c r="AG1439" s="294"/>
    </row>
    <row r="1440" spans="2:33" x14ac:dyDescent="0.25">
      <c r="B1440" s="294"/>
      <c r="C1440" s="294"/>
      <c r="D1440" s="294"/>
      <c r="E1440" s="294"/>
      <c r="F1440" s="294"/>
      <c r="G1440" s="294"/>
      <c r="H1440" s="294"/>
      <c r="I1440" s="294"/>
      <c r="J1440" s="294"/>
      <c r="L1440" s="295"/>
      <c r="M1440" s="294"/>
      <c r="O1440" s="294"/>
      <c r="P1440" s="294"/>
      <c r="Q1440" s="294"/>
      <c r="R1440" s="294"/>
      <c r="S1440" s="294"/>
      <c r="T1440" s="294"/>
      <c r="U1440" s="294"/>
      <c r="V1440" s="294"/>
      <c r="W1440" s="294"/>
      <c r="X1440" s="294"/>
      <c r="Y1440" s="294"/>
      <c r="Z1440" s="294"/>
      <c r="AA1440" s="294"/>
      <c r="AB1440" s="294"/>
      <c r="AC1440" s="294"/>
      <c r="AD1440" s="294"/>
      <c r="AE1440" s="294"/>
      <c r="AF1440" s="294"/>
      <c r="AG1440" s="294"/>
    </row>
    <row r="1441" spans="2:33" x14ac:dyDescent="0.25">
      <c r="B1441" s="294"/>
      <c r="C1441" s="294"/>
      <c r="D1441" s="294"/>
      <c r="E1441" s="294"/>
      <c r="F1441" s="294"/>
      <c r="G1441" s="294"/>
      <c r="H1441" s="294"/>
      <c r="I1441" s="294"/>
      <c r="J1441" s="294"/>
      <c r="L1441" s="295"/>
      <c r="M1441" s="294"/>
      <c r="O1441" s="294"/>
      <c r="P1441" s="294"/>
      <c r="Q1441" s="294"/>
      <c r="R1441" s="294"/>
      <c r="S1441" s="294"/>
      <c r="T1441" s="294"/>
      <c r="U1441" s="294"/>
      <c r="V1441" s="294"/>
      <c r="W1441" s="294"/>
      <c r="X1441" s="294"/>
      <c r="Y1441" s="294"/>
      <c r="Z1441" s="294"/>
      <c r="AA1441" s="294"/>
      <c r="AB1441" s="294"/>
      <c r="AC1441" s="294"/>
      <c r="AD1441" s="294"/>
      <c r="AE1441" s="294"/>
      <c r="AF1441" s="294"/>
      <c r="AG1441" s="294"/>
    </row>
    <row r="1442" spans="2:33" x14ac:dyDescent="0.25">
      <c r="B1442" s="294"/>
      <c r="C1442" s="294"/>
      <c r="D1442" s="294"/>
      <c r="E1442" s="294"/>
      <c r="F1442" s="294"/>
      <c r="G1442" s="294"/>
      <c r="H1442" s="294"/>
      <c r="I1442" s="294"/>
      <c r="J1442" s="294"/>
      <c r="L1442" s="295"/>
      <c r="M1442" s="294"/>
      <c r="O1442" s="294"/>
      <c r="P1442" s="294"/>
      <c r="Q1442" s="294"/>
      <c r="R1442" s="294"/>
      <c r="S1442" s="294"/>
      <c r="T1442" s="294"/>
      <c r="U1442" s="294"/>
      <c r="V1442" s="294"/>
      <c r="W1442" s="294"/>
      <c r="X1442" s="294"/>
      <c r="Y1442" s="294"/>
      <c r="Z1442" s="294"/>
      <c r="AA1442" s="294"/>
      <c r="AB1442" s="294"/>
      <c r="AC1442" s="294"/>
      <c r="AD1442" s="294"/>
      <c r="AE1442" s="294"/>
      <c r="AF1442" s="294"/>
      <c r="AG1442" s="294"/>
    </row>
    <row r="1443" spans="2:33" x14ac:dyDescent="0.25">
      <c r="B1443" s="294"/>
      <c r="C1443" s="294"/>
      <c r="D1443" s="294"/>
      <c r="E1443" s="294"/>
      <c r="F1443" s="294"/>
      <c r="G1443" s="294"/>
      <c r="H1443" s="294"/>
      <c r="I1443" s="294"/>
      <c r="J1443" s="294"/>
      <c r="L1443" s="295"/>
      <c r="M1443" s="294"/>
      <c r="O1443" s="294"/>
      <c r="P1443" s="294"/>
      <c r="Q1443" s="294"/>
      <c r="R1443" s="294"/>
      <c r="S1443" s="294"/>
      <c r="T1443" s="294"/>
      <c r="U1443" s="294"/>
      <c r="V1443" s="294"/>
      <c r="W1443" s="294"/>
      <c r="X1443" s="294"/>
      <c r="Y1443" s="294"/>
      <c r="Z1443" s="294"/>
      <c r="AA1443" s="294"/>
      <c r="AB1443" s="294"/>
      <c r="AC1443" s="294"/>
      <c r="AD1443" s="294"/>
      <c r="AE1443" s="294"/>
      <c r="AF1443" s="294"/>
      <c r="AG1443" s="294"/>
    </row>
    <row r="1444" spans="2:33" x14ac:dyDescent="0.25">
      <c r="B1444" s="294"/>
      <c r="C1444" s="294"/>
      <c r="D1444" s="294"/>
      <c r="E1444" s="294"/>
      <c r="F1444" s="294"/>
      <c r="G1444" s="294"/>
      <c r="H1444" s="294"/>
      <c r="I1444" s="294"/>
      <c r="J1444" s="294"/>
      <c r="L1444" s="295"/>
      <c r="M1444" s="294"/>
      <c r="O1444" s="294"/>
      <c r="P1444" s="294"/>
      <c r="Q1444" s="294"/>
      <c r="R1444" s="294"/>
      <c r="S1444" s="294"/>
      <c r="T1444" s="294"/>
      <c r="U1444" s="294"/>
      <c r="V1444" s="294"/>
      <c r="W1444" s="294"/>
      <c r="X1444" s="294"/>
      <c r="Y1444" s="294"/>
      <c r="Z1444" s="294"/>
      <c r="AA1444" s="294"/>
      <c r="AB1444" s="294"/>
      <c r="AC1444" s="294"/>
      <c r="AD1444" s="294"/>
      <c r="AE1444" s="294"/>
      <c r="AF1444" s="294"/>
      <c r="AG1444" s="294"/>
    </row>
    <row r="1445" spans="2:33" x14ac:dyDescent="0.25">
      <c r="B1445" s="294"/>
      <c r="C1445" s="294"/>
      <c r="D1445" s="294"/>
      <c r="E1445" s="294"/>
      <c r="F1445" s="294"/>
      <c r="G1445" s="294"/>
      <c r="H1445" s="294"/>
      <c r="I1445" s="294"/>
      <c r="J1445" s="294"/>
      <c r="L1445" s="295"/>
      <c r="M1445" s="294"/>
      <c r="O1445" s="294"/>
      <c r="P1445" s="294"/>
      <c r="Q1445" s="294"/>
      <c r="R1445" s="294"/>
      <c r="S1445" s="294"/>
      <c r="T1445" s="294"/>
      <c r="U1445" s="294"/>
      <c r="V1445" s="294"/>
      <c r="W1445" s="294"/>
      <c r="X1445" s="294"/>
      <c r="Y1445" s="294"/>
      <c r="Z1445" s="294"/>
      <c r="AA1445" s="294"/>
      <c r="AB1445" s="294"/>
      <c r="AC1445" s="294"/>
      <c r="AD1445" s="294"/>
      <c r="AE1445" s="294"/>
      <c r="AF1445" s="294"/>
      <c r="AG1445" s="294"/>
    </row>
    <row r="1446" spans="2:33" x14ac:dyDescent="0.25">
      <c r="B1446" s="294"/>
      <c r="C1446" s="294"/>
      <c r="D1446" s="294"/>
      <c r="E1446" s="294"/>
      <c r="F1446" s="294"/>
      <c r="G1446" s="294"/>
      <c r="H1446" s="294"/>
      <c r="I1446" s="294"/>
      <c r="J1446" s="294"/>
      <c r="L1446" s="295"/>
      <c r="M1446" s="294"/>
      <c r="O1446" s="294"/>
      <c r="P1446" s="294"/>
      <c r="Q1446" s="294"/>
      <c r="R1446" s="294"/>
      <c r="S1446" s="294"/>
      <c r="T1446" s="294"/>
      <c r="U1446" s="294"/>
      <c r="V1446" s="294"/>
      <c r="W1446" s="294"/>
      <c r="X1446" s="294"/>
      <c r="Y1446" s="294"/>
      <c r="Z1446" s="294"/>
      <c r="AA1446" s="294"/>
      <c r="AB1446" s="294"/>
      <c r="AC1446" s="294"/>
      <c r="AD1446" s="294"/>
      <c r="AE1446" s="294"/>
      <c r="AF1446" s="294"/>
      <c r="AG1446" s="294"/>
    </row>
    <row r="1447" spans="2:33" x14ac:dyDescent="0.25">
      <c r="B1447" s="294"/>
      <c r="C1447" s="294"/>
      <c r="D1447" s="294"/>
      <c r="E1447" s="294"/>
      <c r="F1447" s="294"/>
      <c r="G1447" s="294"/>
      <c r="H1447" s="294"/>
      <c r="I1447" s="294"/>
      <c r="J1447" s="294"/>
      <c r="L1447" s="295"/>
      <c r="M1447" s="294"/>
      <c r="O1447" s="294"/>
      <c r="P1447" s="294"/>
      <c r="Q1447" s="294"/>
      <c r="R1447" s="294"/>
      <c r="S1447" s="294"/>
      <c r="T1447" s="294"/>
      <c r="U1447" s="294"/>
      <c r="V1447" s="294"/>
      <c r="W1447" s="294"/>
      <c r="X1447" s="294"/>
      <c r="Y1447" s="294"/>
      <c r="Z1447" s="294"/>
      <c r="AA1447" s="294"/>
      <c r="AB1447" s="294"/>
      <c r="AC1447" s="294"/>
      <c r="AD1447" s="294"/>
      <c r="AE1447" s="294"/>
      <c r="AF1447" s="294"/>
      <c r="AG1447" s="294"/>
    </row>
    <row r="1448" spans="2:33" x14ac:dyDescent="0.25">
      <c r="B1448" s="294"/>
      <c r="C1448" s="294"/>
      <c r="D1448" s="294"/>
      <c r="E1448" s="294"/>
      <c r="F1448" s="294"/>
      <c r="G1448" s="294"/>
      <c r="H1448" s="294"/>
      <c r="I1448" s="294"/>
      <c r="J1448" s="294"/>
      <c r="L1448" s="295"/>
      <c r="M1448" s="294"/>
      <c r="O1448" s="294"/>
      <c r="P1448" s="294"/>
      <c r="Q1448" s="294"/>
      <c r="R1448" s="294"/>
      <c r="S1448" s="294"/>
      <c r="T1448" s="294"/>
      <c r="U1448" s="294"/>
      <c r="V1448" s="294"/>
      <c r="W1448" s="294"/>
      <c r="X1448" s="294"/>
      <c r="Y1448" s="294"/>
      <c r="Z1448" s="294"/>
      <c r="AA1448" s="294"/>
      <c r="AB1448" s="294"/>
      <c r="AC1448" s="294"/>
      <c r="AD1448" s="294"/>
      <c r="AE1448" s="294"/>
      <c r="AF1448" s="294"/>
      <c r="AG1448" s="294"/>
    </row>
    <row r="1449" spans="2:33" x14ac:dyDescent="0.25">
      <c r="B1449" s="294"/>
      <c r="C1449" s="294"/>
      <c r="D1449" s="294"/>
      <c r="E1449" s="294"/>
      <c r="F1449" s="294"/>
      <c r="G1449" s="294"/>
      <c r="H1449" s="294"/>
      <c r="I1449" s="294"/>
      <c r="J1449" s="294"/>
      <c r="L1449" s="295"/>
      <c r="M1449" s="294"/>
      <c r="O1449" s="294"/>
      <c r="P1449" s="294"/>
      <c r="Q1449" s="294"/>
      <c r="R1449" s="294"/>
      <c r="S1449" s="294"/>
      <c r="T1449" s="294"/>
      <c r="U1449" s="294"/>
      <c r="V1449" s="294"/>
      <c r="W1449" s="294"/>
      <c r="X1449" s="294"/>
      <c r="Y1449" s="294"/>
      <c r="Z1449" s="294"/>
      <c r="AA1449" s="294"/>
      <c r="AB1449" s="294"/>
      <c r="AC1449" s="294"/>
      <c r="AD1449" s="294"/>
      <c r="AE1449" s="294"/>
      <c r="AF1449" s="294"/>
      <c r="AG1449" s="294"/>
    </row>
    <row r="1450" spans="2:33" x14ac:dyDescent="0.25">
      <c r="B1450" s="294"/>
      <c r="C1450" s="294"/>
      <c r="D1450" s="294"/>
      <c r="E1450" s="294"/>
      <c r="F1450" s="294"/>
      <c r="G1450" s="294"/>
      <c r="H1450" s="294"/>
      <c r="I1450" s="294"/>
      <c r="J1450" s="294"/>
      <c r="L1450" s="295"/>
      <c r="M1450" s="294"/>
      <c r="O1450" s="294"/>
      <c r="P1450" s="294"/>
      <c r="Q1450" s="294"/>
      <c r="R1450" s="294"/>
      <c r="S1450" s="294"/>
      <c r="T1450" s="294"/>
      <c r="U1450" s="294"/>
      <c r="V1450" s="294"/>
      <c r="W1450" s="294"/>
      <c r="X1450" s="294"/>
      <c r="Y1450" s="294"/>
      <c r="Z1450" s="294"/>
      <c r="AA1450" s="294"/>
      <c r="AB1450" s="294"/>
      <c r="AC1450" s="294"/>
      <c r="AD1450" s="294"/>
      <c r="AE1450" s="294"/>
      <c r="AF1450" s="294"/>
      <c r="AG1450" s="294"/>
    </row>
    <row r="1451" spans="2:33" x14ac:dyDescent="0.25">
      <c r="B1451" s="294"/>
      <c r="C1451" s="294"/>
      <c r="D1451" s="294"/>
      <c r="E1451" s="294"/>
      <c r="F1451" s="294"/>
      <c r="G1451" s="294"/>
      <c r="H1451" s="294"/>
      <c r="I1451" s="294"/>
      <c r="J1451" s="294"/>
      <c r="L1451" s="295"/>
      <c r="M1451" s="294"/>
      <c r="O1451" s="294"/>
      <c r="P1451" s="294"/>
      <c r="Q1451" s="294"/>
      <c r="R1451" s="294"/>
      <c r="S1451" s="294"/>
      <c r="T1451" s="294"/>
      <c r="U1451" s="294"/>
      <c r="V1451" s="294"/>
      <c r="W1451" s="294"/>
      <c r="X1451" s="294"/>
      <c r="Y1451" s="294"/>
      <c r="Z1451" s="294"/>
      <c r="AA1451" s="294"/>
      <c r="AB1451" s="294"/>
      <c r="AC1451" s="294"/>
      <c r="AD1451" s="294"/>
      <c r="AE1451" s="294"/>
      <c r="AF1451" s="294"/>
      <c r="AG1451" s="294"/>
    </row>
    <row r="1452" spans="2:33" x14ac:dyDescent="0.25">
      <c r="B1452" s="294"/>
      <c r="C1452" s="294"/>
      <c r="D1452" s="294"/>
      <c r="E1452" s="294"/>
      <c r="F1452" s="294"/>
      <c r="G1452" s="294"/>
      <c r="H1452" s="294"/>
      <c r="I1452" s="294"/>
      <c r="J1452" s="294"/>
      <c r="L1452" s="295"/>
      <c r="M1452" s="294"/>
      <c r="O1452" s="294"/>
      <c r="P1452" s="294"/>
      <c r="Q1452" s="294"/>
      <c r="R1452" s="294"/>
      <c r="S1452" s="294"/>
      <c r="T1452" s="294"/>
      <c r="U1452" s="294"/>
      <c r="V1452" s="294"/>
      <c r="W1452" s="294"/>
      <c r="X1452" s="294"/>
      <c r="Y1452" s="294"/>
      <c r="Z1452" s="294"/>
      <c r="AA1452" s="294"/>
      <c r="AB1452" s="294"/>
      <c r="AC1452" s="294"/>
      <c r="AD1452" s="294"/>
      <c r="AE1452" s="294"/>
      <c r="AF1452" s="294"/>
      <c r="AG1452" s="294"/>
    </row>
    <row r="1453" spans="2:33" x14ac:dyDescent="0.25">
      <c r="B1453" s="294"/>
      <c r="C1453" s="294"/>
      <c r="D1453" s="294"/>
      <c r="E1453" s="294"/>
      <c r="F1453" s="294"/>
      <c r="G1453" s="294"/>
      <c r="H1453" s="294"/>
      <c r="I1453" s="294"/>
      <c r="J1453" s="294"/>
      <c r="L1453" s="295"/>
      <c r="M1453" s="294"/>
      <c r="O1453" s="294"/>
      <c r="P1453" s="294"/>
      <c r="Q1453" s="294"/>
      <c r="R1453" s="294"/>
      <c r="S1453" s="294"/>
      <c r="T1453" s="294"/>
      <c r="U1453" s="294"/>
      <c r="V1453" s="294"/>
      <c r="W1453" s="294"/>
      <c r="X1453" s="294"/>
      <c r="Y1453" s="294"/>
      <c r="Z1453" s="294"/>
      <c r="AA1453" s="294"/>
      <c r="AB1453" s="294"/>
      <c r="AC1453" s="294"/>
      <c r="AD1453" s="294"/>
      <c r="AE1453" s="294"/>
      <c r="AF1453" s="294"/>
      <c r="AG1453" s="294"/>
    </row>
    <row r="1454" spans="2:33" x14ac:dyDescent="0.25">
      <c r="B1454" s="294"/>
      <c r="C1454" s="294"/>
      <c r="D1454" s="294"/>
      <c r="E1454" s="294"/>
      <c r="F1454" s="294"/>
      <c r="G1454" s="294"/>
      <c r="H1454" s="294"/>
      <c r="I1454" s="294"/>
      <c r="J1454" s="294"/>
      <c r="L1454" s="295"/>
      <c r="M1454" s="294"/>
      <c r="O1454" s="294"/>
      <c r="P1454" s="294"/>
      <c r="Q1454" s="294"/>
      <c r="R1454" s="294"/>
      <c r="S1454" s="294"/>
      <c r="T1454" s="294"/>
      <c r="U1454" s="294"/>
      <c r="V1454" s="294"/>
      <c r="W1454" s="294"/>
      <c r="X1454" s="294"/>
      <c r="Y1454" s="294"/>
      <c r="Z1454" s="294"/>
      <c r="AA1454" s="294"/>
      <c r="AB1454" s="294"/>
      <c r="AC1454" s="294"/>
      <c r="AD1454" s="294"/>
      <c r="AE1454" s="294"/>
      <c r="AF1454" s="294"/>
      <c r="AG1454" s="294"/>
    </row>
    <row r="1455" spans="2:33" x14ac:dyDescent="0.25">
      <c r="B1455" s="294"/>
      <c r="C1455" s="294"/>
      <c r="D1455" s="294"/>
      <c r="E1455" s="294"/>
      <c r="F1455" s="294"/>
      <c r="G1455" s="294"/>
      <c r="H1455" s="294"/>
      <c r="I1455" s="294"/>
      <c r="J1455" s="294"/>
      <c r="L1455" s="295"/>
      <c r="M1455" s="294"/>
      <c r="O1455" s="294"/>
      <c r="P1455" s="294"/>
      <c r="Q1455" s="294"/>
      <c r="R1455" s="294"/>
      <c r="S1455" s="294"/>
      <c r="T1455" s="294"/>
      <c r="U1455" s="294"/>
      <c r="V1455" s="294"/>
      <c r="W1455" s="294"/>
      <c r="X1455" s="294"/>
      <c r="Y1455" s="294"/>
      <c r="Z1455" s="294"/>
      <c r="AA1455" s="294"/>
      <c r="AB1455" s="294"/>
      <c r="AC1455" s="294"/>
      <c r="AD1455" s="294"/>
      <c r="AE1455" s="294"/>
      <c r="AF1455" s="294"/>
      <c r="AG1455" s="294"/>
    </row>
    <row r="1456" spans="2:33" x14ac:dyDescent="0.25">
      <c r="B1456" s="294"/>
      <c r="C1456" s="294"/>
      <c r="D1456" s="294"/>
      <c r="E1456" s="294"/>
      <c r="F1456" s="294"/>
      <c r="G1456" s="294"/>
      <c r="H1456" s="294"/>
      <c r="I1456" s="294"/>
      <c r="J1456" s="294"/>
      <c r="L1456" s="295"/>
      <c r="M1456" s="294"/>
      <c r="O1456" s="294"/>
      <c r="P1456" s="294"/>
      <c r="Q1456" s="294"/>
      <c r="R1456" s="294"/>
      <c r="S1456" s="294"/>
      <c r="T1456" s="294"/>
      <c r="U1456" s="294"/>
      <c r="V1456" s="294"/>
      <c r="W1456" s="294"/>
      <c r="X1456" s="294"/>
      <c r="Y1456" s="294"/>
      <c r="Z1456" s="294"/>
      <c r="AA1456" s="294"/>
      <c r="AB1456" s="294"/>
      <c r="AC1456" s="294"/>
      <c r="AD1456" s="294"/>
      <c r="AE1456" s="294"/>
      <c r="AF1456" s="294"/>
      <c r="AG1456" s="294"/>
    </row>
    <row r="1457" spans="2:33" x14ac:dyDescent="0.25">
      <c r="B1457" s="294"/>
      <c r="C1457" s="294"/>
      <c r="D1457" s="294"/>
      <c r="E1457" s="294"/>
      <c r="F1457" s="294"/>
      <c r="G1457" s="294"/>
      <c r="H1457" s="294"/>
      <c r="I1457" s="294"/>
      <c r="J1457" s="294"/>
      <c r="L1457" s="295"/>
      <c r="M1457" s="294"/>
      <c r="O1457" s="294"/>
      <c r="P1457" s="294"/>
      <c r="Q1457" s="294"/>
      <c r="R1457" s="294"/>
      <c r="S1457" s="294"/>
      <c r="T1457" s="294"/>
      <c r="U1457" s="294"/>
      <c r="V1457" s="294"/>
      <c r="W1457" s="294"/>
      <c r="X1457" s="294"/>
      <c r="Y1457" s="294"/>
      <c r="Z1457" s="294"/>
      <c r="AA1457" s="294"/>
      <c r="AB1457" s="294"/>
      <c r="AC1457" s="294"/>
      <c r="AD1457" s="294"/>
      <c r="AE1457" s="294"/>
      <c r="AF1457" s="294"/>
      <c r="AG1457" s="294"/>
    </row>
    <row r="1458" spans="2:33" x14ac:dyDescent="0.25">
      <c r="B1458" s="294"/>
      <c r="C1458" s="294"/>
      <c r="D1458" s="294"/>
      <c r="E1458" s="294"/>
      <c r="F1458" s="294"/>
      <c r="G1458" s="294"/>
      <c r="H1458" s="294"/>
      <c r="I1458" s="294"/>
      <c r="J1458" s="294"/>
      <c r="L1458" s="295"/>
      <c r="M1458" s="294"/>
      <c r="O1458" s="294"/>
      <c r="P1458" s="294"/>
      <c r="Q1458" s="294"/>
      <c r="R1458" s="294"/>
      <c r="S1458" s="294"/>
      <c r="T1458" s="294"/>
      <c r="U1458" s="294"/>
      <c r="V1458" s="294"/>
      <c r="W1458" s="294"/>
      <c r="X1458" s="294"/>
      <c r="Y1458" s="294"/>
      <c r="Z1458" s="294"/>
      <c r="AA1458" s="294"/>
      <c r="AB1458" s="294"/>
      <c r="AC1458" s="294"/>
      <c r="AD1458" s="294"/>
      <c r="AE1458" s="294"/>
      <c r="AF1458" s="294"/>
      <c r="AG1458" s="294"/>
    </row>
    <row r="1459" spans="2:33" x14ac:dyDescent="0.25">
      <c r="B1459" s="294"/>
      <c r="C1459" s="294"/>
      <c r="D1459" s="294"/>
      <c r="E1459" s="294"/>
      <c r="F1459" s="294"/>
      <c r="G1459" s="294"/>
      <c r="H1459" s="294"/>
      <c r="I1459" s="294"/>
      <c r="J1459" s="294"/>
      <c r="L1459" s="295"/>
      <c r="M1459" s="294"/>
      <c r="O1459" s="294"/>
      <c r="P1459" s="294"/>
      <c r="Q1459" s="294"/>
      <c r="R1459" s="294"/>
      <c r="S1459" s="294"/>
      <c r="T1459" s="294"/>
      <c r="U1459" s="294"/>
      <c r="V1459" s="294"/>
      <c r="W1459" s="294"/>
      <c r="X1459" s="294"/>
      <c r="Y1459" s="294"/>
      <c r="Z1459" s="294"/>
      <c r="AA1459" s="294"/>
      <c r="AB1459" s="294"/>
      <c r="AC1459" s="294"/>
      <c r="AD1459" s="294"/>
      <c r="AE1459" s="294"/>
      <c r="AF1459" s="294"/>
      <c r="AG1459" s="294"/>
    </row>
    <row r="1460" spans="2:33" x14ac:dyDescent="0.25">
      <c r="B1460" s="294"/>
      <c r="C1460" s="294"/>
      <c r="D1460" s="294"/>
      <c r="E1460" s="294"/>
      <c r="F1460" s="294"/>
      <c r="G1460" s="294"/>
      <c r="H1460" s="294"/>
      <c r="I1460" s="294"/>
      <c r="J1460" s="294"/>
      <c r="L1460" s="295"/>
      <c r="M1460" s="294"/>
      <c r="O1460" s="294"/>
      <c r="P1460" s="294"/>
      <c r="Q1460" s="294"/>
      <c r="R1460" s="294"/>
      <c r="S1460" s="294"/>
      <c r="T1460" s="294"/>
      <c r="U1460" s="294"/>
      <c r="V1460" s="294"/>
      <c r="W1460" s="294"/>
      <c r="X1460" s="294"/>
      <c r="Y1460" s="294"/>
      <c r="Z1460" s="294"/>
      <c r="AA1460" s="294"/>
      <c r="AB1460" s="294"/>
      <c r="AC1460" s="294"/>
      <c r="AD1460" s="294"/>
      <c r="AE1460" s="294"/>
      <c r="AF1460" s="294"/>
      <c r="AG1460" s="294"/>
    </row>
    <row r="1461" spans="2:33" x14ac:dyDescent="0.25">
      <c r="B1461" s="294"/>
      <c r="C1461" s="294"/>
      <c r="D1461" s="294"/>
      <c r="E1461" s="294"/>
      <c r="F1461" s="294"/>
      <c r="G1461" s="294"/>
      <c r="H1461" s="294"/>
      <c r="I1461" s="294"/>
      <c r="J1461" s="294"/>
      <c r="L1461" s="295"/>
      <c r="M1461" s="294"/>
      <c r="O1461" s="294"/>
      <c r="P1461" s="294"/>
      <c r="Q1461" s="294"/>
      <c r="R1461" s="294"/>
      <c r="S1461" s="294"/>
      <c r="T1461" s="294"/>
      <c r="U1461" s="294"/>
      <c r="V1461" s="294"/>
      <c r="W1461" s="294"/>
      <c r="X1461" s="294"/>
      <c r="Y1461" s="294"/>
      <c r="Z1461" s="294"/>
      <c r="AA1461" s="294"/>
      <c r="AB1461" s="294"/>
      <c r="AC1461" s="294"/>
      <c r="AD1461" s="294"/>
      <c r="AE1461" s="294"/>
      <c r="AF1461" s="294"/>
      <c r="AG1461" s="294"/>
    </row>
    <row r="1462" spans="2:33" x14ac:dyDescent="0.25">
      <c r="B1462" s="294"/>
      <c r="C1462" s="294"/>
      <c r="D1462" s="294"/>
      <c r="E1462" s="294"/>
      <c r="F1462" s="294"/>
      <c r="G1462" s="294"/>
      <c r="H1462" s="294"/>
      <c r="I1462" s="294"/>
      <c r="J1462" s="294"/>
      <c r="L1462" s="295"/>
      <c r="M1462" s="294"/>
      <c r="O1462" s="294"/>
      <c r="P1462" s="294"/>
      <c r="Q1462" s="294"/>
      <c r="R1462" s="294"/>
      <c r="S1462" s="294"/>
      <c r="T1462" s="294"/>
      <c r="U1462" s="294"/>
      <c r="V1462" s="294"/>
      <c r="W1462" s="294"/>
      <c r="X1462" s="294"/>
      <c r="Y1462" s="294"/>
      <c r="Z1462" s="294"/>
      <c r="AA1462" s="294"/>
      <c r="AB1462" s="294"/>
      <c r="AC1462" s="294"/>
      <c r="AD1462" s="294"/>
      <c r="AE1462" s="294"/>
      <c r="AF1462" s="294"/>
      <c r="AG1462" s="294"/>
    </row>
    <row r="1463" spans="2:33" x14ac:dyDescent="0.25">
      <c r="B1463" s="294"/>
      <c r="C1463" s="294"/>
      <c r="D1463" s="294"/>
      <c r="E1463" s="294"/>
      <c r="F1463" s="294"/>
      <c r="G1463" s="294"/>
      <c r="H1463" s="294"/>
      <c r="I1463" s="294"/>
      <c r="J1463" s="294"/>
      <c r="L1463" s="295"/>
      <c r="M1463" s="294"/>
      <c r="O1463" s="294"/>
      <c r="P1463" s="294"/>
      <c r="Q1463" s="294"/>
      <c r="R1463" s="294"/>
      <c r="S1463" s="294"/>
      <c r="T1463" s="294"/>
      <c r="U1463" s="294"/>
      <c r="V1463" s="294"/>
      <c r="W1463" s="294"/>
      <c r="X1463" s="294"/>
      <c r="Y1463" s="294"/>
      <c r="Z1463" s="294"/>
      <c r="AA1463" s="294"/>
      <c r="AB1463" s="294"/>
      <c r="AC1463" s="294"/>
      <c r="AD1463" s="294"/>
      <c r="AE1463" s="294"/>
      <c r="AF1463" s="294"/>
      <c r="AG1463" s="294"/>
    </row>
    <row r="1464" spans="2:33" x14ac:dyDescent="0.25">
      <c r="B1464" s="294"/>
      <c r="C1464" s="294"/>
      <c r="D1464" s="294"/>
      <c r="E1464" s="294"/>
      <c r="F1464" s="294"/>
      <c r="G1464" s="294"/>
      <c r="H1464" s="294"/>
      <c r="I1464" s="294"/>
      <c r="J1464" s="294"/>
      <c r="L1464" s="295"/>
      <c r="M1464" s="294"/>
      <c r="O1464" s="294"/>
      <c r="P1464" s="294"/>
      <c r="Q1464" s="294"/>
      <c r="R1464" s="294"/>
      <c r="S1464" s="294"/>
      <c r="T1464" s="294"/>
      <c r="U1464" s="294"/>
      <c r="V1464" s="294"/>
      <c r="W1464" s="294"/>
      <c r="X1464" s="294"/>
      <c r="Y1464" s="294"/>
      <c r="Z1464" s="294"/>
      <c r="AA1464" s="294"/>
      <c r="AB1464" s="294"/>
      <c r="AC1464" s="294"/>
      <c r="AD1464" s="294"/>
      <c r="AE1464" s="294"/>
      <c r="AF1464" s="294"/>
      <c r="AG1464" s="294"/>
    </row>
    <row r="1465" spans="2:33" x14ac:dyDescent="0.25">
      <c r="B1465" s="294"/>
      <c r="C1465" s="294"/>
      <c r="D1465" s="294"/>
      <c r="E1465" s="294"/>
      <c r="F1465" s="294"/>
      <c r="G1465" s="294"/>
      <c r="H1465" s="294"/>
      <c r="I1465" s="294"/>
      <c r="J1465" s="294"/>
      <c r="L1465" s="295"/>
      <c r="M1465" s="294"/>
      <c r="O1465" s="294"/>
      <c r="P1465" s="294"/>
      <c r="Q1465" s="294"/>
      <c r="R1465" s="294"/>
      <c r="S1465" s="294"/>
      <c r="T1465" s="294"/>
      <c r="U1465" s="294"/>
      <c r="V1465" s="294"/>
      <c r="W1465" s="294"/>
      <c r="X1465" s="294"/>
      <c r="Y1465" s="294"/>
      <c r="Z1465" s="294"/>
      <c r="AA1465" s="294"/>
      <c r="AB1465" s="294"/>
      <c r="AC1465" s="294"/>
      <c r="AD1465" s="294"/>
      <c r="AE1465" s="294"/>
      <c r="AF1465" s="294"/>
      <c r="AG1465" s="294"/>
    </row>
    <row r="1466" spans="2:33" x14ac:dyDescent="0.25">
      <c r="B1466" s="294"/>
      <c r="C1466" s="294"/>
      <c r="D1466" s="294"/>
      <c r="E1466" s="294"/>
      <c r="F1466" s="294"/>
      <c r="G1466" s="294"/>
      <c r="H1466" s="294"/>
      <c r="I1466" s="294"/>
      <c r="J1466" s="294"/>
      <c r="L1466" s="295"/>
      <c r="M1466" s="294"/>
      <c r="O1466" s="294"/>
      <c r="P1466" s="294"/>
      <c r="Q1466" s="294"/>
      <c r="R1466" s="294"/>
      <c r="S1466" s="294"/>
      <c r="T1466" s="294"/>
      <c r="U1466" s="294"/>
      <c r="V1466" s="294"/>
      <c r="W1466" s="294"/>
      <c r="X1466" s="294"/>
      <c r="Y1466" s="294"/>
      <c r="Z1466" s="294"/>
      <c r="AA1466" s="294"/>
      <c r="AB1466" s="294"/>
      <c r="AC1466" s="294"/>
      <c r="AD1466" s="294"/>
      <c r="AE1466" s="294"/>
      <c r="AF1466" s="294"/>
      <c r="AG1466" s="294"/>
    </row>
    <row r="1467" spans="2:33" x14ac:dyDescent="0.25">
      <c r="B1467" s="294"/>
      <c r="C1467" s="294"/>
      <c r="D1467" s="294"/>
      <c r="E1467" s="294"/>
      <c r="F1467" s="294"/>
      <c r="G1467" s="294"/>
      <c r="H1467" s="294"/>
      <c r="I1467" s="294"/>
      <c r="J1467" s="294"/>
      <c r="L1467" s="295"/>
      <c r="M1467" s="294"/>
      <c r="O1467" s="294"/>
      <c r="P1467" s="294"/>
      <c r="Q1467" s="294"/>
      <c r="R1467" s="294"/>
      <c r="S1467" s="294"/>
      <c r="T1467" s="294"/>
      <c r="U1467" s="294"/>
      <c r="V1467" s="294"/>
      <c r="W1467" s="294"/>
      <c r="X1467" s="294"/>
      <c r="Y1467" s="294"/>
      <c r="Z1467" s="294"/>
      <c r="AA1467" s="294"/>
      <c r="AB1467" s="294"/>
      <c r="AC1467" s="294"/>
      <c r="AD1467" s="294"/>
      <c r="AE1467" s="294"/>
      <c r="AF1467" s="294"/>
      <c r="AG1467" s="294"/>
    </row>
    <row r="1468" spans="2:33" x14ac:dyDescent="0.25">
      <c r="B1468" s="294"/>
      <c r="C1468" s="294"/>
      <c r="D1468" s="294"/>
      <c r="E1468" s="294"/>
      <c r="F1468" s="294"/>
      <c r="G1468" s="294"/>
      <c r="H1468" s="294"/>
      <c r="I1468" s="294"/>
      <c r="J1468" s="294"/>
      <c r="L1468" s="295"/>
      <c r="M1468" s="294"/>
      <c r="O1468" s="294"/>
      <c r="P1468" s="294"/>
      <c r="Q1468" s="294"/>
      <c r="R1468" s="294"/>
      <c r="S1468" s="294"/>
      <c r="T1468" s="294"/>
      <c r="U1468" s="294"/>
      <c r="V1468" s="294"/>
      <c r="W1468" s="294"/>
      <c r="X1468" s="294"/>
      <c r="Y1468" s="294"/>
      <c r="Z1468" s="294"/>
      <c r="AA1468" s="294"/>
      <c r="AB1468" s="294"/>
      <c r="AC1468" s="294"/>
      <c r="AD1468" s="294"/>
      <c r="AE1468" s="294"/>
      <c r="AF1468" s="294"/>
      <c r="AG1468" s="294"/>
    </row>
    <row r="1469" spans="2:33" x14ac:dyDescent="0.25">
      <c r="B1469" s="294"/>
      <c r="C1469" s="294"/>
      <c r="D1469" s="294"/>
      <c r="E1469" s="294"/>
      <c r="F1469" s="294"/>
      <c r="G1469" s="294"/>
      <c r="H1469" s="294"/>
      <c r="I1469" s="294"/>
      <c r="J1469" s="294"/>
      <c r="L1469" s="295"/>
      <c r="M1469" s="294"/>
      <c r="O1469" s="294"/>
      <c r="P1469" s="294"/>
      <c r="Q1469" s="294"/>
      <c r="R1469" s="294"/>
      <c r="S1469" s="294"/>
      <c r="T1469" s="294"/>
      <c r="U1469" s="294"/>
      <c r="V1469" s="294"/>
      <c r="W1469" s="294"/>
      <c r="X1469" s="294"/>
      <c r="Y1469" s="294"/>
      <c r="Z1469" s="294"/>
      <c r="AA1469" s="294"/>
      <c r="AB1469" s="294"/>
      <c r="AC1469" s="294"/>
      <c r="AD1469" s="294"/>
      <c r="AE1469" s="294"/>
      <c r="AF1469" s="294"/>
      <c r="AG1469" s="294"/>
    </row>
    <row r="1470" spans="2:33" x14ac:dyDescent="0.25">
      <c r="B1470" s="294"/>
      <c r="C1470" s="294"/>
      <c r="D1470" s="294"/>
      <c r="E1470" s="294"/>
      <c r="F1470" s="294"/>
      <c r="G1470" s="294"/>
      <c r="H1470" s="294"/>
      <c r="I1470" s="294"/>
      <c r="J1470" s="294"/>
      <c r="L1470" s="295"/>
      <c r="M1470" s="294"/>
      <c r="O1470" s="294"/>
      <c r="P1470" s="294"/>
      <c r="Q1470" s="294"/>
      <c r="R1470" s="294"/>
      <c r="S1470" s="294"/>
      <c r="T1470" s="294"/>
      <c r="U1470" s="294"/>
      <c r="V1470" s="294"/>
      <c r="W1470" s="294"/>
      <c r="X1470" s="294"/>
      <c r="Y1470" s="294"/>
      <c r="Z1470" s="294"/>
      <c r="AA1470" s="294"/>
      <c r="AB1470" s="294"/>
      <c r="AC1470" s="294"/>
      <c r="AD1470" s="294"/>
      <c r="AE1470" s="294"/>
      <c r="AF1470" s="294"/>
      <c r="AG1470" s="294"/>
    </row>
    <row r="1471" spans="2:33" x14ac:dyDescent="0.25">
      <c r="B1471" s="294"/>
      <c r="C1471" s="294"/>
      <c r="D1471" s="294"/>
      <c r="E1471" s="294"/>
      <c r="F1471" s="294"/>
      <c r="G1471" s="294"/>
      <c r="H1471" s="294"/>
      <c r="I1471" s="294"/>
      <c r="J1471" s="294"/>
      <c r="L1471" s="295"/>
      <c r="M1471" s="294"/>
      <c r="O1471" s="294"/>
      <c r="P1471" s="294"/>
      <c r="Q1471" s="294"/>
      <c r="R1471" s="294"/>
      <c r="S1471" s="294"/>
      <c r="T1471" s="294"/>
      <c r="U1471" s="294"/>
      <c r="V1471" s="294"/>
      <c r="W1471" s="294"/>
      <c r="X1471" s="294"/>
      <c r="Y1471" s="294"/>
      <c r="Z1471" s="294"/>
      <c r="AA1471" s="294"/>
      <c r="AB1471" s="294"/>
      <c r="AC1471" s="294"/>
      <c r="AD1471" s="294"/>
      <c r="AE1471" s="294"/>
      <c r="AF1471" s="294"/>
      <c r="AG1471" s="294"/>
    </row>
    <row r="1472" spans="2:33" x14ac:dyDescent="0.25">
      <c r="B1472" s="294"/>
      <c r="C1472" s="294"/>
      <c r="D1472" s="294"/>
      <c r="E1472" s="294"/>
      <c r="F1472" s="294"/>
      <c r="G1472" s="294"/>
      <c r="H1472" s="294"/>
      <c r="I1472" s="294"/>
      <c r="J1472" s="294"/>
      <c r="L1472" s="295"/>
      <c r="M1472" s="294"/>
      <c r="O1472" s="294"/>
      <c r="P1472" s="294"/>
      <c r="Q1472" s="294"/>
      <c r="R1472" s="294"/>
      <c r="S1472" s="294"/>
      <c r="T1472" s="294"/>
      <c r="U1472" s="294"/>
      <c r="V1472" s="294"/>
      <c r="W1472" s="294"/>
      <c r="X1472" s="294"/>
      <c r="Y1472" s="294"/>
      <c r="Z1472" s="294"/>
      <c r="AA1472" s="294"/>
      <c r="AB1472" s="294"/>
      <c r="AC1472" s="294"/>
      <c r="AD1472" s="294"/>
      <c r="AE1472" s="294"/>
      <c r="AF1472" s="294"/>
      <c r="AG1472" s="294"/>
    </row>
    <row r="1473" spans="2:33" x14ac:dyDescent="0.25">
      <c r="B1473" s="294"/>
      <c r="C1473" s="294"/>
      <c r="D1473" s="294"/>
      <c r="E1473" s="294"/>
      <c r="F1473" s="294"/>
      <c r="G1473" s="294"/>
      <c r="H1473" s="294"/>
      <c r="I1473" s="294"/>
      <c r="J1473" s="294"/>
      <c r="L1473" s="295"/>
      <c r="M1473" s="294"/>
      <c r="O1473" s="294"/>
      <c r="P1473" s="294"/>
      <c r="Q1473" s="294"/>
      <c r="R1473" s="294"/>
      <c r="S1473" s="294"/>
      <c r="T1473" s="294"/>
      <c r="U1473" s="294"/>
      <c r="V1473" s="294"/>
      <c r="W1473" s="294"/>
      <c r="X1473" s="294"/>
      <c r="Y1473" s="294"/>
      <c r="Z1473" s="294"/>
      <c r="AA1473" s="294"/>
      <c r="AB1473" s="294"/>
      <c r="AC1473" s="294"/>
      <c r="AD1473" s="294"/>
      <c r="AE1473" s="294"/>
      <c r="AF1473" s="294"/>
      <c r="AG1473" s="294"/>
    </row>
    <row r="1474" spans="2:33" x14ac:dyDescent="0.25">
      <c r="B1474" s="294"/>
      <c r="C1474" s="294"/>
      <c r="D1474" s="294"/>
      <c r="E1474" s="294"/>
      <c r="F1474" s="294"/>
      <c r="G1474" s="294"/>
      <c r="H1474" s="294"/>
      <c r="I1474" s="294"/>
      <c r="J1474" s="294"/>
      <c r="L1474" s="295"/>
      <c r="M1474" s="294"/>
      <c r="O1474" s="294"/>
      <c r="P1474" s="294"/>
      <c r="Q1474" s="294"/>
      <c r="R1474" s="294"/>
      <c r="S1474" s="294"/>
      <c r="T1474" s="294"/>
      <c r="U1474" s="294"/>
      <c r="V1474" s="294"/>
      <c r="W1474" s="294"/>
      <c r="X1474" s="294"/>
      <c r="Y1474" s="294"/>
      <c r="Z1474" s="294"/>
      <c r="AA1474" s="294"/>
      <c r="AB1474" s="294"/>
      <c r="AC1474" s="294"/>
      <c r="AD1474" s="294"/>
      <c r="AE1474" s="294"/>
      <c r="AF1474" s="294"/>
      <c r="AG1474" s="294"/>
    </row>
    <row r="1475" spans="2:33" x14ac:dyDescent="0.25">
      <c r="B1475" s="294"/>
      <c r="C1475" s="294"/>
      <c r="D1475" s="294"/>
      <c r="E1475" s="294"/>
      <c r="F1475" s="294"/>
      <c r="G1475" s="294"/>
      <c r="H1475" s="294"/>
      <c r="I1475" s="294"/>
      <c r="J1475" s="294"/>
      <c r="L1475" s="295"/>
      <c r="M1475" s="294"/>
      <c r="O1475" s="294"/>
      <c r="P1475" s="294"/>
      <c r="Q1475" s="294"/>
      <c r="R1475" s="294"/>
      <c r="S1475" s="294"/>
      <c r="T1475" s="294"/>
      <c r="U1475" s="294"/>
      <c r="V1475" s="294"/>
      <c r="W1475" s="294"/>
      <c r="X1475" s="294"/>
      <c r="Y1475" s="294"/>
      <c r="Z1475" s="294"/>
      <c r="AA1475" s="294"/>
      <c r="AB1475" s="294"/>
      <c r="AC1475" s="294"/>
      <c r="AD1475" s="294"/>
      <c r="AE1475" s="294"/>
      <c r="AF1475" s="294"/>
      <c r="AG1475" s="294"/>
    </row>
    <row r="1476" spans="2:33" x14ac:dyDescent="0.25">
      <c r="B1476" s="294"/>
      <c r="C1476" s="294"/>
      <c r="D1476" s="294"/>
      <c r="E1476" s="294"/>
      <c r="F1476" s="294"/>
      <c r="G1476" s="294"/>
      <c r="H1476" s="294"/>
      <c r="I1476" s="294"/>
      <c r="J1476" s="294"/>
      <c r="L1476" s="295"/>
      <c r="M1476" s="294"/>
      <c r="O1476" s="294"/>
      <c r="P1476" s="294"/>
      <c r="Q1476" s="294"/>
      <c r="R1476" s="294"/>
      <c r="S1476" s="294"/>
      <c r="T1476" s="294"/>
      <c r="U1476" s="294"/>
      <c r="V1476" s="294"/>
      <c r="W1476" s="294"/>
      <c r="X1476" s="294"/>
      <c r="Y1476" s="294"/>
      <c r="Z1476" s="294"/>
      <c r="AA1476" s="294"/>
      <c r="AB1476" s="294"/>
      <c r="AC1476" s="294"/>
      <c r="AD1476" s="294"/>
      <c r="AE1476" s="294"/>
      <c r="AF1476" s="294"/>
      <c r="AG1476" s="294"/>
    </row>
    <row r="1477" spans="2:33" x14ac:dyDescent="0.25">
      <c r="B1477" s="294"/>
      <c r="C1477" s="294"/>
      <c r="D1477" s="294"/>
      <c r="E1477" s="294"/>
      <c r="F1477" s="294"/>
      <c r="G1477" s="294"/>
      <c r="H1477" s="294"/>
      <c r="I1477" s="294"/>
      <c r="J1477" s="294"/>
      <c r="L1477" s="295"/>
      <c r="M1477" s="294"/>
      <c r="O1477" s="294"/>
      <c r="P1477" s="294"/>
      <c r="Q1477" s="294"/>
      <c r="R1477" s="294"/>
      <c r="S1477" s="294"/>
      <c r="T1477" s="294"/>
      <c r="U1477" s="294"/>
      <c r="V1477" s="294"/>
      <c r="W1477" s="294"/>
      <c r="X1477" s="294"/>
      <c r="Y1477" s="294"/>
      <c r="Z1477" s="294"/>
      <c r="AA1477" s="294"/>
      <c r="AB1477" s="294"/>
      <c r="AC1477" s="294"/>
      <c r="AD1477" s="294"/>
      <c r="AE1477" s="294"/>
      <c r="AF1477" s="294"/>
      <c r="AG1477" s="294"/>
    </row>
    <row r="1478" spans="2:33" x14ac:dyDescent="0.25">
      <c r="B1478" s="294"/>
      <c r="C1478" s="294"/>
      <c r="D1478" s="294"/>
      <c r="E1478" s="294"/>
      <c r="F1478" s="294"/>
      <c r="G1478" s="294"/>
      <c r="H1478" s="294"/>
      <c r="I1478" s="294"/>
      <c r="J1478" s="294"/>
      <c r="L1478" s="295"/>
      <c r="M1478" s="294"/>
      <c r="O1478" s="294"/>
      <c r="P1478" s="294"/>
      <c r="Q1478" s="294"/>
      <c r="R1478" s="294"/>
      <c r="S1478" s="294"/>
      <c r="T1478" s="294"/>
      <c r="U1478" s="294"/>
      <c r="V1478" s="294"/>
      <c r="W1478" s="294"/>
      <c r="X1478" s="294"/>
      <c r="Y1478" s="294"/>
      <c r="Z1478" s="294"/>
      <c r="AA1478" s="294"/>
      <c r="AB1478" s="294"/>
      <c r="AC1478" s="294"/>
      <c r="AD1478" s="294"/>
      <c r="AE1478" s="294"/>
      <c r="AF1478" s="294"/>
      <c r="AG1478" s="294"/>
    </row>
    <row r="1479" spans="2:33" x14ac:dyDescent="0.25">
      <c r="B1479" s="294"/>
      <c r="C1479" s="294"/>
      <c r="D1479" s="294"/>
      <c r="E1479" s="294"/>
      <c r="F1479" s="294"/>
      <c r="G1479" s="294"/>
      <c r="H1479" s="294"/>
      <c r="I1479" s="294"/>
      <c r="J1479" s="294"/>
      <c r="L1479" s="295"/>
      <c r="M1479" s="294"/>
      <c r="O1479" s="294"/>
      <c r="P1479" s="294"/>
      <c r="Q1479" s="294"/>
      <c r="R1479" s="294"/>
      <c r="S1479" s="294"/>
      <c r="T1479" s="294"/>
      <c r="U1479" s="294"/>
      <c r="V1479" s="294"/>
      <c r="W1479" s="294"/>
      <c r="X1479" s="294"/>
      <c r="Y1479" s="294"/>
      <c r="Z1479" s="294"/>
      <c r="AA1479" s="294"/>
      <c r="AB1479" s="294"/>
      <c r="AC1479" s="294"/>
      <c r="AD1479" s="294"/>
      <c r="AE1479" s="294"/>
      <c r="AF1479" s="294"/>
      <c r="AG1479" s="294"/>
    </row>
    <row r="1480" spans="2:33" x14ac:dyDescent="0.25">
      <c r="B1480" s="294"/>
      <c r="C1480" s="294"/>
      <c r="D1480" s="294"/>
      <c r="E1480" s="294"/>
      <c r="F1480" s="294"/>
      <c r="G1480" s="294"/>
      <c r="H1480" s="294"/>
      <c r="I1480" s="294"/>
      <c r="J1480" s="294"/>
      <c r="L1480" s="295"/>
      <c r="M1480" s="294"/>
      <c r="O1480" s="294"/>
      <c r="P1480" s="294"/>
      <c r="Q1480" s="294"/>
      <c r="R1480" s="294"/>
      <c r="S1480" s="294"/>
      <c r="T1480" s="294"/>
      <c r="U1480" s="294"/>
      <c r="V1480" s="294"/>
      <c r="W1480" s="294"/>
      <c r="X1480" s="294"/>
      <c r="Y1480" s="294"/>
      <c r="Z1480" s="294"/>
      <c r="AA1480" s="294"/>
      <c r="AB1480" s="294"/>
      <c r="AC1480" s="294"/>
      <c r="AD1480" s="294"/>
      <c r="AE1480" s="294"/>
      <c r="AF1480" s="294"/>
      <c r="AG1480" s="294"/>
    </row>
    <row r="1481" spans="2:33" x14ac:dyDescent="0.25">
      <c r="B1481" s="294"/>
      <c r="C1481" s="294"/>
      <c r="D1481" s="294"/>
      <c r="E1481" s="294"/>
      <c r="F1481" s="294"/>
      <c r="G1481" s="294"/>
      <c r="H1481" s="294"/>
      <c r="I1481" s="294"/>
      <c r="J1481" s="294"/>
      <c r="L1481" s="295"/>
      <c r="M1481" s="294"/>
      <c r="O1481" s="294"/>
      <c r="P1481" s="294"/>
      <c r="Q1481" s="294"/>
      <c r="R1481" s="294"/>
      <c r="S1481" s="294"/>
      <c r="T1481" s="294"/>
      <c r="U1481" s="294"/>
      <c r="V1481" s="294"/>
      <c r="W1481" s="294"/>
      <c r="X1481" s="294"/>
      <c r="Y1481" s="294"/>
      <c r="Z1481" s="294"/>
      <c r="AA1481" s="294"/>
      <c r="AB1481" s="294"/>
      <c r="AC1481" s="294"/>
      <c r="AD1481" s="294"/>
      <c r="AE1481" s="294"/>
      <c r="AF1481" s="294"/>
      <c r="AG1481" s="294"/>
    </row>
    <row r="1482" spans="2:33" x14ac:dyDescent="0.25">
      <c r="B1482" s="294"/>
      <c r="C1482" s="294"/>
      <c r="D1482" s="294"/>
      <c r="E1482" s="294"/>
      <c r="F1482" s="294"/>
      <c r="G1482" s="294"/>
      <c r="H1482" s="294"/>
      <c r="I1482" s="294"/>
      <c r="J1482" s="294"/>
      <c r="L1482" s="295"/>
      <c r="M1482" s="294"/>
      <c r="O1482" s="294"/>
      <c r="P1482" s="294"/>
      <c r="Q1482" s="294"/>
      <c r="R1482" s="294"/>
      <c r="S1482" s="294"/>
      <c r="T1482" s="294"/>
      <c r="U1482" s="294"/>
      <c r="V1482" s="294"/>
      <c r="W1482" s="294"/>
      <c r="X1482" s="294"/>
      <c r="Y1482" s="294"/>
      <c r="Z1482" s="294"/>
      <c r="AA1482" s="294"/>
      <c r="AB1482" s="294"/>
      <c r="AC1482" s="294"/>
      <c r="AD1482" s="294"/>
      <c r="AE1482" s="294"/>
      <c r="AF1482" s="294"/>
      <c r="AG1482" s="294"/>
    </row>
    <row r="1483" spans="2:33" x14ac:dyDescent="0.25">
      <c r="B1483" s="294"/>
      <c r="C1483" s="294"/>
      <c r="D1483" s="294"/>
      <c r="E1483" s="294"/>
      <c r="F1483" s="294"/>
      <c r="G1483" s="294"/>
      <c r="H1483" s="294"/>
      <c r="I1483" s="294"/>
      <c r="J1483" s="294"/>
      <c r="L1483" s="295"/>
      <c r="M1483" s="294"/>
      <c r="O1483" s="294"/>
      <c r="P1483" s="294"/>
      <c r="Q1483" s="294"/>
      <c r="R1483" s="294"/>
      <c r="S1483" s="294"/>
      <c r="T1483" s="294"/>
      <c r="U1483" s="294"/>
      <c r="V1483" s="294"/>
      <c r="W1483" s="294"/>
      <c r="X1483" s="294"/>
      <c r="Y1483" s="294"/>
      <c r="Z1483" s="294"/>
      <c r="AA1483" s="294"/>
      <c r="AB1483" s="294"/>
      <c r="AC1483" s="294"/>
      <c r="AD1483" s="294"/>
      <c r="AE1483" s="294"/>
      <c r="AF1483" s="294"/>
      <c r="AG1483" s="294"/>
    </row>
    <row r="1484" spans="2:33" x14ac:dyDescent="0.25">
      <c r="B1484" s="294"/>
      <c r="C1484" s="294"/>
      <c r="D1484" s="294"/>
      <c r="E1484" s="294"/>
      <c r="F1484" s="294"/>
      <c r="G1484" s="294"/>
      <c r="H1484" s="294"/>
      <c r="I1484" s="294"/>
      <c r="J1484" s="294"/>
      <c r="L1484" s="295"/>
      <c r="M1484" s="294"/>
      <c r="O1484" s="294"/>
      <c r="P1484" s="294"/>
      <c r="Q1484" s="294"/>
      <c r="R1484" s="294"/>
      <c r="S1484" s="294"/>
      <c r="T1484" s="294"/>
      <c r="U1484" s="294"/>
      <c r="V1484" s="294"/>
      <c r="W1484" s="294"/>
      <c r="X1484" s="294"/>
      <c r="Y1484" s="294"/>
      <c r="Z1484" s="294"/>
      <c r="AA1484" s="294"/>
      <c r="AB1484" s="294"/>
      <c r="AC1484" s="294"/>
      <c r="AD1484" s="294"/>
      <c r="AE1484" s="294"/>
      <c r="AF1484" s="294"/>
      <c r="AG1484" s="294"/>
    </row>
    <row r="1485" spans="2:33" x14ac:dyDescent="0.25">
      <c r="B1485" s="294"/>
      <c r="C1485" s="294"/>
      <c r="D1485" s="294"/>
      <c r="E1485" s="294"/>
      <c r="F1485" s="294"/>
      <c r="G1485" s="294"/>
      <c r="H1485" s="294"/>
      <c r="I1485" s="294"/>
      <c r="J1485" s="294"/>
      <c r="L1485" s="295"/>
      <c r="M1485" s="294"/>
      <c r="O1485" s="294"/>
      <c r="P1485" s="294"/>
      <c r="Q1485" s="294"/>
      <c r="R1485" s="294"/>
      <c r="S1485" s="294"/>
      <c r="T1485" s="294"/>
      <c r="U1485" s="294"/>
      <c r="V1485" s="294"/>
      <c r="W1485" s="294"/>
      <c r="X1485" s="294"/>
      <c r="Y1485" s="294"/>
      <c r="Z1485" s="294"/>
      <c r="AA1485" s="294"/>
      <c r="AB1485" s="294"/>
      <c r="AC1485" s="294"/>
      <c r="AD1485" s="294"/>
      <c r="AE1485" s="294"/>
      <c r="AF1485" s="294"/>
      <c r="AG1485" s="294"/>
    </row>
    <row r="1486" spans="2:33" x14ac:dyDescent="0.25">
      <c r="B1486" s="294"/>
      <c r="C1486" s="294"/>
      <c r="D1486" s="294"/>
      <c r="E1486" s="294"/>
      <c r="F1486" s="294"/>
      <c r="G1486" s="294"/>
      <c r="H1486" s="294"/>
      <c r="I1486" s="294"/>
      <c r="J1486" s="294"/>
      <c r="L1486" s="295"/>
      <c r="M1486" s="294"/>
      <c r="O1486" s="294"/>
      <c r="P1486" s="294"/>
      <c r="Q1486" s="294"/>
      <c r="R1486" s="294"/>
      <c r="S1486" s="294"/>
      <c r="T1486" s="294"/>
      <c r="U1486" s="294"/>
      <c r="V1486" s="294"/>
      <c r="W1486" s="294"/>
      <c r="X1486" s="294"/>
      <c r="Y1486" s="294"/>
      <c r="Z1486" s="294"/>
      <c r="AA1486" s="294"/>
      <c r="AB1486" s="294"/>
      <c r="AC1486" s="294"/>
      <c r="AD1486" s="294"/>
      <c r="AE1486" s="294"/>
      <c r="AF1486" s="294"/>
      <c r="AG1486" s="294"/>
    </row>
    <row r="1487" spans="2:33" x14ac:dyDescent="0.25">
      <c r="B1487" s="294"/>
      <c r="C1487" s="294"/>
      <c r="D1487" s="294"/>
      <c r="E1487" s="294"/>
      <c r="F1487" s="294"/>
      <c r="G1487" s="294"/>
      <c r="H1487" s="294"/>
      <c r="I1487" s="294"/>
      <c r="J1487" s="294"/>
      <c r="L1487" s="295"/>
      <c r="M1487" s="294"/>
      <c r="O1487" s="294"/>
      <c r="P1487" s="294"/>
      <c r="Q1487" s="294"/>
      <c r="R1487" s="294"/>
      <c r="S1487" s="294"/>
      <c r="T1487" s="294"/>
      <c r="U1487" s="294"/>
      <c r="V1487" s="294"/>
      <c r="W1487" s="294"/>
      <c r="X1487" s="294"/>
      <c r="Y1487" s="294"/>
      <c r="Z1487" s="294"/>
      <c r="AA1487" s="294"/>
      <c r="AB1487" s="294"/>
      <c r="AC1487" s="294"/>
      <c r="AD1487" s="294"/>
      <c r="AE1487" s="294"/>
      <c r="AF1487" s="294"/>
      <c r="AG1487" s="294"/>
    </row>
    <row r="1488" spans="2:33" x14ac:dyDescent="0.25">
      <c r="B1488" s="294"/>
      <c r="C1488" s="294"/>
      <c r="D1488" s="294"/>
      <c r="E1488" s="294"/>
      <c r="F1488" s="294"/>
      <c r="G1488" s="294"/>
      <c r="H1488" s="294"/>
      <c r="I1488" s="294"/>
      <c r="J1488" s="294"/>
      <c r="L1488" s="295"/>
      <c r="M1488" s="294"/>
      <c r="O1488" s="294"/>
      <c r="P1488" s="294"/>
      <c r="Q1488" s="294"/>
      <c r="R1488" s="294"/>
      <c r="S1488" s="294"/>
      <c r="T1488" s="294"/>
      <c r="U1488" s="294"/>
      <c r="V1488" s="294"/>
      <c r="W1488" s="294"/>
      <c r="X1488" s="294"/>
      <c r="Y1488" s="294"/>
      <c r="Z1488" s="294"/>
      <c r="AA1488" s="294"/>
      <c r="AB1488" s="294"/>
      <c r="AC1488" s="294"/>
      <c r="AD1488" s="294"/>
      <c r="AE1488" s="294"/>
      <c r="AF1488" s="294"/>
      <c r="AG1488" s="294"/>
    </row>
    <row r="1489" spans="2:33" x14ac:dyDescent="0.25">
      <c r="B1489" s="294"/>
      <c r="C1489" s="294"/>
      <c r="D1489" s="294"/>
      <c r="E1489" s="294"/>
      <c r="F1489" s="294"/>
      <c r="G1489" s="294"/>
      <c r="H1489" s="294"/>
      <c r="I1489" s="294"/>
      <c r="J1489" s="294"/>
      <c r="L1489" s="295"/>
      <c r="M1489" s="294"/>
      <c r="O1489" s="294"/>
      <c r="P1489" s="294"/>
      <c r="Q1489" s="294"/>
      <c r="R1489" s="294"/>
      <c r="S1489" s="294"/>
      <c r="T1489" s="294"/>
      <c r="U1489" s="294"/>
      <c r="V1489" s="294"/>
      <c r="W1489" s="294"/>
      <c r="X1489" s="294"/>
      <c r="Y1489" s="294"/>
      <c r="Z1489" s="294"/>
      <c r="AA1489" s="294"/>
      <c r="AB1489" s="294"/>
      <c r="AC1489" s="294"/>
      <c r="AD1489" s="294"/>
      <c r="AE1489" s="294"/>
      <c r="AF1489" s="294"/>
      <c r="AG1489" s="294"/>
    </row>
    <row r="1490" spans="2:33" x14ac:dyDescent="0.25">
      <c r="B1490" s="294"/>
      <c r="C1490" s="294"/>
      <c r="D1490" s="294"/>
      <c r="E1490" s="294"/>
      <c r="F1490" s="294"/>
      <c r="G1490" s="294"/>
      <c r="H1490" s="294"/>
      <c r="I1490" s="294"/>
      <c r="J1490" s="294"/>
      <c r="L1490" s="295"/>
      <c r="M1490" s="294"/>
      <c r="O1490" s="294"/>
      <c r="P1490" s="294"/>
      <c r="Q1490" s="294"/>
      <c r="R1490" s="294"/>
      <c r="S1490" s="294"/>
      <c r="T1490" s="294"/>
      <c r="U1490" s="294"/>
      <c r="V1490" s="294"/>
      <c r="W1490" s="294"/>
      <c r="X1490" s="294"/>
      <c r="Y1490" s="294"/>
      <c r="Z1490" s="294"/>
      <c r="AA1490" s="294"/>
      <c r="AB1490" s="294"/>
      <c r="AC1490" s="294"/>
      <c r="AD1490" s="294"/>
      <c r="AE1490" s="294"/>
      <c r="AF1490" s="294"/>
      <c r="AG1490" s="294"/>
    </row>
    <row r="1491" spans="2:33" x14ac:dyDescent="0.25">
      <c r="B1491" s="294"/>
      <c r="C1491" s="294"/>
      <c r="D1491" s="294"/>
      <c r="E1491" s="294"/>
      <c r="F1491" s="294"/>
      <c r="G1491" s="294"/>
      <c r="H1491" s="294"/>
      <c r="I1491" s="294"/>
      <c r="J1491" s="294"/>
      <c r="L1491" s="295"/>
      <c r="M1491" s="294"/>
      <c r="O1491" s="294"/>
      <c r="P1491" s="294"/>
      <c r="Q1491" s="294"/>
      <c r="R1491" s="294"/>
      <c r="S1491" s="294"/>
      <c r="T1491" s="294"/>
      <c r="U1491" s="294"/>
      <c r="V1491" s="294"/>
      <c r="W1491" s="294"/>
      <c r="X1491" s="294"/>
      <c r="Y1491" s="294"/>
      <c r="Z1491" s="294"/>
      <c r="AA1491" s="294"/>
      <c r="AB1491" s="294"/>
      <c r="AC1491" s="294"/>
      <c r="AD1491" s="294"/>
      <c r="AE1491" s="294"/>
      <c r="AF1491" s="294"/>
      <c r="AG1491" s="294"/>
    </row>
    <row r="1492" spans="2:33" x14ac:dyDescent="0.25">
      <c r="B1492" s="294"/>
      <c r="C1492" s="294"/>
      <c r="D1492" s="294"/>
      <c r="E1492" s="294"/>
      <c r="F1492" s="294"/>
      <c r="G1492" s="294"/>
      <c r="H1492" s="294"/>
      <c r="I1492" s="294"/>
      <c r="J1492" s="294"/>
      <c r="L1492" s="295"/>
      <c r="M1492" s="294"/>
      <c r="O1492" s="294"/>
      <c r="P1492" s="294"/>
      <c r="Q1492" s="294"/>
      <c r="R1492" s="294"/>
      <c r="S1492" s="294"/>
      <c r="T1492" s="294"/>
      <c r="U1492" s="294"/>
      <c r="V1492" s="294"/>
      <c r="W1492" s="294"/>
      <c r="X1492" s="294"/>
      <c r="Y1492" s="294"/>
      <c r="Z1492" s="294"/>
      <c r="AA1492" s="294"/>
      <c r="AB1492" s="294"/>
      <c r="AC1492" s="294"/>
      <c r="AD1492" s="294"/>
      <c r="AE1492" s="294"/>
      <c r="AF1492" s="294"/>
      <c r="AG1492" s="294"/>
    </row>
    <row r="1493" spans="2:33" x14ac:dyDescent="0.25">
      <c r="B1493" s="294"/>
      <c r="C1493" s="294"/>
      <c r="D1493" s="294"/>
      <c r="E1493" s="294"/>
      <c r="F1493" s="294"/>
      <c r="G1493" s="294"/>
      <c r="H1493" s="294"/>
      <c r="I1493" s="294"/>
      <c r="J1493" s="294"/>
      <c r="L1493" s="295"/>
      <c r="M1493" s="294"/>
      <c r="O1493" s="294"/>
      <c r="P1493" s="294"/>
      <c r="Q1493" s="294"/>
      <c r="R1493" s="294"/>
      <c r="S1493" s="294"/>
      <c r="T1493" s="294"/>
      <c r="U1493" s="294"/>
      <c r="V1493" s="294"/>
      <c r="W1493" s="294"/>
      <c r="X1493" s="294"/>
      <c r="Y1493" s="294"/>
      <c r="Z1493" s="294"/>
      <c r="AA1493" s="294"/>
      <c r="AB1493" s="294"/>
      <c r="AC1493" s="294"/>
      <c r="AD1493" s="294"/>
      <c r="AE1493" s="294"/>
      <c r="AF1493" s="294"/>
      <c r="AG1493" s="294"/>
    </row>
    <row r="1494" spans="2:33" x14ac:dyDescent="0.25">
      <c r="B1494" s="294"/>
      <c r="C1494" s="294"/>
      <c r="D1494" s="294"/>
      <c r="E1494" s="294"/>
      <c r="F1494" s="294"/>
      <c r="G1494" s="294"/>
      <c r="H1494" s="294"/>
      <c r="I1494" s="294"/>
      <c r="J1494" s="294"/>
      <c r="L1494" s="295"/>
      <c r="M1494" s="294"/>
      <c r="O1494" s="294"/>
      <c r="P1494" s="294"/>
      <c r="Q1494" s="294"/>
      <c r="R1494" s="294"/>
      <c r="S1494" s="294"/>
      <c r="T1494" s="294"/>
      <c r="U1494" s="294"/>
      <c r="V1494" s="294"/>
      <c r="W1494" s="294"/>
      <c r="X1494" s="294"/>
      <c r="Y1494" s="294"/>
      <c r="Z1494" s="294"/>
      <c r="AA1494" s="294"/>
      <c r="AB1494" s="294"/>
      <c r="AC1494" s="294"/>
      <c r="AD1494" s="294"/>
      <c r="AE1494" s="294"/>
      <c r="AF1494" s="294"/>
      <c r="AG1494" s="294"/>
    </row>
    <row r="1495" spans="2:33" x14ac:dyDescent="0.25">
      <c r="B1495" s="294"/>
      <c r="C1495" s="294"/>
      <c r="D1495" s="294"/>
      <c r="E1495" s="294"/>
      <c r="F1495" s="294"/>
      <c r="G1495" s="294"/>
      <c r="H1495" s="294"/>
      <c r="I1495" s="294"/>
      <c r="J1495" s="294"/>
      <c r="L1495" s="295"/>
      <c r="M1495" s="294"/>
      <c r="O1495" s="294"/>
      <c r="P1495" s="294"/>
      <c r="Q1495" s="294"/>
      <c r="R1495" s="294"/>
      <c r="S1495" s="294"/>
      <c r="T1495" s="294"/>
      <c r="U1495" s="294"/>
      <c r="V1495" s="294"/>
      <c r="W1495" s="294"/>
      <c r="X1495" s="294"/>
      <c r="Y1495" s="294"/>
      <c r="Z1495" s="294"/>
      <c r="AA1495" s="294"/>
      <c r="AB1495" s="294"/>
      <c r="AC1495" s="294"/>
      <c r="AD1495" s="294"/>
      <c r="AE1495" s="294"/>
      <c r="AF1495" s="294"/>
      <c r="AG1495" s="294"/>
    </row>
    <row r="1496" spans="2:33" x14ac:dyDescent="0.25">
      <c r="B1496" s="294"/>
      <c r="C1496" s="294"/>
      <c r="D1496" s="294"/>
      <c r="E1496" s="294"/>
      <c r="F1496" s="294"/>
      <c r="G1496" s="294"/>
      <c r="H1496" s="294"/>
      <c r="I1496" s="294"/>
      <c r="J1496" s="294"/>
      <c r="L1496" s="295"/>
      <c r="M1496" s="294"/>
      <c r="O1496" s="294"/>
      <c r="P1496" s="294"/>
      <c r="Q1496" s="294"/>
      <c r="R1496" s="294"/>
      <c r="S1496" s="294"/>
      <c r="T1496" s="294"/>
      <c r="U1496" s="294"/>
      <c r="V1496" s="294"/>
      <c r="W1496" s="294"/>
      <c r="X1496" s="294"/>
      <c r="Y1496" s="294"/>
      <c r="Z1496" s="294"/>
      <c r="AA1496" s="294"/>
      <c r="AB1496" s="294"/>
      <c r="AC1496" s="294"/>
      <c r="AD1496" s="294"/>
      <c r="AE1496" s="294"/>
      <c r="AF1496" s="294"/>
      <c r="AG1496" s="294"/>
    </row>
    <row r="1497" spans="2:33" x14ac:dyDescent="0.25">
      <c r="B1497" s="294"/>
      <c r="C1497" s="294"/>
      <c r="D1497" s="294"/>
      <c r="E1497" s="294"/>
      <c r="F1497" s="294"/>
      <c r="G1497" s="294"/>
      <c r="H1497" s="294"/>
      <c r="I1497" s="294"/>
      <c r="J1497" s="294"/>
      <c r="L1497" s="295"/>
      <c r="M1497" s="294"/>
      <c r="O1497" s="294"/>
      <c r="P1497" s="294"/>
      <c r="Q1497" s="294"/>
      <c r="R1497" s="294"/>
      <c r="S1497" s="294"/>
      <c r="T1497" s="294"/>
      <c r="U1497" s="294"/>
      <c r="V1497" s="294"/>
      <c r="W1497" s="294"/>
      <c r="X1497" s="294"/>
      <c r="Y1497" s="294"/>
      <c r="Z1497" s="294"/>
      <c r="AA1497" s="294"/>
      <c r="AB1497" s="294"/>
      <c r="AC1497" s="294"/>
      <c r="AD1497" s="294"/>
      <c r="AE1497" s="294"/>
      <c r="AF1497" s="294"/>
      <c r="AG1497" s="294"/>
    </row>
    <row r="1498" spans="2:33" x14ac:dyDescent="0.25">
      <c r="B1498" s="294"/>
      <c r="C1498" s="294"/>
      <c r="D1498" s="294"/>
      <c r="E1498" s="294"/>
      <c r="F1498" s="294"/>
      <c r="G1498" s="294"/>
      <c r="H1498" s="294"/>
      <c r="I1498" s="294"/>
      <c r="J1498" s="294"/>
      <c r="L1498" s="295"/>
      <c r="M1498" s="294"/>
      <c r="O1498" s="294"/>
      <c r="P1498" s="294"/>
      <c r="Q1498" s="294"/>
      <c r="R1498" s="294"/>
      <c r="S1498" s="294"/>
      <c r="T1498" s="294"/>
      <c r="U1498" s="294"/>
      <c r="V1498" s="294"/>
      <c r="W1498" s="294"/>
      <c r="X1498" s="294"/>
      <c r="Y1498" s="294"/>
      <c r="Z1498" s="294"/>
      <c r="AA1498" s="294"/>
      <c r="AB1498" s="294"/>
      <c r="AC1498" s="294"/>
      <c r="AD1498" s="294"/>
      <c r="AE1498" s="294"/>
      <c r="AF1498" s="294"/>
      <c r="AG1498" s="294"/>
    </row>
    <row r="1499" spans="2:33" x14ac:dyDescent="0.25">
      <c r="B1499" s="294"/>
      <c r="C1499" s="294"/>
      <c r="D1499" s="294"/>
      <c r="E1499" s="294"/>
      <c r="F1499" s="294"/>
      <c r="G1499" s="294"/>
      <c r="H1499" s="294"/>
      <c r="I1499" s="294"/>
      <c r="J1499" s="294"/>
      <c r="L1499" s="295"/>
      <c r="M1499" s="294"/>
      <c r="O1499" s="294"/>
      <c r="P1499" s="294"/>
      <c r="Q1499" s="294"/>
      <c r="R1499" s="294"/>
      <c r="S1499" s="294"/>
      <c r="T1499" s="294"/>
      <c r="U1499" s="294"/>
      <c r="V1499" s="294"/>
      <c r="W1499" s="294"/>
      <c r="X1499" s="294"/>
      <c r="Y1499" s="294"/>
      <c r="Z1499" s="294"/>
      <c r="AA1499" s="294"/>
      <c r="AB1499" s="294"/>
      <c r="AC1499" s="294"/>
      <c r="AD1499" s="294"/>
      <c r="AE1499" s="294"/>
      <c r="AF1499" s="294"/>
      <c r="AG1499" s="294"/>
    </row>
    <row r="1500" spans="2:33" x14ac:dyDescent="0.25">
      <c r="B1500" s="294"/>
      <c r="C1500" s="294"/>
      <c r="D1500" s="294"/>
      <c r="E1500" s="294"/>
      <c r="F1500" s="294"/>
      <c r="G1500" s="294"/>
      <c r="H1500" s="294"/>
      <c r="I1500" s="294"/>
      <c r="J1500" s="294"/>
      <c r="L1500" s="295"/>
      <c r="M1500" s="294"/>
      <c r="O1500" s="294"/>
      <c r="P1500" s="294"/>
      <c r="Q1500" s="294"/>
      <c r="R1500" s="294"/>
      <c r="S1500" s="294"/>
      <c r="T1500" s="294"/>
      <c r="U1500" s="294"/>
      <c r="V1500" s="294"/>
      <c r="W1500" s="294"/>
      <c r="X1500" s="294"/>
      <c r="Y1500" s="294"/>
      <c r="Z1500" s="294"/>
      <c r="AA1500" s="294"/>
      <c r="AB1500" s="294"/>
      <c r="AC1500" s="294"/>
      <c r="AD1500" s="294"/>
      <c r="AE1500" s="294"/>
      <c r="AF1500" s="294"/>
      <c r="AG1500" s="294"/>
    </row>
    <row r="1501" spans="2:33" x14ac:dyDescent="0.25">
      <c r="B1501" s="294"/>
      <c r="C1501" s="294"/>
      <c r="D1501" s="294"/>
      <c r="E1501" s="294"/>
      <c r="F1501" s="294"/>
      <c r="G1501" s="294"/>
      <c r="H1501" s="294"/>
      <c r="I1501" s="294"/>
      <c r="J1501" s="294"/>
      <c r="L1501" s="295"/>
      <c r="M1501" s="294"/>
      <c r="O1501" s="294"/>
      <c r="P1501" s="294"/>
      <c r="Q1501" s="294"/>
      <c r="R1501" s="294"/>
      <c r="S1501" s="294"/>
      <c r="T1501" s="294"/>
      <c r="U1501" s="294"/>
      <c r="V1501" s="294"/>
      <c r="W1501" s="294"/>
      <c r="X1501" s="294"/>
      <c r="Y1501" s="294"/>
      <c r="Z1501" s="294"/>
      <c r="AA1501" s="294"/>
      <c r="AB1501" s="294"/>
      <c r="AC1501" s="294"/>
      <c r="AD1501" s="294"/>
      <c r="AE1501" s="294"/>
      <c r="AF1501" s="294"/>
      <c r="AG1501" s="294"/>
    </row>
    <row r="1502" spans="2:33" x14ac:dyDescent="0.25">
      <c r="B1502" s="294"/>
      <c r="C1502" s="294"/>
      <c r="D1502" s="294"/>
      <c r="E1502" s="294"/>
      <c r="F1502" s="294"/>
      <c r="G1502" s="294"/>
      <c r="H1502" s="294"/>
      <c r="I1502" s="294"/>
      <c r="J1502" s="294"/>
      <c r="L1502" s="295"/>
      <c r="M1502" s="294"/>
      <c r="O1502" s="294"/>
      <c r="P1502" s="294"/>
      <c r="Q1502" s="294"/>
      <c r="R1502" s="294"/>
      <c r="S1502" s="294"/>
      <c r="T1502" s="294"/>
      <c r="U1502" s="294"/>
      <c r="V1502" s="294"/>
      <c r="W1502" s="294"/>
      <c r="X1502" s="294"/>
      <c r="Y1502" s="294"/>
      <c r="Z1502" s="294"/>
      <c r="AA1502" s="294"/>
      <c r="AB1502" s="294"/>
      <c r="AC1502" s="294"/>
      <c r="AD1502" s="294"/>
      <c r="AE1502" s="294"/>
      <c r="AF1502" s="294"/>
      <c r="AG1502" s="294"/>
    </row>
    <row r="1503" spans="2:33" x14ac:dyDescent="0.25">
      <c r="B1503" s="294"/>
      <c r="C1503" s="294"/>
      <c r="D1503" s="294"/>
      <c r="E1503" s="294"/>
      <c r="F1503" s="294"/>
      <c r="G1503" s="294"/>
      <c r="H1503" s="294"/>
      <c r="I1503" s="294"/>
      <c r="J1503" s="294"/>
      <c r="L1503" s="295"/>
      <c r="M1503" s="294"/>
      <c r="O1503" s="294"/>
      <c r="P1503" s="294"/>
      <c r="Q1503" s="294"/>
      <c r="R1503" s="294"/>
      <c r="S1503" s="294"/>
      <c r="T1503" s="294"/>
      <c r="U1503" s="294"/>
      <c r="V1503" s="294"/>
      <c r="W1503" s="294"/>
      <c r="X1503" s="294"/>
      <c r="Y1503" s="294"/>
      <c r="Z1503" s="294"/>
      <c r="AA1503" s="294"/>
      <c r="AB1503" s="294"/>
      <c r="AC1503" s="294"/>
      <c r="AD1503" s="294"/>
      <c r="AE1503" s="294"/>
      <c r="AF1503" s="294"/>
      <c r="AG1503" s="294"/>
    </row>
    <row r="1504" spans="2:33" x14ac:dyDescent="0.25">
      <c r="B1504" s="294"/>
      <c r="C1504" s="294"/>
      <c r="D1504" s="294"/>
      <c r="E1504" s="294"/>
      <c r="F1504" s="294"/>
      <c r="G1504" s="294"/>
      <c r="H1504" s="294"/>
      <c r="I1504" s="294"/>
      <c r="J1504" s="294"/>
      <c r="L1504" s="295"/>
      <c r="M1504" s="294"/>
      <c r="O1504" s="294"/>
      <c r="P1504" s="294"/>
      <c r="Q1504" s="294"/>
      <c r="R1504" s="294"/>
      <c r="S1504" s="294"/>
      <c r="T1504" s="294"/>
      <c r="U1504" s="294"/>
      <c r="V1504" s="294"/>
      <c r="W1504" s="294"/>
      <c r="X1504" s="294"/>
      <c r="Y1504" s="294"/>
      <c r="Z1504" s="294"/>
      <c r="AA1504" s="294"/>
      <c r="AB1504" s="294"/>
      <c r="AC1504" s="294"/>
      <c r="AD1504" s="294"/>
      <c r="AE1504" s="294"/>
      <c r="AF1504" s="294"/>
      <c r="AG1504" s="294"/>
    </row>
    <row r="1505" spans="2:33" x14ac:dyDescent="0.25">
      <c r="B1505" s="294"/>
      <c r="C1505" s="294"/>
      <c r="D1505" s="294"/>
      <c r="E1505" s="294"/>
      <c r="F1505" s="294"/>
      <c r="G1505" s="294"/>
      <c r="H1505" s="294"/>
      <c r="I1505" s="294"/>
      <c r="J1505" s="294"/>
      <c r="L1505" s="295"/>
      <c r="M1505" s="294"/>
      <c r="O1505" s="294"/>
      <c r="P1505" s="294"/>
      <c r="Q1505" s="294"/>
      <c r="R1505" s="294"/>
      <c r="S1505" s="294"/>
      <c r="T1505" s="294"/>
      <c r="U1505" s="294"/>
      <c r="V1505" s="294"/>
      <c r="W1505" s="294"/>
      <c r="X1505" s="294"/>
      <c r="Y1505" s="294"/>
      <c r="Z1505" s="294"/>
      <c r="AA1505" s="294"/>
      <c r="AB1505" s="294"/>
      <c r="AC1505" s="294"/>
      <c r="AD1505" s="294"/>
      <c r="AE1505" s="294"/>
      <c r="AF1505" s="294"/>
      <c r="AG1505" s="294"/>
    </row>
    <row r="1506" spans="2:33" x14ac:dyDescent="0.25">
      <c r="B1506" s="294"/>
      <c r="C1506" s="294"/>
      <c r="D1506" s="294"/>
      <c r="E1506" s="294"/>
      <c r="F1506" s="294"/>
      <c r="G1506" s="294"/>
      <c r="H1506" s="294"/>
      <c r="I1506" s="294"/>
      <c r="J1506" s="294"/>
      <c r="L1506" s="295"/>
      <c r="M1506" s="294"/>
      <c r="O1506" s="294"/>
      <c r="P1506" s="294"/>
      <c r="Q1506" s="294"/>
      <c r="R1506" s="294"/>
      <c r="S1506" s="294"/>
      <c r="T1506" s="294"/>
      <c r="U1506" s="294"/>
      <c r="V1506" s="294"/>
      <c r="W1506" s="294"/>
      <c r="X1506" s="294"/>
      <c r="Y1506" s="294"/>
      <c r="Z1506" s="294"/>
      <c r="AA1506" s="294"/>
      <c r="AB1506" s="294"/>
      <c r="AC1506" s="294"/>
      <c r="AD1506" s="294"/>
      <c r="AE1506" s="294"/>
      <c r="AF1506" s="294"/>
      <c r="AG1506" s="294"/>
    </row>
    <row r="1507" spans="2:33" x14ac:dyDescent="0.25">
      <c r="B1507" s="294"/>
      <c r="C1507" s="294"/>
      <c r="D1507" s="294"/>
      <c r="E1507" s="294"/>
      <c r="F1507" s="294"/>
      <c r="G1507" s="294"/>
      <c r="H1507" s="294"/>
      <c r="I1507" s="294"/>
      <c r="J1507" s="294"/>
      <c r="L1507" s="295"/>
      <c r="M1507" s="294"/>
      <c r="O1507" s="294"/>
      <c r="P1507" s="294"/>
      <c r="Q1507" s="294"/>
      <c r="R1507" s="294"/>
      <c r="S1507" s="294"/>
      <c r="T1507" s="294"/>
      <c r="U1507" s="294"/>
      <c r="V1507" s="294"/>
      <c r="W1507" s="294"/>
      <c r="X1507" s="294"/>
      <c r="Y1507" s="294"/>
      <c r="Z1507" s="294"/>
      <c r="AA1507" s="294"/>
      <c r="AB1507" s="294"/>
      <c r="AC1507" s="294"/>
      <c r="AD1507" s="294"/>
      <c r="AE1507" s="294"/>
      <c r="AF1507" s="294"/>
      <c r="AG1507" s="294"/>
    </row>
    <row r="1508" spans="2:33" x14ac:dyDescent="0.25">
      <c r="B1508" s="294"/>
      <c r="C1508" s="294"/>
      <c r="D1508" s="294"/>
      <c r="E1508" s="294"/>
      <c r="F1508" s="294"/>
      <c r="G1508" s="294"/>
      <c r="H1508" s="294"/>
      <c r="I1508" s="294"/>
      <c r="J1508" s="294"/>
      <c r="L1508" s="295"/>
      <c r="M1508" s="294"/>
      <c r="O1508" s="294"/>
      <c r="P1508" s="294"/>
      <c r="Q1508" s="294"/>
      <c r="R1508" s="294"/>
      <c r="S1508" s="294"/>
      <c r="T1508" s="294"/>
      <c r="U1508" s="294"/>
      <c r="V1508" s="294"/>
      <c r="W1508" s="294"/>
      <c r="X1508" s="294"/>
      <c r="Y1508" s="294"/>
      <c r="Z1508" s="294"/>
      <c r="AA1508" s="294"/>
      <c r="AB1508" s="294"/>
      <c r="AC1508" s="294"/>
      <c r="AD1508" s="294"/>
      <c r="AE1508" s="294"/>
      <c r="AF1508" s="294"/>
      <c r="AG1508" s="294"/>
    </row>
    <row r="1509" spans="2:33" x14ac:dyDescent="0.25">
      <c r="B1509" s="294"/>
      <c r="C1509" s="294"/>
      <c r="D1509" s="294"/>
      <c r="E1509" s="294"/>
      <c r="F1509" s="294"/>
      <c r="G1509" s="294"/>
      <c r="H1509" s="294"/>
      <c r="I1509" s="294"/>
      <c r="J1509" s="294"/>
      <c r="L1509" s="295"/>
      <c r="M1509" s="294"/>
      <c r="O1509" s="294"/>
      <c r="P1509" s="294"/>
      <c r="Q1509" s="294"/>
      <c r="R1509" s="294"/>
      <c r="S1509" s="294"/>
      <c r="T1509" s="294"/>
      <c r="U1509" s="294"/>
      <c r="V1509" s="294"/>
      <c r="W1509" s="294"/>
      <c r="X1509" s="294"/>
      <c r="Y1509" s="294"/>
      <c r="Z1509" s="294"/>
      <c r="AA1509" s="294"/>
      <c r="AB1509" s="294"/>
      <c r="AC1509" s="294"/>
      <c r="AD1509" s="294"/>
      <c r="AE1509" s="294"/>
      <c r="AF1509" s="294"/>
      <c r="AG1509" s="294"/>
    </row>
    <row r="1510" spans="2:33" x14ac:dyDescent="0.25">
      <c r="B1510" s="294"/>
      <c r="C1510" s="294"/>
      <c r="D1510" s="294"/>
      <c r="E1510" s="294"/>
      <c r="F1510" s="294"/>
      <c r="G1510" s="294"/>
      <c r="H1510" s="294"/>
      <c r="I1510" s="294"/>
      <c r="J1510" s="294"/>
      <c r="L1510" s="295"/>
      <c r="M1510" s="294"/>
      <c r="O1510" s="294"/>
      <c r="P1510" s="294"/>
      <c r="Q1510" s="294"/>
      <c r="R1510" s="294"/>
      <c r="S1510" s="294"/>
      <c r="T1510" s="294"/>
      <c r="U1510" s="294"/>
      <c r="V1510" s="294"/>
      <c r="W1510" s="294"/>
      <c r="X1510" s="294"/>
      <c r="Y1510" s="294"/>
      <c r="Z1510" s="294"/>
      <c r="AA1510" s="294"/>
      <c r="AB1510" s="294"/>
      <c r="AC1510" s="294"/>
      <c r="AD1510" s="294"/>
      <c r="AE1510" s="294"/>
      <c r="AF1510" s="294"/>
      <c r="AG1510" s="294"/>
    </row>
    <row r="1511" spans="2:33" x14ac:dyDescent="0.25">
      <c r="B1511" s="294"/>
      <c r="C1511" s="294"/>
      <c r="D1511" s="294"/>
      <c r="E1511" s="294"/>
      <c r="F1511" s="294"/>
      <c r="G1511" s="294"/>
      <c r="H1511" s="294"/>
      <c r="I1511" s="294"/>
      <c r="J1511" s="294"/>
      <c r="L1511" s="295"/>
      <c r="M1511" s="294"/>
      <c r="O1511" s="294"/>
      <c r="P1511" s="294"/>
      <c r="Q1511" s="294"/>
      <c r="R1511" s="294"/>
      <c r="S1511" s="294"/>
      <c r="T1511" s="294"/>
      <c r="U1511" s="294"/>
      <c r="V1511" s="294"/>
      <c r="W1511" s="294"/>
      <c r="X1511" s="294"/>
      <c r="Y1511" s="294"/>
      <c r="Z1511" s="294"/>
      <c r="AA1511" s="294"/>
      <c r="AB1511" s="294"/>
      <c r="AC1511" s="294"/>
      <c r="AD1511" s="294"/>
      <c r="AE1511" s="294"/>
      <c r="AF1511" s="294"/>
      <c r="AG1511" s="294"/>
    </row>
    <row r="1512" spans="2:33" x14ac:dyDescent="0.25">
      <c r="B1512" s="294"/>
      <c r="C1512" s="294"/>
      <c r="D1512" s="294"/>
      <c r="E1512" s="294"/>
      <c r="F1512" s="294"/>
      <c r="G1512" s="294"/>
      <c r="H1512" s="294"/>
      <c r="I1512" s="294"/>
      <c r="J1512" s="294"/>
      <c r="L1512" s="295"/>
      <c r="M1512" s="294"/>
      <c r="O1512" s="294"/>
      <c r="P1512" s="294"/>
      <c r="Q1512" s="294"/>
      <c r="R1512" s="294"/>
      <c r="S1512" s="294"/>
      <c r="T1512" s="294"/>
      <c r="U1512" s="294"/>
      <c r="V1512" s="294"/>
      <c r="W1512" s="294"/>
      <c r="X1512" s="294"/>
      <c r="Y1512" s="294"/>
      <c r="Z1512" s="294"/>
      <c r="AA1512" s="294"/>
      <c r="AB1512" s="294"/>
      <c r="AC1512" s="294"/>
      <c r="AD1512" s="294"/>
      <c r="AE1512" s="294"/>
      <c r="AF1512" s="294"/>
      <c r="AG1512" s="294"/>
    </row>
    <row r="1513" spans="2:33" x14ac:dyDescent="0.25">
      <c r="B1513" s="294"/>
      <c r="C1513" s="294"/>
      <c r="D1513" s="294"/>
      <c r="E1513" s="294"/>
      <c r="F1513" s="294"/>
      <c r="G1513" s="294"/>
      <c r="H1513" s="294"/>
      <c r="I1513" s="294"/>
      <c r="J1513" s="294"/>
      <c r="L1513" s="295"/>
      <c r="M1513" s="294"/>
      <c r="O1513" s="294"/>
      <c r="P1513" s="294"/>
      <c r="Q1513" s="294"/>
      <c r="R1513" s="294"/>
      <c r="S1513" s="294"/>
      <c r="T1513" s="294"/>
      <c r="U1513" s="294"/>
      <c r="V1513" s="294"/>
      <c r="W1513" s="294"/>
      <c r="X1513" s="294"/>
      <c r="Y1513" s="294"/>
      <c r="Z1513" s="294"/>
      <c r="AA1513" s="294"/>
      <c r="AB1513" s="294"/>
      <c r="AC1513" s="294"/>
      <c r="AD1513" s="294"/>
      <c r="AE1513" s="294"/>
      <c r="AF1513" s="294"/>
      <c r="AG1513" s="294"/>
    </row>
    <row r="1514" spans="2:33" x14ac:dyDescent="0.25">
      <c r="B1514" s="294"/>
      <c r="C1514" s="294"/>
      <c r="D1514" s="294"/>
      <c r="E1514" s="294"/>
      <c r="F1514" s="294"/>
      <c r="G1514" s="294"/>
      <c r="H1514" s="294"/>
      <c r="I1514" s="294"/>
      <c r="J1514" s="294"/>
      <c r="L1514" s="295"/>
      <c r="M1514" s="294"/>
      <c r="O1514" s="294"/>
      <c r="P1514" s="294"/>
      <c r="Q1514" s="294"/>
      <c r="R1514" s="294"/>
      <c r="S1514" s="294"/>
      <c r="T1514" s="294"/>
      <c r="U1514" s="294"/>
      <c r="V1514" s="294"/>
      <c r="W1514" s="294"/>
      <c r="X1514" s="294"/>
      <c r="Y1514" s="294"/>
      <c r="Z1514" s="294"/>
      <c r="AA1514" s="294"/>
      <c r="AB1514" s="294"/>
      <c r="AC1514" s="294"/>
      <c r="AD1514" s="294"/>
      <c r="AE1514" s="294"/>
      <c r="AF1514" s="294"/>
      <c r="AG1514" s="294"/>
    </row>
    <row r="1515" spans="2:33" x14ac:dyDescent="0.25">
      <c r="B1515" s="294"/>
      <c r="C1515" s="294"/>
      <c r="D1515" s="294"/>
      <c r="E1515" s="294"/>
      <c r="F1515" s="294"/>
      <c r="G1515" s="294"/>
      <c r="H1515" s="294"/>
      <c r="I1515" s="294"/>
      <c r="J1515" s="294"/>
      <c r="L1515" s="295"/>
      <c r="M1515" s="294"/>
      <c r="O1515" s="294"/>
      <c r="P1515" s="294"/>
      <c r="Q1515" s="294"/>
      <c r="R1515" s="294"/>
      <c r="S1515" s="294"/>
      <c r="T1515" s="294"/>
      <c r="U1515" s="294"/>
      <c r="V1515" s="294"/>
      <c r="W1515" s="294"/>
      <c r="X1515" s="294"/>
      <c r="Y1515" s="294"/>
      <c r="Z1515" s="294"/>
      <c r="AA1515" s="294"/>
      <c r="AB1515" s="294"/>
      <c r="AC1515" s="294"/>
      <c r="AD1515" s="294"/>
      <c r="AE1515" s="294"/>
      <c r="AF1515" s="294"/>
      <c r="AG1515" s="294"/>
    </row>
    <row r="1516" spans="2:33" x14ac:dyDescent="0.25">
      <c r="B1516" s="294"/>
      <c r="C1516" s="294"/>
      <c r="D1516" s="294"/>
      <c r="E1516" s="294"/>
      <c r="F1516" s="294"/>
      <c r="G1516" s="294"/>
      <c r="H1516" s="294"/>
      <c r="I1516" s="294"/>
      <c r="J1516" s="294"/>
      <c r="L1516" s="295"/>
      <c r="M1516" s="294"/>
      <c r="O1516" s="294"/>
      <c r="P1516" s="294"/>
      <c r="Q1516" s="294"/>
      <c r="R1516" s="294"/>
      <c r="S1516" s="294"/>
      <c r="T1516" s="294"/>
      <c r="U1516" s="294"/>
      <c r="V1516" s="294"/>
      <c r="W1516" s="294"/>
      <c r="X1516" s="294"/>
      <c r="Y1516" s="294"/>
      <c r="Z1516" s="294"/>
      <c r="AA1516" s="294"/>
      <c r="AB1516" s="294"/>
      <c r="AC1516" s="294"/>
      <c r="AD1516" s="294"/>
      <c r="AE1516" s="294"/>
      <c r="AF1516" s="294"/>
      <c r="AG1516" s="294"/>
    </row>
    <row r="1517" spans="2:33" x14ac:dyDescent="0.25">
      <c r="B1517" s="294"/>
      <c r="C1517" s="294"/>
      <c r="D1517" s="294"/>
      <c r="E1517" s="294"/>
      <c r="F1517" s="294"/>
      <c r="G1517" s="294"/>
      <c r="H1517" s="294"/>
      <c r="I1517" s="294"/>
      <c r="J1517" s="294"/>
      <c r="L1517" s="295"/>
      <c r="M1517" s="294"/>
      <c r="O1517" s="294"/>
      <c r="P1517" s="294"/>
      <c r="Q1517" s="294"/>
      <c r="R1517" s="294"/>
      <c r="S1517" s="294"/>
      <c r="T1517" s="294"/>
      <c r="U1517" s="294"/>
      <c r="V1517" s="294"/>
      <c r="W1517" s="294"/>
      <c r="X1517" s="294"/>
      <c r="Y1517" s="294"/>
      <c r="Z1517" s="294"/>
      <c r="AA1517" s="294"/>
      <c r="AB1517" s="294"/>
      <c r="AC1517" s="294"/>
      <c r="AD1517" s="294"/>
      <c r="AE1517" s="294"/>
      <c r="AF1517" s="294"/>
      <c r="AG1517" s="294"/>
    </row>
    <row r="1518" spans="2:33" x14ac:dyDescent="0.25">
      <c r="B1518" s="294"/>
      <c r="C1518" s="294"/>
      <c r="D1518" s="294"/>
      <c r="E1518" s="294"/>
      <c r="F1518" s="294"/>
      <c r="G1518" s="294"/>
      <c r="H1518" s="294"/>
      <c r="I1518" s="294"/>
      <c r="J1518" s="294"/>
      <c r="L1518" s="295"/>
      <c r="M1518" s="294"/>
      <c r="O1518" s="294"/>
      <c r="P1518" s="294"/>
      <c r="Q1518" s="294"/>
      <c r="R1518" s="294"/>
      <c r="S1518" s="294"/>
      <c r="T1518" s="294"/>
      <c r="U1518" s="294"/>
      <c r="V1518" s="294"/>
      <c r="W1518" s="294"/>
      <c r="X1518" s="294"/>
      <c r="Y1518" s="294"/>
      <c r="Z1518" s="294"/>
      <c r="AA1518" s="294"/>
      <c r="AB1518" s="294"/>
      <c r="AC1518" s="294"/>
      <c r="AD1518" s="294"/>
      <c r="AE1518" s="294"/>
      <c r="AF1518" s="294"/>
      <c r="AG1518" s="294"/>
    </row>
    <row r="1519" spans="2:33" x14ac:dyDescent="0.25">
      <c r="B1519" s="294"/>
      <c r="C1519" s="294"/>
      <c r="D1519" s="294"/>
      <c r="E1519" s="294"/>
      <c r="F1519" s="294"/>
      <c r="G1519" s="294"/>
      <c r="H1519" s="294"/>
      <c r="I1519" s="294"/>
      <c r="J1519" s="294"/>
      <c r="L1519" s="295"/>
      <c r="M1519" s="294"/>
      <c r="O1519" s="294"/>
      <c r="P1519" s="294"/>
      <c r="Q1519" s="294"/>
      <c r="R1519" s="294"/>
      <c r="S1519" s="294"/>
      <c r="T1519" s="294"/>
      <c r="U1519" s="294"/>
      <c r="V1519" s="294"/>
      <c r="W1519" s="294"/>
      <c r="X1519" s="294"/>
      <c r="Y1519" s="294"/>
      <c r="Z1519" s="294"/>
      <c r="AA1519" s="294"/>
      <c r="AB1519" s="294"/>
      <c r="AC1519" s="294"/>
      <c r="AD1519" s="294"/>
      <c r="AE1519" s="294"/>
      <c r="AF1519" s="294"/>
      <c r="AG1519" s="294"/>
    </row>
    <row r="1520" spans="2:33" x14ac:dyDescent="0.25">
      <c r="B1520" s="294"/>
      <c r="C1520" s="294"/>
      <c r="D1520" s="294"/>
      <c r="E1520" s="294"/>
      <c r="F1520" s="294"/>
      <c r="G1520" s="294"/>
      <c r="H1520" s="294"/>
      <c r="I1520" s="294"/>
      <c r="J1520" s="294"/>
      <c r="L1520" s="295"/>
      <c r="M1520" s="294"/>
      <c r="O1520" s="294"/>
      <c r="P1520" s="294"/>
      <c r="Q1520" s="294"/>
      <c r="R1520" s="294"/>
      <c r="S1520" s="294"/>
      <c r="T1520" s="294"/>
      <c r="U1520" s="294"/>
      <c r="V1520" s="294"/>
      <c r="W1520" s="294"/>
      <c r="X1520" s="294"/>
      <c r="Y1520" s="294"/>
      <c r="Z1520" s="294"/>
      <c r="AA1520" s="294"/>
      <c r="AB1520" s="294"/>
      <c r="AC1520" s="294"/>
      <c r="AD1520" s="294"/>
      <c r="AE1520" s="294"/>
      <c r="AF1520" s="294"/>
      <c r="AG1520" s="294"/>
    </row>
    <row r="1521" spans="2:33" x14ac:dyDescent="0.25">
      <c r="B1521" s="294"/>
      <c r="C1521" s="294"/>
      <c r="D1521" s="294"/>
      <c r="E1521" s="294"/>
      <c r="F1521" s="294"/>
      <c r="G1521" s="294"/>
      <c r="H1521" s="294"/>
      <c r="I1521" s="294"/>
      <c r="J1521" s="294"/>
      <c r="L1521" s="295"/>
      <c r="M1521" s="294"/>
      <c r="O1521" s="294"/>
      <c r="P1521" s="294"/>
      <c r="Q1521" s="294"/>
      <c r="R1521" s="294"/>
      <c r="S1521" s="294"/>
      <c r="T1521" s="294"/>
      <c r="U1521" s="294"/>
      <c r="V1521" s="294"/>
      <c r="W1521" s="294"/>
      <c r="X1521" s="294"/>
      <c r="Y1521" s="294"/>
      <c r="Z1521" s="294"/>
      <c r="AA1521" s="294"/>
      <c r="AB1521" s="294"/>
      <c r="AC1521" s="294"/>
      <c r="AD1521" s="294"/>
      <c r="AE1521" s="294"/>
      <c r="AF1521" s="294"/>
      <c r="AG1521" s="294"/>
    </row>
    <row r="1522" spans="2:33" x14ac:dyDescent="0.25">
      <c r="B1522" s="294"/>
      <c r="C1522" s="294"/>
      <c r="D1522" s="294"/>
      <c r="E1522" s="294"/>
      <c r="F1522" s="294"/>
      <c r="G1522" s="294"/>
      <c r="H1522" s="294"/>
      <c r="I1522" s="294"/>
      <c r="J1522" s="294"/>
      <c r="L1522" s="295"/>
      <c r="M1522" s="294"/>
      <c r="O1522" s="294"/>
      <c r="P1522" s="294"/>
      <c r="Q1522" s="294"/>
      <c r="R1522" s="294"/>
      <c r="S1522" s="294"/>
      <c r="T1522" s="294"/>
      <c r="U1522" s="294"/>
      <c r="V1522" s="294"/>
      <c r="W1522" s="294"/>
      <c r="X1522" s="294"/>
      <c r="Y1522" s="294"/>
      <c r="Z1522" s="294"/>
      <c r="AA1522" s="294"/>
      <c r="AB1522" s="294"/>
      <c r="AC1522" s="294"/>
      <c r="AD1522" s="294"/>
      <c r="AE1522" s="294"/>
      <c r="AF1522" s="294"/>
      <c r="AG1522" s="294"/>
    </row>
    <row r="1523" spans="2:33" x14ac:dyDescent="0.25">
      <c r="B1523" s="294"/>
      <c r="C1523" s="294"/>
      <c r="D1523" s="294"/>
      <c r="E1523" s="294"/>
      <c r="F1523" s="294"/>
      <c r="G1523" s="294"/>
      <c r="H1523" s="294"/>
      <c r="I1523" s="294"/>
      <c r="J1523" s="294"/>
      <c r="L1523" s="295"/>
      <c r="M1523" s="294"/>
      <c r="O1523" s="294"/>
      <c r="P1523" s="294"/>
      <c r="Q1523" s="294"/>
      <c r="R1523" s="294"/>
      <c r="S1523" s="294"/>
      <c r="T1523" s="294"/>
      <c r="U1523" s="294"/>
      <c r="V1523" s="294"/>
      <c r="W1523" s="294"/>
      <c r="X1523" s="294"/>
      <c r="Y1523" s="294"/>
      <c r="Z1523" s="294"/>
      <c r="AA1523" s="294"/>
      <c r="AB1523" s="294"/>
      <c r="AC1523" s="294"/>
      <c r="AD1523" s="294"/>
      <c r="AE1523" s="294"/>
      <c r="AF1523" s="294"/>
      <c r="AG1523" s="294"/>
    </row>
    <row r="1524" spans="2:33" x14ac:dyDescent="0.25">
      <c r="B1524" s="294"/>
      <c r="C1524" s="294"/>
      <c r="D1524" s="294"/>
      <c r="E1524" s="294"/>
      <c r="F1524" s="294"/>
      <c r="G1524" s="294"/>
      <c r="H1524" s="294"/>
      <c r="I1524" s="294"/>
      <c r="J1524" s="294"/>
      <c r="L1524" s="295"/>
      <c r="M1524" s="294"/>
      <c r="O1524" s="294"/>
      <c r="P1524" s="294"/>
      <c r="Q1524" s="294"/>
      <c r="R1524" s="294"/>
      <c r="S1524" s="294"/>
      <c r="T1524" s="294"/>
      <c r="U1524" s="294"/>
      <c r="V1524" s="294"/>
      <c r="W1524" s="294"/>
      <c r="X1524" s="294"/>
      <c r="Y1524" s="294"/>
      <c r="Z1524" s="294"/>
      <c r="AA1524" s="294"/>
      <c r="AB1524" s="294"/>
      <c r="AC1524" s="294"/>
      <c r="AD1524" s="294"/>
      <c r="AE1524" s="294"/>
      <c r="AF1524" s="294"/>
      <c r="AG1524" s="294"/>
    </row>
    <row r="1525" spans="2:33" x14ac:dyDescent="0.25">
      <c r="B1525" s="294"/>
      <c r="C1525" s="294"/>
      <c r="D1525" s="294"/>
      <c r="E1525" s="294"/>
      <c r="F1525" s="294"/>
      <c r="G1525" s="294"/>
      <c r="H1525" s="294"/>
      <c r="I1525" s="294"/>
      <c r="J1525" s="294"/>
      <c r="L1525" s="295"/>
      <c r="M1525" s="294"/>
      <c r="O1525" s="294"/>
      <c r="P1525" s="294"/>
      <c r="Q1525" s="294"/>
      <c r="R1525" s="294"/>
      <c r="S1525" s="294"/>
      <c r="T1525" s="294"/>
      <c r="U1525" s="294"/>
      <c r="V1525" s="294"/>
      <c r="W1525" s="294"/>
      <c r="X1525" s="294"/>
      <c r="Y1525" s="294"/>
      <c r="Z1525" s="294"/>
      <c r="AA1525" s="294"/>
      <c r="AB1525" s="294"/>
      <c r="AC1525" s="294"/>
      <c r="AD1525" s="294"/>
      <c r="AE1525" s="294"/>
      <c r="AF1525" s="294"/>
      <c r="AG1525" s="294"/>
    </row>
    <row r="1526" spans="2:33" x14ac:dyDescent="0.25">
      <c r="B1526" s="294"/>
      <c r="C1526" s="294"/>
      <c r="D1526" s="294"/>
      <c r="E1526" s="294"/>
      <c r="F1526" s="294"/>
      <c r="G1526" s="294"/>
      <c r="H1526" s="294"/>
      <c r="I1526" s="294"/>
      <c r="J1526" s="294"/>
      <c r="L1526" s="295"/>
      <c r="M1526" s="294"/>
      <c r="O1526" s="294"/>
      <c r="P1526" s="294"/>
      <c r="Q1526" s="294"/>
      <c r="R1526" s="294"/>
      <c r="S1526" s="294"/>
      <c r="T1526" s="294"/>
      <c r="U1526" s="294"/>
      <c r="V1526" s="294"/>
      <c r="W1526" s="294"/>
      <c r="X1526" s="294"/>
      <c r="Y1526" s="294"/>
      <c r="Z1526" s="294"/>
      <c r="AA1526" s="294"/>
      <c r="AB1526" s="294"/>
      <c r="AC1526" s="294"/>
      <c r="AD1526" s="294"/>
      <c r="AE1526" s="294"/>
      <c r="AF1526" s="294"/>
      <c r="AG1526" s="294"/>
    </row>
    <row r="1527" spans="2:33" x14ac:dyDescent="0.25">
      <c r="B1527" s="294"/>
      <c r="C1527" s="294"/>
      <c r="D1527" s="294"/>
      <c r="E1527" s="294"/>
      <c r="F1527" s="294"/>
      <c r="G1527" s="294"/>
      <c r="H1527" s="294"/>
      <c r="I1527" s="294"/>
      <c r="J1527" s="294"/>
      <c r="L1527" s="295"/>
      <c r="M1527" s="294"/>
      <c r="O1527" s="294"/>
      <c r="P1527" s="294"/>
      <c r="Q1527" s="294"/>
      <c r="R1527" s="294"/>
      <c r="S1527" s="294"/>
      <c r="T1527" s="294"/>
      <c r="U1527" s="294"/>
      <c r="V1527" s="294"/>
      <c r="W1527" s="294"/>
      <c r="X1527" s="294"/>
      <c r="Y1527" s="294"/>
      <c r="Z1527" s="294"/>
      <c r="AA1527" s="294"/>
      <c r="AB1527" s="294"/>
      <c r="AC1527" s="294"/>
      <c r="AD1527" s="294"/>
      <c r="AE1527" s="294"/>
      <c r="AF1527" s="294"/>
      <c r="AG1527" s="294"/>
    </row>
    <row r="1528" spans="2:33" x14ac:dyDescent="0.25">
      <c r="B1528" s="294"/>
      <c r="C1528" s="294"/>
      <c r="D1528" s="294"/>
      <c r="E1528" s="294"/>
      <c r="F1528" s="294"/>
      <c r="G1528" s="294"/>
      <c r="H1528" s="294"/>
      <c r="I1528" s="294"/>
      <c r="J1528" s="294"/>
      <c r="L1528" s="295"/>
      <c r="M1528" s="294"/>
      <c r="O1528" s="294"/>
      <c r="P1528" s="294"/>
      <c r="Q1528" s="294"/>
      <c r="R1528" s="294"/>
      <c r="S1528" s="294"/>
      <c r="T1528" s="294"/>
      <c r="U1528" s="294"/>
      <c r="V1528" s="294"/>
      <c r="W1528" s="294"/>
      <c r="X1528" s="294"/>
      <c r="Y1528" s="294"/>
      <c r="Z1528" s="294"/>
      <c r="AA1528" s="294"/>
      <c r="AB1528" s="294"/>
      <c r="AC1528" s="294"/>
      <c r="AD1528" s="294"/>
      <c r="AE1528" s="294"/>
      <c r="AF1528" s="294"/>
      <c r="AG1528" s="294"/>
    </row>
    <row r="1529" spans="2:33" x14ac:dyDescent="0.25">
      <c r="B1529" s="294"/>
      <c r="C1529" s="294"/>
      <c r="D1529" s="294"/>
      <c r="E1529" s="294"/>
      <c r="F1529" s="294"/>
      <c r="G1529" s="294"/>
      <c r="H1529" s="294"/>
      <c r="I1529" s="294"/>
      <c r="J1529" s="294"/>
      <c r="L1529" s="295"/>
      <c r="M1529" s="294"/>
      <c r="O1529" s="294"/>
      <c r="P1529" s="294"/>
      <c r="Q1529" s="294"/>
      <c r="R1529" s="294"/>
      <c r="S1529" s="294"/>
      <c r="T1529" s="294"/>
      <c r="U1529" s="294"/>
      <c r="V1529" s="294"/>
      <c r="W1529" s="294"/>
      <c r="X1529" s="294"/>
      <c r="Y1529" s="294"/>
      <c r="Z1529" s="294"/>
      <c r="AA1529" s="294"/>
      <c r="AB1529" s="294"/>
      <c r="AC1529" s="294"/>
      <c r="AD1529" s="294"/>
      <c r="AE1529" s="294"/>
      <c r="AF1529" s="294"/>
      <c r="AG1529" s="294"/>
    </row>
    <row r="1530" spans="2:33" x14ac:dyDescent="0.25">
      <c r="B1530" s="294"/>
      <c r="C1530" s="294"/>
      <c r="D1530" s="294"/>
      <c r="E1530" s="294"/>
      <c r="F1530" s="294"/>
      <c r="G1530" s="294"/>
      <c r="H1530" s="294"/>
      <c r="I1530" s="294"/>
      <c r="J1530" s="294"/>
      <c r="L1530" s="295"/>
      <c r="M1530" s="294"/>
      <c r="O1530" s="294"/>
      <c r="P1530" s="294"/>
      <c r="Q1530" s="294"/>
      <c r="R1530" s="294"/>
      <c r="S1530" s="294"/>
      <c r="T1530" s="294"/>
      <c r="U1530" s="294"/>
      <c r="V1530" s="294"/>
      <c r="W1530" s="294"/>
      <c r="X1530" s="294"/>
      <c r="Y1530" s="294"/>
      <c r="Z1530" s="294"/>
      <c r="AA1530" s="294"/>
      <c r="AB1530" s="294"/>
      <c r="AC1530" s="294"/>
      <c r="AD1530" s="294"/>
      <c r="AE1530" s="294"/>
      <c r="AF1530" s="294"/>
      <c r="AG1530" s="294"/>
    </row>
    <row r="1531" spans="2:33" x14ac:dyDescent="0.25">
      <c r="B1531" s="294"/>
      <c r="C1531" s="294"/>
      <c r="D1531" s="294"/>
      <c r="E1531" s="294"/>
      <c r="F1531" s="294"/>
      <c r="G1531" s="294"/>
      <c r="H1531" s="294"/>
      <c r="I1531" s="294"/>
      <c r="J1531" s="294"/>
      <c r="L1531" s="295"/>
      <c r="M1531" s="294"/>
      <c r="O1531" s="294"/>
      <c r="P1531" s="294"/>
      <c r="Q1531" s="294"/>
      <c r="R1531" s="294"/>
      <c r="S1531" s="294"/>
      <c r="T1531" s="294"/>
      <c r="U1531" s="294"/>
      <c r="V1531" s="294"/>
      <c r="W1531" s="294"/>
      <c r="X1531" s="294"/>
      <c r="Y1531" s="294"/>
      <c r="Z1531" s="294"/>
      <c r="AA1531" s="294"/>
      <c r="AB1531" s="294"/>
      <c r="AC1531" s="294"/>
      <c r="AD1531" s="294"/>
      <c r="AE1531" s="294"/>
      <c r="AF1531" s="294"/>
      <c r="AG1531" s="294"/>
    </row>
    <row r="1532" spans="2:33" x14ac:dyDescent="0.25">
      <c r="B1532" s="294"/>
      <c r="C1532" s="294"/>
      <c r="D1532" s="294"/>
      <c r="E1532" s="294"/>
      <c r="F1532" s="294"/>
      <c r="G1532" s="294"/>
      <c r="H1532" s="294"/>
      <c r="I1532" s="294"/>
      <c r="J1532" s="294"/>
      <c r="L1532" s="295"/>
      <c r="M1532" s="294"/>
      <c r="O1532" s="294"/>
      <c r="P1532" s="294"/>
      <c r="Q1532" s="294"/>
      <c r="R1532" s="294"/>
      <c r="S1532" s="294"/>
      <c r="T1532" s="294"/>
      <c r="U1532" s="294"/>
      <c r="V1532" s="294"/>
      <c r="W1532" s="294"/>
      <c r="X1532" s="294"/>
      <c r="Y1532" s="294"/>
      <c r="Z1532" s="294"/>
      <c r="AA1532" s="294"/>
      <c r="AB1532" s="294"/>
      <c r="AC1532" s="294"/>
      <c r="AD1532" s="294"/>
      <c r="AE1532" s="294"/>
      <c r="AF1532" s="294"/>
      <c r="AG1532" s="294"/>
    </row>
    <row r="1533" spans="2:33" x14ac:dyDescent="0.25">
      <c r="B1533" s="294"/>
      <c r="C1533" s="294"/>
      <c r="D1533" s="294"/>
      <c r="E1533" s="294"/>
      <c r="F1533" s="294"/>
      <c r="G1533" s="294"/>
      <c r="H1533" s="294"/>
      <c r="I1533" s="294"/>
      <c r="J1533" s="294"/>
      <c r="L1533" s="295"/>
      <c r="M1533" s="294"/>
      <c r="O1533" s="294"/>
      <c r="P1533" s="294"/>
      <c r="Q1533" s="294"/>
      <c r="R1533" s="294"/>
      <c r="S1533" s="294"/>
      <c r="T1533" s="294"/>
      <c r="U1533" s="294"/>
      <c r="V1533" s="294"/>
      <c r="W1533" s="294"/>
      <c r="X1533" s="294"/>
      <c r="Y1533" s="294"/>
      <c r="Z1533" s="294"/>
      <c r="AA1533" s="294"/>
      <c r="AB1533" s="294"/>
      <c r="AC1533" s="294"/>
      <c r="AD1533" s="294"/>
      <c r="AE1533" s="294"/>
      <c r="AF1533" s="294"/>
      <c r="AG1533" s="294"/>
    </row>
    <row r="1534" spans="2:33" x14ac:dyDescent="0.25">
      <c r="B1534" s="294"/>
      <c r="C1534" s="294"/>
      <c r="D1534" s="294"/>
      <c r="E1534" s="294"/>
      <c r="F1534" s="294"/>
      <c r="G1534" s="294"/>
      <c r="H1534" s="294"/>
      <c r="I1534" s="294"/>
      <c r="J1534" s="294"/>
      <c r="L1534" s="295"/>
      <c r="M1534" s="294"/>
      <c r="O1534" s="294"/>
      <c r="P1534" s="294"/>
      <c r="Q1534" s="294"/>
      <c r="R1534" s="294"/>
      <c r="S1534" s="294"/>
      <c r="T1534" s="294"/>
      <c r="U1534" s="294"/>
      <c r="V1534" s="294"/>
      <c r="W1534" s="294"/>
      <c r="X1534" s="294"/>
      <c r="Y1534" s="294"/>
      <c r="Z1534" s="294"/>
      <c r="AA1534" s="294"/>
      <c r="AB1534" s="294"/>
      <c r="AC1534" s="294"/>
      <c r="AD1534" s="294"/>
      <c r="AE1534" s="294"/>
      <c r="AF1534" s="294"/>
      <c r="AG1534" s="294"/>
    </row>
    <row r="1535" spans="2:33" x14ac:dyDescent="0.25">
      <c r="B1535" s="294"/>
      <c r="C1535" s="294"/>
      <c r="D1535" s="294"/>
      <c r="E1535" s="294"/>
      <c r="F1535" s="294"/>
      <c r="G1535" s="294"/>
      <c r="H1535" s="294"/>
      <c r="I1535" s="294"/>
      <c r="J1535" s="294"/>
      <c r="L1535" s="295"/>
      <c r="M1535" s="294"/>
      <c r="O1535" s="294"/>
      <c r="P1535" s="294"/>
      <c r="Q1535" s="294"/>
      <c r="R1535" s="294"/>
      <c r="S1535" s="294"/>
      <c r="T1535" s="294"/>
      <c r="U1535" s="294"/>
      <c r="V1535" s="294"/>
      <c r="W1535" s="294"/>
      <c r="X1535" s="294"/>
      <c r="Y1535" s="294"/>
      <c r="Z1535" s="294"/>
      <c r="AA1535" s="294"/>
      <c r="AB1535" s="294"/>
      <c r="AC1535" s="294"/>
      <c r="AD1535" s="294"/>
      <c r="AE1535" s="294"/>
      <c r="AF1535" s="294"/>
      <c r="AG1535" s="294"/>
    </row>
    <row r="1536" spans="2:33" x14ac:dyDescent="0.25">
      <c r="B1536" s="294"/>
      <c r="C1536" s="294"/>
      <c r="D1536" s="294"/>
      <c r="E1536" s="294"/>
      <c r="F1536" s="294"/>
      <c r="G1536" s="294"/>
      <c r="H1536" s="294"/>
      <c r="I1536" s="294"/>
      <c r="J1536" s="294"/>
      <c r="L1536" s="295"/>
      <c r="M1536" s="294"/>
      <c r="O1536" s="294"/>
      <c r="P1536" s="294"/>
      <c r="Q1536" s="294"/>
      <c r="R1536" s="294"/>
      <c r="S1536" s="294"/>
      <c r="T1536" s="294"/>
      <c r="U1536" s="294"/>
      <c r="V1536" s="294"/>
      <c r="W1536" s="294"/>
      <c r="X1536" s="294"/>
      <c r="Y1536" s="294"/>
      <c r="Z1536" s="294"/>
      <c r="AA1536" s="294"/>
      <c r="AB1536" s="294"/>
      <c r="AC1536" s="294"/>
      <c r="AD1536" s="294"/>
      <c r="AE1536" s="294"/>
      <c r="AF1536" s="294"/>
      <c r="AG1536" s="294"/>
    </row>
    <row r="1537" spans="2:33" x14ac:dyDescent="0.25">
      <c r="B1537" s="294"/>
      <c r="C1537" s="294"/>
      <c r="D1537" s="294"/>
      <c r="E1537" s="294"/>
      <c r="F1537" s="294"/>
      <c r="G1537" s="294"/>
      <c r="H1537" s="294"/>
      <c r="I1537" s="294"/>
      <c r="J1537" s="294"/>
      <c r="L1537" s="295"/>
      <c r="M1537" s="294"/>
      <c r="O1537" s="294"/>
      <c r="P1537" s="294"/>
      <c r="Q1537" s="294"/>
      <c r="R1537" s="294"/>
      <c r="S1537" s="294"/>
      <c r="T1537" s="294"/>
      <c r="U1537" s="294"/>
      <c r="V1537" s="294"/>
      <c r="W1537" s="294"/>
      <c r="X1537" s="294"/>
      <c r="Y1537" s="294"/>
      <c r="Z1537" s="294"/>
      <c r="AA1537" s="294"/>
      <c r="AB1537" s="294"/>
      <c r="AC1537" s="294"/>
      <c r="AD1537" s="294"/>
      <c r="AE1537" s="294"/>
      <c r="AF1537" s="294"/>
      <c r="AG1537" s="294"/>
    </row>
    <row r="1538" spans="2:33" x14ac:dyDescent="0.25">
      <c r="B1538" s="294"/>
      <c r="C1538" s="294"/>
      <c r="D1538" s="294"/>
      <c r="E1538" s="294"/>
      <c r="F1538" s="294"/>
      <c r="G1538" s="294"/>
      <c r="H1538" s="294"/>
      <c r="I1538" s="294"/>
      <c r="J1538" s="294"/>
      <c r="L1538" s="295"/>
      <c r="M1538" s="294"/>
      <c r="O1538" s="294"/>
      <c r="P1538" s="294"/>
      <c r="Q1538" s="294"/>
      <c r="R1538" s="294"/>
      <c r="S1538" s="294"/>
      <c r="T1538" s="294"/>
      <c r="U1538" s="294"/>
      <c r="V1538" s="294"/>
      <c r="W1538" s="294"/>
      <c r="X1538" s="294"/>
      <c r="Y1538" s="294"/>
      <c r="Z1538" s="294"/>
      <c r="AA1538" s="294"/>
      <c r="AB1538" s="294"/>
      <c r="AC1538" s="294"/>
      <c r="AD1538" s="294"/>
      <c r="AE1538" s="294"/>
      <c r="AF1538" s="294"/>
      <c r="AG1538" s="294"/>
    </row>
    <row r="1539" spans="2:33" x14ac:dyDescent="0.25">
      <c r="B1539" s="294"/>
      <c r="C1539" s="294"/>
      <c r="D1539" s="294"/>
      <c r="E1539" s="294"/>
      <c r="F1539" s="294"/>
      <c r="G1539" s="294"/>
      <c r="H1539" s="294"/>
      <c r="I1539" s="294"/>
      <c r="J1539" s="294"/>
      <c r="L1539" s="295"/>
      <c r="M1539" s="294"/>
      <c r="O1539" s="294"/>
      <c r="P1539" s="294"/>
      <c r="Q1539" s="294"/>
      <c r="R1539" s="294"/>
      <c r="S1539" s="294"/>
      <c r="T1539" s="294"/>
      <c r="U1539" s="294"/>
      <c r="V1539" s="294"/>
      <c r="W1539" s="294"/>
      <c r="X1539" s="294"/>
      <c r="Y1539" s="294"/>
      <c r="Z1539" s="294"/>
      <c r="AA1539" s="294"/>
      <c r="AB1539" s="294"/>
      <c r="AC1539" s="294"/>
      <c r="AD1539" s="294"/>
      <c r="AE1539" s="294"/>
      <c r="AF1539" s="294"/>
      <c r="AG1539" s="294"/>
    </row>
    <row r="1540" spans="2:33" x14ac:dyDescent="0.25">
      <c r="B1540" s="294"/>
      <c r="C1540" s="294"/>
      <c r="D1540" s="294"/>
      <c r="E1540" s="294"/>
      <c r="F1540" s="294"/>
      <c r="G1540" s="294"/>
      <c r="H1540" s="294"/>
      <c r="I1540" s="294"/>
      <c r="J1540" s="294"/>
      <c r="L1540" s="295"/>
      <c r="M1540" s="294"/>
      <c r="O1540" s="294"/>
      <c r="P1540" s="294"/>
      <c r="Q1540" s="294"/>
      <c r="R1540" s="294"/>
      <c r="S1540" s="294"/>
      <c r="T1540" s="294"/>
      <c r="U1540" s="294"/>
      <c r="V1540" s="294"/>
      <c r="W1540" s="294"/>
      <c r="X1540" s="294"/>
      <c r="Y1540" s="294"/>
      <c r="Z1540" s="294"/>
      <c r="AA1540" s="294"/>
      <c r="AB1540" s="294"/>
      <c r="AC1540" s="294"/>
      <c r="AD1540" s="294"/>
      <c r="AE1540" s="294"/>
      <c r="AF1540" s="294"/>
      <c r="AG1540" s="294"/>
    </row>
    <row r="1541" spans="2:33" x14ac:dyDescent="0.25">
      <c r="B1541" s="294"/>
      <c r="C1541" s="294"/>
      <c r="D1541" s="294"/>
      <c r="E1541" s="294"/>
      <c r="F1541" s="294"/>
      <c r="G1541" s="294"/>
      <c r="H1541" s="294"/>
      <c r="I1541" s="294"/>
      <c r="J1541" s="294"/>
      <c r="L1541" s="295"/>
      <c r="M1541" s="294"/>
      <c r="O1541" s="294"/>
      <c r="P1541" s="294"/>
      <c r="Q1541" s="294"/>
      <c r="R1541" s="294"/>
      <c r="S1541" s="294"/>
      <c r="T1541" s="294"/>
      <c r="U1541" s="294"/>
      <c r="V1541" s="294"/>
      <c r="W1541" s="294"/>
      <c r="X1541" s="294"/>
      <c r="Y1541" s="294"/>
      <c r="Z1541" s="294"/>
      <c r="AA1541" s="294"/>
      <c r="AB1541" s="294"/>
      <c r="AC1541" s="294"/>
      <c r="AD1541" s="294"/>
      <c r="AE1541" s="294"/>
      <c r="AF1541" s="294"/>
      <c r="AG1541" s="294"/>
    </row>
    <row r="1542" spans="2:33" x14ac:dyDescent="0.25">
      <c r="B1542" s="294"/>
      <c r="C1542" s="294"/>
      <c r="D1542" s="294"/>
      <c r="E1542" s="294"/>
      <c r="F1542" s="294"/>
      <c r="G1542" s="294"/>
      <c r="H1542" s="294"/>
      <c r="I1542" s="294"/>
      <c r="J1542" s="294"/>
      <c r="L1542" s="295"/>
      <c r="M1542" s="294"/>
      <c r="O1542" s="294"/>
      <c r="P1542" s="294"/>
      <c r="Q1542" s="294"/>
      <c r="R1542" s="294"/>
      <c r="S1542" s="294"/>
      <c r="T1542" s="294"/>
      <c r="U1542" s="294"/>
      <c r="V1542" s="294"/>
      <c r="W1542" s="294"/>
      <c r="X1542" s="294"/>
      <c r="Y1542" s="294"/>
      <c r="Z1542" s="294"/>
      <c r="AA1542" s="294"/>
      <c r="AB1542" s="294"/>
      <c r="AC1542" s="294"/>
      <c r="AD1542" s="294"/>
      <c r="AE1542" s="294"/>
      <c r="AF1542" s="294"/>
      <c r="AG1542" s="294"/>
    </row>
    <row r="1543" spans="2:33" x14ac:dyDescent="0.25">
      <c r="B1543" s="294"/>
      <c r="C1543" s="294"/>
      <c r="D1543" s="294"/>
      <c r="E1543" s="294"/>
      <c r="F1543" s="294"/>
      <c r="G1543" s="294"/>
      <c r="H1543" s="294"/>
      <c r="I1543" s="294"/>
      <c r="J1543" s="294"/>
      <c r="L1543" s="295"/>
      <c r="M1543" s="294"/>
      <c r="O1543" s="294"/>
      <c r="P1543" s="294"/>
      <c r="Q1543" s="294"/>
      <c r="R1543" s="294"/>
      <c r="S1543" s="294"/>
      <c r="T1543" s="294"/>
      <c r="U1543" s="294"/>
      <c r="V1543" s="294"/>
      <c r="W1543" s="294"/>
      <c r="X1543" s="294"/>
      <c r="Y1543" s="294"/>
      <c r="Z1543" s="294"/>
      <c r="AA1543" s="294"/>
      <c r="AB1543" s="294"/>
      <c r="AC1543" s="294"/>
      <c r="AD1543" s="294"/>
      <c r="AE1543" s="294"/>
      <c r="AF1543" s="294"/>
      <c r="AG1543" s="294"/>
    </row>
    <row r="1544" spans="2:33" x14ac:dyDescent="0.25">
      <c r="B1544" s="294"/>
      <c r="C1544" s="294"/>
      <c r="D1544" s="294"/>
      <c r="E1544" s="294"/>
      <c r="F1544" s="294"/>
      <c r="G1544" s="294"/>
      <c r="H1544" s="294"/>
      <c r="I1544" s="294"/>
      <c r="J1544" s="294"/>
      <c r="L1544" s="295"/>
      <c r="M1544" s="294"/>
      <c r="O1544" s="294"/>
      <c r="P1544" s="294"/>
      <c r="Q1544" s="294"/>
      <c r="R1544" s="294"/>
      <c r="S1544" s="294"/>
      <c r="T1544" s="294"/>
      <c r="U1544" s="294"/>
      <c r="V1544" s="294"/>
      <c r="W1544" s="294"/>
      <c r="X1544" s="294"/>
      <c r="Y1544" s="294"/>
      <c r="Z1544" s="294"/>
      <c r="AA1544" s="294"/>
      <c r="AB1544" s="294"/>
      <c r="AC1544" s="294"/>
      <c r="AD1544" s="294"/>
      <c r="AE1544" s="294"/>
      <c r="AF1544" s="294"/>
      <c r="AG1544" s="294"/>
    </row>
    <row r="1545" spans="2:33" x14ac:dyDescent="0.25">
      <c r="B1545" s="294"/>
      <c r="C1545" s="294"/>
      <c r="D1545" s="294"/>
      <c r="E1545" s="294"/>
      <c r="F1545" s="294"/>
      <c r="G1545" s="294"/>
      <c r="H1545" s="294"/>
      <c r="I1545" s="294"/>
      <c r="J1545" s="294"/>
      <c r="L1545" s="295"/>
      <c r="M1545" s="294"/>
      <c r="O1545" s="294"/>
      <c r="P1545" s="294"/>
      <c r="Q1545" s="294"/>
      <c r="R1545" s="294"/>
      <c r="S1545" s="294"/>
      <c r="T1545" s="294"/>
      <c r="U1545" s="294"/>
      <c r="V1545" s="294"/>
      <c r="W1545" s="294"/>
      <c r="X1545" s="294"/>
      <c r="Y1545" s="294"/>
      <c r="Z1545" s="294"/>
      <c r="AA1545" s="294"/>
      <c r="AB1545" s="294"/>
      <c r="AC1545" s="294"/>
      <c r="AD1545" s="294"/>
      <c r="AE1545" s="294"/>
      <c r="AF1545" s="294"/>
      <c r="AG1545" s="294"/>
    </row>
    <row r="1546" spans="2:33" x14ac:dyDescent="0.25">
      <c r="B1546" s="294"/>
      <c r="C1546" s="294"/>
      <c r="D1546" s="294"/>
      <c r="E1546" s="294"/>
      <c r="F1546" s="294"/>
      <c r="G1546" s="294"/>
      <c r="H1546" s="294"/>
      <c r="I1546" s="294"/>
      <c r="J1546" s="294"/>
      <c r="L1546" s="295"/>
      <c r="M1546" s="294"/>
      <c r="O1546" s="294"/>
      <c r="P1546" s="294"/>
      <c r="Q1546" s="294"/>
      <c r="R1546" s="294"/>
      <c r="S1546" s="294"/>
      <c r="T1546" s="294"/>
      <c r="U1546" s="294"/>
      <c r="V1546" s="294"/>
      <c r="W1546" s="294"/>
      <c r="X1546" s="294"/>
      <c r="Y1546" s="294"/>
      <c r="Z1546" s="294"/>
      <c r="AA1546" s="294"/>
      <c r="AB1546" s="294"/>
      <c r="AC1546" s="294"/>
      <c r="AD1546" s="294"/>
      <c r="AE1546" s="294"/>
      <c r="AF1546" s="294"/>
      <c r="AG1546" s="294"/>
    </row>
    <row r="1547" spans="2:33" x14ac:dyDescent="0.25">
      <c r="B1547" s="294"/>
      <c r="C1547" s="294"/>
      <c r="D1547" s="294"/>
      <c r="E1547" s="294"/>
      <c r="F1547" s="294"/>
      <c r="G1547" s="294"/>
      <c r="H1547" s="294"/>
      <c r="I1547" s="294"/>
      <c r="J1547" s="294"/>
      <c r="L1547" s="295"/>
      <c r="M1547" s="294"/>
      <c r="O1547" s="294"/>
      <c r="P1547" s="294"/>
      <c r="Q1547" s="294"/>
      <c r="R1547" s="294"/>
      <c r="S1547" s="294"/>
      <c r="T1547" s="294"/>
      <c r="U1547" s="294"/>
      <c r="V1547" s="294"/>
      <c r="W1547" s="294"/>
      <c r="X1547" s="294"/>
      <c r="Y1547" s="294"/>
      <c r="Z1547" s="294"/>
      <c r="AA1547" s="294"/>
      <c r="AB1547" s="294"/>
      <c r="AC1547" s="294"/>
      <c r="AD1547" s="294"/>
      <c r="AE1547" s="294"/>
      <c r="AF1547" s="294"/>
      <c r="AG1547" s="294"/>
    </row>
    <row r="1548" spans="2:33" x14ac:dyDescent="0.25">
      <c r="B1548" s="294"/>
      <c r="C1548" s="294"/>
      <c r="D1548" s="294"/>
      <c r="E1548" s="294"/>
      <c r="F1548" s="294"/>
      <c r="G1548" s="294"/>
      <c r="H1548" s="294"/>
      <c r="I1548" s="294"/>
      <c r="J1548" s="294"/>
      <c r="L1548" s="295"/>
      <c r="M1548" s="294"/>
      <c r="O1548" s="294"/>
      <c r="P1548" s="294"/>
      <c r="Q1548" s="294"/>
      <c r="R1548" s="294"/>
      <c r="S1548" s="294"/>
      <c r="T1548" s="294"/>
      <c r="U1548" s="294"/>
      <c r="V1548" s="294"/>
      <c r="W1548" s="294"/>
      <c r="X1548" s="294"/>
      <c r="Y1548" s="294"/>
      <c r="Z1548" s="294"/>
      <c r="AA1548" s="294"/>
      <c r="AB1548" s="294"/>
      <c r="AC1548" s="294"/>
      <c r="AD1548" s="294"/>
      <c r="AE1548" s="294"/>
      <c r="AF1548" s="294"/>
      <c r="AG1548" s="294"/>
    </row>
    <row r="1549" spans="2:33" x14ac:dyDescent="0.25">
      <c r="B1549" s="294"/>
      <c r="C1549" s="294"/>
      <c r="D1549" s="294"/>
      <c r="E1549" s="294"/>
      <c r="F1549" s="294"/>
      <c r="G1549" s="294"/>
      <c r="H1549" s="294"/>
      <c r="I1549" s="294"/>
      <c r="J1549" s="294"/>
      <c r="L1549" s="295"/>
      <c r="M1549" s="294"/>
      <c r="O1549" s="294"/>
      <c r="P1549" s="294"/>
      <c r="Q1549" s="294"/>
      <c r="R1549" s="294"/>
      <c r="S1549" s="294"/>
      <c r="T1549" s="294"/>
      <c r="U1549" s="294"/>
      <c r="V1549" s="294"/>
      <c r="W1549" s="294"/>
      <c r="X1549" s="294"/>
      <c r="Y1549" s="294"/>
      <c r="Z1549" s="294"/>
      <c r="AA1549" s="294"/>
      <c r="AB1549" s="294"/>
      <c r="AC1549" s="294"/>
      <c r="AD1549" s="294"/>
      <c r="AE1549" s="294"/>
      <c r="AF1549" s="294"/>
      <c r="AG1549" s="294"/>
    </row>
    <row r="1550" spans="2:33" x14ac:dyDescent="0.25">
      <c r="B1550" s="294"/>
      <c r="C1550" s="294"/>
      <c r="D1550" s="294"/>
      <c r="E1550" s="294"/>
      <c r="F1550" s="294"/>
      <c r="G1550" s="294"/>
      <c r="H1550" s="294"/>
      <c r="I1550" s="294"/>
      <c r="J1550" s="294"/>
      <c r="L1550" s="295"/>
      <c r="M1550" s="294"/>
      <c r="O1550" s="294"/>
      <c r="P1550" s="294"/>
      <c r="Q1550" s="294"/>
      <c r="R1550" s="294"/>
      <c r="S1550" s="294"/>
      <c r="T1550" s="294"/>
      <c r="U1550" s="294"/>
      <c r="V1550" s="294"/>
      <c r="W1550" s="294"/>
      <c r="X1550" s="294"/>
      <c r="Y1550" s="294"/>
      <c r="Z1550" s="294"/>
      <c r="AA1550" s="294"/>
      <c r="AB1550" s="294"/>
      <c r="AC1550" s="294"/>
      <c r="AD1550" s="294"/>
      <c r="AE1550" s="294"/>
      <c r="AF1550" s="294"/>
      <c r="AG1550" s="294"/>
    </row>
    <row r="1551" spans="2:33" x14ac:dyDescent="0.25">
      <c r="B1551" s="294"/>
      <c r="C1551" s="294"/>
      <c r="D1551" s="294"/>
      <c r="E1551" s="294"/>
      <c r="F1551" s="294"/>
      <c r="G1551" s="294"/>
      <c r="H1551" s="294"/>
      <c r="I1551" s="294"/>
      <c r="J1551" s="294"/>
      <c r="L1551" s="295"/>
      <c r="M1551" s="294"/>
      <c r="O1551" s="294"/>
      <c r="P1551" s="294"/>
      <c r="Q1551" s="294"/>
      <c r="R1551" s="294"/>
      <c r="S1551" s="294"/>
      <c r="T1551" s="294"/>
      <c r="U1551" s="294"/>
      <c r="V1551" s="294"/>
      <c r="W1551" s="294"/>
      <c r="X1551" s="294"/>
      <c r="Y1551" s="294"/>
      <c r="Z1551" s="294"/>
      <c r="AA1551" s="294"/>
      <c r="AB1551" s="294"/>
      <c r="AC1551" s="294"/>
      <c r="AD1551" s="294"/>
      <c r="AE1551" s="294"/>
      <c r="AF1551" s="294"/>
      <c r="AG1551" s="294"/>
    </row>
    <row r="1552" spans="2:33" x14ac:dyDescent="0.25">
      <c r="B1552" s="294"/>
      <c r="C1552" s="294"/>
      <c r="D1552" s="294"/>
      <c r="E1552" s="294"/>
      <c r="F1552" s="294"/>
      <c r="G1552" s="294"/>
      <c r="H1552" s="294"/>
      <c r="I1552" s="294"/>
      <c r="J1552" s="294"/>
      <c r="L1552" s="295"/>
      <c r="M1552" s="294"/>
      <c r="O1552" s="294"/>
      <c r="P1552" s="294"/>
      <c r="Q1552" s="294"/>
      <c r="R1552" s="294"/>
      <c r="S1552" s="294"/>
      <c r="T1552" s="294"/>
      <c r="U1552" s="294"/>
      <c r="V1552" s="294"/>
      <c r="W1552" s="294"/>
      <c r="X1552" s="294"/>
      <c r="Y1552" s="294"/>
      <c r="Z1552" s="294"/>
      <c r="AA1552" s="294"/>
      <c r="AB1552" s="294"/>
      <c r="AC1552" s="294"/>
      <c r="AD1552" s="294"/>
      <c r="AE1552" s="294"/>
      <c r="AF1552" s="294"/>
      <c r="AG1552" s="294"/>
    </row>
    <row r="1553" spans="2:33" x14ac:dyDescent="0.25">
      <c r="B1553" s="294"/>
      <c r="C1553" s="294"/>
      <c r="D1553" s="294"/>
      <c r="E1553" s="294"/>
      <c r="F1553" s="294"/>
      <c r="G1553" s="294"/>
      <c r="H1553" s="294"/>
      <c r="I1553" s="294"/>
      <c r="J1553" s="294"/>
      <c r="L1553" s="295"/>
      <c r="M1553" s="294"/>
      <c r="O1553" s="294"/>
      <c r="P1553" s="294"/>
      <c r="Q1553" s="294"/>
      <c r="R1553" s="294"/>
      <c r="S1553" s="294"/>
      <c r="T1553" s="294"/>
      <c r="U1553" s="294"/>
      <c r="V1553" s="294"/>
      <c r="W1553" s="294"/>
      <c r="X1553" s="294"/>
      <c r="Y1553" s="294"/>
      <c r="Z1553" s="294"/>
      <c r="AA1553" s="294"/>
      <c r="AB1553" s="294"/>
      <c r="AC1553" s="294"/>
      <c r="AD1553" s="294"/>
      <c r="AE1553" s="294"/>
      <c r="AF1553" s="294"/>
      <c r="AG1553" s="294"/>
    </row>
    <row r="1554" spans="2:33" x14ac:dyDescent="0.25">
      <c r="B1554" s="294"/>
      <c r="C1554" s="294"/>
      <c r="D1554" s="294"/>
      <c r="E1554" s="294"/>
      <c r="F1554" s="294"/>
      <c r="G1554" s="294"/>
      <c r="H1554" s="294"/>
      <c r="I1554" s="294"/>
      <c r="J1554" s="294"/>
      <c r="L1554" s="295"/>
      <c r="M1554" s="294"/>
      <c r="O1554" s="294"/>
      <c r="P1554" s="294"/>
      <c r="Q1554" s="294"/>
      <c r="R1554" s="294"/>
      <c r="S1554" s="294"/>
      <c r="T1554" s="294"/>
      <c r="U1554" s="294"/>
      <c r="V1554" s="294"/>
      <c r="W1554" s="294"/>
      <c r="X1554" s="294"/>
      <c r="Y1554" s="294"/>
      <c r="Z1554" s="294"/>
      <c r="AA1554" s="294"/>
      <c r="AB1554" s="294"/>
      <c r="AC1554" s="294"/>
      <c r="AD1554" s="294"/>
      <c r="AE1554" s="294"/>
      <c r="AF1554" s="294"/>
      <c r="AG1554" s="294"/>
    </row>
    <row r="1555" spans="2:33" x14ac:dyDescent="0.25">
      <c r="B1555" s="294"/>
      <c r="C1555" s="294"/>
      <c r="D1555" s="294"/>
      <c r="E1555" s="294"/>
      <c r="F1555" s="294"/>
      <c r="G1555" s="294"/>
      <c r="H1555" s="294"/>
      <c r="I1555" s="294"/>
      <c r="J1555" s="294"/>
      <c r="L1555" s="295"/>
      <c r="M1555" s="294"/>
      <c r="O1555" s="294"/>
      <c r="P1555" s="294"/>
      <c r="Q1555" s="294"/>
      <c r="R1555" s="294"/>
      <c r="S1555" s="294"/>
      <c r="T1555" s="294"/>
      <c r="U1555" s="294"/>
      <c r="V1555" s="294"/>
      <c r="W1555" s="294"/>
      <c r="X1555" s="294"/>
      <c r="Y1555" s="294"/>
      <c r="Z1555" s="294"/>
      <c r="AA1555" s="294"/>
      <c r="AB1555" s="294"/>
      <c r="AC1555" s="294"/>
      <c r="AD1555" s="294"/>
      <c r="AE1555" s="294"/>
      <c r="AF1555" s="294"/>
      <c r="AG1555" s="294"/>
    </row>
    <row r="1556" spans="2:33" x14ac:dyDescent="0.25">
      <c r="B1556" s="294"/>
      <c r="C1556" s="294"/>
      <c r="D1556" s="294"/>
      <c r="E1556" s="294"/>
      <c r="F1556" s="294"/>
      <c r="G1556" s="294"/>
      <c r="H1556" s="294"/>
      <c r="I1556" s="294"/>
      <c r="J1556" s="294"/>
      <c r="L1556" s="295"/>
      <c r="M1556" s="294"/>
      <c r="O1556" s="294"/>
      <c r="P1556" s="294"/>
      <c r="Q1556" s="294"/>
      <c r="R1556" s="294"/>
      <c r="S1556" s="294"/>
      <c r="T1556" s="294"/>
      <c r="U1556" s="294"/>
      <c r="V1556" s="294"/>
      <c r="W1556" s="294"/>
      <c r="X1556" s="294"/>
      <c r="Y1556" s="294"/>
      <c r="Z1556" s="294"/>
      <c r="AA1556" s="294"/>
      <c r="AB1556" s="294"/>
      <c r="AC1556" s="294"/>
      <c r="AD1556" s="294"/>
      <c r="AE1556" s="294"/>
      <c r="AF1556" s="294"/>
      <c r="AG1556" s="294"/>
    </row>
    <row r="1557" spans="2:33" x14ac:dyDescent="0.25">
      <c r="B1557" s="294"/>
      <c r="C1557" s="294"/>
      <c r="D1557" s="294"/>
      <c r="E1557" s="294"/>
      <c r="F1557" s="294"/>
      <c r="G1557" s="294"/>
      <c r="H1557" s="294"/>
      <c r="I1557" s="294"/>
      <c r="J1557" s="294"/>
      <c r="L1557" s="295"/>
      <c r="M1557" s="294"/>
      <c r="O1557" s="294"/>
      <c r="P1557" s="294"/>
      <c r="Q1557" s="294"/>
      <c r="R1557" s="294"/>
      <c r="S1557" s="294"/>
      <c r="T1557" s="294"/>
      <c r="U1557" s="294"/>
      <c r="V1557" s="294"/>
      <c r="W1557" s="294"/>
      <c r="X1557" s="294"/>
      <c r="Y1557" s="294"/>
      <c r="Z1557" s="294"/>
      <c r="AA1557" s="294"/>
      <c r="AB1557" s="294"/>
      <c r="AC1557" s="294"/>
      <c r="AD1557" s="294"/>
      <c r="AE1557" s="294"/>
      <c r="AF1557" s="294"/>
      <c r="AG1557" s="294"/>
    </row>
    <row r="1558" spans="2:33" x14ac:dyDescent="0.25">
      <c r="B1558" s="294"/>
      <c r="C1558" s="294"/>
      <c r="D1558" s="294"/>
      <c r="E1558" s="294"/>
      <c r="F1558" s="294"/>
      <c r="G1558" s="294"/>
      <c r="H1558" s="294"/>
      <c r="I1558" s="294"/>
      <c r="J1558" s="294"/>
      <c r="L1558" s="295"/>
      <c r="M1558" s="294"/>
      <c r="O1558" s="294"/>
      <c r="P1558" s="294"/>
      <c r="Q1558" s="294"/>
      <c r="R1558" s="294"/>
      <c r="S1558" s="294"/>
      <c r="T1558" s="294"/>
      <c r="U1558" s="294"/>
      <c r="V1558" s="294"/>
      <c r="W1558" s="294"/>
      <c r="X1558" s="294"/>
      <c r="Y1558" s="294"/>
      <c r="Z1558" s="294"/>
      <c r="AA1558" s="294"/>
      <c r="AB1558" s="294"/>
      <c r="AC1558" s="294"/>
      <c r="AD1558" s="294"/>
      <c r="AE1558" s="294"/>
      <c r="AF1558" s="294"/>
      <c r="AG1558" s="294"/>
    </row>
    <row r="1559" spans="2:33" x14ac:dyDescent="0.25">
      <c r="B1559" s="294"/>
      <c r="C1559" s="294"/>
      <c r="D1559" s="294"/>
      <c r="E1559" s="294"/>
      <c r="F1559" s="294"/>
      <c r="G1559" s="294"/>
      <c r="H1559" s="294"/>
      <c r="I1559" s="294"/>
      <c r="J1559" s="294"/>
      <c r="L1559" s="295"/>
      <c r="M1559" s="294"/>
      <c r="O1559" s="294"/>
      <c r="P1559" s="294"/>
      <c r="Q1559" s="294"/>
      <c r="R1559" s="294"/>
      <c r="S1559" s="294"/>
      <c r="T1559" s="294"/>
      <c r="U1559" s="294"/>
      <c r="V1559" s="294"/>
      <c r="W1559" s="294"/>
      <c r="X1559" s="294"/>
      <c r="Y1559" s="294"/>
      <c r="Z1559" s="294"/>
      <c r="AA1559" s="294"/>
      <c r="AB1559" s="294"/>
      <c r="AC1559" s="294"/>
      <c r="AD1559" s="294"/>
      <c r="AE1559" s="294"/>
      <c r="AF1559" s="294"/>
      <c r="AG1559" s="294"/>
    </row>
    <row r="1560" spans="2:33" x14ac:dyDescent="0.25">
      <c r="B1560" s="294"/>
      <c r="C1560" s="294"/>
      <c r="D1560" s="294"/>
      <c r="E1560" s="294"/>
      <c r="F1560" s="294"/>
      <c r="G1560" s="294"/>
      <c r="H1560" s="294"/>
      <c r="I1560" s="294"/>
      <c r="J1560" s="294"/>
      <c r="L1560" s="295"/>
      <c r="M1560" s="294"/>
      <c r="O1560" s="294"/>
      <c r="P1560" s="294"/>
      <c r="Q1560" s="294"/>
      <c r="R1560" s="294"/>
      <c r="S1560" s="294"/>
      <c r="T1560" s="294"/>
      <c r="U1560" s="294"/>
      <c r="V1560" s="294"/>
      <c r="W1560" s="294"/>
      <c r="X1560" s="294"/>
      <c r="Y1560" s="294"/>
      <c r="Z1560" s="294"/>
      <c r="AA1560" s="294"/>
      <c r="AB1560" s="294"/>
      <c r="AC1560" s="294"/>
      <c r="AD1560" s="294"/>
      <c r="AE1560" s="294"/>
      <c r="AF1560" s="294"/>
      <c r="AG1560" s="294"/>
    </row>
    <row r="1561" spans="2:33" x14ac:dyDescent="0.25">
      <c r="B1561" s="294"/>
      <c r="C1561" s="294"/>
      <c r="D1561" s="294"/>
      <c r="E1561" s="294"/>
      <c r="F1561" s="294"/>
      <c r="G1561" s="294"/>
      <c r="H1561" s="294"/>
      <c r="I1561" s="294"/>
      <c r="J1561" s="294"/>
      <c r="L1561" s="295"/>
      <c r="M1561" s="294"/>
      <c r="O1561" s="294"/>
      <c r="P1561" s="294"/>
      <c r="Q1561" s="294"/>
      <c r="R1561" s="294"/>
      <c r="S1561" s="294"/>
      <c r="T1561" s="294"/>
      <c r="U1561" s="294"/>
      <c r="V1561" s="294"/>
      <c r="W1561" s="294"/>
      <c r="X1561" s="294"/>
      <c r="Y1561" s="294"/>
      <c r="Z1561" s="294"/>
      <c r="AA1561" s="294"/>
      <c r="AB1561" s="294"/>
      <c r="AC1561" s="294"/>
      <c r="AD1561" s="294"/>
      <c r="AE1561" s="294"/>
      <c r="AF1561" s="294"/>
      <c r="AG1561" s="294"/>
    </row>
    <row r="1562" spans="2:33" x14ac:dyDescent="0.25">
      <c r="B1562" s="294"/>
      <c r="C1562" s="294"/>
      <c r="D1562" s="294"/>
      <c r="E1562" s="294"/>
      <c r="F1562" s="294"/>
      <c r="G1562" s="294"/>
      <c r="H1562" s="294"/>
      <c r="I1562" s="294"/>
      <c r="J1562" s="294"/>
      <c r="L1562" s="295"/>
      <c r="M1562" s="294"/>
      <c r="O1562" s="294"/>
      <c r="P1562" s="294"/>
      <c r="Q1562" s="294"/>
      <c r="R1562" s="294"/>
      <c r="S1562" s="294"/>
      <c r="T1562" s="294"/>
      <c r="U1562" s="294"/>
      <c r="V1562" s="294"/>
      <c r="W1562" s="294"/>
      <c r="X1562" s="294"/>
      <c r="Y1562" s="294"/>
      <c r="Z1562" s="294"/>
      <c r="AA1562" s="294"/>
      <c r="AB1562" s="294"/>
      <c r="AC1562" s="294"/>
      <c r="AD1562" s="294"/>
      <c r="AE1562" s="294"/>
      <c r="AF1562" s="294"/>
      <c r="AG1562" s="294"/>
    </row>
    <row r="1563" spans="2:33" x14ac:dyDescent="0.25">
      <c r="B1563" s="294"/>
      <c r="C1563" s="294"/>
      <c r="D1563" s="294"/>
      <c r="E1563" s="294"/>
      <c r="F1563" s="294"/>
      <c r="G1563" s="294"/>
      <c r="H1563" s="294"/>
      <c r="I1563" s="294"/>
      <c r="J1563" s="294"/>
      <c r="L1563" s="295"/>
      <c r="M1563" s="294"/>
      <c r="O1563" s="294"/>
      <c r="P1563" s="294"/>
      <c r="Q1563" s="294"/>
      <c r="R1563" s="294"/>
      <c r="S1563" s="294"/>
      <c r="T1563" s="294"/>
      <c r="U1563" s="294"/>
      <c r="V1563" s="294"/>
      <c r="W1563" s="294"/>
      <c r="X1563" s="294"/>
      <c r="Y1563" s="294"/>
      <c r="Z1563" s="294"/>
      <c r="AA1563" s="294"/>
      <c r="AB1563" s="294"/>
      <c r="AC1563" s="294"/>
      <c r="AD1563" s="294"/>
      <c r="AE1563" s="294"/>
      <c r="AF1563" s="294"/>
      <c r="AG1563" s="294"/>
    </row>
    <row r="1564" spans="2:33" x14ac:dyDescent="0.25">
      <c r="B1564" s="294"/>
      <c r="C1564" s="294"/>
      <c r="D1564" s="294"/>
      <c r="E1564" s="294"/>
      <c r="F1564" s="294"/>
      <c r="G1564" s="294"/>
      <c r="H1564" s="294"/>
      <c r="I1564" s="294"/>
      <c r="J1564" s="294"/>
      <c r="L1564" s="295"/>
      <c r="M1564" s="294"/>
      <c r="O1564" s="294"/>
      <c r="P1564" s="294"/>
      <c r="Q1564" s="294"/>
      <c r="R1564" s="294"/>
      <c r="S1564" s="294"/>
      <c r="T1564" s="294"/>
      <c r="U1564" s="294"/>
      <c r="V1564" s="294"/>
      <c r="W1564" s="294"/>
      <c r="X1564" s="294"/>
      <c r="Y1564" s="294"/>
      <c r="Z1564" s="294"/>
      <c r="AA1564" s="294"/>
      <c r="AB1564" s="294"/>
      <c r="AC1564" s="294"/>
      <c r="AD1564" s="294"/>
      <c r="AE1564" s="294"/>
      <c r="AF1564" s="294"/>
      <c r="AG1564" s="294"/>
    </row>
    <row r="1565" spans="2:33" x14ac:dyDescent="0.25">
      <c r="B1565" s="294"/>
      <c r="C1565" s="294"/>
      <c r="D1565" s="294"/>
      <c r="E1565" s="294"/>
      <c r="F1565" s="294"/>
      <c r="G1565" s="294"/>
      <c r="H1565" s="294"/>
      <c r="I1565" s="294"/>
      <c r="J1565" s="294"/>
      <c r="L1565" s="295"/>
      <c r="M1565" s="294"/>
      <c r="O1565" s="294"/>
      <c r="P1565" s="294"/>
      <c r="Q1565" s="294"/>
      <c r="R1565" s="294"/>
      <c r="S1565" s="294"/>
      <c r="T1565" s="294"/>
      <c r="U1565" s="294"/>
      <c r="V1565" s="294"/>
      <c r="W1565" s="294"/>
      <c r="X1565" s="294"/>
      <c r="Y1565" s="294"/>
      <c r="Z1565" s="294"/>
      <c r="AA1565" s="294"/>
      <c r="AB1565" s="294"/>
      <c r="AC1565" s="294"/>
      <c r="AD1565" s="294"/>
      <c r="AE1565" s="294"/>
      <c r="AF1565" s="294"/>
      <c r="AG1565" s="294"/>
    </row>
    <row r="1566" spans="2:33" x14ac:dyDescent="0.25">
      <c r="B1566" s="294"/>
      <c r="C1566" s="294"/>
      <c r="D1566" s="294"/>
      <c r="E1566" s="294"/>
      <c r="F1566" s="294"/>
      <c r="G1566" s="294"/>
      <c r="H1566" s="294"/>
      <c r="I1566" s="294"/>
      <c r="J1566" s="294"/>
      <c r="L1566" s="295"/>
      <c r="M1566" s="294"/>
      <c r="O1566" s="294"/>
      <c r="P1566" s="294"/>
      <c r="Q1566" s="294"/>
      <c r="R1566" s="294"/>
      <c r="S1566" s="294"/>
      <c r="T1566" s="294"/>
      <c r="U1566" s="294"/>
      <c r="V1566" s="294"/>
      <c r="W1566" s="294"/>
      <c r="X1566" s="294"/>
      <c r="Y1566" s="294"/>
      <c r="Z1566" s="294"/>
      <c r="AA1566" s="294"/>
      <c r="AB1566" s="294"/>
      <c r="AC1566" s="294"/>
      <c r="AD1566" s="294"/>
      <c r="AE1566" s="294"/>
      <c r="AF1566" s="294"/>
      <c r="AG1566" s="294"/>
    </row>
    <row r="1567" spans="2:33" x14ac:dyDescent="0.25">
      <c r="B1567" s="294"/>
      <c r="C1567" s="294"/>
      <c r="D1567" s="294"/>
      <c r="E1567" s="294"/>
      <c r="F1567" s="294"/>
      <c r="G1567" s="294"/>
      <c r="H1567" s="294"/>
      <c r="I1567" s="294"/>
      <c r="J1567" s="294"/>
      <c r="L1567" s="295"/>
      <c r="M1567" s="294"/>
      <c r="O1567" s="294"/>
      <c r="P1567" s="294"/>
      <c r="Q1567" s="294"/>
      <c r="R1567" s="294"/>
      <c r="S1567" s="294"/>
      <c r="T1567" s="294"/>
      <c r="U1567" s="294"/>
      <c r="V1567" s="294"/>
      <c r="W1567" s="294"/>
      <c r="X1567" s="294"/>
      <c r="Y1567" s="294"/>
      <c r="Z1567" s="294"/>
      <c r="AA1567" s="294"/>
      <c r="AB1567" s="294"/>
      <c r="AC1567" s="294"/>
      <c r="AD1567" s="294"/>
      <c r="AE1567" s="294"/>
      <c r="AF1567" s="294"/>
      <c r="AG1567" s="294"/>
    </row>
    <row r="1568" spans="2:33" x14ac:dyDescent="0.25">
      <c r="B1568" s="294"/>
      <c r="C1568" s="294"/>
      <c r="D1568" s="294"/>
      <c r="E1568" s="294"/>
      <c r="F1568" s="294"/>
      <c r="G1568" s="294"/>
      <c r="H1568" s="294"/>
      <c r="I1568" s="294"/>
      <c r="J1568" s="294"/>
      <c r="L1568" s="295"/>
      <c r="M1568" s="294"/>
      <c r="O1568" s="294"/>
      <c r="P1568" s="294"/>
      <c r="Q1568" s="294"/>
      <c r="R1568" s="294"/>
      <c r="S1568" s="294"/>
      <c r="T1568" s="294"/>
      <c r="U1568" s="294"/>
      <c r="V1568" s="294"/>
      <c r="W1568" s="294"/>
      <c r="X1568" s="294"/>
      <c r="Y1568" s="294"/>
      <c r="Z1568" s="294"/>
      <c r="AA1568" s="294"/>
      <c r="AB1568" s="294"/>
      <c r="AC1568" s="294"/>
      <c r="AD1568" s="294"/>
      <c r="AE1568" s="294"/>
      <c r="AF1568" s="294"/>
      <c r="AG1568" s="294"/>
    </row>
    <row r="1569" spans="2:33" x14ac:dyDescent="0.25">
      <c r="B1569" s="294"/>
      <c r="C1569" s="294"/>
      <c r="D1569" s="294"/>
      <c r="E1569" s="294"/>
      <c r="F1569" s="294"/>
      <c r="G1569" s="294"/>
      <c r="H1569" s="294"/>
      <c r="I1569" s="294"/>
      <c r="J1569" s="294"/>
      <c r="L1569" s="295"/>
      <c r="M1569" s="294"/>
      <c r="O1569" s="294"/>
      <c r="P1569" s="294"/>
      <c r="Q1569" s="294"/>
      <c r="R1569" s="294"/>
      <c r="S1569" s="294"/>
      <c r="T1569" s="294"/>
      <c r="U1569" s="294"/>
      <c r="V1569" s="294"/>
      <c r="W1569" s="294"/>
      <c r="X1569" s="294"/>
      <c r="Y1569" s="294"/>
      <c r="Z1569" s="294"/>
      <c r="AA1569" s="294"/>
      <c r="AB1569" s="294"/>
      <c r="AC1569" s="294"/>
      <c r="AD1569" s="294"/>
      <c r="AE1569" s="294"/>
      <c r="AF1569" s="294"/>
      <c r="AG1569" s="294"/>
    </row>
    <row r="1570" spans="2:33" x14ac:dyDescent="0.25">
      <c r="B1570" s="294"/>
      <c r="C1570" s="294"/>
      <c r="D1570" s="294"/>
      <c r="E1570" s="294"/>
      <c r="F1570" s="294"/>
      <c r="G1570" s="294"/>
      <c r="H1570" s="294"/>
      <c r="I1570" s="294"/>
      <c r="J1570" s="294"/>
      <c r="L1570" s="295"/>
      <c r="M1570" s="294"/>
      <c r="O1570" s="294"/>
      <c r="P1570" s="294"/>
      <c r="Q1570" s="294"/>
      <c r="R1570" s="294"/>
      <c r="S1570" s="294"/>
      <c r="T1570" s="294"/>
      <c r="U1570" s="294"/>
      <c r="V1570" s="294"/>
      <c r="W1570" s="294"/>
      <c r="X1570" s="294"/>
      <c r="Y1570" s="294"/>
      <c r="Z1570" s="294"/>
      <c r="AA1570" s="294"/>
      <c r="AB1570" s="294"/>
      <c r="AC1570" s="294"/>
      <c r="AD1570" s="294"/>
      <c r="AE1570" s="294"/>
      <c r="AF1570" s="294"/>
      <c r="AG1570" s="294"/>
    </row>
    <row r="1571" spans="2:33" x14ac:dyDescent="0.25">
      <c r="B1571" s="294"/>
      <c r="C1571" s="294"/>
      <c r="D1571" s="294"/>
      <c r="E1571" s="294"/>
      <c r="F1571" s="294"/>
      <c r="G1571" s="294"/>
      <c r="H1571" s="294"/>
      <c r="I1571" s="294"/>
      <c r="J1571" s="294"/>
      <c r="L1571" s="295"/>
      <c r="M1571" s="294"/>
      <c r="O1571" s="294"/>
      <c r="P1571" s="294"/>
      <c r="Q1571" s="294"/>
      <c r="R1571" s="294"/>
      <c r="S1571" s="294"/>
      <c r="T1571" s="294"/>
      <c r="U1571" s="294"/>
      <c r="V1571" s="294"/>
      <c r="W1571" s="294"/>
      <c r="X1571" s="294"/>
      <c r="Y1571" s="294"/>
      <c r="Z1571" s="294"/>
      <c r="AA1571" s="294"/>
      <c r="AB1571" s="294"/>
      <c r="AC1571" s="294"/>
      <c r="AD1571" s="294"/>
      <c r="AE1571" s="294"/>
      <c r="AF1571" s="294"/>
      <c r="AG1571" s="294"/>
    </row>
    <row r="1572" spans="2:33" x14ac:dyDescent="0.25">
      <c r="B1572" s="294"/>
      <c r="C1572" s="294"/>
      <c r="D1572" s="294"/>
      <c r="E1572" s="294"/>
      <c r="F1572" s="294"/>
      <c r="G1572" s="294"/>
      <c r="H1572" s="294"/>
      <c r="I1572" s="294"/>
      <c r="J1572" s="294"/>
      <c r="L1572" s="295"/>
      <c r="M1572" s="294"/>
      <c r="O1572" s="294"/>
      <c r="P1572" s="294"/>
      <c r="Q1572" s="294"/>
      <c r="R1572" s="294"/>
      <c r="S1572" s="294"/>
      <c r="T1572" s="294"/>
      <c r="U1572" s="294"/>
      <c r="V1572" s="294"/>
      <c r="W1572" s="294"/>
      <c r="X1572" s="294"/>
      <c r="Y1572" s="294"/>
      <c r="Z1572" s="294"/>
      <c r="AA1572" s="294"/>
      <c r="AB1572" s="294"/>
      <c r="AC1572" s="294"/>
      <c r="AD1572" s="294"/>
      <c r="AE1572" s="294"/>
      <c r="AF1572" s="294"/>
      <c r="AG1572" s="294"/>
    </row>
    <row r="1573" spans="2:33" x14ac:dyDescent="0.25">
      <c r="B1573" s="294"/>
      <c r="C1573" s="294"/>
      <c r="D1573" s="294"/>
      <c r="E1573" s="294"/>
      <c r="F1573" s="294"/>
      <c r="G1573" s="294"/>
      <c r="H1573" s="294"/>
      <c r="I1573" s="294"/>
      <c r="J1573" s="294"/>
      <c r="L1573" s="295"/>
      <c r="M1573" s="294"/>
      <c r="O1573" s="294"/>
      <c r="P1573" s="294"/>
      <c r="Q1573" s="294"/>
      <c r="R1573" s="294"/>
      <c r="S1573" s="294"/>
      <c r="T1573" s="294"/>
      <c r="U1573" s="294"/>
      <c r="V1573" s="294"/>
      <c r="W1573" s="294"/>
      <c r="X1573" s="294"/>
      <c r="Y1573" s="294"/>
      <c r="Z1573" s="294"/>
      <c r="AA1573" s="294"/>
      <c r="AB1573" s="294"/>
      <c r="AC1573" s="294"/>
      <c r="AD1573" s="294"/>
      <c r="AE1573" s="294"/>
      <c r="AF1573" s="294"/>
      <c r="AG1573" s="294"/>
    </row>
    <row r="1574" spans="2:33" x14ac:dyDescent="0.25">
      <c r="B1574" s="294"/>
      <c r="C1574" s="294"/>
      <c r="D1574" s="294"/>
      <c r="E1574" s="294"/>
      <c r="F1574" s="294"/>
      <c r="G1574" s="294"/>
      <c r="H1574" s="294"/>
      <c r="I1574" s="294"/>
      <c r="J1574" s="294"/>
      <c r="L1574" s="295"/>
      <c r="M1574" s="294"/>
      <c r="O1574" s="294"/>
      <c r="P1574" s="294"/>
      <c r="Q1574" s="294"/>
      <c r="R1574" s="294"/>
      <c r="S1574" s="294"/>
      <c r="T1574" s="294"/>
      <c r="U1574" s="294"/>
      <c r="V1574" s="294"/>
      <c r="W1574" s="294"/>
      <c r="X1574" s="294"/>
      <c r="Y1574" s="294"/>
      <c r="Z1574" s="294"/>
      <c r="AA1574" s="294"/>
      <c r="AB1574" s="294"/>
      <c r="AC1574" s="294"/>
      <c r="AD1574" s="294"/>
      <c r="AE1574" s="294"/>
      <c r="AF1574" s="294"/>
      <c r="AG1574" s="294"/>
    </row>
    <row r="1575" spans="2:33" x14ac:dyDescent="0.25">
      <c r="B1575" s="294"/>
      <c r="C1575" s="294"/>
      <c r="D1575" s="294"/>
      <c r="E1575" s="294"/>
      <c r="F1575" s="294"/>
      <c r="G1575" s="294"/>
      <c r="H1575" s="294"/>
      <c r="I1575" s="294"/>
      <c r="J1575" s="294"/>
      <c r="L1575" s="295"/>
      <c r="M1575" s="294"/>
      <c r="O1575" s="294"/>
      <c r="P1575" s="294"/>
      <c r="Q1575" s="294"/>
      <c r="R1575" s="294"/>
      <c r="S1575" s="294"/>
      <c r="T1575" s="294"/>
      <c r="U1575" s="294"/>
      <c r="V1575" s="294"/>
      <c r="W1575" s="294"/>
      <c r="X1575" s="294"/>
      <c r="Y1575" s="294"/>
      <c r="Z1575" s="294"/>
      <c r="AA1575" s="294"/>
      <c r="AB1575" s="294"/>
      <c r="AC1575" s="294"/>
      <c r="AD1575" s="294"/>
      <c r="AE1575" s="294"/>
      <c r="AF1575" s="294"/>
      <c r="AG1575" s="294"/>
    </row>
    <row r="1576" spans="2:33" x14ac:dyDescent="0.25">
      <c r="B1576" s="294"/>
      <c r="C1576" s="294"/>
      <c r="D1576" s="294"/>
      <c r="E1576" s="294"/>
      <c r="F1576" s="294"/>
      <c r="G1576" s="294"/>
      <c r="H1576" s="294"/>
      <c r="I1576" s="294"/>
      <c r="J1576" s="294"/>
      <c r="L1576" s="295"/>
      <c r="M1576" s="294"/>
      <c r="O1576" s="294"/>
      <c r="P1576" s="294"/>
      <c r="Q1576" s="294"/>
      <c r="R1576" s="294"/>
      <c r="S1576" s="294"/>
      <c r="T1576" s="294"/>
      <c r="U1576" s="294"/>
      <c r="V1576" s="294"/>
      <c r="W1576" s="294"/>
      <c r="X1576" s="294"/>
      <c r="Y1576" s="294"/>
      <c r="Z1576" s="294"/>
      <c r="AA1576" s="294"/>
      <c r="AB1576" s="294"/>
      <c r="AC1576" s="294"/>
      <c r="AD1576" s="294"/>
      <c r="AE1576" s="294"/>
      <c r="AF1576" s="294"/>
      <c r="AG1576" s="294"/>
    </row>
    <row r="1577" spans="2:33" x14ac:dyDescent="0.25">
      <c r="B1577" s="294"/>
      <c r="C1577" s="294"/>
      <c r="D1577" s="294"/>
      <c r="E1577" s="294"/>
      <c r="F1577" s="294"/>
      <c r="G1577" s="294"/>
      <c r="H1577" s="294"/>
      <c r="I1577" s="294"/>
      <c r="J1577" s="294"/>
      <c r="L1577" s="295"/>
      <c r="M1577" s="294"/>
      <c r="O1577" s="294"/>
      <c r="P1577" s="294"/>
      <c r="Q1577" s="294"/>
      <c r="R1577" s="294"/>
      <c r="S1577" s="294"/>
      <c r="T1577" s="294"/>
      <c r="U1577" s="294"/>
      <c r="V1577" s="294"/>
      <c r="W1577" s="294"/>
      <c r="X1577" s="294"/>
      <c r="Y1577" s="294"/>
      <c r="Z1577" s="294"/>
      <c r="AA1577" s="294"/>
      <c r="AB1577" s="294"/>
      <c r="AC1577" s="294"/>
      <c r="AD1577" s="294"/>
      <c r="AE1577" s="294"/>
      <c r="AF1577" s="294"/>
      <c r="AG1577" s="294"/>
    </row>
    <row r="1578" spans="2:33" x14ac:dyDescent="0.25">
      <c r="B1578" s="294"/>
      <c r="C1578" s="294"/>
      <c r="D1578" s="294"/>
      <c r="E1578" s="294"/>
      <c r="F1578" s="294"/>
      <c r="G1578" s="294"/>
      <c r="H1578" s="294"/>
      <c r="I1578" s="294"/>
      <c r="J1578" s="294"/>
      <c r="L1578" s="295"/>
      <c r="M1578" s="294"/>
      <c r="O1578" s="294"/>
      <c r="P1578" s="294"/>
      <c r="Q1578" s="294"/>
      <c r="R1578" s="294"/>
      <c r="S1578" s="294"/>
      <c r="T1578" s="294"/>
      <c r="U1578" s="294"/>
      <c r="V1578" s="294"/>
      <c r="W1578" s="294"/>
      <c r="X1578" s="294"/>
      <c r="Y1578" s="294"/>
      <c r="Z1578" s="294"/>
      <c r="AA1578" s="294"/>
      <c r="AB1578" s="294"/>
      <c r="AC1578" s="294"/>
      <c r="AD1578" s="294"/>
      <c r="AE1578" s="294"/>
      <c r="AF1578" s="294"/>
      <c r="AG1578" s="294"/>
    </row>
    <row r="1579" spans="2:33" x14ac:dyDescent="0.25">
      <c r="B1579" s="294"/>
      <c r="C1579" s="294"/>
      <c r="D1579" s="294"/>
      <c r="E1579" s="294"/>
      <c r="F1579" s="294"/>
      <c r="G1579" s="294"/>
      <c r="H1579" s="294"/>
      <c r="I1579" s="294"/>
      <c r="J1579" s="294"/>
      <c r="L1579" s="295"/>
      <c r="M1579" s="294"/>
      <c r="O1579" s="294"/>
      <c r="P1579" s="294"/>
      <c r="Q1579" s="294"/>
      <c r="R1579" s="294"/>
      <c r="S1579" s="294"/>
      <c r="T1579" s="294"/>
      <c r="U1579" s="294"/>
      <c r="V1579" s="294"/>
      <c r="W1579" s="294"/>
      <c r="X1579" s="294"/>
      <c r="Y1579" s="294"/>
      <c r="Z1579" s="294"/>
      <c r="AA1579" s="294"/>
      <c r="AB1579" s="294"/>
      <c r="AC1579" s="294"/>
      <c r="AD1579" s="294"/>
      <c r="AE1579" s="294"/>
      <c r="AF1579" s="294"/>
      <c r="AG1579" s="294"/>
    </row>
    <row r="1580" spans="2:33" x14ac:dyDescent="0.25">
      <c r="B1580" s="294"/>
      <c r="C1580" s="294"/>
      <c r="D1580" s="294"/>
      <c r="E1580" s="294"/>
      <c r="F1580" s="294"/>
      <c r="G1580" s="294"/>
      <c r="H1580" s="294"/>
      <c r="I1580" s="294"/>
      <c r="J1580" s="294"/>
      <c r="L1580" s="295"/>
      <c r="M1580" s="294"/>
      <c r="O1580" s="294"/>
      <c r="P1580" s="294"/>
      <c r="Q1580" s="294"/>
      <c r="R1580" s="294"/>
      <c r="S1580" s="294"/>
      <c r="T1580" s="294"/>
      <c r="U1580" s="294"/>
      <c r="V1580" s="294"/>
      <c r="W1580" s="294"/>
      <c r="X1580" s="294"/>
      <c r="Y1580" s="294"/>
      <c r="Z1580" s="294"/>
      <c r="AA1580" s="294"/>
      <c r="AB1580" s="294"/>
      <c r="AC1580" s="294"/>
      <c r="AD1580" s="294"/>
      <c r="AE1580" s="294"/>
      <c r="AF1580" s="294"/>
      <c r="AG1580" s="294"/>
    </row>
    <row r="1581" spans="2:33" x14ac:dyDescent="0.25">
      <c r="B1581" s="294"/>
      <c r="C1581" s="294"/>
      <c r="D1581" s="294"/>
      <c r="E1581" s="294"/>
      <c r="F1581" s="294"/>
      <c r="G1581" s="294"/>
      <c r="H1581" s="294"/>
      <c r="I1581" s="294"/>
      <c r="J1581" s="294"/>
      <c r="L1581" s="295"/>
      <c r="M1581" s="294"/>
      <c r="O1581" s="294"/>
      <c r="P1581" s="294"/>
      <c r="Q1581" s="294"/>
      <c r="R1581" s="294"/>
      <c r="S1581" s="294"/>
      <c r="T1581" s="294"/>
      <c r="U1581" s="294"/>
      <c r="V1581" s="294"/>
      <c r="W1581" s="294"/>
      <c r="X1581" s="294"/>
      <c r="Y1581" s="294"/>
      <c r="Z1581" s="294"/>
      <c r="AA1581" s="294"/>
      <c r="AB1581" s="294"/>
      <c r="AC1581" s="294"/>
      <c r="AD1581" s="294"/>
      <c r="AE1581" s="294"/>
      <c r="AF1581" s="294"/>
      <c r="AG1581" s="294"/>
    </row>
    <row r="1582" spans="2:33" x14ac:dyDescent="0.25">
      <c r="B1582" s="294"/>
      <c r="C1582" s="294"/>
      <c r="D1582" s="294"/>
      <c r="E1582" s="294"/>
      <c r="F1582" s="294"/>
      <c r="G1582" s="294"/>
      <c r="H1582" s="294"/>
      <c r="I1582" s="294"/>
      <c r="J1582" s="294"/>
      <c r="L1582" s="295"/>
      <c r="M1582" s="294"/>
      <c r="O1582" s="294"/>
      <c r="P1582" s="294"/>
      <c r="Q1582" s="294"/>
      <c r="R1582" s="294"/>
      <c r="S1582" s="294"/>
      <c r="T1582" s="294"/>
      <c r="U1582" s="294"/>
      <c r="V1582" s="294"/>
      <c r="W1582" s="294"/>
      <c r="X1582" s="294"/>
      <c r="Y1582" s="294"/>
      <c r="Z1582" s="294"/>
      <c r="AA1582" s="294"/>
      <c r="AB1582" s="294"/>
      <c r="AC1582" s="294"/>
      <c r="AD1582" s="294"/>
      <c r="AE1582" s="294"/>
      <c r="AF1582" s="294"/>
      <c r="AG1582" s="294"/>
    </row>
    <row r="1583" spans="2:33" x14ac:dyDescent="0.25">
      <c r="B1583" s="294"/>
      <c r="C1583" s="294"/>
      <c r="D1583" s="294"/>
      <c r="E1583" s="294"/>
      <c r="F1583" s="294"/>
      <c r="G1583" s="294"/>
      <c r="H1583" s="294"/>
      <c r="I1583" s="294"/>
      <c r="J1583" s="294"/>
      <c r="L1583" s="295"/>
      <c r="M1583" s="294"/>
      <c r="O1583" s="294"/>
      <c r="P1583" s="294"/>
      <c r="Q1583" s="294"/>
      <c r="R1583" s="294"/>
      <c r="S1583" s="294"/>
      <c r="T1583" s="294"/>
      <c r="U1583" s="294"/>
      <c r="V1583" s="294"/>
      <c r="W1583" s="294"/>
      <c r="X1583" s="294"/>
      <c r="Y1583" s="294"/>
      <c r="Z1583" s="294"/>
      <c r="AA1583" s="294"/>
      <c r="AB1583" s="294"/>
      <c r="AC1583" s="294"/>
      <c r="AD1583" s="294"/>
      <c r="AE1583" s="294"/>
      <c r="AF1583" s="294"/>
      <c r="AG1583" s="294"/>
    </row>
    <row r="1584" spans="2:33" x14ac:dyDescent="0.25">
      <c r="B1584" s="294"/>
      <c r="C1584" s="294"/>
      <c r="D1584" s="294"/>
      <c r="E1584" s="294"/>
      <c r="F1584" s="294"/>
      <c r="G1584" s="294"/>
      <c r="H1584" s="294"/>
      <c r="I1584" s="294"/>
      <c r="J1584" s="294"/>
      <c r="L1584" s="295"/>
      <c r="M1584" s="294"/>
      <c r="O1584" s="294"/>
      <c r="P1584" s="294"/>
      <c r="Q1584" s="294"/>
      <c r="R1584" s="294"/>
      <c r="S1584" s="294"/>
      <c r="T1584" s="294"/>
      <c r="U1584" s="294"/>
      <c r="V1584" s="294"/>
      <c r="W1584" s="294"/>
      <c r="X1584" s="294"/>
      <c r="Y1584" s="294"/>
      <c r="Z1584" s="294"/>
      <c r="AA1584" s="294"/>
      <c r="AB1584" s="294"/>
      <c r="AC1584" s="294"/>
      <c r="AD1584" s="294"/>
      <c r="AE1584" s="294"/>
      <c r="AF1584" s="294"/>
      <c r="AG1584" s="294"/>
    </row>
    <row r="1585" spans="2:33" x14ac:dyDescent="0.25">
      <c r="B1585" s="294"/>
      <c r="C1585" s="294"/>
      <c r="D1585" s="294"/>
      <c r="E1585" s="294"/>
      <c r="F1585" s="294"/>
      <c r="G1585" s="294"/>
      <c r="H1585" s="294"/>
      <c r="I1585" s="294"/>
      <c r="J1585" s="294"/>
      <c r="L1585" s="295"/>
      <c r="M1585" s="294"/>
      <c r="O1585" s="294"/>
      <c r="P1585" s="294"/>
      <c r="Q1585" s="294"/>
      <c r="R1585" s="294"/>
      <c r="S1585" s="294"/>
      <c r="T1585" s="294"/>
      <c r="U1585" s="294"/>
      <c r="V1585" s="294"/>
      <c r="W1585" s="294"/>
      <c r="X1585" s="294"/>
      <c r="Y1585" s="294"/>
      <c r="Z1585" s="294"/>
      <c r="AA1585" s="294"/>
      <c r="AB1585" s="294"/>
      <c r="AC1585" s="294"/>
      <c r="AD1585" s="294"/>
      <c r="AE1585" s="294"/>
      <c r="AF1585" s="294"/>
      <c r="AG1585" s="294"/>
    </row>
    <row r="1586" spans="2:33" x14ac:dyDescent="0.25">
      <c r="B1586" s="294"/>
      <c r="C1586" s="294"/>
      <c r="D1586" s="294"/>
      <c r="E1586" s="294"/>
      <c r="F1586" s="294"/>
      <c r="G1586" s="294"/>
      <c r="H1586" s="294"/>
      <c r="I1586" s="294"/>
      <c r="J1586" s="294"/>
      <c r="L1586" s="295"/>
      <c r="M1586" s="294"/>
      <c r="O1586" s="294"/>
      <c r="P1586" s="294"/>
      <c r="Q1586" s="294"/>
      <c r="R1586" s="294"/>
      <c r="S1586" s="294"/>
      <c r="T1586" s="294"/>
      <c r="U1586" s="294"/>
      <c r="V1586" s="294"/>
      <c r="W1586" s="294"/>
      <c r="X1586" s="294"/>
      <c r="Y1586" s="294"/>
      <c r="Z1586" s="294"/>
      <c r="AA1586" s="294"/>
      <c r="AB1586" s="294"/>
      <c r="AC1586" s="294"/>
      <c r="AD1586" s="294"/>
      <c r="AE1586" s="294"/>
      <c r="AF1586" s="294"/>
      <c r="AG1586" s="294"/>
    </row>
    <row r="1587" spans="2:33" x14ac:dyDescent="0.25">
      <c r="B1587" s="294"/>
      <c r="C1587" s="294"/>
      <c r="D1587" s="294"/>
      <c r="E1587" s="294"/>
      <c r="F1587" s="294"/>
      <c r="G1587" s="294"/>
      <c r="H1587" s="294"/>
      <c r="I1587" s="294"/>
      <c r="J1587" s="294"/>
      <c r="L1587" s="295"/>
      <c r="M1587" s="294"/>
      <c r="O1587" s="294"/>
      <c r="P1587" s="294"/>
      <c r="Q1587" s="294"/>
      <c r="R1587" s="294"/>
      <c r="S1587" s="294"/>
      <c r="T1587" s="294"/>
      <c r="U1587" s="294"/>
      <c r="V1587" s="294"/>
      <c r="W1587" s="294"/>
      <c r="X1587" s="294"/>
      <c r="Y1587" s="294"/>
      <c r="Z1587" s="294"/>
      <c r="AA1587" s="294"/>
      <c r="AB1587" s="294"/>
      <c r="AC1587" s="294"/>
      <c r="AD1587" s="294"/>
      <c r="AE1587" s="294"/>
      <c r="AF1587" s="294"/>
      <c r="AG1587" s="294"/>
    </row>
    <row r="1588" spans="2:33" x14ac:dyDescent="0.25">
      <c r="B1588" s="294"/>
      <c r="C1588" s="294"/>
      <c r="D1588" s="294"/>
      <c r="E1588" s="294"/>
      <c r="F1588" s="294"/>
      <c r="G1588" s="294"/>
      <c r="H1588" s="294"/>
      <c r="I1588" s="294"/>
      <c r="J1588" s="294"/>
      <c r="L1588" s="295"/>
      <c r="M1588" s="294"/>
      <c r="O1588" s="294"/>
      <c r="P1588" s="294"/>
      <c r="Q1588" s="294"/>
      <c r="R1588" s="294"/>
      <c r="S1588" s="294"/>
      <c r="T1588" s="294"/>
      <c r="U1588" s="294"/>
      <c r="V1588" s="294"/>
      <c r="W1588" s="294"/>
      <c r="X1588" s="294"/>
      <c r="Y1588" s="294"/>
      <c r="Z1588" s="294"/>
      <c r="AA1588" s="294"/>
      <c r="AB1588" s="294"/>
      <c r="AC1588" s="294"/>
      <c r="AD1588" s="294"/>
      <c r="AE1588" s="294"/>
      <c r="AF1588" s="294"/>
      <c r="AG1588" s="294"/>
    </row>
    <row r="1589" spans="2:33" x14ac:dyDescent="0.25">
      <c r="B1589" s="294"/>
      <c r="C1589" s="294"/>
      <c r="D1589" s="294"/>
      <c r="E1589" s="294"/>
      <c r="F1589" s="294"/>
      <c r="G1589" s="294"/>
      <c r="H1589" s="294"/>
      <c r="I1589" s="294"/>
      <c r="J1589" s="294"/>
      <c r="L1589" s="295"/>
      <c r="M1589" s="294"/>
      <c r="O1589" s="294"/>
      <c r="P1589" s="294"/>
      <c r="Q1589" s="294"/>
      <c r="R1589" s="294"/>
      <c r="S1589" s="294"/>
      <c r="T1589" s="294"/>
      <c r="U1589" s="294"/>
      <c r="V1589" s="294"/>
      <c r="W1589" s="294"/>
      <c r="X1589" s="294"/>
      <c r="Y1589" s="294"/>
      <c r="Z1589" s="294"/>
      <c r="AA1589" s="294"/>
      <c r="AB1589" s="294"/>
      <c r="AC1589" s="294"/>
      <c r="AD1589" s="294"/>
      <c r="AE1589" s="294"/>
      <c r="AF1589" s="294"/>
      <c r="AG1589" s="294"/>
    </row>
    <row r="1590" spans="2:33" x14ac:dyDescent="0.25">
      <c r="B1590" s="294"/>
      <c r="C1590" s="294"/>
      <c r="D1590" s="294"/>
      <c r="E1590" s="294"/>
      <c r="F1590" s="294"/>
      <c r="G1590" s="294"/>
      <c r="H1590" s="294"/>
      <c r="I1590" s="294"/>
      <c r="J1590" s="294"/>
      <c r="L1590" s="295"/>
      <c r="M1590" s="294"/>
      <c r="O1590" s="294"/>
      <c r="P1590" s="294"/>
      <c r="Q1590" s="294"/>
      <c r="R1590" s="294"/>
      <c r="S1590" s="294"/>
      <c r="T1590" s="294"/>
      <c r="U1590" s="294"/>
      <c r="V1590" s="294"/>
      <c r="W1590" s="294"/>
      <c r="X1590" s="294"/>
      <c r="Y1590" s="294"/>
      <c r="Z1590" s="294"/>
      <c r="AA1590" s="294"/>
      <c r="AB1590" s="294"/>
      <c r="AC1590" s="294"/>
      <c r="AD1590" s="294"/>
      <c r="AE1590" s="294"/>
      <c r="AF1590" s="294"/>
      <c r="AG1590" s="294"/>
    </row>
    <row r="1591" spans="2:33" x14ac:dyDescent="0.25">
      <c r="B1591" s="294"/>
      <c r="C1591" s="294"/>
      <c r="D1591" s="294"/>
      <c r="E1591" s="294"/>
      <c r="F1591" s="294"/>
      <c r="G1591" s="294"/>
      <c r="H1591" s="294"/>
      <c r="I1591" s="294"/>
      <c r="J1591" s="294"/>
      <c r="L1591" s="295"/>
      <c r="M1591" s="294"/>
      <c r="O1591" s="294"/>
      <c r="P1591" s="294"/>
      <c r="Q1591" s="294"/>
      <c r="R1591" s="294"/>
      <c r="S1591" s="294"/>
      <c r="T1591" s="294"/>
      <c r="U1591" s="294"/>
      <c r="V1591" s="294"/>
      <c r="W1591" s="294"/>
      <c r="X1591" s="294"/>
      <c r="Y1591" s="294"/>
      <c r="Z1591" s="294"/>
      <c r="AA1591" s="294"/>
      <c r="AB1591" s="294"/>
      <c r="AC1591" s="294"/>
      <c r="AD1591" s="294"/>
      <c r="AE1591" s="294"/>
      <c r="AF1591" s="294"/>
      <c r="AG1591" s="294"/>
    </row>
    <row r="1592" spans="2:33" x14ac:dyDescent="0.25">
      <c r="B1592" s="294"/>
      <c r="C1592" s="294"/>
      <c r="D1592" s="294"/>
      <c r="E1592" s="294"/>
      <c r="F1592" s="294"/>
      <c r="G1592" s="294"/>
      <c r="H1592" s="294"/>
      <c r="I1592" s="294"/>
      <c r="J1592" s="294"/>
      <c r="L1592" s="295"/>
      <c r="M1592" s="294"/>
      <c r="O1592" s="294"/>
      <c r="P1592" s="294"/>
      <c r="Q1592" s="294"/>
      <c r="R1592" s="294"/>
      <c r="S1592" s="294"/>
      <c r="T1592" s="294"/>
      <c r="U1592" s="294"/>
      <c r="V1592" s="294"/>
      <c r="W1592" s="294"/>
      <c r="X1592" s="294"/>
      <c r="Y1592" s="294"/>
      <c r="Z1592" s="294"/>
      <c r="AA1592" s="294"/>
      <c r="AB1592" s="294"/>
      <c r="AC1592" s="294"/>
      <c r="AD1592" s="294"/>
      <c r="AE1592" s="294"/>
      <c r="AF1592" s="294"/>
      <c r="AG1592" s="294"/>
    </row>
    <row r="1593" spans="2:33" x14ac:dyDescent="0.25">
      <c r="B1593" s="294"/>
      <c r="C1593" s="294"/>
      <c r="D1593" s="294"/>
      <c r="E1593" s="294"/>
      <c r="F1593" s="294"/>
      <c r="G1593" s="294"/>
      <c r="H1593" s="294"/>
      <c r="I1593" s="294"/>
      <c r="J1593" s="294"/>
      <c r="L1593" s="295"/>
      <c r="M1593" s="294"/>
      <c r="O1593" s="294"/>
      <c r="P1593" s="294"/>
      <c r="Q1593" s="294"/>
      <c r="R1593" s="294"/>
      <c r="S1593" s="294"/>
      <c r="T1593" s="294"/>
      <c r="U1593" s="294"/>
      <c r="V1593" s="294"/>
      <c r="W1593" s="294"/>
      <c r="X1593" s="294"/>
      <c r="Y1593" s="294"/>
      <c r="Z1593" s="294"/>
      <c r="AA1593" s="294"/>
      <c r="AB1593" s="294"/>
      <c r="AC1593" s="294"/>
      <c r="AD1593" s="294"/>
      <c r="AE1593" s="294"/>
      <c r="AF1593" s="294"/>
      <c r="AG1593" s="294"/>
    </row>
    <row r="1594" spans="2:33" x14ac:dyDescent="0.25">
      <c r="B1594" s="294"/>
      <c r="C1594" s="294"/>
      <c r="D1594" s="294"/>
      <c r="E1594" s="294"/>
      <c r="F1594" s="294"/>
      <c r="G1594" s="294"/>
      <c r="H1594" s="294"/>
      <c r="I1594" s="294"/>
      <c r="J1594" s="294"/>
      <c r="L1594" s="295"/>
      <c r="M1594" s="294"/>
      <c r="O1594" s="294"/>
      <c r="P1594" s="294"/>
      <c r="Q1594" s="294"/>
      <c r="R1594" s="294"/>
      <c r="S1594" s="294"/>
      <c r="T1594" s="294"/>
      <c r="U1594" s="294"/>
      <c r="V1594" s="294"/>
      <c r="W1594" s="294"/>
      <c r="X1594" s="294"/>
      <c r="Y1594" s="294"/>
      <c r="Z1594" s="294"/>
      <c r="AA1594" s="294"/>
      <c r="AB1594" s="294"/>
      <c r="AC1594" s="294"/>
      <c r="AD1594" s="294"/>
      <c r="AE1594" s="294"/>
      <c r="AF1594" s="294"/>
      <c r="AG1594" s="294"/>
    </row>
    <row r="1595" spans="2:33" x14ac:dyDescent="0.25">
      <c r="B1595" s="294"/>
      <c r="C1595" s="294"/>
      <c r="D1595" s="294"/>
      <c r="E1595" s="294"/>
      <c r="F1595" s="294"/>
      <c r="G1595" s="294"/>
      <c r="H1595" s="294"/>
      <c r="I1595" s="294"/>
      <c r="J1595" s="294"/>
      <c r="L1595" s="295"/>
      <c r="M1595" s="294"/>
      <c r="O1595" s="294"/>
      <c r="P1595" s="294"/>
      <c r="Q1595" s="294"/>
      <c r="R1595" s="294"/>
      <c r="S1595" s="294"/>
      <c r="T1595" s="294"/>
      <c r="U1595" s="294"/>
      <c r="V1595" s="294"/>
      <c r="W1595" s="294"/>
      <c r="X1595" s="294"/>
      <c r="Y1595" s="294"/>
      <c r="Z1595" s="294"/>
      <c r="AA1595" s="294"/>
      <c r="AB1595" s="294"/>
      <c r="AC1595" s="294"/>
      <c r="AD1595" s="294"/>
      <c r="AE1595" s="294"/>
      <c r="AF1595" s="294"/>
      <c r="AG1595" s="294"/>
    </row>
    <row r="1596" spans="2:33" x14ac:dyDescent="0.25">
      <c r="B1596" s="294"/>
      <c r="C1596" s="294"/>
      <c r="D1596" s="294"/>
      <c r="E1596" s="294"/>
      <c r="F1596" s="294"/>
      <c r="G1596" s="294"/>
      <c r="H1596" s="294"/>
      <c r="I1596" s="294"/>
      <c r="J1596" s="294"/>
      <c r="L1596" s="295"/>
      <c r="M1596" s="294"/>
      <c r="O1596" s="294"/>
      <c r="P1596" s="294"/>
      <c r="Q1596" s="294"/>
      <c r="R1596" s="294"/>
      <c r="S1596" s="294"/>
      <c r="T1596" s="294"/>
      <c r="U1596" s="294"/>
      <c r="V1596" s="294"/>
      <c r="W1596" s="294"/>
      <c r="X1596" s="294"/>
      <c r="Y1596" s="294"/>
      <c r="Z1596" s="294"/>
      <c r="AA1596" s="294"/>
      <c r="AB1596" s="294"/>
      <c r="AC1596" s="294"/>
      <c r="AD1596" s="294"/>
      <c r="AE1596" s="294"/>
      <c r="AF1596" s="294"/>
      <c r="AG1596" s="294"/>
    </row>
    <row r="1597" spans="2:33" x14ac:dyDescent="0.25">
      <c r="B1597" s="294"/>
      <c r="C1597" s="294"/>
      <c r="D1597" s="294"/>
      <c r="E1597" s="294"/>
      <c r="F1597" s="294"/>
      <c r="G1597" s="294"/>
      <c r="H1597" s="294"/>
      <c r="I1597" s="294"/>
      <c r="J1597" s="294"/>
      <c r="L1597" s="295"/>
      <c r="M1597" s="294"/>
      <c r="O1597" s="294"/>
      <c r="P1597" s="294"/>
      <c r="Q1597" s="294"/>
      <c r="R1597" s="294"/>
      <c r="S1597" s="294"/>
      <c r="T1597" s="294"/>
      <c r="U1597" s="294"/>
      <c r="V1597" s="294"/>
      <c r="W1597" s="294"/>
      <c r="X1597" s="294"/>
      <c r="Y1597" s="294"/>
      <c r="Z1597" s="294"/>
      <c r="AA1597" s="294"/>
      <c r="AB1597" s="294"/>
      <c r="AC1597" s="294"/>
      <c r="AD1597" s="294"/>
      <c r="AE1597" s="294"/>
      <c r="AF1597" s="294"/>
      <c r="AG1597" s="294"/>
    </row>
    <row r="1598" spans="2:33" x14ac:dyDescent="0.25">
      <c r="B1598" s="294"/>
      <c r="C1598" s="294"/>
      <c r="D1598" s="294"/>
      <c r="E1598" s="294"/>
      <c r="F1598" s="294"/>
      <c r="G1598" s="294"/>
      <c r="H1598" s="294"/>
      <c r="I1598" s="294"/>
      <c r="J1598" s="294"/>
      <c r="L1598" s="295"/>
      <c r="M1598" s="294"/>
      <c r="O1598" s="294"/>
      <c r="P1598" s="294"/>
      <c r="Q1598" s="294"/>
      <c r="R1598" s="294"/>
      <c r="S1598" s="294"/>
      <c r="T1598" s="294"/>
      <c r="U1598" s="294"/>
      <c r="V1598" s="294"/>
      <c r="W1598" s="294"/>
      <c r="X1598" s="294"/>
      <c r="Y1598" s="294"/>
      <c r="Z1598" s="294"/>
      <c r="AA1598" s="294"/>
      <c r="AB1598" s="294"/>
      <c r="AC1598" s="294"/>
      <c r="AD1598" s="294"/>
      <c r="AE1598" s="294"/>
      <c r="AF1598" s="294"/>
      <c r="AG1598" s="294"/>
    </row>
    <row r="1599" spans="2:33" x14ac:dyDescent="0.25">
      <c r="B1599" s="294"/>
      <c r="C1599" s="294"/>
      <c r="D1599" s="294"/>
      <c r="E1599" s="294"/>
      <c r="F1599" s="294"/>
      <c r="G1599" s="294"/>
      <c r="H1599" s="294"/>
      <c r="I1599" s="294"/>
      <c r="J1599" s="294"/>
      <c r="L1599" s="295"/>
      <c r="M1599" s="294"/>
      <c r="O1599" s="294"/>
      <c r="P1599" s="294"/>
      <c r="Q1599" s="294"/>
      <c r="R1599" s="294"/>
      <c r="S1599" s="294"/>
      <c r="T1599" s="294"/>
      <c r="U1599" s="294"/>
      <c r="V1599" s="294"/>
      <c r="W1599" s="294"/>
      <c r="X1599" s="294"/>
      <c r="Y1599" s="294"/>
      <c r="Z1599" s="294"/>
      <c r="AA1599" s="294"/>
      <c r="AB1599" s="294"/>
      <c r="AC1599" s="294"/>
      <c r="AD1599" s="294"/>
      <c r="AE1599" s="294"/>
      <c r="AF1599" s="294"/>
      <c r="AG1599" s="294"/>
    </row>
    <row r="1600" spans="2:33" x14ac:dyDescent="0.25">
      <c r="B1600" s="294"/>
      <c r="C1600" s="294"/>
      <c r="D1600" s="294"/>
      <c r="E1600" s="294"/>
      <c r="F1600" s="294"/>
      <c r="G1600" s="294"/>
      <c r="H1600" s="294"/>
      <c r="I1600" s="294"/>
      <c r="J1600" s="294"/>
      <c r="L1600" s="295"/>
      <c r="M1600" s="294"/>
      <c r="O1600" s="294"/>
      <c r="P1600" s="294"/>
      <c r="Q1600" s="294"/>
      <c r="R1600" s="294"/>
      <c r="S1600" s="294"/>
      <c r="T1600" s="294"/>
      <c r="U1600" s="294"/>
      <c r="V1600" s="294"/>
      <c r="W1600" s="294"/>
      <c r="X1600" s="294"/>
      <c r="Y1600" s="294"/>
      <c r="Z1600" s="294"/>
      <c r="AA1600" s="294"/>
      <c r="AB1600" s="294"/>
      <c r="AC1600" s="294"/>
      <c r="AD1600" s="294"/>
      <c r="AE1600" s="294"/>
      <c r="AF1600" s="294"/>
      <c r="AG1600" s="294"/>
    </row>
    <row r="1601" spans="2:33" x14ac:dyDescent="0.25">
      <c r="B1601" s="294"/>
      <c r="C1601" s="294"/>
      <c r="D1601" s="294"/>
      <c r="E1601" s="294"/>
      <c r="F1601" s="294"/>
      <c r="G1601" s="294"/>
      <c r="H1601" s="294"/>
      <c r="I1601" s="294"/>
      <c r="J1601" s="294"/>
      <c r="L1601" s="295"/>
      <c r="M1601" s="294"/>
      <c r="O1601" s="294"/>
      <c r="P1601" s="294"/>
      <c r="Q1601" s="294"/>
      <c r="R1601" s="294"/>
      <c r="S1601" s="294"/>
      <c r="T1601" s="294"/>
      <c r="U1601" s="294"/>
      <c r="V1601" s="294"/>
      <c r="W1601" s="294"/>
      <c r="X1601" s="294"/>
      <c r="Y1601" s="294"/>
      <c r="Z1601" s="294"/>
      <c r="AA1601" s="294"/>
      <c r="AB1601" s="294"/>
      <c r="AC1601" s="294"/>
      <c r="AD1601" s="294"/>
      <c r="AE1601" s="294"/>
      <c r="AF1601" s="294"/>
      <c r="AG1601" s="294"/>
    </row>
    <row r="1602" spans="2:33" x14ac:dyDescent="0.25">
      <c r="B1602" s="294"/>
      <c r="C1602" s="294"/>
      <c r="D1602" s="294"/>
      <c r="E1602" s="294"/>
      <c r="F1602" s="294"/>
      <c r="G1602" s="294"/>
      <c r="H1602" s="294"/>
      <c r="I1602" s="294"/>
      <c r="J1602" s="294"/>
      <c r="L1602" s="295"/>
      <c r="M1602" s="294"/>
      <c r="O1602" s="294"/>
      <c r="P1602" s="294"/>
      <c r="Q1602" s="294"/>
      <c r="R1602" s="294"/>
      <c r="S1602" s="294"/>
      <c r="T1602" s="294"/>
      <c r="U1602" s="294"/>
      <c r="V1602" s="294"/>
      <c r="W1602" s="294"/>
      <c r="X1602" s="294"/>
      <c r="Y1602" s="294"/>
      <c r="Z1602" s="294"/>
      <c r="AA1602" s="294"/>
      <c r="AB1602" s="294"/>
      <c r="AC1602" s="294"/>
      <c r="AD1602" s="294"/>
      <c r="AE1602" s="294"/>
      <c r="AF1602" s="294"/>
      <c r="AG1602" s="294"/>
    </row>
    <row r="1603" spans="2:33" x14ac:dyDescent="0.25">
      <c r="B1603" s="294"/>
      <c r="C1603" s="294"/>
      <c r="D1603" s="294"/>
      <c r="E1603" s="294"/>
      <c r="F1603" s="294"/>
      <c r="G1603" s="294"/>
      <c r="H1603" s="294"/>
      <c r="I1603" s="294"/>
      <c r="J1603" s="294"/>
      <c r="L1603" s="295"/>
      <c r="M1603" s="294"/>
      <c r="O1603" s="294"/>
      <c r="P1603" s="294"/>
      <c r="Q1603" s="294"/>
      <c r="R1603" s="294"/>
      <c r="S1603" s="294"/>
      <c r="T1603" s="294"/>
      <c r="U1603" s="294"/>
      <c r="V1603" s="294"/>
      <c r="W1603" s="294"/>
      <c r="X1603" s="294"/>
      <c r="Y1603" s="294"/>
      <c r="Z1603" s="294"/>
      <c r="AA1603" s="294"/>
      <c r="AB1603" s="294"/>
      <c r="AC1603" s="294"/>
      <c r="AD1603" s="294"/>
      <c r="AE1603" s="294"/>
      <c r="AF1603" s="294"/>
      <c r="AG1603" s="294"/>
    </row>
    <row r="1604" spans="2:33" x14ac:dyDescent="0.25">
      <c r="B1604" s="294"/>
      <c r="C1604" s="294"/>
      <c r="D1604" s="294"/>
      <c r="E1604" s="294"/>
      <c r="F1604" s="294"/>
      <c r="G1604" s="294"/>
      <c r="H1604" s="294"/>
      <c r="I1604" s="294"/>
      <c r="J1604" s="294"/>
      <c r="L1604" s="295"/>
      <c r="M1604" s="294"/>
      <c r="O1604" s="294"/>
      <c r="P1604" s="294"/>
      <c r="Q1604" s="294"/>
      <c r="R1604" s="294"/>
      <c r="S1604" s="294"/>
      <c r="T1604" s="294"/>
      <c r="U1604" s="294"/>
      <c r="V1604" s="294"/>
      <c r="W1604" s="294"/>
      <c r="X1604" s="294"/>
      <c r="Y1604" s="294"/>
      <c r="Z1604" s="294"/>
      <c r="AA1604" s="294"/>
      <c r="AB1604" s="294"/>
      <c r="AC1604" s="294"/>
      <c r="AD1604" s="294"/>
      <c r="AE1604" s="294"/>
      <c r="AF1604" s="294"/>
      <c r="AG1604" s="294"/>
    </row>
    <row r="1605" spans="2:33" x14ac:dyDescent="0.25">
      <c r="B1605" s="294"/>
      <c r="C1605" s="294"/>
      <c r="D1605" s="294"/>
      <c r="E1605" s="294"/>
      <c r="F1605" s="294"/>
      <c r="G1605" s="294"/>
      <c r="H1605" s="294"/>
      <c r="I1605" s="294"/>
      <c r="J1605" s="294"/>
      <c r="L1605" s="295"/>
      <c r="M1605" s="294"/>
      <c r="O1605" s="294"/>
      <c r="P1605" s="294"/>
      <c r="Q1605" s="294"/>
      <c r="R1605" s="294"/>
      <c r="S1605" s="294"/>
      <c r="T1605" s="294"/>
      <c r="U1605" s="294"/>
      <c r="V1605" s="294"/>
      <c r="W1605" s="294"/>
      <c r="X1605" s="294"/>
      <c r="Y1605" s="294"/>
      <c r="Z1605" s="294"/>
      <c r="AA1605" s="294"/>
      <c r="AB1605" s="294"/>
      <c r="AC1605" s="294"/>
      <c r="AD1605" s="294"/>
      <c r="AE1605" s="294"/>
      <c r="AF1605" s="294"/>
      <c r="AG1605" s="294"/>
    </row>
    <row r="1606" spans="2:33" x14ac:dyDescent="0.25">
      <c r="B1606" s="294"/>
      <c r="C1606" s="294"/>
      <c r="D1606" s="294"/>
      <c r="E1606" s="294"/>
      <c r="F1606" s="294"/>
      <c r="G1606" s="294"/>
      <c r="H1606" s="294"/>
      <c r="I1606" s="294"/>
      <c r="J1606" s="294"/>
      <c r="L1606" s="295"/>
      <c r="M1606" s="294"/>
      <c r="O1606" s="294"/>
      <c r="P1606" s="294"/>
      <c r="Q1606" s="294"/>
      <c r="R1606" s="294"/>
      <c r="S1606" s="294"/>
      <c r="T1606" s="294"/>
      <c r="U1606" s="294"/>
      <c r="V1606" s="294"/>
      <c r="W1606" s="294"/>
      <c r="X1606" s="294"/>
      <c r="Y1606" s="294"/>
      <c r="Z1606" s="294"/>
      <c r="AA1606" s="294"/>
      <c r="AB1606" s="294"/>
      <c r="AC1606" s="294"/>
      <c r="AD1606" s="294"/>
      <c r="AE1606" s="294"/>
      <c r="AF1606" s="294"/>
      <c r="AG1606" s="294"/>
    </row>
    <row r="1607" spans="2:33" x14ac:dyDescent="0.25">
      <c r="B1607" s="294"/>
      <c r="C1607" s="294"/>
      <c r="D1607" s="294"/>
      <c r="E1607" s="294"/>
      <c r="F1607" s="294"/>
      <c r="G1607" s="294"/>
      <c r="H1607" s="294"/>
      <c r="I1607" s="294"/>
      <c r="J1607" s="294"/>
      <c r="L1607" s="295"/>
      <c r="M1607" s="294"/>
      <c r="O1607" s="294"/>
      <c r="P1607" s="294"/>
      <c r="Q1607" s="294"/>
      <c r="R1607" s="294"/>
      <c r="S1607" s="294"/>
      <c r="T1607" s="294"/>
      <c r="U1607" s="294"/>
      <c r="V1607" s="294"/>
      <c r="W1607" s="294"/>
      <c r="X1607" s="294"/>
      <c r="Y1607" s="294"/>
      <c r="Z1607" s="294"/>
      <c r="AA1607" s="294"/>
      <c r="AB1607" s="294"/>
      <c r="AC1607" s="294"/>
      <c r="AD1607" s="294"/>
      <c r="AE1607" s="294"/>
      <c r="AF1607" s="294"/>
      <c r="AG1607" s="294"/>
    </row>
    <row r="1608" spans="2:33" x14ac:dyDescent="0.25">
      <c r="B1608" s="294"/>
      <c r="C1608" s="294"/>
      <c r="D1608" s="294"/>
      <c r="E1608" s="294"/>
      <c r="F1608" s="294"/>
      <c r="G1608" s="294"/>
      <c r="H1608" s="294"/>
      <c r="I1608" s="294"/>
      <c r="J1608" s="294"/>
      <c r="L1608" s="295"/>
      <c r="M1608" s="294"/>
      <c r="O1608" s="294"/>
      <c r="P1608" s="294"/>
      <c r="Q1608" s="294"/>
      <c r="R1608" s="294"/>
      <c r="S1608" s="294"/>
      <c r="T1608" s="294"/>
      <c r="U1608" s="294"/>
      <c r="V1608" s="294"/>
      <c r="W1608" s="294"/>
      <c r="X1608" s="294"/>
      <c r="Y1608" s="294"/>
      <c r="Z1608" s="294"/>
      <c r="AA1608" s="294"/>
      <c r="AB1608" s="294"/>
      <c r="AC1608" s="294"/>
      <c r="AD1608" s="294"/>
      <c r="AE1608" s="294"/>
      <c r="AF1608" s="294"/>
      <c r="AG1608" s="294"/>
    </row>
    <row r="1609" spans="2:33" x14ac:dyDescent="0.25">
      <c r="B1609" s="294"/>
      <c r="C1609" s="294"/>
      <c r="D1609" s="294"/>
      <c r="E1609" s="294"/>
      <c r="F1609" s="294"/>
      <c r="G1609" s="294"/>
      <c r="H1609" s="294"/>
      <c r="I1609" s="294"/>
      <c r="J1609" s="294"/>
      <c r="L1609" s="295"/>
      <c r="M1609" s="294"/>
      <c r="O1609" s="294"/>
      <c r="P1609" s="294"/>
      <c r="Q1609" s="294"/>
      <c r="R1609" s="294"/>
      <c r="S1609" s="294"/>
      <c r="T1609" s="294"/>
      <c r="U1609" s="294"/>
      <c r="V1609" s="294"/>
      <c r="W1609" s="294"/>
      <c r="X1609" s="294"/>
      <c r="Y1609" s="294"/>
      <c r="Z1609" s="294"/>
      <c r="AA1609" s="294"/>
      <c r="AB1609" s="294"/>
      <c r="AC1609" s="294"/>
      <c r="AD1609" s="294"/>
      <c r="AE1609" s="294"/>
      <c r="AF1609" s="294"/>
      <c r="AG1609" s="294"/>
    </row>
    <row r="1610" spans="2:33" x14ac:dyDescent="0.25">
      <c r="B1610" s="294"/>
      <c r="C1610" s="294"/>
      <c r="D1610" s="294"/>
      <c r="E1610" s="294"/>
      <c r="F1610" s="294"/>
      <c r="G1610" s="294"/>
      <c r="H1610" s="294"/>
      <c r="I1610" s="294"/>
      <c r="J1610" s="294"/>
      <c r="L1610" s="295"/>
      <c r="M1610" s="294"/>
      <c r="O1610" s="294"/>
      <c r="P1610" s="294"/>
      <c r="Q1610" s="294"/>
      <c r="R1610" s="294"/>
      <c r="S1610" s="294"/>
      <c r="T1610" s="294"/>
      <c r="U1610" s="294"/>
      <c r="V1610" s="294"/>
      <c r="W1610" s="294"/>
      <c r="X1610" s="294"/>
      <c r="Y1610" s="294"/>
      <c r="Z1610" s="294"/>
      <c r="AA1610" s="294"/>
      <c r="AB1610" s="294"/>
      <c r="AC1610" s="294"/>
      <c r="AD1610" s="294"/>
      <c r="AE1610" s="294"/>
      <c r="AF1610" s="294"/>
      <c r="AG1610" s="294"/>
    </row>
    <row r="1611" spans="2:33" x14ac:dyDescent="0.25">
      <c r="B1611" s="294"/>
      <c r="C1611" s="294"/>
      <c r="D1611" s="294"/>
      <c r="E1611" s="294"/>
      <c r="F1611" s="294"/>
      <c r="G1611" s="294"/>
      <c r="H1611" s="294"/>
      <c r="I1611" s="294"/>
      <c r="J1611" s="294"/>
      <c r="L1611" s="295"/>
      <c r="M1611" s="294"/>
      <c r="O1611" s="294"/>
      <c r="P1611" s="294"/>
      <c r="Q1611" s="294"/>
      <c r="R1611" s="294"/>
      <c r="S1611" s="294"/>
      <c r="T1611" s="294"/>
      <c r="U1611" s="294"/>
      <c r="V1611" s="294"/>
      <c r="W1611" s="294"/>
      <c r="X1611" s="294"/>
      <c r="Y1611" s="294"/>
      <c r="Z1611" s="294"/>
      <c r="AA1611" s="294"/>
      <c r="AB1611" s="294"/>
      <c r="AC1611" s="294"/>
      <c r="AD1611" s="294"/>
      <c r="AE1611" s="294"/>
      <c r="AF1611" s="294"/>
      <c r="AG1611" s="294"/>
    </row>
    <row r="1612" spans="2:33" x14ac:dyDescent="0.25">
      <c r="B1612" s="294"/>
      <c r="C1612" s="294"/>
      <c r="D1612" s="294"/>
      <c r="E1612" s="294"/>
      <c r="F1612" s="294"/>
      <c r="G1612" s="294"/>
      <c r="H1612" s="294"/>
      <c r="I1612" s="294"/>
      <c r="J1612" s="294"/>
      <c r="L1612" s="295"/>
      <c r="M1612" s="294"/>
      <c r="O1612" s="294"/>
      <c r="P1612" s="294"/>
      <c r="Q1612" s="294"/>
      <c r="R1612" s="294"/>
      <c r="S1612" s="294"/>
      <c r="T1612" s="294"/>
      <c r="U1612" s="294"/>
      <c r="V1612" s="294"/>
      <c r="W1612" s="294"/>
      <c r="X1612" s="294"/>
      <c r="Y1612" s="294"/>
      <c r="Z1612" s="294"/>
      <c r="AA1612" s="294"/>
      <c r="AB1612" s="294"/>
      <c r="AC1612" s="294"/>
      <c r="AD1612" s="294"/>
      <c r="AE1612" s="294"/>
      <c r="AF1612" s="294"/>
      <c r="AG1612" s="294"/>
    </row>
    <row r="1613" spans="2:33" x14ac:dyDescent="0.25">
      <c r="B1613" s="294"/>
      <c r="C1613" s="294"/>
      <c r="D1613" s="294"/>
      <c r="E1613" s="294"/>
      <c r="F1613" s="294"/>
      <c r="G1613" s="294"/>
      <c r="H1613" s="294"/>
      <c r="I1613" s="294"/>
      <c r="J1613" s="294"/>
      <c r="L1613" s="295"/>
      <c r="M1613" s="294"/>
      <c r="O1613" s="294"/>
      <c r="P1613" s="294"/>
      <c r="Q1613" s="294"/>
      <c r="R1613" s="294"/>
      <c r="S1613" s="294"/>
      <c r="T1613" s="294"/>
      <c r="U1613" s="294"/>
      <c r="V1613" s="294"/>
      <c r="W1613" s="294"/>
      <c r="X1613" s="294"/>
      <c r="Y1613" s="294"/>
      <c r="Z1613" s="294"/>
      <c r="AA1613" s="294"/>
      <c r="AB1613" s="294"/>
      <c r="AC1613" s="294"/>
      <c r="AD1613" s="294"/>
      <c r="AE1613" s="294"/>
      <c r="AF1613" s="294"/>
      <c r="AG1613" s="294"/>
    </row>
    <row r="1614" spans="2:33" x14ac:dyDescent="0.25">
      <c r="B1614" s="294"/>
      <c r="C1614" s="294"/>
      <c r="D1614" s="294"/>
      <c r="E1614" s="294"/>
      <c r="F1614" s="294"/>
      <c r="G1614" s="294"/>
      <c r="H1614" s="294"/>
      <c r="I1614" s="294"/>
      <c r="J1614" s="294"/>
      <c r="L1614" s="295"/>
      <c r="M1614" s="294"/>
      <c r="O1614" s="294"/>
      <c r="P1614" s="294"/>
      <c r="Q1614" s="294"/>
      <c r="R1614" s="294"/>
      <c r="S1614" s="294"/>
      <c r="T1614" s="294"/>
      <c r="U1614" s="294"/>
      <c r="V1614" s="294"/>
      <c r="W1614" s="294"/>
      <c r="X1614" s="294"/>
      <c r="Y1614" s="294"/>
      <c r="Z1614" s="294"/>
      <c r="AA1614" s="294"/>
      <c r="AB1614" s="294"/>
      <c r="AC1614" s="294"/>
      <c r="AD1614" s="294"/>
      <c r="AE1614" s="294"/>
      <c r="AF1614" s="294"/>
      <c r="AG1614" s="294"/>
    </row>
    <row r="1615" spans="2:33" x14ac:dyDescent="0.25">
      <c r="B1615" s="294"/>
      <c r="C1615" s="294"/>
      <c r="D1615" s="294"/>
      <c r="E1615" s="294"/>
      <c r="F1615" s="294"/>
      <c r="G1615" s="294"/>
      <c r="H1615" s="294"/>
      <c r="I1615" s="294"/>
      <c r="J1615" s="294"/>
      <c r="L1615" s="295"/>
      <c r="M1615" s="294"/>
      <c r="O1615" s="294"/>
      <c r="P1615" s="294"/>
      <c r="Q1615" s="294"/>
      <c r="R1615" s="294"/>
      <c r="S1615" s="294"/>
      <c r="T1615" s="294"/>
      <c r="U1615" s="294"/>
      <c r="V1615" s="294"/>
      <c r="W1615" s="294"/>
      <c r="X1615" s="294"/>
      <c r="Y1615" s="294"/>
      <c r="Z1615" s="294"/>
      <c r="AA1615" s="294"/>
      <c r="AB1615" s="294"/>
      <c r="AC1615" s="294"/>
      <c r="AD1615" s="294"/>
      <c r="AE1615" s="294"/>
      <c r="AF1615" s="294"/>
      <c r="AG1615" s="294"/>
    </row>
    <row r="1616" spans="2:33" x14ac:dyDescent="0.25">
      <c r="B1616" s="294"/>
      <c r="C1616" s="294"/>
      <c r="D1616" s="294"/>
      <c r="E1616" s="294"/>
      <c r="F1616" s="294"/>
      <c r="G1616" s="294"/>
      <c r="H1616" s="294"/>
      <c r="I1616" s="294"/>
      <c r="J1616" s="294"/>
      <c r="L1616" s="295"/>
      <c r="M1616" s="294"/>
      <c r="O1616" s="294"/>
      <c r="P1616" s="294"/>
      <c r="Q1616" s="294"/>
      <c r="R1616" s="294"/>
      <c r="S1616" s="294"/>
      <c r="T1616" s="294"/>
      <c r="U1616" s="294"/>
      <c r="V1616" s="294"/>
      <c r="W1616" s="294"/>
      <c r="X1616" s="294"/>
      <c r="Y1616" s="294"/>
      <c r="Z1616" s="294"/>
      <c r="AA1616" s="294"/>
      <c r="AB1616" s="294"/>
      <c r="AC1616" s="294"/>
      <c r="AD1616" s="294"/>
      <c r="AE1616" s="294"/>
      <c r="AF1616" s="294"/>
      <c r="AG1616" s="294"/>
    </row>
    <row r="1617" spans="2:33" x14ac:dyDescent="0.25">
      <c r="B1617" s="294"/>
      <c r="C1617" s="294"/>
      <c r="D1617" s="294"/>
      <c r="E1617" s="294"/>
      <c r="F1617" s="294"/>
      <c r="G1617" s="294"/>
      <c r="H1617" s="294"/>
      <c r="I1617" s="294"/>
      <c r="J1617" s="294"/>
      <c r="L1617" s="295"/>
      <c r="M1617" s="294"/>
      <c r="O1617" s="294"/>
      <c r="P1617" s="294"/>
      <c r="Q1617" s="294"/>
      <c r="R1617" s="294"/>
      <c r="S1617" s="294"/>
      <c r="T1617" s="294"/>
      <c r="U1617" s="294"/>
      <c r="V1617" s="294"/>
      <c r="W1617" s="294"/>
      <c r="X1617" s="294"/>
      <c r="Y1617" s="294"/>
      <c r="Z1617" s="294"/>
      <c r="AA1617" s="294"/>
      <c r="AB1617" s="294"/>
      <c r="AC1617" s="294"/>
      <c r="AD1617" s="294"/>
      <c r="AE1617" s="294"/>
      <c r="AF1617" s="294"/>
      <c r="AG1617" s="294"/>
    </row>
    <row r="1618" spans="2:33" x14ac:dyDescent="0.25">
      <c r="B1618" s="294"/>
      <c r="C1618" s="294"/>
      <c r="D1618" s="294"/>
      <c r="E1618" s="294"/>
      <c r="F1618" s="294"/>
      <c r="G1618" s="294"/>
      <c r="H1618" s="294"/>
      <c r="I1618" s="294"/>
      <c r="J1618" s="294"/>
      <c r="L1618" s="295"/>
      <c r="M1618" s="294"/>
      <c r="O1618" s="294"/>
      <c r="P1618" s="294"/>
      <c r="Q1618" s="294"/>
      <c r="R1618" s="294"/>
      <c r="S1618" s="294"/>
      <c r="T1618" s="294"/>
      <c r="U1618" s="294"/>
      <c r="V1618" s="294"/>
      <c r="W1618" s="294"/>
      <c r="X1618" s="294"/>
      <c r="Y1618" s="294"/>
      <c r="Z1618" s="294"/>
      <c r="AA1618" s="294"/>
      <c r="AB1618" s="294"/>
      <c r="AC1618" s="294"/>
      <c r="AD1618" s="294"/>
      <c r="AE1618" s="294"/>
      <c r="AF1618" s="294"/>
      <c r="AG1618" s="294"/>
    </row>
    <row r="1619" spans="2:33" x14ac:dyDescent="0.25">
      <c r="B1619" s="294"/>
      <c r="C1619" s="294"/>
      <c r="D1619" s="294"/>
      <c r="E1619" s="294"/>
      <c r="F1619" s="294"/>
      <c r="G1619" s="294"/>
      <c r="H1619" s="294"/>
      <c r="I1619" s="294"/>
      <c r="J1619" s="294"/>
      <c r="L1619" s="295"/>
      <c r="M1619" s="294"/>
      <c r="O1619" s="294"/>
      <c r="P1619" s="294"/>
      <c r="Q1619" s="294"/>
      <c r="R1619" s="294"/>
      <c r="S1619" s="294"/>
      <c r="T1619" s="294"/>
      <c r="U1619" s="294"/>
      <c r="V1619" s="294"/>
      <c r="W1619" s="294"/>
      <c r="X1619" s="294"/>
      <c r="Y1619" s="294"/>
      <c r="Z1619" s="294"/>
      <c r="AA1619" s="294"/>
      <c r="AB1619" s="294"/>
      <c r="AC1619" s="294"/>
      <c r="AD1619" s="294"/>
      <c r="AE1619" s="294"/>
      <c r="AF1619" s="294"/>
      <c r="AG1619" s="294"/>
    </row>
    <row r="1620" spans="2:33" x14ac:dyDescent="0.25">
      <c r="B1620" s="294"/>
      <c r="C1620" s="294"/>
      <c r="D1620" s="294"/>
      <c r="E1620" s="294"/>
      <c r="F1620" s="294"/>
      <c r="G1620" s="294"/>
      <c r="H1620" s="294"/>
      <c r="I1620" s="294"/>
      <c r="J1620" s="294"/>
      <c r="L1620" s="295"/>
      <c r="M1620" s="294"/>
      <c r="O1620" s="294"/>
      <c r="P1620" s="294"/>
      <c r="Q1620" s="294"/>
      <c r="R1620" s="294"/>
      <c r="S1620" s="294"/>
      <c r="T1620" s="294"/>
      <c r="U1620" s="294"/>
      <c r="V1620" s="294"/>
      <c r="W1620" s="294"/>
      <c r="X1620" s="294"/>
      <c r="Y1620" s="294"/>
      <c r="Z1620" s="294"/>
      <c r="AA1620" s="294"/>
      <c r="AB1620" s="294"/>
      <c r="AC1620" s="294"/>
      <c r="AD1620" s="294"/>
      <c r="AE1620" s="294"/>
      <c r="AF1620" s="294"/>
      <c r="AG1620" s="294"/>
    </row>
    <row r="1621" spans="2:33" x14ac:dyDescent="0.25">
      <c r="B1621" s="294"/>
      <c r="C1621" s="294"/>
      <c r="D1621" s="294"/>
      <c r="E1621" s="294"/>
      <c r="F1621" s="294"/>
      <c r="G1621" s="294"/>
      <c r="H1621" s="294"/>
      <c r="I1621" s="294"/>
      <c r="J1621" s="294"/>
      <c r="L1621" s="295"/>
      <c r="M1621" s="294"/>
      <c r="O1621" s="294"/>
      <c r="P1621" s="294"/>
      <c r="Q1621" s="294"/>
      <c r="R1621" s="294"/>
      <c r="S1621" s="294"/>
      <c r="T1621" s="294"/>
      <c r="U1621" s="294"/>
      <c r="V1621" s="294"/>
      <c r="W1621" s="294"/>
      <c r="X1621" s="294"/>
      <c r="Y1621" s="294"/>
      <c r="Z1621" s="294"/>
      <c r="AA1621" s="294"/>
      <c r="AB1621" s="294"/>
      <c r="AC1621" s="294"/>
      <c r="AD1621" s="294"/>
      <c r="AE1621" s="294"/>
      <c r="AF1621" s="294"/>
      <c r="AG1621" s="294"/>
    </row>
    <row r="1622" spans="2:33" x14ac:dyDescent="0.25">
      <c r="B1622" s="294"/>
      <c r="C1622" s="294"/>
      <c r="D1622" s="294"/>
      <c r="E1622" s="294"/>
      <c r="F1622" s="294"/>
      <c r="G1622" s="294"/>
      <c r="H1622" s="294"/>
      <c r="I1622" s="294"/>
      <c r="J1622" s="294"/>
      <c r="L1622" s="295"/>
      <c r="M1622" s="294"/>
      <c r="O1622" s="294"/>
      <c r="P1622" s="294"/>
      <c r="Q1622" s="294"/>
      <c r="R1622" s="294"/>
      <c r="S1622" s="294"/>
      <c r="T1622" s="294"/>
      <c r="U1622" s="294"/>
      <c r="V1622" s="294"/>
      <c r="W1622" s="294"/>
      <c r="X1622" s="294"/>
      <c r="Y1622" s="294"/>
      <c r="Z1622" s="294"/>
      <c r="AA1622" s="294"/>
      <c r="AB1622" s="294"/>
      <c r="AC1622" s="294"/>
      <c r="AD1622" s="294"/>
      <c r="AE1622" s="294"/>
      <c r="AF1622" s="294"/>
      <c r="AG1622" s="294"/>
    </row>
    <row r="1623" spans="2:33" x14ac:dyDescent="0.25">
      <c r="B1623" s="294"/>
      <c r="C1623" s="294"/>
      <c r="D1623" s="294"/>
      <c r="E1623" s="294"/>
      <c r="F1623" s="294"/>
      <c r="G1623" s="294"/>
      <c r="H1623" s="294"/>
      <c r="I1623" s="294"/>
      <c r="J1623" s="294"/>
      <c r="L1623" s="295"/>
      <c r="M1623" s="294"/>
      <c r="O1623" s="294"/>
      <c r="P1623" s="294"/>
      <c r="Q1623" s="294"/>
      <c r="R1623" s="294"/>
      <c r="S1623" s="294"/>
      <c r="T1623" s="294"/>
      <c r="U1623" s="294"/>
      <c r="V1623" s="294"/>
      <c r="W1623" s="294"/>
      <c r="X1623" s="294"/>
      <c r="Y1623" s="294"/>
      <c r="Z1623" s="294"/>
      <c r="AA1623" s="294"/>
      <c r="AB1623" s="294"/>
      <c r="AC1623" s="294"/>
      <c r="AD1623" s="294"/>
      <c r="AE1623" s="294"/>
      <c r="AF1623" s="294"/>
      <c r="AG1623" s="294"/>
    </row>
    <row r="1624" spans="2:33" x14ac:dyDescent="0.25">
      <c r="B1624" s="294"/>
      <c r="C1624" s="294"/>
      <c r="D1624" s="294"/>
      <c r="E1624" s="294"/>
      <c r="F1624" s="294"/>
      <c r="G1624" s="294"/>
      <c r="H1624" s="294"/>
      <c r="I1624" s="294"/>
      <c r="J1624" s="294"/>
      <c r="L1624" s="295"/>
      <c r="M1624" s="294"/>
      <c r="O1624" s="294"/>
      <c r="P1624" s="294"/>
      <c r="Q1624" s="294"/>
      <c r="R1624" s="294"/>
      <c r="S1624" s="294"/>
      <c r="T1624" s="294"/>
      <c r="U1624" s="294"/>
      <c r="V1624" s="294"/>
      <c r="W1624" s="294"/>
      <c r="X1624" s="294"/>
      <c r="Y1624" s="294"/>
      <c r="Z1624" s="294"/>
      <c r="AA1624" s="294"/>
      <c r="AB1624" s="294"/>
      <c r="AC1624" s="294"/>
      <c r="AD1624" s="294"/>
      <c r="AE1624" s="294"/>
      <c r="AF1624" s="294"/>
      <c r="AG1624" s="294"/>
    </row>
    <row r="1625" spans="2:33" x14ac:dyDescent="0.25">
      <c r="B1625" s="294"/>
      <c r="C1625" s="294"/>
      <c r="D1625" s="294"/>
      <c r="E1625" s="294"/>
      <c r="F1625" s="294"/>
      <c r="G1625" s="294"/>
      <c r="H1625" s="294"/>
      <c r="I1625" s="294"/>
      <c r="J1625" s="294"/>
      <c r="L1625" s="295"/>
      <c r="M1625" s="294"/>
      <c r="O1625" s="294"/>
      <c r="P1625" s="294"/>
      <c r="Q1625" s="294"/>
      <c r="R1625" s="294"/>
      <c r="S1625" s="294"/>
      <c r="T1625" s="294"/>
      <c r="U1625" s="294"/>
      <c r="V1625" s="294"/>
      <c r="W1625" s="294"/>
      <c r="X1625" s="294"/>
      <c r="Y1625" s="294"/>
      <c r="Z1625" s="294"/>
      <c r="AA1625" s="294"/>
      <c r="AB1625" s="294"/>
      <c r="AC1625" s="294"/>
      <c r="AD1625" s="294"/>
      <c r="AE1625" s="294"/>
      <c r="AF1625" s="294"/>
      <c r="AG1625" s="294"/>
    </row>
    <row r="1626" spans="2:33" x14ac:dyDescent="0.25">
      <c r="B1626" s="294"/>
      <c r="C1626" s="294"/>
      <c r="D1626" s="294"/>
      <c r="E1626" s="294"/>
      <c r="F1626" s="294"/>
      <c r="G1626" s="294"/>
      <c r="H1626" s="294"/>
      <c r="I1626" s="294"/>
      <c r="J1626" s="294"/>
      <c r="L1626" s="295"/>
      <c r="M1626" s="294"/>
      <c r="O1626" s="294"/>
      <c r="P1626" s="294"/>
      <c r="Q1626" s="294"/>
      <c r="R1626" s="294"/>
      <c r="S1626" s="294"/>
      <c r="T1626" s="294"/>
      <c r="U1626" s="294"/>
      <c r="V1626" s="294"/>
      <c r="W1626" s="294"/>
      <c r="X1626" s="294"/>
      <c r="Y1626" s="294"/>
      <c r="Z1626" s="294"/>
      <c r="AA1626" s="294"/>
      <c r="AB1626" s="294"/>
      <c r="AC1626" s="294"/>
      <c r="AD1626" s="294"/>
      <c r="AE1626" s="294"/>
      <c r="AF1626" s="294"/>
      <c r="AG1626" s="294"/>
    </row>
    <row r="1627" spans="2:33" x14ac:dyDescent="0.25">
      <c r="B1627" s="294"/>
      <c r="C1627" s="294"/>
      <c r="D1627" s="294"/>
      <c r="E1627" s="294"/>
      <c r="F1627" s="294"/>
      <c r="G1627" s="294"/>
      <c r="H1627" s="294"/>
      <c r="I1627" s="294"/>
      <c r="J1627" s="294"/>
      <c r="L1627" s="295"/>
      <c r="M1627" s="294"/>
      <c r="O1627" s="294"/>
      <c r="P1627" s="294"/>
      <c r="Q1627" s="294"/>
      <c r="R1627" s="294"/>
      <c r="S1627" s="294"/>
      <c r="T1627" s="294"/>
      <c r="U1627" s="294"/>
      <c r="V1627" s="294"/>
      <c r="W1627" s="294"/>
      <c r="X1627" s="294"/>
      <c r="Y1627" s="294"/>
      <c r="Z1627" s="294"/>
      <c r="AA1627" s="294"/>
      <c r="AB1627" s="294"/>
      <c r="AC1627" s="294"/>
      <c r="AD1627" s="294"/>
      <c r="AE1627" s="294"/>
      <c r="AF1627" s="294"/>
      <c r="AG1627" s="294"/>
    </row>
    <row r="1628" spans="2:33" x14ac:dyDescent="0.25">
      <c r="B1628" s="294"/>
      <c r="C1628" s="294"/>
      <c r="D1628" s="294"/>
      <c r="E1628" s="294"/>
      <c r="F1628" s="294"/>
      <c r="G1628" s="294"/>
      <c r="H1628" s="294"/>
      <c r="I1628" s="294"/>
      <c r="J1628" s="294"/>
      <c r="L1628" s="295"/>
      <c r="M1628" s="294"/>
      <c r="O1628" s="294"/>
      <c r="P1628" s="294"/>
      <c r="Q1628" s="294"/>
      <c r="R1628" s="294"/>
      <c r="S1628" s="294"/>
      <c r="T1628" s="294"/>
      <c r="U1628" s="294"/>
      <c r="V1628" s="294"/>
      <c r="W1628" s="294"/>
      <c r="X1628" s="294"/>
      <c r="Y1628" s="294"/>
      <c r="Z1628" s="294"/>
      <c r="AA1628" s="294"/>
      <c r="AB1628" s="294"/>
      <c r="AC1628" s="294"/>
      <c r="AD1628" s="294"/>
      <c r="AE1628" s="294"/>
      <c r="AF1628" s="294"/>
      <c r="AG1628" s="294"/>
    </row>
    <row r="1629" spans="2:33" x14ac:dyDescent="0.25">
      <c r="B1629" s="294"/>
      <c r="C1629" s="294"/>
      <c r="D1629" s="294"/>
      <c r="E1629" s="294"/>
      <c r="F1629" s="294"/>
      <c r="G1629" s="294"/>
      <c r="H1629" s="294"/>
      <c r="I1629" s="294"/>
      <c r="J1629" s="294"/>
      <c r="L1629" s="295"/>
      <c r="M1629" s="294"/>
      <c r="O1629" s="294"/>
      <c r="P1629" s="294"/>
      <c r="Q1629" s="294"/>
      <c r="R1629" s="294"/>
      <c r="S1629" s="294"/>
      <c r="T1629" s="294"/>
      <c r="U1629" s="294"/>
      <c r="V1629" s="294"/>
      <c r="W1629" s="294"/>
      <c r="X1629" s="294"/>
      <c r="Y1629" s="294"/>
      <c r="Z1629" s="294"/>
      <c r="AA1629" s="294"/>
      <c r="AB1629" s="294"/>
      <c r="AC1629" s="294"/>
      <c r="AD1629" s="294"/>
      <c r="AE1629" s="294"/>
      <c r="AF1629" s="294"/>
      <c r="AG1629" s="294"/>
    </row>
    <row r="1630" spans="2:33" x14ac:dyDescent="0.25">
      <c r="B1630" s="294"/>
      <c r="C1630" s="294"/>
      <c r="D1630" s="294"/>
      <c r="E1630" s="294"/>
      <c r="F1630" s="294"/>
      <c r="G1630" s="294"/>
      <c r="H1630" s="294"/>
      <c r="I1630" s="294"/>
      <c r="J1630" s="294"/>
      <c r="L1630" s="295"/>
      <c r="M1630" s="294"/>
      <c r="O1630" s="294"/>
      <c r="P1630" s="294"/>
      <c r="Q1630" s="294"/>
      <c r="R1630" s="294"/>
      <c r="S1630" s="294"/>
      <c r="T1630" s="294"/>
      <c r="U1630" s="294"/>
      <c r="V1630" s="294"/>
      <c r="W1630" s="294"/>
      <c r="X1630" s="294"/>
      <c r="Y1630" s="294"/>
      <c r="Z1630" s="294"/>
      <c r="AA1630" s="294"/>
      <c r="AB1630" s="294"/>
      <c r="AC1630" s="294"/>
      <c r="AD1630" s="294"/>
      <c r="AE1630" s="294"/>
      <c r="AF1630" s="294"/>
      <c r="AG1630" s="294"/>
    </row>
    <row r="1631" spans="2:33" x14ac:dyDescent="0.25">
      <c r="B1631" s="294"/>
      <c r="C1631" s="294"/>
      <c r="D1631" s="294"/>
      <c r="E1631" s="294"/>
      <c r="F1631" s="294"/>
      <c r="G1631" s="294"/>
      <c r="H1631" s="294"/>
      <c r="I1631" s="294"/>
      <c r="J1631" s="294"/>
      <c r="L1631" s="295"/>
      <c r="M1631" s="294"/>
      <c r="O1631" s="294"/>
      <c r="P1631" s="294"/>
      <c r="Q1631" s="294"/>
      <c r="R1631" s="294"/>
      <c r="S1631" s="294"/>
      <c r="T1631" s="294"/>
      <c r="U1631" s="294"/>
      <c r="V1631" s="294"/>
      <c r="W1631" s="294"/>
      <c r="X1631" s="294"/>
      <c r="Y1631" s="294"/>
      <c r="Z1631" s="294"/>
      <c r="AA1631" s="294"/>
      <c r="AB1631" s="294"/>
      <c r="AC1631" s="294"/>
      <c r="AD1631" s="294"/>
      <c r="AE1631" s="294"/>
      <c r="AF1631" s="294"/>
      <c r="AG1631" s="294"/>
    </row>
    <row r="1632" spans="2:33" x14ac:dyDescent="0.25">
      <c r="B1632" s="294"/>
      <c r="C1632" s="294"/>
      <c r="D1632" s="294"/>
      <c r="E1632" s="294"/>
      <c r="F1632" s="294"/>
      <c r="G1632" s="294"/>
      <c r="H1632" s="294"/>
      <c r="I1632" s="294"/>
      <c r="J1632" s="294"/>
      <c r="L1632" s="295"/>
      <c r="M1632" s="294"/>
      <c r="O1632" s="294"/>
      <c r="P1632" s="294"/>
      <c r="Q1632" s="294"/>
      <c r="R1632" s="294"/>
      <c r="S1632" s="294"/>
      <c r="T1632" s="294"/>
      <c r="U1632" s="294"/>
      <c r="V1632" s="294"/>
      <c r="W1632" s="294"/>
      <c r="X1632" s="294"/>
      <c r="Y1632" s="294"/>
      <c r="Z1632" s="294"/>
      <c r="AA1632" s="294"/>
      <c r="AB1632" s="294"/>
      <c r="AC1632" s="294"/>
      <c r="AD1632" s="294"/>
      <c r="AE1632" s="294"/>
      <c r="AF1632" s="294"/>
      <c r="AG1632" s="294"/>
    </row>
    <row r="1633" spans="2:33" x14ac:dyDescent="0.25">
      <c r="B1633" s="294"/>
      <c r="C1633" s="294"/>
      <c r="D1633" s="294"/>
      <c r="E1633" s="294"/>
      <c r="F1633" s="294"/>
      <c r="G1633" s="294"/>
      <c r="H1633" s="294"/>
      <c r="I1633" s="294"/>
      <c r="J1633" s="294"/>
      <c r="L1633" s="295"/>
      <c r="M1633" s="294"/>
      <c r="O1633" s="294"/>
      <c r="P1633" s="294"/>
      <c r="Q1633" s="294"/>
      <c r="R1633" s="294"/>
      <c r="S1633" s="294"/>
      <c r="T1633" s="294"/>
      <c r="U1633" s="294"/>
      <c r="V1633" s="294"/>
      <c r="W1633" s="294"/>
      <c r="X1633" s="294"/>
      <c r="Y1633" s="294"/>
      <c r="Z1633" s="294"/>
      <c r="AA1633" s="294"/>
      <c r="AB1633" s="294"/>
      <c r="AC1633" s="294"/>
      <c r="AD1633" s="294"/>
      <c r="AE1633" s="294"/>
      <c r="AF1633" s="294"/>
      <c r="AG1633" s="294"/>
    </row>
    <row r="1634" spans="2:33" x14ac:dyDescent="0.25">
      <c r="B1634" s="294"/>
      <c r="C1634" s="294"/>
      <c r="D1634" s="294"/>
      <c r="E1634" s="294"/>
      <c r="F1634" s="294"/>
      <c r="G1634" s="294"/>
      <c r="H1634" s="294"/>
      <c r="I1634" s="294"/>
      <c r="J1634" s="294"/>
      <c r="L1634" s="295"/>
      <c r="M1634" s="294"/>
      <c r="O1634" s="294"/>
      <c r="P1634" s="294"/>
      <c r="Q1634" s="294"/>
      <c r="R1634" s="294"/>
      <c r="S1634" s="294"/>
      <c r="T1634" s="294"/>
      <c r="U1634" s="294"/>
      <c r="V1634" s="294"/>
      <c r="W1634" s="294"/>
      <c r="X1634" s="294"/>
      <c r="Y1634" s="294"/>
      <c r="Z1634" s="294"/>
      <c r="AA1634" s="294"/>
      <c r="AB1634" s="294"/>
      <c r="AC1634" s="294"/>
      <c r="AD1634" s="294"/>
      <c r="AE1634" s="294"/>
      <c r="AF1634" s="294"/>
      <c r="AG1634" s="294"/>
    </row>
    <row r="1635" spans="2:33" x14ac:dyDescent="0.25">
      <c r="B1635" s="294"/>
      <c r="C1635" s="294"/>
      <c r="D1635" s="294"/>
      <c r="E1635" s="294"/>
      <c r="F1635" s="294"/>
      <c r="G1635" s="294"/>
      <c r="H1635" s="294"/>
      <c r="I1635" s="294"/>
      <c r="J1635" s="294"/>
      <c r="L1635" s="295"/>
      <c r="M1635" s="294"/>
      <c r="O1635" s="294"/>
      <c r="P1635" s="294"/>
      <c r="Q1635" s="294"/>
      <c r="R1635" s="294"/>
      <c r="S1635" s="294"/>
      <c r="T1635" s="294"/>
      <c r="U1635" s="294"/>
      <c r="V1635" s="294"/>
      <c r="W1635" s="294"/>
      <c r="X1635" s="294"/>
      <c r="Y1635" s="294"/>
      <c r="Z1635" s="294"/>
      <c r="AA1635" s="294"/>
      <c r="AB1635" s="294"/>
      <c r="AC1635" s="294"/>
      <c r="AD1635" s="294"/>
      <c r="AE1635" s="294"/>
      <c r="AF1635" s="294"/>
      <c r="AG1635" s="294"/>
    </row>
    <row r="1636" spans="2:33" x14ac:dyDescent="0.25">
      <c r="B1636" s="294"/>
      <c r="C1636" s="294"/>
      <c r="D1636" s="294"/>
      <c r="E1636" s="294"/>
      <c r="F1636" s="294"/>
      <c r="G1636" s="294"/>
      <c r="H1636" s="294"/>
      <c r="I1636" s="294"/>
      <c r="J1636" s="294"/>
      <c r="L1636" s="295"/>
      <c r="M1636" s="294"/>
      <c r="O1636" s="294"/>
      <c r="P1636" s="294"/>
      <c r="Q1636" s="294"/>
      <c r="R1636" s="294"/>
      <c r="S1636" s="294"/>
      <c r="T1636" s="294"/>
      <c r="U1636" s="294"/>
      <c r="V1636" s="294"/>
      <c r="W1636" s="294"/>
      <c r="X1636" s="294"/>
      <c r="Y1636" s="294"/>
      <c r="Z1636" s="294"/>
      <c r="AA1636" s="294"/>
      <c r="AB1636" s="294"/>
      <c r="AC1636" s="294"/>
      <c r="AD1636" s="294"/>
      <c r="AE1636" s="294"/>
      <c r="AF1636" s="294"/>
      <c r="AG1636" s="294"/>
    </row>
    <row r="1637" spans="2:33" x14ac:dyDescent="0.25">
      <c r="B1637" s="294"/>
      <c r="C1637" s="294"/>
      <c r="D1637" s="294"/>
      <c r="E1637" s="294"/>
      <c r="F1637" s="294"/>
      <c r="G1637" s="294"/>
      <c r="H1637" s="294"/>
      <c r="I1637" s="294"/>
      <c r="J1637" s="294"/>
      <c r="L1637" s="295"/>
      <c r="M1637" s="294"/>
      <c r="O1637" s="294"/>
      <c r="P1637" s="294"/>
      <c r="Q1637" s="294"/>
      <c r="R1637" s="294"/>
      <c r="S1637" s="294"/>
      <c r="T1637" s="294"/>
      <c r="U1637" s="294"/>
      <c r="V1637" s="294"/>
      <c r="W1637" s="294"/>
      <c r="X1637" s="294"/>
      <c r="Y1637" s="294"/>
      <c r="Z1637" s="294"/>
      <c r="AA1637" s="294"/>
      <c r="AB1637" s="294"/>
      <c r="AC1637" s="294"/>
      <c r="AD1637" s="294"/>
      <c r="AE1637" s="294"/>
      <c r="AF1637" s="294"/>
      <c r="AG1637" s="294"/>
    </row>
    <row r="1638" spans="2:33" x14ac:dyDescent="0.25">
      <c r="B1638" s="294"/>
      <c r="C1638" s="294"/>
      <c r="D1638" s="294"/>
      <c r="E1638" s="294"/>
      <c r="F1638" s="294"/>
      <c r="G1638" s="294"/>
      <c r="H1638" s="294"/>
      <c r="I1638" s="294"/>
      <c r="J1638" s="294"/>
      <c r="L1638" s="295"/>
      <c r="M1638" s="294"/>
      <c r="O1638" s="294"/>
      <c r="P1638" s="294"/>
      <c r="Q1638" s="294"/>
      <c r="R1638" s="294"/>
      <c r="S1638" s="294"/>
      <c r="T1638" s="294"/>
      <c r="U1638" s="294"/>
      <c r="V1638" s="294"/>
      <c r="W1638" s="294"/>
      <c r="X1638" s="294"/>
      <c r="Y1638" s="294"/>
      <c r="Z1638" s="294"/>
      <c r="AA1638" s="294"/>
      <c r="AB1638" s="294"/>
      <c r="AC1638" s="294"/>
      <c r="AD1638" s="294"/>
      <c r="AE1638" s="294"/>
      <c r="AF1638" s="294"/>
      <c r="AG1638" s="294"/>
    </row>
    <row r="1639" spans="2:33" x14ac:dyDescent="0.25">
      <c r="B1639" s="294"/>
      <c r="C1639" s="294"/>
      <c r="D1639" s="294"/>
      <c r="E1639" s="294"/>
      <c r="F1639" s="294"/>
      <c r="G1639" s="294"/>
      <c r="H1639" s="294"/>
      <c r="I1639" s="294"/>
      <c r="J1639" s="294"/>
      <c r="L1639" s="295"/>
      <c r="M1639" s="294"/>
      <c r="O1639" s="294"/>
      <c r="P1639" s="294"/>
      <c r="Q1639" s="294"/>
      <c r="R1639" s="294"/>
      <c r="S1639" s="294"/>
      <c r="T1639" s="294"/>
      <c r="U1639" s="294"/>
      <c r="V1639" s="294"/>
      <c r="W1639" s="294"/>
      <c r="X1639" s="294"/>
      <c r="Y1639" s="294"/>
      <c r="Z1639" s="294"/>
      <c r="AA1639" s="294"/>
      <c r="AB1639" s="294"/>
      <c r="AC1639" s="294"/>
      <c r="AD1639" s="294"/>
      <c r="AE1639" s="294"/>
      <c r="AF1639" s="294"/>
      <c r="AG1639" s="294"/>
    </row>
    <row r="1640" spans="2:33" x14ac:dyDescent="0.25">
      <c r="B1640" s="294"/>
      <c r="C1640" s="294"/>
      <c r="D1640" s="294"/>
      <c r="E1640" s="294"/>
      <c r="F1640" s="294"/>
      <c r="G1640" s="294"/>
      <c r="H1640" s="294"/>
      <c r="I1640" s="294"/>
      <c r="J1640" s="294"/>
      <c r="L1640" s="295"/>
      <c r="M1640" s="294"/>
      <c r="O1640" s="294"/>
      <c r="P1640" s="294"/>
      <c r="Q1640" s="294"/>
      <c r="R1640" s="294"/>
      <c r="S1640" s="294"/>
      <c r="T1640" s="294"/>
      <c r="U1640" s="294"/>
      <c r="V1640" s="294"/>
      <c r="W1640" s="294"/>
      <c r="X1640" s="294"/>
      <c r="Y1640" s="294"/>
      <c r="Z1640" s="294"/>
      <c r="AA1640" s="294"/>
      <c r="AB1640" s="294"/>
      <c r="AC1640" s="294"/>
      <c r="AD1640" s="294"/>
      <c r="AE1640" s="294"/>
      <c r="AF1640" s="294"/>
      <c r="AG1640" s="294"/>
    </row>
    <row r="1641" spans="2:33" x14ac:dyDescent="0.25">
      <c r="B1641" s="294"/>
      <c r="C1641" s="294"/>
      <c r="D1641" s="294"/>
      <c r="E1641" s="294"/>
      <c r="F1641" s="294"/>
      <c r="G1641" s="294"/>
      <c r="H1641" s="294"/>
      <c r="I1641" s="294"/>
      <c r="J1641" s="294"/>
      <c r="L1641" s="295"/>
      <c r="M1641" s="294"/>
      <c r="O1641" s="294"/>
      <c r="P1641" s="294"/>
      <c r="Q1641" s="294"/>
      <c r="R1641" s="294"/>
      <c r="S1641" s="294"/>
      <c r="T1641" s="294"/>
      <c r="U1641" s="294"/>
      <c r="V1641" s="294"/>
      <c r="W1641" s="294"/>
      <c r="X1641" s="294"/>
      <c r="Y1641" s="294"/>
      <c r="Z1641" s="294"/>
      <c r="AA1641" s="294"/>
      <c r="AB1641" s="294"/>
      <c r="AC1641" s="294"/>
      <c r="AD1641" s="294"/>
      <c r="AE1641" s="294"/>
      <c r="AF1641" s="294"/>
      <c r="AG1641" s="294"/>
    </row>
    <row r="1642" spans="2:33" x14ac:dyDescent="0.25">
      <c r="B1642" s="294"/>
      <c r="C1642" s="294"/>
      <c r="D1642" s="294"/>
      <c r="E1642" s="294"/>
      <c r="F1642" s="294"/>
      <c r="G1642" s="294"/>
      <c r="H1642" s="294"/>
      <c r="I1642" s="294"/>
      <c r="J1642" s="294"/>
      <c r="L1642" s="295"/>
      <c r="M1642" s="294"/>
      <c r="O1642" s="294"/>
      <c r="P1642" s="294"/>
      <c r="Q1642" s="294"/>
      <c r="R1642" s="294"/>
      <c r="S1642" s="294"/>
      <c r="T1642" s="294"/>
      <c r="U1642" s="294"/>
      <c r="V1642" s="294"/>
      <c r="W1642" s="294"/>
      <c r="X1642" s="294"/>
      <c r="Y1642" s="294"/>
      <c r="Z1642" s="294"/>
      <c r="AA1642" s="294"/>
      <c r="AB1642" s="294"/>
      <c r="AC1642" s="294"/>
      <c r="AD1642" s="294"/>
      <c r="AE1642" s="294"/>
      <c r="AF1642" s="294"/>
      <c r="AG1642" s="294"/>
    </row>
    <row r="1643" spans="2:33" x14ac:dyDescent="0.25">
      <c r="B1643" s="294"/>
      <c r="C1643" s="294"/>
      <c r="D1643" s="294"/>
      <c r="E1643" s="294"/>
      <c r="F1643" s="294"/>
      <c r="G1643" s="294"/>
      <c r="H1643" s="294"/>
      <c r="I1643" s="294"/>
      <c r="J1643" s="294"/>
      <c r="L1643" s="295"/>
      <c r="M1643" s="294"/>
      <c r="O1643" s="294"/>
      <c r="P1643" s="294"/>
      <c r="Q1643" s="294"/>
      <c r="R1643" s="294"/>
      <c r="S1643" s="294"/>
      <c r="T1643" s="294"/>
      <c r="U1643" s="294"/>
      <c r="V1643" s="294"/>
      <c r="W1643" s="294"/>
      <c r="X1643" s="294"/>
      <c r="Y1643" s="294"/>
      <c r="Z1643" s="294"/>
      <c r="AA1643" s="294"/>
      <c r="AB1643" s="294"/>
      <c r="AC1643" s="294"/>
      <c r="AD1643" s="294"/>
      <c r="AE1643" s="294"/>
      <c r="AF1643" s="294"/>
      <c r="AG1643" s="294"/>
    </row>
    <row r="1644" spans="2:33" x14ac:dyDescent="0.25">
      <c r="B1644" s="294"/>
      <c r="C1644" s="294"/>
      <c r="D1644" s="294"/>
      <c r="E1644" s="294"/>
      <c r="F1644" s="294"/>
      <c r="G1644" s="294"/>
      <c r="H1644" s="294"/>
      <c r="I1644" s="294"/>
      <c r="J1644" s="294"/>
      <c r="L1644" s="295"/>
      <c r="M1644" s="294"/>
      <c r="O1644" s="294"/>
      <c r="P1644" s="294"/>
      <c r="Q1644" s="294"/>
      <c r="R1644" s="294"/>
      <c r="S1644" s="294"/>
      <c r="T1644" s="294"/>
      <c r="U1644" s="294"/>
      <c r="V1644" s="294"/>
      <c r="W1644" s="294"/>
      <c r="X1644" s="294"/>
      <c r="Y1644" s="294"/>
      <c r="Z1644" s="294"/>
      <c r="AA1644" s="294"/>
      <c r="AB1644" s="294"/>
      <c r="AC1644" s="294"/>
      <c r="AD1644" s="294"/>
      <c r="AE1644" s="294"/>
      <c r="AF1644" s="294"/>
      <c r="AG1644" s="294"/>
    </row>
    <row r="1645" spans="2:33" x14ac:dyDescent="0.25">
      <c r="B1645" s="294"/>
      <c r="C1645" s="294"/>
      <c r="D1645" s="294"/>
      <c r="E1645" s="294"/>
      <c r="F1645" s="294"/>
      <c r="G1645" s="294"/>
      <c r="H1645" s="294"/>
      <c r="I1645" s="294"/>
      <c r="J1645" s="294"/>
      <c r="L1645" s="295"/>
      <c r="M1645" s="294"/>
      <c r="O1645" s="294"/>
      <c r="P1645" s="294"/>
      <c r="Q1645" s="294"/>
      <c r="R1645" s="294"/>
      <c r="S1645" s="294"/>
      <c r="T1645" s="294"/>
      <c r="U1645" s="294"/>
      <c r="V1645" s="294"/>
      <c r="W1645" s="294"/>
      <c r="X1645" s="294"/>
      <c r="Y1645" s="294"/>
      <c r="Z1645" s="294"/>
      <c r="AA1645" s="294"/>
      <c r="AB1645" s="294"/>
      <c r="AC1645" s="294"/>
      <c r="AD1645" s="294"/>
      <c r="AE1645" s="294"/>
      <c r="AF1645" s="294"/>
      <c r="AG1645" s="294"/>
    </row>
    <row r="1646" spans="2:33" x14ac:dyDescent="0.25">
      <c r="B1646" s="294"/>
      <c r="C1646" s="294"/>
      <c r="D1646" s="294"/>
      <c r="E1646" s="294"/>
      <c r="F1646" s="294"/>
      <c r="G1646" s="294"/>
      <c r="H1646" s="294"/>
      <c r="I1646" s="294"/>
      <c r="J1646" s="294"/>
      <c r="L1646" s="295"/>
      <c r="M1646" s="294"/>
      <c r="O1646" s="294"/>
      <c r="P1646" s="294"/>
      <c r="Q1646" s="294"/>
      <c r="R1646" s="294"/>
      <c r="S1646" s="294"/>
      <c r="T1646" s="294"/>
      <c r="U1646" s="294"/>
      <c r="V1646" s="294"/>
      <c r="W1646" s="294"/>
      <c r="X1646" s="294"/>
      <c r="Y1646" s="294"/>
      <c r="Z1646" s="294"/>
      <c r="AA1646" s="294"/>
      <c r="AB1646" s="294"/>
      <c r="AC1646" s="294"/>
      <c r="AD1646" s="294"/>
      <c r="AE1646" s="294"/>
      <c r="AF1646" s="294"/>
      <c r="AG1646" s="294"/>
    </row>
    <row r="1647" spans="2:33" x14ac:dyDescent="0.25">
      <c r="B1647" s="294"/>
      <c r="C1647" s="294"/>
      <c r="D1647" s="294"/>
      <c r="E1647" s="294"/>
      <c r="F1647" s="294"/>
      <c r="G1647" s="294"/>
      <c r="H1647" s="294"/>
      <c r="I1647" s="294"/>
      <c r="J1647" s="294"/>
      <c r="L1647" s="295"/>
      <c r="M1647" s="294"/>
      <c r="O1647" s="294"/>
      <c r="P1647" s="294"/>
      <c r="Q1647" s="294"/>
      <c r="R1647" s="294"/>
      <c r="S1647" s="294"/>
      <c r="T1647" s="294"/>
      <c r="U1647" s="294"/>
      <c r="V1647" s="294"/>
      <c r="W1647" s="294"/>
      <c r="X1647" s="294"/>
      <c r="Y1647" s="294"/>
      <c r="Z1647" s="294"/>
      <c r="AA1647" s="294"/>
      <c r="AB1647" s="294"/>
      <c r="AC1647" s="294"/>
      <c r="AD1647" s="294"/>
      <c r="AE1647" s="294"/>
      <c r="AF1647" s="294"/>
      <c r="AG1647" s="294"/>
    </row>
    <row r="1648" spans="2:33" x14ac:dyDescent="0.25">
      <c r="B1648" s="294"/>
      <c r="C1648" s="294"/>
      <c r="D1648" s="294"/>
      <c r="E1648" s="294"/>
      <c r="F1648" s="294"/>
      <c r="G1648" s="294"/>
      <c r="H1648" s="294"/>
      <c r="I1648" s="294"/>
      <c r="J1648" s="294"/>
      <c r="L1648" s="295"/>
      <c r="M1648" s="294"/>
      <c r="O1648" s="294"/>
      <c r="P1648" s="294"/>
      <c r="Q1648" s="294"/>
      <c r="R1648" s="294"/>
      <c r="S1648" s="294"/>
      <c r="T1648" s="294"/>
      <c r="U1648" s="294"/>
      <c r="V1648" s="294"/>
      <c r="W1648" s="294"/>
      <c r="X1648" s="294"/>
      <c r="Y1648" s="294"/>
      <c r="Z1648" s="294"/>
      <c r="AA1648" s="294"/>
      <c r="AB1648" s="294"/>
      <c r="AC1648" s="294"/>
      <c r="AD1648" s="294"/>
      <c r="AE1648" s="294"/>
      <c r="AF1648" s="294"/>
      <c r="AG1648" s="294"/>
    </row>
    <row r="1649" spans="2:33" x14ac:dyDescent="0.25">
      <c r="B1649" s="294"/>
      <c r="C1649" s="294"/>
      <c r="D1649" s="294"/>
      <c r="E1649" s="294"/>
      <c r="F1649" s="294"/>
      <c r="G1649" s="294"/>
      <c r="H1649" s="294"/>
      <c r="I1649" s="294"/>
      <c r="J1649" s="294"/>
      <c r="L1649" s="295"/>
      <c r="M1649" s="294"/>
      <c r="O1649" s="294"/>
      <c r="P1649" s="294"/>
      <c r="Q1649" s="294"/>
      <c r="R1649" s="294"/>
      <c r="S1649" s="294"/>
      <c r="T1649" s="294"/>
      <c r="U1649" s="294"/>
      <c r="V1649" s="294"/>
      <c r="W1649" s="294"/>
      <c r="X1649" s="294"/>
      <c r="Y1649" s="294"/>
      <c r="Z1649" s="294"/>
      <c r="AA1649" s="294"/>
      <c r="AB1649" s="294"/>
      <c r="AC1649" s="294"/>
      <c r="AD1649" s="294"/>
      <c r="AE1649" s="294"/>
      <c r="AF1649" s="294"/>
      <c r="AG1649" s="294"/>
    </row>
    <row r="1650" spans="2:33" x14ac:dyDescent="0.25">
      <c r="B1650" s="294"/>
      <c r="C1650" s="294"/>
      <c r="D1650" s="294"/>
      <c r="E1650" s="294"/>
      <c r="F1650" s="294"/>
      <c r="G1650" s="294"/>
      <c r="H1650" s="294"/>
      <c r="I1650" s="294"/>
      <c r="J1650" s="294"/>
      <c r="L1650" s="295"/>
      <c r="M1650" s="294"/>
      <c r="O1650" s="294"/>
      <c r="P1650" s="294"/>
      <c r="Q1650" s="294"/>
      <c r="R1650" s="294"/>
      <c r="S1650" s="294"/>
      <c r="T1650" s="294"/>
      <c r="U1650" s="294"/>
      <c r="V1650" s="294"/>
      <c r="W1650" s="294"/>
      <c r="X1650" s="294"/>
      <c r="Y1650" s="294"/>
      <c r="Z1650" s="294"/>
      <c r="AA1650" s="294"/>
      <c r="AB1650" s="294"/>
      <c r="AC1650" s="294"/>
      <c r="AD1650" s="294"/>
      <c r="AE1650" s="294"/>
      <c r="AF1650" s="294"/>
      <c r="AG1650" s="294"/>
    </row>
    <row r="1651" spans="2:33" x14ac:dyDescent="0.25">
      <c r="B1651" s="294"/>
      <c r="C1651" s="294"/>
      <c r="D1651" s="294"/>
      <c r="E1651" s="294"/>
      <c r="F1651" s="294"/>
      <c r="G1651" s="294"/>
      <c r="H1651" s="294"/>
      <c r="I1651" s="294"/>
      <c r="J1651" s="294"/>
      <c r="L1651" s="295"/>
      <c r="M1651" s="294"/>
      <c r="O1651" s="294"/>
      <c r="P1651" s="294"/>
      <c r="Q1651" s="294"/>
      <c r="R1651" s="294"/>
      <c r="S1651" s="294"/>
      <c r="T1651" s="294"/>
      <c r="U1651" s="294"/>
      <c r="V1651" s="294"/>
      <c r="W1651" s="294"/>
      <c r="X1651" s="294"/>
      <c r="Y1651" s="294"/>
      <c r="Z1651" s="294"/>
      <c r="AA1651" s="294"/>
      <c r="AB1651" s="294"/>
      <c r="AC1651" s="294"/>
      <c r="AD1651" s="294"/>
      <c r="AE1651" s="294"/>
      <c r="AF1651" s="294"/>
      <c r="AG1651" s="294"/>
    </row>
    <row r="1652" spans="2:33" x14ac:dyDescent="0.25">
      <c r="B1652" s="294"/>
      <c r="C1652" s="294"/>
      <c r="D1652" s="294"/>
      <c r="E1652" s="294"/>
      <c r="F1652" s="294"/>
      <c r="G1652" s="294"/>
      <c r="H1652" s="294"/>
      <c r="I1652" s="294"/>
      <c r="J1652" s="294"/>
      <c r="L1652" s="295"/>
      <c r="M1652" s="294"/>
      <c r="O1652" s="294"/>
      <c r="P1652" s="294"/>
      <c r="Q1652" s="294"/>
      <c r="R1652" s="294"/>
      <c r="S1652" s="294"/>
      <c r="T1652" s="294"/>
      <c r="U1652" s="294"/>
      <c r="V1652" s="294"/>
      <c r="W1652" s="294"/>
      <c r="X1652" s="294"/>
      <c r="Y1652" s="294"/>
      <c r="Z1652" s="294"/>
      <c r="AA1652" s="294"/>
      <c r="AB1652" s="294"/>
      <c r="AC1652" s="294"/>
      <c r="AD1652" s="294"/>
      <c r="AE1652" s="294"/>
      <c r="AF1652" s="294"/>
      <c r="AG1652" s="294"/>
    </row>
    <row r="1653" spans="2:33" x14ac:dyDescent="0.25">
      <c r="B1653" s="294"/>
      <c r="C1653" s="294"/>
      <c r="D1653" s="294"/>
      <c r="E1653" s="294"/>
      <c r="F1653" s="294"/>
      <c r="G1653" s="294"/>
      <c r="H1653" s="294"/>
      <c r="I1653" s="294"/>
      <c r="J1653" s="294"/>
      <c r="L1653" s="295"/>
      <c r="M1653" s="294"/>
      <c r="O1653" s="294"/>
      <c r="P1653" s="294"/>
      <c r="Q1653" s="294"/>
      <c r="R1653" s="294"/>
      <c r="S1653" s="294"/>
      <c r="T1653" s="294"/>
      <c r="U1653" s="294"/>
      <c r="V1653" s="294"/>
      <c r="W1653" s="294"/>
      <c r="X1653" s="294"/>
      <c r="Y1653" s="294"/>
      <c r="Z1653" s="294"/>
      <c r="AA1653" s="294"/>
      <c r="AB1653" s="294"/>
      <c r="AC1653" s="294"/>
      <c r="AD1653" s="294"/>
      <c r="AE1653" s="294"/>
      <c r="AF1653" s="294"/>
      <c r="AG1653" s="294"/>
    </row>
    <row r="1654" spans="2:33" x14ac:dyDescent="0.25">
      <c r="B1654" s="294"/>
      <c r="C1654" s="294"/>
      <c r="D1654" s="294"/>
      <c r="E1654" s="294"/>
      <c r="F1654" s="294"/>
      <c r="G1654" s="294"/>
      <c r="H1654" s="294"/>
      <c r="I1654" s="294"/>
      <c r="J1654" s="294"/>
      <c r="L1654" s="295"/>
      <c r="M1654" s="294"/>
      <c r="O1654" s="294"/>
      <c r="P1654" s="294"/>
      <c r="Q1654" s="294"/>
      <c r="R1654" s="294"/>
      <c r="S1654" s="294"/>
      <c r="T1654" s="294"/>
      <c r="U1654" s="294"/>
      <c r="V1654" s="294"/>
      <c r="W1654" s="294"/>
      <c r="X1654" s="294"/>
      <c r="Y1654" s="294"/>
      <c r="Z1654" s="294"/>
      <c r="AA1654" s="294"/>
      <c r="AB1654" s="294"/>
      <c r="AC1654" s="294"/>
      <c r="AD1654" s="294"/>
      <c r="AE1654" s="294"/>
      <c r="AF1654" s="294"/>
      <c r="AG1654" s="294"/>
    </row>
    <row r="1655" spans="2:33" x14ac:dyDescent="0.25">
      <c r="B1655" s="294"/>
      <c r="C1655" s="294"/>
      <c r="D1655" s="294"/>
      <c r="E1655" s="294"/>
      <c r="F1655" s="294"/>
      <c r="G1655" s="294"/>
      <c r="H1655" s="294"/>
      <c r="I1655" s="294"/>
      <c r="J1655" s="294"/>
      <c r="L1655" s="295"/>
      <c r="M1655" s="294"/>
      <c r="O1655" s="294"/>
      <c r="P1655" s="294"/>
      <c r="Q1655" s="294"/>
      <c r="R1655" s="294"/>
      <c r="S1655" s="294"/>
      <c r="T1655" s="294"/>
      <c r="U1655" s="294"/>
      <c r="V1655" s="294"/>
      <c r="W1655" s="294"/>
      <c r="X1655" s="294"/>
      <c r="Y1655" s="294"/>
      <c r="Z1655" s="294"/>
      <c r="AA1655" s="294"/>
      <c r="AB1655" s="294"/>
      <c r="AC1655" s="294"/>
      <c r="AD1655" s="294"/>
      <c r="AE1655" s="294"/>
      <c r="AF1655" s="294"/>
      <c r="AG1655" s="294"/>
    </row>
    <row r="1656" spans="2:33" x14ac:dyDescent="0.25">
      <c r="B1656" s="294"/>
      <c r="C1656" s="294"/>
      <c r="D1656" s="294"/>
      <c r="E1656" s="294"/>
      <c r="F1656" s="294"/>
      <c r="G1656" s="294"/>
      <c r="H1656" s="294"/>
      <c r="I1656" s="294"/>
      <c r="J1656" s="294"/>
      <c r="L1656" s="295"/>
      <c r="M1656" s="294"/>
      <c r="O1656" s="294"/>
      <c r="P1656" s="294"/>
      <c r="Q1656" s="294"/>
      <c r="R1656" s="294"/>
      <c r="S1656" s="294"/>
      <c r="T1656" s="294"/>
      <c r="U1656" s="294"/>
      <c r="V1656" s="294"/>
      <c r="W1656" s="294"/>
      <c r="X1656" s="294"/>
      <c r="Y1656" s="294"/>
      <c r="Z1656" s="294"/>
      <c r="AA1656" s="294"/>
      <c r="AB1656" s="294"/>
      <c r="AC1656" s="294"/>
      <c r="AD1656" s="294"/>
      <c r="AE1656" s="294"/>
      <c r="AF1656" s="294"/>
      <c r="AG1656" s="294"/>
    </row>
    <row r="1657" spans="2:33" x14ac:dyDescent="0.25">
      <c r="B1657" s="294"/>
      <c r="C1657" s="294"/>
      <c r="D1657" s="294"/>
      <c r="E1657" s="294"/>
      <c r="F1657" s="294"/>
      <c r="G1657" s="294"/>
      <c r="H1657" s="294"/>
      <c r="I1657" s="294"/>
      <c r="J1657" s="294"/>
      <c r="L1657" s="295"/>
      <c r="M1657" s="294"/>
      <c r="O1657" s="294"/>
      <c r="P1657" s="294"/>
      <c r="Q1657" s="294"/>
      <c r="R1657" s="294"/>
      <c r="S1657" s="294"/>
      <c r="T1657" s="294"/>
      <c r="U1657" s="294"/>
      <c r="V1657" s="294"/>
      <c r="W1657" s="294"/>
      <c r="X1657" s="294"/>
      <c r="Y1657" s="294"/>
      <c r="Z1657" s="294"/>
      <c r="AA1657" s="294"/>
      <c r="AB1657" s="294"/>
      <c r="AC1657" s="294"/>
      <c r="AD1657" s="294"/>
      <c r="AE1657" s="294"/>
      <c r="AF1657" s="294"/>
      <c r="AG1657" s="294"/>
    </row>
    <row r="1658" spans="2:33" x14ac:dyDescent="0.25">
      <c r="B1658" s="294"/>
      <c r="C1658" s="294"/>
      <c r="D1658" s="294"/>
      <c r="E1658" s="294"/>
      <c r="F1658" s="294"/>
      <c r="G1658" s="294"/>
      <c r="H1658" s="294"/>
      <c r="I1658" s="294"/>
      <c r="J1658" s="294"/>
      <c r="L1658" s="295"/>
      <c r="M1658" s="294"/>
      <c r="O1658" s="294"/>
      <c r="P1658" s="294"/>
      <c r="Q1658" s="294"/>
      <c r="R1658" s="294"/>
      <c r="S1658" s="294"/>
      <c r="T1658" s="294"/>
      <c r="U1658" s="294"/>
      <c r="V1658" s="294"/>
      <c r="W1658" s="294"/>
      <c r="X1658" s="294"/>
      <c r="Y1658" s="294"/>
      <c r="Z1658" s="294"/>
      <c r="AA1658" s="294"/>
      <c r="AB1658" s="294"/>
      <c r="AC1658" s="294"/>
      <c r="AD1658" s="294"/>
      <c r="AE1658" s="294"/>
      <c r="AF1658" s="294"/>
      <c r="AG1658" s="294"/>
    </row>
    <row r="1659" spans="2:33" x14ac:dyDescent="0.25">
      <c r="B1659" s="294"/>
      <c r="C1659" s="294"/>
      <c r="D1659" s="294"/>
      <c r="E1659" s="294"/>
      <c r="F1659" s="294"/>
      <c r="G1659" s="294"/>
      <c r="H1659" s="294"/>
      <c r="I1659" s="294"/>
      <c r="J1659" s="294"/>
      <c r="L1659" s="295"/>
      <c r="M1659" s="294"/>
      <c r="O1659" s="294"/>
      <c r="P1659" s="294"/>
      <c r="Q1659" s="294"/>
      <c r="R1659" s="294"/>
      <c r="S1659" s="294"/>
      <c r="T1659" s="294"/>
      <c r="U1659" s="294"/>
      <c r="V1659" s="294"/>
      <c r="W1659" s="294"/>
      <c r="X1659" s="294"/>
      <c r="Y1659" s="294"/>
      <c r="Z1659" s="294"/>
      <c r="AA1659" s="294"/>
      <c r="AB1659" s="294"/>
      <c r="AC1659" s="294"/>
      <c r="AD1659" s="294"/>
      <c r="AE1659" s="294"/>
      <c r="AF1659" s="294"/>
      <c r="AG1659" s="294"/>
    </row>
    <row r="1660" spans="2:33" x14ac:dyDescent="0.25">
      <c r="B1660" s="294"/>
      <c r="C1660" s="294"/>
      <c r="D1660" s="294"/>
      <c r="E1660" s="294"/>
      <c r="F1660" s="294"/>
      <c r="G1660" s="294"/>
      <c r="H1660" s="294"/>
      <c r="I1660" s="294"/>
      <c r="J1660" s="294"/>
      <c r="L1660" s="295"/>
      <c r="M1660" s="294"/>
      <c r="O1660" s="294"/>
      <c r="P1660" s="294"/>
      <c r="Q1660" s="294"/>
      <c r="R1660" s="294"/>
      <c r="S1660" s="294"/>
      <c r="T1660" s="294"/>
      <c r="U1660" s="294"/>
      <c r="V1660" s="294"/>
      <c r="W1660" s="294"/>
      <c r="X1660" s="294"/>
      <c r="Y1660" s="294"/>
      <c r="Z1660" s="294"/>
      <c r="AA1660" s="294"/>
      <c r="AB1660" s="294"/>
      <c r="AC1660" s="294"/>
      <c r="AD1660" s="294"/>
      <c r="AE1660" s="294"/>
      <c r="AF1660" s="294"/>
      <c r="AG1660" s="294"/>
    </row>
    <row r="1661" spans="2:33" x14ac:dyDescent="0.25">
      <c r="B1661" s="294"/>
      <c r="C1661" s="294"/>
      <c r="D1661" s="294"/>
      <c r="E1661" s="294"/>
      <c r="F1661" s="294"/>
      <c r="G1661" s="294"/>
      <c r="H1661" s="294"/>
      <c r="I1661" s="294"/>
      <c r="J1661" s="294"/>
      <c r="L1661" s="295"/>
      <c r="M1661" s="294"/>
      <c r="O1661" s="294"/>
      <c r="P1661" s="294"/>
      <c r="Q1661" s="294"/>
      <c r="R1661" s="294"/>
      <c r="S1661" s="294"/>
      <c r="T1661" s="294"/>
      <c r="U1661" s="294"/>
      <c r="V1661" s="294"/>
      <c r="W1661" s="294"/>
      <c r="X1661" s="294"/>
      <c r="Y1661" s="294"/>
      <c r="Z1661" s="294"/>
      <c r="AA1661" s="294"/>
      <c r="AB1661" s="294"/>
      <c r="AC1661" s="294"/>
      <c r="AD1661" s="294"/>
      <c r="AE1661" s="294"/>
      <c r="AF1661" s="294"/>
      <c r="AG1661" s="294"/>
    </row>
    <row r="1662" spans="2:33" x14ac:dyDescent="0.25">
      <c r="B1662" s="294"/>
      <c r="C1662" s="294"/>
      <c r="D1662" s="294"/>
      <c r="E1662" s="294"/>
      <c r="F1662" s="294"/>
      <c r="G1662" s="294"/>
      <c r="H1662" s="294"/>
      <c r="I1662" s="294"/>
      <c r="J1662" s="294"/>
      <c r="L1662" s="295"/>
      <c r="M1662" s="294"/>
      <c r="O1662" s="294"/>
      <c r="P1662" s="294"/>
      <c r="Q1662" s="294"/>
      <c r="R1662" s="294"/>
      <c r="S1662" s="294"/>
      <c r="T1662" s="294"/>
      <c r="U1662" s="294"/>
      <c r="V1662" s="294"/>
      <c r="W1662" s="294"/>
      <c r="X1662" s="294"/>
      <c r="Y1662" s="294"/>
      <c r="Z1662" s="294"/>
      <c r="AA1662" s="294"/>
      <c r="AB1662" s="294"/>
      <c r="AC1662" s="294"/>
      <c r="AD1662" s="294"/>
      <c r="AE1662" s="294"/>
      <c r="AF1662" s="294"/>
      <c r="AG1662" s="294"/>
    </row>
    <row r="1663" spans="2:33" x14ac:dyDescent="0.25">
      <c r="B1663" s="294"/>
      <c r="C1663" s="294"/>
      <c r="D1663" s="294"/>
      <c r="E1663" s="294"/>
      <c r="F1663" s="294"/>
      <c r="G1663" s="294"/>
      <c r="H1663" s="294"/>
      <c r="I1663" s="294"/>
      <c r="J1663" s="294"/>
      <c r="L1663" s="295"/>
      <c r="M1663" s="294"/>
      <c r="O1663" s="294"/>
      <c r="P1663" s="294"/>
      <c r="Q1663" s="294"/>
      <c r="R1663" s="294"/>
      <c r="S1663" s="294"/>
      <c r="T1663" s="294"/>
      <c r="U1663" s="294"/>
      <c r="V1663" s="294"/>
      <c r="W1663" s="294"/>
      <c r="X1663" s="294"/>
      <c r="Y1663" s="294"/>
      <c r="Z1663" s="294"/>
      <c r="AA1663" s="294"/>
      <c r="AB1663" s="294"/>
      <c r="AC1663" s="294"/>
      <c r="AD1663" s="294"/>
      <c r="AE1663" s="294"/>
      <c r="AF1663" s="294"/>
      <c r="AG1663" s="294"/>
    </row>
    <row r="1664" spans="2:33" x14ac:dyDescent="0.25">
      <c r="B1664" s="294"/>
      <c r="C1664" s="294"/>
      <c r="D1664" s="294"/>
      <c r="E1664" s="294"/>
      <c r="F1664" s="294"/>
      <c r="G1664" s="294"/>
      <c r="H1664" s="294"/>
      <c r="I1664" s="294"/>
      <c r="J1664" s="294"/>
      <c r="L1664" s="295"/>
      <c r="M1664" s="294"/>
      <c r="O1664" s="294"/>
      <c r="P1664" s="294"/>
      <c r="Q1664" s="294"/>
      <c r="R1664" s="294"/>
      <c r="S1664" s="294"/>
      <c r="T1664" s="294"/>
      <c r="U1664" s="294"/>
      <c r="V1664" s="294"/>
      <c r="W1664" s="294"/>
      <c r="X1664" s="294"/>
      <c r="Y1664" s="294"/>
      <c r="Z1664" s="294"/>
      <c r="AA1664" s="294"/>
      <c r="AB1664" s="294"/>
      <c r="AC1664" s="294"/>
      <c r="AD1664" s="294"/>
      <c r="AE1664" s="294"/>
      <c r="AF1664" s="294"/>
      <c r="AG1664" s="294"/>
    </row>
    <row r="1665" spans="2:33" x14ac:dyDescent="0.25">
      <c r="B1665" s="294"/>
      <c r="C1665" s="294"/>
      <c r="D1665" s="294"/>
      <c r="E1665" s="294"/>
      <c r="F1665" s="294"/>
      <c r="G1665" s="294"/>
      <c r="H1665" s="294"/>
      <c r="I1665" s="294"/>
      <c r="J1665" s="294"/>
      <c r="L1665" s="295"/>
      <c r="M1665" s="294"/>
      <c r="O1665" s="294"/>
      <c r="P1665" s="294"/>
      <c r="Q1665" s="294"/>
      <c r="R1665" s="294"/>
      <c r="S1665" s="294"/>
      <c r="T1665" s="294"/>
      <c r="U1665" s="294"/>
      <c r="V1665" s="294"/>
      <c r="W1665" s="294"/>
      <c r="X1665" s="294"/>
      <c r="Y1665" s="294"/>
      <c r="Z1665" s="294"/>
      <c r="AA1665" s="294"/>
      <c r="AB1665" s="294"/>
      <c r="AC1665" s="294"/>
      <c r="AD1665" s="294"/>
      <c r="AE1665" s="294"/>
      <c r="AF1665" s="294"/>
      <c r="AG1665" s="294"/>
    </row>
    <row r="1666" spans="2:33" x14ac:dyDescent="0.25">
      <c r="B1666" s="294"/>
      <c r="C1666" s="294"/>
      <c r="D1666" s="294"/>
      <c r="E1666" s="294"/>
      <c r="F1666" s="294"/>
      <c r="G1666" s="294"/>
      <c r="H1666" s="294"/>
      <c r="I1666" s="294"/>
      <c r="J1666" s="294"/>
      <c r="L1666" s="295"/>
      <c r="M1666" s="294"/>
      <c r="O1666" s="294"/>
      <c r="P1666" s="294"/>
      <c r="Q1666" s="294"/>
      <c r="R1666" s="294"/>
      <c r="S1666" s="294"/>
      <c r="T1666" s="294"/>
      <c r="U1666" s="294"/>
      <c r="V1666" s="294"/>
      <c r="W1666" s="294"/>
      <c r="X1666" s="294"/>
      <c r="Y1666" s="294"/>
      <c r="Z1666" s="294"/>
      <c r="AA1666" s="294"/>
      <c r="AB1666" s="294"/>
      <c r="AC1666" s="294"/>
      <c r="AD1666" s="294"/>
      <c r="AE1666" s="294"/>
      <c r="AF1666" s="294"/>
      <c r="AG1666" s="294"/>
    </row>
    <row r="1667" spans="2:33" x14ac:dyDescent="0.25">
      <c r="B1667" s="294"/>
      <c r="C1667" s="294"/>
      <c r="D1667" s="294"/>
      <c r="E1667" s="294"/>
      <c r="F1667" s="294"/>
      <c r="G1667" s="294"/>
      <c r="H1667" s="294"/>
      <c r="I1667" s="294"/>
      <c r="J1667" s="294"/>
      <c r="L1667" s="295"/>
      <c r="M1667" s="294"/>
      <c r="O1667" s="294"/>
      <c r="P1667" s="294"/>
      <c r="Q1667" s="294"/>
      <c r="R1667" s="294"/>
      <c r="S1667" s="294"/>
      <c r="T1667" s="294"/>
      <c r="U1667" s="294"/>
      <c r="V1667" s="294"/>
      <c r="W1667" s="294"/>
      <c r="X1667" s="294"/>
      <c r="Y1667" s="294"/>
      <c r="Z1667" s="294"/>
      <c r="AA1667" s="294"/>
      <c r="AB1667" s="294"/>
      <c r="AC1667" s="294"/>
      <c r="AD1667" s="294"/>
      <c r="AE1667" s="294"/>
      <c r="AF1667" s="294"/>
      <c r="AG1667" s="294"/>
    </row>
    <row r="1668" spans="2:33" x14ac:dyDescent="0.25">
      <c r="B1668" s="294"/>
      <c r="C1668" s="294"/>
      <c r="D1668" s="294"/>
      <c r="E1668" s="294"/>
      <c r="F1668" s="294"/>
      <c r="G1668" s="294"/>
      <c r="H1668" s="294"/>
      <c r="I1668" s="294"/>
      <c r="J1668" s="294"/>
      <c r="L1668" s="295"/>
      <c r="M1668" s="294"/>
      <c r="O1668" s="294"/>
      <c r="P1668" s="294"/>
      <c r="Q1668" s="294"/>
      <c r="R1668" s="294"/>
      <c r="S1668" s="294"/>
      <c r="T1668" s="294"/>
      <c r="U1668" s="294"/>
      <c r="V1668" s="294"/>
      <c r="W1668" s="294"/>
      <c r="X1668" s="294"/>
      <c r="Y1668" s="294"/>
      <c r="Z1668" s="294"/>
      <c r="AA1668" s="294"/>
      <c r="AB1668" s="294"/>
      <c r="AC1668" s="294"/>
      <c r="AD1668" s="294"/>
      <c r="AE1668" s="294"/>
      <c r="AF1668" s="294"/>
      <c r="AG1668" s="294"/>
    </row>
    <row r="1669" spans="2:33" x14ac:dyDescent="0.25">
      <c r="B1669" s="294"/>
      <c r="C1669" s="294"/>
      <c r="D1669" s="294"/>
      <c r="E1669" s="294"/>
      <c r="F1669" s="294"/>
      <c r="G1669" s="294"/>
      <c r="H1669" s="294"/>
      <c r="I1669" s="294"/>
      <c r="J1669" s="294"/>
      <c r="L1669" s="295"/>
      <c r="M1669" s="294"/>
      <c r="O1669" s="294"/>
      <c r="P1669" s="294"/>
      <c r="Q1669" s="294"/>
      <c r="R1669" s="294"/>
      <c r="S1669" s="294"/>
      <c r="T1669" s="294"/>
      <c r="U1669" s="294"/>
      <c r="V1669" s="294"/>
      <c r="W1669" s="294"/>
      <c r="X1669" s="294"/>
      <c r="Y1669" s="294"/>
      <c r="Z1669" s="294"/>
      <c r="AA1669" s="294"/>
      <c r="AB1669" s="294"/>
      <c r="AC1669" s="294"/>
      <c r="AD1669" s="294"/>
      <c r="AE1669" s="294"/>
      <c r="AF1669" s="294"/>
      <c r="AG1669" s="294"/>
    </row>
    <row r="1670" spans="2:33" x14ac:dyDescent="0.25">
      <c r="B1670" s="294"/>
      <c r="C1670" s="294"/>
      <c r="D1670" s="294"/>
      <c r="E1670" s="294"/>
      <c r="F1670" s="294"/>
      <c r="G1670" s="294"/>
      <c r="H1670" s="294"/>
      <c r="I1670" s="294"/>
      <c r="J1670" s="294"/>
      <c r="L1670" s="295"/>
      <c r="M1670" s="294"/>
      <c r="O1670" s="294"/>
      <c r="P1670" s="294"/>
      <c r="Q1670" s="294"/>
      <c r="R1670" s="294"/>
      <c r="S1670" s="294"/>
      <c r="T1670" s="294"/>
      <c r="U1670" s="294"/>
      <c r="V1670" s="294"/>
      <c r="W1670" s="294"/>
      <c r="X1670" s="294"/>
      <c r="Y1670" s="294"/>
      <c r="Z1670" s="294"/>
      <c r="AA1670" s="294"/>
      <c r="AB1670" s="294"/>
      <c r="AC1670" s="294"/>
      <c r="AD1670" s="294"/>
      <c r="AE1670" s="294"/>
      <c r="AF1670" s="294"/>
      <c r="AG1670" s="294"/>
    </row>
    <row r="1671" spans="2:33" x14ac:dyDescent="0.25">
      <c r="B1671" s="294"/>
      <c r="C1671" s="294"/>
      <c r="D1671" s="294"/>
      <c r="E1671" s="294"/>
      <c r="F1671" s="294"/>
      <c r="G1671" s="294"/>
      <c r="H1671" s="294"/>
      <c r="I1671" s="294"/>
      <c r="J1671" s="294"/>
      <c r="L1671" s="295"/>
      <c r="M1671" s="294"/>
      <c r="O1671" s="294"/>
      <c r="P1671" s="294"/>
      <c r="Q1671" s="294"/>
      <c r="R1671" s="294"/>
      <c r="S1671" s="294"/>
      <c r="T1671" s="294"/>
      <c r="U1671" s="294"/>
      <c r="V1671" s="294"/>
      <c r="W1671" s="294"/>
      <c r="X1671" s="294"/>
      <c r="Y1671" s="294"/>
      <c r="Z1671" s="294"/>
      <c r="AA1671" s="294"/>
      <c r="AB1671" s="294"/>
      <c r="AC1671" s="294"/>
      <c r="AD1671" s="294"/>
      <c r="AE1671" s="294"/>
      <c r="AF1671" s="294"/>
      <c r="AG1671" s="294"/>
    </row>
    <row r="1672" spans="2:33" x14ac:dyDescent="0.25">
      <c r="B1672" s="294"/>
      <c r="C1672" s="294"/>
      <c r="D1672" s="294"/>
      <c r="E1672" s="294"/>
      <c r="F1672" s="294"/>
      <c r="G1672" s="294"/>
      <c r="H1672" s="294"/>
      <c r="I1672" s="294"/>
      <c r="J1672" s="294"/>
      <c r="L1672" s="295"/>
      <c r="M1672" s="294"/>
      <c r="O1672" s="294"/>
      <c r="P1672" s="294"/>
      <c r="Q1672" s="294"/>
      <c r="R1672" s="294"/>
      <c r="S1672" s="294"/>
      <c r="T1672" s="294"/>
      <c r="U1672" s="294"/>
      <c r="V1672" s="294"/>
      <c r="W1672" s="294"/>
      <c r="X1672" s="294"/>
      <c r="Y1672" s="294"/>
      <c r="Z1672" s="294"/>
      <c r="AA1672" s="294"/>
      <c r="AB1672" s="294"/>
      <c r="AC1672" s="294"/>
      <c r="AD1672" s="294"/>
      <c r="AE1672" s="294"/>
      <c r="AF1672" s="294"/>
      <c r="AG1672" s="294"/>
    </row>
    <row r="1673" spans="2:33" x14ac:dyDescent="0.25">
      <c r="B1673" s="294"/>
      <c r="C1673" s="294"/>
      <c r="D1673" s="294"/>
      <c r="E1673" s="294"/>
      <c r="F1673" s="294"/>
      <c r="G1673" s="294"/>
      <c r="H1673" s="294"/>
      <c r="I1673" s="294"/>
      <c r="J1673" s="294"/>
      <c r="L1673" s="295"/>
      <c r="M1673" s="294"/>
      <c r="O1673" s="294"/>
      <c r="P1673" s="294"/>
      <c r="Q1673" s="294"/>
      <c r="R1673" s="294"/>
      <c r="S1673" s="294"/>
      <c r="T1673" s="294"/>
      <c r="U1673" s="294"/>
      <c r="V1673" s="294"/>
      <c r="W1673" s="294"/>
      <c r="X1673" s="294"/>
      <c r="Y1673" s="294"/>
      <c r="Z1673" s="294"/>
      <c r="AA1673" s="294"/>
      <c r="AB1673" s="294"/>
      <c r="AC1673" s="294"/>
      <c r="AD1673" s="294"/>
      <c r="AE1673" s="294"/>
      <c r="AF1673" s="294"/>
      <c r="AG1673" s="294"/>
    </row>
    <row r="1674" spans="2:33" x14ac:dyDescent="0.25">
      <c r="B1674" s="294"/>
      <c r="C1674" s="294"/>
      <c r="D1674" s="294"/>
      <c r="E1674" s="294"/>
      <c r="F1674" s="294"/>
      <c r="G1674" s="294"/>
      <c r="H1674" s="294"/>
      <c r="I1674" s="294"/>
      <c r="J1674" s="294"/>
      <c r="L1674" s="295"/>
      <c r="M1674" s="294"/>
      <c r="O1674" s="294"/>
      <c r="P1674" s="294"/>
      <c r="Q1674" s="294"/>
      <c r="R1674" s="294"/>
      <c r="S1674" s="294"/>
      <c r="T1674" s="294"/>
      <c r="U1674" s="294"/>
      <c r="V1674" s="294"/>
      <c r="W1674" s="294"/>
      <c r="X1674" s="294"/>
      <c r="Y1674" s="294"/>
      <c r="Z1674" s="294"/>
      <c r="AA1674" s="294"/>
      <c r="AB1674" s="294"/>
      <c r="AC1674" s="294"/>
      <c r="AD1674" s="294"/>
      <c r="AE1674" s="294"/>
      <c r="AF1674" s="294"/>
      <c r="AG1674" s="294"/>
    </row>
    <row r="1675" spans="2:33" x14ac:dyDescent="0.25">
      <c r="B1675" s="294"/>
      <c r="C1675" s="294"/>
      <c r="D1675" s="294"/>
      <c r="E1675" s="294"/>
      <c r="F1675" s="294"/>
      <c r="G1675" s="294"/>
      <c r="H1675" s="294"/>
      <c r="I1675" s="294"/>
      <c r="J1675" s="294"/>
      <c r="L1675" s="295"/>
      <c r="M1675" s="294"/>
      <c r="O1675" s="294"/>
      <c r="P1675" s="294"/>
      <c r="Q1675" s="294"/>
      <c r="R1675" s="294"/>
      <c r="S1675" s="294"/>
      <c r="T1675" s="294"/>
      <c r="U1675" s="294"/>
      <c r="V1675" s="294"/>
      <c r="W1675" s="294"/>
      <c r="X1675" s="294"/>
      <c r="Y1675" s="294"/>
      <c r="Z1675" s="294"/>
      <c r="AA1675" s="294"/>
      <c r="AB1675" s="294"/>
      <c r="AC1675" s="294"/>
      <c r="AD1675" s="294"/>
      <c r="AE1675" s="294"/>
      <c r="AF1675" s="294"/>
      <c r="AG1675" s="294"/>
    </row>
    <row r="1676" spans="2:33" x14ac:dyDescent="0.25">
      <c r="B1676" s="294"/>
      <c r="C1676" s="294"/>
      <c r="D1676" s="294"/>
      <c r="E1676" s="294"/>
      <c r="F1676" s="294"/>
      <c r="G1676" s="294"/>
      <c r="H1676" s="294"/>
      <c r="I1676" s="294"/>
      <c r="J1676" s="294"/>
      <c r="L1676" s="295"/>
      <c r="M1676" s="294"/>
      <c r="O1676" s="294"/>
      <c r="P1676" s="294"/>
      <c r="Q1676" s="294"/>
      <c r="R1676" s="294"/>
      <c r="S1676" s="294"/>
      <c r="T1676" s="294"/>
      <c r="U1676" s="294"/>
      <c r="V1676" s="294"/>
      <c r="W1676" s="294"/>
      <c r="X1676" s="294"/>
      <c r="Y1676" s="294"/>
      <c r="Z1676" s="294"/>
      <c r="AA1676" s="294"/>
      <c r="AB1676" s="294"/>
      <c r="AC1676" s="294"/>
      <c r="AD1676" s="294"/>
      <c r="AE1676" s="294"/>
      <c r="AF1676" s="294"/>
      <c r="AG1676" s="294"/>
    </row>
    <row r="1677" spans="2:33" x14ac:dyDescent="0.25">
      <c r="B1677" s="294"/>
      <c r="C1677" s="294"/>
      <c r="D1677" s="294"/>
      <c r="E1677" s="294"/>
      <c r="F1677" s="294"/>
      <c r="G1677" s="294"/>
      <c r="H1677" s="294"/>
      <c r="I1677" s="294"/>
      <c r="J1677" s="294"/>
      <c r="L1677" s="295"/>
      <c r="M1677" s="294"/>
      <c r="O1677" s="294"/>
      <c r="P1677" s="294"/>
      <c r="Q1677" s="294"/>
      <c r="R1677" s="294"/>
      <c r="S1677" s="294"/>
      <c r="T1677" s="294"/>
      <c r="U1677" s="294"/>
      <c r="V1677" s="294"/>
      <c r="W1677" s="294"/>
      <c r="X1677" s="294"/>
      <c r="Y1677" s="294"/>
      <c r="Z1677" s="294"/>
      <c r="AA1677" s="294"/>
      <c r="AB1677" s="294"/>
      <c r="AC1677" s="294"/>
      <c r="AD1677" s="294"/>
      <c r="AE1677" s="294"/>
      <c r="AF1677" s="294"/>
      <c r="AG1677" s="294"/>
    </row>
    <row r="1678" spans="2:33" x14ac:dyDescent="0.25">
      <c r="B1678" s="294"/>
      <c r="C1678" s="294"/>
      <c r="D1678" s="294"/>
      <c r="E1678" s="294"/>
      <c r="F1678" s="294"/>
      <c r="G1678" s="294"/>
      <c r="H1678" s="294"/>
      <c r="I1678" s="294"/>
      <c r="J1678" s="294"/>
      <c r="L1678" s="295"/>
      <c r="M1678" s="294"/>
      <c r="O1678" s="294"/>
      <c r="P1678" s="294"/>
      <c r="Q1678" s="294"/>
      <c r="R1678" s="294"/>
      <c r="S1678" s="294"/>
      <c r="T1678" s="294"/>
      <c r="U1678" s="294"/>
      <c r="V1678" s="294"/>
      <c r="W1678" s="294"/>
      <c r="X1678" s="294"/>
      <c r="Y1678" s="294"/>
      <c r="Z1678" s="294"/>
      <c r="AA1678" s="294"/>
      <c r="AB1678" s="294"/>
      <c r="AC1678" s="294"/>
      <c r="AD1678" s="294"/>
      <c r="AE1678" s="294"/>
      <c r="AF1678" s="294"/>
      <c r="AG1678" s="294"/>
    </row>
    <row r="1679" spans="2:33" x14ac:dyDescent="0.25">
      <c r="B1679" s="294"/>
      <c r="C1679" s="294"/>
      <c r="D1679" s="294"/>
      <c r="E1679" s="294"/>
      <c r="F1679" s="294"/>
      <c r="G1679" s="294"/>
      <c r="H1679" s="294"/>
      <c r="I1679" s="294"/>
      <c r="J1679" s="294"/>
      <c r="L1679" s="295"/>
      <c r="M1679" s="294"/>
      <c r="O1679" s="294"/>
      <c r="P1679" s="294"/>
      <c r="Q1679" s="294"/>
      <c r="R1679" s="294"/>
      <c r="S1679" s="294"/>
      <c r="T1679" s="294"/>
      <c r="U1679" s="294"/>
      <c r="V1679" s="294"/>
      <c r="W1679" s="294"/>
      <c r="X1679" s="294"/>
      <c r="Y1679" s="294"/>
      <c r="Z1679" s="294"/>
      <c r="AA1679" s="294"/>
      <c r="AB1679" s="294"/>
      <c r="AC1679" s="294"/>
      <c r="AD1679" s="294"/>
      <c r="AE1679" s="294"/>
      <c r="AF1679" s="294"/>
      <c r="AG1679" s="294"/>
    </row>
    <row r="1680" spans="2:33" x14ac:dyDescent="0.25">
      <c r="B1680" s="294"/>
      <c r="C1680" s="294"/>
      <c r="D1680" s="294"/>
      <c r="E1680" s="294"/>
      <c r="F1680" s="294"/>
      <c r="G1680" s="294"/>
      <c r="H1680" s="294"/>
      <c r="I1680" s="294"/>
      <c r="J1680" s="294"/>
      <c r="L1680" s="295"/>
      <c r="M1680" s="294"/>
      <c r="O1680" s="294"/>
      <c r="P1680" s="294"/>
      <c r="Q1680" s="294"/>
      <c r="R1680" s="294"/>
      <c r="S1680" s="294"/>
      <c r="T1680" s="294"/>
      <c r="U1680" s="294"/>
      <c r="V1680" s="294"/>
      <c r="W1680" s="294"/>
      <c r="X1680" s="294"/>
      <c r="Y1680" s="294"/>
      <c r="Z1680" s="294"/>
      <c r="AA1680" s="294"/>
      <c r="AB1680" s="294"/>
      <c r="AC1680" s="294"/>
      <c r="AD1680" s="294"/>
      <c r="AE1680" s="294"/>
      <c r="AF1680" s="294"/>
      <c r="AG1680" s="294"/>
    </row>
    <row r="1681" spans="2:33" x14ac:dyDescent="0.25">
      <c r="B1681" s="294"/>
      <c r="C1681" s="294"/>
      <c r="D1681" s="294"/>
      <c r="E1681" s="294"/>
      <c r="F1681" s="294"/>
      <c r="G1681" s="294"/>
      <c r="H1681" s="294"/>
      <c r="I1681" s="294"/>
      <c r="J1681" s="294"/>
      <c r="L1681" s="295"/>
      <c r="M1681" s="294"/>
      <c r="O1681" s="294"/>
      <c r="P1681" s="294"/>
      <c r="Q1681" s="294"/>
      <c r="R1681" s="294"/>
      <c r="S1681" s="294"/>
      <c r="T1681" s="294"/>
      <c r="U1681" s="294"/>
      <c r="V1681" s="294"/>
      <c r="W1681" s="294"/>
      <c r="X1681" s="294"/>
      <c r="Y1681" s="294"/>
      <c r="Z1681" s="294"/>
      <c r="AA1681" s="294"/>
      <c r="AB1681" s="294"/>
      <c r="AC1681" s="294"/>
      <c r="AD1681" s="294"/>
      <c r="AE1681" s="294"/>
      <c r="AF1681" s="294"/>
      <c r="AG1681" s="294"/>
    </row>
    <row r="1682" spans="2:33" x14ac:dyDescent="0.25">
      <c r="B1682" s="294"/>
      <c r="C1682" s="294"/>
      <c r="D1682" s="294"/>
      <c r="E1682" s="294"/>
      <c r="F1682" s="294"/>
      <c r="G1682" s="294"/>
      <c r="H1682" s="294"/>
      <c r="I1682" s="294"/>
      <c r="J1682" s="294"/>
      <c r="L1682" s="295"/>
      <c r="M1682" s="294"/>
      <c r="O1682" s="294"/>
      <c r="P1682" s="294"/>
      <c r="Q1682" s="294"/>
      <c r="R1682" s="294"/>
      <c r="S1682" s="294"/>
      <c r="T1682" s="294"/>
      <c r="U1682" s="294"/>
      <c r="V1682" s="294"/>
      <c r="W1682" s="294"/>
      <c r="X1682" s="294"/>
      <c r="Y1682" s="294"/>
      <c r="Z1682" s="294"/>
      <c r="AA1682" s="294"/>
      <c r="AB1682" s="294"/>
      <c r="AC1682" s="294"/>
      <c r="AD1682" s="294"/>
      <c r="AE1682" s="294"/>
      <c r="AF1682" s="294"/>
      <c r="AG1682" s="294"/>
    </row>
    <row r="1683" spans="2:33" x14ac:dyDescent="0.25">
      <c r="B1683" s="294"/>
      <c r="C1683" s="294"/>
      <c r="D1683" s="294"/>
      <c r="E1683" s="294"/>
      <c r="F1683" s="294"/>
      <c r="G1683" s="294"/>
      <c r="H1683" s="294"/>
      <c r="I1683" s="294"/>
      <c r="J1683" s="294"/>
      <c r="L1683" s="295"/>
      <c r="M1683" s="294"/>
      <c r="O1683" s="294"/>
      <c r="P1683" s="294"/>
      <c r="Q1683" s="294"/>
      <c r="R1683" s="294"/>
      <c r="S1683" s="294"/>
      <c r="T1683" s="294"/>
      <c r="U1683" s="294"/>
      <c r="V1683" s="294"/>
      <c r="W1683" s="294"/>
      <c r="X1683" s="294"/>
      <c r="Y1683" s="294"/>
      <c r="Z1683" s="294"/>
      <c r="AA1683" s="294"/>
      <c r="AB1683" s="294"/>
      <c r="AC1683" s="294"/>
      <c r="AD1683" s="294"/>
      <c r="AE1683" s="294"/>
      <c r="AF1683" s="294"/>
      <c r="AG1683" s="294"/>
    </row>
    <row r="1684" spans="2:33" x14ac:dyDescent="0.25">
      <c r="B1684" s="294"/>
      <c r="C1684" s="294"/>
      <c r="D1684" s="294"/>
      <c r="E1684" s="294"/>
      <c r="F1684" s="294"/>
      <c r="G1684" s="294"/>
      <c r="H1684" s="294"/>
      <c r="I1684" s="294"/>
      <c r="J1684" s="294"/>
      <c r="L1684" s="295"/>
      <c r="M1684" s="294"/>
      <c r="O1684" s="294"/>
      <c r="P1684" s="294"/>
      <c r="Q1684" s="294"/>
      <c r="R1684" s="294"/>
      <c r="S1684" s="294"/>
      <c r="T1684" s="294"/>
      <c r="U1684" s="294"/>
      <c r="V1684" s="294"/>
      <c r="W1684" s="294"/>
      <c r="X1684" s="294"/>
      <c r="Y1684" s="294"/>
      <c r="Z1684" s="294"/>
      <c r="AA1684" s="294"/>
      <c r="AB1684" s="294"/>
      <c r="AC1684" s="294"/>
      <c r="AD1684" s="294"/>
      <c r="AE1684" s="294"/>
      <c r="AF1684" s="294"/>
      <c r="AG1684" s="294"/>
    </row>
    <row r="1685" spans="2:33" x14ac:dyDescent="0.25">
      <c r="B1685" s="294"/>
      <c r="C1685" s="294"/>
      <c r="D1685" s="294"/>
      <c r="E1685" s="294"/>
      <c r="F1685" s="294"/>
      <c r="G1685" s="294"/>
      <c r="H1685" s="294"/>
      <c r="I1685" s="294"/>
      <c r="J1685" s="294"/>
      <c r="L1685" s="295"/>
      <c r="M1685" s="294"/>
      <c r="O1685" s="294"/>
      <c r="P1685" s="294"/>
      <c r="Q1685" s="294"/>
      <c r="R1685" s="294"/>
      <c r="S1685" s="294"/>
      <c r="T1685" s="294"/>
      <c r="U1685" s="294"/>
      <c r="V1685" s="294"/>
      <c r="W1685" s="294"/>
      <c r="X1685" s="294"/>
      <c r="Y1685" s="294"/>
      <c r="Z1685" s="294"/>
      <c r="AA1685" s="294"/>
      <c r="AB1685" s="294"/>
      <c r="AC1685" s="294"/>
      <c r="AD1685" s="294"/>
      <c r="AE1685" s="294"/>
      <c r="AF1685" s="294"/>
      <c r="AG1685" s="294"/>
    </row>
    <row r="1686" spans="2:33" x14ac:dyDescent="0.25">
      <c r="B1686" s="294"/>
      <c r="C1686" s="294"/>
      <c r="D1686" s="294"/>
      <c r="E1686" s="294"/>
      <c r="F1686" s="294"/>
      <c r="G1686" s="294"/>
      <c r="H1686" s="294"/>
      <c r="I1686" s="294"/>
      <c r="J1686" s="294"/>
      <c r="L1686" s="295"/>
      <c r="M1686" s="294"/>
      <c r="O1686" s="294"/>
      <c r="P1686" s="294"/>
      <c r="Q1686" s="294"/>
      <c r="R1686" s="294"/>
      <c r="S1686" s="294"/>
      <c r="T1686" s="294"/>
      <c r="U1686" s="294"/>
      <c r="V1686" s="294"/>
      <c r="W1686" s="294"/>
      <c r="X1686" s="294"/>
      <c r="Y1686" s="294"/>
      <c r="Z1686" s="294"/>
      <c r="AA1686" s="294"/>
      <c r="AB1686" s="294"/>
      <c r="AC1686" s="294"/>
      <c r="AD1686" s="294"/>
      <c r="AE1686" s="294"/>
      <c r="AF1686" s="294"/>
      <c r="AG1686" s="294"/>
    </row>
    <row r="1687" spans="2:33" x14ac:dyDescent="0.25">
      <c r="B1687" s="294"/>
      <c r="C1687" s="294"/>
      <c r="D1687" s="294"/>
      <c r="E1687" s="294"/>
      <c r="F1687" s="294"/>
      <c r="G1687" s="294"/>
      <c r="H1687" s="294"/>
      <c r="I1687" s="294"/>
      <c r="J1687" s="294"/>
      <c r="L1687" s="295"/>
      <c r="M1687" s="294"/>
      <c r="O1687" s="294"/>
      <c r="P1687" s="294"/>
      <c r="Q1687" s="294"/>
      <c r="R1687" s="294"/>
      <c r="S1687" s="294"/>
      <c r="T1687" s="294"/>
      <c r="U1687" s="294"/>
      <c r="V1687" s="294"/>
      <c r="W1687" s="294"/>
      <c r="X1687" s="294"/>
      <c r="Y1687" s="294"/>
      <c r="Z1687" s="294"/>
      <c r="AA1687" s="294"/>
      <c r="AB1687" s="294"/>
      <c r="AC1687" s="294"/>
      <c r="AD1687" s="294"/>
      <c r="AE1687" s="294"/>
      <c r="AF1687" s="294"/>
      <c r="AG1687" s="294"/>
    </row>
    <row r="1688" spans="2:33" x14ac:dyDescent="0.25">
      <c r="B1688" s="294"/>
      <c r="C1688" s="294"/>
      <c r="D1688" s="294"/>
      <c r="E1688" s="294"/>
      <c r="F1688" s="294"/>
      <c r="G1688" s="294"/>
      <c r="H1688" s="294"/>
      <c r="I1688" s="294"/>
      <c r="J1688" s="294"/>
      <c r="L1688" s="295"/>
      <c r="M1688" s="294"/>
      <c r="O1688" s="294"/>
      <c r="P1688" s="294"/>
      <c r="Q1688" s="294"/>
      <c r="R1688" s="294"/>
      <c r="S1688" s="294"/>
      <c r="T1688" s="294"/>
      <c r="U1688" s="294"/>
      <c r="V1688" s="294"/>
      <c r="W1688" s="294"/>
      <c r="X1688" s="294"/>
      <c r="Y1688" s="294"/>
      <c r="Z1688" s="294"/>
      <c r="AA1688" s="294"/>
      <c r="AB1688" s="294"/>
      <c r="AC1688" s="294"/>
      <c r="AD1688" s="294"/>
      <c r="AE1688" s="294"/>
      <c r="AF1688" s="294"/>
      <c r="AG1688" s="294"/>
    </row>
    <row r="1689" spans="2:33" x14ac:dyDescent="0.25">
      <c r="B1689" s="294"/>
      <c r="C1689" s="294"/>
      <c r="D1689" s="294"/>
      <c r="E1689" s="294"/>
      <c r="F1689" s="294"/>
      <c r="G1689" s="294"/>
      <c r="H1689" s="294"/>
      <c r="I1689" s="294"/>
      <c r="J1689" s="294"/>
      <c r="L1689" s="295"/>
      <c r="M1689" s="294"/>
      <c r="O1689" s="294"/>
      <c r="P1689" s="294"/>
      <c r="Q1689" s="294"/>
      <c r="R1689" s="294"/>
      <c r="S1689" s="294"/>
      <c r="T1689" s="294"/>
      <c r="U1689" s="294"/>
      <c r="V1689" s="294"/>
      <c r="W1689" s="294"/>
      <c r="X1689" s="294"/>
      <c r="Y1689" s="294"/>
      <c r="Z1689" s="294"/>
      <c r="AA1689" s="294"/>
      <c r="AB1689" s="294"/>
      <c r="AC1689" s="294"/>
      <c r="AD1689" s="294"/>
      <c r="AE1689" s="294"/>
      <c r="AF1689" s="294"/>
      <c r="AG1689" s="294"/>
    </row>
    <row r="1690" spans="2:33" x14ac:dyDescent="0.25">
      <c r="B1690" s="294"/>
      <c r="C1690" s="294"/>
      <c r="D1690" s="294"/>
      <c r="E1690" s="294"/>
      <c r="F1690" s="294"/>
      <c r="G1690" s="294"/>
      <c r="H1690" s="294"/>
      <c r="I1690" s="294"/>
      <c r="J1690" s="294"/>
      <c r="L1690" s="295"/>
      <c r="M1690" s="294"/>
      <c r="O1690" s="294"/>
      <c r="P1690" s="294"/>
      <c r="Q1690" s="294"/>
      <c r="R1690" s="294"/>
      <c r="S1690" s="294"/>
      <c r="T1690" s="294"/>
      <c r="U1690" s="294"/>
      <c r="V1690" s="294"/>
      <c r="W1690" s="294"/>
      <c r="X1690" s="294"/>
      <c r="Y1690" s="294"/>
      <c r="Z1690" s="294"/>
      <c r="AA1690" s="294"/>
      <c r="AB1690" s="294"/>
      <c r="AC1690" s="294"/>
      <c r="AD1690" s="294"/>
      <c r="AE1690" s="294"/>
      <c r="AF1690" s="294"/>
      <c r="AG1690" s="294"/>
    </row>
    <row r="1691" spans="2:33" x14ac:dyDescent="0.25">
      <c r="B1691" s="294"/>
      <c r="C1691" s="294"/>
      <c r="D1691" s="294"/>
      <c r="E1691" s="294"/>
      <c r="F1691" s="294"/>
      <c r="G1691" s="294"/>
      <c r="H1691" s="294"/>
      <c r="I1691" s="294"/>
      <c r="J1691" s="294"/>
      <c r="L1691" s="295"/>
      <c r="M1691" s="294"/>
      <c r="O1691" s="294"/>
      <c r="P1691" s="294"/>
      <c r="Q1691" s="294"/>
      <c r="R1691" s="294"/>
      <c r="S1691" s="294"/>
      <c r="T1691" s="294"/>
      <c r="U1691" s="294"/>
      <c r="V1691" s="294"/>
      <c r="W1691" s="294"/>
      <c r="X1691" s="294"/>
      <c r="Y1691" s="294"/>
      <c r="Z1691" s="294"/>
      <c r="AA1691" s="294"/>
      <c r="AB1691" s="294"/>
      <c r="AC1691" s="294"/>
      <c r="AD1691" s="294"/>
      <c r="AE1691" s="294"/>
      <c r="AF1691" s="294"/>
      <c r="AG1691" s="294"/>
    </row>
    <row r="1692" spans="2:33" x14ac:dyDescent="0.25">
      <c r="B1692" s="294"/>
      <c r="C1692" s="294"/>
      <c r="D1692" s="294"/>
      <c r="E1692" s="294"/>
      <c r="F1692" s="294"/>
      <c r="G1692" s="294"/>
      <c r="H1692" s="294"/>
      <c r="I1692" s="294"/>
      <c r="J1692" s="294"/>
      <c r="L1692" s="295"/>
      <c r="M1692" s="294"/>
      <c r="O1692" s="294"/>
      <c r="P1692" s="294"/>
      <c r="Q1692" s="294"/>
      <c r="R1692" s="294"/>
      <c r="S1692" s="294"/>
      <c r="T1692" s="294"/>
      <c r="U1692" s="294"/>
      <c r="V1692" s="294"/>
      <c r="W1692" s="294"/>
      <c r="X1692" s="294"/>
      <c r="Y1692" s="294"/>
      <c r="Z1692" s="294"/>
      <c r="AA1692" s="294"/>
      <c r="AB1692" s="294"/>
      <c r="AC1692" s="294"/>
      <c r="AD1692" s="294"/>
      <c r="AE1692" s="294"/>
      <c r="AF1692" s="294"/>
      <c r="AG1692" s="294"/>
    </row>
    <row r="1693" spans="2:33" x14ac:dyDescent="0.25">
      <c r="B1693" s="294"/>
      <c r="C1693" s="294"/>
      <c r="D1693" s="294"/>
      <c r="E1693" s="294"/>
      <c r="F1693" s="294"/>
      <c r="G1693" s="294"/>
      <c r="H1693" s="294"/>
      <c r="I1693" s="294"/>
      <c r="J1693" s="294"/>
      <c r="L1693" s="295"/>
      <c r="M1693" s="294"/>
      <c r="O1693" s="294"/>
      <c r="P1693" s="294"/>
      <c r="Q1693" s="294"/>
      <c r="R1693" s="294"/>
      <c r="S1693" s="294"/>
      <c r="T1693" s="294"/>
      <c r="U1693" s="294"/>
      <c r="V1693" s="294"/>
      <c r="W1693" s="294"/>
      <c r="X1693" s="294"/>
      <c r="Y1693" s="294"/>
      <c r="Z1693" s="294"/>
      <c r="AA1693" s="294"/>
      <c r="AB1693" s="294"/>
      <c r="AC1693" s="294"/>
      <c r="AD1693" s="294"/>
      <c r="AE1693" s="294"/>
      <c r="AF1693" s="294"/>
      <c r="AG1693" s="294"/>
    </row>
    <row r="1694" spans="2:33" x14ac:dyDescent="0.25">
      <c r="B1694" s="294"/>
      <c r="C1694" s="294"/>
      <c r="D1694" s="294"/>
      <c r="E1694" s="294"/>
      <c r="F1694" s="294"/>
      <c r="G1694" s="294"/>
      <c r="H1694" s="294"/>
      <c r="I1694" s="294"/>
      <c r="J1694" s="294"/>
      <c r="L1694" s="295"/>
      <c r="M1694" s="294"/>
      <c r="O1694" s="294"/>
      <c r="P1694" s="294"/>
      <c r="Q1694" s="294"/>
      <c r="R1694" s="294"/>
      <c r="S1694" s="294"/>
      <c r="T1694" s="294"/>
      <c r="U1694" s="294"/>
      <c r="V1694" s="294"/>
      <c r="W1694" s="294"/>
      <c r="X1694" s="294"/>
      <c r="Y1694" s="294"/>
      <c r="Z1694" s="294"/>
      <c r="AA1694" s="294"/>
      <c r="AB1694" s="294"/>
      <c r="AC1694" s="294"/>
      <c r="AD1694" s="294"/>
      <c r="AE1694" s="294"/>
      <c r="AF1694" s="294"/>
      <c r="AG1694" s="294"/>
    </row>
    <row r="1695" spans="2:33" x14ac:dyDescent="0.25">
      <c r="B1695" s="294"/>
      <c r="C1695" s="294"/>
      <c r="D1695" s="294"/>
      <c r="E1695" s="294"/>
      <c r="F1695" s="294"/>
      <c r="G1695" s="294"/>
      <c r="H1695" s="294"/>
      <c r="I1695" s="294"/>
      <c r="J1695" s="294"/>
      <c r="L1695" s="295"/>
      <c r="M1695" s="294"/>
      <c r="O1695" s="294"/>
      <c r="P1695" s="294"/>
      <c r="Q1695" s="294"/>
      <c r="R1695" s="294"/>
      <c r="S1695" s="294"/>
      <c r="T1695" s="294"/>
      <c r="U1695" s="294"/>
      <c r="V1695" s="294"/>
      <c r="W1695" s="294"/>
      <c r="X1695" s="294"/>
      <c r="Y1695" s="294"/>
      <c r="Z1695" s="294"/>
      <c r="AA1695" s="294"/>
      <c r="AB1695" s="294"/>
      <c r="AC1695" s="294"/>
      <c r="AD1695" s="294"/>
      <c r="AE1695" s="294"/>
      <c r="AF1695" s="294"/>
      <c r="AG1695" s="294"/>
    </row>
    <row r="1696" spans="2:33" x14ac:dyDescent="0.25">
      <c r="B1696" s="294"/>
      <c r="C1696" s="294"/>
      <c r="D1696" s="294"/>
      <c r="E1696" s="294"/>
      <c r="F1696" s="294"/>
      <c r="G1696" s="294"/>
      <c r="H1696" s="294"/>
      <c r="I1696" s="294"/>
      <c r="J1696" s="294"/>
      <c r="L1696" s="295"/>
      <c r="M1696" s="294"/>
      <c r="O1696" s="294"/>
      <c r="P1696" s="294"/>
      <c r="Q1696" s="294"/>
      <c r="R1696" s="294"/>
      <c r="S1696" s="294"/>
      <c r="T1696" s="294"/>
      <c r="U1696" s="294"/>
      <c r="V1696" s="294"/>
      <c r="W1696" s="294"/>
      <c r="X1696" s="294"/>
      <c r="Y1696" s="294"/>
      <c r="Z1696" s="294"/>
      <c r="AA1696" s="294"/>
      <c r="AB1696" s="294"/>
      <c r="AC1696" s="294"/>
      <c r="AD1696" s="294"/>
      <c r="AE1696" s="294"/>
      <c r="AF1696" s="294"/>
      <c r="AG1696" s="294"/>
    </row>
    <row r="1697" spans="2:33" x14ac:dyDescent="0.25">
      <c r="B1697" s="294"/>
      <c r="C1697" s="294"/>
      <c r="D1697" s="294"/>
      <c r="E1697" s="294"/>
      <c r="F1697" s="294"/>
      <c r="G1697" s="294"/>
      <c r="H1697" s="294"/>
      <c r="I1697" s="294"/>
      <c r="J1697" s="294"/>
      <c r="L1697" s="295"/>
      <c r="M1697" s="294"/>
      <c r="O1697" s="294"/>
      <c r="P1697" s="294"/>
      <c r="Q1697" s="294"/>
      <c r="R1697" s="294"/>
      <c r="S1697" s="294"/>
      <c r="T1697" s="294"/>
      <c r="U1697" s="294"/>
      <c r="V1697" s="294"/>
      <c r="W1697" s="294"/>
      <c r="X1697" s="294"/>
      <c r="Y1697" s="294"/>
      <c r="Z1697" s="294"/>
      <c r="AA1697" s="294"/>
      <c r="AB1697" s="294"/>
      <c r="AC1697" s="294"/>
      <c r="AD1697" s="294"/>
      <c r="AE1697" s="294"/>
      <c r="AF1697" s="294"/>
      <c r="AG1697" s="294"/>
    </row>
    <row r="1698" spans="2:33" x14ac:dyDescent="0.25">
      <c r="B1698" s="294"/>
      <c r="C1698" s="294"/>
      <c r="D1698" s="294"/>
      <c r="E1698" s="294"/>
      <c r="F1698" s="294"/>
      <c r="G1698" s="294"/>
      <c r="H1698" s="294"/>
      <c r="I1698" s="294"/>
      <c r="J1698" s="294"/>
      <c r="L1698" s="295"/>
      <c r="M1698" s="294"/>
      <c r="O1698" s="294"/>
      <c r="P1698" s="294"/>
      <c r="Q1698" s="294"/>
      <c r="R1698" s="294"/>
      <c r="S1698" s="294"/>
      <c r="T1698" s="294"/>
      <c r="U1698" s="294"/>
      <c r="V1698" s="294"/>
      <c r="W1698" s="294"/>
      <c r="X1698" s="294"/>
      <c r="Y1698" s="294"/>
      <c r="Z1698" s="294"/>
      <c r="AA1698" s="294"/>
      <c r="AB1698" s="294"/>
      <c r="AC1698" s="294"/>
      <c r="AD1698" s="294"/>
      <c r="AE1698" s="294"/>
      <c r="AF1698" s="294"/>
      <c r="AG1698" s="294"/>
    </row>
    <row r="1699" spans="2:33" x14ac:dyDescent="0.25">
      <c r="B1699" s="294"/>
      <c r="C1699" s="294"/>
      <c r="D1699" s="294"/>
      <c r="E1699" s="294"/>
      <c r="F1699" s="294"/>
      <c r="G1699" s="294"/>
      <c r="H1699" s="294"/>
      <c r="I1699" s="294"/>
      <c r="J1699" s="294"/>
      <c r="L1699" s="295"/>
      <c r="M1699" s="294"/>
      <c r="O1699" s="294"/>
      <c r="P1699" s="294"/>
      <c r="Q1699" s="294"/>
      <c r="R1699" s="294"/>
      <c r="S1699" s="294"/>
      <c r="T1699" s="294"/>
      <c r="U1699" s="294"/>
      <c r="V1699" s="294"/>
      <c r="W1699" s="294"/>
      <c r="X1699" s="294"/>
      <c r="Y1699" s="294"/>
      <c r="Z1699" s="294"/>
      <c r="AA1699" s="294"/>
      <c r="AB1699" s="294"/>
      <c r="AC1699" s="294"/>
      <c r="AD1699" s="294"/>
      <c r="AE1699" s="294"/>
      <c r="AF1699" s="294"/>
      <c r="AG1699" s="294"/>
    </row>
    <row r="1700" spans="2:33" x14ac:dyDescent="0.25">
      <c r="B1700" s="294"/>
      <c r="C1700" s="294"/>
      <c r="D1700" s="294"/>
      <c r="E1700" s="294"/>
      <c r="F1700" s="294"/>
      <c r="G1700" s="294"/>
      <c r="H1700" s="294"/>
      <c r="I1700" s="294"/>
      <c r="J1700" s="294"/>
      <c r="L1700" s="295"/>
      <c r="M1700" s="294"/>
      <c r="O1700" s="294"/>
      <c r="P1700" s="294"/>
      <c r="Q1700" s="294"/>
      <c r="R1700" s="294"/>
      <c r="S1700" s="294"/>
      <c r="T1700" s="294"/>
      <c r="U1700" s="294"/>
      <c r="V1700" s="294"/>
      <c r="W1700" s="294"/>
      <c r="X1700" s="294"/>
      <c r="Y1700" s="294"/>
      <c r="Z1700" s="294"/>
      <c r="AA1700" s="294"/>
      <c r="AB1700" s="294"/>
      <c r="AC1700" s="294"/>
      <c r="AD1700" s="294"/>
      <c r="AE1700" s="294"/>
      <c r="AF1700" s="294"/>
      <c r="AG1700" s="294"/>
    </row>
    <row r="1701" spans="2:33" x14ac:dyDescent="0.25">
      <c r="B1701" s="294"/>
      <c r="C1701" s="294"/>
      <c r="D1701" s="294"/>
      <c r="E1701" s="294"/>
      <c r="F1701" s="294"/>
      <c r="G1701" s="294"/>
      <c r="H1701" s="294"/>
      <c r="I1701" s="294"/>
      <c r="J1701" s="294"/>
      <c r="L1701" s="295"/>
      <c r="M1701" s="294"/>
      <c r="O1701" s="294"/>
      <c r="P1701" s="294"/>
      <c r="Q1701" s="294"/>
      <c r="R1701" s="294"/>
      <c r="S1701" s="294"/>
      <c r="T1701" s="294"/>
      <c r="U1701" s="294"/>
      <c r="V1701" s="294"/>
      <c r="W1701" s="294"/>
      <c r="X1701" s="294"/>
      <c r="Y1701" s="294"/>
      <c r="Z1701" s="294"/>
      <c r="AA1701" s="294"/>
      <c r="AB1701" s="294"/>
      <c r="AC1701" s="294"/>
      <c r="AD1701" s="294"/>
      <c r="AE1701" s="294"/>
      <c r="AF1701" s="294"/>
      <c r="AG1701" s="294"/>
    </row>
    <row r="1702" spans="2:33" x14ac:dyDescent="0.25">
      <c r="B1702" s="294"/>
      <c r="C1702" s="294"/>
      <c r="D1702" s="294"/>
      <c r="E1702" s="294"/>
      <c r="F1702" s="294"/>
      <c r="G1702" s="294"/>
      <c r="H1702" s="294"/>
      <c r="I1702" s="294"/>
      <c r="J1702" s="294"/>
      <c r="L1702" s="295"/>
      <c r="M1702" s="294"/>
      <c r="O1702" s="294"/>
      <c r="P1702" s="294"/>
      <c r="Q1702" s="294"/>
      <c r="R1702" s="294"/>
      <c r="S1702" s="294"/>
      <c r="T1702" s="294"/>
      <c r="U1702" s="294"/>
      <c r="V1702" s="294"/>
      <c r="W1702" s="294"/>
      <c r="X1702" s="294"/>
      <c r="Y1702" s="294"/>
      <c r="Z1702" s="294"/>
      <c r="AA1702" s="294"/>
      <c r="AB1702" s="294"/>
      <c r="AC1702" s="294"/>
      <c r="AD1702" s="294"/>
      <c r="AE1702" s="294"/>
      <c r="AF1702" s="294"/>
      <c r="AG1702" s="294"/>
    </row>
    <row r="1703" spans="2:33" x14ac:dyDescent="0.25">
      <c r="B1703" s="294"/>
      <c r="C1703" s="294"/>
      <c r="D1703" s="294"/>
      <c r="E1703" s="294"/>
      <c r="F1703" s="294"/>
      <c r="G1703" s="294"/>
      <c r="H1703" s="294"/>
      <c r="I1703" s="294"/>
      <c r="J1703" s="294"/>
      <c r="L1703" s="295"/>
      <c r="M1703" s="294"/>
      <c r="O1703" s="294"/>
      <c r="P1703" s="294"/>
      <c r="Q1703" s="294"/>
      <c r="R1703" s="294"/>
      <c r="S1703" s="294"/>
      <c r="T1703" s="294"/>
      <c r="U1703" s="294"/>
      <c r="V1703" s="294"/>
      <c r="W1703" s="294"/>
      <c r="X1703" s="294"/>
      <c r="Y1703" s="294"/>
      <c r="Z1703" s="294"/>
      <c r="AA1703" s="294"/>
      <c r="AB1703" s="294"/>
      <c r="AC1703" s="294"/>
      <c r="AD1703" s="294"/>
      <c r="AE1703" s="294"/>
      <c r="AF1703" s="294"/>
      <c r="AG1703" s="294"/>
    </row>
    <row r="1704" spans="2:33" x14ac:dyDescent="0.25">
      <c r="B1704" s="294"/>
      <c r="C1704" s="294"/>
      <c r="D1704" s="294"/>
      <c r="E1704" s="294"/>
      <c r="F1704" s="294"/>
      <c r="G1704" s="294"/>
      <c r="H1704" s="294"/>
      <c r="I1704" s="294"/>
      <c r="J1704" s="294"/>
      <c r="L1704" s="295"/>
      <c r="M1704" s="294"/>
      <c r="O1704" s="294"/>
      <c r="P1704" s="294"/>
      <c r="Q1704" s="294"/>
      <c r="R1704" s="294"/>
      <c r="S1704" s="294"/>
      <c r="T1704" s="294"/>
      <c r="U1704" s="294"/>
      <c r="V1704" s="294"/>
      <c r="W1704" s="294"/>
      <c r="X1704" s="294"/>
      <c r="Y1704" s="294"/>
      <c r="Z1704" s="294"/>
      <c r="AA1704" s="294"/>
      <c r="AB1704" s="294"/>
      <c r="AC1704" s="294"/>
      <c r="AD1704" s="294"/>
      <c r="AE1704" s="294"/>
      <c r="AF1704" s="294"/>
      <c r="AG1704" s="294"/>
    </row>
    <row r="1705" spans="2:33" x14ac:dyDescent="0.25">
      <c r="B1705" s="294"/>
      <c r="C1705" s="294"/>
      <c r="D1705" s="294"/>
      <c r="E1705" s="294"/>
      <c r="F1705" s="294"/>
      <c r="G1705" s="294"/>
      <c r="H1705" s="294"/>
      <c r="I1705" s="294"/>
      <c r="J1705" s="294"/>
      <c r="L1705" s="295"/>
      <c r="M1705" s="294"/>
      <c r="O1705" s="294"/>
      <c r="P1705" s="294"/>
      <c r="Q1705" s="294"/>
      <c r="R1705" s="294"/>
      <c r="S1705" s="294"/>
      <c r="T1705" s="294"/>
      <c r="U1705" s="294"/>
      <c r="V1705" s="294"/>
      <c r="W1705" s="294"/>
      <c r="X1705" s="294"/>
      <c r="Y1705" s="294"/>
      <c r="Z1705" s="294"/>
      <c r="AA1705" s="294"/>
      <c r="AB1705" s="294"/>
      <c r="AC1705" s="294"/>
      <c r="AD1705" s="294"/>
      <c r="AE1705" s="294"/>
      <c r="AF1705" s="294"/>
      <c r="AG1705" s="294"/>
    </row>
    <row r="1706" spans="2:33" x14ac:dyDescent="0.25">
      <c r="B1706" s="294"/>
      <c r="C1706" s="294"/>
      <c r="D1706" s="294"/>
      <c r="E1706" s="294"/>
      <c r="F1706" s="294"/>
      <c r="G1706" s="294"/>
      <c r="H1706" s="294"/>
      <c r="I1706" s="294"/>
      <c r="J1706" s="294"/>
      <c r="L1706" s="295"/>
      <c r="M1706" s="294"/>
      <c r="O1706" s="294"/>
      <c r="P1706" s="294"/>
      <c r="Q1706" s="294"/>
      <c r="R1706" s="294"/>
      <c r="S1706" s="294"/>
      <c r="T1706" s="294"/>
      <c r="U1706" s="294"/>
      <c r="V1706" s="294"/>
      <c r="W1706" s="294"/>
      <c r="X1706" s="294"/>
      <c r="Y1706" s="294"/>
      <c r="Z1706" s="294"/>
      <c r="AA1706" s="294"/>
      <c r="AB1706" s="294"/>
      <c r="AC1706" s="294"/>
      <c r="AD1706" s="294"/>
      <c r="AE1706" s="294"/>
      <c r="AF1706" s="294"/>
      <c r="AG1706" s="294"/>
    </row>
    <row r="1707" spans="2:33" x14ac:dyDescent="0.25">
      <c r="B1707" s="294"/>
      <c r="C1707" s="294"/>
      <c r="D1707" s="294"/>
      <c r="E1707" s="294"/>
      <c r="F1707" s="294"/>
      <c r="G1707" s="294"/>
      <c r="H1707" s="294"/>
      <c r="I1707" s="294"/>
      <c r="J1707" s="294"/>
      <c r="L1707" s="295"/>
      <c r="M1707" s="294"/>
      <c r="O1707" s="294"/>
      <c r="P1707" s="294"/>
      <c r="Q1707" s="294"/>
      <c r="R1707" s="294"/>
      <c r="S1707" s="294"/>
      <c r="T1707" s="294"/>
      <c r="U1707" s="294"/>
      <c r="V1707" s="294"/>
      <c r="W1707" s="294"/>
      <c r="X1707" s="294"/>
      <c r="Y1707" s="294"/>
      <c r="Z1707" s="294"/>
      <c r="AA1707" s="294"/>
      <c r="AB1707" s="294"/>
      <c r="AC1707" s="294"/>
      <c r="AD1707" s="294"/>
      <c r="AE1707" s="294"/>
      <c r="AF1707" s="294"/>
      <c r="AG1707" s="294"/>
    </row>
    <row r="1708" spans="2:33" x14ac:dyDescent="0.25">
      <c r="B1708" s="294"/>
      <c r="C1708" s="294"/>
      <c r="D1708" s="294"/>
      <c r="E1708" s="294"/>
      <c r="F1708" s="294"/>
      <c r="G1708" s="294"/>
      <c r="H1708" s="294"/>
      <c r="I1708" s="294"/>
      <c r="J1708" s="294"/>
      <c r="L1708" s="295"/>
      <c r="M1708" s="294"/>
      <c r="O1708" s="294"/>
      <c r="P1708" s="294"/>
      <c r="Q1708" s="294"/>
      <c r="R1708" s="294"/>
      <c r="S1708" s="294"/>
      <c r="T1708" s="294"/>
      <c r="U1708" s="294"/>
      <c r="V1708" s="294"/>
      <c r="W1708" s="294"/>
      <c r="X1708" s="294"/>
      <c r="Y1708" s="294"/>
      <c r="Z1708" s="294"/>
      <c r="AA1708" s="294"/>
      <c r="AB1708" s="294"/>
      <c r="AC1708" s="294"/>
      <c r="AD1708" s="294"/>
      <c r="AE1708" s="294"/>
      <c r="AF1708" s="294"/>
      <c r="AG1708" s="294"/>
    </row>
    <row r="1709" spans="2:33" x14ac:dyDescent="0.25">
      <c r="B1709" s="294"/>
      <c r="C1709" s="294"/>
      <c r="D1709" s="294"/>
      <c r="E1709" s="294"/>
      <c r="F1709" s="294"/>
      <c r="G1709" s="294"/>
      <c r="H1709" s="294"/>
      <c r="I1709" s="294"/>
      <c r="J1709" s="294"/>
      <c r="L1709" s="295"/>
      <c r="M1709" s="294"/>
      <c r="O1709" s="294"/>
      <c r="P1709" s="294"/>
      <c r="Q1709" s="294"/>
      <c r="R1709" s="294"/>
      <c r="S1709" s="294"/>
      <c r="T1709" s="294"/>
      <c r="U1709" s="294"/>
      <c r="V1709" s="294"/>
      <c r="W1709" s="294"/>
      <c r="X1709" s="294"/>
      <c r="Y1709" s="294"/>
      <c r="Z1709" s="294"/>
      <c r="AA1709" s="294"/>
      <c r="AB1709" s="294"/>
      <c r="AC1709" s="294"/>
      <c r="AD1709" s="294"/>
      <c r="AE1709" s="294"/>
      <c r="AF1709" s="294"/>
      <c r="AG1709" s="294"/>
    </row>
    <row r="1710" spans="2:33" x14ac:dyDescent="0.25">
      <c r="B1710" s="294"/>
      <c r="C1710" s="294"/>
      <c r="D1710" s="294"/>
      <c r="E1710" s="294"/>
      <c r="F1710" s="294"/>
      <c r="G1710" s="294"/>
      <c r="H1710" s="294"/>
      <c r="I1710" s="294"/>
      <c r="J1710" s="294"/>
      <c r="L1710" s="295"/>
      <c r="M1710" s="294"/>
      <c r="O1710" s="294"/>
      <c r="P1710" s="294"/>
      <c r="Q1710" s="294"/>
      <c r="R1710" s="294"/>
      <c r="S1710" s="294"/>
      <c r="T1710" s="294"/>
      <c r="U1710" s="294"/>
      <c r="V1710" s="294"/>
      <c r="W1710" s="294"/>
      <c r="X1710" s="294"/>
      <c r="Y1710" s="294"/>
      <c r="Z1710" s="294"/>
      <c r="AA1710" s="294"/>
      <c r="AB1710" s="294"/>
      <c r="AC1710" s="294"/>
      <c r="AD1710" s="294"/>
      <c r="AE1710" s="294"/>
      <c r="AF1710" s="294"/>
      <c r="AG1710" s="294"/>
    </row>
    <row r="1711" spans="2:33" x14ac:dyDescent="0.25">
      <c r="B1711" s="294"/>
      <c r="C1711" s="294"/>
      <c r="D1711" s="294"/>
      <c r="E1711" s="294"/>
      <c r="F1711" s="294"/>
      <c r="G1711" s="294"/>
      <c r="H1711" s="294"/>
      <c r="I1711" s="294"/>
      <c r="J1711" s="294"/>
      <c r="L1711" s="295"/>
      <c r="M1711" s="294"/>
      <c r="O1711" s="294"/>
      <c r="P1711" s="294"/>
      <c r="Q1711" s="294"/>
      <c r="R1711" s="294"/>
      <c r="S1711" s="294"/>
      <c r="T1711" s="294"/>
      <c r="U1711" s="294"/>
      <c r="V1711" s="294"/>
      <c r="W1711" s="294"/>
      <c r="X1711" s="294"/>
      <c r="Y1711" s="294"/>
      <c r="Z1711" s="294"/>
      <c r="AA1711" s="294"/>
      <c r="AB1711" s="294"/>
      <c r="AC1711" s="294"/>
      <c r="AD1711" s="294"/>
      <c r="AE1711" s="294"/>
      <c r="AF1711" s="294"/>
      <c r="AG1711" s="294"/>
    </row>
    <row r="1712" spans="2:33" x14ac:dyDescent="0.25">
      <c r="B1712" s="294"/>
      <c r="C1712" s="294"/>
      <c r="D1712" s="294"/>
      <c r="E1712" s="294"/>
      <c r="F1712" s="294"/>
      <c r="G1712" s="294"/>
      <c r="H1712" s="294"/>
      <c r="I1712" s="294"/>
      <c r="J1712" s="294"/>
      <c r="L1712" s="295"/>
      <c r="M1712" s="294"/>
      <c r="O1712" s="294"/>
      <c r="P1712" s="294"/>
      <c r="Q1712" s="294"/>
      <c r="R1712" s="294"/>
      <c r="S1712" s="294"/>
      <c r="T1712" s="294"/>
      <c r="U1712" s="294"/>
      <c r="V1712" s="294"/>
      <c r="W1712" s="294"/>
      <c r="X1712" s="294"/>
      <c r="Y1712" s="294"/>
      <c r="Z1712" s="294"/>
      <c r="AA1712" s="294"/>
      <c r="AB1712" s="294"/>
      <c r="AC1712" s="294"/>
      <c r="AD1712" s="294"/>
      <c r="AE1712" s="294"/>
      <c r="AF1712" s="294"/>
      <c r="AG1712" s="294"/>
    </row>
    <row r="1713" spans="2:33" x14ac:dyDescent="0.25">
      <c r="B1713" s="294"/>
      <c r="C1713" s="294"/>
      <c r="D1713" s="294"/>
      <c r="E1713" s="294"/>
      <c r="F1713" s="294"/>
      <c r="G1713" s="294"/>
      <c r="H1713" s="294"/>
      <c r="I1713" s="294"/>
      <c r="J1713" s="294"/>
      <c r="L1713" s="295"/>
      <c r="M1713" s="294"/>
      <c r="O1713" s="294"/>
      <c r="P1713" s="294"/>
      <c r="Q1713" s="294"/>
      <c r="R1713" s="294"/>
      <c r="S1713" s="294"/>
      <c r="T1713" s="294"/>
      <c r="U1713" s="294"/>
      <c r="V1713" s="294"/>
      <c r="W1713" s="294"/>
      <c r="X1713" s="294"/>
      <c r="Y1713" s="294"/>
      <c r="Z1713" s="294"/>
      <c r="AA1713" s="294"/>
      <c r="AB1713" s="294"/>
      <c r="AC1713" s="294"/>
      <c r="AD1713" s="294"/>
      <c r="AE1713" s="294"/>
      <c r="AF1713" s="294"/>
      <c r="AG1713" s="294"/>
    </row>
    <row r="1714" spans="2:33" x14ac:dyDescent="0.25">
      <c r="B1714" s="294"/>
      <c r="C1714" s="294"/>
      <c r="D1714" s="294"/>
      <c r="E1714" s="294"/>
      <c r="F1714" s="294"/>
      <c r="G1714" s="294"/>
      <c r="H1714" s="294"/>
      <c r="I1714" s="294"/>
      <c r="J1714" s="294"/>
      <c r="L1714" s="295"/>
      <c r="M1714" s="294"/>
      <c r="O1714" s="294"/>
      <c r="P1714" s="294"/>
      <c r="Q1714" s="294"/>
      <c r="R1714" s="294"/>
      <c r="S1714" s="294"/>
      <c r="T1714" s="294"/>
      <c r="U1714" s="294"/>
      <c r="V1714" s="294"/>
      <c r="W1714" s="294"/>
      <c r="X1714" s="294"/>
      <c r="Y1714" s="294"/>
      <c r="Z1714" s="294"/>
      <c r="AA1714" s="294"/>
      <c r="AB1714" s="294"/>
      <c r="AC1714" s="294"/>
      <c r="AD1714" s="294"/>
      <c r="AE1714" s="294"/>
      <c r="AF1714" s="294"/>
      <c r="AG1714" s="294"/>
    </row>
    <row r="1715" spans="2:33" x14ac:dyDescent="0.25">
      <c r="B1715" s="294"/>
      <c r="C1715" s="294"/>
      <c r="D1715" s="294"/>
      <c r="E1715" s="294"/>
      <c r="F1715" s="294"/>
      <c r="G1715" s="294"/>
      <c r="H1715" s="294"/>
      <c r="I1715" s="294"/>
      <c r="J1715" s="294"/>
      <c r="L1715" s="295"/>
      <c r="M1715" s="294"/>
      <c r="O1715" s="294"/>
      <c r="P1715" s="294"/>
      <c r="Q1715" s="294"/>
      <c r="R1715" s="294"/>
      <c r="S1715" s="294"/>
      <c r="T1715" s="294"/>
      <c r="U1715" s="294"/>
      <c r="V1715" s="294"/>
      <c r="W1715" s="294"/>
      <c r="X1715" s="294"/>
      <c r="Y1715" s="294"/>
      <c r="Z1715" s="294"/>
      <c r="AA1715" s="294"/>
      <c r="AB1715" s="294"/>
      <c r="AC1715" s="294"/>
      <c r="AD1715" s="294"/>
      <c r="AE1715" s="294"/>
      <c r="AF1715" s="294"/>
      <c r="AG1715" s="294"/>
    </row>
    <row r="1716" spans="2:33" x14ac:dyDescent="0.25">
      <c r="B1716" s="294"/>
      <c r="C1716" s="294"/>
      <c r="D1716" s="294"/>
      <c r="E1716" s="294"/>
      <c r="F1716" s="294"/>
      <c r="G1716" s="294"/>
      <c r="H1716" s="294"/>
      <c r="I1716" s="294"/>
      <c r="J1716" s="294"/>
      <c r="L1716" s="295"/>
      <c r="M1716" s="294"/>
      <c r="O1716" s="294"/>
      <c r="P1716" s="294"/>
      <c r="Q1716" s="294"/>
      <c r="R1716" s="294"/>
      <c r="S1716" s="294"/>
      <c r="T1716" s="294"/>
      <c r="U1716" s="294"/>
      <c r="V1716" s="294"/>
      <c r="W1716" s="294"/>
      <c r="X1716" s="294"/>
      <c r="Y1716" s="294"/>
      <c r="Z1716" s="294"/>
      <c r="AA1716" s="294"/>
      <c r="AB1716" s="294"/>
      <c r="AC1716" s="294"/>
      <c r="AD1716" s="294"/>
      <c r="AE1716" s="294"/>
      <c r="AF1716" s="294"/>
      <c r="AG1716" s="294"/>
    </row>
    <row r="1717" spans="2:33" x14ac:dyDescent="0.25">
      <c r="B1717" s="294"/>
      <c r="C1717" s="294"/>
      <c r="D1717" s="294"/>
      <c r="E1717" s="294"/>
      <c r="F1717" s="294"/>
      <c r="G1717" s="294"/>
      <c r="H1717" s="294"/>
      <c r="I1717" s="294"/>
      <c r="J1717" s="294"/>
      <c r="L1717" s="295"/>
      <c r="M1717" s="294"/>
      <c r="O1717" s="294"/>
      <c r="P1717" s="294"/>
      <c r="Q1717" s="294"/>
      <c r="R1717" s="294"/>
      <c r="S1717" s="294"/>
      <c r="T1717" s="294"/>
      <c r="U1717" s="294"/>
      <c r="V1717" s="294"/>
      <c r="W1717" s="294"/>
      <c r="X1717" s="294"/>
      <c r="Y1717" s="294"/>
      <c r="Z1717" s="294"/>
      <c r="AA1717" s="294"/>
      <c r="AB1717" s="294"/>
      <c r="AC1717" s="294"/>
      <c r="AD1717" s="294"/>
      <c r="AE1717" s="294"/>
      <c r="AF1717" s="294"/>
      <c r="AG1717" s="294"/>
    </row>
    <row r="1718" spans="2:33" x14ac:dyDescent="0.25">
      <c r="B1718" s="294"/>
      <c r="C1718" s="294"/>
      <c r="D1718" s="294"/>
      <c r="E1718" s="294"/>
      <c r="F1718" s="294"/>
      <c r="G1718" s="294"/>
      <c r="H1718" s="294"/>
      <c r="I1718" s="294"/>
      <c r="J1718" s="294"/>
      <c r="L1718" s="295"/>
      <c r="M1718" s="294"/>
      <c r="O1718" s="294"/>
      <c r="P1718" s="294"/>
      <c r="Q1718" s="294"/>
      <c r="R1718" s="294"/>
      <c r="S1718" s="294"/>
      <c r="T1718" s="294"/>
      <c r="U1718" s="294"/>
      <c r="V1718" s="294"/>
      <c r="W1718" s="294"/>
      <c r="X1718" s="294"/>
      <c r="Y1718" s="294"/>
      <c r="Z1718" s="294"/>
      <c r="AA1718" s="294"/>
      <c r="AB1718" s="294"/>
      <c r="AC1718" s="294"/>
      <c r="AD1718" s="294"/>
      <c r="AE1718" s="294"/>
      <c r="AF1718" s="294"/>
      <c r="AG1718" s="294"/>
    </row>
    <row r="1719" spans="2:33" x14ac:dyDescent="0.25">
      <c r="B1719" s="294"/>
      <c r="C1719" s="294"/>
      <c r="D1719" s="294"/>
      <c r="E1719" s="294"/>
      <c r="F1719" s="294"/>
      <c r="G1719" s="294"/>
      <c r="H1719" s="294"/>
      <c r="I1719" s="294"/>
      <c r="J1719" s="294"/>
      <c r="L1719" s="295"/>
      <c r="M1719" s="294"/>
      <c r="O1719" s="294"/>
      <c r="P1719" s="294"/>
      <c r="Q1719" s="294"/>
      <c r="R1719" s="294"/>
      <c r="S1719" s="294"/>
      <c r="T1719" s="294"/>
      <c r="U1719" s="294"/>
      <c r="V1719" s="294"/>
      <c r="W1719" s="294"/>
      <c r="X1719" s="294"/>
      <c r="Y1719" s="294"/>
      <c r="Z1719" s="294"/>
      <c r="AA1719" s="294"/>
      <c r="AB1719" s="294"/>
      <c r="AC1719" s="294"/>
      <c r="AD1719" s="294"/>
      <c r="AE1719" s="294"/>
      <c r="AF1719" s="294"/>
      <c r="AG1719" s="294"/>
    </row>
    <row r="1720" spans="2:33" x14ac:dyDescent="0.25">
      <c r="B1720" s="294"/>
      <c r="C1720" s="294"/>
      <c r="D1720" s="294"/>
      <c r="E1720" s="294"/>
      <c r="F1720" s="294"/>
      <c r="G1720" s="294"/>
      <c r="H1720" s="294"/>
      <c r="I1720" s="294"/>
      <c r="J1720" s="294"/>
      <c r="L1720" s="295"/>
      <c r="M1720" s="294"/>
      <c r="O1720" s="294"/>
      <c r="P1720" s="294"/>
      <c r="Q1720" s="294"/>
      <c r="R1720" s="294"/>
      <c r="S1720" s="294"/>
      <c r="T1720" s="294"/>
      <c r="U1720" s="294"/>
      <c r="V1720" s="294"/>
      <c r="W1720" s="294"/>
      <c r="X1720" s="294"/>
      <c r="Y1720" s="294"/>
      <c r="Z1720" s="294"/>
      <c r="AA1720" s="294"/>
      <c r="AB1720" s="294"/>
      <c r="AC1720" s="294"/>
      <c r="AD1720" s="294"/>
      <c r="AE1720" s="294"/>
      <c r="AF1720" s="294"/>
      <c r="AG1720" s="294"/>
    </row>
    <row r="1721" spans="2:33" x14ac:dyDescent="0.25">
      <c r="B1721" s="294"/>
      <c r="C1721" s="294"/>
      <c r="D1721" s="294"/>
      <c r="E1721" s="294"/>
      <c r="F1721" s="294"/>
      <c r="G1721" s="294"/>
      <c r="H1721" s="294"/>
      <c r="I1721" s="294"/>
      <c r="J1721" s="294"/>
      <c r="L1721" s="295"/>
      <c r="M1721" s="294"/>
      <c r="O1721" s="294"/>
      <c r="P1721" s="294"/>
      <c r="Q1721" s="294"/>
      <c r="R1721" s="294"/>
      <c r="S1721" s="294"/>
      <c r="T1721" s="294"/>
      <c r="U1721" s="294"/>
      <c r="V1721" s="294"/>
      <c r="W1721" s="294"/>
      <c r="X1721" s="294"/>
      <c r="Y1721" s="294"/>
      <c r="Z1721" s="294"/>
      <c r="AA1721" s="294"/>
      <c r="AB1721" s="294"/>
      <c r="AC1721" s="294"/>
      <c r="AD1721" s="294"/>
      <c r="AE1721" s="294"/>
      <c r="AF1721" s="294"/>
      <c r="AG1721" s="294"/>
    </row>
    <row r="1722" spans="2:33" x14ac:dyDescent="0.25">
      <c r="B1722" s="294"/>
      <c r="C1722" s="294"/>
      <c r="D1722" s="294"/>
      <c r="E1722" s="294"/>
      <c r="F1722" s="294"/>
      <c r="G1722" s="294"/>
      <c r="H1722" s="294"/>
      <c r="I1722" s="294"/>
      <c r="J1722" s="294"/>
      <c r="L1722" s="295"/>
      <c r="M1722" s="294"/>
      <c r="O1722" s="294"/>
      <c r="P1722" s="294"/>
      <c r="Q1722" s="294"/>
      <c r="R1722" s="294"/>
      <c r="S1722" s="294"/>
      <c r="T1722" s="294"/>
      <c r="U1722" s="294"/>
      <c r="V1722" s="294"/>
      <c r="W1722" s="294"/>
      <c r="X1722" s="294"/>
      <c r="Y1722" s="294"/>
      <c r="Z1722" s="294"/>
      <c r="AA1722" s="294"/>
      <c r="AB1722" s="294"/>
      <c r="AC1722" s="294"/>
      <c r="AD1722" s="294"/>
      <c r="AE1722" s="294"/>
      <c r="AF1722" s="294"/>
      <c r="AG1722" s="294"/>
    </row>
    <row r="1723" spans="2:33" x14ac:dyDescent="0.25">
      <c r="B1723" s="294"/>
      <c r="C1723" s="294"/>
      <c r="D1723" s="294"/>
      <c r="E1723" s="294"/>
      <c r="F1723" s="294"/>
      <c r="G1723" s="294"/>
      <c r="H1723" s="294"/>
      <c r="I1723" s="294"/>
      <c r="J1723" s="294"/>
      <c r="L1723" s="295"/>
      <c r="M1723" s="294"/>
      <c r="O1723" s="294"/>
      <c r="P1723" s="294"/>
      <c r="Q1723" s="294"/>
      <c r="R1723" s="294"/>
      <c r="S1723" s="294"/>
      <c r="T1723" s="294"/>
      <c r="U1723" s="294"/>
      <c r="V1723" s="294"/>
      <c r="W1723" s="294"/>
      <c r="X1723" s="294"/>
      <c r="Y1723" s="294"/>
      <c r="Z1723" s="294"/>
      <c r="AA1723" s="294"/>
      <c r="AB1723" s="294"/>
      <c r="AC1723" s="294"/>
      <c r="AD1723" s="294"/>
      <c r="AE1723" s="294"/>
      <c r="AF1723" s="294"/>
      <c r="AG1723" s="294"/>
    </row>
    <row r="1724" spans="2:33" x14ac:dyDescent="0.25">
      <c r="B1724" s="294"/>
      <c r="C1724" s="294"/>
      <c r="D1724" s="294"/>
      <c r="E1724" s="294"/>
      <c r="F1724" s="294"/>
      <c r="G1724" s="294"/>
      <c r="H1724" s="294"/>
      <c r="I1724" s="294"/>
      <c r="J1724" s="294"/>
      <c r="L1724" s="295"/>
      <c r="M1724" s="294"/>
      <c r="O1724" s="294"/>
      <c r="P1724" s="294"/>
      <c r="Q1724" s="294"/>
      <c r="R1724" s="294"/>
      <c r="S1724" s="294"/>
      <c r="T1724" s="294"/>
      <c r="U1724" s="294"/>
      <c r="V1724" s="294"/>
      <c r="W1724" s="294"/>
      <c r="X1724" s="294"/>
      <c r="Y1724" s="294"/>
      <c r="Z1724" s="294"/>
      <c r="AA1724" s="294"/>
      <c r="AB1724" s="294"/>
      <c r="AC1724" s="294"/>
      <c r="AD1724" s="294"/>
      <c r="AE1724" s="294"/>
      <c r="AF1724" s="294"/>
      <c r="AG1724" s="294"/>
    </row>
    <row r="1725" spans="2:33" x14ac:dyDescent="0.25">
      <c r="B1725" s="294"/>
      <c r="C1725" s="294"/>
      <c r="D1725" s="294"/>
      <c r="E1725" s="294"/>
      <c r="F1725" s="294"/>
      <c r="G1725" s="294"/>
      <c r="H1725" s="294"/>
      <c r="I1725" s="294"/>
      <c r="J1725" s="294"/>
      <c r="L1725" s="295"/>
      <c r="M1725" s="294"/>
      <c r="O1725" s="294"/>
      <c r="P1725" s="294"/>
      <c r="Q1725" s="294"/>
      <c r="R1725" s="294"/>
      <c r="S1725" s="294"/>
      <c r="T1725" s="294"/>
      <c r="U1725" s="294"/>
      <c r="V1725" s="294"/>
      <c r="W1725" s="294"/>
      <c r="X1725" s="294"/>
      <c r="Y1725" s="294"/>
      <c r="Z1725" s="294"/>
      <c r="AA1725" s="294"/>
      <c r="AB1725" s="294"/>
      <c r="AC1725" s="294"/>
      <c r="AD1725" s="294"/>
      <c r="AE1725" s="294"/>
      <c r="AF1725" s="294"/>
      <c r="AG1725" s="294"/>
    </row>
    <row r="1726" spans="2:33" x14ac:dyDescent="0.25">
      <c r="B1726" s="294"/>
      <c r="C1726" s="294"/>
      <c r="D1726" s="294"/>
      <c r="E1726" s="294"/>
      <c r="F1726" s="294"/>
      <c r="G1726" s="294"/>
      <c r="H1726" s="294"/>
      <c r="I1726" s="294"/>
      <c r="J1726" s="294"/>
      <c r="L1726" s="295"/>
      <c r="M1726" s="294"/>
      <c r="O1726" s="294"/>
      <c r="P1726" s="294"/>
      <c r="Q1726" s="294"/>
      <c r="R1726" s="294"/>
      <c r="S1726" s="294"/>
      <c r="T1726" s="294"/>
      <c r="U1726" s="294"/>
      <c r="V1726" s="294"/>
      <c r="W1726" s="294"/>
      <c r="X1726" s="294"/>
      <c r="Y1726" s="294"/>
      <c r="Z1726" s="294"/>
      <c r="AA1726" s="294"/>
      <c r="AB1726" s="294"/>
      <c r="AC1726" s="294"/>
      <c r="AD1726" s="294"/>
      <c r="AE1726" s="294"/>
      <c r="AF1726" s="294"/>
      <c r="AG1726" s="294"/>
    </row>
    <row r="1727" spans="2:33" x14ac:dyDescent="0.25">
      <c r="B1727" s="294"/>
      <c r="C1727" s="294"/>
      <c r="D1727" s="294"/>
      <c r="E1727" s="294"/>
      <c r="F1727" s="294"/>
      <c r="G1727" s="294"/>
      <c r="H1727" s="294"/>
      <c r="I1727" s="294"/>
      <c r="J1727" s="294"/>
      <c r="L1727" s="295"/>
      <c r="M1727" s="294"/>
      <c r="O1727" s="294"/>
      <c r="P1727" s="294"/>
      <c r="Q1727" s="294"/>
      <c r="R1727" s="294"/>
      <c r="S1727" s="294"/>
      <c r="T1727" s="294"/>
      <c r="U1727" s="294"/>
      <c r="V1727" s="294"/>
      <c r="W1727" s="294"/>
      <c r="X1727" s="294"/>
      <c r="Y1727" s="294"/>
      <c r="Z1727" s="294"/>
      <c r="AA1727" s="294"/>
      <c r="AB1727" s="294"/>
      <c r="AC1727" s="294"/>
      <c r="AD1727" s="294"/>
      <c r="AE1727" s="294"/>
      <c r="AF1727" s="294"/>
      <c r="AG1727" s="294"/>
    </row>
    <row r="1728" spans="2:33" x14ac:dyDescent="0.25">
      <c r="B1728" s="294"/>
      <c r="C1728" s="294"/>
      <c r="D1728" s="294"/>
      <c r="E1728" s="294"/>
      <c r="F1728" s="294"/>
      <c r="G1728" s="294"/>
      <c r="H1728" s="294"/>
      <c r="I1728" s="294"/>
      <c r="J1728" s="294"/>
      <c r="L1728" s="295"/>
      <c r="M1728" s="294"/>
      <c r="O1728" s="294"/>
      <c r="P1728" s="294"/>
      <c r="Q1728" s="294"/>
      <c r="R1728" s="294"/>
      <c r="S1728" s="294"/>
      <c r="T1728" s="294"/>
      <c r="U1728" s="294"/>
      <c r="V1728" s="294"/>
      <c r="W1728" s="294"/>
      <c r="X1728" s="294"/>
      <c r="Y1728" s="294"/>
      <c r="Z1728" s="294"/>
      <c r="AA1728" s="294"/>
      <c r="AB1728" s="294"/>
      <c r="AC1728" s="294"/>
      <c r="AD1728" s="294"/>
      <c r="AE1728" s="294"/>
      <c r="AF1728" s="294"/>
      <c r="AG1728" s="294"/>
    </row>
    <row r="1729" spans="2:33" x14ac:dyDescent="0.25">
      <c r="B1729" s="294"/>
      <c r="C1729" s="294"/>
      <c r="D1729" s="294"/>
      <c r="E1729" s="294"/>
      <c r="F1729" s="294"/>
      <c r="G1729" s="294"/>
      <c r="H1729" s="294"/>
      <c r="I1729" s="294"/>
      <c r="J1729" s="294"/>
      <c r="L1729" s="295"/>
      <c r="M1729" s="294"/>
      <c r="O1729" s="294"/>
      <c r="P1729" s="294"/>
      <c r="Q1729" s="294"/>
      <c r="R1729" s="294"/>
      <c r="S1729" s="294"/>
      <c r="T1729" s="294"/>
      <c r="U1729" s="294"/>
      <c r="V1729" s="294"/>
      <c r="W1729" s="294"/>
      <c r="X1729" s="294"/>
      <c r="Y1729" s="294"/>
      <c r="Z1729" s="294"/>
      <c r="AA1729" s="294"/>
      <c r="AB1729" s="294"/>
      <c r="AC1729" s="294"/>
      <c r="AD1729" s="294"/>
      <c r="AE1729" s="294"/>
      <c r="AF1729" s="294"/>
      <c r="AG1729" s="294"/>
    </row>
    <row r="1730" spans="2:33" x14ac:dyDescent="0.25">
      <c r="B1730" s="294"/>
      <c r="C1730" s="294"/>
      <c r="D1730" s="294"/>
      <c r="E1730" s="294"/>
      <c r="F1730" s="294"/>
      <c r="G1730" s="294"/>
      <c r="H1730" s="294"/>
      <c r="I1730" s="294"/>
      <c r="J1730" s="294"/>
      <c r="L1730" s="295"/>
      <c r="M1730" s="294"/>
      <c r="O1730" s="294"/>
      <c r="P1730" s="294"/>
      <c r="Q1730" s="294"/>
      <c r="R1730" s="294"/>
      <c r="S1730" s="294"/>
      <c r="T1730" s="294"/>
      <c r="U1730" s="294"/>
      <c r="V1730" s="294"/>
      <c r="W1730" s="294"/>
      <c r="X1730" s="294"/>
      <c r="Y1730" s="294"/>
      <c r="Z1730" s="294"/>
      <c r="AA1730" s="294"/>
      <c r="AB1730" s="294"/>
      <c r="AC1730" s="294"/>
      <c r="AD1730" s="294"/>
      <c r="AE1730" s="294"/>
      <c r="AF1730" s="294"/>
      <c r="AG1730" s="294"/>
    </row>
    <row r="1731" spans="2:33" x14ac:dyDescent="0.25">
      <c r="B1731" s="294"/>
      <c r="C1731" s="294"/>
      <c r="D1731" s="294"/>
      <c r="E1731" s="294"/>
      <c r="F1731" s="294"/>
      <c r="G1731" s="294"/>
      <c r="H1731" s="294"/>
      <c r="I1731" s="294"/>
      <c r="J1731" s="294"/>
      <c r="L1731" s="295"/>
      <c r="M1731" s="294"/>
      <c r="O1731" s="294"/>
      <c r="P1731" s="294"/>
      <c r="Q1731" s="294"/>
      <c r="R1731" s="294"/>
      <c r="S1731" s="294"/>
      <c r="T1731" s="294"/>
      <c r="U1731" s="294"/>
      <c r="V1731" s="294"/>
      <c r="W1731" s="294"/>
      <c r="X1731" s="294"/>
      <c r="Y1731" s="294"/>
      <c r="Z1731" s="294"/>
      <c r="AA1731" s="294"/>
      <c r="AB1731" s="294"/>
      <c r="AC1731" s="294"/>
      <c r="AD1731" s="294"/>
      <c r="AE1731" s="294"/>
      <c r="AF1731" s="294"/>
      <c r="AG1731" s="294"/>
    </row>
    <row r="1732" spans="2:33" x14ac:dyDescent="0.25">
      <c r="B1732" s="294"/>
      <c r="C1732" s="294"/>
      <c r="D1732" s="294"/>
      <c r="E1732" s="294"/>
      <c r="F1732" s="294"/>
      <c r="G1732" s="294"/>
      <c r="H1732" s="294"/>
      <c r="I1732" s="294"/>
      <c r="J1732" s="294"/>
      <c r="L1732" s="295"/>
      <c r="M1732" s="294"/>
      <c r="O1732" s="294"/>
      <c r="P1732" s="294"/>
      <c r="Q1732" s="294"/>
      <c r="R1732" s="294"/>
      <c r="S1732" s="294"/>
      <c r="T1732" s="294"/>
      <c r="U1732" s="294"/>
      <c r="V1732" s="294"/>
      <c r="W1732" s="294"/>
      <c r="X1732" s="294"/>
      <c r="Y1732" s="294"/>
      <c r="Z1732" s="294"/>
      <c r="AA1732" s="294"/>
      <c r="AB1732" s="294"/>
      <c r="AC1732" s="294"/>
      <c r="AD1732" s="294"/>
      <c r="AE1732" s="294"/>
      <c r="AF1732" s="294"/>
      <c r="AG1732" s="294"/>
    </row>
    <row r="1733" spans="2:33" x14ac:dyDescent="0.25">
      <c r="B1733" s="294"/>
      <c r="C1733" s="294"/>
      <c r="D1733" s="294"/>
      <c r="E1733" s="294"/>
      <c r="F1733" s="294"/>
      <c r="G1733" s="294"/>
      <c r="H1733" s="294"/>
      <c r="I1733" s="294"/>
      <c r="J1733" s="294"/>
      <c r="L1733" s="295"/>
      <c r="M1733" s="294"/>
      <c r="O1733" s="294"/>
      <c r="P1733" s="294"/>
      <c r="Q1733" s="294"/>
      <c r="R1733" s="294"/>
      <c r="S1733" s="294"/>
      <c r="T1733" s="294"/>
      <c r="U1733" s="294"/>
      <c r="V1733" s="294"/>
      <c r="W1733" s="294"/>
      <c r="X1733" s="294"/>
      <c r="Y1733" s="294"/>
      <c r="Z1733" s="294"/>
      <c r="AA1733" s="294"/>
      <c r="AB1733" s="294"/>
      <c r="AC1733" s="294"/>
      <c r="AD1733" s="294"/>
      <c r="AE1733" s="294"/>
      <c r="AF1733" s="294"/>
      <c r="AG1733" s="294"/>
    </row>
    <row r="1734" spans="2:33" x14ac:dyDescent="0.25">
      <c r="B1734" s="294"/>
      <c r="C1734" s="294"/>
      <c r="D1734" s="294"/>
      <c r="E1734" s="294"/>
      <c r="F1734" s="294"/>
      <c r="G1734" s="294"/>
      <c r="H1734" s="294"/>
      <c r="I1734" s="294"/>
      <c r="J1734" s="294"/>
      <c r="L1734" s="295"/>
      <c r="M1734" s="294"/>
      <c r="O1734" s="294"/>
      <c r="P1734" s="294"/>
      <c r="Q1734" s="294"/>
      <c r="R1734" s="294"/>
      <c r="S1734" s="294"/>
      <c r="T1734" s="294"/>
      <c r="U1734" s="294"/>
      <c r="V1734" s="294"/>
      <c r="W1734" s="294"/>
      <c r="X1734" s="294"/>
      <c r="Y1734" s="294"/>
      <c r="Z1734" s="294"/>
      <c r="AA1734" s="294"/>
      <c r="AB1734" s="294"/>
      <c r="AC1734" s="294"/>
      <c r="AD1734" s="294"/>
      <c r="AE1734" s="294"/>
      <c r="AF1734" s="294"/>
      <c r="AG1734" s="294"/>
    </row>
    <row r="1735" spans="2:33" x14ac:dyDescent="0.25">
      <c r="B1735" s="294"/>
      <c r="C1735" s="294"/>
      <c r="D1735" s="294"/>
      <c r="E1735" s="294"/>
      <c r="F1735" s="294"/>
      <c r="G1735" s="294"/>
      <c r="H1735" s="294"/>
      <c r="I1735" s="294"/>
      <c r="J1735" s="294"/>
      <c r="L1735" s="295"/>
      <c r="M1735" s="294"/>
      <c r="O1735" s="294"/>
      <c r="P1735" s="294"/>
      <c r="Q1735" s="294"/>
      <c r="R1735" s="294"/>
      <c r="S1735" s="294"/>
      <c r="T1735" s="294"/>
      <c r="U1735" s="294"/>
      <c r="V1735" s="294"/>
      <c r="W1735" s="294"/>
      <c r="X1735" s="294"/>
      <c r="Y1735" s="294"/>
      <c r="Z1735" s="294"/>
      <c r="AA1735" s="294"/>
      <c r="AB1735" s="294"/>
      <c r="AC1735" s="294"/>
      <c r="AD1735" s="294"/>
      <c r="AE1735" s="294"/>
      <c r="AF1735" s="294"/>
      <c r="AG1735" s="294"/>
    </row>
    <row r="1736" spans="2:33" x14ac:dyDescent="0.25">
      <c r="B1736" s="294"/>
      <c r="C1736" s="294"/>
      <c r="D1736" s="294"/>
      <c r="E1736" s="294"/>
      <c r="F1736" s="294"/>
      <c r="G1736" s="294"/>
      <c r="H1736" s="294"/>
      <c r="I1736" s="294"/>
      <c r="J1736" s="294"/>
      <c r="L1736" s="295"/>
      <c r="M1736" s="294"/>
      <c r="O1736" s="294"/>
      <c r="P1736" s="294"/>
      <c r="Q1736" s="294"/>
      <c r="R1736" s="294"/>
      <c r="S1736" s="294"/>
      <c r="T1736" s="294"/>
      <c r="U1736" s="294"/>
      <c r="V1736" s="294"/>
      <c r="W1736" s="294"/>
      <c r="X1736" s="294"/>
      <c r="Y1736" s="294"/>
      <c r="Z1736" s="294"/>
      <c r="AA1736" s="294"/>
      <c r="AB1736" s="294"/>
      <c r="AC1736" s="294"/>
      <c r="AD1736" s="294"/>
      <c r="AE1736" s="294"/>
      <c r="AF1736" s="294"/>
      <c r="AG1736" s="294"/>
    </row>
    <row r="1737" spans="2:33" x14ac:dyDescent="0.25">
      <c r="B1737" s="294"/>
      <c r="C1737" s="294"/>
      <c r="D1737" s="294"/>
      <c r="E1737" s="294"/>
      <c r="F1737" s="294"/>
      <c r="G1737" s="294"/>
      <c r="H1737" s="294"/>
      <c r="I1737" s="294"/>
      <c r="J1737" s="294"/>
      <c r="L1737" s="295"/>
      <c r="M1737" s="294"/>
      <c r="O1737" s="294"/>
      <c r="P1737" s="294"/>
      <c r="Q1737" s="294"/>
      <c r="R1737" s="294"/>
      <c r="S1737" s="294"/>
      <c r="T1737" s="294"/>
      <c r="U1737" s="294"/>
      <c r="V1737" s="294"/>
      <c r="W1737" s="294"/>
      <c r="X1737" s="294"/>
      <c r="Y1737" s="294"/>
      <c r="Z1737" s="294"/>
      <c r="AA1737" s="294"/>
      <c r="AB1737" s="294"/>
      <c r="AC1737" s="294"/>
      <c r="AD1737" s="294"/>
      <c r="AE1737" s="294"/>
      <c r="AF1737" s="294"/>
      <c r="AG1737" s="294"/>
    </row>
    <row r="1738" spans="2:33" x14ac:dyDescent="0.25">
      <c r="B1738" s="294"/>
      <c r="C1738" s="294"/>
      <c r="D1738" s="294"/>
      <c r="E1738" s="294"/>
      <c r="F1738" s="294"/>
      <c r="G1738" s="294"/>
      <c r="H1738" s="294"/>
      <c r="I1738" s="294"/>
      <c r="J1738" s="294"/>
      <c r="L1738" s="295"/>
      <c r="M1738" s="294"/>
      <c r="O1738" s="294"/>
      <c r="P1738" s="294"/>
      <c r="Q1738" s="294"/>
      <c r="R1738" s="294"/>
      <c r="S1738" s="294"/>
      <c r="T1738" s="294"/>
      <c r="U1738" s="294"/>
      <c r="V1738" s="294"/>
      <c r="W1738" s="294"/>
      <c r="X1738" s="294"/>
      <c r="Y1738" s="294"/>
      <c r="Z1738" s="294"/>
      <c r="AA1738" s="294"/>
      <c r="AB1738" s="294"/>
      <c r="AC1738" s="294"/>
      <c r="AD1738" s="294"/>
      <c r="AE1738" s="294"/>
      <c r="AF1738" s="294"/>
      <c r="AG1738" s="294"/>
    </row>
    <row r="1739" spans="2:33" x14ac:dyDescent="0.25">
      <c r="B1739" s="294"/>
      <c r="C1739" s="294"/>
      <c r="D1739" s="294"/>
      <c r="E1739" s="294"/>
      <c r="F1739" s="294"/>
      <c r="G1739" s="294"/>
      <c r="H1739" s="294"/>
      <c r="I1739" s="294"/>
      <c r="J1739" s="294"/>
      <c r="L1739" s="295"/>
      <c r="M1739" s="294"/>
      <c r="O1739" s="294"/>
      <c r="P1739" s="294"/>
      <c r="Q1739" s="294"/>
      <c r="R1739" s="294"/>
      <c r="S1739" s="294"/>
      <c r="T1739" s="294"/>
      <c r="U1739" s="294"/>
      <c r="V1739" s="294"/>
      <c r="W1739" s="294"/>
      <c r="X1739" s="294"/>
      <c r="Y1739" s="294"/>
      <c r="Z1739" s="294"/>
      <c r="AA1739" s="294"/>
      <c r="AB1739" s="294"/>
      <c r="AC1739" s="294"/>
      <c r="AD1739" s="294"/>
      <c r="AE1739" s="294"/>
      <c r="AF1739" s="294"/>
      <c r="AG1739" s="294"/>
    </row>
    <row r="1740" spans="2:33" x14ac:dyDescent="0.25">
      <c r="B1740" s="294"/>
      <c r="C1740" s="294"/>
      <c r="D1740" s="294"/>
      <c r="E1740" s="294"/>
      <c r="F1740" s="294"/>
      <c r="G1740" s="294"/>
      <c r="H1740" s="294"/>
      <c r="I1740" s="294"/>
      <c r="J1740" s="294"/>
      <c r="L1740" s="295"/>
      <c r="M1740" s="294"/>
      <c r="O1740" s="294"/>
      <c r="P1740" s="294"/>
      <c r="Q1740" s="294"/>
      <c r="R1740" s="294"/>
      <c r="S1740" s="294"/>
      <c r="T1740" s="294"/>
      <c r="U1740" s="294"/>
      <c r="V1740" s="294"/>
      <c r="W1740" s="294"/>
      <c r="X1740" s="294"/>
      <c r="Y1740" s="294"/>
      <c r="Z1740" s="294"/>
      <c r="AA1740" s="294"/>
      <c r="AB1740" s="294"/>
      <c r="AC1740" s="294"/>
      <c r="AD1740" s="294"/>
      <c r="AE1740" s="294"/>
      <c r="AF1740" s="294"/>
      <c r="AG1740" s="294"/>
    </row>
    <row r="1741" spans="2:33" x14ac:dyDescent="0.25">
      <c r="B1741" s="294"/>
      <c r="C1741" s="294"/>
      <c r="D1741" s="294"/>
      <c r="E1741" s="294"/>
      <c r="F1741" s="294"/>
      <c r="G1741" s="294"/>
      <c r="H1741" s="294"/>
      <c r="I1741" s="294"/>
      <c r="J1741" s="294"/>
      <c r="L1741" s="295"/>
      <c r="M1741" s="294"/>
      <c r="O1741" s="294"/>
      <c r="P1741" s="294"/>
      <c r="Q1741" s="294"/>
      <c r="R1741" s="294"/>
      <c r="S1741" s="294"/>
      <c r="T1741" s="294"/>
      <c r="U1741" s="294"/>
      <c r="V1741" s="294"/>
      <c r="W1741" s="294"/>
      <c r="X1741" s="294"/>
      <c r="Y1741" s="294"/>
      <c r="Z1741" s="294"/>
      <c r="AA1741" s="294"/>
      <c r="AB1741" s="294"/>
      <c r="AC1741" s="294"/>
      <c r="AD1741" s="294"/>
      <c r="AE1741" s="294"/>
      <c r="AF1741" s="294"/>
      <c r="AG1741" s="294"/>
    </row>
    <row r="1742" spans="2:33" x14ac:dyDescent="0.25">
      <c r="B1742" s="294"/>
      <c r="C1742" s="294"/>
      <c r="D1742" s="294"/>
      <c r="E1742" s="294"/>
      <c r="F1742" s="294"/>
      <c r="G1742" s="294"/>
      <c r="H1742" s="294"/>
      <c r="I1742" s="294"/>
      <c r="J1742" s="294"/>
      <c r="L1742" s="295"/>
      <c r="M1742" s="294"/>
      <c r="O1742" s="294"/>
      <c r="P1742" s="294"/>
      <c r="Q1742" s="294"/>
      <c r="R1742" s="294"/>
      <c r="S1742" s="294"/>
      <c r="T1742" s="294"/>
      <c r="U1742" s="294"/>
      <c r="V1742" s="294"/>
      <c r="W1742" s="294"/>
      <c r="X1742" s="294"/>
      <c r="Y1742" s="294"/>
      <c r="Z1742" s="294"/>
      <c r="AA1742" s="294"/>
      <c r="AB1742" s="294"/>
      <c r="AC1742" s="294"/>
      <c r="AD1742" s="294"/>
      <c r="AE1742" s="294"/>
      <c r="AF1742" s="294"/>
      <c r="AG1742" s="294"/>
    </row>
    <row r="1743" spans="2:33" x14ac:dyDescent="0.25">
      <c r="B1743" s="294"/>
      <c r="C1743" s="294"/>
      <c r="D1743" s="294"/>
      <c r="E1743" s="294"/>
      <c r="F1743" s="294"/>
      <c r="G1743" s="294"/>
      <c r="H1743" s="294"/>
      <c r="I1743" s="294"/>
      <c r="J1743" s="294"/>
      <c r="L1743" s="295"/>
      <c r="M1743" s="294"/>
      <c r="O1743" s="294"/>
      <c r="P1743" s="294"/>
      <c r="Q1743" s="294"/>
      <c r="R1743" s="294"/>
      <c r="S1743" s="294"/>
      <c r="T1743" s="294"/>
      <c r="U1743" s="294"/>
      <c r="V1743" s="294"/>
      <c r="W1743" s="294"/>
      <c r="X1743" s="294"/>
      <c r="Y1743" s="294"/>
      <c r="Z1743" s="294"/>
      <c r="AA1743" s="294"/>
      <c r="AB1743" s="294"/>
      <c r="AC1743" s="294"/>
      <c r="AD1743" s="294"/>
      <c r="AE1743" s="294"/>
      <c r="AF1743" s="294"/>
      <c r="AG1743" s="294"/>
    </row>
    <row r="1744" spans="2:33" x14ac:dyDescent="0.25">
      <c r="B1744" s="294"/>
      <c r="C1744" s="294"/>
      <c r="D1744" s="294"/>
      <c r="E1744" s="294"/>
      <c r="F1744" s="294"/>
      <c r="G1744" s="294"/>
      <c r="H1744" s="294"/>
      <c r="I1744" s="294"/>
      <c r="J1744" s="294"/>
      <c r="L1744" s="295"/>
      <c r="M1744" s="294"/>
      <c r="O1744" s="294"/>
      <c r="P1744" s="294"/>
      <c r="Q1744" s="294"/>
      <c r="R1744" s="294"/>
      <c r="S1744" s="294"/>
      <c r="T1744" s="294"/>
      <c r="U1744" s="294"/>
      <c r="V1744" s="294"/>
      <c r="W1744" s="294"/>
      <c r="X1744" s="294"/>
      <c r="Y1744" s="294"/>
      <c r="Z1744" s="294"/>
      <c r="AA1744" s="294"/>
      <c r="AB1744" s="294"/>
      <c r="AC1744" s="294"/>
      <c r="AD1744" s="294"/>
      <c r="AE1744" s="294"/>
      <c r="AF1744" s="294"/>
      <c r="AG1744" s="294"/>
    </row>
    <row r="1745" spans="2:33" x14ac:dyDescent="0.25">
      <c r="B1745" s="294"/>
      <c r="C1745" s="294"/>
      <c r="D1745" s="294"/>
      <c r="E1745" s="294"/>
      <c r="F1745" s="294"/>
      <c r="G1745" s="294"/>
      <c r="H1745" s="294"/>
      <c r="I1745" s="294"/>
      <c r="J1745" s="294"/>
      <c r="L1745" s="295"/>
      <c r="M1745" s="294"/>
      <c r="O1745" s="294"/>
      <c r="P1745" s="294"/>
      <c r="Q1745" s="294"/>
      <c r="R1745" s="294"/>
      <c r="S1745" s="294"/>
      <c r="T1745" s="294"/>
      <c r="U1745" s="294"/>
      <c r="V1745" s="294"/>
      <c r="W1745" s="294"/>
      <c r="X1745" s="294"/>
      <c r="Y1745" s="294"/>
      <c r="Z1745" s="294"/>
      <c r="AA1745" s="294"/>
      <c r="AB1745" s="294"/>
      <c r="AC1745" s="294"/>
      <c r="AD1745" s="294"/>
      <c r="AE1745" s="294"/>
      <c r="AF1745" s="294"/>
      <c r="AG1745" s="294"/>
    </row>
    <row r="1746" spans="2:33" x14ac:dyDescent="0.25">
      <c r="B1746" s="294"/>
      <c r="C1746" s="294"/>
      <c r="D1746" s="294"/>
      <c r="E1746" s="294"/>
      <c r="F1746" s="294"/>
      <c r="G1746" s="294"/>
      <c r="H1746" s="294"/>
      <c r="I1746" s="294"/>
      <c r="J1746" s="294"/>
      <c r="L1746" s="295"/>
      <c r="M1746" s="294"/>
      <c r="O1746" s="294"/>
      <c r="P1746" s="294"/>
      <c r="Q1746" s="294"/>
      <c r="R1746" s="294"/>
      <c r="S1746" s="294"/>
      <c r="T1746" s="294"/>
      <c r="U1746" s="294"/>
      <c r="V1746" s="294"/>
      <c r="W1746" s="294"/>
      <c r="X1746" s="294"/>
      <c r="Y1746" s="294"/>
      <c r="Z1746" s="294"/>
      <c r="AA1746" s="294"/>
      <c r="AB1746" s="294"/>
      <c r="AC1746" s="294"/>
      <c r="AD1746" s="294"/>
      <c r="AE1746" s="294"/>
      <c r="AF1746" s="294"/>
      <c r="AG1746" s="294"/>
    </row>
    <row r="1747" spans="2:33" x14ac:dyDescent="0.25">
      <c r="B1747" s="294"/>
      <c r="C1747" s="294"/>
      <c r="D1747" s="294"/>
      <c r="E1747" s="294"/>
      <c r="F1747" s="294"/>
      <c r="G1747" s="294"/>
      <c r="H1747" s="294"/>
      <c r="I1747" s="294"/>
      <c r="J1747" s="294"/>
      <c r="L1747" s="295"/>
      <c r="M1747" s="294"/>
      <c r="O1747" s="294"/>
      <c r="P1747" s="294"/>
      <c r="Q1747" s="294"/>
      <c r="R1747" s="294"/>
      <c r="S1747" s="294"/>
      <c r="T1747" s="294"/>
      <c r="U1747" s="294"/>
      <c r="V1747" s="294"/>
      <c r="W1747" s="294"/>
      <c r="X1747" s="294"/>
      <c r="Y1747" s="294"/>
      <c r="Z1747" s="294"/>
      <c r="AA1747" s="294"/>
      <c r="AB1747" s="294"/>
      <c r="AC1747" s="294"/>
      <c r="AD1747" s="294"/>
      <c r="AE1747" s="294"/>
      <c r="AF1747" s="294"/>
      <c r="AG1747" s="294"/>
    </row>
    <row r="1748" spans="2:33" x14ac:dyDescent="0.25">
      <c r="B1748" s="294"/>
      <c r="C1748" s="294"/>
      <c r="D1748" s="294"/>
      <c r="E1748" s="294"/>
      <c r="F1748" s="294"/>
      <c r="G1748" s="294"/>
      <c r="H1748" s="294"/>
      <c r="I1748" s="294"/>
      <c r="J1748" s="294"/>
      <c r="L1748" s="295"/>
      <c r="M1748" s="294"/>
      <c r="O1748" s="294"/>
      <c r="P1748" s="294"/>
      <c r="Q1748" s="294"/>
      <c r="R1748" s="294"/>
      <c r="S1748" s="294"/>
      <c r="T1748" s="294"/>
      <c r="U1748" s="294"/>
      <c r="V1748" s="294"/>
      <c r="W1748" s="294"/>
      <c r="X1748" s="294"/>
      <c r="Y1748" s="294"/>
      <c r="Z1748" s="294"/>
      <c r="AA1748" s="294"/>
      <c r="AB1748" s="294"/>
      <c r="AC1748" s="294"/>
      <c r="AD1748" s="294"/>
      <c r="AE1748" s="294"/>
      <c r="AF1748" s="294"/>
      <c r="AG1748" s="294"/>
    </row>
    <row r="1749" spans="2:33" x14ac:dyDescent="0.25">
      <c r="B1749" s="294"/>
      <c r="C1749" s="294"/>
      <c r="D1749" s="294"/>
      <c r="E1749" s="294"/>
      <c r="F1749" s="294"/>
      <c r="G1749" s="294"/>
      <c r="H1749" s="294"/>
      <c r="I1749" s="294"/>
      <c r="J1749" s="294"/>
      <c r="L1749" s="295"/>
      <c r="M1749" s="294"/>
      <c r="O1749" s="294"/>
      <c r="P1749" s="294"/>
      <c r="Q1749" s="294"/>
      <c r="R1749" s="294"/>
      <c r="S1749" s="294"/>
      <c r="T1749" s="294"/>
      <c r="U1749" s="294"/>
      <c r="V1749" s="294"/>
      <c r="W1749" s="294"/>
      <c r="X1749" s="294"/>
      <c r="Y1749" s="294"/>
      <c r="Z1749" s="294"/>
      <c r="AA1749" s="294"/>
      <c r="AB1749" s="294"/>
      <c r="AC1749" s="294"/>
      <c r="AD1749" s="294"/>
      <c r="AE1749" s="294"/>
      <c r="AF1749" s="294"/>
      <c r="AG1749" s="294"/>
    </row>
    <row r="1750" spans="2:33" x14ac:dyDescent="0.25">
      <c r="B1750" s="294"/>
      <c r="C1750" s="294"/>
      <c r="D1750" s="294"/>
      <c r="E1750" s="294"/>
      <c r="F1750" s="294"/>
      <c r="G1750" s="294"/>
      <c r="H1750" s="294"/>
      <c r="I1750" s="294"/>
      <c r="J1750" s="294"/>
      <c r="L1750" s="295"/>
      <c r="M1750" s="294"/>
      <c r="O1750" s="294"/>
      <c r="P1750" s="294"/>
      <c r="Q1750" s="294"/>
      <c r="R1750" s="294"/>
      <c r="S1750" s="294"/>
      <c r="T1750" s="294"/>
      <c r="U1750" s="294"/>
      <c r="V1750" s="294"/>
      <c r="W1750" s="294"/>
      <c r="X1750" s="294"/>
      <c r="Y1750" s="294"/>
      <c r="Z1750" s="294"/>
      <c r="AA1750" s="294"/>
      <c r="AB1750" s="294"/>
      <c r="AC1750" s="294"/>
      <c r="AD1750" s="294"/>
      <c r="AE1750" s="294"/>
      <c r="AF1750" s="294"/>
      <c r="AG1750" s="294"/>
    </row>
    <row r="1751" spans="2:33" x14ac:dyDescent="0.25">
      <c r="B1751" s="294"/>
      <c r="C1751" s="294"/>
      <c r="D1751" s="294"/>
      <c r="E1751" s="294"/>
      <c r="F1751" s="294"/>
      <c r="G1751" s="294"/>
      <c r="H1751" s="294"/>
      <c r="I1751" s="294"/>
      <c r="J1751" s="294"/>
      <c r="L1751" s="295"/>
      <c r="M1751" s="294"/>
      <c r="O1751" s="294"/>
      <c r="P1751" s="294"/>
      <c r="Q1751" s="294"/>
      <c r="R1751" s="294"/>
      <c r="S1751" s="294"/>
      <c r="T1751" s="294"/>
      <c r="U1751" s="294"/>
      <c r="V1751" s="294"/>
      <c r="W1751" s="294"/>
      <c r="X1751" s="294"/>
      <c r="Y1751" s="294"/>
      <c r="Z1751" s="294"/>
      <c r="AA1751" s="294"/>
      <c r="AB1751" s="294"/>
      <c r="AC1751" s="294"/>
      <c r="AD1751" s="294"/>
      <c r="AE1751" s="294"/>
      <c r="AF1751" s="294"/>
      <c r="AG1751" s="294"/>
    </row>
    <row r="1752" spans="2:33" x14ac:dyDescent="0.25">
      <c r="B1752" s="294"/>
      <c r="C1752" s="294"/>
      <c r="D1752" s="294"/>
      <c r="E1752" s="294"/>
      <c r="F1752" s="294"/>
      <c r="G1752" s="294"/>
      <c r="H1752" s="294"/>
      <c r="I1752" s="294"/>
      <c r="J1752" s="294"/>
      <c r="L1752" s="295"/>
      <c r="M1752" s="294"/>
      <c r="O1752" s="294"/>
      <c r="P1752" s="294"/>
      <c r="Q1752" s="294"/>
      <c r="R1752" s="294"/>
      <c r="S1752" s="294"/>
      <c r="T1752" s="294"/>
      <c r="U1752" s="294"/>
      <c r="V1752" s="294"/>
      <c r="W1752" s="294"/>
      <c r="X1752" s="294"/>
      <c r="Y1752" s="294"/>
      <c r="Z1752" s="294"/>
      <c r="AA1752" s="294"/>
      <c r="AB1752" s="294"/>
      <c r="AC1752" s="294"/>
      <c r="AD1752" s="294"/>
      <c r="AE1752" s="294"/>
      <c r="AF1752" s="294"/>
      <c r="AG1752" s="294"/>
    </row>
    <row r="1753" spans="2:33" x14ac:dyDescent="0.25">
      <c r="B1753" s="294"/>
      <c r="C1753" s="294"/>
      <c r="D1753" s="294"/>
      <c r="E1753" s="294"/>
      <c r="F1753" s="294"/>
      <c r="G1753" s="294"/>
      <c r="H1753" s="294"/>
      <c r="I1753" s="294"/>
      <c r="J1753" s="294"/>
      <c r="L1753" s="295"/>
      <c r="M1753" s="294"/>
      <c r="O1753" s="294"/>
      <c r="P1753" s="294"/>
      <c r="Q1753" s="294"/>
      <c r="R1753" s="294"/>
      <c r="S1753" s="294"/>
      <c r="T1753" s="294"/>
      <c r="U1753" s="294"/>
      <c r="V1753" s="294"/>
      <c r="W1753" s="294"/>
      <c r="X1753" s="294"/>
      <c r="Y1753" s="294"/>
      <c r="Z1753" s="294"/>
      <c r="AA1753" s="294"/>
      <c r="AB1753" s="294"/>
      <c r="AC1753" s="294"/>
      <c r="AD1753" s="294"/>
      <c r="AE1753" s="294"/>
      <c r="AF1753" s="294"/>
      <c r="AG1753" s="294"/>
    </row>
    <row r="1754" spans="2:33" x14ac:dyDescent="0.25">
      <c r="B1754" s="294"/>
      <c r="C1754" s="294"/>
      <c r="D1754" s="294"/>
      <c r="E1754" s="294"/>
      <c r="F1754" s="294"/>
      <c r="G1754" s="294"/>
      <c r="H1754" s="294"/>
      <c r="I1754" s="294"/>
      <c r="J1754" s="294"/>
      <c r="L1754" s="295"/>
      <c r="M1754" s="294"/>
      <c r="O1754" s="294"/>
      <c r="P1754" s="294"/>
      <c r="Q1754" s="294"/>
      <c r="R1754" s="294"/>
      <c r="S1754" s="294"/>
      <c r="T1754" s="294"/>
      <c r="U1754" s="294"/>
      <c r="V1754" s="294"/>
      <c r="W1754" s="294"/>
      <c r="X1754" s="294"/>
      <c r="Y1754" s="294"/>
      <c r="Z1754" s="294"/>
      <c r="AA1754" s="294"/>
      <c r="AB1754" s="294"/>
      <c r="AC1754" s="294"/>
      <c r="AD1754" s="294"/>
      <c r="AE1754" s="294"/>
      <c r="AF1754" s="294"/>
      <c r="AG1754" s="294"/>
    </row>
    <row r="1755" spans="2:33" x14ac:dyDescent="0.25">
      <c r="B1755" s="294"/>
      <c r="C1755" s="294"/>
      <c r="D1755" s="294"/>
      <c r="E1755" s="294"/>
      <c r="F1755" s="294"/>
      <c r="G1755" s="294"/>
      <c r="H1755" s="294"/>
      <c r="I1755" s="294"/>
      <c r="J1755" s="294"/>
      <c r="L1755" s="295"/>
      <c r="M1755" s="294"/>
      <c r="O1755" s="294"/>
      <c r="P1755" s="294"/>
      <c r="Q1755" s="294"/>
      <c r="R1755" s="294"/>
      <c r="S1755" s="294"/>
      <c r="T1755" s="294"/>
      <c r="U1755" s="294"/>
      <c r="V1755" s="294"/>
      <c r="W1755" s="294"/>
      <c r="X1755" s="294"/>
      <c r="Y1755" s="294"/>
      <c r="Z1755" s="294"/>
      <c r="AA1755" s="294"/>
      <c r="AB1755" s="294"/>
      <c r="AC1755" s="294"/>
      <c r="AD1755" s="294"/>
      <c r="AE1755" s="294"/>
      <c r="AF1755" s="294"/>
      <c r="AG1755" s="294"/>
    </row>
    <row r="1756" spans="2:33" x14ac:dyDescent="0.25">
      <c r="B1756" s="294"/>
      <c r="C1756" s="294"/>
      <c r="D1756" s="294"/>
      <c r="E1756" s="294"/>
      <c r="F1756" s="294"/>
      <c r="G1756" s="294"/>
      <c r="H1756" s="294"/>
      <c r="I1756" s="294"/>
      <c r="J1756" s="294"/>
      <c r="L1756" s="295"/>
      <c r="M1756" s="294"/>
      <c r="O1756" s="294"/>
      <c r="P1756" s="294"/>
      <c r="Q1756" s="294"/>
      <c r="R1756" s="294"/>
      <c r="S1756" s="294"/>
      <c r="T1756" s="294"/>
      <c r="U1756" s="294"/>
      <c r="V1756" s="294"/>
      <c r="W1756" s="294"/>
      <c r="X1756" s="294"/>
      <c r="Y1756" s="294"/>
      <c r="Z1756" s="294"/>
      <c r="AA1756" s="294"/>
      <c r="AB1756" s="294"/>
      <c r="AC1756" s="294"/>
      <c r="AD1756" s="294"/>
      <c r="AE1756" s="294"/>
      <c r="AF1756" s="294"/>
      <c r="AG1756" s="294"/>
    </row>
    <row r="1757" spans="2:33" x14ac:dyDescent="0.25">
      <c r="B1757" s="294"/>
      <c r="C1757" s="294"/>
      <c r="D1757" s="294"/>
      <c r="E1757" s="294"/>
      <c r="F1757" s="294"/>
      <c r="G1757" s="294"/>
      <c r="H1757" s="294"/>
      <c r="I1757" s="294"/>
      <c r="J1757" s="294"/>
      <c r="L1757" s="295"/>
      <c r="M1757" s="294"/>
      <c r="O1757" s="294"/>
      <c r="P1757" s="294"/>
      <c r="Q1757" s="294"/>
      <c r="R1757" s="294"/>
      <c r="S1757" s="294"/>
      <c r="T1757" s="294"/>
      <c r="U1757" s="294"/>
      <c r="V1757" s="294"/>
      <c r="W1757" s="294"/>
      <c r="X1757" s="294"/>
      <c r="Y1757" s="294"/>
      <c r="Z1757" s="294"/>
      <c r="AA1757" s="294"/>
      <c r="AB1757" s="294"/>
      <c r="AC1757" s="294"/>
      <c r="AD1757" s="294"/>
      <c r="AE1757" s="294"/>
      <c r="AF1757" s="294"/>
      <c r="AG1757" s="294"/>
    </row>
    <row r="1758" spans="2:33" x14ac:dyDescent="0.25">
      <c r="B1758" s="294"/>
      <c r="C1758" s="294"/>
      <c r="D1758" s="294"/>
      <c r="E1758" s="294"/>
      <c r="F1758" s="294"/>
      <c r="G1758" s="294"/>
      <c r="H1758" s="294"/>
      <c r="I1758" s="294"/>
      <c r="J1758" s="294"/>
      <c r="L1758" s="295"/>
      <c r="M1758" s="294"/>
      <c r="O1758" s="294"/>
      <c r="P1758" s="294"/>
      <c r="Q1758" s="294"/>
      <c r="R1758" s="294"/>
      <c r="S1758" s="294"/>
      <c r="T1758" s="294"/>
      <c r="U1758" s="294"/>
      <c r="V1758" s="294"/>
      <c r="W1758" s="294"/>
      <c r="X1758" s="294"/>
      <c r="Y1758" s="294"/>
      <c r="Z1758" s="294"/>
      <c r="AA1758" s="294"/>
      <c r="AB1758" s="294"/>
      <c r="AC1758" s="294"/>
      <c r="AD1758" s="294"/>
      <c r="AE1758" s="294"/>
      <c r="AF1758" s="294"/>
      <c r="AG1758" s="294"/>
    </row>
    <row r="1759" spans="2:33" x14ac:dyDescent="0.25">
      <c r="B1759" s="294"/>
      <c r="C1759" s="294"/>
      <c r="D1759" s="294"/>
      <c r="E1759" s="294"/>
      <c r="F1759" s="294"/>
      <c r="G1759" s="294"/>
      <c r="H1759" s="294"/>
      <c r="I1759" s="294"/>
      <c r="J1759" s="294"/>
      <c r="L1759" s="295"/>
      <c r="M1759" s="294"/>
      <c r="O1759" s="294"/>
      <c r="P1759" s="294"/>
      <c r="Q1759" s="294"/>
      <c r="R1759" s="294"/>
      <c r="S1759" s="294"/>
      <c r="T1759" s="294"/>
      <c r="U1759" s="294"/>
      <c r="V1759" s="294"/>
      <c r="W1759" s="294"/>
      <c r="X1759" s="294"/>
      <c r="Y1759" s="294"/>
      <c r="Z1759" s="294"/>
      <c r="AA1759" s="294"/>
      <c r="AB1759" s="294"/>
      <c r="AC1759" s="294"/>
      <c r="AD1759" s="294"/>
      <c r="AE1759" s="294"/>
      <c r="AF1759" s="294"/>
      <c r="AG1759" s="294"/>
    </row>
    <row r="1760" spans="2:33" x14ac:dyDescent="0.25">
      <c r="B1760" s="294"/>
      <c r="C1760" s="294"/>
      <c r="D1760" s="294"/>
      <c r="E1760" s="294"/>
      <c r="F1760" s="294"/>
      <c r="G1760" s="294"/>
      <c r="H1760" s="294"/>
      <c r="I1760" s="294"/>
      <c r="J1760" s="294"/>
      <c r="L1760" s="295"/>
      <c r="M1760" s="294"/>
      <c r="O1760" s="294"/>
      <c r="P1760" s="294"/>
      <c r="Q1760" s="294"/>
      <c r="R1760" s="294"/>
      <c r="S1760" s="294"/>
      <c r="T1760" s="294"/>
      <c r="U1760" s="294"/>
      <c r="V1760" s="294"/>
      <c r="W1760" s="294"/>
      <c r="X1760" s="294"/>
      <c r="Y1760" s="294"/>
      <c r="Z1760" s="294"/>
      <c r="AA1760" s="294"/>
      <c r="AB1760" s="294"/>
      <c r="AC1760" s="294"/>
      <c r="AD1760" s="294"/>
      <c r="AE1760" s="294"/>
      <c r="AF1760" s="294"/>
      <c r="AG1760" s="294"/>
    </row>
    <row r="1761" spans="2:33" x14ac:dyDescent="0.25">
      <c r="B1761" s="294"/>
      <c r="C1761" s="294"/>
      <c r="D1761" s="294"/>
      <c r="E1761" s="294"/>
      <c r="F1761" s="294"/>
      <c r="G1761" s="294"/>
      <c r="H1761" s="294"/>
      <c r="I1761" s="294"/>
      <c r="J1761" s="294"/>
      <c r="L1761" s="295"/>
      <c r="M1761" s="294"/>
      <c r="O1761" s="294"/>
      <c r="P1761" s="294"/>
      <c r="Q1761" s="294"/>
      <c r="R1761" s="294"/>
      <c r="S1761" s="294"/>
      <c r="T1761" s="294"/>
      <c r="U1761" s="294"/>
      <c r="V1761" s="294"/>
      <c r="W1761" s="294"/>
      <c r="X1761" s="294"/>
      <c r="Y1761" s="294"/>
      <c r="Z1761" s="294"/>
      <c r="AA1761" s="294"/>
      <c r="AB1761" s="294"/>
      <c r="AC1761" s="294"/>
      <c r="AD1761" s="294"/>
      <c r="AE1761" s="294"/>
      <c r="AF1761" s="294"/>
      <c r="AG1761" s="294"/>
    </row>
    <row r="1762" spans="2:33" x14ac:dyDescent="0.25">
      <c r="B1762" s="294"/>
      <c r="C1762" s="294"/>
      <c r="D1762" s="294"/>
      <c r="E1762" s="294"/>
      <c r="F1762" s="294"/>
      <c r="G1762" s="294"/>
      <c r="H1762" s="294"/>
      <c r="I1762" s="294"/>
      <c r="J1762" s="294"/>
      <c r="L1762" s="295"/>
      <c r="M1762" s="294"/>
      <c r="O1762" s="294"/>
      <c r="P1762" s="294"/>
      <c r="Q1762" s="294"/>
      <c r="R1762" s="294"/>
      <c r="S1762" s="294"/>
      <c r="T1762" s="294"/>
      <c r="U1762" s="294"/>
      <c r="V1762" s="294"/>
      <c r="W1762" s="294"/>
      <c r="X1762" s="294"/>
      <c r="Y1762" s="294"/>
      <c r="Z1762" s="294"/>
      <c r="AA1762" s="294"/>
      <c r="AB1762" s="294"/>
      <c r="AC1762" s="294"/>
      <c r="AD1762" s="294"/>
      <c r="AE1762" s="294"/>
      <c r="AF1762" s="294"/>
      <c r="AG1762" s="294"/>
    </row>
    <row r="1763" spans="2:33" x14ac:dyDescent="0.25">
      <c r="B1763" s="294"/>
      <c r="C1763" s="294"/>
      <c r="D1763" s="294"/>
      <c r="E1763" s="294"/>
      <c r="F1763" s="294"/>
      <c r="G1763" s="294"/>
      <c r="H1763" s="294"/>
      <c r="I1763" s="294"/>
      <c r="J1763" s="294"/>
      <c r="L1763" s="295"/>
      <c r="M1763" s="294"/>
      <c r="O1763" s="294"/>
      <c r="P1763" s="294"/>
      <c r="Q1763" s="294"/>
      <c r="R1763" s="294"/>
      <c r="S1763" s="294"/>
      <c r="T1763" s="294"/>
      <c r="U1763" s="294"/>
      <c r="V1763" s="294"/>
      <c r="W1763" s="294"/>
      <c r="X1763" s="294"/>
      <c r="Y1763" s="294"/>
      <c r="Z1763" s="294"/>
      <c r="AA1763" s="294"/>
      <c r="AB1763" s="294"/>
      <c r="AC1763" s="294"/>
      <c r="AD1763" s="294"/>
      <c r="AE1763" s="294"/>
      <c r="AF1763" s="294"/>
      <c r="AG1763" s="294"/>
    </row>
    <row r="1764" spans="2:33" x14ac:dyDescent="0.25">
      <c r="B1764" s="294"/>
      <c r="C1764" s="294"/>
      <c r="D1764" s="294"/>
      <c r="E1764" s="294"/>
      <c r="F1764" s="294"/>
      <c r="G1764" s="294"/>
      <c r="H1764" s="294"/>
      <c r="I1764" s="294"/>
      <c r="J1764" s="294"/>
      <c r="L1764" s="295"/>
      <c r="M1764" s="294"/>
      <c r="O1764" s="294"/>
      <c r="P1764" s="294"/>
      <c r="Q1764" s="294"/>
      <c r="R1764" s="294"/>
      <c r="S1764" s="294"/>
      <c r="T1764" s="294"/>
      <c r="U1764" s="294"/>
      <c r="V1764" s="294"/>
      <c r="W1764" s="294"/>
      <c r="X1764" s="294"/>
      <c r="Y1764" s="294"/>
      <c r="Z1764" s="294"/>
      <c r="AA1764" s="294"/>
      <c r="AB1764" s="294"/>
      <c r="AC1764" s="294"/>
      <c r="AD1764" s="294"/>
      <c r="AE1764" s="294"/>
      <c r="AF1764" s="294"/>
      <c r="AG1764" s="294"/>
    </row>
    <row r="1765" spans="2:33" x14ac:dyDescent="0.25">
      <c r="B1765" s="294"/>
      <c r="C1765" s="294"/>
      <c r="D1765" s="294"/>
      <c r="E1765" s="294"/>
      <c r="F1765" s="294"/>
      <c r="G1765" s="294"/>
      <c r="H1765" s="294"/>
      <c r="I1765" s="294"/>
      <c r="J1765" s="294"/>
      <c r="L1765" s="295"/>
      <c r="M1765" s="294"/>
      <c r="O1765" s="294"/>
      <c r="P1765" s="294"/>
      <c r="Q1765" s="294"/>
      <c r="R1765" s="294"/>
      <c r="S1765" s="294"/>
      <c r="T1765" s="294"/>
      <c r="U1765" s="294"/>
      <c r="V1765" s="294"/>
      <c r="W1765" s="294"/>
      <c r="X1765" s="294"/>
      <c r="Y1765" s="294"/>
      <c r="Z1765" s="294"/>
      <c r="AA1765" s="294"/>
      <c r="AB1765" s="294"/>
      <c r="AC1765" s="294"/>
      <c r="AD1765" s="294"/>
      <c r="AE1765" s="294"/>
      <c r="AF1765" s="294"/>
      <c r="AG1765" s="294"/>
    </row>
    <row r="1766" spans="2:33" x14ac:dyDescent="0.25">
      <c r="B1766" s="294"/>
      <c r="C1766" s="294"/>
      <c r="D1766" s="294"/>
      <c r="E1766" s="294"/>
      <c r="F1766" s="294"/>
      <c r="G1766" s="294"/>
      <c r="H1766" s="294"/>
      <c r="I1766" s="294"/>
      <c r="J1766" s="294"/>
      <c r="L1766" s="295"/>
      <c r="M1766" s="294"/>
      <c r="O1766" s="294"/>
      <c r="P1766" s="294"/>
      <c r="Q1766" s="294"/>
      <c r="R1766" s="294"/>
      <c r="S1766" s="294"/>
      <c r="T1766" s="294"/>
      <c r="U1766" s="294"/>
      <c r="V1766" s="294"/>
      <c r="W1766" s="294"/>
      <c r="X1766" s="294"/>
      <c r="Y1766" s="294"/>
      <c r="Z1766" s="294"/>
      <c r="AA1766" s="294"/>
      <c r="AB1766" s="294"/>
      <c r="AC1766" s="294"/>
      <c r="AD1766" s="294"/>
      <c r="AE1766" s="294"/>
      <c r="AF1766" s="294"/>
      <c r="AG1766" s="294"/>
    </row>
    <row r="1767" spans="2:33" x14ac:dyDescent="0.25">
      <c r="B1767" s="294"/>
      <c r="C1767" s="294"/>
      <c r="D1767" s="294"/>
      <c r="E1767" s="294"/>
      <c r="F1767" s="294"/>
      <c r="G1767" s="294"/>
      <c r="H1767" s="294"/>
      <c r="I1767" s="294"/>
      <c r="J1767" s="294"/>
      <c r="L1767" s="295"/>
      <c r="M1767" s="294"/>
      <c r="O1767" s="294"/>
      <c r="P1767" s="294"/>
      <c r="Q1767" s="294"/>
      <c r="R1767" s="294"/>
      <c r="S1767" s="294"/>
      <c r="T1767" s="294"/>
      <c r="U1767" s="294"/>
      <c r="V1767" s="294"/>
      <c r="W1767" s="294"/>
      <c r="X1767" s="294"/>
      <c r="Y1767" s="294"/>
      <c r="Z1767" s="294"/>
      <c r="AA1767" s="294"/>
      <c r="AB1767" s="294"/>
      <c r="AC1767" s="294"/>
      <c r="AD1767" s="294"/>
      <c r="AE1767" s="294"/>
      <c r="AF1767" s="294"/>
      <c r="AG1767" s="294"/>
    </row>
    <row r="1768" spans="2:33" x14ac:dyDescent="0.25">
      <c r="B1768" s="294"/>
      <c r="C1768" s="294"/>
      <c r="D1768" s="294"/>
      <c r="E1768" s="294"/>
      <c r="F1768" s="294"/>
      <c r="G1768" s="294"/>
      <c r="H1768" s="294"/>
      <c r="I1768" s="294"/>
      <c r="J1768" s="294"/>
      <c r="L1768" s="295"/>
      <c r="M1768" s="294"/>
      <c r="O1768" s="294"/>
      <c r="P1768" s="294"/>
      <c r="Q1768" s="294"/>
      <c r="R1768" s="294"/>
      <c r="S1768" s="294"/>
      <c r="T1768" s="294"/>
      <c r="U1768" s="294"/>
      <c r="V1768" s="294"/>
      <c r="W1768" s="294"/>
      <c r="X1768" s="294"/>
      <c r="Y1768" s="294"/>
      <c r="Z1768" s="294"/>
      <c r="AA1768" s="294"/>
      <c r="AB1768" s="294"/>
      <c r="AC1768" s="294"/>
      <c r="AD1768" s="294"/>
      <c r="AE1768" s="294"/>
      <c r="AF1768" s="294"/>
      <c r="AG1768" s="294"/>
    </row>
    <row r="1769" spans="2:33" x14ac:dyDescent="0.25">
      <c r="B1769" s="294"/>
      <c r="C1769" s="294"/>
      <c r="D1769" s="294"/>
      <c r="E1769" s="294"/>
      <c r="F1769" s="294"/>
      <c r="G1769" s="294"/>
      <c r="H1769" s="294"/>
      <c r="I1769" s="294"/>
      <c r="J1769" s="294"/>
      <c r="L1769" s="295"/>
      <c r="M1769" s="294"/>
      <c r="O1769" s="294"/>
      <c r="P1769" s="294"/>
      <c r="Q1769" s="294"/>
      <c r="R1769" s="294"/>
      <c r="S1769" s="294"/>
      <c r="T1769" s="294"/>
      <c r="U1769" s="294"/>
      <c r="V1769" s="294"/>
      <c r="W1769" s="294"/>
      <c r="X1769" s="294"/>
      <c r="Y1769" s="294"/>
      <c r="Z1769" s="294"/>
      <c r="AA1769" s="294"/>
      <c r="AB1769" s="294"/>
      <c r="AC1769" s="294"/>
      <c r="AD1769" s="294"/>
      <c r="AE1769" s="294"/>
      <c r="AF1769" s="294"/>
      <c r="AG1769" s="294"/>
    </row>
    <row r="1770" spans="2:33" x14ac:dyDescent="0.25">
      <c r="B1770" s="294"/>
      <c r="C1770" s="294"/>
      <c r="D1770" s="294"/>
      <c r="E1770" s="294"/>
      <c r="F1770" s="294"/>
      <c r="G1770" s="294"/>
      <c r="H1770" s="294"/>
      <c r="I1770" s="294"/>
      <c r="J1770" s="294"/>
      <c r="L1770" s="295"/>
      <c r="M1770" s="294"/>
      <c r="O1770" s="294"/>
      <c r="P1770" s="294"/>
      <c r="Q1770" s="294"/>
      <c r="R1770" s="294"/>
      <c r="S1770" s="294"/>
      <c r="T1770" s="294"/>
      <c r="U1770" s="294"/>
      <c r="V1770" s="294"/>
      <c r="W1770" s="294"/>
      <c r="X1770" s="294"/>
      <c r="Y1770" s="294"/>
      <c r="Z1770" s="294"/>
      <c r="AA1770" s="294"/>
      <c r="AB1770" s="294"/>
      <c r="AC1770" s="294"/>
      <c r="AD1770" s="294"/>
      <c r="AE1770" s="294"/>
      <c r="AF1770" s="294"/>
      <c r="AG1770" s="294"/>
    </row>
    <row r="1771" spans="2:33" x14ac:dyDescent="0.25">
      <c r="B1771" s="294"/>
      <c r="C1771" s="294"/>
      <c r="D1771" s="294"/>
      <c r="E1771" s="294"/>
      <c r="F1771" s="294"/>
      <c r="G1771" s="294"/>
      <c r="H1771" s="294"/>
      <c r="I1771" s="294"/>
      <c r="J1771" s="294"/>
      <c r="L1771" s="295"/>
      <c r="M1771" s="294"/>
      <c r="O1771" s="294"/>
      <c r="P1771" s="294"/>
      <c r="Q1771" s="294"/>
      <c r="R1771" s="294"/>
      <c r="S1771" s="294"/>
      <c r="T1771" s="294"/>
      <c r="U1771" s="294"/>
      <c r="V1771" s="294"/>
      <c r="W1771" s="294"/>
      <c r="X1771" s="294"/>
      <c r="Y1771" s="294"/>
      <c r="Z1771" s="294"/>
      <c r="AA1771" s="294"/>
      <c r="AB1771" s="294"/>
      <c r="AC1771" s="294"/>
      <c r="AD1771" s="294"/>
      <c r="AE1771" s="294"/>
      <c r="AF1771" s="294"/>
      <c r="AG1771" s="294"/>
    </row>
    <row r="1772" spans="2:33" x14ac:dyDescent="0.25">
      <c r="B1772" s="294"/>
      <c r="C1772" s="294"/>
      <c r="D1772" s="294"/>
      <c r="E1772" s="294"/>
      <c r="F1772" s="294"/>
      <c r="G1772" s="294"/>
      <c r="H1772" s="294"/>
      <c r="I1772" s="294"/>
      <c r="J1772" s="294"/>
      <c r="L1772" s="295"/>
      <c r="M1772" s="294"/>
      <c r="O1772" s="294"/>
      <c r="P1772" s="294"/>
      <c r="Q1772" s="294"/>
      <c r="R1772" s="294"/>
      <c r="S1772" s="294"/>
      <c r="T1772" s="294"/>
      <c r="U1772" s="294"/>
      <c r="V1772" s="294"/>
      <c r="W1772" s="294"/>
      <c r="X1772" s="294"/>
      <c r="Y1772" s="294"/>
      <c r="Z1772" s="294"/>
      <c r="AA1772" s="294"/>
      <c r="AB1772" s="294"/>
      <c r="AC1772" s="294"/>
      <c r="AD1772" s="294"/>
      <c r="AE1772" s="294"/>
      <c r="AF1772" s="294"/>
      <c r="AG1772" s="294"/>
    </row>
    <row r="1773" spans="2:33" x14ac:dyDescent="0.25">
      <c r="B1773" s="294"/>
      <c r="C1773" s="294"/>
      <c r="D1773" s="294"/>
      <c r="E1773" s="294"/>
      <c r="F1773" s="294"/>
      <c r="G1773" s="294"/>
      <c r="H1773" s="294"/>
      <c r="I1773" s="294"/>
      <c r="J1773" s="294"/>
      <c r="L1773" s="295"/>
      <c r="M1773" s="294"/>
      <c r="O1773" s="294"/>
      <c r="P1773" s="294"/>
      <c r="Q1773" s="294"/>
      <c r="R1773" s="294"/>
      <c r="S1773" s="294"/>
      <c r="T1773" s="294"/>
      <c r="U1773" s="294"/>
      <c r="V1773" s="294"/>
      <c r="W1773" s="294"/>
      <c r="X1773" s="294"/>
      <c r="Y1773" s="294"/>
      <c r="Z1773" s="294"/>
      <c r="AA1773" s="294"/>
      <c r="AB1773" s="294"/>
      <c r="AC1773" s="294"/>
      <c r="AD1773" s="294"/>
      <c r="AE1773" s="294"/>
      <c r="AF1773" s="294"/>
      <c r="AG1773" s="294"/>
    </row>
    <row r="1774" spans="2:33" x14ac:dyDescent="0.25">
      <c r="B1774" s="294"/>
      <c r="C1774" s="294"/>
      <c r="D1774" s="294"/>
      <c r="E1774" s="294"/>
      <c r="F1774" s="294"/>
      <c r="G1774" s="294"/>
      <c r="H1774" s="294"/>
      <c r="I1774" s="294"/>
      <c r="J1774" s="294"/>
      <c r="L1774" s="295"/>
      <c r="M1774" s="294"/>
      <c r="O1774" s="294"/>
      <c r="P1774" s="294"/>
      <c r="Q1774" s="294"/>
      <c r="R1774" s="294"/>
      <c r="S1774" s="294"/>
      <c r="T1774" s="294"/>
      <c r="U1774" s="294"/>
      <c r="V1774" s="294"/>
      <c r="W1774" s="294"/>
      <c r="X1774" s="294"/>
      <c r="Y1774" s="294"/>
      <c r="Z1774" s="294"/>
      <c r="AA1774" s="294"/>
      <c r="AB1774" s="294"/>
      <c r="AC1774" s="294"/>
      <c r="AD1774" s="294"/>
      <c r="AE1774" s="294"/>
      <c r="AF1774" s="294"/>
      <c r="AG1774" s="294"/>
    </row>
    <row r="1775" spans="2:33" x14ac:dyDescent="0.25">
      <c r="B1775" s="294"/>
      <c r="C1775" s="294"/>
      <c r="D1775" s="294"/>
      <c r="E1775" s="294"/>
      <c r="F1775" s="294"/>
      <c r="G1775" s="294"/>
      <c r="H1775" s="294"/>
      <c r="I1775" s="294"/>
      <c r="J1775" s="294"/>
      <c r="L1775" s="295"/>
      <c r="M1775" s="294"/>
      <c r="O1775" s="294"/>
      <c r="P1775" s="294"/>
      <c r="Q1775" s="294"/>
      <c r="R1775" s="294"/>
      <c r="S1775" s="294"/>
      <c r="T1775" s="294"/>
      <c r="U1775" s="294"/>
      <c r="V1775" s="294"/>
      <c r="W1775" s="294"/>
      <c r="X1775" s="294"/>
      <c r="Y1775" s="294"/>
      <c r="Z1775" s="294"/>
      <c r="AA1775" s="294"/>
      <c r="AB1775" s="294"/>
      <c r="AC1775" s="294"/>
      <c r="AD1775" s="294"/>
      <c r="AE1775" s="294"/>
      <c r="AF1775" s="294"/>
      <c r="AG1775" s="294"/>
    </row>
    <row r="1776" spans="2:33" x14ac:dyDescent="0.25">
      <c r="B1776" s="294"/>
      <c r="C1776" s="294"/>
      <c r="D1776" s="294"/>
      <c r="E1776" s="294"/>
      <c r="F1776" s="294"/>
      <c r="G1776" s="294"/>
      <c r="H1776" s="294"/>
      <c r="I1776" s="294"/>
      <c r="J1776" s="294"/>
      <c r="L1776" s="295"/>
      <c r="M1776" s="294"/>
      <c r="O1776" s="294"/>
      <c r="P1776" s="294"/>
      <c r="Q1776" s="294"/>
      <c r="R1776" s="294"/>
      <c r="S1776" s="294"/>
      <c r="T1776" s="294"/>
      <c r="U1776" s="294"/>
      <c r="V1776" s="294"/>
      <c r="W1776" s="294"/>
      <c r="X1776" s="294"/>
      <c r="Y1776" s="294"/>
      <c r="Z1776" s="294"/>
      <c r="AA1776" s="294"/>
      <c r="AB1776" s="294"/>
      <c r="AC1776" s="294"/>
      <c r="AD1776" s="294"/>
      <c r="AE1776" s="294"/>
      <c r="AF1776" s="294"/>
      <c r="AG1776" s="294"/>
    </row>
    <row r="1777" spans="2:33" x14ac:dyDescent="0.25">
      <c r="B1777" s="294"/>
      <c r="C1777" s="294"/>
      <c r="D1777" s="294"/>
      <c r="E1777" s="294"/>
      <c r="F1777" s="294"/>
      <c r="G1777" s="294"/>
      <c r="H1777" s="294"/>
      <c r="I1777" s="294"/>
      <c r="J1777" s="294"/>
      <c r="L1777" s="295"/>
      <c r="M1777" s="294"/>
      <c r="O1777" s="294"/>
      <c r="P1777" s="294"/>
      <c r="Q1777" s="294"/>
      <c r="R1777" s="294"/>
      <c r="S1777" s="294"/>
      <c r="T1777" s="294"/>
      <c r="U1777" s="294"/>
      <c r="V1777" s="294"/>
      <c r="W1777" s="294"/>
      <c r="X1777" s="294"/>
      <c r="Y1777" s="294"/>
      <c r="Z1777" s="294"/>
      <c r="AA1777" s="294"/>
      <c r="AB1777" s="294"/>
      <c r="AC1777" s="294"/>
      <c r="AD1777" s="294"/>
      <c r="AE1777" s="294"/>
      <c r="AF1777" s="294"/>
      <c r="AG1777" s="294"/>
    </row>
    <row r="1778" spans="2:33" x14ac:dyDescent="0.25">
      <c r="B1778" s="294"/>
      <c r="C1778" s="294"/>
      <c r="D1778" s="294"/>
      <c r="E1778" s="294"/>
      <c r="F1778" s="294"/>
      <c r="G1778" s="294"/>
      <c r="H1778" s="294"/>
      <c r="I1778" s="294"/>
      <c r="J1778" s="294"/>
      <c r="L1778" s="295"/>
      <c r="M1778" s="294"/>
      <c r="O1778" s="294"/>
      <c r="P1778" s="294"/>
      <c r="Q1778" s="294"/>
      <c r="R1778" s="294"/>
      <c r="S1778" s="294"/>
      <c r="T1778" s="294"/>
      <c r="U1778" s="294"/>
      <c r="V1778" s="294"/>
      <c r="W1778" s="294"/>
      <c r="X1778" s="294"/>
      <c r="Y1778" s="294"/>
      <c r="Z1778" s="294"/>
      <c r="AA1778" s="294"/>
      <c r="AB1778" s="294"/>
      <c r="AC1778" s="294"/>
      <c r="AD1778" s="294"/>
      <c r="AE1778" s="294"/>
      <c r="AF1778" s="294"/>
      <c r="AG1778" s="294"/>
    </row>
    <row r="1779" spans="2:33" x14ac:dyDescent="0.25">
      <c r="B1779" s="294"/>
      <c r="C1779" s="294"/>
      <c r="D1779" s="294"/>
      <c r="E1779" s="294"/>
      <c r="F1779" s="294"/>
      <c r="G1779" s="294"/>
      <c r="H1779" s="294"/>
      <c r="I1779" s="294"/>
      <c r="J1779" s="294"/>
      <c r="L1779" s="295"/>
      <c r="M1779" s="294"/>
      <c r="O1779" s="294"/>
      <c r="P1779" s="294"/>
      <c r="Q1779" s="294"/>
      <c r="R1779" s="294"/>
      <c r="S1779" s="294"/>
      <c r="T1779" s="294"/>
      <c r="U1779" s="294"/>
      <c r="V1779" s="294"/>
      <c r="W1779" s="294"/>
      <c r="X1779" s="294"/>
      <c r="Y1779" s="294"/>
      <c r="Z1779" s="294"/>
      <c r="AA1779" s="294"/>
      <c r="AB1779" s="294"/>
      <c r="AC1779" s="294"/>
      <c r="AD1779" s="294"/>
      <c r="AE1779" s="294"/>
      <c r="AF1779" s="294"/>
      <c r="AG1779" s="294"/>
    </row>
    <row r="1780" spans="2:33" x14ac:dyDescent="0.25">
      <c r="B1780" s="294"/>
      <c r="C1780" s="294"/>
      <c r="D1780" s="294"/>
      <c r="E1780" s="294"/>
      <c r="F1780" s="294"/>
      <c r="G1780" s="294"/>
      <c r="H1780" s="294"/>
      <c r="I1780" s="294"/>
      <c r="J1780" s="294"/>
      <c r="L1780" s="295"/>
      <c r="M1780" s="294"/>
      <c r="O1780" s="294"/>
      <c r="P1780" s="294"/>
      <c r="Q1780" s="294"/>
      <c r="R1780" s="294"/>
      <c r="S1780" s="294"/>
      <c r="T1780" s="294"/>
      <c r="U1780" s="294"/>
      <c r="V1780" s="294"/>
      <c r="W1780" s="294"/>
      <c r="X1780" s="294"/>
      <c r="Y1780" s="294"/>
      <c r="Z1780" s="294"/>
      <c r="AA1780" s="294"/>
      <c r="AB1780" s="294"/>
      <c r="AC1780" s="294"/>
      <c r="AD1780" s="294"/>
      <c r="AE1780" s="294"/>
      <c r="AF1780" s="294"/>
      <c r="AG1780" s="294"/>
    </row>
    <row r="1781" spans="2:33" x14ac:dyDescent="0.25">
      <c r="B1781" s="294"/>
      <c r="C1781" s="294"/>
      <c r="D1781" s="294"/>
      <c r="E1781" s="294"/>
      <c r="F1781" s="294"/>
      <c r="G1781" s="294"/>
      <c r="H1781" s="294"/>
      <c r="I1781" s="294"/>
      <c r="J1781" s="294"/>
      <c r="L1781" s="295"/>
      <c r="M1781" s="294"/>
      <c r="O1781" s="294"/>
      <c r="P1781" s="294"/>
      <c r="Q1781" s="294"/>
      <c r="R1781" s="294"/>
      <c r="S1781" s="294"/>
      <c r="T1781" s="294"/>
      <c r="U1781" s="294"/>
      <c r="V1781" s="294"/>
      <c r="W1781" s="294"/>
      <c r="X1781" s="294"/>
      <c r="Y1781" s="294"/>
      <c r="Z1781" s="294"/>
      <c r="AA1781" s="294"/>
      <c r="AB1781" s="294"/>
      <c r="AC1781" s="294"/>
      <c r="AD1781" s="294"/>
      <c r="AE1781" s="294"/>
      <c r="AF1781" s="294"/>
      <c r="AG1781" s="294"/>
    </row>
    <row r="1782" spans="2:33" x14ac:dyDescent="0.25">
      <c r="B1782" s="294"/>
      <c r="C1782" s="294"/>
      <c r="D1782" s="294"/>
      <c r="E1782" s="294"/>
      <c r="F1782" s="294"/>
      <c r="G1782" s="294"/>
      <c r="H1782" s="294"/>
      <c r="I1782" s="294"/>
      <c r="J1782" s="294"/>
      <c r="L1782" s="295"/>
      <c r="M1782" s="294"/>
      <c r="O1782" s="294"/>
      <c r="P1782" s="294"/>
      <c r="Q1782" s="294"/>
      <c r="R1782" s="294"/>
      <c r="S1782" s="294"/>
      <c r="T1782" s="294"/>
      <c r="U1782" s="294"/>
      <c r="V1782" s="294"/>
      <c r="W1782" s="294"/>
      <c r="X1782" s="294"/>
      <c r="Y1782" s="294"/>
      <c r="Z1782" s="294"/>
      <c r="AA1782" s="294"/>
      <c r="AB1782" s="294"/>
      <c r="AC1782" s="294"/>
      <c r="AD1782" s="294"/>
      <c r="AE1782" s="294"/>
      <c r="AF1782" s="294"/>
      <c r="AG1782" s="294"/>
    </row>
    <row r="1783" spans="2:33" x14ac:dyDescent="0.25">
      <c r="B1783" s="294"/>
      <c r="C1783" s="294"/>
      <c r="D1783" s="294"/>
      <c r="E1783" s="294"/>
      <c r="F1783" s="294"/>
      <c r="G1783" s="294"/>
      <c r="H1783" s="294"/>
      <c r="I1783" s="294"/>
      <c r="J1783" s="294"/>
      <c r="L1783" s="295"/>
      <c r="M1783" s="294"/>
      <c r="O1783" s="294"/>
      <c r="P1783" s="294"/>
      <c r="Q1783" s="294"/>
      <c r="R1783" s="294"/>
      <c r="S1783" s="294"/>
      <c r="T1783" s="294"/>
      <c r="U1783" s="294"/>
      <c r="V1783" s="294"/>
      <c r="W1783" s="294"/>
      <c r="X1783" s="294"/>
      <c r="Y1783" s="294"/>
      <c r="Z1783" s="294"/>
      <c r="AA1783" s="294"/>
      <c r="AB1783" s="294"/>
      <c r="AC1783" s="294"/>
      <c r="AD1783" s="294"/>
      <c r="AE1783" s="294"/>
      <c r="AF1783" s="294"/>
      <c r="AG1783" s="294"/>
    </row>
    <row r="1784" spans="2:33" x14ac:dyDescent="0.25">
      <c r="B1784" s="294"/>
      <c r="C1784" s="294"/>
      <c r="D1784" s="294"/>
      <c r="E1784" s="294"/>
      <c r="F1784" s="294"/>
      <c r="G1784" s="294"/>
      <c r="H1784" s="294"/>
      <c r="I1784" s="294"/>
      <c r="J1784" s="294"/>
      <c r="L1784" s="295"/>
      <c r="M1784" s="294"/>
      <c r="O1784" s="294"/>
      <c r="P1784" s="294"/>
      <c r="Q1784" s="294"/>
      <c r="R1784" s="294"/>
      <c r="S1784" s="294"/>
      <c r="T1784" s="294"/>
      <c r="U1784" s="294"/>
      <c r="V1784" s="294"/>
      <c r="W1784" s="294"/>
      <c r="X1784" s="294"/>
      <c r="Y1784" s="294"/>
      <c r="Z1784" s="294"/>
      <c r="AA1784" s="294"/>
      <c r="AB1784" s="294"/>
      <c r="AC1784" s="294"/>
      <c r="AD1784" s="294"/>
      <c r="AE1784" s="294"/>
      <c r="AF1784" s="294"/>
      <c r="AG1784" s="294"/>
    </row>
    <row r="1785" spans="2:33" x14ac:dyDescent="0.25">
      <c r="B1785" s="294"/>
      <c r="C1785" s="294"/>
      <c r="D1785" s="294"/>
      <c r="E1785" s="294"/>
      <c r="F1785" s="294"/>
      <c r="G1785" s="294"/>
      <c r="H1785" s="294"/>
      <c r="I1785" s="294"/>
      <c r="J1785" s="294"/>
      <c r="L1785" s="295"/>
      <c r="M1785" s="294"/>
      <c r="O1785" s="294"/>
      <c r="P1785" s="294"/>
      <c r="Q1785" s="294"/>
      <c r="R1785" s="294"/>
      <c r="S1785" s="294"/>
      <c r="T1785" s="294"/>
      <c r="U1785" s="294"/>
      <c r="V1785" s="294"/>
      <c r="W1785" s="294"/>
      <c r="X1785" s="294"/>
      <c r="Y1785" s="294"/>
      <c r="Z1785" s="294"/>
      <c r="AA1785" s="294"/>
      <c r="AB1785" s="294"/>
      <c r="AC1785" s="294"/>
      <c r="AD1785" s="294"/>
      <c r="AE1785" s="294"/>
      <c r="AF1785" s="294"/>
      <c r="AG1785" s="294"/>
    </row>
    <row r="1786" spans="2:33" x14ac:dyDescent="0.25">
      <c r="B1786" s="294"/>
      <c r="C1786" s="294"/>
      <c r="D1786" s="294"/>
      <c r="E1786" s="294"/>
      <c r="F1786" s="294"/>
      <c r="G1786" s="294"/>
      <c r="H1786" s="294"/>
      <c r="I1786" s="294"/>
      <c r="J1786" s="294"/>
      <c r="L1786" s="295"/>
      <c r="M1786" s="294"/>
      <c r="O1786" s="294"/>
      <c r="P1786" s="294"/>
      <c r="Q1786" s="294"/>
      <c r="R1786" s="294"/>
      <c r="S1786" s="294"/>
      <c r="T1786" s="294"/>
      <c r="U1786" s="294"/>
      <c r="V1786" s="294"/>
      <c r="W1786" s="294"/>
      <c r="X1786" s="294"/>
      <c r="Y1786" s="294"/>
      <c r="Z1786" s="294"/>
      <c r="AA1786" s="294"/>
      <c r="AB1786" s="294"/>
      <c r="AC1786" s="294"/>
      <c r="AD1786" s="294"/>
      <c r="AE1786" s="294"/>
      <c r="AF1786" s="294"/>
      <c r="AG1786" s="294"/>
    </row>
    <row r="1787" spans="2:33" x14ac:dyDescent="0.25">
      <c r="B1787" s="294"/>
      <c r="C1787" s="294"/>
      <c r="D1787" s="294"/>
      <c r="E1787" s="294"/>
      <c r="F1787" s="294"/>
      <c r="G1787" s="294"/>
      <c r="H1787" s="294"/>
      <c r="I1787" s="294"/>
      <c r="J1787" s="294"/>
      <c r="L1787" s="295"/>
      <c r="M1787" s="294"/>
      <c r="O1787" s="294"/>
      <c r="P1787" s="294"/>
      <c r="Q1787" s="294"/>
      <c r="R1787" s="294"/>
      <c r="S1787" s="294"/>
      <c r="T1787" s="294"/>
      <c r="U1787" s="294"/>
      <c r="V1787" s="294"/>
      <c r="W1787" s="294"/>
      <c r="X1787" s="294"/>
      <c r="Y1787" s="294"/>
      <c r="Z1787" s="294"/>
      <c r="AA1787" s="294"/>
      <c r="AB1787" s="294"/>
      <c r="AC1787" s="294"/>
      <c r="AD1787" s="294"/>
      <c r="AE1787" s="294"/>
      <c r="AF1787" s="294"/>
      <c r="AG1787" s="294"/>
    </row>
    <row r="1788" spans="2:33" x14ac:dyDescent="0.25">
      <c r="B1788" s="294"/>
      <c r="C1788" s="294"/>
      <c r="D1788" s="294"/>
      <c r="E1788" s="294"/>
      <c r="F1788" s="294"/>
      <c r="G1788" s="294"/>
      <c r="H1788" s="294"/>
      <c r="I1788" s="294"/>
      <c r="J1788" s="294"/>
      <c r="L1788" s="295"/>
      <c r="M1788" s="294"/>
      <c r="O1788" s="294"/>
      <c r="P1788" s="294"/>
      <c r="Q1788" s="294"/>
      <c r="R1788" s="294"/>
      <c r="S1788" s="294"/>
      <c r="T1788" s="294"/>
      <c r="U1788" s="294"/>
      <c r="V1788" s="294"/>
      <c r="W1788" s="294"/>
      <c r="X1788" s="294"/>
      <c r="Y1788" s="294"/>
      <c r="Z1788" s="294"/>
      <c r="AA1788" s="294"/>
      <c r="AB1788" s="294"/>
      <c r="AC1788" s="294"/>
      <c r="AD1788" s="294"/>
      <c r="AE1788" s="294"/>
      <c r="AF1788" s="294"/>
      <c r="AG1788" s="294"/>
    </row>
    <row r="1789" spans="2:33" x14ac:dyDescent="0.25">
      <c r="B1789" s="294"/>
      <c r="C1789" s="294"/>
      <c r="D1789" s="294"/>
      <c r="E1789" s="294"/>
      <c r="F1789" s="294"/>
      <c r="G1789" s="294"/>
      <c r="H1789" s="294"/>
      <c r="I1789" s="294"/>
      <c r="J1789" s="294"/>
      <c r="L1789" s="295"/>
      <c r="M1789" s="294"/>
      <c r="O1789" s="294"/>
      <c r="P1789" s="294"/>
      <c r="Q1789" s="294"/>
      <c r="R1789" s="294"/>
      <c r="S1789" s="294"/>
      <c r="T1789" s="294"/>
      <c r="U1789" s="294"/>
      <c r="V1789" s="294"/>
      <c r="W1789" s="294"/>
      <c r="X1789" s="294"/>
      <c r="Y1789" s="294"/>
      <c r="Z1789" s="294"/>
      <c r="AA1789" s="294"/>
      <c r="AB1789" s="294"/>
      <c r="AC1789" s="294"/>
      <c r="AD1789" s="294"/>
      <c r="AE1789" s="294"/>
      <c r="AF1789" s="294"/>
      <c r="AG1789" s="294"/>
    </row>
    <row r="1790" spans="2:33" x14ac:dyDescent="0.25">
      <c r="B1790" s="294"/>
      <c r="C1790" s="294"/>
      <c r="D1790" s="294"/>
      <c r="E1790" s="294"/>
      <c r="F1790" s="294"/>
      <c r="G1790" s="294"/>
      <c r="H1790" s="294"/>
      <c r="I1790" s="294"/>
      <c r="J1790" s="294"/>
      <c r="L1790" s="295"/>
      <c r="M1790" s="294"/>
      <c r="O1790" s="294"/>
      <c r="P1790" s="294"/>
      <c r="Q1790" s="294"/>
      <c r="R1790" s="294"/>
      <c r="S1790" s="294"/>
      <c r="T1790" s="294"/>
      <c r="U1790" s="294"/>
      <c r="V1790" s="294"/>
      <c r="W1790" s="294"/>
      <c r="X1790" s="294"/>
      <c r="Y1790" s="294"/>
      <c r="Z1790" s="294"/>
      <c r="AA1790" s="294"/>
      <c r="AB1790" s="294"/>
      <c r="AC1790" s="294"/>
      <c r="AD1790" s="294"/>
      <c r="AE1790" s="294"/>
      <c r="AF1790" s="294"/>
      <c r="AG1790" s="294"/>
    </row>
    <row r="1791" spans="2:33" x14ac:dyDescent="0.25">
      <c r="B1791" s="294"/>
      <c r="C1791" s="294"/>
      <c r="D1791" s="294"/>
      <c r="E1791" s="294"/>
      <c r="F1791" s="294"/>
      <c r="G1791" s="294"/>
      <c r="H1791" s="294"/>
      <c r="I1791" s="294"/>
      <c r="J1791" s="294"/>
      <c r="L1791" s="295"/>
      <c r="M1791" s="294"/>
      <c r="O1791" s="294"/>
      <c r="P1791" s="294"/>
      <c r="Q1791" s="294"/>
      <c r="R1791" s="294"/>
      <c r="S1791" s="294"/>
      <c r="T1791" s="294"/>
      <c r="U1791" s="294"/>
      <c r="V1791" s="294"/>
      <c r="W1791" s="294"/>
      <c r="X1791" s="294"/>
      <c r="Y1791" s="294"/>
      <c r="Z1791" s="294"/>
      <c r="AA1791" s="294"/>
      <c r="AB1791" s="294"/>
      <c r="AC1791" s="294"/>
      <c r="AD1791" s="294"/>
      <c r="AE1791" s="294"/>
      <c r="AF1791" s="294"/>
      <c r="AG1791" s="294"/>
    </row>
    <row r="1792" spans="2:33" x14ac:dyDescent="0.25">
      <c r="B1792" s="294"/>
      <c r="C1792" s="294"/>
      <c r="D1792" s="294"/>
      <c r="E1792" s="294"/>
      <c r="F1792" s="294"/>
      <c r="G1792" s="294"/>
      <c r="H1792" s="294"/>
      <c r="I1792" s="294"/>
      <c r="J1792" s="294"/>
      <c r="L1792" s="295"/>
      <c r="M1792" s="294"/>
      <c r="O1792" s="294"/>
      <c r="P1792" s="294"/>
      <c r="Q1792" s="294"/>
      <c r="R1792" s="294"/>
      <c r="S1792" s="294"/>
      <c r="T1792" s="294"/>
      <c r="U1792" s="294"/>
      <c r="V1792" s="294"/>
      <c r="W1792" s="294"/>
      <c r="X1792" s="294"/>
      <c r="Y1792" s="294"/>
      <c r="Z1792" s="294"/>
      <c r="AA1792" s="294"/>
      <c r="AB1792" s="294"/>
      <c r="AC1792" s="294"/>
      <c r="AD1792" s="294"/>
      <c r="AE1792" s="294"/>
      <c r="AF1792" s="294"/>
      <c r="AG1792" s="294"/>
    </row>
    <row r="1793" spans="2:33" x14ac:dyDescent="0.25">
      <c r="B1793" s="294"/>
      <c r="C1793" s="294"/>
      <c r="D1793" s="294"/>
      <c r="E1793" s="294"/>
      <c r="F1793" s="294"/>
      <c r="G1793" s="294"/>
      <c r="H1793" s="294"/>
      <c r="I1793" s="294"/>
      <c r="J1793" s="294"/>
      <c r="L1793" s="295"/>
      <c r="M1793" s="294"/>
      <c r="O1793" s="294"/>
      <c r="P1793" s="294"/>
      <c r="Q1793" s="294"/>
      <c r="R1793" s="294"/>
      <c r="S1793" s="294"/>
      <c r="T1793" s="294"/>
      <c r="U1793" s="294"/>
      <c r="V1793" s="294"/>
      <c r="W1793" s="294"/>
      <c r="X1793" s="294"/>
      <c r="Y1793" s="294"/>
      <c r="Z1793" s="294"/>
      <c r="AA1793" s="294"/>
      <c r="AB1793" s="294"/>
      <c r="AC1793" s="294"/>
      <c r="AD1793" s="294"/>
      <c r="AE1793" s="294"/>
      <c r="AF1793" s="294"/>
      <c r="AG1793" s="294"/>
    </row>
    <row r="1794" spans="2:33" x14ac:dyDescent="0.25">
      <c r="B1794" s="294"/>
      <c r="C1794" s="294"/>
      <c r="D1794" s="294"/>
      <c r="E1794" s="294"/>
      <c r="F1794" s="294"/>
      <c r="G1794" s="294"/>
      <c r="H1794" s="294"/>
      <c r="I1794" s="294"/>
      <c r="J1794" s="294"/>
      <c r="L1794" s="295"/>
      <c r="M1794" s="294"/>
      <c r="O1794" s="294"/>
      <c r="P1794" s="294"/>
      <c r="Q1794" s="294"/>
      <c r="R1794" s="294"/>
      <c r="S1794" s="294"/>
      <c r="T1794" s="294"/>
      <c r="U1794" s="294"/>
      <c r="V1794" s="294"/>
      <c r="W1794" s="294"/>
      <c r="X1794" s="294"/>
      <c r="Y1794" s="294"/>
      <c r="Z1794" s="294"/>
      <c r="AA1794" s="294"/>
      <c r="AB1794" s="294"/>
      <c r="AC1794" s="294"/>
      <c r="AD1794" s="294"/>
      <c r="AE1794" s="294"/>
      <c r="AF1794" s="294"/>
      <c r="AG1794" s="294"/>
    </row>
    <row r="1795" spans="2:33" x14ac:dyDescent="0.25">
      <c r="B1795" s="294"/>
      <c r="C1795" s="294"/>
      <c r="D1795" s="294"/>
      <c r="E1795" s="294"/>
      <c r="F1795" s="294"/>
      <c r="G1795" s="294"/>
      <c r="H1795" s="294"/>
      <c r="I1795" s="294"/>
      <c r="J1795" s="294"/>
      <c r="L1795" s="295"/>
      <c r="M1795" s="294"/>
      <c r="O1795" s="294"/>
      <c r="P1795" s="294"/>
      <c r="Q1795" s="294"/>
      <c r="R1795" s="294"/>
      <c r="S1795" s="294"/>
      <c r="T1795" s="294"/>
      <c r="U1795" s="294"/>
      <c r="V1795" s="294"/>
      <c r="W1795" s="294"/>
      <c r="X1795" s="294"/>
      <c r="Y1795" s="294"/>
      <c r="Z1795" s="294"/>
      <c r="AA1795" s="294"/>
      <c r="AB1795" s="294"/>
      <c r="AC1795" s="294"/>
      <c r="AD1795" s="294"/>
      <c r="AE1795" s="294"/>
      <c r="AF1795" s="294"/>
      <c r="AG1795" s="294"/>
    </row>
    <row r="1796" spans="2:33" x14ac:dyDescent="0.25">
      <c r="B1796" s="294"/>
      <c r="C1796" s="294"/>
      <c r="D1796" s="294"/>
      <c r="E1796" s="294"/>
      <c r="F1796" s="294"/>
      <c r="G1796" s="294"/>
      <c r="H1796" s="294"/>
      <c r="I1796" s="294"/>
      <c r="J1796" s="294"/>
      <c r="L1796" s="295"/>
      <c r="M1796" s="294"/>
      <c r="O1796" s="294"/>
      <c r="P1796" s="294"/>
      <c r="Q1796" s="294"/>
      <c r="R1796" s="294"/>
      <c r="S1796" s="294"/>
      <c r="T1796" s="294"/>
      <c r="U1796" s="294"/>
      <c r="V1796" s="294"/>
      <c r="W1796" s="294"/>
      <c r="X1796" s="294"/>
      <c r="Y1796" s="294"/>
      <c r="Z1796" s="294"/>
      <c r="AA1796" s="294"/>
      <c r="AB1796" s="294"/>
      <c r="AC1796" s="294"/>
      <c r="AD1796" s="294"/>
      <c r="AE1796" s="294"/>
      <c r="AF1796" s="294"/>
      <c r="AG1796" s="294"/>
    </row>
    <row r="1797" spans="2:33" x14ac:dyDescent="0.25">
      <c r="B1797" s="294"/>
      <c r="C1797" s="294"/>
      <c r="D1797" s="294"/>
      <c r="E1797" s="294"/>
      <c r="F1797" s="294"/>
      <c r="G1797" s="294"/>
      <c r="H1797" s="294"/>
      <c r="I1797" s="294"/>
      <c r="J1797" s="294"/>
      <c r="L1797" s="295"/>
      <c r="M1797" s="294"/>
      <c r="O1797" s="294"/>
      <c r="P1797" s="294"/>
      <c r="Q1797" s="294"/>
      <c r="R1797" s="294"/>
      <c r="S1797" s="294"/>
      <c r="T1797" s="294"/>
      <c r="U1797" s="294"/>
      <c r="V1797" s="294"/>
      <c r="W1797" s="294"/>
      <c r="X1797" s="294"/>
      <c r="Y1797" s="294"/>
      <c r="Z1797" s="294"/>
      <c r="AA1797" s="294"/>
      <c r="AB1797" s="294"/>
      <c r="AC1797" s="294"/>
      <c r="AD1797" s="294"/>
      <c r="AE1797" s="294"/>
      <c r="AF1797" s="294"/>
      <c r="AG1797" s="294"/>
    </row>
    <row r="1798" spans="2:33" x14ac:dyDescent="0.25">
      <c r="B1798" s="294"/>
      <c r="C1798" s="294"/>
      <c r="D1798" s="294"/>
      <c r="E1798" s="294"/>
      <c r="F1798" s="294"/>
      <c r="G1798" s="294"/>
      <c r="H1798" s="294"/>
      <c r="I1798" s="294"/>
      <c r="J1798" s="294"/>
      <c r="L1798" s="295"/>
      <c r="M1798" s="294"/>
      <c r="O1798" s="294"/>
      <c r="P1798" s="294"/>
      <c r="Q1798" s="294"/>
      <c r="R1798" s="294"/>
      <c r="S1798" s="294"/>
      <c r="T1798" s="294"/>
      <c r="U1798" s="294"/>
      <c r="V1798" s="294"/>
      <c r="W1798" s="294"/>
      <c r="X1798" s="294"/>
      <c r="Y1798" s="294"/>
      <c r="Z1798" s="294"/>
      <c r="AA1798" s="294"/>
      <c r="AB1798" s="294"/>
      <c r="AC1798" s="294"/>
      <c r="AD1798" s="294"/>
      <c r="AE1798" s="294"/>
      <c r="AF1798" s="294"/>
      <c r="AG1798" s="294"/>
    </row>
    <row r="1799" spans="2:33" x14ac:dyDescent="0.25">
      <c r="B1799" s="294"/>
      <c r="C1799" s="294"/>
      <c r="D1799" s="294"/>
      <c r="E1799" s="294"/>
      <c r="F1799" s="294"/>
      <c r="G1799" s="294"/>
      <c r="H1799" s="294"/>
      <c r="I1799" s="294"/>
      <c r="J1799" s="294"/>
      <c r="L1799" s="295"/>
      <c r="M1799" s="294"/>
      <c r="O1799" s="294"/>
      <c r="P1799" s="294"/>
      <c r="Q1799" s="294"/>
      <c r="R1799" s="294"/>
      <c r="S1799" s="294"/>
      <c r="T1799" s="294"/>
      <c r="U1799" s="294"/>
      <c r="V1799" s="294"/>
      <c r="W1799" s="294"/>
      <c r="X1799" s="294"/>
      <c r="Y1799" s="294"/>
      <c r="Z1799" s="294"/>
      <c r="AA1799" s="294"/>
      <c r="AB1799" s="294"/>
      <c r="AC1799" s="294"/>
      <c r="AD1799" s="294"/>
      <c r="AE1799" s="294"/>
      <c r="AF1799" s="294"/>
      <c r="AG1799" s="294"/>
    </row>
    <row r="1800" spans="2:33" x14ac:dyDescent="0.25">
      <c r="B1800" s="294"/>
      <c r="C1800" s="294"/>
      <c r="D1800" s="294"/>
      <c r="E1800" s="294"/>
      <c r="F1800" s="294"/>
      <c r="G1800" s="294"/>
      <c r="H1800" s="294"/>
      <c r="I1800" s="294"/>
      <c r="J1800" s="294"/>
      <c r="L1800" s="295"/>
      <c r="M1800" s="294"/>
      <c r="O1800" s="294"/>
      <c r="P1800" s="294"/>
      <c r="Q1800" s="294"/>
      <c r="R1800" s="294"/>
      <c r="S1800" s="294"/>
      <c r="T1800" s="294"/>
      <c r="U1800" s="294"/>
      <c r="V1800" s="294"/>
      <c r="W1800" s="294"/>
      <c r="X1800" s="294"/>
      <c r="Y1800" s="294"/>
      <c r="Z1800" s="294"/>
      <c r="AA1800" s="294"/>
      <c r="AB1800" s="294"/>
      <c r="AC1800" s="294"/>
      <c r="AD1800" s="294"/>
      <c r="AE1800" s="294"/>
      <c r="AF1800" s="294"/>
      <c r="AG1800" s="294"/>
    </row>
    <row r="1801" spans="2:33" x14ac:dyDescent="0.25">
      <c r="B1801" s="294"/>
      <c r="C1801" s="294"/>
      <c r="D1801" s="294"/>
      <c r="E1801" s="294"/>
      <c r="F1801" s="294"/>
      <c r="G1801" s="294"/>
      <c r="H1801" s="294"/>
      <c r="I1801" s="294"/>
      <c r="J1801" s="294"/>
      <c r="L1801" s="295"/>
      <c r="M1801" s="294"/>
      <c r="O1801" s="294"/>
      <c r="P1801" s="294"/>
      <c r="Q1801" s="294"/>
      <c r="R1801" s="294"/>
      <c r="S1801" s="294"/>
      <c r="T1801" s="294"/>
      <c r="U1801" s="294"/>
      <c r="V1801" s="294"/>
      <c r="W1801" s="294"/>
      <c r="X1801" s="294"/>
      <c r="Y1801" s="294"/>
      <c r="Z1801" s="294"/>
      <c r="AA1801" s="294"/>
      <c r="AB1801" s="294"/>
      <c r="AC1801" s="294"/>
      <c r="AD1801" s="294"/>
      <c r="AE1801" s="294"/>
      <c r="AF1801" s="294"/>
      <c r="AG1801" s="294"/>
    </row>
    <row r="1802" spans="2:33" x14ac:dyDescent="0.25">
      <c r="B1802" s="294"/>
      <c r="C1802" s="294"/>
      <c r="D1802" s="294"/>
      <c r="E1802" s="294"/>
      <c r="F1802" s="294"/>
      <c r="G1802" s="294"/>
      <c r="H1802" s="294"/>
      <c r="I1802" s="294"/>
      <c r="J1802" s="294"/>
      <c r="L1802" s="295"/>
      <c r="M1802" s="294"/>
      <c r="O1802" s="294"/>
      <c r="P1802" s="294"/>
      <c r="Q1802" s="294"/>
      <c r="R1802" s="294"/>
      <c r="S1802" s="294"/>
      <c r="T1802" s="294"/>
      <c r="U1802" s="294"/>
      <c r="V1802" s="294"/>
      <c r="W1802" s="294"/>
      <c r="X1802" s="294"/>
      <c r="Y1802" s="294"/>
      <c r="Z1802" s="294"/>
      <c r="AA1802" s="294"/>
      <c r="AB1802" s="294"/>
      <c r="AC1802" s="294"/>
      <c r="AD1802" s="294"/>
      <c r="AE1802" s="294"/>
      <c r="AF1802" s="294"/>
      <c r="AG1802" s="294"/>
    </row>
    <row r="1803" spans="2:33" x14ac:dyDescent="0.25">
      <c r="B1803" s="294"/>
      <c r="C1803" s="294"/>
      <c r="D1803" s="294"/>
      <c r="E1803" s="294"/>
      <c r="F1803" s="294"/>
      <c r="G1803" s="294"/>
      <c r="H1803" s="294"/>
      <c r="I1803" s="294"/>
      <c r="J1803" s="294"/>
      <c r="L1803" s="295"/>
      <c r="M1803" s="294"/>
      <c r="O1803" s="294"/>
      <c r="P1803" s="294"/>
      <c r="Q1803" s="294"/>
      <c r="R1803" s="294"/>
      <c r="S1803" s="294"/>
      <c r="T1803" s="294"/>
      <c r="U1803" s="294"/>
      <c r="V1803" s="294"/>
      <c r="W1803" s="294"/>
      <c r="X1803" s="294"/>
      <c r="Y1803" s="294"/>
      <c r="Z1803" s="294"/>
      <c r="AA1803" s="294"/>
      <c r="AB1803" s="294"/>
      <c r="AC1803" s="294"/>
      <c r="AD1803" s="294"/>
      <c r="AE1803" s="294"/>
      <c r="AF1803" s="294"/>
      <c r="AG1803" s="294"/>
    </row>
    <row r="1804" spans="2:33" x14ac:dyDescent="0.25">
      <c r="B1804" s="294"/>
      <c r="C1804" s="294"/>
      <c r="D1804" s="294"/>
      <c r="E1804" s="294"/>
      <c r="F1804" s="294"/>
      <c r="G1804" s="294"/>
      <c r="H1804" s="294"/>
      <c r="I1804" s="294"/>
      <c r="J1804" s="294"/>
      <c r="L1804" s="295"/>
      <c r="M1804" s="294"/>
      <c r="O1804" s="294"/>
      <c r="P1804" s="294"/>
      <c r="Q1804" s="294"/>
      <c r="R1804" s="294"/>
      <c r="S1804" s="294"/>
      <c r="T1804" s="294"/>
      <c r="U1804" s="294"/>
      <c r="V1804" s="294"/>
      <c r="W1804" s="294"/>
      <c r="X1804" s="294"/>
      <c r="Y1804" s="294"/>
      <c r="Z1804" s="294"/>
      <c r="AA1804" s="294"/>
      <c r="AB1804" s="294"/>
      <c r="AC1804" s="294"/>
      <c r="AD1804" s="294"/>
      <c r="AE1804" s="294"/>
      <c r="AF1804" s="294"/>
      <c r="AG1804" s="294"/>
    </row>
    <row r="1805" spans="2:33" x14ac:dyDescent="0.25">
      <c r="B1805" s="294"/>
      <c r="C1805" s="294"/>
      <c r="D1805" s="294"/>
      <c r="E1805" s="294"/>
      <c r="F1805" s="294"/>
      <c r="G1805" s="294"/>
      <c r="H1805" s="294"/>
      <c r="I1805" s="294"/>
      <c r="J1805" s="294"/>
      <c r="L1805" s="295"/>
      <c r="M1805" s="294"/>
      <c r="O1805" s="294"/>
      <c r="P1805" s="294"/>
      <c r="Q1805" s="294"/>
      <c r="R1805" s="294"/>
      <c r="S1805" s="294"/>
      <c r="T1805" s="294"/>
      <c r="U1805" s="294"/>
      <c r="V1805" s="294"/>
      <c r="W1805" s="294"/>
      <c r="X1805" s="294"/>
      <c r="Y1805" s="294"/>
      <c r="Z1805" s="294"/>
      <c r="AA1805" s="294"/>
      <c r="AB1805" s="294"/>
      <c r="AC1805" s="294"/>
      <c r="AD1805" s="294"/>
      <c r="AE1805" s="294"/>
      <c r="AF1805" s="294"/>
      <c r="AG1805" s="294"/>
    </row>
    <row r="1806" spans="2:33" x14ac:dyDescent="0.25">
      <c r="B1806" s="294"/>
      <c r="C1806" s="294"/>
      <c r="D1806" s="294"/>
      <c r="E1806" s="294"/>
      <c r="F1806" s="294"/>
      <c r="G1806" s="294"/>
      <c r="H1806" s="294"/>
      <c r="I1806" s="294"/>
      <c r="J1806" s="294"/>
      <c r="L1806" s="295"/>
      <c r="M1806" s="294"/>
      <c r="O1806" s="294"/>
      <c r="P1806" s="294"/>
      <c r="Q1806" s="294"/>
      <c r="R1806" s="294"/>
      <c r="S1806" s="294"/>
      <c r="T1806" s="294"/>
      <c r="U1806" s="294"/>
      <c r="V1806" s="294"/>
      <c r="W1806" s="294"/>
      <c r="X1806" s="294"/>
      <c r="Y1806" s="294"/>
      <c r="Z1806" s="294"/>
      <c r="AA1806" s="294"/>
      <c r="AB1806" s="294"/>
      <c r="AC1806" s="294"/>
      <c r="AD1806" s="294"/>
      <c r="AE1806" s="294"/>
      <c r="AF1806" s="294"/>
      <c r="AG1806" s="294"/>
    </row>
    <row r="1807" spans="2:33" x14ac:dyDescent="0.25">
      <c r="B1807" s="294"/>
      <c r="C1807" s="294"/>
      <c r="D1807" s="294"/>
      <c r="E1807" s="294"/>
      <c r="F1807" s="294"/>
      <c r="G1807" s="294"/>
      <c r="H1807" s="294"/>
      <c r="I1807" s="294"/>
      <c r="J1807" s="294"/>
      <c r="L1807" s="295"/>
      <c r="M1807" s="294"/>
      <c r="O1807" s="294"/>
      <c r="P1807" s="294"/>
      <c r="Q1807" s="294"/>
      <c r="R1807" s="294"/>
      <c r="S1807" s="294"/>
      <c r="T1807" s="294"/>
      <c r="U1807" s="294"/>
      <c r="V1807" s="294"/>
      <c r="W1807" s="294"/>
      <c r="X1807" s="294"/>
      <c r="Y1807" s="294"/>
      <c r="Z1807" s="294"/>
      <c r="AA1807" s="294"/>
      <c r="AB1807" s="294"/>
      <c r="AC1807" s="294"/>
      <c r="AD1807" s="294"/>
      <c r="AE1807" s="294"/>
      <c r="AF1807" s="294"/>
      <c r="AG1807" s="294"/>
    </row>
    <row r="1808" spans="2:33" x14ac:dyDescent="0.25">
      <c r="B1808" s="294"/>
      <c r="C1808" s="294"/>
      <c r="D1808" s="294"/>
      <c r="E1808" s="294"/>
      <c r="F1808" s="294"/>
      <c r="G1808" s="294"/>
      <c r="H1808" s="294"/>
      <c r="I1808" s="294"/>
      <c r="J1808" s="294"/>
      <c r="L1808" s="295"/>
      <c r="M1808" s="294"/>
      <c r="O1808" s="294"/>
      <c r="P1808" s="294"/>
      <c r="Q1808" s="294"/>
      <c r="R1808" s="294"/>
      <c r="S1808" s="294"/>
      <c r="T1808" s="294"/>
      <c r="U1808" s="294"/>
      <c r="V1808" s="294"/>
      <c r="W1808" s="294"/>
      <c r="X1808" s="294"/>
      <c r="Y1808" s="294"/>
      <c r="Z1808" s="294"/>
      <c r="AA1808" s="294"/>
      <c r="AB1808" s="294"/>
      <c r="AC1808" s="294"/>
      <c r="AD1808" s="294"/>
      <c r="AE1808" s="294"/>
      <c r="AF1808" s="294"/>
      <c r="AG1808" s="294"/>
    </row>
    <row r="1809" spans="2:33" x14ac:dyDescent="0.25">
      <c r="B1809" s="294"/>
      <c r="C1809" s="294"/>
      <c r="D1809" s="294"/>
      <c r="E1809" s="294"/>
      <c r="F1809" s="294"/>
      <c r="G1809" s="294"/>
      <c r="H1809" s="294"/>
      <c r="I1809" s="294"/>
      <c r="J1809" s="294"/>
      <c r="L1809" s="295"/>
      <c r="M1809" s="294"/>
      <c r="O1809" s="294"/>
      <c r="P1809" s="294"/>
      <c r="Q1809" s="294"/>
      <c r="R1809" s="294"/>
      <c r="S1809" s="294"/>
      <c r="T1809" s="294"/>
      <c r="U1809" s="294"/>
      <c r="V1809" s="294"/>
      <c r="W1809" s="294"/>
      <c r="X1809" s="294"/>
      <c r="Y1809" s="294"/>
      <c r="Z1809" s="294"/>
      <c r="AA1809" s="294"/>
      <c r="AB1809" s="294"/>
      <c r="AC1809" s="294"/>
      <c r="AD1809" s="294"/>
      <c r="AE1809" s="294"/>
      <c r="AF1809" s="294"/>
      <c r="AG1809" s="294"/>
    </row>
    <row r="1810" spans="2:33" x14ac:dyDescent="0.25">
      <c r="B1810" s="294"/>
      <c r="C1810" s="294"/>
      <c r="D1810" s="294"/>
      <c r="E1810" s="294"/>
      <c r="F1810" s="294"/>
      <c r="G1810" s="294"/>
      <c r="H1810" s="294"/>
      <c r="I1810" s="294"/>
      <c r="J1810" s="294"/>
      <c r="L1810" s="295"/>
      <c r="M1810" s="294"/>
      <c r="O1810" s="294"/>
      <c r="P1810" s="294"/>
      <c r="Q1810" s="294"/>
      <c r="R1810" s="294"/>
      <c r="S1810" s="294"/>
      <c r="T1810" s="294"/>
      <c r="U1810" s="294"/>
      <c r="V1810" s="294"/>
      <c r="W1810" s="294"/>
      <c r="X1810" s="294"/>
      <c r="Y1810" s="294"/>
      <c r="Z1810" s="294"/>
      <c r="AA1810" s="294"/>
      <c r="AB1810" s="294"/>
      <c r="AC1810" s="294"/>
      <c r="AD1810" s="294"/>
      <c r="AE1810" s="294"/>
      <c r="AF1810" s="294"/>
      <c r="AG1810" s="294"/>
    </row>
    <row r="1811" spans="2:33" x14ac:dyDescent="0.25">
      <c r="B1811" s="294"/>
      <c r="C1811" s="294"/>
      <c r="D1811" s="294"/>
      <c r="E1811" s="294"/>
      <c r="F1811" s="294"/>
      <c r="G1811" s="294"/>
      <c r="H1811" s="294"/>
      <c r="I1811" s="294"/>
      <c r="J1811" s="294"/>
      <c r="L1811" s="295"/>
      <c r="M1811" s="294"/>
      <c r="O1811" s="294"/>
      <c r="P1811" s="294"/>
      <c r="Q1811" s="294"/>
      <c r="R1811" s="294"/>
      <c r="S1811" s="294"/>
      <c r="T1811" s="294"/>
      <c r="U1811" s="294"/>
      <c r="V1811" s="294"/>
      <c r="W1811" s="294"/>
      <c r="X1811" s="294"/>
      <c r="Y1811" s="294"/>
      <c r="Z1811" s="294"/>
      <c r="AA1811" s="294"/>
      <c r="AB1811" s="294"/>
      <c r="AC1811" s="294"/>
      <c r="AD1811" s="294"/>
      <c r="AE1811" s="294"/>
      <c r="AF1811" s="294"/>
      <c r="AG1811" s="294"/>
    </row>
    <row r="1812" spans="2:33" x14ac:dyDescent="0.25">
      <c r="B1812" s="294"/>
      <c r="C1812" s="294"/>
      <c r="D1812" s="294"/>
      <c r="E1812" s="294"/>
      <c r="F1812" s="294"/>
      <c r="G1812" s="294"/>
      <c r="H1812" s="294"/>
      <c r="I1812" s="294"/>
      <c r="J1812" s="294"/>
      <c r="L1812" s="295"/>
      <c r="M1812" s="294"/>
      <c r="O1812" s="294"/>
      <c r="P1812" s="294"/>
      <c r="Q1812" s="294"/>
      <c r="R1812" s="294"/>
      <c r="S1812" s="294"/>
      <c r="T1812" s="294"/>
      <c r="U1812" s="294"/>
      <c r="V1812" s="294"/>
      <c r="W1812" s="294"/>
      <c r="X1812" s="294"/>
      <c r="Y1812" s="294"/>
      <c r="Z1812" s="294"/>
      <c r="AA1812" s="294"/>
      <c r="AB1812" s="294"/>
      <c r="AC1812" s="294"/>
      <c r="AD1812" s="294"/>
      <c r="AE1812" s="294"/>
      <c r="AF1812" s="294"/>
      <c r="AG1812" s="294"/>
    </row>
    <row r="1813" spans="2:33" x14ac:dyDescent="0.25">
      <c r="B1813" s="294"/>
      <c r="C1813" s="294"/>
      <c r="D1813" s="294"/>
      <c r="E1813" s="294"/>
      <c r="F1813" s="294"/>
      <c r="G1813" s="294"/>
      <c r="H1813" s="294"/>
      <c r="I1813" s="294"/>
      <c r="J1813" s="294"/>
      <c r="L1813" s="295"/>
      <c r="M1813" s="294"/>
      <c r="O1813" s="294"/>
      <c r="P1813" s="294"/>
      <c r="Q1813" s="294"/>
      <c r="R1813" s="294"/>
      <c r="S1813" s="294"/>
      <c r="T1813" s="294"/>
      <c r="U1813" s="294"/>
      <c r="V1813" s="294"/>
      <c r="W1813" s="294"/>
      <c r="X1813" s="294"/>
      <c r="Y1813" s="294"/>
      <c r="Z1813" s="294"/>
      <c r="AA1813" s="294"/>
      <c r="AB1813" s="294"/>
      <c r="AC1813" s="294"/>
      <c r="AD1813" s="294"/>
      <c r="AE1813" s="294"/>
      <c r="AF1813" s="294"/>
      <c r="AG1813" s="294"/>
    </row>
    <row r="1814" spans="2:33" x14ac:dyDescent="0.25">
      <c r="B1814" s="294"/>
      <c r="C1814" s="294"/>
      <c r="D1814" s="294"/>
      <c r="E1814" s="294"/>
      <c r="F1814" s="294"/>
      <c r="G1814" s="294"/>
      <c r="H1814" s="294"/>
      <c r="I1814" s="294"/>
      <c r="J1814" s="294"/>
      <c r="L1814" s="295"/>
      <c r="M1814" s="294"/>
      <c r="O1814" s="294"/>
      <c r="P1814" s="294"/>
      <c r="Q1814" s="294"/>
      <c r="R1814" s="294"/>
      <c r="S1814" s="294"/>
      <c r="T1814" s="294"/>
      <c r="U1814" s="294"/>
      <c r="V1814" s="294"/>
      <c r="W1814" s="294"/>
      <c r="X1814" s="294"/>
      <c r="Y1814" s="294"/>
      <c r="Z1814" s="294"/>
      <c r="AA1814" s="294"/>
      <c r="AB1814" s="294"/>
      <c r="AC1814" s="294"/>
      <c r="AD1814" s="294"/>
      <c r="AE1814" s="294"/>
      <c r="AF1814" s="294"/>
      <c r="AG1814" s="294"/>
    </row>
    <row r="1815" spans="2:33" x14ac:dyDescent="0.25">
      <c r="B1815" s="294"/>
      <c r="C1815" s="294"/>
      <c r="D1815" s="294"/>
      <c r="E1815" s="294"/>
      <c r="F1815" s="294"/>
      <c r="G1815" s="294"/>
      <c r="H1815" s="294"/>
      <c r="I1815" s="294"/>
      <c r="J1815" s="294"/>
      <c r="L1815" s="295"/>
      <c r="M1815" s="294"/>
      <c r="O1815" s="294"/>
      <c r="P1815" s="294"/>
      <c r="Q1815" s="294"/>
      <c r="R1815" s="294"/>
      <c r="S1815" s="294"/>
      <c r="T1815" s="294"/>
      <c r="U1815" s="294"/>
      <c r="V1815" s="294"/>
      <c r="W1815" s="294"/>
      <c r="X1815" s="294"/>
      <c r="Y1815" s="294"/>
      <c r="Z1815" s="294"/>
      <c r="AA1815" s="294"/>
      <c r="AB1815" s="294"/>
      <c r="AC1815" s="294"/>
      <c r="AD1815" s="294"/>
      <c r="AE1815" s="294"/>
      <c r="AF1815" s="294"/>
      <c r="AG1815" s="294"/>
    </row>
    <row r="1816" spans="2:33" x14ac:dyDescent="0.25">
      <c r="B1816" s="294"/>
      <c r="C1816" s="294"/>
      <c r="D1816" s="294"/>
      <c r="E1816" s="294"/>
      <c r="F1816" s="294"/>
      <c r="G1816" s="294"/>
      <c r="H1816" s="294"/>
      <c r="I1816" s="294"/>
      <c r="J1816" s="294"/>
      <c r="L1816" s="295"/>
      <c r="M1816" s="294"/>
      <c r="O1816" s="294"/>
      <c r="P1816" s="294"/>
      <c r="Q1816" s="294"/>
      <c r="R1816" s="294"/>
      <c r="S1816" s="294"/>
      <c r="T1816" s="294"/>
      <c r="U1816" s="294"/>
      <c r="V1816" s="294"/>
      <c r="W1816" s="294"/>
      <c r="X1816" s="294"/>
      <c r="Y1816" s="294"/>
      <c r="Z1816" s="294"/>
      <c r="AA1816" s="294"/>
      <c r="AB1816" s="294"/>
      <c r="AC1816" s="294"/>
      <c r="AD1816" s="294"/>
      <c r="AE1816" s="294"/>
      <c r="AF1816" s="294"/>
      <c r="AG1816" s="294"/>
    </row>
    <row r="1817" spans="2:33" x14ac:dyDescent="0.25">
      <c r="B1817" s="294"/>
      <c r="C1817" s="294"/>
      <c r="D1817" s="294"/>
      <c r="E1817" s="294"/>
      <c r="F1817" s="294"/>
      <c r="G1817" s="294"/>
      <c r="H1817" s="294"/>
      <c r="I1817" s="294"/>
      <c r="J1817" s="294"/>
      <c r="L1817" s="295"/>
      <c r="M1817" s="294"/>
      <c r="O1817" s="294"/>
      <c r="P1817" s="294"/>
      <c r="Q1817" s="294"/>
      <c r="R1817" s="294"/>
      <c r="S1817" s="294"/>
      <c r="T1817" s="294"/>
      <c r="U1817" s="294"/>
      <c r="V1817" s="294"/>
      <c r="W1817" s="294"/>
      <c r="X1817" s="294"/>
      <c r="Y1817" s="294"/>
      <c r="Z1817" s="294"/>
      <c r="AA1817" s="294"/>
      <c r="AB1817" s="294"/>
      <c r="AC1817" s="294"/>
      <c r="AD1817" s="294"/>
      <c r="AE1817" s="294"/>
      <c r="AF1817" s="294"/>
      <c r="AG1817" s="294"/>
    </row>
    <row r="1818" spans="2:33" x14ac:dyDescent="0.25">
      <c r="B1818" s="294"/>
      <c r="C1818" s="294"/>
      <c r="D1818" s="294"/>
      <c r="E1818" s="294"/>
      <c r="F1818" s="294"/>
      <c r="G1818" s="294"/>
      <c r="H1818" s="294"/>
      <c r="I1818" s="294"/>
      <c r="J1818" s="294"/>
      <c r="L1818" s="295"/>
      <c r="M1818" s="294"/>
      <c r="O1818" s="294"/>
      <c r="P1818" s="294"/>
      <c r="Q1818" s="294"/>
      <c r="R1818" s="294"/>
      <c r="S1818" s="294"/>
      <c r="T1818" s="294"/>
      <c r="U1818" s="294"/>
      <c r="V1818" s="294"/>
      <c r="W1818" s="294"/>
      <c r="X1818" s="294"/>
      <c r="Y1818" s="294"/>
      <c r="Z1818" s="294"/>
      <c r="AA1818" s="294"/>
      <c r="AB1818" s="294"/>
      <c r="AC1818" s="294"/>
      <c r="AD1818" s="294"/>
      <c r="AE1818" s="294"/>
      <c r="AF1818" s="294"/>
      <c r="AG1818" s="294"/>
    </row>
    <row r="1819" spans="2:33" x14ac:dyDescent="0.25">
      <c r="B1819" s="294"/>
      <c r="C1819" s="294"/>
      <c r="D1819" s="294"/>
      <c r="E1819" s="294"/>
      <c r="F1819" s="294"/>
      <c r="G1819" s="294"/>
      <c r="H1819" s="294"/>
      <c r="I1819" s="294"/>
      <c r="J1819" s="294"/>
      <c r="L1819" s="295"/>
      <c r="M1819" s="294"/>
      <c r="O1819" s="294"/>
      <c r="P1819" s="294"/>
      <c r="Q1819" s="294"/>
      <c r="R1819" s="294"/>
      <c r="S1819" s="294"/>
      <c r="T1819" s="294"/>
      <c r="U1819" s="294"/>
      <c r="V1819" s="294"/>
      <c r="W1819" s="294"/>
      <c r="X1819" s="294"/>
      <c r="Y1819" s="294"/>
      <c r="Z1819" s="294"/>
      <c r="AA1819" s="294"/>
      <c r="AB1819" s="294"/>
      <c r="AC1819" s="294"/>
      <c r="AD1819" s="294"/>
      <c r="AE1819" s="294"/>
      <c r="AF1819" s="294"/>
      <c r="AG1819" s="294"/>
    </row>
    <row r="1820" spans="2:33" x14ac:dyDescent="0.25">
      <c r="B1820" s="294"/>
      <c r="C1820" s="294"/>
      <c r="D1820" s="294"/>
      <c r="E1820" s="294"/>
      <c r="F1820" s="294"/>
      <c r="G1820" s="294"/>
      <c r="H1820" s="294"/>
      <c r="I1820" s="294"/>
      <c r="J1820" s="294"/>
      <c r="L1820" s="295"/>
      <c r="M1820" s="294"/>
      <c r="O1820" s="294"/>
      <c r="P1820" s="294"/>
      <c r="Q1820" s="294"/>
      <c r="R1820" s="294"/>
      <c r="S1820" s="294"/>
      <c r="T1820" s="294"/>
      <c r="U1820" s="294"/>
      <c r="V1820" s="294"/>
      <c r="W1820" s="294"/>
      <c r="X1820" s="294"/>
      <c r="Y1820" s="294"/>
      <c r="Z1820" s="294"/>
      <c r="AA1820" s="294"/>
      <c r="AB1820" s="294"/>
      <c r="AC1820" s="294"/>
      <c r="AD1820" s="294"/>
      <c r="AE1820" s="294"/>
      <c r="AF1820" s="294"/>
      <c r="AG1820" s="294"/>
    </row>
    <row r="1821" spans="2:33" x14ac:dyDescent="0.25">
      <c r="B1821" s="294"/>
      <c r="C1821" s="294"/>
      <c r="D1821" s="294"/>
      <c r="E1821" s="294"/>
      <c r="F1821" s="294"/>
      <c r="G1821" s="294"/>
      <c r="H1821" s="294"/>
      <c r="I1821" s="294"/>
      <c r="J1821" s="294"/>
      <c r="L1821" s="295"/>
      <c r="M1821" s="294"/>
      <c r="O1821" s="294"/>
      <c r="P1821" s="294"/>
      <c r="Q1821" s="294"/>
      <c r="R1821" s="294"/>
      <c r="S1821" s="294"/>
      <c r="T1821" s="294"/>
      <c r="U1821" s="294"/>
      <c r="V1821" s="294"/>
      <c r="W1821" s="294"/>
      <c r="X1821" s="294"/>
      <c r="Y1821" s="294"/>
      <c r="Z1821" s="294"/>
      <c r="AA1821" s="294"/>
      <c r="AB1821" s="294"/>
      <c r="AC1821" s="294"/>
      <c r="AD1821" s="294"/>
      <c r="AE1821" s="294"/>
      <c r="AF1821" s="294"/>
      <c r="AG1821" s="294"/>
    </row>
    <row r="1822" spans="2:33" x14ac:dyDescent="0.25">
      <c r="B1822" s="294"/>
      <c r="C1822" s="294"/>
      <c r="D1822" s="294"/>
      <c r="E1822" s="294"/>
      <c r="F1822" s="294"/>
      <c r="G1822" s="294"/>
      <c r="H1822" s="294"/>
      <c r="I1822" s="294"/>
      <c r="J1822" s="294"/>
      <c r="L1822" s="295"/>
      <c r="M1822" s="294"/>
      <c r="O1822" s="294"/>
      <c r="P1822" s="294"/>
      <c r="Q1822" s="294"/>
      <c r="R1822" s="294"/>
      <c r="S1822" s="294"/>
      <c r="T1822" s="294"/>
      <c r="U1822" s="294"/>
      <c r="V1822" s="294"/>
      <c r="W1822" s="294"/>
      <c r="X1822" s="294"/>
      <c r="Y1822" s="294"/>
      <c r="Z1822" s="294"/>
      <c r="AA1822" s="294"/>
      <c r="AB1822" s="294"/>
      <c r="AC1822" s="294"/>
      <c r="AD1822" s="294"/>
      <c r="AE1822" s="294"/>
      <c r="AF1822" s="294"/>
      <c r="AG1822" s="294"/>
    </row>
    <row r="1823" spans="2:33" x14ac:dyDescent="0.25">
      <c r="B1823" s="294"/>
      <c r="C1823" s="294"/>
      <c r="D1823" s="294"/>
      <c r="E1823" s="294"/>
      <c r="F1823" s="294"/>
      <c r="G1823" s="294"/>
      <c r="H1823" s="294"/>
      <c r="I1823" s="294"/>
      <c r="J1823" s="294"/>
      <c r="L1823" s="295"/>
      <c r="M1823" s="294"/>
      <c r="O1823" s="294"/>
      <c r="P1823" s="294"/>
      <c r="Q1823" s="294"/>
      <c r="R1823" s="294"/>
      <c r="S1823" s="294"/>
      <c r="T1823" s="294"/>
      <c r="U1823" s="294"/>
      <c r="V1823" s="294"/>
      <c r="W1823" s="294"/>
      <c r="X1823" s="294"/>
      <c r="Y1823" s="294"/>
      <c r="Z1823" s="294"/>
      <c r="AA1823" s="294"/>
      <c r="AB1823" s="294"/>
      <c r="AC1823" s="294"/>
      <c r="AD1823" s="294"/>
      <c r="AE1823" s="294"/>
      <c r="AF1823" s="294"/>
      <c r="AG1823" s="294"/>
    </row>
    <row r="1824" spans="2:33" x14ac:dyDescent="0.25">
      <c r="B1824" s="294"/>
      <c r="C1824" s="294"/>
      <c r="D1824" s="294"/>
      <c r="E1824" s="294"/>
      <c r="F1824" s="294"/>
      <c r="G1824" s="294"/>
      <c r="H1824" s="294"/>
      <c r="I1824" s="294"/>
      <c r="J1824" s="294"/>
      <c r="L1824" s="295"/>
      <c r="M1824" s="294"/>
      <c r="O1824" s="294"/>
      <c r="P1824" s="294"/>
      <c r="Q1824" s="294"/>
      <c r="R1824" s="294"/>
      <c r="S1824" s="294"/>
      <c r="T1824" s="294"/>
      <c r="U1824" s="294"/>
      <c r="V1824" s="294"/>
      <c r="W1824" s="294"/>
      <c r="X1824" s="294"/>
      <c r="Y1824" s="294"/>
      <c r="Z1824" s="294"/>
      <c r="AA1824" s="294"/>
      <c r="AB1824" s="294"/>
      <c r="AC1824" s="294"/>
      <c r="AD1824" s="294"/>
      <c r="AE1824" s="294"/>
      <c r="AF1824" s="294"/>
      <c r="AG1824" s="294"/>
    </row>
    <row r="1825" spans="2:33" x14ac:dyDescent="0.25">
      <c r="B1825" s="294"/>
      <c r="C1825" s="294"/>
      <c r="D1825" s="294"/>
      <c r="E1825" s="294"/>
      <c r="F1825" s="294"/>
      <c r="G1825" s="294"/>
      <c r="H1825" s="294"/>
      <c r="I1825" s="294"/>
      <c r="J1825" s="294"/>
      <c r="L1825" s="295"/>
      <c r="M1825" s="294"/>
      <c r="O1825" s="294"/>
      <c r="P1825" s="294"/>
      <c r="Q1825" s="294"/>
      <c r="R1825" s="294"/>
      <c r="S1825" s="294"/>
      <c r="T1825" s="294"/>
      <c r="U1825" s="294"/>
      <c r="V1825" s="294"/>
      <c r="W1825" s="294"/>
      <c r="X1825" s="294"/>
      <c r="Y1825" s="294"/>
      <c r="Z1825" s="294"/>
      <c r="AA1825" s="294"/>
      <c r="AB1825" s="294"/>
      <c r="AC1825" s="294"/>
      <c r="AD1825" s="294"/>
      <c r="AE1825" s="294"/>
      <c r="AF1825" s="294"/>
      <c r="AG1825" s="294"/>
    </row>
    <row r="1826" spans="2:33" x14ac:dyDescent="0.25">
      <c r="B1826" s="294"/>
      <c r="C1826" s="294"/>
      <c r="D1826" s="294"/>
      <c r="E1826" s="294"/>
      <c r="F1826" s="294"/>
      <c r="G1826" s="294"/>
      <c r="H1826" s="294"/>
      <c r="I1826" s="294"/>
      <c r="J1826" s="294"/>
      <c r="L1826" s="295"/>
      <c r="M1826" s="294"/>
      <c r="O1826" s="294"/>
      <c r="P1826" s="294"/>
      <c r="Q1826" s="294"/>
      <c r="R1826" s="294"/>
      <c r="S1826" s="294"/>
      <c r="T1826" s="294"/>
      <c r="U1826" s="294"/>
      <c r="V1826" s="294"/>
      <c r="W1826" s="294"/>
      <c r="X1826" s="294"/>
      <c r="Y1826" s="294"/>
      <c r="Z1826" s="294"/>
      <c r="AA1826" s="294"/>
      <c r="AB1826" s="294"/>
      <c r="AC1826" s="294"/>
      <c r="AD1826" s="294"/>
      <c r="AE1826" s="294"/>
      <c r="AF1826" s="294"/>
      <c r="AG1826" s="294"/>
    </row>
    <row r="1827" spans="2:33" x14ac:dyDescent="0.25">
      <c r="B1827" s="294"/>
      <c r="C1827" s="294"/>
      <c r="D1827" s="294"/>
      <c r="E1827" s="294"/>
      <c r="F1827" s="294"/>
      <c r="G1827" s="294"/>
      <c r="H1827" s="294"/>
      <c r="I1827" s="294"/>
      <c r="J1827" s="294"/>
      <c r="L1827" s="295"/>
      <c r="M1827" s="294"/>
      <c r="O1827" s="294"/>
      <c r="P1827" s="294"/>
      <c r="Q1827" s="294"/>
      <c r="R1827" s="294"/>
      <c r="S1827" s="294"/>
      <c r="T1827" s="294"/>
      <c r="U1827" s="294"/>
      <c r="V1827" s="294"/>
      <c r="W1827" s="294"/>
      <c r="X1827" s="294"/>
      <c r="Y1827" s="294"/>
      <c r="Z1827" s="294"/>
      <c r="AA1827" s="294"/>
      <c r="AB1827" s="294"/>
      <c r="AC1827" s="294"/>
      <c r="AD1827" s="294"/>
      <c r="AE1827" s="294"/>
      <c r="AF1827" s="294"/>
      <c r="AG1827" s="294"/>
    </row>
    <row r="1828" spans="2:33" x14ac:dyDescent="0.25">
      <c r="B1828" s="294"/>
      <c r="C1828" s="294"/>
      <c r="D1828" s="294"/>
      <c r="E1828" s="294"/>
      <c r="F1828" s="294"/>
      <c r="G1828" s="294"/>
      <c r="H1828" s="294"/>
      <c r="I1828" s="294"/>
      <c r="J1828" s="294"/>
      <c r="L1828" s="295"/>
      <c r="M1828" s="294"/>
      <c r="O1828" s="294"/>
      <c r="P1828" s="294"/>
      <c r="Q1828" s="294"/>
      <c r="R1828" s="294"/>
      <c r="S1828" s="294"/>
      <c r="T1828" s="294"/>
      <c r="U1828" s="294"/>
      <c r="V1828" s="294"/>
      <c r="W1828" s="294"/>
      <c r="X1828" s="294"/>
      <c r="Y1828" s="294"/>
      <c r="Z1828" s="294"/>
      <c r="AA1828" s="294"/>
      <c r="AB1828" s="294"/>
      <c r="AC1828" s="294"/>
      <c r="AD1828" s="294"/>
      <c r="AE1828" s="294"/>
      <c r="AF1828" s="294"/>
      <c r="AG1828" s="294"/>
    </row>
    <row r="1829" spans="2:33" x14ac:dyDescent="0.25">
      <c r="B1829" s="294"/>
      <c r="C1829" s="294"/>
      <c r="D1829" s="294"/>
      <c r="E1829" s="294"/>
      <c r="F1829" s="294"/>
      <c r="G1829" s="294"/>
      <c r="H1829" s="294"/>
      <c r="I1829" s="294"/>
      <c r="J1829" s="294"/>
      <c r="L1829" s="295"/>
      <c r="M1829" s="294"/>
      <c r="O1829" s="294"/>
      <c r="P1829" s="294"/>
      <c r="Q1829" s="294"/>
      <c r="R1829" s="294"/>
      <c r="S1829" s="294"/>
      <c r="T1829" s="294"/>
      <c r="U1829" s="294"/>
      <c r="V1829" s="294"/>
      <c r="W1829" s="294"/>
      <c r="X1829" s="294"/>
      <c r="Y1829" s="294"/>
      <c r="Z1829" s="294"/>
      <c r="AA1829" s="294"/>
      <c r="AB1829" s="294"/>
      <c r="AC1829" s="294"/>
      <c r="AD1829" s="294"/>
      <c r="AE1829" s="294"/>
      <c r="AF1829" s="294"/>
      <c r="AG1829" s="294"/>
    </row>
    <row r="1830" spans="2:33" x14ac:dyDescent="0.25">
      <c r="B1830" s="294"/>
      <c r="C1830" s="294"/>
      <c r="D1830" s="294"/>
      <c r="E1830" s="294"/>
      <c r="F1830" s="294"/>
      <c r="G1830" s="294"/>
      <c r="H1830" s="294"/>
      <c r="I1830" s="294"/>
      <c r="J1830" s="294"/>
      <c r="L1830" s="295"/>
      <c r="M1830" s="294"/>
      <c r="O1830" s="294"/>
      <c r="P1830" s="294"/>
      <c r="Q1830" s="294"/>
      <c r="R1830" s="294"/>
      <c r="S1830" s="294"/>
      <c r="T1830" s="294"/>
      <c r="U1830" s="294"/>
      <c r="V1830" s="294"/>
      <c r="W1830" s="294"/>
      <c r="X1830" s="294"/>
      <c r="Y1830" s="294"/>
      <c r="Z1830" s="294"/>
      <c r="AA1830" s="294"/>
      <c r="AB1830" s="294"/>
      <c r="AC1830" s="294"/>
      <c r="AD1830" s="294"/>
      <c r="AE1830" s="294"/>
      <c r="AF1830" s="294"/>
      <c r="AG1830" s="294"/>
    </row>
    <row r="1831" spans="2:33" x14ac:dyDescent="0.25">
      <c r="B1831" s="294"/>
      <c r="C1831" s="294"/>
      <c r="D1831" s="294"/>
      <c r="E1831" s="294"/>
      <c r="F1831" s="294"/>
      <c r="G1831" s="294"/>
      <c r="H1831" s="294"/>
      <c r="I1831" s="294"/>
      <c r="J1831" s="294"/>
      <c r="L1831" s="295"/>
      <c r="M1831" s="294"/>
      <c r="O1831" s="294"/>
      <c r="P1831" s="294"/>
      <c r="Q1831" s="294"/>
      <c r="R1831" s="294"/>
      <c r="S1831" s="294"/>
      <c r="T1831" s="294"/>
      <c r="U1831" s="294"/>
      <c r="V1831" s="294"/>
      <c r="W1831" s="294"/>
      <c r="X1831" s="294"/>
      <c r="Y1831" s="294"/>
      <c r="Z1831" s="294"/>
      <c r="AA1831" s="294"/>
      <c r="AB1831" s="294"/>
      <c r="AC1831" s="294"/>
      <c r="AD1831" s="294"/>
      <c r="AE1831" s="294"/>
      <c r="AF1831" s="294"/>
      <c r="AG1831" s="294"/>
    </row>
    <row r="1832" spans="2:33" x14ac:dyDescent="0.25">
      <c r="B1832" s="294"/>
      <c r="C1832" s="294"/>
      <c r="D1832" s="294"/>
      <c r="E1832" s="294"/>
      <c r="F1832" s="294"/>
      <c r="G1832" s="294"/>
      <c r="H1832" s="294"/>
      <c r="I1832" s="294"/>
      <c r="J1832" s="294"/>
      <c r="L1832" s="295"/>
      <c r="M1832" s="294"/>
      <c r="O1832" s="294"/>
      <c r="P1832" s="294"/>
      <c r="Q1832" s="294"/>
      <c r="R1832" s="294"/>
      <c r="S1832" s="294"/>
      <c r="T1832" s="294"/>
      <c r="U1832" s="294"/>
      <c r="V1832" s="294"/>
      <c r="W1832" s="294"/>
      <c r="X1832" s="294"/>
      <c r="Y1832" s="294"/>
      <c r="Z1832" s="294"/>
      <c r="AA1832" s="294"/>
      <c r="AB1832" s="294"/>
      <c r="AC1832" s="294"/>
      <c r="AD1832" s="294"/>
      <c r="AE1832" s="294"/>
      <c r="AF1832" s="294"/>
      <c r="AG1832" s="294"/>
    </row>
    <row r="1833" spans="2:33" x14ac:dyDescent="0.25">
      <c r="B1833" s="294"/>
      <c r="C1833" s="294"/>
      <c r="D1833" s="294"/>
      <c r="E1833" s="294"/>
      <c r="F1833" s="294"/>
      <c r="G1833" s="294"/>
      <c r="H1833" s="294"/>
      <c r="I1833" s="294"/>
      <c r="J1833" s="294"/>
      <c r="L1833" s="295"/>
      <c r="M1833" s="294"/>
      <c r="O1833" s="294"/>
      <c r="P1833" s="294"/>
      <c r="Q1833" s="294"/>
      <c r="R1833" s="294"/>
      <c r="S1833" s="294"/>
      <c r="T1833" s="294"/>
      <c r="U1833" s="294"/>
      <c r="V1833" s="294"/>
      <c r="W1833" s="294"/>
      <c r="X1833" s="294"/>
      <c r="Y1833" s="294"/>
      <c r="Z1833" s="294"/>
      <c r="AA1833" s="294"/>
      <c r="AB1833" s="294"/>
      <c r="AC1833" s="294"/>
      <c r="AD1833" s="294"/>
      <c r="AE1833" s="294"/>
      <c r="AF1833" s="294"/>
      <c r="AG1833" s="294"/>
    </row>
    <row r="1834" spans="2:33" x14ac:dyDescent="0.25">
      <c r="B1834" s="294"/>
      <c r="C1834" s="294"/>
      <c r="D1834" s="294"/>
      <c r="E1834" s="294"/>
      <c r="F1834" s="294"/>
      <c r="G1834" s="294"/>
      <c r="H1834" s="294"/>
      <c r="I1834" s="294"/>
      <c r="J1834" s="294"/>
      <c r="L1834" s="295"/>
      <c r="M1834" s="294"/>
      <c r="O1834" s="294"/>
      <c r="P1834" s="294"/>
      <c r="Q1834" s="294"/>
      <c r="R1834" s="294"/>
      <c r="S1834" s="294"/>
      <c r="T1834" s="294"/>
      <c r="U1834" s="294"/>
      <c r="V1834" s="294"/>
      <c r="W1834" s="294"/>
      <c r="X1834" s="294"/>
      <c r="Y1834" s="294"/>
      <c r="Z1834" s="294"/>
      <c r="AA1834" s="294"/>
      <c r="AB1834" s="294"/>
      <c r="AC1834" s="294"/>
      <c r="AD1834" s="294"/>
      <c r="AE1834" s="294"/>
      <c r="AF1834" s="294"/>
      <c r="AG1834" s="294"/>
    </row>
    <row r="1835" spans="2:33" x14ac:dyDescent="0.25">
      <c r="B1835" s="294"/>
      <c r="C1835" s="294"/>
      <c r="D1835" s="294"/>
      <c r="E1835" s="294"/>
      <c r="F1835" s="294"/>
      <c r="G1835" s="294"/>
      <c r="H1835" s="294"/>
      <c r="I1835" s="294"/>
      <c r="J1835" s="294"/>
      <c r="L1835" s="295"/>
      <c r="M1835" s="294"/>
      <c r="O1835" s="294"/>
      <c r="P1835" s="294"/>
      <c r="Q1835" s="294"/>
      <c r="R1835" s="294"/>
      <c r="S1835" s="294"/>
      <c r="T1835" s="294"/>
      <c r="U1835" s="294"/>
      <c r="V1835" s="294"/>
      <c r="W1835" s="294"/>
      <c r="X1835" s="294"/>
      <c r="Y1835" s="294"/>
      <c r="Z1835" s="294"/>
      <c r="AA1835" s="294"/>
      <c r="AB1835" s="294"/>
      <c r="AC1835" s="294"/>
      <c r="AD1835" s="294"/>
      <c r="AE1835" s="294"/>
      <c r="AF1835" s="294"/>
      <c r="AG1835" s="294"/>
    </row>
    <row r="1836" spans="2:33" x14ac:dyDescent="0.25">
      <c r="B1836" s="294"/>
      <c r="C1836" s="294"/>
      <c r="D1836" s="294"/>
      <c r="E1836" s="294"/>
      <c r="F1836" s="294"/>
      <c r="G1836" s="294"/>
      <c r="H1836" s="294"/>
      <c r="I1836" s="294"/>
      <c r="J1836" s="294"/>
      <c r="L1836" s="295"/>
      <c r="M1836" s="294"/>
      <c r="O1836" s="294"/>
      <c r="P1836" s="294"/>
      <c r="Q1836" s="294"/>
      <c r="R1836" s="294"/>
      <c r="S1836" s="294"/>
      <c r="T1836" s="294"/>
      <c r="U1836" s="294"/>
      <c r="V1836" s="294"/>
      <c r="W1836" s="294"/>
      <c r="X1836" s="294"/>
      <c r="Y1836" s="294"/>
      <c r="Z1836" s="294"/>
      <c r="AA1836" s="294"/>
      <c r="AB1836" s="294"/>
      <c r="AC1836" s="294"/>
      <c r="AD1836" s="294"/>
      <c r="AE1836" s="294"/>
      <c r="AF1836" s="294"/>
      <c r="AG1836" s="294"/>
    </row>
    <row r="1837" spans="2:33" x14ac:dyDescent="0.25">
      <c r="B1837" s="294"/>
      <c r="C1837" s="294"/>
      <c r="D1837" s="294"/>
      <c r="E1837" s="294"/>
      <c r="F1837" s="294"/>
      <c r="G1837" s="294"/>
      <c r="H1837" s="294"/>
      <c r="I1837" s="294"/>
      <c r="J1837" s="294"/>
      <c r="L1837" s="295"/>
      <c r="M1837" s="294"/>
      <c r="O1837" s="294"/>
      <c r="P1837" s="294"/>
      <c r="Q1837" s="294"/>
      <c r="R1837" s="294"/>
      <c r="S1837" s="294"/>
      <c r="T1837" s="294"/>
      <c r="U1837" s="294"/>
      <c r="V1837" s="294"/>
      <c r="W1837" s="294"/>
      <c r="X1837" s="294"/>
      <c r="Y1837" s="294"/>
      <c r="Z1837" s="294"/>
      <c r="AA1837" s="294"/>
      <c r="AB1837" s="294"/>
      <c r="AC1837" s="294"/>
      <c r="AD1837" s="294"/>
      <c r="AE1837" s="294"/>
      <c r="AF1837" s="294"/>
      <c r="AG1837" s="294"/>
    </row>
    <row r="1838" spans="2:33" x14ac:dyDescent="0.25">
      <c r="B1838" s="294"/>
      <c r="C1838" s="294"/>
      <c r="D1838" s="294"/>
      <c r="E1838" s="294"/>
      <c r="F1838" s="294"/>
      <c r="G1838" s="294"/>
      <c r="H1838" s="294"/>
      <c r="I1838" s="294"/>
      <c r="J1838" s="294"/>
      <c r="L1838" s="295"/>
      <c r="M1838" s="294"/>
      <c r="O1838" s="294"/>
      <c r="P1838" s="294"/>
      <c r="Q1838" s="294"/>
      <c r="R1838" s="294"/>
      <c r="S1838" s="294"/>
      <c r="T1838" s="294"/>
      <c r="U1838" s="294"/>
      <c r="V1838" s="294"/>
      <c r="W1838" s="294"/>
      <c r="X1838" s="294"/>
      <c r="Y1838" s="294"/>
      <c r="Z1838" s="294"/>
      <c r="AA1838" s="294"/>
      <c r="AB1838" s="294"/>
      <c r="AC1838" s="294"/>
      <c r="AD1838" s="294"/>
      <c r="AE1838" s="294"/>
      <c r="AF1838" s="294"/>
      <c r="AG1838" s="294"/>
    </row>
    <row r="1839" spans="2:33" x14ac:dyDescent="0.25">
      <c r="B1839" s="294"/>
      <c r="C1839" s="294"/>
      <c r="D1839" s="294"/>
      <c r="E1839" s="294"/>
      <c r="F1839" s="294"/>
      <c r="G1839" s="294"/>
      <c r="H1839" s="294"/>
      <c r="I1839" s="294"/>
      <c r="J1839" s="294"/>
      <c r="L1839" s="295"/>
      <c r="M1839" s="294"/>
      <c r="O1839" s="294"/>
      <c r="P1839" s="294"/>
      <c r="Q1839" s="294"/>
      <c r="R1839" s="294"/>
      <c r="S1839" s="294"/>
      <c r="T1839" s="294"/>
      <c r="U1839" s="294"/>
      <c r="V1839" s="294"/>
      <c r="W1839" s="294"/>
      <c r="X1839" s="294"/>
      <c r="Y1839" s="294"/>
      <c r="Z1839" s="294"/>
      <c r="AA1839" s="294"/>
      <c r="AB1839" s="294"/>
      <c r="AC1839" s="294"/>
      <c r="AD1839" s="294"/>
      <c r="AE1839" s="294"/>
      <c r="AF1839" s="294"/>
      <c r="AG1839" s="294"/>
    </row>
    <row r="1840" spans="2:33" x14ac:dyDescent="0.25">
      <c r="B1840" s="294"/>
      <c r="C1840" s="294"/>
      <c r="D1840" s="294"/>
      <c r="E1840" s="294"/>
      <c r="F1840" s="294"/>
      <c r="G1840" s="294"/>
      <c r="H1840" s="294"/>
      <c r="I1840" s="294"/>
      <c r="J1840" s="294"/>
      <c r="L1840" s="295"/>
      <c r="M1840" s="294"/>
      <c r="O1840" s="294"/>
      <c r="P1840" s="294"/>
      <c r="Q1840" s="294"/>
      <c r="R1840" s="294"/>
      <c r="S1840" s="294"/>
      <c r="T1840" s="294"/>
      <c r="U1840" s="294"/>
      <c r="V1840" s="294"/>
      <c r="W1840" s="294"/>
      <c r="X1840" s="294"/>
      <c r="Y1840" s="294"/>
      <c r="Z1840" s="294"/>
      <c r="AA1840" s="294"/>
      <c r="AB1840" s="294"/>
      <c r="AC1840" s="294"/>
      <c r="AD1840" s="294"/>
      <c r="AE1840" s="294"/>
      <c r="AF1840" s="294"/>
      <c r="AG1840" s="294"/>
    </row>
    <row r="1841" spans="2:33" x14ac:dyDescent="0.25">
      <c r="B1841" s="294"/>
      <c r="C1841" s="294"/>
      <c r="D1841" s="294"/>
      <c r="E1841" s="294"/>
      <c r="F1841" s="294"/>
      <c r="G1841" s="294"/>
      <c r="H1841" s="294"/>
      <c r="I1841" s="294"/>
      <c r="J1841" s="294"/>
      <c r="L1841" s="295"/>
      <c r="M1841" s="294"/>
      <c r="O1841" s="294"/>
      <c r="P1841" s="294"/>
      <c r="Q1841" s="294"/>
      <c r="R1841" s="294"/>
      <c r="S1841" s="294"/>
      <c r="T1841" s="294"/>
      <c r="U1841" s="294"/>
      <c r="V1841" s="294"/>
      <c r="W1841" s="294"/>
      <c r="X1841" s="294"/>
      <c r="Y1841" s="294"/>
      <c r="Z1841" s="294"/>
      <c r="AA1841" s="294"/>
      <c r="AB1841" s="294"/>
      <c r="AC1841" s="294"/>
      <c r="AD1841" s="294"/>
      <c r="AE1841" s="294"/>
      <c r="AF1841" s="294"/>
      <c r="AG1841" s="294"/>
    </row>
    <row r="1842" spans="2:33" x14ac:dyDescent="0.25">
      <c r="B1842" s="294"/>
      <c r="C1842" s="294"/>
      <c r="D1842" s="294"/>
      <c r="E1842" s="294"/>
      <c r="F1842" s="294"/>
      <c r="G1842" s="294"/>
      <c r="H1842" s="294"/>
      <c r="I1842" s="294"/>
      <c r="J1842" s="294"/>
      <c r="L1842" s="295"/>
      <c r="M1842" s="294"/>
      <c r="O1842" s="294"/>
      <c r="P1842" s="294"/>
      <c r="Q1842" s="294"/>
      <c r="R1842" s="294"/>
      <c r="S1842" s="294"/>
      <c r="T1842" s="294"/>
      <c r="U1842" s="294"/>
      <c r="V1842" s="294"/>
      <c r="W1842" s="294"/>
      <c r="X1842" s="294"/>
      <c r="Y1842" s="294"/>
      <c r="Z1842" s="294"/>
      <c r="AA1842" s="294"/>
      <c r="AB1842" s="294"/>
      <c r="AC1842" s="294"/>
      <c r="AD1842" s="294"/>
      <c r="AE1842" s="294"/>
      <c r="AF1842" s="294"/>
      <c r="AG1842" s="294"/>
    </row>
    <row r="1843" spans="2:33" x14ac:dyDescent="0.25">
      <c r="B1843" s="294"/>
      <c r="C1843" s="294"/>
      <c r="D1843" s="294"/>
      <c r="E1843" s="294"/>
      <c r="F1843" s="294"/>
      <c r="G1843" s="294"/>
      <c r="H1843" s="294"/>
      <c r="I1843" s="294"/>
      <c r="J1843" s="294"/>
      <c r="L1843" s="295"/>
      <c r="M1843" s="294"/>
      <c r="O1843" s="294"/>
      <c r="P1843" s="294"/>
      <c r="Q1843" s="294"/>
      <c r="R1843" s="294"/>
      <c r="S1843" s="294"/>
      <c r="T1843" s="294"/>
      <c r="U1843" s="294"/>
      <c r="V1843" s="294"/>
      <c r="W1843" s="294"/>
      <c r="X1843" s="294"/>
      <c r="Y1843" s="294"/>
      <c r="Z1843" s="294"/>
      <c r="AA1843" s="294"/>
      <c r="AB1843" s="294"/>
      <c r="AC1843" s="294"/>
      <c r="AD1843" s="294"/>
      <c r="AE1843" s="294"/>
      <c r="AF1843" s="294"/>
      <c r="AG1843" s="294"/>
    </row>
    <row r="1844" spans="2:33" x14ac:dyDescent="0.25">
      <c r="B1844" s="294"/>
      <c r="C1844" s="294"/>
      <c r="D1844" s="294"/>
      <c r="E1844" s="294"/>
      <c r="F1844" s="294"/>
      <c r="G1844" s="294"/>
      <c r="H1844" s="294"/>
      <c r="I1844" s="294"/>
      <c r="J1844" s="294"/>
      <c r="L1844" s="295"/>
      <c r="M1844" s="294"/>
      <c r="O1844" s="294"/>
      <c r="P1844" s="294"/>
      <c r="Q1844" s="294"/>
      <c r="R1844" s="294"/>
      <c r="S1844" s="294"/>
      <c r="T1844" s="294"/>
      <c r="U1844" s="294"/>
      <c r="V1844" s="294"/>
      <c r="W1844" s="294"/>
      <c r="X1844" s="294"/>
      <c r="Y1844" s="294"/>
      <c r="Z1844" s="294"/>
      <c r="AA1844" s="294"/>
      <c r="AB1844" s="294"/>
      <c r="AC1844" s="294"/>
      <c r="AD1844" s="294"/>
      <c r="AE1844" s="294"/>
      <c r="AF1844" s="294"/>
      <c r="AG1844" s="294"/>
    </row>
    <row r="1845" spans="2:33" x14ac:dyDescent="0.25">
      <c r="B1845" s="294"/>
      <c r="C1845" s="294"/>
      <c r="D1845" s="294"/>
      <c r="E1845" s="294"/>
      <c r="F1845" s="294"/>
      <c r="G1845" s="294"/>
      <c r="H1845" s="294"/>
      <c r="I1845" s="294"/>
      <c r="J1845" s="294"/>
      <c r="L1845" s="295"/>
      <c r="M1845" s="294"/>
      <c r="O1845" s="294"/>
      <c r="P1845" s="294"/>
      <c r="Q1845" s="294"/>
      <c r="R1845" s="294"/>
      <c r="S1845" s="294"/>
      <c r="T1845" s="294"/>
      <c r="U1845" s="294"/>
      <c r="V1845" s="294"/>
      <c r="W1845" s="294"/>
      <c r="X1845" s="294"/>
      <c r="Y1845" s="294"/>
      <c r="Z1845" s="294"/>
      <c r="AA1845" s="294"/>
      <c r="AB1845" s="294"/>
      <c r="AC1845" s="294"/>
      <c r="AD1845" s="294"/>
      <c r="AE1845" s="294"/>
      <c r="AF1845" s="294"/>
      <c r="AG1845" s="294"/>
    </row>
    <row r="1846" spans="2:33" x14ac:dyDescent="0.25">
      <c r="B1846" s="294"/>
      <c r="C1846" s="294"/>
      <c r="D1846" s="294"/>
      <c r="E1846" s="294"/>
      <c r="F1846" s="294"/>
      <c r="G1846" s="294"/>
      <c r="H1846" s="294"/>
      <c r="I1846" s="294"/>
      <c r="J1846" s="294"/>
      <c r="L1846" s="295"/>
      <c r="M1846" s="294"/>
      <c r="O1846" s="294"/>
      <c r="P1846" s="294"/>
      <c r="Q1846" s="294"/>
      <c r="R1846" s="294"/>
      <c r="S1846" s="294"/>
      <c r="T1846" s="294"/>
      <c r="U1846" s="294"/>
      <c r="V1846" s="294"/>
      <c r="W1846" s="294"/>
      <c r="X1846" s="294"/>
      <c r="Y1846" s="294"/>
      <c r="Z1846" s="294"/>
      <c r="AA1846" s="294"/>
      <c r="AB1846" s="294"/>
      <c r="AC1846" s="294"/>
      <c r="AD1846" s="294"/>
      <c r="AE1846" s="294"/>
      <c r="AF1846" s="294"/>
      <c r="AG1846" s="294"/>
    </row>
    <row r="1847" spans="2:33" x14ac:dyDescent="0.25">
      <c r="B1847" s="294"/>
      <c r="C1847" s="294"/>
      <c r="D1847" s="294"/>
      <c r="E1847" s="294"/>
      <c r="F1847" s="294"/>
      <c r="G1847" s="294"/>
      <c r="H1847" s="294"/>
      <c r="I1847" s="294"/>
      <c r="J1847" s="294"/>
      <c r="L1847" s="295"/>
      <c r="M1847" s="294"/>
      <c r="O1847" s="294"/>
      <c r="P1847" s="294"/>
      <c r="Q1847" s="294"/>
      <c r="R1847" s="294"/>
      <c r="S1847" s="294"/>
      <c r="T1847" s="294"/>
      <c r="U1847" s="294"/>
      <c r="V1847" s="294"/>
      <c r="W1847" s="294"/>
      <c r="X1847" s="294"/>
      <c r="Y1847" s="294"/>
      <c r="Z1847" s="294"/>
      <c r="AA1847" s="294"/>
      <c r="AB1847" s="294"/>
      <c r="AC1847" s="294"/>
      <c r="AD1847" s="294"/>
      <c r="AE1847" s="294"/>
      <c r="AF1847" s="294"/>
      <c r="AG1847" s="294"/>
    </row>
    <row r="1848" spans="2:33" x14ac:dyDescent="0.25">
      <c r="B1848" s="294"/>
      <c r="C1848" s="294"/>
      <c r="D1848" s="294"/>
      <c r="E1848" s="294"/>
      <c r="F1848" s="294"/>
      <c r="G1848" s="294"/>
      <c r="H1848" s="294"/>
      <c r="I1848" s="294"/>
      <c r="J1848" s="294"/>
      <c r="L1848" s="295"/>
      <c r="M1848" s="294"/>
      <c r="O1848" s="294"/>
      <c r="P1848" s="294"/>
      <c r="Q1848" s="294"/>
      <c r="R1848" s="294"/>
      <c r="S1848" s="294"/>
      <c r="T1848" s="294"/>
      <c r="U1848" s="294"/>
      <c r="V1848" s="294"/>
      <c r="W1848" s="294"/>
      <c r="X1848" s="294"/>
      <c r="Y1848" s="294"/>
      <c r="Z1848" s="294"/>
      <c r="AA1848" s="294"/>
      <c r="AB1848" s="294"/>
      <c r="AC1848" s="294"/>
      <c r="AD1848" s="294"/>
      <c r="AE1848" s="294"/>
      <c r="AF1848" s="294"/>
      <c r="AG1848" s="294"/>
    </row>
    <row r="1849" spans="2:33" x14ac:dyDescent="0.25">
      <c r="B1849" s="294"/>
      <c r="C1849" s="294"/>
      <c r="D1849" s="294"/>
      <c r="E1849" s="294"/>
      <c r="F1849" s="294"/>
      <c r="G1849" s="294"/>
      <c r="H1849" s="294"/>
      <c r="I1849" s="294"/>
      <c r="J1849" s="294"/>
      <c r="L1849" s="295"/>
      <c r="M1849" s="294"/>
      <c r="O1849" s="294"/>
      <c r="P1849" s="294"/>
      <c r="Q1849" s="294"/>
      <c r="R1849" s="294"/>
      <c r="S1849" s="294"/>
      <c r="T1849" s="294"/>
      <c r="U1849" s="294"/>
      <c r="V1849" s="294"/>
      <c r="W1849" s="294"/>
      <c r="X1849" s="294"/>
      <c r="Y1849" s="294"/>
      <c r="Z1849" s="294"/>
      <c r="AA1849" s="294"/>
      <c r="AB1849" s="294"/>
      <c r="AC1849" s="294"/>
      <c r="AD1849" s="294"/>
      <c r="AE1849" s="294"/>
      <c r="AF1849" s="294"/>
      <c r="AG1849" s="294"/>
    </row>
    <row r="1850" spans="2:33" x14ac:dyDescent="0.25">
      <c r="B1850" s="294"/>
      <c r="C1850" s="294"/>
      <c r="D1850" s="294"/>
      <c r="E1850" s="294"/>
      <c r="F1850" s="294"/>
      <c r="G1850" s="294"/>
      <c r="H1850" s="294"/>
      <c r="I1850" s="294"/>
      <c r="J1850" s="294"/>
      <c r="L1850" s="295"/>
      <c r="M1850" s="294"/>
      <c r="O1850" s="294"/>
      <c r="P1850" s="294"/>
      <c r="Q1850" s="294"/>
      <c r="R1850" s="294"/>
      <c r="S1850" s="294"/>
      <c r="T1850" s="294"/>
      <c r="U1850" s="294"/>
      <c r="V1850" s="294"/>
      <c r="W1850" s="294"/>
      <c r="X1850" s="294"/>
      <c r="Y1850" s="294"/>
      <c r="Z1850" s="294"/>
      <c r="AA1850" s="294"/>
      <c r="AB1850" s="294"/>
      <c r="AC1850" s="294"/>
      <c r="AD1850" s="294"/>
      <c r="AE1850" s="294"/>
      <c r="AF1850" s="294"/>
      <c r="AG1850" s="294"/>
    </row>
    <row r="1851" spans="2:33" x14ac:dyDescent="0.25">
      <c r="B1851" s="294"/>
      <c r="C1851" s="294"/>
      <c r="D1851" s="294"/>
      <c r="E1851" s="294"/>
      <c r="F1851" s="294"/>
      <c r="G1851" s="294"/>
      <c r="H1851" s="294"/>
      <c r="I1851" s="294"/>
      <c r="J1851" s="294"/>
      <c r="L1851" s="295"/>
      <c r="M1851" s="294"/>
      <c r="O1851" s="294"/>
      <c r="P1851" s="294"/>
      <c r="Q1851" s="294"/>
      <c r="R1851" s="294"/>
      <c r="S1851" s="294"/>
      <c r="T1851" s="294"/>
      <c r="U1851" s="294"/>
      <c r="V1851" s="294"/>
      <c r="W1851" s="294"/>
      <c r="X1851" s="294"/>
      <c r="Y1851" s="294"/>
      <c r="Z1851" s="294"/>
      <c r="AA1851" s="294"/>
      <c r="AB1851" s="294"/>
      <c r="AC1851" s="294"/>
      <c r="AD1851" s="294"/>
      <c r="AE1851" s="294"/>
      <c r="AF1851" s="294"/>
      <c r="AG1851" s="294"/>
    </row>
    <row r="1852" spans="2:33" x14ac:dyDescent="0.25">
      <c r="B1852" s="294"/>
      <c r="C1852" s="294"/>
      <c r="D1852" s="294"/>
      <c r="E1852" s="294"/>
      <c r="F1852" s="294"/>
      <c r="G1852" s="294"/>
      <c r="H1852" s="294"/>
      <c r="I1852" s="294"/>
      <c r="J1852" s="294"/>
      <c r="L1852" s="295"/>
      <c r="M1852" s="294"/>
      <c r="O1852" s="294"/>
      <c r="P1852" s="294"/>
      <c r="Q1852" s="294"/>
      <c r="R1852" s="294"/>
      <c r="S1852" s="294"/>
      <c r="T1852" s="294"/>
      <c r="U1852" s="294"/>
      <c r="V1852" s="294"/>
      <c r="W1852" s="294"/>
      <c r="X1852" s="294"/>
      <c r="Y1852" s="294"/>
      <c r="Z1852" s="294"/>
      <c r="AA1852" s="294"/>
      <c r="AB1852" s="294"/>
      <c r="AC1852" s="294"/>
      <c r="AD1852" s="294"/>
      <c r="AE1852" s="294"/>
      <c r="AF1852" s="294"/>
      <c r="AG1852" s="294"/>
    </row>
    <row r="1853" spans="2:33" x14ac:dyDescent="0.25">
      <c r="B1853" s="294"/>
      <c r="C1853" s="294"/>
      <c r="D1853" s="294"/>
      <c r="E1853" s="294"/>
      <c r="F1853" s="294"/>
      <c r="G1853" s="294"/>
      <c r="H1853" s="294"/>
      <c r="I1853" s="294"/>
      <c r="J1853" s="294"/>
      <c r="L1853" s="295"/>
      <c r="M1853" s="294"/>
      <c r="O1853" s="294"/>
      <c r="P1853" s="294"/>
      <c r="Q1853" s="294"/>
      <c r="R1853" s="294"/>
      <c r="S1853" s="294"/>
      <c r="T1853" s="294"/>
      <c r="U1853" s="294"/>
      <c r="V1853" s="294"/>
      <c r="W1853" s="294"/>
      <c r="X1853" s="294"/>
      <c r="Y1853" s="294"/>
      <c r="Z1853" s="294"/>
      <c r="AA1853" s="294"/>
      <c r="AB1853" s="294"/>
      <c r="AC1853" s="294"/>
      <c r="AD1853" s="294"/>
      <c r="AE1853" s="294"/>
      <c r="AF1853" s="294"/>
      <c r="AG1853" s="294"/>
    </row>
    <row r="1854" spans="2:33" x14ac:dyDescent="0.25">
      <c r="B1854" s="294"/>
      <c r="C1854" s="294"/>
      <c r="D1854" s="294"/>
      <c r="E1854" s="294"/>
      <c r="F1854" s="294"/>
      <c r="G1854" s="294"/>
      <c r="H1854" s="294"/>
      <c r="I1854" s="294"/>
      <c r="J1854" s="294"/>
      <c r="L1854" s="295"/>
      <c r="M1854" s="294"/>
      <c r="O1854" s="294"/>
      <c r="P1854" s="294"/>
      <c r="Q1854" s="294"/>
      <c r="R1854" s="294"/>
      <c r="S1854" s="294"/>
      <c r="T1854" s="294"/>
      <c r="U1854" s="294"/>
      <c r="V1854" s="294"/>
      <c r="W1854" s="294"/>
      <c r="X1854" s="294"/>
      <c r="Y1854" s="294"/>
      <c r="Z1854" s="294"/>
      <c r="AA1854" s="294"/>
      <c r="AB1854" s="294"/>
      <c r="AC1854" s="294"/>
      <c r="AD1854" s="294"/>
      <c r="AE1854" s="294"/>
      <c r="AF1854" s="294"/>
      <c r="AG1854" s="294"/>
    </row>
    <row r="1855" spans="2:33" x14ac:dyDescent="0.25">
      <c r="B1855" s="294"/>
      <c r="C1855" s="294"/>
      <c r="D1855" s="294"/>
      <c r="E1855" s="294"/>
      <c r="F1855" s="294"/>
      <c r="G1855" s="294"/>
      <c r="H1855" s="294"/>
      <c r="I1855" s="294"/>
      <c r="J1855" s="294"/>
      <c r="L1855" s="295"/>
      <c r="M1855" s="294"/>
      <c r="O1855" s="294"/>
      <c r="P1855" s="294"/>
      <c r="Q1855" s="294"/>
      <c r="R1855" s="294"/>
      <c r="S1855" s="294"/>
      <c r="T1855" s="294"/>
      <c r="U1855" s="294"/>
      <c r="V1855" s="294"/>
      <c r="W1855" s="294"/>
      <c r="X1855" s="294"/>
      <c r="Y1855" s="294"/>
      <c r="Z1855" s="294"/>
      <c r="AA1855" s="294"/>
      <c r="AB1855" s="294"/>
      <c r="AC1855" s="294"/>
      <c r="AD1855" s="294"/>
      <c r="AE1855" s="294"/>
      <c r="AF1855" s="294"/>
      <c r="AG1855" s="294"/>
    </row>
    <row r="1856" spans="2:33" x14ac:dyDescent="0.25">
      <c r="B1856" s="294"/>
      <c r="C1856" s="294"/>
      <c r="D1856" s="294"/>
      <c r="E1856" s="294"/>
      <c r="F1856" s="294"/>
      <c r="G1856" s="294"/>
      <c r="H1856" s="294"/>
      <c r="I1856" s="294"/>
      <c r="J1856" s="294"/>
      <c r="L1856" s="295"/>
      <c r="M1856" s="294"/>
      <c r="O1856" s="294"/>
      <c r="P1856" s="294"/>
      <c r="Q1856" s="294"/>
      <c r="R1856" s="294"/>
      <c r="S1856" s="294"/>
      <c r="T1856" s="294"/>
      <c r="U1856" s="294"/>
      <c r="V1856" s="294"/>
      <c r="W1856" s="294"/>
      <c r="X1856" s="294"/>
      <c r="Y1856" s="294"/>
      <c r="Z1856" s="294"/>
      <c r="AA1856" s="294"/>
      <c r="AB1856" s="294"/>
      <c r="AC1856" s="294"/>
      <c r="AD1856" s="294"/>
      <c r="AE1856" s="294"/>
      <c r="AF1856" s="294"/>
      <c r="AG1856" s="294"/>
    </row>
    <row r="1857" spans="2:33" x14ac:dyDescent="0.25">
      <c r="B1857" s="294"/>
      <c r="C1857" s="294"/>
      <c r="D1857" s="294"/>
      <c r="E1857" s="294"/>
      <c r="F1857" s="294"/>
      <c r="G1857" s="294"/>
      <c r="H1857" s="294"/>
      <c r="I1857" s="294"/>
      <c r="J1857" s="294"/>
      <c r="L1857" s="295"/>
      <c r="M1857" s="294"/>
      <c r="O1857" s="294"/>
      <c r="P1857" s="294"/>
      <c r="Q1857" s="294"/>
      <c r="R1857" s="294"/>
      <c r="S1857" s="294"/>
      <c r="T1857" s="294"/>
      <c r="U1857" s="294"/>
      <c r="V1857" s="294"/>
      <c r="W1857" s="294"/>
      <c r="X1857" s="294"/>
      <c r="Y1857" s="294"/>
      <c r="Z1857" s="294"/>
      <c r="AA1857" s="294"/>
      <c r="AB1857" s="294"/>
      <c r="AC1857" s="294"/>
      <c r="AD1857" s="294"/>
      <c r="AE1857" s="294"/>
      <c r="AF1857" s="294"/>
      <c r="AG1857" s="294"/>
    </row>
    <row r="1858" spans="2:33" x14ac:dyDescent="0.25">
      <c r="B1858" s="294"/>
      <c r="C1858" s="294"/>
      <c r="D1858" s="294"/>
      <c r="E1858" s="294"/>
      <c r="F1858" s="294"/>
      <c r="G1858" s="294"/>
      <c r="H1858" s="294"/>
      <c r="I1858" s="294"/>
      <c r="J1858" s="294"/>
      <c r="L1858" s="295"/>
      <c r="M1858" s="294"/>
      <c r="O1858" s="294"/>
      <c r="P1858" s="294"/>
      <c r="Q1858" s="294"/>
      <c r="R1858" s="294"/>
      <c r="S1858" s="294"/>
      <c r="T1858" s="294"/>
      <c r="U1858" s="294"/>
      <c r="V1858" s="294"/>
      <c r="W1858" s="294"/>
      <c r="X1858" s="294"/>
      <c r="Y1858" s="294"/>
      <c r="Z1858" s="294"/>
      <c r="AA1858" s="294"/>
      <c r="AB1858" s="294"/>
      <c r="AC1858" s="294"/>
      <c r="AD1858" s="294"/>
      <c r="AE1858" s="294"/>
      <c r="AF1858" s="294"/>
      <c r="AG1858" s="294"/>
    </row>
    <row r="1859" spans="2:33" x14ac:dyDescent="0.25">
      <c r="B1859" s="294"/>
      <c r="C1859" s="294"/>
      <c r="D1859" s="294"/>
      <c r="E1859" s="294"/>
      <c r="F1859" s="294"/>
      <c r="G1859" s="294"/>
      <c r="H1859" s="294"/>
      <c r="I1859" s="294"/>
      <c r="J1859" s="294"/>
      <c r="L1859" s="295"/>
      <c r="M1859" s="294"/>
      <c r="O1859" s="294"/>
      <c r="P1859" s="294"/>
      <c r="Q1859" s="294"/>
      <c r="R1859" s="294"/>
      <c r="S1859" s="294"/>
      <c r="T1859" s="294"/>
      <c r="U1859" s="294"/>
      <c r="V1859" s="294"/>
      <c r="W1859" s="294"/>
      <c r="X1859" s="294"/>
      <c r="Y1859" s="294"/>
      <c r="Z1859" s="294"/>
      <c r="AA1859" s="294"/>
      <c r="AB1859" s="294"/>
      <c r="AC1859" s="294"/>
      <c r="AD1859" s="294"/>
      <c r="AE1859" s="294"/>
      <c r="AF1859" s="294"/>
      <c r="AG1859" s="294"/>
    </row>
    <row r="1860" spans="2:33" x14ac:dyDescent="0.25">
      <c r="B1860" s="294"/>
      <c r="C1860" s="294"/>
      <c r="D1860" s="294"/>
      <c r="E1860" s="294"/>
      <c r="F1860" s="294"/>
      <c r="G1860" s="294"/>
      <c r="H1860" s="294"/>
      <c r="I1860" s="294"/>
      <c r="J1860" s="294"/>
      <c r="L1860" s="295"/>
      <c r="M1860" s="294"/>
      <c r="O1860" s="294"/>
      <c r="P1860" s="294"/>
      <c r="Q1860" s="294"/>
      <c r="R1860" s="294"/>
      <c r="S1860" s="294"/>
      <c r="T1860" s="294"/>
      <c r="U1860" s="294"/>
      <c r="V1860" s="294"/>
      <c r="W1860" s="294"/>
      <c r="X1860" s="294"/>
      <c r="Y1860" s="294"/>
      <c r="Z1860" s="294"/>
      <c r="AA1860" s="294"/>
      <c r="AB1860" s="294"/>
      <c r="AC1860" s="294"/>
      <c r="AD1860" s="294"/>
      <c r="AE1860" s="294"/>
      <c r="AF1860" s="294"/>
      <c r="AG1860" s="294"/>
    </row>
    <row r="1861" spans="2:33" x14ac:dyDescent="0.25">
      <c r="B1861" s="294"/>
      <c r="C1861" s="294"/>
      <c r="D1861" s="294"/>
      <c r="E1861" s="294"/>
      <c r="F1861" s="294"/>
      <c r="G1861" s="294"/>
      <c r="H1861" s="294"/>
      <c r="I1861" s="294"/>
      <c r="J1861" s="294"/>
      <c r="L1861" s="295"/>
      <c r="M1861" s="294"/>
      <c r="O1861" s="294"/>
      <c r="P1861" s="294"/>
      <c r="Q1861" s="294"/>
      <c r="R1861" s="294"/>
      <c r="S1861" s="294"/>
      <c r="T1861" s="294"/>
      <c r="U1861" s="294"/>
      <c r="V1861" s="294"/>
      <c r="W1861" s="294"/>
      <c r="X1861" s="294"/>
      <c r="Y1861" s="294"/>
      <c r="Z1861" s="294"/>
      <c r="AA1861" s="294"/>
      <c r="AB1861" s="294"/>
      <c r="AC1861" s="294"/>
      <c r="AD1861" s="294"/>
      <c r="AE1861" s="294"/>
      <c r="AF1861" s="294"/>
      <c r="AG1861" s="294"/>
    </row>
    <row r="1862" spans="2:33" x14ac:dyDescent="0.25">
      <c r="B1862" s="294"/>
      <c r="C1862" s="294"/>
      <c r="D1862" s="294"/>
      <c r="E1862" s="294"/>
      <c r="F1862" s="294"/>
      <c r="G1862" s="294"/>
      <c r="H1862" s="294"/>
      <c r="I1862" s="294"/>
      <c r="J1862" s="294"/>
      <c r="L1862" s="295"/>
      <c r="M1862" s="294"/>
      <c r="O1862" s="294"/>
      <c r="P1862" s="294"/>
      <c r="Q1862" s="294"/>
      <c r="R1862" s="294"/>
      <c r="S1862" s="294"/>
      <c r="T1862" s="294"/>
      <c r="U1862" s="294"/>
      <c r="V1862" s="294"/>
      <c r="W1862" s="294"/>
      <c r="X1862" s="294"/>
      <c r="Y1862" s="294"/>
      <c r="Z1862" s="294"/>
      <c r="AA1862" s="294"/>
      <c r="AB1862" s="294"/>
      <c r="AC1862" s="294"/>
      <c r="AD1862" s="294"/>
      <c r="AE1862" s="294"/>
      <c r="AF1862" s="294"/>
      <c r="AG1862" s="294"/>
    </row>
    <row r="1863" spans="2:33" x14ac:dyDescent="0.25">
      <c r="B1863" s="294"/>
      <c r="C1863" s="294"/>
      <c r="D1863" s="294"/>
      <c r="E1863" s="294"/>
      <c r="F1863" s="294"/>
      <c r="G1863" s="294"/>
      <c r="H1863" s="294"/>
      <c r="I1863" s="294"/>
      <c r="J1863" s="294"/>
      <c r="L1863" s="295"/>
      <c r="M1863" s="294"/>
      <c r="O1863" s="294"/>
      <c r="P1863" s="294"/>
      <c r="Q1863" s="294"/>
      <c r="R1863" s="294"/>
      <c r="S1863" s="294"/>
      <c r="T1863" s="294"/>
      <c r="U1863" s="294"/>
      <c r="V1863" s="294"/>
      <c r="W1863" s="294"/>
      <c r="X1863" s="294"/>
      <c r="Y1863" s="294"/>
      <c r="Z1863" s="294"/>
      <c r="AA1863" s="294"/>
      <c r="AB1863" s="294"/>
      <c r="AC1863" s="294"/>
      <c r="AD1863" s="294"/>
      <c r="AE1863" s="294"/>
      <c r="AF1863" s="294"/>
      <c r="AG1863" s="294"/>
    </row>
    <row r="1864" spans="2:33" x14ac:dyDescent="0.25">
      <c r="B1864" s="294"/>
      <c r="C1864" s="294"/>
      <c r="D1864" s="294"/>
      <c r="E1864" s="294"/>
      <c r="F1864" s="294"/>
      <c r="G1864" s="294"/>
      <c r="H1864" s="294"/>
      <c r="I1864" s="294"/>
      <c r="J1864" s="294"/>
      <c r="L1864" s="295"/>
      <c r="M1864" s="294"/>
      <c r="O1864" s="294"/>
      <c r="P1864" s="294"/>
      <c r="Q1864" s="294"/>
      <c r="R1864" s="294"/>
      <c r="S1864" s="294"/>
      <c r="T1864" s="294"/>
      <c r="U1864" s="294"/>
      <c r="V1864" s="294"/>
      <c r="W1864" s="294"/>
      <c r="X1864" s="294"/>
      <c r="Y1864" s="294"/>
      <c r="Z1864" s="294"/>
      <c r="AA1864" s="294"/>
      <c r="AB1864" s="294"/>
      <c r="AC1864" s="294"/>
      <c r="AD1864" s="294"/>
      <c r="AE1864" s="294"/>
      <c r="AF1864" s="294"/>
      <c r="AG1864" s="294"/>
    </row>
    <row r="1865" spans="2:33" x14ac:dyDescent="0.25">
      <c r="B1865" s="294"/>
      <c r="C1865" s="294"/>
      <c r="D1865" s="294"/>
      <c r="E1865" s="294"/>
      <c r="F1865" s="294"/>
      <c r="G1865" s="294"/>
      <c r="H1865" s="294"/>
      <c r="I1865" s="294"/>
      <c r="J1865" s="294"/>
      <c r="L1865" s="295"/>
      <c r="M1865" s="294"/>
      <c r="O1865" s="294"/>
      <c r="P1865" s="294"/>
      <c r="Q1865" s="294"/>
      <c r="R1865" s="294"/>
      <c r="S1865" s="294"/>
      <c r="T1865" s="294"/>
      <c r="U1865" s="294"/>
      <c r="V1865" s="294"/>
      <c r="W1865" s="294"/>
      <c r="X1865" s="294"/>
      <c r="Y1865" s="294"/>
      <c r="Z1865" s="294"/>
      <c r="AA1865" s="294"/>
      <c r="AB1865" s="294"/>
      <c r="AC1865" s="294"/>
      <c r="AD1865" s="294"/>
      <c r="AE1865" s="294"/>
      <c r="AF1865" s="294"/>
      <c r="AG1865" s="294"/>
    </row>
    <row r="1866" spans="2:33" x14ac:dyDescent="0.25">
      <c r="B1866" s="294"/>
      <c r="C1866" s="294"/>
      <c r="D1866" s="294"/>
      <c r="E1866" s="294"/>
      <c r="F1866" s="294"/>
      <c r="G1866" s="294"/>
      <c r="H1866" s="294"/>
      <c r="I1866" s="294"/>
      <c r="J1866" s="294"/>
      <c r="L1866" s="295"/>
      <c r="M1866" s="294"/>
      <c r="O1866" s="294"/>
      <c r="P1866" s="294"/>
      <c r="Q1866" s="294"/>
      <c r="R1866" s="294"/>
      <c r="S1866" s="294"/>
      <c r="T1866" s="294"/>
      <c r="U1866" s="294"/>
      <c r="V1866" s="294"/>
      <c r="W1866" s="294"/>
      <c r="X1866" s="294"/>
      <c r="Y1866" s="294"/>
      <c r="Z1866" s="294"/>
      <c r="AA1866" s="294"/>
      <c r="AB1866" s="294"/>
      <c r="AC1866" s="294"/>
      <c r="AD1866" s="294"/>
      <c r="AE1866" s="294"/>
      <c r="AF1866" s="294"/>
      <c r="AG1866" s="294"/>
    </row>
    <row r="1867" spans="2:33" x14ac:dyDescent="0.25">
      <c r="B1867" s="294"/>
      <c r="C1867" s="294"/>
      <c r="D1867" s="294"/>
      <c r="E1867" s="294"/>
      <c r="F1867" s="294"/>
      <c r="G1867" s="294"/>
      <c r="H1867" s="294"/>
      <c r="I1867" s="294"/>
      <c r="J1867" s="294"/>
      <c r="L1867" s="295"/>
      <c r="M1867" s="294"/>
      <c r="O1867" s="294"/>
      <c r="P1867" s="294"/>
      <c r="Q1867" s="294"/>
      <c r="R1867" s="294"/>
      <c r="S1867" s="294"/>
      <c r="T1867" s="294"/>
      <c r="U1867" s="294"/>
      <c r="V1867" s="294"/>
      <c r="W1867" s="294"/>
      <c r="X1867" s="294"/>
      <c r="Y1867" s="294"/>
      <c r="Z1867" s="294"/>
      <c r="AA1867" s="294"/>
      <c r="AB1867" s="294"/>
      <c r="AC1867" s="294"/>
      <c r="AD1867" s="294"/>
      <c r="AE1867" s="294"/>
      <c r="AF1867" s="294"/>
      <c r="AG1867" s="294"/>
    </row>
    <row r="1868" spans="2:33" x14ac:dyDescent="0.25">
      <c r="B1868" s="294"/>
      <c r="C1868" s="294"/>
      <c r="D1868" s="294"/>
      <c r="E1868" s="294"/>
      <c r="F1868" s="294"/>
      <c r="G1868" s="294"/>
      <c r="H1868" s="294"/>
      <c r="I1868" s="294"/>
      <c r="J1868" s="294"/>
      <c r="L1868" s="295"/>
      <c r="M1868" s="294"/>
      <c r="O1868" s="294"/>
      <c r="P1868" s="294"/>
      <c r="Q1868" s="294"/>
      <c r="R1868" s="294"/>
      <c r="S1868" s="294"/>
      <c r="T1868" s="294"/>
      <c r="U1868" s="294"/>
      <c r="V1868" s="294"/>
      <c r="W1868" s="294"/>
      <c r="X1868" s="294"/>
      <c r="Y1868" s="294"/>
      <c r="Z1868" s="294"/>
      <c r="AA1868" s="294"/>
      <c r="AB1868" s="294"/>
      <c r="AC1868" s="294"/>
      <c r="AD1868" s="294"/>
      <c r="AE1868" s="294"/>
      <c r="AF1868" s="294"/>
      <c r="AG1868" s="294"/>
    </row>
    <row r="1869" spans="2:33" x14ac:dyDescent="0.25">
      <c r="B1869" s="294"/>
      <c r="C1869" s="294"/>
      <c r="D1869" s="294"/>
      <c r="E1869" s="294"/>
      <c r="F1869" s="294"/>
      <c r="G1869" s="294"/>
      <c r="H1869" s="294"/>
      <c r="I1869" s="294"/>
      <c r="J1869" s="294"/>
      <c r="L1869" s="295"/>
      <c r="M1869" s="294"/>
      <c r="O1869" s="294"/>
      <c r="P1869" s="294"/>
      <c r="Q1869" s="294"/>
      <c r="R1869" s="294"/>
      <c r="S1869" s="294"/>
      <c r="T1869" s="294"/>
      <c r="U1869" s="294"/>
      <c r="V1869" s="294"/>
      <c r="W1869" s="294"/>
      <c r="X1869" s="294"/>
      <c r="Y1869" s="294"/>
      <c r="Z1869" s="294"/>
      <c r="AA1869" s="294"/>
      <c r="AB1869" s="294"/>
      <c r="AC1869" s="294"/>
      <c r="AD1869" s="294"/>
      <c r="AE1869" s="294"/>
      <c r="AF1869" s="294"/>
      <c r="AG1869" s="294"/>
    </row>
    <row r="1870" spans="2:33" x14ac:dyDescent="0.25">
      <c r="B1870" s="294"/>
      <c r="C1870" s="294"/>
      <c r="D1870" s="294"/>
      <c r="E1870" s="294"/>
      <c r="F1870" s="294"/>
      <c r="G1870" s="294"/>
      <c r="H1870" s="294"/>
      <c r="I1870" s="294"/>
      <c r="J1870" s="294"/>
      <c r="L1870" s="295"/>
      <c r="M1870" s="294"/>
      <c r="O1870" s="294"/>
      <c r="P1870" s="294"/>
      <c r="Q1870" s="294"/>
      <c r="R1870" s="294"/>
      <c r="S1870" s="294"/>
      <c r="T1870" s="294"/>
      <c r="U1870" s="294"/>
      <c r="V1870" s="294"/>
      <c r="W1870" s="294"/>
      <c r="X1870" s="294"/>
      <c r="Y1870" s="294"/>
      <c r="Z1870" s="294"/>
      <c r="AA1870" s="294"/>
      <c r="AB1870" s="294"/>
      <c r="AC1870" s="294"/>
      <c r="AD1870" s="294"/>
      <c r="AE1870" s="294"/>
      <c r="AF1870" s="294"/>
      <c r="AG1870" s="294"/>
    </row>
    <row r="1871" spans="2:33" x14ac:dyDescent="0.25">
      <c r="B1871" s="294"/>
      <c r="C1871" s="294"/>
      <c r="D1871" s="294"/>
      <c r="E1871" s="294"/>
      <c r="F1871" s="294"/>
      <c r="G1871" s="294"/>
      <c r="H1871" s="294"/>
      <c r="I1871" s="294"/>
      <c r="J1871" s="294"/>
      <c r="L1871" s="295"/>
      <c r="M1871" s="294"/>
      <c r="O1871" s="294"/>
      <c r="P1871" s="294"/>
      <c r="Q1871" s="294"/>
      <c r="R1871" s="294"/>
      <c r="S1871" s="294"/>
      <c r="T1871" s="294"/>
      <c r="U1871" s="294"/>
      <c r="V1871" s="294"/>
      <c r="W1871" s="294"/>
      <c r="X1871" s="294"/>
      <c r="Y1871" s="294"/>
      <c r="Z1871" s="294"/>
      <c r="AA1871" s="294"/>
      <c r="AB1871" s="294"/>
      <c r="AC1871" s="294"/>
      <c r="AD1871" s="294"/>
      <c r="AE1871" s="294"/>
      <c r="AF1871" s="294"/>
      <c r="AG1871" s="294"/>
    </row>
    <row r="1872" spans="2:33" x14ac:dyDescent="0.25">
      <c r="B1872" s="294"/>
      <c r="C1872" s="294"/>
      <c r="D1872" s="294"/>
      <c r="E1872" s="294"/>
      <c r="F1872" s="294"/>
      <c r="G1872" s="294"/>
      <c r="H1872" s="294"/>
      <c r="I1872" s="294"/>
      <c r="J1872" s="294"/>
      <c r="L1872" s="295"/>
      <c r="M1872" s="294"/>
      <c r="O1872" s="294"/>
      <c r="P1872" s="294"/>
      <c r="Q1872" s="294"/>
      <c r="R1872" s="294"/>
      <c r="S1872" s="294"/>
      <c r="T1872" s="294"/>
      <c r="U1872" s="294"/>
      <c r="V1872" s="294"/>
      <c r="W1872" s="294"/>
      <c r="X1872" s="294"/>
      <c r="Y1872" s="294"/>
      <c r="Z1872" s="294"/>
      <c r="AA1872" s="294"/>
      <c r="AB1872" s="294"/>
      <c r="AC1872" s="294"/>
      <c r="AD1872" s="294"/>
      <c r="AE1872" s="294"/>
      <c r="AF1872" s="294"/>
      <c r="AG1872" s="294"/>
    </row>
    <row r="1873" spans="2:33" x14ac:dyDescent="0.25">
      <c r="B1873" s="294"/>
      <c r="C1873" s="294"/>
      <c r="D1873" s="294"/>
      <c r="E1873" s="294"/>
      <c r="F1873" s="294"/>
      <c r="G1873" s="294"/>
      <c r="H1873" s="294"/>
      <c r="I1873" s="294"/>
      <c r="J1873" s="294"/>
      <c r="L1873" s="295"/>
      <c r="M1873" s="294"/>
      <c r="O1873" s="294"/>
      <c r="P1873" s="294"/>
      <c r="Q1873" s="294"/>
      <c r="R1873" s="294"/>
      <c r="S1873" s="294"/>
      <c r="T1873" s="294"/>
      <c r="U1873" s="294"/>
      <c r="V1873" s="294"/>
      <c r="W1873" s="294"/>
      <c r="X1873" s="294"/>
      <c r="Y1873" s="294"/>
      <c r="Z1873" s="294"/>
      <c r="AA1873" s="294"/>
      <c r="AB1873" s="294"/>
      <c r="AC1873" s="294"/>
      <c r="AD1873" s="294"/>
      <c r="AE1873" s="294"/>
      <c r="AF1873" s="294"/>
      <c r="AG1873" s="294"/>
    </row>
    <row r="1874" spans="2:33" x14ac:dyDescent="0.25">
      <c r="B1874" s="294"/>
      <c r="C1874" s="294"/>
      <c r="D1874" s="294"/>
      <c r="E1874" s="294"/>
      <c r="F1874" s="294"/>
      <c r="G1874" s="294"/>
      <c r="H1874" s="294"/>
      <c r="I1874" s="294"/>
      <c r="J1874" s="294"/>
      <c r="L1874" s="295"/>
      <c r="M1874" s="294"/>
      <c r="O1874" s="294"/>
      <c r="P1874" s="294"/>
      <c r="Q1874" s="294"/>
      <c r="R1874" s="294"/>
      <c r="S1874" s="294"/>
      <c r="T1874" s="294"/>
      <c r="U1874" s="294"/>
      <c r="V1874" s="294"/>
      <c r="W1874" s="294"/>
      <c r="X1874" s="294"/>
      <c r="Y1874" s="294"/>
      <c r="Z1874" s="294"/>
      <c r="AA1874" s="294"/>
      <c r="AB1874" s="294"/>
      <c r="AC1874" s="294"/>
      <c r="AD1874" s="294"/>
      <c r="AE1874" s="294"/>
      <c r="AF1874" s="294"/>
      <c r="AG1874" s="294"/>
    </row>
    <row r="1875" spans="2:33" x14ac:dyDescent="0.25">
      <c r="B1875" s="294"/>
      <c r="C1875" s="294"/>
      <c r="D1875" s="294"/>
      <c r="E1875" s="294"/>
      <c r="F1875" s="294"/>
      <c r="G1875" s="294"/>
      <c r="H1875" s="294"/>
      <c r="I1875" s="294"/>
      <c r="J1875" s="294"/>
      <c r="L1875" s="295"/>
      <c r="M1875" s="294"/>
      <c r="O1875" s="294"/>
      <c r="P1875" s="294"/>
      <c r="Q1875" s="294"/>
      <c r="R1875" s="294"/>
      <c r="S1875" s="294"/>
      <c r="T1875" s="294"/>
      <c r="U1875" s="294"/>
      <c r="V1875" s="294"/>
      <c r="W1875" s="294"/>
      <c r="X1875" s="294"/>
      <c r="Y1875" s="294"/>
      <c r="Z1875" s="294"/>
      <c r="AA1875" s="294"/>
      <c r="AB1875" s="294"/>
      <c r="AC1875" s="294"/>
      <c r="AD1875" s="294"/>
      <c r="AE1875" s="294"/>
      <c r="AF1875" s="294"/>
      <c r="AG1875" s="294"/>
    </row>
    <row r="1876" spans="2:33" x14ac:dyDescent="0.25">
      <c r="B1876" s="294"/>
      <c r="C1876" s="294"/>
      <c r="D1876" s="294"/>
      <c r="E1876" s="294"/>
      <c r="F1876" s="294"/>
      <c r="G1876" s="294"/>
      <c r="H1876" s="294"/>
      <c r="I1876" s="294"/>
      <c r="J1876" s="294"/>
      <c r="L1876" s="295"/>
      <c r="M1876" s="294"/>
      <c r="O1876" s="294"/>
      <c r="P1876" s="294"/>
      <c r="Q1876" s="294"/>
      <c r="R1876" s="294"/>
      <c r="S1876" s="294"/>
      <c r="T1876" s="294"/>
      <c r="U1876" s="294"/>
      <c r="V1876" s="294"/>
      <c r="W1876" s="294"/>
      <c r="X1876" s="294"/>
      <c r="Y1876" s="294"/>
      <c r="Z1876" s="294"/>
      <c r="AA1876" s="294"/>
      <c r="AB1876" s="294"/>
      <c r="AC1876" s="294"/>
      <c r="AD1876" s="294"/>
      <c r="AE1876" s="294"/>
      <c r="AF1876" s="294"/>
      <c r="AG1876" s="294"/>
    </row>
    <row r="1877" spans="2:33" x14ac:dyDescent="0.25">
      <c r="B1877" s="294"/>
      <c r="C1877" s="294"/>
      <c r="D1877" s="294"/>
      <c r="E1877" s="294"/>
      <c r="F1877" s="294"/>
      <c r="G1877" s="294"/>
      <c r="H1877" s="294"/>
      <c r="I1877" s="294"/>
      <c r="J1877" s="294"/>
      <c r="L1877" s="295"/>
      <c r="M1877" s="294"/>
      <c r="O1877" s="294"/>
      <c r="P1877" s="294"/>
      <c r="Q1877" s="294"/>
      <c r="R1877" s="294"/>
      <c r="S1877" s="294"/>
      <c r="T1877" s="294"/>
      <c r="U1877" s="294"/>
      <c r="V1877" s="294"/>
      <c r="W1877" s="294"/>
      <c r="X1877" s="294"/>
      <c r="Y1877" s="294"/>
      <c r="Z1877" s="294"/>
      <c r="AA1877" s="294"/>
      <c r="AB1877" s="294"/>
      <c r="AC1877" s="294"/>
      <c r="AD1877" s="294"/>
      <c r="AE1877" s="294"/>
      <c r="AF1877" s="294"/>
      <c r="AG1877" s="294"/>
    </row>
    <row r="1878" spans="2:33" x14ac:dyDescent="0.25">
      <c r="B1878" s="294"/>
      <c r="C1878" s="294"/>
      <c r="D1878" s="294"/>
      <c r="E1878" s="294"/>
      <c r="F1878" s="294"/>
      <c r="G1878" s="294"/>
      <c r="H1878" s="294"/>
      <c r="I1878" s="294"/>
      <c r="J1878" s="294"/>
      <c r="L1878" s="295"/>
      <c r="M1878" s="294"/>
      <c r="O1878" s="294"/>
      <c r="P1878" s="294"/>
      <c r="Q1878" s="294"/>
      <c r="R1878" s="294"/>
      <c r="S1878" s="294"/>
      <c r="T1878" s="294"/>
      <c r="U1878" s="294"/>
      <c r="V1878" s="294"/>
      <c r="W1878" s="294"/>
      <c r="X1878" s="294"/>
      <c r="Y1878" s="294"/>
      <c r="Z1878" s="294"/>
      <c r="AA1878" s="294"/>
      <c r="AB1878" s="294"/>
      <c r="AC1878" s="294"/>
      <c r="AD1878" s="294"/>
      <c r="AE1878" s="294"/>
      <c r="AF1878" s="294"/>
      <c r="AG1878" s="294"/>
    </row>
    <row r="1879" spans="2:33" x14ac:dyDescent="0.25">
      <c r="B1879" s="294"/>
      <c r="C1879" s="294"/>
      <c r="D1879" s="294"/>
      <c r="E1879" s="294"/>
      <c r="F1879" s="294"/>
      <c r="G1879" s="294"/>
      <c r="H1879" s="294"/>
      <c r="I1879" s="294"/>
      <c r="J1879" s="294"/>
      <c r="L1879" s="295"/>
      <c r="M1879" s="294"/>
      <c r="O1879" s="294"/>
      <c r="P1879" s="294"/>
      <c r="Q1879" s="294"/>
      <c r="R1879" s="294"/>
      <c r="S1879" s="294"/>
      <c r="T1879" s="294"/>
      <c r="U1879" s="294"/>
      <c r="V1879" s="294"/>
      <c r="W1879" s="294"/>
      <c r="X1879" s="294"/>
      <c r="Y1879" s="294"/>
      <c r="Z1879" s="294"/>
      <c r="AA1879" s="294"/>
      <c r="AB1879" s="294"/>
      <c r="AC1879" s="294"/>
      <c r="AD1879" s="294"/>
      <c r="AE1879" s="294"/>
      <c r="AF1879" s="294"/>
      <c r="AG1879" s="294"/>
    </row>
    <row r="1880" spans="2:33" x14ac:dyDescent="0.25">
      <c r="B1880" s="294"/>
      <c r="C1880" s="294"/>
      <c r="D1880" s="294"/>
      <c r="E1880" s="294"/>
      <c r="F1880" s="294"/>
      <c r="G1880" s="294"/>
      <c r="H1880" s="294"/>
      <c r="I1880" s="294"/>
      <c r="J1880" s="294"/>
      <c r="L1880" s="295"/>
      <c r="M1880" s="294"/>
      <c r="O1880" s="294"/>
      <c r="P1880" s="294"/>
      <c r="Q1880" s="294"/>
      <c r="R1880" s="294"/>
      <c r="S1880" s="294"/>
      <c r="T1880" s="294"/>
      <c r="U1880" s="294"/>
      <c r="V1880" s="294"/>
      <c r="W1880" s="294"/>
      <c r="X1880" s="294"/>
      <c r="Y1880" s="294"/>
      <c r="Z1880" s="294"/>
      <c r="AA1880" s="294"/>
      <c r="AB1880" s="294"/>
      <c r="AC1880" s="294"/>
      <c r="AD1880" s="294"/>
      <c r="AE1880" s="294"/>
      <c r="AF1880" s="294"/>
      <c r="AG1880" s="294"/>
    </row>
    <row r="1881" spans="2:33" x14ac:dyDescent="0.25">
      <c r="B1881" s="294"/>
      <c r="C1881" s="294"/>
      <c r="D1881" s="294"/>
      <c r="E1881" s="294"/>
      <c r="F1881" s="294"/>
      <c r="G1881" s="294"/>
      <c r="H1881" s="294"/>
      <c r="I1881" s="294"/>
      <c r="J1881" s="294"/>
      <c r="L1881" s="295"/>
      <c r="M1881" s="294"/>
      <c r="O1881" s="294"/>
      <c r="P1881" s="294"/>
      <c r="Q1881" s="294"/>
      <c r="R1881" s="294"/>
      <c r="S1881" s="294"/>
      <c r="T1881" s="294"/>
      <c r="U1881" s="294"/>
      <c r="V1881" s="294"/>
      <c r="W1881" s="294"/>
      <c r="X1881" s="294"/>
      <c r="Y1881" s="294"/>
      <c r="Z1881" s="294"/>
      <c r="AA1881" s="294"/>
      <c r="AB1881" s="294"/>
      <c r="AC1881" s="294"/>
      <c r="AD1881" s="294"/>
      <c r="AE1881" s="294"/>
      <c r="AF1881" s="294"/>
      <c r="AG1881" s="294"/>
    </row>
    <row r="1882" spans="2:33" x14ac:dyDescent="0.25">
      <c r="B1882" s="294"/>
      <c r="C1882" s="294"/>
      <c r="D1882" s="294"/>
      <c r="E1882" s="294"/>
      <c r="F1882" s="294"/>
      <c r="G1882" s="294"/>
      <c r="H1882" s="294"/>
      <c r="I1882" s="294"/>
      <c r="J1882" s="294"/>
      <c r="L1882" s="295"/>
      <c r="M1882" s="294"/>
      <c r="O1882" s="294"/>
      <c r="P1882" s="294"/>
      <c r="Q1882" s="294"/>
      <c r="R1882" s="294"/>
      <c r="S1882" s="294"/>
      <c r="T1882" s="294"/>
      <c r="U1882" s="294"/>
      <c r="V1882" s="294"/>
      <c r="W1882" s="294"/>
      <c r="X1882" s="294"/>
      <c r="Y1882" s="294"/>
      <c r="Z1882" s="294"/>
      <c r="AA1882" s="294"/>
      <c r="AB1882" s="294"/>
      <c r="AC1882" s="294"/>
      <c r="AD1882" s="294"/>
      <c r="AE1882" s="294"/>
      <c r="AF1882" s="294"/>
      <c r="AG1882" s="294"/>
    </row>
    <row r="1883" spans="2:33" x14ac:dyDescent="0.25">
      <c r="B1883" s="294"/>
      <c r="C1883" s="294"/>
      <c r="D1883" s="294"/>
      <c r="E1883" s="294"/>
      <c r="F1883" s="294"/>
      <c r="G1883" s="294"/>
      <c r="H1883" s="294"/>
      <c r="I1883" s="294"/>
      <c r="J1883" s="294"/>
      <c r="L1883" s="295"/>
      <c r="M1883" s="294"/>
      <c r="O1883" s="294"/>
      <c r="P1883" s="294"/>
      <c r="Q1883" s="294"/>
      <c r="R1883" s="294"/>
      <c r="S1883" s="294"/>
      <c r="T1883" s="294"/>
      <c r="U1883" s="294"/>
      <c r="V1883" s="294"/>
      <c r="W1883" s="294"/>
      <c r="X1883" s="294"/>
      <c r="Y1883" s="294"/>
      <c r="Z1883" s="294"/>
      <c r="AA1883" s="294"/>
      <c r="AB1883" s="294"/>
      <c r="AC1883" s="294"/>
      <c r="AD1883" s="294"/>
      <c r="AE1883" s="294"/>
      <c r="AF1883" s="294"/>
      <c r="AG1883" s="294"/>
    </row>
    <row r="1884" spans="2:33" x14ac:dyDescent="0.25">
      <c r="B1884" s="294"/>
      <c r="C1884" s="294"/>
      <c r="D1884" s="294"/>
      <c r="E1884" s="294"/>
      <c r="F1884" s="294"/>
      <c r="G1884" s="294"/>
      <c r="H1884" s="294"/>
      <c r="I1884" s="294"/>
      <c r="J1884" s="294"/>
      <c r="L1884" s="295"/>
      <c r="M1884" s="294"/>
      <c r="O1884" s="294"/>
      <c r="P1884" s="294"/>
      <c r="Q1884" s="294"/>
      <c r="R1884" s="294"/>
      <c r="S1884" s="294"/>
      <c r="T1884" s="294"/>
      <c r="U1884" s="294"/>
      <c r="V1884" s="294"/>
      <c r="W1884" s="294"/>
      <c r="X1884" s="294"/>
      <c r="Y1884" s="294"/>
      <c r="Z1884" s="294"/>
      <c r="AA1884" s="294"/>
      <c r="AB1884" s="294"/>
      <c r="AC1884" s="294"/>
      <c r="AD1884" s="294"/>
      <c r="AE1884" s="294"/>
      <c r="AF1884" s="294"/>
      <c r="AG1884" s="294"/>
    </row>
    <row r="1885" spans="2:33" x14ac:dyDescent="0.25">
      <c r="B1885" s="294"/>
      <c r="C1885" s="294"/>
      <c r="D1885" s="294"/>
      <c r="E1885" s="294"/>
      <c r="F1885" s="294"/>
      <c r="G1885" s="294"/>
      <c r="H1885" s="294"/>
      <c r="I1885" s="294"/>
      <c r="J1885" s="294"/>
      <c r="L1885" s="295"/>
      <c r="M1885" s="294"/>
      <c r="O1885" s="294"/>
      <c r="P1885" s="294"/>
      <c r="Q1885" s="294"/>
      <c r="R1885" s="294"/>
      <c r="S1885" s="294"/>
      <c r="T1885" s="294"/>
      <c r="U1885" s="294"/>
      <c r="V1885" s="294"/>
      <c r="W1885" s="294"/>
      <c r="X1885" s="294"/>
      <c r="Y1885" s="294"/>
      <c r="Z1885" s="294"/>
      <c r="AA1885" s="294"/>
      <c r="AB1885" s="294"/>
      <c r="AC1885" s="294"/>
      <c r="AD1885" s="294"/>
      <c r="AE1885" s="294"/>
      <c r="AF1885" s="294"/>
      <c r="AG1885" s="294"/>
    </row>
    <row r="1886" spans="2:33" x14ac:dyDescent="0.25">
      <c r="B1886" s="294"/>
      <c r="C1886" s="294"/>
      <c r="D1886" s="294"/>
      <c r="E1886" s="294"/>
      <c r="F1886" s="294"/>
      <c r="G1886" s="294"/>
      <c r="H1886" s="294"/>
      <c r="I1886" s="294"/>
      <c r="J1886" s="294"/>
      <c r="L1886" s="295"/>
      <c r="M1886" s="294"/>
      <c r="O1886" s="294"/>
      <c r="P1886" s="294"/>
      <c r="Q1886" s="294"/>
      <c r="R1886" s="294"/>
      <c r="S1886" s="294"/>
      <c r="T1886" s="294"/>
      <c r="U1886" s="294"/>
      <c r="V1886" s="294"/>
      <c r="W1886" s="294"/>
      <c r="X1886" s="294"/>
      <c r="Y1886" s="294"/>
      <c r="Z1886" s="294"/>
      <c r="AA1886" s="294"/>
      <c r="AB1886" s="294"/>
      <c r="AC1886" s="294"/>
      <c r="AD1886" s="294"/>
      <c r="AE1886" s="294"/>
      <c r="AF1886" s="294"/>
      <c r="AG1886" s="294"/>
    </row>
    <row r="1887" spans="2:33" x14ac:dyDescent="0.25">
      <c r="B1887" s="294"/>
      <c r="C1887" s="294"/>
      <c r="D1887" s="294"/>
      <c r="E1887" s="294"/>
      <c r="F1887" s="294"/>
      <c r="G1887" s="294"/>
      <c r="H1887" s="294"/>
      <c r="I1887" s="294"/>
      <c r="J1887" s="294"/>
      <c r="L1887" s="295"/>
      <c r="M1887" s="294"/>
      <c r="O1887" s="294"/>
      <c r="P1887" s="294"/>
      <c r="Q1887" s="294"/>
      <c r="R1887" s="294"/>
      <c r="S1887" s="294"/>
      <c r="T1887" s="294"/>
      <c r="U1887" s="294"/>
      <c r="V1887" s="294"/>
      <c r="W1887" s="294"/>
      <c r="X1887" s="294"/>
      <c r="Y1887" s="294"/>
      <c r="Z1887" s="294"/>
      <c r="AA1887" s="294"/>
      <c r="AB1887" s="294"/>
      <c r="AC1887" s="294"/>
      <c r="AD1887" s="294"/>
      <c r="AE1887" s="294"/>
      <c r="AF1887" s="294"/>
      <c r="AG1887" s="294"/>
    </row>
    <row r="1888" spans="2:33" x14ac:dyDescent="0.25">
      <c r="B1888" s="294"/>
      <c r="C1888" s="294"/>
      <c r="D1888" s="294"/>
      <c r="E1888" s="294"/>
      <c r="F1888" s="294"/>
      <c r="G1888" s="294"/>
      <c r="H1888" s="294"/>
      <c r="I1888" s="294"/>
      <c r="J1888" s="294"/>
      <c r="L1888" s="295"/>
      <c r="M1888" s="294"/>
      <c r="O1888" s="294"/>
      <c r="P1888" s="294"/>
      <c r="Q1888" s="294"/>
      <c r="R1888" s="294"/>
      <c r="S1888" s="294"/>
      <c r="T1888" s="294"/>
      <c r="U1888" s="294"/>
      <c r="V1888" s="294"/>
      <c r="W1888" s="294"/>
      <c r="X1888" s="294"/>
      <c r="Y1888" s="294"/>
      <c r="Z1888" s="294"/>
      <c r="AA1888" s="294"/>
      <c r="AB1888" s="294"/>
      <c r="AC1888" s="294"/>
      <c r="AD1888" s="294"/>
      <c r="AE1888" s="294"/>
      <c r="AF1888" s="294"/>
      <c r="AG1888" s="294"/>
    </row>
    <row r="1889" spans="2:33" x14ac:dyDescent="0.25">
      <c r="B1889" s="294"/>
      <c r="C1889" s="294"/>
      <c r="D1889" s="294"/>
      <c r="E1889" s="294"/>
      <c r="F1889" s="294"/>
      <c r="G1889" s="294"/>
      <c r="H1889" s="294"/>
      <c r="I1889" s="294"/>
      <c r="J1889" s="294"/>
      <c r="L1889" s="295"/>
      <c r="M1889" s="294"/>
      <c r="O1889" s="294"/>
      <c r="P1889" s="294"/>
      <c r="Q1889" s="294"/>
      <c r="R1889" s="294"/>
      <c r="S1889" s="294"/>
      <c r="T1889" s="294"/>
      <c r="U1889" s="294"/>
      <c r="V1889" s="294"/>
      <c r="W1889" s="294"/>
      <c r="X1889" s="294"/>
      <c r="Y1889" s="294"/>
      <c r="Z1889" s="294"/>
      <c r="AA1889" s="294"/>
      <c r="AB1889" s="294"/>
      <c r="AC1889" s="294"/>
      <c r="AD1889" s="294"/>
      <c r="AE1889" s="294"/>
      <c r="AF1889" s="294"/>
      <c r="AG1889" s="294"/>
    </row>
    <row r="1890" spans="2:33" x14ac:dyDescent="0.25">
      <c r="B1890" s="294"/>
      <c r="C1890" s="294"/>
      <c r="D1890" s="294"/>
      <c r="E1890" s="294"/>
      <c r="F1890" s="294"/>
      <c r="G1890" s="294"/>
      <c r="H1890" s="294"/>
      <c r="I1890" s="294"/>
      <c r="J1890" s="294"/>
      <c r="L1890" s="295"/>
      <c r="M1890" s="294"/>
      <c r="O1890" s="294"/>
      <c r="P1890" s="294"/>
      <c r="Q1890" s="294"/>
      <c r="R1890" s="294"/>
      <c r="S1890" s="294"/>
      <c r="T1890" s="294"/>
      <c r="U1890" s="294"/>
      <c r="V1890" s="294"/>
      <c r="W1890" s="294"/>
      <c r="X1890" s="294"/>
      <c r="Y1890" s="294"/>
      <c r="Z1890" s="294"/>
      <c r="AA1890" s="294"/>
      <c r="AB1890" s="294"/>
      <c r="AC1890" s="294"/>
      <c r="AD1890" s="294"/>
      <c r="AE1890" s="294"/>
      <c r="AF1890" s="294"/>
      <c r="AG1890" s="294"/>
    </row>
    <row r="1891" spans="2:33" x14ac:dyDescent="0.25">
      <c r="B1891" s="294"/>
      <c r="C1891" s="294"/>
      <c r="D1891" s="294"/>
      <c r="E1891" s="294"/>
      <c r="F1891" s="294"/>
      <c r="G1891" s="294"/>
      <c r="H1891" s="294"/>
      <c r="I1891" s="294"/>
      <c r="J1891" s="294"/>
      <c r="L1891" s="295"/>
      <c r="M1891" s="294"/>
      <c r="O1891" s="294"/>
      <c r="P1891" s="294"/>
      <c r="Q1891" s="294"/>
      <c r="R1891" s="294"/>
      <c r="S1891" s="294"/>
      <c r="T1891" s="294"/>
      <c r="U1891" s="294"/>
      <c r="V1891" s="294"/>
      <c r="W1891" s="294"/>
      <c r="X1891" s="294"/>
      <c r="Y1891" s="294"/>
      <c r="Z1891" s="294"/>
      <c r="AA1891" s="294"/>
      <c r="AB1891" s="294"/>
      <c r="AC1891" s="294"/>
      <c r="AD1891" s="294"/>
      <c r="AE1891" s="294"/>
      <c r="AF1891" s="294"/>
      <c r="AG1891" s="294"/>
    </row>
    <row r="1892" spans="2:33" x14ac:dyDescent="0.25">
      <c r="B1892" s="294"/>
      <c r="C1892" s="294"/>
      <c r="D1892" s="294"/>
      <c r="E1892" s="294"/>
      <c r="F1892" s="294"/>
      <c r="G1892" s="294"/>
      <c r="H1892" s="294"/>
      <c r="I1892" s="294"/>
      <c r="J1892" s="294"/>
      <c r="L1892" s="295"/>
      <c r="M1892" s="294"/>
      <c r="O1892" s="294"/>
      <c r="P1892" s="294"/>
      <c r="Q1892" s="294"/>
      <c r="R1892" s="294"/>
      <c r="S1892" s="294"/>
      <c r="T1892" s="294"/>
      <c r="U1892" s="294"/>
      <c r="V1892" s="294"/>
      <c r="W1892" s="294"/>
      <c r="X1892" s="294"/>
      <c r="Y1892" s="294"/>
      <c r="Z1892" s="294"/>
      <c r="AA1892" s="294"/>
      <c r="AB1892" s="294"/>
      <c r="AC1892" s="294"/>
      <c r="AD1892" s="294"/>
      <c r="AE1892" s="294"/>
      <c r="AF1892" s="294"/>
      <c r="AG1892" s="294"/>
    </row>
    <row r="1893" spans="2:33" x14ac:dyDescent="0.25">
      <c r="B1893" s="294"/>
      <c r="C1893" s="294"/>
      <c r="D1893" s="294"/>
      <c r="E1893" s="294"/>
      <c r="F1893" s="294"/>
      <c r="G1893" s="294"/>
      <c r="H1893" s="294"/>
      <c r="I1893" s="294"/>
      <c r="J1893" s="294"/>
      <c r="L1893" s="295"/>
      <c r="M1893" s="294"/>
      <c r="O1893" s="294"/>
      <c r="P1893" s="294"/>
      <c r="Q1893" s="294"/>
      <c r="R1893" s="294"/>
      <c r="S1893" s="294"/>
      <c r="T1893" s="294"/>
      <c r="U1893" s="294"/>
      <c r="V1893" s="294"/>
      <c r="W1893" s="294"/>
      <c r="X1893" s="294"/>
      <c r="Y1893" s="294"/>
      <c r="Z1893" s="294"/>
      <c r="AA1893" s="294"/>
      <c r="AB1893" s="294"/>
      <c r="AC1893" s="294"/>
      <c r="AD1893" s="294"/>
      <c r="AE1893" s="294"/>
      <c r="AF1893" s="294"/>
      <c r="AG1893" s="294"/>
    </row>
    <row r="1894" spans="2:33" x14ac:dyDescent="0.25">
      <c r="B1894" s="294"/>
      <c r="C1894" s="294"/>
      <c r="D1894" s="294"/>
      <c r="E1894" s="294"/>
      <c r="F1894" s="294"/>
      <c r="G1894" s="294"/>
      <c r="H1894" s="294"/>
      <c r="I1894" s="294"/>
      <c r="J1894" s="294"/>
      <c r="L1894" s="295"/>
      <c r="M1894" s="294"/>
      <c r="O1894" s="294"/>
      <c r="P1894" s="294"/>
      <c r="Q1894" s="294"/>
      <c r="R1894" s="294"/>
      <c r="S1894" s="294"/>
      <c r="T1894" s="294"/>
      <c r="U1894" s="294"/>
      <c r="V1894" s="294"/>
      <c r="W1894" s="294"/>
      <c r="X1894" s="294"/>
      <c r="Y1894" s="294"/>
      <c r="Z1894" s="294"/>
      <c r="AA1894" s="294"/>
      <c r="AB1894" s="294"/>
      <c r="AC1894" s="294"/>
      <c r="AD1894" s="294"/>
      <c r="AE1894" s="294"/>
      <c r="AF1894" s="294"/>
      <c r="AG1894" s="294"/>
    </row>
    <row r="1895" spans="2:33" x14ac:dyDescent="0.25">
      <c r="B1895" s="294"/>
      <c r="C1895" s="294"/>
      <c r="D1895" s="294"/>
      <c r="E1895" s="294"/>
      <c r="F1895" s="294"/>
      <c r="G1895" s="294"/>
      <c r="H1895" s="294"/>
      <c r="I1895" s="294"/>
      <c r="J1895" s="294"/>
      <c r="L1895" s="295"/>
      <c r="M1895" s="294"/>
      <c r="O1895" s="294"/>
      <c r="P1895" s="294"/>
      <c r="Q1895" s="294"/>
      <c r="R1895" s="294"/>
      <c r="S1895" s="294"/>
      <c r="T1895" s="294"/>
      <c r="U1895" s="294"/>
      <c r="V1895" s="294"/>
      <c r="W1895" s="294"/>
      <c r="X1895" s="294"/>
      <c r="Y1895" s="294"/>
      <c r="Z1895" s="294"/>
      <c r="AA1895" s="294"/>
      <c r="AB1895" s="294"/>
      <c r="AC1895" s="294"/>
      <c r="AD1895" s="294"/>
      <c r="AE1895" s="294"/>
      <c r="AF1895" s="294"/>
      <c r="AG1895" s="294"/>
    </row>
    <row r="1896" spans="2:33" x14ac:dyDescent="0.25">
      <c r="B1896" s="294"/>
      <c r="C1896" s="294"/>
      <c r="D1896" s="294"/>
      <c r="E1896" s="294"/>
      <c r="F1896" s="294"/>
      <c r="G1896" s="294"/>
      <c r="H1896" s="294"/>
      <c r="I1896" s="294"/>
      <c r="J1896" s="294"/>
      <c r="L1896" s="295"/>
      <c r="M1896" s="294"/>
      <c r="O1896" s="294"/>
      <c r="P1896" s="294"/>
      <c r="Q1896" s="294"/>
      <c r="R1896" s="294"/>
      <c r="S1896" s="294"/>
      <c r="T1896" s="294"/>
      <c r="U1896" s="294"/>
      <c r="V1896" s="294"/>
      <c r="W1896" s="294"/>
      <c r="X1896" s="294"/>
      <c r="Y1896" s="294"/>
      <c r="Z1896" s="294"/>
      <c r="AA1896" s="294"/>
      <c r="AB1896" s="294"/>
      <c r="AC1896" s="294"/>
      <c r="AD1896" s="294"/>
      <c r="AE1896" s="294"/>
      <c r="AF1896" s="294"/>
      <c r="AG1896" s="294"/>
    </row>
    <row r="1897" spans="2:33" x14ac:dyDescent="0.25">
      <c r="B1897" s="294"/>
      <c r="C1897" s="294"/>
      <c r="D1897" s="294"/>
      <c r="E1897" s="294"/>
      <c r="F1897" s="294"/>
      <c r="G1897" s="294"/>
      <c r="H1897" s="294"/>
      <c r="I1897" s="294"/>
      <c r="J1897" s="294"/>
      <c r="L1897" s="295"/>
      <c r="M1897" s="294"/>
      <c r="O1897" s="294"/>
      <c r="P1897" s="294"/>
      <c r="Q1897" s="294"/>
      <c r="R1897" s="294"/>
      <c r="S1897" s="294"/>
      <c r="T1897" s="294"/>
      <c r="U1897" s="294"/>
      <c r="V1897" s="294"/>
      <c r="W1897" s="294"/>
      <c r="X1897" s="294"/>
      <c r="Y1897" s="294"/>
      <c r="Z1897" s="294"/>
      <c r="AA1897" s="294"/>
      <c r="AB1897" s="294"/>
      <c r="AC1897" s="294"/>
      <c r="AD1897" s="294"/>
      <c r="AE1897" s="294"/>
      <c r="AF1897" s="294"/>
      <c r="AG1897" s="294"/>
    </row>
    <row r="1898" spans="2:33" x14ac:dyDescent="0.25">
      <c r="B1898" s="294"/>
      <c r="C1898" s="294"/>
      <c r="D1898" s="294"/>
      <c r="E1898" s="294"/>
      <c r="F1898" s="294"/>
      <c r="G1898" s="294"/>
      <c r="H1898" s="294"/>
      <c r="I1898" s="294"/>
      <c r="J1898" s="294"/>
      <c r="L1898" s="295"/>
      <c r="M1898" s="294"/>
      <c r="O1898" s="294"/>
      <c r="P1898" s="294"/>
      <c r="Q1898" s="294"/>
      <c r="R1898" s="294"/>
      <c r="S1898" s="294"/>
      <c r="T1898" s="294"/>
      <c r="U1898" s="294"/>
      <c r="V1898" s="294"/>
      <c r="W1898" s="294"/>
      <c r="X1898" s="294"/>
      <c r="Y1898" s="294"/>
      <c r="Z1898" s="294"/>
      <c r="AA1898" s="294"/>
      <c r="AB1898" s="294"/>
      <c r="AC1898" s="294"/>
      <c r="AD1898" s="294"/>
      <c r="AE1898" s="294"/>
      <c r="AF1898" s="294"/>
      <c r="AG1898" s="294"/>
    </row>
    <row r="1899" spans="2:33" x14ac:dyDescent="0.25">
      <c r="B1899" s="294"/>
      <c r="C1899" s="294"/>
      <c r="D1899" s="294"/>
      <c r="E1899" s="294"/>
      <c r="F1899" s="294"/>
      <c r="G1899" s="294"/>
      <c r="H1899" s="294"/>
      <c r="I1899" s="294"/>
      <c r="J1899" s="294"/>
      <c r="L1899" s="295"/>
      <c r="M1899" s="294"/>
      <c r="O1899" s="294"/>
      <c r="P1899" s="294"/>
      <c r="Q1899" s="294"/>
      <c r="R1899" s="294"/>
      <c r="S1899" s="294"/>
      <c r="T1899" s="294"/>
      <c r="U1899" s="294"/>
      <c r="V1899" s="294"/>
      <c r="W1899" s="294"/>
      <c r="X1899" s="294"/>
      <c r="Y1899" s="294"/>
      <c r="Z1899" s="294"/>
      <c r="AA1899" s="294"/>
      <c r="AB1899" s="294"/>
      <c r="AC1899" s="294"/>
      <c r="AD1899" s="294"/>
      <c r="AE1899" s="294"/>
      <c r="AF1899" s="294"/>
      <c r="AG1899" s="294"/>
    </row>
    <row r="1900" spans="2:33" x14ac:dyDescent="0.25">
      <c r="B1900" s="294"/>
      <c r="C1900" s="294"/>
      <c r="D1900" s="294"/>
      <c r="E1900" s="294"/>
      <c r="F1900" s="294"/>
      <c r="G1900" s="294"/>
      <c r="H1900" s="294"/>
      <c r="I1900" s="294"/>
      <c r="J1900" s="294"/>
      <c r="L1900" s="295"/>
      <c r="M1900" s="294"/>
      <c r="O1900" s="294"/>
      <c r="P1900" s="294"/>
      <c r="Q1900" s="294"/>
      <c r="R1900" s="294"/>
      <c r="S1900" s="294"/>
      <c r="T1900" s="294"/>
      <c r="U1900" s="294"/>
      <c r="V1900" s="294"/>
      <c r="W1900" s="294"/>
      <c r="X1900" s="294"/>
      <c r="Y1900" s="294"/>
      <c r="Z1900" s="294"/>
      <c r="AA1900" s="294"/>
      <c r="AB1900" s="294"/>
      <c r="AC1900" s="294"/>
      <c r="AD1900" s="294"/>
      <c r="AE1900" s="294"/>
      <c r="AF1900" s="294"/>
      <c r="AG1900" s="294"/>
    </row>
    <row r="1901" spans="2:33" x14ac:dyDescent="0.25">
      <c r="B1901" s="294"/>
      <c r="C1901" s="294"/>
      <c r="D1901" s="294"/>
      <c r="E1901" s="294"/>
      <c r="F1901" s="294"/>
      <c r="G1901" s="294"/>
      <c r="H1901" s="294"/>
      <c r="I1901" s="294"/>
      <c r="J1901" s="294"/>
      <c r="L1901" s="295"/>
      <c r="M1901" s="294"/>
      <c r="O1901" s="294"/>
      <c r="P1901" s="294"/>
      <c r="Q1901" s="294"/>
      <c r="R1901" s="294"/>
      <c r="S1901" s="294"/>
      <c r="T1901" s="294"/>
      <c r="U1901" s="294"/>
      <c r="V1901" s="294"/>
      <c r="W1901" s="294"/>
      <c r="X1901" s="294"/>
      <c r="Y1901" s="294"/>
      <c r="Z1901" s="294"/>
      <c r="AA1901" s="294"/>
      <c r="AB1901" s="294"/>
      <c r="AC1901" s="294"/>
      <c r="AD1901" s="294"/>
      <c r="AE1901" s="294"/>
      <c r="AF1901" s="294"/>
      <c r="AG1901" s="294"/>
    </row>
    <row r="1902" spans="2:33" x14ac:dyDescent="0.25">
      <c r="B1902" s="294"/>
      <c r="C1902" s="294"/>
      <c r="D1902" s="294"/>
      <c r="E1902" s="294"/>
      <c r="F1902" s="294"/>
      <c r="G1902" s="294"/>
      <c r="H1902" s="294"/>
      <c r="I1902" s="294"/>
      <c r="J1902" s="294"/>
      <c r="L1902" s="295"/>
      <c r="M1902" s="294"/>
      <c r="O1902" s="294"/>
      <c r="P1902" s="294"/>
      <c r="Q1902" s="294"/>
      <c r="R1902" s="294"/>
      <c r="S1902" s="294"/>
      <c r="T1902" s="294"/>
      <c r="U1902" s="294"/>
      <c r="V1902" s="294"/>
      <c r="W1902" s="294"/>
      <c r="X1902" s="294"/>
      <c r="Y1902" s="294"/>
      <c r="Z1902" s="294"/>
      <c r="AA1902" s="294"/>
      <c r="AB1902" s="294"/>
      <c r="AC1902" s="294"/>
      <c r="AD1902" s="294"/>
      <c r="AE1902" s="294"/>
      <c r="AF1902" s="294"/>
      <c r="AG1902" s="294"/>
    </row>
    <row r="1903" spans="2:33" x14ac:dyDescent="0.25">
      <c r="B1903" s="294"/>
      <c r="C1903" s="294"/>
      <c r="D1903" s="294"/>
      <c r="E1903" s="294"/>
      <c r="F1903" s="294"/>
      <c r="G1903" s="294"/>
      <c r="H1903" s="294"/>
      <c r="I1903" s="294"/>
      <c r="J1903" s="294"/>
      <c r="L1903" s="295"/>
      <c r="M1903" s="294"/>
      <c r="O1903" s="294"/>
      <c r="P1903" s="294"/>
      <c r="Q1903" s="294"/>
      <c r="R1903" s="294"/>
      <c r="S1903" s="294"/>
      <c r="T1903" s="294"/>
      <c r="U1903" s="294"/>
      <c r="V1903" s="294"/>
      <c r="W1903" s="294"/>
      <c r="X1903" s="294"/>
      <c r="Y1903" s="294"/>
      <c r="Z1903" s="294"/>
      <c r="AA1903" s="294"/>
      <c r="AB1903" s="294"/>
      <c r="AC1903" s="294"/>
      <c r="AD1903" s="294"/>
      <c r="AE1903" s="294"/>
      <c r="AF1903" s="294"/>
      <c r="AG1903" s="294"/>
    </row>
    <row r="1904" spans="2:33" x14ac:dyDescent="0.25">
      <c r="B1904" s="294"/>
      <c r="C1904" s="294"/>
      <c r="D1904" s="294"/>
      <c r="E1904" s="294"/>
      <c r="F1904" s="294"/>
      <c r="G1904" s="294"/>
      <c r="H1904" s="294"/>
      <c r="I1904" s="294"/>
      <c r="J1904" s="294"/>
      <c r="L1904" s="295"/>
      <c r="M1904" s="294"/>
      <c r="O1904" s="294"/>
      <c r="P1904" s="294"/>
      <c r="Q1904" s="294"/>
      <c r="R1904" s="294"/>
      <c r="S1904" s="294"/>
      <c r="T1904" s="294"/>
      <c r="U1904" s="294"/>
      <c r="V1904" s="294"/>
      <c r="W1904" s="294"/>
      <c r="X1904" s="294"/>
      <c r="Y1904" s="294"/>
      <c r="Z1904" s="294"/>
      <c r="AA1904" s="294"/>
      <c r="AB1904" s="294"/>
      <c r="AC1904" s="294"/>
      <c r="AD1904" s="294"/>
      <c r="AE1904" s="294"/>
      <c r="AF1904" s="294"/>
      <c r="AG1904" s="294"/>
    </row>
    <row r="1905" spans="2:33" x14ac:dyDescent="0.25">
      <c r="B1905" s="294"/>
      <c r="C1905" s="294"/>
      <c r="D1905" s="294"/>
      <c r="E1905" s="294"/>
      <c r="F1905" s="294"/>
      <c r="G1905" s="294"/>
      <c r="H1905" s="294"/>
      <c r="I1905" s="294"/>
      <c r="J1905" s="294"/>
      <c r="L1905" s="295"/>
      <c r="M1905" s="294"/>
      <c r="O1905" s="294"/>
      <c r="P1905" s="294"/>
      <c r="Q1905" s="294"/>
      <c r="R1905" s="294"/>
      <c r="S1905" s="294"/>
      <c r="T1905" s="294"/>
      <c r="U1905" s="294"/>
      <c r="V1905" s="294"/>
      <c r="W1905" s="294"/>
      <c r="X1905" s="294"/>
      <c r="Y1905" s="294"/>
      <c r="Z1905" s="294"/>
      <c r="AA1905" s="294"/>
      <c r="AB1905" s="294"/>
      <c r="AC1905" s="294"/>
      <c r="AD1905" s="294"/>
      <c r="AE1905" s="294"/>
      <c r="AF1905" s="294"/>
      <c r="AG1905" s="294"/>
    </row>
    <row r="1906" spans="2:33" x14ac:dyDescent="0.25">
      <c r="B1906" s="294"/>
      <c r="C1906" s="294"/>
      <c r="D1906" s="294"/>
      <c r="E1906" s="294"/>
      <c r="F1906" s="294"/>
      <c r="G1906" s="294"/>
      <c r="H1906" s="294"/>
      <c r="I1906" s="294"/>
      <c r="J1906" s="294"/>
      <c r="L1906" s="295"/>
      <c r="M1906" s="294"/>
      <c r="O1906" s="294"/>
      <c r="P1906" s="294"/>
      <c r="Q1906" s="294"/>
      <c r="R1906" s="294"/>
      <c r="S1906" s="294"/>
      <c r="T1906" s="294"/>
      <c r="U1906" s="294"/>
      <c r="V1906" s="294"/>
      <c r="W1906" s="294"/>
      <c r="X1906" s="294"/>
      <c r="Y1906" s="294"/>
      <c r="Z1906" s="294"/>
      <c r="AA1906" s="294"/>
      <c r="AB1906" s="294"/>
      <c r="AC1906" s="294"/>
      <c r="AD1906" s="294"/>
      <c r="AE1906" s="294"/>
      <c r="AF1906" s="294"/>
      <c r="AG1906" s="294"/>
    </row>
    <row r="1907" spans="2:33" x14ac:dyDescent="0.25">
      <c r="B1907" s="294"/>
      <c r="C1907" s="294"/>
      <c r="D1907" s="294"/>
      <c r="E1907" s="294"/>
      <c r="F1907" s="294"/>
      <c r="G1907" s="294"/>
      <c r="H1907" s="294"/>
      <c r="I1907" s="294"/>
      <c r="J1907" s="294"/>
      <c r="L1907" s="295"/>
      <c r="M1907" s="294"/>
      <c r="O1907" s="294"/>
      <c r="P1907" s="294"/>
      <c r="Q1907" s="294"/>
      <c r="R1907" s="294"/>
      <c r="S1907" s="294"/>
      <c r="T1907" s="294"/>
      <c r="U1907" s="294"/>
      <c r="V1907" s="294"/>
      <c r="W1907" s="294"/>
      <c r="X1907" s="294"/>
      <c r="Y1907" s="294"/>
      <c r="Z1907" s="294"/>
      <c r="AA1907" s="294"/>
      <c r="AB1907" s="294"/>
      <c r="AC1907" s="294"/>
      <c r="AD1907" s="294"/>
      <c r="AE1907" s="294"/>
      <c r="AF1907" s="294"/>
      <c r="AG1907" s="294"/>
    </row>
    <row r="1908" spans="2:33" x14ac:dyDescent="0.25">
      <c r="B1908" s="294"/>
      <c r="C1908" s="294"/>
      <c r="D1908" s="294"/>
      <c r="E1908" s="294"/>
      <c r="F1908" s="294"/>
      <c r="G1908" s="294"/>
      <c r="H1908" s="294"/>
      <c r="I1908" s="294"/>
      <c r="J1908" s="294"/>
      <c r="L1908" s="295"/>
      <c r="M1908" s="294"/>
      <c r="O1908" s="294"/>
      <c r="P1908" s="294"/>
      <c r="Q1908" s="294"/>
      <c r="R1908" s="294"/>
      <c r="S1908" s="294"/>
      <c r="T1908" s="294"/>
      <c r="U1908" s="294"/>
      <c r="V1908" s="294"/>
      <c r="W1908" s="294"/>
      <c r="X1908" s="294"/>
      <c r="Y1908" s="294"/>
      <c r="Z1908" s="294"/>
      <c r="AA1908" s="294"/>
      <c r="AB1908" s="294"/>
      <c r="AC1908" s="294"/>
      <c r="AD1908" s="294"/>
      <c r="AE1908" s="294"/>
      <c r="AF1908" s="294"/>
      <c r="AG1908" s="294"/>
    </row>
    <row r="1909" spans="2:33" x14ac:dyDescent="0.25">
      <c r="B1909" s="294"/>
      <c r="C1909" s="294"/>
      <c r="D1909" s="294"/>
      <c r="E1909" s="294"/>
      <c r="F1909" s="294"/>
      <c r="G1909" s="294"/>
      <c r="H1909" s="294"/>
      <c r="I1909" s="294"/>
      <c r="J1909" s="294"/>
      <c r="L1909" s="295"/>
      <c r="M1909" s="294"/>
      <c r="O1909" s="294"/>
      <c r="P1909" s="294"/>
      <c r="Q1909" s="294"/>
      <c r="R1909" s="294"/>
      <c r="S1909" s="294"/>
      <c r="T1909" s="294"/>
      <c r="U1909" s="294"/>
      <c r="V1909" s="294"/>
      <c r="W1909" s="294"/>
      <c r="X1909" s="294"/>
      <c r="Y1909" s="294"/>
      <c r="Z1909" s="294"/>
      <c r="AA1909" s="294"/>
      <c r="AB1909" s="294"/>
      <c r="AC1909" s="294"/>
      <c r="AD1909" s="294"/>
      <c r="AE1909" s="294"/>
      <c r="AF1909" s="294"/>
      <c r="AG1909" s="294"/>
    </row>
    <row r="1910" spans="2:33" x14ac:dyDescent="0.25">
      <c r="B1910" s="294"/>
      <c r="C1910" s="294"/>
      <c r="D1910" s="294"/>
      <c r="E1910" s="294"/>
      <c r="F1910" s="294"/>
      <c r="G1910" s="294"/>
      <c r="H1910" s="294"/>
      <c r="I1910" s="294"/>
      <c r="J1910" s="294"/>
      <c r="L1910" s="295"/>
      <c r="M1910" s="294"/>
      <c r="O1910" s="294"/>
      <c r="P1910" s="294"/>
      <c r="Q1910" s="294"/>
      <c r="R1910" s="294"/>
      <c r="S1910" s="294"/>
      <c r="T1910" s="294"/>
      <c r="U1910" s="294"/>
      <c r="V1910" s="294"/>
      <c r="W1910" s="294"/>
      <c r="X1910" s="294"/>
      <c r="Y1910" s="294"/>
      <c r="Z1910" s="294"/>
      <c r="AA1910" s="294"/>
      <c r="AB1910" s="294"/>
      <c r="AC1910" s="294"/>
      <c r="AD1910" s="294"/>
      <c r="AE1910" s="294"/>
      <c r="AF1910" s="294"/>
      <c r="AG1910" s="294"/>
    </row>
    <row r="1911" spans="2:33" x14ac:dyDescent="0.25">
      <c r="B1911" s="294"/>
      <c r="C1911" s="294"/>
      <c r="D1911" s="294"/>
      <c r="E1911" s="294"/>
      <c r="F1911" s="294"/>
      <c r="G1911" s="294"/>
      <c r="H1911" s="294"/>
      <c r="I1911" s="294"/>
      <c r="J1911" s="294"/>
      <c r="L1911" s="295"/>
      <c r="M1911" s="294"/>
      <c r="O1911" s="294"/>
      <c r="P1911" s="294"/>
      <c r="Q1911" s="294"/>
      <c r="R1911" s="294"/>
      <c r="S1911" s="294"/>
      <c r="T1911" s="294"/>
      <c r="U1911" s="294"/>
      <c r="V1911" s="294"/>
      <c r="W1911" s="294"/>
      <c r="X1911" s="294"/>
      <c r="Y1911" s="294"/>
      <c r="Z1911" s="294"/>
      <c r="AA1911" s="294"/>
      <c r="AB1911" s="294"/>
      <c r="AC1911" s="294"/>
      <c r="AD1911" s="294"/>
      <c r="AE1911" s="294"/>
      <c r="AF1911" s="294"/>
      <c r="AG1911" s="294"/>
    </row>
    <row r="1912" spans="2:33" x14ac:dyDescent="0.25">
      <c r="B1912" s="294"/>
      <c r="C1912" s="294"/>
      <c r="D1912" s="294"/>
      <c r="E1912" s="294"/>
      <c r="F1912" s="294"/>
      <c r="G1912" s="294"/>
      <c r="H1912" s="294"/>
      <c r="I1912" s="294"/>
      <c r="J1912" s="294"/>
      <c r="L1912" s="295"/>
      <c r="M1912" s="294"/>
      <c r="O1912" s="294"/>
      <c r="P1912" s="294"/>
      <c r="Q1912" s="294"/>
      <c r="R1912" s="294"/>
      <c r="S1912" s="294"/>
      <c r="T1912" s="294"/>
      <c r="U1912" s="294"/>
      <c r="V1912" s="294"/>
      <c r="W1912" s="294"/>
      <c r="X1912" s="294"/>
      <c r="Y1912" s="294"/>
      <c r="Z1912" s="294"/>
      <c r="AA1912" s="294"/>
      <c r="AB1912" s="294"/>
      <c r="AC1912" s="294"/>
      <c r="AD1912" s="294"/>
      <c r="AE1912" s="294"/>
      <c r="AF1912" s="294"/>
      <c r="AG1912" s="294"/>
    </row>
    <row r="1913" spans="2:33" x14ac:dyDescent="0.25">
      <c r="B1913" s="294"/>
      <c r="C1913" s="294"/>
      <c r="D1913" s="294"/>
      <c r="E1913" s="294"/>
      <c r="F1913" s="294"/>
      <c r="G1913" s="294"/>
      <c r="H1913" s="294"/>
      <c r="I1913" s="294"/>
      <c r="J1913" s="294"/>
      <c r="L1913" s="295"/>
      <c r="M1913" s="294"/>
      <c r="O1913" s="294"/>
      <c r="P1913" s="294"/>
      <c r="Q1913" s="294"/>
      <c r="R1913" s="294"/>
      <c r="S1913" s="294"/>
      <c r="T1913" s="294"/>
      <c r="U1913" s="294"/>
      <c r="V1913" s="294"/>
      <c r="W1913" s="294"/>
      <c r="X1913" s="294"/>
      <c r="Y1913" s="294"/>
      <c r="Z1913" s="294"/>
      <c r="AA1913" s="294"/>
      <c r="AB1913" s="294"/>
      <c r="AC1913" s="294"/>
      <c r="AD1913" s="294"/>
      <c r="AE1913" s="294"/>
      <c r="AF1913" s="294"/>
      <c r="AG1913" s="294"/>
    </row>
    <row r="1914" spans="2:33" x14ac:dyDescent="0.25">
      <c r="B1914" s="294"/>
      <c r="C1914" s="294"/>
      <c r="D1914" s="294"/>
      <c r="E1914" s="294"/>
      <c r="F1914" s="294"/>
      <c r="G1914" s="294"/>
      <c r="H1914" s="294"/>
      <c r="I1914" s="294"/>
      <c r="J1914" s="294"/>
      <c r="L1914" s="295"/>
      <c r="M1914" s="294"/>
      <c r="O1914" s="294"/>
      <c r="P1914" s="294"/>
      <c r="Q1914" s="294"/>
      <c r="R1914" s="294"/>
      <c r="S1914" s="294"/>
      <c r="T1914" s="294"/>
      <c r="U1914" s="294"/>
      <c r="V1914" s="294"/>
      <c r="W1914" s="294"/>
      <c r="X1914" s="294"/>
      <c r="Y1914" s="294"/>
      <c r="Z1914" s="294"/>
      <c r="AA1914" s="294"/>
      <c r="AB1914" s="294"/>
      <c r="AC1914" s="294"/>
      <c r="AD1914" s="294"/>
      <c r="AE1914" s="294"/>
      <c r="AF1914" s="294"/>
      <c r="AG1914" s="294"/>
    </row>
    <row r="1915" spans="2:33" x14ac:dyDescent="0.25">
      <c r="B1915" s="294"/>
      <c r="C1915" s="294"/>
      <c r="D1915" s="294"/>
      <c r="E1915" s="294"/>
      <c r="F1915" s="294"/>
      <c r="G1915" s="294"/>
      <c r="H1915" s="294"/>
      <c r="I1915" s="294"/>
      <c r="J1915" s="294"/>
      <c r="L1915" s="295"/>
      <c r="M1915" s="294"/>
      <c r="O1915" s="294"/>
      <c r="P1915" s="294"/>
      <c r="Q1915" s="294"/>
      <c r="R1915" s="294"/>
      <c r="S1915" s="294"/>
      <c r="T1915" s="294"/>
      <c r="U1915" s="294"/>
      <c r="V1915" s="294"/>
      <c r="W1915" s="294"/>
      <c r="X1915" s="294"/>
      <c r="Y1915" s="294"/>
      <c r="Z1915" s="294"/>
      <c r="AA1915" s="294"/>
      <c r="AB1915" s="294"/>
      <c r="AC1915" s="294"/>
      <c r="AD1915" s="294"/>
      <c r="AE1915" s="294"/>
      <c r="AF1915" s="294"/>
      <c r="AG1915" s="294"/>
    </row>
    <row r="1916" spans="2:33" x14ac:dyDescent="0.25">
      <c r="B1916" s="294"/>
      <c r="C1916" s="294"/>
      <c r="D1916" s="294"/>
      <c r="E1916" s="294"/>
      <c r="F1916" s="294"/>
      <c r="G1916" s="294"/>
      <c r="H1916" s="294"/>
      <c r="I1916" s="294"/>
      <c r="J1916" s="294"/>
      <c r="L1916" s="295"/>
      <c r="M1916" s="294"/>
      <c r="O1916" s="294"/>
      <c r="P1916" s="294"/>
      <c r="Q1916" s="294"/>
      <c r="R1916" s="294"/>
      <c r="S1916" s="294"/>
      <c r="T1916" s="294"/>
      <c r="U1916" s="294"/>
      <c r="V1916" s="294"/>
      <c r="W1916" s="294"/>
      <c r="X1916" s="294"/>
      <c r="Y1916" s="294"/>
      <c r="Z1916" s="294"/>
      <c r="AA1916" s="294"/>
      <c r="AB1916" s="294"/>
      <c r="AC1916" s="294"/>
      <c r="AD1916" s="294"/>
      <c r="AE1916" s="294"/>
      <c r="AF1916" s="294"/>
      <c r="AG1916" s="294"/>
    </row>
    <row r="1917" spans="2:33" x14ac:dyDescent="0.25">
      <c r="B1917" s="294"/>
      <c r="C1917" s="294"/>
      <c r="D1917" s="294"/>
      <c r="E1917" s="294"/>
      <c r="F1917" s="294"/>
      <c r="G1917" s="294"/>
      <c r="H1917" s="294"/>
      <c r="I1917" s="294"/>
      <c r="J1917" s="294"/>
      <c r="L1917" s="295"/>
      <c r="M1917" s="294"/>
      <c r="O1917" s="294"/>
      <c r="P1917" s="294"/>
      <c r="Q1917" s="294"/>
      <c r="R1917" s="294"/>
      <c r="S1917" s="294"/>
      <c r="T1917" s="294"/>
      <c r="U1917" s="294"/>
      <c r="V1917" s="294"/>
      <c r="W1917" s="294"/>
      <c r="X1917" s="294"/>
      <c r="Y1917" s="294"/>
      <c r="Z1917" s="294"/>
      <c r="AA1917" s="294"/>
      <c r="AB1917" s="294"/>
      <c r="AC1917" s="294"/>
      <c r="AD1917" s="294"/>
      <c r="AE1917" s="294"/>
      <c r="AF1917" s="294"/>
      <c r="AG1917" s="294"/>
    </row>
    <row r="1918" spans="2:33" x14ac:dyDescent="0.25">
      <c r="B1918" s="294"/>
      <c r="C1918" s="294"/>
      <c r="D1918" s="294"/>
      <c r="E1918" s="294"/>
      <c r="F1918" s="294"/>
      <c r="G1918" s="294"/>
      <c r="H1918" s="294"/>
      <c r="I1918" s="294"/>
      <c r="J1918" s="294"/>
      <c r="L1918" s="295"/>
      <c r="M1918" s="294"/>
      <c r="O1918" s="294"/>
      <c r="P1918" s="294"/>
      <c r="Q1918" s="294"/>
      <c r="R1918" s="294"/>
      <c r="S1918" s="294"/>
      <c r="T1918" s="294"/>
      <c r="U1918" s="294"/>
      <c r="V1918" s="294"/>
      <c r="W1918" s="294"/>
      <c r="X1918" s="294"/>
      <c r="Y1918" s="294"/>
      <c r="Z1918" s="294"/>
      <c r="AA1918" s="294"/>
      <c r="AB1918" s="294"/>
      <c r="AC1918" s="294"/>
      <c r="AD1918" s="294"/>
      <c r="AE1918" s="294"/>
      <c r="AF1918" s="294"/>
      <c r="AG1918" s="294"/>
    </row>
    <row r="1919" spans="2:33" x14ac:dyDescent="0.25">
      <c r="B1919" s="294"/>
      <c r="C1919" s="294"/>
      <c r="D1919" s="294"/>
      <c r="E1919" s="294"/>
      <c r="F1919" s="294"/>
      <c r="G1919" s="294"/>
      <c r="H1919" s="294"/>
      <c r="I1919" s="294"/>
      <c r="J1919" s="294"/>
      <c r="L1919" s="295"/>
      <c r="M1919" s="294"/>
      <c r="O1919" s="294"/>
      <c r="P1919" s="294"/>
      <c r="Q1919" s="294"/>
      <c r="R1919" s="294"/>
      <c r="S1919" s="294"/>
      <c r="T1919" s="294"/>
      <c r="U1919" s="294"/>
      <c r="V1919" s="294"/>
      <c r="W1919" s="294"/>
      <c r="X1919" s="294"/>
      <c r="Y1919" s="294"/>
      <c r="Z1919" s="294"/>
      <c r="AA1919" s="294"/>
      <c r="AB1919" s="294"/>
      <c r="AC1919" s="294"/>
      <c r="AD1919" s="294"/>
      <c r="AE1919" s="294"/>
      <c r="AF1919" s="294"/>
      <c r="AG1919" s="294"/>
    </row>
    <row r="1920" spans="2:33" x14ac:dyDescent="0.25">
      <c r="B1920" s="294"/>
      <c r="C1920" s="294"/>
      <c r="D1920" s="294"/>
      <c r="E1920" s="294"/>
      <c r="F1920" s="294"/>
      <c r="G1920" s="294"/>
      <c r="H1920" s="294"/>
      <c r="I1920" s="294"/>
      <c r="J1920" s="294"/>
      <c r="L1920" s="295"/>
      <c r="M1920" s="294"/>
      <c r="O1920" s="294"/>
      <c r="P1920" s="294"/>
      <c r="Q1920" s="294"/>
      <c r="R1920" s="294"/>
      <c r="S1920" s="294"/>
      <c r="T1920" s="294"/>
      <c r="U1920" s="294"/>
      <c r="V1920" s="294"/>
      <c r="W1920" s="294"/>
      <c r="X1920" s="294"/>
      <c r="Y1920" s="294"/>
      <c r="Z1920" s="294"/>
      <c r="AA1920" s="294"/>
      <c r="AB1920" s="294"/>
      <c r="AC1920" s="294"/>
      <c r="AD1920" s="294"/>
      <c r="AE1920" s="294"/>
      <c r="AF1920" s="294"/>
      <c r="AG1920" s="294"/>
    </row>
    <row r="1921" spans="2:33" x14ac:dyDescent="0.25">
      <c r="B1921" s="294"/>
      <c r="C1921" s="294"/>
      <c r="D1921" s="294"/>
      <c r="E1921" s="294"/>
      <c r="F1921" s="294"/>
      <c r="G1921" s="294"/>
      <c r="H1921" s="294"/>
      <c r="I1921" s="294"/>
      <c r="J1921" s="294"/>
      <c r="L1921" s="295"/>
      <c r="M1921" s="294"/>
      <c r="O1921" s="294"/>
      <c r="P1921" s="294"/>
      <c r="Q1921" s="294"/>
      <c r="R1921" s="294"/>
      <c r="S1921" s="294"/>
      <c r="T1921" s="294"/>
      <c r="U1921" s="294"/>
      <c r="V1921" s="294"/>
      <c r="W1921" s="294"/>
      <c r="X1921" s="294"/>
      <c r="Y1921" s="294"/>
      <c r="Z1921" s="294"/>
      <c r="AA1921" s="294"/>
      <c r="AB1921" s="294"/>
      <c r="AC1921" s="294"/>
      <c r="AD1921" s="294"/>
      <c r="AE1921" s="294"/>
      <c r="AF1921" s="294"/>
      <c r="AG1921" s="294"/>
    </row>
    <row r="1922" spans="2:33" x14ac:dyDescent="0.25">
      <c r="B1922" s="294"/>
      <c r="C1922" s="294"/>
      <c r="D1922" s="294"/>
      <c r="E1922" s="294"/>
      <c r="F1922" s="294"/>
      <c r="G1922" s="294"/>
      <c r="H1922" s="294"/>
      <c r="I1922" s="294"/>
      <c r="J1922" s="294"/>
      <c r="L1922" s="295"/>
      <c r="M1922" s="294"/>
      <c r="O1922" s="294"/>
      <c r="P1922" s="294"/>
      <c r="Q1922" s="294"/>
      <c r="R1922" s="294"/>
      <c r="S1922" s="294"/>
      <c r="T1922" s="294"/>
      <c r="U1922" s="294"/>
      <c r="V1922" s="294"/>
      <c r="W1922" s="294"/>
      <c r="X1922" s="294"/>
      <c r="Y1922" s="294"/>
      <c r="Z1922" s="294"/>
      <c r="AA1922" s="294"/>
      <c r="AB1922" s="294"/>
      <c r="AC1922" s="294"/>
      <c r="AD1922" s="294"/>
      <c r="AE1922" s="294"/>
      <c r="AF1922" s="294"/>
      <c r="AG1922" s="294"/>
    </row>
    <row r="1923" spans="2:33" x14ac:dyDescent="0.25">
      <c r="B1923" s="294"/>
      <c r="C1923" s="294"/>
      <c r="D1923" s="294"/>
      <c r="E1923" s="294"/>
      <c r="F1923" s="294"/>
      <c r="G1923" s="294"/>
      <c r="H1923" s="294"/>
      <c r="I1923" s="294"/>
      <c r="J1923" s="294"/>
      <c r="L1923" s="295"/>
      <c r="M1923" s="294"/>
      <c r="O1923" s="294"/>
      <c r="P1923" s="294"/>
      <c r="Q1923" s="294"/>
      <c r="R1923" s="294"/>
      <c r="S1923" s="294"/>
      <c r="T1923" s="294"/>
      <c r="U1923" s="294"/>
      <c r="V1923" s="294"/>
      <c r="W1923" s="294"/>
      <c r="X1923" s="294"/>
      <c r="Y1923" s="294"/>
      <c r="Z1923" s="294"/>
      <c r="AA1923" s="294"/>
      <c r="AB1923" s="294"/>
      <c r="AC1923" s="294"/>
      <c r="AD1923" s="294"/>
      <c r="AE1923" s="294"/>
      <c r="AF1923" s="294"/>
      <c r="AG1923" s="294"/>
    </row>
    <row r="1924" spans="2:33" x14ac:dyDescent="0.25">
      <c r="B1924" s="294"/>
      <c r="C1924" s="294"/>
      <c r="D1924" s="294"/>
      <c r="E1924" s="294"/>
      <c r="F1924" s="294"/>
      <c r="G1924" s="294"/>
      <c r="H1924" s="294"/>
      <c r="I1924" s="294"/>
      <c r="J1924" s="294"/>
      <c r="L1924" s="295"/>
      <c r="M1924" s="294"/>
      <c r="O1924" s="294"/>
      <c r="P1924" s="294"/>
      <c r="Q1924" s="294"/>
      <c r="R1924" s="294"/>
      <c r="S1924" s="294"/>
      <c r="T1924" s="294"/>
      <c r="U1924" s="294"/>
      <c r="V1924" s="294"/>
      <c r="W1924" s="294"/>
      <c r="X1924" s="294"/>
      <c r="Y1924" s="294"/>
      <c r="Z1924" s="294"/>
      <c r="AA1924" s="294"/>
      <c r="AB1924" s="294"/>
      <c r="AC1924" s="294"/>
      <c r="AD1924" s="294"/>
      <c r="AE1924" s="294"/>
      <c r="AF1924" s="294"/>
      <c r="AG1924" s="294"/>
    </row>
    <row r="1925" spans="2:33" x14ac:dyDescent="0.25">
      <c r="B1925" s="294"/>
      <c r="C1925" s="294"/>
      <c r="D1925" s="294"/>
      <c r="E1925" s="294"/>
      <c r="F1925" s="294"/>
      <c r="G1925" s="294"/>
      <c r="H1925" s="294"/>
      <c r="I1925" s="294"/>
      <c r="J1925" s="294"/>
      <c r="L1925" s="295"/>
      <c r="M1925" s="294"/>
      <c r="O1925" s="294"/>
      <c r="P1925" s="294"/>
      <c r="Q1925" s="294"/>
      <c r="R1925" s="294"/>
      <c r="S1925" s="294"/>
      <c r="T1925" s="294"/>
      <c r="U1925" s="294"/>
      <c r="V1925" s="294"/>
      <c r="W1925" s="294"/>
      <c r="X1925" s="294"/>
      <c r="Y1925" s="294"/>
      <c r="Z1925" s="294"/>
      <c r="AA1925" s="294"/>
      <c r="AB1925" s="294"/>
      <c r="AC1925" s="294"/>
      <c r="AD1925" s="294"/>
      <c r="AE1925" s="294"/>
      <c r="AF1925" s="294"/>
      <c r="AG1925" s="294"/>
    </row>
    <row r="1926" spans="2:33" x14ac:dyDescent="0.25">
      <c r="B1926" s="294"/>
      <c r="C1926" s="294"/>
      <c r="D1926" s="294"/>
      <c r="E1926" s="294"/>
      <c r="F1926" s="294"/>
      <c r="G1926" s="294"/>
      <c r="H1926" s="294"/>
      <c r="I1926" s="294"/>
      <c r="J1926" s="294"/>
      <c r="L1926" s="295"/>
      <c r="M1926" s="294"/>
      <c r="O1926" s="294"/>
      <c r="P1926" s="294"/>
      <c r="Q1926" s="294"/>
      <c r="R1926" s="294"/>
      <c r="S1926" s="294"/>
      <c r="T1926" s="294"/>
      <c r="U1926" s="294"/>
      <c r="V1926" s="294"/>
      <c r="W1926" s="294"/>
      <c r="X1926" s="294"/>
      <c r="Y1926" s="294"/>
      <c r="Z1926" s="294"/>
      <c r="AA1926" s="294"/>
      <c r="AB1926" s="294"/>
      <c r="AC1926" s="294"/>
      <c r="AD1926" s="294"/>
      <c r="AE1926" s="294"/>
      <c r="AF1926" s="294"/>
      <c r="AG1926" s="294"/>
    </row>
    <row r="1927" spans="2:33" x14ac:dyDescent="0.25">
      <c r="B1927" s="294"/>
      <c r="C1927" s="294"/>
      <c r="D1927" s="294"/>
      <c r="E1927" s="294"/>
      <c r="F1927" s="294"/>
      <c r="G1927" s="294"/>
      <c r="H1927" s="294"/>
      <c r="I1927" s="294"/>
      <c r="J1927" s="294"/>
      <c r="L1927" s="295"/>
      <c r="M1927" s="294"/>
      <c r="O1927" s="294"/>
      <c r="P1927" s="294"/>
      <c r="Q1927" s="294"/>
      <c r="R1927" s="294"/>
      <c r="S1927" s="294"/>
      <c r="T1927" s="294"/>
      <c r="U1927" s="294"/>
      <c r="V1927" s="294"/>
      <c r="W1927" s="294"/>
      <c r="X1927" s="294"/>
      <c r="Y1927" s="294"/>
      <c r="Z1927" s="294"/>
      <c r="AA1927" s="294"/>
      <c r="AB1927" s="294"/>
      <c r="AC1927" s="294"/>
      <c r="AD1927" s="294"/>
      <c r="AE1927" s="294"/>
      <c r="AF1927" s="294"/>
      <c r="AG1927" s="294"/>
    </row>
    <row r="1928" spans="2:33" x14ac:dyDescent="0.25">
      <c r="B1928" s="294"/>
      <c r="C1928" s="294"/>
      <c r="D1928" s="294"/>
      <c r="E1928" s="294"/>
      <c r="F1928" s="294"/>
      <c r="G1928" s="294"/>
      <c r="H1928" s="294"/>
      <c r="I1928" s="294"/>
      <c r="J1928" s="294"/>
      <c r="L1928" s="295"/>
      <c r="M1928" s="294"/>
      <c r="O1928" s="294"/>
      <c r="P1928" s="294"/>
      <c r="Q1928" s="294"/>
      <c r="R1928" s="294"/>
      <c r="S1928" s="294"/>
      <c r="T1928" s="294"/>
      <c r="U1928" s="294"/>
      <c r="V1928" s="294"/>
      <c r="W1928" s="294"/>
      <c r="X1928" s="294"/>
      <c r="Y1928" s="294"/>
      <c r="Z1928" s="294"/>
      <c r="AA1928" s="294"/>
      <c r="AB1928" s="294"/>
      <c r="AC1928" s="294"/>
      <c r="AD1928" s="294"/>
      <c r="AE1928" s="294"/>
      <c r="AF1928" s="294"/>
      <c r="AG1928" s="294"/>
    </row>
    <row r="1929" spans="2:33" x14ac:dyDescent="0.25">
      <c r="B1929" s="294"/>
      <c r="C1929" s="294"/>
      <c r="D1929" s="294"/>
      <c r="E1929" s="294"/>
      <c r="F1929" s="294"/>
      <c r="G1929" s="294"/>
      <c r="H1929" s="294"/>
      <c r="I1929" s="294"/>
      <c r="J1929" s="294"/>
      <c r="L1929" s="295"/>
      <c r="M1929" s="294"/>
      <c r="O1929" s="294"/>
      <c r="P1929" s="294"/>
      <c r="Q1929" s="294"/>
      <c r="R1929" s="294"/>
      <c r="S1929" s="294"/>
      <c r="T1929" s="294"/>
      <c r="U1929" s="294"/>
      <c r="V1929" s="294"/>
      <c r="W1929" s="294"/>
      <c r="X1929" s="294"/>
      <c r="Y1929" s="294"/>
      <c r="Z1929" s="294"/>
      <c r="AA1929" s="294"/>
      <c r="AB1929" s="294"/>
      <c r="AC1929" s="294"/>
      <c r="AD1929" s="294"/>
      <c r="AE1929" s="294"/>
      <c r="AF1929" s="294"/>
      <c r="AG1929" s="294"/>
    </row>
    <row r="1930" spans="2:33" x14ac:dyDescent="0.25">
      <c r="B1930" s="294"/>
      <c r="C1930" s="294"/>
      <c r="D1930" s="294"/>
      <c r="E1930" s="294"/>
      <c r="F1930" s="294"/>
      <c r="G1930" s="294"/>
      <c r="H1930" s="294"/>
      <c r="I1930" s="294"/>
      <c r="J1930" s="294"/>
      <c r="L1930" s="295"/>
      <c r="M1930" s="294"/>
      <c r="O1930" s="294"/>
      <c r="P1930" s="294"/>
      <c r="Q1930" s="294"/>
      <c r="R1930" s="294"/>
      <c r="S1930" s="294"/>
      <c r="T1930" s="294"/>
      <c r="U1930" s="294"/>
      <c r="V1930" s="294"/>
      <c r="W1930" s="294"/>
      <c r="X1930" s="294"/>
      <c r="Y1930" s="294"/>
      <c r="Z1930" s="294"/>
      <c r="AA1930" s="294"/>
      <c r="AB1930" s="294"/>
      <c r="AC1930" s="294"/>
      <c r="AD1930" s="294"/>
      <c r="AE1930" s="294"/>
      <c r="AF1930" s="294"/>
      <c r="AG1930" s="294"/>
    </row>
    <row r="1931" spans="2:33" x14ac:dyDescent="0.25">
      <c r="B1931" s="294"/>
      <c r="C1931" s="294"/>
      <c r="D1931" s="294"/>
      <c r="E1931" s="294"/>
      <c r="F1931" s="294"/>
      <c r="G1931" s="294"/>
      <c r="H1931" s="294"/>
      <c r="I1931" s="294"/>
      <c r="J1931" s="294"/>
      <c r="L1931" s="295"/>
      <c r="M1931" s="294"/>
      <c r="O1931" s="294"/>
      <c r="P1931" s="294"/>
      <c r="Q1931" s="294"/>
      <c r="R1931" s="294"/>
      <c r="S1931" s="294"/>
      <c r="T1931" s="294"/>
      <c r="U1931" s="294"/>
      <c r="V1931" s="294"/>
      <c r="W1931" s="294"/>
      <c r="X1931" s="294"/>
      <c r="Y1931" s="294"/>
      <c r="Z1931" s="294"/>
      <c r="AA1931" s="294"/>
      <c r="AB1931" s="294"/>
      <c r="AC1931" s="294"/>
      <c r="AD1931" s="294"/>
      <c r="AE1931" s="294"/>
      <c r="AF1931" s="294"/>
      <c r="AG1931" s="294"/>
    </row>
    <row r="1932" spans="2:33" x14ac:dyDescent="0.25">
      <c r="B1932" s="294"/>
      <c r="C1932" s="294"/>
      <c r="D1932" s="294"/>
      <c r="E1932" s="294"/>
      <c r="F1932" s="294"/>
      <c r="G1932" s="294"/>
      <c r="H1932" s="294"/>
      <c r="I1932" s="294"/>
      <c r="J1932" s="294"/>
      <c r="L1932" s="295"/>
      <c r="M1932" s="294"/>
      <c r="O1932" s="294"/>
      <c r="P1932" s="294"/>
      <c r="Q1932" s="294"/>
      <c r="R1932" s="294"/>
      <c r="S1932" s="294"/>
      <c r="T1932" s="294"/>
      <c r="U1932" s="294"/>
      <c r="V1932" s="294"/>
      <c r="W1932" s="294"/>
      <c r="X1932" s="294"/>
      <c r="Y1932" s="294"/>
      <c r="Z1932" s="294"/>
      <c r="AA1932" s="294"/>
      <c r="AB1932" s="294"/>
      <c r="AC1932" s="294"/>
      <c r="AD1932" s="294"/>
      <c r="AE1932" s="294"/>
      <c r="AF1932" s="294"/>
      <c r="AG1932" s="294"/>
    </row>
    <row r="1933" spans="2:33" x14ac:dyDescent="0.25">
      <c r="B1933" s="294"/>
      <c r="C1933" s="294"/>
      <c r="D1933" s="294"/>
      <c r="E1933" s="294"/>
      <c r="F1933" s="294"/>
      <c r="G1933" s="294"/>
      <c r="H1933" s="294"/>
      <c r="I1933" s="294"/>
      <c r="J1933" s="294"/>
      <c r="L1933" s="295"/>
      <c r="M1933" s="294"/>
      <c r="O1933" s="294"/>
      <c r="P1933" s="294"/>
      <c r="Q1933" s="294"/>
      <c r="R1933" s="294"/>
      <c r="S1933" s="294"/>
      <c r="T1933" s="294"/>
      <c r="U1933" s="294"/>
      <c r="V1933" s="294"/>
      <c r="W1933" s="294"/>
      <c r="X1933" s="294"/>
      <c r="Y1933" s="294"/>
      <c r="Z1933" s="294"/>
      <c r="AA1933" s="294"/>
      <c r="AB1933" s="294"/>
      <c r="AC1933" s="294"/>
      <c r="AD1933" s="294"/>
      <c r="AE1933" s="294"/>
      <c r="AF1933" s="294"/>
      <c r="AG1933" s="294"/>
    </row>
    <row r="1934" spans="2:33" x14ac:dyDescent="0.25">
      <c r="B1934" s="294"/>
      <c r="C1934" s="294"/>
      <c r="D1934" s="294"/>
      <c r="E1934" s="294"/>
      <c r="F1934" s="294"/>
      <c r="G1934" s="294"/>
      <c r="H1934" s="294"/>
      <c r="I1934" s="294"/>
      <c r="J1934" s="294"/>
      <c r="L1934" s="295"/>
      <c r="M1934" s="294"/>
      <c r="O1934" s="294"/>
      <c r="P1934" s="294"/>
      <c r="Q1934" s="294"/>
      <c r="R1934" s="294"/>
      <c r="S1934" s="294"/>
      <c r="T1934" s="294"/>
      <c r="U1934" s="294"/>
      <c r="V1934" s="294"/>
      <c r="W1934" s="294"/>
      <c r="X1934" s="294"/>
      <c r="Y1934" s="294"/>
      <c r="Z1934" s="294"/>
      <c r="AA1934" s="294"/>
      <c r="AB1934" s="294"/>
      <c r="AC1934" s="294"/>
      <c r="AD1934" s="294"/>
      <c r="AE1934" s="294"/>
      <c r="AF1934" s="294"/>
      <c r="AG1934" s="294"/>
    </row>
    <row r="1935" spans="2:33" x14ac:dyDescent="0.25">
      <c r="B1935" s="294"/>
      <c r="C1935" s="294"/>
      <c r="D1935" s="294"/>
      <c r="E1935" s="294"/>
      <c r="F1935" s="294"/>
      <c r="G1935" s="294"/>
      <c r="H1935" s="294"/>
      <c r="I1935" s="294"/>
      <c r="J1935" s="294"/>
      <c r="L1935" s="295"/>
      <c r="M1935" s="294"/>
      <c r="O1935" s="294"/>
      <c r="P1935" s="294"/>
      <c r="Q1935" s="294"/>
      <c r="R1935" s="294"/>
      <c r="S1935" s="294"/>
      <c r="T1935" s="294"/>
      <c r="U1935" s="294"/>
      <c r="V1935" s="294"/>
      <c r="W1935" s="294"/>
      <c r="X1935" s="294"/>
      <c r="Y1935" s="294"/>
      <c r="Z1935" s="294"/>
      <c r="AA1935" s="294"/>
      <c r="AB1935" s="294"/>
      <c r="AC1935" s="294"/>
      <c r="AD1935" s="294"/>
      <c r="AE1935" s="294"/>
      <c r="AF1935" s="294"/>
      <c r="AG1935" s="294"/>
    </row>
    <row r="1936" spans="2:33" x14ac:dyDescent="0.25">
      <c r="B1936" s="294"/>
      <c r="C1936" s="294"/>
      <c r="D1936" s="294"/>
      <c r="E1936" s="294"/>
      <c r="F1936" s="294"/>
      <c r="G1936" s="294"/>
      <c r="H1936" s="294"/>
      <c r="I1936" s="294"/>
      <c r="J1936" s="294"/>
      <c r="L1936" s="295"/>
      <c r="M1936" s="294"/>
      <c r="O1936" s="294"/>
      <c r="P1936" s="294"/>
      <c r="Q1936" s="294"/>
      <c r="R1936" s="294"/>
      <c r="S1936" s="294"/>
      <c r="T1936" s="294"/>
      <c r="U1936" s="294"/>
      <c r="V1936" s="294"/>
      <c r="W1936" s="294"/>
      <c r="X1936" s="294"/>
      <c r="Y1936" s="294"/>
      <c r="Z1936" s="294"/>
      <c r="AA1936" s="294"/>
      <c r="AB1936" s="294"/>
      <c r="AC1936" s="294"/>
      <c r="AD1936" s="294"/>
      <c r="AE1936" s="294"/>
      <c r="AF1936" s="294"/>
      <c r="AG1936" s="294"/>
    </row>
    <row r="1937" spans="2:33" x14ac:dyDescent="0.25">
      <c r="B1937" s="294"/>
      <c r="C1937" s="294"/>
      <c r="D1937" s="294"/>
      <c r="E1937" s="294"/>
      <c r="F1937" s="294"/>
      <c r="G1937" s="294"/>
      <c r="H1937" s="294"/>
      <c r="I1937" s="294"/>
      <c r="J1937" s="294"/>
      <c r="L1937" s="295"/>
      <c r="M1937" s="294"/>
      <c r="O1937" s="294"/>
      <c r="P1937" s="294"/>
      <c r="Q1937" s="294"/>
      <c r="R1937" s="294"/>
      <c r="S1937" s="294"/>
      <c r="T1937" s="294"/>
      <c r="U1937" s="294"/>
      <c r="V1937" s="294"/>
      <c r="W1937" s="294"/>
      <c r="X1937" s="294"/>
      <c r="Y1937" s="294"/>
      <c r="Z1937" s="294"/>
      <c r="AA1937" s="294"/>
      <c r="AB1937" s="294"/>
      <c r="AC1937" s="294"/>
      <c r="AD1937" s="294"/>
      <c r="AE1937" s="294"/>
      <c r="AF1937" s="294"/>
      <c r="AG1937" s="294"/>
    </row>
    <row r="1938" spans="2:33" x14ac:dyDescent="0.25">
      <c r="B1938" s="294"/>
      <c r="C1938" s="294"/>
      <c r="D1938" s="294"/>
      <c r="E1938" s="294"/>
      <c r="F1938" s="294"/>
      <c r="G1938" s="294"/>
      <c r="H1938" s="294"/>
      <c r="I1938" s="294"/>
      <c r="J1938" s="294"/>
      <c r="L1938" s="295"/>
      <c r="M1938" s="294"/>
      <c r="O1938" s="294"/>
      <c r="P1938" s="294"/>
      <c r="Q1938" s="294"/>
      <c r="R1938" s="294"/>
      <c r="S1938" s="294"/>
      <c r="T1938" s="294"/>
      <c r="U1938" s="294"/>
      <c r="V1938" s="294"/>
      <c r="W1938" s="294"/>
      <c r="X1938" s="294"/>
      <c r="Y1938" s="294"/>
      <c r="Z1938" s="294"/>
      <c r="AA1938" s="294"/>
      <c r="AB1938" s="294"/>
      <c r="AC1938" s="294"/>
      <c r="AD1938" s="294"/>
      <c r="AE1938" s="294"/>
      <c r="AF1938" s="294"/>
      <c r="AG1938" s="294"/>
    </row>
    <row r="1939" spans="2:33" x14ac:dyDescent="0.25">
      <c r="B1939" s="294"/>
      <c r="C1939" s="294"/>
      <c r="D1939" s="294"/>
      <c r="E1939" s="294"/>
      <c r="F1939" s="294"/>
      <c r="G1939" s="294"/>
      <c r="H1939" s="294"/>
      <c r="I1939" s="294"/>
      <c r="J1939" s="294"/>
      <c r="L1939" s="295"/>
      <c r="M1939" s="294"/>
      <c r="O1939" s="294"/>
      <c r="P1939" s="294"/>
      <c r="Q1939" s="294"/>
      <c r="R1939" s="294"/>
      <c r="S1939" s="294"/>
      <c r="T1939" s="294"/>
      <c r="U1939" s="294"/>
      <c r="V1939" s="294"/>
      <c r="W1939" s="294"/>
      <c r="X1939" s="294"/>
      <c r="Y1939" s="294"/>
      <c r="Z1939" s="294"/>
      <c r="AA1939" s="294"/>
      <c r="AB1939" s="294"/>
      <c r="AC1939" s="294"/>
      <c r="AD1939" s="294"/>
      <c r="AE1939" s="294"/>
      <c r="AF1939" s="294"/>
      <c r="AG1939" s="294"/>
    </row>
    <row r="1940" spans="2:33" x14ac:dyDescent="0.25">
      <c r="B1940" s="294"/>
      <c r="C1940" s="294"/>
      <c r="D1940" s="294"/>
      <c r="E1940" s="294"/>
      <c r="F1940" s="294"/>
      <c r="G1940" s="294"/>
      <c r="H1940" s="294"/>
      <c r="I1940" s="294"/>
      <c r="J1940" s="294"/>
      <c r="L1940" s="295"/>
      <c r="M1940" s="294"/>
      <c r="O1940" s="294"/>
      <c r="P1940" s="294"/>
      <c r="Q1940" s="294"/>
      <c r="R1940" s="294"/>
      <c r="S1940" s="294"/>
      <c r="T1940" s="294"/>
      <c r="U1940" s="294"/>
      <c r="V1940" s="294"/>
      <c r="W1940" s="294"/>
      <c r="X1940" s="294"/>
      <c r="Y1940" s="294"/>
      <c r="Z1940" s="294"/>
      <c r="AA1940" s="294"/>
      <c r="AB1940" s="294"/>
      <c r="AC1940" s="294"/>
      <c r="AD1940" s="294"/>
      <c r="AE1940" s="294"/>
      <c r="AF1940" s="294"/>
      <c r="AG1940" s="294"/>
    </row>
    <row r="1941" spans="2:33" x14ac:dyDescent="0.25">
      <c r="B1941" s="294"/>
      <c r="C1941" s="294"/>
      <c r="D1941" s="294"/>
      <c r="E1941" s="294"/>
      <c r="F1941" s="294"/>
      <c r="G1941" s="294"/>
      <c r="H1941" s="294"/>
      <c r="I1941" s="294"/>
      <c r="J1941" s="294"/>
      <c r="L1941" s="295"/>
      <c r="M1941" s="294"/>
      <c r="O1941" s="294"/>
      <c r="P1941" s="294"/>
      <c r="Q1941" s="294"/>
      <c r="R1941" s="294"/>
      <c r="S1941" s="294"/>
      <c r="T1941" s="294"/>
      <c r="U1941" s="294"/>
      <c r="V1941" s="294"/>
      <c r="W1941" s="294"/>
      <c r="X1941" s="294"/>
      <c r="Y1941" s="294"/>
      <c r="Z1941" s="294"/>
      <c r="AA1941" s="294"/>
      <c r="AB1941" s="294"/>
      <c r="AC1941" s="294"/>
      <c r="AD1941" s="294"/>
      <c r="AE1941" s="294"/>
      <c r="AF1941" s="294"/>
      <c r="AG1941" s="294"/>
    </row>
    <row r="1942" spans="2:33" x14ac:dyDescent="0.25">
      <c r="B1942" s="294"/>
      <c r="C1942" s="294"/>
      <c r="D1942" s="294"/>
      <c r="E1942" s="294"/>
      <c r="F1942" s="294"/>
      <c r="G1942" s="294"/>
      <c r="H1942" s="294"/>
      <c r="I1942" s="294"/>
      <c r="J1942" s="294"/>
      <c r="L1942" s="295"/>
      <c r="M1942" s="294"/>
      <c r="O1942" s="294"/>
      <c r="P1942" s="294"/>
      <c r="Q1942" s="294"/>
      <c r="R1942" s="294"/>
      <c r="S1942" s="294"/>
      <c r="T1942" s="294"/>
      <c r="U1942" s="294"/>
      <c r="V1942" s="294"/>
      <c r="W1942" s="294"/>
      <c r="X1942" s="294"/>
      <c r="Y1942" s="294"/>
      <c r="Z1942" s="294"/>
      <c r="AA1942" s="294"/>
      <c r="AB1942" s="294"/>
      <c r="AC1942" s="294"/>
      <c r="AD1942" s="294"/>
      <c r="AE1942" s="294"/>
      <c r="AF1942" s="294"/>
      <c r="AG1942" s="294"/>
    </row>
    <row r="1943" spans="2:33" x14ac:dyDescent="0.25">
      <c r="B1943" s="294"/>
      <c r="C1943" s="294"/>
      <c r="D1943" s="294"/>
      <c r="E1943" s="294"/>
      <c r="F1943" s="294"/>
      <c r="G1943" s="294"/>
      <c r="H1943" s="294"/>
      <c r="I1943" s="294"/>
      <c r="J1943" s="294"/>
      <c r="L1943" s="295"/>
      <c r="M1943" s="294"/>
      <c r="O1943" s="294"/>
      <c r="P1943" s="294"/>
      <c r="Q1943" s="294"/>
      <c r="R1943" s="294"/>
      <c r="S1943" s="294"/>
      <c r="T1943" s="294"/>
      <c r="U1943" s="294"/>
      <c r="V1943" s="294"/>
      <c r="W1943" s="294"/>
      <c r="X1943" s="294"/>
      <c r="Y1943" s="294"/>
      <c r="Z1943" s="294"/>
      <c r="AA1943" s="294"/>
      <c r="AB1943" s="294"/>
      <c r="AC1943" s="294"/>
      <c r="AD1943" s="294"/>
      <c r="AE1943" s="294"/>
      <c r="AF1943" s="294"/>
      <c r="AG1943" s="294"/>
    </row>
    <row r="1944" spans="2:33" x14ac:dyDescent="0.25">
      <c r="B1944" s="294"/>
      <c r="C1944" s="294"/>
      <c r="D1944" s="294"/>
      <c r="E1944" s="294"/>
      <c r="F1944" s="294"/>
      <c r="G1944" s="294"/>
      <c r="H1944" s="294"/>
      <c r="I1944" s="294"/>
      <c r="J1944" s="294"/>
      <c r="L1944" s="295"/>
      <c r="M1944" s="294"/>
      <c r="O1944" s="294"/>
      <c r="P1944" s="294"/>
      <c r="Q1944" s="294"/>
      <c r="R1944" s="294"/>
      <c r="S1944" s="294"/>
      <c r="T1944" s="294"/>
      <c r="U1944" s="294"/>
      <c r="V1944" s="294"/>
      <c r="W1944" s="294"/>
      <c r="X1944" s="294"/>
      <c r="Y1944" s="294"/>
      <c r="Z1944" s="294"/>
      <c r="AA1944" s="294"/>
      <c r="AB1944" s="294"/>
      <c r="AC1944" s="294"/>
      <c r="AD1944" s="294"/>
      <c r="AE1944" s="294"/>
      <c r="AF1944" s="294"/>
      <c r="AG1944" s="294"/>
    </row>
    <row r="1945" spans="2:33" x14ac:dyDescent="0.25">
      <c r="B1945" s="294"/>
      <c r="C1945" s="294"/>
      <c r="D1945" s="294"/>
      <c r="E1945" s="294"/>
      <c r="F1945" s="294"/>
      <c r="G1945" s="294"/>
      <c r="H1945" s="294"/>
      <c r="I1945" s="294"/>
      <c r="J1945" s="294"/>
      <c r="L1945" s="295"/>
      <c r="M1945" s="294"/>
      <c r="O1945" s="294"/>
      <c r="P1945" s="294"/>
      <c r="Q1945" s="294"/>
      <c r="R1945" s="294"/>
      <c r="S1945" s="294"/>
      <c r="T1945" s="294"/>
      <c r="U1945" s="294"/>
      <c r="V1945" s="294"/>
      <c r="W1945" s="294"/>
      <c r="X1945" s="294"/>
      <c r="Y1945" s="294"/>
      <c r="Z1945" s="294"/>
      <c r="AA1945" s="294"/>
      <c r="AB1945" s="294"/>
      <c r="AC1945" s="294"/>
      <c r="AD1945" s="294"/>
      <c r="AE1945" s="294"/>
      <c r="AF1945" s="294"/>
      <c r="AG1945" s="294"/>
    </row>
    <row r="1946" spans="2:33" x14ac:dyDescent="0.25">
      <c r="B1946" s="294"/>
      <c r="C1946" s="294"/>
      <c r="D1946" s="294"/>
      <c r="E1946" s="294"/>
      <c r="F1946" s="294"/>
      <c r="G1946" s="294"/>
      <c r="H1946" s="294"/>
      <c r="I1946" s="294"/>
      <c r="J1946" s="294"/>
      <c r="L1946" s="295"/>
      <c r="M1946" s="294"/>
      <c r="O1946" s="294"/>
      <c r="P1946" s="294"/>
      <c r="Q1946" s="294"/>
      <c r="R1946" s="294"/>
      <c r="S1946" s="294"/>
      <c r="T1946" s="294"/>
      <c r="U1946" s="294"/>
      <c r="V1946" s="294"/>
      <c r="W1946" s="294"/>
      <c r="X1946" s="294"/>
      <c r="Y1946" s="294"/>
      <c r="Z1946" s="294"/>
      <c r="AA1946" s="294"/>
      <c r="AB1946" s="294"/>
      <c r="AC1946" s="294"/>
      <c r="AD1946" s="294"/>
      <c r="AE1946" s="294"/>
      <c r="AF1946" s="294"/>
      <c r="AG1946" s="294"/>
    </row>
    <row r="1947" spans="2:33" x14ac:dyDescent="0.25">
      <c r="B1947" s="294"/>
      <c r="C1947" s="294"/>
      <c r="D1947" s="294"/>
      <c r="E1947" s="294"/>
      <c r="F1947" s="294"/>
      <c r="G1947" s="294"/>
      <c r="H1947" s="294"/>
      <c r="I1947" s="294"/>
      <c r="J1947" s="294"/>
      <c r="L1947" s="295"/>
      <c r="M1947" s="294"/>
      <c r="O1947" s="294"/>
      <c r="P1947" s="294"/>
      <c r="Q1947" s="294"/>
      <c r="R1947" s="294"/>
      <c r="S1947" s="294"/>
      <c r="T1947" s="294"/>
      <c r="U1947" s="294"/>
      <c r="V1947" s="294"/>
      <c r="W1947" s="294"/>
      <c r="X1947" s="294"/>
      <c r="Y1947" s="294"/>
      <c r="Z1947" s="294"/>
      <c r="AA1947" s="294"/>
      <c r="AB1947" s="294"/>
      <c r="AC1947" s="294"/>
      <c r="AD1947" s="294"/>
      <c r="AE1947" s="294"/>
      <c r="AF1947" s="294"/>
      <c r="AG1947" s="294"/>
    </row>
    <row r="1948" spans="2:33" x14ac:dyDescent="0.25">
      <c r="B1948" s="294"/>
      <c r="C1948" s="294"/>
      <c r="D1948" s="294"/>
      <c r="E1948" s="294"/>
      <c r="F1948" s="294"/>
      <c r="G1948" s="294"/>
      <c r="H1948" s="294"/>
      <c r="I1948" s="294"/>
      <c r="J1948" s="294"/>
      <c r="L1948" s="295"/>
      <c r="M1948" s="294"/>
      <c r="O1948" s="294"/>
      <c r="P1948" s="294"/>
      <c r="Q1948" s="294"/>
      <c r="R1948" s="294"/>
      <c r="S1948" s="294"/>
      <c r="T1948" s="294"/>
      <c r="U1948" s="294"/>
      <c r="V1948" s="294"/>
      <c r="W1948" s="294"/>
      <c r="X1948" s="294"/>
      <c r="Y1948" s="294"/>
      <c r="Z1948" s="294"/>
      <c r="AA1948" s="294"/>
      <c r="AB1948" s="294"/>
      <c r="AC1948" s="294"/>
      <c r="AD1948" s="294"/>
      <c r="AE1948" s="294"/>
      <c r="AF1948" s="294"/>
      <c r="AG1948" s="294"/>
    </row>
    <row r="1949" spans="2:33" x14ac:dyDescent="0.25">
      <c r="B1949" s="294"/>
      <c r="C1949" s="294"/>
      <c r="D1949" s="294"/>
      <c r="E1949" s="294"/>
      <c r="F1949" s="294"/>
      <c r="G1949" s="294"/>
      <c r="H1949" s="294"/>
      <c r="I1949" s="294"/>
      <c r="J1949" s="294"/>
      <c r="L1949" s="295"/>
      <c r="M1949" s="294"/>
      <c r="O1949" s="294"/>
      <c r="P1949" s="294"/>
      <c r="Q1949" s="294"/>
      <c r="R1949" s="294"/>
      <c r="S1949" s="294"/>
      <c r="T1949" s="294"/>
      <c r="U1949" s="294"/>
      <c r="V1949" s="294"/>
      <c r="W1949" s="294"/>
      <c r="X1949" s="294"/>
      <c r="Y1949" s="294"/>
      <c r="Z1949" s="294"/>
      <c r="AA1949" s="294"/>
      <c r="AB1949" s="294"/>
      <c r="AC1949" s="294"/>
      <c r="AD1949" s="294"/>
      <c r="AE1949" s="294"/>
      <c r="AF1949" s="294"/>
      <c r="AG1949" s="294"/>
    </row>
    <row r="1950" spans="2:33" x14ac:dyDescent="0.25">
      <c r="B1950" s="294"/>
      <c r="C1950" s="294"/>
      <c r="D1950" s="294"/>
      <c r="E1950" s="294"/>
      <c r="F1950" s="294"/>
      <c r="G1950" s="294"/>
      <c r="H1950" s="294"/>
      <c r="I1950" s="294"/>
      <c r="J1950" s="294"/>
      <c r="L1950" s="295"/>
      <c r="M1950" s="294"/>
      <c r="O1950" s="294"/>
      <c r="P1950" s="294"/>
      <c r="Q1950" s="294"/>
      <c r="R1950" s="294"/>
      <c r="S1950" s="294"/>
      <c r="T1950" s="294"/>
      <c r="U1950" s="294"/>
      <c r="V1950" s="294"/>
      <c r="W1950" s="294"/>
      <c r="X1950" s="294"/>
      <c r="Y1950" s="294"/>
      <c r="Z1950" s="294"/>
      <c r="AA1950" s="294"/>
      <c r="AB1950" s="294"/>
      <c r="AC1950" s="294"/>
      <c r="AD1950" s="294"/>
      <c r="AE1950" s="294"/>
      <c r="AF1950" s="294"/>
      <c r="AG1950" s="294"/>
    </row>
    <row r="1951" spans="2:33" x14ac:dyDescent="0.25">
      <c r="B1951" s="294"/>
      <c r="C1951" s="294"/>
      <c r="D1951" s="294"/>
      <c r="E1951" s="294"/>
      <c r="F1951" s="294"/>
      <c r="G1951" s="294"/>
      <c r="H1951" s="294"/>
      <c r="I1951" s="294"/>
      <c r="J1951" s="294"/>
      <c r="L1951" s="295"/>
      <c r="M1951" s="294"/>
      <c r="O1951" s="294"/>
      <c r="P1951" s="294"/>
      <c r="Q1951" s="294"/>
      <c r="R1951" s="294"/>
      <c r="S1951" s="294"/>
      <c r="T1951" s="294"/>
      <c r="U1951" s="294"/>
      <c r="V1951" s="294"/>
      <c r="W1951" s="294"/>
      <c r="X1951" s="294"/>
      <c r="Y1951" s="294"/>
      <c r="Z1951" s="294"/>
      <c r="AA1951" s="294"/>
      <c r="AB1951" s="294"/>
      <c r="AC1951" s="294"/>
      <c r="AD1951" s="294"/>
      <c r="AE1951" s="294"/>
      <c r="AF1951" s="294"/>
      <c r="AG1951" s="294"/>
    </row>
    <row r="1952" spans="2:33" x14ac:dyDescent="0.25">
      <c r="B1952" s="294"/>
      <c r="C1952" s="294"/>
      <c r="D1952" s="294"/>
      <c r="E1952" s="294"/>
      <c r="F1952" s="294"/>
      <c r="G1952" s="294"/>
      <c r="H1952" s="294"/>
      <c r="I1952" s="294"/>
      <c r="J1952" s="294"/>
      <c r="L1952" s="295"/>
      <c r="M1952" s="294"/>
      <c r="O1952" s="294"/>
      <c r="P1952" s="294"/>
      <c r="Q1952" s="294"/>
      <c r="R1952" s="294"/>
      <c r="S1952" s="294"/>
      <c r="T1952" s="294"/>
      <c r="U1952" s="294"/>
      <c r="V1952" s="294"/>
      <c r="W1952" s="294"/>
      <c r="X1952" s="294"/>
      <c r="Y1952" s="294"/>
      <c r="Z1952" s="294"/>
      <c r="AA1952" s="294"/>
      <c r="AB1952" s="294"/>
      <c r="AC1952" s="294"/>
      <c r="AD1952" s="294"/>
      <c r="AE1952" s="294"/>
      <c r="AF1952" s="294"/>
      <c r="AG1952" s="294"/>
    </row>
    <row r="1953" spans="2:33" x14ac:dyDescent="0.25">
      <c r="B1953" s="294"/>
      <c r="C1953" s="294"/>
      <c r="D1953" s="294"/>
      <c r="E1953" s="294"/>
      <c r="F1953" s="294"/>
      <c r="G1953" s="294"/>
      <c r="H1953" s="294"/>
      <c r="I1953" s="294"/>
      <c r="J1953" s="294"/>
      <c r="L1953" s="295"/>
      <c r="M1953" s="294"/>
      <c r="O1953" s="294"/>
      <c r="P1953" s="294"/>
      <c r="Q1953" s="294"/>
      <c r="R1953" s="294"/>
      <c r="S1953" s="294"/>
      <c r="T1953" s="294"/>
      <c r="U1953" s="294"/>
      <c r="V1953" s="294"/>
      <c r="W1953" s="294"/>
      <c r="X1953" s="294"/>
      <c r="Y1953" s="294"/>
      <c r="Z1953" s="294"/>
      <c r="AA1953" s="294"/>
      <c r="AB1953" s="294"/>
      <c r="AC1953" s="294"/>
      <c r="AD1953" s="294"/>
      <c r="AE1953" s="294"/>
      <c r="AF1953" s="294"/>
      <c r="AG1953" s="294"/>
    </row>
    <row r="1954" spans="2:33" x14ac:dyDescent="0.25">
      <c r="B1954" s="294"/>
      <c r="C1954" s="294"/>
      <c r="D1954" s="294"/>
      <c r="E1954" s="294"/>
      <c r="F1954" s="294"/>
      <c r="G1954" s="294"/>
      <c r="H1954" s="294"/>
      <c r="I1954" s="294"/>
      <c r="J1954" s="294"/>
      <c r="L1954" s="295"/>
      <c r="M1954" s="294"/>
      <c r="O1954" s="294"/>
      <c r="P1954" s="294"/>
      <c r="Q1954" s="294"/>
      <c r="R1954" s="294"/>
      <c r="S1954" s="294"/>
      <c r="T1954" s="294"/>
      <c r="U1954" s="294"/>
      <c r="V1954" s="294"/>
      <c r="W1954" s="294"/>
      <c r="X1954" s="294"/>
      <c r="Y1954" s="294"/>
      <c r="Z1954" s="294"/>
      <c r="AA1954" s="294"/>
      <c r="AB1954" s="294"/>
      <c r="AC1954" s="294"/>
      <c r="AD1954" s="294"/>
      <c r="AE1954" s="294"/>
      <c r="AF1954" s="294"/>
      <c r="AG1954" s="294"/>
    </row>
    <row r="1955" spans="2:33" x14ac:dyDescent="0.25">
      <c r="B1955" s="294"/>
      <c r="C1955" s="294"/>
      <c r="D1955" s="294"/>
      <c r="E1955" s="294"/>
      <c r="F1955" s="294"/>
      <c r="G1955" s="294"/>
      <c r="H1955" s="294"/>
      <c r="I1955" s="294"/>
      <c r="J1955" s="294"/>
      <c r="L1955" s="295"/>
      <c r="M1955" s="294"/>
      <c r="O1955" s="294"/>
      <c r="P1955" s="294"/>
      <c r="Q1955" s="294"/>
      <c r="R1955" s="294"/>
      <c r="S1955" s="294"/>
      <c r="T1955" s="294"/>
      <c r="U1955" s="294"/>
      <c r="V1955" s="294"/>
      <c r="W1955" s="294"/>
      <c r="X1955" s="294"/>
      <c r="Y1955" s="294"/>
      <c r="Z1955" s="294"/>
      <c r="AA1955" s="294"/>
      <c r="AB1955" s="294"/>
      <c r="AC1955" s="294"/>
      <c r="AD1955" s="294"/>
      <c r="AE1955" s="294"/>
      <c r="AF1955" s="294"/>
      <c r="AG1955" s="294"/>
    </row>
    <row r="1956" spans="2:33" x14ac:dyDescent="0.25">
      <c r="B1956" s="294"/>
      <c r="C1956" s="294"/>
      <c r="D1956" s="294"/>
      <c r="E1956" s="294"/>
      <c r="F1956" s="294"/>
      <c r="G1956" s="294"/>
      <c r="H1956" s="294"/>
      <c r="I1956" s="294"/>
      <c r="J1956" s="294"/>
      <c r="L1956" s="295"/>
      <c r="M1956" s="294"/>
      <c r="O1956" s="294"/>
      <c r="P1956" s="294"/>
      <c r="Q1956" s="294"/>
      <c r="R1956" s="294"/>
      <c r="S1956" s="294"/>
      <c r="T1956" s="294"/>
      <c r="U1956" s="294"/>
      <c r="V1956" s="294"/>
      <c r="W1956" s="294"/>
      <c r="X1956" s="294"/>
      <c r="Y1956" s="294"/>
      <c r="Z1956" s="294"/>
      <c r="AA1956" s="294"/>
      <c r="AB1956" s="294"/>
      <c r="AC1956" s="294"/>
      <c r="AD1956" s="294"/>
      <c r="AE1956" s="294"/>
      <c r="AF1956" s="294"/>
      <c r="AG1956" s="294"/>
    </row>
    <row r="1957" spans="2:33" x14ac:dyDescent="0.25">
      <c r="B1957" s="294"/>
      <c r="C1957" s="294"/>
      <c r="D1957" s="294"/>
      <c r="E1957" s="294"/>
      <c r="F1957" s="294"/>
      <c r="G1957" s="294"/>
      <c r="H1957" s="294"/>
      <c r="I1957" s="294"/>
      <c r="J1957" s="294"/>
      <c r="L1957" s="295"/>
      <c r="M1957" s="294"/>
      <c r="O1957" s="294"/>
      <c r="P1957" s="294"/>
      <c r="Q1957" s="294"/>
      <c r="R1957" s="294"/>
      <c r="S1957" s="294"/>
      <c r="T1957" s="294"/>
      <c r="U1957" s="294"/>
      <c r="V1957" s="294"/>
      <c r="W1957" s="294"/>
      <c r="X1957" s="294"/>
      <c r="Y1957" s="294"/>
      <c r="Z1957" s="294"/>
      <c r="AA1957" s="294"/>
      <c r="AB1957" s="294"/>
      <c r="AC1957" s="294"/>
      <c r="AD1957" s="294"/>
      <c r="AE1957" s="294"/>
      <c r="AF1957" s="294"/>
      <c r="AG1957" s="294"/>
    </row>
    <row r="1958" spans="2:33" x14ac:dyDescent="0.25">
      <c r="B1958" s="294"/>
      <c r="C1958" s="294"/>
      <c r="D1958" s="294"/>
      <c r="E1958" s="294"/>
      <c r="F1958" s="294"/>
      <c r="G1958" s="294"/>
      <c r="H1958" s="294"/>
      <c r="I1958" s="294"/>
      <c r="J1958" s="294"/>
      <c r="L1958" s="295"/>
      <c r="M1958" s="294"/>
      <c r="O1958" s="294"/>
      <c r="P1958" s="294"/>
      <c r="Q1958" s="294"/>
      <c r="R1958" s="294"/>
      <c r="S1958" s="294"/>
      <c r="T1958" s="294"/>
      <c r="U1958" s="294"/>
      <c r="V1958" s="294"/>
      <c r="W1958" s="294"/>
      <c r="X1958" s="294"/>
      <c r="Y1958" s="294"/>
      <c r="Z1958" s="294"/>
      <c r="AA1958" s="294"/>
      <c r="AB1958" s="294"/>
      <c r="AC1958" s="294"/>
      <c r="AD1958" s="294"/>
      <c r="AE1958" s="294"/>
      <c r="AF1958" s="294"/>
      <c r="AG1958" s="294"/>
    </row>
    <row r="1959" spans="2:33" x14ac:dyDescent="0.25">
      <c r="B1959" s="294"/>
      <c r="C1959" s="294"/>
      <c r="D1959" s="294"/>
      <c r="E1959" s="294"/>
      <c r="F1959" s="294"/>
      <c r="G1959" s="294"/>
      <c r="H1959" s="294"/>
      <c r="I1959" s="294"/>
      <c r="J1959" s="294"/>
      <c r="L1959" s="295"/>
      <c r="M1959" s="294"/>
      <c r="O1959" s="294"/>
      <c r="P1959" s="294"/>
      <c r="Q1959" s="294"/>
      <c r="R1959" s="294"/>
      <c r="S1959" s="294"/>
      <c r="T1959" s="294"/>
      <c r="U1959" s="294"/>
      <c r="V1959" s="294"/>
      <c r="W1959" s="294"/>
      <c r="X1959" s="294"/>
      <c r="Y1959" s="294"/>
      <c r="Z1959" s="294"/>
      <c r="AA1959" s="294"/>
      <c r="AB1959" s="294"/>
      <c r="AC1959" s="294"/>
      <c r="AD1959" s="294"/>
      <c r="AE1959" s="294"/>
      <c r="AF1959" s="294"/>
      <c r="AG1959" s="294"/>
    </row>
    <row r="1960" spans="2:33" x14ac:dyDescent="0.25">
      <c r="B1960" s="294"/>
      <c r="C1960" s="294"/>
      <c r="D1960" s="294"/>
      <c r="E1960" s="294"/>
      <c r="F1960" s="294"/>
      <c r="G1960" s="294"/>
      <c r="H1960" s="294"/>
      <c r="I1960" s="294"/>
      <c r="J1960" s="294"/>
      <c r="L1960" s="295"/>
      <c r="M1960" s="294"/>
      <c r="O1960" s="294"/>
      <c r="P1960" s="294"/>
      <c r="Q1960" s="294"/>
      <c r="R1960" s="294"/>
      <c r="S1960" s="294"/>
      <c r="T1960" s="294"/>
      <c r="U1960" s="294"/>
      <c r="V1960" s="294"/>
      <c r="W1960" s="294"/>
      <c r="X1960" s="294"/>
      <c r="Y1960" s="294"/>
      <c r="Z1960" s="294"/>
      <c r="AA1960" s="294"/>
      <c r="AB1960" s="294"/>
      <c r="AC1960" s="294"/>
      <c r="AD1960" s="294"/>
      <c r="AE1960" s="294"/>
      <c r="AF1960" s="294"/>
      <c r="AG1960" s="294"/>
    </row>
    <row r="1961" spans="2:33" x14ac:dyDescent="0.25">
      <c r="B1961" s="294"/>
      <c r="C1961" s="294"/>
      <c r="D1961" s="294"/>
      <c r="E1961" s="294"/>
      <c r="F1961" s="294"/>
      <c r="G1961" s="294"/>
      <c r="H1961" s="294"/>
      <c r="I1961" s="294"/>
      <c r="J1961" s="294"/>
      <c r="L1961" s="295"/>
      <c r="M1961" s="294"/>
      <c r="O1961" s="294"/>
      <c r="P1961" s="294"/>
      <c r="Q1961" s="294"/>
      <c r="R1961" s="294"/>
      <c r="S1961" s="294"/>
      <c r="T1961" s="294"/>
      <c r="U1961" s="294"/>
      <c r="V1961" s="294"/>
      <c r="W1961" s="294"/>
      <c r="X1961" s="294"/>
      <c r="Y1961" s="294"/>
      <c r="Z1961" s="294"/>
      <c r="AA1961" s="294"/>
      <c r="AB1961" s="294"/>
      <c r="AC1961" s="294"/>
      <c r="AD1961" s="294"/>
      <c r="AE1961" s="294"/>
      <c r="AF1961" s="294"/>
      <c r="AG1961" s="294"/>
    </row>
    <row r="1962" spans="2:33" x14ac:dyDescent="0.25">
      <c r="B1962" s="294"/>
      <c r="C1962" s="294"/>
      <c r="D1962" s="294"/>
      <c r="E1962" s="294"/>
      <c r="F1962" s="294"/>
      <c r="G1962" s="294"/>
      <c r="H1962" s="294"/>
      <c r="I1962" s="294"/>
      <c r="J1962" s="294"/>
      <c r="L1962" s="295"/>
      <c r="M1962" s="294"/>
      <c r="O1962" s="294"/>
      <c r="P1962" s="294"/>
      <c r="Q1962" s="294"/>
      <c r="R1962" s="294"/>
      <c r="S1962" s="294"/>
      <c r="T1962" s="294"/>
      <c r="U1962" s="294"/>
      <c r="V1962" s="294"/>
      <c r="W1962" s="294"/>
      <c r="X1962" s="294"/>
      <c r="Y1962" s="294"/>
      <c r="Z1962" s="294"/>
      <c r="AA1962" s="294"/>
      <c r="AB1962" s="294"/>
      <c r="AC1962" s="294"/>
      <c r="AD1962" s="294"/>
      <c r="AE1962" s="294"/>
      <c r="AF1962" s="294"/>
      <c r="AG1962" s="294"/>
    </row>
    <row r="1963" spans="2:33" x14ac:dyDescent="0.25">
      <c r="B1963" s="294"/>
      <c r="C1963" s="294"/>
      <c r="D1963" s="294"/>
      <c r="E1963" s="294"/>
      <c r="F1963" s="294"/>
      <c r="G1963" s="294"/>
      <c r="H1963" s="294"/>
      <c r="I1963" s="294"/>
      <c r="J1963" s="294"/>
      <c r="L1963" s="295"/>
      <c r="M1963" s="294"/>
      <c r="O1963" s="294"/>
      <c r="P1963" s="294"/>
      <c r="Q1963" s="294"/>
      <c r="R1963" s="294"/>
      <c r="S1963" s="294"/>
      <c r="T1963" s="294"/>
      <c r="U1963" s="294"/>
      <c r="V1963" s="294"/>
      <c r="W1963" s="294"/>
      <c r="X1963" s="294"/>
      <c r="Y1963" s="294"/>
      <c r="Z1963" s="294"/>
      <c r="AA1963" s="294"/>
      <c r="AB1963" s="294"/>
      <c r="AC1963" s="294"/>
      <c r="AD1963" s="294"/>
      <c r="AE1963" s="294"/>
      <c r="AF1963" s="294"/>
      <c r="AG1963" s="294"/>
    </row>
    <row r="1964" spans="2:33" x14ac:dyDescent="0.25">
      <c r="B1964" s="294"/>
      <c r="C1964" s="294"/>
      <c r="D1964" s="294"/>
      <c r="E1964" s="294"/>
      <c r="F1964" s="294"/>
      <c r="G1964" s="294"/>
      <c r="H1964" s="294"/>
      <c r="I1964" s="294"/>
      <c r="J1964" s="294"/>
      <c r="L1964" s="295"/>
      <c r="M1964" s="294"/>
      <c r="O1964" s="294"/>
      <c r="P1964" s="294"/>
      <c r="Q1964" s="294"/>
      <c r="R1964" s="294"/>
      <c r="S1964" s="294"/>
      <c r="T1964" s="294"/>
      <c r="U1964" s="294"/>
      <c r="V1964" s="294"/>
      <c r="W1964" s="294"/>
      <c r="X1964" s="294"/>
      <c r="Y1964" s="294"/>
      <c r="Z1964" s="294"/>
      <c r="AA1964" s="294"/>
      <c r="AB1964" s="294"/>
      <c r="AC1964" s="294"/>
      <c r="AD1964" s="294"/>
      <c r="AE1964" s="294"/>
      <c r="AF1964" s="294"/>
      <c r="AG1964" s="294"/>
    </row>
    <row r="1965" spans="2:33" x14ac:dyDescent="0.25">
      <c r="B1965" s="294"/>
      <c r="C1965" s="294"/>
      <c r="D1965" s="294"/>
      <c r="E1965" s="294"/>
      <c r="F1965" s="294"/>
      <c r="G1965" s="294"/>
      <c r="H1965" s="294"/>
      <c r="I1965" s="294"/>
      <c r="J1965" s="294"/>
      <c r="L1965" s="295"/>
      <c r="M1965" s="294"/>
      <c r="O1965" s="294"/>
      <c r="P1965" s="294"/>
      <c r="Q1965" s="294"/>
      <c r="R1965" s="294"/>
      <c r="S1965" s="294"/>
      <c r="T1965" s="294"/>
      <c r="U1965" s="294"/>
      <c r="V1965" s="294"/>
      <c r="W1965" s="294"/>
      <c r="X1965" s="294"/>
      <c r="Y1965" s="294"/>
      <c r="Z1965" s="294"/>
      <c r="AA1965" s="294"/>
      <c r="AB1965" s="294"/>
      <c r="AC1965" s="294"/>
      <c r="AD1965" s="294"/>
      <c r="AE1965" s="294"/>
      <c r="AF1965" s="294"/>
      <c r="AG1965" s="294"/>
    </row>
    <row r="1966" spans="2:33" x14ac:dyDescent="0.25">
      <c r="B1966" s="294"/>
      <c r="C1966" s="294"/>
      <c r="D1966" s="294"/>
      <c r="E1966" s="294"/>
      <c r="F1966" s="294"/>
      <c r="G1966" s="294"/>
      <c r="H1966" s="294"/>
      <c r="I1966" s="294"/>
      <c r="J1966" s="294"/>
      <c r="L1966" s="295"/>
      <c r="M1966" s="294"/>
      <c r="O1966" s="294"/>
      <c r="P1966" s="294"/>
      <c r="Q1966" s="294"/>
      <c r="R1966" s="294"/>
      <c r="S1966" s="294"/>
      <c r="T1966" s="294"/>
      <c r="U1966" s="294"/>
      <c r="V1966" s="294"/>
      <c r="W1966" s="294"/>
      <c r="X1966" s="294"/>
      <c r="Y1966" s="294"/>
      <c r="Z1966" s="294"/>
      <c r="AA1966" s="294"/>
      <c r="AB1966" s="294"/>
      <c r="AC1966" s="294"/>
      <c r="AD1966" s="294"/>
      <c r="AE1966" s="294"/>
      <c r="AF1966" s="294"/>
      <c r="AG1966" s="294"/>
    </row>
    <row r="1967" spans="2:33" x14ac:dyDescent="0.25">
      <c r="B1967" s="294"/>
      <c r="C1967" s="294"/>
      <c r="D1967" s="294"/>
      <c r="E1967" s="294"/>
      <c r="F1967" s="294"/>
      <c r="G1967" s="294"/>
      <c r="H1967" s="294"/>
      <c r="I1967" s="294"/>
      <c r="J1967" s="294"/>
      <c r="L1967" s="295"/>
      <c r="M1967" s="294"/>
      <c r="O1967" s="294"/>
      <c r="P1967" s="294"/>
      <c r="Q1967" s="294"/>
      <c r="R1967" s="294"/>
      <c r="S1967" s="294"/>
      <c r="T1967" s="294"/>
      <c r="U1967" s="294"/>
      <c r="V1967" s="294"/>
      <c r="W1967" s="294"/>
      <c r="X1967" s="294"/>
      <c r="Y1967" s="294"/>
      <c r="Z1967" s="294"/>
      <c r="AA1967" s="294"/>
      <c r="AB1967" s="294"/>
      <c r="AC1967" s="294"/>
      <c r="AD1967" s="294"/>
      <c r="AE1967" s="294"/>
      <c r="AF1967" s="294"/>
      <c r="AG1967" s="294"/>
    </row>
    <row r="1968" spans="2:33" x14ac:dyDescent="0.25">
      <c r="B1968" s="294"/>
      <c r="C1968" s="294"/>
      <c r="D1968" s="294"/>
      <c r="E1968" s="294"/>
      <c r="F1968" s="294"/>
      <c r="G1968" s="294"/>
      <c r="H1968" s="294"/>
      <c r="I1968" s="294"/>
      <c r="J1968" s="294"/>
      <c r="L1968" s="295"/>
      <c r="M1968" s="294"/>
      <c r="O1968" s="294"/>
      <c r="P1968" s="294"/>
      <c r="Q1968" s="294"/>
      <c r="R1968" s="294"/>
      <c r="S1968" s="294"/>
      <c r="T1968" s="294"/>
      <c r="U1968" s="294"/>
      <c r="V1968" s="294"/>
      <c r="W1968" s="294"/>
      <c r="X1968" s="294"/>
      <c r="Y1968" s="294"/>
      <c r="Z1968" s="294"/>
      <c r="AA1968" s="294"/>
      <c r="AB1968" s="294"/>
      <c r="AC1968" s="294"/>
      <c r="AD1968" s="294"/>
      <c r="AE1968" s="294"/>
      <c r="AF1968" s="294"/>
      <c r="AG1968" s="294"/>
    </row>
    <row r="1969" spans="2:33" x14ac:dyDescent="0.25">
      <c r="B1969" s="294"/>
      <c r="C1969" s="294"/>
      <c r="D1969" s="294"/>
      <c r="E1969" s="294"/>
      <c r="F1969" s="294"/>
      <c r="G1969" s="294"/>
      <c r="H1969" s="294"/>
      <c r="I1969" s="294"/>
      <c r="J1969" s="294"/>
      <c r="L1969" s="295"/>
      <c r="M1969" s="294"/>
      <c r="O1969" s="294"/>
      <c r="P1969" s="294"/>
      <c r="Q1969" s="294"/>
      <c r="R1969" s="294"/>
      <c r="S1969" s="294"/>
      <c r="T1969" s="294"/>
      <c r="U1969" s="294"/>
      <c r="V1969" s="294"/>
      <c r="W1969" s="294"/>
      <c r="X1969" s="294"/>
      <c r="Y1969" s="294"/>
      <c r="Z1969" s="294"/>
      <c r="AA1969" s="294"/>
      <c r="AB1969" s="294"/>
      <c r="AC1969" s="294"/>
      <c r="AD1969" s="294"/>
      <c r="AE1969" s="294"/>
      <c r="AF1969" s="294"/>
      <c r="AG1969" s="294"/>
    </row>
    <row r="1970" spans="2:33" x14ac:dyDescent="0.25">
      <c r="B1970" s="294"/>
      <c r="C1970" s="294"/>
      <c r="D1970" s="294"/>
      <c r="E1970" s="294"/>
      <c r="F1970" s="294"/>
      <c r="G1970" s="294"/>
      <c r="H1970" s="294"/>
      <c r="I1970" s="294"/>
      <c r="J1970" s="294"/>
      <c r="L1970" s="295"/>
      <c r="M1970" s="294"/>
      <c r="O1970" s="294"/>
      <c r="P1970" s="294"/>
      <c r="Q1970" s="294"/>
      <c r="R1970" s="294"/>
      <c r="S1970" s="294"/>
      <c r="T1970" s="294"/>
      <c r="U1970" s="294"/>
      <c r="V1970" s="294"/>
      <c r="W1970" s="294"/>
      <c r="X1970" s="294"/>
      <c r="Y1970" s="294"/>
      <c r="Z1970" s="294"/>
      <c r="AA1970" s="294"/>
      <c r="AB1970" s="294"/>
      <c r="AC1970" s="294"/>
      <c r="AD1970" s="294"/>
      <c r="AE1970" s="294"/>
      <c r="AF1970" s="294"/>
      <c r="AG1970" s="294"/>
    </row>
    <row r="1971" spans="2:33" x14ac:dyDescent="0.25">
      <c r="B1971" s="294"/>
      <c r="C1971" s="294"/>
      <c r="D1971" s="294"/>
      <c r="E1971" s="294"/>
      <c r="F1971" s="294"/>
      <c r="G1971" s="294"/>
      <c r="H1971" s="294"/>
      <c r="I1971" s="294"/>
      <c r="J1971" s="294"/>
      <c r="L1971" s="295"/>
      <c r="M1971" s="294"/>
      <c r="O1971" s="294"/>
      <c r="P1971" s="294"/>
      <c r="Q1971" s="294"/>
      <c r="R1971" s="294"/>
      <c r="S1971" s="294"/>
      <c r="T1971" s="294"/>
      <c r="U1971" s="294"/>
      <c r="V1971" s="294"/>
      <c r="W1971" s="294"/>
      <c r="X1971" s="294"/>
      <c r="Y1971" s="294"/>
      <c r="Z1971" s="294"/>
      <c r="AA1971" s="294"/>
      <c r="AB1971" s="294"/>
      <c r="AC1971" s="294"/>
      <c r="AD1971" s="294"/>
      <c r="AE1971" s="294"/>
      <c r="AF1971" s="294"/>
      <c r="AG1971" s="294"/>
    </row>
    <row r="1972" spans="2:33" x14ac:dyDescent="0.25">
      <c r="B1972" s="294"/>
      <c r="C1972" s="294"/>
      <c r="D1972" s="294"/>
      <c r="E1972" s="294"/>
      <c r="F1972" s="294"/>
      <c r="G1972" s="294"/>
      <c r="H1972" s="294"/>
      <c r="I1972" s="294"/>
      <c r="J1972" s="294"/>
      <c r="L1972" s="295"/>
      <c r="M1972" s="294"/>
      <c r="O1972" s="294"/>
      <c r="P1972" s="294"/>
      <c r="Q1972" s="294"/>
      <c r="R1972" s="294"/>
      <c r="S1972" s="294"/>
      <c r="T1972" s="294"/>
      <c r="U1972" s="294"/>
      <c r="V1972" s="294"/>
      <c r="W1972" s="294"/>
      <c r="X1972" s="294"/>
      <c r="Y1972" s="294"/>
      <c r="Z1972" s="294"/>
      <c r="AA1972" s="294"/>
      <c r="AB1972" s="294"/>
      <c r="AC1972" s="294"/>
      <c r="AD1972" s="294"/>
      <c r="AE1972" s="294"/>
      <c r="AF1972" s="294"/>
      <c r="AG1972" s="294"/>
    </row>
    <row r="1973" spans="2:33" x14ac:dyDescent="0.25">
      <c r="B1973" s="294"/>
      <c r="C1973" s="294"/>
      <c r="D1973" s="294"/>
      <c r="E1973" s="294"/>
      <c r="F1973" s="294"/>
      <c r="G1973" s="294"/>
      <c r="H1973" s="294"/>
      <c r="I1973" s="294"/>
      <c r="J1973" s="294"/>
      <c r="L1973" s="295"/>
      <c r="M1973" s="294"/>
      <c r="O1973" s="294"/>
      <c r="P1973" s="294"/>
      <c r="Q1973" s="294"/>
      <c r="R1973" s="294"/>
      <c r="S1973" s="294"/>
      <c r="T1973" s="294"/>
      <c r="U1973" s="294"/>
      <c r="V1973" s="294"/>
      <c r="W1973" s="294"/>
      <c r="X1973" s="294"/>
      <c r="Y1973" s="294"/>
      <c r="Z1973" s="294"/>
      <c r="AA1973" s="294"/>
      <c r="AB1973" s="294"/>
      <c r="AC1973" s="294"/>
      <c r="AD1973" s="294"/>
      <c r="AE1973" s="294"/>
      <c r="AF1973" s="294"/>
      <c r="AG1973" s="294"/>
    </row>
    <row r="1974" spans="2:33" x14ac:dyDescent="0.25">
      <c r="B1974" s="294"/>
      <c r="C1974" s="294"/>
      <c r="D1974" s="294"/>
      <c r="E1974" s="294"/>
      <c r="F1974" s="294"/>
      <c r="G1974" s="294"/>
      <c r="H1974" s="294"/>
      <c r="I1974" s="294"/>
      <c r="J1974" s="294"/>
      <c r="L1974" s="295"/>
      <c r="M1974" s="294"/>
      <c r="O1974" s="294"/>
      <c r="P1974" s="294"/>
      <c r="Q1974" s="294"/>
      <c r="R1974" s="294"/>
      <c r="S1974" s="294"/>
      <c r="T1974" s="294"/>
      <c r="U1974" s="294"/>
      <c r="V1974" s="294"/>
      <c r="W1974" s="294"/>
      <c r="X1974" s="294"/>
      <c r="Y1974" s="294"/>
      <c r="Z1974" s="294"/>
      <c r="AA1974" s="294"/>
      <c r="AB1974" s="294"/>
      <c r="AC1974" s="294"/>
      <c r="AD1974" s="294"/>
      <c r="AE1974" s="294"/>
      <c r="AF1974" s="294"/>
      <c r="AG1974" s="294"/>
    </row>
    <row r="1975" spans="2:33" x14ac:dyDescent="0.25">
      <c r="B1975" s="294"/>
      <c r="C1975" s="294"/>
      <c r="D1975" s="294"/>
      <c r="E1975" s="294"/>
      <c r="F1975" s="294"/>
      <c r="G1975" s="294"/>
      <c r="H1975" s="294"/>
      <c r="I1975" s="294"/>
      <c r="J1975" s="294"/>
      <c r="L1975" s="295"/>
      <c r="M1975" s="294"/>
      <c r="O1975" s="294"/>
      <c r="P1975" s="294"/>
      <c r="Q1975" s="294"/>
      <c r="R1975" s="294"/>
      <c r="S1975" s="294"/>
      <c r="T1975" s="294"/>
      <c r="U1975" s="294"/>
      <c r="V1975" s="294"/>
      <c r="W1975" s="294"/>
      <c r="X1975" s="294"/>
      <c r="Y1975" s="294"/>
      <c r="Z1975" s="294"/>
      <c r="AA1975" s="294"/>
      <c r="AB1975" s="294"/>
      <c r="AC1975" s="294"/>
      <c r="AD1975" s="294"/>
      <c r="AE1975" s="294"/>
      <c r="AF1975" s="294"/>
      <c r="AG1975" s="294"/>
    </row>
    <row r="1976" spans="2:33" x14ac:dyDescent="0.25">
      <c r="B1976" s="294"/>
      <c r="C1976" s="294"/>
      <c r="D1976" s="294"/>
      <c r="E1976" s="294"/>
      <c r="F1976" s="294"/>
      <c r="G1976" s="294"/>
      <c r="H1976" s="294"/>
      <c r="I1976" s="294"/>
      <c r="J1976" s="294"/>
      <c r="L1976" s="295"/>
      <c r="M1976" s="294"/>
      <c r="O1976" s="294"/>
      <c r="P1976" s="294"/>
      <c r="Q1976" s="294"/>
      <c r="R1976" s="294"/>
      <c r="S1976" s="294"/>
      <c r="T1976" s="294"/>
      <c r="U1976" s="294"/>
      <c r="V1976" s="294"/>
      <c r="W1976" s="294"/>
      <c r="X1976" s="294"/>
      <c r="Y1976" s="294"/>
      <c r="Z1976" s="294"/>
      <c r="AA1976" s="294"/>
      <c r="AB1976" s="294"/>
      <c r="AC1976" s="294"/>
      <c r="AD1976" s="294"/>
      <c r="AE1976" s="294"/>
      <c r="AF1976" s="294"/>
      <c r="AG1976" s="294"/>
    </row>
    <row r="1977" spans="2:33" x14ac:dyDescent="0.25">
      <c r="B1977" s="294"/>
      <c r="C1977" s="294"/>
      <c r="D1977" s="294"/>
      <c r="E1977" s="294"/>
      <c r="F1977" s="294"/>
      <c r="G1977" s="294"/>
      <c r="H1977" s="294"/>
      <c r="I1977" s="294"/>
      <c r="J1977" s="294"/>
      <c r="L1977" s="295"/>
      <c r="M1977" s="294"/>
      <c r="O1977" s="294"/>
      <c r="P1977" s="294"/>
      <c r="Q1977" s="294"/>
      <c r="R1977" s="294"/>
      <c r="S1977" s="294"/>
      <c r="T1977" s="294"/>
      <c r="U1977" s="294"/>
      <c r="V1977" s="294"/>
      <c r="W1977" s="294"/>
      <c r="X1977" s="294"/>
      <c r="Y1977" s="294"/>
      <c r="Z1977" s="294"/>
      <c r="AA1977" s="294"/>
      <c r="AB1977" s="294"/>
      <c r="AC1977" s="294"/>
      <c r="AD1977" s="294"/>
      <c r="AE1977" s="294"/>
      <c r="AF1977" s="294"/>
      <c r="AG1977" s="294"/>
    </row>
    <row r="1978" spans="2:33" x14ac:dyDescent="0.25">
      <c r="B1978" s="294"/>
      <c r="C1978" s="294"/>
      <c r="D1978" s="294"/>
      <c r="E1978" s="294"/>
      <c r="F1978" s="294"/>
      <c r="G1978" s="294"/>
      <c r="H1978" s="294"/>
      <c r="I1978" s="294"/>
      <c r="J1978" s="294"/>
      <c r="L1978" s="295"/>
      <c r="M1978" s="294"/>
      <c r="O1978" s="294"/>
      <c r="P1978" s="294"/>
      <c r="Q1978" s="294"/>
      <c r="R1978" s="294"/>
      <c r="S1978" s="294"/>
      <c r="T1978" s="294"/>
      <c r="U1978" s="294"/>
      <c r="V1978" s="294"/>
      <c r="W1978" s="294"/>
      <c r="X1978" s="294"/>
      <c r="Y1978" s="294"/>
      <c r="Z1978" s="294"/>
      <c r="AA1978" s="294"/>
      <c r="AB1978" s="294"/>
      <c r="AC1978" s="294"/>
      <c r="AD1978" s="294"/>
      <c r="AE1978" s="294"/>
      <c r="AF1978" s="294"/>
      <c r="AG1978" s="294"/>
    </row>
    <row r="1979" spans="2:33" x14ac:dyDescent="0.25">
      <c r="B1979" s="294"/>
      <c r="C1979" s="294"/>
      <c r="D1979" s="294"/>
      <c r="E1979" s="294"/>
      <c r="F1979" s="294"/>
      <c r="G1979" s="294"/>
      <c r="H1979" s="294"/>
      <c r="I1979" s="294"/>
      <c r="J1979" s="294"/>
      <c r="L1979" s="295"/>
      <c r="M1979" s="294"/>
      <c r="O1979" s="294"/>
      <c r="P1979" s="294"/>
      <c r="Q1979" s="294"/>
      <c r="R1979" s="294"/>
      <c r="S1979" s="294"/>
      <c r="T1979" s="294"/>
      <c r="U1979" s="294"/>
      <c r="V1979" s="294"/>
      <c r="W1979" s="294"/>
      <c r="X1979" s="294"/>
      <c r="Y1979" s="294"/>
      <c r="Z1979" s="294"/>
      <c r="AA1979" s="294"/>
      <c r="AB1979" s="294"/>
      <c r="AC1979" s="294"/>
      <c r="AD1979" s="294"/>
      <c r="AE1979" s="294"/>
      <c r="AF1979" s="294"/>
      <c r="AG1979" s="294"/>
    </row>
    <row r="1980" spans="2:33" x14ac:dyDescent="0.25">
      <c r="B1980" s="294"/>
      <c r="C1980" s="294"/>
      <c r="D1980" s="294"/>
      <c r="E1980" s="294"/>
      <c r="F1980" s="294"/>
      <c r="G1980" s="294"/>
      <c r="H1980" s="294"/>
      <c r="I1980" s="294"/>
      <c r="J1980" s="294"/>
      <c r="L1980" s="295"/>
      <c r="M1980" s="294"/>
      <c r="O1980" s="294"/>
      <c r="P1980" s="294"/>
      <c r="Q1980" s="294"/>
      <c r="R1980" s="294"/>
      <c r="S1980" s="294"/>
      <c r="T1980" s="294"/>
      <c r="U1980" s="294"/>
      <c r="V1980" s="294"/>
      <c r="W1980" s="294"/>
      <c r="X1980" s="294"/>
      <c r="Y1980" s="294"/>
      <c r="Z1980" s="294"/>
      <c r="AA1980" s="294"/>
      <c r="AB1980" s="294"/>
      <c r="AC1980" s="294"/>
      <c r="AD1980" s="294"/>
      <c r="AE1980" s="294"/>
      <c r="AF1980" s="294"/>
      <c r="AG1980" s="294"/>
    </row>
    <row r="1981" spans="2:33" x14ac:dyDescent="0.25">
      <c r="B1981" s="294"/>
      <c r="C1981" s="294"/>
      <c r="D1981" s="294"/>
      <c r="E1981" s="294"/>
      <c r="F1981" s="294"/>
      <c r="G1981" s="294"/>
      <c r="H1981" s="294"/>
      <c r="I1981" s="294"/>
      <c r="J1981" s="294"/>
      <c r="L1981" s="295"/>
      <c r="M1981" s="294"/>
      <c r="O1981" s="294"/>
      <c r="P1981" s="294"/>
      <c r="Q1981" s="294"/>
      <c r="R1981" s="294"/>
      <c r="S1981" s="294"/>
      <c r="T1981" s="294"/>
      <c r="U1981" s="294"/>
      <c r="V1981" s="294"/>
      <c r="W1981" s="294"/>
      <c r="X1981" s="294"/>
      <c r="Y1981" s="294"/>
      <c r="Z1981" s="294"/>
      <c r="AA1981" s="294"/>
      <c r="AB1981" s="294"/>
      <c r="AC1981" s="294"/>
      <c r="AD1981" s="294"/>
      <c r="AE1981" s="294"/>
      <c r="AF1981" s="294"/>
      <c r="AG1981" s="294"/>
    </row>
    <row r="1982" spans="2:33" x14ac:dyDescent="0.25">
      <c r="B1982" s="294"/>
      <c r="C1982" s="294"/>
      <c r="D1982" s="294"/>
      <c r="E1982" s="294"/>
      <c r="F1982" s="294"/>
      <c r="G1982" s="294"/>
      <c r="H1982" s="294"/>
      <c r="I1982" s="294"/>
      <c r="J1982" s="294"/>
      <c r="L1982" s="295"/>
      <c r="M1982" s="294"/>
      <c r="O1982" s="294"/>
      <c r="P1982" s="294"/>
      <c r="Q1982" s="294"/>
      <c r="R1982" s="294"/>
      <c r="S1982" s="294"/>
      <c r="T1982" s="294"/>
      <c r="U1982" s="294"/>
      <c r="V1982" s="294"/>
      <c r="W1982" s="294"/>
      <c r="X1982" s="294"/>
      <c r="Y1982" s="294"/>
      <c r="Z1982" s="294"/>
      <c r="AA1982" s="294"/>
      <c r="AB1982" s="294"/>
      <c r="AC1982" s="294"/>
      <c r="AD1982" s="294"/>
      <c r="AE1982" s="294"/>
      <c r="AF1982" s="294"/>
      <c r="AG1982" s="294"/>
    </row>
    <row r="1983" spans="2:33" x14ac:dyDescent="0.25">
      <c r="B1983" s="294"/>
      <c r="C1983" s="294"/>
      <c r="D1983" s="294"/>
      <c r="E1983" s="294"/>
      <c r="F1983" s="294"/>
      <c r="G1983" s="294"/>
      <c r="H1983" s="294"/>
      <c r="I1983" s="294"/>
      <c r="J1983" s="294"/>
      <c r="L1983" s="295"/>
      <c r="M1983" s="294"/>
      <c r="O1983" s="294"/>
      <c r="P1983" s="294"/>
      <c r="Q1983" s="294"/>
      <c r="R1983" s="294"/>
      <c r="S1983" s="294"/>
      <c r="T1983" s="294"/>
      <c r="U1983" s="294"/>
      <c r="V1983" s="294"/>
      <c r="W1983" s="294"/>
      <c r="X1983" s="294"/>
      <c r="Y1983" s="294"/>
      <c r="Z1983" s="294"/>
      <c r="AA1983" s="294"/>
      <c r="AB1983" s="294"/>
      <c r="AC1983" s="294"/>
      <c r="AD1983" s="294"/>
      <c r="AE1983" s="294"/>
      <c r="AF1983" s="294"/>
      <c r="AG1983" s="294"/>
    </row>
    <row r="1984" spans="2:33" x14ac:dyDescent="0.25">
      <c r="B1984" s="294"/>
      <c r="C1984" s="294"/>
      <c r="D1984" s="294"/>
      <c r="E1984" s="294"/>
      <c r="F1984" s="294"/>
      <c r="G1984" s="294"/>
      <c r="H1984" s="294"/>
      <c r="I1984" s="294"/>
      <c r="J1984" s="294"/>
      <c r="L1984" s="295"/>
      <c r="M1984" s="294"/>
      <c r="O1984" s="294"/>
      <c r="P1984" s="294"/>
      <c r="Q1984" s="294"/>
      <c r="R1984" s="294"/>
      <c r="S1984" s="294"/>
      <c r="T1984" s="294"/>
      <c r="U1984" s="294"/>
      <c r="V1984" s="294"/>
      <c r="W1984" s="294"/>
      <c r="X1984" s="294"/>
      <c r="Y1984" s="294"/>
      <c r="Z1984" s="294"/>
      <c r="AA1984" s="294"/>
      <c r="AB1984" s="294"/>
      <c r="AC1984" s="294"/>
      <c r="AD1984" s="294"/>
      <c r="AE1984" s="294"/>
      <c r="AF1984" s="294"/>
      <c r="AG1984" s="294"/>
    </row>
    <row r="1985" spans="2:33" x14ac:dyDescent="0.25">
      <c r="B1985" s="294"/>
      <c r="C1985" s="294"/>
      <c r="D1985" s="294"/>
      <c r="E1985" s="294"/>
      <c r="F1985" s="294"/>
      <c r="G1985" s="294"/>
      <c r="H1985" s="294"/>
      <c r="I1985" s="294"/>
      <c r="J1985" s="294"/>
      <c r="L1985" s="295"/>
      <c r="M1985" s="294"/>
      <c r="O1985" s="294"/>
      <c r="P1985" s="294"/>
      <c r="Q1985" s="294"/>
      <c r="R1985" s="294"/>
      <c r="S1985" s="294"/>
      <c r="T1985" s="294"/>
      <c r="U1985" s="294"/>
      <c r="V1985" s="294"/>
      <c r="W1985" s="294"/>
      <c r="X1985" s="294"/>
      <c r="Y1985" s="294"/>
      <c r="Z1985" s="294"/>
      <c r="AA1985" s="294"/>
      <c r="AB1985" s="294"/>
      <c r="AC1985" s="294"/>
      <c r="AD1985" s="294"/>
      <c r="AE1985" s="294"/>
      <c r="AF1985" s="294"/>
      <c r="AG1985" s="294"/>
    </row>
    <row r="1986" spans="2:33" x14ac:dyDescent="0.25">
      <c r="B1986" s="294"/>
      <c r="C1986" s="294"/>
      <c r="D1986" s="294"/>
      <c r="E1986" s="294"/>
      <c r="F1986" s="294"/>
      <c r="G1986" s="294"/>
      <c r="H1986" s="294"/>
      <c r="I1986" s="294"/>
      <c r="J1986" s="294"/>
      <c r="L1986" s="295"/>
      <c r="M1986" s="294"/>
      <c r="O1986" s="294"/>
      <c r="P1986" s="294"/>
      <c r="Q1986" s="294"/>
      <c r="R1986" s="294"/>
      <c r="S1986" s="294"/>
      <c r="T1986" s="294"/>
      <c r="U1986" s="294"/>
      <c r="V1986" s="294"/>
      <c r="W1986" s="294"/>
      <c r="X1986" s="294"/>
      <c r="Y1986" s="294"/>
      <c r="Z1986" s="294"/>
      <c r="AA1986" s="294"/>
      <c r="AB1986" s="294"/>
      <c r="AC1986" s="294"/>
      <c r="AD1986" s="294"/>
      <c r="AE1986" s="294"/>
      <c r="AF1986" s="294"/>
      <c r="AG1986" s="294"/>
    </row>
    <row r="1987" spans="2:33" x14ac:dyDescent="0.25">
      <c r="B1987" s="294"/>
      <c r="C1987" s="294"/>
      <c r="D1987" s="294"/>
      <c r="E1987" s="294"/>
      <c r="F1987" s="294"/>
      <c r="G1987" s="294"/>
      <c r="H1987" s="294"/>
      <c r="I1987" s="294"/>
      <c r="J1987" s="294"/>
      <c r="L1987" s="295"/>
      <c r="M1987" s="294"/>
      <c r="O1987" s="294"/>
      <c r="P1987" s="294"/>
      <c r="Q1987" s="294"/>
      <c r="R1987" s="294"/>
      <c r="S1987" s="294"/>
      <c r="T1987" s="294"/>
      <c r="U1987" s="294"/>
      <c r="V1987" s="294"/>
      <c r="W1987" s="294"/>
      <c r="X1987" s="294"/>
      <c r="Y1987" s="294"/>
      <c r="Z1987" s="294"/>
      <c r="AA1987" s="294"/>
      <c r="AB1987" s="294"/>
      <c r="AC1987" s="294"/>
      <c r="AD1987" s="294"/>
      <c r="AE1987" s="294"/>
      <c r="AF1987" s="294"/>
      <c r="AG1987" s="294"/>
    </row>
    <row r="1988" spans="2:33" x14ac:dyDescent="0.25">
      <c r="B1988" s="294"/>
      <c r="C1988" s="294"/>
      <c r="D1988" s="294"/>
      <c r="E1988" s="294"/>
      <c r="F1988" s="294"/>
      <c r="G1988" s="294"/>
      <c r="H1988" s="294"/>
      <c r="I1988" s="294"/>
      <c r="J1988" s="294"/>
      <c r="L1988" s="295"/>
      <c r="M1988" s="294"/>
      <c r="O1988" s="294"/>
      <c r="P1988" s="294"/>
      <c r="Q1988" s="294"/>
      <c r="R1988" s="294"/>
      <c r="S1988" s="294"/>
      <c r="T1988" s="294"/>
      <c r="U1988" s="294"/>
      <c r="V1988" s="294"/>
      <c r="W1988" s="294"/>
      <c r="X1988" s="294"/>
      <c r="Y1988" s="294"/>
      <c r="Z1988" s="294"/>
      <c r="AA1988" s="294"/>
      <c r="AB1988" s="294"/>
      <c r="AC1988" s="294"/>
      <c r="AD1988" s="294"/>
      <c r="AE1988" s="294"/>
      <c r="AF1988" s="294"/>
      <c r="AG1988" s="294"/>
    </row>
    <row r="1989" spans="2:33" x14ac:dyDescent="0.25">
      <c r="B1989" s="294"/>
      <c r="C1989" s="294"/>
      <c r="D1989" s="294"/>
      <c r="E1989" s="294"/>
      <c r="F1989" s="294"/>
      <c r="G1989" s="294"/>
      <c r="H1989" s="294"/>
      <c r="I1989" s="294"/>
      <c r="J1989" s="294"/>
      <c r="L1989" s="295"/>
      <c r="M1989" s="294"/>
      <c r="O1989" s="294"/>
      <c r="P1989" s="294"/>
      <c r="Q1989" s="294"/>
      <c r="R1989" s="294"/>
      <c r="S1989" s="294"/>
      <c r="T1989" s="294"/>
      <c r="U1989" s="294"/>
      <c r="V1989" s="294"/>
      <c r="W1989" s="294"/>
      <c r="X1989" s="294"/>
      <c r="Y1989" s="294"/>
      <c r="Z1989" s="294"/>
      <c r="AA1989" s="294"/>
      <c r="AB1989" s="294"/>
      <c r="AC1989" s="294"/>
      <c r="AD1989" s="294"/>
      <c r="AE1989" s="294"/>
      <c r="AF1989" s="294"/>
      <c r="AG1989" s="294"/>
    </row>
    <row r="1990" spans="2:33" x14ac:dyDescent="0.25">
      <c r="B1990" s="294"/>
      <c r="C1990" s="294"/>
      <c r="D1990" s="294"/>
      <c r="E1990" s="294"/>
      <c r="F1990" s="294"/>
      <c r="G1990" s="294"/>
      <c r="H1990" s="294"/>
      <c r="I1990" s="294"/>
      <c r="J1990" s="294"/>
      <c r="L1990" s="295"/>
      <c r="M1990" s="294"/>
      <c r="O1990" s="294"/>
      <c r="P1990" s="294"/>
      <c r="Q1990" s="294"/>
      <c r="R1990" s="294"/>
      <c r="S1990" s="294"/>
      <c r="T1990" s="294"/>
      <c r="U1990" s="294"/>
      <c r="V1990" s="294"/>
      <c r="W1990" s="294"/>
      <c r="X1990" s="294"/>
      <c r="Y1990" s="294"/>
      <c r="Z1990" s="294"/>
      <c r="AA1990" s="294"/>
      <c r="AB1990" s="294"/>
      <c r="AC1990" s="294"/>
      <c r="AD1990" s="294"/>
      <c r="AE1990" s="294"/>
      <c r="AF1990" s="294"/>
      <c r="AG1990" s="294"/>
    </row>
    <row r="1991" spans="2:33" x14ac:dyDescent="0.25">
      <c r="B1991" s="294"/>
      <c r="C1991" s="294"/>
      <c r="D1991" s="294"/>
      <c r="E1991" s="294"/>
      <c r="F1991" s="294"/>
      <c r="G1991" s="294"/>
      <c r="H1991" s="294"/>
      <c r="I1991" s="294"/>
      <c r="J1991" s="294"/>
      <c r="L1991" s="295"/>
      <c r="M1991" s="294"/>
      <c r="O1991" s="294"/>
      <c r="P1991" s="294"/>
      <c r="Q1991" s="294"/>
      <c r="R1991" s="294"/>
      <c r="S1991" s="294"/>
      <c r="T1991" s="294"/>
      <c r="U1991" s="294"/>
      <c r="V1991" s="294"/>
      <c r="W1991" s="294"/>
      <c r="X1991" s="294"/>
      <c r="Y1991" s="294"/>
      <c r="Z1991" s="294"/>
      <c r="AA1991" s="294"/>
      <c r="AB1991" s="294"/>
      <c r="AC1991" s="294"/>
      <c r="AD1991" s="294"/>
      <c r="AE1991" s="294"/>
      <c r="AF1991" s="294"/>
      <c r="AG1991" s="294"/>
    </row>
    <row r="1992" spans="2:33" x14ac:dyDescent="0.25">
      <c r="B1992" s="294"/>
      <c r="C1992" s="294"/>
      <c r="D1992" s="294"/>
      <c r="E1992" s="294"/>
      <c r="F1992" s="294"/>
      <c r="G1992" s="294"/>
      <c r="H1992" s="294"/>
      <c r="I1992" s="294"/>
      <c r="J1992" s="294"/>
      <c r="L1992" s="295"/>
      <c r="M1992" s="294"/>
      <c r="O1992" s="294"/>
      <c r="P1992" s="294"/>
      <c r="Q1992" s="294"/>
      <c r="R1992" s="294"/>
      <c r="S1992" s="294"/>
      <c r="T1992" s="294"/>
      <c r="U1992" s="294"/>
      <c r="V1992" s="294"/>
      <c r="W1992" s="294"/>
      <c r="X1992" s="294"/>
      <c r="Y1992" s="294"/>
      <c r="Z1992" s="294"/>
      <c r="AA1992" s="294"/>
      <c r="AB1992" s="294"/>
      <c r="AC1992" s="294"/>
      <c r="AD1992" s="294"/>
      <c r="AE1992" s="294"/>
      <c r="AF1992" s="294"/>
      <c r="AG1992" s="294"/>
    </row>
    <row r="1993" spans="2:33" x14ac:dyDescent="0.25">
      <c r="B1993" s="294"/>
      <c r="C1993" s="294"/>
      <c r="D1993" s="294"/>
      <c r="E1993" s="294"/>
      <c r="F1993" s="294"/>
      <c r="G1993" s="294"/>
      <c r="H1993" s="294"/>
      <c r="I1993" s="294"/>
      <c r="J1993" s="294"/>
      <c r="L1993" s="295"/>
      <c r="M1993" s="294"/>
      <c r="O1993" s="294"/>
      <c r="P1993" s="294"/>
      <c r="Q1993" s="294"/>
      <c r="R1993" s="294"/>
      <c r="S1993" s="294"/>
      <c r="T1993" s="294"/>
      <c r="U1993" s="294"/>
      <c r="V1993" s="294"/>
      <c r="W1993" s="294"/>
      <c r="X1993" s="294"/>
      <c r="Y1993" s="294"/>
      <c r="Z1993" s="294"/>
      <c r="AA1993" s="294"/>
      <c r="AB1993" s="294"/>
      <c r="AC1993" s="294"/>
      <c r="AD1993" s="294"/>
      <c r="AE1993" s="294"/>
      <c r="AF1993" s="294"/>
      <c r="AG1993" s="294"/>
    </row>
    <row r="1994" spans="2:33" x14ac:dyDescent="0.25">
      <c r="B1994" s="294"/>
      <c r="C1994" s="294"/>
      <c r="D1994" s="294"/>
      <c r="E1994" s="294"/>
      <c r="F1994" s="294"/>
      <c r="G1994" s="294"/>
      <c r="H1994" s="294"/>
      <c r="I1994" s="294"/>
      <c r="J1994" s="294"/>
      <c r="L1994" s="295"/>
      <c r="M1994" s="294"/>
      <c r="O1994" s="294"/>
      <c r="P1994" s="294"/>
      <c r="Q1994" s="294"/>
      <c r="R1994" s="294"/>
      <c r="S1994" s="294"/>
      <c r="T1994" s="294"/>
      <c r="U1994" s="294"/>
      <c r="V1994" s="294"/>
      <c r="W1994" s="294"/>
      <c r="X1994" s="294"/>
      <c r="Y1994" s="294"/>
      <c r="Z1994" s="294"/>
      <c r="AA1994" s="294"/>
      <c r="AB1994" s="294"/>
      <c r="AC1994" s="294"/>
      <c r="AD1994" s="294"/>
      <c r="AE1994" s="294"/>
      <c r="AF1994" s="294"/>
      <c r="AG1994" s="294"/>
    </row>
    <row r="1995" spans="2:33" x14ac:dyDescent="0.25">
      <c r="B1995" s="294"/>
      <c r="C1995" s="294"/>
      <c r="D1995" s="294"/>
      <c r="E1995" s="294"/>
      <c r="F1995" s="294"/>
      <c r="G1995" s="294"/>
      <c r="H1995" s="294"/>
      <c r="I1995" s="294"/>
      <c r="J1995" s="294"/>
      <c r="L1995" s="295"/>
      <c r="M1995" s="294"/>
      <c r="O1995" s="294"/>
      <c r="P1995" s="294"/>
      <c r="Q1995" s="294"/>
      <c r="R1995" s="294"/>
      <c r="S1995" s="294"/>
      <c r="T1995" s="294"/>
      <c r="U1995" s="294"/>
      <c r="V1995" s="294"/>
      <c r="W1995" s="294"/>
      <c r="X1995" s="294"/>
      <c r="Y1995" s="294"/>
      <c r="Z1995" s="294"/>
      <c r="AA1995" s="294"/>
      <c r="AB1995" s="294"/>
      <c r="AC1995" s="294"/>
      <c r="AD1995" s="294"/>
      <c r="AE1995" s="294"/>
      <c r="AF1995" s="294"/>
      <c r="AG1995" s="294"/>
    </row>
    <row r="1996" spans="2:33" x14ac:dyDescent="0.25">
      <c r="B1996" s="294"/>
      <c r="C1996" s="294"/>
      <c r="D1996" s="294"/>
      <c r="E1996" s="294"/>
      <c r="F1996" s="294"/>
      <c r="G1996" s="294"/>
      <c r="H1996" s="294"/>
      <c r="I1996" s="294"/>
      <c r="J1996" s="294"/>
      <c r="L1996" s="295"/>
      <c r="M1996" s="294"/>
      <c r="O1996" s="294"/>
      <c r="P1996" s="294"/>
      <c r="Q1996" s="294"/>
      <c r="R1996" s="294"/>
      <c r="S1996" s="294"/>
      <c r="T1996" s="294"/>
      <c r="U1996" s="294"/>
      <c r="V1996" s="294"/>
      <c r="W1996" s="294"/>
      <c r="X1996" s="294"/>
      <c r="Y1996" s="294"/>
      <c r="Z1996" s="294"/>
      <c r="AA1996" s="294"/>
      <c r="AB1996" s="294"/>
      <c r="AC1996" s="294"/>
      <c r="AD1996" s="294"/>
      <c r="AE1996" s="294"/>
      <c r="AF1996" s="294"/>
      <c r="AG1996" s="294"/>
    </row>
    <row r="1997" spans="2:33" x14ac:dyDescent="0.25">
      <c r="B1997" s="294"/>
      <c r="C1997" s="294"/>
      <c r="D1997" s="294"/>
      <c r="E1997" s="294"/>
      <c r="F1997" s="294"/>
      <c r="G1997" s="294"/>
      <c r="H1997" s="294"/>
      <c r="I1997" s="294"/>
      <c r="J1997" s="294"/>
      <c r="L1997" s="295"/>
      <c r="M1997" s="294"/>
      <c r="O1997" s="294"/>
      <c r="P1997" s="294"/>
      <c r="Q1997" s="294"/>
      <c r="R1997" s="294"/>
      <c r="S1997" s="294"/>
      <c r="T1997" s="294"/>
      <c r="U1997" s="294"/>
      <c r="V1997" s="294"/>
      <c r="W1997" s="294"/>
      <c r="X1997" s="294"/>
      <c r="Y1997" s="294"/>
      <c r="Z1997" s="294"/>
      <c r="AA1997" s="294"/>
      <c r="AB1997" s="294"/>
      <c r="AC1997" s="294"/>
      <c r="AD1997" s="294"/>
      <c r="AE1997" s="294"/>
      <c r="AF1997" s="294"/>
      <c r="AG1997" s="294"/>
    </row>
    <row r="1998" spans="2:33" x14ac:dyDescent="0.25">
      <c r="B1998" s="294"/>
      <c r="C1998" s="294"/>
      <c r="D1998" s="294"/>
      <c r="E1998" s="294"/>
      <c r="F1998" s="294"/>
      <c r="G1998" s="294"/>
      <c r="H1998" s="294"/>
      <c r="I1998" s="294"/>
      <c r="J1998" s="294"/>
      <c r="L1998" s="295"/>
      <c r="M1998" s="294"/>
      <c r="O1998" s="294"/>
      <c r="P1998" s="294"/>
      <c r="Q1998" s="294"/>
      <c r="R1998" s="294"/>
      <c r="S1998" s="294"/>
      <c r="T1998" s="294"/>
      <c r="U1998" s="294"/>
      <c r="V1998" s="294"/>
      <c r="W1998" s="294"/>
      <c r="X1998" s="294"/>
      <c r="Y1998" s="294"/>
      <c r="Z1998" s="294"/>
      <c r="AA1998" s="294"/>
      <c r="AB1998" s="294"/>
      <c r="AC1998" s="294"/>
      <c r="AD1998" s="294"/>
      <c r="AE1998" s="294"/>
      <c r="AF1998" s="294"/>
      <c r="AG1998" s="294"/>
    </row>
    <row r="1999" spans="2:33" x14ac:dyDescent="0.25">
      <c r="B1999" s="294"/>
      <c r="C1999" s="294"/>
      <c r="D1999" s="294"/>
      <c r="E1999" s="294"/>
      <c r="F1999" s="294"/>
      <c r="G1999" s="294"/>
      <c r="H1999" s="294"/>
      <c r="I1999" s="294"/>
      <c r="J1999" s="294"/>
      <c r="L1999" s="295"/>
      <c r="M1999" s="294"/>
      <c r="O1999" s="294"/>
      <c r="P1999" s="294"/>
      <c r="Q1999" s="294"/>
      <c r="R1999" s="294"/>
      <c r="S1999" s="294"/>
      <c r="T1999" s="294"/>
      <c r="U1999" s="294"/>
      <c r="V1999" s="294"/>
      <c r="W1999" s="294"/>
      <c r="X1999" s="294"/>
      <c r="Y1999" s="294"/>
      <c r="Z1999" s="294"/>
      <c r="AA1999" s="294"/>
      <c r="AB1999" s="294"/>
      <c r="AC1999" s="294"/>
      <c r="AD1999" s="294"/>
      <c r="AE1999" s="294"/>
      <c r="AF1999" s="294"/>
      <c r="AG1999" s="294"/>
    </row>
    <row r="2000" spans="2:33" x14ac:dyDescent="0.25">
      <c r="B2000" s="294"/>
      <c r="C2000" s="294"/>
      <c r="D2000" s="294"/>
      <c r="E2000" s="294"/>
      <c r="F2000" s="294"/>
      <c r="G2000" s="294"/>
      <c r="H2000" s="294"/>
      <c r="I2000" s="294"/>
      <c r="J2000" s="294"/>
      <c r="L2000" s="295"/>
      <c r="M2000" s="294"/>
      <c r="O2000" s="294"/>
      <c r="P2000" s="294"/>
      <c r="Q2000" s="294"/>
      <c r="R2000" s="294"/>
      <c r="S2000" s="294"/>
      <c r="T2000" s="294"/>
      <c r="U2000" s="294"/>
      <c r="V2000" s="294"/>
      <c r="W2000" s="294"/>
      <c r="X2000" s="294"/>
      <c r="Y2000" s="294"/>
      <c r="Z2000" s="294"/>
      <c r="AA2000" s="294"/>
      <c r="AB2000" s="294"/>
      <c r="AC2000" s="294"/>
      <c r="AD2000" s="294"/>
      <c r="AE2000" s="294"/>
      <c r="AF2000" s="294"/>
      <c r="AG2000" s="294"/>
    </row>
    <row r="2001" spans="2:33" x14ac:dyDescent="0.25">
      <c r="B2001" s="294"/>
      <c r="C2001" s="294"/>
      <c r="D2001" s="294"/>
      <c r="E2001" s="294"/>
      <c r="F2001" s="294"/>
      <c r="G2001" s="294"/>
      <c r="H2001" s="294"/>
      <c r="I2001" s="294"/>
      <c r="J2001" s="294"/>
      <c r="L2001" s="295"/>
      <c r="M2001" s="294"/>
      <c r="O2001" s="294"/>
      <c r="P2001" s="294"/>
      <c r="Q2001" s="294"/>
      <c r="R2001" s="294"/>
      <c r="S2001" s="294"/>
      <c r="T2001" s="294"/>
      <c r="U2001" s="294"/>
      <c r="V2001" s="294"/>
      <c r="W2001" s="294"/>
      <c r="X2001" s="294"/>
      <c r="Y2001" s="294"/>
      <c r="Z2001" s="294"/>
      <c r="AA2001" s="294"/>
      <c r="AB2001" s="294"/>
      <c r="AC2001" s="294"/>
      <c r="AD2001" s="294"/>
      <c r="AE2001" s="294"/>
      <c r="AF2001" s="294"/>
      <c r="AG2001" s="294"/>
    </row>
    <row r="2002" spans="2:33" x14ac:dyDescent="0.25">
      <c r="B2002" s="294"/>
      <c r="C2002" s="294"/>
      <c r="D2002" s="294"/>
      <c r="E2002" s="294"/>
      <c r="F2002" s="294"/>
      <c r="G2002" s="294"/>
      <c r="H2002" s="294"/>
      <c r="I2002" s="294"/>
      <c r="J2002" s="294"/>
      <c r="L2002" s="295"/>
      <c r="M2002" s="294"/>
      <c r="O2002" s="294"/>
      <c r="P2002" s="294"/>
      <c r="Q2002" s="294"/>
      <c r="R2002" s="294"/>
      <c r="S2002" s="294"/>
      <c r="T2002" s="294"/>
      <c r="U2002" s="294"/>
      <c r="V2002" s="294"/>
      <c r="W2002" s="294"/>
      <c r="X2002" s="294"/>
      <c r="Y2002" s="294"/>
      <c r="Z2002" s="294"/>
      <c r="AA2002" s="294"/>
      <c r="AB2002" s="294"/>
      <c r="AC2002" s="294"/>
      <c r="AD2002" s="294"/>
      <c r="AE2002" s="294"/>
      <c r="AF2002" s="294"/>
      <c r="AG2002" s="294"/>
    </row>
    <row r="2003" spans="2:33" x14ac:dyDescent="0.25">
      <c r="B2003" s="294"/>
      <c r="C2003" s="294"/>
      <c r="D2003" s="294"/>
      <c r="E2003" s="294"/>
      <c r="F2003" s="294"/>
      <c r="G2003" s="294"/>
      <c r="H2003" s="294"/>
      <c r="I2003" s="294"/>
      <c r="J2003" s="294"/>
      <c r="L2003" s="295"/>
      <c r="M2003" s="294"/>
      <c r="O2003" s="294"/>
      <c r="P2003" s="294"/>
      <c r="Q2003" s="294"/>
      <c r="R2003" s="294"/>
      <c r="S2003" s="294"/>
      <c r="T2003" s="294"/>
      <c r="U2003" s="294"/>
      <c r="V2003" s="294"/>
      <c r="W2003" s="294"/>
      <c r="X2003" s="294"/>
      <c r="Y2003" s="294"/>
      <c r="Z2003" s="294"/>
      <c r="AA2003" s="294"/>
      <c r="AB2003" s="294"/>
      <c r="AC2003" s="294"/>
      <c r="AD2003" s="294"/>
      <c r="AE2003" s="294"/>
      <c r="AF2003" s="294"/>
      <c r="AG2003" s="294"/>
    </row>
    <row r="2004" spans="2:33" x14ac:dyDescent="0.25">
      <c r="B2004" s="294"/>
      <c r="C2004" s="294"/>
      <c r="D2004" s="294"/>
      <c r="E2004" s="294"/>
      <c r="F2004" s="294"/>
      <c r="G2004" s="294"/>
      <c r="H2004" s="294"/>
      <c r="I2004" s="294"/>
      <c r="J2004" s="294"/>
      <c r="L2004" s="295"/>
      <c r="M2004" s="294"/>
      <c r="O2004" s="294"/>
      <c r="P2004" s="294"/>
      <c r="Q2004" s="294"/>
      <c r="R2004" s="294"/>
      <c r="S2004" s="294"/>
      <c r="T2004" s="294"/>
      <c r="U2004" s="294"/>
      <c r="V2004" s="294"/>
      <c r="W2004" s="294"/>
      <c r="X2004" s="294"/>
      <c r="Y2004" s="294"/>
      <c r="Z2004" s="294"/>
      <c r="AA2004" s="294"/>
      <c r="AB2004" s="294"/>
      <c r="AC2004" s="294"/>
      <c r="AD2004" s="294"/>
      <c r="AE2004" s="294"/>
      <c r="AF2004" s="294"/>
      <c r="AG2004" s="294"/>
    </row>
    <row r="2005" spans="2:33" x14ac:dyDescent="0.25">
      <c r="B2005" s="294"/>
      <c r="C2005" s="294"/>
      <c r="D2005" s="294"/>
      <c r="E2005" s="294"/>
      <c r="F2005" s="294"/>
      <c r="G2005" s="294"/>
      <c r="H2005" s="294"/>
      <c r="I2005" s="294"/>
      <c r="J2005" s="294"/>
      <c r="L2005" s="295"/>
      <c r="M2005" s="294"/>
      <c r="O2005" s="294"/>
      <c r="P2005" s="294"/>
      <c r="Q2005" s="294"/>
      <c r="R2005" s="294"/>
      <c r="S2005" s="294"/>
      <c r="T2005" s="294"/>
      <c r="U2005" s="294"/>
      <c r="V2005" s="294"/>
      <c r="W2005" s="294"/>
      <c r="X2005" s="294"/>
      <c r="Y2005" s="294"/>
      <c r="Z2005" s="294"/>
      <c r="AA2005" s="294"/>
      <c r="AB2005" s="294"/>
      <c r="AC2005" s="294"/>
      <c r="AD2005" s="294"/>
      <c r="AE2005" s="294"/>
      <c r="AF2005" s="294"/>
      <c r="AG2005" s="294"/>
    </row>
    <row r="2006" spans="2:33" x14ac:dyDescent="0.25">
      <c r="B2006" s="294"/>
      <c r="C2006" s="294"/>
      <c r="D2006" s="294"/>
      <c r="E2006" s="294"/>
      <c r="F2006" s="294"/>
      <c r="G2006" s="294"/>
      <c r="H2006" s="294"/>
      <c r="I2006" s="294"/>
      <c r="J2006" s="294"/>
      <c r="L2006" s="295"/>
      <c r="M2006" s="294"/>
      <c r="O2006" s="294"/>
      <c r="P2006" s="294"/>
      <c r="Q2006" s="294"/>
      <c r="R2006" s="294"/>
      <c r="S2006" s="294"/>
      <c r="T2006" s="294"/>
      <c r="U2006" s="294"/>
      <c r="V2006" s="294"/>
      <c r="W2006" s="294"/>
      <c r="X2006" s="294"/>
      <c r="Y2006" s="294"/>
      <c r="Z2006" s="294"/>
      <c r="AA2006" s="294"/>
      <c r="AB2006" s="294"/>
      <c r="AC2006" s="294"/>
      <c r="AD2006" s="294"/>
      <c r="AE2006" s="294"/>
      <c r="AF2006" s="294"/>
      <c r="AG2006" s="294"/>
    </row>
    <row r="2007" spans="2:33" x14ac:dyDescent="0.25">
      <c r="B2007" s="294"/>
      <c r="C2007" s="294"/>
      <c r="D2007" s="294"/>
      <c r="E2007" s="294"/>
      <c r="F2007" s="294"/>
      <c r="G2007" s="294"/>
      <c r="H2007" s="294"/>
      <c r="I2007" s="294"/>
      <c r="J2007" s="294"/>
      <c r="L2007" s="295"/>
      <c r="M2007" s="294"/>
      <c r="O2007" s="294"/>
      <c r="P2007" s="294"/>
      <c r="Q2007" s="294"/>
      <c r="R2007" s="294"/>
      <c r="S2007" s="294"/>
      <c r="T2007" s="294"/>
      <c r="U2007" s="294"/>
      <c r="V2007" s="294"/>
      <c r="W2007" s="294"/>
      <c r="X2007" s="294"/>
      <c r="Y2007" s="294"/>
      <c r="Z2007" s="294"/>
      <c r="AA2007" s="294"/>
      <c r="AB2007" s="294"/>
      <c r="AC2007" s="294"/>
      <c r="AD2007" s="294"/>
      <c r="AE2007" s="294"/>
      <c r="AF2007" s="294"/>
      <c r="AG2007" s="294"/>
    </row>
    <row r="2008" spans="2:33" x14ac:dyDescent="0.25">
      <c r="B2008" s="294"/>
      <c r="C2008" s="294"/>
      <c r="D2008" s="294"/>
      <c r="E2008" s="294"/>
      <c r="F2008" s="294"/>
      <c r="G2008" s="294"/>
      <c r="H2008" s="294"/>
      <c r="I2008" s="294"/>
      <c r="J2008" s="294"/>
      <c r="L2008" s="295"/>
      <c r="M2008" s="294"/>
      <c r="O2008" s="294"/>
      <c r="P2008" s="294"/>
      <c r="Q2008" s="294"/>
      <c r="R2008" s="294"/>
      <c r="S2008" s="294"/>
      <c r="T2008" s="294"/>
      <c r="U2008" s="294"/>
      <c r="V2008" s="294"/>
      <c r="W2008" s="294"/>
      <c r="X2008" s="294"/>
      <c r="Y2008" s="294"/>
      <c r="Z2008" s="294"/>
      <c r="AA2008" s="294"/>
      <c r="AB2008" s="294"/>
      <c r="AC2008" s="294"/>
      <c r="AD2008" s="294"/>
      <c r="AE2008" s="294"/>
      <c r="AF2008" s="294"/>
      <c r="AG2008" s="294"/>
    </row>
    <row r="2009" spans="2:33" x14ac:dyDescent="0.25">
      <c r="B2009" s="294"/>
      <c r="C2009" s="294"/>
      <c r="D2009" s="294"/>
      <c r="E2009" s="294"/>
      <c r="F2009" s="294"/>
      <c r="G2009" s="294"/>
      <c r="H2009" s="294"/>
      <c r="I2009" s="294"/>
      <c r="J2009" s="294"/>
      <c r="L2009" s="295"/>
      <c r="M2009" s="294"/>
      <c r="O2009" s="294"/>
      <c r="P2009" s="294"/>
      <c r="Q2009" s="294"/>
      <c r="R2009" s="294"/>
      <c r="S2009" s="294"/>
      <c r="T2009" s="294"/>
      <c r="U2009" s="294"/>
      <c r="V2009" s="294"/>
      <c r="W2009" s="294"/>
      <c r="X2009" s="294"/>
      <c r="Y2009" s="294"/>
      <c r="Z2009" s="294"/>
      <c r="AA2009" s="294"/>
      <c r="AB2009" s="294"/>
      <c r="AC2009" s="294"/>
      <c r="AD2009" s="294"/>
      <c r="AE2009" s="294"/>
      <c r="AF2009" s="294"/>
      <c r="AG2009" s="294"/>
    </row>
    <row r="2010" spans="2:33" x14ac:dyDescent="0.25">
      <c r="B2010" s="294"/>
      <c r="C2010" s="294"/>
      <c r="D2010" s="294"/>
      <c r="E2010" s="294"/>
      <c r="F2010" s="294"/>
      <c r="G2010" s="294"/>
      <c r="H2010" s="294"/>
      <c r="I2010" s="294"/>
      <c r="J2010" s="294"/>
      <c r="L2010" s="295"/>
      <c r="M2010" s="294"/>
      <c r="O2010" s="294"/>
      <c r="P2010" s="294"/>
      <c r="Q2010" s="294"/>
      <c r="R2010" s="294"/>
      <c r="S2010" s="294"/>
      <c r="T2010" s="294"/>
      <c r="U2010" s="294"/>
      <c r="V2010" s="294"/>
      <c r="W2010" s="294"/>
      <c r="X2010" s="294"/>
      <c r="Y2010" s="294"/>
      <c r="Z2010" s="294"/>
      <c r="AA2010" s="294"/>
      <c r="AB2010" s="294"/>
      <c r="AC2010" s="294"/>
      <c r="AD2010" s="294"/>
      <c r="AE2010" s="294"/>
      <c r="AF2010" s="294"/>
      <c r="AG2010" s="294"/>
    </row>
    <row r="2011" spans="2:33" x14ac:dyDescent="0.25">
      <c r="B2011" s="294"/>
      <c r="C2011" s="294"/>
      <c r="D2011" s="294"/>
      <c r="E2011" s="294"/>
      <c r="F2011" s="294"/>
      <c r="G2011" s="294"/>
      <c r="H2011" s="294"/>
      <c r="I2011" s="294"/>
      <c r="J2011" s="294"/>
      <c r="L2011" s="295"/>
      <c r="M2011" s="294"/>
      <c r="O2011" s="294"/>
      <c r="P2011" s="294"/>
      <c r="Q2011" s="294"/>
      <c r="R2011" s="294"/>
      <c r="S2011" s="294"/>
      <c r="T2011" s="294"/>
      <c r="U2011" s="294"/>
      <c r="V2011" s="294"/>
      <c r="W2011" s="294"/>
      <c r="X2011" s="294"/>
      <c r="Y2011" s="294"/>
      <c r="Z2011" s="294"/>
      <c r="AA2011" s="294"/>
      <c r="AB2011" s="294"/>
      <c r="AC2011" s="294"/>
      <c r="AD2011" s="294"/>
      <c r="AE2011" s="294"/>
      <c r="AF2011" s="294"/>
      <c r="AG2011" s="294"/>
    </row>
    <row r="2012" spans="2:33" x14ac:dyDescent="0.25">
      <c r="B2012" s="294"/>
      <c r="C2012" s="294"/>
      <c r="D2012" s="294"/>
      <c r="E2012" s="294"/>
      <c r="F2012" s="294"/>
      <c r="G2012" s="294"/>
      <c r="H2012" s="294"/>
      <c r="I2012" s="294"/>
      <c r="J2012" s="294"/>
      <c r="L2012" s="295"/>
      <c r="M2012" s="294"/>
      <c r="O2012" s="294"/>
      <c r="P2012" s="294"/>
      <c r="Q2012" s="294"/>
      <c r="R2012" s="294"/>
      <c r="S2012" s="294"/>
      <c r="T2012" s="294"/>
      <c r="U2012" s="294"/>
      <c r="V2012" s="294"/>
      <c r="W2012" s="294"/>
      <c r="X2012" s="294"/>
      <c r="Y2012" s="294"/>
      <c r="Z2012" s="294"/>
      <c r="AA2012" s="294"/>
      <c r="AB2012" s="294"/>
      <c r="AC2012" s="294"/>
      <c r="AD2012" s="294"/>
      <c r="AE2012" s="294"/>
      <c r="AF2012" s="294"/>
      <c r="AG2012" s="294"/>
    </row>
    <row r="2013" spans="2:33" x14ac:dyDescent="0.25">
      <c r="B2013" s="294"/>
      <c r="C2013" s="294"/>
      <c r="D2013" s="294"/>
      <c r="E2013" s="294"/>
      <c r="F2013" s="294"/>
      <c r="G2013" s="294"/>
      <c r="H2013" s="294"/>
      <c r="I2013" s="294"/>
      <c r="J2013" s="294"/>
      <c r="L2013" s="295"/>
      <c r="M2013" s="294"/>
      <c r="O2013" s="294"/>
      <c r="P2013" s="294"/>
      <c r="Q2013" s="294"/>
      <c r="R2013" s="294"/>
      <c r="S2013" s="294"/>
      <c r="T2013" s="294"/>
      <c r="U2013" s="294"/>
      <c r="V2013" s="294"/>
      <c r="W2013" s="294"/>
      <c r="X2013" s="294"/>
      <c r="Y2013" s="294"/>
      <c r="Z2013" s="294"/>
      <c r="AA2013" s="294"/>
      <c r="AB2013" s="294"/>
      <c r="AC2013" s="294"/>
      <c r="AD2013" s="294"/>
      <c r="AE2013" s="294"/>
      <c r="AF2013" s="294"/>
      <c r="AG2013" s="294"/>
    </row>
    <row r="2014" spans="2:33" x14ac:dyDescent="0.25">
      <c r="B2014" s="294"/>
      <c r="C2014" s="294"/>
      <c r="D2014" s="294"/>
      <c r="E2014" s="294"/>
      <c r="F2014" s="294"/>
      <c r="G2014" s="294"/>
      <c r="H2014" s="294"/>
      <c r="I2014" s="294"/>
      <c r="J2014" s="294"/>
      <c r="L2014" s="295"/>
      <c r="M2014" s="294"/>
      <c r="O2014" s="294"/>
      <c r="P2014" s="294"/>
      <c r="Q2014" s="294"/>
      <c r="R2014" s="294"/>
      <c r="S2014" s="294"/>
      <c r="T2014" s="294"/>
      <c r="U2014" s="294"/>
      <c r="V2014" s="294"/>
      <c r="W2014" s="294"/>
      <c r="X2014" s="294"/>
      <c r="Y2014" s="294"/>
      <c r="Z2014" s="294"/>
      <c r="AA2014" s="294"/>
      <c r="AB2014" s="294"/>
      <c r="AC2014" s="294"/>
      <c r="AD2014" s="294"/>
      <c r="AE2014" s="294"/>
      <c r="AF2014" s="294"/>
      <c r="AG2014" s="294"/>
    </row>
    <row r="2015" spans="2:33" x14ac:dyDescent="0.25">
      <c r="B2015" s="294"/>
      <c r="C2015" s="294"/>
      <c r="D2015" s="294"/>
      <c r="E2015" s="294"/>
      <c r="F2015" s="294"/>
      <c r="G2015" s="294"/>
      <c r="H2015" s="294"/>
      <c r="I2015" s="294"/>
      <c r="J2015" s="294"/>
      <c r="L2015" s="295"/>
      <c r="M2015" s="294"/>
      <c r="O2015" s="294"/>
      <c r="P2015" s="294"/>
      <c r="Q2015" s="294"/>
      <c r="R2015" s="294"/>
      <c r="S2015" s="294"/>
      <c r="T2015" s="294"/>
      <c r="U2015" s="294"/>
      <c r="V2015" s="294"/>
      <c r="W2015" s="294"/>
      <c r="X2015" s="294"/>
      <c r="Y2015" s="294"/>
      <c r="Z2015" s="294"/>
      <c r="AA2015" s="294"/>
      <c r="AB2015" s="294"/>
      <c r="AC2015" s="294"/>
      <c r="AD2015" s="294"/>
      <c r="AE2015" s="294"/>
      <c r="AF2015" s="294"/>
      <c r="AG2015" s="294"/>
    </row>
    <row r="2016" spans="2:33" x14ac:dyDescent="0.25">
      <c r="B2016" s="294"/>
      <c r="C2016" s="294"/>
      <c r="D2016" s="294"/>
      <c r="E2016" s="294"/>
      <c r="F2016" s="294"/>
      <c r="G2016" s="294"/>
      <c r="H2016" s="294"/>
      <c r="I2016" s="294"/>
      <c r="J2016" s="294"/>
      <c r="L2016" s="295"/>
      <c r="M2016" s="294"/>
      <c r="O2016" s="294"/>
      <c r="P2016" s="294"/>
      <c r="Q2016" s="294"/>
      <c r="R2016" s="294"/>
      <c r="S2016" s="294"/>
      <c r="T2016" s="294"/>
      <c r="U2016" s="294"/>
      <c r="V2016" s="294"/>
      <c r="W2016" s="294"/>
      <c r="X2016" s="294"/>
      <c r="Y2016" s="294"/>
      <c r="Z2016" s="294"/>
      <c r="AA2016" s="294"/>
      <c r="AB2016" s="294"/>
      <c r="AC2016" s="294"/>
      <c r="AD2016" s="294"/>
      <c r="AE2016" s="294"/>
      <c r="AF2016" s="294"/>
      <c r="AG2016" s="294"/>
    </row>
    <row r="2017" spans="2:33" x14ac:dyDescent="0.25">
      <c r="B2017" s="294"/>
      <c r="C2017" s="294"/>
      <c r="D2017" s="294"/>
      <c r="E2017" s="294"/>
      <c r="F2017" s="294"/>
      <c r="G2017" s="294"/>
      <c r="H2017" s="294"/>
      <c r="I2017" s="294"/>
      <c r="J2017" s="294"/>
      <c r="L2017" s="295"/>
      <c r="M2017" s="294"/>
      <c r="O2017" s="294"/>
      <c r="P2017" s="294"/>
      <c r="Q2017" s="294"/>
      <c r="R2017" s="294"/>
      <c r="S2017" s="294"/>
      <c r="T2017" s="294"/>
      <c r="U2017" s="294"/>
      <c r="V2017" s="294"/>
      <c r="W2017" s="294"/>
      <c r="X2017" s="294"/>
      <c r="Y2017" s="294"/>
      <c r="Z2017" s="294"/>
      <c r="AA2017" s="294"/>
      <c r="AB2017" s="294"/>
      <c r="AC2017" s="294"/>
      <c r="AD2017" s="294"/>
      <c r="AE2017" s="294"/>
      <c r="AF2017" s="294"/>
      <c r="AG2017" s="294"/>
    </row>
    <row r="2018" spans="2:33" x14ac:dyDescent="0.25">
      <c r="B2018" s="294"/>
      <c r="C2018" s="294"/>
      <c r="D2018" s="294"/>
      <c r="E2018" s="294"/>
      <c r="F2018" s="294"/>
      <c r="G2018" s="294"/>
      <c r="H2018" s="294"/>
      <c r="I2018" s="294"/>
      <c r="J2018" s="294"/>
      <c r="L2018" s="295"/>
      <c r="M2018" s="294"/>
      <c r="O2018" s="294"/>
      <c r="P2018" s="294"/>
      <c r="Q2018" s="294"/>
      <c r="R2018" s="294"/>
      <c r="S2018" s="294"/>
      <c r="T2018" s="294"/>
      <c r="U2018" s="294"/>
      <c r="V2018" s="294"/>
      <c r="W2018" s="294"/>
      <c r="X2018" s="294"/>
      <c r="Y2018" s="294"/>
      <c r="Z2018" s="294"/>
      <c r="AA2018" s="294"/>
      <c r="AB2018" s="294"/>
      <c r="AC2018" s="294"/>
      <c r="AD2018" s="294"/>
      <c r="AE2018" s="294"/>
      <c r="AF2018" s="294"/>
      <c r="AG2018" s="294"/>
    </row>
    <row r="2019" spans="2:33" x14ac:dyDescent="0.25">
      <c r="B2019" s="294"/>
      <c r="C2019" s="294"/>
      <c r="D2019" s="294"/>
      <c r="E2019" s="294"/>
      <c r="F2019" s="294"/>
      <c r="G2019" s="294"/>
      <c r="H2019" s="294"/>
      <c r="I2019" s="294"/>
      <c r="J2019" s="294"/>
      <c r="L2019" s="295"/>
      <c r="M2019" s="294"/>
      <c r="O2019" s="294"/>
      <c r="P2019" s="294"/>
      <c r="Q2019" s="294"/>
      <c r="R2019" s="294"/>
      <c r="S2019" s="294"/>
      <c r="T2019" s="294"/>
      <c r="U2019" s="294"/>
      <c r="V2019" s="294"/>
      <c r="W2019" s="294"/>
      <c r="X2019" s="294"/>
      <c r="Y2019" s="294"/>
      <c r="Z2019" s="294"/>
      <c r="AA2019" s="294"/>
      <c r="AB2019" s="294"/>
      <c r="AC2019" s="294"/>
      <c r="AD2019" s="294"/>
      <c r="AE2019" s="294"/>
      <c r="AF2019" s="294"/>
      <c r="AG2019" s="294"/>
    </row>
    <row r="2020" spans="2:33" x14ac:dyDescent="0.25">
      <c r="B2020" s="294"/>
      <c r="C2020" s="294"/>
      <c r="D2020" s="294"/>
      <c r="E2020" s="294"/>
      <c r="F2020" s="294"/>
      <c r="G2020" s="294"/>
      <c r="H2020" s="294"/>
      <c r="I2020" s="294"/>
      <c r="J2020" s="294"/>
      <c r="L2020" s="295"/>
      <c r="M2020" s="294"/>
      <c r="O2020" s="294"/>
      <c r="P2020" s="294"/>
      <c r="Q2020" s="294"/>
      <c r="R2020" s="294"/>
      <c r="S2020" s="294"/>
      <c r="T2020" s="294"/>
      <c r="U2020" s="294"/>
      <c r="V2020" s="294"/>
      <c r="W2020" s="294"/>
      <c r="X2020" s="294"/>
      <c r="Y2020" s="294"/>
      <c r="Z2020" s="294"/>
      <c r="AA2020" s="294"/>
      <c r="AB2020" s="294"/>
      <c r="AC2020" s="294"/>
      <c r="AD2020" s="294"/>
      <c r="AE2020" s="294"/>
      <c r="AF2020" s="294"/>
      <c r="AG2020" s="294"/>
    </row>
    <row r="2021" spans="2:33" x14ac:dyDescent="0.25">
      <c r="B2021" s="294"/>
      <c r="C2021" s="294"/>
      <c r="D2021" s="294"/>
      <c r="E2021" s="294"/>
      <c r="F2021" s="294"/>
      <c r="G2021" s="294"/>
      <c r="H2021" s="294"/>
      <c r="I2021" s="294"/>
      <c r="J2021" s="294"/>
      <c r="L2021" s="295"/>
      <c r="M2021" s="294"/>
      <c r="O2021" s="294"/>
      <c r="P2021" s="294"/>
      <c r="Q2021" s="294"/>
      <c r="R2021" s="294"/>
      <c r="S2021" s="294"/>
      <c r="T2021" s="294"/>
      <c r="U2021" s="294"/>
      <c r="V2021" s="294"/>
      <c r="W2021" s="294"/>
      <c r="X2021" s="294"/>
      <c r="Y2021" s="294"/>
      <c r="Z2021" s="294"/>
      <c r="AA2021" s="294"/>
      <c r="AB2021" s="294"/>
      <c r="AC2021" s="294"/>
      <c r="AD2021" s="294"/>
      <c r="AE2021" s="294"/>
      <c r="AF2021" s="294"/>
      <c r="AG2021" s="294"/>
    </row>
    <row r="2022" spans="2:33" x14ac:dyDescent="0.25">
      <c r="B2022" s="294"/>
      <c r="C2022" s="294"/>
      <c r="D2022" s="294"/>
      <c r="E2022" s="294"/>
      <c r="F2022" s="294"/>
      <c r="G2022" s="294"/>
      <c r="H2022" s="294"/>
      <c r="I2022" s="294"/>
      <c r="J2022" s="294"/>
      <c r="L2022" s="295"/>
      <c r="M2022" s="294"/>
      <c r="O2022" s="294"/>
      <c r="P2022" s="294"/>
      <c r="Q2022" s="294"/>
      <c r="R2022" s="294"/>
      <c r="S2022" s="294"/>
      <c r="T2022" s="294"/>
      <c r="U2022" s="294"/>
      <c r="V2022" s="294"/>
      <c r="W2022" s="294"/>
      <c r="X2022" s="294"/>
      <c r="Y2022" s="294"/>
      <c r="Z2022" s="294"/>
      <c r="AA2022" s="294"/>
      <c r="AB2022" s="294"/>
      <c r="AC2022" s="294"/>
      <c r="AD2022" s="294"/>
      <c r="AE2022" s="294"/>
      <c r="AF2022" s="294"/>
      <c r="AG2022" s="294"/>
    </row>
    <row r="2023" spans="2:33" x14ac:dyDescent="0.25">
      <c r="B2023" s="294"/>
      <c r="C2023" s="294"/>
      <c r="D2023" s="294"/>
      <c r="E2023" s="294"/>
      <c r="F2023" s="294"/>
      <c r="G2023" s="294"/>
      <c r="H2023" s="294"/>
      <c r="I2023" s="294"/>
      <c r="J2023" s="294"/>
      <c r="L2023" s="295"/>
      <c r="M2023" s="294"/>
      <c r="O2023" s="294"/>
      <c r="P2023" s="294"/>
      <c r="Q2023" s="294"/>
      <c r="R2023" s="294"/>
      <c r="S2023" s="294"/>
      <c r="T2023" s="294"/>
      <c r="U2023" s="294"/>
      <c r="V2023" s="294"/>
      <c r="W2023" s="294"/>
      <c r="X2023" s="294"/>
      <c r="Y2023" s="294"/>
      <c r="Z2023" s="294"/>
      <c r="AA2023" s="294"/>
      <c r="AB2023" s="294"/>
      <c r="AC2023" s="294"/>
      <c r="AD2023" s="294"/>
      <c r="AE2023" s="294"/>
      <c r="AF2023" s="294"/>
      <c r="AG2023" s="294"/>
    </row>
    <row r="2024" spans="2:33" x14ac:dyDescent="0.25">
      <c r="B2024" s="294"/>
      <c r="C2024" s="294"/>
      <c r="D2024" s="294"/>
      <c r="E2024" s="294"/>
      <c r="F2024" s="294"/>
      <c r="G2024" s="294"/>
      <c r="H2024" s="294"/>
      <c r="I2024" s="294"/>
      <c r="J2024" s="294"/>
      <c r="L2024" s="295"/>
      <c r="M2024" s="294"/>
      <c r="O2024" s="294"/>
      <c r="P2024" s="294"/>
      <c r="Q2024" s="294"/>
      <c r="R2024" s="294"/>
      <c r="S2024" s="294"/>
      <c r="T2024" s="294"/>
      <c r="U2024" s="294"/>
      <c r="V2024" s="294"/>
      <c r="W2024" s="294"/>
      <c r="X2024" s="294"/>
      <c r="Y2024" s="294"/>
      <c r="Z2024" s="294"/>
      <c r="AA2024" s="294"/>
      <c r="AB2024" s="294"/>
      <c r="AC2024" s="294"/>
      <c r="AD2024" s="294"/>
      <c r="AE2024" s="294"/>
      <c r="AF2024" s="294"/>
      <c r="AG2024" s="294"/>
    </row>
    <row r="2025" spans="2:33" x14ac:dyDescent="0.25">
      <c r="B2025" s="294"/>
      <c r="C2025" s="294"/>
      <c r="D2025" s="294"/>
      <c r="E2025" s="294"/>
      <c r="F2025" s="294"/>
      <c r="G2025" s="294"/>
      <c r="H2025" s="294"/>
      <c r="I2025" s="294"/>
      <c r="J2025" s="294"/>
      <c r="L2025" s="295"/>
      <c r="M2025" s="294"/>
      <c r="O2025" s="294"/>
      <c r="P2025" s="294"/>
      <c r="Q2025" s="294"/>
      <c r="R2025" s="294"/>
      <c r="S2025" s="294"/>
      <c r="T2025" s="294"/>
      <c r="U2025" s="294"/>
      <c r="V2025" s="294"/>
      <c r="W2025" s="294"/>
      <c r="X2025" s="294"/>
      <c r="Y2025" s="294"/>
      <c r="Z2025" s="294"/>
      <c r="AA2025" s="294"/>
      <c r="AB2025" s="294"/>
      <c r="AC2025" s="294"/>
      <c r="AD2025" s="294"/>
      <c r="AE2025" s="294"/>
      <c r="AF2025" s="294"/>
      <c r="AG2025" s="294"/>
    </row>
    <row r="2026" spans="2:33" x14ac:dyDescent="0.25">
      <c r="B2026" s="294"/>
      <c r="C2026" s="294"/>
      <c r="D2026" s="294"/>
      <c r="E2026" s="294"/>
      <c r="F2026" s="294"/>
      <c r="G2026" s="294"/>
      <c r="H2026" s="294"/>
      <c r="I2026" s="294"/>
      <c r="J2026" s="294"/>
      <c r="L2026" s="295"/>
      <c r="M2026" s="294"/>
      <c r="O2026" s="294"/>
      <c r="P2026" s="294"/>
      <c r="Q2026" s="294"/>
      <c r="R2026" s="294"/>
      <c r="S2026" s="294"/>
      <c r="T2026" s="294"/>
      <c r="U2026" s="294"/>
      <c r="V2026" s="294"/>
      <c r="W2026" s="294"/>
      <c r="X2026" s="294"/>
      <c r="Y2026" s="294"/>
      <c r="Z2026" s="294"/>
      <c r="AA2026" s="294"/>
      <c r="AB2026" s="294"/>
      <c r="AC2026" s="294"/>
      <c r="AD2026" s="294"/>
      <c r="AE2026" s="294"/>
      <c r="AF2026" s="294"/>
      <c r="AG2026" s="294"/>
    </row>
    <row r="2027" spans="2:33" x14ac:dyDescent="0.25">
      <c r="B2027" s="294"/>
      <c r="C2027" s="294"/>
      <c r="D2027" s="294"/>
      <c r="E2027" s="294"/>
      <c r="F2027" s="294"/>
      <c r="G2027" s="294"/>
      <c r="H2027" s="294"/>
      <c r="I2027" s="294"/>
      <c r="J2027" s="294"/>
      <c r="L2027" s="295"/>
      <c r="M2027" s="294"/>
      <c r="O2027" s="294"/>
      <c r="P2027" s="294"/>
      <c r="Q2027" s="294"/>
      <c r="R2027" s="294"/>
      <c r="S2027" s="294"/>
      <c r="T2027" s="294"/>
      <c r="U2027" s="294"/>
      <c r="V2027" s="294"/>
      <c r="W2027" s="294"/>
      <c r="X2027" s="294"/>
      <c r="Y2027" s="294"/>
      <c r="Z2027" s="294"/>
      <c r="AA2027" s="294"/>
      <c r="AB2027" s="294"/>
      <c r="AC2027" s="294"/>
      <c r="AD2027" s="294"/>
      <c r="AE2027" s="294"/>
      <c r="AF2027" s="294"/>
      <c r="AG2027" s="294"/>
    </row>
    <row r="2028" spans="2:33" x14ac:dyDescent="0.25">
      <c r="B2028" s="294"/>
      <c r="C2028" s="294"/>
      <c r="D2028" s="294"/>
      <c r="E2028" s="294"/>
      <c r="F2028" s="294"/>
      <c r="G2028" s="294"/>
      <c r="H2028" s="294"/>
      <c r="I2028" s="294"/>
      <c r="J2028" s="294"/>
      <c r="L2028" s="295"/>
      <c r="M2028" s="294"/>
      <c r="O2028" s="294"/>
      <c r="P2028" s="294"/>
      <c r="Q2028" s="294"/>
      <c r="R2028" s="294"/>
      <c r="S2028" s="294"/>
      <c r="T2028" s="294"/>
      <c r="U2028" s="294"/>
      <c r="V2028" s="294"/>
      <c r="W2028" s="294"/>
      <c r="X2028" s="294"/>
      <c r="Y2028" s="294"/>
      <c r="Z2028" s="294"/>
      <c r="AA2028" s="294"/>
      <c r="AB2028" s="294"/>
      <c r="AC2028" s="294"/>
      <c r="AD2028" s="294"/>
      <c r="AE2028" s="294"/>
      <c r="AF2028" s="294"/>
      <c r="AG2028" s="294"/>
    </row>
    <row r="2029" spans="2:33" x14ac:dyDescent="0.25">
      <c r="B2029" s="294"/>
      <c r="C2029" s="294"/>
      <c r="D2029" s="294"/>
      <c r="E2029" s="294"/>
      <c r="F2029" s="294"/>
      <c r="G2029" s="294"/>
      <c r="H2029" s="294"/>
      <c r="I2029" s="294"/>
      <c r="J2029" s="294"/>
      <c r="L2029" s="295"/>
      <c r="M2029" s="294"/>
      <c r="O2029" s="294"/>
      <c r="P2029" s="294"/>
      <c r="Q2029" s="294"/>
      <c r="R2029" s="294"/>
      <c r="S2029" s="294"/>
      <c r="T2029" s="294"/>
      <c r="U2029" s="294"/>
      <c r="V2029" s="294"/>
      <c r="W2029" s="294"/>
      <c r="X2029" s="294"/>
      <c r="Y2029" s="294"/>
      <c r="Z2029" s="294"/>
      <c r="AA2029" s="294"/>
      <c r="AB2029" s="294"/>
      <c r="AC2029" s="294"/>
      <c r="AD2029" s="294"/>
      <c r="AE2029" s="294"/>
      <c r="AF2029" s="294"/>
      <c r="AG2029" s="294"/>
    </row>
    <row r="2030" spans="2:33" x14ac:dyDescent="0.25">
      <c r="B2030" s="294"/>
      <c r="C2030" s="294"/>
      <c r="D2030" s="294"/>
      <c r="E2030" s="294"/>
      <c r="F2030" s="294"/>
      <c r="G2030" s="294"/>
      <c r="H2030" s="294"/>
      <c r="I2030" s="294"/>
      <c r="J2030" s="294"/>
      <c r="L2030" s="295"/>
      <c r="M2030" s="294"/>
      <c r="O2030" s="294"/>
      <c r="P2030" s="294"/>
      <c r="Q2030" s="294"/>
      <c r="R2030" s="294"/>
      <c r="S2030" s="294"/>
      <c r="T2030" s="294"/>
      <c r="U2030" s="294"/>
      <c r="V2030" s="294"/>
      <c r="W2030" s="294"/>
      <c r="X2030" s="294"/>
      <c r="Y2030" s="294"/>
      <c r="Z2030" s="294"/>
      <c r="AA2030" s="294"/>
      <c r="AB2030" s="294"/>
      <c r="AC2030" s="294"/>
      <c r="AD2030" s="294"/>
      <c r="AE2030" s="294"/>
      <c r="AF2030" s="294"/>
      <c r="AG2030" s="294"/>
    </row>
    <row r="2031" spans="2:33" x14ac:dyDescent="0.25">
      <c r="B2031" s="294"/>
      <c r="C2031" s="294"/>
      <c r="D2031" s="294"/>
      <c r="E2031" s="294"/>
      <c r="F2031" s="294"/>
      <c r="G2031" s="294"/>
      <c r="H2031" s="294"/>
      <c r="I2031" s="294"/>
      <c r="J2031" s="294"/>
      <c r="L2031" s="295"/>
      <c r="M2031" s="294"/>
      <c r="O2031" s="294"/>
      <c r="P2031" s="294"/>
      <c r="Q2031" s="294"/>
      <c r="R2031" s="294"/>
      <c r="S2031" s="294"/>
      <c r="T2031" s="294"/>
      <c r="U2031" s="294"/>
      <c r="V2031" s="294"/>
      <c r="W2031" s="294"/>
      <c r="X2031" s="294"/>
      <c r="Y2031" s="294"/>
      <c r="Z2031" s="294"/>
      <c r="AA2031" s="294"/>
      <c r="AB2031" s="294"/>
      <c r="AC2031" s="294"/>
      <c r="AD2031" s="294"/>
      <c r="AE2031" s="294"/>
      <c r="AF2031" s="294"/>
      <c r="AG2031" s="294"/>
    </row>
    <row r="2032" spans="2:33" x14ac:dyDescent="0.25">
      <c r="B2032" s="294"/>
      <c r="C2032" s="294"/>
      <c r="D2032" s="294"/>
      <c r="E2032" s="294"/>
      <c r="F2032" s="294"/>
      <c r="G2032" s="294"/>
      <c r="H2032" s="294"/>
      <c r="I2032" s="294"/>
      <c r="J2032" s="294"/>
      <c r="L2032" s="295"/>
      <c r="M2032" s="294"/>
      <c r="O2032" s="294"/>
      <c r="P2032" s="294"/>
      <c r="Q2032" s="294"/>
      <c r="R2032" s="294"/>
      <c r="S2032" s="294"/>
      <c r="T2032" s="294"/>
      <c r="U2032" s="294"/>
      <c r="V2032" s="294"/>
      <c r="W2032" s="294"/>
      <c r="X2032" s="294"/>
      <c r="Y2032" s="294"/>
      <c r="Z2032" s="294"/>
      <c r="AA2032" s="294"/>
      <c r="AB2032" s="294"/>
      <c r="AC2032" s="294"/>
      <c r="AD2032" s="294"/>
      <c r="AE2032" s="294"/>
      <c r="AF2032" s="294"/>
      <c r="AG2032" s="294"/>
    </row>
    <row r="2033" spans="2:33" x14ac:dyDescent="0.25">
      <c r="B2033" s="294"/>
      <c r="C2033" s="294"/>
      <c r="D2033" s="294"/>
      <c r="E2033" s="294"/>
      <c r="F2033" s="294"/>
      <c r="G2033" s="294"/>
      <c r="H2033" s="294"/>
      <c r="I2033" s="294"/>
      <c r="J2033" s="294"/>
      <c r="L2033" s="295"/>
      <c r="M2033" s="294"/>
      <c r="O2033" s="294"/>
      <c r="P2033" s="294"/>
      <c r="Q2033" s="294"/>
      <c r="R2033" s="294"/>
      <c r="S2033" s="294"/>
      <c r="T2033" s="294"/>
      <c r="U2033" s="294"/>
      <c r="V2033" s="294"/>
      <c r="W2033" s="294"/>
      <c r="X2033" s="294"/>
      <c r="Y2033" s="294"/>
      <c r="Z2033" s="294"/>
      <c r="AA2033" s="294"/>
      <c r="AB2033" s="294"/>
      <c r="AC2033" s="294"/>
      <c r="AD2033" s="294"/>
      <c r="AE2033" s="294"/>
      <c r="AF2033" s="294"/>
      <c r="AG2033" s="294"/>
    </row>
    <row r="2034" spans="2:33" x14ac:dyDescent="0.25">
      <c r="B2034" s="294"/>
      <c r="C2034" s="294"/>
      <c r="D2034" s="294"/>
      <c r="E2034" s="294"/>
      <c r="F2034" s="294"/>
      <c r="G2034" s="294"/>
      <c r="H2034" s="294"/>
      <c r="I2034" s="294"/>
      <c r="J2034" s="294"/>
      <c r="L2034" s="295"/>
      <c r="M2034" s="294"/>
      <c r="O2034" s="294"/>
      <c r="P2034" s="294"/>
      <c r="Q2034" s="294"/>
      <c r="R2034" s="294"/>
      <c r="S2034" s="294"/>
      <c r="T2034" s="294"/>
      <c r="U2034" s="294"/>
      <c r="V2034" s="294"/>
      <c r="W2034" s="294"/>
      <c r="X2034" s="294"/>
      <c r="Y2034" s="294"/>
      <c r="Z2034" s="294"/>
      <c r="AA2034" s="294"/>
      <c r="AB2034" s="294"/>
      <c r="AC2034" s="294"/>
      <c r="AD2034" s="294"/>
      <c r="AE2034" s="294"/>
      <c r="AF2034" s="294"/>
      <c r="AG2034" s="294"/>
    </row>
    <row r="2035" spans="2:33" x14ac:dyDescent="0.25">
      <c r="B2035" s="294"/>
      <c r="C2035" s="294"/>
      <c r="D2035" s="294"/>
      <c r="E2035" s="294"/>
      <c r="F2035" s="294"/>
      <c r="G2035" s="294"/>
      <c r="H2035" s="294"/>
      <c r="I2035" s="294"/>
      <c r="J2035" s="294"/>
      <c r="L2035" s="295"/>
      <c r="M2035" s="294"/>
      <c r="O2035" s="294"/>
      <c r="P2035" s="294"/>
      <c r="Q2035" s="294"/>
      <c r="R2035" s="294"/>
      <c r="S2035" s="294"/>
      <c r="T2035" s="294"/>
      <c r="U2035" s="294"/>
      <c r="V2035" s="294"/>
      <c r="W2035" s="294"/>
      <c r="X2035" s="294"/>
      <c r="Y2035" s="294"/>
      <c r="Z2035" s="294"/>
      <c r="AA2035" s="294"/>
      <c r="AB2035" s="294"/>
      <c r="AC2035" s="294"/>
      <c r="AD2035" s="294"/>
      <c r="AE2035" s="294"/>
      <c r="AF2035" s="294"/>
      <c r="AG2035" s="294"/>
    </row>
    <row r="2036" spans="2:33" x14ac:dyDescent="0.25">
      <c r="B2036" s="294"/>
      <c r="C2036" s="294"/>
      <c r="D2036" s="294"/>
      <c r="E2036" s="294"/>
      <c r="F2036" s="294"/>
      <c r="G2036" s="294"/>
      <c r="H2036" s="294"/>
      <c r="I2036" s="294"/>
      <c r="J2036" s="294"/>
      <c r="L2036" s="295"/>
      <c r="M2036" s="294"/>
      <c r="O2036" s="294"/>
      <c r="P2036" s="294"/>
      <c r="Q2036" s="294"/>
      <c r="R2036" s="294"/>
      <c r="S2036" s="294"/>
      <c r="T2036" s="294"/>
      <c r="U2036" s="294"/>
      <c r="V2036" s="294"/>
      <c r="W2036" s="294"/>
      <c r="X2036" s="294"/>
      <c r="Y2036" s="294"/>
      <c r="Z2036" s="294"/>
      <c r="AA2036" s="294"/>
      <c r="AB2036" s="294"/>
      <c r="AC2036" s="294"/>
      <c r="AD2036" s="294"/>
      <c r="AE2036" s="294"/>
      <c r="AF2036" s="294"/>
      <c r="AG2036" s="294"/>
    </row>
    <row r="2037" spans="2:33" x14ac:dyDescent="0.25">
      <c r="B2037" s="294"/>
      <c r="C2037" s="294"/>
      <c r="D2037" s="294"/>
      <c r="E2037" s="294"/>
      <c r="F2037" s="294"/>
      <c r="G2037" s="294"/>
      <c r="H2037" s="294"/>
      <c r="I2037" s="294"/>
      <c r="J2037" s="294"/>
      <c r="L2037" s="295"/>
      <c r="M2037" s="294"/>
      <c r="O2037" s="294"/>
      <c r="P2037" s="294"/>
      <c r="Q2037" s="294"/>
      <c r="R2037" s="294"/>
      <c r="S2037" s="294"/>
      <c r="T2037" s="294"/>
      <c r="U2037" s="294"/>
      <c r="V2037" s="294"/>
      <c r="W2037" s="294"/>
      <c r="X2037" s="294"/>
      <c r="Y2037" s="294"/>
      <c r="Z2037" s="294"/>
      <c r="AA2037" s="294"/>
      <c r="AB2037" s="294"/>
      <c r="AC2037" s="294"/>
      <c r="AD2037" s="294"/>
      <c r="AE2037" s="294"/>
      <c r="AF2037" s="294"/>
      <c r="AG2037" s="294"/>
    </row>
    <row r="2038" spans="2:33" x14ac:dyDescent="0.25">
      <c r="B2038" s="294"/>
      <c r="C2038" s="294"/>
      <c r="D2038" s="294"/>
      <c r="E2038" s="294"/>
      <c r="F2038" s="294"/>
      <c r="G2038" s="294"/>
      <c r="H2038" s="294"/>
      <c r="I2038" s="294"/>
      <c r="J2038" s="294"/>
      <c r="L2038" s="295"/>
      <c r="M2038" s="294"/>
      <c r="O2038" s="294"/>
      <c r="P2038" s="294"/>
      <c r="Q2038" s="294"/>
      <c r="R2038" s="294"/>
      <c r="S2038" s="294"/>
      <c r="T2038" s="294"/>
      <c r="U2038" s="294"/>
      <c r="V2038" s="294"/>
      <c r="W2038" s="294"/>
      <c r="X2038" s="294"/>
      <c r="Y2038" s="294"/>
      <c r="Z2038" s="294"/>
      <c r="AA2038" s="294"/>
      <c r="AB2038" s="294"/>
      <c r="AC2038" s="294"/>
      <c r="AD2038" s="294"/>
      <c r="AE2038" s="294"/>
      <c r="AF2038" s="294"/>
      <c r="AG2038" s="294"/>
    </row>
    <row r="2039" spans="2:33" x14ac:dyDescent="0.25">
      <c r="B2039" s="294"/>
      <c r="C2039" s="294"/>
      <c r="D2039" s="294"/>
      <c r="E2039" s="294"/>
      <c r="F2039" s="294"/>
      <c r="G2039" s="294"/>
      <c r="H2039" s="294"/>
      <c r="I2039" s="294"/>
      <c r="J2039" s="294"/>
      <c r="L2039" s="295"/>
      <c r="M2039" s="294"/>
      <c r="O2039" s="294"/>
      <c r="P2039" s="294"/>
      <c r="Q2039" s="294"/>
      <c r="R2039" s="294"/>
      <c r="S2039" s="294"/>
      <c r="T2039" s="294"/>
      <c r="U2039" s="294"/>
      <c r="V2039" s="294"/>
      <c r="W2039" s="294"/>
      <c r="X2039" s="294"/>
      <c r="Y2039" s="294"/>
      <c r="Z2039" s="294"/>
      <c r="AA2039" s="294"/>
      <c r="AB2039" s="294"/>
      <c r="AC2039" s="294"/>
      <c r="AD2039" s="294"/>
      <c r="AE2039" s="294"/>
      <c r="AF2039" s="294"/>
      <c r="AG2039" s="294"/>
    </row>
    <row r="2040" spans="2:33" x14ac:dyDescent="0.25">
      <c r="B2040" s="294"/>
      <c r="C2040" s="294"/>
      <c r="D2040" s="294"/>
      <c r="E2040" s="294"/>
      <c r="F2040" s="294"/>
      <c r="G2040" s="294"/>
      <c r="H2040" s="294"/>
      <c r="I2040" s="294"/>
      <c r="J2040" s="294"/>
      <c r="L2040" s="295"/>
      <c r="M2040" s="294"/>
      <c r="O2040" s="294"/>
      <c r="P2040" s="294"/>
      <c r="Q2040" s="294"/>
      <c r="R2040" s="294"/>
      <c r="S2040" s="294"/>
      <c r="T2040" s="294"/>
      <c r="U2040" s="294"/>
      <c r="V2040" s="294"/>
      <c r="W2040" s="294"/>
      <c r="X2040" s="294"/>
      <c r="Y2040" s="294"/>
      <c r="Z2040" s="294"/>
      <c r="AA2040" s="294"/>
      <c r="AB2040" s="294"/>
      <c r="AC2040" s="294"/>
      <c r="AD2040" s="294"/>
      <c r="AE2040" s="294"/>
      <c r="AF2040" s="294"/>
      <c r="AG2040" s="294"/>
    </row>
    <row r="2041" spans="2:33" x14ac:dyDescent="0.25">
      <c r="B2041" s="294"/>
      <c r="C2041" s="294"/>
      <c r="D2041" s="294"/>
      <c r="E2041" s="294"/>
      <c r="F2041" s="294"/>
      <c r="G2041" s="294"/>
      <c r="H2041" s="294"/>
      <c r="I2041" s="294"/>
      <c r="J2041" s="294"/>
      <c r="L2041" s="295"/>
      <c r="M2041" s="294"/>
      <c r="O2041" s="294"/>
      <c r="P2041" s="294"/>
      <c r="Q2041" s="294"/>
      <c r="R2041" s="294"/>
      <c r="S2041" s="294"/>
      <c r="T2041" s="294"/>
      <c r="U2041" s="294"/>
      <c r="V2041" s="294"/>
      <c r="W2041" s="294"/>
      <c r="X2041" s="294"/>
      <c r="Y2041" s="294"/>
      <c r="Z2041" s="294"/>
      <c r="AA2041" s="294"/>
      <c r="AB2041" s="294"/>
      <c r="AC2041" s="294"/>
      <c r="AD2041" s="294"/>
      <c r="AE2041" s="294"/>
      <c r="AF2041" s="294"/>
      <c r="AG2041" s="294"/>
    </row>
    <row r="2042" spans="2:33" x14ac:dyDescent="0.25">
      <c r="B2042" s="294"/>
      <c r="C2042" s="294"/>
      <c r="D2042" s="294"/>
      <c r="E2042" s="294"/>
      <c r="F2042" s="294"/>
      <c r="G2042" s="294"/>
      <c r="H2042" s="294"/>
      <c r="I2042" s="294"/>
      <c r="J2042" s="294"/>
      <c r="L2042" s="295"/>
      <c r="M2042" s="294"/>
      <c r="O2042" s="294"/>
      <c r="P2042" s="294"/>
      <c r="Q2042" s="294"/>
      <c r="R2042" s="294"/>
      <c r="S2042" s="294"/>
      <c r="T2042" s="294"/>
      <c r="U2042" s="294"/>
      <c r="V2042" s="294"/>
      <c r="W2042" s="294"/>
      <c r="X2042" s="294"/>
      <c r="Y2042" s="294"/>
      <c r="Z2042" s="294"/>
      <c r="AA2042" s="294"/>
      <c r="AB2042" s="294"/>
      <c r="AC2042" s="294"/>
      <c r="AD2042" s="294"/>
      <c r="AE2042" s="294"/>
      <c r="AF2042" s="294"/>
      <c r="AG2042" s="294"/>
    </row>
    <row r="2043" spans="2:33" x14ac:dyDescent="0.25">
      <c r="B2043" s="294"/>
      <c r="C2043" s="294"/>
      <c r="D2043" s="294"/>
      <c r="E2043" s="294"/>
      <c r="F2043" s="294"/>
      <c r="G2043" s="294"/>
      <c r="H2043" s="294"/>
      <c r="I2043" s="294"/>
      <c r="J2043" s="294"/>
      <c r="L2043" s="295"/>
      <c r="M2043" s="294"/>
      <c r="O2043" s="294"/>
      <c r="P2043" s="294"/>
      <c r="Q2043" s="294"/>
      <c r="R2043" s="294"/>
      <c r="S2043" s="294"/>
      <c r="T2043" s="294"/>
      <c r="U2043" s="294"/>
      <c r="V2043" s="294"/>
      <c r="W2043" s="294"/>
      <c r="X2043" s="294"/>
      <c r="Y2043" s="294"/>
      <c r="Z2043" s="294"/>
      <c r="AA2043" s="294"/>
      <c r="AB2043" s="294"/>
      <c r="AC2043" s="294"/>
      <c r="AD2043" s="294"/>
      <c r="AE2043" s="294"/>
      <c r="AF2043" s="294"/>
      <c r="AG2043" s="294"/>
    </row>
    <row r="2044" spans="2:33" x14ac:dyDescent="0.25">
      <c r="B2044" s="294"/>
      <c r="C2044" s="294"/>
      <c r="D2044" s="294"/>
      <c r="E2044" s="294"/>
      <c r="F2044" s="294"/>
      <c r="G2044" s="294"/>
      <c r="H2044" s="294"/>
      <c r="I2044" s="294"/>
      <c r="J2044" s="294"/>
      <c r="L2044" s="295"/>
      <c r="M2044" s="294"/>
      <c r="O2044" s="294"/>
      <c r="P2044" s="294"/>
      <c r="Q2044" s="294"/>
      <c r="R2044" s="294"/>
      <c r="S2044" s="294"/>
      <c r="T2044" s="294"/>
      <c r="U2044" s="294"/>
      <c r="V2044" s="294"/>
      <c r="W2044" s="294"/>
      <c r="X2044" s="294"/>
      <c r="Y2044" s="294"/>
      <c r="Z2044" s="294"/>
      <c r="AA2044" s="294"/>
      <c r="AB2044" s="294"/>
      <c r="AC2044" s="294"/>
      <c r="AD2044" s="294"/>
      <c r="AE2044" s="294"/>
      <c r="AF2044" s="294"/>
      <c r="AG2044" s="294"/>
    </row>
    <row r="2045" spans="2:33" x14ac:dyDescent="0.25">
      <c r="B2045" s="294"/>
      <c r="C2045" s="294"/>
      <c r="D2045" s="294"/>
      <c r="E2045" s="294"/>
      <c r="F2045" s="294"/>
      <c r="G2045" s="294"/>
      <c r="H2045" s="294"/>
      <c r="I2045" s="294"/>
      <c r="J2045" s="294"/>
      <c r="L2045" s="295"/>
      <c r="M2045" s="294"/>
      <c r="O2045" s="294"/>
      <c r="P2045" s="294"/>
      <c r="Q2045" s="294"/>
      <c r="R2045" s="294"/>
      <c r="S2045" s="294"/>
      <c r="T2045" s="294"/>
      <c r="U2045" s="294"/>
      <c r="V2045" s="294"/>
      <c r="W2045" s="294"/>
      <c r="X2045" s="294"/>
      <c r="Y2045" s="294"/>
      <c r="Z2045" s="294"/>
      <c r="AA2045" s="294"/>
      <c r="AB2045" s="294"/>
      <c r="AC2045" s="294"/>
      <c r="AD2045" s="294"/>
      <c r="AE2045" s="294"/>
      <c r="AF2045" s="294"/>
      <c r="AG2045" s="294"/>
    </row>
    <row r="2046" spans="2:33" x14ac:dyDescent="0.25">
      <c r="B2046" s="294"/>
      <c r="C2046" s="294"/>
      <c r="D2046" s="294"/>
      <c r="E2046" s="294"/>
      <c r="F2046" s="294"/>
      <c r="G2046" s="294"/>
      <c r="H2046" s="294"/>
      <c r="I2046" s="294"/>
      <c r="J2046" s="294"/>
      <c r="L2046" s="295"/>
      <c r="M2046" s="294"/>
      <c r="O2046" s="294"/>
      <c r="P2046" s="294"/>
      <c r="Q2046" s="294"/>
      <c r="R2046" s="294"/>
      <c r="S2046" s="294"/>
      <c r="T2046" s="294"/>
      <c r="U2046" s="294"/>
      <c r="V2046" s="294"/>
      <c r="W2046" s="294"/>
      <c r="X2046" s="294"/>
      <c r="Y2046" s="294"/>
      <c r="Z2046" s="294"/>
      <c r="AA2046" s="294"/>
      <c r="AB2046" s="294"/>
      <c r="AC2046" s="294"/>
      <c r="AD2046" s="294"/>
      <c r="AE2046" s="294"/>
      <c r="AF2046" s="294"/>
      <c r="AG2046" s="294"/>
    </row>
    <row r="2047" spans="2:33" x14ac:dyDescent="0.25">
      <c r="B2047" s="294"/>
      <c r="C2047" s="294"/>
      <c r="D2047" s="294"/>
      <c r="E2047" s="294"/>
      <c r="F2047" s="294"/>
      <c r="G2047" s="294"/>
      <c r="H2047" s="294"/>
      <c r="I2047" s="294"/>
      <c r="J2047" s="294"/>
      <c r="L2047" s="295"/>
      <c r="M2047" s="294"/>
      <c r="O2047" s="294"/>
      <c r="P2047" s="294"/>
      <c r="Q2047" s="294"/>
      <c r="R2047" s="294"/>
      <c r="S2047" s="294"/>
      <c r="T2047" s="294"/>
      <c r="U2047" s="294"/>
      <c r="V2047" s="294"/>
      <c r="W2047" s="294"/>
      <c r="X2047" s="294"/>
      <c r="Y2047" s="294"/>
      <c r="Z2047" s="294"/>
      <c r="AA2047" s="294"/>
      <c r="AB2047" s="294"/>
      <c r="AC2047" s="294"/>
      <c r="AD2047" s="294"/>
      <c r="AE2047" s="294"/>
      <c r="AF2047" s="294"/>
      <c r="AG2047" s="294"/>
    </row>
    <row r="2048" spans="2:33" x14ac:dyDescent="0.25">
      <c r="B2048" s="294"/>
      <c r="C2048" s="294"/>
      <c r="D2048" s="294"/>
      <c r="E2048" s="294"/>
      <c r="F2048" s="294"/>
      <c r="G2048" s="294"/>
      <c r="H2048" s="294"/>
      <c r="I2048" s="294"/>
      <c r="J2048" s="294"/>
      <c r="L2048" s="295"/>
      <c r="M2048" s="294"/>
      <c r="O2048" s="294"/>
      <c r="P2048" s="294"/>
      <c r="Q2048" s="294"/>
      <c r="R2048" s="294"/>
      <c r="S2048" s="294"/>
      <c r="T2048" s="294"/>
      <c r="U2048" s="294"/>
      <c r="V2048" s="294"/>
      <c r="W2048" s="294"/>
      <c r="X2048" s="294"/>
      <c r="Y2048" s="294"/>
      <c r="Z2048" s="294"/>
      <c r="AA2048" s="294"/>
      <c r="AB2048" s="294"/>
      <c r="AC2048" s="294"/>
      <c r="AD2048" s="294"/>
      <c r="AE2048" s="294"/>
      <c r="AF2048" s="294"/>
      <c r="AG2048" s="294"/>
    </row>
    <row r="2049" spans="2:33" x14ac:dyDescent="0.25">
      <c r="B2049" s="294"/>
      <c r="C2049" s="294"/>
      <c r="D2049" s="294"/>
      <c r="E2049" s="294"/>
      <c r="F2049" s="294"/>
      <c r="G2049" s="294"/>
      <c r="H2049" s="294"/>
      <c r="I2049" s="294"/>
      <c r="J2049" s="294"/>
      <c r="L2049" s="295"/>
      <c r="M2049" s="294"/>
      <c r="O2049" s="294"/>
      <c r="P2049" s="294"/>
      <c r="Q2049" s="294"/>
      <c r="R2049" s="294"/>
      <c r="S2049" s="294"/>
      <c r="T2049" s="294"/>
      <c r="U2049" s="294"/>
      <c r="V2049" s="294"/>
      <c r="W2049" s="294"/>
      <c r="X2049" s="294"/>
      <c r="Y2049" s="294"/>
      <c r="Z2049" s="294"/>
      <c r="AA2049" s="294"/>
      <c r="AB2049" s="294"/>
      <c r="AC2049" s="294"/>
      <c r="AD2049" s="294"/>
      <c r="AE2049" s="294"/>
      <c r="AF2049" s="294"/>
      <c r="AG2049" s="294"/>
    </row>
    <row r="2050" spans="2:33" x14ac:dyDescent="0.25">
      <c r="B2050" s="294"/>
      <c r="C2050" s="294"/>
      <c r="D2050" s="294"/>
      <c r="E2050" s="294"/>
      <c r="F2050" s="294"/>
      <c r="G2050" s="294"/>
      <c r="H2050" s="294"/>
      <c r="I2050" s="294"/>
      <c r="J2050" s="294"/>
      <c r="L2050" s="295"/>
      <c r="M2050" s="294"/>
      <c r="O2050" s="294"/>
      <c r="P2050" s="294"/>
      <c r="Q2050" s="294"/>
      <c r="R2050" s="294"/>
      <c r="S2050" s="294"/>
      <c r="T2050" s="294"/>
      <c r="U2050" s="294"/>
      <c r="V2050" s="294"/>
      <c r="W2050" s="294"/>
      <c r="X2050" s="294"/>
      <c r="Y2050" s="294"/>
      <c r="Z2050" s="294"/>
      <c r="AA2050" s="294"/>
      <c r="AB2050" s="294"/>
      <c r="AC2050" s="294"/>
      <c r="AD2050" s="294"/>
      <c r="AE2050" s="294"/>
      <c r="AF2050" s="294"/>
      <c r="AG2050" s="294"/>
    </row>
    <row r="2051" spans="2:33" x14ac:dyDescent="0.25">
      <c r="B2051" s="294"/>
      <c r="C2051" s="294"/>
      <c r="D2051" s="294"/>
      <c r="E2051" s="294"/>
      <c r="F2051" s="294"/>
      <c r="G2051" s="294"/>
      <c r="H2051" s="294"/>
      <c r="I2051" s="294"/>
      <c r="J2051" s="294"/>
      <c r="L2051" s="295"/>
      <c r="M2051" s="294"/>
      <c r="O2051" s="294"/>
      <c r="P2051" s="294"/>
      <c r="Q2051" s="294"/>
      <c r="R2051" s="294"/>
      <c r="S2051" s="294"/>
      <c r="T2051" s="294"/>
      <c r="U2051" s="294"/>
      <c r="V2051" s="294"/>
      <c r="W2051" s="294"/>
      <c r="X2051" s="294"/>
      <c r="Y2051" s="294"/>
      <c r="Z2051" s="294"/>
      <c r="AA2051" s="294"/>
      <c r="AB2051" s="294"/>
      <c r="AC2051" s="294"/>
      <c r="AD2051" s="294"/>
      <c r="AE2051" s="294"/>
      <c r="AF2051" s="294"/>
      <c r="AG2051" s="294"/>
    </row>
    <row r="2052" spans="2:33" x14ac:dyDescent="0.25">
      <c r="B2052" s="294"/>
      <c r="C2052" s="294"/>
      <c r="D2052" s="294"/>
      <c r="E2052" s="294"/>
      <c r="F2052" s="294"/>
      <c r="G2052" s="294"/>
      <c r="H2052" s="294"/>
      <c r="I2052" s="294"/>
      <c r="J2052" s="294"/>
      <c r="L2052" s="295"/>
      <c r="M2052" s="294"/>
      <c r="O2052" s="294"/>
      <c r="P2052" s="294"/>
      <c r="Q2052" s="294"/>
      <c r="R2052" s="294"/>
      <c r="S2052" s="294"/>
      <c r="T2052" s="294"/>
      <c r="U2052" s="294"/>
      <c r="V2052" s="294"/>
      <c r="W2052" s="294"/>
      <c r="X2052" s="294"/>
      <c r="Y2052" s="294"/>
      <c r="Z2052" s="294"/>
      <c r="AA2052" s="294"/>
      <c r="AB2052" s="294"/>
      <c r="AC2052" s="294"/>
      <c r="AD2052" s="294"/>
      <c r="AE2052" s="294"/>
      <c r="AF2052" s="294"/>
      <c r="AG2052" s="294"/>
    </row>
    <row r="2053" spans="2:33" x14ac:dyDescent="0.25">
      <c r="B2053" s="294"/>
      <c r="C2053" s="294"/>
      <c r="D2053" s="294"/>
      <c r="E2053" s="294"/>
      <c r="F2053" s="294"/>
      <c r="G2053" s="294"/>
      <c r="H2053" s="294"/>
      <c r="I2053" s="294"/>
      <c r="J2053" s="294"/>
      <c r="L2053" s="295"/>
      <c r="M2053" s="294"/>
      <c r="O2053" s="294"/>
      <c r="P2053" s="294"/>
      <c r="Q2053" s="294"/>
      <c r="R2053" s="294"/>
      <c r="S2053" s="294"/>
      <c r="T2053" s="294"/>
      <c r="U2053" s="294"/>
      <c r="V2053" s="294"/>
      <c r="W2053" s="294"/>
      <c r="X2053" s="294"/>
      <c r="Y2053" s="294"/>
      <c r="Z2053" s="294"/>
      <c r="AA2053" s="294"/>
      <c r="AB2053" s="294"/>
      <c r="AC2053" s="294"/>
      <c r="AD2053" s="294"/>
      <c r="AE2053" s="294"/>
      <c r="AF2053" s="294"/>
      <c r="AG2053" s="294"/>
    </row>
    <row r="2054" spans="2:33" x14ac:dyDescent="0.25">
      <c r="B2054" s="294"/>
      <c r="C2054" s="294"/>
      <c r="D2054" s="294"/>
      <c r="E2054" s="294"/>
      <c r="F2054" s="294"/>
      <c r="G2054" s="294"/>
      <c r="H2054" s="294"/>
      <c r="I2054" s="294"/>
      <c r="J2054" s="294"/>
      <c r="L2054" s="295"/>
      <c r="M2054" s="294"/>
      <c r="O2054" s="294"/>
      <c r="P2054" s="294"/>
      <c r="Q2054" s="294"/>
      <c r="R2054" s="294"/>
      <c r="S2054" s="294"/>
      <c r="T2054" s="294"/>
      <c r="U2054" s="294"/>
      <c r="V2054" s="294"/>
      <c r="W2054" s="294"/>
      <c r="X2054" s="294"/>
      <c r="Y2054" s="294"/>
      <c r="Z2054" s="294"/>
      <c r="AA2054" s="294"/>
      <c r="AB2054" s="294"/>
      <c r="AC2054" s="294"/>
      <c r="AD2054" s="294"/>
      <c r="AE2054" s="294"/>
      <c r="AF2054" s="294"/>
      <c r="AG2054" s="294"/>
    </row>
    <row r="2055" spans="2:33" x14ac:dyDescent="0.25">
      <c r="B2055" s="294"/>
      <c r="C2055" s="294"/>
      <c r="D2055" s="294"/>
      <c r="E2055" s="294"/>
      <c r="F2055" s="294"/>
      <c r="G2055" s="294"/>
      <c r="H2055" s="294"/>
      <c r="I2055" s="294"/>
      <c r="J2055" s="294"/>
      <c r="L2055" s="295"/>
      <c r="M2055" s="294"/>
      <c r="O2055" s="294"/>
      <c r="P2055" s="294"/>
      <c r="Q2055" s="294"/>
      <c r="R2055" s="294"/>
      <c r="S2055" s="294"/>
      <c r="T2055" s="294"/>
      <c r="U2055" s="294"/>
      <c r="V2055" s="294"/>
      <c r="W2055" s="294"/>
      <c r="X2055" s="294"/>
      <c r="Y2055" s="294"/>
      <c r="Z2055" s="294"/>
      <c r="AA2055" s="294"/>
      <c r="AB2055" s="294"/>
      <c r="AC2055" s="294"/>
      <c r="AD2055" s="294"/>
      <c r="AE2055" s="294"/>
      <c r="AF2055" s="294"/>
      <c r="AG2055" s="294"/>
    </row>
    <row r="2056" spans="2:33" x14ac:dyDescent="0.25">
      <c r="B2056" s="294"/>
      <c r="C2056" s="294"/>
      <c r="D2056" s="294"/>
      <c r="E2056" s="294"/>
      <c r="F2056" s="294"/>
      <c r="G2056" s="294"/>
      <c r="H2056" s="294"/>
      <c r="I2056" s="294"/>
      <c r="J2056" s="294"/>
      <c r="L2056" s="295"/>
      <c r="M2056" s="294"/>
      <c r="O2056" s="294"/>
      <c r="P2056" s="294"/>
      <c r="Q2056" s="294"/>
      <c r="R2056" s="294"/>
      <c r="S2056" s="294"/>
      <c r="T2056" s="294"/>
      <c r="U2056" s="294"/>
      <c r="V2056" s="294"/>
      <c r="W2056" s="294"/>
      <c r="X2056" s="294"/>
      <c r="Y2056" s="294"/>
      <c r="Z2056" s="294"/>
      <c r="AA2056" s="294"/>
      <c r="AB2056" s="294"/>
      <c r="AC2056" s="294"/>
      <c r="AD2056" s="294"/>
      <c r="AE2056" s="294"/>
      <c r="AF2056" s="294"/>
      <c r="AG2056" s="294"/>
    </row>
    <row r="2057" spans="2:33" x14ac:dyDescent="0.25">
      <c r="B2057" s="294"/>
      <c r="C2057" s="294"/>
      <c r="D2057" s="294"/>
      <c r="E2057" s="294"/>
      <c r="F2057" s="294"/>
      <c r="G2057" s="294"/>
      <c r="H2057" s="294"/>
      <c r="I2057" s="294"/>
      <c r="J2057" s="294"/>
      <c r="L2057" s="295"/>
      <c r="M2057" s="294"/>
      <c r="O2057" s="294"/>
      <c r="P2057" s="294"/>
      <c r="Q2057" s="294"/>
      <c r="R2057" s="294"/>
      <c r="S2057" s="294"/>
      <c r="T2057" s="294"/>
      <c r="U2057" s="294"/>
      <c r="V2057" s="294"/>
      <c r="W2057" s="294"/>
      <c r="X2057" s="294"/>
      <c r="Y2057" s="294"/>
      <c r="Z2057" s="294"/>
      <c r="AA2057" s="294"/>
      <c r="AB2057" s="294"/>
      <c r="AC2057" s="294"/>
      <c r="AD2057" s="294"/>
      <c r="AE2057" s="294"/>
      <c r="AF2057" s="294"/>
      <c r="AG2057" s="294"/>
    </row>
    <row r="2058" spans="2:33" x14ac:dyDescent="0.25">
      <c r="B2058" s="294"/>
      <c r="C2058" s="294"/>
      <c r="D2058" s="294"/>
      <c r="E2058" s="294"/>
      <c r="F2058" s="294"/>
      <c r="G2058" s="294"/>
      <c r="H2058" s="294"/>
      <c r="I2058" s="294"/>
      <c r="J2058" s="294"/>
      <c r="L2058" s="295"/>
      <c r="M2058" s="294"/>
      <c r="O2058" s="294"/>
      <c r="P2058" s="294"/>
      <c r="Q2058" s="294"/>
      <c r="R2058" s="294"/>
      <c r="S2058" s="294"/>
      <c r="T2058" s="294"/>
      <c r="U2058" s="294"/>
      <c r="V2058" s="294"/>
      <c r="W2058" s="294"/>
      <c r="X2058" s="294"/>
      <c r="Y2058" s="294"/>
      <c r="Z2058" s="294"/>
      <c r="AA2058" s="294"/>
      <c r="AB2058" s="294"/>
      <c r="AC2058" s="294"/>
      <c r="AD2058" s="294"/>
      <c r="AE2058" s="294"/>
      <c r="AF2058" s="294"/>
      <c r="AG2058" s="294"/>
    </row>
    <row r="2059" spans="2:33" x14ac:dyDescent="0.25">
      <c r="B2059" s="294"/>
      <c r="C2059" s="294"/>
      <c r="D2059" s="294"/>
      <c r="E2059" s="294"/>
      <c r="F2059" s="294"/>
      <c r="G2059" s="294"/>
      <c r="H2059" s="294"/>
      <c r="I2059" s="294"/>
      <c r="J2059" s="294"/>
      <c r="L2059" s="295"/>
      <c r="M2059" s="294"/>
      <c r="O2059" s="294"/>
      <c r="P2059" s="294"/>
      <c r="Q2059" s="294"/>
      <c r="R2059" s="294"/>
      <c r="S2059" s="294"/>
      <c r="T2059" s="294"/>
      <c r="U2059" s="294"/>
      <c r="V2059" s="294"/>
      <c r="W2059" s="294"/>
      <c r="X2059" s="294"/>
      <c r="Y2059" s="294"/>
      <c r="Z2059" s="294"/>
      <c r="AA2059" s="294"/>
      <c r="AB2059" s="294"/>
      <c r="AC2059" s="294"/>
      <c r="AD2059" s="294"/>
      <c r="AE2059" s="294"/>
      <c r="AF2059" s="294"/>
      <c r="AG2059" s="294"/>
    </row>
    <row r="2060" spans="2:33" x14ac:dyDescent="0.25">
      <c r="B2060" s="294"/>
      <c r="C2060" s="294"/>
      <c r="D2060" s="294"/>
      <c r="E2060" s="294"/>
      <c r="F2060" s="294"/>
      <c r="G2060" s="294"/>
      <c r="H2060" s="294"/>
      <c r="I2060" s="294"/>
      <c r="J2060" s="294"/>
      <c r="L2060" s="295"/>
      <c r="M2060" s="294"/>
      <c r="O2060" s="294"/>
      <c r="P2060" s="294"/>
      <c r="Q2060" s="294"/>
      <c r="R2060" s="294"/>
      <c r="S2060" s="294"/>
      <c r="T2060" s="294"/>
      <c r="U2060" s="294"/>
      <c r="V2060" s="294"/>
      <c r="W2060" s="294"/>
      <c r="X2060" s="294"/>
      <c r="Y2060" s="294"/>
      <c r="Z2060" s="294"/>
      <c r="AA2060" s="294"/>
      <c r="AB2060" s="294"/>
      <c r="AC2060" s="294"/>
      <c r="AD2060" s="294"/>
      <c r="AE2060" s="294"/>
      <c r="AF2060" s="294"/>
      <c r="AG2060" s="294"/>
    </row>
    <row r="2061" spans="2:33" x14ac:dyDescent="0.25">
      <c r="B2061" s="294"/>
      <c r="C2061" s="294"/>
      <c r="D2061" s="294"/>
      <c r="E2061" s="294"/>
      <c r="F2061" s="294"/>
      <c r="G2061" s="294"/>
      <c r="H2061" s="294"/>
      <c r="I2061" s="294"/>
      <c r="J2061" s="294"/>
      <c r="L2061" s="295"/>
      <c r="M2061" s="294"/>
      <c r="O2061" s="294"/>
      <c r="P2061" s="294"/>
      <c r="Q2061" s="294"/>
      <c r="R2061" s="294"/>
      <c r="S2061" s="294"/>
      <c r="T2061" s="294"/>
      <c r="U2061" s="294"/>
      <c r="V2061" s="294"/>
      <c r="W2061" s="294"/>
      <c r="X2061" s="294"/>
      <c r="Y2061" s="294"/>
      <c r="Z2061" s="294"/>
      <c r="AA2061" s="294"/>
      <c r="AB2061" s="294"/>
      <c r="AC2061" s="294"/>
      <c r="AD2061" s="294"/>
      <c r="AE2061" s="294"/>
      <c r="AF2061" s="294"/>
      <c r="AG2061" s="294"/>
    </row>
    <row r="2062" spans="2:33" x14ac:dyDescent="0.25">
      <c r="B2062" s="294"/>
      <c r="C2062" s="294"/>
      <c r="D2062" s="294"/>
      <c r="E2062" s="294"/>
      <c r="F2062" s="294"/>
      <c r="G2062" s="294"/>
      <c r="H2062" s="294"/>
      <c r="I2062" s="294"/>
      <c r="J2062" s="294"/>
      <c r="L2062" s="295"/>
      <c r="M2062" s="294"/>
      <c r="O2062" s="294"/>
      <c r="P2062" s="294"/>
      <c r="Q2062" s="294"/>
      <c r="R2062" s="294"/>
      <c r="S2062" s="294"/>
      <c r="T2062" s="294"/>
      <c r="U2062" s="294"/>
      <c r="V2062" s="294"/>
      <c r="W2062" s="294"/>
      <c r="X2062" s="294"/>
      <c r="Y2062" s="294"/>
      <c r="Z2062" s="294"/>
      <c r="AA2062" s="294"/>
      <c r="AB2062" s="294"/>
      <c r="AC2062" s="294"/>
      <c r="AD2062" s="294"/>
      <c r="AE2062" s="294"/>
      <c r="AF2062" s="294"/>
      <c r="AG2062" s="294"/>
    </row>
    <row r="2063" spans="2:33" x14ac:dyDescent="0.25">
      <c r="B2063" s="294"/>
      <c r="C2063" s="294"/>
      <c r="D2063" s="294"/>
      <c r="E2063" s="294"/>
      <c r="F2063" s="294"/>
      <c r="G2063" s="294"/>
      <c r="H2063" s="294"/>
      <c r="I2063" s="294"/>
      <c r="J2063" s="294"/>
      <c r="L2063" s="295"/>
      <c r="M2063" s="294"/>
      <c r="O2063" s="294"/>
      <c r="P2063" s="294"/>
      <c r="Q2063" s="294"/>
      <c r="R2063" s="294"/>
      <c r="S2063" s="294"/>
      <c r="T2063" s="294"/>
      <c r="U2063" s="294"/>
      <c r="V2063" s="294"/>
      <c r="W2063" s="294"/>
      <c r="X2063" s="294"/>
      <c r="Y2063" s="294"/>
      <c r="Z2063" s="294"/>
      <c r="AA2063" s="294"/>
      <c r="AB2063" s="294"/>
      <c r="AC2063" s="294"/>
      <c r="AD2063" s="294"/>
      <c r="AE2063" s="294"/>
      <c r="AF2063" s="294"/>
      <c r="AG2063" s="294"/>
    </row>
    <row r="2064" spans="2:33" x14ac:dyDescent="0.25">
      <c r="B2064" s="294"/>
      <c r="C2064" s="294"/>
      <c r="D2064" s="294"/>
      <c r="E2064" s="294"/>
      <c r="F2064" s="294"/>
      <c r="G2064" s="294"/>
      <c r="H2064" s="294"/>
      <c r="I2064" s="294"/>
      <c r="J2064" s="294"/>
      <c r="L2064" s="295"/>
      <c r="M2064" s="294"/>
      <c r="O2064" s="294"/>
      <c r="P2064" s="294"/>
      <c r="Q2064" s="294"/>
      <c r="R2064" s="294"/>
      <c r="S2064" s="294"/>
      <c r="T2064" s="294"/>
      <c r="U2064" s="294"/>
      <c r="V2064" s="294"/>
      <c r="W2064" s="294"/>
      <c r="X2064" s="294"/>
      <c r="Y2064" s="294"/>
      <c r="Z2064" s="294"/>
      <c r="AA2064" s="294"/>
      <c r="AB2064" s="294"/>
      <c r="AC2064" s="294"/>
      <c r="AD2064" s="294"/>
      <c r="AE2064" s="294"/>
      <c r="AF2064" s="294"/>
      <c r="AG2064" s="294"/>
    </row>
    <row r="2065" spans="2:33" x14ac:dyDescent="0.25">
      <c r="B2065" s="294"/>
      <c r="C2065" s="294"/>
      <c r="D2065" s="294"/>
      <c r="E2065" s="294"/>
      <c r="F2065" s="294"/>
      <c r="G2065" s="294"/>
      <c r="H2065" s="294"/>
      <c r="I2065" s="294"/>
      <c r="J2065" s="294"/>
      <c r="L2065" s="295"/>
      <c r="M2065" s="294"/>
      <c r="O2065" s="294"/>
      <c r="P2065" s="294"/>
      <c r="Q2065" s="294"/>
      <c r="R2065" s="294"/>
      <c r="S2065" s="294"/>
      <c r="T2065" s="294"/>
      <c r="U2065" s="294"/>
      <c r="V2065" s="294"/>
      <c r="W2065" s="294"/>
      <c r="X2065" s="294"/>
      <c r="Y2065" s="294"/>
      <c r="Z2065" s="294"/>
      <c r="AA2065" s="294"/>
      <c r="AB2065" s="294"/>
      <c r="AC2065" s="294"/>
      <c r="AD2065" s="294"/>
      <c r="AE2065" s="294"/>
      <c r="AF2065" s="294"/>
      <c r="AG2065" s="294"/>
    </row>
    <row r="2066" spans="2:33" x14ac:dyDescent="0.25">
      <c r="B2066" s="294"/>
      <c r="C2066" s="294"/>
      <c r="D2066" s="294"/>
      <c r="E2066" s="294"/>
      <c r="F2066" s="294"/>
      <c r="G2066" s="294"/>
      <c r="H2066" s="294"/>
      <c r="I2066" s="294"/>
      <c r="J2066" s="294"/>
      <c r="L2066" s="295"/>
      <c r="M2066" s="294"/>
      <c r="O2066" s="294"/>
      <c r="P2066" s="294"/>
      <c r="Q2066" s="294"/>
      <c r="R2066" s="294"/>
      <c r="S2066" s="294"/>
      <c r="T2066" s="294"/>
      <c r="U2066" s="294"/>
      <c r="V2066" s="294"/>
      <c r="W2066" s="294"/>
      <c r="X2066" s="294"/>
      <c r="Y2066" s="294"/>
      <c r="Z2066" s="294"/>
      <c r="AA2066" s="294"/>
      <c r="AB2066" s="294"/>
      <c r="AC2066" s="294"/>
      <c r="AD2066" s="294"/>
      <c r="AE2066" s="294"/>
      <c r="AF2066" s="294"/>
      <c r="AG2066" s="294"/>
    </row>
    <row r="2067" spans="2:33" x14ac:dyDescent="0.25">
      <c r="B2067" s="294"/>
      <c r="C2067" s="294"/>
      <c r="D2067" s="294"/>
      <c r="E2067" s="294"/>
      <c r="F2067" s="294"/>
      <c r="G2067" s="294"/>
      <c r="H2067" s="294"/>
      <c r="I2067" s="294"/>
      <c r="J2067" s="294"/>
      <c r="L2067" s="295"/>
      <c r="M2067" s="294"/>
      <c r="O2067" s="294"/>
      <c r="P2067" s="294"/>
      <c r="Q2067" s="294"/>
      <c r="R2067" s="294"/>
      <c r="S2067" s="294"/>
      <c r="T2067" s="294"/>
      <c r="U2067" s="294"/>
      <c r="V2067" s="294"/>
      <c r="W2067" s="294"/>
      <c r="X2067" s="294"/>
      <c r="Y2067" s="294"/>
      <c r="Z2067" s="294"/>
      <c r="AA2067" s="294"/>
      <c r="AB2067" s="294"/>
      <c r="AC2067" s="294"/>
      <c r="AD2067" s="294"/>
      <c r="AE2067" s="294"/>
      <c r="AF2067" s="294"/>
      <c r="AG2067" s="294"/>
    </row>
    <row r="2068" spans="2:33" x14ac:dyDescent="0.25">
      <c r="B2068" s="294"/>
      <c r="C2068" s="294"/>
      <c r="D2068" s="294"/>
      <c r="E2068" s="294"/>
      <c r="F2068" s="294"/>
      <c r="G2068" s="294"/>
      <c r="H2068" s="294"/>
      <c r="I2068" s="294"/>
      <c r="J2068" s="294"/>
      <c r="L2068" s="295"/>
      <c r="M2068" s="294"/>
      <c r="O2068" s="294"/>
      <c r="P2068" s="294"/>
      <c r="Q2068" s="294"/>
      <c r="R2068" s="294"/>
      <c r="S2068" s="294"/>
      <c r="T2068" s="294"/>
      <c r="U2068" s="294"/>
      <c r="V2068" s="294"/>
      <c r="W2068" s="294"/>
      <c r="X2068" s="294"/>
      <c r="Y2068" s="294"/>
      <c r="Z2068" s="294"/>
      <c r="AA2068" s="294"/>
      <c r="AB2068" s="294"/>
      <c r="AC2068" s="294"/>
      <c r="AD2068" s="294"/>
      <c r="AE2068" s="294"/>
      <c r="AF2068" s="294"/>
      <c r="AG2068" s="294"/>
    </row>
    <row r="2069" spans="2:33" x14ac:dyDescent="0.25">
      <c r="B2069" s="294"/>
      <c r="C2069" s="294"/>
      <c r="D2069" s="294"/>
      <c r="E2069" s="294"/>
      <c r="F2069" s="294"/>
      <c r="G2069" s="294"/>
      <c r="H2069" s="294"/>
      <c r="I2069" s="294"/>
      <c r="J2069" s="294"/>
      <c r="L2069" s="295"/>
      <c r="M2069" s="294"/>
      <c r="O2069" s="294"/>
      <c r="P2069" s="294"/>
      <c r="Q2069" s="294"/>
      <c r="R2069" s="294"/>
      <c r="S2069" s="294"/>
      <c r="T2069" s="294"/>
      <c r="U2069" s="294"/>
      <c r="V2069" s="294"/>
      <c r="W2069" s="294"/>
      <c r="X2069" s="294"/>
      <c r="Y2069" s="294"/>
      <c r="Z2069" s="294"/>
      <c r="AA2069" s="294"/>
      <c r="AB2069" s="294"/>
      <c r="AC2069" s="294"/>
      <c r="AD2069" s="294"/>
      <c r="AE2069" s="294"/>
      <c r="AF2069" s="294"/>
      <c r="AG2069" s="294"/>
    </row>
    <row r="2070" spans="2:33" x14ac:dyDescent="0.25">
      <c r="B2070" s="294"/>
      <c r="C2070" s="294"/>
      <c r="D2070" s="294"/>
      <c r="E2070" s="294"/>
      <c r="F2070" s="294"/>
      <c r="G2070" s="294"/>
      <c r="H2070" s="294"/>
      <c r="I2070" s="294"/>
      <c r="J2070" s="294"/>
      <c r="L2070" s="295"/>
      <c r="M2070" s="294"/>
      <c r="O2070" s="294"/>
      <c r="P2070" s="294"/>
      <c r="Q2070" s="294"/>
      <c r="R2070" s="294"/>
      <c r="S2070" s="294"/>
      <c r="T2070" s="294"/>
      <c r="U2070" s="294"/>
      <c r="V2070" s="294"/>
      <c r="W2070" s="294"/>
      <c r="X2070" s="294"/>
      <c r="Y2070" s="294"/>
      <c r="Z2070" s="294"/>
      <c r="AA2070" s="294"/>
      <c r="AB2070" s="294"/>
      <c r="AC2070" s="294"/>
      <c r="AD2070" s="294"/>
      <c r="AE2070" s="294"/>
      <c r="AF2070" s="294"/>
      <c r="AG2070" s="294"/>
    </row>
    <row r="2071" spans="2:33" x14ac:dyDescent="0.25">
      <c r="B2071" s="294"/>
      <c r="C2071" s="294"/>
      <c r="D2071" s="294"/>
      <c r="E2071" s="294"/>
      <c r="F2071" s="294"/>
      <c r="G2071" s="294"/>
      <c r="H2071" s="294"/>
      <c r="I2071" s="294"/>
      <c r="J2071" s="294"/>
      <c r="L2071" s="295"/>
      <c r="M2071" s="294"/>
      <c r="O2071" s="294"/>
      <c r="P2071" s="294"/>
      <c r="Q2071" s="294"/>
      <c r="R2071" s="294"/>
      <c r="S2071" s="294"/>
      <c r="T2071" s="294"/>
      <c r="U2071" s="294"/>
      <c r="V2071" s="294"/>
      <c r="W2071" s="294"/>
      <c r="X2071" s="294"/>
      <c r="Y2071" s="294"/>
      <c r="Z2071" s="294"/>
      <c r="AA2071" s="294"/>
      <c r="AB2071" s="294"/>
      <c r="AC2071" s="294"/>
      <c r="AD2071" s="294"/>
      <c r="AE2071" s="294"/>
      <c r="AF2071" s="294"/>
      <c r="AG2071" s="294"/>
    </row>
    <row r="2072" spans="2:33" x14ac:dyDescent="0.25">
      <c r="B2072" s="294"/>
      <c r="C2072" s="294"/>
      <c r="D2072" s="294"/>
      <c r="E2072" s="294"/>
      <c r="F2072" s="294"/>
      <c r="G2072" s="294"/>
      <c r="H2072" s="294"/>
      <c r="I2072" s="294"/>
      <c r="J2072" s="294"/>
      <c r="L2072" s="295"/>
      <c r="M2072" s="294"/>
      <c r="O2072" s="294"/>
      <c r="P2072" s="294"/>
      <c r="Q2072" s="294"/>
      <c r="R2072" s="294"/>
      <c r="S2072" s="294"/>
      <c r="T2072" s="294"/>
      <c r="U2072" s="294"/>
      <c r="V2072" s="294"/>
      <c r="W2072" s="294"/>
      <c r="X2072" s="294"/>
      <c r="Y2072" s="294"/>
      <c r="Z2072" s="294"/>
      <c r="AA2072" s="294"/>
      <c r="AB2072" s="294"/>
      <c r="AC2072" s="294"/>
      <c r="AD2072" s="294"/>
      <c r="AE2072" s="294"/>
      <c r="AF2072" s="294"/>
      <c r="AG2072" s="294"/>
    </row>
    <row r="2073" spans="2:33" x14ac:dyDescent="0.25">
      <c r="B2073" s="294"/>
      <c r="C2073" s="294"/>
      <c r="D2073" s="294"/>
      <c r="E2073" s="294"/>
      <c r="F2073" s="294"/>
      <c r="G2073" s="294"/>
      <c r="H2073" s="294"/>
      <c r="I2073" s="294"/>
      <c r="J2073" s="294"/>
      <c r="L2073" s="295"/>
      <c r="M2073" s="294"/>
      <c r="O2073" s="294"/>
      <c r="P2073" s="294"/>
      <c r="Q2073" s="294"/>
      <c r="R2073" s="294"/>
      <c r="S2073" s="294"/>
      <c r="T2073" s="294"/>
      <c r="U2073" s="294"/>
      <c r="V2073" s="294"/>
      <c r="W2073" s="294"/>
      <c r="X2073" s="294"/>
      <c r="Y2073" s="294"/>
      <c r="Z2073" s="294"/>
      <c r="AA2073" s="294"/>
      <c r="AB2073" s="294"/>
      <c r="AC2073" s="294"/>
      <c r="AD2073" s="294"/>
      <c r="AE2073" s="294"/>
      <c r="AF2073" s="294"/>
      <c r="AG2073" s="294"/>
    </row>
    <row r="2074" spans="2:33" x14ac:dyDescent="0.25">
      <c r="B2074" s="294"/>
      <c r="C2074" s="294"/>
      <c r="D2074" s="294"/>
      <c r="E2074" s="294"/>
      <c r="F2074" s="294"/>
      <c r="G2074" s="294"/>
      <c r="H2074" s="294"/>
      <c r="I2074" s="294"/>
      <c r="J2074" s="294"/>
      <c r="L2074" s="295"/>
      <c r="M2074" s="294"/>
      <c r="O2074" s="294"/>
      <c r="P2074" s="294"/>
      <c r="Q2074" s="294"/>
      <c r="R2074" s="294"/>
      <c r="S2074" s="294"/>
      <c r="T2074" s="294"/>
      <c r="U2074" s="294"/>
      <c r="V2074" s="294"/>
      <c r="W2074" s="294"/>
      <c r="X2074" s="294"/>
      <c r="Y2074" s="294"/>
      <c r="Z2074" s="294"/>
      <c r="AA2074" s="294"/>
      <c r="AB2074" s="294"/>
      <c r="AC2074" s="294"/>
      <c r="AD2074" s="294"/>
      <c r="AE2074" s="294"/>
      <c r="AF2074" s="294"/>
      <c r="AG2074" s="294"/>
    </row>
    <row r="2075" spans="2:33" x14ac:dyDescent="0.25">
      <c r="B2075" s="294"/>
      <c r="C2075" s="294"/>
      <c r="D2075" s="294"/>
      <c r="E2075" s="294"/>
      <c r="F2075" s="294"/>
      <c r="G2075" s="294"/>
      <c r="H2075" s="294"/>
      <c r="I2075" s="294"/>
      <c r="J2075" s="294"/>
      <c r="L2075" s="295"/>
      <c r="M2075" s="294"/>
      <c r="O2075" s="294"/>
      <c r="P2075" s="294"/>
      <c r="Q2075" s="294"/>
      <c r="R2075" s="294"/>
      <c r="S2075" s="294"/>
      <c r="T2075" s="294"/>
      <c r="U2075" s="294"/>
      <c r="V2075" s="294"/>
      <c r="W2075" s="294"/>
      <c r="X2075" s="294"/>
      <c r="Y2075" s="294"/>
      <c r="Z2075" s="294"/>
      <c r="AA2075" s="294"/>
      <c r="AB2075" s="294"/>
      <c r="AC2075" s="294"/>
      <c r="AD2075" s="294"/>
      <c r="AE2075" s="294"/>
      <c r="AF2075" s="294"/>
      <c r="AG2075" s="294"/>
    </row>
    <row r="2076" spans="2:33" x14ac:dyDescent="0.25">
      <c r="B2076" s="294"/>
      <c r="C2076" s="294"/>
      <c r="D2076" s="294"/>
      <c r="E2076" s="294"/>
      <c r="F2076" s="294"/>
      <c r="G2076" s="294"/>
      <c r="H2076" s="294"/>
      <c r="I2076" s="294"/>
      <c r="J2076" s="294"/>
      <c r="L2076" s="295"/>
      <c r="M2076" s="294"/>
      <c r="O2076" s="294"/>
      <c r="P2076" s="294"/>
      <c r="Q2076" s="294"/>
      <c r="R2076" s="294"/>
      <c r="S2076" s="294"/>
      <c r="T2076" s="294"/>
      <c r="U2076" s="294"/>
      <c r="V2076" s="294"/>
      <c r="W2076" s="294"/>
      <c r="X2076" s="294"/>
      <c r="Y2076" s="294"/>
      <c r="Z2076" s="294"/>
      <c r="AA2076" s="294"/>
      <c r="AB2076" s="294"/>
      <c r="AC2076" s="294"/>
      <c r="AD2076" s="294"/>
      <c r="AE2076" s="294"/>
      <c r="AF2076" s="294"/>
      <c r="AG2076" s="294"/>
    </row>
    <row r="2077" spans="2:33" x14ac:dyDescent="0.25">
      <c r="B2077" s="294"/>
      <c r="C2077" s="294"/>
      <c r="D2077" s="294"/>
      <c r="E2077" s="294"/>
      <c r="F2077" s="294"/>
      <c r="G2077" s="294"/>
      <c r="H2077" s="294"/>
      <c r="I2077" s="294"/>
      <c r="J2077" s="294"/>
      <c r="L2077" s="295"/>
      <c r="M2077" s="294"/>
      <c r="O2077" s="294"/>
      <c r="P2077" s="294"/>
      <c r="Q2077" s="294"/>
      <c r="R2077" s="294"/>
      <c r="S2077" s="294"/>
      <c r="T2077" s="294"/>
      <c r="U2077" s="294"/>
      <c r="V2077" s="294"/>
      <c r="W2077" s="294"/>
      <c r="X2077" s="294"/>
      <c r="Y2077" s="294"/>
      <c r="Z2077" s="294"/>
      <c r="AA2077" s="294"/>
      <c r="AB2077" s="294"/>
      <c r="AC2077" s="294"/>
      <c r="AD2077" s="294"/>
      <c r="AE2077" s="294"/>
      <c r="AF2077" s="294"/>
      <c r="AG2077" s="294"/>
    </row>
    <row r="2078" spans="2:33" x14ac:dyDescent="0.25">
      <c r="B2078" s="294"/>
      <c r="C2078" s="294"/>
      <c r="D2078" s="294"/>
      <c r="E2078" s="294"/>
      <c r="F2078" s="294"/>
      <c r="G2078" s="294"/>
      <c r="H2078" s="294"/>
      <c r="I2078" s="294"/>
      <c r="J2078" s="294"/>
      <c r="L2078" s="295"/>
      <c r="M2078" s="294"/>
      <c r="O2078" s="294"/>
      <c r="P2078" s="294"/>
      <c r="Q2078" s="294"/>
      <c r="R2078" s="294"/>
      <c r="S2078" s="294"/>
      <c r="T2078" s="294"/>
      <c r="U2078" s="294"/>
      <c r="V2078" s="294"/>
      <c r="W2078" s="294"/>
      <c r="X2078" s="294"/>
      <c r="Y2078" s="294"/>
      <c r="Z2078" s="294"/>
      <c r="AA2078" s="294"/>
      <c r="AB2078" s="294"/>
      <c r="AC2078" s="294"/>
      <c r="AD2078" s="294"/>
      <c r="AE2078" s="294"/>
      <c r="AF2078" s="294"/>
      <c r="AG2078" s="294"/>
    </row>
    <row r="2079" spans="2:33" x14ac:dyDescent="0.25">
      <c r="B2079" s="294"/>
      <c r="C2079" s="294"/>
      <c r="D2079" s="294"/>
      <c r="E2079" s="294"/>
      <c r="F2079" s="294"/>
      <c r="G2079" s="294"/>
      <c r="H2079" s="294"/>
      <c r="I2079" s="294"/>
      <c r="J2079" s="294"/>
      <c r="L2079" s="295"/>
      <c r="M2079" s="294"/>
      <c r="O2079" s="294"/>
      <c r="P2079" s="294"/>
      <c r="Q2079" s="294"/>
      <c r="R2079" s="294"/>
      <c r="S2079" s="294"/>
      <c r="T2079" s="294"/>
      <c r="U2079" s="294"/>
      <c r="V2079" s="294"/>
      <c r="W2079" s="294"/>
      <c r="X2079" s="294"/>
      <c r="Y2079" s="294"/>
      <c r="Z2079" s="294"/>
      <c r="AA2079" s="294"/>
      <c r="AB2079" s="294"/>
      <c r="AC2079" s="294"/>
      <c r="AD2079" s="294"/>
      <c r="AE2079" s="294"/>
      <c r="AF2079" s="294"/>
      <c r="AG2079" s="294"/>
    </row>
    <row r="2080" spans="2:33" x14ac:dyDescent="0.25">
      <c r="B2080" s="294"/>
      <c r="C2080" s="294"/>
      <c r="D2080" s="294"/>
      <c r="E2080" s="294"/>
      <c r="F2080" s="294"/>
      <c r="G2080" s="294"/>
      <c r="H2080" s="294"/>
      <c r="I2080" s="294"/>
      <c r="J2080" s="294"/>
      <c r="L2080" s="295"/>
      <c r="M2080" s="294"/>
      <c r="O2080" s="294"/>
      <c r="P2080" s="294"/>
      <c r="Q2080" s="294"/>
      <c r="R2080" s="294"/>
      <c r="S2080" s="294"/>
      <c r="T2080" s="294"/>
      <c r="U2080" s="294"/>
      <c r="V2080" s="294"/>
      <c r="W2080" s="294"/>
      <c r="X2080" s="294"/>
      <c r="Y2080" s="294"/>
      <c r="Z2080" s="294"/>
      <c r="AA2080" s="294"/>
      <c r="AB2080" s="294"/>
      <c r="AC2080" s="294"/>
      <c r="AD2080" s="294"/>
      <c r="AE2080" s="294"/>
      <c r="AF2080" s="294"/>
      <c r="AG2080" s="294"/>
    </row>
    <row r="2081" spans="2:33" x14ac:dyDescent="0.25">
      <c r="B2081" s="294"/>
      <c r="C2081" s="294"/>
      <c r="D2081" s="294"/>
      <c r="E2081" s="294"/>
      <c r="F2081" s="294"/>
      <c r="G2081" s="294"/>
      <c r="H2081" s="294"/>
      <c r="I2081" s="294"/>
      <c r="J2081" s="294"/>
      <c r="L2081" s="295"/>
      <c r="M2081" s="294"/>
      <c r="O2081" s="294"/>
      <c r="P2081" s="294"/>
      <c r="Q2081" s="294"/>
      <c r="R2081" s="294"/>
      <c r="S2081" s="294"/>
      <c r="T2081" s="294"/>
      <c r="U2081" s="294"/>
      <c r="V2081" s="294"/>
      <c r="W2081" s="294"/>
      <c r="X2081" s="294"/>
      <c r="Y2081" s="294"/>
      <c r="Z2081" s="294"/>
      <c r="AA2081" s="294"/>
      <c r="AB2081" s="294"/>
      <c r="AC2081" s="294"/>
      <c r="AD2081" s="294"/>
      <c r="AE2081" s="294"/>
      <c r="AF2081" s="294"/>
      <c r="AG2081" s="294"/>
    </row>
    <row r="2082" spans="2:33" x14ac:dyDescent="0.25">
      <c r="B2082" s="294"/>
      <c r="C2082" s="294"/>
      <c r="D2082" s="294"/>
      <c r="E2082" s="294"/>
      <c r="F2082" s="294"/>
      <c r="G2082" s="294"/>
      <c r="H2082" s="294"/>
      <c r="I2082" s="294"/>
      <c r="J2082" s="294"/>
      <c r="L2082" s="295"/>
      <c r="M2082" s="294"/>
      <c r="O2082" s="294"/>
      <c r="P2082" s="294"/>
      <c r="Q2082" s="294"/>
      <c r="R2082" s="294"/>
      <c r="S2082" s="294"/>
      <c r="T2082" s="294"/>
      <c r="U2082" s="294"/>
      <c r="V2082" s="294"/>
      <c r="W2082" s="294"/>
      <c r="X2082" s="294"/>
      <c r="Y2082" s="294"/>
      <c r="Z2082" s="294"/>
      <c r="AA2082" s="294"/>
      <c r="AB2082" s="294"/>
      <c r="AC2082" s="294"/>
      <c r="AD2082" s="294"/>
      <c r="AE2082" s="294"/>
      <c r="AF2082" s="294"/>
      <c r="AG2082" s="294"/>
    </row>
    <row r="2083" spans="2:33" x14ac:dyDescent="0.25">
      <c r="B2083" s="294"/>
      <c r="C2083" s="294"/>
      <c r="D2083" s="294"/>
      <c r="E2083" s="294"/>
      <c r="F2083" s="294"/>
      <c r="G2083" s="294"/>
      <c r="H2083" s="294"/>
      <c r="I2083" s="294"/>
      <c r="J2083" s="294"/>
      <c r="L2083" s="295"/>
      <c r="M2083" s="294"/>
      <c r="O2083" s="294"/>
      <c r="P2083" s="294"/>
      <c r="Q2083" s="294"/>
      <c r="R2083" s="294"/>
      <c r="S2083" s="294"/>
      <c r="T2083" s="294"/>
      <c r="U2083" s="294"/>
      <c r="V2083" s="294"/>
      <c r="W2083" s="294"/>
      <c r="X2083" s="294"/>
      <c r="Y2083" s="294"/>
      <c r="Z2083" s="294"/>
      <c r="AA2083" s="294"/>
      <c r="AB2083" s="294"/>
      <c r="AC2083" s="294"/>
      <c r="AD2083" s="294"/>
      <c r="AE2083" s="294"/>
      <c r="AF2083" s="294"/>
      <c r="AG2083" s="294"/>
    </row>
    <row r="2084" spans="2:33" x14ac:dyDescent="0.25">
      <c r="B2084" s="294"/>
      <c r="C2084" s="294"/>
      <c r="D2084" s="294"/>
      <c r="E2084" s="294"/>
      <c r="F2084" s="294"/>
      <c r="G2084" s="294"/>
      <c r="H2084" s="294"/>
      <c r="I2084" s="294"/>
      <c r="J2084" s="294"/>
      <c r="L2084" s="295"/>
      <c r="M2084" s="294"/>
      <c r="O2084" s="294"/>
      <c r="P2084" s="294"/>
      <c r="Q2084" s="294"/>
      <c r="R2084" s="294"/>
      <c r="S2084" s="294"/>
      <c r="T2084" s="294"/>
      <c r="U2084" s="294"/>
      <c r="V2084" s="294"/>
      <c r="W2084" s="294"/>
      <c r="X2084" s="294"/>
      <c r="Y2084" s="294"/>
      <c r="Z2084" s="294"/>
      <c r="AA2084" s="294"/>
      <c r="AB2084" s="294"/>
      <c r="AC2084" s="294"/>
      <c r="AD2084" s="294"/>
      <c r="AE2084" s="294"/>
      <c r="AF2084" s="294"/>
      <c r="AG2084" s="294"/>
    </row>
    <row r="2085" spans="2:33" x14ac:dyDescent="0.25">
      <c r="B2085" s="294"/>
      <c r="C2085" s="294"/>
      <c r="D2085" s="294"/>
      <c r="E2085" s="294"/>
      <c r="F2085" s="294"/>
      <c r="G2085" s="294"/>
      <c r="H2085" s="294"/>
      <c r="I2085" s="294"/>
      <c r="J2085" s="294"/>
      <c r="L2085" s="295"/>
      <c r="M2085" s="294"/>
      <c r="O2085" s="294"/>
      <c r="P2085" s="294"/>
      <c r="Q2085" s="294"/>
      <c r="R2085" s="294"/>
      <c r="S2085" s="294"/>
      <c r="T2085" s="294"/>
      <c r="U2085" s="294"/>
      <c r="V2085" s="294"/>
      <c r="W2085" s="294"/>
      <c r="X2085" s="294"/>
      <c r="Y2085" s="294"/>
      <c r="Z2085" s="294"/>
      <c r="AA2085" s="294"/>
      <c r="AB2085" s="294"/>
      <c r="AC2085" s="294"/>
      <c r="AD2085" s="294"/>
      <c r="AE2085" s="294"/>
      <c r="AF2085" s="294"/>
      <c r="AG2085" s="294"/>
    </row>
    <row r="2086" spans="2:33" x14ac:dyDescent="0.25">
      <c r="B2086" s="294"/>
      <c r="C2086" s="294"/>
      <c r="D2086" s="294"/>
      <c r="E2086" s="294"/>
      <c r="F2086" s="294"/>
      <c r="G2086" s="294"/>
      <c r="H2086" s="294"/>
      <c r="I2086" s="294"/>
      <c r="J2086" s="294"/>
      <c r="L2086" s="295"/>
      <c r="M2086" s="294"/>
      <c r="O2086" s="294"/>
      <c r="P2086" s="294"/>
      <c r="Q2086" s="294"/>
      <c r="R2086" s="294"/>
      <c r="S2086" s="294"/>
      <c r="T2086" s="294"/>
      <c r="U2086" s="294"/>
      <c r="V2086" s="294"/>
      <c r="W2086" s="294"/>
      <c r="X2086" s="294"/>
      <c r="Y2086" s="294"/>
      <c r="Z2086" s="294"/>
      <c r="AA2086" s="294"/>
      <c r="AB2086" s="294"/>
      <c r="AC2086" s="294"/>
      <c r="AD2086" s="294"/>
      <c r="AE2086" s="294"/>
      <c r="AF2086" s="294"/>
      <c r="AG2086" s="294"/>
    </row>
    <row r="2087" spans="2:33" x14ac:dyDescent="0.25">
      <c r="B2087" s="294"/>
      <c r="C2087" s="294"/>
      <c r="D2087" s="294"/>
      <c r="E2087" s="294"/>
      <c r="F2087" s="294"/>
      <c r="G2087" s="294"/>
      <c r="H2087" s="294"/>
      <c r="I2087" s="294"/>
      <c r="J2087" s="294"/>
      <c r="L2087" s="295"/>
      <c r="M2087" s="294"/>
      <c r="O2087" s="294"/>
      <c r="P2087" s="294"/>
      <c r="Q2087" s="294"/>
      <c r="R2087" s="294"/>
      <c r="S2087" s="294"/>
      <c r="T2087" s="294"/>
      <c r="U2087" s="294"/>
      <c r="V2087" s="294"/>
      <c r="W2087" s="294"/>
      <c r="X2087" s="294"/>
      <c r="Y2087" s="294"/>
      <c r="Z2087" s="294"/>
      <c r="AA2087" s="294"/>
      <c r="AB2087" s="294"/>
      <c r="AC2087" s="294"/>
      <c r="AD2087" s="294"/>
      <c r="AE2087" s="294"/>
      <c r="AF2087" s="294"/>
      <c r="AG2087" s="294"/>
    </row>
    <row r="2088" spans="2:33" x14ac:dyDescent="0.25">
      <c r="B2088" s="294"/>
      <c r="C2088" s="294"/>
      <c r="D2088" s="294"/>
      <c r="E2088" s="294"/>
      <c r="F2088" s="294"/>
      <c r="G2088" s="294"/>
      <c r="H2088" s="294"/>
      <c r="I2088" s="294"/>
      <c r="J2088" s="294"/>
      <c r="L2088" s="295"/>
      <c r="M2088" s="294"/>
      <c r="O2088" s="294"/>
      <c r="P2088" s="294"/>
      <c r="Q2088" s="294"/>
      <c r="R2088" s="294"/>
      <c r="S2088" s="294"/>
      <c r="T2088" s="294"/>
      <c r="U2088" s="294"/>
      <c r="V2088" s="294"/>
      <c r="W2088" s="294"/>
      <c r="X2088" s="294"/>
      <c r="Y2088" s="294"/>
      <c r="Z2088" s="294"/>
      <c r="AA2088" s="294"/>
      <c r="AB2088" s="294"/>
      <c r="AC2088" s="294"/>
      <c r="AD2088" s="294"/>
      <c r="AE2088" s="294"/>
      <c r="AF2088" s="294"/>
      <c r="AG2088" s="294"/>
    </row>
    <row r="2089" spans="2:33" x14ac:dyDescent="0.25">
      <c r="B2089" s="294"/>
      <c r="C2089" s="294"/>
      <c r="D2089" s="294"/>
      <c r="E2089" s="294"/>
      <c r="F2089" s="294"/>
      <c r="G2089" s="294"/>
      <c r="H2089" s="294"/>
      <c r="I2089" s="294"/>
      <c r="J2089" s="294"/>
      <c r="L2089" s="295"/>
      <c r="M2089" s="294"/>
      <c r="O2089" s="294"/>
      <c r="P2089" s="294"/>
      <c r="Q2089" s="294"/>
      <c r="R2089" s="294"/>
      <c r="S2089" s="294"/>
      <c r="T2089" s="294"/>
      <c r="U2089" s="294"/>
      <c r="V2089" s="294"/>
      <c r="W2089" s="294"/>
      <c r="X2089" s="294"/>
      <c r="Y2089" s="294"/>
      <c r="Z2089" s="294"/>
      <c r="AA2089" s="294"/>
      <c r="AB2089" s="294"/>
      <c r="AC2089" s="294"/>
      <c r="AD2089" s="294"/>
      <c r="AE2089" s="294"/>
      <c r="AF2089" s="294"/>
      <c r="AG2089" s="294"/>
    </row>
    <row r="2090" spans="2:33" x14ac:dyDescent="0.25">
      <c r="B2090" s="294"/>
      <c r="C2090" s="294"/>
      <c r="D2090" s="294"/>
      <c r="E2090" s="294"/>
      <c r="F2090" s="294"/>
      <c r="G2090" s="294"/>
      <c r="H2090" s="294"/>
      <c r="I2090" s="294"/>
      <c r="J2090" s="294"/>
      <c r="L2090" s="295"/>
      <c r="M2090" s="294"/>
      <c r="O2090" s="294"/>
      <c r="P2090" s="294"/>
      <c r="Q2090" s="294"/>
      <c r="R2090" s="294"/>
      <c r="S2090" s="294"/>
      <c r="T2090" s="294"/>
      <c r="U2090" s="294"/>
      <c r="V2090" s="294"/>
      <c r="W2090" s="294"/>
      <c r="X2090" s="294"/>
      <c r="Y2090" s="294"/>
      <c r="Z2090" s="294"/>
      <c r="AA2090" s="294"/>
      <c r="AB2090" s="294"/>
      <c r="AC2090" s="294"/>
      <c r="AD2090" s="294"/>
      <c r="AE2090" s="294"/>
      <c r="AF2090" s="294"/>
      <c r="AG2090" s="294"/>
    </row>
    <row r="2091" spans="2:33" x14ac:dyDescent="0.25">
      <c r="B2091" s="294"/>
      <c r="C2091" s="294"/>
      <c r="D2091" s="294"/>
      <c r="E2091" s="294"/>
      <c r="F2091" s="294"/>
      <c r="G2091" s="294"/>
      <c r="H2091" s="294"/>
      <c r="I2091" s="294"/>
      <c r="J2091" s="294"/>
      <c r="L2091" s="295"/>
      <c r="M2091" s="294"/>
      <c r="O2091" s="294"/>
      <c r="P2091" s="294"/>
      <c r="Q2091" s="294"/>
      <c r="R2091" s="294"/>
      <c r="S2091" s="294"/>
      <c r="T2091" s="294"/>
      <c r="U2091" s="294"/>
      <c r="V2091" s="294"/>
      <c r="W2091" s="294"/>
      <c r="X2091" s="294"/>
      <c r="Y2091" s="294"/>
      <c r="Z2091" s="294"/>
      <c r="AA2091" s="294"/>
      <c r="AB2091" s="294"/>
      <c r="AC2091" s="294"/>
      <c r="AD2091" s="294"/>
      <c r="AE2091" s="294"/>
      <c r="AF2091" s="294"/>
      <c r="AG2091" s="294"/>
    </row>
    <row r="2092" spans="2:33" x14ac:dyDescent="0.25">
      <c r="B2092" s="294"/>
      <c r="C2092" s="294"/>
      <c r="D2092" s="294"/>
      <c r="E2092" s="294"/>
      <c r="F2092" s="294"/>
      <c r="G2092" s="294"/>
      <c r="H2092" s="294"/>
      <c r="I2092" s="294"/>
      <c r="J2092" s="294"/>
      <c r="L2092" s="295"/>
      <c r="M2092" s="294"/>
      <c r="O2092" s="294"/>
      <c r="P2092" s="294"/>
      <c r="Q2092" s="294"/>
      <c r="R2092" s="294"/>
      <c r="S2092" s="294"/>
      <c r="T2092" s="294"/>
      <c r="U2092" s="294"/>
      <c r="V2092" s="294"/>
      <c r="W2092" s="294"/>
      <c r="X2092" s="294"/>
      <c r="Y2092" s="294"/>
      <c r="Z2092" s="294"/>
      <c r="AA2092" s="294"/>
      <c r="AB2092" s="294"/>
      <c r="AC2092" s="294"/>
      <c r="AD2092" s="294"/>
      <c r="AE2092" s="294"/>
      <c r="AF2092" s="294"/>
      <c r="AG2092" s="294"/>
    </row>
    <row r="2093" spans="2:33" x14ac:dyDescent="0.25">
      <c r="B2093" s="294"/>
      <c r="C2093" s="294"/>
      <c r="D2093" s="294"/>
      <c r="E2093" s="294"/>
      <c r="F2093" s="294"/>
      <c r="G2093" s="294"/>
      <c r="H2093" s="294"/>
      <c r="I2093" s="294"/>
      <c r="J2093" s="294"/>
      <c r="L2093" s="295"/>
      <c r="M2093" s="294"/>
      <c r="O2093" s="294"/>
      <c r="P2093" s="294"/>
      <c r="Q2093" s="294"/>
      <c r="R2093" s="294"/>
      <c r="S2093" s="294"/>
      <c r="T2093" s="294"/>
      <c r="U2093" s="294"/>
      <c r="V2093" s="294"/>
      <c r="W2093" s="294"/>
      <c r="X2093" s="294"/>
      <c r="Y2093" s="294"/>
      <c r="Z2093" s="294"/>
      <c r="AA2093" s="294"/>
      <c r="AB2093" s="294"/>
      <c r="AC2093" s="294"/>
      <c r="AD2093" s="294"/>
      <c r="AE2093" s="294"/>
      <c r="AF2093" s="294"/>
      <c r="AG2093" s="294"/>
    </row>
    <row r="2094" spans="2:33" x14ac:dyDescent="0.25">
      <c r="B2094" s="294"/>
      <c r="C2094" s="294"/>
      <c r="D2094" s="294"/>
      <c r="E2094" s="294"/>
      <c r="F2094" s="294"/>
      <c r="G2094" s="294"/>
      <c r="H2094" s="294"/>
      <c r="I2094" s="294"/>
      <c r="J2094" s="294"/>
      <c r="L2094" s="295"/>
      <c r="M2094" s="294"/>
      <c r="O2094" s="294"/>
      <c r="P2094" s="294"/>
      <c r="Q2094" s="294"/>
      <c r="R2094" s="294"/>
      <c r="S2094" s="294"/>
      <c r="T2094" s="294"/>
      <c r="U2094" s="294"/>
      <c r="V2094" s="294"/>
      <c r="W2094" s="294"/>
      <c r="X2094" s="294"/>
      <c r="Y2094" s="294"/>
      <c r="Z2094" s="294"/>
      <c r="AA2094" s="294"/>
      <c r="AB2094" s="294"/>
      <c r="AC2094" s="294"/>
      <c r="AD2094" s="294"/>
      <c r="AE2094" s="294"/>
      <c r="AF2094" s="294"/>
      <c r="AG2094" s="294"/>
    </row>
    <row r="2095" spans="2:33" x14ac:dyDescent="0.25">
      <c r="B2095" s="294"/>
      <c r="C2095" s="294"/>
      <c r="D2095" s="294"/>
      <c r="E2095" s="294"/>
      <c r="F2095" s="294"/>
      <c r="G2095" s="294"/>
      <c r="H2095" s="294"/>
      <c r="I2095" s="294"/>
      <c r="J2095" s="294"/>
      <c r="L2095" s="295"/>
      <c r="M2095" s="294"/>
      <c r="O2095" s="294"/>
      <c r="P2095" s="294"/>
      <c r="Q2095" s="294"/>
      <c r="R2095" s="294"/>
      <c r="S2095" s="294"/>
      <c r="T2095" s="294"/>
      <c r="U2095" s="294"/>
      <c r="V2095" s="294"/>
      <c r="W2095" s="294"/>
      <c r="X2095" s="294"/>
      <c r="Y2095" s="294"/>
      <c r="Z2095" s="294"/>
      <c r="AA2095" s="294"/>
      <c r="AB2095" s="294"/>
      <c r="AC2095" s="294"/>
      <c r="AD2095" s="294"/>
      <c r="AE2095" s="294"/>
      <c r="AF2095" s="294"/>
      <c r="AG2095" s="294"/>
    </row>
    <row r="2096" spans="2:33" x14ac:dyDescent="0.25">
      <c r="B2096" s="294"/>
      <c r="C2096" s="294"/>
      <c r="D2096" s="294"/>
      <c r="E2096" s="294"/>
      <c r="F2096" s="294"/>
      <c r="G2096" s="294"/>
      <c r="H2096" s="294"/>
      <c r="I2096" s="294"/>
      <c r="J2096" s="294"/>
      <c r="L2096" s="295"/>
      <c r="M2096" s="294"/>
      <c r="O2096" s="294"/>
      <c r="P2096" s="294"/>
      <c r="Q2096" s="294"/>
      <c r="R2096" s="294"/>
      <c r="S2096" s="294"/>
      <c r="T2096" s="294"/>
      <c r="U2096" s="294"/>
      <c r="V2096" s="294"/>
      <c r="W2096" s="294"/>
      <c r="X2096" s="294"/>
      <c r="Y2096" s="294"/>
      <c r="Z2096" s="294"/>
      <c r="AA2096" s="294"/>
      <c r="AB2096" s="294"/>
      <c r="AC2096" s="294"/>
      <c r="AD2096" s="294"/>
      <c r="AE2096" s="294"/>
      <c r="AF2096" s="294"/>
      <c r="AG2096" s="294"/>
    </row>
    <row r="2097" spans="2:33" x14ac:dyDescent="0.25">
      <c r="B2097" s="294"/>
      <c r="C2097" s="294"/>
      <c r="D2097" s="294"/>
      <c r="E2097" s="294"/>
      <c r="F2097" s="294"/>
      <c r="G2097" s="294"/>
      <c r="H2097" s="294"/>
      <c r="I2097" s="294"/>
      <c r="J2097" s="294"/>
      <c r="L2097" s="295"/>
      <c r="M2097" s="294"/>
      <c r="O2097" s="294"/>
      <c r="P2097" s="294"/>
      <c r="Q2097" s="294"/>
      <c r="R2097" s="294"/>
      <c r="S2097" s="294"/>
      <c r="T2097" s="294"/>
      <c r="U2097" s="294"/>
      <c r="V2097" s="294"/>
      <c r="W2097" s="294"/>
      <c r="X2097" s="294"/>
      <c r="Y2097" s="294"/>
      <c r="Z2097" s="294"/>
      <c r="AA2097" s="294"/>
      <c r="AB2097" s="294"/>
      <c r="AC2097" s="294"/>
      <c r="AD2097" s="294"/>
      <c r="AE2097" s="294"/>
      <c r="AF2097" s="294"/>
      <c r="AG2097" s="294"/>
    </row>
    <row r="2098" spans="2:33" x14ac:dyDescent="0.25">
      <c r="B2098" s="294"/>
      <c r="C2098" s="294"/>
      <c r="D2098" s="294"/>
      <c r="E2098" s="294"/>
      <c r="F2098" s="294"/>
      <c r="G2098" s="294"/>
      <c r="H2098" s="294"/>
      <c r="I2098" s="294"/>
      <c r="J2098" s="294"/>
      <c r="L2098" s="295"/>
      <c r="M2098" s="294"/>
      <c r="O2098" s="294"/>
      <c r="P2098" s="294"/>
      <c r="Q2098" s="294"/>
      <c r="R2098" s="294"/>
      <c r="S2098" s="294"/>
      <c r="T2098" s="294"/>
      <c r="U2098" s="294"/>
      <c r="V2098" s="294"/>
      <c r="W2098" s="294"/>
      <c r="X2098" s="294"/>
      <c r="Y2098" s="294"/>
      <c r="Z2098" s="294"/>
      <c r="AA2098" s="294"/>
      <c r="AB2098" s="294"/>
      <c r="AC2098" s="294"/>
      <c r="AD2098" s="294"/>
      <c r="AE2098" s="294"/>
      <c r="AF2098" s="294"/>
      <c r="AG2098" s="294"/>
    </row>
    <row r="2099" spans="2:33" x14ac:dyDescent="0.25">
      <c r="B2099" s="294"/>
      <c r="C2099" s="294"/>
      <c r="D2099" s="294"/>
      <c r="E2099" s="294"/>
      <c r="F2099" s="294"/>
      <c r="G2099" s="294"/>
      <c r="H2099" s="294"/>
      <c r="I2099" s="294"/>
      <c r="J2099" s="294"/>
      <c r="L2099" s="295"/>
      <c r="M2099" s="294"/>
      <c r="O2099" s="294"/>
      <c r="P2099" s="294"/>
      <c r="Q2099" s="294"/>
      <c r="R2099" s="294"/>
      <c r="S2099" s="294"/>
      <c r="T2099" s="294"/>
      <c r="U2099" s="294"/>
      <c r="V2099" s="294"/>
      <c r="W2099" s="294"/>
      <c r="X2099" s="294"/>
      <c r="Y2099" s="294"/>
      <c r="Z2099" s="294"/>
      <c r="AA2099" s="294"/>
      <c r="AB2099" s="294"/>
      <c r="AC2099" s="294"/>
      <c r="AD2099" s="294"/>
      <c r="AE2099" s="294"/>
      <c r="AF2099" s="294"/>
      <c r="AG2099" s="294"/>
    </row>
    <row r="2100" spans="2:33" x14ac:dyDescent="0.25">
      <c r="B2100" s="294"/>
      <c r="C2100" s="294"/>
      <c r="D2100" s="294"/>
      <c r="E2100" s="294"/>
      <c r="F2100" s="294"/>
      <c r="G2100" s="294"/>
      <c r="H2100" s="294"/>
      <c r="I2100" s="294"/>
      <c r="J2100" s="294"/>
      <c r="L2100" s="295"/>
      <c r="M2100" s="294"/>
      <c r="O2100" s="294"/>
      <c r="P2100" s="294"/>
      <c r="Q2100" s="294"/>
      <c r="R2100" s="294"/>
      <c r="S2100" s="294"/>
      <c r="T2100" s="294"/>
      <c r="U2100" s="294"/>
      <c r="V2100" s="294"/>
      <c r="W2100" s="294"/>
      <c r="X2100" s="294"/>
      <c r="Y2100" s="294"/>
      <c r="Z2100" s="294"/>
      <c r="AA2100" s="294"/>
      <c r="AB2100" s="294"/>
      <c r="AC2100" s="294"/>
      <c r="AD2100" s="294"/>
      <c r="AE2100" s="294"/>
      <c r="AF2100" s="294"/>
      <c r="AG2100" s="294"/>
    </row>
    <row r="2101" spans="2:33" x14ac:dyDescent="0.25">
      <c r="B2101" s="294"/>
      <c r="C2101" s="294"/>
      <c r="D2101" s="294"/>
      <c r="E2101" s="294"/>
      <c r="F2101" s="294"/>
      <c r="G2101" s="294"/>
      <c r="H2101" s="294"/>
      <c r="I2101" s="294"/>
      <c r="J2101" s="294"/>
      <c r="L2101" s="295"/>
      <c r="M2101" s="294"/>
      <c r="O2101" s="294"/>
      <c r="P2101" s="294"/>
      <c r="Q2101" s="294"/>
      <c r="R2101" s="294"/>
      <c r="S2101" s="294"/>
      <c r="T2101" s="294"/>
      <c r="U2101" s="294"/>
      <c r="V2101" s="294"/>
      <c r="W2101" s="294"/>
      <c r="X2101" s="294"/>
      <c r="Y2101" s="294"/>
      <c r="Z2101" s="294"/>
      <c r="AA2101" s="294"/>
      <c r="AB2101" s="294"/>
      <c r="AC2101" s="294"/>
      <c r="AD2101" s="294"/>
      <c r="AE2101" s="294"/>
      <c r="AF2101" s="294"/>
      <c r="AG2101" s="294"/>
    </row>
    <row r="2102" spans="2:33" x14ac:dyDescent="0.25">
      <c r="B2102" s="294"/>
      <c r="C2102" s="294"/>
      <c r="D2102" s="294"/>
      <c r="E2102" s="294"/>
      <c r="F2102" s="294"/>
      <c r="G2102" s="294"/>
      <c r="H2102" s="294"/>
      <c r="I2102" s="294"/>
      <c r="J2102" s="294"/>
      <c r="L2102" s="295"/>
      <c r="M2102" s="294"/>
      <c r="O2102" s="294"/>
      <c r="P2102" s="294"/>
      <c r="Q2102" s="294"/>
      <c r="R2102" s="294"/>
      <c r="S2102" s="294"/>
      <c r="T2102" s="294"/>
      <c r="U2102" s="294"/>
      <c r="V2102" s="294"/>
      <c r="W2102" s="294"/>
      <c r="X2102" s="294"/>
      <c r="Y2102" s="294"/>
      <c r="Z2102" s="294"/>
      <c r="AA2102" s="294"/>
      <c r="AB2102" s="294"/>
      <c r="AC2102" s="294"/>
      <c r="AD2102" s="294"/>
      <c r="AE2102" s="294"/>
      <c r="AF2102" s="294"/>
      <c r="AG2102" s="294"/>
    </row>
    <row r="2103" spans="2:33" x14ac:dyDescent="0.25">
      <c r="B2103" s="294"/>
      <c r="C2103" s="294"/>
      <c r="D2103" s="294"/>
      <c r="E2103" s="294"/>
      <c r="F2103" s="294"/>
      <c r="G2103" s="294"/>
      <c r="H2103" s="294"/>
      <c r="I2103" s="294"/>
      <c r="J2103" s="294"/>
      <c r="L2103" s="295"/>
      <c r="M2103" s="294"/>
      <c r="O2103" s="294"/>
      <c r="P2103" s="294"/>
      <c r="Q2103" s="294"/>
      <c r="R2103" s="294"/>
      <c r="S2103" s="294"/>
      <c r="T2103" s="294"/>
      <c r="U2103" s="294"/>
      <c r="V2103" s="294"/>
      <c r="W2103" s="294"/>
      <c r="X2103" s="294"/>
      <c r="Y2103" s="294"/>
      <c r="Z2103" s="294"/>
      <c r="AA2103" s="294"/>
      <c r="AB2103" s="294"/>
      <c r="AC2103" s="294"/>
      <c r="AD2103" s="294"/>
      <c r="AE2103" s="294"/>
      <c r="AF2103" s="294"/>
      <c r="AG2103" s="294"/>
    </row>
    <row r="2104" spans="2:33" x14ac:dyDescent="0.25">
      <c r="B2104" s="294"/>
      <c r="C2104" s="294"/>
      <c r="D2104" s="294"/>
      <c r="E2104" s="294"/>
      <c r="F2104" s="294"/>
      <c r="G2104" s="294"/>
      <c r="H2104" s="294"/>
      <c r="I2104" s="294"/>
      <c r="J2104" s="294"/>
      <c r="L2104" s="295"/>
      <c r="M2104" s="294"/>
      <c r="O2104" s="294"/>
      <c r="P2104" s="294"/>
      <c r="Q2104" s="294"/>
      <c r="R2104" s="294"/>
      <c r="S2104" s="294"/>
      <c r="T2104" s="294"/>
      <c r="U2104" s="294"/>
      <c r="V2104" s="294"/>
      <c r="W2104" s="294"/>
      <c r="X2104" s="294"/>
      <c r="Y2104" s="294"/>
      <c r="Z2104" s="294"/>
      <c r="AA2104" s="294"/>
      <c r="AB2104" s="294"/>
      <c r="AC2104" s="294"/>
      <c r="AD2104" s="294"/>
      <c r="AE2104" s="294"/>
      <c r="AF2104" s="294"/>
      <c r="AG2104" s="294"/>
    </row>
    <row r="2105" spans="2:33" x14ac:dyDescent="0.25">
      <c r="B2105" s="294"/>
      <c r="C2105" s="294"/>
      <c r="D2105" s="294"/>
      <c r="E2105" s="294"/>
      <c r="F2105" s="294"/>
      <c r="G2105" s="294"/>
      <c r="H2105" s="294"/>
      <c r="I2105" s="294"/>
      <c r="J2105" s="294"/>
      <c r="L2105" s="295"/>
      <c r="M2105" s="294"/>
      <c r="O2105" s="294"/>
      <c r="P2105" s="294"/>
      <c r="Q2105" s="294"/>
      <c r="R2105" s="294"/>
      <c r="S2105" s="294"/>
      <c r="T2105" s="294"/>
      <c r="U2105" s="294"/>
      <c r="V2105" s="294"/>
      <c r="W2105" s="294"/>
      <c r="X2105" s="294"/>
      <c r="Y2105" s="294"/>
      <c r="Z2105" s="294"/>
      <c r="AA2105" s="294"/>
      <c r="AB2105" s="294"/>
      <c r="AC2105" s="294"/>
      <c r="AD2105" s="294"/>
      <c r="AE2105" s="294"/>
      <c r="AF2105" s="294"/>
      <c r="AG2105" s="294"/>
    </row>
    <row r="2106" spans="2:33" x14ac:dyDescent="0.25">
      <c r="B2106" s="294"/>
      <c r="C2106" s="294"/>
      <c r="D2106" s="294"/>
      <c r="E2106" s="294"/>
      <c r="F2106" s="294"/>
      <c r="G2106" s="294"/>
      <c r="H2106" s="294"/>
      <c r="I2106" s="294"/>
      <c r="J2106" s="294"/>
      <c r="L2106" s="295"/>
      <c r="M2106" s="294"/>
      <c r="O2106" s="294"/>
      <c r="P2106" s="294"/>
      <c r="Q2106" s="294"/>
      <c r="R2106" s="294"/>
      <c r="S2106" s="294"/>
      <c r="T2106" s="294"/>
      <c r="U2106" s="294"/>
      <c r="V2106" s="294"/>
      <c r="W2106" s="294"/>
      <c r="X2106" s="294"/>
      <c r="Y2106" s="294"/>
      <c r="Z2106" s="294"/>
      <c r="AA2106" s="294"/>
      <c r="AB2106" s="294"/>
      <c r="AC2106" s="294"/>
      <c r="AD2106" s="294"/>
      <c r="AE2106" s="294"/>
      <c r="AF2106" s="294"/>
      <c r="AG2106" s="294"/>
    </row>
    <row r="2107" spans="2:33" x14ac:dyDescent="0.25">
      <c r="B2107" s="294"/>
      <c r="C2107" s="294"/>
      <c r="D2107" s="294"/>
      <c r="E2107" s="294"/>
      <c r="F2107" s="294"/>
      <c r="G2107" s="294"/>
      <c r="H2107" s="294"/>
      <c r="I2107" s="294"/>
      <c r="J2107" s="294"/>
      <c r="L2107" s="295"/>
      <c r="M2107" s="294"/>
      <c r="O2107" s="294"/>
      <c r="P2107" s="294"/>
      <c r="Q2107" s="294"/>
      <c r="R2107" s="294"/>
      <c r="S2107" s="294"/>
      <c r="T2107" s="294"/>
      <c r="U2107" s="294"/>
      <c r="V2107" s="294"/>
      <c r="W2107" s="294"/>
      <c r="X2107" s="294"/>
      <c r="Y2107" s="294"/>
      <c r="Z2107" s="294"/>
      <c r="AA2107" s="294"/>
      <c r="AB2107" s="294"/>
      <c r="AC2107" s="294"/>
      <c r="AD2107" s="294"/>
      <c r="AE2107" s="294"/>
      <c r="AF2107" s="294"/>
      <c r="AG2107" s="294"/>
    </row>
    <row r="2108" spans="2:33" x14ac:dyDescent="0.25">
      <c r="B2108" s="294"/>
      <c r="C2108" s="294"/>
      <c r="D2108" s="294"/>
      <c r="E2108" s="294"/>
      <c r="F2108" s="294"/>
      <c r="G2108" s="294"/>
      <c r="H2108" s="294"/>
      <c r="I2108" s="294"/>
      <c r="J2108" s="294"/>
      <c r="L2108" s="295"/>
      <c r="M2108" s="294"/>
      <c r="O2108" s="294"/>
      <c r="P2108" s="294"/>
      <c r="Q2108" s="294"/>
      <c r="R2108" s="294"/>
      <c r="S2108" s="294"/>
      <c r="T2108" s="294"/>
      <c r="U2108" s="294"/>
      <c r="V2108" s="294"/>
      <c r="W2108" s="294"/>
      <c r="X2108" s="294"/>
      <c r="Y2108" s="294"/>
      <c r="Z2108" s="294"/>
      <c r="AA2108" s="294"/>
      <c r="AB2108" s="294"/>
      <c r="AC2108" s="294"/>
      <c r="AD2108" s="294"/>
      <c r="AE2108" s="294"/>
      <c r="AF2108" s="294"/>
      <c r="AG2108" s="294"/>
    </row>
    <row r="2109" spans="2:33" x14ac:dyDescent="0.25">
      <c r="B2109" s="294"/>
      <c r="C2109" s="294"/>
      <c r="D2109" s="294"/>
      <c r="E2109" s="294"/>
      <c r="F2109" s="294"/>
      <c r="G2109" s="294"/>
      <c r="H2109" s="294"/>
      <c r="I2109" s="294"/>
      <c r="J2109" s="294"/>
      <c r="L2109" s="295"/>
      <c r="M2109" s="294"/>
      <c r="O2109" s="294"/>
      <c r="P2109" s="294"/>
      <c r="Q2109" s="294"/>
      <c r="R2109" s="294"/>
      <c r="S2109" s="294"/>
      <c r="T2109" s="294"/>
      <c r="U2109" s="294"/>
      <c r="V2109" s="294"/>
      <c r="W2109" s="294"/>
      <c r="X2109" s="294"/>
      <c r="Y2109" s="294"/>
      <c r="Z2109" s="294"/>
      <c r="AA2109" s="294"/>
      <c r="AB2109" s="294"/>
      <c r="AC2109" s="294"/>
      <c r="AD2109" s="294"/>
      <c r="AE2109" s="294"/>
      <c r="AF2109" s="294"/>
      <c r="AG2109" s="294"/>
    </row>
    <row r="2110" spans="2:33" x14ac:dyDescent="0.25">
      <c r="B2110" s="294"/>
      <c r="C2110" s="294"/>
      <c r="D2110" s="294"/>
      <c r="E2110" s="294"/>
      <c r="F2110" s="294"/>
      <c r="G2110" s="294"/>
      <c r="H2110" s="294"/>
      <c r="I2110" s="294"/>
      <c r="J2110" s="294"/>
      <c r="L2110" s="295"/>
      <c r="M2110" s="294"/>
      <c r="O2110" s="294"/>
      <c r="P2110" s="294"/>
      <c r="Q2110" s="294"/>
      <c r="R2110" s="294"/>
      <c r="S2110" s="294"/>
      <c r="T2110" s="294"/>
      <c r="U2110" s="294"/>
      <c r="V2110" s="294"/>
      <c r="W2110" s="294"/>
      <c r="X2110" s="294"/>
      <c r="Y2110" s="294"/>
      <c r="Z2110" s="294"/>
      <c r="AA2110" s="294"/>
      <c r="AB2110" s="294"/>
      <c r="AC2110" s="294"/>
      <c r="AD2110" s="294"/>
      <c r="AE2110" s="294"/>
      <c r="AF2110" s="294"/>
      <c r="AG2110" s="294"/>
    </row>
  </sheetData>
  <mergeCells count="9">
    <mergeCell ref="B8:C8"/>
    <mergeCell ref="B7:N7"/>
    <mergeCell ref="AD7:AU7"/>
    <mergeCell ref="B1:N1"/>
    <mergeCell ref="AD1:AU1"/>
    <mergeCell ref="B3:N3"/>
    <mergeCell ref="AD3:AU3"/>
    <mergeCell ref="B5:N5"/>
    <mergeCell ref="AD5:AU5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0" verticalDpi="0" r:id="rId1"/>
  <tableParts count="2">
    <tablePart r:id="rId2"/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192"/>
  <sheetViews>
    <sheetView topLeftCell="H3" zoomScale="80" zoomScaleNormal="80" workbookViewId="0">
      <selection activeCell="N167" sqref="N167"/>
    </sheetView>
  </sheetViews>
  <sheetFormatPr defaultRowHeight="30" customHeight="1" x14ac:dyDescent="0.25"/>
  <cols>
    <col min="1" max="1" width="2" style="5" customWidth="1"/>
    <col min="2" max="2" width="11.140625" style="241" customWidth="1"/>
    <col min="3" max="3" width="36" style="270" customWidth="1"/>
    <col min="4" max="4" width="38.7109375" style="270" customWidth="1"/>
    <col min="5" max="5" width="16.140625" style="270" customWidth="1"/>
    <col min="6" max="6" width="18.28515625" style="270" customWidth="1"/>
    <col min="7" max="7" width="34.5703125" style="225" customWidth="1"/>
    <col min="8" max="8" width="11.5703125" style="241" customWidth="1"/>
    <col min="9" max="9" width="11.42578125" style="241" customWidth="1"/>
    <col min="10" max="10" width="11.140625" style="241" customWidth="1"/>
    <col min="11" max="11" width="12.140625" style="5" customWidth="1"/>
    <col min="12" max="12" width="12.140625" style="283" customWidth="1"/>
    <col min="13" max="13" width="12.140625" style="241" customWidth="1"/>
    <col min="14" max="14" width="15.28515625" style="5" bestFit="1" customWidth="1"/>
    <col min="15" max="15" width="19.140625" style="5" customWidth="1"/>
    <col min="16" max="16" width="17.28515625" style="5" customWidth="1"/>
    <col min="17" max="17" width="19" style="5" customWidth="1"/>
    <col min="18" max="18" width="12.140625" style="278" customWidth="1"/>
    <col min="19" max="19" width="13.140625" style="272" customWidth="1"/>
    <col min="20" max="20" width="13.140625" style="1119" customWidth="1"/>
    <col min="21" max="21" width="13.140625" style="272" customWidth="1"/>
    <col min="22" max="22" width="12.140625" style="272" customWidth="1"/>
    <col min="23" max="23" width="13.140625" style="272" customWidth="1"/>
    <col min="24" max="24" width="12.140625" style="1119" customWidth="1"/>
    <col min="25" max="25" width="13.140625" style="1119" customWidth="1"/>
    <col min="26" max="26" width="12.140625" style="272" customWidth="1"/>
    <col min="27" max="27" width="13.85546875" style="272" customWidth="1"/>
    <col min="28" max="28" width="13.140625" style="1134" customWidth="1"/>
    <col min="29" max="31" width="13.140625" style="272" customWidth="1"/>
    <col min="32" max="32" width="13.140625" style="1119" customWidth="1"/>
    <col min="33" max="33" width="13.140625" style="1140" customWidth="1"/>
    <col min="34" max="36" width="13.140625" style="1119" customWidth="1"/>
    <col min="37" max="37" width="14.28515625" style="5" bestFit="1" customWidth="1"/>
    <col min="38" max="38" width="16.42578125" style="5" customWidth="1"/>
    <col min="39" max="39" width="15.28515625" style="5" bestFit="1" customWidth="1"/>
    <col min="40" max="40" width="16.42578125" style="5" customWidth="1"/>
    <col min="41" max="16384" width="9.140625" style="5"/>
  </cols>
  <sheetData>
    <row r="1" spans="2:58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413"/>
      <c r="R1" s="413"/>
      <c r="S1" s="413"/>
      <c r="T1" s="679"/>
      <c r="U1" s="413"/>
      <c r="V1" s="413"/>
      <c r="W1" s="413"/>
      <c r="X1" s="679"/>
      <c r="Y1" s="679"/>
      <c r="Z1" s="413"/>
      <c r="AA1" s="413"/>
      <c r="AB1" s="1123"/>
      <c r="AC1" s="413"/>
      <c r="AD1" s="413"/>
      <c r="AE1" s="413"/>
      <c r="AF1" s="679"/>
      <c r="AG1" s="1137"/>
      <c r="AH1" s="679"/>
      <c r="AI1" s="679"/>
      <c r="AJ1" s="679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</row>
    <row r="2" spans="2:58" s="410" customFormat="1" ht="12.75" customHeight="1" x14ac:dyDescent="0.35">
      <c r="C2" s="412"/>
      <c r="D2" s="411"/>
      <c r="G2" s="412"/>
      <c r="R2" s="412"/>
      <c r="S2" s="411"/>
      <c r="T2" s="680"/>
      <c r="V2" s="412"/>
      <c r="X2" s="680"/>
      <c r="Y2" s="680"/>
      <c r="AB2" s="1124"/>
      <c r="AF2" s="680"/>
      <c r="AG2" s="1138"/>
      <c r="AH2" s="680"/>
      <c r="AI2" s="680"/>
      <c r="AJ2" s="680"/>
      <c r="AM2" s="412"/>
      <c r="AN2" s="411"/>
      <c r="AQ2" s="412"/>
    </row>
    <row r="3" spans="2:58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413"/>
      <c r="R3" s="413"/>
      <c r="S3" s="413"/>
      <c r="T3" s="679"/>
      <c r="U3" s="413"/>
      <c r="V3" s="413"/>
      <c r="W3" s="413"/>
      <c r="X3" s="679"/>
      <c r="Y3" s="679"/>
      <c r="Z3" s="413"/>
      <c r="AA3" s="413"/>
      <c r="AB3" s="1123"/>
      <c r="AC3" s="413"/>
      <c r="AD3" s="413"/>
      <c r="AE3" s="413"/>
      <c r="AF3" s="679"/>
      <c r="AG3" s="1137"/>
      <c r="AH3" s="679"/>
      <c r="AI3" s="679"/>
      <c r="AJ3" s="679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</row>
    <row r="4" spans="2:58" s="410" customFormat="1" ht="10.5" customHeight="1" x14ac:dyDescent="0.35">
      <c r="C4" s="412"/>
      <c r="D4" s="411"/>
      <c r="G4" s="412"/>
      <c r="R4" s="412"/>
      <c r="S4" s="411"/>
      <c r="T4" s="680"/>
      <c r="V4" s="412"/>
      <c r="X4" s="680"/>
      <c r="Y4" s="680"/>
      <c r="AB4" s="1124"/>
      <c r="AF4" s="680"/>
      <c r="AG4" s="1138"/>
      <c r="AH4" s="680"/>
      <c r="AI4" s="680"/>
      <c r="AJ4" s="680"/>
      <c r="AM4" s="412"/>
      <c r="AN4" s="411"/>
      <c r="AQ4" s="412"/>
    </row>
    <row r="5" spans="2:58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1470"/>
      <c r="P5" s="1470"/>
      <c r="Q5" s="414"/>
      <c r="R5" s="414"/>
      <c r="S5" s="414"/>
      <c r="T5" s="681"/>
      <c r="U5" s="414"/>
      <c r="V5" s="414"/>
      <c r="W5" s="414"/>
      <c r="X5" s="681"/>
      <c r="Y5" s="681"/>
      <c r="Z5" s="414"/>
      <c r="AA5" s="414"/>
      <c r="AB5" s="1125"/>
      <c r="AC5" s="414"/>
      <c r="AD5" s="414"/>
      <c r="AE5" s="414"/>
      <c r="AF5" s="681"/>
      <c r="AG5" s="1139"/>
      <c r="AH5" s="681"/>
      <c r="AI5" s="681"/>
      <c r="AJ5" s="681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</row>
    <row r="6" spans="2:58" ht="30" customHeight="1" x14ac:dyDescent="0.25">
      <c r="B6" s="287"/>
      <c r="G6" s="284"/>
      <c r="H6" s="287"/>
      <c r="I6" s="287"/>
      <c r="J6" s="287"/>
      <c r="L6" s="277"/>
      <c r="M6" s="287"/>
      <c r="Q6" s="354"/>
      <c r="R6" s="270"/>
      <c r="S6" s="270"/>
      <c r="T6" s="1122"/>
      <c r="U6" s="270"/>
      <c r="V6" s="352"/>
      <c r="W6" s="354"/>
      <c r="X6" s="682"/>
      <c r="Y6" s="682"/>
      <c r="Z6" s="5"/>
      <c r="AA6" s="277"/>
      <c r="AB6" s="1126"/>
      <c r="AC6" s="5"/>
      <c r="AD6" s="5"/>
      <c r="AE6" s="5"/>
      <c r="AL6" s="354"/>
      <c r="AM6" s="270"/>
      <c r="AN6" s="270"/>
      <c r="AO6" s="270"/>
      <c r="AP6" s="270"/>
      <c r="AQ6" s="352"/>
      <c r="AR6" s="354"/>
      <c r="AS6" s="354"/>
      <c r="AT6" s="354"/>
      <c r="AV6" s="277"/>
      <c r="AW6" s="354"/>
      <c r="BA6" s="272"/>
      <c r="BB6" s="272"/>
      <c r="BC6" s="272"/>
      <c r="BD6" s="272"/>
      <c r="BE6" s="272"/>
    </row>
    <row r="7" spans="2:58" ht="30" customHeight="1" x14ac:dyDescent="0.25">
      <c r="B7" s="1543" t="s">
        <v>7191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1543"/>
      <c r="P7" s="1543"/>
      <c r="Q7" s="526"/>
      <c r="R7" s="526"/>
      <c r="S7" s="526"/>
      <c r="T7" s="683"/>
      <c r="U7" s="526"/>
      <c r="V7" s="526"/>
      <c r="W7" s="526"/>
      <c r="X7" s="683"/>
      <c r="Y7" s="683"/>
      <c r="Z7" s="526"/>
      <c r="AA7" s="526"/>
      <c r="AB7" s="1127"/>
      <c r="AC7" s="526"/>
      <c r="AD7" s="526"/>
      <c r="AE7" s="526"/>
      <c r="AF7" s="683"/>
      <c r="AG7" s="1141"/>
      <c r="AH7" s="683"/>
      <c r="AI7" s="683"/>
      <c r="AJ7" s="683"/>
      <c r="AK7" s="526"/>
      <c r="AL7" s="526"/>
      <c r="AM7" s="526"/>
      <c r="AN7" s="526"/>
      <c r="AO7" s="526"/>
      <c r="AP7" s="526"/>
      <c r="AQ7" s="526"/>
      <c r="AR7" s="526"/>
      <c r="AS7" s="526"/>
      <c r="AT7" s="526"/>
      <c r="AU7" s="526"/>
      <c r="AV7" s="526"/>
      <c r="AW7" s="526"/>
      <c r="AX7" s="526"/>
      <c r="AY7" s="526"/>
      <c r="AZ7" s="526"/>
      <c r="BA7" s="526"/>
      <c r="BB7" s="526"/>
      <c r="BC7" s="526"/>
      <c r="BD7" s="526"/>
      <c r="BE7" s="526"/>
      <c r="BF7" s="526"/>
    </row>
    <row r="8" spans="2:58" ht="24" customHeight="1" x14ac:dyDescent="0.25">
      <c r="B8" s="527"/>
      <c r="C8" s="527"/>
      <c r="D8" s="527"/>
      <c r="E8" s="527"/>
      <c r="F8" s="527"/>
      <c r="G8" s="527"/>
      <c r="H8" s="527"/>
      <c r="I8" s="527"/>
      <c r="J8" s="527"/>
      <c r="K8" s="527"/>
      <c r="L8" s="527"/>
      <c r="M8" s="527"/>
      <c r="N8" s="527"/>
      <c r="O8" s="527"/>
      <c r="P8" s="527"/>
      <c r="Q8" s="527"/>
      <c r="R8" s="527"/>
      <c r="S8" s="527"/>
      <c r="T8" s="1111"/>
      <c r="U8" s="527"/>
      <c r="V8" s="527"/>
      <c r="W8" s="527"/>
      <c r="X8" s="1111"/>
      <c r="Y8" s="1111"/>
      <c r="Z8" s="527"/>
      <c r="AA8" s="527"/>
      <c r="AB8" s="1128"/>
      <c r="AC8" s="527"/>
      <c r="AD8" s="527"/>
      <c r="AE8" s="527"/>
      <c r="AF8" s="1111"/>
      <c r="AG8" s="1142"/>
      <c r="AH8" s="1111"/>
      <c r="AI8" s="1111"/>
      <c r="AJ8" s="1111"/>
      <c r="AK8" s="527"/>
      <c r="AL8" s="527"/>
      <c r="AM8" s="527"/>
      <c r="AN8" s="527"/>
      <c r="AO8" s="527"/>
      <c r="AP8" s="527"/>
      <c r="AQ8" s="527"/>
      <c r="AR8" s="527"/>
      <c r="AS8" s="527"/>
      <c r="AT8" s="527"/>
      <c r="AU8" s="527"/>
      <c r="AV8" s="527"/>
      <c r="AW8" s="527"/>
      <c r="AX8" s="527"/>
      <c r="AY8" s="527"/>
      <c r="AZ8" s="527"/>
      <c r="BA8" s="527"/>
      <c r="BB8" s="527"/>
      <c r="BC8" s="527"/>
      <c r="BD8" s="527"/>
      <c r="BE8" s="527"/>
      <c r="BF8" s="527"/>
    </row>
    <row r="9" spans="2:58" ht="30" customHeight="1" x14ac:dyDescent="0.25">
      <c r="B9" s="1086" t="s">
        <v>7136</v>
      </c>
      <c r="C9" s="1079" t="s">
        <v>7137</v>
      </c>
      <c r="D9" s="1079" t="s">
        <v>7138</v>
      </c>
      <c r="E9" s="1079" t="s">
        <v>7139</v>
      </c>
      <c r="F9" s="1079" t="s">
        <v>7140</v>
      </c>
      <c r="G9" s="1079" t="s">
        <v>7141</v>
      </c>
      <c r="H9" s="1079" t="s">
        <v>7142</v>
      </c>
      <c r="I9" s="1079" t="s">
        <v>7143</v>
      </c>
      <c r="J9" s="1079" t="s">
        <v>7144</v>
      </c>
      <c r="K9" s="1079" t="s">
        <v>7145</v>
      </c>
      <c r="L9" s="1079" t="s">
        <v>7146</v>
      </c>
      <c r="M9" s="1079" t="s">
        <v>7147</v>
      </c>
      <c r="N9" s="1079" t="s">
        <v>7148</v>
      </c>
      <c r="O9" s="1079" t="s">
        <v>7149</v>
      </c>
      <c r="P9" s="1079" t="s">
        <v>7150</v>
      </c>
      <c r="Q9" s="1079" t="s">
        <v>7151</v>
      </c>
      <c r="R9" s="1079" t="s">
        <v>7152</v>
      </c>
      <c r="S9" s="1079" t="s">
        <v>7153</v>
      </c>
      <c r="T9" s="1152" t="s">
        <v>7154</v>
      </c>
      <c r="U9" s="1079" t="s">
        <v>7155</v>
      </c>
      <c r="V9" s="1079" t="s">
        <v>7156</v>
      </c>
      <c r="W9" s="1079" t="s">
        <v>7157</v>
      </c>
      <c r="X9" s="1152" t="s">
        <v>7158</v>
      </c>
      <c r="Y9" s="1152" t="s">
        <v>7159</v>
      </c>
      <c r="Z9" s="1079" t="s">
        <v>7160</v>
      </c>
      <c r="AA9" s="1079" t="s">
        <v>7161</v>
      </c>
      <c r="AB9" s="1151" t="s">
        <v>7162</v>
      </c>
      <c r="AC9" s="1079" t="s">
        <v>7163</v>
      </c>
      <c r="AD9" s="1079" t="s">
        <v>7164</v>
      </c>
      <c r="AE9" s="1079" t="s">
        <v>7165</v>
      </c>
      <c r="AF9" s="1152" t="s">
        <v>7166</v>
      </c>
      <c r="AG9" s="1143" t="s">
        <v>7167</v>
      </c>
      <c r="AH9" s="1152" t="s">
        <v>7168</v>
      </c>
      <c r="AI9" s="1152" t="s">
        <v>7169</v>
      </c>
      <c r="AJ9" s="1152" t="s">
        <v>7170</v>
      </c>
      <c r="AK9" s="1079" t="s">
        <v>7171</v>
      </c>
      <c r="AL9" s="1079" t="s">
        <v>7172</v>
      </c>
      <c r="AM9" s="1079" t="s">
        <v>7173</v>
      </c>
      <c r="AN9" s="1078" t="s">
        <v>7174</v>
      </c>
    </row>
    <row r="10" spans="2:58" ht="74.25" hidden="1" customHeight="1" x14ac:dyDescent="0.25">
      <c r="B10" s="1214" t="s">
        <v>2719</v>
      </c>
      <c r="C10" s="1079" t="s">
        <v>2622</v>
      </c>
      <c r="D10" s="1079"/>
      <c r="E10" s="1079"/>
      <c r="F10" s="1079"/>
      <c r="G10" s="1079"/>
      <c r="H10" s="1079"/>
      <c r="I10" s="1079"/>
      <c r="J10" s="1079"/>
      <c r="K10" s="1079"/>
      <c r="L10" s="1079"/>
      <c r="M10" s="1079"/>
      <c r="N10" s="1079"/>
      <c r="O10" s="1079"/>
      <c r="P10" s="1079"/>
      <c r="Q10" s="1079"/>
      <c r="R10" s="1079"/>
      <c r="S10" s="1079"/>
      <c r="T10" s="1152"/>
      <c r="U10" s="1079"/>
      <c r="V10" s="1079"/>
      <c r="W10" s="1079"/>
      <c r="X10" s="1152"/>
      <c r="Y10" s="1152"/>
      <c r="Z10" s="1079"/>
      <c r="AA10" s="1079"/>
      <c r="AB10" s="1151"/>
      <c r="AC10" s="1079"/>
      <c r="AD10" s="1079"/>
      <c r="AE10" s="1079"/>
      <c r="AF10" s="1152"/>
      <c r="AG10" s="1143"/>
      <c r="AH10" s="1152"/>
      <c r="AI10" s="1152"/>
      <c r="AJ10" s="1152"/>
      <c r="AK10" s="1079"/>
      <c r="AL10" s="1079"/>
      <c r="AM10" s="1079"/>
      <c r="AN10" s="1078">
        <v>639.66999999999996</v>
      </c>
    </row>
    <row r="11" spans="2:58" s="258" customFormat="1" ht="30" hidden="1" customHeight="1" x14ac:dyDescent="0.25">
      <c r="B11" s="1214"/>
      <c r="C11" s="1079"/>
      <c r="D11" s="1079"/>
      <c r="E11" s="1079"/>
      <c r="F11" s="1079"/>
      <c r="G11" s="1079"/>
      <c r="H11" s="1079"/>
      <c r="I11" s="1079"/>
      <c r="J11" s="1079"/>
      <c r="K11" s="1079"/>
      <c r="L11" s="1079"/>
      <c r="M11" s="1079"/>
      <c r="N11" s="1079"/>
      <c r="O11" s="1079"/>
      <c r="P11" s="1079"/>
      <c r="Q11" s="1079"/>
      <c r="R11" s="1079"/>
      <c r="S11" s="1079"/>
      <c r="T11" s="1152"/>
      <c r="U11" s="1079"/>
      <c r="V11" s="1079"/>
      <c r="W11" s="1079"/>
      <c r="X11" s="1152"/>
      <c r="Y11" s="1152"/>
      <c r="Z11" s="1079"/>
      <c r="AA11" s="1079"/>
      <c r="AB11" s="1151"/>
      <c r="AC11" s="1079"/>
      <c r="AD11" s="1079"/>
      <c r="AE11" s="1079"/>
      <c r="AF11" s="1152"/>
      <c r="AG11" s="1143"/>
      <c r="AH11" s="1152"/>
      <c r="AI11" s="1152"/>
      <c r="AJ11" s="1152"/>
      <c r="AK11" s="1079"/>
      <c r="AL11" s="1079"/>
      <c r="AM11" s="1079"/>
      <c r="AN11" s="1078"/>
    </row>
    <row r="12" spans="2:58" s="258" customFormat="1" ht="30" hidden="1" customHeight="1" x14ac:dyDescent="0.25">
      <c r="B12" s="1214"/>
      <c r="C12" s="1077" t="s">
        <v>2623</v>
      </c>
      <c r="D12" s="1077" t="s">
        <v>2624</v>
      </c>
      <c r="E12" s="1077" t="s">
        <v>2722</v>
      </c>
      <c r="F12" s="1077" t="s">
        <v>2593</v>
      </c>
      <c r="G12" s="1083" t="s">
        <v>2765</v>
      </c>
      <c r="H12" s="1084" t="s">
        <v>2729</v>
      </c>
      <c r="I12" s="1077" t="s">
        <v>2625</v>
      </c>
      <c r="J12" s="1086" t="s">
        <v>2738</v>
      </c>
      <c r="K12" s="1086" t="s">
        <v>2626</v>
      </c>
      <c r="L12" s="1077" t="s">
        <v>2627</v>
      </c>
      <c r="M12" s="1085" t="s">
        <v>2629</v>
      </c>
      <c r="N12" s="1085"/>
      <c r="O12" s="1085"/>
      <c r="P12" s="1085"/>
      <c r="Q12" s="1085"/>
      <c r="R12" s="1085" t="s">
        <v>2630</v>
      </c>
      <c r="S12" s="1085"/>
      <c r="T12" s="1112" t="s">
        <v>2740</v>
      </c>
      <c r="U12" s="1080" t="s">
        <v>2814</v>
      </c>
      <c r="V12" s="1080" t="s">
        <v>2751</v>
      </c>
      <c r="W12" s="1080"/>
      <c r="X12" s="1112" t="s">
        <v>2741</v>
      </c>
      <c r="Y12" s="1112"/>
      <c r="Z12" s="1080" t="s">
        <v>2789</v>
      </c>
      <c r="AA12" s="1080"/>
      <c r="AB12" s="1129" t="s">
        <v>2761</v>
      </c>
      <c r="AC12" s="1080" t="s">
        <v>2760</v>
      </c>
      <c r="AD12" s="1080" t="s">
        <v>2783</v>
      </c>
      <c r="AE12" s="1080" t="s">
        <v>2782</v>
      </c>
      <c r="AF12" s="1112" t="s">
        <v>2943</v>
      </c>
      <c r="AG12" s="1144" t="s">
        <v>2744</v>
      </c>
      <c r="AH12" s="1112" t="s">
        <v>2745</v>
      </c>
      <c r="AI12" s="1112" t="s">
        <v>2750</v>
      </c>
      <c r="AJ12" s="1112" t="s">
        <v>2742</v>
      </c>
      <c r="AK12" s="1081" t="s">
        <v>2734</v>
      </c>
      <c r="AL12" s="1081" t="s">
        <v>2735</v>
      </c>
      <c r="AM12" s="1082" t="s">
        <v>2736</v>
      </c>
      <c r="AN12" s="1081" t="s">
        <v>2737</v>
      </c>
    </row>
    <row r="13" spans="2:58" s="258" customFormat="1" ht="30" hidden="1" customHeight="1" x14ac:dyDescent="0.25">
      <c r="B13" s="1214"/>
      <c r="C13" s="1077"/>
      <c r="D13" s="1077"/>
      <c r="E13" s="1077"/>
      <c r="F13" s="1077"/>
      <c r="G13" s="1083"/>
      <c r="H13" s="1084"/>
      <c r="I13" s="1077"/>
      <c r="J13" s="1086"/>
      <c r="K13" s="1086"/>
      <c r="L13" s="1077"/>
      <c r="M13" s="1077" t="s">
        <v>2628</v>
      </c>
      <c r="N13" s="1085" t="s">
        <v>2480</v>
      </c>
      <c r="O13" s="1085"/>
      <c r="P13" s="1087" t="s">
        <v>2826</v>
      </c>
      <c r="Q13" s="1087"/>
      <c r="R13" s="1085" t="s">
        <v>97</v>
      </c>
      <c r="S13" s="1085" t="s">
        <v>2480</v>
      </c>
      <c r="T13" s="1112"/>
      <c r="U13" s="1080"/>
      <c r="V13" s="1080" t="s">
        <v>97</v>
      </c>
      <c r="W13" s="1080" t="s">
        <v>2480</v>
      </c>
      <c r="X13" s="1112" t="s">
        <v>97</v>
      </c>
      <c r="Y13" s="1112" t="s">
        <v>2480</v>
      </c>
      <c r="Z13" s="1080" t="s">
        <v>97</v>
      </c>
      <c r="AA13" s="1080" t="s">
        <v>2480</v>
      </c>
      <c r="AB13" s="1129"/>
      <c r="AC13" s="1080"/>
      <c r="AD13" s="1080"/>
      <c r="AE13" s="1080"/>
      <c r="AF13" s="1112"/>
      <c r="AG13" s="1144"/>
      <c r="AH13" s="1112"/>
      <c r="AI13" s="1112"/>
      <c r="AJ13" s="1112"/>
      <c r="AK13" s="1081"/>
      <c r="AL13" s="1081"/>
      <c r="AM13" s="1082"/>
      <c r="AN13" s="1081"/>
    </row>
    <row r="14" spans="2:58" s="274" customFormat="1" ht="30" hidden="1" customHeight="1" x14ac:dyDescent="0.25">
      <c r="B14" s="1214"/>
      <c r="C14" s="1077"/>
      <c r="D14" s="1077"/>
      <c r="E14" s="1077"/>
      <c r="F14" s="1077"/>
      <c r="G14" s="1083"/>
      <c r="H14" s="1084"/>
      <c r="I14" s="1077"/>
      <c r="J14" s="1086"/>
      <c r="K14" s="1086"/>
      <c r="L14" s="1077"/>
      <c r="M14" s="1077"/>
      <c r="N14" s="1085"/>
      <c r="O14" s="275" t="s">
        <v>2828</v>
      </c>
      <c r="P14" s="275" t="s">
        <v>2829</v>
      </c>
      <c r="Q14" s="1087" t="s">
        <v>2827</v>
      </c>
      <c r="R14" s="1085"/>
      <c r="S14" s="1085"/>
      <c r="T14" s="1112"/>
      <c r="U14" s="1080"/>
      <c r="V14" s="1080"/>
      <c r="W14" s="1080"/>
      <c r="X14" s="1112"/>
      <c r="Y14" s="1112"/>
      <c r="Z14" s="1080"/>
      <c r="AA14" s="1080"/>
      <c r="AB14" s="1129"/>
      <c r="AC14" s="1080"/>
      <c r="AD14" s="1080"/>
      <c r="AE14" s="1080"/>
      <c r="AF14" s="1112"/>
      <c r="AG14" s="1144"/>
      <c r="AH14" s="1112"/>
      <c r="AI14" s="1112"/>
      <c r="AJ14" s="1112"/>
      <c r="AK14" s="1081"/>
      <c r="AL14" s="1081"/>
      <c r="AM14" s="1082"/>
      <c r="AN14" s="1081"/>
    </row>
    <row r="15" spans="2:58" s="274" customFormat="1" ht="30" hidden="1" customHeight="1" x14ac:dyDescent="0.25">
      <c r="B15" s="267">
        <v>2105</v>
      </c>
      <c r="C15" s="267" t="s">
        <v>7127</v>
      </c>
      <c r="D15" s="267" t="s">
        <v>2720</v>
      </c>
      <c r="E15" s="267" t="s">
        <v>2723</v>
      </c>
      <c r="F15" s="267" t="s">
        <v>2721</v>
      </c>
      <c r="G15" s="279" t="s">
        <v>2766</v>
      </c>
      <c r="H15" s="257">
        <v>1</v>
      </c>
      <c r="I15" s="257">
        <v>30</v>
      </c>
      <c r="J15" s="257">
        <v>0</v>
      </c>
      <c r="K15" s="257">
        <v>0</v>
      </c>
      <c r="L15" s="261">
        <v>42737</v>
      </c>
      <c r="M15" s="260">
        <f>5393.51/599.28</f>
        <v>8.9999833133093059</v>
      </c>
      <c r="N15" s="280">
        <f>AN$10*M15+0.01</f>
        <v>5757.0293260245635</v>
      </c>
      <c r="O15" s="280">
        <v>0</v>
      </c>
      <c r="P15" s="280">
        <v>0</v>
      </c>
      <c r="Q15" s="280">
        <v>0</v>
      </c>
      <c r="R15" s="281">
        <v>0</v>
      </c>
      <c r="S15" s="271">
        <f>N15*R15</f>
        <v>0</v>
      </c>
      <c r="T15" s="1114">
        <v>0</v>
      </c>
      <c r="U15" s="271">
        <v>0</v>
      </c>
      <c r="V15" s="282">
        <v>0</v>
      </c>
      <c r="W15" s="264">
        <f>N15*V15</f>
        <v>0</v>
      </c>
      <c r="X15" s="1113">
        <v>0</v>
      </c>
      <c r="Y15" s="1114">
        <v>0</v>
      </c>
      <c r="Z15" s="282">
        <v>0</v>
      </c>
      <c r="AA15" s="271">
        <v>0</v>
      </c>
      <c r="AB15" s="1130">
        <v>0</v>
      </c>
      <c r="AC15" s="271">
        <v>0</v>
      </c>
      <c r="AD15" s="271">
        <v>0</v>
      </c>
      <c r="AE15" s="271">
        <v>0</v>
      </c>
      <c r="AF15" s="1114">
        <v>0</v>
      </c>
      <c r="AG15" s="1145">
        <v>0</v>
      </c>
      <c r="AH15" s="1114">
        <v>0</v>
      </c>
      <c r="AI15" s="1114">
        <v>0</v>
      </c>
      <c r="AJ15" s="1114">
        <v>0</v>
      </c>
      <c r="AK15" s="273">
        <f>(N15+T15+U15)/3</f>
        <v>1919.0097753415212</v>
      </c>
      <c r="AL15" s="273">
        <f>AK15*R15</f>
        <v>0</v>
      </c>
      <c r="AM15" s="273">
        <f>N15</f>
        <v>5757.0293260245635</v>
      </c>
      <c r="AN15" s="273">
        <f>AM15*R15</f>
        <v>0</v>
      </c>
    </row>
    <row r="16" spans="2:58" s="258" customFormat="1" ht="30" hidden="1" customHeight="1" x14ac:dyDescent="0.25">
      <c r="B16" s="267">
        <v>2290</v>
      </c>
      <c r="C16" s="267" t="s">
        <v>7126</v>
      </c>
      <c r="D16" s="267" t="s">
        <v>2767</v>
      </c>
      <c r="E16" s="267" t="s">
        <v>2723</v>
      </c>
      <c r="F16" s="267" t="s">
        <v>2721</v>
      </c>
      <c r="G16" s="279" t="s">
        <v>2721</v>
      </c>
      <c r="H16" s="257">
        <v>1</v>
      </c>
      <c r="I16" s="257">
        <v>40</v>
      </c>
      <c r="J16" s="257">
        <v>0</v>
      </c>
      <c r="K16" s="257">
        <v>0</v>
      </c>
      <c r="L16" s="261">
        <v>43353</v>
      </c>
      <c r="M16" s="260">
        <f>3895.32/599.28</f>
        <v>6.5000000000000009</v>
      </c>
      <c r="N16" s="280">
        <f>AN$10*M16</f>
        <v>4157.8550000000005</v>
      </c>
      <c r="O16" s="280">
        <v>0</v>
      </c>
      <c r="P16" s="280">
        <v>0</v>
      </c>
      <c r="Q16" s="280">
        <v>0</v>
      </c>
      <c r="R16" s="281">
        <v>0</v>
      </c>
      <c r="S16" s="271">
        <f>N16*R16</f>
        <v>0</v>
      </c>
      <c r="T16" s="1114">
        <v>0</v>
      </c>
      <c r="U16" s="271">
        <v>0</v>
      </c>
      <c r="V16" s="282">
        <v>0</v>
      </c>
      <c r="W16" s="264">
        <f>N16*V16</f>
        <v>0</v>
      </c>
      <c r="X16" s="1113">
        <v>0</v>
      </c>
      <c r="Y16" s="1114">
        <v>0</v>
      </c>
      <c r="Z16" s="282">
        <v>0</v>
      </c>
      <c r="AA16" s="271">
        <v>0</v>
      </c>
      <c r="AB16" s="1130">
        <v>0</v>
      </c>
      <c r="AC16" s="271">
        <v>0</v>
      </c>
      <c r="AD16" s="271">
        <v>0</v>
      </c>
      <c r="AE16" s="271">
        <v>0</v>
      </c>
      <c r="AF16" s="1114">
        <v>0</v>
      </c>
      <c r="AG16" s="1145">
        <v>0</v>
      </c>
      <c r="AH16" s="1114">
        <v>0</v>
      </c>
      <c r="AI16" s="1114">
        <v>0</v>
      </c>
      <c r="AJ16" s="1114">
        <v>0</v>
      </c>
      <c r="AK16" s="273">
        <f>(N16+T16+U16)/3</f>
        <v>1385.9516666666668</v>
      </c>
      <c r="AL16" s="273">
        <f>AK16*R16</f>
        <v>0</v>
      </c>
      <c r="AM16" s="273">
        <f>N16</f>
        <v>4157.8550000000005</v>
      </c>
      <c r="AN16" s="273">
        <f>AM16*R16</f>
        <v>0</v>
      </c>
    </row>
    <row r="17" spans="2:40" s="274" customFormat="1" ht="30" hidden="1" customHeight="1" x14ac:dyDescent="0.25">
      <c r="B17" s="1206" t="s">
        <v>2727</v>
      </c>
      <c r="C17" s="1077"/>
      <c r="D17" s="1077"/>
      <c r="E17" s="1077"/>
      <c r="F17" s="1077"/>
      <c r="G17" s="1077"/>
      <c r="H17" s="1077"/>
      <c r="I17" s="1077"/>
      <c r="J17" s="1077"/>
      <c r="K17" s="1077"/>
      <c r="L17" s="1077"/>
      <c r="M17" s="1077"/>
      <c r="N17" s="275">
        <f>SUM(N15:N16)</f>
        <v>9914.8843260245631</v>
      </c>
      <c r="O17" s="275">
        <f>SUM(O15:O16)</f>
        <v>0</v>
      </c>
      <c r="P17" s="275">
        <f>SUM(P15:P16)</f>
        <v>0</v>
      </c>
      <c r="Q17" s="275">
        <f>SUM(Q15:Q16)</f>
        <v>0</v>
      </c>
      <c r="R17" s="1085"/>
      <c r="S17" s="275">
        <f>SUM(S15:S16)</f>
        <v>0</v>
      </c>
      <c r="T17" s="1116">
        <f t="shared" ref="T17:Y17" si="0">SUM(T15:T16)</f>
        <v>0</v>
      </c>
      <c r="U17" s="275">
        <f>SUM(U15:U16)</f>
        <v>0</v>
      </c>
      <c r="V17" s="276"/>
      <c r="W17" s="275">
        <f t="shared" ref="W17" si="1">SUM(W15:W16)</f>
        <v>0</v>
      </c>
      <c r="X17" s="1115"/>
      <c r="Y17" s="1116">
        <f t="shared" si="0"/>
        <v>0</v>
      </c>
      <c r="Z17" s="276"/>
      <c r="AA17" s="275">
        <f t="shared" ref="AA17" si="2">SUM(AA15:AA16)</f>
        <v>0</v>
      </c>
      <c r="AB17" s="1131">
        <f t="shared" ref="AB17" si="3">SUM(AB15:AB16)</f>
        <v>0</v>
      </c>
      <c r="AC17" s="275">
        <f t="shared" ref="AC17" si="4">SUM(AC15:AC16)</f>
        <v>0</v>
      </c>
      <c r="AD17" s="275">
        <f t="shared" ref="AD17" si="5">SUM(AD15:AD16)</f>
        <v>0</v>
      </c>
      <c r="AE17" s="275">
        <f>SUM(AE15:AE16)</f>
        <v>0</v>
      </c>
      <c r="AF17" s="1116">
        <f>SUM(AF15:AF16)</f>
        <v>0</v>
      </c>
      <c r="AG17" s="1146">
        <f>SUM(AG15:AG16)</f>
        <v>0</v>
      </c>
      <c r="AH17" s="1116">
        <f>SUM(AH15:AH16)</f>
        <v>0</v>
      </c>
      <c r="AI17" s="1116">
        <f t="shared" ref="AI17" si="6">SUM(AI15:AI16)</f>
        <v>0</v>
      </c>
      <c r="AJ17" s="1116">
        <f>SUM(AJ15:AJ16)</f>
        <v>0</v>
      </c>
      <c r="AK17" s="275">
        <f>SUM(AJ15:AJ16)</f>
        <v>0</v>
      </c>
      <c r="AL17" s="275">
        <f>SUM(AL15:AL16)</f>
        <v>0</v>
      </c>
      <c r="AM17" s="275">
        <f>SUM(AM15:AM16)</f>
        <v>9914.8843260245631</v>
      </c>
      <c r="AN17" s="275">
        <f>SUM(AN15:AN16)</f>
        <v>0</v>
      </c>
    </row>
    <row r="18" spans="2:40" s="258" customFormat="1" ht="30" hidden="1" customHeight="1" x14ac:dyDescent="0.25">
      <c r="B18" s="267">
        <v>2098</v>
      </c>
      <c r="C18" s="267" t="s">
        <v>7128</v>
      </c>
      <c r="D18" s="267" t="s">
        <v>2724</v>
      </c>
      <c r="E18" s="267" t="s">
        <v>2725</v>
      </c>
      <c r="F18" s="267" t="s">
        <v>2721</v>
      </c>
      <c r="G18" s="279" t="s">
        <v>2721</v>
      </c>
      <c r="H18" s="257">
        <v>1</v>
      </c>
      <c r="I18" s="257">
        <v>40</v>
      </c>
      <c r="J18" s="257">
        <v>0</v>
      </c>
      <c r="K18" s="257">
        <v>0</v>
      </c>
      <c r="L18" s="261">
        <v>42736</v>
      </c>
      <c r="M18" s="260">
        <f>9425.02/599.28</f>
        <v>15.727239353891338</v>
      </c>
      <c r="N18" s="280">
        <f>AN$10*M18+0.02</f>
        <v>10060.263197503673</v>
      </c>
      <c r="O18" s="280">
        <v>0</v>
      </c>
      <c r="P18" s="280">
        <v>0</v>
      </c>
      <c r="Q18" s="280">
        <v>0</v>
      </c>
      <c r="R18" s="281">
        <v>0</v>
      </c>
      <c r="S18" s="271">
        <f>N18*R18</f>
        <v>0</v>
      </c>
      <c r="T18" s="1114">
        <v>0</v>
      </c>
      <c r="U18" s="271">
        <v>0</v>
      </c>
      <c r="V18" s="282">
        <v>0</v>
      </c>
      <c r="W18" s="264">
        <f>N18*V18</f>
        <v>0</v>
      </c>
      <c r="X18" s="1113">
        <v>0</v>
      </c>
      <c r="Y18" s="1114">
        <v>0</v>
      </c>
      <c r="Z18" s="282">
        <v>0</v>
      </c>
      <c r="AA18" s="271">
        <v>0</v>
      </c>
      <c r="AB18" s="1130">
        <v>0</v>
      </c>
      <c r="AC18" s="271">
        <v>0</v>
      </c>
      <c r="AD18" s="271">
        <v>0</v>
      </c>
      <c r="AE18" s="271">
        <v>0</v>
      </c>
      <c r="AF18" s="1114">
        <v>0</v>
      </c>
      <c r="AG18" s="1145">
        <v>0</v>
      </c>
      <c r="AH18" s="1114">
        <v>0</v>
      </c>
      <c r="AI18" s="1114">
        <v>0</v>
      </c>
      <c r="AJ18" s="1114">
        <v>0</v>
      </c>
      <c r="AK18" s="273">
        <f>(N18+T18+U18)/3</f>
        <v>3353.4210658345578</v>
      </c>
      <c r="AL18" s="273">
        <f>AK18*R18</f>
        <v>0</v>
      </c>
      <c r="AM18" s="273">
        <f>N18</f>
        <v>10060.263197503673</v>
      </c>
      <c r="AN18" s="273">
        <f>AM18*R18</f>
        <v>0</v>
      </c>
    </row>
    <row r="19" spans="2:40" s="274" customFormat="1" ht="30" hidden="1" customHeight="1" x14ac:dyDescent="0.25">
      <c r="B19" s="1206" t="s">
        <v>2726</v>
      </c>
      <c r="C19" s="1077"/>
      <c r="D19" s="1077"/>
      <c r="E19" s="1077"/>
      <c r="F19" s="1077"/>
      <c r="G19" s="1077"/>
      <c r="H19" s="1077"/>
      <c r="I19" s="1077"/>
      <c r="J19" s="1077"/>
      <c r="K19" s="1077"/>
      <c r="L19" s="1077"/>
      <c r="M19" s="1077"/>
      <c r="N19" s="275">
        <f>SUM(N18:N18)</f>
        <v>10060.263197503673</v>
      </c>
      <c r="O19" s="275">
        <f>SUM(O18:O18)</f>
        <v>0</v>
      </c>
      <c r="P19" s="275">
        <f>SUM(P18:P18)</f>
        <v>0</v>
      </c>
      <c r="Q19" s="275">
        <f>SUM(Q18:Q18)</f>
        <v>0</v>
      </c>
      <c r="R19" s="1085"/>
      <c r="S19" s="275">
        <f>SUM(S18:S18)</f>
        <v>0</v>
      </c>
      <c r="T19" s="1116">
        <f>SUM(T18)</f>
        <v>0</v>
      </c>
      <c r="U19" s="275">
        <f>SUM(U18)</f>
        <v>0</v>
      </c>
      <c r="V19" s="276"/>
      <c r="W19" s="275">
        <f t="shared" ref="W19" si="7">SUM(W18)</f>
        <v>0</v>
      </c>
      <c r="X19" s="1115"/>
      <c r="Y19" s="1116">
        <f t="shared" ref="Y19:AA19" si="8">SUM(Y18)</f>
        <v>0</v>
      </c>
      <c r="Z19" s="276"/>
      <c r="AA19" s="275">
        <f t="shared" si="8"/>
        <v>0</v>
      </c>
      <c r="AB19" s="1131">
        <f t="shared" ref="AB19" si="9">SUM(AB18)</f>
        <v>0</v>
      </c>
      <c r="AC19" s="275">
        <f t="shared" ref="AC19" si="10">SUM(AC18)</f>
        <v>0</v>
      </c>
      <c r="AD19" s="275">
        <f t="shared" ref="AD19" si="11">SUM(AD18)</f>
        <v>0</v>
      </c>
      <c r="AE19" s="275">
        <f>SUM(AE18)</f>
        <v>0</v>
      </c>
      <c r="AF19" s="1116">
        <f>SUM(AF18)</f>
        <v>0</v>
      </c>
      <c r="AG19" s="1146">
        <f>SUM(AG18)</f>
        <v>0</v>
      </c>
      <c r="AH19" s="1116">
        <f>SUM(AH18)</f>
        <v>0</v>
      </c>
      <c r="AI19" s="1116">
        <f t="shared" ref="AI19" si="12">SUM(AI18)</f>
        <v>0</v>
      </c>
      <c r="AJ19" s="1116">
        <f>SUM(AJ18)</f>
        <v>0</v>
      </c>
      <c r="AK19" s="275">
        <f>SUM(AJ18:AJ18)</f>
        <v>0</v>
      </c>
      <c r="AL19" s="275">
        <f>SUM(AL18:AL18)</f>
        <v>0</v>
      </c>
      <c r="AM19" s="275">
        <f>SUM(AM18:AM18)</f>
        <v>10060.263197503673</v>
      </c>
      <c r="AN19" s="275">
        <f>SUM(AN18:AN18)</f>
        <v>0</v>
      </c>
    </row>
    <row r="20" spans="2:40" s="274" customFormat="1" ht="30" hidden="1" customHeight="1" x14ac:dyDescent="0.25">
      <c r="B20" s="267">
        <v>2211</v>
      </c>
      <c r="C20" s="267" t="s">
        <v>7129</v>
      </c>
      <c r="D20" s="267" t="s">
        <v>2596</v>
      </c>
      <c r="E20" s="267" t="s">
        <v>2728</v>
      </c>
      <c r="F20" s="267" t="s">
        <v>2728</v>
      </c>
      <c r="G20" s="279" t="s">
        <v>2728</v>
      </c>
      <c r="H20" s="257">
        <v>1</v>
      </c>
      <c r="I20" s="257">
        <v>40</v>
      </c>
      <c r="J20" s="257">
        <v>0</v>
      </c>
      <c r="K20" s="257">
        <v>0</v>
      </c>
      <c r="L20" s="261">
        <v>0</v>
      </c>
      <c r="M20" s="260">
        <f t="shared" ref="M20:M26" si="13">1198.56/599.28</f>
        <v>2</v>
      </c>
      <c r="N20" s="280">
        <f t="shared" ref="N20:N26" si="14">AN$10*M20</f>
        <v>1279.3399999999999</v>
      </c>
      <c r="O20" s="280">
        <v>0</v>
      </c>
      <c r="P20" s="280">
        <v>0</v>
      </c>
      <c r="Q20" s="280">
        <v>0</v>
      </c>
      <c r="R20" s="281">
        <v>0</v>
      </c>
      <c r="S20" s="271">
        <f t="shared" ref="S20:S26" si="15">N20*R20</f>
        <v>0</v>
      </c>
      <c r="T20" s="1114">
        <v>0</v>
      </c>
      <c r="U20" s="271">
        <v>0</v>
      </c>
      <c r="V20" s="282">
        <v>0</v>
      </c>
      <c r="W20" s="264">
        <f t="shared" ref="W20:W26" si="16">N20*V20</f>
        <v>0</v>
      </c>
      <c r="X20" s="1113">
        <v>0</v>
      </c>
      <c r="Y20" s="1114">
        <v>0</v>
      </c>
      <c r="Z20" s="282">
        <v>0</v>
      </c>
      <c r="AA20" s="271">
        <v>0</v>
      </c>
      <c r="AB20" s="1130">
        <v>0</v>
      </c>
      <c r="AC20" s="271">
        <v>0</v>
      </c>
      <c r="AD20" s="271">
        <v>0</v>
      </c>
      <c r="AE20" s="271">
        <v>0</v>
      </c>
      <c r="AF20" s="1114">
        <v>0</v>
      </c>
      <c r="AG20" s="1145">
        <v>0</v>
      </c>
      <c r="AH20" s="1114">
        <v>0</v>
      </c>
      <c r="AI20" s="1114">
        <v>0</v>
      </c>
      <c r="AJ20" s="1114">
        <v>0</v>
      </c>
      <c r="AK20" s="273">
        <f t="shared" ref="AK20:AK26" si="17">(N20+T20+U20)/3</f>
        <v>426.44666666666666</v>
      </c>
      <c r="AL20" s="273">
        <f t="shared" ref="AL20:AL26" si="18">AK20*R20</f>
        <v>0</v>
      </c>
      <c r="AM20" s="273">
        <v>0</v>
      </c>
      <c r="AN20" s="273">
        <f t="shared" ref="AN20:AN26" si="19">AM20*R20</f>
        <v>0</v>
      </c>
    </row>
    <row r="21" spans="2:40" s="274" customFormat="1" ht="30" hidden="1" customHeight="1" x14ac:dyDescent="0.25">
      <c r="B21" s="267">
        <v>1995</v>
      </c>
      <c r="C21" s="267" t="s">
        <v>7130</v>
      </c>
      <c r="D21" s="267" t="s">
        <v>2596</v>
      </c>
      <c r="E21" s="267" t="s">
        <v>2728</v>
      </c>
      <c r="F21" s="267" t="s">
        <v>2728</v>
      </c>
      <c r="G21" s="279" t="s">
        <v>2728</v>
      </c>
      <c r="H21" s="257">
        <v>1</v>
      </c>
      <c r="I21" s="257">
        <v>40</v>
      </c>
      <c r="J21" s="257">
        <v>0</v>
      </c>
      <c r="K21" s="257">
        <v>0</v>
      </c>
      <c r="L21" s="261">
        <v>0</v>
      </c>
      <c r="M21" s="260">
        <f t="shared" si="13"/>
        <v>2</v>
      </c>
      <c r="N21" s="280">
        <f t="shared" si="14"/>
        <v>1279.3399999999999</v>
      </c>
      <c r="O21" s="280">
        <v>0</v>
      </c>
      <c r="P21" s="280">
        <v>0</v>
      </c>
      <c r="Q21" s="280">
        <v>0</v>
      </c>
      <c r="R21" s="281">
        <v>0</v>
      </c>
      <c r="S21" s="271">
        <f t="shared" si="15"/>
        <v>0</v>
      </c>
      <c r="T21" s="1114">
        <v>0</v>
      </c>
      <c r="U21" s="271">
        <v>0</v>
      </c>
      <c r="V21" s="282">
        <v>0</v>
      </c>
      <c r="W21" s="264">
        <f t="shared" si="16"/>
        <v>0</v>
      </c>
      <c r="X21" s="1113">
        <v>0</v>
      </c>
      <c r="Y21" s="1114">
        <v>0</v>
      </c>
      <c r="Z21" s="282">
        <v>0</v>
      </c>
      <c r="AA21" s="271">
        <v>0</v>
      </c>
      <c r="AB21" s="1130">
        <v>0</v>
      </c>
      <c r="AC21" s="271">
        <v>0</v>
      </c>
      <c r="AD21" s="271">
        <v>0</v>
      </c>
      <c r="AE21" s="271">
        <v>0</v>
      </c>
      <c r="AF21" s="1114">
        <v>0</v>
      </c>
      <c r="AG21" s="1145">
        <v>0</v>
      </c>
      <c r="AH21" s="1114">
        <v>0</v>
      </c>
      <c r="AI21" s="1114">
        <v>0</v>
      </c>
      <c r="AJ21" s="1114">
        <v>0</v>
      </c>
      <c r="AK21" s="273">
        <f t="shared" si="17"/>
        <v>426.44666666666666</v>
      </c>
      <c r="AL21" s="273">
        <f t="shared" si="18"/>
        <v>0</v>
      </c>
      <c r="AM21" s="273">
        <v>0</v>
      </c>
      <c r="AN21" s="273">
        <f t="shared" si="19"/>
        <v>0</v>
      </c>
    </row>
    <row r="22" spans="2:40" s="274" customFormat="1" ht="30" hidden="1" customHeight="1" x14ac:dyDescent="0.25">
      <c r="B22" s="267">
        <v>1765</v>
      </c>
      <c r="C22" s="267" t="s">
        <v>7131</v>
      </c>
      <c r="D22" s="267" t="s">
        <v>2596</v>
      </c>
      <c r="E22" s="267" t="s">
        <v>2728</v>
      </c>
      <c r="F22" s="267" t="s">
        <v>2728</v>
      </c>
      <c r="G22" s="279" t="s">
        <v>2728</v>
      </c>
      <c r="H22" s="257">
        <v>1</v>
      </c>
      <c r="I22" s="257">
        <v>40</v>
      </c>
      <c r="J22" s="257">
        <v>0</v>
      </c>
      <c r="K22" s="257">
        <v>0</v>
      </c>
      <c r="L22" s="261">
        <v>0</v>
      </c>
      <c r="M22" s="260">
        <f t="shared" si="13"/>
        <v>2</v>
      </c>
      <c r="N22" s="280">
        <f t="shared" si="14"/>
        <v>1279.3399999999999</v>
      </c>
      <c r="O22" s="280">
        <v>0</v>
      </c>
      <c r="P22" s="280">
        <v>0</v>
      </c>
      <c r="Q22" s="280">
        <v>0</v>
      </c>
      <c r="R22" s="281">
        <v>0</v>
      </c>
      <c r="S22" s="271">
        <f t="shared" si="15"/>
        <v>0</v>
      </c>
      <c r="T22" s="1114">
        <v>0</v>
      </c>
      <c r="U22" s="271">
        <v>0</v>
      </c>
      <c r="V22" s="282">
        <v>0</v>
      </c>
      <c r="W22" s="264">
        <f t="shared" si="16"/>
        <v>0</v>
      </c>
      <c r="X22" s="1113">
        <v>0</v>
      </c>
      <c r="Y22" s="1114">
        <v>0</v>
      </c>
      <c r="Z22" s="282">
        <v>0</v>
      </c>
      <c r="AA22" s="271">
        <v>0</v>
      </c>
      <c r="AB22" s="1130">
        <v>0</v>
      </c>
      <c r="AC22" s="271">
        <v>0</v>
      </c>
      <c r="AD22" s="271">
        <v>0</v>
      </c>
      <c r="AE22" s="271">
        <v>0</v>
      </c>
      <c r="AF22" s="1114">
        <v>0</v>
      </c>
      <c r="AG22" s="1145">
        <v>0</v>
      </c>
      <c r="AH22" s="1114">
        <v>0</v>
      </c>
      <c r="AI22" s="1114">
        <v>0</v>
      </c>
      <c r="AJ22" s="1114">
        <v>0</v>
      </c>
      <c r="AK22" s="273">
        <f t="shared" si="17"/>
        <v>426.44666666666666</v>
      </c>
      <c r="AL22" s="273">
        <f t="shared" si="18"/>
        <v>0</v>
      </c>
      <c r="AM22" s="273">
        <v>0</v>
      </c>
      <c r="AN22" s="273">
        <f t="shared" si="19"/>
        <v>0</v>
      </c>
    </row>
    <row r="23" spans="2:40" s="274" customFormat="1" ht="30" hidden="1" customHeight="1" x14ac:dyDescent="0.25">
      <c r="B23" s="267">
        <v>1996</v>
      </c>
      <c r="C23" s="267" t="s">
        <v>7132</v>
      </c>
      <c r="D23" s="267" t="s">
        <v>2596</v>
      </c>
      <c r="E23" s="267" t="s">
        <v>2728</v>
      </c>
      <c r="F23" s="267" t="s">
        <v>2728</v>
      </c>
      <c r="G23" s="279" t="s">
        <v>2728</v>
      </c>
      <c r="H23" s="257">
        <v>1</v>
      </c>
      <c r="I23" s="257">
        <v>40</v>
      </c>
      <c r="J23" s="257">
        <v>0</v>
      </c>
      <c r="K23" s="257">
        <v>0</v>
      </c>
      <c r="L23" s="261">
        <v>0</v>
      </c>
      <c r="M23" s="260">
        <f t="shared" si="13"/>
        <v>2</v>
      </c>
      <c r="N23" s="280">
        <f t="shared" si="14"/>
        <v>1279.3399999999999</v>
      </c>
      <c r="O23" s="280">
        <v>0</v>
      </c>
      <c r="P23" s="280">
        <v>0</v>
      </c>
      <c r="Q23" s="280">
        <v>0</v>
      </c>
      <c r="R23" s="281">
        <v>0</v>
      </c>
      <c r="S23" s="271">
        <f t="shared" si="15"/>
        <v>0</v>
      </c>
      <c r="T23" s="1114">
        <v>0</v>
      </c>
      <c r="U23" s="271">
        <v>0</v>
      </c>
      <c r="V23" s="282">
        <v>0</v>
      </c>
      <c r="W23" s="264">
        <f t="shared" si="16"/>
        <v>0</v>
      </c>
      <c r="X23" s="1113">
        <v>0</v>
      </c>
      <c r="Y23" s="1114">
        <v>0</v>
      </c>
      <c r="Z23" s="282">
        <v>0</v>
      </c>
      <c r="AA23" s="271">
        <v>0</v>
      </c>
      <c r="AB23" s="1130">
        <v>0</v>
      </c>
      <c r="AC23" s="271">
        <v>0</v>
      </c>
      <c r="AD23" s="271">
        <v>0</v>
      </c>
      <c r="AE23" s="271">
        <v>0</v>
      </c>
      <c r="AF23" s="1114">
        <v>0</v>
      </c>
      <c r="AG23" s="1145">
        <v>0</v>
      </c>
      <c r="AH23" s="1114">
        <v>0</v>
      </c>
      <c r="AI23" s="1114">
        <v>0</v>
      </c>
      <c r="AJ23" s="1114">
        <v>0</v>
      </c>
      <c r="AK23" s="273">
        <f t="shared" si="17"/>
        <v>426.44666666666666</v>
      </c>
      <c r="AL23" s="273">
        <f t="shared" si="18"/>
        <v>0</v>
      </c>
      <c r="AM23" s="273">
        <v>0</v>
      </c>
      <c r="AN23" s="273">
        <f t="shared" si="19"/>
        <v>0</v>
      </c>
    </row>
    <row r="24" spans="2:40" s="274" customFormat="1" ht="30" hidden="1" customHeight="1" x14ac:dyDescent="0.25">
      <c r="B24" s="267">
        <v>1999</v>
      </c>
      <c r="C24" s="267" t="s">
        <v>7133</v>
      </c>
      <c r="D24" s="267" t="s">
        <v>2596</v>
      </c>
      <c r="E24" s="267" t="s">
        <v>2728</v>
      </c>
      <c r="F24" s="267" t="s">
        <v>2728</v>
      </c>
      <c r="G24" s="279" t="s">
        <v>2728</v>
      </c>
      <c r="H24" s="257">
        <v>1</v>
      </c>
      <c r="I24" s="257">
        <v>40</v>
      </c>
      <c r="J24" s="257">
        <v>0</v>
      </c>
      <c r="K24" s="257">
        <v>0</v>
      </c>
      <c r="L24" s="261">
        <v>0</v>
      </c>
      <c r="M24" s="260">
        <f t="shared" si="13"/>
        <v>2</v>
      </c>
      <c r="N24" s="280">
        <f t="shared" si="14"/>
        <v>1279.3399999999999</v>
      </c>
      <c r="O24" s="280">
        <v>0</v>
      </c>
      <c r="P24" s="280">
        <v>0</v>
      </c>
      <c r="Q24" s="280">
        <v>0</v>
      </c>
      <c r="R24" s="281">
        <v>0</v>
      </c>
      <c r="S24" s="271">
        <f t="shared" si="15"/>
        <v>0</v>
      </c>
      <c r="T24" s="1114">
        <v>0</v>
      </c>
      <c r="U24" s="271">
        <v>0</v>
      </c>
      <c r="V24" s="282">
        <v>0</v>
      </c>
      <c r="W24" s="264">
        <f t="shared" si="16"/>
        <v>0</v>
      </c>
      <c r="X24" s="1113">
        <v>0</v>
      </c>
      <c r="Y24" s="1114">
        <v>0</v>
      </c>
      <c r="Z24" s="282">
        <v>0</v>
      </c>
      <c r="AA24" s="271">
        <v>0</v>
      </c>
      <c r="AB24" s="1130">
        <v>0</v>
      </c>
      <c r="AC24" s="271">
        <v>0</v>
      </c>
      <c r="AD24" s="271">
        <v>0</v>
      </c>
      <c r="AE24" s="271">
        <v>0</v>
      </c>
      <c r="AF24" s="1114">
        <v>0</v>
      </c>
      <c r="AG24" s="1145">
        <v>0</v>
      </c>
      <c r="AH24" s="1114">
        <v>0</v>
      </c>
      <c r="AI24" s="1114">
        <v>0</v>
      </c>
      <c r="AJ24" s="1114">
        <v>0</v>
      </c>
      <c r="AK24" s="273">
        <f t="shared" si="17"/>
        <v>426.44666666666666</v>
      </c>
      <c r="AL24" s="273">
        <f t="shared" si="18"/>
        <v>0</v>
      </c>
      <c r="AM24" s="273">
        <v>0</v>
      </c>
      <c r="AN24" s="273">
        <f t="shared" si="19"/>
        <v>0</v>
      </c>
    </row>
    <row r="25" spans="2:40" s="274" customFormat="1" ht="30" hidden="1" customHeight="1" x14ac:dyDescent="0.25">
      <c r="B25" s="267">
        <v>2310</v>
      </c>
      <c r="C25" s="267" t="s">
        <v>7134</v>
      </c>
      <c r="D25" s="267" t="s">
        <v>2596</v>
      </c>
      <c r="E25" s="267" t="s">
        <v>2728</v>
      </c>
      <c r="F25" s="267" t="s">
        <v>2728</v>
      </c>
      <c r="G25" s="279" t="s">
        <v>2728</v>
      </c>
      <c r="H25" s="257">
        <v>1</v>
      </c>
      <c r="I25" s="257">
        <v>40</v>
      </c>
      <c r="J25" s="257">
        <v>0</v>
      </c>
      <c r="K25" s="257">
        <v>0</v>
      </c>
      <c r="L25" s="261" t="s">
        <v>2753</v>
      </c>
      <c r="M25" s="260">
        <f t="shared" si="13"/>
        <v>2</v>
      </c>
      <c r="N25" s="280">
        <f t="shared" si="14"/>
        <v>1279.3399999999999</v>
      </c>
      <c r="O25" s="280">
        <v>0</v>
      </c>
      <c r="P25" s="280">
        <v>0</v>
      </c>
      <c r="Q25" s="280">
        <v>0</v>
      </c>
      <c r="R25" s="281">
        <v>0</v>
      </c>
      <c r="S25" s="271">
        <f t="shared" si="15"/>
        <v>0</v>
      </c>
      <c r="T25" s="1114">
        <v>0</v>
      </c>
      <c r="U25" s="271">
        <v>0</v>
      </c>
      <c r="V25" s="282">
        <v>0</v>
      </c>
      <c r="W25" s="264">
        <f t="shared" si="16"/>
        <v>0</v>
      </c>
      <c r="X25" s="1113">
        <v>0</v>
      </c>
      <c r="Y25" s="1114">
        <v>0</v>
      </c>
      <c r="Z25" s="282">
        <v>0</v>
      </c>
      <c r="AA25" s="271">
        <v>0</v>
      </c>
      <c r="AB25" s="1130">
        <v>0</v>
      </c>
      <c r="AC25" s="271">
        <v>0</v>
      </c>
      <c r="AD25" s="271">
        <v>0</v>
      </c>
      <c r="AE25" s="271">
        <v>0</v>
      </c>
      <c r="AF25" s="1114">
        <v>0</v>
      </c>
      <c r="AG25" s="1145">
        <v>0</v>
      </c>
      <c r="AH25" s="1114">
        <v>0</v>
      </c>
      <c r="AI25" s="1114">
        <v>0</v>
      </c>
      <c r="AJ25" s="1114">
        <v>0</v>
      </c>
      <c r="AK25" s="273">
        <f t="shared" si="17"/>
        <v>426.44666666666666</v>
      </c>
      <c r="AL25" s="273">
        <f t="shared" si="18"/>
        <v>0</v>
      </c>
      <c r="AM25" s="273">
        <v>0</v>
      </c>
      <c r="AN25" s="273">
        <f t="shared" si="19"/>
        <v>0</v>
      </c>
    </row>
    <row r="26" spans="2:40" s="258" customFormat="1" ht="30" hidden="1" customHeight="1" x14ac:dyDescent="0.25">
      <c r="B26" s="267">
        <v>0</v>
      </c>
      <c r="C26" s="267" t="s">
        <v>7135</v>
      </c>
      <c r="D26" s="267" t="s">
        <v>2596</v>
      </c>
      <c r="E26" s="267" t="s">
        <v>2728</v>
      </c>
      <c r="F26" s="267" t="s">
        <v>2728</v>
      </c>
      <c r="G26" s="279" t="s">
        <v>2728</v>
      </c>
      <c r="H26" s="257">
        <v>1</v>
      </c>
      <c r="I26" s="257">
        <v>40</v>
      </c>
      <c r="J26" s="257">
        <v>0</v>
      </c>
      <c r="K26" s="257">
        <v>0</v>
      </c>
      <c r="L26" s="261" t="s">
        <v>2753</v>
      </c>
      <c r="M26" s="260">
        <f t="shared" si="13"/>
        <v>2</v>
      </c>
      <c r="N26" s="280">
        <f t="shared" si="14"/>
        <v>1279.3399999999999</v>
      </c>
      <c r="O26" s="280">
        <v>0</v>
      </c>
      <c r="P26" s="280">
        <v>0</v>
      </c>
      <c r="Q26" s="280">
        <v>0</v>
      </c>
      <c r="R26" s="281">
        <v>0</v>
      </c>
      <c r="S26" s="271">
        <f t="shared" si="15"/>
        <v>0</v>
      </c>
      <c r="T26" s="1114">
        <v>0</v>
      </c>
      <c r="U26" s="271">
        <v>0</v>
      </c>
      <c r="V26" s="282">
        <v>0</v>
      </c>
      <c r="W26" s="264">
        <f t="shared" si="16"/>
        <v>0</v>
      </c>
      <c r="X26" s="1113">
        <v>0</v>
      </c>
      <c r="Y26" s="1114">
        <v>0</v>
      </c>
      <c r="Z26" s="282">
        <v>0</v>
      </c>
      <c r="AA26" s="271">
        <v>0</v>
      </c>
      <c r="AB26" s="1130">
        <v>0</v>
      </c>
      <c r="AC26" s="271">
        <v>0</v>
      </c>
      <c r="AD26" s="271">
        <v>0</v>
      </c>
      <c r="AE26" s="271">
        <v>0</v>
      </c>
      <c r="AF26" s="1114">
        <v>0</v>
      </c>
      <c r="AG26" s="1145">
        <v>0</v>
      </c>
      <c r="AH26" s="1114">
        <v>0</v>
      </c>
      <c r="AI26" s="1114">
        <v>0</v>
      </c>
      <c r="AJ26" s="1114">
        <v>0</v>
      </c>
      <c r="AK26" s="273">
        <f t="shared" si="17"/>
        <v>426.44666666666666</v>
      </c>
      <c r="AL26" s="273">
        <f t="shared" si="18"/>
        <v>0</v>
      </c>
      <c r="AM26" s="273">
        <v>0</v>
      </c>
      <c r="AN26" s="273">
        <f t="shared" si="19"/>
        <v>0</v>
      </c>
    </row>
    <row r="27" spans="2:40" s="274" customFormat="1" ht="30" hidden="1" customHeight="1" x14ac:dyDescent="0.25">
      <c r="B27" s="1206" t="s">
        <v>2731</v>
      </c>
      <c r="C27" s="1077"/>
      <c r="D27" s="1077"/>
      <c r="E27" s="1077"/>
      <c r="F27" s="1077"/>
      <c r="G27" s="1077"/>
      <c r="H27" s="1077"/>
      <c r="I27" s="1077"/>
      <c r="J27" s="1077"/>
      <c r="K27" s="1077"/>
      <c r="L27" s="1077"/>
      <c r="M27" s="1077"/>
      <c r="N27" s="275">
        <f>SUM(N20:N26)</f>
        <v>8955.3799999999992</v>
      </c>
      <c r="O27" s="275">
        <f>SUM(O20:O26)</f>
        <v>0</v>
      </c>
      <c r="P27" s="275">
        <f>SUM(P20:P26)</f>
        <v>0</v>
      </c>
      <c r="Q27" s="275">
        <f>SUM(Q20:Q26)</f>
        <v>0</v>
      </c>
      <c r="R27" s="1085"/>
      <c r="S27" s="275">
        <f>SUM(S20:S26)</f>
        <v>0</v>
      </c>
      <c r="T27" s="1116">
        <f>SUM(T20:T26)</f>
        <v>0</v>
      </c>
      <c r="U27" s="275">
        <f>SUM(U20:U26)</f>
        <v>0</v>
      </c>
      <c r="V27" s="276"/>
      <c r="W27" s="275">
        <f t="shared" ref="W27" si="20">SUM(W20:W26)</f>
        <v>0</v>
      </c>
      <c r="X27" s="1115"/>
      <c r="Y27" s="1116">
        <f t="shared" ref="Y27:AA27" si="21">SUM(Y20:Y26)</f>
        <v>0</v>
      </c>
      <c r="Z27" s="276"/>
      <c r="AA27" s="275">
        <f t="shared" si="21"/>
        <v>0</v>
      </c>
      <c r="AB27" s="1131">
        <f t="shared" ref="AB27" si="22">SUM(AB20:AB26)</f>
        <v>0</v>
      </c>
      <c r="AC27" s="275">
        <f t="shared" ref="AC27" si="23">SUM(AC20:AC26)</f>
        <v>0</v>
      </c>
      <c r="AD27" s="275">
        <f t="shared" ref="AD27" si="24">SUM(AD20:AD26)</f>
        <v>0</v>
      </c>
      <c r="AE27" s="275">
        <f>SUM(AE20:AE26)</f>
        <v>0</v>
      </c>
      <c r="AF27" s="1116">
        <f>SUM(AF20:AF26)</f>
        <v>0</v>
      </c>
      <c r="AG27" s="1146">
        <f>SUM(AG20:AG26)</f>
        <v>0</v>
      </c>
      <c r="AH27" s="1116">
        <f>SUM(AH20:AH26)</f>
        <v>0</v>
      </c>
      <c r="AI27" s="1116">
        <f t="shared" ref="AI27" si="25">SUM(AI20:AI26)</f>
        <v>0</v>
      </c>
      <c r="AJ27" s="1116">
        <f>SUM(AJ20:AJ26)</f>
        <v>0</v>
      </c>
      <c r="AK27" s="275">
        <f>SUM(AJ20:AJ26)</f>
        <v>0</v>
      </c>
      <c r="AL27" s="275">
        <f>SUM(AL20:AL26)</f>
        <v>0</v>
      </c>
      <c r="AM27" s="275">
        <f>SUM(AM20:AM26)</f>
        <v>0</v>
      </c>
      <c r="AN27" s="275">
        <f>SUM(AN20:AN26)</f>
        <v>0</v>
      </c>
    </row>
    <row r="28" spans="2:40" s="258" customFormat="1" ht="30" hidden="1" customHeight="1" x14ac:dyDescent="0.25">
      <c r="B28" s="267">
        <v>2099</v>
      </c>
      <c r="C28" s="1136" t="s">
        <v>7175</v>
      </c>
      <c r="D28" s="267" t="s">
        <v>2732</v>
      </c>
      <c r="E28" s="267" t="s">
        <v>2725</v>
      </c>
      <c r="F28" s="267" t="s">
        <v>2733</v>
      </c>
      <c r="G28" s="279" t="s">
        <v>2733</v>
      </c>
      <c r="H28" s="257">
        <v>1</v>
      </c>
      <c r="I28" s="257">
        <v>40</v>
      </c>
      <c r="J28" s="257">
        <v>0</v>
      </c>
      <c r="K28" s="257">
        <v>0</v>
      </c>
      <c r="L28" s="261">
        <v>42736</v>
      </c>
      <c r="M28" s="260">
        <f>4712.51/599.28</f>
        <v>7.8636196769456692</v>
      </c>
      <c r="N28" s="280">
        <f>AN$10*M28+0.01</f>
        <v>5030.1315987518365</v>
      </c>
      <c r="O28" s="280">
        <v>0</v>
      </c>
      <c r="P28" s="280">
        <v>0</v>
      </c>
      <c r="Q28" s="280">
        <v>0</v>
      </c>
      <c r="R28" s="281">
        <v>0</v>
      </c>
      <c r="S28" s="271">
        <f>N28*R28</f>
        <v>0</v>
      </c>
      <c r="T28" s="1114">
        <v>0</v>
      </c>
      <c r="U28" s="271">
        <v>0</v>
      </c>
      <c r="V28" s="282">
        <v>0</v>
      </c>
      <c r="W28" s="264">
        <f>N28*V28</f>
        <v>0</v>
      </c>
      <c r="X28" s="1113">
        <v>0</v>
      </c>
      <c r="Y28" s="1114">
        <v>0</v>
      </c>
      <c r="Z28" s="282">
        <v>0</v>
      </c>
      <c r="AA28" s="271">
        <v>0</v>
      </c>
      <c r="AB28" s="1130">
        <v>0</v>
      </c>
      <c r="AC28" s="271">
        <v>0</v>
      </c>
      <c r="AD28" s="271">
        <v>0</v>
      </c>
      <c r="AE28" s="271">
        <v>0</v>
      </c>
      <c r="AF28" s="1114">
        <v>0</v>
      </c>
      <c r="AG28" s="1145">
        <v>0</v>
      </c>
      <c r="AH28" s="1114">
        <v>0</v>
      </c>
      <c r="AI28" s="1114">
        <v>0</v>
      </c>
      <c r="AJ28" s="1114">
        <v>0</v>
      </c>
      <c r="AK28" s="273">
        <f>(N28+T28+U28)/3</f>
        <v>1676.7105329172789</v>
      </c>
      <c r="AL28" s="273">
        <f>AK28*R28</f>
        <v>0</v>
      </c>
      <c r="AM28" s="273">
        <f>N28</f>
        <v>5030.1315987518365</v>
      </c>
      <c r="AN28" s="273">
        <f>AM28*R28</f>
        <v>0</v>
      </c>
    </row>
    <row r="29" spans="2:40" s="258" customFormat="1" ht="30" hidden="1" customHeight="1" x14ac:dyDescent="0.25">
      <c r="B29" s="1206" t="s">
        <v>2726</v>
      </c>
      <c r="C29" s="1077"/>
      <c r="D29" s="1077"/>
      <c r="E29" s="1077"/>
      <c r="F29" s="1077"/>
      <c r="G29" s="1077"/>
      <c r="H29" s="1077"/>
      <c r="I29" s="1077"/>
      <c r="J29" s="1077"/>
      <c r="K29" s="1077"/>
      <c r="L29" s="1077"/>
      <c r="M29" s="1077"/>
      <c r="N29" s="275">
        <f>SUM(N28:N28)</f>
        <v>5030.1315987518365</v>
      </c>
      <c r="O29" s="275">
        <f>SUM(O28:O28)</f>
        <v>0</v>
      </c>
      <c r="P29" s="275">
        <f>SUM(P28:P28)</f>
        <v>0</v>
      </c>
      <c r="Q29" s="275">
        <f>SUM(Q28:Q28)</f>
        <v>0</v>
      </c>
      <c r="R29" s="1085"/>
      <c r="S29" s="275">
        <f>SUM(S28:S28)</f>
        <v>0</v>
      </c>
      <c r="T29" s="1116">
        <f>SUM(T28)</f>
        <v>0</v>
      </c>
      <c r="U29" s="275">
        <f>SUM(U28)</f>
        <v>0</v>
      </c>
      <c r="V29" s="276"/>
      <c r="W29" s="275">
        <f t="shared" ref="W29" si="26">SUM(W28)</f>
        <v>0</v>
      </c>
      <c r="X29" s="1115"/>
      <c r="Y29" s="1116">
        <f t="shared" ref="Y29:AA29" si="27">SUM(Y28)</f>
        <v>0</v>
      </c>
      <c r="Z29" s="276"/>
      <c r="AA29" s="275">
        <f t="shared" si="27"/>
        <v>0</v>
      </c>
      <c r="AB29" s="1131">
        <f t="shared" ref="AB29" si="28">SUM(AB28)</f>
        <v>0</v>
      </c>
      <c r="AC29" s="275">
        <f t="shared" ref="AC29" si="29">SUM(AC28)</f>
        <v>0</v>
      </c>
      <c r="AD29" s="275">
        <f t="shared" ref="AD29" si="30">SUM(AD28)</f>
        <v>0</v>
      </c>
      <c r="AE29" s="275">
        <f>SUM(AE28)</f>
        <v>0</v>
      </c>
      <c r="AF29" s="1116">
        <f>SUM(AF28)</f>
        <v>0</v>
      </c>
      <c r="AG29" s="1146">
        <f>SUM(AG28)</f>
        <v>0</v>
      </c>
      <c r="AH29" s="1116">
        <f>SUM(AH28)</f>
        <v>0</v>
      </c>
      <c r="AI29" s="1116">
        <f t="shared" ref="AI29" si="31">SUM(AI28)</f>
        <v>0</v>
      </c>
      <c r="AJ29" s="1116">
        <f>SUM(AJ28)</f>
        <v>0</v>
      </c>
      <c r="AK29" s="275">
        <f>SUM(AJ28:AJ28)</f>
        <v>0</v>
      </c>
      <c r="AL29" s="275">
        <f>SUM(AL28:AL28)</f>
        <v>0</v>
      </c>
      <c r="AM29" s="275">
        <f>SUM(AM28:AM28)</f>
        <v>5030.1315987518365</v>
      </c>
      <c r="AN29" s="275">
        <f>SUM(AN28:AN28)</f>
        <v>0</v>
      </c>
    </row>
    <row r="30" spans="2:40" ht="30" hidden="1" customHeight="1" x14ac:dyDescent="0.25">
      <c r="B30" s="267">
        <v>2088</v>
      </c>
      <c r="C30" s="267" t="s">
        <v>7176</v>
      </c>
      <c r="D30" s="259" t="s">
        <v>2643</v>
      </c>
      <c r="E30" s="259" t="s">
        <v>2739</v>
      </c>
      <c r="F30" s="259" t="s">
        <v>2647</v>
      </c>
      <c r="G30" s="259" t="s">
        <v>2777</v>
      </c>
      <c r="H30" s="266">
        <v>1</v>
      </c>
      <c r="I30" s="257">
        <v>44</v>
      </c>
      <c r="J30" s="257" t="s">
        <v>2636</v>
      </c>
      <c r="K30" s="257">
        <v>0</v>
      </c>
      <c r="L30" s="261">
        <v>42662</v>
      </c>
      <c r="M30" s="257">
        <v>1.95</v>
      </c>
      <c r="N30" s="262">
        <f>M30*AN$10</f>
        <v>1247.3564999999999</v>
      </c>
      <c r="O30" s="280">
        <v>0</v>
      </c>
      <c r="P30" s="280">
        <v>0</v>
      </c>
      <c r="Q30" s="280">
        <v>0</v>
      </c>
      <c r="R30" s="263">
        <v>0.08</v>
      </c>
      <c r="S30" s="264">
        <f t="shared" ref="S30:S34" si="32">N30*R30</f>
        <v>99.788519999999991</v>
      </c>
      <c r="T30" s="1114">
        <v>0</v>
      </c>
      <c r="U30" s="264">
        <v>0</v>
      </c>
      <c r="V30" s="265">
        <v>0</v>
      </c>
      <c r="W30" s="264">
        <f t="shared" ref="W30:W34" si="33">N30*V30</f>
        <v>0</v>
      </c>
      <c r="X30" s="1113">
        <f>127.94/N30</f>
        <v>0.10256891273665548</v>
      </c>
      <c r="Y30" s="1114">
        <f>N30*X30</f>
        <v>127.94</v>
      </c>
      <c r="Z30" s="265">
        <v>0</v>
      </c>
      <c r="AA30" s="264">
        <f>N30*Z30</f>
        <v>0</v>
      </c>
      <c r="AB30" s="1130">
        <v>0</v>
      </c>
      <c r="AC30" s="264">
        <v>0</v>
      </c>
      <c r="AD30" s="264">
        <v>0</v>
      </c>
      <c r="AE30" s="264">
        <v>0</v>
      </c>
      <c r="AF30" s="1114">
        <v>0</v>
      </c>
      <c r="AG30" s="1145">
        <v>0</v>
      </c>
      <c r="AH30" s="1114">
        <v>0</v>
      </c>
      <c r="AI30" s="1114">
        <v>0</v>
      </c>
      <c r="AJ30" s="1114">
        <f>AN$10</f>
        <v>639.66999999999996</v>
      </c>
      <c r="AK30" s="273">
        <f t="shared" ref="AK30:AK34" si="34">(N30+T30+U30)/3</f>
        <v>415.78549999999996</v>
      </c>
      <c r="AL30" s="273">
        <f>AK30*R30</f>
        <v>33.262839999999997</v>
      </c>
      <c r="AM30" s="273">
        <f t="shared" ref="AM30:AM34" si="35">N30</f>
        <v>1247.3564999999999</v>
      </c>
      <c r="AN30" s="273">
        <f t="shared" ref="AN30:AN34" si="36">AM30*R30</f>
        <v>99.788519999999991</v>
      </c>
    </row>
    <row r="31" spans="2:40" s="274" customFormat="1" ht="30" hidden="1" customHeight="1" x14ac:dyDescent="0.25">
      <c r="B31" s="267">
        <v>1643</v>
      </c>
      <c r="C31" s="259" t="s">
        <v>2646</v>
      </c>
      <c r="D31" s="259" t="s">
        <v>2643</v>
      </c>
      <c r="E31" s="259" t="s">
        <v>2739</v>
      </c>
      <c r="F31" s="259" t="s">
        <v>2647</v>
      </c>
      <c r="G31" s="259" t="s">
        <v>2777</v>
      </c>
      <c r="H31" s="266">
        <v>1</v>
      </c>
      <c r="I31" s="257">
        <v>44</v>
      </c>
      <c r="J31" s="257" t="s">
        <v>2634</v>
      </c>
      <c r="K31" s="257">
        <v>0</v>
      </c>
      <c r="L31" s="261">
        <v>41092</v>
      </c>
      <c r="M31" s="257">
        <v>2.0299999999999998</v>
      </c>
      <c r="N31" s="262">
        <f>M31*AN$10</f>
        <v>1298.5300999999997</v>
      </c>
      <c r="O31" s="280">
        <v>0</v>
      </c>
      <c r="P31" s="280">
        <v>0</v>
      </c>
      <c r="Q31" s="280">
        <v>0</v>
      </c>
      <c r="R31" s="263">
        <v>0.08</v>
      </c>
      <c r="S31" s="264">
        <f t="shared" si="32"/>
        <v>103.88240799999998</v>
      </c>
      <c r="T31" s="1114">
        <v>0</v>
      </c>
      <c r="U31" s="264">
        <v>0</v>
      </c>
      <c r="V31" s="265">
        <v>0</v>
      </c>
      <c r="W31" s="264">
        <f t="shared" si="33"/>
        <v>0</v>
      </c>
      <c r="X31" s="1113">
        <f>127.94/N31</f>
        <v>9.8526788096787304E-2</v>
      </c>
      <c r="Y31" s="1114">
        <f>N31*X31</f>
        <v>127.94</v>
      </c>
      <c r="Z31" s="265">
        <v>0</v>
      </c>
      <c r="AA31" s="264">
        <f>N31*Z31</f>
        <v>0</v>
      </c>
      <c r="AB31" s="1130">
        <v>0</v>
      </c>
      <c r="AC31" s="264">
        <v>0</v>
      </c>
      <c r="AD31" s="264">
        <v>0</v>
      </c>
      <c r="AE31" s="264">
        <v>0</v>
      </c>
      <c r="AF31" s="1114">
        <v>0</v>
      </c>
      <c r="AG31" s="1145">
        <v>0</v>
      </c>
      <c r="AH31" s="1114">
        <v>0</v>
      </c>
      <c r="AI31" s="1114">
        <v>0</v>
      </c>
      <c r="AJ31" s="1114">
        <v>0</v>
      </c>
      <c r="AK31" s="273">
        <f t="shared" si="34"/>
        <v>432.84336666666655</v>
      </c>
      <c r="AL31" s="273">
        <f>AK31*R31</f>
        <v>34.627469333333323</v>
      </c>
      <c r="AM31" s="273">
        <f t="shared" si="35"/>
        <v>1298.5300999999997</v>
      </c>
      <c r="AN31" s="273">
        <f t="shared" si="36"/>
        <v>103.88240799999998</v>
      </c>
    </row>
    <row r="32" spans="2:40" ht="30" hidden="1" customHeight="1" x14ac:dyDescent="0.25">
      <c r="B32" s="267">
        <v>0</v>
      </c>
      <c r="C32" s="267" t="s">
        <v>7177</v>
      </c>
      <c r="D32" s="267" t="s">
        <v>2720</v>
      </c>
      <c r="E32" s="267" t="s">
        <v>2739</v>
      </c>
      <c r="F32" s="267" t="s">
        <v>2647</v>
      </c>
      <c r="G32" s="259" t="s">
        <v>2777</v>
      </c>
      <c r="H32" s="257">
        <v>1</v>
      </c>
      <c r="I32" s="257">
        <v>40</v>
      </c>
      <c r="J32" s="257">
        <v>0</v>
      </c>
      <c r="K32" s="257">
        <v>0</v>
      </c>
      <c r="L32" s="261">
        <v>42737</v>
      </c>
      <c r="M32" s="260">
        <f>5393.51/599.28</f>
        <v>8.9999833133093059</v>
      </c>
      <c r="N32" s="280">
        <f>AN$10*M32+0.01</f>
        <v>5757.0293260245635</v>
      </c>
      <c r="O32" s="280">
        <v>0</v>
      </c>
      <c r="P32" s="280">
        <v>0</v>
      </c>
      <c r="Q32" s="280">
        <v>0</v>
      </c>
      <c r="R32" s="281">
        <v>0</v>
      </c>
      <c r="S32" s="271">
        <f t="shared" si="32"/>
        <v>0</v>
      </c>
      <c r="T32" s="1114">
        <v>0</v>
      </c>
      <c r="U32" s="271">
        <v>0</v>
      </c>
      <c r="V32" s="282">
        <v>0</v>
      </c>
      <c r="W32" s="264">
        <f t="shared" si="33"/>
        <v>0</v>
      </c>
      <c r="X32" s="1113">
        <v>0</v>
      </c>
      <c r="Y32" s="1114">
        <v>0</v>
      </c>
      <c r="Z32" s="282">
        <v>0</v>
      </c>
      <c r="AA32" s="271">
        <v>0</v>
      </c>
      <c r="AB32" s="1130">
        <v>0</v>
      </c>
      <c r="AC32" s="271">
        <v>0</v>
      </c>
      <c r="AD32" s="271">
        <v>0</v>
      </c>
      <c r="AE32" s="271">
        <v>0</v>
      </c>
      <c r="AF32" s="1114">
        <v>0</v>
      </c>
      <c r="AG32" s="1145">
        <v>0</v>
      </c>
      <c r="AH32" s="1114">
        <v>0</v>
      </c>
      <c r="AI32" s="1114">
        <v>0</v>
      </c>
      <c r="AJ32" s="1114">
        <v>0</v>
      </c>
      <c r="AK32" s="273">
        <f t="shared" si="34"/>
        <v>1919.0097753415212</v>
      </c>
      <c r="AL32" s="273">
        <f>AK32*R32</f>
        <v>0</v>
      </c>
      <c r="AM32" s="273">
        <f t="shared" si="35"/>
        <v>5757.0293260245635</v>
      </c>
      <c r="AN32" s="273">
        <f t="shared" si="36"/>
        <v>0</v>
      </c>
    </row>
    <row r="33" spans="2:40" ht="30" hidden="1" customHeight="1" x14ac:dyDescent="0.25">
      <c r="B33" s="267">
        <v>1325</v>
      </c>
      <c r="C33" s="259" t="s">
        <v>2672</v>
      </c>
      <c r="D33" s="259" t="s">
        <v>2673</v>
      </c>
      <c r="E33" s="259" t="s">
        <v>2739</v>
      </c>
      <c r="F33" s="259" t="s">
        <v>2647</v>
      </c>
      <c r="G33" s="259" t="s">
        <v>2773</v>
      </c>
      <c r="H33" s="266">
        <v>1</v>
      </c>
      <c r="I33" s="257">
        <v>40</v>
      </c>
      <c r="J33" s="257" t="s">
        <v>2634</v>
      </c>
      <c r="K33" s="257">
        <v>0</v>
      </c>
      <c r="L33" s="261">
        <v>40046</v>
      </c>
      <c r="M33" s="260">
        <f>1282.46/599.28</f>
        <v>2.1400013349352558</v>
      </c>
      <c r="N33" s="262">
        <f>M33*AN$10</f>
        <v>1368.8946539180349</v>
      </c>
      <c r="O33" s="280">
        <v>0</v>
      </c>
      <c r="P33" s="280">
        <v>0</v>
      </c>
      <c r="Q33" s="280">
        <v>0</v>
      </c>
      <c r="R33" s="263">
        <v>0.11</v>
      </c>
      <c r="S33" s="264">
        <f t="shared" si="32"/>
        <v>150.57841193098383</v>
      </c>
      <c r="T33" s="1114">
        <f>AN$10</f>
        <v>639.66999999999996</v>
      </c>
      <c r="U33" s="264">
        <v>0</v>
      </c>
      <c r="V33" s="265">
        <v>0</v>
      </c>
      <c r="W33" s="264">
        <f t="shared" si="33"/>
        <v>0</v>
      </c>
      <c r="X33" s="1113">
        <f>127.94/N33</f>
        <v>9.3462268724486264E-2</v>
      </c>
      <c r="Y33" s="1114">
        <f>N33*X33</f>
        <v>127.94</v>
      </c>
      <c r="Z33" s="265">
        <v>0</v>
      </c>
      <c r="AA33" s="264">
        <f>N33*Z33</f>
        <v>0</v>
      </c>
      <c r="AB33" s="1130">
        <v>0</v>
      </c>
      <c r="AC33" s="264">
        <v>0</v>
      </c>
      <c r="AD33" s="264">
        <v>0</v>
      </c>
      <c r="AE33" s="264">
        <v>0</v>
      </c>
      <c r="AF33" s="1114">
        <v>0</v>
      </c>
      <c r="AG33" s="1145">
        <v>0</v>
      </c>
      <c r="AH33" s="1114">
        <v>0</v>
      </c>
      <c r="AI33" s="1114">
        <v>0</v>
      </c>
      <c r="AJ33" s="1114">
        <v>0</v>
      </c>
      <c r="AK33" s="273">
        <f t="shared" si="34"/>
        <v>669.52155130601159</v>
      </c>
      <c r="AL33" s="273">
        <f>AK33*R33</f>
        <v>73.647370643661276</v>
      </c>
      <c r="AM33" s="273">
        <f t="shared" si="35"/>
        <v>1368.8946539180349</v>
      </c>
      <c r="AN33" s="273">
        <f t="shared" si="36"/>
        <v>150.57841193098383</v>
      </c>
    </row>
    <row r="34" spans="2:40" s="258" customFormat="1" ht="30" hidden="1" customHeight="1" x14ac:dyDescent="0.25">
      <c r="B34" s="267">
        <v>105</v>
      </c>
      <c r="C34" s="259" t="s">
        <v>2674</v>
      </c>
      <c r="D34" s="259" t="s">
        <v>2746</v>
      </c>
      <c r="E34" s="259" t="s">
        <v>2739</v>
      </c>
      <c r="F34" s="259" t="s">
        <v>2647</v>
      </c>
      <c r="G34" s="259" t="s">
        <v>2773</v>
      </c>
      <c r="H34" s="266">
        <v>1</v>
      </c>
      <c r="I34" s="257">
        <v>40</v>
      </c>
      <c r="J34" s="257" t="s">
        <v>2638</v>
      </c>
      <c r="K34" s="257">
        <v>0</v>
      </c>
      <c r="L34" s="261">
        <v>35797</v>
      </c>
      <c r="M34" s="257">
        <v>3.45</v>
      </c>
      <c r="N34" s="262">
        <f>M34*AN$10-0.001</f>
        <v>2206.8604999999998</v>
      </c>
      <c r="O34" s="280">
        <v>0</v>
      </c>
      <c r="P34" s="280">
        <v>0</v>
      </c>
      <c r="Q34" s="280">
        <v>0</v>
      </c>
      <c r="R34" s="263">
        <v>0.23</v>
      </c>
      <c r="S34" s="264">
        <f t="shared" si="32"/>
        <v>507.57791499999996</v>
      </c>
      <c r="T34" s="1114">
        <v>0</v>
      </c>
      <c r="U34" s="264">
        <v>0</v>
      </c>
      <c r="V34" s="265">
        <v>0</v>
      </c>
      <c r="W34" s="264">
        <f t="shared" si="33"/>
        <v>0</v>
      </c>
      <c r="X34" s="1113">
        <f>47.95/N34</f>
        <v>2.1727698692327862E-2</v>
      </c>
      <c r="Y34" s="1114">
        <f>N34*X34</f>
        <v>47.95000000000001</v>
      </c>
      <c r="Z34" s="265">
        <v>0</v>
      </c>
      <c r="AA34" s="264">
        <f>N34*Z34</f>
        <v>0</v>
      </c>
      <c r="AB34" s="1130">
        <v>0</v>
      </c>
      <c r="AC34" s="264">
        <f>AM$10</f>
        <v>0</v>
      </c>
      <c r="AD34" s="264">
        <v>0</v>
      </c>
      <c r="AE34" s="264">
        <v>0</v>
      </c>
      <c r="AF34" s="1114">
        <f>AN$10*1.5</f>
        <v>959.50499999999988</v>
      </c>
      <c r="AG34" s="1145">
        <v>0</v>
      </c>
      <c r="AH34" s="1114">
        <v>0</v>
      </c>
      <c r="AI34" s="1114">
        <v>0</v>
      </c>
      <c r="AJ34" s="1114">
        <v>0</v>
      </c>
      <c r="AK34" s="273">
        <f t="shared" si="34"/>
        <v>735.62016666666659</v>
      </c>
      <c r="AL34" s="273">
        <f>AK34*R34</f>
        <v>169.19263833333332</v>
      </c>
      <c r="AM34" s="273">
        <f t="shared" si="35"/>
        <v>2206.8604999999998</v>
      </c>
      <c r="AN34" s="273">
        <f t="shared" si="36"/>
        <v>507.57791499999996</v>
      </c>
    </row>
    <row r="35" spans="2:40" ht="30" hidden="1" customHeight="1" x14ac:dyDescent="0.25">
      <c r="B35" s="1206" t="s">
        <v>2747</v>
      </c>
      <c r="C35" s="1077"/>
      <c r="D35" s="1077"/>
      <c r="E35" s="1077"/>
      <c r="F35" s="1077"/>
      <c r="G35" s="1077"/>
      <c r="H35" s="1077"/>
      <c r="I35" s="1077"/>
      <c r="J35" s="1077"/>
      <c r="K35" s="1077"/>
      <c r="L35" s="1077"/>
      <c r="M35" s="1077"/>
      <c r="N35" s="275">
        <f>SUM(N30:N34)</f>
        <v>11878.671079942596</v>
      </c>
      <c r="O35" s="275">
        <f>SUM(O30:O34)</f>
        <v>0</v>
      </c>
      <c r="P35" s="275">
        <f>SUM(P30:P34)</f>
        <v>0</v>
      </c>
      <c r="Q35" s="275">
        <f>SUM(Q30:Q34)</f>
        <v>0</v>
      </c>
      <c r="R35" s="1085"/>
      <c r="S35" s="275">
        <f>SUM(S30:S34)</f>
        <v>861.82725493098383</v>
      </c>
      <c r="T35" s="1116">
        <f>SUM(T30:T34)</f>
        <v>639.66999999999996</v>
      </c>
      <c r="U35" s="275">
        <f>SUM(U30:U34)</f>
        <v>0</v>
      </c>
      <c r="V35" s="276"/>
      <c r="W35" s="275">
        <f>SUM(W30:W34)</f>
        <v>0</v>
      </c>
      <c r="X35" s="1115"/>
      <c r="Y35" s="1116">
        <f>SUM(Y30:Y34)</f>
        <v>431.77</v>
      </c>
      <c r="Z35" s="276"/>
      <c r="AA35" s="275">
        <f t="shared" ref="AA35:AN35" si="37">SUM(AA30:AA34)</f>
        <v>0</v>
      </c>
      <c r="AB35" s="1131">
        <f t="shared" si="37"/>
        <v>0</v>
      </c>
      <c r="AC35" s="275">
        <f t="shared" si="37"/>
        <v>0</v>
      </c>
      <c r="AD35" s="275">
        <f t="shared" si="37"/>
        <v>0</v>
      </c>
      <c r="AE35" s="275">
        <f t="shared" si="37"/>
        <v>0</v>
      </c>
      <c r="AF35" s="1116">
        <f t="shared" si="37"/>
        <v>959.50499999999988</v>
      </c>
      <c r="AG35" s="1146">
        <f t="shared" si="37"/>
        <v>0</v>
      </c>
      <c r="AH35" s="1116">
        <f t="shared" si="37"/>
        <v>0</v>
      </c>
      <c r="AI35" s="1116">
        <f t="shared" si="37"/>
        <v>0</v>
      </c>
      <c r="AJ35" s="1116">
        <f t="shared" si="37"/>
        <v>639.66999999999996</v>
      </c>
      <c r="AK35" s="275">
        <f>SUM(AJ30:AJ34)</f>
        <v>639.66999999999996</v>
      </c>
      <c r="AL35" s="275">
        <f t="shared" si="37"/>
        <v>310.7303183103279</v>
      </c>
      <c r="AM35" s="275">
        <f t="shared" si="37"/>
        <v>11878.671079942596</v>
      </c>
      <c r="AN35" s="275">
        <f t="shared" si="37"/>
        <v>861.82725493098383</v>
      </c>
    </row>
    <row r="36" spans="2:40" s="258" customFormat="1" ht="30" hidden="1" customHeight="1" x14ac:dyDescent="0.25">
      <c r="B36" s="267">
        <v>2361</v>
      </c>
      <c r="C36" s="259" t="s">
        <v>7115</v>
      </c>
      <c r="D36" s="259" t="s">
        <v>7114</v>
      </c>
      <c r="E36" s="259" t="s">
        <v>2723</v>
      </c>
      <c r="F36" s="259" t="s">
        <v>2647</v>
      </c>
      <c r="G36" s="259" t="s">
        <v>2777</v>
      </c>
      <c r="H36" s="266">
        <v>1</v>
      </c>
      <c r="I36" s="257">
        <v>40</v>
      </c>
      <c r="J36" s="257" t="s">
        <v>2638</v>
      </c>
      <c r="K36" s="257">
        <v>0</v>
      </c>
      <c r="L36" s="261">
        <v>43619</v>
      </c>
      <c r="M36" s="260">
        <f>2046.94/639.67</f>
        <v>3.1999937467756814</v>
      </c>
      <c r="N36" s="262">
        <f>M36*AN$10</f>
        <v>2046.94</v>
      </c>
      <c r="O36" s="280">
        <v>0</v>
      </c>
      <c r="P36" s="280">
        <v>0</v>
      </c>
      <c r="Q36" s="280">
        <v>0</v>
      </c>
      <c r="R36" s="263">
        <v>0</v>
      </c>
      <c r="S36" s="264">
        <f>N36*R36</f>
        <v>0</v>
      </c>
      <c r="T36" s="1114">
        <v>0</v>
      </c>
      <c r="U36" s="264">
        <v>0</v>
      </c>
      <c r="V36" s="265">
        <v>0</v>
      </c>
      <c r="W36" s="264">
        <f>N36*V36</f>
        <v>0</v>
      </c>
      <c r="X36" s="1113">
        <v>0</v>
      </c>
      <c r="Y36" s="1114">
        <f>N36*X36</f>
        <v>0</v>
      </c>
      <c r="Z36" s="265">
        <v>0</v>
      </c>
      <c r="AA36" s="264">
        <f>N36*Z36</f>
        <v>0</v>
      </c>
      <c r="AB36" s="1130">
        <v>0</v>
      </c>
      <c r="AC36" s="264">
        <v>0</v>
      </c>
      <c r="AD36" s="264">
        <v>0</v>
      </c>
      <c r="AE36" s="264">
        <v>0</v>
      </c>
      <c r="AF36" s="1114">
        <v>0</v>
      </c>
      <c r="AG36" s="1145">
        <v>0</v>
      </c>
      <c r="AH36" s="1114">
        <v>0</v>
      </c>
      <c r="AI36" s="1114">
        <v>0</v>
      </c>
      <c r="AJ36" s="1114">
        <v>0</v>
      </c>
      <c r="AK36" s="273">
        <f>(N36+T36+U36)/3</f>
        <v>682.31333333333339</v>
      </c>
      <c r="AL36" s="273">
        <f>AK36*R36</f>
        <v>0</v>
      </c>
      <c r="AM36" s="273">
        <f>N36</f>
        <v>2046.94</v>
      </c>
      <c r="AN36" s="273">
        <f>AM36*R36</f>
        <v>0</v>
      </c>
    </row>
    <row r="37" spans="2:40" ht="30" hidden="1" customHeight="1" x14ac:dyDescent="0.25">
      <c r="B37" s="1206" t="s">
        <v>2726</v>
      </c>
      <c r="C37" s="1077"/>
      <c r="D37" s="1077"/>
      <c r="E37" s="1077"/>
      <c r="F37" s="1077"/>
      <c r="G37" s="1077"/>
      <c r="H37" s="1077"/>
      <c r="I37" s="1077"/>
      <c r="J37" s="1077"/>
      <c r="K37" s="1077"/>
      <c r="L37" s="1077"/>
      <c r="M37" s="1077"/>
      <c r="N37" s="275">
        <f>SUM(N36:N36)</f>
        <v>2046.94</v>
      </c>
      <c r="O37" s="275">
        <f>SUM(O36:O36)</f>
        <v>0</v>
      </c>
      <c r="P37" s="275">
        <f>SUM(P36:P36)</f>
        <v>0</v>
      </c>
      <c r="Q37" s="275">
        <f>SUM(Q36:Q36)</f>
        <v>0</v>
      </c>
      <c r="R37" s="1085"/>
      <c r="S37" s="275">
        <f>SUM(S36:S36)</f>
        <v>0</v>
      </c>
      <c r="T37" s="1116">
        <f>SUM(T36:T36)</f>
        <v>0</v>
      </c>
      <c r="U37" s="275">
        <f>SUM(U36:U36)</f>
        <v>0</v>
      </c>
      <c r="V37" s="276"/>
      <c r="W37" s="275">
        <f t="shared" ref="W37:W39" si="38">SUM(W36:W36)</f>
        <v>0</v>
      </c>
      <c r="X37" s="1115"/>
      <c r="Y37" s="1116">
        <f t="shared" ref="Y37" si="39">SUM(Y36:Y36)</f>
        <v>0</v>
      </c>
      <c r="Z37" s="276"/>
      <c r="AA37" s="275">
        <f t="shared" ref="AA37:AN39" si="40">SUM(AA36:AA36)</f>
        <v>0</v>
      </c>
      <c r="AB37" s="1131">
        <f t="shared" si="40"/>
        <v>0</v>
      </c>
      <c r="AC37" s="275">
        <f t="shared" si="40"/>
        <v>0</v>
      </c>
      <c r="AD37" s="275">
        <f t="shared" si="40"/>
        <v>0</v>
      </c>
      <c r="AE37" s="275">
        <f t="shared" si="40"/>
        <v>0</v>
      </c>
      <c r="AF37" s="1116">
        <f t="shared" si="40"/>
        <v>0</v>
      </c>
      <c r="AG37" s="1146">
        <f t="shared" si="40"/>
        <v>0</v>
      </c>
      <c r="AH37" s="1116">
        <f t="shared" si="40"/>
        <v>0</v>
      </c>
      <c r="AI37" s="1116">
        <f t="shared" si="40"/>
        <v>0</v>
      </c>
      <c r="AJ37" s="1116">
        <f t="shared" si="40"/>
        <v>0</v>
      </c>
      <c r="AK37" s="275">
        <f>SUM(AJ36:AJ36)</f>
        <v>0</v>
      </c>
      <c r="AL37" s="275">
        <f t="shared" si="40"/>
        <v>0</v>
      </c>
      <c r="AM37" s="275">
        <f t="shared" si="40"/>
        <v>2046.94</v>
      </c>
      <c r="AN37" s="275">
        <f t="shared" si="40"/>
        <v>0</v>
      </c>
    </row>
    <row r="38" spans="2:40" s="258" customFormat="1" ht="30" hidden="1" customHeight="1" x14ac:dyDescent="0.25">
      <c r="B38" s="267">
        <v>105</v>
      </c>
      <c r="C38" s="259" t="s">
        <v>2749</v>
      </c>
      <c r="D38" s="259" t="s">
        <v>2748</v>
      </c>
      <c r="E38" s="259" t="s">
        <v>2725</v>
      </c>
      <c r="F38" s="259" t="s">
        <v>2647</v>
      </c>
      <c r="G38" s="259" t="s">
        <v>2777</v>
      </c>
      <c r="H38" s="266">
        <v>1</v>
      </c>
      <c r="I38" s="257">
        <v>40</v>
      </c>
      <c r="J38" s="257" t="s">
        <v>2638</v>
      </c>
      <c r="K38" s="257">
        <v>0</v>
      </c>
      <c r="L38" s="261">
        <v>42935</v>
      </c>
      <c r="M38" s="260">
        <f>4459.53/599.28</f>
        <v>7.441479775730877</v>
      </c>
      <c r="N38" s="262">
        <f>M38*AN$10</f>
        <v>4760.0913681417696</v>
      </c>
      <c r="O38" s="280">
        <v>0</v>
      </c>
      <c r="P38" s="280">
        <v>0</v>
      </c>
      <c r="Q38" s="280">
        <v>0</v>
      </c>
      <c r="R38" s="263">
        <v>0.15</v>
      </c>
      <c r="S38" s="264">
        <f>N38*R38</f>
        <v>714.01370522126547</v>
      </c>
      <c r="T38" s="1114">
        <v>0</v>
      </c>
      <c r="U38" s="264">
        <v>0</v>
      </c>
      <c r="V38" s="265">
        <v>0</v>
      </c>
      <c r="W38" s="264">
        <f>N38*V38</f>
        <v>0</v>
      </c>
      <c r="X38" s="1113">
        <v>0</v>
      </c>
      <c r="Y38" s="1114">
        <f>N38*X38</f>
        <v>0</v>
      </c>
      <c r="Z38" s="265">
        <v>0</v>
      </c>
      <c r="AA38" s="264">
        <f>N38*Z38</f>
        <v>0</v>
      </c>
      <c r="AB38" s="1130">
        <v>0</v>
      </c>
      <c r="AC38" s="264">
        <v>0</v>
      </c>
      <c r="AD38" s="264">
        <v>0</v>
      </c>
      <c r="AE38" s="264">
        <v>0</v>
      </c>
      <c r="AF38" s="1114">
        <v>0</v>
      </c>
      <c r="AG38" s="1145">
        <v>0</v>
      </c>
      <c r="AH38" s="1114">
        <v>0</v>
      </c>
      <c r="AI38" s="1114">
        <v>0</v>
      </c>
      <c r="AJ38" s="1114">
        <v>0</v>
      </c>
      <c r="AK38" s="273">
        <f>(N38+T38+U38)/3</f>
        <v>1586.6971227139231</v>
      </c>
      <c r="AL38" s="273">
        <f>AK38*R38</f>
        <v>238.00456840708847</v>
      </c>
      <c r="AM38" s="273">
        <f>N38</f>
        <v>4760.0913681417696</v>
      </c>
      <c r="AN38" s="273">
        <f>AM38*R38</f>
        <v>714.01370522126547</v>
      </c>
    </row>
    <row r="39" spans="2:40" ht="30" hidden="1" customHeight="1" x14ac:dyDescent="0.25">
      <c r="B39" s="1206" t="s">
        <v>2726</v>
      </c>
      <c r="C39" s="1077"/>
      <c r="D39" s="1077"/>
      <c r="E39" s="1077"/>
      <c r="F39" s="1077"/>
      <c r="G39" s="1077"/>
      <c r="H39" s="1077"/>
      <c r="I39" s="1077"/>
      <c r="J39" s="1077"/>
      <c r="K39" s="1077"/>
      <c r="L39" s="1077"/>
      <c r="M39" s="1077"/>
      <c r="N39" s="275">
        <f>SUM(N38:N38)</f>
        <v>4760.0913681417696</v>
      </c>
      <c r="O39" s="275">
        <f>SUM(O38:O38)</f>
        <v>0</v>
      </c>
      <c r="P39" s="275">
        <f>SUM(P38:P38)</f>
        <v>0</v>
      </c>
      <c r="Q39" s="275">
        <f>SUM(Q38:Q38)</f>
        <v>0</v>
      </c>
      <c r="R39" s="1085"/>
      <c r="S39" s="275">
        <f>SUM(S38:S38)</f>
        <v>714.01370522126547</v>
      </c>
      <c r="T39" s="1116">
        <f>SUM(T38:T38)</f>
        <v>0</v>
      </c>
      <c r="U39" s="275">
        <f>SUM(U38:U38)</f>
        <v>0</v>
      </c>
      <c r="V39" s="276"/>
      <c r="W39" s="275">
        <f t="shared" si="38"/>
        <v>0</v>
      </c>
      <c r="X39" s="1115"/>
      <c r="Y39" s="1116">
        <f t="shared" ref="Y39:AD39" si="41">SUM(Y38:Y38)</f>
        <v>0</v>
      </c>
      <c r="Z39" s="276"/>
      <c r="AA39" s="275">
        <f t="shared" si="40"/>
        <v>0</v>
      </c>
      <c r="AB39" s="1131">
        <f t="shared" si="41"/>
        <v>0</v>
      </c>
      <c r="AC39" s="275">
        <f t="shared" si="41"/>
        <v>0</v>
      </c>
      <c r="AD39" s="275">
        <f t="shared" si="41"/>
        <v>0</v>
      </c>
      <c r="AE39" s="275">
        <f t="shared" ref="AE39:AN39" si="42">SUM(AE38:AE38)</f>
        <v>0</v>
      </c>
      <c r="AF39" s="1116">
        <f t="shared" si="42"/>
        <v>0</v>
      </c>
      <c r="AG39" s="1146">
        <f t="shared" si="42"/>
        <v>0</v>
      </c>
      <c r="AH39" s="1116">
        <f t="shared" si="42"/>
        <v>0</v>
      </c>
      <c r="AI39" s="1116">
        <f t="shared" si="42"/>
        <v>0</v>
      </c>
      <c r="AJ39" s="1116">
        <f t="shared" si="42"/>
        <v>0</v>
      </c>
      <c r="AK39" s="275">
        <f>SUM(AJ38:AJ38)</f>
        <v>0</v>
      </c>
      <c r="AL39" s="275">
        <f t="shared" si="42"/>
        <v>238.00456840708847</v>
      </c>
      <c r="AM39" s="275">
        <f t="shared" si="42"/>
        <v>4760.0913681417696</v>
      </c>
      <c r="AN39" s="275">
        <f t="shared" si="42"/>
        <v>714.01370522126547</v>
      </c>
    </row>
    <row r="40" spans="2:40" s="270" customFormat="1" ht="30" hidden="1" customHeight="1" x14ac:dyDescent="0.25">
      <c r="B40" s="267">
        <v>1940</v>
      </c>
      <c r="C40" s="259" t="s">
        <v>7178</v>
      </c>
      <c r="D40" s="259" t="s">
        <v>2684</v>
      </c>
      <c r="E40" s="259" t="s">
        <v>2739</v>
      </c>
      <c r="F40" s="259" t="s">
        <v>2676</v>
      </c>
      <c r="G40" s="259" t="s">
        <v>2770</v>
      </c>
      <c r="H40" s="266">
        <v>1</v>
      </c>
      <c r="I40" s="257">
        <v>40</v>
      </c>
      <c r="J40" s="257" t="s">
        <v>2636</v>
      </c>
      <c r="K40" s="257">
        <v>0</v>
      </c>
      <c r="L40" s="261">
        <v>42102</v>
      </c>
      <c r="M40" s="257">
        <v>3.15</v>
      </c>
      <c r="N40" s="262">
        <f>M40*AN$10</f>
        <v>2014.9604999999999</v>
      </c>
      <c r="O40" s="280">
        <v>0</v>
      </c>
      <c r="P40" s="280">
        <v>0</v>
      </c>
      <c r="Q40" s="280">
        <v>0</v>
      </c>
      <c r="R40" s="263">
        <v>0.05</v>
      </c>
      <c r="S40" s="264">
        <f t="shared" ref="S40:S54" si="43">N40*R40</f>
        <v>100.748025</v>
      </c>
      <c r="T40" s="1114">
        <v>0</v>
      </c>
      <c r="U40" s="264">
        <v>0</v>
      </c>
      <c r="V40" s="265">
        <v>0</v>
      </c>
      <c r="W40" s="264">
        <f t="shared" ref="W40:W54" si="44">N40*V40</f>
        <v>0</v>
      </c>
      <c r="X40" s="1113">
        <f>51.18/N40</f>
        <v>2.5400001637749227E-2</v>
      </c>
      <c r="Y40" s="1114">
        <f t="shared" ref="Y40:Y54" si="45">N40*X40</f>
        <v>51.18</v>
      </c>
      <c r="Z40" s="265">
        <v>0</v>
      </c>
      <c r="AA40" s="264">
        <f t="shared" ref="AA40:AA54" si="46">N40*Z40</f>
        <v>0</v>
      </c>
      <c r="AB40" s="1130">
        <v>0</v>
      </c>
      <c r="AC40" s="264">
        <v>0</v>
      </c>
      <c r="AD40" s="264">
        <v>0</v>
      </c>
      <c r="AE40" s="264">
        <v>0</v>
      </c>
      <c r="AF40" s="1114">
        <v>0</v>
      </c>
      <c r="AG40" s="1145">
        <v>0</v>
      </c>
      <c r="AH40" s="1114">
        <v>0</v>
      </c>
      <c r="AI40" s="1114">
        <v>0</v>
      </c>
      <c r="AJ40" s="1114">
        <v>0</v>
      </c>
      <c r="AK40" s="273">
        <f t="shared" ref="AK40:AK54" si="47">(N40+T40+U40)/3</f>
        <v>671.65350000000001</v>
      </c>
      <c r="AL40" s="273">
        <f t="shared" ref="AL40:AL54" si="48">AK40*R40</f>
        <v>33.582675000000002</v>
      </c>
      <c r="AM40" s="273">
        <f t="shared" ref="AM40:AM54" si="49">N40</f>
        <v>2014.9604999999999</v>
      </c>
      <c r="AN40" s="273">
        <f t="shared" ref="AN40:AN54" si="50">AM40*R40</f>
        <v>100.748025</v>
      </c>
    </row>
    <row r="41" spans="2:40" s="270" customFormat="1" ht="30" hidden="1" customHeight="1" x14ac:dyDescent="0.25">
      <c r="B41" s="267">
        <v>1573</v>
      </c>
      <c r="C41" s="259" t="s">
        <v>7179</v>
      </c>
      <c r="D41" s="259" t="s">
        <v>2679</v>
      </c>
      <c r="E41" s="259" t="s">
        <v>2739</v>
      </c>
      <c r="F41" s="259" t="s">
        <v>2676</v>
      </c>
      <c r="G41" s="259" t="s">
        <v>2769</v>
      </c>
      <c r="H41" s="266">
        <v>1</v>
      </c>
      <c r="I41" s="257">
        <v>40</v>
      </c>
      <c r="J41" s="257" t="s">
        <v>2634</v>
      </c>
      <c r="K41" s="257">
        <v>0</v>
      </c>
      <c r="L41" s="268">
        <v>40891</v>
      </c>
      <c r="M41" s="257">
        <v>4.2</v>
      </c>
      <c r="N41" s="269">
        <f>M41*AN$10-0.01</f>
        <v>2686.6039999999998</v>
      </c>
      <c r="O41" s="280">
        <v>0</v>
      </c>
      <c r="P41" s="280">
        <v>0</v>
      </c>
      <c r="Q41" s="280">
        <v>0</v>
      </c>
      <c r="R41" s="263">
        <v>0.08</v>
      </c>
      <c r="S41" s="269">
        <f t="shared" si="43"/>
        <v>214.92831999999999</v>
      </c>
      <c r="T41" s="1114">
        <f>AN10</f>
        <v>639.66999999999996</v>
      </c>
      <c r="U41" s="264">
        <v>0</v>
      </c>
      <c r="V41" s="265">
        <v>0</v>
      </c>
      <c r="W41" s="264">
        <f t="shared" si="44"/>
        <v>0</v>
      </c>
      <c r="X41" s="1113">
        <f>51.18/N41</f>
        <v>1.9050072135677609E-2</v>
      </c>
      <c r="Y41" s="1114">
        <f t="shared" si="45"/>
        <v>51.180000000000007</v>
      </c>
      <c r="Z41" s="265">
        <v>0</v>
      </c>
      <c r="AA41" s="264">
        <f t="shared" si="46"/>
        <v>0</v>
      </c>
      <c r="AB41" s="1130">
        <v>0</v>
      </c>
      <c r="AC41" s="264">
        <v>0</v>
      </c>
      <c r="AD41" s="264">
        <v>0</v>
      </c>
      <c r="AE41" s="264">
        <v>0</v>
      </c>
      <c r="AF41" s="1114">
        <v>0</v>
      </c>
      <c r="AG41" s="1145">
        <v>0</v>
      </c>
      <c r="AH41" s="1114">
        <v>0</v>
      </c>
      <c r="AI41" s="1114">
        <v>0</v>
      </c>
      <c r="AJ41" s="1114">
        <v>0</v>
      </c>
      <c r="AK41" s="273">
        <f t="shared" si="47"/>
        <v>1108.758</v>
      </c>
      <c r="AL41" s="273">
        <f t="shared" si="48"/>
        <v>88.700640000000007</v>
      </c>
      <c r="AM41" s="273">
        <f t="shared" si="49"/>
        <v>2686.6039999999998</v>
      </c>
      <c r="AN41" s="273">
        <f t="shared" si="50"/>
        <v>214.92831999999999</v>
      </c>
    </row>
    <row r="42" spans="2:40" s="258" customFormat="1" ht="30" hidden="1" customHeight="1" x14ac:dyDescent="0.25">
      <c r="B42" s="267">
        <v>1852</v>
      </c>
      <c r="C42" s="259" t="s">
        <v>2935</v>
      </c>
      <c r="D42" s="259" t="s">
        <v>2679</v>
      </c>
      <c r="E42" s="259" t="s">
        <v>2739</v>
      </c>
      <c r="F42" s="259" t="s">
        <v>2676</v>
      </c>
      <c r="G42" s="259" t="s">
        <v>2769</v>
      </c>
      <c r="H42" s="266">
        <v>1</v>
      </c>
      <c r="I42" s="257">
        <v>40</v>
      </c>
      <c r="J42" s="257" t="s">
        <v>2636</v>
      </c>
      <c r="K42" s="257">
        <v>0</v>
      </c>
      <c r="L42" s="268" t="s">
        <v>2753</v>
      </c>
      <c r="M42" s="257">
        <v>4</v>
      </c>
      <c r="N42" s="269">
        <f>M42*AN$10</f>
        <v>2558.6799999999998</v>
      </c>
      <c r="O42" s="280">
        <v>0</v>
      </c>
      <c r="P42" s="280">
        <v>0</v>
      </c>
      <c r="Q42" s="280">
        <v>0</v>
      </c>
      <c r="R42" s="263">
        <v>0</v>
      </c>
      <c r="S42" s="269">
        <f t="shared" ref="S42" si="51">N42*R42</f>
        <v>0</v>
      </c>
      <c r="T42" s="1114">
        <v>0</v>
      </c>
      <c r="U42" s="264">
        <v>0</v>
      </c>
      <c r="V42" s="265">
        <v>0</v>
      </c>
      <c r="W42" s="264">
        <f t="shared" ref="W42" si="52">N42*V42</f>
        <v>0</v>
      </c>
      <c r="X42" s="1113">
        <f>47.95/N42</f>
        <v>1.8740131630371915E-2</v>
      </c>
      <c r="Y42" s="1114">
        <f t="shared" ref="Y42" si="53">N42*X42</f>
        <v>47.95000000000001</v>
      </c>
      <c r="Z42" s="265">
        <v>0</v>
      </c>
      <c r="AA42" s="264">
        <f t="shared" ref="AA42" si="54">N42*Z42</f>
        <v>0</v>
      </c>
      <c r="AB42" s="1130">
        <v>0</v>
      </c>
      <c r="AC42" s="264">
        <v>0</v>
      </c>
      <c r="AD42" s="264">
        <v>0</v>
      </c>
      <c r="AE42" s="264">
        <v>0</v>
      </c>
      <c r="AF42" s="1114">
        <v>0</v>
      </c>
      <c r="AG42" s="1145">
        <v>0</v>
      </c>
      <c r="AH42" s="1114">
        <v>0</v>
      </c>
      <c r="AI42" s="1114">
        <v>0</v>
      </c>
      <c r="AJ42" s="1114">
        <v>0</v>
      </c>
      <c r="AK42" s="273">
        <f t="shared" ref="AK42" si="55">(N42+T42+U42)/3</f>
        <v>852.89333333333332</v>
      </c>
      <c r="AL42" s="273">
        <f t="shared" si="48"/>
        <v>0</v>
      </c>
      <c r="AM42" s="273">
        <f t="shared" ref="AM42" si="56">N42</f>
        <v>2558.6799999999998</v>
      </c>
      <c r="AN42" s="273">
        <f t="shared" ref="AN42" si="57">AM42*R42</f>
        <v>0</v>
      </c>
    </row>
    <row r="43" spans="2:40" ht="30" hidden="1" customHeight="1" x14ac:dyDescent="0.25">
      <c r="B43" s="267">
        <v>0</v>
      </c>
      <c r="C43" s="259" t="s">
        <v>2935</v>
      </c>
      <c r="D43" s="259" t="s">
        <v>2936</v>
      </c>
      <c r="E43" s="259" t="s">
        <v>2739</v>
      </c>
      <c r="F43" s="259" t="s">
        <v>2676</v>
      </c>
      <c r="G43" s="259" t="s">
        <v>2777</v>
      </c>
      <c r="H43" s="266">
        <v>1</v>
      </c>
      <c r="I43" s="257">
        <v>40</v>
      </c>
      <c r="J43" s="257" t="s">
        <v>2636</v>
      </c>
      <c r="K43" s="257">
        <v>0</v>
      </c>
      <c r="L43" s="261" t="s">
        <v>2753</v>
      </c>
      <c r="M43" s="257">
        <v>9</v>
      </c>
      <c r="N43" s="262">
        <f>M43*AN$10</f>
        <v>5757.03</v>
      </c>
      <c r="O43" s="280">
        <v>0</v>
      </c>
      <c r="P43" s="280">
        <v>0</v>
      </c>
      <c r="Q43" s="280">
        <v>0</v>
      </c>
      <c r="R43" s="263">
        <v>0</v>
      </c>
      <c r="S43" s="264">
        <f>N43*R43</f>
        <v>0</v>
      </c>
      <c r="T43" s="1114">
        <v>0</v>
      </c>
      <c r="U43" s="264">
        <v>0</v>
      </c>
      <c r="V43" s="265">
        <v>0</v>
      </c>
      <c r="W43" s="264">
        <f>N43*V43</f>
        <v>0</v>
      </c>
      <c r="X43" s="1113">
        <f>47.95/N43</f>
        <v>8.3289473912764051E-3</v>
      </c>
      <c r="Y43" s="1114">
        <f>N43*X43</f>
        <v>47.95</v>
      </c>
      <c r="Z43" s="265">
        <v>0</v>
      </c>
      <c r="AA43" s="264">
        <f>N43*Z43</f>
        <v>0</v>
      </c>
      <c r="AB43" s="1130">
        <v>0</v>
      </c>
      <c r="AC43" s="264">
        <v>0</v>
      </c>
      <c r="AD43" s="264">
        <v>0</v>
      </c>
      <c r="AE43" s="264">
        <v>0</v>
      </c>
      <c r="AF43" s="1114">
        <v>0</v>
      </c>
      <c r="AG43" s="1145">
        <v>0</v>
      </c>
      <c r="AH43" s="1114">
        <v>0</v>
      </c>
      <c r="AI43" s="1114">
        <v>0</v>
      </c>
      <c r="AJ43" s="1114">
        <v>0</v>
      </c>
      <c r="AK43" s="273">
        <f>(N43+T43+U43)/3</f>
        <v>1919.01</v>
      </c>
      <c r="AL43" s="273">
        <f t="shared" si="48"/>
        <v>0</v>
      </c>
      <c r="AM43" s="273">
        <f>N43</f>
        <v>5757.03</v>
      </c>
      <c r="AN43" s="273">
        <f>AM43*R43</f>
        <v>0</v>
      </c>
    </row>
    <row r="44" spans="2:40" ht="30" hidden="1" customHeight="1" x14ac:dyDescent="0.25">
      <c r="B44" s="267">
        <v>1595</v>
      </c>
      <c r="C44" s="259" t="s">
        <v>7180</v>
      </c>
      <c r="D44" s="259" t="s">
        <v>2680</v>
      </c>
      <c r="E44" s="259" t="s">
        <v>2739</v>
      </c>
      <c r="F44" s="259" t="s">
        <v>2676</v>
      </c>
      <c r="G44" s="259" t="s">
        <v>2771</v>
      </c>
      <c r="H44" s="266">
        <v>1</v>
      </c>
      <c r="I44" s="257">
        <v>40</v>
      </c>
      <c r="J44" s="257" t="s">
        <v>2648</v>
      </c>
      <c r="K44" s="257">
        <v>0</v>
      </c>
      <c r="L44" s="261">
        <v>40984</v>
      </c>
      <c r="M44" s="257">
        <v>2.52</v>
      </c>
      <c r="N44" s="262">
        <f>M44*AN$10</f>
        <v>1611.9684</v>
      </c>
      <c r="O44" s="280">
        <v>0</v>
      </c>
      <c r="P44" s="280">
        <v>0</v>
      </c>
      <c r="Q44" s="280">
        <v>0</v>
      </c>
      <c r="R44" s="263">
        <v>0.08</v>
      </c>
      <c r="S44" s="264">
        <f t="shared" si="43"/>
        <v>128.957472</v>
      </c>
      <c r="T44" s="1114">
        <v>0</v>
      </c>
      <c r="U44" s="264">
        <v>0</v>
      </c>
      <c r="V44" s="265">
        <v>0</v>
      </c>
      <c r="W44" s="264">
        <f t="shared" si="44"/>
        <v>0</v>
      </c>
      <c r="X44" s="1113">
        <f>76.76/N44</f>
        <v>4.7618799475225446E-2</v>
      </c>
      <c r="Y44" s="1114">
        <f t="shared" si="45"/>
        <v>76.760000000000005</v>
      </c>
      <c r="Z44" s="265">
        <v>0</v>
      </c>
      <c r="AA44" s="264">
        <f t="shared" si="46"/>
        <v>0</v>
      </c>
      <c r="AB44" s="1130">
        <v>0</v>
      </c>
      <c r="AC44" s="264">
        <v>0</v>
      </c>
      <c r="AD44" s="264">
        <v>0</v>
      </c>
      <c r="AE44" s="264">
        <v>0</v>
      </c>
      <c r="AF44" s="1114">
        <v>0</v>
      </c>
      <c r="AG44" s="1145">
        <v>0</v>
      </c>
      <c r="AH44" s="1114">
        <f>AN$10</f>
        <v>639.66999999999996</v>
      </c>
      <c r="AI44" s="1114">
        <f>AO$9</f>
        <v>0</v>
      </c>
      <c r="AJ44" s="1114">
        <v>0</v>
      </c>
      <c r="AK44" s="273">
        <f t="shared" si="47"/>
        <v>537.32280000000003</v>
      </c>
      <c r="AL44" s="273">
        <f t="shared" si="48"/>
        <v>42.985824000000001</v>
      </c>
      <c r="AM44" s="273">
        <f t="shared" si="49"/>
        <v>1611.9684</v>
      </c>
      <c r="AN44" s="273">
        <f t="shared" si="50"/>
        <v>128.957472</v>
      </c>
    </row>
    <row r="45" spans="2:40" ht="30" hidden="1" customHeight="1" x14ac:dyDescent="0.25">
      <c r="B45" s="267">
        <v>1852</v>
      </c>
      <c r="C45" s="259" t="s">
        <v>7181</v>
      </c>
      <c r="D45" s="259" t="s">
        <v>2679</v>
      </c>
      <c r="E45" s="259" t="s">
        <v>2739</v>
      </c>
      <c r="F45" s="259" t="s">
        <v>2676</v>
      </c>
      <c r="G45" s="259" t="s">
        <v>2774</v>
      </c>
      <c r="H45" s="266">
        <v>1</v>
      </c>
      <c r="I45" s="257">
        <v>40</v>
      </c>
      <c r="J45" s="257" t="s">
        <v>2634</v>
      </c>
      <c r="K45" s="257">
        <v>0</v>
      </c>
      <c r="L45" s="261">
        <v>41821</v>
      </c>
      <c r="M45" s="257">
        <v>4.2</v>
      </c>
      <c r="N45" s="262">
        <f>M45*AN$10</f>
        <v>2686.614</v>
      </c>
      <c r="O45" s="280">
        <v>0</v>
      </c>
      <c r="P45" s="280">
        <v>0</v>
      </c>
      <c r="Q45" s="280">
        <v>0</v>
      </c>
      <c r="R45" s="263">
        <v>0.06</v>
      </c>
      <c r="S45" s="264">
        <f t="shared" si="43"/>
        <v>161.19684000000001</v>
      </c>
      <c r="T45" s="1114">
        <v>0</v>
      </c>
      <c r="U45" s="264">
        <v>0</v>
      </c>
      <c r="V45" s="265">
        <v>0</v>
      </c>
      <c r="W45" s="264">
        <f t="shared" si="44"/>
        <v>0</v>
      </c>
      <c r="X45" s="1113">
        <f>51.18/N45</f>
        <v>1.9050001228311918E-2</v>
      </c>
      <c r="Y45" s="1114">
        <f t="shared" si="45"/>
        <v>51.18</v>
      </c>
      <c r="Z45" s="265">
        <v>0</v>
      </c>
      <c r="AA45" s="264">
        <f t="shared" si="46"/>
        <v>0</v>
      </c>
      <c r="AB45" s="1130">
        <v>0</v>
      </c>
      <c r="AC45" s="264">
        <v>0</v>
      </c>
      <c r="AD45" s="264">
        <v>0</v>
      </c>
      <c r="AE45" s="264">
        <v>0</v>
      </c>
      <c r="AF45" s="1114">
        <v>0</v>
      </c>
      <c r="AG45" s="1145">
        <v>0</v>
      </c>
      <c r="AH45" s="1119">
        <v>0</v>
      </c>
      <c r="AI45" s="1119">
        <v>0</v>
      </c>
      <c r="AJ45" s="1114">
        <f>AN$10</f>
        <v>639.66999999999996</v>
      </c>
      <c r="AK45" s="273">
        <f t="shared" si="47"/>
        <v>895.53800000000001</v>
      </c>
      <c r="AL45" s="273">
        <f t="shared" si="48"/>
        <v>53.732279999999996</v>
      </c>
      <c r="AM45" s="273">
        <f t="shared" si="49"/>
        <v>2686.614</v>
      </c>
      <c r="AN45" s="273">
        <f t="shared" si="50"/>
        <v>161.19684000000001</v>
      </c>
    </row>
    <row r="46" spans="2:40" ht="30" hidden="1" customHeight="1" x14ac:dyDescent="0.25">
      <c r="B46" s="267">
        <v>103</v>
      </c>
      <c r="C46" s="259" t="s">
        <v>7182</v>
      </c>
      <c r="D46" s="259" t="s">
        <v>2677</v>
      </c>
      <c r="E46" s="259" t="s">
        <v>2739</v>
      </c>
      <c r="F46" s="259" t="s">
        <v>2676</v>
      </c>
      <c r="G46" s="259" t="s">
        <v>2768</v>
      </c>
      <c r="H46" s="266">
        <v>1</v>
      </c>
      <c r="I46" s="257">
        <v>40</v>
      </c>
      <c r="J46" s="257" t="s">
        <v>2638</v>
      </c>
      <c r="K46" s="257">
        <v>0</v>
      </c>
      <c r="L46" s="261">
        <v>35797</v>
      </c>
      <c r="M46" s="257">
        <v>5.75</v>
      </c>
      <c r="N46" s="262">
        <f>M46*AN$10</f>
        <v>3678.1025</v>
      </c>
      <c r="O46" s="280">
        <v>0</v>
      </c>
      <c r="P46" s="280">
        <v>0</v>
      </c>
      <c r="Q46" s="280">
        <v>0</v>
      </c>
      <c r="R46" s="263">
        <v>0.23</v>
      </c>
      <c r="S46" s="264">
        <f t="shared" si="43"/>
        <v>845.96357499999999</v>
      </c>
      <c r="T46" s="1114">
        <v>0</v>
      </c>
      <c r="U46" s="264">
        <v>0</v>
      </c>
      <c r="V46" s="265">
        <f>344.58/3445.85</f>
        <v>9.9998548979206875E-2</v>
      </c>
      <c r="W46" s="264">
        <f t="shared" si="44"/>
        <v>367.80491299679323</v>
      </c>
      <c r="X46" s="1113">
        <v>0</v>
      </c>
      <c r="Y46" s="1114">
        <f t="shared" si="45"/>
        <v>0</v>
      </c>
      <c r="Z46" s="265">
        <v>0</v>
      </c>
      <c r="AA46" s="264">
        <f t="shared" si="46"/>
        <v>0</v>
      </c>
      <c r="AB46" s="1130">
        <v>0</v>
      </c>
      <c r="AC46" s="264">
        <v>0</v>
      </c>
      <c r="AD46" s="264">
        <v>0</v>
      </c>
      <c r="AE46" s="264">
        <v>0</v>
      </c>
      <c r="AF46" s="1114">
        <v>0</v>
      </c>
      <c r="AG46" s="1145">
        <v>0</v>
      </c>
      <c r="AH46" s="1119">
        <v>0</v>
      </c>
      <c r="AI46" s="1119">
        <f>AN10*2</f>
        <v>1279.3399999999999</v>
      </c>
      <c r="AJ46" s="1114">
        <v>0</v>
      </c>
      <c r="AK46" s="273">
        <f t="shared" si="47"/>
        <v>1226.0341666666666</v>
      </c>
      <c r="AL46" s="273">
        <f t="shared" si="48"/>
        <v>281.98785833333335</v>
      </c>
      <c r="AM46" s="273">
        <f t="shared" si="49"/>
        <v>3678.1025</v>
      </c>
      <c r="AN46" s="273">
        <f t="shared" si="50"/>
        <v>845.96357499999999</v>
      </c>
    </row>
    <row r="47" spans="2:40" ht="30" hidden="1" customHeight="1" x14ac:dyDescent="0.25">
      <c r="B47" s="267">
        <v>97</v>
      </c>
      <c r="C47" s="259" t="s">
        <v>7183</v>
      </c>
      <c r="D47" s="259" t="s">
        <v>2678</v>
      </c>
      <c r="E47" s="259" t="s">
        <v>2739</v>
      </c>
      <c r="F47" s="259" t="s">
        <v>2676</v>
      </c>
      <c r="G47" s="259" t="s">
        <v>2772</v>
      </c>
      <c r="H47" s="266">
        <v>1</v>
      </c>
      <c r="I47" s="257">
        <v>40</v>
      </c>
      <c r="J47" s="257" t="s">
        <v>2638</v>
      </c>
      <c r="K47" s="257">
        <v>0</v>
      </c>
      <c r="L47" s="261">
        <v>35797</v>
      </c>
      <c r="M47" s="257">
        <v>7.51</v>
      </c>
      <c r="N47" s="262">
        <f>M47*AN$10+0.01</f>
        <v>4803.9317000000001</v>
      </c>
      <c r="O47" s="280">
        <v>0</v>
      </c>
      <c r="P47" s="280">
        <v>0</v>
      </c>
      <c r="Q47" s="280">
        <v>0</v>
      </c>
      <c r="R47" s="263">
        <v>0.23</v>
      </c>
      <c r="S47" s="264">
        <f t="shared" si="43"/>
        <v>1104.9042910000001</v>
      </c>
      <c r="T47" s="1114">
        <v>0</v>
      </c>
      <c r="U47" s="264">
        <v>0</v>
      </c>
      <c r="V47" s="265">
        <v>0</v>
      </c>
      <c r="W47" s="264">
        <f t="shared" si="44"/>
        <v>0</v>
      </c>
      <c r="X47" s="1113">
        <v>0</v>
      </c>
      <c r="Y47" s="1114">
        <f t="shared" si="45"/>
        <v>0</v>
      </c>
      <c r="Z47" s="265">
        <v>0</v>
      </c>
      <c r="AA47" s="264">
        <f t="shared" si="46"/>
        <v>0</v>
      </c>
      <c r="AB47" s="1130">
        <v>0</v>
      </c>
      <c r="AC47" s="264">
        <v>0</v>
      </c>
      <c r="AD47" s="264">
        <v>0</v>
      </c>
      <c r="AE47" s="264">
        <v>0</v>
      </c>
      <c r="AF47" s="1114">
        <v>0</v>
      </c>
      <c r="AG47" s="1145">
        <f>AN10</f>
        <v>639.66999999999996</v>
      </c>
      <c r="AH47" s="1119">
        <v>0</v>
      </c>
      <c r="AI47" s="1119">
        <f>AN10*2</f>
        <v>1279.3399999999999</v>
      </c>
      <c r="AJ47" s="1114">
        <v>0</v>
      </c>
      <c r="AK47" s="273">
        <f t="shared" si="47"/>
        <v>1601.3105666666668</v>
      </c>
      <c r="AL47" s="273">
        <f t="shared" si="48"/>
        <v>368.30143033333337</v>
      </c>
      <c r="AM47" s="273">
        <f t="shared" si="49"/>
        <v>4803.9317000000001</v>
      </c>
      <c r="AN47" s="273">
        <f t="shared" si="50"/>
        <v>1104.9042910000001</v>
      </c>
    </row>
    <row r="48" spans="2:40" ht="30" hidden="1" customHeight="1" x14ac:dyDescent="0.25">
      <c r="B48" s="267">
        <v>2173</v>
      </c>
      <c r="C48" s="259" t="s">
        <v>7184</v>
      </c>
      <c r="D48" s="259" t="s">
        <v>2673</v>
      </c>
      <c r="E48" s="259" t="s">
        <v>2739</v>
      </c>
      <c r="F48" s="259" t="s">
        <v>2676</v>
      </c>
      <c r="G48" s="259" t="s">
        <v>2768</v>
      </c>
      <c r="H48" s="266">
        <v>1</v>
      </c>
      <c r="I48" s="257">
        <v>40</v>
      </c>
      <c r="J48" s="257" t="s">
        <v>2636</v>
      </c>
      <c r="K48" s="257">
        <v>0</v>
      </c>
      <c r="L48" s="261">
        <v>42898</v>
      </c>
      <c r="M48" s="257">
        <v>1.98</v>
      </c>
      <c r="N48" s="262">
        <f>M48*AN$10+0.01</f>
        <v>1266.5565999999999</v>
      </c>
      <c r="O48" s="280">
        <v>0</v>
      </c>
      <c r="P48" s="280">
        <v>0</v>
      </c>
      <c r="Q48" s="280">
        <v>0</v>
      </c>
      <c r="R48" s="263">
        <v>0.03</v>
      </c>
      <c r="S48" s="264">
        <f t="shared" si="43"/>
        <v>37.996697999999995</v>
      </c>
      <c r="T48" s="1114">
        <f>AN10</f>
        <v>639.66999999999996</v>
      </c>
      <c r="U48" s="264">
        <v>0</v>
      </c>
      <c r="V48" s="265">
        <v>0</v>
      </c>
      <c r="W48" s="264">
        <f t="shared" si="44"/>
        <v>0</v>
      </c>
      <c r="X48" s="1113">
        <f>127.94/N48</f>
        <v>0.10101404074638276</v>
      </c>
      <c r="Y48" s="1114">
        <f t="shared" si="45"/>
        <v>127.94</v>
      </c>
      <c r="Z48" s="265">
        <v>0</v>
      </c>
      <c r="AA48" s="264">
        <f t="shared" si="46"/>
        <v>0</v>
      </c>
      <c r="AB48" s="1130">
        <v>0</v>
      </c>
      <c r="AC48" s="264">
        <v>0</v>
      </c>
      <c r="AD48" s="264">
        <v>0</v>
      </c>
      <c r="AE48" s="264">
        <v>0</v>
      </c>
      <c r="AF48" s="1114">
        <v>0</v>
      </c>
      <c r="AG48" s="1145">
        <v>0</v>
      </c>
      <c r="AH48" s="1119">
        <v>0</v>
      </c>
      <c r="AI48" s="1119">
        <v>0</v>
      </c>
      <c r="AJ48" s="1114">
        <v>0</v>
      </c>
      <c r="AK48" s="273">
        <f t="shared" si="47"/>
        <v>635.40886666666665</v>
      </c>
      <c r="AL48" s="273">
        <f t="shared" si="48"/>
        <v>19.062265999999997</v>
      </c>
      <c r="AM48" s="273">
        <f t="shared" si="49"/>
        <v>1266.5565999999999</v>
      </c>
      <c r="AN48" s="273">
        <f t="shared" si="50"/>
        <v>37.996697999999995</v>
      </c>
    </row>
    <row r="49" spans="2:40" ht="30" hidden="1" customHeight="1" x14ac:dyDescent="0.25">
      <c r="B49" s="267">
        <v>2000</v>
      </c>
      <c r="C49" s="259" t="s">
        <v>7185</v>
      </c>
      <c r="D49" s="259" t="s">
        <v>2673</v>
      </c>
      <c r="E49" s="259" t="s">
        <v>2739</v>
      </c>
      <c r="F49" s="259" t="s">
        <v>2676</v>
      </c>
      <c r="G49" s="259" t="s">
        <v>2774</v>
      </c>
      <c r="H49" s="266">
        <v>1</v>
      </c>
      <c r="I49" s="257">
        <v>40</v>
      </c>
      <c r="J49" s="257" t="s">
        <v>2636</v>
      </c>
      <c r="K49" s="257">
        <v>0</v>
      </c>
      <c r="L49" s="261">
        <v>42388</v>
      </c>
      <c r="M49" s="257">
        <v>1.98</v>
      </c>
      <c r="N49" s="262">
        <f>M49*AN$10+0.01</f>
        <v>1266.5565999999999</v>
      </c>
      <c r="O49" s="280">
        <v>0</v>
      </c>
      <c r="P49" s="280">
        <v>0</v>
      </c>
      <c r="Q49" s="280">
        <v>0</v>
      </c>
      <c r="R49" s="263">
        <v>0.04</v>
      </c>
      <c r="S49" s="264">
        <f t="shared" si="43"/>
        <v>50.662263999999993</v>
      </c>
      <c r="T49" s="1114">
        <f>AN10</f>
        <v>639.66999999999996</v>
      </c>
      <c r="U49" s="264">
        <v>0</v>
      </c>
      <c r="V49" s="265">
        <v>0</v>
      </c>
      <c r="W49" s="264">
        <f t="shared" si="44"/>
        <v>0</v>
      </c>
      <c r="X49" s="1113">
        <f>127.94/N49</f>
        <v>0.10101404074638276</v>
      </c>
      <c r="Y49" s="1114">
        <f t="shared" si="45"/>
        <v>127.94</v>
      </c>
      <c r="Z49" s="265">
        <v>0</v>
      </c>
      <c r="AA49" s="264">
        <f t="shared" si="46"/>
        <v>0</v>
      </c>
      <c r="AB49" s="1130">
        <v>0</v>
      </c>
      <c r="AC49" s="264">
        <v>0</v>
      </c>
      <c r="AD49" s="264">
        <v>0</v>
      </c>
      <c r="AE49" s="264">
        <v>0</v>
      </c>
      <c r="AF49" s="1114">
        <v>0</v>
      </c>
      <c r="AG49" s="1145">
        <v>0</v>
      </c>
      <c r="AH49" s="1119">
        <v>0</v>
      </c>
      <c r="AI49" s="1119">
        <v>0</v>
      </c>
      <c r="AJ49" s="1114">
        <v>0</v>
      </c>
      <c r="AK49" s="273">
        <f t="shared" si="47"/>
        <v>635.40886666666665</v>
      </c>
      <c r="AL49" s="273">
        <f t="shared" si="48"/>
        <v>25.416354666666667</v>
      </c>
      <c r="AM49" s="273">
        <f t="shared" si="49"/>
        <v>1266.5565999999999</v>
      </c>
      <c r="AN49" s="273">
        <f t="shared" si="50"/>
        <v>50.662263999999993</v>
      </c>
    </row>
    <row r="50" spans="2:40" ht="30" hidden="1" customHeight="1" x14ac:dyDescent="0.25">
      <c r="B50" s="267">
        <v>2249</v>
      </c>
      <c r="C50" s="259" t="s">
        <v>7186</v>
      </c>
      <c r="D50" s="259" t="s">
        <v>2673</v>
      </c>
      <c r="E50" s="259" t="s">
        <v>2739</v>
      </c>
      <c r="F50" s="259" t="s">
        <v>2676</v>
      </c>
      <c r="G50" s="259" t="s">
        <v>2772</v>
      </c>
      <c r="H50" s="266">
        <v>1</v>
      </c>
      <c r="I50" s="257">
        <v>40</v>
      </c>
      <c r="J50" s="257" t="s">
        <v>2636</v>
      </c>
      <c r="K50" s="257">
        <v>0</v>
      </c>
      <c r="L50" s="261">
        <v>43213</v>
      </c>
      <c r="M50" s="257">
        <v>1.98</v>
      </c>
      <c r="N50" s="262">
        <f>M50*AN$10+0.01</f>
        <v>1266.5565999999999</v>
      </c>
      <c r="O50" s="280">
        <v>0</v>
      </c>
      <c r="P50" s="280">
        <v>0</v>
      </c>
      <c r="Q50" s="280">
        <v>0</v>
      </c>
      <c r="R50" s="263">
        <v>0.02</v>
      </c>
      <c r="S50" s="264">
        <f t="shared" si="43"/>
        <v>25.331131999999997</v>
      </c>
      <c r="T50" s="1114">
        <v>0</v>
      </c>
      <c r="U50" s="264">
        <v>0</v>
      </c>
      <c r="V50" s="265">
        <v>0</v>
      </c>
      <c r="W50" s="264">
        <f t="shared" si="44"/>
        <v>0</v>
      </c>
      <c r="X50" s="1113">
        <f>127.94/N50</f>
        <v>0.10101404074638276</v>
      </c>
      <c r="Y50" s="1114">
        <f t="shared" si="45"/>
        <v>127.94</v>
      </c>
      <c r="Z50" s="265">
        <v>0</v>
      </c>
      <c r="AA50" s="264">
        <f t="shared" si="46"/>
        <v>0</v>
      </c>
      <c r="AB50" s="1130">
        <v>0</v>
      </c>
      <c r="AC50" s="264">
        <v>0</v>
      </c>
      <c r="AD50" s="264">
        <v>0</v>
      </c>
      <c r="AE50" s="264">
        <v>0</v>
      </c>
      <c r="AF50" s="1114">
        <v>0</v>
      </c>
      <c r="AG50" s="1145">
        <v>0</v>
      </c>
      <c r="AH50" s="1119">
        <v>0</v>
      </c>
      <c r="AI50" s="1119">
        <v>0</v>
      </c>
      <c r="AJ50" s="1114">
        <f>AN10</f>
        <v>639.66999999999996</v>
      </c>
      <c r="AK50" s="273">
        <f t="shared" si="47"/>
        <v>422.1855333333333</v>
      </c>
      <c r="AL50" s="273">
        <f t="shared" si="48"/>
        <v>8.4437106666666661</v>
      </c>
      <c r="AM50" s="273">
        <f t="shared" si="49"/>
        <v>1266.5565999999999</v>
      </c>
      <c r="AN50" s="273">
        <f t="shared" si="50"/>
        <v>25.331131999999997</v>
      </c>
    </row>
    <row r="51" spans="2:40" ht="30" hidden="1" customHeight="1" x14ac:dyDescent="0.25">
      <c r="B51" s="267">
        <v>2130</v>
      </c>
      <c r="C51" s="259" t="s">
        <v>7187</v>
      </c>
      <c r="D51" s="259" t="s">
        <v>2673</v>
      </c>
      <c r="E51" s="259" t="s">
        <v>2739</v>
      </c>
      <c r="F51" s="259" t="s">
        <v>2676</v>
      </c>
      <c r="G51" s="259" t="s">
        <v>2777</v>
      </c>
      <c r="H51" s="266">
        <v>1</v>
      </c>
      <c r="I51" s="257">
        <v>40</v>
      </c>
      <c r="J51" s="257" t="s">
        <v>2636</v>
      </c>
      <c r="K51" s="257">
        <v>0</v>
      </c>
      <c r="L51" s="261">
        <v>42795</v>
      </c>
      <c r="M51" s="257">
        <v>1.98</v>
      </c>
      <c r="N51" s="262">
        <f>M51*AN$10</f>
        <v>1266.5465999999999</v>
      </c>
      <c r="O51" s="280">
        <v>0</v>
      </c>
      <c r="P51" s="280">
        <v>0</v>
      </c>
      <c r="Q51" s="280">
        <v>0</v>
      </c>
      <c r="R51" s="263">
        <v>0.03</v>
      </c>
      <c r="S51" s="264">
        <f t="shared" si="43"/>
        <v>37.996397999999992</v>
      </c>
      <c r="T51" s="1114">
        <f>AN10</f>
        <v>639.66999999999996</v>
      </c>
      <c r="U51" s="264">
        <v>0</v>
      </c>
      <c r="V51" s="265">
        <v>0</v>
      </c>
      <c r="W51" s="264">
        <f t="shared" si="44"/>
        <v>0</v>
      </c>
      <c r="X51" s="1113">
        <f>127.94/N51</f>
        <v>0.10101483830125162</v>
      </c>
      <c r="Y51" s="1114">
        <f t="shared" si="45"/>
        <v>127.94</v>
      </c>
      <c r="Z51" s="265">
        <v>0</v>
      </c>
      <c r="AA51" s="271">
        <f t="shared" si="46"/>
        <v>0</v>
      </c>
      <c r="AB51" s="1130">
        <v>0</v>
      </c>
      <c r="AC51" s="264">
        <f>AN$10*(0%)</f>
        <v>0</v>
      </c>
      <c r="AD51" s="264">
        <f t="shared" ref="AD51" si="58">AO$9*(0%)</f>
        <v>0</v>
      </c>
      <c r="AE51" s="264">
        <v>0</v>
      </c>
      <c r="AF51" s="1114">
        <v>0</v>
      </c>
      <c r="AG51" s="1145">
        <v>0</v>
      </c>
      <c r="AH51" s="1119">
        <v>0</v>
      </c>
      <c r="AI51" s="1119">
        <v>0</v>
      </c>
      <c r="AJ51" s="1114">
        <f>AN$10</f>
        <v>639.66999999999996</v>
      </c>
      <c r="AK51" s="273">
        <f t="shared" si="47"/>
        <v>635.40553333333321</v>
      </c>
      <c r="AL51" s="273">
        <f t="shared" si="48"/>
        <v>19.062165999999994</v>
      </c>
      <c r="AM51" s="273">
        <f t="shared" si="49"/>
        <v>1266.5465999999999</v>
      </c>
      <c r="AN51" s="273">
        <f t="shared" si="50"/>
        <v>37.996397999999992</v>
      </c>
    </row>
    <row r="52" spans="2:40" ht="30" hidden="1" customHeight="1" x14ac:dyDescent="0.25">
      <c r="B52" s="267">
        <v>0</v>
      </c>
      <c r="C52" s="259" t="s">
        <v>7119</v>
      </c>
      <c r="D52" s="259" t="s">
        <v>2673</v>
      </c>
      <c r="E52" s="259" t="s">
        <v>2739</v>
      </c>
      <c r="F52" s="259" t="s">
        <v>2676</v>
      </c>
      <c r="G52" s="259" t="s">
        <v>2774</v>
      </c>
      <c r="H52" s="266">
        <v>1</v>
      </c>
      <c r="I52" s="257">
        <v>40</v>
      </c>
      <c r="J52" s="257" t="s">
        <v>2636</v>
      </c>
      <c r="K52" s="257">
        <v>0</v>
      </c>
      <c r="L52" s="261" t="s">
        <v>2753</v>
      </c>
      <c r="M52" s="257">
        <v>1.98</v>
      </c>
      <c r="N52" s="262">
        <f>M52*AN$10+0.01</f>
        <v>1266.5565999999999</v>
      </c>
      <c r="O52" s="280">
        <v>0</v>
      </c>
      <c r="P52" s="280">
        <v>0</v>
      </c>
      <c r="Q52" s="280">
        <v>0</v>
      </c>
      <c r="R52" s="263">
        <v>0</v>
      </c>
      <c r="S52" s="264">
        <f t="shared" si="43"/>
        <v>0</v>
      </c>
      <c r="T52" s="1114">
        <v>0</v>
      </c>
      <c r="U52" s="264">
        <v>0</v>
      </c>
      <c r="V52" s="265">
        <v>0</v>
      </c>
      <c r="W52" s="264">
        <f t="shared" si="44"/>
        <v>0</v>
      </c>
      <c r="X52" s="1113">
        <v>0</v>
      </c>
      <c r="Y52" s="1114">
        <f t="shared" si="45"/>
        <v>0</v>
      </c>
      <c r="Z52" s="265">
        <v>0</v>
      </c>
      <c r="AA52" s="264">
        <f t="shared" si="46"/>
        <v>0</v>
      </c>
      <c r="AB52" s="1130">
        <v>0</v>
      </c>
      <c r="AC52" s="264">
        <v>0</v>
      </c>
      <c r="AD52" s="264">
        <v>0</v>
      </c>
      <c r="AE52" s="264">
        <v>0</v>
      </c>
      <c r="AF52" s="1114">
        <v>0</v>
      </c>
      <c r="AG52" s="1145">
        <v>0</v>
      </c>
      <c r="AH52" s="1119">
        <v>0</v>
      </c>
      <c r="AI52" s="1119">
        <v>0</v>
      </c>
      <c r="AJ52" s="1114">
        <v>0</v>
      </c>
      <c r="AK52" s="273">
        <f t="shared" si="47"/>
        <v>422.1855333333333</v>
      </c>
      <c r="AL52" s="273">
        <f t="shared" si="48"/>
        <v>0</v>
      </c>
      <c r="AM52" s="273">
        <f t="shared" si="49"/>
        <v>1266.5565999999999</v>
      </c>
      <c r="AN52" s="273">
        <f t="shared" si="50"/>
        <v>0</v>
      </c>
    </row>
    <row r="53" spans="2:40" s="258" customFormat="1" ht="30" hidden="1" customHeight="1" x14ac:dyDescent="0.25">
      <c r="B53" s="267">
        <v>0</v>
      </c>
      <c r="C53" s="259" t="s">
        <v>7119</v>
      </c>
      <c r="D53" s="259" t="s">
        <v>2752</v>
      </c>
      <c r="E53" s="259" t="s">
        <v>2739</v>
      </c>
      <c r="F53" s="259" t="s">
        <v>2676</v>
      </c>
      <c r="G53" s="259" t="s">
        <v>2768</v>
      </c>
      <c r="H53" s="266">
        <v>1</v>
      </c>
      <c r="I53" s="257">
        <v>40</v>
      </c>
      <c r="J53" s="257" t="s">
        <v>2636</v>
      </c>
      <c r="K53" s="257">
        <v>0</v>
      </c>
      <c r="L53" s="261" t="s">
        <v>2753</v>
      </c>
      <c r="M53" s="257">
        <v>2.8</v>
      </c>
      <c r="N53" s="262">
        <f>M53*AN$10+0.01</f>
        <v>1791.0859999999998</v>
      </c>
      <c r="O53" s="280">
        <v>0</v>
      </c>
      <c r="P53" s="280">
        <v>0</v>
      </c>
      <c r="Q53" s="280">
        <v>0</v>
      </c>
      <c r="R53" s="263">
        <v>0</v>
      </c>
      <c r="S53" s="264">
        <f t="shared" si="43"/>
        <v>0</v>
      </c>
      <c r="T53" s="1114">
        <v>0</v>
      </c>
      <c r="U53" s="264">
        <v>0</v>
      </c>
      <c r="V53" s="265">
        <v>0</v>
      </c>
      <c r="W53" s="264">
        <f t="shared" si="44"/>
        <v>0</v>
      </c>
      <c r="X53" s="1113">
        <v>0</v>
      </c>
      <c r="Y53" s="1114">
        <f t="shared" si="45"/>
        <v>0</v>
      </c>
      <c r="Z53" s="265">
        <v>0</v>
      </c>
      <c r="AA53" s="264">
        <f t="shared" si="46"/>
        <v>0</v>
      </c>
      <c r="AB53" s="1130">
        <v>0</v>
      </c>
      <c r="AC53" s="264">
        <v>0</v>
      </c>
      <c r="AD53" s="264">
        <v>0</v>
      </c>
      <c r="AE53" s="264">
        <v>0</v>
      </c>
      <c r="AF53" s="1114">
        <v>0</v>
      </c>
      <c r="AG53" s="1145">
        <v>0</v>
      </c>
      <c r="AH53" s="1119">
        <v>0</v>
      </c>
      <c r="AI53" s="1119">
        <v>0</v>
      </c>
      <c r="AJ53" s="1114">
        <v>0</v>
      </c>
      <c r="AK53" s="273">
        <f t="shared" si="47"/>
        <v>597.0286666666666</v>
      </c>
      <c r="AL53" s="273">
        <f t="shared" si="48"/>
        <v>0</v>
      </c>
      <c r="AM53" s="273">
        <f t="shared" si="49"/>
        <v>1791.0859999999998</v>
      </c>
      <c r="AN53" s="273">
        <f t="shared" si="50"/>
        <v>0</v>
      </c>
    </row>
    <row r="54" spans="2:40" s="258" customFormat="1" ht="30" hidden="1" customHeight="1" x14ac:dyDescent="0.25">
      <c r="B54" s="267">
        <v>0</v>
      </c>
      <c r="C54" s="259" t="s">
        <v>7119</v>
      </c>
      <c r="D54" s="259" t="s">
        <v>2754</v>
      </c>
      <c r="E54" s="259" t="s">
        <v>2739</v>
      </c>
      <c r="F54" s="259" t="s">
        <v>2676</v>
      </c>
      <c r="G54" s="259" t="s">
        <v>2772</v>
      </c>
      <c r="H54" s="266">
        <v>1</v>
      </c>
      <c r="I54" s="257">
        <v>40</v>
      </c>
      <c r="J54" s="257" t="s">
        <v>2636</v>
      </c>
      <c r="K54" s="257">
        <v>0</v>
      </c>
      <c r="L54" s="261" t="s">
        <v>2753</v>
      </c>
      <c r="M54" s="257">
        <v>3</v>
      </c>
      <c r="N54" s="262">
        <f>M54*AN$10+0.01</f>
        <v>1919.0199999999998</v>
      </c>
      <c r="O54" s="280">
        <v>0</v>
      </c>
      <c r="P54" s="280">
        <v>0</v>
      </c>
      <c r="Q54" s="280">
        <v>0</v>
      </c>
      <c r="R54" s="263">
        <v>0</v>
      </c>
      <c r="S54" s="264">
        <f t="shared" si="43"/>
        <v>0</v>
      </c>
      <c r="T54" s="1114">
        <v>0</v>
      </c>
      <c r="U54" s="264">
        <v>0</v>
      </c>
      <c r="V54" s="265">
        <v>0</v>
      </c>
      <c r="W54" s="264">
        <f t="shared" si="44"/>
        <v>0</v>
      </c>
      <c r="X54" s="1113">
        <v>0</v>
      </c>
      <c r="Y54" s="1114">
        <f t="shared" si="45"/>
        <v>0</v>
      </c>
      <c r="Z54" s="265">
        <v>0</v>
      </c>
      <c r="AA54" s="264">
        <f t="shared" si="46"/>
        <v>0</v>
      </c>
      <c r="AB54" s="1130">
        <v>0</v>
      </c>
      <c r="AC54" s="264">
        <v>0</v>
      </c>
      <c r="AD54" s="264">
        <v>0</v>
      </c>
      <c r="AE54" s="264">
        <v>0</v>
      </c>
      <c r="AF54" s="1114">
        <v>0</v>
      </c>
      <c r="AG54" s="1145">
        <v>0</v>
      </c>
      <c r="AH54" s="1119">
        <v>0</v>
      </c>
      <c r="AI54" s="1119">
        <v>0</v>
      </c>
      <c r="AJ54" s="1114">
        <v>0</v>
      </c>
      <c r="AK54" s="273">
        <f t="shared" si="47"/>
        <v>639.67333333333329</v>
      </c>
      <c r="AL54" s="273">
        <f t="shared" si="48"/>
        <v>0</v>
      </c>
      <c r="AM54" s="273">
        <f t="shared" si="49"/>
        <v>1919.0199999999998</v>
      </c>
      <c r="AN54" s="273">
        <f t="shared" si="50"/>
        <v>0</v>
      </c>
    </row>
    <row r="55" spans="2:40" s="274" customFormat="1" ht="30" hidden="1" customHeight="1" x14ac:dyDescent="0.25">
      <c r="B55" s="1206" t="s">
        <v>2747</v>
      </c>
      <c r="C55" s="1077"/>
      <c r="D55" s="1077"/>
      <c r="E55" s="1077"/>
      <c r="F55" s="1077"/>
      <c r="G55" s="1077"/>
      <c r="H55" s="1077"/>
      <c r="I55" s="1077"/>
      <c r="J55" s="1077"/>
      <c r="K55" s="1077"/>
      <c r="L55" s="1077"/>
      <c r="M55" s="1077"/>
      <c r="N55" s="275">
        <f>SUM(N40:N54)</f>
        <v>35840.770100000002</v>
      </c>
      <c r="O55" s="275">
        <f>SUM(O40:O54)</f>
        <v>0</v>
      </c>
      <c r="P55" s="275">
        <f>SUM(P40:P54)</f>
        <v>0</v>
      </c>
      <c r="Q55" s="275">
        <f>SUM(Q40:Q54)</f>
        <v>0</v>
      </c>
      <c r="R55" s="1085"/>
      <c r="S55" s="275">
        <f>SUM(S40:S54)</f>
        <v>2708.6850149999996</v>
      </c>
      <c r="T55" s="1116">
        <f>SUM(T40:T54)</f>
        <v>2558.6799999999998</v>
      </c>
      <c r="U55" s="275">
        <f>SUM(U40:U54)</f>
        <v>0</v>
      </c>
      <c r="V55" s="276"/>
      <c r="W55" s="275">
        <f>SUM(W40:W54)</f>
        <v>367.80491299679323</v>
      </c>
      <c r="X55" s="1115"/>
      <c r="Y55" s="1116">
        <f>SUM(Y40:Y54)</f>
        <v>837.96</v>
      </c>
      <c r="Z55" s="276"/>
      <c r="AA55" s="275">
        <f t="shared" ref="AA55:AN55" si="59">SUM(AA40:AA54)</f>
        <v>0</v>
      </c>
      <c r="AB55" s="1131">
        <f t="shared" si="59"/>
        <v>0</v>
      </c>
      <c r="AC55" s="275">
        <f t="shared" si="59"/>
        <v>0</v>
      </c>
      <c r="AD55" s="275">
        <f t="shared" si="59"/>
        <v>0</v>
      </c>
      <c r="AE55" s="275">
        <f t="shared" si="59"/>
        <v>0</v>
      </c>
      <c r="AF55" s="1116">
        <f t="shared" si="59"/>
        <v>0</v>
      </c>
      <c r="AG55" s="1146">
        <f t="shared" si="59"/>
        <v>639.66999999999996</v>
      </c>
      <c r="AH55" s="1116">
        <f t="shared" si="59"/>
        <v>639.66999999999996</v>
      </c>
      <c r="AI55" s="1116">
        <f t="shared" si="59"/>
        <v>2558.6799999999998</v>
      </c>
      <c r="AJ55" s="1116">
        <f t="shared" si="59"/>
        <v>1919.0099999999998</v>
      </c>
      <c r="AK55" s="275">
        <f>SUM(AJ40:AJ54)</f>
        <v>1919.0099999999998</v>
      </c>
      <c r="AL55" s="275">
        <f t="shared" si="59"/>
        <v>941.27520500000014</v>
      </c>
      <c r="AM55" s="275">
        <f t="shared" si="59"/>
        <v>35840.770100000002</v>
      </c>
      <c r="AN55" s="275">
        <f t="shared" si="59"/>
        <v>2708.6850149999996</v>
      </c>
    </row>
    <row r="56" spans="2:40" s="274" customFormat="1" ht="30" hidden="1" customHeight="1" x14ac:dyDescent="0.25">
      <c r="B56" s="267">
        <v>2105</v>
      </c>
      <c r="C56" s="267" t="s">
        <v>7188</v>
      </c>
      <c r="D56" s="267" t="s">
        <v>7117</v>
      </c>
      <c r="E56" s="267" t="s">
        <v>2723</v>
      </c>
      <c r="F56" s="267" t="s">
        <v>2676</v>
      </c>
      <c r="G56" s="259" t="s">
        <v>2775</v>
      </c>
      <c r="H56" s="257">
        <v>1</v>
      </c>
      <c r="I56" s="257">
        <v>40</v>
      </c>
      <c r="J56" s="257">
        <v>0</v>
      </c>
      <c r="K56" s="257">
        <v>0</v>
      </c>
      <c r="L56" s="261">
        <v>42996</v>
      </c>
      <c r="M56" s="260">
        <v>5</v>
      </c>
      <c r="N56" s="280">
        <f>AN$10*M56</f>
        <v>3198.35</v>
      </c>
      <c r="O56" s="280">
        <v>0</v>
      </c>
      <c r="P56" s="280">
        <v>0</v>
      </c>
      <c r="Q56" s="280">
        <v>0</v>
      </c>
      <c r="R56" s="281">
        <v>0</v>
      </c>
      <c r="S56" s="271">
        <f>N56*R56</f>
        <v>0</v>
      </c>
      <c r="T56" s="1114">
        <v>0</v>
      </c>
      <c r="U56" s="271">
        <v>0</v>
      </c>
      <c r="V56" s="282">
        <v>0</v>
      </c>
      <c r="W56" s="264">
        <f>N56*V56</f>
        <v>0</v>
      </c>
      <c r="X56" s="1113">
        <v>0</v>
      </c>
      <c r="Y56" s="1114">
        <v>0</v>
      </c>
      <c r="Z56" s="282">
        <v>0</v>
      </c>
      <c r="AA56" s="271">
        <v>0</v>
      </c>
      <c r="AB56" s="1130">
        <v>0</v>
      </c>
      <c r="AC56" s="271">
        <v>0</v>
      </c>
      <c r="AD56" s="271">
        <v>0</v>
      </c>
      <c r="AE56" s="271">
        <v>0</v>
      </c>
      <c r="AF56" s="1114">
        <v>0</v>
      </c>
      <c r="AG56" s="1145">
        <v>0</v>
      </c>
      <c r="AH56" s="1114">
        <v>0</v>
      </c>
      <c r="AI56" s="1114">
        <v>0</v>
      </c>
      <c r="AJ56" s="1114">
        <v>0</v>
      </c>
      <c r="AK56" s="273">
        <f>(N56+T56+U56)/3</f>
        <v>1066.1166666666666</v>
      </c>
      <c r="AL56" s="273">
        <f>AK56*R56</f>
        <v>0</v>
      </c>
      <c r="AM56" s="273">
        <f>N56</f>
        <v>3198.35</v>
      </c>
      <c r="AN56" s="273">
        <f>AM56*R56</f>
        <v>0</v>
      </c>
    </row>
    <row r="57" spans="2:40" s="258" customFormat="1" ht="30" hidden="1" customHeight="1" x14ac:dyDescent="0.25">
      <c r="B57" s="267">
        <v>2290</v>
      </c>
      <c r="C57" s="267" t="s">
        <v>7189</v>
      </c>
      <c r="D57" s="267" t="s">
        <v>7116</v>
      </c>
      <c r="E57" s="267" t="s">
        <v>2723</v>
      </c>
      <c r="F57" s="267" t="s">
        <v>2676</v>
      </c>
      <c r="G57" s="259" t="s">
        <v>7118</v>
      </c>
      <c r="H57" s="257">
        <v>1</v>
      </c>
      <c r="I57" s="257">
        <v>40</v>
      </c>
      <c r="J57" s="257">
        <v>0</v>
      </c>
      <c r="K57" s="257">
        <v>0</v>
      </c>
      <c r="L57" s="261">
        <v>43619</v>
      </c>
      <c r="M57" s="260">
        <v>5</v>
      </c>
      <c r="N57" s="280">
        <f>AN$10*M57</f>
        <v>3198.35</v>
      </c>
      <c r="O57" s="280">
        <v>0</v>
      </c>
      <c r="P57" s="280">
        <v>0</v>
      </c>
      <c r="Q57" s="280">
        <v>0</v>
      </c>
      <c r="R57" s="281">
        <v>0</v>
      </c>
      <c r="S57" s="271">
        <f>N57*R57</f>
        <v>0</v>
      </c>
      <c r="T57" s="1114">
        <v>0</v>
      </c>
      <c r="U57" s="271">
        <v>0</v>
      </c>
      <c r="V57" s="282">
        <v>0</v>
      </c>
      <c r="W57" s="264">
        <f>N57*V57</f>
        <v>0</v>
      </c>
      <c r="X57" s="1113">
        <v>0</v>
      </c>
      <c r="Y57" s="1114">
        <v>0</v>
      </c>
      <c r="Z57" s="282">
        <v>0</v>
      </c>
      <c r="AA57" s="271">
        <v>0</v>
      </c>
      <c r="AB57" s="1130">
        <v>0</v>
      </c>
      <c r="AC57" s="271">
        <v>0</v>
      </c>
      <c r="AD57" s="271">
        <v>0</v>
      </c>
      <c r="AE57" s="271">
        <v>0</v>
      </c>
      <c r="AF57" s="1114">
        <v>0</v>
      </c>
      <c r="AG57" s="1145">
        <v>0</v>
      </c>
      <c r="AH57" s="1114">
        <v>0</v>
      </c>
      <c r="AI57" s="1114">
        <v>0</v>
      </c>
      <c r="AJ57" s="1114">
        <v>0</v>
      </c>
      <c r="AK57" s="273">
        <f>(N57+T57+U57)/3</f>
        <v>1066.1166666666666</v>
      </c>
      <c r="AL57" s="273">
        <f>AK57*R57</f>
        <v>0</v>
      </c>
      <c r="AM57" s="273">
        <f>N57</f>
        <v>3198.35</v>
      </c>
      <c r="AN57" s="273">
        <f>AM57*R57</f>
        <v>0</v>
      </c>
    </row>
    <row r="58" spans="2:40" s="274" customFormat="1" ht="30" hidden="1" customHeight="1" x14ac:dyDescent="0.25">
      <c r="B58" s="1206" t="s">
        <v>2755</v>
      </c>
      <c r="C58" s="1077"/>
      <c r="D58" s="1077"/>
      <c r="E58" s="1077"/>
      <c r="F58" s="1077"/>
      <c r="G58" s="1077"/>
      <c r="H58" s="1077"/>
      <c r="I58" s="1077"/>
      <c r="J58" s="1077"/>
      <c r="K58" s="1077"/>
      <c r="L58" s="1077"/>
      <c r="M58" s="1077"/>
      <c r="N58" s="275">
        <f>SUM(N56:N57)</f>
        <v>6396.7</v>
      </c>
      <c r="O58" s="275">
        <f>SUM(O56:O57)</f>
        <v>0</v>
      </c>
      <c r="P58" s="275">
        <f>SUM(P56:P57)</f>
        <v>0</v>
      </c>
      <c r="Q58" s="275">
        <f>SUM(Q56:Q57)</f>
        <v>0</v>
      </c>
      <c r="R58" s="1085"/>
      <c r="S58" s="275">
        <f>SUM(S56:S57)</f>
        <v>0</v>
      </c>
      <c r="T58" s="1116">
        <f>SUM(T56:T57)</f>
        <v>0</v>
      </c>
      <c r="U58" s="275">
        <f>SUM(U56:U57)</f>
        <v>0</v>
      </c>
      <c r="V58" s="276"/>
      <c r="W58" s="275">
        <f>SUM(W56:W57)</f>
        <v>0</v>
      </c>
      <c r="X58" s="1115"/>
      <c r="Y58" s="1116">
        <f>SUM(Y56:Y57)</f>
        <v>0</v>
      </c>
      <c r="Z58" s="276"/>
      <c r="AA58" s="275">
        <f t="shared" ref="AA58:AN58" si="60">SUM(AA56:AA57)</f>
        <v>0</v>
      </c>
      <c r="AB58" s="1131">
        <f t="shared" si="60"/>
        <v>0</v>
      </c>
      <c r="AC58" s="275">
        <f t="shared" si="60"/>
        <v>0</v>
      </c>
      <c r="AD58" s="275">
        <f t="shared" si="60"/>
        <v>0</v>
      </c>
      <c r="AE58" s="275">
        <f t="shared" si="60"/>
        <v>0</v>
      </c>
      <c r="AF58" s="1116">
        <f t="shared" si="60"/>
        <v>0</v>
      </c>
      <c r="AG58" s="1146">
        <f t="shared" si="60"/>
        <v>0</v>
      </c>
      <c r="AH58" s="1116">
        <f t="shared" si="60"/>
        <v>0</v>
      </c>
      <c r="AI58" s="1116">
        <f t="shared" si="60"/>
        <v>0</v>
      </c>
      <c r="AJ58" s="1116">
        <f t="shared" si="60"/>
        <v>0</v>
      </c>
      <c r="AK58" s="275">
        <f>SUM(AJ56:AJ57)</f>
        <v>0</v>
      </c>
      <c r="AL58" s="275">
        <f t="shared" si="60"/>
        <v>0</v>
      </c>
      <c r="AM58" s="275">
        <f t="shared" si="60"/>
        <v>6396.7</v>
      </c>
      <c r="AN58" s="275">
        <f t="shared" si="60"/>
        <v>0</v>
      </c>
    </row>
    <row r="59" spans="2:40" s="258" customFormat="1" ht="30" hidden="1" customHeight="1" x14ac:dyDescent="0.25">
      <c r="B59" s="267">
        <v>0</v>
      </c>
      <c r="C59" s="259" t="s">
        <v>7119</v>
      </c>
      <c r="D59" s="267" t="s">
        <v>2756</v>
      </c>
      <c r="E59" s="267" t="s">
        <v>2725</v>
      </c>
      <c r="F59" s="267" t="s">
        <v>2676</v>
      </c>
      <c r="G59" s="259" t="s">
        <v>2777</v>
      </c>
      <c r="H59" s="257">
        <v>1</v>
      </c>
      <c r="I59" s="257">
        <v>40</v>
      </c>
      <c r="J59" s="257">
        <v>0</v>
      </c>
      <c r="K59" s="257">
        <v>0</v>
      </c>
      <c r="L59" s="261" t="s">
        <v>2753</v>
      </c>
      <c r="M59" s="260">
        <f>4459.53/599.28</f>
        <v>7.441479775730877</v>
      </c>
      <c r="N59" s="280">
        <f>AN$10*M59</f>
        <v>4760.0913681417696</v>
      </c>
      <c r="O59" s="280">
        <v>0</v>
      </c>
      <c r="P59" s="280">
        <v>0</v>
      </c>
      <c r="Q59" s="280">
        <v>0</v>
      </c>
      <c r="R59" s="281">
        <v>0</v>
      </c>
      <c r="S59" s="271">
        <f>N59*R59</f>
        <v>0</v>
      </c>
      <c r="T59" s="1114">
        <v>0</v>
      </c>
      <c r="U59" s="271">
        <v>0</v>
      </c>
      <c r="V59" s="282">
        <v>0</v>
      </c>
      <c r="W59" s="264">
        <f>N59*V59</f>
        <v>0</v>
      </c>
      <c r="X59" s="1113">
        <v>0</v>
      </c>
      <c r="Y59" s="1114">
        <v>0</v>
      </c>
      <c r="Z59" s="282">
        <v>0</v>
      </c>
      <c r="AA59" s="271">
        <v>0</v>
      </c>
      <c r="AB59" s="1130">
        <v>0</v>
      </c>
      <c r="AC59" s="271">
        <v>0</v>
      </c>
      <c r="AD59" s="271">
        <v>0</v>
      </c>
      <c r="AE59" s="271">
        <v>0</v>
      </c>
      <c r="AF59" s="1114">
        <v>0</v>
      </c>
      <c r="AG59" s="1145">
        <v>0</v>
      </c>
      <c r="AH59" s="1114">
        <v>0</v>
      </c>
      <c r="AI59" s="1114">
        <v>0</v>
      </c>
      <c r="AJ59" s="1114">
        <v>0</v>
      </c>
      <c r="AK59" s="273">
        <f>(N59+T59+U59)/3</f>
        <v>1586.6971227139231</v>
      </c>
      <c r="AL59" s="273">
        <f>AK59*R59</f>
        <v>0</v>
      </c>
      <c r="AM59" s="273">
        <f>N59</f>
        <v>4760.0913681417696</v>
      </c>
      <c r="AN59" s="273">
        <f>AM59*R59</f>
        <v>0</v>
      </c>
    </row>
    <row r="60" spans="2:40" ht="30" hidden="1" customHeight="1" x14ac:dyDescent="0.25">
      <c r="B60" s="1206" t="s">
        <v>2726</v>
      </c>
      <c r="C60" s="1077"/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275">
        <f>SUM(N59:N59)</f>
        <v>4760.0913681417696</v>
      </c>
      <c r="O60" s="275">
        <f>SUM(O59:O59)</f>
        <v>0</v>
      </c>
      <c r="P60" s="275">
        <f>SUM(P59:P59)</f>
        <v>0</v>
      </c>
      <c r="Q60" s="275">
        <f>SUM(Q59:Q59)</f>
        <v>0</v>
      </c>
      <c r="R60" s="1085"/>
      <c r="S60" s="275">
        <f>SUM(S59:S59)</f>
        <v>0</v>
      </c>
      <c r="T60" s="1116">
        <f>SUM(T59:T59)</f>
        <v>0</v>
      </c>
      <c r="U60" s="275">
        <f>SUM(U59:U59)</f>
        <v>0</v>
      </c>
      <c r="V60" s="276"/>
      <c r="W60" s="275">
        <f>SUM(W59:W59)</f>
        <v>0</v>
      </c>
      <c r="X60" s="1115"/>
      <c r="Y60" s="1116">
        <f>SUM(Y59:Y59)</f>
        <v>0</v>
      </c>
      <c r="Z60" s="276"/>
      <c r="AA60" s="275">
        <f t="shared" ref="AA60:AN60" si="61">SUM(AA59:AA59)</f>
        <v>0</v>
      </c>
      <c r="AB60" s="1131">
        <f t="shared" si="61"/>
        <v>0</v>
      </c>
      <c r="AC60" s="275">
        <f t="shared" si="61"/>
        <v>0</v>
      </c>
      <c r="AD60" s="275">
        <f t="shared" si="61"/>
        <v>0</v>
      </c>
      <c r="AE60" s="275">
        <f t="shared" si="61"/>
        <v>0</v>
      </c>
      <c r="AF60" s="1116">
        <f t="shared" si="61"/>
        <v>0</v>
      </c>
      <c r="AG60" s="1146">
        <f t="shared" si="61"/>
        <v>0</v>
      </c>
      <c r="AH60" s="1116">
        <f t="shared" si="61"/>
        <v>0</v>
      </c>
      <c r="AI60" s="1116">
        <f t="shared" si="61"/>
        <v>0</v>
      </c>
      <c r="AJ60" s="1116">
        <f t="shared" si="61"/>
        <v>0</v>
      </c>
      <c r="AK60" s="275">
        <f>SUM(AJ59:AJ59)</f>
        <v>0</v>
      </c>
      <c r="AL60" s="275">
        <f t="shared" si="61"/>
        <v>0</v>
      </c>
      <c r="AM60" s="275">
        <f t="shared" si="61"/>
        <v>4760.0913681417696</v>
      </c>
      <c r="AN60" s="275">
        <f t="shared" si="61"/>
        <v>0</v>
      </c>
    </row>
    <row r="61" spans="2:40" s="258" customFormat="1" ht="30" hidden="1" customHeight="1" x14ac:dyDescent="0.25">
      <c r="B61" s="267">
        <v>0</v>
      </c>
      <c r="C61" s="259" t="s">
        <v>7119</v>
      </c>
      <c r="D61" s="259" t="s">
        <v>2681</v>
      </c>
      <c r="E61" s="259" t="s">
        <v>2757</v>
      </c>
      <c r="F61" s="259" t="s">
        <v>2758</v>
      </c>
      <c r="G61" s="259" t="s">
        <v>2776</v>
      </c>
      <c r="H61" s="266">
        <v>1</v>
      </c>
      <c r="I61" s="257">
        <v>40</v>
      </c>
      <c r="J61" s="257" t="s">
        <v>2636</v>
      </c>
      <c r="K61" s="257">
        <v>0</v>
      </c>
      <c r="L61" s="261">
        <v>0</v>
      </c>
      <c r="M61" s="257">
        <v>8</v>
      </c>
      <c r="N61" s="262">
        <f>M61*AN$10+0.01</f>
        <v>5117.37</v>
      </c>
      <c r="O61" s="280">
        <v>0</v>
      </c>
      <c r="P61" s="280">
        <v>0</v>
      </c>
      <c r="Q61" s="280">
        <v>0</v>
      </c>
      <c r="R61" s="263">
        <v>0</v>
      </c>
      <c r="S61" s="264">
        <f>N61*R61</f>
        <v>0</v>
      </c>
      <c r="T61" s="1114">
        <v>0</v>
      </c>
      <c r="U61" s="264">
        <v>0</v>
      </c>
      <c r="V61" s="265">
        <v>0</v>
      </c>
      <c r="W61" s="264">
        <f>N61*V61</f>
        <v>0</v>
      </c>
      <c r="X61" s="1113">
        <f>51.18/4794.24</f>
        <v>1.0675310372446936E-2</v>
      </c>
      <c r="Y61" s="1114">
        <f>N61*X61</f>
        <v>54.629513040648781</v>
      </c>
      <c r="Z61" s="265">
        <v>0</v>
      </c>
      <c r="AA61" s="264">
        <f>N61*Z61</f>
        <v>0</v>
      </c>
      <c r="AB61" s="1130">
        <v>0</v>
      </c>
      <c r="AC61" s="264">
        <v>0</v>
      </c>
      <c r="AD61" s="264">
        <v>0</v>
      </c>
      <c r="AE61" s="264">
        <v>0</v>
      </c>
      <c r="AF61" s="1114">
        <v>0</v>
      </c>
      <c r="AG61" s="1145">
        <v>0</v>
      </c>
      <c r="AH61" s="1119">
        <v>0</v>
      </c>
      <c r="AI61" s="1119">
        <v>0</v>
      </c>
      <c r="AJ61" s="1114">
        <v>0</v>
      </c>
      <c r="AK61" s="273">
        <f>(N61+T61+U61)/3</f>
        <v>1705.79</v>
      </c>
      <c r="AL61" s="273">
        <f>AK61*R61</f>
        <v>0</v>
      </c>
      <c r="AM61" s="273">
        <f>N61</f>
        <v>5117.37</v>
      </c>
      <c r="AN61" s="273">
        <f>AM61*R61</f>
        <v>0</v>
      </c>
    </row>
    <row r="62" spans="2:40" ht="30" hidden="1" customHeight="1" x14ac:dyDescent="0.25">
      <c r="B62" s="1206" t="s">
        <v>2759</v>
      </c>
      <c r="C62" s="1077"/>
      <c r="D62" s="1077"/>
      <c r="E62" s="1077"/>
      <c r="F62" s="1077"/>
      <c r="G62" s="1077"/>
      <c r="H62" s="1077"/>
      <c r="I62" s="1077"/>
      <c r="J62" s="1077"/>
      <c r="K62" s="1077"/>
      <c r="L62" s="1077"/>
      <c r="M62" s="1077"/>
      <c r="N62" s="275">
        <f>SUM(N61:N61)</f>
        <v>5117.37</v>
      </c>
      <c r="O62" s="275">
        <f>SUM(O61:O61)</f>
        <v>0</v>
      </c>
      <c r="P62" s="275">
        <f>SUM(P61:P61)</f>
        <v>0</v>
      </c>
      <c r="Q62" s="275">
        <f>SUM(Q61:Q61)</f>
        <v>0</v>
      </c>
      <c r="R62" s="1085"/>
      <c r="S62" s="275">
        <f>SUM(S61:S61)</f>
        <v>0</v>
      </c>
      <c r="T62" s="1116">
        <f>SUM(T61:T61)</f>
        <v>0</v>
      </c>
      <c r="U62" s="275">
        <f>SUM(U61:U61)</f>
        <v>0</v>
      </c>
      <c r="V62" s="276"/>
      <c r="W62" s="275">
        <f>SUM(W61:W61)</f>
        <v>0</v>
      </c>
      <c r="X62" s="1115"/>
      <c r="Y62" s="1116">
        <f>SUM(Y61:Y61)</f>
        <v>54.629513040648781</v>
      </c>
      <c r="Z62" s="276"/>
      <c r="AA62" s="275">
        <f t="shared" ref="AA62:AN62" si="62">SUM(AA61:AA61)</f>
        <v>0</v>
      </c>
      <c r="AB62" s="1131">
        <f t="shared" si="62"/>
        <v>0</v>
      </c>
      <c r="AC62" s="275">
        <f t="shared" si="62"/>
        <v>0</v>
      </c>
      <c r="AD62" s="275">
        <f t="shared" si="62"/>
        <v>0</v>
      </c>
      <c r="AE62" s="275">
        <f t="shared" si="62"/>
        <v>0</v>
      </c>
      <c r="AF62" s="1116">
        <f t="shared" si="62"/>
        <v>0</v>
      </c>
      <c r="AG62" s="1146">
        <f t="shared" si="62"/>
        <v>0</v>
      </c>
      <c r="AH62" s="1116">
        <f t="shared" si="62"/>
        <v>0</v>
      </c>
      <c r="AI62" s="1116">
        <f t="shared" si="62"/>
        <v>0</v>
      </c>
      <c r="AJ62" s="1116">
        <f t="shared" si="62"/>
        <v>0</v>
      </c>
      <c r="AK62" s="275">
        <f>SUM(AJ61:AJ61)</f>
        <v>0</v>
      </c>
      <c r="AL62" s="275">
        <f t="shared" si="62"/>
        <v>0</v>
      </c>
      <c r="AM62" s="275">
        <f t="shared" si="62"/>
        <v>5117.37</v>
      </c>
      <c r="AN62" s="275">
        <f t="shared" si="62"/>
        <v>0</v>
      </c>
    </row>
    <row r="63" spans="2:40" ht="34.5" hidden="1" customHeight="1" x14ac:dyDescent="0.25">
      <c r="B63" s="267">
        <v>479</v>
      </c>
      <c r="C63" s="259" t="s">
        <v>7120</v>
      </c>
      <c r="D63" s="259" t="s">
        <v>2681</v>
      </c>
      <c r="E63" s="259" t="s">
        <v>2739</v>
      </c>
      <c r="F63" s="259" t="s">
        <v>2758</v>
      </c>
      <c r="G63" s="259" t="s">
        <v>2776</v>
      </c>
      <c r="H63" s="266">
        <v>1</v>
      </c>
      <c r="I63" s="257">
        <v>40</v>
      </c>
      <c r="J63" s="257" t="s">
        <v>2638</v>
      </c>
      <c r="K63" s="257">
        <v>0</v>
      </c>
      <c r="L63" s="261">
        <v>37301</v>
      </c>
      <c r="M63" s="257">
        <v>9.1999999999999993</v>
      </c>
      <c r="N63" s="262">
        <f>M63*AN$10+0.01</f>
        <v>5884.9739999999993</v>
      </c>
      <c r="O63" s="280">
        <v>0</v>
      </c>
      <c r="P63" s="280">
        <v>0</v>
      </c>
      <c r="Q63" s="280">
        <v>0</v>
      </c>
      <c r="R63" s="263">
        <v>0.18</v>
      </c>
      <c r="S63" s="264">
        <f t="shared" ref="S63:S67" si="63">N63*R63</f>
        <v>1059.2953199999997</v>
      </c>
      <c r="T63" s="1114">
        <v>0</v>
      </c>
      <c r="U63" s="264">
        <v>0</v>
      </c>
      <c r="V63" s="265">
        <v>0</v>
      </c>
      <c r="W63" s="264">
        <f t="shared" ref="W63:W67" si="64">N63*V63</f>
        <v>0</v>
      </c>
      <c r="X63" s="1113">
        <f>51.18/N63</f>
        <v>8.6967249133131277E-3</v>
      </c>
      <c r="Y63" s="1114">
        <f t="shared" ref="Y63:Y67" si="65">N63*X63</f>
        <v>51.180000000000007</v>
      </c>
      <c r="Z63" s="265">
        <v>0</v>
      </c>
      <c r="AA63" s="264">
        <f t="shared" ref="AA63:AA67" si="66">N63*Z63</f>
        <v>0</v>
      </c>
      <c r="AB63" s="1130">
        <v>0</v>
      </c>
      <c r="AC63" s="264">
        <v>642.34</v>
      </c>
      <c r="AD63" s="264">
        <f>AO$9*(1+3.631%)</f>
        <v>0</v>
      </c>
      <c r="AE63" s="264">
        <v>0</v>
      </c>
      <c r="AF63" s="1114">
        <v>0</v>
      </c>
      <c r="AG63" s="1145">
        <v>0</v>
      </c>
      <c r="AH63" s="1119">
        <v>0</v>
      </c>
      <c r="AI63" s="1119">
        <v>0</v>
      </c>
      <c r="AJ63" s="1114">
        <v>0</v>
      </c>
      <c r="AK63" s="273">
        <f t="shared" ref="AK63:AK67" si="67">(N63+T63+U63)/3</f>
        <v>1961.6579999999997</v>
      </c>
      <c r="AL63" s="273">
        <f>AK63*R63</f>
        <v>353.09843999999993</v>
      </c>
      <c r="AM63" s="273">
        <f t="shared" ref="AM63:AM67" si="68">N63</f>
        <v>5884.9739999999993</v>
      </c>
      <c r="AN63" s="273">
        <f t="shared" ref="AN63:AN67" si="69">AM63*R63</f>
        <v>1059.2953199999997</v>
      </c>
    </row>
    <row r="64" spans="2:40" s="258" customFormat="1" ht="30" hidden="1" customHeight="1" x14ac:dyDescent="0.25">
      <c r="B64" s="267">
        <v>0</v>
      </c>
      <c r="C64" s="259" t="s">
        <v>7121</v>
      </c>
      <c r="D64" s="259" t="s">
        <v>2681</v>
      </c>
      <c r="E64" s="259" t="s">
        <v>2739</v>
      </c>
      <c r="F64" s="259" t="s">
        <v>2758</v>
      </c>
      <c r="G64" s="259" t="s">
        <v>2776</v>
      </c>
      <c r="H64" s="266">
        <v>1</v>
      </c>
      <c r="I64" s="257">
        <v>40</v>
      </c>
      <c r="J64" s="257" t="s">
        <v>2638</v>
      </c>
      <c r="K64" s="257">
        <v>0</v>
      </c>
      <c r="L64" s="261">
        <v>37301</v>
      </c>
      <c r="M64" s="257">
        <v>8</v>
      </c>
      <c r="N64" s="262">
        <f>M64*AN$10+0.01</f>
        <v>5117.37</v>
      </c>
      <c r="O64" s="280">
        <v>0</v>
      </c>
      <c r="P64" s="280">
        <v>0</v>
      </c>
      <c r="Q64" s="280">
        <v>0</v>
      </c>
      <c r="R64" s="263">
        <v>0</v>
      </c>
      <c r="S64" s="264">
        <f t="shared" si="63"/>
        <v>0</v>
      </c>
      <c r="T64" s="1114">
        <v>0</v>
      </c>
      <c r="U64" s="264">
        <v>0</v>
      </c>
      <c r="V64" s="265">
        <v>0</v>
      </c>
      <c r="W64" s="264">
        <f t="shared" si="64"/>
        <v>0</v>
      </c>
      <c r="X64" s="1113">
        <f>47.95/N64</f>
        <v>9.3700475048706672E-3</v>
      </c>
      <c r="Y64" s="1114">
        <f t="shared" si="65"/>
        <v>47.95</v>
      </c>
      <c r="Z64" s="265">
        <v>0</v>
      </c>
      <c r="AA64" s="264">
        <f t="shared" si="66"/>
        <v>0</v>
      </c>
      <c r="AB64" s="1130">
        <v>0</v>
      </c>
      <c r="AC64" s="264">
        <v>0</v>
      </c>
      <c r="AD64" s="264">
        <f>AO$9*(1+3.631%)</f>
        <v>0</v>
      </c>
      <c r="AE64" s="264">
        <v>0</v>
      </c>
      <c r="AF64" s="1114">
        <v>0</v>
      </c>
      <c r="AG64" s="1145">
        <v>0</v>
      </c>
      <c r="AH64" s="1119">
        <v>0</v>
      </c>
      <c r="AI64" s="1119">
        <v>0</v>
      </c>
      <c r="AJ64" s="1114">
        <v>0</v>
      </c>
      <c r="AK64" s="273">
        <f t="shared" si="67"/>
        <v>1705.79</v>
      </c>
      <c r="AL64" s="273">
        <f>AK64*R64</f>
        <v>0</v>
      </c>
      <c r="AM64" s="273">
        <f t="shared" si="68"/>
        <v>5117.37</v>
      </c>
      <c r="AN64" s="273">
        <f t="shared" si="69"/>
        <v>0</v>
      </c>
    </row>
    <row r="65" spans="2:40" ht="30" hidden="1" customHeight="1" x14ac:dyDescent="0.25">
      <c r="B65" s="267">
        <v>550</v>
      </c>
      <c r="C65" s="267" t="s">
        <v>7122</v>
      </c>
      <c r="D65" s="259" t="s">
        <v>2643</v>
      </c>
      <c r="E65" s="259" t="s">
        <v>2739</v>
      </c>
      <c r="F65" s="259" t="s">
        <v>2758</v>
      </c>
      <c r="G65" s="259" t="s">
        <v>2777</v>
      </c>
      <c r="H65" s="266">
        <v>1</v>
      </c>
      <c r="I65" s="257">
        <v>44</v>
      </c>
      <c r="J65" s="257" t="s">
        <v>2636</v>
      </c>
      <c r="K65" s="257">
        <v>0</v>
      </c>
      <c r="L65" s="261">
        <v>37431</v>
      </c>
      <c r="M65" s="257">
        <v>1.95</v>
      </c>
      <c r="N65" s="262">
        <f>M65*AN$10</f>
        <v>1247.3564999999999</v>
      </c>
      <c r="O65" s="280">
        <v>0</v>
      </c>
      <c r="P65" s="280">
        <v>0</v>
      </c>
      <c r="Q65" s="280">
        <v>0</v>
      </c>
      <c r="R65" s="263">
        <v>0.18</v>
      </c>
      <c r="S65" s="264">
        <f t="shared" si="63"/>
        <v>224.52416999999997</v>
      </c>
      <c r="T65" s="1114">
        <v>0</v>
      </c>
      <c r="U65" s="264">
        <v>0</v>
      </c>
      <c r="V65" s="265">
        <v>0</v>
      </c>
      <c r="W65" s="264">
        <f t="shared" si="64"/>
        <v>0</v>
      </c>
      <c r="X65" s="1113">
        <f>127.94/N65</f>
        <v>0.10256891273665548</v>
      </c>
      <c r="Y65" s="1114">
        <f t="shared" si="65"/>
        <v>127.94</v>
      </c>
      <c r="Z65" s="265">
        <v>0</v>
      </c>
      <c r="AA65" s="271">
        <f t="shared" si="66"/>
        <v>0</v>
      </c>
      <c r="AB65" s="1130">
        <v>0</v>
      </c>
      <c r="AC65" s="264">
        <f>AN$10*(0%)</f>
        <v>0</v>
      </c>
      <c r="AD65" s="264">
        <f t="shared" ref="AD65:AD67" si="70">AO$9*(0%)</f>
        <v>0</v>
      </c>
      <c r="AE65" s="264">
        <v>0</v>
      </c>
      <c r="AF65" s="1114">
        <v>0</v>
      </c>
      <c r="AG65" s="1145">
        <v>0</v>
      </c>
      <c r="AH65" s="1119">
        <v>0</v>
      </c>
      <c r="AI65" s="1119">
        <v>0</v>
      </c>
      <c r="AJ65" s="1114">
        <v>0</v>
      </c>
      <c r="AK65" s="273">
        <f t="shared" si="67"/>
        <v>415.78549999999996</v>
      </c>
      <c r="AL65" s="273">
        <f>AK65*R65</f>
        <v>74.84138999999999</v>
      </c>
      <c r="AM65" s="273">
        <f t="shared" si="68"/>
        <v>1247.3564999999999</v>
      </c>
      <c r="AN65" s="273">
        <f t="shared" si="69"/>
        <v>224.52416999999997</v>
      </c>
    </row>
    <row r="66" spans="2:40" ht="30" hidden="1" customHeight="1" x14ac:dyDescent="0.25">
      <c r="B66" s="267">
        <v>731</v>
      </c>
      <c r="C66" s="259" t="s">
        <v>2660</v>
      </c>
      <c r="D66" s="259" t="s">
        <v>2661</v>
      </c>
      <c r="E66" s="259" t="s">
        <v>2739</v>
      </c>
      <c r="F66" s="259" t="s">
        <v>2758</v>
      </c>
      <c r="G66" s="259" t="s">
        <v>2777</v>
      </c>
      <c r="H66" s="266">
        <v>1</v>
      </c>
      <c r="I66" s="257">
        <v>44</v>
      </c>
      <c r="J66" s="257" t="s">
        <v>2648</v>
      </c>
      <c r="K66" s="257">
        <v>0</v>
      </c>
      <c r="L66" s="261">
        <v>38110</v>
      </c>
      <c r="M66" s="257">
        <v>2.14</v>
      </c>
      <c r="N66" s="262">
        <f>M66*AN$10</f>
        <v>1368.8938000000001</v>
      </c>
      <c r="O66" s="280">
        <v>0</v>
      </c>
      <c r="P66" s="280">
        <v>0</v>
      </c>
      <c r="Q66" s="280">
        <v>0</v>
      </c>
      <c r="R66" s="263">
        <v>0.16</v>
      </c>
      <c r="S66" s="264">
        <f t="shared" si="63"/>
        <v>219.023008</v>
      </c>
      <c r="T66" s="1114">
        <v>0</v>
      </c>
      <c r="U66" s="264">
        <v>0</v>
      </c>
      <c r="V66" s="265">
        <v>0</v>
      </c>
      <c r="W66" s="264">
        <f t="shared" si="64"/>
        <v>0</v>
      </c>
      <c r="X66" s="1113">
        <f>127.94/N66</f>
        <v>9.3462327026391664E-2</v>
      </c>
      <c r="Y66" s="1114">
        <f t="shared" si="65"/>
        <v>127.94</v>
      </c>
      <c r="Z66" s="265">
        <v>0</v>
      </c>
      <c r="AA66" s="271">
        <f t="shared" si="66"/>
        <v>0</v>
      </c>
      <c r="AB66" s="1130">
        <f>N66*(10.1875%)</f>
        <v>139.456055875</v>
      </c>
      <c r="AC66" s="264">
        <f>AN$10*(0%)</f>
        <v>0</v>
      </c>
      <c r="AD66" s="264">
        <f t="shared" si="70"/>
        <v>0</v>
      </c>
      <c r="AE66" s="264">
        <v>0</v>
      </c>
      <c r="AF66" s="1114">
        <v>0</v>
      </c>
      <c r="AG66" s="1145">
        <v>0</v>
      </c>
      <c r="AH66" s="1119">
        <v>0</v>
      </c>
      <c r="AI66" s="1119">
        <v>0</v>
      </c>
      <c r="AJ66" s="1114">
        <v>0</v>
      </c>
      <c r="AK66" s="273">
        <f t="shared" si="67"/>
        <v>456.29793333333333</v>
      </c>
      <c r="AL66" s="273">
        <f>AK66*R66</f>
        <v>73.00766933333334</v>
      </c>
      <c r="AM66" s="273">
        <f t="shared" si="68"/>
        <v>1368.8938000000001</v>
      </c>
      <c r="AN66" s="273">
        <f t="shared" si="69"/>
        <v>219.023008</v>
      </c>
    </row>
    <row r="67" spans="2:40" s="258" customFormat="1" ht="30" customHeight="1" x14ac:dyDescent="0.25">
      <c r="B67" s="267">
        <v>1570</v>
      </c>
      <c r="C67" s="259" t="s">
        <v>2662</v>
      </c>
      <c r="D67" s="259" t="s">
        <v>2661</v>
      </c>
      <c r="E67" s="259"/>
      <c r="F67" s="259" t="s">
        <v>2633</v>
      </c>
      <c r="G67" s="259" t="s">
        <v>2777</v>
      </c>
      <c r="H67" s="266">
        <v>1</v>
      </c>
      <c r="I67" s="257">
        <v>44</v>
      </c>
      <c r="J67" s="257" t="s">
        <v>2634</v>
      </c>
      <c r="K67" s="257">
        <v>0</v>
      </c>
      <c r="L67" s="261">
        <v>40882</v>
      </c>
      <c r="M67" s="257">
        <v>2.06</v>
      </c>
      <c r="N67" s="262">
        <f>M67*AN$10</f>
        <v>1317.7202</v>
      </c>
      <c r="O67" s="280">
        <v>0</v>
      </c>
      <c r="P67" s="280">
        <v>0</v>
      </c>
      <c r="Q67" s="280">
        <v>0</v>
      </c>
      <c r="R67" s="263">
        <v>0.08</v>
      </c>
      <c r="S67" s="264">
        <f t="shared" si="63"/>
        <v>105.417616</v>
      </c>
      <c r="T67" s="1114">
        <v>0</v>
      </c>
      <c r="U67" s="264">
        <v>0</v>
      </c>
      <c r="V67" s="265">
        <v>0</v>
      </c>
      <c r="W67" s="264">
        <f t="shared" si="64"/>
        <v>0</v>
      </c>
      <c r="X67" s="1113">
        <f>127.94/N67</f>
        <v>9.7091931959455424E-2</v>
      </c>
      <c r="Y67" s="1114">
        <f t="shared" si="65"/>
        <v>127.94</v>
      </c>
      <c r="Z67" s="265">
        <v>0</v>
      </c>
      <c r="AA67" s="271">
        <f t="shared" si="66"/>
        <v>0</v>
      </c>
      <c r="AB67" s="1130">
        <f>N67*(8.2728%)</f>
        <v>109.0123567056</v>
      </c>
      <c r="AC67" s="264">
        <f>AN$10*(0%)</f>
        <v>0</v>
      </c>
      <c r="AD67" s="264">
        <f t="shared" si="70"/>
        <v>0</v>
      </c>
      <c r="AE67" s="264">
        <v>0</v>
      </c>
      <c r="AF67" s="1114">
        <v>0</v>
      </c>
      <c r="AG67" s="1145">
        <v>0</v>
      </c>
      <c r="AH67" s="1119">
        <v>0</v>
      </c>
      <c r="AI67" s="1119">
        <v>0</v>
      </c>
      <c r="AJ67" s="1114">
        <v>0</v>
      </c>
      <c r="AK67" s="273">
        <f t="shared" si="67"/>
        <v>439.24006666666668</v>
      </c>
      <c r="AL67" s="273">
        <f>AK67*R67</f>
        <v>35.139205333333337</v>
      </c>
      <c r="AM67" s="273">
        <f t="shared" si="68"/>
        <v>1317.7202</v>
      </c>
      <c r="AN67" s="273">
        <f t="shared" si="69"/>
        <v>105.417616</v>
      </c>
    </row>
    <row r="68" spans="2:40" s="274" customFormat="1" ht="30" hidden="1" customHeight="1" x14ac:dyDescent="0.25">
      <c r="B68" s="1206" t="s">
        <v>2747</v>
      </c>
      <c r="C68" s="1077"/>
      <c r="D68" s="1077"/>
      <c r="E68" s="1077"/>
      <c r="F68" s="1077"/>
      <c r="G68" s="1077"/>
      <c r="H68" s="1077"/>
      <c r="I68" s="1077"/>
      <c r="J68" s="1077"/>
      <c r="K68" s="1077"/>
      <c r="L68" s="1077"/>
      <c r="M68" s="1077"/>
      <c r="N68" s="275">
        <f>SUM(N63:N67)</f>
        <v>14936.314499999999</v>
      </c>
      <c r="O68" s="275">
        <f>SUM(O63:O67)</f>
        <v>0</v>
      </c>
      <c r="P68" s="275">
        <f>SUM(P63:P67)</f>
        <v>0</v>
      </c>
      <c r="Q68" s="275">
        <f>SUM(Q63:Q67)</f>
        <v>0</v>
      </c>
      <c r="R68" s="1085"/>
      <c r="S68" s="275">
        <f>SUM(S63:S67)</f>
        <v>1608.2601139999995</v>
      </c>
      <c r="T68" s="1116">
        <f>SUM(T63:T67)</f>
        <v>0</v>
      </c>
      <c r="U68" s="275">
        <f>SUM(U63:U67)</f>
        <v>0</v>
      </c>
      <c r="V68" s="276"/>
      <c r="W68" s="275">
        <f>SUM(W63:W67)</f>
        <v>0</v>
      </c>
      <c r="X68" s="1115"/>
      <c r="Y68" s="1116">
        <f>SUM(Y63:Y67)</f>
        <v>482.95</v>
      </c>
      <c r="Z68" s="276"/>
      <c r="AA68" s="275">
        <f t="shared" ref="AA68:AN68" si="71">SUM(AA63:AA67)</f>
        <v>0</v>
      </c>
      <c r="AB68" s="1131">
        <f t="shared" si="71"/>
        <v>248.46841258059999</v>
      </c>
      <c r="AC68" s="275">
        <f t="shared" si="71"/>
        <v>642.34</v>
      </c>
      <c r="AD68" s="275">
        <f t="shared" si="71"/>
        <v>0</v>
      </c>
      <c r="AE68" s="275">
        <f t="shared" si="71"/>
        <v>0</v>
      </c>
      <c r="AF68" s="1116">
        <f t="shared" si="71"/>
        <v>0</v>
      </c>
      <c r="AG68" s="1146">
        <f t="shared" si="71"/>
        <v>0</v>
      </c>
      <c r="AH68" s="1116">
        <f t="shared" si="71"/>
        <v>0</v>
      </c>
      <c r="AI68" s="1116">
        <f t="shared" si="71"/>
        <v>0</v>
      </c>
      <c r="AJ68" s="1116">
        <f t="shared" si="71"/>
        <v>0</v>
      </c>
      <c r="AK68" s="275">
        <f>SUM(AJ63:AJ67)</f>
        <v>0</v>
      </c>
      <c r="AL68" s="275">
        <f t="shared" si="71"/>
        <v>536.08670466666661</v>
      </c>
      <c r="AM68" s="275">
        <f t="shared" si="71"/>
        <v>14936.314499999999</v>
      </c>
      <c r="AN68" s="275">
        <f t="shared" si="71"/>
        <v>1608.2601139999995</v>
      </c>
    </row>
    <row r="69" spans="2:40" s="274" customFormat="1" ht="30" hidden="1" customHeight="1" x14ac:dyDescent="0.25">
      <c r="B69" s="267">
        <v>2246</v>
      </c>
      <c r="C69" s="267" t="s">
        <v>7123</v>
      </c>
      <c r="D69" s="267" t="s">
        <v>2762</v>
      </c>
      <c r="E69" s="267" t="s">
        <v>2723</v>
      </c>
      <c r="F69" s="267" t="s">
        <v>2758</v>
      </c>
      <c r="G69" s="259" t="s">
        <v>2777</v>
      </c>
      <c r="H69" s="257">
        <v>1</v>
      </c>
      <c r="I69" s="257">
        <v>40</v>
      </c>
      <c r="J69" s="257">
        <v>0</v>
      </c>
      <c r="K69" s="257">
        <v>0</v>
      </c>
      <c r="L69" s="261">
        <v>43206</v>
      </c>
      <c r="M69" s="260">
        <v>3.2</v>
      </c>
      <c r="N69" s="280">
        <f>AN$10*M69+0.01</f>
        <v>2046.954</v>
      </c>
      <c r="O69" s="280">
        <v>0</v>
      </c>
      <c r="P69" s="280">
        <v>0</v>
      </c>
      <c r="Q69" s="280">
        <v>0</v>
      </c>
      <c r="R69" s="281">
        <v>0</v>
      </c>
      <c r="S69" s="271">
        <f>N69*R69</f>
        <v>0</v>
      </c>
      <c r="T69" s="1114">
        <v>0</v>
      </c>
      <c r="U69" s="271">
        <v>0</v>
      </c>
      <c r="V69" s="282">
        <v>0</v>
      </c>
      <c r="W69" s="264">
        <f>N69*V69</f>
        <v>0</v>
      </c>
      <c r="X69" s="1113">
        <v>0</v>
      </c>
      <c r="Y69" s="1114">
        <v>0</v>
      </c>
      <c r="Z69" s="282">
        <v>0</v>
      </c>
      <c r="AA69" s="271">
        <v>0</v>
      </c>
      <c r="AB69" s="1130">
        <v>0</v>
      </c>
      <c r="AC69" s="271">
        <v>0</v>
      </c>
      <c r="AD69" s="271">
        <v>0</v>
      </c>
      <c r="AE69" s="271">
        <v>0</v>
      </c>
      <c r="AF69" s="1114">
        <v>0</v>
      </c>
      <c r="AG69" s="1145">
        <v>0</v>
      </c>
      <c r="AH69" s="1114">
        <v>0</v>
      </c>
      <c r="AI69" s="1114">
        <v>0</v>
      </c>
      <c r="AJ69" s="1114">
        <v>0</v>
      </c>
      <c r="AK69" s="273">
        <f>(N69+T69+U69)/3</f>
        <v>682.31799999999998</v>
      </c>
      <c r="AL69" s="273">
        <f>AK69*R69</f>
        <v>0</v>
      </c>
      <c r="AM69" s="273">
        <f>N69</f>
        <v>2046.954</v>
      </c>
      <c r="AN69" s="273">
        <f>AM69*R69</f>
        <v>0</v>
      </c>
    </row>
    <row r="70" spans="2:40" s="274" customFormat="1" ht="30" hidden="1" customHeight="1" x14ac:dyDescent="0.25">
      <c r="B70" s="267">
        <v>2195</v>
      </c>
      <c r="C70" s="267" t="s">
        <v>7124</v>
      </c>
      <c r="D70" s="267" t="s">
        <v>2763</v>
      </c>
      <c r="E70" s="267" t="s">
        <v>2723</v>
      </c>
      <c r="F70" s="267" t="s">
        <v>2758</v>
      </c>
      <c r="G70" s="259" t="s">
        <v>2777</v>
      </c>
      <c r="H70" s="257">
        <v>1</v>
      </c>
      <c r="I70" s="257">
        <v>40</v>
      </c>
      <c r="J70" s="257">
        <v>0</v>
      </c>
      <c r="K70" s="257">
        <v>0</v>
      </c>
      <c r="L70" s="261">
        <v>42996</v>
      </c>
      <c r="M70" s="260">
        <v>3.2</v>
      </c>
      <c r="N70" s="280">
        <f>AN$10*M70+0.01</f>
        <v>2046.954</v>
      </c>
      <c r="O70" s="280">
        <v>0</v>
      </c>
      <c r="P70" s="280">
        <v>0</v>
      </c>
      <c r="Q70" s="280">
        <v>0</v>
      </c>
      <c r="R70" s="281">
        <v>0</v>
      </c>
      <c r="S70" s="271">
        <f>N70*R70</f>
        <v>0</v>
      </c>
      <c r="T70" s="1114">
        <v>0</v>
      </c>
      <c r="U70" s="271">
        <v>0</v>
      </c>
      <c r="V70" s="282">
        <v>0</v>
      </c>
      <c r="W70" s="264">
        <f>N70*V70</f>
        <v>0</v>
      </c>
      <c r="X70" s="1113">
        <v>0</v>
      </c>
      <c r="Y70" s="1114">
        <v>0</v>
      </c>
      <c r="Z70" s="282">
        <v>0</v>
      </c>
      <c r="AA70" s="271">
        <v>0</v>
      </c>
      <c r="AB70" s="1130">
        <v>0</v>
      </c>
      <c r="AC70" s="271">
        <v>0</v>
      </c>
      <c r="AD70" s="271">
        <v>0</v>
      </c>
      <c r="AE70" s="271">
        <v>0</v>
      </c>
      <c r="AF70" s="1114">
        <v>0</v>
      </c>
      <c r="AG70" s="1145">
        <v>0</v>
      </c>
      <c r="AH70" s="1114">
        <v>0</v>
      </c>
      <c r="AI70" s="1114">
        <v>0</v>
      </c>
      <c r="AJ70" s="1114">
        <v>0</v>
      </c>
      <c r="AK70" s="273">
        <f>(N70+T70+U70)/3</f>
        <v>682.31799999999998</v>
      </c>
      <c r="AL70" s="273">
        <f>AK70*R70</f>
        <v>0</v>
      </c>
      <c r="AM70" s="273">
        <f>N70</f>
        <v>2046.954</v>
      </c>
      <c r="AN70" s="273">
        <f>AM70*R70</f>
        <v>0</v>
      </c>
    </row>
    <row r="71" spans="2:40" s="274" customFormat="1" ht="30" hidden="1" customHeight="1" x14ac:dyDescent="0.25">
      <c r="B71" s="267">
        <v>2247</v>
      </c>
      <c r="C71" s="267" t="s">
        <v>7125</v>
      </c>
      <c r="D71" s="267" t="s">
        <v>2764</v>
      </c>
      <c r="E71" s="267" t="s">
        <v>2723</v>
      </c>
      <c r="F71" s="267" t="s">
        <v>2758</v>
      </c>
      <c r="G71" s="259" t="s">
        <v>2777</v>
      </c>
      <c r="H71" s="257">
        <v>1</v>
      </c>
      <c r="I71" s="257">
        <v>40</v>
      </c>
      <c r="J71" s="257">
        <v>0</v>
      </c>
      <c r="K71" s="257">
        <v>0</v>
      </c>
      <c r="L71" s="261">
        <v>43206</v>
      </c>
      <c r="M71" s="260">
        <v>3.2</v>
      </c>
      <c r="N71" s="280">
        <f>AN$10*M71+0.01</f>
        <v>2046.954</v>
      </c>
      <c r="O71" s="280">
        <v>0</v>
      </c>
      <c r="P71" s="280">
        <v>0</v>
      </c>
      <c r="Q71" s="280">
        <v>0</v>
      </c>
      <c r="R71" s="281">
        <v>0</v>
      </c>
      <c r="S71" s="271">
        <f>N71*R71</f>
        <v>0</v>
      </c>
      <c r="T71" s="1114">
        <v>0</v>
      </c>
      <c r="U71" s="271">
        <v>0</v>
      </c>
      <c r="V71" s="282">
        <v>0</v>
      </c>
      <c r="W71" s="264">
        <f>N71*V71</f>
        <v>0</v>
      </c>
      <c r="X71" s="1113">
        <v>0</v>
      </c>
      <c r="Y71" s="1114">
        <v>0</v>
      </c>
      <c r="Z71" s="282">
        <v>0</v>
      </c>
      <c r="AA71" s="271">
        <v>0</v>
      </c>
      <c r="AB71" s="1130">
        <v>0</v>
      </c>
      <c r="AC71" s="271">
        <v>0</v>
      </c>
      <c r="AD71" s="271">
        <v>0</v>
      </c>
      <c r="AE71" s="271">
        <v>0</v>
      </c>
      <c r="AF71" s="1114">
        <v>0</v>
      </c>
      <c r="AG71" s="1145">
        <v>0</v>
      </c>
      <c r="AH71" s="1114">
        <v>0</v>
      </c>
      <c r="AI71" s="1114">
        <v>0</v>
      </c>
      <c r="AJ71" s="1114">
        <v>0</v>
      </c>
      <c r="AK71" s="273">
        <f>(N71+T71+U71)/3</f>
        <v>682.31799999999998</v>
      </c>
      <c r="AL71" s="273">
        <f>AK71*R71</f>
        <v>0</v>
      </c>
      <c r="AM71" s="273">
        <f>N71</f>
        <v>2046.954</v>
      </c>
      <c r="AN71" s="273">
        <f>AM71*R71</f>
        <v>0</v>
      </c>
    </row>
    <row r="72" spans="2:40" s="258" customFormat="1" ht="30" hidden="1" customHeight="1" x14ac:dyDescent="0.25">
      <c r="B72" s="267">
        <v>2373</v>
      </c>
      <c r="C72" s="267" t="s">
        <v>7190</v>
      </c>
      <c r="D72" s="267" t="s">
        <v>2764</v>
      </c>
      <c r="E72" s="267" t="s">
        <v>2723</v>
      </c>
      <c r="F72" s="267" t="s">
        <v>2758</v>
      </c>
      <c r="G72" s="259" t="s">
        <v>2777</v>
      </c>
      <c r="H72" s="257">
        <v>1</v>
      </c>
      <c r="I72" s="257">
        <v>40</v>
      </c>
      <c r="J72" s="257">
        <v>0</v>
      </c>
      <c r="K72" s="257">
        <v>0</v>
      </c>
      <c r="L72" s="261">
        <v>43206</v>
      </c>
      <c r="M72" s="260">
        <v>5</v>
      </c>
      <c r="N72" s="280">
        <f>AN$10*M72+0.01</f>
        <v>3198.36</v>
      </c>
      <c r="O72" s="280">
        <v>0</v>
      </c>
      <c r="P72" s="280">
        <v>0</v>
      </c>
      <c r="Q72" s="280">
        <v>0</v>
      </c>
      <c r="R72" s="281">
        <v>0</v>
      </c>
      <c r="S72" s="271">
        <f>N72*R72</f>
        <v>0</v>
      </c>
      <c r="T72" s="1114">
        <v>0</v>
      </c>
      <c r="U72" s="271">
        <v>0</v>
      </c>
      <c r="V72" s="282">
        <v>0</v>
      </c>
      <c r="W72" s="264">
        <f>N72*V72</f>
        <v>0</v>
      </c>
      <c r="X72" s="1113">
        <v>0</v>
      </c>
      <c r="Y72" s="1114">
        <v>0</v>
      </c>
      <c r="Z72" s="282">
        <v>0</v>
      </c>
      <c r="AA72" s="271">
        <v>0</v>
      </c>
      <c r="AB72" s="1130">
        <v>0</v>
      </c>
      <c r="AC72" s="271">
        <v>0</v>
      </c>
      <c r="AD72" s="271">
        <v>0</v>
      </c>
      <c r="AE72" s="271">
        <v>0</v>
      </c>
      <c r="AF72" s="1114">
        <v>0</v>
      </c>
      <c r="AG72" s="1145">
        <v>0</v>
      </c>
      <c r="AH72" s="1114">
        <v>0</v>
      </c>
      <c r="AI72" s="1114">
        <v>0</v>
      </c>
      <c r="AJ72" s="1114">
        <v>0</v>
      </c>
      <c r="AK72" s="273">
        <f>(N72+T72+U72)/3</f>
        <v>1066.1200000000001</v>
      </c>
      <c r="AL72" s="273">
        <f>AK72*R72</f>
        <v>0</v>
      </c>
      <c r="AM72" s="273">
        <f>N72</f>
        <v>3198.36</v>
      </c>
      <c r="AN72" s="273">
        <f>AM72*R72</f>
        <v>0</v>
      </c>
    </row>
    <row r="73" spans="2:40" ht="30" hidden="1" customHeight="1" x14ac:dyDescent="0.25">
      <c r="B73" s="1206" t="s">
        <v>2755</v>
      </c>
      <c r="C73" s="1077"/>
      <c r="D73" s="1077"/>
      <c r="E73" s="1077"/>
      <c r="F73" s="1077"/>
      <c r="G73" s="1077"/>
      <c r="H73" s="1077"/>
      <c r="I73" s="1077"/>
      <c r="J73" s="1077"/>
      <c r="K73" s="1077"/>
      <c r="L73" s="1077"/>
      <c r="M73" s="1077"/>
      <c r="N73" s="275">
        <f>SUM(N69:N72)</f>
        <v>9339.2219999999998</v>
      </c>
      <c r="O73" s="275">
        <f>SUM(O69:O72)</f>
        <v>0</v>
      </c>
      <c r="P73" s="275">
        <f>SUM(P69:P72)</f>
        <v>0</v>
      </c>
      <c r="Q73" s="275">
        <f>SUM(Q69:Q72)</f>
        <v>0</v>
      </c>
      <c r="R73" s="1085"/>
      <c r="S73" s="275">
        <f>SUM(S69:S72)</f>
        <v>0</v>
      </c>
      <c r="T73" s="1116">
        <f>SUM(T69:T72)</f>
        <v>0</v>
      </c>
      <c r="U73" s="275">
        <f>SUM(U69:U72)</f>
        <v>0</v>
      </c>
      <c r="V73" s="276"/>
      <c r="W73" s="275">
        <f>SUM(W69:W72)</f>
        <v>0</v>
      </c>
      <c r="X73" s="1115"/>
      <c r="Y73" s="1116">
        <f>SUM(Y69:Y72)</f>
        <v>0</v>
      </c>
      <c r="Z73" s="276"/>
      <c r="AA73" s="275">
        <f t="shared" ref="AA73:AN73" si="72">SUM(AA69:AA72)</f>
        <v>0</v>
      </c>
      <c r="AB73" s="1131">
        <f t="shared" si="72"/>
        <v>0</v>
      </c>
      <c r="AC73" s="275">
        <f t="shared" si="72"/>
        <v>0</v>
      </c>
      <c r="AD73" s="275">
        <f t="shared" si="72"/>
        <v>0</v>
      </c>
      <c r="AE73" s="275">
        <f t="shared" si="72"/>
        <v>0</v>
      </c>
      <c r="AF73" s="1116">
        <f t="shared" si="72"/>
        <v>0</v>
      </c>
      <c r="AG73" s="1146">
        <f t="shared" si="72"/>
        <v>0</v>
      </c>
      <c r="AH73" s="1116">
        <f t="shared" si="72"/>
        <v>0</v>
      </c>
      <c r="AI73" s="1116">
        <f t="shared" si="72"/>
        <v>0</v>
      </c>
      <c r="AJ73" s="1116">
        <f t="shared" si="72"/>
        <v>0</v>
      </c>
      <c r="AK73" s="275">
        <f>SUM(AJ69:AJ72)</f>
        <v>0</v>
      </c>
      <c r="AL73" s="275">
        <f t="shared" si="72"/>
        <v>0</v>
      </c>
      <c r="AM73" s="275">
        <f t="shared" si="72"/>
        <v>9339.2219999999998</v>
      </c>
      <c r="AN73" s="275">
        <f t="shared" si="72"/>
        <v>0</v>
      </c>
    </row>
    <row r="74" spans="2:40" ht="30" hidden="1" customHeight="1" x14ac:dyDescent="0.25">
      <c r="B74" s="267">
        <v>2339</v>
      </c>
      <c r="C74" s="259" t="s">
        <v>2778</v>
      </c>
      <c r="D74" s="259" t="s">
        <v>2654</v>
      </c>
      <c r="E74" s="259" t="s">
        <v>2757</v>
      </c>
      <c r="F74" s="259" t="s">
        <v>2758</v>
      </c>
      <c r="G74" s="259" t="s">
        <v>2779</v>
      </c>
      <c r="H74" s="266">
        <v>1</v>
      </c>
      <c r="I74" s="257">
        <v>40</v>
      </c>
      <c r="J74" s="257" t="s">
        <v>2636</v>
      </c>
      <c r="K74" s="257">
        <v>0</v>
      </c>
      <c r="L74" s="261">
        <v>43567</v>
      </c>
      <c r="M74" s="257">
        <v>2</v>
      </c>
      <c r="N74" s="262">
        <f>M74*AN$10+0.01</f>
        <v>1279.3499999999999</v>
      </c>
      <c r="O74" s="280">
        <v>0</v>
      </c>
      <c r="P74" s="280">
        <v>0</v>
      </c>
      <c r="Q74" s="280">
        <v>0</v>
      </c>
      <c r="R74" s="263">
        <v>0</v>
      </c>
      <c r="S74" s="264">
        <f>N74*R74</f>
        <v>0</v>
      </c>
      <c r="T74" s="1114">
        <v>0</v>
      </c>
      <c r="U74" s="264">
        <v>0</v>
      </c>
      <c r="V74" s="265">
        <v>0</v>
      </c>
      <c r="W74" s="264">
        <f>N74*V74</f>
        <v>0</v>
      </c>
      <c r="X74" s="1113">
        <f>76.76/N74</f>
        <v>5.9999218353069927E-2</v>
      </c>
      <c r="Y74" s="1114">
        <f>N74*X74</f>
        <v>76.760000000000005</v>
      </c>
      <c r="Z74" s="265">
        <v>0</v>
      </c>
      <c r="AA74" s="264">
        <f>N74*Z74</f>
        <v>0</v>
      </c>
      <c r="AB74" s="1130">
        <f>N74*(0.045%)</f>
        <v>0.57570749999999993</v>
      </c>
      <c r="AC74" s="264">
        <v>0</v>
      </c>
      <c r="AD74" s="264">
        <v>0</v>
      </c>
      <c r="AE74" s="264">
        <f>(211.09/N74)*N74</f>
        <v>211.09</v>
      </c>
      <c r="AF74" s="1114">
        <v>0</v>
      </c>
      <c r="AG74" s="1145">
        <v>0</v>
      </c>
      <c r="AH74" s="1119">
        <v>0</v>
      </c>
      <c r="AI74" s="1119">
        <v>0</v>
      </c>
      <c r="AJ74" s="1114">
        <v>0</v>
      </c>
      <c r="AK74" s="273">
        <f>(N74+T74+U74)/3</f>
        <v>426.45</v>
      </c>
      <c r="AL74" s="273">
        <f>AK74*R74</f>
        <v>0</v>
      </c>
      <c r="AM74" s="273">
        <f>N74</f>
        <v>1279.3499999999999</v>
      </c>
      <c r="AN74" s="273">
        <f>AM74*R74</f>
        <v>0</v>
      </c>
    </row>
    <row r="75" spans="2:40" ht="30" hidden="1" customHeight="1" x14ac:dyDescent="0.25">
      <c r="B75" s="267">
        <v>2338</v>
      </c>
      <c r="C75" s="259" t="s">
        <v>7192</v>
      </c>
      <c r="D75" s="259" t="s">
        <v>2780</v>
      </c>
      <c r="E75" s="259" t="s">
        <v>2757</v>
      </c>
      <c r="F75" s="259" t="s">
        <v>2758</v>
      </c>
      <c r="G75" s="259" t="s">
        <v>2779</v>
      </c>
      <c r="H75" s="266">
        <v>1</v>
      </c>
      <c r="I75" s="257">
        <v>40</v>
      </c>
      <c r="J75" s="257" t="s">
        <v>2636</v>
      </c>
      <c r="K75" s="257">
        <v>0</v>
      </c>
      <c r="L75" s="261">
        <v>43565</v>
      </c>
      <c r="M75" s="257">
        <v>2.5</v>
      </c>
      <c r="N75" s="262">
        <f>M75*AN$10+0.01</f>
        <v>1599.1849999999999</v>
      </c>
      <c r="O75" s="280">
        <v>0</v>
      </c>
      <c r="P75" s="280">
        <v>0</v>
      </c>
      <c r="Q75" s="280">
        <v>0</v>
      </c>
      <c r="R75" s="263">
        <v>0</v>
      </c>
      <c r="S75" s="264">
        <f>N75*R75</f>
        <v>0</v>
      </c>
      <c r="T75" s="1114">
        <v>0</v>
      </c>
      <c r="U75" s="264">
        <v>0</v>
      </c>
      <c r="V75" s="265">
        <v>0</v>
      </c>
      <c r="W75" s="264">
        <f>N75*V75</f>
        <v>0</v>
      </c>
      <c r="X75" s="1113">
        <f>76.76/N75</f>
        <v>4.7999449719700979E-2</v>
      </c>
      <c r="Y75" s="1114">
        <f>N75*X75</f>
        <v>76.760000000000005</v>
      </c>
      <c r="Z75" s="265">
        <v>0</v>
      </c>
      <c r="AA75" s="264">
        <f>N75*Z75</f>
        <v>0</v>
      </c>
      <c r="AB75" s="1130">
        <v>0</v>
      </c>
      <c r="AC75" s="264">
        <v>0</v>
      </c>
      <c r="AD75" s="264">
        <v>0</v>
      </c>
      <c r="AE75" s="264">
        <f>(307.04/N75)*N75</f>
        <v>307.04000000000002</v>
      </c>
      <c r="AF75" s="1114">
        <v>0</v>
      </c>
      <c r="AG75" s="1145">
        <v>0</v>
      </c>
      <c r="AH75" s="1119">
        <v>0</v>
      </c>
      <c r="AI75" s="1119">
        <v>0</v>
      </c>
      <c r="AJ75" s="1114">
        <v>0</v>
      </c>
      <c r="AK75" s="273">
        <f>(N75+T75+U75)/3</f>
        <v>533.06166666666661</v>
      </c>
      <c r="AL75" s="273">
        <f>AK75*R75</f>
        <v>0</v>
      </c>
      <c r="AM75" s="273">
        <f>N75</f>
        <v>1599.1849999999999</v>
      </c>
      <c r="AN75" s="273">
        <f>AM75*R75</f>
        <v>0</v>
      </c>
    </row>
    <row r="76" spans="2:40" ht="30" hidden="1" customHeight="1" x14ac:dyDescent="0.25">
      <c r="B76" s="267">
        <v>2335</v>
      </c>
      <c r="C76" s="259" t="s">
        <v>2781</v>
      </c>
      <c r="D76" s="259" t="s">
        <v>2780</v>
      </c>
      <c r="E76" s="259" t="s">
        <v>2757</v>
      </c>
      <c r="F76" s="259" t="s">
        <v>2758</v>
      </c>
      <c r="G76" s="259" t="s">
        <v>2779</v>
      </c>
      <c r="H76" s="266">
        <v>1</v>
      </c>
      <c r="I76" s="257">
        <v>40</v>
      </c>
      <c r="J76" s="257" t="s">
        <v>2636</v>
      </c>
      <c r="K76" s="257">
        <v>0</v>
      </c>
      <c r="L76" s="261">
        <v>43565</v>
      </c>
      <c r="M76" s="257">
        <v>2.5</v>
      </c>
      <c r="N76" s="262">
        <f>M76*AN$10+0.01</f>
        <v>1599.1849999999999</v>
      </c>
      <c r="O76" s="280">
        <v>0</v>
      </c>
      <c r="P76" s="280">
        <v>0</v>
      </c>
      <c r="Q76" s="280">
        <v>0</v>
      </c>
      <c r="R76" s="263">
        <v>0</v>
      </c>
      <c r="S76" s="264">
        <f>N76*R76</f>
        <v>0</v>
      </c>
      <c r="T76" s="1114">
        <v>0</v>
      </c>
      <c r="U76" s="264">
        <v>0</v>
      </c>
      <c r="V76" s="265">
        <v>0</v>
      </c>
      <c r="W76" s="264">
        <f>N76*V76</f>
        <v>0</v>
      </c>
      <c r="X76" s="1113">
        <f>76.76/N76</f>
        <v>4.7999449719700979E-2</v>
      </c>
      <c r="Y76" s="1114">
        <f>N76*X76</f>
        <v>76.760000000000005</v>
      </c>
      <c r="Z76" s="265">
        <v>0</v>
      </c>
      <c r="AA76" s="264">
        <f>N76*Z76</f>
        <v>0</v>
      </c>
      <c r="AB76" s="1130">
        <v>0</v>
      </c>
      <c r="AC76" s="264">
        <v>0</v>
      </c>
      <c r="AD76" s="264">
        <v>0</v>
      </c>
      <c r="AE76" s="264">
        <f>(268.66/N76)*N76</f>
        <v>268.66000000000003</v>
      </c>
      <c r="AF76" s="1114">
        <v>0</v>
      </c>
      <c r="AG76" s="1145">
        <v>0</v>
      </c>
      <c r="AH76" s="1119">
        <v>0</v>
      </c>
      <c r="AI76" s="1119">
        <v>0</v>
      </c>
      <c r="AJ76" s="1114">
        <v>0</v>
      </c>
      <c r="AK76" s="273">
        <f>(N76+T76+U76)/3</f>
        <v>533.06166666666661</v>
      </c>
      <c r="AL76" s="273">
        <f>AK76*R76</f>
        <v>0</v>
      </c>
      <c r="AM76" s="273">
        <f>N76</f>
        <v>1599.1849999999999</v>
      </c>
      <c r="AN76" s="273">
        <f>AM76*R76</f>
        <v>0</v>
      </c>
    </row>
    <row r="77" spans="2:40" s="258" customFormat="1" ht="30" hidden="1" customHeight="1" x14ac:dyDescent="0.25">
      <c r="B77" s="267">
        <v>2337</v>
      </c>
      <c r="C77" s="259" t="str">
        <f>PROPER("PAULO RENATO PETER")</f>
        <v>Paulo Renato Peter</v>
      </c>
      <c r="D77" s="259" t="s">
        <v>2780</v>
      </c>
      <c r="E77" s="259" t="s">
        <v>2757</v>
      </c>
      <c r="F77" s="259" t="s">
        <v>2758</v>
      </c>
      <c r="G77" s="259" t="s">
        <v>2924</v>
      </c>
      <c r="H77" s="266">
        <v>1</v>
      </c>
      <c r="I77" s="257">
        <v>40</v>
      </c>
      <c r="J77" s="257" t="s">
        <v>2636</v>
      </c>
      <c r="K77" s="257">
        <v>0</v>
      </c>
      <c r="L77" s="261">
        <v>43565</v>
      </c>
      <c r="M77" s="257">
        <v>2.5</v>
      </c>
      <c r="N77" s="262">
        <f>M77*AN$10+0.01</f>
        <v>1599.1849999999999</v>
      </c>
      <c r="O77" s="280">
        <v>0</v>
      </c>
      <c r="P77" s="280">
        <v>0</v>
      </c>
      <c r="Q77" s="280">
        <v>0</v>
      </c>
      <c r="R77" s="263">
        <v>0</v>
      </c>
      <c r="S77" s="264">
        <f>N77*R77</f>
        <v>0</v>
      </c>
      <c r="T77" s="1114">
        <v>0</v>
      </c>
      <c r="U77" s="264">
        <v>0</v>
      </c>
      <c r="V77" s="265">
        <v>0</v>
      </c>
      <c r="W77" s="264">
        <f>N77*V77</f>
        <v>0</v>
      </c>
      <c r="X77" s="1113">
        <f>76.76/N77</f>
        <v>4.7999449719700979E-2</v>
      </c>
      <c r="Y77" s="1114">
        <f>N77*X77</f>
        <v>76.760000000000005</v>
      </c>
      <c r="Z77" s="265">
        <v>0</v>
      </c>
      <c r="AA77" s="264">
        <f>N77*Z77</f>
        <v>0</v>
      </c>
      <c r="AB77" s="1130">
        <v>0</v>
      </c>
      <c r="AC77" s="264">
        <v>0</v>
      </c>
      <c r="AD77" s="264">
        <v>0</v>
      </c>
      <c r="AE77" s="264">
        <f>(230.28/N77)*N77</f>
        <v>230.28</v>
      </c>
      <c r="AF77" s="1114">
        <v>0</v>
      </c>
      <c r="AG77" s="1145">
        <v>0</v>
      </c>
      <c r="AH77" s="1119">
        <v>0</v>
      </c>
      <c r="AI77" s="1119">
        <v>0</v>
      </c>
      <c r="AJ77" s="1114">
        <v>0</v>
      </c>
      <c r="AK77" s="273">
        <f>(N77+T77+U77)/3</f>
        <v>533.06166666666661</v>
      </c>
      <c r="AL77" s="273">
        <f>AK77*R77</f>
        <v>0</v>
      </c>
      <c r="AM77" s="273">
        <f>N77</f>
        <v>1599.1849999999999</v>
      </c>
      <c r="AN77" s="273">
        <f>AM77*R77</f>
        <v>0</v>
      </c>
    </row>
    <row r="78" spans="2:40" s="258" customFormat="1" ht="30" hidden="1" customHeight="1" x14ac:dyDescent="0.25">
      <c r="B78" s="267">
        <v>2336</v>
      </c>
      <c r="C78" s="259" t="s">
        <v>7193</v>
      </c>
      <c r="D78" s="259" t="s">
        <v>2780</v>
      </c>
      <c r="E78" s="259" t="s">
        <v>2757</v>
      </c>
      <c r="F78" s="259" t="s">
        <v>2758</v>
      </c>
      <c r="G78" s="259" t="s">
        <v>2779</v>
      </c>
      <c r="H78" s="266">
        <v>1</v>
      </c>
      <c r="I78" s="257">
        <v>40</v>
      </c>
      <c r="J78" s="257" t="s">
        <v>2636</v>
      </c>
      <c r="K78" s="257">
        <v>0</v>
      </c>
      <c r="L78" s="261">
        <v>43565</v>
      </c>
      <c r="M78" s="257">
        <v>2.5</v>
      </c>
      <c r="N78" s="262">
        <f>M78*AN$10+0.01</f>
        <v>1599.1849999999999</v>
      </c>
      <c r="O78" s="280">
        <v>0</v>
      </c>
      <c r="P78" s="280">
        <v>0</v>
      </c>
      <c r="Q78" s="280">
        <v>0</v>
      </c>
      <c r="R78" s="263">
        <v>0</v>
      </c>
      <c r="S78" s="264">
        <f>N78*R78</f>
        <v>0</v>
      </c>
      <c r="T78" s="1114">
        <v>0</v>
      </c>
      <c r="U78" s="264">
        <v>0</v>
      </c>
      <c r="V78" s="265">
        <v>0</v>
      </c>
      <c r="W78" s="264">
        <f>N78*V78</f>
        <v>0</v>
      </c>
      <c r="X78" s="1113">
        <f>76.76/N78</f>
        <v>4.7999449719700979E-2</v>
      </c>
      <c r="Y78" s="1114">
        <f>N78*X78</f>
        <v>76.760000000000005</v>
      </c>
      <c r="Z78" s="265">
        <v>0</v>
      </c>
      <c r="AA78" s="264">
        <f>N78*Z78</f>
        <v>0</v>
      </c>
      <c r="AB78" s="1130">
        <v>0</v>
      </c>
      <c r="AC78" s="264">
        <v>0</v>
      </c>
      <c r="AD78" s="264">
        <v>0</v>
      </c>
      <c r="AE78" s="264">
        <f>(307.04/N78)*N78</f>
        <v>307.04000000000002</v>
      </c>
      <c r="AF78" s="1114">
        <v>0</v>
      </c>
      <c r="AG78" s="1145">
        <v>0</v>
      </c>
      <c r="AH78" s="1119">
        <v>0</v>
      </c>
      <c r="AI78" s="1119">
        <v>0</v>
      </c>
      <c r="AJ78" s="1114">
        <v>0</v>
      </c>
      <c r="AK78" s="273">
        <f>(N78+T78+U78)/3</f>
        <v>533.06166666666661</v>
      </c>
      <c r="AL78" s="273">
        <f>AK78*R78</f>
        <v>0</v>
      </c>
      <c r="AM78" s="273">
        <f>N78</f>
        <v>1599.1849999999999</v>
      </c>
      <c r="AN78" s="273">
        <f>AM78*R78</f>
        <v>0</v>
      </c>
    </row>
    <row r="79" spans="2:40" ht="30" hidden="1" customHeight="1" x14ac:dyDescent="0.25">
      <c r="B79" s="1206" t="s">
        <v>2759</v>
      </c>
      <c r="C79" s="1077"/>
      <c r="D79" s="1077"/>
      <c r="E79" s="1077"/>
      <c r="F79" s="1077"/>
      <c r="G79" s="1077"/>
      <c r="H79" s="1077"/>
      <c r="I79" s="1077"/>
      <c r="J79" s="1077"/>
      <c r="K79" s="1077"/>
      <c r="L79" s="1077"/>
      <c r="M79" s="1077"/>
      <c r="N79" s="275">
        <f>SUM(N74:N78)</f>
        <v>7676.0899999999983</v>
      </c>
      <c r="O79" s="275">
        <f>SUM(O74:O78)</f>
        <v>0</v>
      </c>
      <c r="P79" s="275">
        <f>SUM(P74:P78)</f>
        <v>0</v>
      </c>
      <c r="Q79" s="275">
        <f>SUM(Q74:Q78)</f>
        <v>0</v>
      </c>
      <c r="R79" s="1085"/>
      <c r="S79" s="275">
        <f>SUM(S74:S78)</f>
        <v>0</v>
      </c>
      <c r="T79" s="1116">
        <f>SUM(T74:T78)</f>
        <v>0</v>
      </c>
      <c r="U79" s="275">
        <f>SUM(U74:U78)</f>
        <v>0</v>
      </c>
      <c r="V79" s="276"/>
      <c r="W79" s="275">
        <f>SUM(W74:W78)</f>
        <v>0</v>
      </c>
      <c r="X79" s="1115"/>
      <c r="Y79" s="1116">
        <f>SUM(Y74:Y78)</f>
        <v>383.8</v>
      </c>
      <c r="Z79" s="276"/>
      <c r="AA79" s="275">
        <f>SUM(AA74:AA78)</f>
        <v>0</v>
      </c>
      <c r="AB79" s="1131">
        <f>SUM(AB74:AB78)</f>
        <v>0.57570749999999993</v>
      </c>
      <c r="AC79" s="275">
        <f>SUM(AC74:AC78)</f>
        <v>0</v>
      </c>
      <c r="AD79" s="275">
        <f>SUM(AD74:AD78)</f>
        <v>0</v>
      </c>
      <c r="AE79" s="275">
        <f>SUM(AE74:AE78)</f>
        <v>1324.11</v>
      </c>
      <c r="AF79" s="1116">
        <f t="shared" ref="AF79:AN79" si="73">SUM(AF74:AF78)</f>
        <v>0</v>
      </c>
      <c r="AG79" s="1146">
        <f t="shared" si="73"/>
        <v>0</v>
      </c>
      <c r="AH79" s="1116">
        <f t="shared" si="73"/>
        <v>0</v>
      </c>
      <c r="AI79" s="1116">
        <f t="shared" si="73"/>
        <v>0</v>
      </c>
      <c r="AJ79" s="1116">
        <f t="shared" si="73"/>
        <v>0</v>
      </c>
      <c r="AK79" s="275">
        <f>SUM(AJ74:AJ78)</f>
        <v>0</v>
      </c>
      <c r="AL79" s="275">
        <f t="shared" si="73"/>
        <v>0</v>
      </c>
      <c r="AM79" s="275">
        <f t="shared" si="73"/>
        <v>7676.0899999999983</v>
      </c>
      <c r="AN79" s="275">
        <f t="shared" si="73"/>
        <v>0</v>
      </c>
    </row>
    <row r="80" spans="2:40" ht="30" hidden="1" customHeight="1" x14ac:dyDescent="0.25">
      <c r="B80" s="267">
        <v>0</v>
      </c>
      <c r="C80" s="259" t="s">
        <v>7119</v>
      </c>
      <c r="D80" s="259" t="s">
        <v>2669</v>
      </c>
      <c r="E80" s="259" t="s">
        <v>2739</v>
      </c>
      <c r="F80" s="259" t="s">
        <v>2758</v>
      </c>
      <c r="G80" s="259" t="s">
        <v>2779</v>
      </c>
      <c r="H80" s="266">
        <v>1</v>
      </c>
      <c r="I80" s="257">
        <v>44</v>
      </c>
      <c r="J80" s="257" t="s">
        <v>2636</v>
      </c>
      <c r="K80" s="257">
        <v>0</v>
      </c>
      <c r="L80" s="261">
        <v>0</v>
      </c>
      <c r="M80" s="257">
        <v>2.5</v>
      </c>
      <c r="N80" s="262">
        <f t="shared" ref="N80:N88" si="74">M80*AN$10</f>
        <v>1599.175</v>
      </c>
      <c r="O80" s="280">
        <v>0</v>
      </c>
      <c r="P80" s="280">
        <v>0</v>
      </c>
      <c r="Q80" s="280">
        <v>0</v>
      </c>
      <c r="R80" s="263">
        <v>0</v>
      </c>
      <c r="S80" s="264">
        <f t="shared" ref="S80:S87" si="75">N80*R80</f>
        <v>0</v>
      </c>
      <c r="T80" s="1114">
        <v>0</v>
      </c>
      <c r="U80" s="264">
        <v>0</v>
      </c>
      <c r="V80" s="265">
        <v>0</v>
      </c>
      <c r="W80" s="264">
        <f t="shared" ref="W80:W88" si="76">N80*V80</f>
        <v>0</v>
      </c>
      <c r="X80" s="1113">
        <f>76.76/N80</f>
        <v>4.7999749871027252E-2</v>
      </c>
      <c r="Y80" s="1114">
        <f t="shared" ref="Y80:Y88" si="77">N80*X80</f>
        <v>76.760000000000005</v>
      </c>
      <c r="Z80" s="265">
        <v>0</v>
      </c>
      <c r="AA80" s="264">
        <f t="shared" ref="AA80:AA88" si="78">N80*Z80</f>
        <v>0</v>
      </c>
      <c r="AB80" s="1130">
        <v>0</v>
      </c>
      <c r="AC80" s="264">
        <v>0</v>
      </c>
      <c r="AD80" s="264">
        <v>0</v>
      </c>
      <c r="AE80" s="264">
        <f>(0/N80)*N80</f>
        <v>0</v>
      </c>
      <c r="AF80" s="1114">
        <v>0</v>
      </c>
      <c r="AG80" s="1145">
        <v>0</v>
      </c>
      <c r="AH80" s="1119">
        <v>0</v>
      </c>
      <c r="AI80" s="1119">
        <v>0</v>
      </c>
      <c r="AJ80" s="1114">
        <v>0</v>
      </c>
      <c r="AK80" s="273">
        <f t="shared" ref="AK80:AK88" si="79">(N80+T80+U80)/3</f>
        <v>533.05833333333328</v>
      </c>
      <c r="AL80" s="273">
        <f t="shared" ref="AL80:AL88" si="80">AK80*R80</f>
        <v>0</v>
      </c>
      <c r="AM80" s="273">
        <f t="shared" ref="AM80:AM88" si="81">N80</f>
        <v>1599.175</v>
      </c>
      <c r="AN80" s="273">
        <f t="shared" ref="AN80:AN88" si="82">AM80*R80</f>
        <v>0</v>
      </c>
    </row>
    <row r="81" spans="2:40" ht="30" hidden="1" customHeight="1" x14ac:dyDescent="0.25">
      <c r="B81" s="267">
        <v>1536</v>
      </c>
      <c r="C81" s="259" t="s">
        <v>2670</v>
      </c>
      <c r="D81" s="259" t="s">
        <v>2669</v>
      </c>
      <c r="E81" s="259" t="s">
        <v>2739</v>
      </c>
      <c r="F81" s="259" t="s">
        <v>2758</v>
      </c>
      <c r="G81" s="259" t="s">
        <v>2779</v>
      </c>
      <c r="H81" s="266">
        <v>1</v>
      </c>
      <c r="I81" s="257">
        <v>44</v>
      </c>
      <c r="J81" s="257" t="s">
        <v>2634</v>
      </c>
      <c r="K81" s="257">
        <v>0</v>
      </c>
      <c r="L81" s="261">
        <v>40809</v>
      </c>
      <c r="M81" s="257">
        <v>2.62</v>
      </c>
      <c r="N81" s="262">
        <f t="shared" si="74"/>
        <v>1675.9354000000001</v>
      </c>
      <c r="O81" s="280">
        <v>0</v>
      </c>
      <c r="P81" s="280">
        <v>0</v>
      </c>
      <c r="Q81" s="280">
        <v>0</v>
      </c>
      <c r="R81" s="263">
        <v>0.08</v>
      </c>
      <c r="S81" s="264">
        <f t="shared" si="75"/>
        <v>134.07483200000001</v>
      </c>
      <c r="T81" s="1114">
        <v>0</v>
      </c>
      <c r="U81" s="264">
        <v>0</v>
      </c>
      <c r="V81" s="265">
        <v>0</v>
      </c>
      <c r="W81" s="264">
        <f t="shared" si="76"/>
        <v>0</v>
      </c>
      <c r="X81" s="1113">
        <f>76.76/N81</f>
        <v>4.580128804487333E-2</v>
      </c>
      <c r="Y81" s="1114">
        <f t="shared" si="77"/>
        <v>76.760000000000005</v>
      </c>
      <c r="Z81" s="265">
        <v>0</v>
      </c>
      <c r="AA81" s="264">
        <f t="shared" si="78"/>
        <v>0</v>
      </c>
      <c r="AB81" s="1130">
        <v>0</v>
      </c>
      <c r="AC81" s="264">
        <v>0</v>
      </c>
      <c r="AD81" s="264">
        <v>0</v>
      </c>
      <c r="AE81" s="264">
        <f>(326.23/N81)*N81</f>
        <v>326.23</v>
      </c>
      <c r="AF81" s="1114">
        <v>0</v>
      </c>
      <c r="AG81" s="1145">
        <v>0</v>
      </c>
      <c r="AH81" s="1119">
        <v>0</v>
      </c>
      <c r="AI81" s="1119">
        <v>0</v>
      </c>
      <c r="AJ81" s="1114">
        <v>0</v>
      </c>
      <c r="AK81" s="273">
        <f t="shared" si="79"/>
        <v>558.64513333333332</v>
      </c>
      <c r="AL81" s="273">
        <f t="shared" si="80"/>
        <v>44.691610666666669</v>
      </c>
      <c r="AM81" s="273">
        <f t="shared" si="81"/>
        <v>1675.9354000000001</v>
      </c>
      <c r="AN81" s="273">
        <f t="shared" si="82"/>
        <v>134.07483200000001</v>
      </c>
    </row>
    <row r="82" spans="2:40" ht="30" hidden="1" customHeight="1" x14ac:dyDescent="0.25">
      <c r="B82" s="267">
        <v>2120</v>
      </c>
      <c r="C82" s="259" t="s">
        <v>2635</v>
      </c>
      <c r="D82" s="259" t="s">
        <v>2632</v>
      </c>
      <c r="E82" s="259" t="s">
        <v>2739</v>
      </c>
      <c r="F82" s="259" t="s">
        <v>2758</v>
      </c>
      <c r="G82" s="259" t="s">
        <v>2779</v>
      </c>
      <c r="H82" s="266">
        <v>1</v>
      </c>
      <c r="I82" s="257">
        <v>44</v>
      </c>
      <c r="J82" s="257" t="s">
        <v>2636</v>
      </c>
      <c r="K82" s="257">
        <v>0</v>
      </c>
      <c r="L82" s="261">
        <v>42767</v>
      </c>
      <c r="M82" s="257">
        <v>1.95</v>
      </c>
      <c r="N82" s="262">
        <f t="shared" si="74"/>
        <v>1247.3564999999999</v>
      </c>
      <c r="O82" s="280">
        <v>0</v>
      </c>
      <c r="P82" s="280">
        <v>0</v>
      </c>
      <c r="Q82" s="280">
        <v>0</v>
      </c>
      <c r="R82" s="263">
        <v>0.03</v>
      </c>
      <c r="S82" s="264">
        <f t="shared" si="75"/>
        <v>37.420694999999995</v>
      </c>
      <c r="T82" s="1114">
        <v>0</v>
      </c>
      <c r="U82" s="264">
        <v>0</v>
      </c>
      <c r="V82" s="265">
        <v>0</v>
      </c>
      <c r="W82" s="264">
        <f t="shared" si="76"/>
        <v>0</v>
      </c>
      <c r="X82" s="1113">
        <f>127.94/N82</f>
        <v>0.10256891273665548</v>
      </c>
      <c r="Y82" s="1114">
        <f t="shared" si="77"/>
        <v>127.94</v>
      </c>
      <c r="Z82" s="265">
        <v>0</v>
      </c>
      <c r="AA82" s="264">
        <f t="shared" si="78"/>
        <v>0</v>
      </c>
      <c r="AB82" s="1130">
        <v>0</v>
      </c>
      <c r="AC82" s="264">
        <v>0</v>
      </c>
      <c r="AD82" s="264">
        <v>0</v>
      </c>
      <c r="AE82" s="264">
        <f>(191.9/N82)*N82</f>
        <v>191.90000000000003</v>
      </c>
      <c r="AF82" s="1114">
        <v>0</v>
      </c>
      <c r="AG82" s="1145">
        <v>0</v>
      </c>
      <c r="AH82" s="1119">
        <v>0</v>
      </c>
      <c r="AI82" s="1119">
        <v>0</v>
      </c>
      <c r="AJ82" s="1114">
        <v>0</v>
      </c>
      <c r="AK82" s="273">
        <f t="shared" si="79"/>
        <v>415.78549999999996</v>
      </c>
      <c r="AL82" s="273">
        <f t="shared" si="80"/>
        <v>12.473564999999999</v>
      </c>
      <c r="AM82" s="273">
        <f t="shared" si="81"/>
        <v>1247.3564999999999</v>
      </c>
      <c r="AN82" s="273">
        <f t="shared" si="82"/>
        <v>37.420694999999995</v>
      </c>
    </row>
    <row r="83" spans="2:40" ht="30" hidden="1" customHeight="1" x14ac:dyDescent="0.25">
      <c r="B83" s="267">
        <v>1575</v>
      </c>
      <c r="C83" s="259" t="s">
        <v>2631</v>
      </c>
      <c r="D83" s="259" t="s">
        <v>2632</v>
      </c>
      <c r="E83" s="259" t="s">
        <v>2739</v>
      </c>
      <c r="F83" s="259" t="s">
        <v>2758</v>
      </c>
      <c r="G83" s="259" t="s">
        <v>2779</v>
      </c>
      <c r="H83" s="266">
        <v>1</v>
      </c>
      <c r="I83" s="257">
        <v>44</v>
      </c>
      <c r="J83" s="257" t="s">
        <v>2634</v>
      </c>
      <c r="K83" s="257">
        <v>0</v>
      </c>
      <c r="L83" s="261">
        <v>40892</v>
      </c>
      <c r="M83" s="257">
        <v>2.0299999999999998</v>
      </c>
      <c r="N83" s="262">
        <f t="shared" si="74"/>
        <v>1298.5300999999997</v>
      </c>
      <c r="O83" s="280">
        <v>0</v>
      </c>
      <c r="P83" s="280">
        <v>0</v>
      </c>
      <c r="Q83" s="280">
        <v>0</v>
      </c>
      <c r="R83" s="263">
        <v>0.08</v>
      </c>
      <c r="S83" s="264">
        <f t="shared" si="75"/>
        <v>103.88240799999998</v>
      </c>
      <c r="T83" s="1114">
        <f>AN10</f>
        <v>639.66999999999996</v>
      </c>
      <c r="U83" s="264">
        <v>0</v>
      </c>
      <c r="V83" s="265">
        <v>0</v>
      </c>
      <c r="W83" s="264">
        <f t="shared" si="76"/>
        <v>0</v>
      </c>
      <c r="X83" s="1113">
        <v>0</v>
      </c>
      <c r="Y83" s="1114">
        <f t="shared" si="77"/>
        <v>0</v>
      </c>
      <c r="Z83" s="265">
        <v>0</v>
      </c>
      <c r="AA83" s="264">
        <f t="shared" si="78"/>
        <v>0</v>
      </c>
      <c r="AB83" s="1130">
        <f>N83*(0.79%)</f>
        <v>10.258387789999999</v>
      </c>
      <c r="AC83" s="264">
        <v>0</v>
      </c>
      <c r="AD83" s="264">
        <v>0</v>
      </c>
      <c r="AE83" s="264">
        <f>(38.38/N83)*N83</f>
        <v>38.380000000000003</v>
      </c>
      <c r="AF83" s="1114">
        <v>0</v>
      </c>
      <c r="AG83" s="1145">
        <v>0</v>
      </c>
      <c r="AH83" s="1119">
        <v>0</v>
      </c>
      <c r="AI83" s="1119">
        <v>0</v>
      </c>
      <c r="AJ83" s="1114">
        <v>0</v>
      </c>
      <c r="AK83" s="273">
        <f t="shared" si="79"/>
        <v>646.06669999999986</v>
      </c>
      <c r="AL83" s="273">
        <f t="shared" si="80"/>
        <v>51.685335999999992</v>
      </c>
      <c r="AM83" s="273">
        <f t="shared" si="81"/>
        <v>1298.5300999999997</v>
      </c>
      <c r="AN83" s="273">
        <f t="shared" si="82"/>
        <v>103.88240799999998</v>
      </c>
    </row>
    <row r="84" spans="2:40" ht="30" hidden="1" customHeight="1" x14ac:dyDescent="0.25">
      <c r="B84" s="267">
        <v>1991</v>
      </c>
      <c r="C84" s="259" t="s">
        <v>2666</v>
      </c>
      <c r="D84" s="259" t="s">
        <v>2667</v>
      </c>
      <c r="E84" s="259" t="s">
        <v>2739</v>
      </c>
      <c r="F84" s="259" t="s">
        <v>2758</v>
      </c>
      <c r="G84" s="259" t="s">
        <v>2779</v>
      </c>
      <c r="H84" s="266">
        <v>1</v>
      </c>
      <c r="I84" s="257">
        <v>44</v>
      </c>
      <c r="J84" s="257" t="s">
        <v>2636</v>
      </c>
      <c r="K84" s="257">
        <v>0</v>
      </c>
      <c r="L84" s="261">
        <v>42355</v>
      </c>
      <c r="M84" s="257">
        <v>2.5</v>
      </c>
      <c r="N84" s="262">
        <f t="shared" si="74"/>
        <v>1599.175</v>
      </c>
      <c r="O84" s="280">
        <v>0</v>
      </c>
      <c r="P84" s="280">
        <v>0</v>
      </c>
      <c r="Q84" s="280">
        <v>0</v>
      </c>
      <c r="R84" s="263">
        <v>0.04</v>
      </c>
      <c r="S84" s="264">
        <f t="shared" si="75"/>
        <v>63.966999999999999</v>
      </c>
      <c r="T84" s="1114">
        <v>0</v>
      </c>
      <c r="U84" s="264">
        <v>0</v>
      </c>
      <c r="V84" s="265">
        <v>0</v>
      </c>
      <c r="W84" s="264">
        <f t="shared" si="76"/>
        <v>0</v>
      </c>
      <c r="X84" s="1113">
        <f>76.76/N84</f>
        <v>4.7999749871027252E-2</v>
      </c>
      <c r="Y84" s="1114">
        <f t="shared" si="77"/>
        <v>76.760000000000005</v>
      </c>
      <c r="Z84" s="265">
        <v>0</v>
      </c>
      <c r="AA84" s="264">
        <f t="shared" si="78"/>
        <v>0</v>
      </c>
      <c r="AB84" s="1130">
        <v>0</v>
      </c>
      <c r="AC84" s="264">
        <v>0</v>
      </c>
      <c r="AD84" s="264">
        <v>0</v>
      </c>
      <c r="AE84" s="264">
        <f>(143.84/N84)*N84</f>
        <v>143.84</v>
      </c>
      <c r="AF84" s="1114">
        <v>0</v>
      </c>
      <c r="AG84" s="1145">
        <v>0</v>
      </c>
      <c r="AH84" s="1119">
        <v>0</v>
      </c>
      <c r="AI84" s="1119">
        <v>0</v>
      </c>
      <c r="AJ84" s="1114">
        <v>0</v>
      </c>
      <c r="AK84" s="273">
        <f t="shared" si="79"/>
        <v>533.05833333333328</v>
      </c>
      <c r="AL84" s="273">
        <f t="shared" si="80"/>
        <v>21.322333333333333</v>
      </c>
      <c r="AM84" s="273">
        <f t="shared" si="81"/>
        <v>1599.175</v>
      </c>
      <c r="AN84" s="273">
        <f t="shared" si="82"/>
        <v>63.966999999999999</v>
      </c>
    </row>
    <row r="85" spans="2:40" ht="30" hidden="1" customHeight="1" x14ac:dyDescent="0.25">
      <c r="B85" s="267">
        <v>38</v>
      </c>
      <c r="C85" s="259" t="s">
        <v>2637</v>
      </c>
      <c r="D85" s="259" t="s">
        <v>2632</v>
      </c>
      <c r="E85" s="259" t="s">
        <v>2739</v>
      </c>
      <c r="F85" s="259" t="s">
        <v>2758</v>
      </c>
      <c r="G85" s="259" t="s">
        <v>2779</v>
      </c>
      <c r="H85" s="266">
        <v>1</v>
      </c>
      <c r="I85" s="257">
        <v>44</v>
      </c>
      <c r="J85" s="257" t="s">
        <v>2638</v>
      </c>
      <c r="K85" s="257">
        <v>0</v>
      </c>
      <c r="L85" s="261">
        <v>35431</v>
      </c>
      <c r="M85" s="257">
        <v>2.2000000000000002</v>
      </c>
      <c r="N85" s="262">
        <f t="shared" si="74"/>
        <v>1407.2740000000001</v>
      </c>
      <c r="O85" s="280">
        <v>0</v>
      </c>
      <c r="P85" s="280">
        <v>0</v>
      </c>
      <c r="Q85" s="280">
        <v>0</v>
      </c>
      <c r="R85" s="263">
        <v>0.22</v>
      </c>
      <c r="S85" s="264">
        <f t="shared" si="75"/>
        <v>309.60028000000005</v>
      </c>
      <c r="T85" s="1114">
        <v>0</v>
      </c>
      <c r="U85" s="264">
        <v>0</v>
      </c>
      <c r="V85" s="265">
        <v>0</v>
      </c>
      <c r="W85" s="264">
        <f t="shared" si="76"/>
        <v>0</v>
      </c>
      <c r="X85" s="1113">
        <f>127.94/N85</f>
        <v>9.0913354471126445E-2</v>
      </c>
      <c r="Y85" s="1114">
        <f t="shared" si="77"/>
        <v>127.94000000000001</v>
      </c>
      <c r="Z85" s="265">
        <v>0</v>
      </c>
      <c r="AA85" s="264">
        <f t="shared" si="78"/>
        <v>0</v>
      </c>
      <c r="AB85" s="1130">
        <f>N85*(0.6367%)</f>
        <v>8.9601135580000015</v>
      </c>
      <c r="AC85" s="264">
        <v>0</v>
      </c>
      <c r="AD85" s="264">
        <f>(6.05/N85)*N85</f>
        <v>6.05</v>
      </c>
      <c r="AE85" s="264">
        <f>(0/N85)*N85</f>
        <v>0</v>
      </c>
      <c r="AF85" s="1114">
        <v>0</v>
      </c>
      <c r="AG85" s="1145">
        <v>0</v>
      </c>
      <c r="AH85" s="1119">
        <v>0</v>
      </c>
      <c r="AI85" s="1119">
        <v>0</v>
      </c>
      <c r="AJ85" s="1114">
        <v>0</v>
      </c>
      <c r="AK85" s="273">
        <f t="shared" si="79"/>
        <v>469.09133333333335</v>
      </c>
      <c r="AL85" s="273">
        <f t="shared" si="80"/>
        <v>103.20009333333334</v>
      </c>
      <c r="AM85" s="273">
        <f t="shared" si="81"/>
        <v>1407.2740000000001</v>
      </c>
      <c r="AN85" s="273">
        <f t="shared" si="82"/>
        <v>309.60028000000005</v>
      </c>
    </row>
    <row r="86" spans="2:40" ht="30" hidden="1" customHeight="1" x14ac:dyDescent="0.25">
      <c r="B86" s="267">
        <v>2287</v>
      </c>
      <c r="C86" s="259" t="s">
        <v>2784</v>
      </c>
      <c r="D86" s="259" t="s">
        <v>2785</v>
      </c>
      <c r="E86" s="259" t="s">
        <v>2739</v>
      </c>
      <c r="F86" s="259" t="s">
        <v>2758</v>
      </c>
      <c r="G86" s="259" t="s">
        <v>2777</v>
      </c>
      <c r="H86" s="266">
        <v>1</v>
      </c>
      <c r="I86" s="257">
        <v>40</v>
      </c>
      <c r="J86" s="257" t="s">
        <v>2636</v>
      </c>
      <c r="K86" s="257">
        <v>0</v>
      </c>
      <c r="L86" s="261">
        <v>42795</v>
      </c>
      <c r="M86" s="257">
        <v>2.8</v>
      </c>
      <c r="N86" s="262">
        <f t="shared" si="74"/>
        <v>1791.0759999999998</v>
      </c>
      <c r="O86" s="280">
        <v>0</v>
      </c>
      <c r="P86" s="280">
        <v>0</v>
      </c>
      <c r="Q86" s="280">
        <v>0</v>
      </c>
      <c r="R86" s="263">
        <v>0.02</v>
      </c>
      <c r="S86" s="264">
        <f t="shared" si="75"/>
        <v>35.82152</v>
      </c>
      <c r="T86" s="1114">
        <v>0</v>
      </c>
      <c r="U86" s="264">
        <v>0</v>
      </c>
      <c r="V86" s="265">
        <v>0</v>
      </c>
      <c r="W86" s="264">
        <f t="shared" si="76"/>
        <v>0</v>
      </c>
      <c r="X86" s="1113">
        <f>76.76/N86</f>
        <v>4.2856919527702909E-2</v>
      </c>
      <c r="Y86" s="1114">
        <f t="shared" si="77"/>
        <v>76.760000000000005</v>
      </c>
      <c r="Z86" s="265">
        <v>0</v>
      </c>
      <c r="AA86" s="271">
        <f t="shared" si="78"/>
        <v>0</v>
      </c>
      <c r="AB86" s="1130">
        <v>0</v>
      </c>
      <c r="AC86" s="264">
        <f>AN$10*(0%)</f>
        <v>0</v>
      </c>
      <c r="AD86" s="264">
        <f t="shared" ref="AD86:AD88" si="83">AO$9*(0%)</f>
        <v>0</v>
      </c>
      <c r="AE86" s="264">
        <v>0</v>
      </c>
      <c r="AF86" s="1114">
        <v>0</v>
      </c>
      <c r="AG86" s="1145">
        <v>0</v>
      </c>
      <c r="AH86" s="1119">
        <v>0</v>
      </c>
      <c r="AI86" s="1119">
        <v>0</v>
      </c>
      <c r="AJ86" s="1114">
        <v>0</v>
      </c>
      <c r="AK86" s="273">
        <f t="shared" si="79"/>
        <v>597.02533333333326</v>
      </c>
      <c r="AL86" s="273">
        <f t="shared" si="80"/>
        <v>11.940506666666666</v>
      </c>
      <c r="AM86" s="273">
        <f t="shared" si="81"/>
        <v>1791.0759999999998</v>
      </c>
      <c r="AN86" s="273">
        <f t="shared" si="82"/>
        <v>35.82152</v>
      </c>
    </row>
    <row r="87" spans="2:40" ht="30" hidden="1" customHeight="1" x14ac:dyDescent="0.25">
      <c r="B87" s="267">
        <v>99</v>
      </c>
      <c r="C87" s="259" t="s">
        <v>2655</v>
      </c>
      <c r="D87" s="259" t="s">
        <v>2654</v>
      </c>
      <c r="E87" s="259" t="s">
        <v>2739</v>
      </c>
      <c r="F87" s="259" t="s">
        <v>2758</v>
      </c>
      <c r="G87" s="259" t="s">
        <v>2777</v>
      </c>
      <c r="H87" s="266">
        <v>1</v>
      </c>
      <c r="I87" s="257">
        <v>44</v>
      </c>
      <c r="J87" s="257" t="s">
        <v>2638</v>
      </c>
      <c r="K87" s="257">
        <v>0</v>
      </c>
      <c r="L87" s="261">
        <v>35800</v>
      </c>
      <c r="M87" s="257">
        <v>2.2999999999999998</v>
      </c>
      <c r="N87" s="262">
        <f t="shared" si="74"/>
        <v>1471.2409999999998</v>
      </c>
      <c r="O87" s="280">
        <v>0</v>
      </c>
      <c r="P87" s="280">
        <v>0</v>
      </c>
      <c r="Q87" s="280">
        <v>0</v>
      </c>
      <c r="R87" s="263">
        <v>0.22</v>
      </c>
      <c r="S87" s="264">
        <f t="shared" si="75"/>
        <v>323.67301999999995</v>
      </c>
      <c r="T87" s="1114">
        <f>AN$10*2</f>
        <v>1279.3399999999999</v>
      </c>
      <c r="U87" s="264">
        <v>0</v>
      </c>
      <c r="V87" s="265">
        <v>0</v>
      </c>
      <c r="W87" s="264">
        <f t="shared" si="76"/>
        <v>0</v>
      </c>
      <c r="X87" s="1113">
        <f>76.76/N87</f>
        <v>5.2173641164160067E-2</v>
      </c>
      <c r="Y87" s="1114">
        <f t="shared" si="77"/>
        <v>76.760000000000005</v>
      </c>
      <c r="Z87" s="265">
        <v>0</v>
      </c>
      <c r="AA87" s="271">
        <f t="shared" si="78"/>
        <v>0</v>
      </c>
      <c r="AB87" s="1130">
        <v>0</v>
      </c>
      <c r="AC87" s="264">
        <f>AN$10*(0%)</f>
        <v>0</v>
      </c>
      <c r="AD87" s="264">
        <f t="shared" si="83"/>
        <v>0</v>
      </c>
      <c r="AE87" s="264">
        <f>(249.47/N87)*N87</f>
        <v>249.47</v>
      </c>
      <c r="AF87" s="1114">
        <v>0</v>
      </c>
      <c r="AG87" s="1145">
        <v>0</v>
      </c>
      <c r="AH87" s="1119">
        <v>0</v>
      </c>
      <c r="AI87" s="1119">
        <v>0</v>
      </c>
      <c r="AJ87" s="1114">
        <v>0</v>
      </c>
      <c r="AK87" s="273">
        <f t="shared" si="79"/>
        <v>916.86033333333319</v>
      </c>
      <c r="AL87" s="273">
        <f t="shared" si="80"/>
        <v>201.7092733333333</v>
      </c>
      <c r="AM87" s="273">
        <f t="shared" si="81"/>
        <v>1471.2409999999998</v>
      </c>
      <c r="AN87" s="273">
        <f t="shared" si="82"/>
        <v>323.67301999999995</v>
      </c>
    </row>
    <row r="88" spans="2:40" s="258" customFormat="1" ht="30" hidden="1" customHeight="1" x14ac:dyDescent="0.25">
      <c r="B88" s="267">
        <v>1544</v>
      </c>
      <c r="C88" s="259" t="s">
        <v>2641</v>
      </c>
      <c r="D88" s="259" t="s">
        <v>2632</v>
      </c>
      <c r="E88" s="259" t="s">
        <v>2739</v>
      </c>
      <c r="F88" s="259" t="s">
        <v>2758</v>
      </c>
      <c r="G88" s="259" t="s">
        <v>2777</v>
      </c>
      <c r="H88" s="266">
        <v>1</v>
      </c>
      <c r="I88" s="257">
        <v>44</v>
      </c>
      <c r="J88" s="257" t="s">
        <v>2634</v>
      </c>
      <c r="K88" s="257">
        <v>0</v>
      </c>
      <c r="L88" s="261">
        <v>40819</v>
      </c>
      <c r="M88" s="257">
        <v>2.0299999999999998</v>
      </c>
      <c r="N88" s="262">
        <f t="shared" si="74"/>
        <v>1298.5300999999997</v>
      </c>
      <c r="O88" s="280">
        <v>0</v>
      </c>
      <c r="P88" s="280">
        <v>0</v>
      </c>
      <c r="Q88" s="280">
        <v>0</v>
      </c>
      <c r="R88" s="263">
        <v>0.08</v>
      </c>
      <c r="S88" s="264">
        <f t="shared" ref="S88" si="84">N88*R88</f>
        <v>103.88240799999998</v>
      </c>
      <c r="T88" s="1114">
        <v>0</v>
      </c>
      <c r="U88" s="264">
        <v>0</v>
      </c>
      <c r="V88" s="265">
        <v>0</v>
      </c>
      <c r="W88" s="264">
        <f t="shared" si="76"/>
        <v>0</v>
      </c>
      <c r="X88" s="1113">
        <f>0/N88</f>
        <v>0</v>
      </c>
      <c r="Y88" s="1114">
        <f t="shared" si="77"/>
        <v>0</v>
      </c>
      <c r="Z88" s="265">
        <v>0</v>
      </c>
      <c r="AA88" s="271">
        <f t="shared" si="78"/>
        <v>0</v>
      </c>
      <c r="AB88" s="1130">
        <v>0</v>
      </c>
      <c r="AC88" s="264">
        <f>AN$10*(0%)</f>
        <v>0</v>
      </c>
      <c r="AD88" s="264">
        <f t="shared" si="83"/>
        <v>0</v>
      </c>
      <c r="AE88" s="264">
        <f>(0/N88)*N88</f>
        <v>0</v>
      </c>
      <c r="AF88" s="1114">
        <v>0</v>
      </c>
      <c r="AG88" s="1145">
        <v>0</v>
      </c>
      <c r="AH88" s="1119">
        <v>0</v>
      </c>
      <c r="AI88" s="1119">
        <v>0</v>
      </c>
      <c r="AJ88" s="1114">
        <v>0</v>
      </c>
      <c r="AK88" s="273">
        <f t="shared" si="79"/>
        <v>432.84336666666655</v>
      </c>
      <c r="AL88" s="273">
        <f t="shared" si="80"/>
        <v>34.627469333333323</v>
      </c>
      <c r="AM88" s="273">
        <f t="shared" si="81"/>
        <v>1298.5300999999997</v>
      </c>
      <c r="AN88" s="273">
        <f t="shared" si="82"/>
        <v>103.88240799999998</v>
      </c>
    </row>
    <row r="89" spans="2:40" s="274" customFormat="1" ht="30" hidden="1" customHeight="1" x14ac:dyDescent="0.25">
      <c r="B89" s="1206" t="s">
        <v>2747</v>
      </c>
      <c r="C89" s="1077"/>
      <c r="D89" s="1077"/>
      <c r="E89" s="1077"/>
      <c r="F89" s="1077"/>
      <c r="G89" s="1077"/>
      <c r="H89" s="1077"/>
      <c r="I89" s="1077"/>
      <c r="J89" s="1077"/>
      <c r="K89" s="1077"/>
      <c r="L89" s="1077"/>
      <c r="M89" s="1077"/>
      <c r="N89" s="275">
        <f>SUM(N80:N88)</f>
        <v>13388.293099999999</v>
      </c>
      <c r="O89" s="275">
        <f>SUM(O80:O88)</f>
        <v>0</v>
      </c>
      <c r="P89" s="275">
        <f>SUM(P80:P88)</f>
        <v>0</v>
      </c>
      <c r="Q89" s="275">
        <f>SUM(Q80:Q88)</f>
        <v>0</v>
      </c>
      <c r="R89" s="1085"/>
      <c r="S89" s="275">
        <f>SUM(S80:S88)</f>
        <v>1112.3221629999998</v>
      </c>
      <c r="T89" s="1116">
        <f>SUM(T80:T88)</f>
        <v>1919.0099999999998</v>
      </c>
      <c r="U89" s="275">
        <f>SUM(U80:U88)</f>
        <v>0</v>
      </c>
      <c r="V89" s="276"/>
      <c r="W89" s="275">
        <f>SUM(W80:W88)</f>
        <v>0</v>
      </c>
      <c r="X89" s="1115"/>
      <c r="Y89" s="1116">
        <f>SUM(Y80:Y88)</f>
        <v>639.68000000000006</v>
      </c>
      <c r="Z89" s="276"/>
      <c r="AA89" s="275">
        <f>SUM(AA80:AA88)</f>
        <v>0</v>
      </c>
      <c r="AB89" s="1131">
        <f>SUM(AB80:AB88)</f>
        <v>19.218501348</v>
      </c>
      <c r="AC89" s="275">
        <f>SUM(AC80:AC88)</f>
        <v>0</v>
      </c>
      <c r="AD89" s="275">
        <f t="shared" ref="AD89:AN89" si="85">SUM(AD80:AD88)</f>
        <v>6.05</v>
      </c>
      <c r="AE89" s="275">
        <f t="shared" si="85"/>
        <v>949.82000000000016</v>
      </c>
      <c r="AF89" s="1116">
        <f t="shared" si="85"/>
        <v>0</v>
      </c>
      <c r="AG89" s="1146">
        <f t="shared" si="85"/>
        <v>0</v>
      </c>
      <c r="AH89" s="1116">
        <f t="shared" si="85"/>
        <v>0</v>
      </c>
      <c r="AI89" s="1116">
        <f t="shared" si="85"/>
        <v>0</v>
      </c>
      <c r="AJ89" s="1116">
        <f t="shared" si="85"/>
        <v>0</v>
      </c>
      <c r="AK89" s="275">
        <f>SUM(AJ80:AJ88)</f>
        <v>0</v>
      </c>
      <c r="AL89" s="275">
        <f t="shared" si="85"/>
        <v>481.65018766666662</v>
      </c>
      <c r="AM89" s="275">
        <f t="shared" si="85"/>
        <v>13388.293099999999</v>
      </c>
      <c r="AN89" s="275">
        <f t="shared" si="85"/>
        <v>1112.3221629999998</v>
      </c>
    </row>
    <row r="90" spans="2:40" s="258" customFormat="1" ht="30" hidden="1" customHeight="1" x14ac:dyDescent="0.25">
      <c r="B90" s="267">
        <v>2103</v>
      </c>
      <c r="C90" s="267" t="s">
        <v>2922</v>
      </c>
      <c r="D90" s="267" t="s">
        <v>2786</v>
      </c>
      <c r="E90" s="267" t="s">
        <v>2725</v>
      </c>
      <c r="F90" s="259" t="s">
        <v>2758</v>
      </c>
      <c r="G90" s="259" t="s">
        <v>2777</v>
      </c>
      <c r="H90" s="257">
        <v>1</v>
      </c>
      <c r="I90" s="257">
        <v>40</v>
      </c>
      <c r="J90" s="257">
        <v>0</v>
      </c>
      <c r="K90" s="257">
        <v>0</v>
      </c>
      <c r="L90" s="261">
        <v>42737</v>
      </c>
      <c r="M90" s="260">
        <f>4760.1/639.67</f>
        <v>7.441493269967328</v>
      </c>
      <c r="N90" s="280">
        <f>AN$10*M90</f>
        <v>4760.1000000000004</v>
      </c>
      <c r="O90" s="280">
        <v>0</v>
      </c>
      <c r="P90" s="280">
        <v>0</v>
      </c>
      <c r="Q90" s="280">
        <v>0</v>
      </c>
      <c r="R90" s="281">
        <v>0</v>
      </c>
      <c r="S90" s="271">
        <f>N90*R90</f>
        <v>0</v>
      </c>
      <c r="T90" s="1114">
        <v>0</v>
      </c>
      <c r="U90" s="271">
        <v>0</v>
      </c>
      <c r="V90" s="282">
        <v>0</v>
      </c>
      <c r="W90" s="264">
        <f>N90*V90</f>
        <v>0</v>
      </c>
      <c r="X90" s="1113">
        <v>0</v>
      </c>
      <c r="Y90" s="1114">
        <v>0</v>
      </c>
      <c r="Z90" s="282">
        <v>0</v>
      </c>
      <c r="AA90" s="271">
        <v>0</v>
      </c>
      <c r="AB90" s="1130">
        <v>0</v>
      </c>
      <c r="AC90" s="271">
        <v>0</v>
      </c>
      <c r="AD90" s="271">
        <v>0</v>
      </c>
      <c r="AE90" s="271">
        <v>0</v>
      </c>
      <c r="AF90" s="1114">
        <v>0</v>
      </c>
      <c r="AG90" s="1145">
        <v>0</v>
      </c>
      <c r="AH90" s="1114">
        <v>0</v>
      </c>
      <c r="AI90" s="1114">
        <v>0</v>
      </c>
      <c r="AJ90" s="1114">
        <v>0</v>
      </c>
      <c r="AK90" s="273">
        <f>(N90+T90+U90)/3</f>
        <v>1586.7</v>
      </c>
      <c r="AL90" s="273">
        <f>AK90*R90</f>
        <v>0</v>
      </c>
      <c r="AM90" s="273">
        <f>N90</f>
        <v>4760.1000000000004</v>
      </c>
      <c r="AN90" s="273">
        <f>AM90*R90</f>
        <v>0</v>
      </c>
    </row>
    <row r="91" spans="2:40" ht="30" hidden="1" customHeight="1" x14ac:dyDescent="0.25">
      <c r="B91" s="1206" t="s">
        <v>2726</v>
      </c>
      <c r="C91" s="1077"/>
      <c r="D91" s="1077"/>
      <c r="E91" s="1077"/>
      <c r="F91" s="1077"/>
      <c r="G91" s="1077"/>
      <c r="H91" s="1077"/>
      <c r="I91" s="1077"/>
      <c r="J91" s="1077"/>
      <c r="K91" s="1077"/>
      <c r="L91" s="1077"/>
      <c r="M91" s="1077"/>
      <c r="N91" s="275">
        <f>SUM(N90:N90)</f>
        <v>4760.1000000000004</v>
      </c>
      <c r="O91" s="275">
        <f>SUM(O90:O90)</f>
        <v>0</v>
      </c>
      <c r="P91" s="275">
        <f>SUM(P90:P90)</f>
        <v>0</v>
      </c>
      <c r="Q91" s="275">
        <f>SUM(Q90:Q90)</f>
        <v>0</v>
      </c>
      <c r="R91" s="1085"/>
      <c r="S91" s="275">
        <f>SUM(S90:S90)</f>
        <v>0</v>
      </c>
      <c r="T91" s="1116">
        <f>SUM(T90:T90)</f>
        <v>0</v>
      </c>
      <c r="U91" s="275">
        <f>SUM(U90:U90)</f>
        <v>0</v>
      </c>
      <c r="V91" s="276"/>
      <c r="W91" s="275">
        <f>SUM(W90:W90)</f>
        <v>0</v>
      </c>
      <c r="X91" s="1115"/>
      <c r="Y91" s="1116">
        <f>SUM(Y90:Y90)</f>
        <v>0</v>
      </c>
      <c r="Z91" s="276"/>
      <c r="AA91" s="275">
        <f>SUM(AA90:AA90)</f>
        <v>0</v>
      </c>
      <c r="AB91" s="1131">
        <f t="shared" ref="AB91:AN91" si="86">SUM(AB90:AB90)</f>
        <v>0</v>
      </c>
      <c r="AC91" s="275">
        <f t="shared" si="86"/>
        <v>0</v>
      </c>
      <c r="AD91" s="275">
        <f t="shared" si="86"/>
        <v>0</v>
      </c>
      <c r="AE91" s="275">
        <f t="shared" si="86"/>
        <v>0</v>
      </c>
      <c r="AF91" s="1116">
        <f t="shared" si="86"/>
        <v>0</v>
      </c>
      <c r="AG91" s="1146">
        <f t="shared" si="86"/>
        <v>0</v>
      </c>
      <c r="AH91" s="1116">
        <f t="shared" si="86"/>
        <v>0</v>
      </c>
      <c r="AI91" s="1116">
        <f t="shared" si="86"/>
        <v>0</v>
      </c>
      <c r="AJ91" s="1116">
        <f t="shared" si="86"/>
        <v>0</v>
      </c>
      <c r="AK91" s="275">
        <f>SUM(AJ90:AJ90)</f>
        <v>0</v>
      </c>
      <c r="AL91" s="275">
        <f t="shared" si="86"/>
        <v>0</v>
      </c>
      <c r="AM91" s="275">
        <f t="shared" si="86"/>
        <v>4760.1000000000004</v>
      </c>
      <c r="AN91" s="275">
        <f t="shared" si="86"/>
        <v>0</v>
      </c>
    </row>
    <row r="92" spans="2:40" s="258" customFormat="1" ht="30" hidden="1" customHeight="1" x14ac:dyDescent="0.25">
      <c r="B92" s="267">
        <v>1933</v>
      </c>
      <c r="C92" s="259" t="str">
        <f>PROPER("VANESSA HOLZ WASKOW ABDALA")</f>
        <v>Vanessa Holz Waskow Abdala</v>
      </c>
      <c r="D92" s="259" t="s">
        <v>2685</v>
      </c>
      <c r="E92" s="259" t="s">
        <v>2739</v>
      </c>
      <c r="F92" s="259" t="s">
        <v>2919</v>
      </c>
      <c r="G92" s="259" t="s">
        <v>2918</v>
      </c>
      <c r="H92" s="266">
        <v>1</v>
      </c>
      <c r="I92" s="257">
        <v>40</v>
      </c>
      <c r="J92" s="257" t="s">
        <v>2636</v>
      </c>
      <c r="K92" s="257">
        <v>1</v>
      </c>
      <c r="L92" s="261">
        <v>42086</v>
      </c>
      <c r="M92" s="257">
        <v>4.2</v>
      </c>
      <c r="N92" s="262">
        <f>M92*AN$10</f>
        <v>2686.614</v>
      </c>
      <c r="O92" s="280">
        <v>0</v>
      </c>
      <c r="P92" s="280">
        <v>0</v>
      </c>
      <c r="Q92" s="280">
        <v>0</v>
      </c>
      <c r="R92" s="263">
        <v>0.05</v>
      </c>
      <c r="S92" s="264">
        <f>N92*R92</f>
        <v>134.33070000000001</v>
      </c>
      <c r="T92" s="1114">
        <v>0</v>
      </c>
      <c r="U92" s="271">
        <v>0</v>
      </c>
      <c r="V92" s="282">
        <v>0</v>
      </c>
      <c r="W92" s="264">
        <f>N92*V92</f>
        <v>0</v>
      </c>
      <c r="X92" s="1113">
        <f>51.18/N92</f>
        <v>1.9050001228311918E-2</v>
      </c>
      <c r="Y92" s="1114">
        <f t="shared" ref="Y92" si="87">N92*X92</f>
        <v>51.18</v>
      </c>
      <c r="Z92" s="282">
        <v>0</v>
      </c>
      <c r="AA92" s="271">
        <v>0</v>
      </c>
      <c r="AB92" s="1130">
        <v>0</v>
      </c>
      <c r="AC92" s="271">
        <v>0</v>
      </c>
      <c r="AD92" s="271">
        <v>0</v>
      </c>
      <c r="AE92" s="271">
        <v>0</v>
      </c>
      <c r="AF92" s="1114">
        <v>0</v>
      </c>
      <c r="AG92" s="1145">
        <f>AN10</f>
        <v>639.66999999999996</v>
      </c>
      <c r="AH92" s="1114">
        <v>0</v>
      </c>
      <c r="AI92" s="1114">
        <v>0</v>
      </c>
      <c r="AJ92" s="1114">
        <v>0</v>
      </c>
      <c r="AK92" s="273">
        <f>(N92+T92+U92)/3</f>
        <v>895.53800000000001</v>
      </c>
      <c r="AL92" s="273">
        <f>AK92*R92</f>
        <v>44.776900000000005</v>
      </c>
      <c r="AM92" s="273">
        <f>N92</f>
        <v>2686.614</v>
      </c>
      <c r="AN92" s="273">
        <f>AM92*R92</f>
        <v>134.33070000000001</v>
      </c>
    </row>
    <row r="93" spans="2:40" ht="30" hidden="1" customHeight="1" x14ac:dyDescent="0.25">
      <c r="B93" s="1206" t="s">
        <v>2747</v>
      </c>
      <c r="C93" s="1077"/>
      <c r="D93" s="1077"/>
      <c r="E93" s="1077"/>
      <c r="F93" s="1077"/>
      <c r="G93" s="1077"/>
      <c r="H93" s="1077"/>
      <c r="I93" s="1077"/>
      <c r="J93" s="1077"/>
      <c r="K93" s="1077"/>
      <c r="L93" s="1077"/>
      <c r="M93" s="1077"/>
      <c r="N93" s="275">
        <f>SUM(N92)</f>
        <v>2686.614</v>
      </c>
      <c r="O93" s="275">
        <f t="shared" ref="O93:Q93" si="88">SUM(O92)</f>
        <v>0</v>
      </c>
      <c r="P93" s="275">
        <f t="shared" si="88"/>
        <v>0</v>
      </c>
      <c r="Q93" s="275">
        <f t="shared" si="88"/>
        <v>0</v>
      </c>
      <c r="R93" s="1085"/>
      <c r="S93" s="275">
        <f t="shared" ref="S93:U93" si="89">SUM(S92)</f>
        <v>134.33070000000001</v>
      </c>
      <c r="T93" s="1116">
        <f t="shared" si="89"/>
        <v>0</v>
      </c>
      <c r="U93" s="275">
        <f t="shared" si="89"/>
        <v>0</v>
      </c>
      <c r="V93" s="276"/>
      <c r="W93" s="275">
        <f t="shared" ref="W93:AN93" si="90">SUM(W92)</f>
        <v>0</v>
      </c>
      <c r="X93" s="1116">
        <f t="shared" si="90"/>
        <v>1.9050001228311918E-2</v>
      </c>
      <c r="Y93" s="1116">
        <f t="shared" si="90"/>
        <v>51.18</v>
      </c>
      <c r="Z93" s="275">
        <f t="shared" si="90"/>
        <v>0</v>
      </c>
      <c r="AA93" s="275">
        <f t="shared" si="90"/>
        <v>0</v>
      </c>
      <c r="AB93" s="1131">
        <f t="shared" si="90"/>
        <v>0</v>
      </c>
      <c r="AC93" s="275">
        <f t="shared" si="90"/>
        <v>0</v>
      </c>
      <c r="AD93" s="275">
        <f t="shared" si="90"/>
        <v>0</v>
      </c>
      <c r="AE93" s="275">
        <f t="shared" si="90"/>
        <v>0</v>
      </c>
      <c r="AF93" s="1116">
        <f t="shared" si="90"/>
        <v>0</v>
      </c>
      <c r="AG93" s="1146">
        <f t="shared" si="90"/>
        <v>639.66999999999996</v>
      </c>
      <c r="AH93" s="1116">
        <f t="shared" si="90"/>
        <v>0</v>
      </c>
      <c r="AI93" s="1116">
        <f t="shared" si="90"/>
        <v>0</v>
      </c>
      <c r="AJ93" s="1116">
        <f t="shared" si="90"/>
        <v>0</v>
      </c>
      <c r="AK93" s="275">
        <f>SUM(AJ92)</f>
        <v>0</v>
      </c>
      <c r="AL93" s="275">
        <f t="shared" si="90"/>
        <v>44.776900000000005</v>
      </c>
      <c r="AM93" s="275">
        <f t="shared" si="90"/>
        <v>2686.614</v>
      </c>
      <c r="AN93" s="275">
        <f t="shared" si="90"/>
        <v>134.33070000000001</v>
      </c>
    </row>
    <row r="94" spans="2:40" s="258" customFormat="1" ht="30" hidden="1" customHeight="1" x14ac:dyDescent="0.25">
      <c r="B94" s="267">
        <v>2245</v>
      </c>
      <c r="C94" s="259" t="s">
        <v>2920</v>
      </c>
      <c r="D94" s="259" t="s">
        <v>2921</v>
      </c>
      <c r="E94" s="259" t="s">
        <v>2723</v>
      </c>
      <c r="F94" s="259" t="s">
        <v>2919</v>
      </c>
      <c r="G94" s="259" t="s">
        <v>2918</v>
      </c>
      <c r="H94" s="266">
        <v>1</v>
      </c>
      <c r="I94" s="257">
        <v>40</v>
      </c>
      <c r="J94" s="257" t="s">
        <v>2636</v>
      </c>
      <c r="K94" s="257">
        <v>1</v>
      </c>
      <c r="L94" s="261">
        <v>42086</v>
      </c>
      <c r="M94" s="257">
        <f>3198.35/639.67</f>
        <v>5</v>
      </c>
      <c r="N94" s="262">
        <f>M94*AN$10</f>
        <v>3198.35</v>
      </c>
      <c r="O94" s="280">
        <v>0</v>
      </c>
      <c r="P94" s="280">
        <v>0</v>
      </c>
      <c r="Q94" s="280">
        <v>0</v>
      </c>
      <c r="R94" s="263">
        <v>0</v>
      </c>
      <c r="S94" s="264">
        <f>N94*R94</f>
        <v>0</v>
      </c>
      <c r="T94" s="1114">
        <v>0</v>
      </c>
      <c r="U94" s="271">
        <v>0</v>
      </c>
      <c r="V94" s="282">
        <v>0</v>
      </c>
      <c r="W94" s="264">
        <f>N94*V94</f>
        <v>0</v>
      </c>
      <c r="X94" s="1113">
        <f>0/N94</f>
        <v>0</v>
      </c>
      <c r="Y94" s="1114">
        <f t="shared" ref="Y94" si="91">N94*X94</f>
        <v>0</v>
      </c>
      <c r="Z94" s="282">
        <v>0</v>
      </c>
      <c r="AA94" s="271">
        <v>0</v>
      </c>
      <c r="AB94" s="1130">
        <v>0</v>
      </c>
      <c r="AC94" s="271">
        <v>0</v>
      </c>
      <c r="AD94" s="271">
        <v>0</v>
      </c>
      <c r="AE94" s="271">
        <v>0</v>
      </c>
      <c r="AF94" s="1114">
        <v>0</v>
      </c>
      <c r="AG94" s="1145">
        <v>0</v>
      </c>
      <c r="AH94" s="1114">
        <v>0</v>
      </c>
      <c r="AI94" s="1114">
        <v>0</v>
      </c>
      <c r="AJ94" s="1114">
        <v>0</v>
      </c>
      <c r="AK94" s="273">
        <f>(N94+T94+U94)/3</f>
        <v>1066.1166666666666</v>
      </c>
      <c r="AL94" s="273">
        <f>AK94*R94</f>
        <v>0</v>
      </c>
      <c r="AM94" s="273">
        <f>N94</f>
        <v>3198.35</v>
      </c>
      <c r="AN94" s="273">
        <f>AM94*R94</f>
        <v>0</v>
      </c>
    </row>
    <row r="95" spans="2:40" ht="30" hidden="1" customHeight="1" x14ac:dyDescent="0.25">
      <c r="B95" s="1206" t="s">
        <v>2755</v>
      </c>
      <c r="C95" s="1077"/>
      <c r="D95" s="1077"/>
      <c r="E95" s="1077"/>
      <c r="F95" s="1077"/>
      <c r="G95" s="1077"/>
      <c r="H95" s="1077"/>
      <c r="I95" s="1077"/>
      <c r="J95" s="1077"/>
      <c r="K95" s="1077"/>
      <c r="L95" s="1077"/>
      <c r="M95" s="1077"/>
      <c r="N95" s="275">
        <f>SUM(N94)</f>
        <v>3198.35</v>
      </c>
      <c r="O95" s="275">
        <f t="shared" ref="O95" si="92">SUM(O94)</f>
        <v>0</v>
      </c>
      <c r="P95" s="275">
        <f t="shared" ref="P95" si="93">SUM(P94)</f>
        <v>0</v>
      </c>
      <c r="Q95" s="275">
        <f t="shared" ref="Q95" si="94">SUM(Q94)</f>
        <v>0</v>
      </c>
      <c r="R95" s="1085"/>
      <c r="S95" s="275">
        <f t="shared" ref="S95" si="95">SUM(S94)</f>
        <v>0</v>
      </c>
      <c r="T95" s="1116">
        <f t="shared" ref="T95" si="96">SUM(T94)</f>
        <v>0</v>
      </c>
      <c r="U95" s="275">
        <f t="shared" ref="U95" si="97">SUM(U94)</f>
        <v>0</v>
      </c>
      <c r="V95" s="276"/>
      <c r="W95" s="275">
        <f t="shared" ref="W95" si="98">SUM(W94)</f>
        <v>0</v>
      </c>
      <c r="X95" s="1116">
        <f t="shared" ref="X95" si="99">SUM(X94)</f>
        <v>0</v>
      </c>
      <c r="Y95" s="1116">
        <f t="shared" ref="Y95" si="100">SUM(Y94)</f>
        <v>0</v>
      </c>
      <c r="Z95" s="275">
        <f t="shared" ref="Z95" si="101">SUM(Z94)</f>
        <v>0</v>
      </c>
      <c r="AA95" s="275">
        <f t="shared" ref="AA95" si="102">SUM(AA94)</f>
        <v>0</v>
      </c>
      <c r="AB95" s="1131">
        <f t="shared" ref="AB95" si="103">SUM(AB94)</f>
        <v>0</v>
      </c>
      <c r="AC95" s="275">
        <f t="shared" ref="AC95" si="104">SUM(AC94)</f>
        <v>0</v>
      </c>
      <c r="AD95" s="275">
        <f t="shared" ref="AD95" si="105">SUM(AD94)</f>
        <v>0</v>
      </c>
      <c r="AE95" s="275">
        <f t="shared" ref="AE95" si="106">SUM(AE94)</f>
        <v>0</v>
      </c>
      <c r="AF95" s="1116">
        <f t="shared" ref="AF95" si="107">SUM(AF94)</f>
        <v>0</v>
      </c>
      <c r="AG95" s="1146">
        <f t="shared" ref="AG95" si="108">SUM(AG94)</f>
        <v>0</v>
      </c>
      <c r="AH95" s="1116">
        <f t="shared" ref="AH95" si="109">SUM(AH94)</f>
        <v>0</v>
      </c>
      <c r="AI95" s="1116">
        <f t="shared" ref="AI95" si="110">SUM(AI94)</f>
        <v>0</v>
      </c>
      <c r="AJ95" s="1116">
        <f t="shared" ref="AJ95" si="111">SUM(AJ94)</f>
        <v>0</v>
      </c>
      <c r="AK95" s="275">
        <f>SUM(AJ94)</f>
        <v>0</v>
      </c>
      <c r="AL95" s="275">
        <f t="shared" ref="AL95" si="112">SUM(AL94)</f>
        <v>0</v>
      </c>
      <c r="AM95" s="275">
        <f t="shared" ref="AM95" si="113">SUM(AM94)</f>
        <v>3198.35</v>
      </c>
      <c r="AN95" s="275">
        <f t="shared" ref="AN95" si="114">SUM(AN94)</f>
        <v>0</v>
      </c>
    </row>
    <row r="96" spans="2:40" s="258" customFormat="1" ht="30" hidden="1" customHeight="1" x14ac:dyDescent="0.25">
      <c r="B96" s="267">
        <v>2331</v>
      </c>
      <c r="C96" s="259" t="s">
        <v>7195</v>
      </c>
      <c r="D96" s="259" t="s">
        <v>7194</v>
      </c>
      <c r="E96" s="259" t="s">
        <v>2723</v>
      </c>
      <c r="F96" s="259" t="s">
        <v>2919</v>
      </c>
      <c r="G96" s="259" t="s">
        <v>2777</v>
      </c>
      <c r="H96" s="266">
        <v>1</v>
      </c>
      <c r="I96" s="257">
        <v>40</v>
      </c>
      <c r="J96" s="257" t="s">
        <v>2636</v>
      </c>
      <c r="K96" s="257">
        <v>1</v>
      </c>
      <c r="L96" s="261">
        <v>43535</v>
      </c>
      <c r="M96" s="257">
        <v>3.2</v>
      </c>
      <c r="N96" s="262">
        <f>M96*AN$10</f>
        <v>2046.944</v>
      </c>
      <c r="O96" s="280">
        <v>0</v>
      </c>
      <c r="P96" s="280">
        <v>0</v>
      </c>
      <c r="Q96" s="280">
        <v>0</v>
      </c>
      <c r="R96" s="263">
        <v>0</v>
      </c>
      <c r="S96" s="264">
        <f>N96*R96</f>
        <v>0</v>
      </c>
      <c r="T96" s="1114">
        <v>0</v>
      </c>
      <c r="U96" s="271">
        <v>0</v>
      </c>
      <c r="V96" s="282">
        <v>0</v>
      </c>
      <c r="W96" s="264">
        <f>N96*V96</f>
        <v>0</v>
      </c>
      <c r="X96" s="1113">
        <f>0/N96</f>
        <v>0</v>
      </c>
      <c r="Y96" s="1114">
        <f t="shared" ref="Y96" si="115">N96*X96</f>
        <v>0</v>
      </c>
      <c r="Z96" s="282">
        <v>0</v>
      </c>
      <c r="AA96" s="271">
        <v>0</v>
      </c>
      <c r="AB96" s="1130">
        <v>0</v>
      </c>
      <c r="AC96" s="271">
        <v>0</v>
      </c>
      <c r="AD96" s="271">
        <v>0</v>
      </c>
      <c r="AE96" s="271">
        <v>0</v>
      </c>
      <c r="AF96" s="1114">
        <v>0</v>
      </c>
      <c r="AG96" s="1145">
        <v>0</v>
      </c>
      <c r="AH96" s="1114">
        <v>0</v>
      </c>
      <c r="AI96" s="1114">
        <v>0</v>
      </c>
      <c r="AJ96" s="1114">
        <v>0</v>
      </c>
      <c r="AK96" s="273">
        <f>(N96+T96+U96)/3</f>
        <v>682.31466666666665</v>
      </c>
      <c r="AL96" s="273">
        <f>AK96*R96</f>
        <v>0</v>
      </c>
      <c r="AM96" s="273">
        <f>N96</f>
        <v>2046.944</v>
      </c>
      <c r="AN96" s="273">
        <f>AM96*R96</f>
        <v>0</v>
      </c>
    </row>
    <row r="97" spans="2:40" s="258" customFormat="1" ht="30" hidden="1" customHeight="1" x14ac:dyDescent="0.25">
      <c r="B97" s="267">
        <v>2332</v>
      </c>
      <c r="C97" s="259" t="s">
        <v>7198</v>
      </c>
      <c r="D97" s="259" t="s">
        <v>7199</v>
      </c>
      <c r="E97" s="259" t="s">
        <v>2723</v>
      </c>
      <c r="F97" s="259" t="s">
        <v>2919</v>
      </c>
      <c r="G97" s="259" t="s">
        <v>2918</v>
      </c>
      <c r="H97" s="266">
        <v>1</v>
      </c>
      <c r="I97" s="257">
        <v>40</v>
      </c>
      <c r="J97" s="257" t="s">
        <v>2636</v>
      </c>
      <c r="K97" s="257">
        <v>1</v>
      </c>
      <c r="L97" s="261">
        <v>43535</v>
      </c>
      <c r="M97" s="257">
        <v>3.2</v>
      </c>
      <c r="N97" s="262">
        <f>M97*AN$10</f>
        <v>2046.944</v>
      </c>
      <c r="O97" s="280">
        <v>0</v>
      </c>
      <c r="P97" s="280">
        <v>0</v>
      </c>
      <c r="Q97" s="280">
        <v>0</v>
      </c>
      <c r="R97" s="263">
        <v>0</v>
      </c>
      <c r="S97" s="264">
        <f>N97*R97</f>
        <v>0</v>
      </c>
      <c r="T97" s="1114">
        <v>0</v>
      </c>
      <c r="U97" s="271">
        <v>0</v>
      </c>
      <c r="V97" s="282">
        <v>0</v>
      </c>
      <c r="W97" s="264">
        <f>N97*V97</f>
        <v>0</v>
      </c>
      <c r="X97" s="1113">
        <f>0/N97</f>
        <v>0</v>
      </c>
      <c r="Y97" s="1114">
        <f t="shared" ref="Y97" si="116">N97*X97</f>
        <v>0</v>
      </c>
      <c r="Z97" s="282">
        <v>0</v>
      </c>
      <c r="AA97" s="271">
        <v>0</v>
      </c>
      <c r="AB97" s="1130">
        <v>0</v>
      </c>
      <c r="AC97" s="271">
        <v>0</v>
      </c>
      <c r="AD97" s="271">
        <v>0</v>
      </c>
      <c r="AE97" s="271">
        <v>0</v>
      </c>
      <c r="AF97" s="1114">
        <v>0</v>
      </c>
      <c r="AG97" s="1145">
        <v>0</v>
      </c>
      <c r="AH97" s="1114">
        <v>0</v>
      </c>
      <c r="AI97" s="1114">
        <v>0</v>
      </c>
      <c r="AJ97" s="1114">
        <v>0</v>
      </c>
      <c r="AK97" s="273">
        <f>(N97+T97+U97)/3</f>
        <v>682.31466666666665</v>
      </c>
      <c r="AL97" s="273">
        <f>AK97*R97</f>
        <v>0</v>
      </c>
      <c r="AM97" s="273">
        <f>N97</f>
        <v>2046.944</v>
      </c>
      <c r="AN97" s="273">
        <f>AM97*R97</f>
        <v>0</v>
      </c>
    </row>
    <row r="98" spans="2:40" s="258" customFormat="1" ht="30" hidden="1" customHeight="1" x14ac:dyDescent="0.25">
      <c r="B98" s="1206" t="s">
        <v>2755</v>
      </c>
      <c r="C98" s="1077"/>
      <c r="D98" s="1077"/>
      <c r="E98" s="1077"/>
      <c r="F98" s="1077"/>
      <c r="G98" s="1077"/>
      <c r="H98" s="1077"/>
      <c r="I98" s="1077"/>
      <c r="J98" s="1077"/>
      <c r="K98" s="1077"/>
      <c r="L98" s="1077"/>
      <c r="M98" s="1077"/>
      <c r="N98" s="275">
        <f>SUM(N96+N97)</f>
        <v>4093.8879999999999</v>
      </c>
      <c r="O98" s="275">
        <f t="shared" ref="O98:Q98" si="117">SUM(O96+O97)</f>
        <v>0</v>
      </c>
      <c r="P98" s="275">
        <f t="shared" si="117"/>
        <v>0</v>
      </c>
      <c r="Q98" s="275">
        <f t="shared" si="117"/>
        <v>0</v>
      </c>
      <c r="R98" s="1085"/>
      <c r="S98" s="275">
        <f>SUM(S96+S97)</f>
        <v>0</v>
      </c>
      <c r="T98" s="1116">
        <f>SUM(T96+T97)</f>
        <v>0</v>
      </c>
      <c r="U98" s="275">
        <f>SUM(U96+U97)</f>
        <v>0</v>
      </c>
      <c r="V98" s="276"/>
      <c r="W98" s="275">
        <f>SUM(W96+W97)</f>
        <v>0</v>
      </c>
      <c r="X98" s="1149">
        <f>SUM(X96+X97)</f>
        <v>0</v>
      </c>
      <c r="Y98" s="1149">
        <f>SUM(Y96+Y97)</f>
        <v>0</v>
      </c>
      <c r="Z98" s="1150"/>
      <c r="AA98" s="275">
        <f>SUM(AA96+AA97)</f>
        <v>0</v>
      </c>
      <c r="AB98" s="1131">
        <f>SUM(AB96+AB97)</f>
        <v>0</v>
      </c>
      <c r="AC98" s="275">
        <f>SUM(AC96+AC97)</f>
        <v>0</v>
      </c>
      <c r="AD98" s="275">
        <f t="shared" ref="AD98:AN98" si="118">SUM(AD96+AD97)</f>
        <v>0</v>
      </c>
      <c r="AE98" s="275">
        <f t="shared" si="118"/>
        <v>0</v>
      </c>
      <c r="AF98" s="1116">
        <f t="shared" si="118"/>
        <v>0</v>
      </c>
      <c r="AG98" s="275">
        <f t="shared" si="118"/>
        <v>0</v>
      </c>
      <c r="AH98" s="1116">
        <f t="shared" si="118"/>
        <v>0</v>
      </c>
      <c r="AI98" s="1116">
        <f t="shared" si="118"/>
        <v>0</v>
      </c>
      <c r="AJ98" s="1116">
        <f t="shared" si="118"/>
        <v>0</v>
      </c>
      <c r="AK98" s="275">
        <f>SUM(AJ96+AJ97)</f>
        <v>0</v>
      </c>
      <c r="AL98" s="275">
        <f t="shared" si="118"/>
        <v>0</v>
      </c>
      <c r="AM98" s="275">
        <f t="shared" si="118"/>
        <v>4093.8879999999999</v>
      </c>
      <c r="AN98" s="275">
        <f t="shared" si="118"/>
        <v>0</v>
      </c>
    </row>
    <row r="99" spans="2:40" s="258" customFormat="1" ht="30" hidden="1" customHeight="1" x14ac:dyDescent="0.25">
      <c r="B99" s="267">
        <v>2330</v>
      </c>
      <c r="C99" s="267" t="str">
        <f>PROPER("DENISE CAROLINE SIEMIONKO")</f>
        <v>Denise Caroline Siemionko</v>
      </c>
      <c r="D99" s="267" t="s">
        <v>2923</v>
      </c>
      <c r="E99" s="267" t="s">
        <v>2725</v>
      </c>
      <c r="F99" s="259" t="s">
        <v>2919</v>
      </c>
      <c r="G99" s="259" t="s">
        <v>2777</v>
      </c>
      <c r="H99" s="257">
        <v>1</v>
      </c>
      <c r="I99" s="257">
        <v>40</v>
      </c>
      <c r="J99" s="257">
        <v>0</v>
      </c>
      <c r="K99" s="257">
        <v>0</v>
      </c>
      <c r="L99" s="261">
        <v>43530</v>
      </c>
      <c r="M99" s="260">
        <f>4760.1/639.67</f>
        <v>7.441493269967328</v>
      </c>
      <c r="N99" s="280">
        <f>AN$10*M99</f>
        <v>4760.1000000000004</v>
      </c>
      <c r="O99" s="280">
        <v>0</v>
      </c>
      <c r="P99" s="280">
        <v>0</v>
      </c>
      <c r="Q99" s="280">
        <v>0</v>
      </c>
      <c r="R99" s="281">
        <v>0</v>
      </c>
      <c r="S99" s="271">
        <f>N99*R99</f>
        <v>0</v>
      </c>
      <c r="T99" s="1114">
        <v>0</v>
      </c>
      <c r="U99" s="271">
        <v>0</v>
      </c>
      <c r="V99" s="282">
        <v>0</v>
      </c>
      <c r="W99" s="264">
        <f>N99*V99</f>
        <v>0</v>
      </c>
      <c r="X99" s="1113">
        <v>0</v>
      </c>
      <c r="Y99" s="1114">
        <v>0</v>
      </c>
      <c r="Z99" s="282">
        <v>0</v>
      </c>
      <c r="AA99" s="271">
        <v>0</v>
      </c>
      <c r="AB99" s="1130">
        <v>0</v>
      </c>
      <c r="AC99" s="271">
        <v>0</v>
      </c>
      <c r="AD99" s="271">
        <v>0</v>
      </c>
      <c r="AE99" s="271">
        <v>0</v>
      </c>
      <c r="AF99" s="1114">
        <v>0</v>
      </c>
      <c r="AG99" s="1145">
        <v>0</v>
      </c>
      <c r="AH99" s="1114">
        <v>0</v>
      </c>
      <c r="AI99" s="1114">
        <v>0</v>
      </c>
      <c r="AJ99" s="1114">
        <v>0</v>
      </c>
      <c r="AK99" s="273">
        <f>(N99+T99+U99)/3</f>
        <v>1586.7</v>
      </c>
      <c r="AL99" s="273">
        <f>AK99*R99</f>
        <v>0</v>
      </c>
      <c r="AM99" s="273">
        <f>N99</f>
        <v>4760.1000000000004</v>
      </c>
      <c r="AN99" s="273">
        <f>AM99*R99</f>
        <v>0</v>
      </c>
    </row>
    <row r="100" spans="2:40" ht="30" hidden="1" customHeight="1" x14ac:dyDescent="0.25">
      <c r="B100" s="1206" t="s">
        <v>2726</v>
      </c>
      <c r="C100" s="1077"/>
      <c r="D100" s="1077"/>
      <c r="E100" s="1077"/>
      <c r="F100" s="1077"/>
      <c r="G100" s="1077"/>
      <c r="H100" s="1077"/>
      <c r="I100" s="1077"/>
      <c r="J100" s="1077"/>
      <c r="K100" s="1077"/>
      <c r="L100" s="1077"/>
      <c r="M100" s="1077"/>
      <c r="N100" s="275">
        <f>SUM(N99:N99)</f>
        <v>4760.1000000000004</v>
      </c>
      <c r="O100" s="275">
        <f>SUM(O99:O99)</f>
        <v>0</v>
      </c>
      <c r="P100" s="275">
        <f>SUM(P99:P99)</f>
        <v>0</v>
      </c>
      <c r="Q100" s="275">
        <f>SUM(Q99:Q99)</f>
        <v>0</v>
      </c>
      <c r="R100" s="1085"/>
      <c r="S100" s="275">
        <f>SUM(S99:S99)</f>
        <v>0</v>
      </c>
      <c r="T100" s="1116">
        <f>SUM(T99:T99)</f>
        <v>0</v>
      </c>
      <c r="U100" s="275">
        <f>SUM(U99:U99)</f>
        <v>0</v>
      </c>
      <c r="V100" s="276"/>
      <c r="W100" s="275">
        <f>SUM(W99:W99)</f>
        <v>0</v>
      </c>
      <c r="X100" s="1115"/>
      <c r="Y100" s="1116">
        <f>SUM(Y99:Y99)</f>
        <v>0</v>
      </c>
      <c r="Z100" s="276"/>
      <c r="AA100" s="275">
        <f>SUM(AA99:AA99)</f>
        <v>0</v>
      </c>
      <c r="AB100" s="1131">
        <f t="shared" ref="AB100:AN100" si="119">SUM(AB99:AB99)</f>
        <v>0</v>
      </c>
      <c r="AC100" s="275">
        <f t="shared" si="119"/>
        <v>0</v>
      </c>
      <c r="AD100" s="275">
        <f t="shared" si="119"/>
        <v>0</v>
      </c>
      <c r="AE100" s="275">
        <f t="shared" si="119"/>
        <v>0</v>
      </c>
      <c r="AF100" s="1116">
        <f t="shared" si="119"/>
        <v>0</v>
      </c>
      <c r="AG100" s="1146">
        <f t="shared" si="119"/>
        <v>0</v>
      </c>
      <c r="AH100" s="1116">
        <f t="shared" si="119"/>
        <v>0</v>
      </c>
      <c r="AI100" s="1116">
        <f t="shared" si="119"/>
        <v>0</v>
      </c>
      <c r="AJ100" s="1116">
        <f t="shared" si="119"/>
        <v>0</v>
      </c>
      <c r="AK100" s="275">
        <f>SUM(AJ99:AJ99)</f>
        <v>0</v>
      </c>
      <c r="AL100" s="275">
        <f t="shared" si="119"/>
        <v>0</v>
      </c>
      <c r="AM100" s="275">
        <f t="shared" si="119"/>
        <v>4760.1000000000004</v>
      </c>
      <c r="AN100" s="275">
        <f t="shared" si="119"/>
        <v>0</v>
      </c>
    </row>
    <row r="101" spans="2:40" ht="30" hidden="1" customHeight="1" x14ac:dyDescent="0.25">
      <c r="B101" s="267">
        <v>2340</v>
      </c>
      <c r="C101" s="259" t="s">
        <v>7196</v>
      </c>
      <c r="D101" s="259" t="s">
        <v>2780</v>
      </c>
      <c r="E101" s="259" t="s">
        <v>2757</v>
      </c>
      <c r="F101" s="259" t="s">
        <v>2919</v>
      </c>
      <c r="G101" s="259" t="s">
        <v>2924</v>
      </c>
      <c r="H101" s="266">
        <v>1</v>
      </c>
      <c r="I101" s="257">
        <v>40</v>
      </c>
      <c r="J101" s="257" t="s">
        <v>2636</v>
      </c>
      <c r="K101" s="257">
        <v>0</v>
      </c>
      <c r="L101" s="261">
        <v>43570</v>
      </c>
      <c r="M101" s="257">
        <v>2.5</v>
      </c>
      <c r="N101" s="262">
        <f>M101*AN$10+0.01</f>
        <v>1599.1849999999999</v>
      </c>
      <c r="O101" s="280">
        <v>0</v>
      </c>
      <c r="P101" s="280">
        <v>0</v>
      </c>
      <c r="Q101" s="280">
        <v>0</v>
      </c>
      <c r="R101" s="263">
        <v>0</v>
      </c>
      <c r="S101" s="264">
        <f>N101*R101</f>
        <v>0</v>
      </c>
      <c r="T101" s="1114">
        <v>0</v>
      </c>
      <c r="U101" s="264">
        <v>0</v>
      </c>
      <c r="V101" s="265">
        <v>0</v>
      </c>
      <c r="W101" s="264">
        <f>N101*V101</f>
        <v>0</v>
      </c>
      <c r="X101" s="1113">
        <f>76.76/N101</f>
        <v>4.7999449719700979E-2</v>
      </c>
      <c r="Y101" s="1114">
        <f>N101*X101</f>
        <v>76.760000000000005</v>
      </c>
      <c r="Z101" s="265">
        <v>0</v>
      </c>
      <c r="AA101" s="264">
        <f>N101*Z101</f>
        <v>0</v>
      </c>
      <c r="AB101" s="1130">
        <v>0</v>
      </c>
      <c r="AC101" s="264">
        <v>0</v>
      </c>
      <c r="AD101" s="264">
        <v>0</v>
      </c>
      <c r="AE101" s="264">
        <f>(287.85/N101)*N101</f>
        <v>287.85000000000002</v>
      </c>
      <c r="AF101" s="1114">
        <v>0</v>
      </c>
      <c r="AG101" s="1145">
        <v>0</v>
      </c>
      <c r="AH101" s="1119">
        <v>0</v>
      </c>
      <c r="AI101" s="1119">
        <v>0</v>
      </c>
      <c r="AJ101" s="1114">
        <v>0</v>
      </c>
      <c r="AK101" s="273">
        <f>(N101+T101+U101)/3</f>
        <v>533.06166666666661</v>
      </c>
      <c r="AL101" s="273">
        <f>AK101*R101</f>
        <v>0</v>
      </c>
      <c r="AM101" s="273">
        <f>N101</f>
        <v>1599.1849999999999</v>
      </c>
      <c r="AN101" s="273">
        <f>AM101*R101</f>
        <v>0</v>
      </c>
    </row>
    <row r="102" spans="2:40" ht="30" hidden="1" customHeight="1" x14ac:dyDescent="0.25">
      <c r="B102" s="267">
        <v>2341</v>
      </c>
      <c r="C102" s="259" t="s">
        <v>7197</v>
      </c>
      <c r="D102" s="259" t="s">
        <v>2780</v>
      </c>
      <c r="E102" s="259" t="s">
        <v>2757</v>
      </c>
      <c r="F102" s="259" t="s">
        <v>2919</v>
      </c>
      <c r="G102" s="259" t="s">
        <v>2924</v>
      </c>
      <c r="H102" s="266">
        <v>1</v>
      </c>
      <c r="I102" s="257">
        <v>40</v>
      </c>
      <c r="J102" s="257" t="s">
        <v>2636</v>
      </c>
      <c r="K102" s="257">
        <v>0</v>
      </c>
      <c r="L102" s="261">
        <v>43570</v>
      </c>
      <c r="M102" s="257">
        <v>2.5</v>
      </c>
      <c r="N102" s="262">
        <f>M102*AN$10+0.01</f>
        <v>1599.1849999999999</v>
      </c>
      <c r="O102" s="280">
        <v>0</v>
      </c>
      <c r="P102" s="280">
        <v>0</v>
      </c>
      <c r="Q102" s="280">
        <v>0</v>
      </c>
      <c r="R102" s="263">
        <v>0</v>
      </c>
      <c r="S102" s="264">
        <f>N102*R102</f>
        <v>0</v>
      </c>
      <c r="T102" s="1114">
        <v>0</v>
      </c>
      <c r="U102" s="264">
        <v>0</v>
      </c>
      <c r="V102" s="265">
        <v>0</v>
      </c>
      <c r="W102" s="264">
        <f>N102*V102</f>
        <v>0</v>
      </c>
      <c r="X102" s="1113">
        <f>76.76/N102</f>
        <v>4.7999449719700979E-2</v>
      </c>
      <c r="Y102" s="1114">
        <f>N102*X102</f>
        <v>76.760000000000005</v>
      </c>
      <c r="Z102" s="265">
        <v>0</v>
      </c>
      <c r="AA102" s="264">
        <f>N102*Z102</f>
        <v>0</v>
      </c>
      <c r="AB102" s="1130">
        <v>0</v>
      </c>
      <c r="AC102" s="264">
        <v>0</v>
      </c>
      <c r="AD102" s="264">
        <v>0</v>
      </c>
      <c r="AE102" s="264">
        <f>(268.66/N102)*N102</f>
        <v>268.66000000000003</v>
      </c>
      <c r="AF102" s="1114">
        <v>0</v>
      </c>
      <c r="AG102" s="1145">
        <v>0</v>
      </c>
      <c r="AH102" s="1119">
        <v>0</v>
      </c>
      <c r="AI102" s="1119">
        <v>0</v>
      </c>
      <c r="AJ102" s="1114">
        <v>0</v>
      </c>
      <c r="AK102" s="273">
        <f>(N102+T102+U102)/3</f>
        <v>533.06166666666661</v>
      </c>
      <c r="AL102" s="273">
        <f>AK102*R102</f>
        <v>0</v>
      </c>
      <c r="AM102" s="273">
        <f>N102</f>
        <v>1599.1849999999999</v>
      </c>
      <c r="AN102" s="273">
        <f>AM102*R102</f>
        <v>0</v>
      </c>
    </row>
    <row r="103" spans="2:40" s="258" customFormat="1" ht="30" hidden="1" customHeight="1" x14ac:dyDescent="0.25">
      <c r="B103" s="267">
        <v>0</v>
      </c>
      <c r="C103" s="259" t="s">
        <v>7119</v>
      </c>
      <c r="D103" s="259" t="s">
        <v>2780</v>
      </c>
      <c r="E103" s="259" t="s">
        <v>2757</v>
      </c>
      <c r="F103" s="259" t="s">
        <v>2919</v>
      </c>
      <c r="G103" s="259" t="s">
        <v>2924</v>
      </c>
      <c r="H103" s="266">
        <v>1</v>
      </c>
      <c r="I103" s="257">
        <v>40</v>
      </c>
      <c r="J103" s="257" t="s">
        <v>2636</v>
      </c>
      <c r="K103" s="257">
        <v>0</v>
      </c>
      <c r="L103" s="261">
        <v>0</v>
      </c>
      <c r="M103" s="257">
        <v>2.5</v>
      </c>
      <c r="N103" s="262">
        <f>M103*AN$10+0.01</f>
        <v>1599.1849999999999</v>
      </c>
      <c r="O103" s="280">
        <v>0</v>
      </c>
      <c r="P103" s="280">
        <v>0</v>
      </c>
      <c r="Q103" s="280">
        <v>0</v>
      </c>
      <c r="R103" s="263">
        <v>0</v>
      </c>
      <c r="S103" s="264">
        <f>N103*R103</f>
        <v>0</v>
      </c>
      <c r="T103" s="1114">
        <v>0</v>
      </c>
      <c r="U103" s="264">
        <v>0</v>
      </c>
      <c r="V103" s="265">
        <v>0</v>
      </c>
      <c r="W103" s="264">
        <f>N103*V103</f>
        <v>0</v>
      </c>
      <c r="X103" s="1113">
        <f>76.76/N103</f>
        <v>4.7999449719700979E-2</v>
      </c>
      <c r="Y103" s="1114">
        <f>N103*X103</f>
        <v>76.760000000000005</v>
      </c>
      <c r="Z103" s="265">
        <v>0</v>
      </c>
      <c r="AA103" s="264">
        <f>N103*Z103</f>
        <v>0</v>
      </c>
      <c r="AB103" s="1130">
        <v>0</v>
      </c>
      <c r="AC103" s="264">
        <v>0</v>
      </c>
      <c r="AD103" s="264">
        <v>0</v>
      </c>
      <c r="AE103" s="264">
        <f>(268.66/N103)*N103</f>
        <v>268.66000000000003</v>
      </c>
      <c r="AF103" s="1114">
        <v>0</v>
      </c>
      <c r="AG103" s="1145">
        <v>0</v>
      </c>
      <c r="AH103" s="1119">
        <v>0</v>
      </c>
      <c r="AI103" s="1119">
        <v>0</v>
      </c>
      <c r="AJ103" s="1114">
        <v>0</v>
      </c>
      <c r="AK103" s="273">
        <f>(N103+T103+U103)/3</f>
        <v>533.06166666666661</v>
      </c>
      <c r="AL103" s="273">
        <f>AK103*R103</f>
        <v>0</v>
      </c>
      <c r="AM103" s="273">
        <f>N103</f>
        <v>1599.1849999999999</v>
      </c>
      <c r="AN103" s="273">
        <f>AM103*R103</f>
        <v>0</v>
      </c>
    </row>
    <row r="104" spans="2:40" s="258" customFormat="1" ht="30" hidden="1" customHeight="1" x14ac:dyDescent="0.25">
      <c r="B104" s="1206" t="s">
        <v>2759</v>
      </c>
      <c r="C104" s="1077"/>
      <c r="D104" s="1077"/>
      <c r="E104" s="1077"/>
      <c r="F104" s="1077"/>
      <c r="G104" s="1077"/>
      <c r="H104" s="1077"/>
      <c r="I104" s="1077"/>
      <c r="J104" s="1077"/>
      <c r="K104" s="1077"/>
      <c r="L104" s="1077"/>
      <c r="M104" s="1077"/>
      <c r="N104" s="275">
        <f>SUM(N101:N103)</f>
        <v>4797.5550000000003</v>
      </c>
      <c r="O104" s="275">
        <f>SUM(O101:O103)</f>
        <v>0</v>
      </c>
      <c r="P104" s="275">
        <f>SUM(P101:P103)</f>
        <v>0</v>
      </c>
      <c r="Q104" s="275">
        <f>SUM(Q101:Q103)</f>
        <v>0</v>
      </c>
      <c r="R104" s="1085"/>
      <c r="S104" s="275">
        <f>SUM(S101:S103)</f>
        <v>0</v>
      </c>
      <c r="T104" s="1116">
        <f>SUM(T101:T103)</f>
        <v>0</v>
      </c>
      <c r="U104" s="275">
        <f>SUM(U101:U103)</f>
        <v>0</v>
      </c>
      <c r="V104" s="276"/>
      <c r="W104" s="275">
        <f>SUM(W101:W103)</f>
        <v>0</v>
      </c>
      <c r="X104" s="1115"/>
      <c r="Y104" s="1116">
        <f>SUM(Y101:Y103)</f>
        <v>230.28000000000003</v>
      </c>
      <c r="Z104" s="276"/>
      <c r="AA104" s="275">
        <f t="shared" ref="AA104:AN104" si="120">SUM(AA101:AA103)</f>
        <v>0</v>
      </c>
      <c r="AB104" s="1131">
        <f t="shared" si="120"/>
        <v>0</v>
      </c>
      <c r="AC104" s="275">
        <f t="shared" si="120"/>
        <v>0</v>
      </c>
      <c r="AD104" s="275">
        <f t="shared" si="120"/>
        <v>0</v>
      </c>
      <c r="AE104" s="275">
        <f t="shared" si="120"/>
        <v>825.17000000000007</v>
      </c>
      <c r="AF104" s="1116">
        <f t="shared" si="120"/>
        <v>0</v>
      </c>
      <c r="AG104" s="1146">
        <f t="shared" si="120"/>
        <v>0</v>
      </c>
      <c r="AH104" s="1116">
        <f t="shared" si="120"/>
        <v>0</v>
      </c>
      <c r="AI104" s="1116">
        <f t="shared" si="120"/>
        <v>0</v>
      </c>
      <c r="AJ104" s="1116">
        <f t="shared" si="120"/>
        <v>0</v>
      </c>
      <c r="AK104" s="275">
        <f>SUM(AJ101:AJ103)</f>
        <v>0</v>
      </c>
      <c r="AL104" s="275">
        <f t="shared" si="120"/>
        <v>0</v>
      </c>
      <c r="AM104" s="275">
        <f t="shared" si="120"/>
        <v>4797.5550000000003</v>
      </c>
      <c r="AN104" s="275">
        <f t="shared" si="120"/>
        <v>0</v>
      </c>
    </row>
    <row r="105" spans="2:40" ht="30" hidden="1" customHeight="1" x14ac:dyDescent="0.25">
      <c r="B105" s="267">
        <v>511</v>
      </c>
      <c r="C105" s="267" t="str">
        <f>PROPER("DALVA REGINA CARAD")</f>
        <v>Dalva Regina Carad</v>
      </c>
      <c r="D105" s="259" t="s">
        <v>2643</v>
      </c>
      <c r="E105" s="259" t="s">
        <v>2739</v>
      </c>
      <c r="F105" s="259" t="s">
        <v>2919</v>
      </c>
      <c r="G105" s="259" t="s">
        <v>2924</v>
      </c>
      <c r="H105" s="266">
        <v>1</v>
      </c>
      <c r="I105" s="257">
        <v>44</v>
      </c>
      <c r="J105" s="257" t="s">
        <v>2636</v>
      </c>
      <c r="K105" s="257">
        <v>0</v>
      </c>
      <c r="L105" s="261">
        <v>37365</v>
      </c>
      <c r="M105" s="257">
        <v>1.95</v>
      </c>
      <c r="N105" s="262">
        <f>M105*AN$10</f>
        <v>1247.3564999999999</v>
      </c>
      <c r="O105" s="280">
        <v>0</v>
      </c>
      <c r="P105" s="280">
        <v>0</v>
      </c>
      <c r="Q105" s="280">
        <v>0</v>
      </c>
      <c r="R105" s="263">
        <v>0.17</v>
      </c>
      <c r="S105" s="264">
        <f>N105*R105</f>
        <v>212.05060499999999</v>
      </c>
      <c r="T105" s="1114">
        <v>0</v>
      </c>
      <c r="U105" s="264">
        <v>0</v>
      </c>
      <c r="V105" s="265">
        <v>0</v>
      </c>
      <c r="W105" s="264">
        <f>N105*V105</f>
        <v>0</v>
      </c>
      <c r="X105" s="1113">
        <f>119.86/N105</f>
        <v>9.6091213698730082E-2</v>
      </c>
      <c r="Y105" s="1114">
        <f>N105*X105</f>
        <v>119.86</v>
      </c>
      <c r="Z105" s="265">
        <v>0</v>
      </c>
      <c r="AA105" s="264">
        <f>N105*Z105</f>
        <v>0</v>
      </c>
      <c r="AB105" s="1130">
        <v>0</v>
      </c>
      <c r="AC105" s="264">
        <v>0</v>
      </c>
      <c r="AD105" s="264">
        <v>0</v>
      </c>
      <c r="AE105" s="264">
        <f>(0/N105)*N105</f>
        <v>0</v>
      </c>
      <c r="AF105" s="1114">
        <v>0</v>
      </c>
      <c r="AG105" s="1145">
        <v>0</v>
      </c>
      <c r="AH105" s="1119">
        <v>0</v>
      </c>
      <c r="AI105" s="1119">
        <v>0</v>
      </c>
      <c r="AJ105" s="1114">
        <v>0</v>
      </c>
      <c r="AK105" s="273">
        <f>(N105+T105+U105)/3</f>
        <v>415.78549999999996</v>
      </c>
      <c r="AL105" s="273">
        <f>AK105*R105</f>
        <v>70.683534999999992</v>
      </c>
      <c r="AM105" s="273">
        <f>N105</f>
        <v>1247.3564999999999</v>
      </c>
      <c r="AN105" s="273">
        <f>AM105*R105</f>
        <v>212.05060499999999</v>
      </c>
    </row>
    <row r="106" spans="2:40" ht="30" hidden="1" customHeight="1" x14ac:dyDescent="0.25">
      <c r="B106" s="267">
        <v>1916</v>
      </c>
      <c r="C106" s="259" t="s">
        <v>2671</v>
      </c>
      <c r="D106" s="259" t="s">
        <v>2669</v>
      </c>
      <c r="E106" s="259" t="s">
        <v>2739</v>
      </c>
      <c r="F106" s="259" t="s">
        <v>2919</v>
      </c>
      <c r="G106" s="259" t="s">
        <v>2779</v>
      </c>
      <c r="H106" s="266">
        <v>1</v>
      </c>
      <c r="I106" s="257">
        <v>44</v>
      </c>
      <c r="J106" s="257" t="s">
        <v>2636</v>
      </c>
      <c r="K106" s="257">
        <v>0</v>
      </c>
      <c r="L106" s="261">
        <v>42065</v>
      </c>
      <c r="M106" s="257">
        <v>2.62</v>
      </c>
      <c r="N106" s="262">
        <f>M106*AN$10</f>
        <v>1675.9354000000001</v>
      </c>
      <c r="O106" s="280">
        <v>0</v>
      </c>
      <c r="P106" s="280">
        <v>0</v>
      </c>
      <c r="Q106" s="280">
        <v>0</v>
      </c>
      <c r="R106" s="263">
        <v>0.05</v>
      </c>
      <c r="S106" s="264">
        <f t="shared" ref="S106" si="121">N106*R106</f>
        <v>83.796770000000009</v>
      </c>
      <c r="T106" s="1114">
        <v>0</v>
      </c>
      <c r="U106" s="264">
        <v>0</v>
      </c>
      <c r="V106" s="265">
        <v>0</v>
      </c>
      <c r="W106" s="264">
        <f t="shared" ref="W106" si="122">N106*V106</f>
        <v>0</v>
      </c>
      <c r="X106" s="1113">
        <f>76.96/N106</f>
        <v>4.5920624386834953E-2</v>
      </c>
      <c r="Y106" s="1114">
        <f t="shared" ref="Y106" si="123">N106*X106</f>
        <v>76.959999999999994</v>
      </c>
      <c r="Z106" s="265">
        <v>0</v>
      </c>
      <c r="AA106" s="264">
        <f t="shared" ref="AA106" si="124">N106*Z106</f>
        <v>0</v>
      </c>
      <c r="AB106" s="1130">
        <v>0</v>
      </c>
      <c r="AC106" s="264">
        <v>0</v>
      </c>
      <c r="AD106" s="264">
        <v>0</v>
      </c>
      <c r="AE106" s="264">
        <f>(345.42/N106)*N106</f>
        <v>345.42</v>
      </c>
      <c r="AF106" s="1114">
        <v>0</v>
      </c>
      <c r="AG106" s="1145">
        <v>0</v>
      </c>
      <c r="AH106" s="1119">
        <v>0</v>
      </c>
      <c r="AI106" s="1119">
        <v>0</v>
      </c>
      <c r="AJ106" s="1114">
        <v>0</v>
      </c>
      <c r="AK106" s="273">
        <f t="shared" ref="AK106" si="125">(N106+T106+U106)/3</f>
        <v>558.64513333333332</v>
      </c>
      <c r="AL106" s="273">
        <f>AK106*R106</f>
        <v>27.932256666666667</v>
      </c>
      <c r="AM106" s="273">
        <f t="shared" ref="AM106" si="126">N106</f>
        <v>1675.9354000000001</v>
      </c>
      <c r="AN106" s="273">
        <f t="shared" ref="AN106" si="127">AM106*R106</f>
        <v>83.796770000000009</v>
      </c>
    </row>
    <row r="107" spans="2:40" s="258" customFormat="1" ht="30" hidden="1" customHeight="1" x14ac:dyDescent="0.25">
      <c r="B107" s="267">
        <v>1920</v>
      </c>
      <c r="C107" s="259" t="s">
        <v>2668</v>
      </c>
      <c r="D107" s="259" t="s">
        <v>2669</v>
      </c>
      <c r="E107" s="259" t="s">
        <v>2739</v>
      </c>
      <c r="F107" s="259" t="s">
        <v>2919</v>
      </c>
      <c r="G107" s="259" t="s">
        <v>2924</v>
      </c>
      <c r="H107" s="266">
        <v>1</v>
      </c>
      <c r="I107" s="257">
        <v>44</v>
      </c>
      <c r="J107" s="257" t="s">
        <v>2636</v>
      </c>
      <c r="K107" s="257">
        <v>0</v>
      </c>
      <c r="L107" s="261">
        <v>42066</v>
      </c>
      <c r="M107" s="257">
        <v>2.62</v>
      </c>
      <c r="N107" s="262">
        <f>M107*AN$10</f>
        <v>1675.9354000000001</v>
      </c>
      <c r="O107" s="280">
        <v>0</v>
      </c>
      <c r="P107" s="280">
        <v>0</v>
      </c>
      <c r="Q107" s="280">
        <v>0</v>
      </c>
      <c r="R107" s="263">
        <v>0.05</v>
      </c>
      <c r="S107" s="264">
        <f>N107*R107</f>
        <v>83.796770000000009</v>
      </c>
      <c r="T107" s="1114">
        <v>0</v>
      </c>
      <c r="U107" s="264">
        <v>0</v>
      </c>
      <c r="V107" s="265">
        <v>0</v>
      </c>
      <c r="W107" s="264">
        <f>N107*V107</f>
        <v>0</v>
      </c>
      <c r="X107" s="1113">
        <f>71.91/N107</f>
        <v>4.2907381752303811E-2</v>
      </c>
      <c r="Y107" s="1114">
        <f>N107*X107</f>
        <v>71.91</v>
      </c>
      <c r="Z107" s="265">
        <v>0</v>
      </c>
      <c r="AA107" s="264">
        <f>N107*Z107</f>
        <v>0</v>
      </c>
      <c r="AB107" s="1130">
        <v>0</v>
      </c>
      <c r="AC107" s="264">
        <v>0</v>
      </c>
      <c r="AD107" s="264">
        <v>0</v>
      </c>
      <c r="AE107" s="264">
        <f>(268.66/N107)*N107</f>
        <v>268.66000000000003</v>
      </c>
      <c r="AF107" s="1114">
        <v>0</v>
      </c>
      <c r="AG107" s="1145">
        <v>0</v>
      </c>
      <c r="AH107" s="1119">
        <v>0</v>
      </c>
      <c r="AI107" s="1119">
        <v>0</v>
      </c>
      <c r="AJ107" s="1114">
        <v>0</v>
      </c>
      <c r="AK107" s="273">
        <f>(N107+T107+U107)/3</f>
        <v>558.64513333333332</v>
      </c>
      <c r="AL107" s="273">
        <f>AK107*R107</f>
        <v>27.932256666666667</v>
      </c>
      <c r="AM107" s="273">
        <f>N107</f>
        <v>1675.9354000000001</v>
      </c>
      <c r="AN107" s="273">
        <f>AM107*R107</f>
        <v>83.796770000000009</v>
      </c>
    </row>
    <row r="108" spans="2:40" ht="30" hidden="1" customHeight="1" x14ac:dyDescent="0.25">
      <c r="B108" s="1206" t="s">
        <v>2747</v>
      </c>
      <c r="C108" s="1077"/>
      <c r="D108" s="1077"/>
      <c r="E108" s="1077"/>
      <c r="F108" s="1077"/>
      <c r="G108" s="1077"/>
      <c r="H108" s="1077"/>
      <c r="I108" s="1077"/>
      <c r="J108" s="1077"/>
      <c r="K108" s="1077"/>
      <c r="L108" s="1077"/>
      <c r="M108" s="1077"/>
      <c r="N108" s="275">
        <f>SUM(N105:N107)</f>
        <v>4599.2273000000005</v>
      </c>
      <c r="O108" s="275">
        <f>SUM(O105:O107)</f>
        <v>0</v>
      </c>
      <c r="P108" s="275">
        <f>SUM(P105:P107)</f>
        <v>0</v>
      </c>
      <c r="Q108" s="275">
        <f>SUM(Q105:Q107)</f>
        <v>0</v>
      </c>
      <c r="R108" s="1085"/>
      <c r="S108" s="275">
        <f>SUM(S105:S107)</f>
        <v>379.64414499999998</v>
      </c>
      <c r="T108" s="1116">
        <f>SUM(T105:T107)</f>
        <v>0</v>
      </c>
      <c r="U108" s="275">
        <f>SUM(U105:U107)</f>
        <v>0</v>
      </c>
      <c r="V108" s="276"/>
      <c r="W108" s="275">
        <f>SUM(W105:W107)</f>
        <v>0</v>
      </c>
      <c r="X108" s="1115"/>
      <c r="Y108" s="1116">
        <f>SUM(Y105:Y107)</f>
        <v>268.73</v>
      </c>
      <c r="Z108" s="276"/>
      <c r="AA108" s="275">
        <f t="shared" ref="AA108:AN108" si="128">SUM(AA105:AA107)</f>
        <v>0</v>
      </c>
      <c r="AB108" s="1131">
        <f t="shared" si="128"/>
        <v>0</v>
      </c>
      <c r="AC108" s="275">
        <f t="shared" si="128"/>
        <v>0</v>
      </c>
      <c r="AD108" s="275">
        <f t="shared" si="128"/>
        <v>0</v>
      </c>
      <c r="AE108" s="275">
        <f t="shared" si="128"/>
        <v>614.08000000000004</v>
      </c>
      <c r="AF108" s="1116">
        <f t="shared" si="128"/>
        <v>0</v>
      </c>
      <c r="AG108" s="1146">
        <f t="shared" si="128"/>
        <v>0</v>
      </c>
      <c r="AH108" s="1116">
        <f t="shared" si="128"/>
        <v>0</v>
      </c>
      <c r="AI108" s="1116">
        <f t="shared" si="128"/>
        <v>0</v>
      </c>
      <c r="AJ108" s="1116">
        <f t="shared" si="128"/>
        <v>0</v>
      </c>
      <c r="AK108" s="275">
        <f>SUM(AJ105:AJ107)</f>
        <v>0</v>
      </c>
      <c r="AL108" s="275">
        <f t="shared" si="128"/>
        <v>126.54804833333333</v>
      </c>
      <c r="AM108" s="275">
        <f t="shared" si="128"/>
        <v>4599.2273000000005</v>
      </c>
      <c r="AN108" s="275">
        <f t="shared" si="128"/>
        <v>379.64414499999998</v>
      </c>
    </row>
    <row r="109" spans="2:40" s="258" customFormat="1" ht="30" hidden="1" customHeight="1" x14ac:dyDescent="0.25">
      <c r="B109" s="267">
        <v>1888</v>
      </c>
      <c r="C109" s="259" t="str">
        <f>PROPER("CARLA GRAZIELA PETRY")</f>
        <v>Carla Graziela Petry</v>
      </c>
      <c r="D109" s="259" t="s">
        <v>2686</v>
      </c>
      <c r="E109" s="259"/>
      <c r="F109" s="259" t="s">
        <v>2919</v>
      </c>
      <c r="G109" s="259" t="s">
        <v>2925</v>
      </c>
      <c r="H109" s="266">
        <v>1</v>
      </c>
      <c r="I109" s="257">
        <v>40</v>
      </c>
      <c r="J109" s="257" t="s">
        <v>2636</v>
      </c>
      <c r="K109" s="257">
        <v>1</v>
      </c>
      <c r="L109" s="261">
        <v>41975</v>
      </c>
      <c r="M109" s="257">
        <v>5.59</v>
      </c>
      <c r="N109" s="262">
        <f>M109*AN$10</f>
        <v>3575.7552999999998</v>
      </c>
      <c r="O109" s="280">
        <v>0</v>
      </c>
      <c r="P109" s="280">
        <v>0</v>
      </c>
      <c r="Q109" s="280">
        <v>0</v>
      </c>
      <c r="R109" s="263">
        <v>0.05</v>
      </c>
      <c r="S109" s="264">
        <f>N109*R109</f>
        <v>178.78776500000001</v>
      </c>
      <c r="T109" s="1114">
        <v>0</v>
      </c>
      <c r="U109" s="264">
        <v>0</v>
      </c>
      <c r="V109" s="265">
        <v>0</v>
      </c>
      <c r="W109" s="264">
        <f>N109*V109</f>
        <v>0</v>
      </c>
      <c r="X109" s="1113">
        <f>51.18/N109</f>
        <v>1.431305995687121E-2</v>
      </c>
      <c r="Y109" s="1114">
        <f>N109*X109</f>
        <v>51.18</v>
      </c>
      <c r="Z109" s="265">
        <v>0</v>
      </c>
      <c r="AA109" s="264">
        <f>N109*Z109</f>
        <v>0</v>
      </c>
      <c r="AB109" s="1130">
        <v>0</v>
      </c>
      <c r="AC109" s="264">
        <v>0</v>
      </c>
      <c r="AD109" s="264">
        <v>0</v>
      </c>
      <c r="AE109" s="264">
        <f>(0/N109)*N109</f>
        <v>0</v>
      </c>
      <c r="AF109" s="1114">
        <v>0</v>
      </c>
      <c r="AG109" s="1145">
        <v>0</v>
      </c>
      <c r="AH109" s="1119">
        <v>0</v>
      </c>
      <c r="AI109" s="1119">
        <v>0</v>
      </c>
      <c r="AJ109" s="1114">
        <v>0</v>
      </c>
      <c r="AK109" s="273">
        <f>(N109+T109+U109)/3</f>
        <v>1191.9184333333333</v>
      </c>
      <c r="AL109" s="273">
        <f>AK109*R109</f>
        <v>59.595921666666669</v>
      </c>
      <c r="AM109" s="273">
        <f>N109</f>
        <v>3575.7552999999998</v>
      </c>
      <c r="AN109" s="273">
        <f>AM109*R109</f>
        <v>178.78776500000001</v>
      </c>
    </row>
    <row r="110" spans="2:40" s="258" customFormat="1" ht="30" hidden="1" customHeight="1" x14ac:dyDescent="0.25">
      <c r="B110" s="1206" t="s">
        <v>2747</v>
      </c>
      <c r="C110" s="1077"/>
      <c r="D110" s="1077"/>
      <c r="E110" s="1077"/>
      <c r="F110" s="1077"/>
      <c r="G110" s="1077"/>
      <c r="H110" s="1077"/>
      <c r="I110" s="1077"/>
      <c r="J110" s="1077"/>
      <c r="K110" s="1077"/>
      <c r="L110" s="1077"/>
      <c r="M110" s="1077"/>
      <c r="N110" s="275">
        <f>SUM(N109)</f>
        <v>3575.7552999999998</v>
      </c>
      <c r="O110" s="275">
        <f>SUM(O109)</f>
        <v>0</v>
      </c>
      <c r="P110" s="275">
        <f>SUM(P109)</f>
        <v>0</v>
      </c>
      <c r="Q110" s="275">
        <f>SUM(Q109)</f>
        <v>0</v>
      </c>
      <c r="R110" s="1085"/>
      <c r="S110" s="275">
        <f t="shared" ref="S110:U110" si="129">SUM(S109)</f>
        <v>178.78776500000001</v>
      </c>
      <c r="T110" s="1116">
        <f t="shared" si="129"/>
        <v>0</v>
      </c>
      <c r="U110" s="275">
        <f t="shared" si="129"/>
        <v>0</v>
      </c>
      <c r="V110" s="276"/>
      <c r="W110" s="275">
        <f>SUM(W109)</f>
        <v>0</v>
      </c>
      <c r="X110" s="1116"/>
      <c r="Y110" s="1116">
        <f>SUM(Y109)</f>
        <v>51.18</v>
      </c>
      <c r="Z110" s="275"/>
      <c r="AA110" s="275">
        <f t="shared" ref="AA110:AN110" si="130">SUM(AA109)</f>
        <v>0</v>
      </c>
      <c r="AB110" s="1131">
        <f t="shared" si="130"/>
        <v>0</v>
      </c>
      <c r="AC110" s="275">
        <f t="shared" si="130"/>
        <v>0</v>
      </c>
      <c r="AD110" s="275">
        <f t="shared" si="130"/>
        <v>0</v>
      </c>
      <c r="AE110" s="275">
        <f t="shared" si="130"/>
        <v>0</v>
      </c>
      <c r="AF110" s="1116">
        <f t="shared" si="130"/>
        <v>0</v>
      </c>
      <c r="AG110" s="1146">
        <f t="shared" si="130"/>
        <v>0</v>
      </c>
      <c r="AH110" s="1116">
        <f t="shared" si="130"/>
        <v>0</v>
      </c>
      <c r="AI110" s="1116">
        <f t="shared" si="130"/>
        <v>0</v>
      </c>
      <c r="AJ110" s="1116">
        <f t="shared" si="130"/>
        <v>0</v>
      </c>
      <c r="AK110" s="275">
        <f>SUM(AJ109)</f>
        <v>0</v>
      </c>
      <c r="AL110" s="275">
        <f>SUM(AL109)</f>
        <v>59.595921666666669</v>
      </c>
      <c r="AM110" s="275">
        <f t="shared" si="130"/>
        <v>3575.7552999999998</v>
      </c>
      <c r="AN110" s="275">
        <f t="shared" si="130"/>
        <v>178.78776500000001</v>
      </c>
    </row>
    <row r="111" spans="2:40" s="258" customFormat="1" ht="30" hidden="1" customHeight="1" x14ac:dyDescent="0.25">
      <c r="B111" s="1206"/>
      <c r="C111" s="1077"/>
      <c r="D111" s="1077"/>
      <c r="E111" s="1077"/>
      <c r="F111" s="1077"/>
      <c r="G111" s="1077"/>
      <c r="H111" s="1077"/>
      <c r="I111" s="1077"/>
      <c r="J111" s="1077"/>
      <c r="K111" s="1077"/>
      <c r="L111" s="1077"/>
      <c r="M111" s="1077"/>
      <c r="N111" s="258" t="s">
        <v>4211</v>
      </c>
      <c r="O111" s="275"/>
      <c r="P111" s="275"/>
      <c r="Q111" s="1087"/>
      <c r="R111" s="1085" t="s">
        <v>2630</v>
      </c>
      <c r="S111" s="1085"/>
      <c r="T111" s="1121" t="s">
        <v>2740</v>
      </c>
      <c r="U111" s="591" t="s">
        <v>2814</v>
      </c>
      <c r="V111" s="1080" t="s">
        <v>2751</v>
      </c>
      <c r="W111" s="1080"/>
      <c r="X111" s="1112" t="s">
        <v>2741</v>
      </c>
      <c r="Y111" s="1112"/>
      <c r="Z111" s="1080" t="s">
        <v>2789</v>
      </c>
      <c r="AA111" s="1080"/>
      <c r="AB111" s="1132" t="s">
        <v>2761</v>
      </c>
      <c r="AC111" s="591" t="s">
        <v>2760</v>
      </c>
      <c r="AD111" s="591" t="s">
        <v>2783</v>
      </c>
      <c r="AE111" s="591" t="s">
        <v>2782</v>
      </c>
      <c r="AF111" s="1121" t="s">
        <v>2943</v>
      </c>
      <c r="AG111" s="1147" t="s">
        <v>2744</v>
      </c>
      <c r="AH111" s="1121" t="s">
        <v>2745</v>
      </c>
      <c r="AI111" s="1121" t="s">
        <v>2750</v>
      </c>
      <c r="AJ111" s="1121" t="s">
        <v>2742</v>
      </c>
      <c r="AK111" s="570" t="s">
        <v>2734</v>
      </c>
      <c r="AL111" s="570" t="s">
        <v>2735</v>
      </c>
      <c r="AM111" s="258" t="s">
        <v>2736</v>
      </c>
      <c r="AN111" s="570" t="s">
        <v>2737</v>
      </c>
    </row>
    <row r="112" spans="2:40" ht="30" hidden="1" customHeight="1" x14ac:dyDescent="0.25">
      <c r="B112" s="586"/>
      <c r="C112" s="586"/>
      <c r="D112" s="586"/>
      <c r="E112" s="586"/>
      <c r="F112" s="586"/>
      <c r="G112" s="587"/>
      <c r="H112" s="1082"/>
      <c r="I112" s="1082"/>
      <c r="J112" s="1082"/>
      <c r="K112" s="258"/>
      <c r="L112" s="1077"/>
      <c r="M112" s="1082"/>
      <c r="N112" s="590">
        <f>SUM(N110,N108,N104,N100,N98,N95,N93,N91,N89,N79,N73,N68,N62,N60,N58,N55,N39,N35,N29,N27,N19,N17+N37)</f>
        <v>182572.80223850621</v>
      </c>
      <c r="O112" s="590">
        <f t="shared" ref="O112:Q112" si="131">SUM(O110,O108,O104,O100,O98,O95,O93,O91,O89,O79,O73,O68,O62,O60,O58,O55,O39,O35,O29,O27,O19,O17+O37)</f>
        <v>0</v>
      </c>
      <c r="P112" s="590">
        <f t="shared" si="131"/>
        <v>0</v>
      </c>
      <c r="Q112" s="590">
        <f t="shared" si="131"/>
        <v>0</v>
      </c>
      <c r="R112" s="588"/>
      <c r="S112" s="590">
        <f>SUM(S110,S108,S104,S100,S98,S95,S93,S91,S89,S79,S73,S68,S62,S60,S58,S55,S39,S35,S29,S27,S19,S17+S37)</f>
        <v>7697.8708621522483</v>
      </c>
      <c r="T112" s="1118">
        <f>SUM(T110,T108,T104,T100,T98,T95,T93,T91,T89,T79,T73,T68,T62,T60,T58,T55,T39,T35,T29,T27,T19,T17+T37)</f>
        <v>5117.3599999999997</v>
      </c>
      <c r="U112" s="590">
        <f>SUM(U110,U108,U104,U100,U98,U95,U93,U91,U89,U79,U73,U68,U62,U60,U58,U55,U39,U35,U29,U27,U19,U17+U37)</f>
        <v>0</v>
      </c>
      <c r="V112" s="589"/>
      <c r="W112" s="590">
        <f>SUM(W110,W108,W104,W100,W98,W95,W93,W91,W89,W79,W73,W68,W62,W60,W58,W55,W39,W35,W29,W27,W19,W17+W37)</f>
        <v>367.80491299679323</v>
      </c>
      <c r="X112" s="1117"/>
      <c r="Y112" s="1118">
        <f>SUM(Y110,Y108,Y104,Y100,Y98,Y95,Y93,Y91,Y89,Y79,Y73,Y68,Y62,Y60,Y58,Y55,Y39,Y35,Y29,Y27,Y19,Y17+Y37)</f>
        <v>3432.159513040649</v>
      </c>
      <c r="Z112" s="589"/>
      <c r="AA112" s="590">
        <f>SUM(AA110,AA108,AA104,AA100,AA98,AA95,AA93,AA91,AA89,AA79,AA73,AA68,AA62,AA60,AA58,AA55,AA39,AA35,AA29,AA27,AA19,AA17+AA37)</f>
        <v>0</v>
      </c>
      <c r="AB112" s="1133">
        <f t="shared" ref="AB112:AN112" si="132">SUM(AB110,AB108,AB104,AB100,AB98,AB95,AB93,AB91,AB89,AB79,AB73,AB68,AB62,AB60,AB58,AB55,AB39,AB35,AB29,AB27,AB19,AB17+AB37)</f>
        <v>268.26262142859997</v>
      </c>
      <c r="AC112" s="590">
        <f t="shared" si="132"/>
        <v>642.34</v>
      </c>
      <c r="AD112" s="590">
        <f t="shared" si="132"/>
        <v>6.05</v>
      </c>
      <c r="AE112" s="590">
        <f t="shared" si="132"/>
        <v>3713.1800000000003</v>
      </c>
      <c r="AF112" s="1118">
        <f t="shared" si="132"/>
        <v>959.50499999999988</v>
      </c>
      <c r="AG112" s="590">
        <f t="shared" si="132"/>
        <v>1279.3399999999999</v>
      </c>
      <c r="AH112" s="1118">
        <f t="shared" si="132"/>
        <v>639.66999999999996</v>
      </c>
      <c r="AI112" s="1118">
        <f t="shared" si="132"/>
        <v>2558.6799999999998</v>
      </c>
      <c r="AJ112" s="1118">
        <f t="shared" si="132"/>
        <v>2558.6799999999998</v>
      </c>
      <c r="AK112" s="590">
        <f>SUM(AJ110,AJ108,AJ104,AJ100,AJ98,AJ95,AJ93,AJ91,AJ89,AJ79,AJ73,AJ68,AJ62,AJ60,AJ58,AJ55,AJ39,AJ35,AJ29,AJ27,AJ19,AJ17+AJ37)</f>
        <v>2558.6799999999998</v>
      </c>
      <c r="AL112" s="590">
        <f>SUM(AL110,AL108,AL104,AL100,AL98,AL95,AL93,AL91,AL89,AL79,AL73,AL68,AL62,AL60,AL58,AL55,AL39,AL35,AL29,AL27,AL19,AL17+AL37)</f>
        <v>2738.6678540507492</v>
      </c>
      <c r="AM112" s="590">
        <f t="shared" si="132"/>
        <v>173617.4222385062</v>
      </c>
      <c r="AN112" s="590">
        <f t="shared" si="132"/>
        <v>7697.8708621522483</v>
      </c>
    </row>
    <row r="113" spans="2:40" ht="30" customHeight="1" x14ac:dyDescent="0.25">
      <c r="B113" s="5"/>
      <c r="C113" s="5"/>
      <c r="D113" s="5"/>
      <c r="E113" s="5"/>
      <c r="F113" s="5"/>
      <c r="G113" s="5"/>
      <c r="H113" s="5"/>
      <c r="I113" s="5"/>
      <c r="J113" s="5"/>
      <c r="L113" s="277"/>
      <c r="M113" s="5"/>
      <c r="N113" s="585"/>
      <c r="R113" s="5"/>
      <c r="S113" s="5"/>
      <c r="T113" s="1120"/>
      <c r="U113" s="5"/>
      <c r="V113" s="5"/>
      <c r="W113" s="5"/>
      <c r="X113" s="1120"/>
      <c r="Y113" s="1120"/>
      <c r="Z113" s="5"/>
      <c r="AA113" s="5"/>
      <c r="AB113" s="1135"/>
      <c r="AC113" s="5"/>
      <c r="AD113" s="5"/>
      <c r="AE113" s="5"/>
      <c r="AF113" s="1120"/>
      <c r="AG113" s="1148"/>
      <c r="AH113" s="1120"/>
      <c r="AI113" s="1120"/>
      <c r="AJ113" s="1120"/>
    </row>
    <row r="114" spans="2:40" ht="30" customHeight="1" x14ac:dyDescent="0.25">
      <c r="B114" s="5"/>
      <c r="C114" s="5"/>
      <c r="D114" s="5"/>
      <c r="E114" s="5"/>
      <c r="F114" s="5"/>
      <c r="G114" s="5"/>
      <c r="H114" s="5"/>
      <c r="I114" s="5"/>
      <c r="J114" s="5"/>
      <c r="L114" s="277"/>
      <c r="M114" s="5"/>
      <c r="R114" s="5"/>
      <c r="S114" s="5"/>
      <c r="T114" s="1120"/>
      <c r="U114" s="5"/>
      <c r="V114" s="5"/>
      <c r="W114" s="5"/>
      <c r="X114" s="1120"/>
      <c r="Y114" s="1120"/>
      <c r="Z114" s="5"/>
      <c r="AA114" s="5"/>
      <c r="AB114" s="1135"/>
      <c r="AC114" s="5"/>
      <c r="AD114" s="5"/>
      <c r="AE114" s="5"/>
      <c r="AF114" s="1120"/>
      <c r="AG114" s="1148"/>
      <c r="AH114" s="1120"/>
      <c r="AI114" s="1120"/>
      <c r="AJ114" s="1120"/>
    </row>
    <row r="115" spans="2:40" ht="57" customHeight="1" x14ac:dyDescent="0.25">
      <c r="B115" s="1086" t="s">
        <v>7136</v>
      </c>
      <c r="C115" s="1079" t="s">
        <v>7137</v>
      </c>
      <c r="D115" s="1079" t="s">
        <v>7138</v>
      </c>
      <c r="E115" s="1079" t="s">
        <v>7139</v>
      </c>
      <c r="F115" s="1079" t="s">
        <v>7140</v>
      </c>
      <c r="G115" s="1079" t="s">
        <v>7141</v>
      </c>
      <c r="H115" s="1079" t="s">
        <v>7142</v>
      </c>
      <c r="I115" s="1079" t="s">
        <v>7143</v>
      </c>
      <c r="J115" s="1079" t="s">
        <v>7144</v>
      </c>
      <c r="K115" s="1079" t="s">
        <v>7145</v>
      </c>
      <c r="L115" s="1079" t="s">
        <v>7146</v>
      </c>
      <c r="M115" s="1079" t="s">
        <v>7147</v>
      </c>
      <c r="N115" s="1079" t="s">
        <v>7148</v>
      </c>
      <c r="O115" s="1079" t="s">
        <v>7149</v>
      </c>
      <c r="P115" s="1079" t="s">
        <v>7150</v>
      </c>
      <c r="Q115" s="1079" t="s">
        <v>7151</v>
      </c>
      <c r="R115" s="1079" t="s">
        <v>7152</v>
      </c>
      <c r="S115" s="1079" t="s">
        <v>7153</v>
      </c>
      <c r="T115" s="1152" t="s">
        <v>7154</v>
      </c>
      <c r="U115" s="1079" t="s">
        <v>7155</v>
      </c>
      <c r="V115" s="1079" t="s">
        <v>7156</v>
      </c>
      <c r="W115" s="1079" t="s">
        <v>7157</v>
      </c>
      <c r="X115" s="1152" t="s">
        <v>7158</v>
      </c>
      <c r="Y115" s="1152" t="s">
        <v>7159</v>
      </c>
      <c r="Z115" s="1079" t="s">
        <v>7160</v>
      </c>
      <c r="AA115" s="1079" t="s">
        <v>7161</v>
      </c>
      <c r="AB115" s="1151" t="s">
        <v>7162</v>
      </c>
      <c r="AC115" s="1079" t="s">
        <v>7163</v>
      </c>
      <c r="AD115" s="1079" t="s">
        <v>7164</v>
      </c>
      <c r="AE115" s="1079" t="s">
        <v>7165</v>
      </c>
      <c r="AF115" s="1152" t="s">
        <v>7166</v>
      </c>
      <c r="AG115" s="1143" t="s">
        <v>7167</v>
      </c>
      <c r="AH115" s="1152" t="s">
        <v>7168</v>
      </c>
      <c r="AI115" s="1152" t="s">
        <v>7169</v>
      </c>
      <c r="AJ115" s="1152" t="s">
        <v>7170</v>
      </c>
      <c r="AK115" s="1079" t="s">
        <v>7171</v>
      </c>
      <c r="AL115" s="1079" t="s">
        <v>7172</v>
      </c>
      <c r="AM115" s="1079" t="s">
        <v>7173</v>
      </c>
      <c r="AN115" s="1078" t="s">
        <v>7174</v>
      </c>
    </row>
    <row r="116" spans="2:40" ht="78" hidden="1" customHeight="1" x14ac:dyDescent="0.25">
      <c r="B116" s="1086" t="s">
        <v>2719</v>
      </c>
      <c r="C116" s="1079" t="s">
        <v>2622</v>
      </c>
      <c r="D116" s="1079"/>
      <c r="E116" s="1079"/>
      <c r="F116" s="1079"/>
      <c r="G116" s="1079"/>
      <c r="H116" s="1079"/>
      <c r="I116" s="1079"/>
      <c r="J116" s="1079"/>
      <c r="K116" s="1079"/>
      <c r="L116" s="1079"/>
      <c r="M116" s="1079"/>
      <c r="N116" s="1079"/>
      <c r="O116" s="1079"/>
      <c r="P116" s="1079"/>
      <c r="Q116" s="1079"/>
      <c r="R116" s="1079"/>
      <c r="S116" s="1079"/>
      <c r="T116" s="1152"/>
      <c r="U116" s="1079"/>
      <c r="V116" s="1079"/>
      <c r="W116" s="1079"/>
      <c r="X116" s="1152"/>
      <c r="Y116" s="1152"/>
      <c r="Z116" s="1079"/>
      <c r="AA116" s="1079"/>
      <c r="AB116" s="1151"/>
      <c r="AC116" s="1079"/>
      <c r="AD116" s="1079"/>
      <c r="AE116" s="1079"/>
      <c r="AF116" s="1152"/>
      <c r="AG116" s="1143"/>
      <c r="AH116" s="1152"/>
      <c r="AI116" s="1152"/>
      <c r="AJ116" s="1152"/>
      <c r="AK116" s="1079"/>
      <c r="AL116" s="1079"/>
      <c r="AM116" s="1079"/>
      <c r="AN116" s="1078">
        <f>PUCFD!E17</f>
        <v>695.43992848243033</v>
      </c>
    </row>
    <row r="117" spans="2:40" s="258" customFormat="1" ht="30" hidden="1" customHeight="1" x14ac:dyDescent="0.25">
      <c r="B117" s="1086"/>
      <c r="C117" s="1079"/>
      <c r="D117" s="1079"/>
      <c r="E117" s="1079"/>
      <c r="F117" s="1079"/>
      <c r="G117" s="1079"/>
      <c r="H117" s="1079"/>
      <c r="I117" s="1079"/>
      <c r="J117" s="1079"/>
      <c r="K117" s="1079"/>
      <c r="L117" s="1079"/>
      <c r="M117" s="1079"/>
      <c r="N117" s="1079"/>
      <c r="O117" s="1079"/>
      <c r="P117" s="1079"/>
      <c r="Q117" s="1079"/>
      <c r="R117" s="1079"/>
      <c r="S117" s="1079"/>
      <c r="T117" s="1152"/>
      <c r="U117" s="1079"/>
      <c r="V117" s="1079"/>
      <c r="W117" s="1079"/>
      <c r="X117" s="1152"/>
      <c r="Y117" s="1152"/>
      <c r="Z117" s="1079"/>
      <c r="AA117" s="1079"/>
      <c r="AB117" s="1151"/>
      <c r="AC117" s="1079"/>
      <c r="AD117" s="1079"/>
      <c r="AE117" s="1079"/>
      <c r="AF117" s="1152"/>
      <c r="AG117" s="1143"/>
      <c r="AH117" s="1152"/>
      <c r="AI117" s="1152"/>
      <c r="AJ117" s="1152"/>
      <c r="AK117" s="1079"/>
      <c r="AL117" s="1079"/>
      <c r="AM117" s="1079"/>
      <c r="AN117" s="1078"/>
    </row>
    <row r="118" spans="2:40" s="258" customFormat="1" ht="30" hidden="1" customHeight="1" x14ac:dyDescent="0.25">
      <c r="B118" s="1086"/>
      <c r="C118" s="1077" t="s">
        <v>2623</v>
      </c>
      <c r="D118" s="1077" t="s">
        <v>2624</v>
      </c>
      <c r="E118" s="1077" t="s">
        <v>2722</v>
      </c>
      <c r="F118" s="1077" t="s">
        <v>2593</v>
      </c>
      <c r="G118" s="1083" t="s">
        <v>2765</v>
      </c>
      <c r="H118" s="1084" t="s">
        <v>2729</v>
      </c>
      <c r="I118" s="1077" t="s">
        <v>2625</v>
      </c>
      <c r="J118" s="1086" t="s">
        <v>2738</v>
      </c>
      <c r="K118" s="1086" t="s">
        <v>2626</v>
      </c>
      <c r="L118" s="1077" t="s">
        <v>2627</v>
      </c>
      <c r="M118" s="1085" t="s">
        <v>2629</v>
      </c>
      <c r="N118" s="1085"/>
      <c r="O118" s="1085"/>
      <c r="P118" s="1085"/>
      <c r="Q118" s="1085"/>
      <c r="R118" s="1085" t="s">
        <v>2630</v>
      </c>
      <c r="S118" s="1085"/>
      <c r="T118" s="1112" t="s">
        <v>2740</v>
      </c>
      <c r="U118" s="1080" t="s">
        <v>2814</v>
      </c>
      <c r="V118" s="1080" t="s">
        <v>2751</v>
      </c>
      <c r="W118" s="1080"/>
      <c r="X118" s="1112" t="s">
        <v>2741</v>
      </c>
      <c r="Y118" s="1112"/>
      <c r="Z118" s="1080" t="s">
        <v>2789</v>
      </c>
      <c r="AA118" s="1080"/>
      <c r="AB118" s="1129" t="s">
        <v>2761</v>
      </c>
      <c r="AC118" s="1080" t="s">
        <v>2760</v>
      </c>
      <c r="AD118" s="1080" t="s">
        <v>2783</v>
      </c>
      <c r="AE118" s="1080" t="s">
        <v>2782</v>
      </c>
      <c r="AF118" s="1112" t="s">
        <v>2943</v>
      </c>
      <c r="AG118" s="1144" t="s">
        <v>2744</v>
      </c>
      <c r="AH118" s="1112" t="s">
        <v>2745</v>
      </c>
      <c r="AI118" s="1112" t="s">
        <v>2750</v>
      </c>
      <c r="AJ118" s="1112" t="s">
        <v>2742</v>
      </c>
      <c r="AK118" s="1081" t="s">
        <v>2734</v>
      </c>
      <c r="AL118" s="1081" t="s">
        <v>2735</v>
      </c>
      <c r="AM118" s="1082" t="s">
        <v>2736</v>
      </c>
      <c r="AN118" s="1081" t="s">
        <v>2737</v>
      </c>
    </row>
    <row r="119" spans="2:40" s="258" customFormat="1" ht="30" hidden="1" customHeight="1" x14ac:dyDescent="0.25">
      <c r="B119" s="1086"/>
      <c r="C119" s="1077"/>
      <c r="D119" s="1077"/>
      <c r="E119" s="1077"/>
      <c r="F119" s="1077"/>
      <c r="G119" s="1083"/>
      <c r="H119" s="1084"/>
      <c r="I119" s="1077"/>
      <c r="J119" s="1086"/>
      <c r="K119" s="1086"/>
      <c r="L119" s="1077"/>
      <c r="M119" s="1077" t="s">
        <v>2628</v>
      </c>
      <c r="N119" s="1085" t="s">
        <v>2480</v>
      </c>
      <c r="O119" s="1085"/>
      <c r="P119" s="1087" t="s">
        <v>2826</v>
      </c>
      <c r="Q119" s="1087"/>
      <c r="R119" s="1085" t="s">
        <v>97</v>
      </c>
      <c r="S119" s="1085" t="s">
        <v>2480</v>
      </c>
      <c r="T119" s="1112"/>
      <c r="U119" s="1080"/>
      <c r="V119" s="1080" t="s">
        <v>97</v>
      </c>
      <c r="W119" s="1080" t="s">
        <v>2480</v>
      </c>
      <c r="X119" s="1112" t="s">
        <v>97</v>
      </c>
      <c r="Y119" s="1112" t="s">
        <v>2480</v>
      </c>
      <c r="Z119" s="1080" t="s">
        <v>97</v>
      </c>
      <c r="AA119" s="1080" t="s">
        <v>2480</v>
      </c>
      <c r="AB119" s="1129"/>
      <c r="AC119" s="1080"/>
      <c r="AD119" s="1080"/>
      <c r="AE119" s="1080"/>
      <c r="AF119" s="1112"/>
      <c r="AG119" s="1144"/>
      <c r="AH119" s="1112"/>
      <c r="AI119" s="1112"/>
      <c r="AJ119" s="1112"/>
      <c r="AK119" s="1081"/>
      <c r="AL119" s="1081"/>
      <c r="AM119" s="1082"/>
      <c r="AN119" s="1081"/>
    </row>
    <row r="120" spans="2:40" s="274" customFormat="1" ht="30" hidden="1" customHeight="1" x14ac:dyDescent="0.25">
      <c r="B120" s="1086"/>
      <c r="C120" s="1077"/>
      <c r="D120" s="1077"/>
      <c r="E120" s="1077"/>
      <c r="F120" s="1077"/>
      <c r="G120" s="1083"/>
      <c r="H120" s="1084"/>
      <c r="I120" s="1077"/>
      <c r="J120" s="1086"/>
      <c r="K120" s="1086"/>
      <c r="L120" s="1077"/>
      <c r="M120" s="1077"/>
      <c r="N120" s="1085"/>
      <c r="O120" s="275" t="s">
        <v>2828</v>
      </c>
      <c r="P120" s="275" t="s">
        <v>2829</v>
      </c>
      <c r="Q120" s="1087" t="s">
        <v>2827</v>
      </c>
      <c r="R120" s="1085"/>
      <c r="S120" s="1085"/>
      <c r="T120" s="1112"/>
      <c r="U120" s="1080"/>
      <c r="V120" s="1080"/>
      <c r="W120" s="1080"/>
      <c r="X120" s="1112"/>
      <c r="Y120" s="1112"/>
      <c r="Z120" s="1080"/>
      <c r="AA120" s="1080"/>
      <c r="AB120" s="1129"/>
      <c r="AC120" s="1080"/>
      <c r="AD120" s="1080"/>
      <c r="AE120" s="1080"/>
      <c r="AF120" s="1112"/>
      <c r="AG120" s="1144"/>
      <c r="AH120" s="1112"/>
      <c r="AI120" s="1112"/>
      <c r="AJ120" s="1112"/>
      <c r="AK120" s="1081"/>
      <c r="AL120" s="1081"/>
      <c r="AM120" s="1082"/>
      <c r="AN120" s="1081"/>
    </row>
    <row r="121" spans="2:40" s="274" customFormat="1" ht="30" hidden="1" customHeight="1" x14ac:dyDescent="0.25">
      <c r="B121" s="257">
        <v>2105</v>
      </c>
      <c r="C121" s="267" t="s">
        <v>7127</v>
      </c>
      <c r="D121" s="267" t="s">
        <v>2720</v>
      </c>
      <c r="E121" s="267" t="s">
        <v>2723</v>
      </c>
      <c r="F121" s="267" t="s">
        <v>2721</v>
      </c>
      <c r="G121" s="279" t="s">
        <v>2766</v>
      </c>
      <c r="H121" s="257">
        <v>1</v>
      </c>
      <c r="I121" s="257">
        <v>30</v>
      </c>
      <c r="J121" s="257">
        <v>0</v>
      </c>
      <c r="K121" s="257">
        <v>0</v>
      </c>
      <c r="L121" s="261">
        <v>42737</v>
      </c>
      <c r="M121" s="260">
        <f>5393.51/599.28</f>
        <v>8.9999833133093059</v>
      </c>
      <c r="N121" s="280">
        <f>AN116*M121+0.01</f>
        <v>6258.9577517508906</v>
      </c>
      <c r="O121" s="280">
        <v>0</v>
      </c>
      <c r="P121" s="280">
        <v>0</v>
      </c>
      <c r="Q121" s="280">
        <v>0</v>
      </c>
      <c r="R121" s="281">
        <v>0</v>
      </c>
      <c r="S121" s="271">
        <f>N121*R121</f>
        <v>0</v>
      </c>
      <c r="T121" s="1114">
        <v>0</v>
      </c>
      <c r="U121" s="271">
        <v>0</v>
      </c>
      <c r="V121" s="282">
        <v>0</v>
      </c>
      <c r="W121" s="264">
        <f>N121*V121</f>
        <v>0</v>
      </c>
      <c r="X121" s="1113">
        <v>0</v>
      </c>
      <c r="Y121" s="1114">
        <v>0</v>
      </c>
      <c r="Z121" s="282">
        <v>0</v>
      </c>
      <c r="AA121" s="271">
        <v>0</v>
      </c>
      <c r="AB121" s="1130">
        <v>0</v>
      </c>
      <c r="AC121" s="271">
        <v>0</v>
      </c>
      <c r="AD121" s="271">
        <v>0</v>
      </c>
      <c r="AE121" s="271">
        <v>0</v>
      </c>
      <c r="AF121" s="1114">
        <v>0</v>
      </c>
      <c r="AG121" s="1145">
        <v>0</v>
      </c>
      <c r="AH121" s="1114">
        <v>0</v>
      </c>
      <c r="AI121" s="1114">
        <v>0</v>
      </c>
      <c r="AJ121" s="1114">
        <v>0</v>
      </c>
      <c r="AK121" s="273">
        <f>(N121+T121+U121)/3</f>
        <v>2086.31925058363</v>
      </c>
      <c r="AL121" s="273">
        <f>AK121*R121</f>
        <v>0</v>
      </c>
      <c r="AM121" s="273">
        <f>N121</f>
        <v>6258.9577517508906</v>
      </c>
      <c r="AN121" s="273">
        <f>AM121*R121</f>
        <v>0</v>
      </c>
    </row>
    <row r="122" spans="2:40" s="258" customFormat="1" ht="30" hidden="1" customHeight="1" x14ac:dyDescent="0.25">
      <c r="B122" s="257">
        <v>2290</v>
      </c>
      <c r="C122" s="267" t="s">
        <v>7126</v>
      </c>
      <c r="D122" s="267" t="s">
        <v>2767</v>
      </c>
      <c r="E122" s="267" t="s">
        <v>2723</v>
      </c>
      <c r="F122" s="267" t="s">
        <v>2721</v>
      </c>
      <c r="G122" s="279" t="s">
        <v>2721</v>
      </c>
      <c r="H122" s="257">
        <v>1</v>
      </c>
      <c r="I122" s="257">
        <v>40</v>
      </c>
      <c r="J122" s="257">
        <v>0</v>
      </c>
      <c r="K122" s="257">
        <v>0</v>
      </c>
      <c r="L122" s="261">
        <v>43353</v>
      </c>
      <c r="M122" s="260">
        <f>3895.32/599.28</f>
        <v>6.5000000000000009</v>
      </c>
      <c r="N122" s="280">
        <f>AN116*M122</f>
        <v>4520.3595351357981</v>
      </c>
      <c r="O122" s="280">
        <v>0</v>
      </c>
      <c r="P122" s="280">
        <v>0</v>
      </c>
      <c r="Q122" s="280">
        <v>0</v>
      </c>
      <c r="R122" s="281">
        <v>0</v>
      </c>
      <c r="S122" s="271">
        <f>N122*R122</f>
        <v>0</v>
      </c>
      <c r="T122" s="1114">
        <v>0</v>
      </c>
      <c r="U122" s="271">
        <v>0</v>
      </c>
      <c r="V122" s="282">
        <v>0</v>
      </c>
      <c r="W122" s="264">
        <f>N122*V122</f>
        <v>0</v>
      </c>
      <c r="X122" s="1113">
        <v>0</v>
      </c>
      <c r="Y122" s="1114">
        <v>0</v>
      </c>
      <c r="Z122" s="282">
        <v>0</v>
      </c>
      <c r="AA122" s="271">
        <v>0</v>
      </c>
      <c r="AB122" s="1130">
        <v>0</v>
      </c>
      <c r="AC122" s="271">
        <v>0</v>
      </c>
      <c r="AD122" s="271">
        <v>0</v>
      </c>
      <c r="AE122" s="271">
        <v>0</v>
      </c>
      <c r="AF122" s="1114">
        <v>0</v>
      </c>
      <c r="AG122" s="1145">
        <v>0</v>
      </c>
      <c r="AH122" s="1114">
        <v>0</v>
      </c>
      <c r="AI122" s="1114">
        <v>0</v>
      </c>
      <c r="AJ122" s="1114">
        <v>0</v>
      </c>
      <c r="AK122" s="273">
        <f>(N122+T122+U122)/3</f>
        <v>1506.7865117119327</v>
      </c>
      <c r="AL122" s="273">
        <f>AK122*R122</f>
        <v>0</v>
      </c>
      <c r="AM122" s="273">
        <f>N122</f>
        <v>4520.3595351357981</v>
      </c>
      <c r="AN122" s="273">
        <f>AM122*R122</f>
        <v>0</v>
      </c>
    </row>
    <row r="123" spans="2:40" s="274" customFormat="1" ht="30" hidden="1" customHeight="1" x14ac:dyDescent="0.25">
      <c r="B123" s="1077" t="s">
        <v>2727</v>
      </c>
      <c r="C123" s="1077"/>
      <c r="D123" s="1077"/>
      <c r="E123" s="1077"/>
      <c r="F123" s="1077"/>
      <c r="G123" s="1077"/>
      <c r="H123" s="1077"/>
      <c r="I123" s="1077"/>
      <c r="J123" s="1077"/>
      <c r="K123" s="1077"/>
      <c r="L123" s="1077"/>
      <c r="M123" s="1077"/>
      <c r="N123" s="275">
        <f>SUM(N121:N122)</f>
        <v>10779.31728688669</v>
      </c>
      <c r="O123" s="275">
        <f>SUM(O121:O122)</f>
        <v>0</v>
      </c>
      <c r="P123" s="275">
        <f>SUM(P121:P122)</f>
        <v>0</v>
      </c>
      <c r="Q123" s="275">
        <f>SUM(Q121:Q122)</f>
        <v>0</v>
      </c>
      <c r="R123" s="1085"/>
      <c r="S123" s="275">
        <f>SUM(S121:S122)</f>
        <v>0</v>
      </c>
      <c r="T123" s="1116">
        <f t="shared" ref="T123" si="133">SUM(T121:T122)</f>
        <v>0</v>
      </c>
      <c r="U123" s="275">
        <f>SUM(U121:U122)</f>
        <v>0</v>
      </c>
      <c r="V123" s="276"/>
      <c r="W123" s="275">
        <f t="shared" ref="W123" si="134">SUM(W121:W122)</f>
        <v>0</v>
      </c>
      <c r="X123" s="1115"/>
      <c r="Y123" s="1116">
        <f t="shared" ref="Y123" si="135">SUM(Y121:Y122)</f>
        <v>0</v>
      </c>
      <c r="Z123" s="276"/>
      <c r="AA123" s="275">
        <f t="shared" ref="AA123:AD123" si="136">SUM(AA121:AA122)</f>
        <v>0</v>
      </c>
      <c r="AB123" s="1131">
        <f t="shared" si="136"/>
        <v>0</v>
      </c>
      <c r="AC123" s="275">
        <f t="shared" si="136"/>
        <v>0</v>
      </c>
      <c r="AD123" s="275">
        <f t="shared" si="136"/>
        <v>0</v>
      </c>
      <c r="AE123" s="275">
        <f>SUM(AE121:AE122)</f>
        <v>0</v>
      </c>
      <c r="AF123" s="1116">
        <f>SUM(AF121:AF122)</f>
        <v>0</v>
      </c>
      <c r="AG123" s="1146">
        <f>SUM(AG121:AG122)</f>
        <v>0</v>
      </c>
      <c r="AH123" s="1116">
        <f>SUM(AH121:AH122)</f>
        <v>0</v>
      </c>
      <c r="AI123" s="1116">
        <f t="shared" ref="AI123" si="137">SUM(AI121:AI122)</f>
        <v>0</v>
      </c>
      <c r="AJ123" s="1116">
        <f>SUM(AJ121:AJ122)</f>
        <v>0</v>
      </c>
      <c r="AK123" s="275">
        <f>SUM(AJ121:AJ122)</f>
        <v>0</v>
      </c>
      <c r="AL123" s="275">
        <f>SUM(AL121:AL122)</f>
        <v>0</v>
      </c>
      <c r="AM123" s="275">
        <f>SUM(AM121:AM122)</f>
        <v>10779.31728688669</v>
      </c>
      <c r="AN123" s="275">
        <f>SUM(AN121:AN122)</f>
        <v>0</v>
      </c>
    </row>
    <row r="124" spans="2:40" s="258" customFormat="1" ht="30" hidden="1" customHeight="1" x14ac:dyDescent="0.25">
      <c r="B124" s="257">
        <v>2098</v>
      </c>
      <c r="C124" s="267" t="s">
        <v>7128</v>
      </c>
      <c r="D124" s="267" t="s">
        <v>2724</v>
      </c>
      <c r="E124" s="267" t="s">
        <v>2725</v>
      </c>
      <c r="F124" s="267" t="s">
        <v>2721</v>
      </c>
      <c r="G124" s="279" t="s">
        <v>2721</v>
      </c>
      <c r="H124" s="257">
        <v>1</v>
      </c>
      <c r="I124" s="257">
        <v>40</v>
      </c>
      <c r="J124" s="257">
        <v>0</v>
      </c>
      <c r="K124" s="257">
        <v>0</v>
      </c>
      <c r="L124" s="261">
        <v>42736</v>
      </c>
      <c r="M124" s="260">
        <f>9425.02/599.28</f>
        <v>15.727239353891338</v>
      </c>
      <c r="N124" s="280">
        <f>AN116*M124+0.02</f>
        <v>10937.370211496256</v>
      </c>
      <c r="O124" s="280">
        <v>0</v>
      </c>
      <c r="P124" s="280">
        <v>0</v>
      </c>
      <c r="Q124" s="280">
        <v>0</v>
      </c>
      <c r="R124" s="281">
        <v>0</v>
      </c>
      <c r="S124" s="271">
        <f>N124*R124</f>
        <v>0</v>
      </c>
      <c r="T124" s="1114">
        <v>0</v>
      </c>
      <c r="U124" s="271">
        <v>0</v>
      </c>
      <c r="V124" s="282">
        <v>0</v>
      </c>
      <c r="W124" s="264">
        <f>N124*V124</f>
        <v>0</v>
      </c>
      <c r="X124" s="1113">
        <v>0</v>
      </c>
      <c r="Y124" s="1114">
        <v>0</v>
      </c>
      <c r="Z124" s="282">
        <v>0</v>
      </c>
      <c r="AA124" s="271">
        <v>0</v>
      </c>
      <c r="AB124" s="1130">
        <v>0</v>
      </c>
      <c r="AC124" s="271">
        <v>0</v>
      </c>
      <c r="AD124" s="271">
        <v>0</v>
      </c>
      <c r="AE124" s="271">
        <v>0</v>
      </c>
      <c r="AF124" s="1114">
        <v>0</v>
      </c>
      <c r="AG124" s="1145">
        <v>0</v>
      </c>
      <c r="AH124" s="1114">
        <v>0</v>
      </c>
      <c r="AI124" s="1114">
        <v>0</v>
      </c>
      <c r="AJ124" s="1114">
        <v>0</v>
      </c>
      <c r="AK124" s="273">
        <f>(N124+T124+U124)/3</f>
        <v>3645.7900704987519</v>
      </c>
      <c r="AL124" s="273">
        <f>AK124*R124</f>
        <v>0</v>
      </c>
      <c r="AM124" s="273">
        <f>N124</f>
        <v>10937.370211496256</v>
      </c>
      <c r="AN124" s="273">
        <f>AM124*R124</f>
        <v>0</v>
      </c>
    </row>
    <row r="125" spans="2:40" s="274" customFormat="1" ht="30" hidden="1" customHeight="1" x14ac:dyDescent="0.25">
      <c r="B125" s="1206" t="s">
        <v>2726</v>
      </c>
      <c r="C125" s="1077"/>
      <c r="D125" s="1077"/>
      <c r="E125" s="1077"/>
      <c r="F125" s="1077"/>
      <c r="G125" s="1077"/>
      <c r="H125" s="1077"/>
      <c r="I125" s="1077"/>
      <c r="J125" s="1077"/>
      <c r="K125" s="1077"/>
      <c r="L125" s="1077"/>
      <c r="M125" s="1077"/>
      <c r="N125" s="275">
        <f>SUM(N124:N124)</f>
        <v>10937.370211496256</v>
      </c>
      <c r="O125" s="275">
        <f>SUM(O124:O124)</f>
        <v>0</v>
      </c>
      <c r="P125" s="275">
        <f>SUM(P124:P124)</f>
        <v>0</v>
      </c>
      <c r="Q125" s="275">
        <f>SUM(Q124:Q124)</f>
        <v>0</v>
      </c>
      <c r="R125" s="1085"/>
      <c r="S125" s="275">
        <f>SUM(S124:S124)</f>
        <v>0</v>
      </c>
      <c r="T125" s="1116">
        <f>SUM(T124)</f>
        <v>0</v>
      </c>
      <c r="U125" s="275">
        <f>SUM(U124)</f>
        <v>0</v>
      </c>
      <c r="V125" s="276"/>
      <c r="W125" s="275">
        <f t="shared" ref="W125" si="138">SUM(W124)</f>
        <v>0</v>
      </c>
      <c r="X125" s="1115"/>
      <c r="Y125" s="1116">
        <f t="shared" ref="Y125" si="139">SUM(Y124)</f>
        <v>0</v>
      </c>
      <c r="Z125" s="276"/>
      <c r="AA125" s="275">
        <f t="shared" ref="AA125:AD125" si="140">SUM(AA124)</f>
        <v>0</v>
      </c>
      <c r="AB125" s="1131">
        <f t="shared" si="140"/>
        <v>0</v>
      </c>
      <c r="AC125" s="275">
        <f t="shared" si="140"/>
        <v>0</v>
      </c>
      <c r="AD125" s="275">
        <f t="shared" si="140"/>
        <v>0</v>
      </c>
      <c r="AE125" s="275">
        <f>SUM(AE124)</f>
        <v>0</v>
      </c>
      <c r="AF125" s="1116">
        <f>SUM(AF124)</f>
        <v>0</v>
      </c>
      <c r="AG125" s="1146">
        <f>SUM(AG124)</f>
        <v>0</v>
      </c>
      <c r="AH125" s="1116">
        <f>SUM(AH124)</f>
        <v>0</v>
      </c>
      <c r="AI125" s="1116">
        <f t="shared" ref="AI125" si="141">SUM(AI124)</f>
        <v>0</v>
      </c>
      <c r="AJ125" s="1116">
        <f>SUM(AJ124)</f>
        <v>0</v>
      </c>
      <c r="AK125" s="275">
        <f>SUM(AJ124:AJ124)</f>
        <v>0</v>
      </c>
      <c r="AL125" s="275">
        <f>SUM(AL124:AL124)</f>
        <v>0</v>
      </c>
      <c r="AM125" s="275">
        <f>SUM(AM124:AM124)</f>
        <v>10937.370211496256</v>
      </c>
      <c r="AN125" s="275">
        <f>SUM(AN124:AN124)</f>
        <v>0</v>
      </c>
    </row>
    <row r="126" spans="2:40" s="274" customFormat="1" ht="30" hidden="1" customHeight="1" x14ac:dyDescent="0.25">
      <c r="B126" s="257">
        <v>2211</v>
      </c>
      <c r="C126" s="267" t="s">
        <v>7129</v>
      </c>
      <c r="D126" s="267" t="s">
        <v>2596</v>
      </c>
      <c r="E126" s="267" t="s">
        <v>2728</v>
      </c>
      <c r="F126" s="267" t="s">
        <v>2728</v>
      </c>
      <c r="G126" s="279" t="s">
        <v>2728</v>
      </c>
      <c r="H126" s="257">
        <v>1</v>
      </c>
      <c r="I126" s="257">
        <v>40</v>
      </c>
      <c r="J126" s="257">
        <v>0</v>
      </c>
      <c r="K126" s="257">
        <v>0</v>
      </c>
      <c r="L126" s="261">
        <v>0</v>
      </c>
      <c r="M126" s="260">
        <f t="shared" ref="M126:M132" si="142">1198.56/599.28</f>
        <v>2</v>
      </c>
      <c r="N126" s="280">
        <f>AN116*M126</f>
        <v>1390.8798569648607</v>
      </c>
      <c r="O126" s="280">
        <v>0</v>
      </c>
      <c r="P126" s="280">
        <v>0</v>
      </c>
      <c r="Q126" s="280">
        <v>0</v>
      </c>
      <c r="R126" s="281">
        <v>0</v>
      </c>
      <c r="S126" s="271">
        <f t="shared" ref="S126:S132" si="143">N126*R126</f>
        <v>0</v>
      </c>
      <c r="T126" s="1114">
        <v>0</v>
      </c>
      <c r="U126" s="271">
        <v>0</v>
      </c>
      <c r="V126" s="282">
        <v>0</v>
      </c>
      <c r="W126" s="264">
        <f t="shared" ref="W126:W132" si="144">N126*V126</f>
        <v>0</v>
      </c>
      <c r="X126" s="1113">
        <v>0</v>
      </c>
      <c r="Y126" s="1114">
        <v>0</v>
      </c>
      <c r="Z126" s="282">
        <v>0</v>
      </c>
      <c r="AA126" s="271">
        <v>0</v>
      </c>
      <c r="AB126" s="1130">
        <v>0</v>
      </c>
      <c r="AC126" s="271">
        <v>0</v>
      </c>
      <c r="AD126" s="271">
        <v>0</v>
      </c>
      <c r="AE126" s="271">
        <v>0</v>
      </c>
      <c r="AF126" s="1114">
        <v>0</v>
      </c>
      <c r="AG126" s="1145">
        <v>0</v>
      </c>
      <c r="AH126" s="1114">
        <v>0</v>
      </c>
      <c r="AI126" s="1114">
        <v>0</v>
      </c>
      <c r="AJ126" s="1114">
        <v>0</v>
      </c>
      <c r="AK126" s="273">
        <f t="shared" ref="AK126:AK132" si="145">(N126+T126+U126)/3</f>
        <v>463.62661898828691</v>
      </c>
      <c r="AL126" s="273">
        <f t="shared" ref="AL126:AL132" si="146">AK126*R126</f>
        <v>0</v>
      </c>
      <c r="AM126" s="273">
        <f t="shared" ref="AM126:AM132" si="147">N126</f>
        <v>1390.8798569648607</v>
      </c>
      <c r="AN126" s="273">
        <f t="shared" ref="AN126:AN132" si="148">AM126*R126</f>
        <v>0</v>
      </c>
    </row>
    <row r="127" spans="2:40" s="274" customFormat="1" ht="30" hidden="1" customHeight="1" x14ac:dyDescent="0.25">
      <c r="B127" s="257">
        <v>1995</v>
      </c>
      <c r="C127" s="267" t="s">
        <v>7130</v>
      </c>
      <c r="D127" s="267" t="s">
        <v>2596</v>
      </c>
      <c r="E127" s="267" t="s">
        <v>2728</v>
      </c>
      <c r="F127" s="267" t="s">
        <v>2728</v>
      </c>
      <c r="G127" s="279" t="s">
        <v>2728</v>
      </c>
      <c r="H127" s="257">
        <v>1</v>
      </c>
      <c r="I127" s="257">
        <v>40</v>
      </c>
      <c r="J127" s="257">
        <v>0</v>
      </c>
      <c r="K127" s="257">
        <v>0</v>
      </c>
      <c r="L127" s="261">
        <v>0</v>
      </c>
      <c r="M127" s="260">
        <f t="shared" si="142"/>
        <v>2</v>
      </c>
      <c r="N127" s="280">
        <f>AN116*M127</f>
        <v>1390.8798569648607</v>
      </c>
      <c r="O127" s="280">
        <v>0</v>
      </c>
      <c r="P127" s="280">
        <v>0</v>
      </c>
      <c r="Q127" s="280">
        <v>0</v>
      </c>
      <c r="R127" s="281">
        <v>0</v>
      </c>
      <c r="S127" s="271">
        <f t="shared" si="143"/>
        <v>0</v>
      </c>
      <c r="T127" s="1114">
        <v>0</v>
      </c>
      <c r="U127" s="271">
        <v>0</v>
      </c>
      <c r="V127" s="282">
        <v>0</v>
      </c>
      <c r="W127" s="264">
        <f t="shared" si="144"/>
        <v>0</v>
      </c>
      <c r="X127" s="1113">
        <v>0</v>
      </c>
      <c r="Y127" s="1114">
        <v>0</v>
      </c>
      <c r="Z127" s="282">
        <v>0</v>
      </c>
      <c r="AA127" s="271">
        <v>0</v>
      </c>
      <c r="AB127" s="1130">
        <v>0</v>
      </c>
      <c r="AC127" s="271">
        <v>0</v>
      </c>
      <c r="AD127" s="271">
        <v>0</v>
      </c>
      <c r="AE127" s="271">
        <v>0</v>
      </c>
      <c r="AF127" s="1114">
        <v>0</v>
      </c>
      <c r="AG127" s="1145">
        <v>0</v>
      </c>
      <c r="AH127" s="1114">
        <v>0</v>
      </c>
      <c r="AI127" s="1114">
        <v>0</v>
      </c>
      <c r="AJ127" s="1114">
        <v>0</v>
      </c>
      <c r="AK127" s="273">
        <f t="shared" si="145"/>
        <v>463.62661898828691</v>
      </c>
      <c r="AL127" s="273">
        <f t="shared" si="146"/>
        <v>0</v>
      </c>
      <c r="AM127" s="273">
        <f t="shared" si="147"/>
        <v>1390.8798569648607</v>
      </c>
      <c r="AN127" s="273">
        <f t="shared" si="148"/>
        <v>0</v>
      </c>
    </row>
    <row r="128" spans="2:40" s="274" customFormat="1" ht="30" hidden="1" customHeight="1" x14ac:dyDescent="0.25">
      <c r="B128" s="257">
        <v>1765</v>
      </c>
      <c r="C128" s="267" t="s">
        <v>7131</v>
      </c>
      <c r="D128" s="267" t="s">
        <v>2596</v>
      </c>
      <c r="E128" s="267" t="s">
        <v>2728</v>
      </c>
      <c r="F128" s="267" t="s">
        <v>2728</v>
      </c>
      <c r="G128" s="279" t="s">
        <v>2728</v>
      </c>
      <c r="H128" s="257">
        <v>1</v>
      </c>
      <c r="I128" s="257">
        <v>40</v>
      </c>
      <c r="J128" s="257">
        <v>0</v>
      </c>
      <c r="K128" s="257">
        <v>0</v>
      </c>
      <c r="L128" s="261">
        <v>0</v>
      </c>
      <c r="M128" s="260">
        <f t="shared" si="142"/>
        <v>2</v>
      </c>
      <c r="N128" s="280">
        <f>AN116*M128</f>
        <v>1390.8798569648607</v>
      </c>
      <c r="O128" s="280">
        <v>0</v>
      </c>
      <c r="P128" s="280">
        <v>0</v>
      </c>
      <c r="Q128" s="280">
        <v>0</v>
      </c>
      <c r="R128" s="281">
        <v>0</v>
      </c>
      <c r="S128" s="271">
        <f t="shared" si="143"/>
        <v>0</v>
      </c>
      <c r="T128" s="1114">
        <v>0</v>
      </c>
      <c r="U128" s="271">
        <v>0</v>
      </c>
      <c r="V128" s="282">
        <v>0</v>
      </c>
      <c r="W128" s="264">
        <f t="shared" si="144"/>
        <v>0</v>
      </c>
      <c r="X128" s="1113">
        <v>0</v>
      </c>
      <c r="Y128" s="1114">
        <v>0</v>
      </c>
      <c r="Z128" s="282">
        <v>0</v>
      </c>
      <c r="AA128" s="271">
        <v>0</v>
      </c>
      <c r="AB128" s="1130">
        <v>0</v>
      </c>
      <c r="AC128" s="271">
        <v>0</v>
      </c>
      <c r="AD128" s="271">
        <v>0</v>
      </c>
      <c r="AE128" s="271">
        <v>0</v>
      </c>
      <c r="AF128" s="1114">
        <v>0</v>
      </c>
      <c r="AG128" s="1145">
        <v>0</v>
      </c>
      <c r="AH128" s="1114">
        <v>0</v>
      </c>
      <c r="AI128" s="1114">
        <v>0</v>
      </c>
      <c r="AJ128" s="1114">
        <v>0</v>
      </c>
      <c r="AK128" s="273">
        <f t="shared" si="145"/>
        <v>463.62661898828691</v>
      </c>
      <c r="AL128" s="273">
        <f t="shared" si="146"/>
        <v>0</v>
      </c>
      <c r="AM128" s="273">
        <f t="shared" si="147"/>
        <v>1390.8798569648607</v>
      </c>
      <c r="AN128" s="273">
        <f t="shared" si="148"/>
        <v>0</v>
      </c>
    </row>
    <row r="129" spans="2:40" s="274" customFormat="1" ht="30" hidden="1" customHeight="1" x14ac:dyDescent="0.25">
      <c r="B129" s="257">
        <v>1996</v>
      </c>
      <c r="C129" s="267" t="s">
        <v>7132</v>
      </c>
      <c r="D129" s="267" t="s">
        <v>2596</v>
      </c>
      <c r="E129" s="267" t="s">
        <v>2728</v>
      </c>
      <c r="F129" s="267" t="s">
        <v>2728</v>
      </c>
      <c r="G129" s="279" t="s">
        <v>2728</v>
      </c>
      <c r="H129" s="257">
        <v>1</v>
      </c>
      <c r="I129" s="257">
        <v>40</v>
      </c>
      <c r="J129" s="257">
        <v>0</v>
      </c>
      <c r="K129" s="257">
        <v>0</v>
      </c>
      <c r="L129" s="261">
        <v>0</v>
      </c>
      <c r="M129" s="260">
        <f t="shared" si="142"/>
        <v>2</v>
      </c>
      <c r="N129" s="280">
        <f>AN116*M129</f>
        <v>1390.8798569648607</v>
      </c>
      <c r="O129" s="280">
        <v>0</v>
      </c>
      <c r="P129" s="280">
        <v>0</v>
      </c>
      <c r="Q129" s="280">
        <v>0</v>
      </c>
      <c r="R129" s="281">
        <v>0</v>
      </c>
      <c r="S129" s="271">
        <f t="shared" si="143"/>
        <v>0</v>
      </c>
      <c r="T129" s="1114">
        <v>0</v>
      </c>
      <c r="U129" s="271">
        <v>0</v>
      </c>
      <c r="V129" s="282">
        <v>0</v>
      </c>
      <c r="W129" s="264">
        <f t="shared" si="144"/>
        <v>0</v>
      </c>
      <c r="X129" s="1113">
        <v>0</v>
      </c>
      <c r="Y129" s="1114">
        <v>0</v>
      </c>
      <c r="Z129" s="282">
        <v>0</v>
      </c>
      <c r="AA129" s="271">
        <v>0</v>
      </c>
      <c r="AB129" s="1130">
        <v>0</v>
      </c>
      <c r="AC129" s="271">
        <v>0</v>
      </c>
      <c r="AD129" s="271">
        <v>0</v>
      </c>
      <c r="AE129" s="271">
        <v>0</v>
      </c>
      <c r="AF129" s="1114">
        <v>0</v>
      </c>
      <c r="AG129" s="1145">
        <v>0</v>
      </c>
      <c r="AH129" s="1114">
        <v>0</v>
      </c>
      <c r="AI129" s="1114">
        <v>0</v>
      </c>
      <c r="AJ129" s="1114">
        <v>0</v>
      </c>
      <c r="AK129" s="273">
        <f t="shared" si="145"/>
        <v>463.62661898828691</v>
      </c>
      <c r="AL129" s="273">
        <f t="shared" si="146"/>
        <v>0</v>
      </c>
      <c r="AM129" s="273">
        <f t="shared" si="147"/>
        <v>1390.8798569648607</v>
      </c>
      <c r="AN129" s="273">
        <f t="shared" si="148"/>
        <v>0</v>
      </c>
    </row>
    <row r="130" spans="2:40" s="274" customFormat="1" ht="30" hidden="1" customHeight="1" x14ac:dyDescent="0.25">
      <c r="B130" s="257">
        <v>1999</v>
      </c>
      <c r="C130" s="267" t="s">
        <v>7133</v>
      </c>
      <c r="D130" s="267" t="s">
        <v>2596</v>
      </c>
      <c r="E130" s="267" t="s">
        <v>2728</v>
      </c>
      <c r="F130" s="267" t="s">
        <v>2728</v>
      </c>
      <c r="G130" s="279" t="s">
        <v>2728</v>
      </c>
      <c r="H130" s="257">
        <v>1</v>
      </c>
      <c r="I130" s="257">
        <v>40</v>
      </c>
      <c r="J130" s="257">
        <v>0</v>
      </c>
      <c r="K130" s="257">
        <v>0</v>
      </c>
      <c r="L130" s="261">
        <v>0</v>
      </c>
      <c r="M130" s="260">
        <f t="shared" si="142"/>
        <v>2</v>
      </c>
      <c r="N130" s="280">
        <f>AN116*M130</f>
        <v>1390.8798569648607</v>
      </c>
      <c r="O130" s="280">
        <v>0</v>
      </c>
      <c r="P130" s="280">
        <v>0</v>
      </c>
      <c r="Q130" s="280">
        <v>0</v>
      </c>
      <c r="R130" s="281">
        <v>0</v>
      </c>
      <c r="S130" s="271">
        <f t="shared" si="143"/>
        <v>0</v>
      </c>
      <c r="T130" s="1114">
        <v>0</v>
      </c>
      <c r="U130" s="271">
        <v>0</v>
      </c>
      <c r="V130" s="282">
        <v>0</v>
      </c>
      <c r="W130" s="264">
        <f t="shared" si="144"/>
        <v>0</v>
      </c>
      <c r="X130" s="1113">
        <v>0</v>
      </c>
      <c r="Y130" s="1114">
        <v>0</v>
      </c>
      <c r="Z130" s="282">
        <v>0</v>
      </c>
      <c r="AA130" s="271">
        <v>0</v>
      </c>
      <c r="AB130" s="1130">
        <v>0</v>
      </c>
      <c r="AC130" s="271">
        <v>0</v>
      </c>
      <c r="AD130" s="271">
        <v>0</v>
      </c>
      <c r="AE130" s="271">
        <v>0</v>
      </c>
      <c r="AF130" s="1114">
        <v>0</v>
      </c>
      <c r="AG130" s="1145">
        <v>0</v>
      </c>
      <c r="AH130" s="1114">
        <v>0</v>
      </c>
      <c r="AI130" s="1114">
        <v>0</v>
      </c>
      <c r="AJ130" s="1114">
        <v>0</v>
      </c>
      <c r="AK130" s="273">
        <f t="shared" si="145"/>
        <v>463.62661898828691</v>
      </c>
      <c r="AL130" s="273">
        <f t="shared" si="146"/>
        <v>0</v>
      </c>
      <c r="AM130" s="273">
        <f t="shared" si="147"/>
        <v>1390.8798569648607</v>
      </c>
      <c r="AN130" s="273">
        <f t="shared" si="148"/>
        <v>0</v>
      </c>
    </row>
    <row r="131" spans="2:40" s="274" customFormat="1" ht="30" hidden="1" customHeight="1" x14ac:dyDescent="0.25">
      <c r="B131" s="257">
        <v>2310</v>
      </c>
      <c r="C131" s="267" t="s">
        <v>7134</v>
      </c>
      <c r="D131" s="267" t="s">
        <v>2596</v>
      </c>
      <c r="E131" s="267" t="s">
        <v>2728</v>
      </c>
      <c r="F131" s="267" t="s">
        <v>2728</v>
      </c>
      <c r="G131" s="279" t="s">
        <v>2728</v>
      </c>
      <c r="H131" s="257">
        <v>1</v>
      </c>
      <c r="I131" s="257">
        <v>40</v>
      </c>
      <c r="J131" s="257">
        <v>0</v>
      </c>
      <c r="K131" s="257">
        <v>0</v>
      </c>
      <c r="L131" s="261" t="s">
        <v>2753</v>
      </c>
      <c r="M131" s="260">
        <f t="shared" si="142"/>
        <v>2</v>
      </c>
      <c r="N131" s="280">
        <f>AN116*M131</f>
        <v>1390.8798569648607</v>
      </c>
      <c r="O131" s="280">
        <v>0</v>
      </c>
      <c r="P131" s="280">
        <v>0</v>
      </c>
      <c r="Q131" s="280">
        <v>0</v>
      </c>
      <c r="R131" s="281">
        <v>0</v>
      </c>
      <c r="S131" s="271">
        <f t="shared" si="143"/>
        <v>0</v>
      </c>
      <c r="T131" s="1114">
        <v>0</v>
      </c>
      <c r="U131" s="271">
        <v>0</v>
      </c>
      <c r="V131" s="282">
        <v>0</v>
      </c>
      <c r="W131" s="264">
        <f t="shared" si="144"/>
        <v>0</v>
      </c>
      <c r="X131" s="1113">
        <v>0</v>
      </c>
      <c r="Y131" s="1114">
        <v>0</v>
      </c>
      <c r="Z131" s="282">
        <v>0</v>
      </c>
      <c r="AA131" s="271">
        <v>0</v>
      </c>
      <c r="AB131" s="1130">
        <v>0</v>
      </c>
      <c r="AC131" s="271">
        <v>0</v>
      </c>
      <c r="AD131" s="271">
        <v>0</v>
      </c>
      <c r="AE131" s="271">
        <v>0</v>
      </c>
      <c r="AF131" s="1114">
        <v>0</v>
      </c>
      <c r="AG131" s="1145">
        <v>0</v>
      </c>
      <c r="AH131" s="1114">
        <v>0</v>
      </c>
      <c r="AI131" s="1114">
        <v>0</v>
      </c>
      <c r="AJ131" s="1114">
        <v>0</v>
      </c>
      <c r="AK131" s="273">
        <f t="shared" si="145"/>
        <v>463.62661898828691</v>
      </c>
      <c r="AL131" s="273">
        <f t="shared" si="146"/>
        <v>0</v>
      </c>
      <c r="AM131" s="273">
        <f t="shared" si="147"/>
        <v>1390.8798569648607</v>
      </c>
      <c r="AN131" s="273">
        <f t="shared" si="148"/>
        <v>0</v>
      </c>
    </row>
    <row r="132" spans="2:40" s="258" customFormat="1" ht="30" hidden="1" customHeight="1" x14ac:dyDescent="0.25">
      <c r="B132" s="257">
        <v>0</v>
      </c>
      <c r="C132" s="267" t="s">
        <v>7135</v>
      </c>
      <c r="D132" s="267" t="s">
        <v>2596</v>
      </c>
      <c r="E132" s="267" t="s">
        <v>2728</v>
      </c>
      <c r="F132" s="267" t="s">
        <v>2728</v>
      </c>
      <c r="G132" s="279" t="s">
        <v>2728</v>
      </c>
      <c r="H132" s="257">
        <v>1</v>
      </c>
      <c r="I132" s="257">
        <v>40</v>
      </c>
      <c r="J132" s="257">
        <v>0</v>
      </c>
      <c r="K132" s="257">
        <v>0</v>
      </c>
      <c r="L132" s="261" t="s">
        <v>2753</v>
      </c>
      <c r="M132" s="260">
        <f t="shared" si="142"/>
        <v>2</v>
      </c>
      <c r="N132" s="280">
        <f>AN116*M132</f>
        <v>1390.8798569648607</v>
      </c>
      <c r="O132" s="280">
        <v>0</v>
      </c>
      <c r="P132" s="280">
        <v>0</v>
      </c>
      <c r="Q132" s="280">
        <v>0</v>
      </c>
      <c r="R132" s="281">
        <v>0</v>
      </c>
      <c r="S132" s="271">
        <f t="shared" si="143"/>
        <v>0</v>
      </c>
      <c r="T132" s="1114">
        <v>0</v>
      </c>
      <c r="U132" s="271">
        <v>0</v>
      </c>
      <c r="V132" s="282">
        <v>0</v>
      </c>
      <c r="W132" s="264">
        <f t="shared" si="144"/>
        <v>0</v>
      </c>
      <c r="X132" s="1113">
        <v>0</v>
      </c>
      <c r="Y132" s="1114">
        <v>0</v>
      </c>
      <c r="Z132" s="282">
        <v>0</v>
      </c>
      <c r="AA132" s="271">
        <v>0</v>
      </c>
      <c r="AB132" s="1130">
        <v>0</v>
      </c>
      <c r="AC132" s="271">
        <v>0</v>
      </c>
      <c r="AD132" s="271">
        <v>0</v>
      </c>
      <c r="AE132" s="271">
        <v>0</v>
      </c>
      <c r="AF132" s="1114">
        <v>0</v>
      </c>
      <c r="AG132" s="1145">
        <v>0</v>
      </c>
      <c r="AH132" s="1114">
        <v>0</v>
      </c>
      <c r="AI132" s="1114">
        <v>0</v>
      </c>
      <c r="AJ132" s="1114">
        <v>0</v>
      </c>
      <c r="AK132" s="273">
        <f t="shared" si="145"/>
        <v>463.62661898828691</v>
      </c>
      <c r="AL132" s="273">
        <f t="shared" si="146"/>
        <v>0</v>
      </c>
      <c r="AM132" s="273">
        <f t="shared" si="147"/>
        <v>1390.8798569648607</v>
      </c>
      <c r="AN132" s="273">
        <f t="shared" si="148"/>
        <v>0</v>
      </c>
    </row>
    <row r="133" spans="2:40" s="274" customFormat="1" ht="30" hidden="1" customHeight="1" x14ac:dyDescent="0.25">
      <c r="B133" s="1077" t="s">
        <v>2731</v>
      </c>
      <c r="C133" s="1077"/>
      <c r="D133" s="1077"/>
      <c r="E133" s="1077"/>
      <c r="F133" s="1077"/>
      <c r="G133" s="1077"/>
      <c r="H133" s="1077"/>
      <c r="I133" s="1077"/>
      <c r="J133" s="1077"/>
      <c r="K133" s="1077"/>
      <c r="L133" s="1077"/>
      <c r="M133" s="1077"/>
      <c r="N133" s="275">
        <f>SUM(N126:N132)</f>
        <v>9736.1589987540247</v>
      </c>
      <c r="O133" s="275">
        <f>SUM(O126:O132)</f>
        <v>0</v>
      </c>
      <c r="P133" s="275">
        <f>SUM(P126:P132)</f>
        <v>0</v>
      </c>
      <c r="Q133" s="275">
        <f>SUM(Q126:Q132)</f>
        <v>0</v>
      </c>
      <c r="R133" s="1085"/>
      <c r="S133" s="275">
        <f>SUM(S126:S132)</f>
        <v>0</v>
      </c>
      <c r="T133" s="1116">
        <f>SUM(T126:T132)</f>
        <v>0</v>
      </c>
      <c r="U133" s="275">
        <f>SUM(U126:U132)</f>
        <v>0</v>
      </c>
      <c r="V133" s="276"/>
      <c r="W133" s="275">
        <f t="shared" ref="W133" si="149">SUM(W126:W132)</f>
        <v>0</v>
      </c>
      <c r="X133" s="1115"/>
      <c r="Y133" s="1116">
        <f t="shared" ref="Y133" si="150">SUM(Y126:Y132)</f>
        <v>0</v>
      </c>
      <c r="Z133" s="276"/>
      <c r="AA133" s="275">
        <f t="shared" ref="AA133:AD133" si="151">SUM(AA126:AA132)</f>
        <v>0</v>
      </c>
      <c r="AB133" s="1131">
        <f t="shared" si="151"/>
        <v>0</v>
      </c>
      <c r="AC133" s="275">
        <f t="shared" si="151"/>
        <v>0</v>
      </c>
      <c r="AD133" s="275">
        <f t="shared" si="151"/>
        <v>0</v>
      </c>
      <c r="AE133" s="275">
        <f>SUM(AE126:AE132)</f>
        <v>0</v>
      </c>
      <c r="AF133" s="1116">
        <f>SUM(AF126:AF132)</f>
        <v>0</v>
      </c>
      <c r="AG133" s="1146">
        <f>SUM(AG126:AG132)</f>
        <v>0</v>
      </c>
      <c r="AH133" s="1116">
        <f>SUM(AH126:AH132)</f>
        <v>0</v>
      </c>
      <c r="AI133" s="1116">
        <f t="shared" ref="AI133" si="152">SUM(AI126:AI132)</f>
        <v>0</v>
      </c>
      <c r="AJ133" s="1116">
        <f>SUM(AJ126:AJ132)</f>
        <v>0</v>
      </c>
      <c r="AK133" s="275">
        <f>SUM(AJ126:AJ132)</f>
        <v>0</v>
      </c>
      <c r="AL133" s="275">
        <f>SUM(AL126:AL132)</f>
        <v>0</v>
      </c>
      <c r="AM133" s="275">
        <f>SUM(AM126:AM132)</f>
        <v>9736.1589987540247</v>
      </c>
      <c r="AN133" s="275">
        <f>SUM(AN126:AN132)</f>
        <v>0</v>
      </c>
    </row>
    <row r="134" spans="2:40" s="258" customFormat="1" ht="30" hidden="1" customHeight="1" x14ac:dyDescent="0.25">
      <c r="B134" s="257">
        <v>2099</v>
      </c>
      <c r="C134" s="1136" t="s">
        <v>7175</v>
      </c>
      <c r="D134" s="267" t="s">
        <v>2732</v>
      </c>
      <c r="E134" s="267" t="s">
        <v>2725</v>
      </c>
      <c r="F134" s="267" t="s">
        <v>2733</v>
      </c>
      <c r="G134" s="279" t="s">
        <v>2733</v>
      </c>
      <c r="H134" s="257">
        <v>1</v>
      </c>
      <c r="I134" s="257">
        <v>40</v>
      </c>
      <c r="J134" s="257">
        <v>0</v>
      </c>
      <c r="K134" s="257">
        <v>0</v>
      </c>
      <c r="L134" s="261">
        <v>42736</v>
      </c>
      <c r="M134" s="260">
        <f>4712.51/599.28</f>
        <v>7.8636196769456692</v>
      </c>
      <c r="N134" s="280">
        <f>AN116*M134+0.01</f>
        <v>5468.6851057481281</v>
      </c>
      <c r="O134" s="280">
        <v>0</v>
      </c>
      <c r="P134" s="280">
        <v>0</v>
      </c>
      <c r="Q134" s="280">
        <v>0</v>
      </c>
      <c r="R134" s="281">
        <v>0</v>
      </c>
      <c r="S134" s="271">
        <f>N134*R134</f>
        <v>0</v>
      </c>
      <c r="T134" s="1114">
        <v>0</v>
      </c>
      <c r="U134" s="271">
        <v>0</v>
      </c>
      <c r="V134" s="282">
        <v>0</v>
      </c>
      <c r="W134" s="264">
        <f>N134*V134</f>
        <v>0</v>
      </c>
      <c r="X134" s="1113">
        <v>0</v>
      </c>
      <c r="Y134" s="1114">
        <v>0</v>
      </c>
      <c r="Z134" s="282">
        <v>0</v>
      </c>
      <c r="AA134" s="271">
        <v>0</v>
      </c>
      <c r="AB134" s="1130">
        <v>0</v>
      </c>
      <c r="AC134" s="271">
        <v>0</v>
      </c>
      <c r="AD134" s="271">
        <v>0</v>
      </c>
      <c r="AE134" s="271">
        <v>0</v>
      </c>
      <c r="AF134" s="1114">
        <v>0</v>
      </c>
      <c r="AG134" s="1145">
        <v>0</v>
      </c>
      <c r="AH134" s="1114">
        <v>0</v>
      </c>
      <c r="AI134" s="1114">
        <v>0</v>
      </c>
      <c r="AJ134" s="1114">
        <v>0</v>
      </c>
      <c r="AK134" s="273">
        <f>(N134+T134+U134)/3</f>
        <v>1822.895035249376</v>
      </c>
      <c r="AL134" s="273">
        <f>AK134*R134</f>
        <v>0</v>
      </c>
      <c r="AM134" s="273">
        <f>N134</f>
        <v>5468.6851057481281</v>
      </c>
      <c r="AN134" s="273">
        <f>AM134*R134</f>
        <v>0</v>
      </c>
    </row>
    <row r="135" spans="2:40" s="258" customFormat="1" ht="30" hidden="1" customHeight="1" x14ac:dyDescent="0.25">
      <c r="B135" s="1206" t="s">
        <v>2726</v>
      </c>
      <c r="C135" s="1077"/>
      <c r="D135" s="1077"/>
      <c r="E135" s="1077"/>
      <c r="F135" s="1077"/>
      <c r="G135" s="1077"/>
      <c r="H135" s="1077"/>
      <c r="I135" s="1077"/>
      <c r="J135" s="1077"/>
      <c r="K135" s="1077"/>
      <c r="L135" s="1077"/>
      <c r="M135" s="1077"/>
      <c r="N135" s="275">
        <f>SUM(N134:N134)</f>
        <v>5468.6851057481281</v>
      </c>
      <c r="O135" s="275">
        <f>SUM(O134:O134)</f>
        <v>0</v>
      </c>
      <c r="P135" s="275">
        <f>SUM(P134:P134)</f>
        <v>0</v>
      </c>
      <c r="Q135" s="275">
        <f>SUM(Q134:Q134)</f>
        <v>0</v>
      </c>
      <c r="R135" s="1085"/>
      <c r="S135" s="275">
        <f>SUM(S134:S134)</f>
        <v>0</v>
      </c>
      <c r="T135" s="1116">
        <f>SUM(T134)</f>
        <v>0</v>
      </c>
      <c r="U135" s="275">
        <f>SUM(U134)</f>
        <v>0</v>
      </c>
      <c r="V135" s="276"/>
      <c r="W135" s="275">
        <f t="shared" ref="W135" si="153">SUM(W134)</f>
        <v>0</v>
      </c>
      <c r="X135" s="1115"/>
      <c r="Y135" s="1116">
        <f t="shared" ref="Y135" si="154">SUM(Y134)</f>
        <v>0</v>
      </c>
      <c r="Z135" s="276"/>
      <c r="AA135" s="275">
        <f t="shared" ref="AA135:AD135" si="155">SUM(AA134)</f>
        <v>0</v>
      </c>
      <c r="AB135" s="1131">
        <f t="shared" si="155"/>
        <v>0</v>
      </c>
      <c r="AC135" s="275">
        <f t="shared" si="155"/>
        <v>0</v>
      </c>
      <c r="AD135" s="275">
        <f t="shared" si="155"/>
        <v>0</v>
      </c>
      <c r="AE135" s="275">
        <f>SUM(AE134)</f>
        <v>0</v>
      </c>
      <c r="AF135" s="1116">
        <f>SUM(AF134)</f>
        <v>0</v>
      </c>
      <c r="AG135" s="1146">
        <f>SUM(AG134)</f>
        <v>0</v>
      </c>
      <c r="AH135" s="1116">
        <f>SUM(AH134)</f>
        <v>0</v>
      </c>
      <c r="AI135" s="1116">
        <f t="shared" ref="AI135" si="156">SUM(AI134)</f>
        <v>0</v>
      </c>
      <c r="AJ135" s="1116">
        <f>SUM(AJ134)</f>
        <v>0</v>
      </c>
      <c r="AK135" s="275">
        <f>SUM(AJ134:AJ134)</f>
        <v>0</v>
      </c>
      <c r="AL135" s="275">
        <f>SUM(AL134:AL134)</f>
        <v>0</v>
      </c>
      <c r="AM135" s="275">
        <f>SUM(AM134:AM134)</f>
        <v>5468.6851057481281</v>
      </c>
      <c r="AN135" s="275">
        <f>SUM(AN134:AN134)</f>
        <v>0</v>
      </c>
    </row>
    <row r="136" spans="2:40" ht="30" hidden="1" customHeight="1" x14ac:dyDescent="0.25">
      <c r="B136" s="257">
        <v>2088</v>
      </c>
      <c r="C136" s="267" t="s">
        <v>7176</v>
      </c>
      <c r="D136" s="259" t="s">
        <v>2643</v>
      </c>
      <c r="E136" s="259" t="s">
        <v>2739</v>
      </c>
      <c r="F136" s="259" t="s">
        <v>2647</v>
      </c>
      <c r="G136" s="259" t="s">
        <v>2777</v>
      </c>
      <c r="H136" s="266">
        <v>1</v>
      </c>
      <c r="I136" s="257">
        <v>44</v>
      </c>
      <c r="J136" s="257" t="s">
        <v>2636</v>
      </c>
      <c r="K136" s="257">
        <v>0</v>
      </c>
      <c r="L136" s="261">
        <v>42662</v>
      </c>
      <c r="M136" s="257">
        <v>1.95</v>
      </c>
      <c r="N136" s="262">
        <f>M136*AN116</f>
        <v>1356.107860540739</v>
      </c>
      <c r="O136" s="280">
        <v>0</v>
      </c>
      <c r="P136" s="280">
        <v>0</v>
      </c>
      <c r="Q136" s="280">
        <v>0</v>
      </c>
      <c r="R136" s="263">
        <v>0.08</v>
      </c>
      <c r="S136" s="264">
        <f t="shared" ref="S136:S140" si="157">N136*R136</f>
        <v>108.48862884325912</v>
      </c>
      <c r="T136" s="1114">
        <v>0</v>
      </c>
      <c r="U136" s="264">
        <v>0</v>
      </c>
      <c r="V136" s="265">
        <v>0</v>
      </c>
      <c r="W136" s="264">
        <f t="shared" ref="W136:W140" si="158">N136*V136</f>
        <v>0</v>
      </c>
      <c r="X136" s="1113">
        <f>127.94/N136</f>
        <v>9.4343528064931917E-2</v>
      </c>
      <c r="Y136" s="1114">
        <f>N136*X136</f>
        <v>127.93999999999998</v>
      </c>
      <c r="Z136" s="265">
        <v>0</v>
      </c>
      <c r="AA136" s="264">
        <f>N136*Z136</f>
        <v>0</v>
      </c>
      <c r="AB136" s="1130">
        <v>0</v>
      </c>
      <c r="AC136" s="264">
        <v>0</v>
      </c>
      <c r="AD136" s="264">
        <v>0</v>
      </c>
      <c r="AE136" s="264">
        <v>0</v>
      </c>
      <c r="AF136" s="1114">
        <v>0</v>
      </c>
      <c r="AG136" s="1145">
        <v>0</v>
      </c>
      <c r="AH136" s="1114">
        <v>0</v>
      </c>
      <c r="AI136" s="1114">
        <v>0</v>
      </c>
      <c r="AJ136" s="1114">
        <f>AN116</f>
        <v>695.43992848243033</v>
      </c>
      <c r="AK136" s="273">
        <f t="shared" ref="AK136:AK140" si="159">(N136+T136+U136)/3</f>
        <v>452.03595351357967</v>
      </c>
      <c r="AL136" s="273">
        <f>AK136*R136</f>
        <v>36.162876281086376</v>
      </c>
      <c r="AM136" s="273">
        <f t="shared" ref="AM136:AM140" si="160">N136</f>
        <v>1356.107860540739</v>
      </c>
      <c r="AN136" s="273">
        <f t="shared" ref="AN136:AN140" si="161">AM136*R136</f>
        <v>108.48862884325912</v>
      </c>
    </row>
    <row r="137" spans="2:40" s="274" customFormat="1" ht="30" hidden="1" customHeight="1" x14ac:dyDescent="0.25">
      <c r="B137" s="257">
        <v>1643</v>
      </c>
      <c r="C137" s="259" t="s">
        <v>2646</v>
      </c>
      <c r="D137" s="259" t="s">
        <v>2643</v>
      </c>
      <c r="E137" s="259" t="s">
        <v>2739</v>
      </c>
      <c r="F137" s="259" t="s">
        <v>2647</v>
      </c>
      <c r="G137" s="259" t="s">
        <v>2777</v>
      </c>
      <c r="H137" s="266">
        <v>1</v>
      </c>
      <c r="I137" s="257">
        <v>44</v>
      </c>
      <c r="J137" s="257" t="s">
        <v>2634</v>
      </c>
      <c r="K137" s="257">
        <v>0</v>
      </c>
      <c r="L137" s="261">
        <v>41092</v>
      </c>
      <c r="M137" s="257">
        <v>2.0299999999999998</v>
      </c>
      <c r="N137" s="262">
        <f>M137*AN116</f>
        <v>1411.7430548193333</v>
      </c>
      <c r="O137" s="280">
        <v>0</v>
      </c>
      <c r="P137" s="280">
        <v>0</v>
      </c>
      <c r="Q137" s="280">
        <v>0</v>
      </c>
      <c r="R137" s="263">
        <v>0.08</v>
      </c>
      <c r="S137" s="264">
        <f t="shared" si="157"/>
        <v>112.93944438554666</v>
      </c>
      <c r="T137" s="1114">
        <v>0</v>
      </c>
      <c r="U137" s="264">
        <v>0</v>
      </c>
      <c r="V137" s="265">
        <v>0</v>
      </c>
      <c r="W137" s="264">
        <f t="shared" si="158"/>
        <v>0</v>
      </c>
      <c r="X137" s="1113">
        <f>127.94/N137</f>
        <v>9.0625556515575009E-2</v>
      </c>
      <c r="Y137" s="1114">
        <f>N137*X137</f>
        <v>127.94</v>
      </c>
      <c r="Z137" s="265">
        <v>0</v>
      </c>
      <c r="AA137" s="264">
        <f>N137*Z137</f>
        <v>0</v>
      </c>
      <c r="AB137" s="1130">
        <v>0</v>
      </c>
      <c r="AC137" s="264">
        <v>0</v>
      </c>
      <c r="AD137" s="264">
        <v>0</v>
      </c>
      <c r="AE137" s="264">
        <v>0</v>
      </c>
      <c r="AF137" s="1114">
        <v>0</v>
      </c>
      <c r="AG137" s="1145">
        <v>0</v>
      </c>
      <c r="AH137" s="1114">
        <v>0</v>
      </c>
      <c r="AI137" s="1114">
        <v>0</v>
      </c>
      <c r="AJ137" s="1114">
        <v>0</v>
      </c>
      <c r="AK137" s="273">
        <f t="shared" si="159"/>
        <v>470.58101827311111</v>
      </c>
      <c r="AL137" s="273">
        <f>AK137*R137</f>
        <v>37.646481461848893</v>
      </c>
      <c r="AM137" s="273">
        <f t="shared" si="160"/>
        <v>1411.7430548193333</v>
      </c>
      <c r="AN137" s="273">
        <f t="shared" si="161"/>
        <v>112.93944438554666</v>
      </c>
    </row>
    <row r="138" spans="2:40" ht="30" hidden="1" customHeight="1" x14ac:dyDescent="0.25">
      <c r="B138" s="257">
        <v>0</v>
      </c>
      <c r="C138" s="267" t="s">
        <v>7177</v>
      </c>
      <c r="D138" s="267" t="s">
        <v>2720</v>
      </c>
      <c r="E138" s="267" t="s">
        <v>2739</v>
      </c>
      <c r="F138" s="267" t="s">
        <v>2647</v>
      </c>
      <c r="G138" s="259" t="s">
        <v>2777</v>
      </c>
      <c r="H138" s="257">
        <v>1</v>
      </c>
      <c r="I138" s="257">
        <v>40</v>
      </c>
      <c r="J138" s="257">
        <v>0</v>
      </c>
      <c r="K138" s="257">
        <v>0</v>
      </c>
      <c r="L138" s="261">
        <v>42737</v>
      </c>
      <c r="M138" s="260">
        <f>5393.51/599.28</f>
        <v>8.9999833133093059</v>
      </c>
      <c r="N138" s="280">
        <f>AN116*M138+0.01</f>
        <v>6258.9577517508906</v>
      </c>
      <c r="O138" s="280">
        <v>0</v>
      </c>
      <c r="P138" s="280">
        <v>0</v>
      </c>
      <c r="Q138" s="280">
        <v>0</v>
      </c>
      <c r="R138" s="281">
        <v>0</v>
      </c>
      <c r="S138" s="271">
        <f t="shared" si="157"/>
        <v>0</v>
      </c>
      <c r="T138" s="1114">
        <v>0</v>
      </c>
      <c r="U138" s="271">
        <v>0</v>
      </c>
      <c r="V138" s="282">
        <v>0</v>
      </c>
      <c r="W138" s="264">
        <f t="shared" si="158"/>
        <v>0</v>
      </c>
      <c r="X138" s="1113">
        <v>0</v>
      </c>
      <c r="Y138" s="1114">
        <v>0</v>
      </c>
      <c r="Z138" s="282">
        <v>0</v>
      </c>
      <c r="AA138" s="271">
        <v>0</v>
      </c>
      <c r="AB138" s="1130">
        <v>0</v>
      </c>
      <c r="AC138" s="271">
        <v>0</v>
      </c>
      <c r="AD138" s="271">
        <v>0</v>
      </c>
      <c r="AE138" s="271">
        <v>0</v>
      </c>
      <c r="AF138" s="1114">
        <v>0</v>
      </c>
      <c r="AG138" s="1145">
        <v>0</v>
      </c>
      <c r="AH138" s="1114">
        <v>0</v>
      </c>
      <c r="AI138" s="1114">
        <v>0</v>
      </c>
      <c r="AJ138" s="1114">
        <v>0</v>
      </c>
      <c r="AK138" s="273">
        <f t="shared" si="159"/>
        <v>2086.31925058363</v>
      </c>
      <c r="AL138" s="273">
        <f>AK138*R138</f>
        <v>0</v>
      </c>
      <c r="AM138" s="273">
        <f t="shared" si="160"/>
        <v>6258.9577517508906</v>
      </c>
      <c r="AN138" s="273">
        <f t="shared" si="161"/>
        <v>0</v>
      </c>
    </row>
    <row r="139" spans="2:40" ht="30" hidden="1" customHeight="1" x14ac:dyDescent="0.25">
      <c r="B139" s="257">
        <v>1325</v>
      </c>
      <c r="C139" s="259" t="s">
        <v>2672</v>
      </c>
      <c r="D139" s="259" t="s">
        <v>2673</v>
      </c>
      <c r="E139" s="259" t="s">
        <v>2739</v>
      </c>
      <c r="F139" s="259" t="s">
        <v>2647</v>
      </c>
      <c r="G139" s="259" t="s">
        <v>2773</v>
      </c>
      <c r="H139" s="266">
        <v>1</v>
      </c>
      <c r="I139" s="257">
        <v>40</v>
      </c>
      <c r="J139" s="257" t="s">
        <v>2634</v>
      </c>
      <c r="K139" s="257">
        <v>0</v>
      </c>
      <c r="L139" s="261">
        <v>40046</v>
      </c>
      <c r="M139" s="260">
        <f>1282.46/599.28</f>
        <v>2.1400013349352558</v>
      </c>
      <c r="N139" s="262">
        <f>M139*AN116</f>
        <v>1488.2423753196797</v>
      </c>
      <c r="O139" s="280">
        <v>0</v>
      </c>
      <c r="P139" s="280">
        <v>0</v>
      </c>
      <c r="Q139" s="280">
        <v>0</v>
      </c>
      <c r="R139" s="263">
        <v>0.11</v>
      </c>
      <c r="S139" s="264">
        <f t="shared" si="157"/>
        <v>163.70666128516476</v>
      </c>
      <c r="T139" s="1114">
        <f>AN116</f>
        <v>695.43992848243033</v>
      </c>
      <c r="U139" s="264">
        <v>0</v>
      </c>
      <c r="V139" s="265">
        <v>0</v>
      </c>
      <c r="W139" s="264">
        <f t="shared" si="158"/>
        <v>0</v>
      </c>
      <c r="X139" s="1113">
        <f>127.94/N139</f>
        <v>8.596717989065325E-2</v>
      </c>
      <c r="Y139" s="1114">
        <f>N139*X139</f>
        <v>127.94</v>
      </c>
      <c r="Z139" s="265">
        <v>0</v>
      </c>
      <c r="AA139" s="264">
        <f>N139*Z139</f>
        <v>0</v>
      </c>
      <c r="AB139" s="1130">
        <v>0</v>
      </c>
      <c r="AC139" s="264">
        <v>0</v>
      </c>
      <c r="AD139" s="264">
        <v>0</v>
      </c>
      <c r="AE139" s="264">
        <v>0</v>
      </c>
      <c r="AF139" s="1114">
        <v>0</v>
      </c>
      <c r="AG139" s="1145">
        <v>0</v>
      </c>
      <c r="AH139" s="1114">
        <v>0</v>
      </c>
      <c r="AI139" s="1114">
        <v>0</v>
      </c>
      <c r="AJ139" s="1114">
        <v>0</v>
      </c>
      <c r="AK139" s="273">
        <f t="shared" si="159"/>
        <v>727.89410126737005</v>
      </c>
      <c r="AL139" s="273">
        <f>AK139*R139</f>
        <v>80.068351139410709</v>
      </c>
      <c r="AM139" s="273">
        <f t="shared" si="160"/>
        <v>1488.2423753196797</v>
      </c>
      <c r="AN139" s="273">
        <f t="shared" si="161"/>
        <v>163.70666128516476</v>
      </c>
    </row>
    <row r="140" spans="2:40" s="258" customFormat="1" ht="30" hidden="1" customHeight="1" x14ac:dyDescent="0.25">
      <c r="B140" s="257">
        <v>105</v>
      </c>
      <c r="C140" s="259" t="s">
        <v>2674</v>
      </c>
      <c r="D140" s="259" t="s">
        <v>2746</v>
      </c>
      <c r="E140" s="259" t="s">
        <v>2739</v>
      </c>
      <c r="F140" s="259" t="s">
        <v>2647</v>
      </c>
      <c r="G140" s="259" t="s">
        <v>2773</v>
      </c>
      <c r="H140" s="266">
        <v>1</v>
      </c>
      <c r="I140" s="257">
        <v>40</v>
      </c>
      <c r="J140" s="257" t="s">
        <v>2638</v>
      </c>
      <c r="K140" s="257">
        <v>0</v>
      </c>
      <c r="L140" s="261">
        <v>35797</v>
      </c>
      <c r="M140" s="257">
        <v>3.45</v>
      </c>
      <c r="N140" s="262">
        <f>M140*AN116-0.001</f>
        <v>2399.2667532643845</v>
      </c>
      <c r="O140" s="280">
        <v>0</v>
      </c>
      <c r="P140" s="280">
        <v>0</v>
      </c>
      <c r="Q140" s="280">
        <v>0</v>
      </c>
      <c r="R140" s="263">
        <v>0.23</v>
      </c>
      <c r="S140" s="264">
        <f t="shared" si="157"/>
        <v>551.83135325080843</v>
      </c>
      <c r="T140" s="1114">
        <v>0</v>
      </c>
      <c r="U140" s="264">
        <v>0</v>
      </c>
      <c r="V140" s="265">
        <v>0</v>
      </c>
      <c r="W140" s="264">
        <f t="shared" si="158"/>
        <v>0</v>
      </c>
      <c r="X140" s="1113">
        <f>47.95/N140</f>
        <v>1.9985272556609385E-2</v>
      </c>
      <c r="Y140" s="1114">
        <f>N140*X140</f>
        <v>47.95</v>
      </c>
      <c r="Z140" s="265">
        <v>0</v>
      </c>
      <c r="AA140" s="264">
        <f>N140*Z140</f>
        <v>0</v>
      </c>
      <c r="AB140" s="1130">
        <v>0</v>
      </c>
      <c r="AC140" s="264">
        <f>AM$10</f>
        <v>0</v>
      </c>
      <c r="AD140" s="264">
        <v>0</v>
      </c>
      <c r="AE140" s="264">
        <v>0</v>
      </c>
      <c r="AF140" s="1114">
        <f>AN116*1.5</f>
        <v>1043.1598927236455</v>
      </c>
      <c r="AG140" s="1145">
        <v>0</v>
      </c>
      <c r="AH140" s="1114">
        <v>0</v>
      </c>
      <c r="AI140" s="1114">
        <v>0</v>
      </c>
      <c r="AJ140" s="1114">
        <v>0</v>
      </c>
      <c r="AK140" s="273">
        <f t="shared" si="159"/>
        <v>799.75558442146155</v>
      </c>
      <c r="AL140" s="273">
        <f>AK140*R140</f>
        <v>183.94378441693615</v>
      </c>
      <c r="AM140" s="273">
        <f t="shared" si="160"/>
        <v>2399.2667532643845</v>
      </c>
      <c r="AN140" s="273">
        <f t="shared" si="161"/>
        <v>551.83135325080843</v>
      </c>
    </row>
    <row r="141" spans="2:40" ht="30" hidden="1" customHeight="1" x14ac:dyDescent="0.25">
      <c r="B141" s="1206" t="s">
        <v>2747</v>
      </c>
      <c r="C141" s="1077"/>
      <c r="D141" s="1077"/>
      <c r="E141" s="1077"/>
      <c r="F141" s="1077"/>
      <c r="G141" s="1077"/>
      <c r="H141" s="1077"/>
      <c r="I141" s="1077"/>
      <c r="J141" s="1077"/>
      <c r="K141" s="1077"/>
      <c r="L141" s="1077"/>
      <c r="M141" s="1077"/>
      <c r="N141" s="275">
        <f>SUM(N136:N140)</f>
        <v>12914.317795695028</v>
      </c>
      <c r="O141" s="275">
        <f>SUM(O136:O140)</f>
        <v>0</v>
      </c>
      <c r="P141" s="275">
        <f>SUM(P136:P140)</f>
        <v>0</v>
      </c>
      <c r="Q141" s="275">
        <f>SUM(Q136:Q140)</f>
        <v>0</v>
      </c>
      <c r="R141" s="1085"/>
      <c r="S141" s="275">
        <f>SUM(S136:S140)</f>
        <v>936.96608776477899</v>
      </c>
      <c r="T141" s="1116">
        <f>SUM(T136:T140)</f>
        <v>695.43992848243033</v>
      </c>
      <c r="U141" s="275">
        <f>SUM(U136:U140)</f>
        <v>0</v>
      </c>
      <c r="V141" s="276"/>
      <c r="W141" s="275">
        <f>SUM(W136:W140)</f>
        <v>0</v>
      </c>
      <c r="X141" s="1115"/>
      <c r="Y141" s="1116">
        <f>SUM(Y136:Y140)</f>
        <v>431.77</v>
      </c>
      <c r="Z141" s="276"/>
      <c r="AA141" s="275">
        <f t="shared" ref="AA141:AN141" si="162">SUM(AA136:AA140)</f>
        <v>0</v>
      </c>
      <c r="AB141" s="1131">
        <f t="shared" si="162"/>
        <v>0</v>
      </c>
      <c r="AC141" s="275">
        <f t="shared" si="162"/>
        <v>0</v>
      </c>
      <c r="AD141" s="275">
        <f t="shared" si="162"/>
        <v>0</v>
      </c>
      <c r="AE141" s="275">
        <f t="shared" si="162"/>
        <v>0</v>
      </c>
      <c r="AF141" s="1116">
        <f t="shared" si="162"/>
        <v>1043.1598927236455</v>
      </c>
      <c r="AG141" s="1146">
        <f t="shared" si="162"/>
        <v>0</v>
      </c>
      <c r="AH141" s="1116">
        <f t="shared" si="162"/>
        <v>0</v>
      </c>
      <c r="AI141" s="1116">
        <f t="shared" si="162"/>
        <v>0</v>
      </c>
      <c r="AJ141" s="1116">
        <f t="shared" si="162"/>
        <v>695.43992848243033</v>
      </c>
      <c r="AK141" s="275">
        <f>SUM(AJ136:AJ140)</f>
        <v>695.43992848243033</v>
      </c>
      <c r="AL141" s="275">
        <f t="shared" si="162"/>
        <v>337.82149329928211</v>
      </c>
      <c r="AM141" s="275">
        <f t="shared" si="162"/>
        <v>12914.317795695028</v>
      </c>
      <c r="AN141" s="275">
        <f t="shared" si="162"/>
        <v>936.96608776477899</v>
      </c>
    </row>
    <row r="142" spans="2:40" s="258" customFormat="1" ht="30" hidden="1" customHeight="1" x14ac:dyDescent="0.25">
      <c r="B142" s="257">
        <v>2361</v>
      </c>
      <c r="C142" s="259" t="s">
        <v>7115</v>
      </c>
      <c r="D142" s="259" t="s">
        <v>7114</v>
      </c>
      <c r="E142" s="259" t="s">
        <v>2723</v>
      </c>
      <c r="F142" s="259" t="s">
        <v>2647</v>
      </c>
      <c r="G142" s="259" t="s">
        <v>2777</v>
      </c>
      <c r="H142" s="266">
        <v>1</v>
      </c>
      <c r="I142" s="257">
        <v>40</v>
      </c>
      <c r="J142" s="257" t="s">
        <v>2638</v>
      </c>
      <c r="K142" s="257">
        <v>0</v>
      </c>
      <c r="L142" s="261">
        <v>43619</v>
      </c>
      <c r="M142" s="260">
        <f>2046.94/639.67</f>
        <v>3.1999937467756814</v>
      </c>
      <c r="N142" s="262">
        <f>M142*AN116</f>
        <v>2225.4034224019042</v>
      </c>
      <c r="O142" s="280">
        <v>0</v>
      </c>
      <c r="P142" s="280">
        <v>0</v>
      </c>
      <c r="Q142" s="280">
        <v>0</v>
      </c>
      <c r="R142" s="263">
        <v>0</v>
      </c>
      <c r="S142" s="264">
        <f>N142*R142</f>
        <v>0</v>
      </c>
      <c r="T142" s="1114">
        <v>0</v>
      </c>
      <c r="U142" s="264">
        <v>0</v>
      </c>
      <c r="V142" s="265">
        <v>0</v>
      </c>
      <c r="W142" s="264">
        <f>N142*V142</f>
        <v>0</v>
      </c>
      <c r="X142" s="1113">
        <v>0</v>
      </c>
      <c r="Y142" s="1114">
        <f>N142*X142</f>
        <v>0</v>
      </c>
      <c r="Z142" s="265">
        <v>0</v>
      </c>
      <c r="AA142" s="264">
        <f>N142*Z142</f>
        <v>0</v>
      </c>
      <c r="AB142" s="1130">
        <v>0</v>
      </c>
      <c r="AC142" s="264">
        <v>0</v>
      </c>
      <c r="AD142" s="264">
        <v>0</v>
      </c>
      <c r="AE142" s="264">
        <v>0</v>
      </c>
      <c r="AF142" s="1114">
        <v>0</v>
      </c>
      <c r="AG142" s="1145">
        <v>0</v>
      </c>
      <c r="AH142" s="1114">
        <v>0</v>
      </c>
      <c r="AI142" s="1114">
        <v>0</v>
      </c>
      <c r="AJ142" s="1114">
        <v>0</v>
      </c>
      <c r="AK142" s="273">
        <f>(N142+T142+U142)/3</f>
        <v>741.8011408006347</v>
      </c>
      <c r="AL142" s="273">
        <f>AK142*R142</f>
        <v>0</v>
      </c>
      <c r="AM142" s="273">
        <f>N142</f>
        <v>2225.4034224019042</v>
      </c>
      <c r="AN142" s="273">
        <f>AM142*R142</f>
        <v>0</v>
      </c>
    </row>
    <row r="143" spans="2:40" ht="30" hidden="1" customHeight="1" x14ac:dyDescent="0.25">
      <c r="B143" s="1206" t="s">
        <v>2726</v>
      </c>
      <c r="C143" s="1077"/>
      <c r="D143" s="1077"/>
      <c r="E143" s="1077"/>
      <c r="F143" s="1077"/>
      <c r="G143" s="1077"/>
      <c r="H143" s="1077"/>
      <c r="I143" s="1077"/>
      <c r="J143" s="1077"/>
      <c r="K143" s="1077"/>
      <c r="L143" s="1077"/>
      <c r="M143" s="1077"/>
      <c r="N143" s="275">
        <f>SUM(N142:N142)</f>
        <v>2225.4034224019042</v>
      </c>
      <c r="O143" s="275">
        <f>SUM(O142:O142)</f>
        <v>0</v>
      </c>
      <c r="P143" s="275">
        <f>SUM(P142:P142)</f>
        <v>0</v>
      </c>
      <c r="Q143" s="275">
        <f>SUM(Q142:Q142)</f>
        <v>0</v>
      </c>
      <c r="R143" s="1085"/>
      <c r="S143" s="275">
        <f>SUM(S142:S142)</f>
        <v>0</v>
      </c>
      <c r="T143" s="1116">
        <f>SUM(T142:T142)</f>
        <v>0</v>
      </c>
      <c r="U143" s="275">
        <f>SUM(U142:U142)</f>
        <v>0</v>
      </c>
      <c r="V143" s="276"/>
      <c r="W143" s="275">
        <f t="shared" ref="W143:W145" si="163">SUM(W142:W142)</f>
        <v>0</v>
      </c>
      <c r="X143" s="1115"/>
      <c r="Y143" s="1116">
        <f t="shared" ref="Y143" si="164">SUM(Y142:Y142)</f>
        <v>0</v>
      </c>
      <c r="Z143" s="276"/>
      <c r="AA143" s="275">
        <f t="shared" ref="AA143:AN143" si="165">SUM(AA142:AA142)</f>
        <v>0</v>
      </c>
      <c r="AB143" s="1131">
        <f t="shared" si="165"/>
        <v>0</v>
      </c>
      <c r="AC143" s="275">
        <f t="shared" si="165"/>
        <v>0</v>
      </c>
      <c r="AD143" s="275">
        <f t="shared" si="165"/>
        <v>0</v>
      </c>
      <c r="AE143" s="275">
        <f t="shared" si="165"/>
        <v>0</v>
      </c>
      <c r="AF143" s="1116">
        <f t="shared" si="165"/>
        <v>0</v>
      </c>
      <c r="AG143" s="1146">
        <f t="shared" si="165"/>
        <v>0</v>
      </c>
      <c r="AH143" s="1116">
        <f t="shared" si="165"/>
        <v>0</v>
      </c>
      <c r="AI143" s="1116">
        <f t="shared" si="165"/>
        <v>0</v>
      </c>
      <c r="AJ143" s="1116">
        <f t="shared" si="165"/>
        <v>0</v>
      </c>
      <c r="AK143" s="275">
        <f>SUM(AJ142:AJ142)</f>
        <v>0</v>
      </c>
      <c r="AL143" s="275">
        <f t="shared" si="165"/>
        <v>0</v>
      </c>
      <c r="AM143" s="275">
        <f t="shared" si="165"/>
        <v>2225.4034224019042</v>
      </c>
      <c r="AN143" s="275">
        <f t="shared" si="165"/>
        <v>0</v>
      </c>
    </row>
    <row r="144" spans="2:40" s="258" customFormat="1" ht="30" hidden="1" customHeight="1" x14ac:dyDescent="0.25">
      <c r="B144" s="257">
        <v>105</v>
      </c>
      <c r="C144" s="259" t="s">
        <v>2749</v>
      </c>
      <c r="D144" s="259" t="s">
        <v>2748</v>
      </c>
      <c r="E144" s="259" t="s">
        <v>2725</v>
      </c>
      <c r="F144" s="259" t="s">
        <v>2647</v>
      </c>
      <c r="G144" s="259" t="s">
        <v>2777</v>
      </c>
      <c r="H144" s="266">
        <v>1</v>
      </c>
      <c r="I144" s="257">
        <v>40</v>
      </c>
      <c r="J144" s="257" t="s">
        <v>2638</v>
      </c>
      <c r="K144" s="257">
        <v>0</v>
      </c>
      <c r="L144" s="261">
        <v>42935</v>
      </c>
      <c r="M144" s="260">
        <f>4459.53/599.28</f>
        <v>7.441479775730877</v>
      </c>
      <c r="N144" s="262">
        <f>M144*AN116</f>
        <v>5175.1021630377327</v>
      </c>
      <c r="O144" s="280">
        <v>0</v>
      </c>
      <c r="P144" s="280">
        <v>0</v>
      </c>
      <c r="Q144" s="280">
        <v>0</v>
      </c>
      <c r="R144" s="263">
        <v>0.15</v>
      </c>
      <c r="S144" s="264">
        <f>N144*R144</f>
        <v>776.26532445565988</v>
      </c>
      <c r="T144" s="1114">
        <v>0</v>
      </c>
      <c r="U144" s="264">
        <v>0</v>
      </c>
      <c r="V144" s="265">
        <v>0</v>
      </c>
      <c r="W144" s="264">
        <f>N144*V144</f>
        <v>0</v>
      </c>
      <c r="X144" s="1113">
        <v>0</v>
      </c>
      <c r="Y144" s="1114">
        <f>N144*X144</f>
        <v>0</v>
      </c>
      <c r="Z144" s="265">
        <v>0</v>
      </c>
      <c r="AA144" s="264">
        <f>N144*Z144</f>
        <v>0</v>
      </c>
      <c r="AB144" s="1130">
        <v>0</v>
      </c>
      <c r="AC144" s="264">
        <v>0</v>
      </c>
      <c r="AD144" s="264">
        <v>0</v>
      </c>
      <c r="AE144" s="264">
        <v>0</v>
      </c>
      <c r="AF144" s="1114">
        <v>0</v>
      </c>
      <c r="AG144" s="1145">
        <v>0</v>
      </c>
      <c r="AH144" s="1114">
        <v>0</v>
      </c>
      <c r="AI144" s="1114">
        <v>0</v>
      </c>
      <c r="AJ144" s="1114">
        <v>0</v>
      </c>
      <c r="AK144" s="273">
        <f>(N144+T144+U144)/3</f>
        <v>1725.0340543459108</v>
      </c>
      <c r="AL144" s="273">
        <f>AK144*R144</f>
        <v>258.75510815188659</v>
      </c>
      <c r="AM144" s="273">
        <f>N144</f>
        <v>5175.1021630377327</v>
      </c>
      <c r="AN144" s="273">
        <f>AM144*R144</f>
        <v>776.26532445565988</v>
      </c>
    </row>
    <row r="145" spans="2:40" ht="30" hidden="1" customHeight="1" x14ac:dyDescent="0.25">
      <c r="B145" s="1206" t="s">
        <v>2726</v>
      </c>
      <c r="C145" s="1077"/>
      <c r="D145" s="1077"/>
      <c r="E145" s="1077"/>
      <c r="F145" s="1077"/>
      <c r="G145" s="1077"/>
      <c r="H145" s="1077"/>
      <c r="I145" s="1077"/>
      <c r="J145" s="1077"/>
      <c r="K145" s="1077"/>
      <c r="L145" s="1077"/>
      <c r="M145" s="1077"/>
      <c r="N145" s="275">
        <f>SUM(N144:N144)</f>
        <v>5175.1021630377327</v>
      </c>
      <c r="O145" s="275">
        <f>SUM(O144:O144)</f>
        <v>0</v>
      </c>
      <c r="P145" s="275">
        <f>SUM(P144:P144)</f>
        <v>0</v>
      </c>
      <c r="Q145" s="275">
        <f>SUM(Q144:Q144)</f>
        <v>0</v>
      </c>
      <c r="R145" s="1085"/>
      <c r="S145" s="275">
        <f>SUM(S144:S144)</f>
        <v>776.26532445565988</v>
      </c>
      <c r="T145" s="1116">
        <f>SUM(T144:T144)</f>
        <v>0</v>
      </c>
      <c r="U145" s="275">
        <f>SUM(U144:U144)</f>
        <v>0</v>
      </c>
      <c r="V145" s="276"/>
      <c r="W145" s="275">
        <f t="shared" si="163"/>
        <v>0</v>
      </c>
      <c r="X145" s="1115"/>
      <c r="Y145" s="1116">
        <f t="shared" ref="Y145" si="166">SUM(Y144:Y144)</f>
        <v>0</v>
      </c>
      <c r="Z145" s="276"/>
      <c r="AA145" s="275">
        <f t="shared" ref="AA145:AN145" si="167">SUM(AA144:AA144)</f>
        <v>0</v>
      </c>
      <c r="AB145" s="1131">
        <f t="shared" si="167"/>
        <v>0</v>
      </c>
      <c r="AC145" s="275">
        <f t="shared" si="167"/>
        <v>0</v>
      </c>
      <c r="AD145" s="275">
        <f t="shared" si="167"/>
        <v>0</v>
      </c>
      <c r="AE145" s="275">
        <f t="shared" si="167"/>
        <v>0</v>
      </c>
      <c r="AF145" s="1116">
        <f t="shared" si="167"/>
        <v>0</v>
      </c>
      <c r="AG145" s="1146">
        <f t="shared" si="167"/>
        <v>0</v>
      </c>
      <c r="AH145" s="1116">
        <f t="shared" si="167"/>
        <v>0</v>
      </c>
      <c r="AI145" s="1116">
        <f t="shared" si="167"/>
        <v>0</v>
      </c>
      <c r="AJ145" s="1116">
        <f t="shared" si="167"/>
        <v>0</v>
      </c>
      <c r="AK145" s="275">
        <f>SUM(AJ144:AJ144)</f>
        <v>0</v>
      </c>
      <c r="AL145" s="275">
        <f t="shared" si="167"/>
        <v>258.75510815188659</v>
      </c>
      <c r="AM145" s="275">
        <f t="shared" si="167"/>
        <v>5175.1021630377327</v>
      </c>
      <c r="AN145" s="275">
        <f t="shared" si="167"/>
        <v>776.26532445565988</v>
      </c>
    </row>
    <row r="146" spans="2:40" s="270" customFormat="1" ht="30" hidden="1" customHeight="1" x14ac:dyDescent="0.25">
      <c r="B146" s="257">
        <v>1940</v>
      </c>
      <c r="C146" s="259" t="s">
        <v>7178</v>
      </c>
      <c r="D146" s="259" t="s">
        <v>2684</v>
      </c>
      <c r="E146" s="259" t="s">
        <v>2739</v>
      </c>
      <c r="F146" s="259" t="s">
        <v>2676</v>
      </c>
      <c r="G146" s="259" t="s">
        <v>2770</v>
      </c>
      <c r="H146" s="266">
        <v>1</v>
      </c>
      <c r="I146" s="257">
        <v>40</v>
      </c>
      <c r="J146" s="257" t="s">
        <v>2636</v>
      </c>
      <c r="K146" s="257">
        <v>0</v>
      </c>
      <c r="L146" s="261">
        <v>42102</v>
      </c>
      <c r="M146" s="257">
        <v>3.15</v>
      </c>
      <c r="N146" s="262">
        <f>M146*AN116</f>
        <v>2190.6357747196553</v>
      </c>
      <c r="O146" s="280">
        <v>0</v>
      </c>
      <c r="P146" s="280">
        <v>0</v>
      </c>
      <c r="Q146" s="280">
        <v>0</v>
      </c>
      <c r="R146" s="263">
        <v>0.05</v>
      </c>
      <c r="S146" s="264">
        <f t="shared" ref="S146:S148" si="168">N146*R146</f>
        <v>109.53178873598277</v>
      </c>
      <c r="T146" s="1114">
        <v>0</v>
      </c>
      <c r="U146" s="264">
        <v>0</v>
      </c>
      <c r="V146" s="265">
        <v>0</v>
      </c>
      <c r="W146" s="264">
        <f t="shared" ref="W146:W148" si="169">N146*V146</f>
        <v>0</v>
      </c>
      <c r="X146" s="1113">
        <f>51.18/N146</f>
        <v>2.3363080522388398E-2</v>
      </c>
      <c r="Y146" s="1114">
        <f t="shared" ref="Y146:Y148" si="170">N146*X146</f>
        <v>51.18</v>
      </c>
      <c r="Z146" s="265">
        <v>0</v>
      </c>
      <c r="AA146" s="264">
        <f t="shared" ref="AA146:AA148" si="171">N146*Z146</f>
        <v>0</v>
      </c>
      <c r="AB146" s="1130">
        <v>0</v>
      </c>
      <c r="AC146" s="264">
        <v>0</v>
      </c>
      <c r="AD146" s="264">
        <v>0</v>
      </c>
      <c r="AE146" s="264">
        <v>0</v>
      </c>
      <c r="AF146" s="1114">
        <v>0</v>
      </c>
      <c r="AG146" s="1145">
        <v>0</v>
      </c>
      <c r="AH146" s="1114">
        <v>0</v>
      </c>
      <c r="AI146" s="1114">
        <v>0</v>
      </c>
      <c r="AJ146" s="1114">
        <v>0</v>
      </c>
      <c r="AK146" s="273">
        <f t="shared" ref="AK146:AK148" si="172">(N146+T146+U146)/3</f>
        <v>730.21192490655176</v>
      </c>
      <c r="AL146" s="273">
        <f t="shared" ref="AL146:AL160" si="173">AK146*R146</f>
        <v>36.510596245327591</v>
      </c>
      <c r="AM146" s="273">
        <f t="shared" ref="AM146:AM148" si="174">N146</f>
        <v>2190.6357747196553</v>
      </c>
      <c r="AN146" s="273">
        <f t="shared" ref="AN146:AN148" si="175">AM146*R146</f>
        <v>109.53178873598277</v>
      </c>
    </row>
    <row r="147" spans="2:40" s="270" customFormat="1" ht="30" hidden="1" customHeight="1" x14ac:dyDescent="0.25">
      <c r="B147" s="257">
        <v>1573</v>
      </c>
      <c r="C147" s="259" t="s">
        <v>7179</v>
      </c>
      <c r="D147" s="259" t="s">
        <v>2679</v>
      </c>
      <c r="E147" s="259" t="s">
        <v>2739</v>
      </c>
      <c r="F147" s="259" t="s">
        <v>2676</v>
      </c>
      <c r="G147" s="259" t="s">
        <v>2769</v>
      </c>
      <c r="H147" s="266">
        <v>1</v>
      </c>
      <c r="I147" s="257">
        <v>40</v>
      </c>
      <c r="J147" s="257" t="s">
        <v>2634</v>
      </c>
      <c r="K147" s="257">
        <v>0</v>
      </c>
      <c r="L147" s="268">
        <v>40891</v>
      </c>
      <c r="M147" s="257">
        <v>4.2</v>
      </c>
      <c r="N147" s="269">
        <f>M147*AN116-0.01</f>
        <v>2920.8376996262073</v>
      </c>
      <c r="O147" s="280">
        <v>0</v>
      </c>
      <c r="P147" s="280">
        <v>0</v>
      </c>
      <c r="Q147" s="280">
        <v>0</v>
      </c>
      <c r="R147" s="263">
        <v>0.08</v>
      </c>
      <c r="S147" s="269">
        <f t="shared" si="168"/>
        <v>233.6670159700966</v>
      </c>
      <c r="T147" s="1114">
        <f>AN116</f>
        <v>695.43992848243033</v>
      </c>
      <c r="U147" s="264">
        <v>0</v>
      </c>
      <c r="V147" s="265">
        <v>0</v>
      </c>
      <c r="W147" s="264">
        <f t="shared" si="169"/>
        <v>0</v>
      </c>
      <c r="X147" s="1113">
        <f>51.18/N147</f>
        <v>1.7522370382493262E-2</v>
      </c>
      <c r="Y147" s="1114">
        <f t="shared" si="170"/>
        <v>51.180000000000007</v>
      </c>
      <c r="Z147" s="265">
        <v>0</v>
      </c>
      <c r="AA147" s="264">
        <f t="shared" si="171"/>
        <v>0</v>
      </c>
      <c r="AB147" s="1130">
        <v>0</v>
      </c>
      <c r="AC147" s="264">
        <v>0</v>
      </c>
      <c r="AD147" s="264">
        <v>0</v>
      </c>
      <c r="AE147" s="264">
        <v>0</v>
      </c>
      <c r="AF147" s="1114">
        <v>0</v>
      </c>
      <c r="AG147" s="1145">
        <v>0</v>
      </c>
      <c r="AH147" s="1114">
        <v>0</v>
      </c>
      <c r="AI147" s="1114">
        <v>0</v>
      </c>
      <c r="AJ147" s="1114">
        <v>0</v>
      </c>
      <c r="AK147" s="273">
        <f t="shared" si="172"/>
        <v>1205.4258760362125</v>
      </c>
      <c r="AL147" s="273">
        <f t="shared" si="173"/>
        <v>96.434070082896994</v>
      </c>
      <c r="AM147" s="273">
        <f t="shared" si="174"/>
        <v>2920.8376996262073</v>
      </c>
      <c r="AN147" s="273">
        <f t="shared" si="175"/>
        <v>233.6670159700966</v>
      </c>
    </row>
    <row r="148" spans="2:40" s="258" customFormat="1" ht="30" hidden="1" customHeight="1" x14ac:dyDescent="0.25">
      <c r="B148" s="257">
        <v>1852</v>
      </c>
      <c r="C148" s="259" t="s">
        <v>2935</v>
      </c>
      <c r="D148" s="259" t="s">
        <v>2679</v>
      </c>
      <c r="E148" s="259" t="s">
        <v>2739</v>
      </c>
      <c r="F148" s="259" t="s">
        <v>2676</v>
      </c>
      <c r="G148" s="259" t="s">
        <v>2769</v>
      </c>
      <c r="H148" s="266">
        <v>1</v>
      </c>
      <c r="I148" s="257">
        <v>40</v>
      </c>
      <c r="J148" s="257" t="s">
        <v>2636</v>
      </c>
      <c r="K148" s="257">
        <v>0</v>
      </c>
      <c r="L148" s="268" t="s">
        <v>2753</v>
      </c>
      <c r="M148" s="257">
        <v>4</v>
      </c>
      <c r="N148" s="269">
        <f>M148*AN116</f>
        <v>2781.7597139297213</v>
      </c>
      <c r="O148" s="280">
        <v>0</v>
      </c>
      <c r="P148" s="280">
        <v>0</v>
      </c>
      <c r="Q148" s="280">
        <v>0</v>
      </c>
      <c r="R148" s="263">
        <v>0</v>
      </c>
      <c r="S148" s="269">
        <f t="shared" si="168"/>
        <v>0</v>
      </c>
      <c r="T148" s="1114">
        <v>0</v>
      </c>
      <c r="U148" s="264">
        <v>0</v>
      </c>
      <c r="V148" s="265">
        <v>0</v>
      </c>
      <c r="W148" s="264">
        <f t="shared" si="169"/>
        <v>0</v>
      </c>
      <c r="X148" s="1113">
        <f>47.95/N148</f>
        <v>1.7237290395676289E-2</v>
      </c>
      <c r="Y148" s="1114">
        <f t="shared" si="170"/>
        <v>47.95000000000001</v>
      </c>
      <c r="Z148" s="265">
        <v>0</v>
      </c>
      <c r="AA148" s="264">
        <f t="shared" si="171"/>
        <v>0</v>
      </c>
      <c r="AB148" s="1130">
        <v>0</v>
      </c>
      <c r="AC148" s="264">
        <v>0</v>
      </c>
      <c r="AD148" s="264">
        <v>0</v>
      </c>
      <c r="AE148" s="264">
        <v>0</v>
      </c>
      <c r="AF148" s="1114">
        <v>0</v>
      </c>
      <c r="AG148" s="1145">
        <v>0</v>
      </c>
      <c r="AH148" s="1114">
        <v>0</v>
      </c>
      <c r="AI148" s="1114">
        <v>0</v>
      </c>
      <c r="AJ148" s="1114">
        <v>0</v>
      </c>
      <c r="AK148" s="273">
        <f t="shared" si="172"/>
        <v>927.25323797657381</v>
      </c>
      <c r="AL148" s="273">
        <f t="shared" si="173"/>
        <v>0</v>
      </c>
      <c r="AM148" s="273">
        <f t="shared" si="174"/>
        <v>2781.7597139297213</v>
      </c>
      <c r="AN148" s="273">
        <f t="shared" si="175"/>
        <v>0</v>
      </c>
    </row>
    <row r="149" spans="2:40" ht="30" hidden="1" customHeight="1" x14ac:dyDescent="0.25">
      <c r="B149" s="257">
        <v>0</v>
      </c>
      <c r="C149" s="259" t="s">
        <v>2935</v>
      </c>
      <c r="D149" s="259" t="s">
        <v>2936</v>
      </c>
      <c r="E149" s="259" t="s">
        <v>2739</v>
      </c>
      <c r="F149" s="259" t="s">
        <v>2676</v>
      </c>
      <c r="G149" s="259" t="s">
        <v>2777</v>
      </c>
      <c r="H149" s="266">
        <v>1</v>
      </c>
      <c r="I149" s="257">
        <v>40</v>
      </c>
      <c r="J149" s="257" t="s">
        <v>2636</v>
      </c>
      <c r="K149" s="257">
        <v>0</v>
      </c>
      <c r="L149" s="261" t="s">
        <v>2753</v>
      </c>
      <c r="M149" s="257">
        <v>9</v>
      </c>
      <c r="N149" s="262">
        <f>M149*AN116</f>
        <v>6258.959356341873</v>
      </c>
      <c r="O149" s="280">
        <v>0</v>
      </c>
      <c r="P149" s="280">
        <v>0</v>
      </c>
      <c r="Q149" s="280">
        <v>0</v>
      </c>
      <c r="R149" s="263">
        <v>0</v>
      </c>
      <c r="S149" s="264">
        <f>N149*R149</f>
        <v>0</v>
      </c>
      <c r="T149" s="1114">
        <v>0</v>
      </c>
      <c r="U149" s="264">
        <v>0</v>
      </c>
      <c r="V149" s="265">
        <v>0</v>
      </c>
      <c r="W149" s="264">
        <f>N149*V149</f>
        <v>0</v>
      </c>
      <c r="X149" s="1113">
        <f>47.95/N149</f>
        <v>7.6610179536339054E-3</v>
      </c>
      <c r="Y149" s="1114">
        <f>N149*X149</f>
        <v>47.95</v>
      </c>
      <c r="Z149" s="265">
        <v>0</v>
      </c>
      <c r="AA149" s="264">
        <f>N149*Z149</f>
        <v>0</v>
      </c>
      <c r="AB149" s="1130">
        <v>0</v>
      </c>
      <c r="AC149" s="264">
        <v>0</v>
      </c>
      <c r="AD149" s="264">
        <v>0</v>
      </c>
      <c r="AE149" s="264">
        <v>0</v>
      </c>
      <c r="AF149" s="1114">
        <v>0</v>
      </c>
      <c r="AG149" s="1145">
        <v>0</v>
      </c>
      <c r="AH149" s="1114">
        <v>0</v>
      </c>
      <c r="AI149" s="1114">
        <v>0</v>
      </c>
      <c r="AJ149" s="1114">
        <v>0</v>
      </c>
      <c r="AK149" s="273">
        <f>(N149+T149+U149)/3</f>
        <v>2086.319785447291</v>
      </c>
      <c r="AL149" s="273">
        <f t="shared" si="173"/>
        <v>0</v>
      </c>
      <c r="AM149" s="273">
        <f>N149</f>
        <v>6258.959356341873</v>
      </c>
      <c r="AN149" s="273">
        <f>AM149*R149</f>
        <v>0</v>
      </c>
    </row>
    <row r="150" spans="2:40" ht="30" hidden="1" customHeight="1" x14ac:dyDescent="0.25">
      <c r="B150" s="257">
        <v>1595</v>
      </c>
      <c r="C150" s="259" t="s">
        <v>7180</v>
      </c>
      <c r="D150" s="259" t="s">
        <v>2680</v>
      </c>
      <c r="E150" s="259" t="s">
        <v>2739</v>
      </c>
      <c r="F150" s="259" t="s">
        <v>2676</v>
      </c>
      <c r="G150" s="259" t="s">
        <v>2771</v>
      </c>
      <c r="H150" s="266">
        <v>1</v>
      </c>
      <c r="I150" s="257">
        <v>40</v>
      </c>
      <c r="J150" s="257" t="s">
        <v>2648</v>
      </c>
      <c r="K150" s="257">
        <v>0</v>
      </c>
      <c r="L150" s="261">
        <v>40984</v>
      </c>
      <c r="M150" s="257">
        <v>2.52</v>
      </c>
      <c r="N150" s="262">
        <f>M150*AN116</f>
        <v>1752.5086197757244</v>
      </c>
      <c r="O150" s="280">
        <v>0</v>
      </c>
      <c r="P150" s="280">
        <v>0</v>
      </c>
      <c r="Q150" s="280">
        <v>0</v>
      </c>
      <c r="R150" s="263">
        <v>0.08</v>
      </c>
      <c r="S150" s="264">
        <f t="shared" ref="S150:S160" si="176">N150*R150</f>
        <v>140.20068958205795</v>
      </c>
      <c r="T150" s="1114">
        <v>0</v>
      </c>
      <c r="U150" s="264">
        <v>0</v>
      </c>
      <c r="V150" s="265">
        <v>0</v>
      </c>
      <c r="W150" s="264">
        <f t="shared" ref="W150:W160" si="177">N150*V150</f>
        <v>0</v>
      </c>
      <c r="X150" s="1113">
        <f>76.76/N150</f>
        <v>4.3800069873449921E-2</v>
      </c>
      <c r="Y150" s="1114">
        <f t="shared" ref="Y150:Y160" si="178">N150*X150</f>
        <v>76.760000000000005</v>
      </c>
      <c r="Z150" s="265">
        <v>0</v>
      </c>
      <c r="AA150" s="264">
        <f t="shared" ref="AA150:AA160" si="179">N150*Z150</f>
        <v>0</v>
      </c>
      <c r="AB150" s="1130">
        <v>0</v>
      </c>
      <c r="AC150" s="264">
        <v>0</v>
      </c>
      <c r="AD150" s="264">
        <v>0</v>
      </c>
      <c r="AE150" s="264">
        <v>0</v>
      </c>
      <c r="AF150" s="1114">
        <v>0</v>
      </c>
      <c r="AG150" s="1145">
        <v>0</v>
      </c>
      <c r="AH150" s="1114">
        <f>AN116</f>
        <v>695.43992848243033</v>
      </c>
      <c r="AI150" s="1114">
        <f>AO$9</f>
        <v>0</v>
      </c>
      <c r="AJ150" s="1114">
        <v>0</v>
      </c>
      <c r="AK150" s="273">
        <f t="shared" ref="AK150:AK160" si="180">(N150+T150+U150)/3</f>
        <v>584.16953992524145</v>
      </c>
      <c r="AL150" s="273">
        <f t="shared" si="173"/>
        <v>46.733563194019318</v>
      </c>
      <c r="AM150" s="273">
        <f t="shared" ref="AM150:AM160" si="181">N150</f>
        <v>1752.5086197757244</v>
      </c>
      <c r="AN150" s="273">
        <f t="shared" ref="AN150:AN160" si="182">AM150*R150</f>
        <v>140.20068958205795</v>
      </c>
    </row>
    <row r="151" spans="2:40" ht="30" hidden="1" customHeight="1" x14ac:dyDescent="0.25">
      <c r="B151" s="257">
        <v>1852</v>
      </c>
      <c r="C151" s="259" t="s">
        <v>7181</v>
      </c>
      <c r="D151" s="259" t="s">
        <v>2679</v>
      </c>
      <c r="E151" s="259" t="s">
        <v>2739</v>
      </c>
      <c r="F151" s="259" t="s">
        <v>2676</v>
      </c>
      <c r="G151" s="259" t="s">
        <v>2774</v>
      </c>
      <c r="H151" s="266">
        <v>1</v>
      </c>
      <c r="I151" s="257">
        <v>40</v>
      </c>
      <c r="J151" s="257" t="s">
        <v>2634</v>
      </c>
      <c r="K151" s="257">
        <v>0</v>
      </c>
      <c r="L151" s="261">
        <v>41821</v>
      </c>
      <c r="M151" s="257">
        <v>4.2</v>
      </c>
      <c r="N151" s="262">
        <f>M151*AN116</f>
        <v>2920.8476996262075</v>
      </c>
      <c r="O151" s="280">
        <v>0</v>
      </c>
      <c r="P151" s="280">
        <v>0</v>
      </c>
      <c r="Q151" s="280">
        <v>0</v>
      </c>
      <c r="R151" s="263">
        <v>0.06</v>
      </c>
      <c r="S151" s="264">
        <f t="shared" si="176"/>
        <v>175.25086197757244</v>
      </c>
      <c r="T151" s="1114">
        <v>0</v>
      </c>
      <c r="U151" s="264">
        <v>0</v>
      </c>
      <c r="V151" s="265">
        <v>0</v>
      </c>
      <c r="W151" s="264">
        <f t="shared" si="177"/>
        <v>0</v>
      </c>
      <c r="X151" s="1113">
        <f>51.18/N151</f>
        <v>1.7522310391791297E-2</v>
      </c>
      <c r="Y151" s="1114">
        <f t="shared" si="178"/>
        <v>51.18</v>
      </c>
      <c r="Z151" s="265">
        <v>0</v>
      </c>
      <c r="AA151" s="264">
        <f t="shared" si="179"/>
        <v>0</v>
      </c>
      <c r="AB151" s="1130">
        <v>0</v>
      </c>
      <c r="AC151" s="264">
        <v>0</v>
      </c>
      <c r="AD151" s="264">
        <v>0</v>
      </c>
      <c r="AE151" s="264">
        <v>0</v>
      </c>
      <c r="AF151" s="1114">
        <v>0</v>
      </c>
      <c r="AG151" s="1145">
        <v>0</v>
      </c>
      <c r="AH151" s="1119">
        <v>0</v>
      </c>
      <c r="AI151" s="1119">
        <v>0</v>
      </c>
      <c r="AJ151" s="1114">
        <f>AN116</f>
        <v>695.43992848243033</v>
      </c>
      <c r="AK151" s="273">
        <f t="shared" si="180"/>
        <v>973.61589987540253</v>
      </c>
      <c r="AL151" s="273">
        <f t="shared" si="173"/>
        <v>58.416953992524149</v>
      </c>
      <c r="AM151" s="273">
        <f t="shared" si="181"/>
        <v>2920.8476996262075</v>
      </c>
      <c r="AN151" s="273">
        <f t="shared" si="182"/>
        <v>175.25086197757244</v>
      </c>
    </row>
    <row r="152" spans="2:40" ht="30" hidden="1" customHeight="1" x14ac:dyDescent="0.25">
      <c r="B152" s="257">
        <v>103</v>
      </c>
      <c r="C152" s="259" t="s">
        <v>7182</v>
      </c>
      <c r="D152" s="259" t="s">
        <v>2677</v>
      </c>
      <c r="E152" s="259" t="s">
        <v>2739</v>
      </c>
      <c r="F152" s="259" t="s">
        <v>2676</v>
      </c>
      <c r="G152" s="259" t="s">
        <v>2768</v>
      </c>
      <c r="H152" s="266">
        <v>1</v>
      </c>
      <c r="I152" s="257">
        <v>40</v>
      </c>
      <c r="J152" s="257" t="s">
        <v>2638</v>
      </c>
      <c r="K152" s="257">
        <v>0</v>
      </c>
      <c r="L152" s="261">
        <v>35797</v>
      </c>
      <c r="M152" s="257">
        <v>5.75</v>
      </c>
      <c r="N152" s="262">
        <f>M152*AN116</f>
        <v>3998.7795887739744</v>
      </c>
      <c r="O152" s="280">
        <v>0</v>
      </c>
      <c r="P152" s="280">
        <v>0</v>
      </c>
      <c r="Q152" s="280">
        <v>0</v>
      </c>
      <c r="R152" s="263">
        <v>0.23</v>
      </c>
      <c r="S152" s="264">
        <f t="shared" si="176"/>
        <v>919.71930541801419</v>
      </c>
      <c r="T152" s="1114">
        <v>0</v>
      </c>
      <c r="U152" s="264">
        <v>0</v>
      </c>
      <c r="V152" s="265">
        <f>344.58/3445.85</f>
        <v>9.9998548979206875E-2</v>
      </c>
      <c r="W152" s="264">
        <f t="shared" si="177"/>
        <v>399.87215656506703</v>
      </c>
      <c r="X152" s="1113">
        <v>0</v>
      </c>
      <c r="Y152" s="1114">
        <f t="shared" si="178"/>
        <v>0</v>
      </c>
      <c r="Z152" s="265">
        <v>0</v>
      </c>
      <c r="AA152" s="264">
        <f t="shared" si="179"/>
        <v>0</v>
      </c>
      <c r="AB152" s="1130">
        <v>0</v>
      </c>
      <c r="AC152" s="264">
        <v>0</v>
      </c>
      <c r="AD152" s="264">
        <v>0</v>
      </c>
      <c r="AE152" s="264">
        <v>0</v>
      </c>
      <c r="AF152" s="1114">
        <v>0</v>
      </c>
      <c r="AG152" s="1145">
        <v>0</v>
      </c>
      <c r="AH152" s="1119">
        <v>0</v>
      </c>
      <c r="AI152" s="1119">
        <f>AN116*2</f>
        <v>1390.8798569648607</v>
      </c>
      <c r="AJ152" s="1114">
        <v>0</v>
      </c>
      <c r="AK152" s="273">
        <f t="shared" si="180"/>
        <v>1332.9265295913249</v>
      </c>
      <c r="AL152" s="273">
        <f t="shared" si="173"/>
        <v>306.57310180600473</v>
      </c>
      <c r="AM152" s="273">
        <f t="shared" si="181"/>
        <v>3998.7795887739744</v>
      </c>
      <c r="AN152" s="273">
        <f t="shared" si="182"/>
        <v>919.71930541801419</v>
      </c>
    </row>
    <row r="153" spans="2:40" ht="30" hidden="1" customHeight="1" x14ac:dyDescent="0.25">
      <c r="B153" s="257">
        <v>97</v>
      </c>
      <c r="C153" s="259" t="s">
        <v>7183</v>
      </c>
      <c r="D153" s="259" t="s">
        <v>2678</v>
      </c>
      <c r="E153" s="259" t="s">
        <v>2739</v>
      </c>
      <c r="F153" s="259" t="s">
        <v>2676</v>
      </c>
      <c r="G153" s="259" t="s">
        <v>2772</v>
      </c>
      <c r="H153" s="266">
        <v>1</v>
      </c>
      <c r="I153" s="257">
        <v>40</v>
      </c>
      <c r="J153" s="257" t="s">
        <v>2638</v>
      </c>
      <c r="K153" s="257">
        <v>0</v>
      </c>
      <c r="L153" s="261">
        <v>35797</v>
      </c>
      <c r="M153" s="257">
        <v>7.51</v>
      </c>
      <c r="N153" s="262">
        <f>M153*AN116+0.01</f>
        <v>5222.7638629030516</v>
      </c>
      <c r="O153" s="280">
        <v>0</v>
      </c>
      <c r="P153" s="280">
        <v>0</v>
      </c>
      <c r="Q153" s="280">
        <v>0</v>
      </c>
      <c r="R153" s="263">
        <v>0.23</v>
      </c>
      <c r="S153" s="264">
        <f t="shared" si="176"/>
        <v>1201.2356884677019</v>
      </c>
      <c r="T153" s="1114">
        <v>0</v>
      </c>
      <c r="U153" s="264">
        <v>0</v>
      </c>
      <c r="V153" s="265">
        <v>0</v>
      </c>
      <c r="W153" s="264">
        <f t="shared" si="177"/>
        <v>0</v>
      </c>
      <c r="X153" s="1113">
        <v>0</v>
      </c>
      <c r="Y153" s="1114">
        <f t="shared" si="178"/>
        <v>0</v>
      </c>
      <c r="Z153" s="265">
        <v>0</v>
      </c>
      <c r="AA153" s="264">
        <f t="shared" si="179"/>
        <v>0</v>
      </c>
      <c r="AB153" s="1130">
        <v>0</v>
      </c>
      <c r="AC153" s="264">
        <v>0</v>
      </c>
      <c r="AD153" s="264">
        <v>0</v>
      </c>
      <c r="AE153" s="264">
        <v>0</v>
      </c>
      <c r="AF153" s="1114">
        <v>0</v>
      </c>
      <c r="AG153" s="1145">
        <f>AN116</f>
        <v>695.43992848243033</v>
      </c>
      <c r="AH153" s="1119">
        <v>0</v>
      </c>
      <c r="AI153" s="1119">
        <f>AN116*2</f>
        <v>1390.8798569648607</v>
      </c>
      <c r="AJ153" s="1114">
        <v>0</v>
      </c>
      <c r="AK153" s="273">
        <f t="shared" si="180"/>
        <v>1740.9212876343506</v>
      </c>
      <c r="AL153" s="273">
        <f t="shared" si="173"/>
        <v>400.41189615590065</v>
      </c>
      <c r="AM153" s="273">
        <f t="shared" si="181"/>
        <v>5222.7638629030516</v>
      </c>
      <c r="AN153" s="273">
        <f t="shared" si="182"/>
        <v>1201.2356884677019</v>
      </c>
    </row>
    <row r="154" spans="2:40" ht="30" hidden="1" customHeight="1" x14ac:dyDescent="0.25">
      <c r="B154" s="257">
        <v>2173</v>
      </c>
      <c r="C154" s="259" t="s">
        <v>7184</v>
      </c>
      <c r="D154" s="259" t="s">
        <v>2673</v>
      </c>
      <c r="E154" s="259" t="s">
        <v>2739</v>
      </c>
      <c r="F154" s="259" t="s">
        <v>2676</v>
      </c>
      <c r="G154" s="259" t="s">
        <v>2768</v>
      </c>
      <c r="H154" s="266">
        <v>1</v>
      </c>
      <c r="I154" s="257">
        <v>40</v>
      </c>
      <c r="J154" s="257" t="s">
        <v>2636</v>
      </c>
      <c r="K154" s="257">
        <v>0</v>
      </c>
      <c r="L154" s="261">
        <v>42898</v>
      </c>
      <c r="M154" s="257">
        <v>1.98</v>
      </c>
      <c r="N154" s="262">
        <f>M154*AN116+0.01</f>
        <v>1376.9810583952121</v>
      </c>
      <c r="O154" s="280">
        <v>0</v>
      </c>
      <c r="P154" s="280">
        <v>0</v>
      </c>
      <c r="Q154" s="280">
        <v>0</v>
      </c>
      <c r="R154" s="263">
        <v>0.03</v>
      </c>
      <c r="S154" s="264">
        <f t="shared" si="176"/>
        <v>41.309431751856366</v>
      </c>
      <c r="T154" s="1114">
        <f>AN116</f>
        <v>695.43992848243033</v>
      </c>
      <c r="U154" s="264">
        <v>0</v>
      </c>
      <c r="V154" s="265">
        <v>0</v>
      </c>
      <c r="W154" s="264">
        <f t="shared" si="177"/>
        <v>0</v>
      </c>
      <c r="X154" s="1113">
        <f>127.94/N154</f>
        <v>9.2913405903423466E-2</v>
      </c>
      <c r="Y154" s="1114">
        <f t="shared" si="178"/>
        <v>127.94</v>
      </c>
      <c r="Z154" s="265">
        <v>0</v>
      </c>
      <c r="AA154" s="264">
        <f t="shared" si="179"/>
        <v>0</v>
      </c>
      <c r="AB154" s="1130">
        <v>0</v>
      </c>
      <c r="AC154" s="264">
        <v>0</v>
      </c>
      <c r="AD154" s="264">
        <v>0</v>
      </c>
      <c r="AE154" s="264">
        <v>0</v>
      </c>
      <c r="AF154" s="1114">
        <v>0</v>
      </c>
      <c r="AG154" s="1145">
        <v>0</v>
      </c>
      <c r="AH154" s="1119">
        <v>0</v>
      </c>
      <c r="AI154" s="1119">
        <v>0</v>
      </c>
      <c r="AJ154" s="1114">
        <v>0</v>
      </c>
      <c r="AK154" s="273">
        <f t="shared" si="180"/>
        <v>690.80699562588086</v>
      </c>
      <c r="AL154" s="273">
        <f t="shared" si="173"/>
        <v>20.724209868776423</v>
      </c>
      <c r="AM154" s="273">
        <f t="shared" si="181"/>
        <v>1376.9810583952121</v>
      </c>
      <c r="AN154" s="273">
        <f t="shared" si="182"/>
        <v>41.309431751856366</v>
      </c>
    </row>
    <row r="155" spans="2:40" ht="30" hidden="1" customHeight="1" x14ac:dyDescent="0.25">
      <c r="B155" s="257">
        <v>2000</v>
      </c>
      <c r="C155" s="259" t="s">
        <v>7185</v>
      </c>
      <c r="D155" s="259" t="s">
        <v>2673</v>
      </c>
      <c r="E155" s="259" t="s">
        <v>2739</v>
      </c>
      <c r="F155" s="259" t="s">
        <v>2676</v>
      </c>
      <c r="G155" s="259" t="s">
        <v>2774</v>
      </c>
      <c r="H155" s="266">
        <v>1</v>
      </c>
      <c r="I155" s="257">
        <v>40</v>
      </c>
      <c r="J155" s="257" t="s">
        <v>2636</v>
      </c>
      <c r="K155" s="257">
        <v>0</v>
      </c>
      <c r="L155" s="261">
        <v>42388</v>
      </c>
      <c r="M155" s="257">
        <v>1.98</v>
      </c>
      <c r="N155" s="262">
        <f>M155*AN116+0.01</f>
        <v>1376.9810583952121</v>
      </c>
      <c r="O155" s="280">
        <v>0</v>
      </c>
      <c r="P155" s="280">
        <v>0</v>
      </c>
      <c r="Q155" s="280">
        <v>0</v>
      </c>
      <c r="R155" s="263">
        <v>0.04</v>
      </c>
      <c r="S155" s="264">
        <f t="shared" si="176"/>
        <v>55.079242335808487</v>
      </c>
      <c r="T155" s="1114">
        <f>AN116</f>
        <v>695.43992848243033</v>
      </c>
      <c r="U155" s="264">
        <v>0</v>
      </c>
      <c r="V155" s="265">
        <v>0</v>
      </c>
      <c r="W155" s="264">
        <f t="shared" si="177"/>
        <v>0</v>
      </c>
      <c r="X155" s="1113">
        <f>127.94/N155</f>
        <v>9.2913405903423466E-2</v>
      </c>
      <c r="Y155" s="1114">
        <f t="shared" si="178"/>
        <v>127.94</v>
      </c>
      <c r="Z155" s="265">
        <v>0</v>
      </c>
      <c r="AA155" s="264">
        <f t="shared" si="179"/>
        <v>0</v>
      </c>
      <c r="AB155" s="1130">
        <v>0</v>
      </c>
      <c r="AC155" s="264">
        <v>0</v>
      </c>
      <c r="AD155" s="264">
        <v>0</v>
      </c>
      <c r="AE155" s="264">
        <v>0</v>
      </c>
      <c r="AF155" s="1114">
        <v>0</v>
      </c>
      <c r="AG155" s="1145">
        <v>0</v>
      </c>
      <c r="AH155" s="1119">
        <v>0</v>
      </c>
      <c r="AI155" s="1119">
        <v>0</v>
      </c>
      <c r="AJ155" s="1114">
        <v>0</v>
      </c>
      <c r="AK155" s="273">
        <f t="shared" si="180"/>
        <v>690.80699562588086</v>
      </c>
      <c r="AL155" s="273">
        <f t="shared" si="173"/>
        <v>27.632279825035234</v>
      </c>
      <c r="AM155" s="273">
        <f t="shared" si="181"/>
        <v>1376.9810583952121</v>
      </c>
      <c r="AN155" s="273">
        <f t="shared" si="182"/>
        <v>55.079242335808487</v>
      </c>
    </row>
    <row r="156" spans="2:40" ht="30" hidden="1" customHeight="1" x14ac:dyDescent="0.25">
      <c r="B156" s="257">
        <v>2249</v>
      </c>
      <c r="C156" s="259" t="s">
        <v>7186</v>
      </c>
      <c r="D156" s="259" t="s">
        <v>2673</v>
      </c>
      <c r="E156" s="259" t="s">
        <v>2739</v>
      </c>
      <c r="F156" s="259" t="s">
        <v>2676</v>
      </c>
      <c r="G156" s="259" t="s">
        <v>2772</v>
      </c>
      <c r="H156" s="266">
        <v>1</v>
      </c>
      <c r="I156" s="257">
        <v>40</v>
      </c>
      <c r="J156" s="257" t="s">
        <v>2636</v>
      </c>
      <c r="K156" s="257">
        <v>0</v>
      </c>
      <c r="L156" s="261">
        <v>43213</v>
      </c>
      <c r="M156" s="257">
        <v>1.98</v>
      </c>
      <c r="N156" s="262">
        <f>M156*AN116+0.01</f>
        <v>1376.9810583952121</v>
      </c>
      <c r="O156" s="280">
        <v>0</v>
      </c>
      <c r="P156" s="280">
        <v>0</v>
      </c>
      <c r="Q156" s="280">
        <v>0</v>
      </c>
      <c r="R156" s="263">
        <v>0.02</v>
      </c>
      <c r="S156" s="264">
        <f t="shared" si="176"/>
        <v>27.539621167904244</v>
      </c>
      <c r="T156" s="1114">
        <v>0</v>
      </c>
      <c r="U156" s="264">
        <v>0</v>
      </c>
      <c r="V156" s="265">
        <v>0</v>
      </c>
      <c r="W156" s="264">
        <f t="shared" si="177"/>
        <v>0</v>
      </c>
      <c r="X156" s="1113">
        <f>127.94/N156</f>
        <v>9.2913405903423466E-2</v>
      </c>
      <c r="Y156" s="1114">
        <f t="shared" si="178"/>
        <v>127.94</v>
      </c>
      <c r="Z156" s="265">
        <v>0</v>
      </c>
      <c r="AA156" s="264">
        <f t="shared" si="179"/>
        <v>0</v>
      </c>
      <c r="AB156" s="1130">
        <v>0</v>
      </c>
      <c r="AC156" s="264">
        <v>0</v>
      </c>
      <c r="AD156" s="264">
        <v>0</v>
      </c>
      <c r="AE156" s="264">
        <v>0</v>
      </c>
      <c r="AF156" s="1114">
        <v>0</v>
      </c>
      <c r="AG156" s="1145">
        <v>0</v>
      </c>
      <c r="AH156" s="1119">
        <v>0</v>
      </c>
      <c r="AI156" s="1119">
        <v>0</v>
      </c>
      <c r="AJ156" s="1114">
        <f>AN116</f>
        <v>695.43992848243033</v>
      </c>
      <c r="AK156" s="273">
        <f t="shared" si="180"/>
        <v>458.99368613173738</v>
      </c>
      <c r="AL156" s="273">
        <f t="shared" si="173"/>
        <v>9.1798737226347473</v>
      </c>
      <c r="AM156" s="273">
        <f t="shared" si="181"/>
        <v>1376.9810583952121</v>
      </c>
      <c r="AN156" s="273">
        <f t="shared" si="182"/>
        <v>27.539621167904244</v>
      </c>
    </row>
    <row r="157" spans="2:40" ht="30" hidden="1" customHeight="1" x14ac:dyDescent="0.25">
      <c r="B157" s="257">
        <v>2130</v>
      </c>
      <c r="C157" s="259" t="s">
        <v>7187</v>
      </c>
      <c r="D157" s="259" t="s">
        <v>2673</v>
      </c>
      <c r="E157" s="259" t="s">
        <v>2739</v>
      </c>
      <c r="F157" s="259" t="s">
        <v>2676</v>
      </c>
      <c r="G157" s="259" t="s">
        <v>2777</v>
      </c>
      <c r="H157" s="266">
        <v>1</v>
      </c>
      <c r="I157" s="257">
        <v>40</v>
      </c>
      <c r="J157" s="257" t="s">
        <v>2636</v>
      </c>
      <c r="K157" s="257">
        <v>0</v>
      </c>
      <c r="L157" s="261">
        <v>42795</v>
      </c>
      <c r="M157" s="257">
        <v>1.98</v>
      </c>
      <c r="N157" s="262">
        <f>M157*AN116</f>
        <v>1376.9710583952121</v>
      </c>
      <c r="O157" s="280">
        <v>0</v>
      </c>
      <c r="P157" s="280">
        <v>0</v>
      </c>
      <c r="Q157" s="280">
        <v>0</v>
      </c>
      <c r="R157" s="263">
        <v>0.03</v>
      </c>
      <c r="S157" s="264">
        <f t="shared" si="176"/>
        <v>41.309131751856363</v>
      </c>
      <c r="T157" s="1114">
        <f>AN116</f>
        <v>695.43992848243033</v>
      </c>
      <c r="U157" s="264">
        <v>0</v>
      </c>
      <c r="V157" s="265">
        <v>0</v>
      </c>
      <c r="W157" s="264">
        <f t="shared" si="177"/>
        <v>0</v>
      </c>
      <c r="X157" s="1113">
        <f>127.94/N157</f>
        <v>9.2914080670008697E-2</v>
      </c>
      <c r="Y157" s="1114">
        <f t="shared" si="178"/>
        <v>127.94</v>
      </c>
      <c r="Z157" s="265">
        <v>0</v>
      </c>
      <c r="AA157" s="271">
        <f t="shared" si="179"/>
        <v>0</v>
      </c>
      <c r="AB157" s="1130">
        <v>0</v>
      </c>
      <c r="AC157" s="264">
        <f>AN116*(0%)</f>
        <v>0</v>
      </c>
      <c r="AD157" s="264">
        <f t="shared" ref="AD157" si="183">AO$9*(0%)</f>
        <v>0</v>
      </c>
      <c r="AE157" s="264">
        <v>0</v>
      </c>
      <c r="AF157" s="1114">
        <v>0</v>
      </c>
      <c r="AG157" s="1145">
        <v>0</v>
      </c>
      <c r="AH157" s="1119">
        <v>0</v>
      </c>
      <c r="AI157" s="1119">
        <v>0</v>
      </c>
      <c r="AJ157" s="1114">
        <f>AN116</f>
        <v>695.43992848243033</v>
      </c>
      <c r="AK157" s="273">
        <f t="shared" si="180"/>
        <v>690.80366229254741</v>
      </c>
      <c r="AL157" s="273">
        <f t="shared" si="173"/>
        <v>20.72410986877642</v>
      </c>
      <c r="AM157" s="273">
        <f t="shared" si="181"/>
        <v>1376.9710583952121</v>
      </c>
      <c r="AN157" s="273">
        <f t="shared" si="182"/>
        <v>41.309131751856363</v>
      </c>
    </row>
    <row r="158" spans="2:40" ht="30" hidden="1" customHeight="1" x14ac:dyDescent="0.25">
      <c r="B158" s="257">
        <v>0</v>
      </c>
      <c r="C158" s="259" t="s">
        <v>7119</v>
      </c>
      <c r="D158" s="259" t="s">
        <v>2673</v>
      </c>
      <c r="E158" s="259" t="s">
        <v>2739</v>
      </c>
      <c r="F158" s="259" t="s">
        <v>2676</v>
      </c>
      <c r="G158" s="259" t="s">
        <v>2774</v>
      </c>
      <c r="H158" s="266">
        <v>1</v>
      </c>
      <c r="I158" s="257">
        <v>40</v>
      </c>
      <c r="J158" s="257" t="s">
        <v>2636</v>
      </c>
      <c r="K158" s="257">
        <v>0</v>
      </c>
      <c r="L158" s="261" t="s">
        <v>2753</v>
      </c>
      <c r="M158" s="257">
        <v>1.98</v>
      </c>
      <c r="N158" s="262">
        <f>M158*AN116+0.01</f>
        <v>1376.9810583952121</v>
      </c>
      <c r="O158" s="280">
        <v>0</v>
      </c>
      <c r="P158" s="280">
        <v>0</v>
      </c>
      <c r="Q158" s="280">
        <v>0</v>
      </c>
      <c r="R158" s="263">
        <v>0</v>
      </c>
      <c r="S158" s="264">
        <f t="shared" si="176"/>
        <v>0</v>
      </c>
      <c r="T158" s="1114">
        <v>0</v>
      </c>
      <c r="U158" s="264">
        <v>0</v>
      </c>
      <c r="V158" s="265">
        <v>0</v>
      </c>
      <c r="W158" s="264">
        <f t="shared" si="177"/>
        <v>0</v>
      </c>
      <c r="X158" s="1113">
        <v>0</v>
      </c>
      <c r="Y158" s="1114">
        <f t="shared" si="178"/>
        <v>0</v>
      </c>
      <c r="Z158" s="265">
        <v>0</v>
      </c>
      <c r="AA158" s="264">
        <f t="shared" si="179"/>
        <v>0</v>
      </c>
      <c r="AB158" s="1130">
        <v>0</v>
      </c>
      <c r="AC158" s="264">
        <v>0</v>
      </c>
      <c r="AD158" s="264">
        <v>0</v>
      </c>
      <c r="AE158" s="264">
        <v>0</v>
      </c>
      <c r="AF158" s="1114">
        <v>0</v>
      </c>
      <c r="AG158" s="1145">
        <v>0</v>
      </c>
      <c r="AH158" s="1119">
        <v>0</v>
      </c>
      <c r="AI158" s="1119">
        <v>0</v>
      </c>
      <c r="AJ158" s="1114">
        <v>0</v>
      </c>
      <c r="AK158" s="273">
        <f t="shared" si="180"/>
        <v>458.99368613173738</v>
      </c>
      <c r="AL158" s="273">
        <f t="shared" si="173"/>
        <v>0</v>
      </c>
      <c r="AM158" s="273">
        <f t="shared" si="181"/>
        <v>1376.9810583952121</v>
      </c>
      <c r="AN158" s="273">
        <f t="shared" si="182"/>
        <v>0</v>
      </c>
    </row>
    <row r="159" spans="2:40" s="258" customFormat="1" ht="30" hidden="1" customHeight="1" x14ac:dyDescent="0.25">
      <c r="B159" s="257">
        <v>0</v>
      </c>
      <c r="C159" s="259" t="s">
        <v>7119</v>
      </c>
      <c r="D159" s="259" t="s">
        <v>2752</v>
      </c>
      <c r="E159" s="259" t="s">
        <v>2739</v>
      </c>
      <c r="F159" s="259" t="s">
        <v>2676</v>
      </c>
      <c r="G159" s="259" t="s">
        <v>2768</v>
      </c>
      <c r="H159" s="266">
        <v>1</v>
      </c>
      <c r="I159" s="257">
        <v>40</v>
      </c>
      <c r="J159" s="257" t="s">
        <v>2636</v>
      </c>
      <c r="K159" s="257">
        <v>0</v>
      </c>
      <c r="L159" s="261" t="s">
        <v>2753</v>
      </c>
      <c r="M159" s="257">
        <v>2.8</v>
      </c>
      <c r="N159" s="262">
        <f>M159*AN116+0.01</f>
        <v>1947.2417997508048</v>
      </c>
      <c r="O159" s="280">
        <v>0</v>
      </c>
      <c r="P159" s="280">
        <v>0</v>
      </c>
      <c r="Q159" s="280">
        <v>0</v>
      </c>
      <c r="R159" s="263">
        <v>0</v>
      </c>
      <c r="S159" s="264">
        <f t="shared" si="176"/>
        <v>0</v>
      </c>
      <c r="T159" s="1114">
        <v>0</v>
      </c>
      <c r="U159" s="264">
        <v>0</v>
      </c>
      <c r="V159" s="265">
        <v>0</v>
      </c>
      <c r="W159" s="264">
        <f t="shared" si="177"/>
        <v>0</v>
      </c>
      <c r="X159" s="1113">
        <v>0</v>
      </c>
      <c r="Y159" s="1114">
        <f t="shared" si="178"/>
        <v>0</v>
      </c>
      <c r="Z159" s="265">
        <v>0</v>
      </c>
      <c r="AA159" s="264">
        <f t="shared" si="179"/>
        <v>0</v>
      </c>
      <c r="AB159" s="1130">
        <v>0</v>
      </c>
      <c r="AC159" s="264">
        <v>0</v>
      </c>
      <c r="AD159" s="264">
        <v>0</v>
      </c>
      <c r="AE159" s="264">
        <v>0</v>
      </c>
      <c r="AF159" s="1114">
        <v>0</v>
      </c>
      <c r="AG159" s="1145">
        <v>0</v>
      </c>
      <c r="AH159" s="1119">
        <v>0</v>
      </c>
      <c r="AI159" s="1119">
        <v>0</v>
      </c>
      <c r="AJ159" s="1114">
        <v>0</v>
      </c>
      <c r="AK159" s="273">
        <f t="shared" si="180"/>
        <v>649.08059991693494</v>
      </c>
      <c r="AL159" s="273">
        <f t="shared" si="173"/>
        <v>0</v>
      </c>
      <c r="AM159" s="273">
        <f t="shared" si="181"/>
        <v>1947.2417997508048</v>
      </c>
      <c r="AN159" s="273">
        <f t="shared" si="182"/>
        <v>0</v>
      </c>
    </row>
    <row r="160" spans="2:40" s="258" customFormat="1" ht="30" hidden="1" customHeight="1" x14ac:dyDescent="0.25">
      <c r="B160" s="257">
        <v>0</v>
      </c>
      <c r="C160" s="259" t="s">
        <v>7119</v>
      </c>
      <c r="D160" s="259" t="s">
        <v>2754</v>
      </c>
      <c r="E160" s="259" t="s">
        <v>2739</v>
      </c>
      <c r="F160" s="259" t="s">
        <v>2676</v>
      </c>
      <c r="G160" s="259" t="s">
        <v>2772</v>
      </c>
      <c r="H160" s="266">
        <v>1</v>
      </c>
      <c r="I160" s="257">
        <v>40</v>
      </c>
      <c r="J160" s="257" t="s">
        <v>2636</v>
      </c>
      <c r="K160" s="257">
        <v>0</v>
      </c>
      <c r="L160" s="261" t="s">
        <v>2753</v>
      </c>
      <c r="M160" s="257">
        <v>3</v>
      </c>
      <c r="N160" s="262">
        <f>M160*AN116+0.01</f>
        <v>2086.3297854472912</v>
      </c>
      <c r="O160" s="280">
        <v>0</v>
      </c>
      <c r="P160" s="280">
        <v>0</v>
      </c>
      <c r="Q160" s="280">
        <v>0</v>
      </c>
      <c r="R160" s="263">
        <v>0</v>
      </c>
      <c r="S160" s="264">
        <f t="shared" si="176"/>
        <v>0</v>
      </c>
      <c r="T160" s="1114">
        <v>0</v>
      </c>
      <c r="U160" s="264">
        <v>0</v>
      </c>
      <c r="V160" s="265">
        <v>0</v>
      </c>
      <c r="W160" s="264">
        <f t="shared" si="177"/>
        <v>0</v>
      </c>
      <c r="X160" s="1113">
        <v>0</v>
      </c>
      <c r="Y160" s="1114">
        <f t="shared" si="178"/>
        <v>0</v>
      </c>
      <c r="Z160" s="265">
        <v>0</v>
      </c>
      <c r="AA160" s="264">
        <f t="shared" si="179"/>
        <v>0</v>
      </c>
      <c r="AB160" s="1130">
        <v>0</v>
      </c>
      <c r="AC160" s="264">
        <v>0</v>
      </c>
      <c r="AD160" s="264">
        <v>0</v>
      </c>
      <c r="AE160" s="264">
        <v>0</v>
      </c>
      <c r="AF160" s="1114">
        <v>0</v>
      </c>
      <c r="AG160" s="1145">
        <v>0</v>
      </c>
      <c r="AH160" s="1119">
        <v>0</v>
      </c>
      <c r="AI160" s="1119">
        <v>0</v>
      </c>
      <c r="AJ160" s="1114">
        <v>0</v>
      </c>
      <c r="AK160" s="273">
        <f t="shared" si="180"/>
        <v>695.44326181576378</v>
      </c>
      <c r="AL160" s="273">
        <f t="shared" si="173"/>
        <v>0</v>
      </c>
      <c r="AM160" s="273">
        <f t="shared" si="181"/>
        <v>2086.3297854472912</v>
      </c>
      <c r="AN160" s="273">
        <f t="shared" si="182"/>
        <v>0</v>
      </c>
    </row>
    <row r="161" spans="2:40" s="274" customFormat="1" ht="30" hidden="1" customHeight="1" x14ac:dyDescent="0.25">
      <c r="B161" s="1206" t="s">
        <v>2747</v>
      </c>
      <c r="C161" s="1077"/>
      <c r="D161" s="1077"/>
      <c r="E161" s="1077"/>
      <c r="F161" s="1077"/>
      <c r="G161" s="1077"/>
      <c r="H161" s="1077"/>
      <c r="I161" s="1077"/>
      <c r="J161" s="1077"/>
      <c r="K161" s="1077"/>
      <c r="L161" s="1077"/>
      <c r="M161" s="1077"/>
      <c r="N161" s="275">
        <f>SUM(N146:N160)</f>
        <v>38965.559192870576</v>
      </c>
      <c r="O161" s="275">
        <f>SUM(O146:O160)</f>
        <v>0</v>
      </c>
      <c r="P161" s="275">
        <f>SUM(P146:P160)</f>
        <v>0</v>
      </c>
      <c r="Q161" s="275">
        <f>SUM(Q146:Q160)</f>
        <v>0</v>
      </c>
      <c r="R161" s="1085"/>
      <c r="S161" s="275">
        <f>SUM(S146:S160)</f>
        <v>2944.8427771588517</v>
      </c>
      <c r="T161" s="1116">
        <f>SUM(T146:T160)</f>
        <v>2781.7597139297213</v>
      </c>
      <c r="U161" s="275">
        <f>SUM(U146:U160)</f>
        <v>0</v>
      </c>
      <c r="V161" s="276"/>
      <c r="W161" s="275">
        <f>SUM(W146:W160)</f>
        <v>399.87215656506703</v>
      </c>
      <c r="X161" s="1115"/>
      <c r="Y161" s="1116">
        <f>SUM(Y146:Y160)</f>
        <v>837.96</v>
      </c>
      <c r="Z161" s="276"/>
      <c r="AA161" s="275">
        <f t="shared" ref="AA161:AN161" si="184">SUM(AA146:AA160)</f>
        <v>0</v>
      </c>
      <c r="AB161" s="1131">
        <f t="shared" si="184"/>
        <v>0</v>
      </c>
      <c r="AC161" s="275">
        <f t="shared" si="184"/>
        <v>0</v>
      </c>
      <c r="AD161" s="275">
        <f t="shared" si="184"/>
        <v>0</v>
      </c>
      <c r="AE161" s="275">
        <f t="shared" si="184"/>
        <v>0</v>
      </c>
      <c r="AF161" s="1116">
        <f t="shared" si="184"/>
        <v>0</v>
      </c>
      <c r="AG161" s="1146">
        <f t="shared" si="184"/>
        <v>695.43992848243033</v>
      </c>
      <c r="AH161" s="1116">
        <f t="shared" si="184"/>
        <v>695.43992848243033</v>
      </c>
      <c r="AI161" s="1116">
        <f t="shared" si="184"/>
        <v>2781.7597139297213</v>
      </c>
      <c r="AJ161" s="1116">
        <f t="shared" si="184"/>
        <v>2086.319785447291</v>
      </c>
      <c r="AK161" s="275">
        <f>SUM(AJ146:AJ160)</f>
        <v>2086.319785447291</v>
      </c>
      <c r="AL161" s="275">
        <f t="shared" si="184"/>
        <v>1023.3406547618962</v>
      </c>
      <c r="AM161" s="275">
        <f t="shared" si="184"/>
        <v>38965.559192870576</v>
      </c>
      <c r="AN161" s="275">
        <f t="shared" si="184"/>
        <v>2944.8427771588517</v>
      </c>
    </row>
    <row r="162" spans="2:40" s="274" customFormat="1" ht="30" hidden="1" customHeight="1" x14ac:dyDescent="0.25">
      <c r="B162" s="257">
        <v>2105</v>
      </c>
      <c r="C162" s="267" t="s">
        <v>7188</v>
      </c>
      <c r="D162" s="267" t="s">
        <v>7117</v>
      </c>
      <c r="E162" s="267" t="s">
        <v>2723</v>
      </c>
      <c r="F162" s="267" t="s">
        <v>2676</v>
      </c>
      <c r="G162" s="259" t="s">
        <v>2775</v>
      </c>
      <c r="H162" s="257">
        <v>1</v>
      </c>
      <c r="I162" s="257">
        <v>40</v>
      </c>
      <c r="J162" s="257">
        <v>0</v>
      </c>
      <c r="K162" s="257">
        <v>0</v>
      </c>
      <c r="L162" s="261">
        <v>42996</v>
      </c>
      <c r="M162" s="260">
        <v>5</v>
      </c>
      <c r="N162" s="280">
        <f>AN116*M162</f>
        <v>3477.1996424121517</v>
      </c>
      <c r="O162" s="280">
        <v>0</v>
      </c>
      <c r="P162" s="280">
        <v>0</v>
      </c>
      <c r="Q162" s="280">
        <v>0</v>
      </c>
      <c r="R162" s="281">
        <v>0</v>
      </c>
      <c r="S162" s="271">
        <f>N162*R162</f>
        <v>0</v>
      </c>
      <c r="T162" s="1114">
        <v>0</v>
      </c>
      <c r="U162" s="271">
        <v>0</v>
      </c>
      <c r="V162" s="282">
        <v>0</v>
      </c>
      <c r="W162" s="264">
        <f>N162*V162</f>
        <v>0</v>
      </c>
      <c r="X162" s="1113">
        <v>0</v>
      </c>
      <c r="Y162" s="1114">
        <v>0</v>
      </c>
      <c r="Z162" s="282">
        <v>0</v>
      </c>
      <c r="AA162" s="271">
        <v>0</v>
      </c>
      <c r="AB162" s="1130">
        <v>0</v>
      </c>
      <c r="AC162" s="271">
        <v>0</v>
      </c>
      <c r="AD162" s="271">
        <v>0</v>
      </c>
      <c r="AE162" s="271">
        <v>0</v>
      </c>
      <c r="AF162" s="1114">
        <v>0</v>
      </c>
      <c r="AG162" s="1145">
        <v>0</v>
      </c>
      <c r="AH162" s="1114">
        <v>0</v>
      </c>
      <c r="AI162" s="1114">
        <v>0</v>
      </c>
      <c r="AJ162" s="1114">
        <v>0</v>
      </c>
      <c r="AK162" s="273">
        <f>(N162+T162+U162)/3</f>
        <v>1159.0665474707173</v>
      </c>
      <c r="AL162" s="273">
        <f>AK162*R162</f>
        <v>0</v>
      </c>
      <c r="AM162" s="273">
        <f>N162</f>
        <v>3477.1996424121517</v>
      </c>
      <c r="AN162" s="273">
        <f>AM162*R162</f>
        <v>0</v>
      </c>
    </row>
    <row r="163" spans="2:40" s="258" customFormat="1" ht="30" hidden="1" customHeight="1" x14ac:dyDescent="0.25">
      <c r="B163" s="257">
        <v>2290</v>
      </c>
      <c r="C163" s="267" t="s">
        <v>7189</v>
      </c>
      <c r="D163" s="267" t="s">
        <v>7116</v>
      </c>
      <c r="E163" s="267" t="s">
        <v>2723</v>
      </c>
      <c r="F163" s="267" t="s">
        <v>2676</v>
      </c>
      <c r="G163" s="259" t="s">
        <v>7118</v>
      </c>
      <c r="H163" s="257">
        <v>1</v>
      </c>
      <c r="I163" s="257">
        <v>40</v>
      </c>
      <c r="J163" s="257">
        <v>0</v>
      </c>
      <c r="K163" s="257">
        <v>0</v>
      </c>
      <c r="L163" s="261">
        <v>43619</v>
      </c>
      <c r="M163" s="260">
        <v>5</v>
      </c>
      <c r="N163" s="280">
        <f>AN116*M163</f>
        <v>3477.1996424121517</v>
      </c>
      <c r="O163" s="280">
        <v>0</v>
      </c>
      <c r="P163" s="280">
        <v>0</v>
      </c>
      <c r="Q163" s="280">
        <v>0</v>
      </c>
      <c r="R163" s="281">
        <v>0</v>
      </c>
      <c r="S163" s="271">
        <f>N163*R163</f>
        <v>0</v>
      </c>
      <c r="T163" s="1114">
        <v>0</v>
      </c>
      <c r="U163" s="271">
        <v>0</v>
      </c>
      <c r="V163" s="282">
        <v>0</v>
      </c>
      <c r="W163" s="264">
        <f>N163*V163</f>
        <v>0</v>
      </c>
      <c r="X163" s="1113">
        <v>0</v>
      </c>
      <c r="Y163" s="1114">
        <v>0</v>
      </c>
      <c r="Z163" s="282">
        <v>0</v>
      </c>
      <c r="AA163" s="271">
        <v>0</v>
      </c>
      <c r="AB163" s="1130">
        <v>0</v>
      </c>
      <c r="AC163" s="271">
        <v>0</v>
      </c>
      <c r="AD163" s="271">
        <v>0</v>
      </c>
      <c r="AE163" s="271">
        <v>0</v>
      </c>
      <c r="AF163" s="1114">
        <v>0</v>
      </c>
      <c r="AG163" s="1145">
        <v>0</v>
      </c>
      <c r="AH163" s="1114">
        <v>0</v>
      </c>
      <c r="AI163" s="1114">
        <v>0</v>
      </c>
      <c r="AJ163" s="1114">
        <v>0</v>
      </c>
      <c r="AK163" s="273">
        <f>(N163+T163+U163)/3</f>
        <v>1159.0665474707173</v>
      </c>
      <c r="AL163" s="273">
        <f>AK163*R163</f>
        <v>0</v>
      </c>
      <c r="AM163" s="273">
        <f>N163</f>
        <v>3477.1996424121517</v>
      </c>
      <c r="AN163" s="273">
        <f>AM163*R163</f>
        <v>0</v>
      </c>
    </row>
    <row r="164" spans="2:40" s="274" customFormat="1" ht="30" hidden="1" customHeight="1" x14ac:dyDescent="0.25">
      <c r="B164" s="1077" t="s">
        <v>2755</v>
      </c>
      <c r="C164" s="1077"/>
      <c r="D164" s="1077"/>
      <c r="E164" s="1077"/>
      <c r="F164" s="1077"/>
      <c r="G164" s="1077"/>
      <c r="H164" s="1077"/>
      <c r="I164" s="1077"/>
      <c r="J164" s="1077"/>
      <c r="K164" s="1077"/>
      <c r="L164" s="1077"/>
      <c r="M164" s="1077"/>
      <c r="N164" s="275">
        <f>SUM(N162:N163)</f>
        <v>6954.3992848243033</v>
      </c>
      <c r="O164" s="275">
        <f>SUM(O162:O163)</f>
        <v>0</v>
      </c>
      <c r="P164" s="275">
        <f>SUM(P162:P163)</f>
        <v>0</v>
      </c>
      <c r="Q164" s="275">
        <f>SUM(Q162:Q163)</f>
        <v>0</v>
      </c>
      <c r="R164" s="1085"/>
      <c r="S164" s="275">
        <f>SUM(S162:S163)</f>
        <v>0</v>
      </c>
      <c r="T164" s="1116">
        <f>SUM(T162:T163)</f>
        <v>0</v>
      </c>
      <c r="U164" s="275">
        <f>SUM(U162:U163)</f>
        <v>0</v>
      </c>
      <c r="V164" s="276"/>
      <c r="W164" s="275">
        <f>SUM(W162:W163)</f>
        <v>0</v>
      </c>
      <c r="X164" s="1115"/>
      <c r="Y164" s="1116">
        <f>SUM(Y162:Y163)</f>
        <v>0</v>
      </c>
      <c r="Z164" s="276"/>
      <c r="AA164" s="275">
        <f t="shared" ref="AA164:AN164" si="185">SUM(AA162:AA163)</f>
        <v>0</v>
      </c>
      <c r="AB164" s="1131">
        <f t="shared" si="185"/>
        <v>0</v>
      </c>
      <c r="AC164" s="275">
        <f t="shared" si="185"/>
        <v>0</v>
      </c>
      <c r="AD164" s="275">
        <f t="shared" si="185"/>
        <v>0</v>
      </c>
      <c r="AE164" s="275">
        <f t="shared" si="185"/>
        <v>0</v>
      </c>
      <c r="AF164" s="1116">
        <f t="shared" si="185"/>
        <v>0</v>
      </c>
      <c r="AG164" s="1146">
        <f t="shared" si="185"/>
        <v>0</v>
      </c>
      <c r="AH164" s="1116">
        <f t="shared" si="185"/>
        <v>0</v>
      </c>
      <c r="AI164" s="1116">
        <f t="shared" si="185"/>
        <v>0</v>
      </c>
      <c r="AJ164" s="1116">
        <f t="shared" si="185"/>
        <v>0</v>
      </c>
      <c r="AK164" s="275">
        <f>SUM(AJ162:AJ163)</f>
        <v>0</v>
      </c>
      <c r="AL164" s="275">
        <f t="shared" si="185"/>
        <v>0</v>
      </c>
      <c r="AM164" s="275">
        <f t="shared" si="185"/>
        <v>6954.3992848243033</v>
      </c>
      <c r="AN164" s="275">
        <f t="shared" si="185"/>
        <v>0</v>
      </c>
    </row>
    <row r="165" spans="2:40" s="258" customFormat="1" ht="30" hidden="1" customHeight="1" x14ac:dyDescent="0.25">
      <c r="B165" s="257">
        <v>0</v>
      </c>
      <c r="C165" s="259" t="s">
        <v>7119</v>
      </c>
      <c r="D165" s="267" t="s">
        <v>2756</v>
      </c>
      <c r="E165" s="267" t="s">
        <v>2725</v>
      </c>
      <c r="F165" s="267" t="s">
        <v>2676</v>
      </c>
      <c r="G165" s="259" t="s">
        <v>2777</v>
      </c>
      <c r="H165" s="257">
        <v>1</v>
      </c>
      <c r="I165" s="257">
        <v>40</v>
      </c>
      <c r="J165" s="257">
        <v>0</v>
      </c>
      <c r="K165" s="257">
        <v>0</v>
      </c>
      <c r="L165" s="261" t="s">
        <v>2753</v>
      </c>
      <c r="M165" s="260">
        <f>4459.53/599.28</f>
        <v>7.441479775730877</v>
      </c>
      <c r="N165" s="280">
        <f>AN116*M165</f>
        <v>5175.1021630377327</v>
      </c>
      <c r="O165" s="280">
        <v>0</v>
      </c>
      <c r="P165" s="280">
        <v>0</v>
      </c>
      <c r="Q165" s="280">
        <v>0</v>
      </c>
      <c r="R165" s="281">
        <v>0</v>
      </c>
      <c r="S165" s="271">
        <f>N165*R165</f>
        <v>0</v>
      </c>
      <c r="T165" s="1114">
        <v>0</v>
      </c>
      <c r="U165" s="271">
        <v>0</v>
      </c>
      <c r="V165" s="282">
        <v>0</v>
      </c>
      <c r="W165" s="264">
        <f>N165*V165</f>
        <v>0</v>
      </c>
      <c r="X165" s="1113">
        <v>0</v>
      </c>
      <c r="Y165" s="1114">
        <v>0</v>
      </c>
      <c r="Z165" s="282">
        <v>0</v>
      </c>
      <c r="AA165" s="271">
        <v>0</v>
      </c>
      <c r="AB165" s="1130">
        <v>0</v>
      </c>
      <c r="AC165" s="271">
        <v>0</v>
      </c>
      <c r="AD165" s="271">
        <v>0</v>
      </c>
      <c r="AE165" s="271">
        <v>0</v>
      </c>
      <c r="AF165" s="1114">
        <v>0</v>
      </c>
      <c r="AG165" s="1145">
        <v>0</v>
      </c>
      <c r="AH165" s="1114">
        <v>0</v>
      </c>
      <c r="AI165" s="1114">
        <v>0</v>
      </c>
      <c r="AJ165" s="1114">
        <v>0</v>
      </c>
      <c r="AK165" s="273">
        <f>(N165+T165+U165)/3</f>
        <v>1725.0340543459108</v>
      </c>
      <c r="AL165" s="273">
        <f>AK165*R165</f>
        <v>0</v>
      </c>
      <c r="AM165" s="273">
        <f>N165</f>
        <v>5175.1021630377327</v>
      </c>
      <c r="AN165" s="273">
        <f>AM165*R165</f>
        <v>0</v>
      </c>
    </row>
    <row r="166" spans="2:40" ht="30" hidden="1" customHeight="1" x14ac:dyDescent="0.25">
      <c r="B166" s="1206" t="s">
        <v>2726</v>
      </c>
      <c r="C166" s="1077"/>
      <c r="D166" s="1077"/>
      <c r="E166" s="1077"/>
      <c r="F166" s="1077"/>
      <c r="G166" s="1077"/>
      <c r="H166" s="1077"/>
      <c r="I166" s="1077"/>
      <c r="J166" s="1077"/>
      <c r="K166" s="1077"/>
      <c r="L166" s="1077"/>
      <c r="M166" s="1077"/>
      <c r="N166" s="275">
        <f>SUM(N165:N165)</f>
        <v>5175.1021630377327</v>
      </c>
      <c r="O166" s="275">
        <f>SUM(O165:O165)</f>
        <v>0</v>
      </c>
      <c r="P166" s="275">
        <f>SUM(P165:P165)</f>
        <v>0</v>
      </c>
      <c r="Q166" s="275">
        <f>SUM(Q165:Q165)</f>
        <v>0</v>
      </c>
      <c r="R166" s="1085"/>
      <c r="S166" s="275">
        <f>SUM(S165:S165)</f>
        <v>0</v>
      </c>
      <c r="T166" s="1116">
        <f>SUM(T165:T165)</f>
        <v>0</v>
      </c>
      <c r="U166" s="275">
        <f>SUM(U165:U165)</f>
        <v>0</v>
      </c>
      <c r="V166" s="276"/>
      <c r="W166" s="275">
        <f>SUM(W165:W165)</f>
        <v>0</v>
      </c>
      <c r="X166" s="1115"/>
      <c r="Y166" s="1116">
        <f>SUM(Y165:Y165)</f>
        <v>0</v>
      </c>
      <c r="Z166" s="276"/>
      <c r="AA166" s="275">
        <f t="shared" ref="AA166:AN166" si="186">SUM(AA165:AA165)</f>
        <v>0</v>
      </c>
      <c r="AB166" s="1131">
        <f t="shared" si="186"/>
        <v>0</v>
      </c>
      <c r="AC166" s="275">
        <f t="shared" si="186"/>
        <v>0</v>
      </c>
      <c r="AD166" s="275">
        <f t="shared" si="186"/>
        <v>0</v>
      </c>
      <c r="AE166" s="275">
        <f t="shared" si="186"/>
        <v>0</v>
      </c>
      <c r="AF166" s="1116">
        <f t="shared" si="186"/>
        <v>0</v>
      </c>
      <c r="AG166" s="1146">
        <f t="shared" si="186"/>
        <v>0</v>
      </c>
      <c r="AH166" s="1116">
        <f t="shared" si="186"/>
        <v>0</v>
      </c>
      <c r="AI166" s="1116">
        <f t="shared" si="186"/>
        <v>0</v>
      </c>
      <c r="AJ166" s="1116">
        <f t="shared" si="186"/>
        <v>0</v>
      </c>
      <c r="AK166" s="275">
        <f>SUM(AJ165:AJ165)</f>
        <v>0</v>
      </c>
      <c r="AL166" s="275">
        <f t="shared" si="186"/>
        <v>0</v>
      </c>
      <c r="AM166" s="275">
        <f t="shared" si="186"/>
        <v>5175.1021630377327</v>
      </c>
      <c r="AN166" s="275">
        <f t="shared" si="186"/>
        <v>0</v>
      </c>
    </row>
    <row r="167" spans="2:40" s="258" customFormat="1" ht="30" customHeight="1" x14ac:dyDescent="0.25">
      <c r="B167" s="257">
        <v>0</v>
      </c>
      <c r="C167" s="259" t="s">
        <v>7119</v>
      </c>
      <c r="D167" s="259" t="s">
        <v>2681</v>
      </c>
      <c r="E167" s="259" t="s">
        <v>2757</v>
      </c>
      <c r="F167" s="259" t="s">
        <v>2758</v>
      </c>
      <c r="G167" s="259" t="s">
        <v>2776</v>
      </c>
      <c r="H167" s="266">
        <v>1</v>
      </c>
      <c r="I167" s="257">
        <v>40</v>
      </c>
      <c r="J167" s="257" t="s">
        <v>2636</v>
      </c>
      <c r="K167" s="257">
        <v>0</v>
      </c>
      <c r="L167" s="261">
        <v>0</v>
      </c>
      <c r="M167" s="257">
        <v>8</v>
      </c>
      <c r="N167" s="262">
        <f>M167*AN116+0.01</f>
        <v>5563.5294278594429</v>
      </c>
      <c r="O167" s="280">
        <v>0</v>
      </c>
      <c r="P167" s="280">
        <v>0</v>
      </c>
      <c r="Q167" s="280">
        <v>0</v>
      </c>
      <c r="R167" s="263">
        <v>0</v>
      </c>
      <c r="S167" s="264">
        <f>N167*R167</f>
        <v>0</v>
      </c>
      <c r="T167" s="1114">
        <v>0</v>
      </c>
      <c r="U167" s="264">
        <v>0</v>
      </c>
      <c r="V167" s="265">
        <v>0</v>
      </c>
      <c r="W167" s="264">
        <f>N167*V167</f>
        <v>0</v>
      </c>
      <c r="X167" s="1113">
        <f>51.18/4794.24</f>
        <v>1.0675310372446936E-2</v>
      </c>
      <c r="Y167" s="1114">
        <f>N167*X167</f>
        <v>59.392403408641684</v>
      </c>
      <c r="Z167" s="265">
        <v>0</v>
      </c>
      <c r="AA167" s="264">
        <f>N167*Z167</f>
        <v>0</v>
      </c>
      <c r="AB167" s="1130">
        <v>0</v>
      </c>
      <c r="AC167" s="264">
        <v>0</v>
      </c>
      <c r="AD167" s="264">
        <v>0</v>
      </c>
      <c r="AE167" s="264">
        <v>0</v>
      </c>
      <c r="AF167" s="1114">
        <v>0</v>
      </c>
      <c r="AG167" s="1145">
        <v>0</v>
      </c>
      <c r="AH167" s="1119">
        <v>0</v>
      </c>
      <c r="AI167" s="1119">
        <v>0</v>
      </c>
      <c r="AJ167" s="1114">
        <v>0</v>
      </c>
      <c r="AK167" s="273">
        <f>(N167+T167+U167)/3</f>
        <v>1854.509809286481</v>
      </c>
      <c r="AL167" s="273">
        <f>AK167*R167</f>
        <v>0</v>
      </c>
      <c r="AM167" s="273">
        <f>N167</f>
        <v>5563.5294278594429</v>
      </c>
      <c r="AN167" s="273">
        <f>AM167*R167</f>
        <v>0</v>
      </c>
    </row>
    <row r="168" spans="2:40" ht="30" hidden="1" customHeight="1" x14ac:dyDescent="0.25">
      <c r="B168" s="1206" t="s">
        <v>2759</v>
      </c>
      <c r="C168" s="1077"/>
      <c r="D168" s="1077"/>
      <c r="E168" s="1077"/>
      <c r="F168" s="1077"/>
      <c r="G168" s="1077"/>
      <c r="H168" s="1077"/>
      <c r="I168" s="1077"/>
      <c r="J168" s="1077"/>
      <c r="K168" s="1077"/>
      <c r="L168" s="1077"/>
      <c r="M168" s="1077"/>
      <c r="N168" s="275">
        <f>SUM(N167:N167)</f>
        <v>5563.5294278594429</v>
      </c>
      <c r="O168" s="275">
        <f>SUM(O167:O167)</f>
        <v>0</v>
      </c>
      <c r="P168" s="275">
        <f>SUM(P167:P167)</f>
        <v>0</v>
      </c>
      <c r="Q168" s="275">
        <f>SUM(Q167:Q167)</f>
        <v>0</v>
      </c>
      <c r="R168" s="1085"/>
      <c r="S168" s="275">
        <f>SUM(S167:S167)</f>
        <v>0</v>
      </c>
      <c r="T168" s="1116">
        <f>SUM(T167:T167)</f>
        <v>0</v>
      </c>
      <c r="U168" s="275">
        <f>SUM(U167:U167)</f>
        <v>0</v>
      </c>
      <c r="V168" s="276"/>
      <c r="W168" s="275">
        <f>SUM(W167:W167)</f>
        <v>0</v>
      </c>
      <c r="X168" s="1115"/>
      <c r="Y168" s="1116">
        <f>SUM(Y167:Y167)</f>
        <v>59.392403408641684</v>
      </c>
      <c r="Z168" s="276"/>
      <c r="AA168" s="275">
        <f t="shared" ref="AA168:AN168" si="187">SUM(AA167:AA167)</f>
        <v>0</v>
      </c>
      <c r="AB168" s="1131">
        <f t="shared" si="187"/>
        <v>0</v>
      </c>
      <c r="AC168" s="275">
        <f t="shared" si="187"/>
        <v>0</v>
      </c>
      <c r="AD168" s="275">
        <f t="shared" si="187"/>
        <v>0</v>
      </c>
      <c r="AE168" s="275">
        <f t="shared" si="187"/>
        <v>0</v>
      </c>
      <c r="AF168" s="1116">
        <f t="shared" si="187"/>
        <v>0</v>
      </c>
      <c r="AG168" s="1146">
        <f t="shared" si="187"/>
        <v>0</v>
      </c>
      <c r="AH168" s="1116">
        <f t="shared" si="187"/>
        <v>0</v>
      </c>
      <c r="AI168" s="1116">
        <f t="shared" si="187"/>
        <v>0</v>
      </c>
      <c r="AJ168" s="1116">
        <f t="shared" si="187"/>
        <v>0</v>
      </c>
      <c r="AK168" s="275">
        <f>SUM(AJ167:AJ167)</f>
        <v>0</v>
      </c>
      <c r="AL168" s="275">
        <f t="shared" si="187"/>
        <v>0</v>
      </c>
      <c r="AM168" s="275">
        <f t="shared" si="187"/>
        <v>5563.5294278594429</v>
      </c>
      <c r="AN168" s="275">
        <f t="shared" si="187"/>
        <v>0</v>
      </c>
    </row>
    <row r="169" spans="2:40" ht="34.5" customHeight="1" x14ac:dyDescent="0.25">
      <c r="B169" s="257">
        <v>479</v>
      </c>
      <c r="C169" s="259" t="s">
        <v>7120</v>
      </c>
      <c r="D169" s="259" t="s">
        <v>2681</v>
      </c>
      <c r="E169" s="259" t="s">
        <v>2739</v>
      </c>
      <c r="F169" s="259" t="s">
        <v>2758</v>
      </c>
      <c r="G169" s="259" t="s">
        <v>2776</v>
      </c>
      <c r="H169" s="266">
        <v>1</v>
      </c>
      <c r="I169" s="257">
        <v>40</v>
      </c>
      <c r="J169" s="257" t="s">
        <v>2638</v>
      </c>
      <c r="K169" s="257">
        <v>0</v>
      </c>
      <c r="L169" s="261">
        <v>37301</v>
      </c>
      <c r="M169" s="257">
        <v>9.1999999999999993</v>
      </c>
      <c r="N169" s="262">
        <f>M169*AN116+0.01</f>
        <v>6398.0573420383589</v>
      </c>
      <c r="O169" s="280">
        <v>0</v>
      </c>
      <c r="P169" s="280">
        <v>0</v>
      </c>
      <c r="Q169" s="280">
        <v>0</v>
      </c>
      <c r="R169" s="263">
        <v>0.18</v>
      </c>
      <c r="S169" s="264">
        <f>N169*R169</f>
        <v>1151.6503215669045</v>
      </c>
      <c r="T169" s="1114">
        <v>0</v>
      </c>
      <c r="U169" s="264">
        <v>0</v>
      </c>
      <c r="V169" s="265">
        <v>0</v>
      </c>
      <c r="W169" s="264">
        <f t="shared" ref="W169:W173" si="188">N169*V169</f>
        <v>0</v>
      </c>
      <c r="X169" s="1113">
        <f>51.18/N169</f>
        <v>7.9993031109181264E-3</v>
      </c>
      <c r="Y169" s="1114">
        <f t="shared" ref="Y169:Y173" si="189">N169*X169</f>
        <v>51.180000000000007</v>
      </c>
      <c r="Z169" s="265">
        <v>0</v>
      </c>
      <c r="AA169" s="264">
        <f t="shared" ref="AA169:AA173" si="190">N169*Z169</f>
        <v>0</v>
      </c>
      <c r="AB169" s="1130">
        <v>0</v>
      </c>
      <c r="AC169" s="264">
        <v>642.34</v>
      </c>
      <c r="AD169" s="264">
        <f>AO$9*(1+3.631%)</f>
        <v>0</v>
      </c>
      <c r="AE169" s="264">
        <v>0</v>
      </c>
      <c r="AF169" s="1114">
        <v>0</v>
      </c>
      <c r="AG169" s="1145">
        <v>0</v>
      </c>
      <c r="AH169" s="1119">
        <v>0</v>
      </c>
      <c r="AI169" s="1119">
        <v>0</v>
      </c>
      <c r="AJ169" s="1114">
        <v>0</v>
      </c>
      <c r="AK169" s="273">
        <f t="shared" ref="AK169:AK173" si="191">(N169+T169+U169)/3</f>
        <v>2132.6857806794528</v>
      </c>
      <c r="AL169" s="273">
        <f>AK169*R169</f>
        <v>383.8834405223015</v>
      </c>
      <c r="AM169" s="273">
        <f t="shared" ref="AM169:AM173" si="192">N169</f>
        <v>6398.0573420383589</v>
      </c>
      <c r="AN169" s="273">
        <f t="shared" ref="AN169:AN173" si="193">AM169*R169</f>
        <v>1151.6503215669045</v>
      </c>
    </row>
    <row r="170" spans="2:40" s="258" customFormat="1" ht="30" customHeight="1" x14ac:dyDescent="0.25">
      <c r="B170" s="257">
        <v>0</v>
      </c>
      <c r="C170" s="259" t="s">
        <v>7121</v>
      </c>
      <c r="D170" s="259" t="s">
        <v>2681</v>
      </c>
      <c r="E170" s="259" t="s">
        <v>2739</v>
      </c>
      <c r="F170" s="259" t="s">
        <v>2758</v>
      </c>
      <c r="G170" s="259" t="s">
        <v>2776</v>
      </c>
      <c r="H170" s="266">
        <v>1</v>
      </c>
      <c r="I170" s="257">
        <v>40</v>
      </c>
      <c r="J170" s="257" t="s">
        <v>2638</v>
      </c>
      <c r="K170" s="257">
        <v>0</v>
      </c>
      <c r="L170" s="261">
        <v>37301</v>
      </c>
      <c r="M170" s="257">
        <v>8</v>
      </c>
      <c r="N170" s="262">
        <f>M170*AN116+0.01</f>
        <v>5563.5294278594429</v>
      </c>
      <c r="O170" s="280">
        <v>0</v>
      </c>
      <c r="P170" s="280">
        <v>0</v>
      </c>
      <c r="Q170" s="280">
        <v>0</v>
      </c>
      <c r="R170" s="263">
        <v>0</v>
      </c>
      <c r="S170" s="264">
        <f t="shared" ref="S170:S173" si="194">N170*R170</f>
        <v>0</v>
      </c>
      <c r="T170" s="1114">
        <v>0</v>
      </c>
      <c r="U170" s="264">
        <v>0</v>
      </c>
      <c r="V170" s="265">
        <v>0</v>
      </c>
      <c r="W170" s="264">
        <f t="shared" si="188"/>
        <v>0</v>
      </c>
      <c r="X170" s="1113">
        <f>47.95/N170</f>
        <v>8.6186297065114423E-3</v>
      </c>
      <c r="Y170" s="1114">
        <f t="shared" si="189"/>
        <v>47.95</v>
      </c>
      <c r="Z170" s="265">
        <v>0</v>
      </c>
      <c r="AA170" s="264">
        <f t="shared" si="190"/>
        <v>0</v>
      </c>
      <c r="AB170" s="1130">
        <v>0</v>
      </c>
      <c r="AC170" s="264">
        <v>0</v>
      </c>
      <c r="AD170" s="264">
        <f>AO$9*(1+3.631%)</f>
        <v>0</v>
      </c>
      <c r="AE170" s="264">
        <v>0</v>
      </c>
      <c r="AF170" s="1114">
        <v>0</v>
      </c>
      <c r="AG170" s="1145">
        <v>0</v>
      </c>
      <c r="AH170" s="1119">
        <v>0</v>
      </c>
      <c r="AI170" s="1119">
        <v>0</v>
      </c>
      <c r="AJ170" s="1114">
        <v>0</v>
      </c>
      <c r="AK170" s="273">
        <f t="shared" si="191"/>
        <v>1854.509809286481</v>
      </c>
      <c r="AL170" s="273">
        <f>AK170*R170</f>
        <v>0</v>
      </c>
      <c r="AM170" s="273">
        <f t="shared" si="192"/>
        <v>5563.5294278594429</v>
      </c>
      <c r="AN170" s="273">
        <f t="shared" si="193"/>
        <v>0</v>
      </c>
    </row>
    <row r="171" spans="2:40" ht="30" hidden="1" customHeight="1" x14ac:dyDescent="0.25">
      <c r="B171" s="257">
        <v>550</v>
      </c>
      <c r="C171" s="267" t="s">
        <v>7122</v>
      </c>
      <c r="D171" s="259" t="s">
        <v>2643</v>
      </c>
      <c r="E171" s="259" t="s">
        <v>2739</v>
      </c>
      <c r="F171" s="259" t="s">
        <v>2758</v>
      </c>
      <c r="G171" s="259" t="s">
        <v>2777</v>
      </c>
      <c r="H171" s="266">
        <v>1</v>
      </c>
      <c r="I171" s="257">
        <v>44</v>
      </c>
      <c r="J171" s="257" t="s">
        <v>2636</v>
      </c>
      <c r="K171" s="257">
        <v>0</v>
      </c>
      <c r="L171" s="261">
        <v>37431</v>
      </c>
      <c r="M171" s="257">
        <v>1.95</v>
      </c>
      <c r="N171" s="262">
        <f>M171*AN116</f>
        <v>1356.107860540739</v>
      </c>
      <c r="O171" s="280">
        <v>0</v>
      </c>
      <c r="P171" s="280">
        <v>0</v>
      </c>
      <c r="Q171" s="280">
        <v>0</v>
      </c>
      <c r="R171" s="263">
        <v>0.18</v>
      </c>
      <c r="S171" s="264">
        <f t="shared" si="194"/>
        <v>244.09941489733302</v>
      </c>
      <c r="T171" s="1114">
        <v>0</v>
      </c>
      <c r="U171" s="264">
        <v>0</v>
      </c>
      <c r="V171" s="265">
        <v>0</v>
      </c>
      <c r="W171" s="264">
        <f t="shared" si="188"/>
        <v>0</v>
      </c>
      <c r="X171" s="1113">
        <f>127.94/N171</f>
        <v>9.4343528064931917E-2</v>
      </c>
      <c r="Y171" s="1114">
        <f t="shared" si="189"/>
        <v>127.93999999999998</v>
      </c>
      <c r="Z171" s="265">
        <v>0</v>
      </c>
      <c r="AA171" s="271">
        <f t="shared" si="190"/>
        <v>0</v>
      </c>
      <c r="AB171" s="1130">
        <v>0</v>
      </c>
      <c r="AC171" s="264">
        <f>AN116*(0%)</f>
        <v>0</v>
      </c>
      <c r="AD171" s="264">
        <f t="shared" ref="AD171:AD173" si="195">AO$9*(0%)</f>
        <v>0</v>
      </c>
      <c r="AE171" s="264">
        <v>0</v>
      </c>
      <c r="AF171" s="1114">
        <v>0</v>
      </c>
      <c r="AG171" s="1145">
        <v>0</v>
      </c>
      <c r="AH171" s="1119">
        <v>0</v>
      </c>
      <c r="AI171" s="1119">
        <v>0</v>
      </c>
      <c r="AJ171" s="1114">
        <v>0</v>
      </c>
      <c r="AK171" s="273">
        <f t="shared" si="191"/>
        <v>452.03595351357967</v>
      </c>
      <c r="AL171" s="273">
        <f>AK171*R171</f>
        <v>81.366471632444345</v>
      </c>
      <c r="AM171" s="273">
        <f t="shared" si="192"/>
        <v>1356.107860540739</v>
      </c>
      <c r="AN171" s="273">
        <f t="shared" si="193"/>
        <v>244.09941489733302</v>
      </c>
    </row>
    <row r="172" spans="2:40" ht="30" hidden="1" customHeight="1" x14ac:dyDescent="0.25">
      <c r="B172" s="257">
        <v>731</v>
      </c>
      <c r="C172" s="259" t="s">
        <v>2660</v>
      </c>
      <c r="D172" s="259" t="s">
        <v>2661</v>
      </c>
      <c r="E172" s="259" t="s">
        <v>2739</v>
      </c>
      <c r="F172" s="259" t="s">
        <v>2758</v>
      </c>
      <c r="G172" s="259" t="s">
        <v>2779</v>
      </c>
      <c r="H172" s="266">
        <v>1</v>
      </c>
      <c r="I172" s="257">
        <v>44</v>
      </c>
      <c r="J172" s="257" t="s">
        <v>2648</v>
      </c>
      <c r="K172" s="257">
        <v>0</v>
      </c>
      <c r="L172" s="261">
        <v>38110</v>
      </c>
      <c r="M172" s="257">
        <v>2.14</v>
      </c>
      <c r="N172" s="262">
        <f>M172*AN116</f>
        <v>1488.241446952401</v>
      </c>
      <c r="O172" s="280">
        <v>0</v>
      </c>
      <c r="P172" s="280">
        <v>0</v>
      </c>
      <c r="Q172" s="280">
        <v>0</v>
      </c>
      <c r="R172" s="263">
        <v>0.16</v>
      </c>
      <c r="S172" s="264">
        <f t="shared" si="194"/>
        <v>238.11863151238416</v>
      </c>
      <c r="T172" s="1114">
        <v>0</v>
      </c>
      <c r="U172" s="264">
        <v>0</v>
      </c>
      <c r="V172" s="265">
        <v>0</v>
      </c>
      <c r="W172" s="264">
        <f t="shared" si="188"/>
        <v>0</v>
      </c>
      <c r="X172" s="1113">
        <f>127.94/N172</f>
        <v>8.5967233517110844E-2</v>
      </c>
      <c r="Y172" s="1114">
        <f t="shared" si="189"/>
        <v>127.93999999999998</v>
      </c>
      <c r="Z172" s="265">
        <v>0</v>
      </c>
      <c r="AA172" s="271">
        <f t="shared" si="190"/>
        <v>0</v>
      </c>
      <c r="AB172" s="1130">
        <f>N172*(10.1875%)</f>
        <v>151.61459740827584</v>
      </c>
      <c r="AC172" s="264">
        <f>AN116*(0%)</f>
        <v>0</v>
      </c>
      <c r="AD172" s="264">
        <f t="shared" si="195"/>
        <v>0</v>
      </c>
      <c r="AE172" s="264">
        <v>0</v>
      </c>
      <c r="AF172" s="1114">
        <v>0</v>
      </c>
      <c r="AG172" s="1145">
        <v>0</v>
      </c>
      <c r="AH172" s="1119">
        <v>0</v>
      </c>
      <c r="AI172" s="1119">
        <v>0</v>
      </c>
      <c r="AJ172" s="1114">
        <v>0</v>
      </c>
      <c r="AK172" s="273">
        <f t="shared" si="191"/>
        <v>496.08048231746699</v>
      </c>
      <c r="AL172" s="273">
        <f>AK172*R172</f>
        <v>79.372877170794723</v>
      </c>
      <c r="AM172" s="273">
        <f t="shared" si="192"/>
        <v>1488.241446952401</v>
      </c>
      <c r="AN172" s="273">
        <f t="shared" si="193"/>
        <v>238.11863151238416</v>
      </c>
    </row>
    <row r="173" spans="2:40" s="258" customFormat="1" ht="30" hidden="1" customHeight="1" x14ac:dyDescent="0.25">
      <c r="B173" s="257">
        <v>1570</v>
      </c>
      <c r="C173" s="259" t="s">
        <v>2662</v>
      </c>
      <c r="D173" s="259" t="s">
        <v>2661</v>
      </c>
      <c r="E173" s="259"/>
      <c r="F173" s="259" t="s">
        <v>2633</v>
      </c>
      <c r="G173" s="259" t="s">
        <v>2777</v>
      </c>
      <c r="H173" s="266">
        <v>1</v>
      </c>
      <c r="I173" s="257">
        <v>44</v>
      </c>
      <c r="J173" s="257" t="s">
        <v>2634</v>
      </c>
      <c r="K173" s="257">
        <v>0</v>
      </c>
      <c r="L173" s="261">
        <v>40882</v>
      </c>
      <c r="M173" s="257">
        <v>2.06</v>
      </c>
      <c r="N173" s="262">
        <f>M173*AN116</f>
        <v>1432.6062526738065</v>
      </c>
      <c r="O173" s="280">
        <v>0</v>
      </c>
      <c r="P173" s="280">
        <v>0</v>
      </c>
      <c r="Q173" s="280">
        <v>0</v>
      </c>
      <c r="R173" s="263">
        <v>0.08</v>
      </c>
      <c r="S173" s="264">
        <f t="shared" si="194"/>
        <v>114.60850021390452</v>
      </c>
      <c r="T173" s="1114">
        <v>0</v>
      </c>
      <c r="U173" s="264">
        <v>0</v>
      </c>
      <c r="V173" s="265">
        <v>0</v>
      </c>
      <c r="W173" s="264">
        <f t="shared" si="188"/>
        <v>0</v>
      </c>
      <c r="X173" s="1113">
        <f>127.94/N173</f>
        <v>8.9305766857581181E-2</v>
      </c>
      <c r="Y173" s="1114">
        <f t="shared" si="189"/>
        <v>127.94</v>
      </c>
      <c r="Z173" s="265">
        <v>0</v>
      </c>
      <c r="AA173" s="271">
        <f t="shared" si="190"/>
        <v>0</v>
      </c>
      <c r="AB173" s="1130">
        <f>N173*(8.2728%)</f>
        <v>118.51665007119865</v>
      </c>
      <c r="AC173" s="264">
        <f>AN116*(0%)</f>
        <v>0</v>
      </c>
      <c r="AD173" s="264">
        <f t="shared" si="195"/>
        <v>0</v>
      </c>
      <c r="AE173" s="264">
        <v>0</v>
      </c>
      <c r="AF173" s="1114">
        <v>0</v>
      </c>
      <c r="AG173" s="1145">
        <v>0</v>
      </c>
      <c r="AH173" s="1119">
        <v>0</v>
      </c>
      <c r="AI173" s="1119">
        <v>0</v>
      </c>
      <c r="AJ173" s="1114">
        <v>0</v>
      </c>
      <c r="AK173" s="273">
        <f t="shared" si="191"/>
        <v>477.53541755793549</v>
      </c>
      <c r="AL173" s="273">
        <f>AK173*R173</f>
        <v>38.202833404634838</v>
      </c>
      <c r="AM173" s="273">
        <f t="shared" si="192"/>
        <v>1432.6062526738065</v>
      </c>
      <c r="AN173" s="273">
        <f t="shared" si="193"/>
        <v>114.60850021390452</v>
      </c>
    </row>
    <row r="174" spans="2:40" s="274" customFormat="1" ht="30" hidden="1" customHeight="1" x14ac:dyDescent="0.25">
      <c r="B174" s="1206" t="s">
        <v>2747</v>
      </c>
      <c r="C174" s="1077"/>
      <c r="D174" s="1077"/>
      <c r="E174" s="1077"/>
      <c r="F174" s="1077"/>
      <c r="G174" s="1077"/>
      <c r="H174" s="1077"/>
      <c r="I174" s="1077"/>
      <c r="J174" s="1077"/>
      <c r="K174" s="1077"/>
      <c r="L174" s="1077"/>
      <c r="M174" s="1077"/>
      <c r="N174" s="275">
        <f>SUM(N169:N173)</f>
        <v>16238.542330064747</v>
      </c>
      <c r="O174" s="275">
        <f>SUM(O169:O173)</f>
        <v>0</v>
      </c>
      <c r="P174" s="275">
        <f>SUM(P169:P173)</f>
        <v>0</v>
      </c>
      <c r="Q174" s="275">
        <f>SUM(Q169:Q173)</f>
        <v>0</v>
      </c>
      <c r="R174" s="1085"/>
      <c r="S174" s="275">
        <f>SUM(S169:S173)</f>
        <v>1748.4768681905261</v>
      </c>
      <c r="T174" s="1116">
        <f>SUM(T169:T173)</f>
        <v>0</v>
      </c>
      <c r="U174" s="275">
        <f>SUM(U169:U173)</f>
        <v>0</v>
      </c>
      <c r="V174" s="276"/>
      <c r="W174" s="275">
        <f>SUM(W169:W173)</f>
        <v>0</v>
      </c>
      <c r="X174" s="1115"/>
      <c r="Y174" s="1116">
        <f>SUM(Y169:Y173)</f>
        <v>482.95</v>
      </c>
      <c r="Z174" s="276"/>
      <c r="AA174" s="275">
        <f t="shared" ref="AA174:AN174" si="196">SUM(AA169:AA173)</f>
        <v>0</v>
      </c>
      <c r="AB174" s="1131">
        <f t="shared" si="196"/>
        <v>270.1312474794745</v>
      </c>
      <c r="AC174" s="275">
        <f t="shared" si="196"/>
        <v>642.34</v>
      </c>
      <c r="AD174" s="275">
        <f t="shared" si="196"/>
        <v>0</v>
      </c>
      <c r="AE174" s="275">
        <f t="shared" si="196"/>
        <v>0</v>
      </c>
      <c r="AF174" s="1116">
        <f t="shared" si="196"/>
        <v>0</v>
      </c>
      <c r="AG174" s="1146">
        <f t="shared" si="196"/>
        <v>0</v>
      </c>
      <c r="AH174" s="1116">
        <f t="shared" si="196"/>
        <v>0</v>
      </c>
      <c r="AI174" s="1116">
        <f t="shared" si="196"/>
        <v>0</v>
      </c>
      <c r="AJ174" s="1116">
        <f t="shared" si="196"/>
        <v>0</v>
      </c>
      <c r="AK174" s="275">
        <f>SUM(AJ169:AJ173)</f>
        <v>0</v>
      </c>
      <c r="AL174" s="275">
        <f t="shared" si="196"/>
        <v>582.82562273017538</v>
      </c>
      <c r="AM174" s="275">
        <f t="shared" si="196"/>
        <v>16238.542330064747</v>
      </c>
      <c r="AN174" s="275">
        <f t="shared" si="196"/>
        <v>1748.4768681905261</v>
      </c>
    </row>
    <row r="175" spans="2:40" s="274" customFormat="1" ht="30" hidden="1" customHeight="1" x14ac:dyDescent="0.25">
      <c r="B175" s="257">
        <v>2246</v>
      </c>
      <c r="C175" s="267" t="s">
        <v>7123</v>
      </c>
      <c r="D175" s="267" t="s">
        <v>2762</v>
      </c>
      <c r="E175" s="267" t="s">
        <v>2723</v>
      </c>
      <c r="F175" s="267" t="s">
        <v>2758</v>
      </c>
      <c r="G175" s="259" t="s">
        <v>2779</v>
      </c>
      <c r="H175" s="257">
        <v>1</v>
      </c>
      <c r="I175" s="257">
        <v>40</v>
      </c>
      <c r="J175" s="257">
        <v>0</v>
      </c>
      <c r="K175" s="257">
        <v>0</v>
      </c>
      <c r="L175" s="261">
        <v>43206</v>
      </c>
      <c r="M175" s="260">
        <v>3.2</v>
      </c>
      <c r="N175" s="280">
        <f>AN116*M175+0.01</f>
        <v>2225.4177711437774</v>
      </c>
      <c r="O175" s="280">
        <v>0</v>
      </c>
      <c r="P175" s="280">
        <v>0</v>
      </c>
      <c r="Q175" s="280">
        <v>0</v>
      </c>
      <c r="R175" s="281">
        <v>0</v>
      </c>
      <c r="S175" s="271">
        <f>N175*R175</f>
        <v>0</v>
      </c>
      <c r="T175" s="1114">
        <v>0</v>
      </c>
      <c r="U175" s="271">
        <v>0</v>
      </c>
      <c r="V175" s="282">
        <v>0</v>
      </c>
      <c r="W175" s="264">
        <f>N175*V175</f>
        <v>0</v>
      </c>
      <c r="X175" s="1113">
        <v>0</v>
      </c>
      <c r="Y175" s="1114">
        <v>0</v>
      </c>
      <c r="Z175" s="282">
        <v>0</v>
      </c>
      <c r="AA175" s="271">
        <v>0</v>
      </c>
      <c r="AB175" s="1130">
        <v>0</v>
      </c>
      <c r="AC175" s="271">
        <v>0</v>
      </c>
      <c r="AD175" s="271">
        <v>0</v>
      </c>
      <c r="AE175" s="271">
        <v>0</v>
      </c>
      <c r="AF175" s="1114">
        <v>0</v>
      </c>
      <c r="AG175" s="1145">
        <v>0</v>
      </c>
      <c r="AH175" s="1114">
        <v>0</v>
      </c>
      <c r="AI175" s="1114">
        <v>0</v>
      </c>
      <c r="AJ175" s="1114">
        <v>0</v>
      </c>
      <c r="AK175" s="273">
        <f>(N175+T175+U175)/3</f>
        <v>741.8059237145925</v>
      </c>
      <c r="AL175" s="273">
        <f>AK175*R175</f>
        <v>0</v>
      </c>
      <c r="AM175" s="273">
        <f>N175</f>
        <v>2225.4177711437774</v>
      </c>
      <c r="AN175" s="273">
        <f>AM175*R175</f>
        <v>0</v>
      </c>
    </row>
    <row r="176" spans="2:40" s="274" customFormat="1" ht="30" hidden="1" customHeight="1" x14ac:dyDescent="0.25">
      <c r="B176" s="257">
        <v>2195</v>
      </c>
      <c r="C176" s="267" t="s">
        <v>7124</v>
      </c>
      <c r="D176" s="267" t="s">
        <v>2763</v>
      </c>
      <c r="E176" s="267" t="s">
        <v>2723</v>
      </c>
      <c r="F176" s="267" t="s">
        <v>2758</v>
      </c>
      <c r="G176" s="259" t="s">
        <v>2777</v>
      </c>
      <c r="H176" s="257">
        <v>1</v>
      </c>
      <c r="I176" s="257">
        <v>40</v>
      </c>
      <c r="J176" s="257">
        <v>0</v>
      </c>
      <c r="K176" s="257">
        <v>0</v>
      </c>
      <c r="L176" s="261">
        <v>42996</v>
      </c>
      <c r="M176" s="260">
        <v>3.2</v>
      </c>
      <c r="N176" s="280">
        <f>AN116*M176+0.01</f>
        <v>2225.4177711437774</v>
      </c>
      <c r="O176" s="280">
        <v>0</v>
      </c>
      <c r="P176" s="280">
        <v>0</v>
      </c>
      <c r="Q176" s="280">
        <v>0</v>
      </c>
      <c r="R176" s="281">
        <v>0</v>
      </c>
      <c r="S176" s="271">
        <f>N176*R176</f>
        <v>0</v>
      </c>
      <c r="T176" s="1114">
        <v>0</v>
      </c>
      <c r="U176" s="271">
        <v>0</v>
      </c>
      <c r="V176" s="282">
        <v>0</v>
      </c>
      <c r="W176" s="264">
        <f>N176*V176</f>
        <v>0</v>
      </c>
      <c r="X176" s="1113">
        <v>0</v>
      </c>
      <c r="Y176" s="1114">
        <v>0</v>
      </c>
      <c r="Z176" s="282">
        <v>0</v>
      </c>
      <c r="AA176" s="271">
        <v>0</v>
      </c>
      <c r="AB176" s="1130">
        <v>0</v>
      </c>
      <c r="AC176" s="271">
        <v>0</v>
      </c>
      <c r="AD176" s="271">
        <v>0</v>
      </c>
      <c r="AE176" s="271">
        <v>0</v>
      </c>
      <c r="AF176" s="1114">
        <v>0</v>
      </c>
      <c r="AG176" s="1145">
        <v>0</v>
      </c>
      <c r="AH176" s="1114">
        <v>0</v>
      </c>
      <c r="AI176" s="1114">
        <v>0</v>
      </c>
      <c r="AJ176" s="1114">
        <v>0</v>
      </c>
      <c r="AK176" s="273">
        <f>(N176+T176+U176)/3</f>
        <v>741.8059237145925</v>
      </c>
      <c r="AL176" s="273">
        <f>AK176*R176</f>
        <v>0</v>
      </c>
      <c r="AM176" s="273">
        <f>N176</f>
        <v>2225.4177711437774</v>
      </c>
      <c r="AN176" s="273">
        <f>AM176*R176</f>
        <v>0</v>
      </c>
    </row>
    <row r="177" spans="2:40" s="274" customFormat="1" ht="30" hidden="1" customHeight="1" x14ac:dyDescent="0.25">
      <c r="B177" s="257">
        <v>2247</v>
      </c>
      <c r="C177" s="267" t="s">
        <v>7125</v>
      </c>
      <c r="D177" s="267" t="s">
        <v>2764</v>
      </c>
      <c r="E177" s="267" t="s">
        <v>2723</v>
      </c>
      <c r="F177" s="267" t="s">
        <v>2758</v>
      </c>
      <c r="G177" s="259" t="s">
        <v>2779</v>
      </c>
      <c r="H177" s="257">
        <v>1</v>
      </c>
      <c r="I177" s="257">
        <v>40</v>
      </c>
      <c r="J177" s="257">
        <v>0</v>
      </c>
      <c r="K177" s="257">
        <v>0</v>
      </c>
      <c r="L177" s="261">
        <v>43206</v>
      </c>
      <c r="M177" s="260">
        <v>3.2</v>
      </c>
      <c r="N177" s="280">
        <f>AN116*M177+0.01</f>
        <v>2225.4177711437774</v>
      </c>
      <c r="O177" s="280">
        <v>0</v>
      </c>
      <c r="P177" s="280">
        <v>0</v>
      </c>
      <c r="Q177" s="280">
        <v>0</v>
      </c>
      <c r="R177" s="281">
        <v>0</v>
      </c>
      <c r="S177" s="271">
        <f>N177*R177</f>
        <v>0</v>
      </c>
      <c r="T177" s="1114">
        <v>0</v>
      </c>
      <c r="U177" s="271">
        <v>0</v>
      </c>
      <c r="V177" s="282">
        <v>0</v>
      </c>
      <c r="W177" s="264">
        <f>N177*V177</f>
        <v>0</v>
      </c>
      <c r="X177" s="1113">
        <v>0</v>
      </c>
      <c r="Y177" s="1114">
        <v>0</v>
      </c>
      <c r="Z177" s="282">
        <v>0</v>
      </c>
      <c r="AA177" s="271">
        <v>0</v>
      </c>
      <c r="AB177" s="1130">
        <v>0</v>
      </c>
      <c r="AC177" s="271">
        <v>0</v>
      </c>
      <c r="AD177" s="271">
        <v>0</v>
      </c>
      <c r="AE177" s="271">
        <v>0</v>
      </c>
      <c r="AF177" s="1114">
        <v>0</v>
      </c>
      <c r="AG177" s="1145">
        <v>0</v>
      </c>
      <c r="AH177" s="1114">
        <v>0</v>
      </c>
      <c r="AI177" s="1114">
        <v>0</v>
      </c>
      <c r="AJ177" s="1114">
        <v>0</v>
      </c>
      <c r="AK177" s="273">
        <f>(N177+T177+U177)/3</f>
        <v>741.8059237145925</v>
      </c>
      <c r="AL177" s="273">
        <f>AK177*R177</f>
        <v>0</v>
      </c>
      <c r="AM177" s="273">
        <f>N177</f>
        <v>2225.4177711437774</v>
      </c>
      <c r="AN177" s="273">
        <f>AM177*R177</f>
        <v>0</v>
      </c>
    </row>
    <row r="178" spans="2:40" s="258" customFormat="1" ht="30" hidden="1" customHeight="1" x14ac:dyDescent="0.25">
      <c r="B178" s="257">
        <v>2373</v>
      </c>
      <c r="C178" s="267" t="s">
        <v>7190</v>
      </c>
      <c r="D178" s="267" t="s">
        <v>2764</v>
      </c>
      <c r="E178" s="267" t="s">
        <v>2723</v>
      </c>
      <c r="F178" s="267" t="s">
        <v>2758</v>
      </c>
      <c r="G178" s="259" t="s">
        <v>2779</v>
      </c>
      <c r="H178" s="257">
        <v>1</v>
      </c>
      <c r="I178" s="257">
        <v>40</v>
      </c>
      <c r="J178" s="257">
        <v>0</v>
      </c>
      <c r="K178" s="257">
        <v>0</v>
      </c>
      <c r="L178" s="261">
        <v>43206</v>
      </c>
      <c r="M178" s="260">
        <v>5</v>
      </c>
      <c r="N178" s="280">
        <f>AN116*M178+0.01</f>
        <v>3477.2096424121519</v>
      </c>
      <c r="O178" s="280">
        <v>0</v>
      </c>
      <c r="P178" s="280">
        <v>0</v>
      </c>
      <c r="Q178" s="280">
        <v>0</v>
      </c>
      <c r="R178" s="281">
        <v>0</v>
      </c>
      <c r="S178" s="271">
        <f>N178*R178</f>
        <v>0</v>
      </c>
      <c r="T178" s="1114">
        <v>0</v>
      </c>
      <c r="U178" s="271">
        <v>0</v>
      </c>
      <c r="V178" s="282">
        <v>0</v>
      </c>
      <c r="W178" s="264">
        <f>N178*V178</f>
        <v>0</v>
      </c>
      <c r="X178" s="1113">
        <v>0</v>
      </c>
      <c r="Y178" s="1114">
        <v>0</v>
      </c>
      <c r="Z178" s="282">
        <v>0</v>
      </c>
      <c r="AA178" s="271">
        <v>0</v>
      </c>
      <c r="AB178" s="1130">
        <v>0</v>
      </c>
      <c r="AC178" s="271">
        <v>0</v>
      </c>
      <c r="AD178" s="271">
        <v>0</v>
      </c>
      <c r="AE178" s="271">
        <v>0</v>
      </c>
      <c r="AF178" s="1114">
        <v>0</v>
      </c>
      <c r="AG178" s="1145">
        <v>0</v>
      </c>
      <c r="AH178" s="1114">
        <v>0</v>
      </c>
      <c r="AI178" s="1114">
        <v>0</v>
      </c>
      <c r="AJ178" s="1114">
        <v>0</v>
      </c>
      <c r="AK178" s="273">
        <f>(N178+T178+U178)/3</f>
        <v>1159.0698808040506</v>
      </c>
      <c r="AL178" s="273">
        <f>AK178*R178</f>
        <v>0</v>
      </c>
      <c r="AM178" s="273">
        <f>N178</f>
        <v>3477.2096424121519</v>
      </c>
      <c r="AN178" s="273">
        <f>AM178*R178</f>
        <v>0</v>
      </c>
    </row>
    <row r="179" spans="2:40" ht="30" hidden="1" customHeight="1" x14ac:dyDescent="0.25">
      <c r="B179" s="1077" t="s">
        <v>2755</v>
      </c>
      <c r="C179" s="1077"/>
      <c r="D179" s="1077"/>
      <c r="E179" s="1077"/>
      <c r="F179" s="1077"/>
      <c r="G179" s="1077"/>
      <c r="H179" s="1077"/>
      <c r="I179" s="1077"/>
      <c r="J179" s="1077"/>
      <c r="K179" s="1077"/>
      <c r="L179" s="1077"/>
      <c r="M179" s="1077"/>
      <c r="N179" s="275">
        <f>SUM(N175:N178)</f>
        <v>10153.462955843484</v>
      </c>
      <c r="O179" s="275">
        <f>SUM(O175:O178)</f>
        <v>0</v>
      </c>
      <c r="P179" s="275">
        <f>SUM(P175:P178)</f>
        <v>0</v>
      </c>
      <c r="Q179" s="275">
        <f>SUM(Q175:Q178)</f>
        <v>0</v>
      </c>
      <c r="R179" s="1085"/>
      <c r="S179" s="275">
        <f>SUM(S175:S178)</f>
        <v>0</v>
      </c>
      <c r="T179" s="1116">
        <f>SUM(T175:T178)</f>
        <v>0</v>
      </c>
      <c r="U179" s="275">
        <f>SUM(U175:U178)</f>
        <v>0</v>
      </c>
      <c r="V179" s="276"/>
      <c r="W179" s="275">
        <f>SUM(W175:W178)</f>
        <v>0</v>
      </c>
      <c r="X179" s="1115"/>
      <c r="Y179" s="1116">
        <f>SUM(Y175:Y178)</f>
        <v>0</v>
      </c>
      <c r="Z179" s="276"/>
      <c r="AA179" s="275">
        <f t="shared" ref="AA179:AN179" si="197">SUM(AA175:AA178)</f>
        <v>0</v>
      </c>
      <c r="AB179" s="1131">
        <f t="shared" si="197"/>
        <v>0</v>
      </c>
      <c r="AC179" s="275">
        <f t="shared" si="197"/>
        <v>0</v>
      </c>
      <c r="AD179" s="275">
        <f t="shared" si="197"/>
        <v>0</v>
      </c>
      <c r="AE179" s="275">
        <f t="shared" si="197"/>
        <v>0</v>
      </c>
      <c r="AF179" s="1116">
        <f t="shared" si="197"/>
        <v>0</v>
      </c>
      <c r="AG179" s="1146">
        <f t="shared" si="197"/>
        <v>0</v>
      </c>
      <c r="AH179" s="1116">
        <f t="shared" si="197"/>
        <v>0</v>
      </c>
      <c r="AI179" s="1116">
        <f t="shared" si="197"/>
        <v>0</v>
      </c>
      <c r="AJ179" s="1116">
        <f t="shared" si="197"/>
        <v>0</v>
      </c>
      <c r="AK179" s="275">
        <f>SUM(AJ175:AJ178)</f>
        <v>0</v>
      </c>
      <c r="AL179" s="275">
        <f t="shared" si="197"/>
        <v>0</v>
      </c>
      <c r="AM179" s="275">
        <f t="shared" si="197"/>
        <v>10153.462955843484</v>
      </c>
      <c r="AN179" s="275">
        <f t="shared" si="197"/>
        <v>0</v>
      </c>
    </row>
    <row r="180" spans="2:40" ht="30" hidden="1" customHeight="1" x14ac:dyDescent="0.25">
      <c r="B180" s="257">
        <v>2339</v>
      </c>
      <c r="C180" s="259" t="s">
        <v>2778</v>
      </c>
      <c r="D180" s="259" t="s">
        <v>2654</v>
      </c>
      <c r="E180" s="259" t="s">
        <v>2757</v>
      </c>
      <c r="F180" s="259" t="s">
        <v>2758</v>
      </c>
      <c r="G180" s="259" t="s">
        <v>2779</v>
      </c>
      <c r="H180" s="266">
        <v>1</v>
      </c>
      <c r="I180" s="257">
        <v>40</v>
      </c>
      <c r="J180" s="257" t="s">
        <v>2636</v>
      </c>
      <c r="K180" s="257">
        <v>0</v>
      </c>
      <c r="L180" s="261">
        <v>43567</v>
      </c>
      <c r="M180" s="257">
        <v>2</v>
      </c>
      <c r="N180" s="262">
        <f>M180*AN116+0.01</f>
        <v>1390.8898569648607</v>
      </c>
      <c r="O180" s="280">
        <v>0</v>
      </c>
      <c r="P180" s="280">
        <v>0</v>
      </c>
      <c r="Q180" s="280">
        <v>0</v>
      </c>
      <c r="R180" s="263">
        <v>0</v>
      </c>
      <c r="S180" s="264">
        <f>N180*R180</f>
        <v>0</v>
      </c>
      <c r="T180" s="1114">
        <v>0</v>
      </c>
      <c r="U180" s="264">
        <v>0</v>
      </c>
      <c r="V180" s="265">
        <v>0</v>
      </c>
      <c r="W180" s="264">
        <f>N180*V180</f>
        <v>0</v>
      </c>
      <c r="X180" s="1113">
        <f>76.76/N180</f>
        <v>5.51876912579565E-2</v>
      </c>
      <c r="Y180" s="1114">
        <f>N180*X180</f>
        <v>76.760000000000005</v>
      </c>
      <c r="Z180" s="265">
        <v>0</v>
      </c>
      <c r="AA180" s="264">
        <f>N180*Z180</f>
        <v>0</v>
      </c>
      <c r="AB180" s="1130">
        <f>N180*(0.045%)</f>
        <v>0.62590043563418729</v>
      </c>
      <c r="AC180" s="264">
        <v>0</v>
      </c>
      <c r="AD180" s="264">
        <v>0</v>
      </c>
      <c r="AE180" s="264">
        <f>(211.09/N180)*N180</f>
        <v>211.09</v>
      </c>
      <c r="AF180" s="1114">
        <v>0</v>
      </c>
      <c r="AG180" s="1145">
        <v>0</v>
      </c>
      <c r="AH180" s="1119">
        <v>0</v>
      </c>
      <c r="AI180" s="1119">
        <v>0</v>
      </c>
      <c r="AJ180" s="1114">
        <v>0</v>
      </c>
      <c r="AK180" s="273">
        <f>(N180+T180+U180)/3</f>
        <v>463.62995232162024</v>
      </c>
      <c r="AL180" s="273">
        <f>AK180*R180</f>
        <v>0</v>
      </c>
      <c r="AM180" s="273">
        <f>N180</f>
        <v>1390.8898569648607</v>
      </c>
      <c r="AN180" s="273">
        <f>AM180*R180</f>
        <v>0</v>
      </c>
    </row>
    <row r="181" spans="2:40" ht="30" hidden="1" customHeight="1" x14ac:dyDescent="0.25">
      <c r="B181" s="257">
        <v>2338</v>
      </c>
      <c r="C181" s="259" t="s">
        <v>7192</v>
      </c>
      <c r="D181" s="259" t="s">
        <v>2780</v>
      </c>
      <c r="E181" s="259" t="s">
        <v>2757</v>
      </c>
      <c r="F181" s="259" t="s">
        <v>2758</v>
      </c>
      <c r="G181" s="259" t="s">
        <v>2779</v>
      </c>
      <c r="H181" s="266">
        <v>1</v>
      </c>
      <c r="I181" s="257">
        <v>40</v>
      </c>
      <c r="J181" s="257" t="s">
        <v>2636</v>
      </c>
      <c r="K181" s="257">
        <v>0</v>
      </c>
      <c r="L181" s="261">
        <v>43565</v>
      </c>
      <c r="M181" s="257">
        <v>2.5</v>
      </c>
      <c r="N181" s="262">
        <f>M181*AN116+0.01</f>
        <v>1738.6098212060758</v>
      </c>
      <c r="O181" s="280">
        <v>0</v>
      </c>
      <c r="P181" s="280">
        <v>0</v>
      </c>
      <c r="Q181" s="280">
        <v>0</v>
      </c>
      <c r="R181" s="263">
        <v>0</v>
      </c>
      <c r="S181" s="264">
        <f>N181*R181</f>
        <v>0</v>
      </c>
      <c r="T181" s="1114">
        <v>0</v>
      </c>
      <c r="U181" s="264">
        <v>0</v>
      </c>
      <c r="V181" s="265">
        <v>0</v>
      </c>
      <c r="W181" s="264">
        <f>N181*V181</f>
        <v>0</v>
      </c>
      <c r="X181" s="1113">
        <f>76.76/N181</f>
        <v>4.4150216491214513E-2</v>
      </c>
      <c r="Y181" s="1114">
        <f>N181*X181</f>
        <v>76.760000000000005</v>
      </c>
      <c r="Z181" s="265">
        <v>0</v>
      </c>
      <c r="AA181" s="264">
        <f>N181*Z181</f>
        <v>0</v>
      </c>
      <c r="AB181" s="1130">
        <v>0</v>
      </c>
      <c r="AC181" s="264">
        <v>0</v>
      </c>
      <c r="AD181" s="264">
        <v>0</v>
      </c>
      <c r="AE181" s="264">
        <f>(307.04/N181)*N181</f>
        <v>307.04000000000002</v>
      </c>
      <c r="AF181" s="1114">
        <v>0</v>
      </c>
      <c r="AG181" s="1145">
        <v>0</v>
      </c>
      <c r="AH181" s="1119">
        <v>0</v>
      </c>
      <c r="AI181" s="1119">
        <v>0</v>
      </c>
      <c r="AJ181" s="1114">
        <v>0</v>
      </c>
      <c r="AK181" s="273">
        <f>(N181+T181+U181)/3</f>
        <v>579.53660706869198</v>
      </c>
      <c r="AL181" s="273">
        <f>AK181*R181</f>
        <v>0</v>
      </c>
      <c r="AM181" s="273">
        <f>N181</f>
        <v>1738.6098212060758</v>
      </c>
      <c r="AN181" s="273">
        <f>AM181*R181</f>
        <v>0</v>
      </c>
    </row>
    <row r="182" spans="2:40" ht="30" hidden="1" customHeight="1" x14ac:dyDescent="0.25">
      <c r="B182" s="257">
        <v>2335</v>
      </c>
      <c r="C182" s="259" t="s">
        <v>2781</v>
      </c>
      <c r="D182" s="259" t="s">
        <v>2780</v>
      </c>
      <c r="E182" s="259" t="s">
        <v>2757</v>
      </c>
      <c r="F182" s="259" t="s">
        <v>2758</v>
      </c>
      <c r="G182" s="259" t="s">
        <v>2779</v>
      </c>
      <c r="H182" s="266">
        <v>1</v>
      </c>
      <c r="I182" s="257">
        <v>40</v>
      </c>
      <c r="J182" s="257" t="s">
        <v>2636</v>
      </c>
      <c r="K182" s="257">
        <v>0</v>
      </c>
      <c r="L182" s="261">
        <v>43565</v>
      </c>
      <c r="M182" s="257">
        <v>2.5</v>
      </c>
      <c r="N182" s="262">
        <f>M182*AN116+0.01</f>
        <v>1738.6098212060758</v>
      </c>
      <c r="O182" s="280">
        <v>0</v>
      </c>
      <c r="P182" s="280">
        <v>0</v>
      </c>
      <c r="Q182" s="280">
        <v>0</v>
      </c>
      <c r="R182" s="263">
        <v>0</v>
      </c>
      <c r="S182" s="264">
        <f>N182*R182</f>
        <v>0</v>
      </c>
      <c r="T182" s="1114">
        <v>0</v>
      </c>
      <c r="U182" s="264">
        <v>0</v>
      </c>
      <c r="V182" s="265">
        <v>0</v>
      </c>
      <c r="W182" s="264">
        <f>N182*V182</f>
        <v>0</v>
      </c>
      <c r="X182" s="1113">
        <f>76.76/N182</f>
        <v>4.4150216491214513E-2</v>
      </c>
      <c r="Y182" s="1114">
        <f>N182*X182</f>
        <v>76.760000000000005</v>
      </c>
      <c r="Z182" s="265">
        <v>0</v>
      </c>
      <c r="AA182" s="264">
        <f>N182*Z182</f>
        <v>0</v>
      </c>
      <c r="AB182" s="1130">
        <v>0</v>
      </c>
      <c r="AC182" s="264">
        <v>0</v>
      </c>
      <c r="AD182" s="264">
        <v>0</v>
      </c>
      <c r="AE182" s="264">
        <f>(268.66/N182)*N182</f>
        <v>268.66000000000003</v>
      </c>
      <c r="AF182" s="1114">
        <v>0</v>
      </c>
      <c r="AG182" s="1145">
        <v>0</v>
      </c>
      <c r="AH182" s="1119">
        <v>0</v>
      </c>
      <c r="AI182" s="1119">
        <v>0</v>
      </c>
      <c r="AJ182" s="1114">
        <v>0</v>
      </c>
      <c r="AK182" s="273">
        <f>(N182+T182+U182)/3</f>
        <v>579.53660706869198</v>
      </c>
      <c r="AL182" s="273">
        <f>AK182*R182</f>
        <v>0</v>
      </c>
      <c r="AM182" s="273">
        <f>N182</f>
        <v>1738.6098212060758</v>
      </c>
      <c r="AN182" s="273">
        <f>AM182*R182</f>
        <v>0</v>
      </c>
    </row>
    <row r="183" spans="2:40" s="258" customFormat="1" ht="30" hidden="1" customHeight="1" x14ac:dyDescent="0.25">
      <c r="B183" s="257">
        <v>2337</v>
      </c>
      <c r="C183" s="259" t="str">
        <f>PROPER("PAULO RENATO PETER")</f>
        <v>Paulo Renato Peter</v>
      </c>
      <c r="D183" s="259" t="s">
        <v>2780</v>
      </c>
      <c r="E183" s="259" t="s">
        <v>2757</v>
      </c>
      <c r="F183" s="259" t="s">
        <v>2758</v>
      </c>
      <c r="G183" s="259" t="s">
        <v>2924</v>
      </c>
      <c r="H183" s="266">
        <v>1</v>
      </c>
      <c r="I183" s="257">
        <v>40</v>
      </c>
      <c r="J183" s="257" t="s">
        <v>2636</v>
      </c>
      <c r="K183" s="257">
        <v>0</v>
      </c>
      <c r="L183" s="261">
        <v>43565</v>
      </c>
      <c r="M183" s="257">
        <v>2.5</v>
      </c>
      <c r="N183" s="262">
        <f>M183*AN116+0.01</f>
        <v>1738.6098212060758</v>
      </c>
      <c r="O183" s="280">
        <v>0</v>
      </c>
      <c r="P183" s="280">
        <v>0</v>
      </c>
      <c r="Q183" s="280">
        <v>0</v>
      </c>
      <c r="R183" s="263">
        <v>0</v>
      </c>
      <c r="S183" s="264">
        <f>N183*R183</f>
        <v>0</v>
      </c>
      <c r="T183" s="1114">
        <v>0</v>
      </c>
      <c r="U183" s="264">
        <v>0</v>
      </c>
      <c r="V183" s="265">
        <v>0</v>
      </c>
      <c r="W183" s="264">
        <f>N183*V183</f>
        <v>0</v>
      </c>
      <c r="X183" s="1113">
        <f>76.76/N183</f>
        <v>4.4150216491214513E-2</v>
      </c>
      <c r="Y183" s="1114">
        <f>N183*X183</f>
        <v>76.760000000000005</v>
      </c>
      <c r="Z183" s="265">
        <v>0</v>
      </c>
      <c r="AA183" s="264">
        <f>N183*Z183</f>
        <v>0</v>
      </c>
      <c r="AB183" s="1130">
        <v>0</v>
      </c>
      <c r="AC183" s="264">
        <v>0</v>
      </c>
      <c r="AD183" s="264">
        <v>0</v>
      </c>
      <c r="AE183" s="264">
        <f>(230.28/N183)*N183</f>
        <v>230.28000000000003</v>
      </c>
      <c r="AF183" s="1114">
        <v>0</v>
      </c>
      <c r="AG183" s="1145">
        <v>0</v>
      </c>
      <c r="AH183" s="1119">
        <v>0</v>
      </c>
      <c r="AI183" s="1119">
        <v>0</v>
      </c>
      <c r="AJ183" s="1114">
        <v>0</v>
      </c>
      <c r="AK183" s="273">
        <f>(N183+T183+U183)/3</f>
        <v>579.53660706869198</v>
      </c>
      <c r="AL183" s="273">
        <f>AK183*R183</f>
        <v>0</v>
      </c>
      <c r="AM183" s="273">
        <f>N183</f>
        <v>1738.6098212060758</v>
      </c>
      <c r="AN183" s="273">
        <f>AM183*R183</f>
        <v>0</v>
      </c>
    </row>
    <row r="184" spans="2:40" s="258" customFormat="1" ht="30" hidden="1" customHeight="1" x14ac:dyDescent="0.25">
      <c r="B184" s="257">
        <v>2336</v>
      </c>
      <c r="C184" s="259" t="s">
        <v>7193</v>
      </c>
      <c r="D184" s="259" t="s">
        <v>2780</v>
      </c>
      <c r="E184" s="259" t="s">
        <v>2757</v>
      </c>
      <c r="F184" s="259" t="s">
        <v>2758</v>
      </c>
      <c r="G184" s="259" t="s">
        <v>2779</v>
      </c>
      <c r="H184" s="266">
        <v>1</v>
      </c>
      <c r="I184" s="257">
        <v>40</v>
      </c>
      <c r="J184" s="257" t="s">
        <v>2636</v>
      </c>
      <c r="K184" s="257">
        <v>0</v>
      </c>
      <c r="L184" s="261">
        <v>43565</v>
      </c>
      <c r="M184" s="257">
        <v>2.5</v>
      </c>
      <c r="N184" s="262">
        <f>M184*AN116+0.01</f>
        <v>1738.6098212060758</v>
      </c>
      <c r="O184" s="280">
        <v>0</v>
      </c>
      <c r="P184" s="280">
        <v>0</v>
      </c>
      <c r="Q184" s="280">
        <v>0</v>
      </c>
      <c r="R184" s="263">
        <v>0</v>
      </c>
      <c r="S184" s="264">
        <f>N184*R184</f>
        <v>0</v>
      </c>
      <c r="T184" s="1114">
        <v>0</v>
      </c>
      <c r="U184" s="264">
        <v>0</v>
      </c>
      <c r="V184" s="265">
        <v>0</v>
      </c>
      <c r="W184" s="264">
        <f>N184*V184</f>
        <v>0</v>
      </c>
      <c r="X184" s="1113">
        <f>76.76/N184</f>
        <v>4.4150216491214513E-2</v>
      </c>
      <c r="Y184" s="1114">
        <f>N184*X184</f>
        <v>76.760000000000005</v>
      </c>
      <c r="Z184" s="265">
        <v>0</v>
      </c>
      <c r="AA184" s="264">
        <f>N184*Z184</f>
        <v>0</v>
      </c>
      <c r="AB184" s="1130">
        <v>0</v>
      </c>
      <c r="AC184" s="264">
        <v>0</v>
      </c>
      <c r="AD184" s="264">
        <v>0</v>
      </c>
      <c r="AE184" s="264">
        <f>(307.04/N184)*N184</f>
        <v>307.04000000000002</v>
      </c>
      <c r="AF184" s="1114">
        <v>0</v>
      </c>
      <c r="AG184" s="1145">
        <v>0</v>
      </c>
      <c r="AH184" s="1119">
        <v>0</v>
      </c>
      <c r="AI184" s="1119">
        <v>0</v>
      </c>
      <c r="AJ184" s="1114">
        <v>0</v>
      </c>
      <c r="AK184" s="273">
        <f>(N184+T184+U184)/3</f>
        <v>579.53660706869198</v>
      </c>
      <c r="AL184" s="273">
        <f>AK184*R184</f>
        <v>0</v>
      </c>
      <c r="AM184" s="273">
        <f>N184</f>
        <v>1738.6098212060758</v>
      </c>
      <c r="AN184" s="273">
        <f>AM184*R184</f>
        <v>0</v>
      </c>
    </row>
    <row r="185" spans="2:40" ht="30" hidden="1" customHeight="1" x14ac:dyDescent="0.25">
      <c r="B185" s="1206" t="s">
        <v>2759</v>
      </c>
      <c r="C185" s="1077"/>
      <c r="D185" s="1077"/>
      <c r="E185" s="1077"/>
      <c r="F185" s="1077"/>
      <c r="G185" s="1077"/>
      <c r="H185" s="1077"/>
      <c r="I185" s="1077"/>
      <c r="J185" s="1077"/>
      <c r="K185" s="1077"/>
      <c r="L185" s="1077"/>
      <c r="M185" s="1077"/>
      <c r="N185" s="275">
        <f>SUM(N180:N184)</f>
        <v>8345.3291417891633</v>
      </c>
      <c r="O185" s="275">
        <f>SUM(O180:O184)</f>
        <v>0</v>
      </c>
      <c r="P185" s="275">
        <f>SUM(P180:P184)</f>
        <v>0</v>
      </c>
      <c r="Q185" s="275">
        <f>SUM(Q180:Q184)</f>
        <v>0</v>
      </c>
      <c r="R185" s="1085"/>
      <c r="S185" s="275">
        <f>SUM(S180:S184)</f>
        <v>0</v>
      </c>
      <c r="T185" s="1116">
        <f>SUM(T180:T184)</f>
        <v>0</v>
      </c>
      <c r="U185" s="275">
        <f>SUM(U180:U184)</f>
        <v>0</v>
      </c>
      <c r="V185" s="276"/>
      <c r="W185" s="275">
        <f>SUM(W180:W184)</f>
        <v>0</v>
      </c>
      <c r="X185" s="1115"/>
      <c r="Y185" s="1116">
        <f>SUM(Y180:Y184)</f>
        <v>383.8</v>
      </c>
      <c r="Z185" s="276"/>
      <c r="AA185" s="275">
        <f>SUM(AA180:AA184)</f>
        <v>0</v>
      </c>
      <c r="AB185" s="1131">
        <f>SUM(AB180:AB184)</f>
        <v>0.62590043563418729</v>
      </c>
      <c r="AC185" s="275">
        <f>SUM(AC180:AC184)</f>
        <v>0</v>
      </c>
      <c r="AD185" s="275">
        <f>SUM(AD180:AD184)</f>
        <v>0</v>
      </c>
      <c r="AE185" s="275">
        <f>SUM(AE180:AE184)</f>
        <v>1324.11</v>
      </c>
      <c r="AF185" s="1116">
        <f t="shared" ref="AF185:AN185" si="198">SUM(AF180:AF184)</f>
        <v>0</v>
      </c>
      <c r="AG185" s="1146">
        <f t="shared" si="198"/>
        <v>0</v>
      </c>
      <c r="AH185" s="1116">
        <f t="shared" si="198"/>
        <v>0</v>
      </c>
      <c r="AI185" s="1116">
        <f t="shared" si="198"/>
        <v>0</v>
      </c>
      <c r="AJ185" s="1116">
        <f t="shared" si="198"/>
        <v>0</v>
      </c>
      <c r="AK185" s="275">
        <f>SUM(AJ180:AJ184)</f>
        <v>0</v>
      </c>
      <c r="AL185" s="275">
        <f t="shared" si="198"/>
        <v>0</v>
      </c>
      <c r="AM185" s="275">
        <f t="shared" si="198"/>
        <v>8345.3291417891633</v>
      </c>
      <c r="AN185" s="275">
        <f t="shared" si="198"/>
        <v>0</v>
      </c>
    </row>
    <row r="186" spans="2:40" ht="30" hidden="1" customHeight="1" x14ac:dyDescent="0.25">
      <c r="B186" s="257">
        <v>0</v>
      </c>
      <c r="C186" s="259" t="s">
        <v>7119</v>
      </c>
      <c r="D186" s="259" t="s">
        <v>2669</v>
      </c>
      <c r="E186" s="259" t="s">
        <v>2739</v>
      </c>
      <c r="F186" s="259" t="s">
        <v>2758</v>
      </c>
      <c r="G186" s="259" t="s">
        <v>2779</v>
      </c>
      <c r="H186" s="266">
        <v>1</v>
      </c>
      <c r="I186" s="257">
        <v>44</v>
      </c>
      <c r="J186" s="257" t="s">
        <v>2636</v>
      </c>
      <c r="K186" s="257">
        <v>0</v>
      </c>
      <c r="L186" s="261">
        <v>0</v>
      </c>
      <c r="M186" s="257">
        <v>2.5</v>
      </c>
      <c r="N186" s="262">
        <f>M186*AN116</f>
        <v>1738.5998212060758</v>
      </c>
      <c r="O186" s="280">
        <v>0</v>
      </c>
      <c r="P186" s="280">
        <v>0</v>
      </c>
      <c r="Q186" s="280">
        <v>0</v>
      </c>
      <c r="R186" s="263">
        <v>0</v>
      </c>
      <c r="S186" s="264">
        <f t="shared" ref="S186:S194" si="199">N186*R186</f>
        <v>0</v>
      </c>
      <c r="T186" s="1114">
        <v>0</v>
      </c>
      <c r="U186" s="264">
        <v>0</v>
      </c>
      <c r="V186" s="265">
        <v>0</v>
      </c>
      <c r="W186" s="264">
        <f t="shared" ref="W186:W194" si="200">N186*V186</f>
        <v>0</v>
      </c>
      <c r="X186" s="1113">
        <f>76.76/N186</f>
        <v>4.4150470432437521E-2</v>
      </c>
      <c r="Y186" s="1114">
        <f t="shared" ref="Y186:Y194" si="201">N186*X186</f>
        <v>76.760000000000005</v>
      </c>
      <c r="Z186" s="265">
        <v>0</v>
      </c>
      <c r="AA186" s="264">
        <f t="shared" ref="AA186:AA194" si="202">N186*Z186</f>
        <v>0</v>
      </c>
      <c r="AB186" s="1130">
        <v>0</v>
      </c>
      <c r="AC186" s="264">
        <v>0</v>
      </c>
      <c r="AD186" s="264">
        <v>0</v>
      </c>
      <c r="AE186" s="264">
        <f>(0/N186)*N186</f>
        <v>0</v>
      </c>
      <c r="AF186" s="1114">
        <v>0</v>
      </c>
      <c r="AG186" s="1145">
        <v>0</v>
      </c>
      <c r="AH186" s="1119">
        <v>0</v>
      </c>
      <c r="AI186" s="1119">
        <v>0</v>
      </c>
      <c r="AJ186" s="1114">
        <v>0</v>
      </c>
      <c r="AK186" s="273">
        <f t="shared" ref="AK186:AK194" si="203">(N186+T186+U186)/3</f>
        <v>579.53327373535865</v>
      </c>
      <c r="AL186" s="273">
        <f t="shared" ref="AL186:AL194" si="204">AK186*R186</f>
        <v>0</v>
      </c>
      <c r="AM186" s="273">
        <f t="shared" ref="AM186:AM194" si="205">N186</f>
        <v>1738.5998212060758</v>
      </c>
      <c r="AN186" s="273">
        <f t="shared" ref="AN186:AN194" si="206">AM186*R186</f>
        <v>0</v>
      </c>
    </row>
    <row r="187" spans="2:40" ht="30" hidden="1" customHeight="1" x14ac:dyDescent="0.25">
      <c r="B187" s="257">
        <v>1536</v>
      </c>
      <c r="C187" s="259" t="s">
        <v>2670</v>
      </c>
      <c r="D187" s="259" t="s">
        <v>2669</v>
      </c>
      <c r="E187" s="259" t="s">
        <v>2739</v>
      </c>
      <c r="F187" s="259" t="s">
        <v>2758</v>
      </c>
      <c r="G187" s="259" t="s">
        <v>2779</v>
      </c>
      <c r="H187" s="266">
        <v>1</v>
      </c>
      <c r="I187" s="257">
        <v>44</v>
      </c>
      <c r="J187" s="257" t="s">
        <v>2634</v>
      </c>
      <c r="K187" s="257">
        <v>0</v>
      </c>
      <c r="L187" s="261">
        <v>40809</v>
      </c>
      <c r="M187" s="257">
        <v>2.62</v>
      </c>
      <c r="N187" s="262">
        <f>M187*AN116</f>
        <v>1822.0526126239674</v>
      </c>
      <c r="O187" s="280">
        <v>0</v>
      </c>
      <c r="P187" s="280">
        <v>0</v>
      </c>
      <c r="Q187" s="280">
        <v>0</v>
      </c>
      <c r="R187" s="263">
        <v>0.08</v>
      </c>
      <c r="S187" s="264">
        <f t="shared" si="199"/>
        <v>145.76420900991741</v>
      </c>
      <c r="T187" s="1114">
        <v>0</v>
      </c>
      <c r="U187" s="264">
        <v>0</v>
      </c>
      <c r="V187" s="265">
        <v>0</v>
      </c>
      <c r="W187" s="264">
        <f t="shared" si="200"/>
        <v>0</v>
      </c>
      <c r="X187" s="1113">
        <f>76.76/N187</f>
        <v>4.2128311481333509E-2</v>
      </c>
      <c r="Y187" s="1114">
        <f t="shared" si="201"/>
        <v>76.760000000000005</v>
      </c>
      <c r="Z187" s="265">
        <v>0</v>
      </c>
      <c r="AA187" s="264">
        <f t="shared" si="202"/>
        <v>0</v>
      </c>
      <c r="AB187" s="1130">
        <v>0</v>
      </c>
      <c r="AC187" s="264">
        <v>0</v>
      </c>
      <c r="AD187" s="264">
        <v>0</v>
      </c>
      <c r="AE187" s="264">
        <f>(326.23/N187)*N187</f>
        <v>326.23</v>
      </c>
      <c r="AF187" s="1114">
        <v>0</v>
      </c>
      <c r="AG187" s="1145">
        <v>0</v>
      </c>
      <c r="AH187" s="1119">
        <v>0</v>
      </c>
      <c r="AI187" s="1119">
        <v>0</v>
      </c>
      <c r="AJ187" s="1114">
        <v>0</v>
      </c>
      <c r="AK187" s="273">
        <f t="shared" si="203"/>
        <v>607.35087087465581</v>
      </c>
      <c r="AL187" s="273">
        <f t="shared" si="204"/>
        <v>48.588069669972469</v>
      </c>
      <c r="AM187" s="273">
        <f t="shared" si="205"/>
        <v>1822.0526126239674</v>
      </c>
      <c r="AN187" s="273">
        <f t="shared" si="206"/>
        <v>145.76420900991741</v>
      </c>
    </row>
    <row r="188" spans="2:40" ht="30" hidden="1" customHeight="1" x14ac:dyDescent="0.25">
      <c r="B188" s="257">
        <v>2120</v>
      </c>
      <c r="C188" s="259" t="s">
        <v>2635</v>
      </c>
      <c r="D188" s="259" t="s">
        <v>2632</v>
      </c>
      <c r="E188" s="259" t="s">
        <v>2739</v>
      </c>
      <c r="F188" s="259" t="s">
        <v>2758</v>
      </c>
      <c r="G188" s="259" t="s">
        <v>2779</v>
      </c>
      <c r="H188" s="266">
        <v>1</v>
      </c>
      <c r="I188" s="257">
        <v>44</v>
      </c>
      <c r="J188" s="257" t="s">
        <v>2636</v>
      </c>
      <c r="K188" s="257">
        <v>0</v>
      </c>
      <c r="L188" s="261">
        <v>42767</v>
      </c>
      <c r="M188" s="257">
        <v>1.95</v>
      </c>
      <c r="N188" s="262">
        <f>M188*AN116</f>
        <v>1356.107860540739</v>
      </c>
      <c r="O188" s="280">
        <v>0</v>
      </c>
      <c r="P188" s="280">
        <v>0</v>
      </c>
      <c r="Q188" s="280">
        <v>0</v>
      </c>
      <c r="R188" s="263">
        <v>0.03</v>
      </c>
      <c r="S188" s="264">
        <f t="shared" si="199"/>
        <v>40.683235816222172</v>
      </c>
      <c r="T188" s="1114">
        <v>0</v>
      </c>
      <c r="U188" s="264">
        <v>0</v>
      </c>
      <c r="V188" s="265">
        <v>0</v>
      </c>
      <c r="W188" s="264">
        <f t="shared" si="200"/>
        <v>0</v>
      </c>
      <c r="X188" s="1113">
        <f>127.94/N188</f>
        <v>9.4343528064931917E-2</v>
      </c>
      <c r="Y188" s="1114">
        <f t="shared" si="201"/>
        <v>127.93999999999998</v>
      </c>
      <c r="Z188" s="265">
        <v>0</v>
      </c>
      <c r="AA188" s="264">
        <f t="shared" si="202"/>
        <v>0</v>
      </c>
      <c r="AB188" s="1130">
        <v>0</v>
      </c>
      <c r="AC188" s="264">
        <v>0</v>
      </c>
      <c r="AD188" s="264">
        <v>0</v>
      </c>
      <c r="AE188" s="264">
        <f>(191.9/N188)*N188</f>
        <v>191.9</v>
      </c>
      <c r="AF188" s="1114">
        <v>0</v>
      </c>
      <c r="AG188" s="1145">
        <v>0</v>
      </c>
      <c r="AH188" s="1119">
        <v>0</v>
      </c>
      <c r="AI188" s="1119">
        <v>0</v>
      </c>
      <c r="AJ188" s="1114">
        <v>0</v>
      </c>
      <c r="AK188" s="273">
        <f t="shared" si="203"/>
        <v>452.03595351357967</v>
      </c>
      <c r="AL188" s="273">
        <f t="shared" si="204"/>
        <v>13.56107860540739</v>
      </c>
      <c r="AM188" s="273">
        <f t="shared" si="205"/>
        <v>1356.107860540739</v>
      </c>
      <c r="AN188" s="273">
        <f t="shared" si="206"/>
        <v>40.683235816222172</v>
      </c>
    </row>
    <row r="189" spans="2:40" ht="30" hidden="1" customHeight="1" x14ac:dyDescent="0.25">
      <c r="B189" s="257">
        <v>1575</v>
      </c>
      <c r="C189" s="259" t="s">
        <v>2631</v>
      </c>
      <c r="D189" s="259" t="s">
        <v>2632</v>
      </c>
      <c r="E189" s="259" t="s">
        <v>2739</v>
      </c>
      <c r="F189" s="259" t="s">
        <v>2758</v>
      </c>
      <c r="G189" s="259" t="s">
        <v>2779</v>
      </c>
      <c r="H189" s="266">
        <v>1</v>
      </c>
      <c r="I189" s="257">
        <v>44</v>
      </c>
      <c r="J189" s="257" t="s">
        <v>2634</v>
      </c>
      <c r="K189" s="257">
        <v>0</v>
      </c>
      <c r="L189" s="261">
        <v>40892</v>
      </c>
      <c r="M189" s="257">
        <v>2.0299999999999998</v>
      </c>
      <c r="N189" s="262">
        <f>M189*AN116</f>
        <v>1411.7430548193333</v>
      </c>
      <c r="O189" s="280">
        <v>0</v>
      </c>
      <c r="P189" s="280">
        <v>0</v>
      </c>
      <c r="Q189" s="280">
        <v>0</v>
      </c>
      <c r="R189" s="263">
        <v>0.08</v>
      </c>
      <c r="S189" s="264">
        <f t="shared" si="199"/>
        <v>112.93944438554666</v>
      </c>
      <c r="T189" s="1114">
        <f>AN116</f>
        <v>695.43992848243033</v>
      </c>
      <c r="U189" s="264">
        <v>0</v>
      </c>
      <c r="V189" s="265">
        <v>0</v>
      </c>
      <c r="W189" s="264">
        <f t="shared" si="200"/>
        <v>0</v>
      </c>
      <c r="X189" s="1113">
        <v>0</v>
      </c>
      <c r="Y189" s="1114">
        <f t="shared" si="201"/>
        <v>0</v>
      </c>
      <c r="Z189" s="265">
        <v>0</v>
      </c>
      <c r="AA189" s="264">
        <f t="shared" si="202"/>
        <v>0</v>
      </c>
      <c r="AB189" s="1130">
        <f>N189*(0.79%)</f>
        <v>11.152770133072734</v>
      </c>
      <c r="AC189" s="264">
        <v>0</v>
      </c>
      <c r="AD189" s="264">
        <v>0</v>
      </c>
      <c r="AE189" s="264">
        <f>(38.38/N189)*N189</f>
        <v>38.380000000000003</v>
      </c>
      <c r="AF189" s="1114">
        <v>0</v>
      </c>
      <c r="AG189" s="1145">
        <v>0</v>
      </c>
      <c r="AH189" s="1119">
        <v>0</v>
      </c>
      <c r="AI189" s="1119">
        <v>0</v>
      </c>
      <c r="AJ189" s="1114">
        <v>0</v>
      </c>
      <c r="AK189" s="273">
        <f t="shared" si="203"/>
        <v>702.39432776725459</v>
      </c>
      <c r="AL189" s="273">
        <f t="shared" si="204"/>
        <v>56.191546221380371</v>
      </c>
      <c r="AM189" s="273">
        <f t="shared" si="205"/>
        <v>1411.7430548193333</v>
      </c>
      <c r="AN189" s="273">
        <f t="shared" si="206"/>
        <v>112.93944438554666</v>
      </c>
    </row>
    <row r="190" spans="2:40" ht="30" hidden="1" customHeight="1" x14ac:dyDescent="0.25">
      <c r="B190" s="257">
        <v>1991</v>
      </c>
      <c r="C190" s="259" t="s">
        <v>2666</v>
      </c>
      <c r="D190" s="259" t="s">
        <v>2667</v>
      </c>
      <c r="E190" s="259" t="s">
        <v>2739</v>
      </c>
      <c r="F190" s="259" t="s">
        <v>2758</v>
      </c>
      <c r="G190" s="259" t="s">
        <v>2779</v>
      </c>
      <c r="H190" s="266">
        <v>1</v>
      </c>
      <c r="I190" s="257">
        <v>44</v>
      </c>
      <c r="J190" s="257" t="s">
        <v>2636</v>
      </c>
      <c r="K190" s="257">
        <v>0</v>
      </c>
      <c r="L190" s="261">
        <v>42355</v>
      </c>
      <c r="M190" s="257">
        <v>2.5</v>
      </c>
      <c r="N190" s="262">
        <f>M190*AN116</f>
        <v>1738.5998212060758</v>
      </c>
      <c r="O190" s="280">
        <v>0</v>
      </c>
      <c r="P190" s="280">
        <v>0</v>
      </c>
      <c r="Q190" s="280">
        <v>0</v>
      </c>
      <c r="R190" s="263">
        <v>0.04</v>
      </c>
      <c r="S190" s="264">
        <f t="shared" si="199"/>
        <v>69.543992848243036</v>
      </c>
      <c r="T190" s="1114">
        <v>0</v>
      </c>
      <c r="U190" s="264">
        <v>0</v>
      </c>
      <c r="V190" s="265">
        <v>0</v>
      </c>
      <c r="W190" s="264">
        <f t="shared" si="200"/>
        <v>0</v>
      </c>
      <c r="X190" s="1113">
        <f>76.76/N190</f>
        <v>4.4150470432437521E-2</v>
      </c>
      <c r="Y190" s="1114">
        <f t="shared" si="201"/>
        <v>76.760000000000005</v>
      </c>
      <c r="Z190" s="265">
        <v>0</v>
      </c>
      <c r="AA190" s="264">
        <f t="shared" si="202"/>
        <v>0</v>
      </c>
      <c r="AB190" s="1130">
        <v>0</v>
      </c>
      <c r="AC190" s="264">
        <v>0</v>
      </c>
      <c r="AD190" s="264">
        <v>0</v>
      </c>
      <c r="AE190" s="264">
        <f>(143.84/N190)*N190</f>
        <v>143.84</v>
      </c>
      <c r="AF190" s="1114">
        <v>0</v>
      </c>
      <c r="AG190" s="1145">
        <v>0</v>
      </c>
      <c r="AH190" s="1119">
        <v>0</v>
      </c>
      <c r="AI190" s="1119">
        <v>0</v>
      </c>
      <c r="AJ190" s="1114">
        <v>0</v>
      </c>
      <c r="AK190" s="273">
        <f t="shared" si="203"/>
        <v>579.53327373535865</v>
      </c>
      <c r="AL190" s="273">
        <f t="shared" si="204"/>
        <v>23.181330949414345</v>
      </c>
      <c r="AM190" s="273">
        <f t="shared" si="205"/>
        <v>1738.5998212060758</v>
      </c>
      <c r="AN190" s="273">
        <f t="shared" si="206"/>
        <v>69.543992848243036</v>
      </c>
    </row>
    <row r="191" spans="2:40" ht="30" hidden="1" customHeight="1" x14ac:dyDescent="0.25">
      <c r="B191" s="257">
        <v>38</v>
      </c>
      <c r="C191" s="259" t="s">
        <v>2637</v>
      </c>
      <c r="D191" s="259" t="s">
        <v>2632</v>
      </c>
      <c r="E191" s="259" t="s">
        <v>2739</v>
      </c>
      <c r="F191" s="259" t="s">
        <v>2758</v>
      </c>
      <c r="G191" s="259" t="s">
        <v>2779</v>
      </c>
      <c r="H191" s="266">
        <v>1</v>
      </c>
      <c r="I191" s="257">
        <v>44</v>
      </c>
      <c r="J191" s="257" t="s">
        <v>2638</v>
      </c>
      <c r="K191" s="257">
        <v>0</v>
      </c>
      <c r="L191" s="261">
        <v>35431</v>
      </c>
      <c r="M191" s="257">
        <v>2.2000000000000002</v>
      </c>
      <c r="N191" s="262">
        <f>M191*AN116</f>
        <v>1529.9678426613468</v>
      </c>
      <c r="O191" s="280">
        <v>0</v>
      </c>
      <c r="P191" s="280">
        <v>0</v>
      </c>
      <c r="Q191" s="280">
        <v>0</v>
      </c>
      <c r="R191" s="263">
        <v>0.22</v>
      </c>
      <c r="S191" s="264">
        <f t="shared" si="199"/>
        <v>336.5929253854963</v>
      </c>
      <c r="T191" s="1114">
        <v>0</v>
      </c>
      <c r="U191" s="264">
        <v>0</v>
      </c>
      <c r="V191" s="265">
        <v>0</v>
      </c>
      <c r="W191" s="264">
        <f t="shared" si="200"/>
        <v>0</v>
      </c>
      <c r="X191" s="1113">
        <f>127.94/N191</f>
        <v>8.3622672603007833E-2</v>
      </c>
      <c r="Y191" s="1114">
        <f t="shared" si="201"/>
        <v>127.94000000000001</v>
      </c>
      <c r="Z191" s="265">
        <v>0</v>
      </c>
      <c r="AA191" s="264">
        <f t="shared" si="202"/>
        <v>0</v>
      </c>
      <c r="AB191" s="1130">
        <f>N191*(0.6367%)</f>
        <v>9.7413052542247964</v>
      </c>
      <c r="AC191" s="264">
        <v>0</v>
      </c>
      <c r="AD191" s="264">
        <f>(6.05/N191)*N191</f>
        <v>6.05</v>
      </c>
      <c r="AE191" s="264">
        <f>(0/N191)*N191</f>
        <v>0</v>
      </c>
      <c r="AF191" s="1114">
        <v>0</v>
      </c>
      <c r="AG191" s="1145">
        <v>0</v>
      </c>
      <c r="AH191" s="1119">
        <v>0</v>
      </c>
      <c r="AI191" s="1119">
        <v>0</v>
      </c>
      <c r="AJ191" s="1114">
        <v>0</v>
      </c>
      <c r="AK191" s="273">
        <f t="shared" si="203"/>
        <v>509.98928088711563</v>
      </c>
      <c r="AL191" s="273">
        <f t="shared" si="204"/>
        <v>112.19764179516544</v>
      </c>
      <c r="AM191" s="273">
        <f t="shared" si="205"/>
        <v>1529.9678426613468</v>
      </c>
      <c r="AN191" s="273">
        <f t="shared" si="206"/>
        <v>336.5929253854963</v>
      </c>
    </row>
    <row r="192" spans="2:40" ht="30" hidden="1" customHeight="1" x14ac:dyDescent="0.25">
      <c r="B192" s="257">
        <v>2287</v>
      </c>
      <c r="C192" s="259" t="s">
        <v>2784</v>
      </c>
      <c r="D192" s="259" t="s">
        <v>2785</v>
      </c>
      <c r="E192" s="259" t="s">
        <v>2739</v>
      </c>
      <c r="F192" s="259" t="s">
        <v>2758</v>
      </c>
      <c r="G192" s="259" t="s">
        <v>2779</v>
      </c>
      <c r="H192" s="266">
        <v>1</v>
      </c>
      <c r="I192" s="257">
        <v>40</v>
      </c>
      <c r="J192" s="257" t="s">
        <v>2636</v>
      </c>
      <c r="K192" s="257">
        <v>0</v>
      </c>
      <c r="L192" s="261">
        <v>42795</v>
      </c>
      <c r="M192" s="257">
        <v>2.8</v>
      </c>
      <c r="N192" s="262">
        <f>M192*AN116</f>
        <v>1947.2317997508048</v>
      </c>
      <c r="O192" s="280">
        <v>0</v>
      </c>
      <c r="P192" s="280">
        <v>0</v>
      </c>
      <c r="Q192" s="280">
        <v>0</v>
      </c>
      <c r="R192" s="263">
        <v>0.02</v>
      </c>
      <c r="S192" s="264">
        <f t="shared" si="199"/>
        <v>38.9446359950161</v>
      </c>
      <c r="T192" s="1114">
        <v>0</v>
      </c>
      <c r="U192" s="264">
        <v>0</v>
      </c>
      <c r="V192" s="265">
        <v>0</v>
      </c>
      <c r="W192" s="264">
        <f t="shared" si="200"/>
        <v>0</v>
      </c>
      <c r="X192" s="1113">
        <f>76.76/N192</f>
        <v>3.9420062886104931E-2</v>
      </c>
      <c r="Y192" s="1114">
        <f t="shared" si="201"/>
        <v>76.760000000000005</v>
      </c>
      <c r="Z192" s="265">
        <v>0</v>
      </c>
      <c r="AA192" s="271">
        <f t="shared" si="202"/>
        <v>0</v>
      </c>
      <c r="AB192" s="1130">
        <v>0</v>
      </c>
      <c r="AC192" s="264">
        <f>AN116*(0%)</f>
        <v>0</v>
      </c>
      <c r="AD192" s="264">
        <f t="shared" ref="AD192:AD194" si="207">AO$9*(0%)</f>
        <v>0</v>
      </c>
      <c r="AE192" s="264">
        <v>0</v>
      </c>
      <c r="AF192" s="1114">
        <v>0</v>
      </c>
      <c r="AG192" s="1145">
        <v>0</v>
      </c>
      <c r="AH192" s="1119">
        <v>0</v>
      </c>
      <c r="AI192" s="1119">
        <v>0</v>
      </c>
      <c r="AJ192" s="1114">
        <v>0</v>
      </c>
      <c r="AK192" s="273">
        <f t="shared" si="203"/>
        <v>649.07726658360161</v>
      </c>
      <c r="AL192" s="273">
        <f t="shared" si="204"/>
        <v>12.981545331672033</v>
      </c>
      <c r="AM192" s="273">
        <f t="shared" si="205"/>
        <v>1947.2317997508048</v>
      </c>
      <c r="AN192" s="273">
        <f t="shared" si="206"/>
        <v>38.9446359950161</v>
      </c>
    </row>
    <row r="193" spans="2:40" ht="30" hidden="1" customHeight="1" x14ac:dyDescent="0.25">
      <c r="B193" s="257">
        <v>99</v>
      </c>
      <c r="C193" s="259" t="s">
        <v>2655</v>
      </c>
      <c r="D193" s="259" t="s">
        <v>2654</v>
      </c>
      <c r="E193" s="259" t="s">
        <v>2739</v>
      </c>
      <c r="F193" s="259" t="s">
        <v>2758</v>
      </c>
      <c r="G193" s="259" t="s">
        <v>2779</v>
      </c>
      <c r="H193" s="266">
        <v>1</v>
      </c>
      <c r="I193" s="257">
        <v>44</v>
      </c>
      <c r="J193" s="257" t="s">
        <v>2638</v>
      </c>
      <c r="K193" s="257">
        <v>0</v>
      </c>
      <c r="L193" s="261">
        <v>35800</v>
      </c>
      <c r="M193" s="257">
        <v>2.2999999999999998</v>
      </c>
      <c r="N193" s="262">
        <f>M193*AN116</f>
        <v>1599.5118355095897</v>
      </c>
      <c r="O193" s="280">
        <v>0</v>
      </c>
      <c r="P193" s="280">
        <v>0</v>
      </c>
      <c r="Q193" s="280">
        <v>0</v>
      </c>
      <c r="R193" s="263">
        <v>0.22</v>
      </c>
      <c r="S193" s="264">
        <f t="shared" si="199"/>
        <v>351.89260381210971</v>
      </c>
      <c r="T193" s="1114">
        <f>AN116*2</f>
        <v>1390.8798569648607</v>
      </c>
      <c r="U193" s="264">
        <v>0</v>
      </c>
      <c r="V193" s="265">
        <v>0</v>
      </c>
      <c r="W193" s="264">
        <f t="shared" si="200"/>
        <v>0</v>
      </c>
      <c r="X193" s="1113">
        <f>76.76/N193</f>
        <v>4.7989641774388608E-2</v>
      </c>
      <c r="Y193" s="1114">
        <f t="shared" si="201"/>
        <v>76.760000000000005</v>
      </c>
      <c r="Z193" s="265">
        <v>0</v>
      </c>
      <c r="AA193" s="271">
        <f t="shared" si="202"/>
        <v>0</v>
      </c>
      <c r="AB193" s="1130">
        <v>0</v>
      </c>
      <c r="AC193" s="264">
        <f>AN116*(0%)</f>
        <v>0</v>
      </c>
      <c r="AD193" s="264">
        <f t="shared" si="207"/>
        <v>0</v>
      </c>
      <c r="AE193" s="264">
        <f>(249.47/N193)*N193</f>
        <v>249.47</v>
      </c>
      <c r="AF193" s="1114">
        <v>0</v>
      </c>
      <c r="AG193" s="1145">
        <v>0</v>
      </c>
      <c r="AH193" s="1119">
        <v>0</v>
      </c>
      <c r="AI193" s="1119">
        <v>0</v>
      </c>
      <c r="AJ193" s="1114">
        <v>0</v>
      </c>
      <c r="AK193" s="273">
        <f t="shared" si="203"/>
        <v>996.79723082481678</v>
      </c>
      <c r="AL193" s="273">
        <f t="shared" si="204"/>
        <v>219.2953907814597</v>
      </c>
      <c r="AM193" s="273">
        <f t="shared" si="205"/>
        <v>1599.5118355095897</v>
      </c>
      <c r="AN193" s="273">
        <f t="shared" si="206"/>
        <v>351.89260381210971</v>
      </c>
    </row>
    <row r="194" spans="2:40" s="258" customFormat="1" ht="30" hidden="1" customHeight="1" x14ac:dyDescent="0.25">
      <c r="B194" s="257">
        <v>1544</v>
      </c>
      <c r="C194" s="259" t="s">
        <v>2641</v>
      </c>
      <c r="D194" s="259" t="s">
        <v>2632</v>
      </c>
      <c r="E194" s="259" t="s">
        <v>2739</v>
      </c>
      <c r="F194" s="259" t="s">
        <v>2758</v>
      </c>
      <c r="G194" s="259" t="s">
        <v>2779</v>
      </c>
      <c r="H194" s="266">
        <v>1</v>
      </c>
      <c r="I194" s="257">
        <v>44</v>
      </c>
      <c r="J194" s="257" t="s">
        <v>2634</v>
      </c>
      <c r="K194" s="257">
        <v>0</v>
      </c>
      <c r="L194" s="261">
        <v>40819</v>
      </c>
      <c r="M194" s="257">
        <v>2.0299999999999998</v>
      </c>
      <c r="N194" s="262">
        <f>M194*AN116</f>
        <v>1411.7430548193333</v>
      </c>
      <c r="O194" s="280">
        <v>0</v>
      </c>
      <c r="P194" s="280">
        <v>0</v>
      </c>
      <c r="Q194" s="280">
        <v>0</v>
      </c>
      <c r="R194" s="263">
        <v>0.08</v>
      </c>
      <c r="S194" s="264">
        <f t="shared" si="199"/>
        <v>112.93944438554666</v>
      </c>
      <c r="T194" s="1114">
        <v>0</v>
      </c>
      <c r="U194" s="264">
        <v>0</v>
      </c>
      <c r="V194" s="265">
        <v>0</v>
      </c>
      <c r="W194" s="264">
        <f t="shared" si="200"/>
        <v>0</v>
      </c>
      <c r="X194" s="1113">
        <f>0/N194</f>
        <v>0</v>
      </c>
      <c r="Y194" s="1114">
        <f t="shared" si="201"/>
        <v>0</v>
      </c>
      <c r="Z194" s="265">
        <v>0</v>
      </c>
      <c r="AA194" s="271">
        <f t="shared" si="202"/>
        <v>0</v>
      </c>
      <c r="AB194" s="1130">
        <v>0</v>
      </c>
      <c r="AC194" s="264">
        <f>AN116*(0%)</f>
        <v>0</v>
      </c>
      <c r="AD194" s="264">
        <f t="shared" si="207"/>
        <v>0</v>
      </c>
      <c r="AE194" s="264">
        <f>(0/N194)*N194</f>
        <v>0</v>
      </c>
      <c r="AF194" s="1114">
        <v>0</v>
      </c>
      <c r="AG194" s="1145">
        <v>0</v>
      </c>
      <c r="AH194" s="1119">
        <v>0</v>
      </c>
      <c r="AI194" s="1119">
        <v>0</v>
      </c>
      <c r="AJ194" s="1114">
        <v>0</v>
      </c>
      <c r="AK194" s="273">
        <f t="shared" si="203"/>
        <v>470.58101827311111</v>
      </c>
      <c r="AL194" s="273">
        <f t="shared" si="204"/>
        <v>37.646481461848893</v>
      </c>
      <c r="AM194" s="273">
        <f t="shared" si="205"/>
        <v>1411.7430548193333</v>
      </c>
      <c r="AN194" s="273">
        <f t="shared" si="206"/>
        <v>112.93944438554666</v>
      </c>
    </row>
    <row r="195" spans="2:40" s="274" customFormat="1" ht="30" hidden="1" customHeight="1" x14ac:dyDescent="0.25">
      <c r="B195" s="1206" t="s">
        <v>2747</v>
      </c>
      <c r="C195" s="1077"/>
      <c r="D195" s="1077"/>
      <c r="E195" s="1077"/>
      <c r="F195" s="1077"/>
      <c r="G195" s="1077"/>
      <c r="H195" s="1077"/>
      <c r="I195" s="1077"/>
      <c r="J195" s="1077"/>
      <c r="K195" s="1077"/>
      <c r="L195" s="1077"/>
      <c r="M195" s="1077"/>
      <c r="N195" s="275">
        <f>SUM(N186:N194)</f>
        <v>14555.557703137267</v>
      </c>
      <c r="O195" s="275">
        <f>SUM(O186:O194)</f>
        <v>0</v>
      </c>
      <c r="P195" s="275">
        <f>SUM(P186:P194)</f>
        <v>0</v>
      </c>
      <c r="Q195" s="275">
        <f>SUM(Q186:Q194)</f>
        <v>0</v>
      </c>
      <c r="R195" s="1085"/>
      <c r="S195" s="275">
        <f>SUM(S186:S194)</f>
        <v>1209.300491638098</v>
      </c>
      <c r="T195" s="1116">
        <f>SUM(T186:T194)</f>
        <v>2086.319785447291</v>
      </c>
      <c r="U195" s="275">
        <f>SUM(U186:U194)</f>
        <v>0</v>
      </c>
      <c r="V195" s="276"/>
      <c r="W195" s="275">
        <f>SUM(W186:W194)</f>
        <v>0</v>
      </c>
      <c r="X195" s="1115"/>
      <c r="Y195" s="1116">
        <f>SUM(Y186:Y194)</f>
        <v>639.67999999999995</v>
      </c>
      <c r="Z195" s="276"/>
      <c r="AA195" s="275">
        <f>SUM(AA186:AA194)</f>
        <v>0</v>
      </c>
      <c r="AB195" s="1131">
        <f>SUM(AB186:AB194)</f>
        <v>20.89407538729753</v>
      </c>
      <c r="AC195" s="275">
        <f>SUM(AC186:AC194)</f>
        <v>0</v>
      </c>
      <c r="AD195" s="275">
        <f t="shared" ref="AD195:AN195" si="208">SUM(AD186:AD194)</f>
        <v>6.05</v>
      </c>
      <c r="AE195" s="275">
        <f t="shared" si="208"/>
        <v>949.82</v>
      </c>
      <c r="AF195" s="1116">
        <f t="shared" si="208"/>
        <v>0</v>
      </c>
      <c r="AG195" s="1146">
        <f t="shared" si="208"/>
        <v>0</v>
      </c>
      <c r="AH195" s="1116">
        <f t="shared" si="208"/>
        <v>0</v>
      </c>
      <c r="AI195" s="1116">
        <f t="shared" si="208"/>
        <v>0</v>
      </c>
      <c r="AJ195" s="1116">
        <f t="shared" si="208"/>
        <v>0</v>
      </c>
      <c r="AK195" s="275">
        <f>SUM(AJ186:AJ194)</f>
        <v>0</v>
      </c>
      <c r="AL195" s="275">
        <f t="shared" si="208"/>
        <v>523.64308481632065</v>
      </c>
      <c r="AM195" s="275">
        <f t="shared" si="208"/>
        <v>14555.557703137267</v>
      </c>
      <c r="AN195" s="275">
        <f t="shared" si="208"/>
        <v>1209.300491638098</v>
      </c>
    </row>
    <row r="196" spans="2:40" s="258" customFormat="1" ht="30" hidden="1" customHeight="1" x14ac:dyDescent="0.25">
      <c r="B196" s="257">
        <v>2103</v>
      </c>
      <c r="C196" s="267" t="s">
        <v>2922</v>
      </c>
      <c r="D196" s="267" t="s">
        <v>2786</v>
      </c>
      <c r="E196" s="267" t="s">
        <v>2725</v>
      </c>
      <c r="F196" s="259" t="s">
        <v>2758</v>
      </c>
      <c r="G196" s="259" t="s">
        <v>2777</v>
      </c>
      <c r="H196" s="257">
        <v>1</v>
      </c>
      <c r="I196" s="257">
        <v>40</v>
      </c>
      <c r="J196" s="257">
        <v>0</v>
      </c>
      <c r="K196" s="257">
        <v>0</v>
      </c>
      <c r="L196" s="261">
        <v>42737</v>
      </c>
      <c r="M196" s="260">
        <f>4760.1/639.67</f>
        <v>7.441493269967328</v>
      </c>
      <c r="N196" s="280">
        <f>AN116*M196</f>
        <v>5175.1115474685648</v>
      </c>
      <c r="O196" s="280">
        <v>0</v>
      </c>
      <c r="P196" s="280">
        <v>0</v>
      </c>
      <c r="Q196" s="280">
        <v>0</v>
      </c>
      <c r="R196" s="281">
        <v>0</v>
      </c>
      <c r="S196" s="271">
        <f>N196*R196</f>
        <v>0</v>
      </c>
      <c r="T196" s="1114">
        <v>0</v>
      </c>
      <c r="U196" s="271">
        <v>0</v>
      </c>
      <c r="V196" s="282">
        <v>0</v>
      </c>
      <c r="W196" s="264">
        <f>N196*V196</f>
        <v>0</v>
      </c>
      <c r="X196" s="1113">
        <v>0</v>
      </c>
      <c r="Y196" s="1114">
        <v>0</v>
      </c>
      <c r="Z196" s="282">
        <v>0</v>
      </c>
      <c r="AA196" s="271">
        <v>0</v>
      </c>
      <c r="AB196" s="1130">
        <v>0</v>
      </c>
      <c r="AC196" s="271">
        <v>0</v>
      </c>
      <c r="AD196" s="271">
        <v>0</v>
      </c>
      <c r="AE196" s="271">
        <v>0</v>
      </c>
      <c r="AF196" s="1114">
        <v>0</v>
      </c>
      <c r="AG196" s="1145">
        <v>0</v>
      </c>
      <c r="AH196" s="1114">
        <v>0</v>
      </c>
      <c r="AI196" s="1114">
        <v>0</v>
      </c>
      <c r="AJ196" s="1114">
        <v>0</v>
      </c>
      <c r="AK196" s="273">
        <f>(N196+T196+U196)/3</f>
        <v>1725.0371824895217</v>
      </c>
      <c r="AL196" s="273">
        <f>AK196*R196</f>
        <v>0</v>
      </c>
      <c r="AM196" s="273">
        <f>N196</f>
        <v>5175.1115474685648</v>
      </c>
      <c r="AN196" s="273">
        <f>AM196*R196</f>
        <v>0</v>
      </c>
    </row>
    <row r="197" spans="2:40" ht="30" hidden="1" customHeight="1" x14ac:dyDescent="0.25">
      <c r="B197" s="1206" t="s">
        <v>2726</v>
      </c>
      <c r="C197" s="1206"/>
      <c r="D197" s="1206"/>
      <c r="E197" s="1206"/>
      <c r="F197" s="1206"/>
      <c r="G197" s="1206"/>
      <c r="H197" s="1206"/>
      <c r="I197" s="1206"/>
      <c r="J197" s="1206"/>
      <c r="K197" s="1206"/>
      <c r="L197" s="1206"/>
      <c r="M197" s="1206"/>
      <c r="N197" s="1207">
        <f>SUM(N196:N196)</f>
        <v>5175.1115474685648</v>
      </c>
      <c r="O197" s="1207">
        <f>SUM(O196:O196)</f>
        <v>0</v>
      </c>
      <c r="P197" s="1207">
        <f>SUM(P196:P196)</f>
        <v>0</v>
      </c>
      <c r="Q197" s="1207">
        <f>SUM(Q196:Q196)</f>
        <v>0</v>
      </c>
      <c r="R197" s="1208"/>
      <c r="S197" s="1207">
        <f>SUM(S196:S196)</f>
        <v>0</v>
      </c>
      <c r="T197" s="1209">
        <f>SUM(T196:T196)</f>
        <v>0</v>
      </c>
      <c r="U197" s="1207">
        <f>SUM(U196:U196)</f>
        <v>0</v>
      </c>
      <c r="V197" s="1210"/>
      <c r="W197" s="1207">
        <f>SUM(W196:W196)</f>
        <v>0</v>
      </c>
      <c r="X197" s="1211"/>
      <c r="Y197" s="1209">
        <f>SUM(Y196:Y196)</f>
        <v>0</v>
      </c>
      <c r="Z197" s="1210"/>
      <c r="AA197" s="1207">
        <f>SUM(AA196:AA196)</f>
        <v>0</v>
      </c>
      <c r="AB197" s="1212">
        <f t="shared" ref="AB197:AN197" si="209">SUM(AB196:AB196)</f>
        <v>0</v>
      </c>
      <c r="AC197" s="1207">
        <f t="shared" si="209"/>
        <v>0</v>
      </c>
      <c r="AD197" s="1207">
        <f t="shared" si="209"/>
        <v>0</v>
      </c>
      <c r="AE197" s="1207">
        <f t="shared" si="209"/>
        <v>0</v>
      </c>
      <c r="AF197" s="1209">
        <f t="shared" si="209"/>
        <v>0</v>
      </c>
      <c r="AG197" s="1213">
        <f t="shared" si="209"/>
        <v>0</v>
      </c>
      <c r="AH197" s="1209">
        <f t="shared" si="209"/>
        <v>0</v>
      </c>
      <c r="AI197" s="1209">
        <f t="shared" si="209"/>
        <v>0</v>
      </c>
      <c r="AJ197" s="1209">
        <f t="shared" si="209"/>
        <v>0</v>
      </c>
      <c r="AK197" s="1207">
        <f>SUM(AJ196:AJ196)</f>
        <v>0</v>
      </c>
      <c r="AL197" s="1207">
        <f t="shared" si="209"/>
        <v>0</v>
      </c>
      <c r="AM197" s="1207">
        <f t="shared" si="209"/>
        <v>5175.1115474685648</v>
      </c>
      <c r="AN197" s="1207">
        <f t="shared" si="209"/>
        <v>0</v>
      </c>
    </row>
    <row r="198" spans="2:40" s="258" customFormat="1" ht="30" hidden="1" customHeight="1" x14ac:dyDescent="0.25">
      <c r="B198" s="257">
        <v>1933</v>
      </c>
      <c r="C198" s="259" t="str">
        <f>PROPER("VANESSA HOLZ WASKOW ABDALA")</f>
        <v>Vanessa Holz Waskow Abdala</v>
      </c>
      <c r="D198" s="259" t="s">
        <v>2685</v>
      </c>
      <c r="E198" s="259" t="s">
        <v>2739</v>
      </c>
      <c r="F198" s="259" t="s">
        <v>2919</v>
      </c>
      <c r="G198" s="259" t="s">
        <v>2918</v>
      </c>
      <c r="H198" s="266">
        <v>1</v>
      </c>
      <c r="I198" s="257">
        <v>40</v>
      </c>
      <c r="J198" s="257" t="s">
        <v>2636</v>
      </c>
      <c r="K198" s="257">
        <v>1</v>
      </c>
      <c r="L198" s="261">
        <v>42086</v>
      </c>
      <c r="M198" s="257">
        <v>4.2</v>
      </c>
      <c r="N198" s="262">
        <f>M198*AN116</f>
        <v>2920.8476996262075</v>
      </c>
      <c r="O198" s="280">
        <v>0</v>
      </c>
      <c r="P198" s="280">
        <v>0</v>
      </c>
      <c r="Q198" s="280">
        <v>0</v>
      </c>
      <c r="R198" s="263">
        <v>0.05</v>
      </c>
      <c r="S198" s="264">
        <f>N198*R198</f>
        <v>146.04238498131039</v>
      </c>
      <c r="T198" s="1114">
        <v>0</v>
      </c>
      <c r="U198" s="271">
        <v>0</v>
      </c>
      <c r="V198" s="282">
        <v>0</v>
      </c>
      <c r="W198" s="264">
        <f>N198*V198</f>
        <v>0</v>
      </c>
      <c r="X198" s="1113">
        <f>51.18/N198</f>
        <v>1.7522310391791297E-2</v>
      </c>
      <c r="Y198" s="1114">
        <f t="shared" ref="Y198" si="210">N198*X198</f>
        <v>51.18</v>
      </c>
      <c r="Z198" s="282">
        <v>0</v>
      </c>
      <c r="AA198" s="271">
        <v>0</v>
      </c>
      <c r="AB198" s="1130">
        <v>0</v>
      </c>
      <c r="AC198" s="271">
        <v>0</v>
      </c>
      <c r="AD198" s="271">
        <v>0</v>
      </c>
      <c r="AE198" s="271">
        <v>0</v>
      </c>
      <c r="AF198" s="1114">
        <v>0</v>
      </c>
      <c r="AG198" s="1145">
        <f>AN116</f>
        <v>695.43992848243033</v>
      </c>
      <c r="AH198" s="1114">
        <v>0</v>
      </c>
      <c r="AI198" s="1114">
        <v>0</v>
      </c>
      <c r="AJ198" s="1114">
        <v>0</v>
      </c>
      <c r="AK198" s="273">
        <f>(N198+T198+U198)/3</f>
        <v>973.61589987540253</v>
      </c>
      <c r="AL198" s="273">
        <f>AK198*R198</f>
        <v>48.680794993770128</v>
      </c>
      <c r="AM198" s="273">
        <f>N198</f>
        <v>2920.8476996262075</v>
      </c>
      <c r="AN198" s="273">
        <f>AM198*R198</f>
        <v>146.04238498131039</v>
      </c>
    </row>
    <row r="199" spans="2:40" ht="30" hidden="1" customHeight="1" x14ac:dyDescent="0.25">
      <c r="B199" s="1206" t="s">
        <v>2747</v>
      </c>
      <c r="C199" s="1077"/>
      <c r="D199" s="1077"/>
      <c r="E199" s="1077"/>
      <c r="F199" s="1077"/>
      <c r="G199" s="1077"/>
      <c r="H199" s="1077"/>
      <c r="I199" s="1077"/>
      <c r="J199" s="1077"/>
      <c r="K199" s="1077"/>
      <c r="L199" s="1077"/>
      <c r="M199" s="1077"/>
      <c r="N199" s="275">
        <f>SUM(N198)</f>
        <v>2920.8476996262075</v>
      </c>
      <c r="O199" s="275">
        <f t="shared" ref="O199:Q199" si="211">SUM(O198)</f>
        <v>0</v>
      </c>
      <c r="P199" s="275">
        <f t="shared" si="211"/>
        <v>0</v>
      </c>
      <c r="Q199" s="275">
        <f t="shared" si="211"/>
        <v>0</v>
      </c>
      <c r="R199" s="1085"/>
      <c r="S199" s="275">
        <f t="shared" ref="S199:U199" si="212">SUM(S198)</f>
        <v>146.04238498131039</v>
      </c>
      <c r="T199" s="1116">
        <f t="shared" si="212"/>
        <v>0</v>
      </c>
      <c r="U199" s="275">
        <f t="shared" si="212"/>
        <v>0</v>
      </c>
      <c r="V199" s="276"/>
      <c r="W199" s="275">
        <f t="shared" ref="W199:AN199" si="213">SUM(W198)</f>
        <v>0</v>
      </c>
      <c r="X199" s="1116">
        <f t="shared" si="213"/>
        <v>1.7522310391791297E-2</v>
      </c>
      <c r="Y199" s="1116">
        <f t="shared" si="213"/>
        <v>51.18</v>
      </c>
      <c r="Z199" s="275">
        <f t="shared" si="213"/>
        <v>0</v>
      </c>
      <c r="AA199" s="275">
        <f t="shared" si="213"/>
        <v>0</v>
      </c>
      <c r="AB199" s="1131">
        <f t="shared" si="213"/>
        <v>0</v>
      </c>
      <c r="AC199" s="275">
        <f t="shared" si="213"/>
        <v>0</v>
      </c>
      <c r="AD199" s="275">
        <f t="shared" si="213"/>
        <v>0</v>
      </c>
      <c r="AE199" s="275">
        <f t="shared" si="213"/>
        <v>0</v>
      </c>
      <c r="AF199" s="1116">
        <f t="shared" si="213"/>
        <v>0</v>
      </c>
      <c r="AG199" s="1146">
        <f t="shared" si="213"/>
        <v>695.43992848243033</v>
      </c>
      <c r="AH199" s="1116">
        <f t="shared" si="213"/>
        <v>0</v>
      </c>
      <c r="AI199" s="1116">
        <f t="shared" si="213"/>
        <v>0</v>
      </c>
      <c r="AJ199" s="1116">
        <f t="shared" si="213"/>
        <v>0</v>
      </c>
      <c r="AK199" s="275">
        <f>SUM(AJ198)</f>
        <v>0</v>
      </c>
      <c r="AL199" s="275">
        <f t="shared" si="213"/>
        <v>48.680794993770128</v>
      </c>
      <c r="AM199" s="275">
        <f t="shared" si="213"/>
        <v>2920.8476996262075</v>
      </c>
      <c r="AN199" s="275">
        <f t="shared" si="213"/>
        <v>146.04238498131039</v>
      </c>
    </row>
    <row r="200" spans="2:40" s="258" customFormat="1" ht="30" hidden="1" customHeight="1" x14ac:dyDescent="0.25">
      <c r="B200" s="257">
        <v>2245</v>
      </c>
      <c r="C200" s="259" t="s">
        <v>2920</v>
      </c>
      <c r="D200" s="259" t="s">
        <v>2921</v>
      </c>
      <c r="E200" s="259" t="s">
        <v>2723</v>
      </c>
      <c r="F200" s="259" t="s">
        <v>2919</v>
      </c>
      <c r="G200" s="259" t="s">
        <v>2918</v>
      </c>
      <c r="H200" s="266">
        <v>1</v>
      </c>
      <c r="I200" s="257">
        <v>40</v>
      </c>
      <c r="J200" s="257" t="s">
        <v>2636</v>
      </c>
      <c r="K200" s="257">
        <v>1</v>
      </c>
      <c r="L200" s="261">
        <v>42086</v>
      </c>
      <c r="M200" s="257">
        <f>3198.35/639.67</f>
        <v>5</v>
      </c>
      <c r="N200" s="262">
        <f>M200*AN116</f>
        <v>3477.1996424121517</v>
      </c>
      <c r="O200" s="280">
        <v>0</v>
      </c>
      <c r="P200" s="280">
        <v>0</v>
      </c>
      <c r="Q200" s="280">
        <v>0</v>
      </c>
      <c r="R200" s="263">
        <v>0</v>
      </c>
      <c r="S200" s="264">
        <f>N200*R200</f>
        <v>0</v>
      </c>
      <c r="T200" s="1114">
        <v>0</v>
      </c>
      <c r="U200" s="271">
        <v>0</v>
      </c>
      <c r="V200" s="282">
        <v>0</v>
      </c>
      <c r="W200" s="264">
        <f>N200*V200</f>
        <v>0</v>
      </c>
      <c r="X200" s="1113">
        <f>0/N200</f>
        <v>0</v>
      </c>
      <c r="Y200" s="1114">
        <f t="shared" ref="Y200" si="214">N200*X200</f>
        <v>0</v>
      </c>
      <c r="Z200" s="282">
        <v>0</v>
      </c>
      <c r="AA200" s="271">
        <v>0</v>
      </c>
      <c r="AB200" s="1130">
        <v>0</v>
      </c>
      <c r="AC200" s="271">
        <v>0</v>
      </c>
      <c r="AD200" s="271">
        <v>0</v>
      </c>
      <c r="AE200" s="271">
        <v>0</v>
      </c>
      <c r="AF200" s="1114">
        <v>0</v>
      </c>
      <c r="AG200" s="1145">
        <v>0</v>
      </c>
      <c r="AH200" s="1114">
        <v>0</v>
      </c>
      <c r="AI200" s="1114">
        <v>0</v>
      </c>
      <c r="AJ200" s="1114">
        <v>0</v>
      </c>
      <c r="AK200" s="273">
        <f>(N200+T200+U200)/3</f>
        <v>1159.0665474707173</v>
      </c>
      <c r="AL200" s="273">
        <f>AK200*R200</f>
        <v>0</v>
      </c>
      <c r="AM200" s="273">
        <f>N200</f>
        <v>3477.1996424121517</v>
      </c>
      <c r="AN200" s="273">
        <f>AM200*R200</f>
        <v>0</v>
      </c>
    </row>
    <row r="201" spans="2:40" ht="30" hidden="1" customHeight="1" x14ac:dyDescent="0.25">
      <c r="B201" s="1077" t="s">
        <v>2755</v>
      </c>
      <c r="C201" s="1077"/>
      <c r="D201" s="1077"/>
      <c r="E201" s="1077"/>
      <c r="F201" s="1077"/>
      <c r="G201" s="1077"/>
      <c r="H201" s="1077"/>
      <c r="I201" s="1077"/>
      <c r="J201" s="1077"/>
      <c r="K201" s="1077"/>
      <c r="L201" s="1077"/>
      <c r="M201" s="1077"/>
      <c r="N201" s="275">
        <f>SUM(N200)</f>
        <v>3477.1996424121517</v>
      </c>
      <c r="O201" s="275">
        <f t="shared" ref="O201:Q201" si="215">SUM(O200)</f>
        <v>0</v>
      </c>
      <c r="P201" s="275">
        <f t="shared" si="215"/>
        <v>0</v>
      </c>
      <c r="Q201" s="275">
        <f t="shared" si="215"/>
        <v>0</v>
      </c>
      <c r="R201" s="1085"/>
      <c r="S201" s="275">
        <f t="shared" ref="S201:U201" si="216">SUM(S200)</f>
        <v>0</v>
      </c>
      <c r="T201" s="1116">
        <f t="shared" si="216"/>
        <v>0</v>
      </c>
      <c r="U201" s="275">
        <f t="shared" si="216"/>
        <v>0</v>
      </c>
      <c r="V201" s="276"/>
      <c r="W201" s="275">
        <f t="shared" ref="W201:AN201" si="217">SUM(W200)</f>
        <v>0</v>
      </c>
      <c r="X201" s="1116">
        <f t="shared" si="217"/>
        <v>0</v>
      </c>
      <c r="Y201" s="1116">
        <f t="shared" si="217"/>
        <v>0</v>
      </c>
      <c r="Z201" s="275">
        <f t="shared" si="217"/>
        <v>0</v>
      </c>
      <c r="AA201" s="275">
        <f t="shared" si="217"/>
        <v>0</v>
      </c>
      <c r="AB201" s="1131">
        <f t="shared" si="217"/>
        <v>0</v>
      </c>
      <c r="AC201" s="275">
        <f t="shared" si="217"/>
        <v>0</v>
      </c>
      <c r="AD201" s="275">
        <f t="shared" si="217"/>
        <v>0</v>
      </c>
      <c r="AE201" s="275">
        <f t="shared" si="217"/>
        <v>0</v>
      </c>
      <c r="AF201" s="1116">
        <f t="shared" si="217"/>
        <v>0</v>
      </c>
      <c r="AG201" s="1146">
        <f t="shared" si="217"/>
        <v>0</v>
      </c>
      <c r="AH201" s="1116">
        <f t="shared" si="217"/>
        <v>0</v>
      </c>
      <c r="AI201" s="1116">
        <f t="shared" si="217"/>
        <v>0</v>
      </c>
      <c r="AJ201" s="1116">
        <f t="shared" si="217"/>
        <v>0</v>
      </c>
      <c r="AK201" s="275">
        <f>SUM(AJ200)</f>
        <v>0</v>
      </c>
      <c r="AL201" s="275">
        <f t="shared" si="217"/>
        <v>0</v>
      </c>
      <c r="AM201" s="275">
        <f t="shared" si="217"/>
        <v>3477.1996424121517</v>
      </c>
      <c r="AN201" s="275">
        <f t="shared" si="217"/>
        <v>0</v>
      </c>
    </row>
    <row r="202" spans="2:40" s="258" customFormat="1" ht="30" hidden="1" customHeight="1" x14ac:dyDescent="0.25">
      <c r="B202" s="257">
        <v>2331</v>
      </c>
      <c r="C202" s="259" t="s">
        <v>7195</v>
      </c>
      <c r="D202" s="259" t="s">
        <v>7194</v>
      </c>
      <c r="E202" s="259" t="s">
        <v>2723</v>
      </c>
      <c r="F202" s="259" t="s">
        <v>2919</v>
      </c>
      <c r="G202" s="259" t="s">
        <v>2777</v>
      </c>
      <c r="H202" s="266">
        <v>1</v>
      </c>
      <c r="I202" s="257">
        <v>40</v>
      </c>
      <c r="J202" s="257" t="s">
        <v>2636</v>
      </c>
      <c r="K202" s="257">
        <v>1</v>
      </c>
      <c r="L202" s="261">
        <v>43535</v>
      </c>
      <c r="M202" s="257">
        <v>3.2</v>
      </c>
      <c r="N202" s="262">
        <f>M202*AN116</f>
        <v>2225.4077711437772</v>
      </c>
      <c r="O202" s="280">
        <v>0</v>
      </c>
      <c r="P202" s="280">
        <v>0</v>
      </c>
      <c r="Q202" s="280">
        <v>0</v>
      </c>
      <c r="R202" s="263">
        <v>0</v>
      </c>
      <c r="S202" s="264">
        <f>N202*R202</f>
        <v>0</v>
      </c>
      <c r="T202" s="1114">
        <v>0</v>
      </c>
      <c r="U202" s="271">
        <v>0</v>
      </c>
      <c r="V202" s="282">
        <v>0</v>
      </c>
      <c r="W202" s="264">
        <f>N202*V202</f>
        <v>0</v>
      </c>
      <c r="X202" s="1113">
        <f>0/N202</f>
        <v>0</v>
      </c>
      <c r="Y202" s="1114">
        <f t="shared" ref="Y202:Y203" si="218">N202*X202</f>
        <v>0</v>
      </c>
      <c r="Z202" s="282">
        <v>0</v>
      </c>
      <c r="AA202" s="271">
        <v>0</v>
      </c>
      <c r="AB202" s="1130">
        <v>0</v>
      </c>
      <c r="AC202" s="271">
        <v>0</v>
      </c>
      <c r="AD202" s="271">
        <v>0</v>
      </c>
      <c r="AE202" s="271">
        <v>0</v>
      </c>
      <c r="AF202" s="1114">
        <v>0</v>
      </c>
      <c r="AG202" s="1145">
        <v>0</v>
      </c>
      <c r="AH202" s="1114">
        <v>0</v>
      </c>
      <c r="AI202" s="1114">
        <v>0</v>
      </c>
      <c r="AJ202" s="1114">
        <v>0</v>
      </c>
      <c r="AK202" s="273">
        <f>(N202+T202+U202)/3</f>
        <v>741.80259038125905</v>
      </c>
      <c r="AL202" s="273">
        <f>AK202*R202</f>
        <v>0</v>
      </c>
      <c r="AM202" s="273">
        <f>N202</f>
        <v>2225.4077711437772</v>
      </c>
      <c r="AN202" s="273">
        <f>AM202*R202</f>
        <v>0</v>
      </c>
    </row>
    <row r="203" spans="2:40" s="258" customFormat="1" ht="30" hidden="1" customHeight="1" x14ac:dyDescent="0.25">
      <c r="B203" s="257">
        <v>2332</v>
      </c>
      <c r="C203" s="259" t="s">
        <v>7198</v>
      </c>
      <c r="D203" s="259" t="s">
        <v>7199</v>
      </c>
      <c r="E203" s="259" t="s">
        <v>2723</v>
      </c>
      <c r="F203" s="259" t="s">
        <v>2919</v>
      </c>
      <c r="G203" s="259" t="s">
        <v>2918</v>
      </c>
      <c r="H203" s="266">
        <v>1</v>
      </c>
      <c r="I203" s="257">
        <v>40</v>
      </c>
      <c r="J203" s="257" t="s">
        <v>2636</v>
      </c>
      <c r="K203" s="257">
        <v>1</v>
      </c>
      <c r="L203" s="261">
        <v>43535</v>
      </c>
      <c r="M203" s="257">
        <v>3.2</v>
      </c>
      <c r="N203" s="262">
        <f>M203*AN116</f>
        <v>2225.4077711437772</v>
      </c>
      <c r="O203" s="280">
        <v>0</v>
      </c>
      <c r="P203" s="280">
        <v>0</v>
      </c>
      <c r="Q203" s="280">
        <v>0</v>
      </c>
      <c r="R203" s="263">
        <v>0</v>
      </c>
      <c r="S203" s="264">
        <f>N203*R203</f>
        <v>0</v>
      </c>
      <c r="T203" s="1114">
        <v>0</v>
      </c>
      <c r="U203" s="271">
        <v>0</v>
      </c>
      <c r="V203" s="282">
        <v>0</v>
      </c>
      <c r="W203" s="264">
        <f>N203*V203</f>
        <v>0</v>
      </c>
      <c r="X203" s="1113">
        <f>0/N203</f>
        <v>0</v>
      </c>
      <c r="Y203" s="1114">
        <f t="shared" si="218"/>
        <v>0</v>
      </c>
      <c r="Z203" s="282">
        <v>0</v>
      </c>
      <c r="AA203" s="271">
        <v>0</v>
      </c>
      <c r="AB203" s="1130">
        <v>0</v>
      </c>
      <c r="AC203" s="271">
        <v>0</v>
      </c>
      <c r="AD203" s="271">
        <v>0</v>
      </c>
      <c r="AE203" s="271">
        <v>0</v>
      </c>
      <c r="AF203" s="1114">
        <v>0</v>
      </c>
      <c r="AG203" s="1145">
        <v>0</v>
      </c>
      <c r="AH203" s="1114">
        <v>0</v>
      </c>
      <c r="AI203" s="1114">
        <v>0</v>
      </c>
      <c r="AJ203" s="1114">
        <v>0</v>
      </c>
      <c r="AK203" s="273">
        <f>(N203+T203+U203)/3</f>
        <v>741.80259038125905</v>
      </c>
      <c r="AL203" s="273">
        <f>AK203*R203</f>
        <v>0</v>
      </c>
      <c r="AM203" s="273">
        <f>N203</f>
        <v>2225.4077711437772</v>
      </c>
      <c r="AN203" s="273">
        <f>AM203*R203</f>
        <v>0</v>
      </c>
    </row>
    <row r="204" spans="2:40" s="258" customFormat="1" ht="30" hidden="1" customHeight="1" x14ac:dyDescent="0.25">
      <c r="B204" s="1077" t="s">
        <v>2755</v>
      </c>
      <c r="C204" s="1077"/>
      <c r="D204" s="1077"/>
      <c r="E204" s="1077"/>
      <c r="F204" s="1077"/>
      <c r="G204" s="1077"/>
      <c r="H204" s="1077"/>
      <c r="I204" s="1077"/>
      <c r="J204" s="1077"/>
      <c r="K204" s="1077"/>
      <c r="L204" s="1077"/>
      <c r="M204" s="1077"/>
      <c r="N204" s="275">
        <f>SUM(N202+N203)</f>
        <v>4450.8155422875543</v>
      </c>
      <c r="O204" s="275">
        <f t="shared" ref="O204" si="219">SUM(O202+O203)</f>
        <v>0</v>
      </c>
      <c r="P204" s="275">
        <f t="shared" ref="P204" si="220">SUM(P202+P203)</f>
        <v>0</v>
      </c>
      <c r="Q204" s="275">
        <f t="shared" ref="Q204" si="221">SUM(Q202+Q203)</f>
        <v>0</v>
      </c>
      <c r="R204" s="1085"/>
      <c r="S204" s="275">
        <f>SUM(S202+S203)</f>
        <v>0</v>
      </c>
      <c r="T204" s="1116">
        <f>SUM(T202+T203)</f>
        <v>0</v>
      </c>
      <c r="U204" s="275">
        <f>SUM(U202+U203)</f>
        <v>0</v>
      </c>
      <c r="V204" s="276"/>
      <c r="W204" s="275">
        <f>SUM(W202+W203)</f>
        <v>0</v>
      </c>
      <c r="X204" s="1149">
        <f>SUM(X202+X203)</f>
        <v>0</v>
      </c>
      <c r="Y204" s="1149">
        <f>SUM(Y202+Y203)</f>
        <v>0</v>
      </c>
      <c r="Z204" s="1150"/>
      <c r="AA204" s="275">
        <f>SUM(AA202+AA203)</f>
        <v>0</v>
      </c>
      <c r="AB204" s="1131">
        <f>SUM(AB202+AB203)</f>
        <v>0</v>
      </c>
      <c r="AC204" s="275">
        <f>SUM(AC202+AC203)</f>
        <v>0</v>
      </c>
      <c r="AD204" s="275">
        <f t="shared" ref="AD204" si="222">SUM(AD202+AD203)</f>
        <v>0</v>
      </c>
      <c r="AE204" s="275">
        <f t="shared" ref="AE204" si="223">SUM(AE202+AE203)</f>
        <v>0</v>
      </c>
      <c r="AF204" s="1116">
        <f t="shared" ref="AF204" si="224">SUM(AF202+AF203)</f>
        <v>0</v>
      </c>
      <c r="AG204" s="275">
        <f t="shared" ref="AG204" si="225">SUM(AG202+AG203)</f>
        <v>0</v>
      </c>
      <c r="AH204" s="1116">
        <f t="shared" ref="AH204" si="226">SUM(AH202+AH203)</f>
        <v>0</v>
      </c>
      <c r="AI204" s="1116">
        <f t="shared" ref="AI204" si="227">SUM(AI202+AI203)</f>
        <v>0</v>
      </c>
      <c r="AJ204" s="1116">
        <f t="shared" ref="AJ204" si="228">SUM(AJ202+AJ203)</f>
        <v>0</v>
      </c>
      <c r="AK204" s="275">
        <f>SUM(AJ202+AJ203)</f>
        <v>0</v>
      </c>
      <c r="AL204" s="275">
        <f t="shared" ref="AL204" si="229">SUM(AL202+AL203)</f>
        <v>0</v>
      </c>
      <c r="AM204" s="275">
        <f t="shared" ref="AM204" si="230">SUM(AM202+AM203)</f>
        <v>4450.8155422875543</v>
      </c>
      <c r="AN204" s="275">
        <f t="shared" ref="AN204" si="231">SUM(AN202+AN203)</f>
        <v>0</v>
      </c>
    </row>
    <row r="205" spans="2:40" s="258" customFormat="1" ht="30" hidden="1" customHeight="1" x14ac:dyDescent="0.25">
      <c r="B205" s="257">
        <v>2330</v>
      </c>
      <c r="C205" s="267" t="str">
        <f>PROPER("DENISE CAROLINE SIEMIONKO")</f>
        <v>Denise Caroline Siemionko</v>
      </c>
      <c r="D205" s="267" t="s">
        <v>2923</v>
      </c>
      <c r="E205" s="267" t="s">
        <v>2725</v>
      </c>
      <c r="F205" s="259" t="s">
        <v>2919</v>
      </c>
      <c r="G205" s="259" t="s">
        <v>2777</v>
      </c>
      <c r="H205" s="257">
        <v>1</v>
      </c>
      <c r="I205" s="257">
        <v>40</v>
      </c>
      <c r="J205" s="257">
        <v>0</v>
      </c>
      <c r="K205" s="257">
        <v>0</v>
      </c>
      <c r="L205" s="261">
        <v>43530</v>
      </c>
      <c r="M205" s="260">
        <f>4760.1/639.67</f>
        <v>7.441493269967328</v>
      </c>
      <c r="N205" s="280">
        <f>AN116*M205</f>
        <v>5175.1115474685648</v>
      </c>
      <c r="O205" s="280">
        <v>0</v>
      </c>
      <c r="P205" s="280">
        <v>0</v>
      </c>
      <c r="Q205" s="280">
        <v>0</v>
      </c>
      <c r="R205" s="281">
        <v>0</v>
      </c>
      <c r="S205" s="271">
        <f>N205*R205</f>
        <v>0</v>
      </c>
      <c r="T205" s="1114">
        <v>0</v>
      </c>
      <c r="U205" s="271">
        <v>0</v>
      </c>
      <c r="V205" s="282">
        <v>0</v>
      </c>
      <c r="W205" s="264">
        <f>N205*V205</f>
        <v>0</v>
      </c>
      <c r="X205" s="1113">
        <v>0</v>
      </c>
      <c r="Y205" s="1114">
        <v>0</v>
      </c>
      <c r="Z205" s="282">
        <v>0</v>
      </c>
      <c r="AA205" s="271">
        <v>0</v>
      </c>
      <c r="AB205" s="1130">
        <v>0</v>
      </c>
      <c r="AC205" s="271">
        <v>0</v>
      </c>
      <c r="AD205" s="271">
        <v>0</v>
      </c>
      <c r="AE205" s="271">
        <v>0</v>
      </c>
      <c r="AF205" s="1114">
        <v>0</v>
      </c>
      <c r="AG205" s="1145">
        <v>0</v>
      </c>
      <c r="AH205" s="1114">
        <v>0</v>
      </c>
      <c r="AI205" s="1114">
        <v>0</v>
      </c>
      <c r="AJ205" s="1114">
        <v>0</v>
      </c>
      <c r="AK205" s="273">
        <f>(N205+T205+U205)/3</f>
        <v>1725.0371824895217</v>
      </c>
      <c r="AL205" s="273">
        <f>AK205*R205</f>
        <v>0</v>
      </c>
      <c r="AM205" s="273">
        <f>N205</f>
        <v>5175.1115474685648</v>
      </c>
      <c r="AN205" s="273">
        <f>AM205*R205</f>
        <v>0</v>
      </c>
    </row>
    <row r="206" spans="2:40" ht="30" hidden="1" customHeight="1" x14ac:dyDescent="0.25">
      <c r="B206" s="1206" t="s">
        <v>2726</v>
      </c>
      <c r="C206" s="1077"/>
      <c r="D206" s="1077"/>
      <c r="E206" s="1077"/>
      <c r="F206" s="1077"/>
      <c r="G206" s="1077"/>
      <c r="H206" s="1077"/>
      <c r="I206" s="1077"/>
      <c r="J206" s="1077"/>
      <c r="K206" s="1077"/>
      <c r="L206" s="1077"/>
      <c r="M206" s="1077"/>
      <c r="N206" s="275">
        <f>SUM(N205:N205)</f>
        <v>5175.1115474685648</v>
      </c>
      <c r="O206" s="275">
        <f>SUM(O205:O205)</f>
        <v>0</v>
      </c>
      <c r="P206" s="275">
        <f>SUM(P205:P205)</f>
        <v>0</v>
      </c>
      <c r="Q206" s="275">
        <f>SUM(Q205:Q205)</f>
        <v>0</v>
      </c>
      <c r="R206" s="1085"/>
      <c r="S206" s="275">
        <f>SUM(S205:S205)</f>
        <v>0</v>
      </c>
      <c r="T206" s="1116">
        <f>SUM(T205:T205)</f>
        <v>0</v>
      </c>
      <c r="U206" s="275">
        <f>SUM(U205:U205)</f>
        <v>0</v>
      </c>
      <c r="V206" s="276"/>
      <c r="W206" s="275">
        <f>SUM(W205:W205)</f>
        <v>0</v>
      </c>
      <c r="X206" s="1115"/>
      <c r="Y206" s="1116">
        <f>SUM(Y205:Y205)</f>
        <v>0</v>
      </c>
      <c r="Z206" s="276"/>
      <c r="AA206" s="275">
        <f>SUM(AA205:AA205)</f>
        <v>0</v>
      </c>
      <c r="AB206" s="1131">
        <f t="shared" ref="AB206:AN206" si="232">SUM(AB205:AB205)</f>
        <v>0</v>
      </c>
      <c r="AC206" s="275">
        <f t="shared" si="232"/>
        <v>0</v>
      </c>
      <c r="AD206" s="275">
        <f t="shared" si="232"/>
        <v>0</v>
      </c>
      <c r="AE206" s="275">
        <f t="shared" si="232"/>
        <v>0</v>
      </c>
      <c r="AF206" s="1116">
        <f t="shared" si="232"/>
        <v>0</v>
      </c>
      <c r="AG206" s="1146">
        <f t="shared" si="232"/>
        <v>0</v>
      </c>
      <c r="AH206" s="1116">
        <f t="shared" si="232"/>
        <v>0</v>
      </c>
      <c r="AI206" s="1116">
        <f t="shared" si="232"/>
        <v>0</v>
      </c>
      <c r="AJ206" s="1116">
        <f t="shared" si="232"/>
        <v>0</v>
      </c>
      <c r="AK206" s="275">
        <f>SUM(AJ205:AJ205)</f>
        <v>0</v>
      </c>
      <c r="AL206" s="275">
        <f t="shared" si="232"/>
        <v>0</v>
      </c>
      <c r="AM206" s="275">
        <f t="shared" si="232"/>
        <v>5175.1115474685648</v>
      </c>
      <c r="AN206" s="275">
        <f t="shared" si="232"/>
        <v>0</v>
      </c>
    </row>
    <row r="207" spans="2:40" ht="30" hidden="1" customHeight="1" x14ac:dyDescent="0.25">
      <c r="B207" s="257">
        <v>2340</v>
      </c>
      <c r="C207" s="259" t="s">
        <v>7196</v>
      </c>
      <c r="D207" s="259" t="s">
        <v>2780</v>
      </c>
      <c r="E207" s="259" t="s">
        <v>2757</v>
      </c>
      <c r="F207" s="259" t="s">
        <v>2919</v>
      </c>
      <c r="G207" s="259" t="s">
        <v>2924</v>
      </c>
      <c r="H207" s="266">
        <v>1</v>
      </c>
      <c r="I207" s="257">
        <v>40</v>
      </c>
      <c r="J207" s="257" t="s">
        <v>2636</v>
      </c>
      <c r="K207" s="257">
        <v>0</v>
      </c>
      <c r="L207" s="261">
        <v>43570</v>
      </c>
      <c r="M207" s="257">
        <v>2.5</v>
      </c>
      <c r="N207" s="262">
        <f>M207*AN116+0.01</f>
        <v>1738.6098212060758</v>
      </c>
      <c r="O207" s="280">
        <v>0</v>
      </c>
      <c r="P207" s="280">
        <v>0</v>
      </c>
      <c r="Q207" s="280">
        <v>0</v>
      </c>
      <c r="R207" s="263">
        <v>0</v>
      </c>
      <c r="S207" s="264">
        <f>N207*R207</f>
        <v>0</v>
      </c>
      <c r="T207" s="1114">
        <v>0</v>
      </c>
      <c r="U207" s="264">
        <v>0</v>
      </c>
      <c r="V207" s="265">
        <v>0</v>
      </c>
      <c r="W207" s="264">
        <f>N207*V207</f>
        <v>0</v>
      </c>
      <c r="X207" s="1113">
        <f>76.76/N207</f>
        <v>4.4150216491214513E-2</v>
      </c>
      <c r="Y207" s="1114">
        <f>N207*X207</f>
        <v>76.760000000000005</v>
      </c>
      <c r="Z207" s="265">
        <v>0</v>
      </c>
      <c r="AA207" s="264">
        <f>N207*Z207</f>
        <v>0</v>
      </c>
      <c r="AB207" s="1130">
        <v>0</v>
      </c>
      <c r="AC207" s="264">
        <v>0</v>
      </c>
      <c r="AD207" s="264">
        <v>0</v>
      </c>
      <c r="AE207" s="264">
        <f>(287.85/N207)*N207</f>
        <v>287.85000000000002</v>
      </c>
      <c r="AF207" s="1114">
        <v>0</v>
      </c>
      <c r="AG207" s="1145">
        <v>0</v>
      </c>
      <c r="AH207" s="1119">
        <v>0</v>
      </c>
      <c r="AI207" s="1119">
        <v>0</v>
      </c>
      <c r="AJ207" s="1114">
        <v>0</v>
      </c>
      <c r="AK207" s="273">
        <f>(N207+T207+U207)/3</f>
        <v>579.53660706869198</v>
      </c>
      <c r="AL207" s="273">
        <f>AK207*R207</f>
        <v>0</v>
      </c>
      <c r="AM207" s="273">
        <f>N207</f>
        <v>1738.6098212060758</v>
      </c>
      <c r="AN207" s="273">
        <f>AM207*R207</f>
        <v>0</v>
      </c>
    </row>
    <row r="208" spans="2:40" ht="30" hidden="1" customHeight="1" x14ac:dyDescent="0.25">
      <c r="B208" s="257">
        <v>2341</v>
      </c>
      <c r="C208" s="259" t="s">
        <v>7197</v>
      </c>
      <c r="D208" s="259" t="s">
        <v>2780</v>
      </c>
      <c r="E208" s="259" t="s">
        <v>2757</v>
      </c>
      <c r="F208" s="259" t="s">
        <v>2919</v>
      </c>
      <c r="G208" s="259" t="s">
        <v>2924</v>
      </c>
      <c r="H208" s="266">
        <v>1</v>
      </c>
      <c r="I208" s="257">
        <v>40</v>
      </c>
      <c r="J208" s="257" t="s">
        <v>2636</v>
      </c>
      <c r="K208" s="257">
        <v>0</v>
      </c>
      <c r="L208" s="261">
        <v>43570</v>
      </c>
      <c r="M208" s="257">
        <v>2.5</v>
      </c>
      <c r="N208" s="262">
        <f>M208*AN116+0.01</f>
        <v>1738.6098212060758</v>
      </c>
      <c r="O208" s="280">
        <v>0</v>
      </c>
      <c r="P208" s="280">
        <v>0</v>
      </c>
      <c r="Q208" s="280">
        <v>0</v>
      </c>
      <c r="R208" s="263">
        <v>0</v>
      </c>
      <c r="S208" s="264">
        <f>N208*R208</f>
        <v>0</v>
      </c>
      <c r="T208" s="1114">
        <v>0</v>
      </c>
      <c r="U208" s="264">
        <v>0</v>
      </c>
      <c r="V208" s="265">
        <v>0</v>
      </c>
      <c r="W208" s="264">
        <f>N208*V208</f>
        <v>0</v>
      </c>
      <c r="X208" s="1113">
        <f>76.76/N208</f>
        <v>4.4150216491214513E-2</v>
      </c>
      <c r="Y208" s="1114">
        <f>N208*X208</f>
        <v>76.760000000000005</v>
      </c>
      <c r="Z208" s="265">
        <v>0</v>
      </c>
      <c r="AA208" s="264">
        <f>N208*Z208</f>
        <v>0</v>
      </c>
      <c r="AB208" s="1130">
        <v>0</v>
      </c>
      <c r="AC208" s="264">
        <v>0</v>
      </c>
      <c r="AD208" s="264">
        <v>0</v>
      </c>
      <c r="AE208" s="264">
        <f>(268.66/N208)*N208</f>
        <v>268.66000000000003</v>
      </c>
      <c r="AF208" s="1114">
        <v>0</v>
      </c>
      <c r="AG208" s="1145">
        <v>0</v>
      </c>
      <c r="AH208" s="1119">
        <v>0</v>
      </c>
      <c r="AI208" s="1119">
        <v>0</v>
      </c>
      <c r="AJ208" s="1114">
        <v>0</v>
      </c>
      <c r="AK208" s="273">
        <f>(N208+T208+U208)/3</f>
        <v>579.53660706869198</v>
      </c>
      <c r="AL208" s="273">
        <f>AK208*R208</f>
        <v>0</v>
      </c>
      <c r="AM208" s="273">
        <f>N208</f>
        <v>1738.6098212060758</v>
      </c>
      <c r="AN208" s="273">
        <f>AM208*R208</f>
        <v>0</v>
      </c>
    </row>
    <row r="209" spans="2:40" s="258" customFormat="1" ht="30" hidden="1" customHeight="1" x14ac:dyDescent="0.25">
      <c r="B209" s="257">
        <v>0</v>
      </c>
      <c r="C209" s="259" t="s">
        <v>7119</v>
      </c>
      <c r="D209" s="259" t="s">
        <v>2780</v>
      </c>
      <c r="E209" s="259" t="s">
        <v>2757</v>
      </c>
      <c r="F209" s="259" t="s">
        <v>2919</v>
      </c>
      <c r="G209" s="259" t="s">
        <v>2924</v>
      </c>
      <c r="H209" s="266">
        <v>1</v>
      </c>
      <c r="I209" s="257">
        <v>40</v>
      </c>
      <c r="J209" s="257" t="s">
        <v>2636</v>
      </c>
      <c r="K209" s="257">
        <v>0</v>
      </c>
      <c r="L209" s="261">
        <v>0</v>
      </c>
      <c r="M209" s="257">
        <v>2.5</v>
      </c>
      <c r="N209" s="262">
        <f>M209*AN116+0.01</f>
        <v>1738.6098212060758</v>
      </c>
      <c r="O209" s="280">
        <v>0</v>
      </c>
      <c r="P209" s="280">
        <v>0</v>
      </c>
      <c r="Q209" s="280">
        <v>0</v>
      </c>
      <c r="R209" s="263">
        <v>0</v>
      </c>
      <c r="S209" s="264">
        <f>N209*R209</f>
        <v>0</v>
      </c>
      <c r="T209" s="1114">
        <v>0</v>
      </c>
      <c r="U209" s="264">
        <v>0</v>
      </c>
      <c r="V209" s="265">
        <v>0</v>
      </c>
      <c r="W209" s="264">
        <f>N209*V209</f>
        <v>0</v>
      </c>
      <c r="X209" s="1113">
        <f>76.76/N209</f>
        <v>4.4150216491214513E-2</v>
      </c>
      <c r="Y209" s="1114">
        <f>N209*X209</f>
        <v>76.760000000000005</v>
      </c>
      <c r="Z209" s="265">
        <v>0</v>
      </c>
      <c r="AA209" s="264">
        <f>N209*Z209</f>
        <v>0</v>
      </c>
      <c r="AB209" s="1130">
        <v>0</v>
      </c>
      <c r="AC209" s="264">
        <v>0</v>
      </c>
      <c r="AD209" s="264">
        <v>0</v>
      </c>
      <c r="AE209" s="264">
        <f>(268.66/N209)*N209</f>
        <v>268.66000000000003</v>
      </c>
      <c r="AF209" s="1114">
        <v>0</v>
      </c>
      <c r="AG209" s="1145">
        <v>0</v>
      </c>
      <c r="AH209" s="1119">
        <v>0</v>
      </c>
      <c r="AI209" s="1119">
        <v>0</v>
      </c>
      <c r="AJ209" s="1114">
        <v>0</v>
      </c>
      <c r="AK209" s="273">
        <f>(N209+T209+U209)/3</f>
        <v>579.53660706869198</v>
      </c>
      <c r="AL209" s="273">
        <f>AK209*R209</f>
        <v>0</v>
      </c>
      <c r="AM209" s="273">
        <f>N209</f>
        <v>1738.6098212060758</v>
      </c>
      <c r="AN209" s="273">
        <f>AM209*R209</f>
        <v>0</v>
      </c>
    </row>
    <row r="210" spans="2:40" s="258" customFormat="1" ht="30" hidden="1" customHeight="1" x14ac:dyDescent="0.25">
      <c r="B210" s="1206" t="s">
        <v>2759</v>
      </c>
      <c r="C210" s="1077"/>
      <c r="D210" s="1077"/>
      <c r="E210" s="1077"/>
      <c r="F210" s="1077"/>
      <c r="G210" s="1077"/>
      <c r="H210" s="1077"/>
      <c r="I210" s="1077"/>
      <c r="J210" s="1077"/>
      <c r="K210" s="1077"/>
      <c r="L210" s="1077"/>
      <c r="M210" s="1077"/>
      <c r="N210" s="275">
        <f>SUM(N207:N209)</f>
        <v>5215.8294636182272</v>
      </c>
      <c r="O210" s="275">
        <f>SUM(O207:O209)</f>
        <v>0</v>
      </c>
      <c r="P210" s="275">
        <f>SUM(P207:P209)</f>
        <v>0</v>
      </c>
      <c r="Q210" s="275">
        <f>SUM(Q207:Q209)</f>
        <v>0</v>
      </c>
      <c r="R210" s="1085"/>
      <c r="S210" s="275">
        <f>SUM(S207:S209)</f>
        <v>0</v>
      </c>
      <c r="T210" s="1116">
        <f>SUM(T207:T209)</f>
        <v>0</v>
      </c>
      <c r="U210" s="275">
        <f>SUM(U207:U209)</f>
        <v>0</v>
      </c>
      <c r="V210" s="276"/>
      <c r="W210" s="275">
        <f>SUM(W207:W209)</f>
        <v>0</v>
      </c>
      <c r="X210" s="1115"/>
      <c r="Y210" s="1116">
        <f>SUM(Y207:Y209)</f>
        <v>230.28000000000003</v>
      </c>
      <c r="Z210" s="276"/>
      <c r="AA210" s="275">
        <f t="shared" ref="AA210:AN210" si="233">SUM(AA207:AA209)</f>
        <v>0</v>
      </c>
      <c r="AB210" s="1131">
        <f t="shared" si="233"/>
        <v>0</v>
      </c>
      <c r="AC210" s="275">
        <f t="shared" si="233"/>
        <v>0</v>
      </c>
      <c r="AD210" s="275">
        <f t="shared" si="233"/>
        <v>0</v>
      </c>
      <c r="AE210" s="275">
        <f t="shared" si="233"/>
        <v>825.17000000000007</v>
      </c>
      <c r="AF210" s="1116">
        <f t="shared" si="233"/>
        <v>0</v>
      </c>
      <c r="AG210" s="1146">
        <f t="shared" si="233"/>
        <v>0</v>
      </c>
      <c r="AH210" s="1116">
        <f t="shared" si="233"/>
        <v>0</v>
      </c>
      <c r="AI210" s="1116">
        <f t="shared" si="233"/>
        <v>0</v>
      </c>
      <c r="AJ210" s="1116">
        <f t="shared" si="233"/>
        <v>0</v>
      </c>
      <c r="AK210" s="275">
        <f>SUM(AJ207:AJ209)</f>
        <v>0</v>
      </c>
      <c r="AL210" s="275">
        <f t="shared" si="233"/>
        <v>0</v>
      </c>
      <c r="AM210" s="275">
        <f t="shared" si="233"/>
        <v>5215.8294636182272</v>
      </c>
      <c r="AN210" s="275">
        <f t="shared" si="233"/>
        <v>0</v>
      </c>
    </row>
    <row r="211" spans="2:40" ht="30" hidden="1" customHeight="1" x14ac:dyDescent="0.25">
      <c r="B211" s="257">
        <v>511</v>
      </c>
      <c r="C211" s="267" t="str">
        <f>PROPER("DALVA REGINA CARAD")</f>
        <v>Dalva Regina Carad</v>
      </c>
      <c r="D211" s="259" t="s">
        <v>2643</v>
      </c>
      <c r="E211" s="259" t="s">
        <v>2739</v>
      </c>
      <c r="F211" s="259" t="s">
        <v>2919</v>
      </c>
      <c r="G211" s="259" t="s">
        <v>2777</v>
      </c>
      <c r="H211" s="266">
        <v>1</v>
      </c>
      <c r="I211" s="257">
        <v>44</v>
      </c>
      <c r="J211" s="257" t="s">
        <v>2636</v>
      </c>
      <c r="K211" s="257">
        <v>0</v>
      </c>
      <c r="L211" s="261">
        <v>37365</v>
      </c>
      <c r="M211" s="257">
        <v>1.95</v>
      </c>
      <c r="N211" s="262">
        <f>M211*AN116</f>
        <v>1356.107860540739</v>
      </c>
      <c r="O211" s="280">
        <v>0</v>
      </c>
      <c r="P211" s="280">
        <v>0</v>
      </c>
      <c r="Q211" s="280">
        <v>0</v>
      </c>
      <c r="R211" s="263">
        <v>0.17</v>
      </c>
      <c r="S211" s="264">
        <f>N211*R211</f>
        <v>230.53833629192565</v>
      </c>
      <c r="T211" s="1114">
        <v>0</v>
      </c>
      <c r="U211" s="264">
        <v>0</v>
      </c>
      <c r="V211" s="265">
        <v>0</v>
      </c>
      <c r="W211" s="264">
        <f>N211*V211</f>
        <v>0</v>
      </c>
      <c r="X211" s="1113">
        <f>119.86/N211</f>
        <v>8.8385299936397849E-2</v>
      </c>
      <c r="Y211" s="1114">
        <f>N211*X211</f>
        <v>119.86</v>
      </c>
      <c r="Z211" s="265">
        <v>0</v>
      </c>
      <c r="AA211" s="264">
        <f>N211*Z211</f>
        <v>0</v>
      </c>
      <c r="AB211" s="1130">
        <v>0</v>
      </c>
      <c r="AC211" s="264">
        <v>0</v>
      </c>
      <c r="AD211" s="264">
        <v>0</v>
      </c>
      <c r="AE211" s="264">
        <f>(0/N211)*N211</f>
        <v>0</v>
      </c>
      <c r="AF211" s="1114">
        <v>0</v>
      </c>
      <c r="AG211" s="1145">
        <v>0</v>
      </c>
      <c r="AH211" s="1119">
        <v>0</v>
      </c>
      <c r="AI211" s="1119">
        <v>0</v>
      </c>
      <c r="AJ211" s="1114">
        <v>0</v>
      </c>
      <c r="AK211" s="273">
        <f>(N211+T211+U211)/3</f>
        <v>452.03595351357967</v>
      </c>
      <c r="AL211" s="273">
        <f>AK211*R211</f>
        <v>76.846112097308549</v>
      </c>
      <c r="AM211" s="273">
        <f>N211</f>
        <v>1356.107860540739</v>
      </c>
      <c r="AN211" s="273">
        <f>AM211*R211</f>
        <v>230.53833629192565</v>
      </c>
    </row>
    <row r="212" spans="2:40" ht="30" hidden="1" customHeight="1" x14ac:dyDescent="0.25">
      <c r="B212" s="257">
        <v>1916</v>
      </c>
      <c r="C212" s="259" t="s">
        <v>2671</v>
      </c>
      <c r="D212" s="259" t="s">
        <v>2669</v>
      </c>
      <c r="E212" s="259" t="s">
        <v>2739</v>
      </c>
      <c r="F212" s="259" t="s">
        <v>2919</v>
      </c>
      <c r="G212" s="259" t="s">
        <v>2779</v>
      </c>
      <c r="H212" s="266">
        <v>1</v>
      </c>
      <c r="I212" s="257">
        <v>44</v>
      </c>
      <c r="J212" s="257" t="s">
        <v>2636</v>
      </c>
      <c r="K212" s="257">
        <v>0</v>
      </c>
      <c r="L212" s="261">
        <v>42065</v>
      </c>
      <c r="M212" s="257">
        <v>2.62</v>
      </c>
      <c r="N212" s="262">
        <f>M212*AN116</f>
        <v>1822.0526126239674</v>
      </c>
      <c r="O212" s="280">
        <v>0</v>
      </c>
      <c r="P212" s="280">
        <v>0</v>
      </c>
      <c r="Q212" s="280">
        <v>0</v>
      </c>
      <c r="R212" s="263">
        <v>0.05</v>
      </c>
      <c r="S212" s="264">
        <f t="shared" ref="S212" si="234">N212*R212</f>
        <v>91.10263063119838</v>
      </c>
      <c r="T212" s="1114">
        <v>0</v>
      </c>
      <c r="U212" s="264">
        <v>0</v>
      </c>
      <c r="V212" s="265">
        <v>0</v>
      </c>
      <c r="W212" s="264">
        <f t="shared" ref="W212" si="235">N212*V212</f>
        <v>0</v>
      </c>
      <c r="X212" s="1113">
        <f>76.96/N212</f>
        <v>4.2238077795771579E-2</v>
      </c>
      <c r="Y212" s="1114">
        <f t="shared" ref="Y212" si="236">N212*X212</f>
        <v>76.959999999999994</v>
      </c>
      <c r="Z212" s="265">
        <v>0</v>
      </c>
      <c r="AA212" s="264">
        <f t="shared" ref="AA212" si="237">N212*Z212</f>
        <v>0</v>
      </c>
      <c r="AB212" s="1130">
        <v>0</v>
      </c>
      <c r="AC212" s="264">
        <v>0</v>
      </c>
      <c r="AD212" s="264">
        <v>0</v>
      </c>
      <c r="AE212" s="264">
        <f>(345.42/N212)*N212</f>
        <v>345.42</v>
      </c>
      <c r="AF212" s="1114">
        <v>0</v>
      </c>
      <c r="AG212" s="1145">
        <v>0</v>
      </c>
      <c r="AH212" s="1119">
        <v>0</v>
      </c>
      <c r="AI212" s="1119">
        <v>0</v>
      </c>
      <c r="AJ212" s="1114">
        <v>0</v>
      </c>
      <c r="AK212" s="273">
        <f t="shared" ref="AK212" si="238">(N212+T212+U212)/3</f>
        <v>607.35087087465581</v>
      </c>
      <c r="AL212" s="273">
        <f>AK212*R212</f>
        <v>30.367543543732793</v>
      </c>
      <c r="AM212" s="273">
        <f t="shared" ref="AM212" si="239">N212</f>
        <v>1822.0526126239674</v>
      </c>
      <c r="AN212" s="273">
        <f t="shared" ref="AN212" si="240">AM212*R212</f>
        <v>91.10263063119838</v>
      </c>
    </row>
    <row r="213" spans="2:40" s="258" customFormat="1" ht="30" hidden="1" customHeight="1" x14ac:dyDescent="0.25">
      <c r="B213" s="257">
        <v>1920</v>
      </c>
      <c r="C213" s="259" t="s">
        <v>2668</v>
      </c>
      <c r="D213" s="259" t="s">
        <v>2669</v>
      </c>
      <c r="E213" s="259" t="s">
        <v>2739</v>
      </c>
      <c r="F213" s="259" t="s">
        <v>2919</v>
      </c>
      <c r="G213" s="259" t="s">
        <v>2924</v>
      </c>
      <c r="H213" s="266">
        <v>1</v>
      </c>
      <c r="I213" s="257">
        <v>44</v>
      </c>
      <c r="J213" s="257" t="s">
        <v>2636</v>
      </c>
      <c r="K213" s="257">
        <v>0</v>
      </c>
      <c r="L213" s="261">
        <v>42066</v>
      </c>
      <c r="M213" s="257">
        <v>2.62</v>
      </c>
      <c r="N213" s="262">
        <f>M213*AN116</f>
        <v>1822.0526126239674</v>
      </c>
      <c r="O213" s="280">
        <v>0</v>
      </c>
      <c r="P213" s="280">
        <v>0</v>
      </c>
      <c r="Q213" s="280">
        <v>0</v>
      </c>
      <c r="R213" s="263">
        <v>0.05</v>
      </c>
      <c r="S213" s="264">
        <f>N213*R213</f>
        <v>91.10263063119838</v>
      </c>
      <c r="T213" s="1114">
        <v>0</v>
      </c>
      <c r="U213" s="264">
        <v>0</v>
      </c>
      <c r="V213" s="265">
        <v>0</v>
      </c>
      <c r="W213" s="264">
        <f>N213*V213</f>
        <v>0</v>
      </c>
      <c r="X213" s="1113">
        <f>71.91/N213</f>
        <v>3.9466478356210165E-2</v>
      </c>
      <c r="Y213" s="1114">
        <f>N213*X213</f>
        <v>71.91</v>
      </c>
      <c r="Z213" s="265">
        <v>0</v>
      </c>
      <c r="AA213" s="264">
        <f>N213*Z213</f>
        <v>0</v>
      </c>
      <c r="AB213" s="1130">
        <v>0</v>
      </c>
      <c r="AC213" s="264">
        <v>0</v>
      </c>
      <c r="AD213" s="264">
        <v>0</v>
      </c>
      <c r="AE213" s="264">
        <f>(268.66/N213)*N213</f>
        <v>268.66000000000003</v>
      </c>
      <c r="AF213" s="1114">
        <v>0</v>
      </c>
      <c r="AG213" s="1145">
        <v>0</v>
      </c>
      <c r="AH213" s="1119">
        <v>0</v>
      </c>
      <c r="AI213" s="1119">
        <v>0</v>
      </c>
      <c r="AJ213" s="1114">
        <v>0</v>
      </c>
      <c r="AK213" s="273">
        <f>(N213+T213+U213)/3</f>
        <v>607.35087087465581</v>
      </c>
      <c r="AL213" s="273">
        <f>AK213*R213</f>
        <v>30.367543543732793</v>
      </c>
      <c r="AM213" s="273">
        <f>N213</f>
        <v>1822.0526126239674</v>
      </c>
      <c r="AN213" s="273">
        <f>AM213*R213</f>
        <v>91.10263063119838</v>
      </c>
    </row>
    <row r="214" spans="2:40" ht="30" hidden="1" customHeight="1" x14ac:dyDescent="0.25">
      <c r="B214" s="1206" t="s">
        <v>2747</v>
      </c>
      <c r="C214" s="1206"/>
      <c r="D214" s="1206"/>
      <c r="E214" s="1206"/>
      <c r="F214" s="1206"/>
      <c r="G214" s="1206"/>
      <c r="H214" s="1206"/>
      <c r="I214" s="1206"/>
      <c r="J214" s="1206"/>
      <c r="K214" s="1206"/>
      <c r="L214" s="1206"/>
      <c r="M214" s="1206"/>
      <c r="N214" s="1207">
        <f>SUM(N211:N213)</f>
        <v>5000.2130857886741</v>
      </c>
      <c r="O214" s="1207">
        <f>SUM(O211:O213)</f>
        <v>0</v>
      </c>
      <c r="P214" s="1207">
        <f>SUM(P211:P213)</f>
        <v>0</v>
      </c>
      <c r="Q214" s="1207">
        <f>SUM(Q211:Q213)</f>
        <v>0</v>
      </c>
      <c r="R214" s="1208"/>
      <c r="S214" s="1207">
        <f>SUM(S211:S213)</f>
        <v>412.74359755432243</v>
      </c>
      <c r="T214" s="1209">
        <f>SUM(T211:T213)</f>
        <v>0</v>
      </c>
      <c r="U214" s="1207">
        <f>SUM(U211:U213)</f>
        <v>0</v>
      </c>
      <c r="V214" s="1210"/>
      <c r="W214" s="1207">
        <f>SUM(W211:W213)</f>
        <v>0</v>
      </c>
      <c r="X214" s="1211"/>
      <c r="Y214" s="1209">
        <f>SUM(Y211:Y213)</f>
        <v>268.73</v>
      </c>
      <c r="Z214" s="1210"/>
      <c r="AA214" s="1207">
        <f t="shared" ref="AA214:AN214" si="241">SUM(AA211:AA213)</f>
        <v>0</v>
      </c>
      <c r="AB214" s="1212">
        <f t="shared" si="241"/>
        <v>0</v>
      </c>
      <c r="AC214" s="1207">
        <f t="shared" si="241"/>
        <v>0</v>
      </c>
      <c r="AD214" s="1207">
        <f t="shared" si="241"/>
        <v>0</v>
      </c>
      <c r="AE214" s="1207">
        <f t="shared" si="241"/>
        <v>614.08000000000004</v>
      </c>
      <c r="AF214" s="1209">
        <f t="shared" si="241"/>
        <v>0</v>
      </c>
      <c r="AG214" s="1213">
        <f t="shared" si="241"/>
        <v>0</v>
      </c>
      <c r="AH214" s="1209">
        <f t="shared" si="241"/>
        <v>0</v>
      </c>
      <c r="AI214" s="1209">
        <f t="shared" si="241"/>
        <v>0</v>
      </c>
      <c r="AJ214" s="1209">
        <f t="shared" si="241"/>
        <v>0</v>
      </c>
      <c r="AK214" s="1207">
        <f>SUM(AJ211:AJ213)</f>
        <v>0</v>
      </c>
      <c r="AL214" s="1207">
        <f t="shared" si="241"/>
        <v>137.58119918477414</v>
      </c>
      <c r="AM214" s="1207">
        <f t="shared" si="241"/>
        <v>5000.2130857886741</v>
      </c>
      <c r="AN214" s="1207">
        <f t="shared" si="241"/>
        <v>412.74359755432243</v>
      </c>
    </row>
    <row r="215" spans="2:40" s="258" customFormat="1" ht="30" hidden="1" customHeight="1" x14ac:dyDescent="0.25">
      <c r="B215" s="257">
        <v>1888</v>
      </c>
      <c r="C215" s="259" t="str">
        <f>PROPER("CARLA GRAZIELA PETRY")</f>
        <v>Carla Graziela Petry</v>
      </c>
      <c r="D215" s="259" t="s">
        <v>2686</v>
      </c>
      <c r="E215" s="259"/>
      <c r="F215" s="259" t="s">
        <v>2919</v>
      </c>
      <c r="G215" s="259" t="s">
        <v>2925</v>
      </c>
      <c r="H215" s="266">
        <v>1</v>
      </c>
      <c r="I215" s="257">
        <v>40</v>
      </c>
      <c r="J215" s="257" t="s">
        <v>2636</v>
      </c>
      <c r="K215" s="257">
        <v>1</v>
      </c>
      <c r="L215" s="261">
        <v>41975</v>
      </c>
      <c r="M215" s="257">
        <v>5.59</v>
      </c>
      <c r="N215" s="262">
        <f>M215*AN116</f>
        <v>3887.5092002167853</v>
      </c>
      <c r="O215" s="280">
        <v>0</v>
      </c>
      <c r="P215" s="280">
        <v>0</v>
      </c>
      <c r="Q215" s="280">
        <v>0</v>
      </c>
      <c r="R215" s="263">
        <v>0.05</v>
      </c>
      <c r="S215" s="264">
        <f>N215*R215</f>
        <v>194.37546001083928</v>
      </c>
      <c r="T215" s="1114">
        <v>0</v>
      </c>
      <c r="U215" s="264">
        <v>0</v>
      </c>
      <c r="V215" s="265">
        <v>0</v>
      </c>
      <c r="W215" s="264">
        <f>N215*V215</f>
        <v>0</v>
      </c>
      <c r="X215" s="1113">
        <f>51.18/N215</f>
        <v>1.3165242154834248E-2</v>
      </c>
      <c r="Y215" s="1114">
        <f>N215*X215</f>
        <v>51.18</v>
      </c>
      <c r="Z215" s="265">
        <v>0</v>
      </c>
      <c r="AA215" s="264">
        <f>N215*Z215</f>
        <v>0</v>
      </c>
      <c r="AB215" s="1130">
        <v>0</v>
      </c>
      <c r="AC215" s="264">
        <v>0</v>
      </c>
      <c r="AD215" s="264">
        <v>0</v>
      </c>
      <c r="AE215" s="264">
        <f>(0/N215)*N215</f>
        <v>0</v>
      </c>
      <c r="AF215" s="1114">
        <v>0</v>
      </c>
      <c r="AG215" s="1145">
        <v>0</v>
      </c>
      <c r="AH215" s="1119">
        <v>0</v>
      </c>
      <c r="AI215" s="1119">
        <v>0</v>
      </c>
      <c r="AJ215" s="1114">
        <v>0</v>
      </c>
      <c r="AK215" s="273">
        <f>(N215+T215+U215)/3</f>
        <v>1295.8364000722618</v>
      </c>
      <c r="AL215" s="273">
        <f>AK215*R215</f>
        <v>64.791820003613097</v>
      </c>
      <c r="AM215" s="273">
        <f>N215</f>
        <v>3887.5092002167853</v>
      </c>
      <c r="AN215" s="273">
        <f>AM215*R215</f>
        <v>194.37546001083928</v>
      </c>
    </row>
    <row r="216" spans="2:40" s="258" customFormat="1" ht="30" hidden="1" customHeight="1" x14ac:dyDescent="0.25">
      <c r="B216" s="1206" t="s">
        <v>2747</v>
      </c>
      <c r="C216" s="1077"/>
      <c r="D216" s="1077"/>
      <c r="E216" s="1077"/>
      <c r="F216" s="1077"/>
      <c r="G216" s="1077"/>
      <c r="H216" s="1077"/>
      <c r="I216" s="1077"/>
      <c r="J216" s="1077"/>
      <c r="K216" s="1077"/>
      <c r="L216" s="1077"/>
      <c r="M216" s="1077"/>
      <c r="N216" s="275">
        <f>SUM(N215)</f>
        <v>3887.5092002167853</v>
      </c>
      <c r="O216" s="275">
        <f>SUM(O215)</f>
        <v>0</v>
      </c>
      <c r="P216" s="275">
        <f>SUM(P215)</f>
        <v>0</v>
      </c>
      <c r="Q216" s="275">
        <f>SUM(Q215)</f>
        <v>0</v>
      </c>
      <c r="R216" s="1085"/>
      <c r="S216" s="275">
        <f t="shared" ref="S216:U216" si="242">SUM(S215)</f>
        <v>194.37546001083928</v>
      </c>
      <c r="T216" s="1116">
        <f t="shared" si="242"/>
        <v>0</v>
      </c>
      <c r="U216" s="275">
        <f t="shared" si="242"/>
        <v>0</v>
      </c>
      <c r="V216" s="276"/>
      <c r="W216" s="275">
        <f>SUM(W215)</f>
        <v>0</v>
      </c>
      <c r="X216" s="1116"/>
      <c r="Y216" s="1116">
        <f>SUM(Y215)</f>
        <v>51.18</v>
      </c>
      <c r="Z216" s="275"/>
      <c r="AA216" s="275">
        <f t="shared" ref="AA216:AN216" si="243">SUM(AA215)</f>
        <v>0</v>
      </c>
      <c r="AB216" s="1131">
        <f t="shared" si="243"/>
        <v>0</v>
      </c>
      <c r="AC216" s="275">
        <f t="shared" si="243"/>
        <v>0</v>
      </c>
      <c r="AD216" s="275">
        <f t="shared" si="243"/>
        <v>0</v>
      </c>
      <c r="AE216" s="275">
        <f t="shared" si="243"/>
        <v>0</v>
      </c>
      <c r="AF216" s="1116">
        <f t="shared" si="243"/>
        <v>0</v>
      </c>
      <c r="AG216" s="1146">
        <f t="shared" si="243"/>
        <v>0</v>
      </c>
      <c r="AH216" s="1116">
        <f t="shared" si="243"/>
        <v>0</v>
      </c>
      <c r="AI216" s="1116">
        <f t="shared" si="243"/>
        <v>0</v>
      </c>
      <c r="AJ216" s="1116">
        <f t="shared" si="243"/>
        <v>0</v>
      </c>
      <c r="AK216" s="275">
        <f>SUM(AJ215)</f>
        <v>0</v>
      </c>
      <c r="AL216" s="275">
        <f t="shared" si="243"/>
        <v>64.791820003613097</v>
      </c>
      <c r="AM216" s="275">
        <f t="shared" si="243"/>
        <v>3887.5092002167853</v>
      </c>
      <c r="AN216" s="275">
        <f t="shared" si="243"/>
        <v>194.37546001083928</v>
      </c>
    </row>
    <row r="217" spans="2:40" s="258" customFormat="1" ht="30" hidden="1" customHeight="1" x14ac:dyDescent="0.25">
      <c r="B217" s="1077"/>
      <c r="C217" s="1077"/>
      <c r="D217" s="1077"/>
      <c r="E217" s="1077"/>
      <c r="F217" s="1077"/>
      <c r="G217" s="1077"/>
      <c r="H217" s="1077"/>
      <c r="I217" s="1077"/>
      <c r="J217" s="1077"/>
      <c r="K217" s="1077"/>
      <c r="L217" s="1077"/>
      <c r="M217" s="1077"/>
      <c r="N217" s="258" t="s">
        <v>4211</v>
      </c>
      <c r="O217" s="275"/>
      <c r="P217" s="275"/>
      <c r="Q217" s="1087"/>
      <c r="R217" s="1085" t="s">
        <v>2630</v>
      </c>
      <c r="S217" s="1085"/>
      <c r="T217" s="1121" t="s">
        <v>2740</v>
      </c>
      <c r="U217" s="591" t="s">
        <v>2814</v>
      </c>
      <c r="V217" s="1080" t="s">
        <v>2751</v>
      </c>
      <c r="W217" s="1080"/>
      <c r="X217" s="1112" t="s">
        <v>2741</v>
      </c>
      <c r="Y217" s="1112"/>
      <c r="Z217" s="1080" t="s">
        <v>2789</v>
      </c>
      <c r="AA217" s="1080"/>
      <c r="AB217" s="1132" t="s">
        <v>2761</v>
      </c>
      <c r="AC217" s="591" t="s">
        <v>2760</v>
      </c>
      <c r="AD217" s="591" t="s">
        <v>2783</v>
      </c>
      <c r="AE217" s="591" t="s">
        <v>2782</v>
      </c>
      <c r="AF217" s="1121" t="s">
        <v>2943</v>
      </c>
      <c r="AG217" s="1147" t="s">
        <v>2744</v>
      </c>
      <c r="AH217" s="1121" t="s">
        <v>2745</v>
      </c>
      <c r="AI217" s="1121" t="s">
        <v>2750</v>
      </c>
      <c r="AJ217" s="1121" t="s">
        <v>2742</v>
      </c>
      <c r="AK217" s="570" t="s">
        <v>2734</v>
      </c>
      <c r="AL217" s="570" t="s">
        <v>2735</v>
      </c>
      <c r="AM217" s="258" t="s">
        <v>2736</v>
      </c>
      <c r="AN217" s="570" t="s">
        <v>2737</v>
      </c>
    </row>
    <row r="218" spans="2:40" ht="30" hidden="1" customHeight="1" x14ac:dyDescent="0.25">
      <c r="B218" s="1082"/>
      <c r="C218" s="586"/>
      <c r="D218" s="586"/>
      <c r="E218" s="586"/>
      <c r="F218" s="586"/>
      <c r="G218" s="587"/>
      <c r="H218" s="1082"/>
      <c r="I218" s="1082"/>
      <c r="J218" s="1082"/>
      <c r="K218" s="258"/>
      <c r="L218" s="1077"/>
      <c r="M218" s="1082"/>
      <c r="N218" s="590">
        <f>SUM(N216,N214,N210,N206,N204,N201,N199,N197,N195,N185,N179,N174,N168,N166,N164,N161,N145,N141,N135,N133,N125,N123+N143)</f>
        <v>198490.47491233319</v>
      </c>
      <c r="O218" s="590">
        <f t="shared" ref="O218:Q218" si="244">SUM(O216,O214,O210,O206,O204,O201,O199,O197,O195,O185,O179,O174,O168,O166,O164,O161,O145,O141,O135,O133,O125,O123+O143)</f>
        <v>0</v>
      </c>
      <c r="P218" s="590">
        <f t="shared" si="244"/>
        <v>0</v>
      </c>
      <c r="Q218" s="590">
        <f t="shared" si="244"/>
        <v>0</v>
      </c>
      <c r="R218" s="588"/>
      <c r="S218" s="590">
        <f>SUM(S216,S214,S210,S206,S204,S201,S199,S197,S195,S185,S179,S174,S168,S166,S164,S161,S145,S141,S135,S133,S125,S123+S143)</f>
        <v>8369.0129917543873</v>
      </c>
      <c r="T218" s="1118">
        <f>SUM(T216,T214,T210,T206,T204,T201,T199,T197,T195,T185,T179,T174,T168,T166,T164,T161,T145,T141,T135,T133,T125,T123+T143)</f>
        <v>5563.5194278594427</v>
      </c>
      <c r="U218" s="590">
        <f>SUM(U216,U214,U210,U206,U204,U201,U199,U197,U195,U185,U179,U174,U168,U166,U164,U161,U145,U141,U135,U133,U125,U123+U143)</f>
        <v>0</v>
      </c>
      <c r="V218" s="589"/>
      <c r="W218" s="590">
        <f>SUM(W216,W214,W210,W206,W204,W201,W199,W197,W195,W185,W179,W174,W168,W166,W164,W161,W145,W141,W135,W133,W125,W123+W143)</f>
        <v>399.87215656506703</v>
      </c>
      <c r="X218" s="1117"/>
      <c r="Y218" s="1118">
        <f>SUM(Y216,Y214,Y210,Y206,Y204,Y201,Y199,Y197,Y195,Y185,Y179,Y174,Y168,Y166,Y164,Y161,Y145,Y141,Y135,Y133,Y125,Y123+Y143)</f>
        <v>3436.9224034086415</v>
      </c>
      <c r="Z218" s="589"/>
      <c r="AA218" s="590">
        <f>SUM(AA216,AA214,AA210,AA206,AA204,AA201,AA199,AA197,AA195,AA185,AA179,AA174,AA168,AA166,AA164,AA161,AA145,AA141,AA135,AA133,AA125,AA123+AA143)</f>
        <v>0</v>
      </c>
      <c r="AB218" s="1133">
        <f t="shared" ref="AB218:AN218" si="245">SUM(AB216,AB214,AB210,AB206,AB204,AB201,AB199,AB197,AB195,AB185,AB179,AB174,AB168,AB166,AB164,AB161,AB145,AB141,AB135,AB133,AB125,AB123+AB143)</f>
        <v>291.65122330240621</v>
      </c>
      <c r="AC218" s="590">
        <f t="shared" si="245"/>
        <v>642.34</v>
      </c>
      <c r="AD218" s="590">
        <f t="shared" si="245"/>
        <v>6.05</v>
      </c>
      <c r="AE218" s="590">
        <f t="shared" si="245"/>
        <v>3713.1800000000003</v>
      </c>
      <c r="AF218" s="1118">
        <f t="shared" si="245"/>
        <v>1043.1598927236455</v>
      </c>
      <c r="AG218" s="590">
        <f t="shared" si="245"/>
        <v>1390.8798569648607</v>
      </c>
      <c r="AH218" s="1118">
        <f t="shared" si="245"/>
        <v>695.43992848243033</v>
      </c>
      <c r="AI218" s="1118">
        <f t="shared" si="245"/>
        <v>2781.7597139297213</v>
      </c>
      <c r="AJ218" s="1118">
        <f t="shared" si="245"/>
        <v>2781.7597139297213</v>
      </c>
      <c r="AK218" s="590">
        <f>SUM(AJ216,AJ214,AJ210,AJ206,AJ204,AJ201,AJ199,AJ197,AJ195,AJ185,AJ179,AJ174,AJ168,AJ166,AJ164,AJ161,AJ145,AJ141,AJ135,AJ133,AJ125,AJ123+AJ143)</f>
        <v>2781.7597139297213</v>
      </c>
      <c r="AL218" s="590">
        <f t="shared" si="245"/>
        <v>2977.4397779417186</v>
      </c>
      <c r="AM218" s="590">
        <f t="shared" si="245"/>
        <v>198490.47491233319</v>
      </c>
      <c r="AN218" s="590">
        <f t="shared" si="245"/>
        <v>8369.0129917543873</v>
      </c>
    </row>
    <row r="219" spans="2:40" ht="30" customHeight="1" x14ac:dyDescent="0.25">
      <c r="B219" s="5"/>
      <c r="C219" s="5"/>
      <c r="D219" s="5"/>
      <c r="E219" s="5"/>
      <c r="F219" s="5"/>
      <c r="G219" s="5"/>
      <c r="H219" s="5"/>
      <c r="I219" s="5"/>
      <c r="J219" s="5"/>
      <c r="L219" s="277"/>
      <c r="M219" s="5"/>
      <c r="R219" s="5"/>
      <c r="S219" s="5"/>
      <c r="T219" s="1120"/>
      <c r="U219" s="5"/>
      <c r="V219" s="5"/>
      <c r="W219" s="5"/>
      <c r="X219" s="1120"/>
      <c r="Y219" s="1120"/>
      <c r="Z219" s="5"/>
      <c r="AA219" s="5"/>
      <c r="AB219" s="1135"/>
      <c r="AC219" s="5"/>
      <c r="AD219" s="5"/>
      <c r="AE219" s="5"/>
      <c r="AF219" s="1120"/>
      <c r="AG219" s="1148"/>
      <c r="AH219" s="1120"/>
      <c r="AI219" s="1120"/>
      <c r="AJ219" s="1120"/>
    </row>
    <row r="220" spans="2:40" ht="30" customHeight="1" x14ac:dyDescent="0.25">
      <c r="B220" s="5"/>
      <c r="C220" s="5" t="s">
        <v>7326</v>
      </c>
      <c r="D220" s="5" t="s">
        <v>7327</v>
      </c>
      <c r="E220" s="5" t="s">
        <v>1574</v>
      </c>
      <c r="F220" s="5"/>
      <c r="G220" s="5"/>
      <c r="H220" s="5"/>
      <c r="I220" s="5"/>
      <c r="J220" s="5"/>
      <c r="L220" s="277"/>
      <c r="M220" s="5"/>
      <c r="R220" s="5"/>
      <c r="S220" s="5"/>
      <c r="T220" s="1120"/>
      <c r="U220" s="5"/>
      <c r="V220" s="5"/>
      <c r="W220" s="5"/>
      <c r="X220" s="1120"/>
      <c r="Y220" s="1120"/>
      <c r="Z220" s="5"/>
      <c r="AA220" s="5"/>
      <c r="AB220" s="1135"/>
      <c r="AC220" s="5"/>
      <c r="AD220" s="5"/>
      <c r="AE220" s="5"/>
      <c r="AF220" s="1120"/>
      <c r="AG220" s="1148"/>
      <c r="AH220" s="1120"/>
      <c r="AI220" s="1120"/>
      <c r="AJ220" s="1120"/>
    </row>
    <row r="221" spans="2:40" ht="30" customHeight="1" x14ac:dyDescent="0.25">
      <c r="B221" s="5"/>
      <c r="C221" s="5" t="s">
        <v>7328</v>
      </c>
      <c r="D221" s="5" t="s">
        <v>2933</v>
      </c>
      <c r="E221" s="585">
        <f>N124</f>
        <v>10937.370211496256</v>
      </c>
      <c r="F221" s="5"/>
      <c r="G221" s="5"/>
      <c r="H221" s="5"/>
      <c r="I221" s="5"/>
      <c r="J221" s="5"/>
      <c r="L221" s="277"/>
      <c r="M221" s="5"/>
      <c r="R221" s="5"/>
      <c r="S221" s="5"/>
      <c r="T221" s="1120"/>
      <c r="U221" s="5"/>
      <c r="V221" s="5"/>
      <c r="W221" s="5"/>
      <c r="X221" s="1120"/>
      <c r="Y221" s="1120"/>
      <c r="Z221" s="5"/>
      <c r="AA221" s="5"/>
      <c r="AB221" s="1135"/>
      <c r="AC221" s="5"/>
      <c r="AD221" s="5"/>
      <c r="AE221" s="5"/>
      <c r="AF221" s="1120"/>
      <c r="AG221" s="1148"/>
      <c r="AH221" s="1120"/>
      <c r="AI221" s="1120"/>
      <c r="AJ221" s="1120"/>
    </row>
    <row r="222" spans="2:40" ht="30" customHeight="1" x14ac:dyDescent="0.25">
      <c r="B222" s="5"/>
      <c r="C222" s="5"/>
      <c r="D222" s="5" t="s">
        <v>2723</v>
      </c>
      <c r="E222" s="585">
        <f>N121+N122</f>
        <v>10779.31728688669</v>
      </c>
      <c r="F222" s="5"/>
      <c r="G222" s="5"/>
      <c r="H222" s="5"/>
      <c r="I222" s="5"/>
      <c r="J222" s="5"/>
      <c r="L222" s="277"/>
      <c r="M222" s="5"/>
      <c r="R222" s="5"/>
      <c r="S222" s="5"/>
      <c r="T222" s="1120"/>
      <c r="U222" s="5"/>
      <c r="V222" s="5"/>
      <c r="W222" s="5"/>
      <c r="X222" s="1120"/>
      <c r="Y222" s="1120"/>
      <c r="Z222" s="5"/>
      <c r="AA222" s="5"/>
      <c r="AB222" s="1135"/>
      <c r="AC222" s="5"/>
      <c r="AD222" s="5"/>
      <c r="AE222" s="5"/>
      <c r="AF222" s="1120"/>
      <c r="AG222" s="1148"/>
      <c r="AH222" s="1120"/>
      <c r="AI222" s="1120"/>
      <c r="AJ222" s="1120"/>
    </row>
    <row r="223" spans="2:40" ht="30" customHeight="1" x14ac:dyDescent="0.25">
      <c r="B223" s="5"/>
      <c r="C223" s="5"/>
      <c r="D223" s="5" t="s">
        <v>7329</v>
      </c>
      <c r="E223" s="585">
        <f>AK121+AK122</f>
        <v>3593.1057622955627</v>
      </c>
      <c r="F223" s="5"/>
      <c r="G223" s="5"/>
      <c r="H223" s="5"/>
      <c r="I223" s="5"/>
      <c r="J223" s="5"/>
      <c r="L223" s="277"/>
      <c r="M223" s="5"/>
      <c r="R223" s="5"/>
      <c r="S223" s="5"/>
      <c r="T223" s="1120"/>
      <c r="U223" s="5"/>
      <c r="V223" s="5"/>
      <c r="W223" s="5"/>
      <c r="X223" s="1120"/>
      <c r="Y223" s="1120"/>
      <c r="Z223" s="5"/>
      <c r="AA223" s="5"/>
      <c r="AB223" s="1135"/>
      <c r="AC223" s="5"/>
      <c r="AD223" s="5"/>
      <c r="AE223" s="5"/>
      <c r="AF223" s="1120"/>
      <c r="AG223" s="1148"/>
      <c r="AH223" s="1120"/>
      <c r="AI223" s="1120"/>
      <c r="AJ223" s="1120"/>
    </row>
    <row r="224" spans="2:40" ht="30" customHeight="1" x14ac:dyDescent="0.25">
      <c r="B224" s="5"/>
      <c r="C224" s="5"/>
      <c r="D224" s="5" t="s">
        <v>7330</v>
      </c>
      <c r="E224" s="585">
        <f>AK124</f>
        <v>3645.7900704987519</v>
      </c>
      <c r="F224" s="5"/>
      <c r="G224" s="5"/>
      <c r="H224" s="5"/>
      <c r="I224" s="5"/>
      <c r="J224" s="5"/>
      <c r="L224" s="277"/>
      <c r="M224" s="5"/>
      <c r="R224" s="5"/>
      <c r="S224" s="5"/>
      <c r="T224" s="1120"/>
      <c r="U224" s="5"/>
      <c r="V224" s="5"/>
      <c r="W224" s="5"/>
      <c r="X224" s="1120"/>
      <c r="Y224" s="1120"/>
      <c r="Z224" s="5"/>
      <c r="AA224" s="5"/>
      <c r="AB224" s="1135"/>
      <c r="AC224" s="5"/>
      <c r="AD224" s="5"/>
      <c r="AE224" s="5"/>
      <c r="AF224" s="1120"/>
      <c r="AG224" s="1148"/>
      <c r="AH224" s="1120"/>
      <c r="AI224" s="1120"/>
      <c r="AJ224" s="1120"/>
    </row>
    <row r="225" spans="2:36" ht="30" customHeight="1" x14ac:dyDescent="0.25">
      <c r="B225" s="5"/>
      <c r="C225" s="5"/>
      <c r="D225" s="5" t="s">
        <v>7332</v>
      </c>
      <c r="E225" s="585">
        <f>AM121+AM122</f>
        <v>10779.31728688669</v>
      </c>
      <c r="F225" s="5"/>
      <c r="G225" s="5"/>
      <c r="H225" s="5"/>
      <c r="I225" s="5"/>
      <c r="J225" s="5"/>
      <c r="L225" s="277"/>
      <c r="M225" s="5"/>
      <c r="R225" s="5"/>
      <c r="S225" s="5"/>
      <c r="T225" s="1120"/>
      <c r="U225" s="5"/>
      <c r="V225" s="5"/>
      <c r="W225" s="5"/>
      <c r="X225" s="1120"/>
      <c r="Y225" s="1120"/>
      <c r="Z225" s="5"/>
      <c r="AA225" s="5"/>
      <c r="AB225" s="1135"/>
      <c r="AC225" s="5"/>
      <c r="AD225" s="5"/>
      <c r="AE225" s="5"/>
      <c r="AF225" s="1120"/>
      <c r="AG225" s="1148"/>
      <c r="AH225" s="1120"/>
      <c r="AI225" s="1120"/>
      <c r="AJ225" s="1120"/>
    </row>
    <row r="226" spans="2:36" ht="30" customHeight="1" x14ac:dyDescent="0.25">
      <c r="B226" s="5"/>
      <c r="C226" s="5"/>
      <c r="D226" s="5" t="s">
        <v>7331</v>
      </c>
      <c r="E226" s="585">
        <f>AM124</f>
        <v>10937.370211496256</v>
      </c>
      <c r="F226" s="5"/>
      <c r="G226" s="5"/>
      <c r="H226" s="5"/>
      <c r="I226" s="5"/>
      <c r="J226" s="5"/>
      <c r="L226" s="277"/>
      <c r="M226" s="5"/>
      <c r="R226" s="5"/>
      <c r="S226" s="5"/>
      <c r="T226" s="1120"/>
      <c r="U226" s="5"/>
      <c r="V226" s="5"/>
      <c r="W226" s="5"/>
      <c r="X226" s="1120"/>
      <c r="Y226" s="1120"/>
      <c r="Z226" s="5"/>
      <c r="AA226" s="5"/>
      <c r="AB226" s="1135"/>
      <c r="AC226" s="5"/>
      <c r="AD226" s="5"/>
      <c r="AE226" s="5"/>
      <c r="AF226" s="1120"/>
      <c r="AG226" s="1148"/>
      <c r="AH226" s="1120"/>
      <c r="AI226" s="1120"/>
      <c r="AJ226" s="1120"/>
    </row>
    <row r="227" spans="2:36" ht="30" customHeight="1" x14ac:dyDescent="0.25">
      <c r="B227" s="5"/>
      <c r="C227" s="5"/>
      <c r="D227" s="5" t="s">
        <v>7333</v>
      </c>
      <c r="E227" s="585">
        <f>AH218</f>
        <v>695.43992848243033</v>
      </c>
      <c r="F227" s="5"/>
      <c r="G227" s="5"/>
      <c r="H227" s="5"/>
      <c r="I227" s="5"/>
      <c r="J227" s="5"/>
      <c r="L227" s="277"/>
      <c r="M227" s="5"/>
      <c r="R227" s="5"/>
      <c r="S227" s="5"/>
      <c r="T227" s="1120"/>
      <c r="U227" s="5"/>
      <c r="V227" s="5"/>
      <c r="W227" s="5"/>
      <c r="X227" s="1120"/>
      <c r="Y227" s="1120"/>
      <c r="Z227" s="5"/>
      <c r="AA227" s="5"/>
      <c r="AB227" s="1135"/>
      <c r="AC227" s="5"/>
      <c r="AD227" s="5"/>
      <c r="AE227" s="5"/>
      <c r="AF227" s="1120"/>
      <c r="AG227" s="1148"/>
      <c r="AH227" s="1120"/>
      <c r="AI227" s="1120"/>
      <c r="AJ227" s="1120"/>
    </row>
    <row r="228" spans="2:36" ht="30" customHeight="1" x14ac:dyDescent="0.25">
      <c r="B228" s="5"/>
      <c r="C228" s="5"/>
      <c r="D228" s="5" t="s">
        <v>7708</v>
      </c>
      <c r="E228" s="585">
        <f>AG153+AG199</f>
        <v>1390.8798569648607</v>
      </c>
      <c r="F228" s="5"/>
      <c r="G228" s="5"/>
      <c r="H228" s="5"/>
      <c r="I228" s="5"/>
      <c r="J228" s="5"/>
      <c r="L228" s="277"/>
      <c r="M228" s="5"/>
      <c r="R228" s="5"/>
      <c r="S228" s="5"/>
      <c r="T228" s="1120"/>
      <c r="U228" s="5"/>
      <c r="V228" s="5"/>
      <c r="W228" s="5"/>
      <c r="X228" s="1120"/>
      <c r="Y228" s="1120"/>
      <c r="Z228" s="5"/>
      <c r="AA228" s="5"/>
      <c r="AB228" s="1135"/>
      <c r="AC228" s="5"/>
      <c r="AD228" s="5"/>
      <c r="AE228" s="5"/>
      <c r="AF228" s="1120"/>
      <c r="AG228" s="1148"/>
      <c r="AH228" s="1120"/>
      <c r="AI228" s="1120"/>
      <c r="AJ228" s="1120"/>
    </row>
    <row r="229" spans="2:36" ht="30" customHeight="1" x14ac:dyDescent="0.25">
      <c r="B229" s="5"/>
      <c r="C229" s="5"/>
      <c r="D229" s="5" t="s">
        <v>7709</v>
      </c>
      <c r="E229" s="585">
        <f>N126+N127+N128+N129+N130+N131+N132</f>
        <v>9736.1589987540247</v>
      </c>
      <c r="F229" s="5"/>
      <c r="G229" s="5"/>
      <c r="H229" s="5"/>
      <c r="I229" s="5"/>
      <c r="J229" s="5"/>
      <c r="L229" s="277"/>
      <c r="M229" s="5"/>
      <c r="R229" s="5"/>
      <c r="S229" s="5"/>
      <c r="T229" s="1120"/>
      <c r="U229" s="5"/>
      <c r="V229" s="5"/>
      <c r="W229" s="5"/>
      <c r="X229" s="1120"/>
      <c r="Y229" s="1120"/>
      <c r="Z229" s="5"/>
      <c r="AA229" s="5"/>
      <c r="AB229" s="1135"/>
      <c r="AC229" s="5"/>
      <c r="AD229" s="5"/>
      <c r="AE229" s="5"/>
      <c r="AF229" s="1120"/>
      <c r="AG229" s="1148"/>
      <c r="AH229" s="1120"/>
      <c r="AI229" s="1120"/>
      <c r="AJ229" s="1120"/>
    </row>
    <row r="230" spans="2:36" ht="30" customHeight="1" x14ac:dyDescent="0.25">
      <c r="B230" s="5"/>
      <c r="C230" s="5"/>
      <c r="D230" s="5" t="s">
        <v>7710</v>
      </c>
      <c r="E230" s="585">
        <f>AK126+AK127+AK128+AK129+AK130+AK131+AK132</f>
        <v>3245.3863329180081</v>
      </c>
      <c r="F230" s="5"/>
      <c r="G230" s="5"/>
      <c r="H230" s="5"/>
      <c r="I230" s="5"/>
      <c r="J230" s="5"/>
      <c r="L230" s="277"/>
      <c r="M230" s="5"/>
      <c r="R230" s="5"/>
      <c r="S230" s="5"/>
      <c r="T230" s="1120"/>
      <c r="U230" s="5"/>
      <c r="V230" s="5"/>
      <c r="W230" s="5"/>
      <c r="X230" s="1120"/>
      <c r="Y230" s="1120"/>
      <c r="Z230" s="5"/>
      <c r="AA230" s="5"/>
      <c r="AB230" s="1135"/>
      <c r="AC230" s="5"/>
      <c r="AD230" s="5"/>
      <c r="AE230" s="5"/>
      <c r="AF230" s="1120"/>
      <c r="AG230" s="1148"/>
      <c r="AH230" s="1120"/>
      <c r="AI230" s="1120"/>
      <c r="AJ230" s="1120"/>
    </row>
    <row r="231" spans="2:36" ht="30" customHeight="1" x14ac:dyDescent="0.25">
      <c r="B231" s="5"/>
      <c r="C231" s="5"/>
      <c r="D231" s="5" t="s">
        <v>7711</v>
      </c>
      <c r="E231" s="585">
        <f>AM126+AM127+AM128+AM129+AM130+AM131+AM132</f>
        <v>9736.1589987540247</v>
      </c>
      <c r="F231" s="5"/>
      <c r="G231" s="5"/>
      <c r="H231" s="5"/>
      <c r="I231" s="5"/>
      <c r="J231" s="5"/>
      <c r="L231" s="277"/>
      <c r="M231" s="5"/>
      <c r="R231" s="5"/>
      <c r="S231" s="5"/>
      <c r="T231" s="1120"/>
      <c r="U231" s="5"/>
      <c r="V231" s="5"/>
      <c r="W231" s="5"/>
      <c r="X231" s="1120"/>
      <c r="Y231" s="1120"/>
      <c r="Z231" s="5"/>
      <c r="AA231" s="5"/>
      <c r="AB231" s="1135"/>
      <c r="AC231" s="5"/>
      <c r="AD231" s="5"/>
      <c r="AE231" s="5"/>
      <c r="AF231" s="1120"/>
      <c r="AG231" s="1148"/>
      <c r="AH231" s="1120"/>
      <c r="AI231" s="1120"/>
      <c r="AJ231" s="1120"/>
    </row>
    <row r="232" spans="2:36" ht="30" customHeight="1" x14ac:dyDescent="0.25">
      <c r="B232" s="5"/>
      <c r="C232" s="258" t="s">
        <v>7712</v>
      </c>
      <c r="D232" s="5"/>
      <c r="E232" s="5"/>
      <c r="F232" s="5"/>
      <c r="G232" s="5"/>
      <c r="H232" s="5"/>
      <c r="I232" s="5"/>
      <c r="J232" s="5"/>
      <c r="L232" s="277"/>
      <c r="M232" s="5"/>
      <c r="R232" s="5"/>
      <c r="S232" s="5"/>
      <c r="T232" s="1120"/>
      <c r="U232" s="5"/>
      <c r="V232" s="5"/>
      <c r="W232" s="5"/>
      <c r="X232" s="1120"/>
      <c r="Y232" s="1120"/>
      <c r="Z232" s="5"/>
      <c r="AA232" s="5"/>
      <c r="AB232" s="1135"/>
      <c r="AC232" s="5"/>
      <c r="AD232" s="5"/>
      <c r="AE232" s="5"/>
      <c r="AF232" s="1120"/>
      <c r="AG232" s="1148"/>
      <c r="AH232" s="1120"/>
      <c r="AI232" s="1120"/>
      <c r="AJ232" s="1120"/>
    </row>
    <row r="233" spans="2:36" ht="30" customHeight="1" x14ac:dyDescent="0.25">
      <c r="B233" s="5"/>
      <c r="C233" s="258" t="s">
        <v>2598</v>
      </c>
      <c r="D233" s="5"/>
      <c r="E233" s="5"/>
      <c r="F233" s="5"/>
      <c r="G233" s="5"/>
      <c r="H233" s="5"/>
      <c r="I233" s="5"/>
      <c r="J233" s="5"/>
      <c r="L233" s="277"/>
      <c r="M233" s="5"/>
      <c r="R233" s="5"/>
      <c r="S233" s="5"/>
      <c r="T233" s="1120"/>
      <c r="U233" s="5"/>
      <c r="V233" s="5"/>
      <c r="W233" s="5"/>
      <c r="X233" s="1120"/>
      <c r="Y233" s="1120"/>
      <c r="Z233" s="5"/>
      <c r="AA233" s="5"/>
      <c r="AB233" s="1135"/>
      <c r="AC233" s="5"/>
      <c r="AD233" s="5"/>
      <c r="AE233" s="5"/>
      <c r="AF233" s="1120"/>
      <c r="AG233" s="1148"/>
      <c r="AH233" s="1120"/>
      <c r="AI233" s="1120"/>
      <c r="AJ233" s="1120"/>
    </row>
    <row r="234" spans="2:36" ht="30" customHeight="1" x14ac:dyDescent="0.25">
      <c r="B234" s="5"/>
      <c r="C234" s="5"/>
      <c r="D234" s="5" t="s">
        <v>3075</v>
      </c>
      <c r="E234" s="272">
        <v>0</v>
      </c>
      <c r="F234" s="5"/>
      <c r="G234" s="5"/>
      <c r="H234" s="5"/>
      <c r="I234" s="5"/>
      <c r="J234" s="5"/>
      <c r="L234" s="277"/>
      <c r="M234" s="5"/>
      <c r="R234" s="5"/>
      <c r="S234" s="5"/>
      <c r="T234" s="1120"/>
      <c r="U234" s="5"/>
      <c r="V234" s="5"/>
      <c r="W234" s="5"/>
      <c r="X234" s="1120"/>
      <c r="Y234" s="1120"/>
      <c r="Z234" s="5"/>
      <c r="AA234" s="5"/>
      <c r="AB234" s="1135"/>
      <c r="AC234" s="5"/>
      <c r="AD234" s="5"/>
      <c r="AE234" s="5"/>
      <c r="AF234" s="1120"/>
      <c r="AG234" s="1148"/>
      <c r="AH234" s="1120"/>
      <c r="AI234" s="1120"/>
      <c r="AJ234" s="1120"/>
    </row>
    <row r="235" spans="2:36" ht="30" customHeight="1" x14ac:dyDescent="0.25">
      <c r="B235" s="5"/>
      <c r="C235" s="5"/>
      <c r="D235" s="5" t="s">
        <v>4519</v>
      </c>
      <c r="E235" s="272">
        <v>0</v>
      </c>
      <c r="F235" s="5"/>
      <c r="G235" s="5"/>
      <c r="H235" s="5"/>
      <c r="I235" s="5"/>
      <c r="J235" s="5"/>
      <c r="L235" s="277"/>
      <c r="M235" s="5"/>
      <c r="R235" s="5"/>
      <c r="S235" s="5"/>
      <c r="T235" s="1120"/>
      <c r="U235" s="5"/>
      <c r="V235" s="5"/>
      <c r="W235" s="5"/>
      <c r="X235" s="1120"/>
      <c r="Y235" s="1120"/>
      <c r="Z235" s="5"/>
      <c r="AA235" s="5"/>
      <c r="AB235" s="1135"/>
      <c r="AC235" s="5"/>
      <c r="AD235" s="5"/>
      <c r="AE235" s="5"/>
      <c r="AF235" s="1120"/>
      <c r="AG235" s="1148"/>
      <c r="AH235" s="1120"/>
      <c r="AI235" s="1120"/>
      <c r="AJ235" s="1120"/>
    </row>
    <row r="236" spans="2:36" ht="30" customHeight="1" x14ac:dyDescent="0.25">
      <c r="B236" s="5"/>
      <c r="C236" s="5"/>
      <c r="D236" s="5" t="s">
        <v>2736</v>
      </c>
      <c r="E236" s="272">
        <v>0</v>
      </c>
      <c r="F236" s="5"/>
      <c r="G236" s="5"/>
      <c r="H236" s="5"/>
      <c r="I236" s="5"/>
      <c r="J236" s="5"/>
      <c r="L236" s="277"/>
      <c r="M236" s="5"/>
      <c r="R236" s="5"/>
      <c r="S236" s="5"/>
      <c r="T236" s="1120"/>
      <c r="U236" s="5"/>
      <c r="V236" s="5"/>
      <c r="W236" s="5"/>
      <c r="X236" s="1120"/>
      <c r="Y236" s="1120"/>
      <c r="Z236" s="5"/>
      <c r="AA236" s="5"/>
      <c r="AB236" s="1135"/>
      <c r="AC236" s="5"/>
      <c r="AD236" s="5"/>
      <c r="AE236" s="5"/>
      <c r="AF236" s="1120"/>
      <c r="AG236" s="1148"/>
      <c r="AH236" s="1120"/>
      <c r="AI236" s="1120"/>
      <c r="AJ236" s="1120"/>
    </row>
    <row r="237" spans="2:36" ht="30" customHeight="1" x14ac:dyDescent="0.25">
      <c r="B237" s="5"/>
      <c r="C237" s="258" t="s">
        <v>2594</v>
      </c>
      <c r="D237" s="5"/>
      <c r="E237" s="272"/>
      <c r="F237" s="5"/>
      <c r="G237" s="5"/>
      <c r="H237" s="5"/>
      <c r="I237" s="5"/>
      <c r="J237" s="5"/>
      <c r="L237" s="277"/>
      <c r="M237" s="5"/>
      <c r="R237" s="5"/>
      <c r="S237" s="5"/>
      <c r="T237" s="1120"/>
      <c r="U237" s="5"/>
      <c r="V237" s="5"/>
      <c r="W237" s="5"/>
      <c r="X237" s="1120"/>
      <c r="Y237" s="1120"/>
      <c r="Z237" s="5"/>
      <c r="AA237" s="5"/>
      <c r="AB237" s="1135"/>
      <c r="AC237" s="5"/>
      <c r="AD237" s="5"/>
      <c r="AE237" s="5"/>
      <c r="AF237" s="1120"/>
      <c r="AG237" s="1148"/>
      <c r="AH237" s="1120"/>
      <c r="AI237" s="1120"/>
      <c r="AJ237" s="1120"/>
    </row>
    <row r="238" spans="2:36" ht="30" customHeight="1" x14ac:dyDescent="0.25">
      <c r="B238" s="5"/>
      <c r="C238" s="5"/>
      <c r="D238" s="5" t="s">
        <v>3075</v>
      </c>
      <c r="E238" s="272">
        <f>N142</f>
        <v>2225.4034224019042</v>
      </c>
      <c r="F238" s="5"/>
      <c r="G238" s="5"/>
      <c r="H238" s="5"/>
      <c r="I238" s="5"/>
      <c r="J238" s="5"/>
      <c r="L238" s="277"/>
      <c r="M238" s="5"/>
      <c r="R238" s="5"/>
      <c r="S238" s="5"/>
      <c r="T238" s="1120"/>
      <c r="U238" s="5"/>
      <c r="V238" s="5"/>
      <c r="W238" s="5"/>
      <c r="X238" s="1120"/>
      <c r="Y238" s="1120"/>
      <c r="Z238" s="5"/>
      <c r="AA238" s="5"/>
      <c r="AB238" s="1135"/>
      <c r="AC238" s="5"/>
      <c r="AD238" s="5"/>
      <c r="AE238" s="5"/>
      <c r="AF238" s="1120"/>
      <c r="AG238" s="1148"/>
      <c r="AH238" s="1120"/>
      <c r="AI238" s="1120"/>
      <c r="AJ238" s="1120"/>
    </row>
    <row r="239" spans="2:36" ht="30" customHeight="1" x14ac:dyDescent="0.25">
      <c r="B239" s="5"/>
      <c r="C239" s="5"/>
      <c r="D239" s="5" t="s">
        <v>4519</v>
      </c>
      <c r="E239" s="272">
        <f>AK142</f>
        <v>741.8011408006347</v>
      </c>
      <c r="F239" s="5"/>
      <c r="G239" s="5"/>
      <c r="H239" s="5"/>
      <c r="I239" s="5"/>
      <c r="J239" s="5"/>
      <c r="L239" s="277"/>
      <c r="M239" s="5"/>
      <c r="R239" s="5"/>
      <c r="S239" s="5"/>
      <c r="T239" s="1120"/>
      <c r="U239" s="5"/>
      <c r="V239" s="5"/>
      <c r="W239" s="5"/>
      <c r="X239" s="1120"/>
      <c r="Y239" s="1120"/>
      <c r="Z239" s="5"/>
      <c r="AA239" s="5"/>
      <c r="AB239" s="1135"/>
      <c r="AC239" s="5"/>
      <c r="AD239" s="5"/>
      <c r="AE239" s="5"/>
      <c r="AF239" s="1120"/>
      <c r="AG239" s="1148"/>
      <c r="AH239" s="1120"/>
      <c r="AI239" s="1120"/>
      <c r="AJ239" s="1120"/>
    </row>
    <row r="240" spans="2:36" ht="30" customHeight="1" x14ac:dyDescent="0.25">
      <c r="B240" s="5"/>
      <c r="C240" s="5"/>
      <c r="D240" s="5" t="s">
        <v>2736</v>
      </c>
      <c r="E240" s="272">
        <f>AM142</f>
        <v>2225.4034224019042</v>
      </c>
      <c r="F240" s="5"/>
      <c r="G240" s="5"/>
      <c r="H240" s="5"/>
      <c r="I240" s="5"/>
      <c r="J240" s="5"/>
      <c r="L240" s="277"/>
      <c r="M240" s="5"/>
      <c r="R240" s="5"/>
      <c r="S240" s="5"/>
      <c r="T240" s="1120"/>
      <c r="U240" s="5"/>
      <c r="V240" s="5"/>
      <c r="W240" s="5"/>
      <c r="X240" s="1120"/>
      <c r="Y240" s="1120"/>
      <c r="Z240" s="5"/>
      <c r="AA240" s="5"/>
      <c r="AB240" s="1135"/>
      <c r="AC240" s="5"/>
      <c r="AD240" s="5"/>
      <c r="AE240" s="5"/>
      <c r="AF240" s="1120"/>
      <c r="AG240" s="1148"/>
      <c r="AH240" s="1120"/>
      <c r="AI240" s="1120"/>
      <c r="AJ240" s="1120"/>
    </row>
    <row r="241" spans="2:36" ht="30" customHeight="1" x14ac:dyDescent="0.25">
      <c r="B241" s="5"/>
      <c r="C241" s="258" t="s">
        <v>7713</v>
      </c>
      <c r="D241" s="5"/>
      <c r="E241" s="272"/>
      <c r="F241" s="5"/>
      <c r="G241" s="5"/>
      <c r="H241" s="5"/>
      <c r="I241" s="5"/>
      <c r="J241" s="5"/>
      <c r="L241" s="277"/>
      <c r="M241" s="5"/>
      <c r="R241" s="5"/>
      <c r="S241" s="5"/>
      <c r="T241" s="1120"/>
      <c r="U241" s="5"/>
      <c r="V241" s="5"/>
      <c r="W241" s="5"/>
      <c r="X241" s="1120"/>
      <c r="Y241" s="1120"/>
      <c r="Z241" s="5"/>
      <c r="AA241" s="5"/>
      <c r="AB241" s="1135"/>
      <c r="AC241" s="5"/>
      <c r="AD241" s="5"/>
      <c r="AE241" s="5"/>
      <c r="AF241" s="1120"/>
      <c r="AG241" s="1148"/>
      <c r="AH241" s="1120"/>
      <c r="AI241" s="1120"/>
      <c r="AJ241" s="1120"/>
    </row>
    <row r="242" spans="2:36" ht="30" customHeight="1" x14ac:dyDescent="0.25">
      <c r="B242" s="5"/>
      <c r="C242" s="5"/>
      <c r="D242" s="5" t="s">
        <v>3075</v>
      </c>
      <c r="E242" s="272">
        <f>N136+N137+N138+N139+N140</f>
        <v>12914.317795695028</v>
      </c>
      <c r="F242" s="5"/>
      <c r="G242" s="5"/>
      <c r="H242" s="5"/>
      <c r="I242" s="5"/>
      <c r="J242" s="5"/>
      <c r="L242" s="277"/>
      <c r="M242" s="5"/>
      <c r="R242" s="5"/>
      <c r="S242" s="5"/>
      <c r="T242" s="1120"/>
      <c r="U242" s="5"/>
      <c r="V242" s="5"/>
      <c r="W242" s="5"/>
      <c r="X242" s="1120"/>
      <c r="Y242" s="1120"/>
      <c r="Z242" s="5"/>
      <c r="AA242" s="5"/>
      <c r="AB242" s="1135"/>
      <c r="AC242" s="5"/>
      <c r="AD242" s="5"/>
      <c r="AE242" s="5"/>
      <c r="AF242" s="1120"/>
      <c r="AG242" s="1148"/>
      <c r="AH242" s="1120"/>
      <c r="AI242" s="1120"/>
      <c r="AJ242" s="1120"/>
    </row>
    <row r="243" spans="2:36" ht="30" customHeight="1" x14ac:dyDescent="0.25">
      <c r="B243" s="5"/>
      <c r="C243" s="5"/>
      <c r="D243" s="5" t="s">
        <v>4519</v>
      </c>
      <c r="E243" s="272">
        <f>AK136+AK137+AK138+AK139+AK140</f>
        <v>4536.5859080591526</v>
      </c>
      <c r="F243" s="5"/>
      <c r="G243" s="5"/>
      <c r="H243" s="5"/>
      <c r="I243" s="5"/>
      <c r="J243" s="5"/>
      <c r="L243" s="277"/>
      <c r="M243" s="5"/>
      <c r="R243" s="5"/>
      <c r="S243" s="5"/>
      <c r="T243" s="1120"/>
      <c r="U243" s="5"/>
      <c r="V243" s="5"/>
      <c r="W243" s="5"/>
      <c r="X243" s="1120"/>
      <c r="Y243" s="1120"/>
      <c r="Z243" s="5"/>
      <c r="AA243" s="5"/>
      <c r="AB243" s="1135"/>
      <c r="AC243" s="5"/>
      <c r="AD243" s="5"/>
      <c r="AE243" s="5"/>
      <c r="AF243" s="1120"/>
      <c r="AG243" s="1148"/>
      <c r="AH243" s="1120"/>
      <c r="AI243" s="1120"/>
      <c r="AJ243" s="1120"/>
    </row>
    <row r="244" spans="2:36" ht="30" customHeight="1" x14ac:dyDescent="0.25">
      <c r="B244" s="5"/>
      <c r="C244" s="5"/>
      <c r="D244" s="5" t="s">
        <v>2736</v>
      </c>
      <c r="E244" s="272">
        <f>AM136+AM137+AM138+AM139+AM140</f>
        <v>12914.317795695028</v>
      </c>
      <c r="F244" s="5"/>
      <c r="G244" s="5"/>
      <c r="H244" s="5"/>
      <c r="I244" s="5"/>
      <c r="J244" s="5"/>
      <c r="L244" s="277"/>
      <c r="M244" s="5"/>
      <c r="R244" s="5"/>
      <c r="S244" s="5"/>
      <c r="T244" s="1120"/>
      <c r="U244" s="5"/>
      <c r="V244" s="5"/>
      <c r="W244" s="5"/>
      <c r="X244" s="1120"/>
      <c r="Y244" s="1120"/>
      <c r="Z244" s="5"/>
      <c r="AA244" s="5"/>
      <c r="AB244" s="1135"/>
      <c r="AC244" s="5"/>
      <c r="AD244" s="5"/>
      <c r="AE244" s="5"/>
      <c r="AF244" s="1120"/>
      <c r="AG244" s="1148"/>
      <c r="AH244" s="1120"/>
      <c r="AI244" s="1120"/>
      <c r="AJ244" s="1120"/>
    </row>
    <row r="245" spans="2:36" ht="30" customHeight="1" x14ac:dyDescent="0.25">
      <c r="B245" s="5"/>
      <c r="C245" s="5"/>
      <c r="D245" s="5" t="s">
        <v>3411</v>
      </c>
      <c r="E245" s="1357">
        <f>S136+S137+S138+S139+S140+S144</f>
        <v>1713.2314122204389</v>
      </c>
      <c r="F245" s="5"/>
      <c r="G245" s="5"/>
      <c r="H245" s="5"/>
      <c r="I245" s="5"/>
      <c r="J245" s="5"/>
      <c r="L245" s="277"/>
      <c r="M245" s="5"/>
      <c r="R245" s="5"/>
      <c r="S245" s="5"/>
      <c r="T245" s="1120"/>
      <c r="U245" s="5"/>
      <c r="V245" s="5"/>
      <c r="W245" s="5"/>
      <c r="X245" s="1120"/>
      <c r="Y245" s="1120"/>
      <c r="Z245" s="5"/>
      <c r="AA245" s="5"/>
      <c r="AB245" s="1135"/>
      <c r="AC245" s="5"/>
      <c r="AD245" s="5"/>
      <c r="AE245" s="5"/>
      <c r="AF245" s="1120"/>
      <c r="AG245" s="1148"/>
      <c r="AH245" s="1120"/>
      <c r="AI245" s="1120"/>
      <c r="AJ245" s="1120"/>
    </row>
    <row r="246" spans="2:36" ht="30" customHeight="1" x14ac:dyDescent="0.25">
      <c r="B246" s="5"/>
      <c r="C246" s="5"/>
      <c r="D246" s="5" t="s">
        <v>4847</v>
      </c>
      <c r="E246" s="585">
        <f>AL136+AL137+AL138+AL139+AL140+AL144</f>
        <v>596.5766014511687</v>
      </c>
      <c r="F246" s="5"/>
      <c r="G246" s="5"/>
      <c r="H246" s="5"/>
      <c r="I246" s="5"/>
      <c r="J246" s="5"/>
      <c r="L246" s="277"/>
      <c r="M246" s="5"/>
      <c r="R246" s="5"/>
      <c r="S246" s="5"/>
      <c r="T246" s="1120"/>
      <c r="U246" s="5"/>
      <c r="V246" s="5"/>
      <c r="W246" s="5"/>
      <c r="X246" s="1120"/>
      <c r="Y246" s="1120"/>
      <c r="Z246" s="5"/>
      <c r="AA246" s="5"/>
      <c r="AB246" s="1135"/>
      <c r="AC246" s="5"/>
      <c r="AD246" s="5"/>
      <c r="AE246" s="5"/>
      <c r="AF246" s="1120"/>
      <c r="AG246" s="1148"/>
      <c r="AH246" s="1120"/>
      <c r="AI246" s="1120"/>
      <c r="AJ246" s="1120"/>
    </row>
    <row r="247" spans="2:36" ht="30" customHeight="1" x14ac:dyDescent="0.25">
      <c r="B247" s="5"/>
      <c r="C247" s="5"/>
      <c r="D247" s="5" t="s">
        <v>5298</v>
      </c>
      <c r="E247" s="585">
        <f>AN136+AN137+AN138+AN139+AN140+AN144</f>
        <v>1713.2314122204389</v>
      </c>
      <c r="F247" s="5"/>
      <c r="G247" s="5"/>
      <c r="H247" s="5"/>
      <c r="I247" s="5"/>
      <c r="J247" s="5"/>
      <c r="L247" s="277"/>
      <c r="M247" s="5"/>
      <c r="R247" s="5"/>
      <c r="S247" s="5"/>
      <c r="T247" s="1120"/>
      <c r="U247" s="5"/>
      <c r="V247" s="5"/>
      <c r="W247" s="5"/>
      <c r="X247" s="1120"/>
      <c r="Y247" s="1120"/>
      <c r="Z247" s="5"/>
      <c r="AA247" s="5"/>
      <c r="AB247" s="1135"/>
      <c r="AC247" s="5"/>
      <c r="AD247" s="5"/>
      <c r="AE247" s="5"/>
      <c r="AF247" s="1120"/>
      <c r="AG247" s="1148"/>
      <c r="AH247" s="1120"/>
      <c r="AI247" s="1120"/>
      <c r="AJ247" s="1120"/>
    </row>
    <row r="248" spans="2:36" ht="30" customHeight="1" x14ac:dyDescent="0.25">
      <c r="B248" s="5"/>
      <c r="C248" s="5"/>
      <c r="D248" s="5" t="s">
        <v>2740</v>
      </c>
      <c r="E248" s="585">
        <f>T139</f>
        <v>695.43992848243033</v>
      </c>
      <c r="F248" s="5"/>
      <c r="G248" s="5"/>
      <c r="H248" s="5"/>
      <c r="I248" s="5"/>
      <c r="J248" s="5"/>
      <c r="L248" s="277"/>
      <c r="M248" s="5"/>
      <c r="R248" s="5"/>
      <c r="S248" s="5"/>
      <c r="T248" s="1120"/>
      <c r="U248" s="5"/>
      <c r="V248" s="5"/>
      <c r="W248" s="5"/>
      <c r="X248" s="1120"/>
      <c r="Y248" s="1120"/>
      <c r="Z248" s="5"/>
      <c r="AA248" s="5"/>
      <c r="AB248" s="1135"/>
      <c r="AC248" s="5"/>
      <c r="AD248" s="5"/>
      <c r="AE248" s="5"/>
      <c r="AF248" s="1120"/>
      <c r="AG248" s="1148"/>
      <c r="AH248" s="1120"/>
      <c r="AI248" s="1120"/>
      <c r="AJ248" s="1120"/>
    </row>
    <row r="249" spans="2:36" ht="30" customHeight="1" x14ac:dyDescent="0.25">
      <c r="B249" s="5"/>
      <c r="C249" s="5"/>
      <c r="D249" s="5" t="s">
        <v>2741</v>
      </c>
      <c r="E249" s="585">
        <f>Y136+Y137+Y138+Y139+Y140</f>
        <v>431.77</v>
      </c>
      <c r="F249" s="5"/>
      <c r="G249" s="5"/>
      <c r="H249" s="5"/>
      <c r="I249" s="5"/>
      <c r="J249" s="5"/>
      <c r="L249" s="277"/>
      <c r="M249" s="5"/>
      <c r="R249" s="5"/>
      <c r="S249" s="5"/>
      <c r="T249" s="1120"/>
      <c r="U249" s="5"/>
      <c r="V249" s="5"/>
      <c r="W249" s="5"/>
      <c r="X249" s="1120"/>
      <c r="Y249" s="1120"/>
      <c r="Z249" s="5"/>
      <c r="AA249" s="5"/>
      <c r="AB249" s="1135"/>
      <c r="AC249" s="5"/>
      <c r="AD249" s="5"/>
      <c r="AE249" s="5"/>
      <c r="AF249" s="1120"/>
      <c r="AG249" s="1148"/>
      <c r="AH249" s="1120"/>
      <c r="AI249" s="1120"/>
      <c r="AJ249" s="1120"/>
    </row>
    <row r="250" spans="2:36" ht="30" customHeight="1" x14ac:dyDescent="0.25">
      <c r="B250" s="5"/>
      <c r="C250" s="5"/>
      <c r="D250" s="5" t="s">
        <v>2742</v>
      </c>
      <c r="E250" s="585">
        <f>AJ136</f>
        <v>695.43992848243033</v>
      </c>
      <c r="F250" s="5"/>
      <c r="G250" s="5"/>
      <c r="H250" s="5"/>
      <c r="I250" s="5"/>
      <c r="J250" s="5"/>
      <c r="L250" s="277"/>
      <c r="M250" s="5"/>
      <c r="R250" s="5"/>
      <c r="S250" s="5"/>
      <c r="T250" s="1120"/>
      <c r="U250" s="5"/>
      <c r="V250" s="5"/>
      <c r="W250" s="5"/>
      <c r="X250" s="1120"/>
      <c r="Y250" s="1120"/>
      <c r="Z250" s="5"/>
      <c r="AA250" s="5"/>
      <c r="AB250" s="1135"/>
      <c r="AC250" s="5"/>
      <c r="AD250" s="5"/>
      <c r="AE250" s="5"/>
      <c r="AF250" s="1120"/>
      <c r="AG250" s="1148"/>
      <c r="AH250" s="1120"/>
      <c r="AI250" s="1120"/>
      <c r="AJ250" s="1120"/>
    </row>
    <row r="251" spans="2:36" ht="30" customHeight="1" x14ac:dyDescent="0.25">
      <c r="B251" s="5"/>
      <c r="C251" s="5"/>
      <c r="D251" s="5" t="s">
        <v>2943</v>
      </c>
      <c r="E251" s="585">
        <f>AF140</f>
        <v>1043.1598927236455</v>
      </c>
      <c r="F251" s="5"/>
      <c r="G251" s="5"/>
      <c r="H251" s="5"/>
      <c r="I251" s="5"/>
      <c r="J251" s="5"/>
      <c r="L251" s="277"/>
      <c r="M251" s="5"/>
      <c r="R251" s="5"/>
      <c r="S251" s="5"/>
      <c r="T251" s="1120"/>
      <c r="U251" s="5"/>
      <c r="V251" s="5"/>
      <c r="W251" s="5"/>
      <c r="X251" s="1120"/>
      <c r="Y251" s="1120"/>
      <c r="Z251" s="5"/>
      <c r="AA251" s="5"/>
      <c r="AB251" s="1135"/>
      <c r="AC251" s="5"/>
      <c r="AD251" s="5"/>
      <c r="AE251" s="5"/>
      <c r="AF251" s="1120"/>
      <c r="AG251" s="1148"/>
      <c r="AH251" s="1120"/>
      <c r="AI251" s="1120"/>
      <c r="AJ251" s="1120"/>
    </row>
    <row r="252" spans="2:36" ht="30" customHeight="1" x14ac:dyDescent="0.25">
      <c r="B252" s="5"/>
      <c r="C252" s="5"/>
      <c r="D252" s="5"/>
      <c r="E252" s="585"/>
      <c r="F252" s="5"/>
      <c r="G252" s="5"/>
      <c r="H252" s="5"/>
      <c r="I252" s="5"/>
      <c r="J252" s="5"/>
      <c r="L252" s="277"/>
      <c r="M252" s="5"/>
      <c r="R252" s="5"/>
      <c r="S252" s="5"/>
      <c r="T252" s="1120"/>
      <c r="U252" s="5"/>
      <c r="V252" s="5"/>
      <c r="W252" s="5"/>
      <c r="X252" s="1120"/>
      <c r="Y252" s="1120"/>
      <c r="Z252" s="5"/>
      <c r="AA252" s="5"/>
      <c r="AB252" s="1135"/>
      <c r="AC252" s="5"/>
      <c r="AD252" s="5"/>
      <c r="AE252" s="5"/>
      <c r="AF252" s="1120"/>
      <c r="AG252" s="1148"/>
      <c r="AH252" s="1120"/>
      <c r="AI252" s="1120"/>
      <c r="AJ252" s="1120"/>
    </row>
    <row r="253" spans="2:36" ht="30" customHeight="1" x14ac:dyDescent="0.25">
      <c r="B253" s="5"/>
      <c r="C253" s="258" t="s">
        <v>7714</v>
      </c>
      <c r="D253" s="5"/>
      <c r="E253" s="272"/>
      <c r="F253" s="5"/>
      <c r="G253" s="5"/>
      <c r="H253" s="5"/>
      <c r="I253" s="5"/>
      <c r="J253" s="5"/>
      <c r="L253" s="277"/>
      <c r="M253" s="5"/>
      <c r="R253" s="5"/>
      <c r="S253" s="5"/>
      <c r="T253" s="1120"/>
      <c r="U253" s="5"/>
      <c r="V253" s="5"/>
      <c r="W253" s="5"/>
      <c r="X253" s="1120"/>
      <c r="Y253" s="1120"/>
      <c r="Z253" s="5"/>
      <c r="AA253" s="5"/>
      <c r="AB253" s="1135"/>
      <c r="AC253" s="5"/>
      <c r="AD253" s="5"/>
      <c r="AE253" s="5"/>
      <c r="AF253" s="1120"/>
      <c r="AG253" s="1148"/>
      <c r="AH253" s="1120"/>
      <c r="AI253" s="1120"/>
      <c r="AJ253" s="1120"/>
    </row>
    <row r="254" spans="2:36" ht="30" customHeight="1" x14ac:dyDescent="0.25">
      <c r="B254" s="5"/>
      <c r="C254" s="5"/>
      <c r="D254" s="5" t="s">
        <v>2933</v>
      </c>
      <c r="E254" s="585">
        <f>N144</f>
        <v>5175.1021630377327</v>
      </c>
      <c r="F254" s="5"/>
      <c r="G254" s="5"/>
      <c r="H254" s="5"/>
      <c r="I254" s="5"/>
      <c r="J254" s="5"/>
      <c r="L254" s="277"/>
      <c r="M254" s="5"/>
      <c r="R254" s="5"/>
      <c r="S254" s="5"/>
      <c r="T254" s="1120"/>
      <c r="U254" s="5"/>
      <c r="V254" s="5"/>
      <c r="W254" s="5"/>
      <c r="X254" s="1120"/>
      <c r="Y254" s="1120"/>
      <c r="Z254" s="5"/>
      <c r="AA254" s="5"/>
      <c r="AB254" s="1135"/>
      <c r="AC254" s="5"/>
      <c r="AD254" s="5"/>
      <c r="AE254" s="5"/>
      <c r="AF254" s="1120"/>
      <c r="AG254" s="1148"/>
      <c r="AH254" s="1120"/>
      <c r="AI254" s="1120"/>
      <c r="AJ254" s="1120"/>
    </row>
    <row r="255" spans="2:36" ht="30" customHeight="1" x14ac:dyDescent="0.25">
      <c r="B255" s="5"/>
      <c r="C255" s="5"/>
      <c r="D255" s="5" t="s">
        <v>4519</v>
      </c>
      <c r="E255" s="272">
        <f>AK144</f>
        <v>1725.0340543459108</v>
      </c>
      <c r="F255" s="5"/>
      <c r="G255" s="5"/>
      <c r="H255" s="5"/>
      <c r="I255" s="5"/>
      <c r="J255" s="5"/>
      <c r="L255" s="277"/>
      <c r="M255" s="5"/>
      <c r="R255" s="5"/>
      <c r="S255" s="5"/>
      <c r="T255" s="1120"/>
      <c r="U255" s="5"/>
      <c r="V255" s="5"/>
      <c r="W255" s="5"/>
      <c r="X255" s="1120"/>
      <c r="Y255" s="1120"/>
      <c r="Z255" s="5"/>
      <c r="AA255" s="5"/>
      <c r="AB255" s="1135"/>
      <c r="AC255" s="5"/>
      <c r="AD255" s="5"/>
      <c r="AE255" s="5"/>
      <c r="AF255" s="1120"/>
      <c r="AG255" s="1148"/>
      <c r="AH255" s="1120"/>
      <c r="AI255" s="1120"/>
      <c r="AJ255" s="1120"/>
    </row>
    <row r="256" spans="2:36" ht="30" customHeight="1" x14ac:dyDescent="0.25">
      <c r="B256" s="5"/>
      <c r="C256" s="5"/>
      <c r="D256" s="5" t="s">
        <v>2736</v>
      </c>
      <c r="E256" s="272">
        <f>AM144</f>
        <v>5175.1021630377327</v>
      </c>
      <c r="F256" s="5"/>
      <c r="G256" s="5"/>
      <c r="H256" s="5"/>
      <c r="I256" s="5"/>
      <c r="J256" s="5"/>
      <c r="L256" s="277"/>
      <c r="M256" s="5"/>
      <c r="R256" s="5"/>
      <c r="S256" s="5"/>
      <c r="T256" s="1120"/>
      <c r="U256" s="5"/>
      <c r="V256" s="5"/>
      <c r="W256" s="5"/>
      <c r="X256" s="1120"/>
      <c r="Y256" s="1120"/>
      <c r="Z256" s="5"/>
      <c r="AA256" s="5"/>
      <c r="AB256" s="1135"/>
      <c r="AC256" s="5"/>
      <c r="AD256" s="5"/>
      <c r="AE256" s="5"/>
      <c r="AF256" s="1120"/>
      <c r="AG256" s="1148"/>
      <c r="AH256" s="1120"/>
      <c r="AI256" s="1120"/>
      <c r="AJ256" s="1120"/>
    </row>
    <row r="257" spans="2:36" ht="30" customHeight="1" x14ac:dyDescent="0.25">
      <c r="B257" s="5"/>
      <c r="C257" s="5"/>
      <c r="D257" s="5" t="s">
        <v>3411</v>
      </c>
      <c r="E257" s="1357">
        <f>S144</f>
        <v>776.26532445565988</v>
      </c>
      <c r="F257" s="5"/>
      <c r="G257" s="5"/>
      <c r="H257" s="5"/>
      <c r="I257" s="5"/>
      <c r="J257" s="5"/>
      <c r="L257" s="277"/>
      <c r="M257" s="5"/>
      <c r="R257" s="5"/>
      <c r="S257" s="5"/>
      <c r="T257" s="1120"/>
      <c r="U257" s="5"/>
      <c r="V257" s="5"/>
      <c r="W257" s="5"/>
      <c r="X257" s="1120"/>
      <c r="Y257" s="1120"/>
      <c r="Z257" s="5"/>
      <c r="AA257" s="5"/>
      <c r="AB257" s="1135"/>
      <c r="AC257" s="5"/>
      <c r="AD257" s="5"/>
      <c r="AE257" s="5"/>
      <c r="AF257" s="1120"/>
      <c r="AG257" s="1148"/>
      <c r="AH257" s="1120"/>
      <c r="AI257" s="1120"/>
      <c r="AJ257" s="1120"/>
    </row>
    <row r="258" spans="2:36" ht="30" customHeight="1" x14ac:dyDescent="0.25">
      <c r="B258" s="5"/>
      <c r="C258" s="5"/>
      <c r="D258" s="5" t="s">
        <v>4847</v>
      </c>
      <c r="E258" s="585">
        <f>AL144</f>
        <v>258.75510815188659</v>
      </c>
      <c r="F258" s="5"/>
      <c r="G258" s="5"/>
      <c r="H258" s="5"/>
      <c r="I258" s="5"/>
      <c r="J258" s="5"/>
      <c r="L258" s="277"/>
      <c r="M258" s="5"/>
      <c r="R258" s="5"/>
      <c r="S258" s="5"/>
      <c r="T258" s="1120"/>
      <c r="U258" s="5"/>
      <c r="V258" s="5"/>
      <c r="W258" s="5"/>
      <c r="X258" s="1120"/>
      <c r="Y258" s="1120"/>
      <c r="Z258" s="5"/>
      <c r="AA258" s="5"/>
      <c r="AB258" s="1135"/>
      <c r="AC258" s="5"/>
      <c r="AD258" s="5"/>
      <c r="AE258" s="5"/>
      <c r="AF258" s="1120"/>
      <c r="AG258" s="1148"/>
      <c r="AH258" s="1120"/>
      <c r="AI258" s="1120"/>
      <c r="AJ258" s="1120"/>
    </row>
    <row r="259" spans="2:36" ht="30" customHeight="1" x14ac:dyDescent="0.25">
      <c r="B259" s="5"/>
      <c r="C259" s="5"/>
      <c r="D259" s="5" t="s">
        <v>5298</v>
      </c>
      <c r="E259" s="585">
        <f>AN144</f>
        <v>776.26532445565988</v>
      </c>
      <c r="F259" s="5"/>
      <c r="G259" s="5"/>
      <c r="H259" s="5"/>
      <c r="I259" s="5"/>
      <c r="J259" s="5"/>
      <c r="L259" s="277"/>
      <c r="M259" s="5"/>
      <c r="R259" s="5"/>
      <c r="S259" s="5"/>
      <c r="T259" s="1120"/>
      <c r="U259" s="5"/>
      <c r="V259" s="5"/>
      <c r="W259" s="5"/>
      <c r="X259" s="1120"/>
      <c r="Y259" s="1120"/>
      <c r="Z259" s="5"/>
      <c r="AA259" s="5"/>
      <c r="AB259" s="1135"/>
      <c r="AC259" s="5"/>
      <c r="AD259" s="5"/>
      <c r="AE259" s="5"/>
      <c r="AF259" s="1120"/>
      <c r="AG259" s="1148"/>
      <c r="AH259" s="1120"/>
      <c r="AI259" s="1120"/>
      <c r="AJ259" s="1120"/>
    </row>
    <row r="260" spans="2:36" ht="30" customHeight="1" x14ac:dyDescent="0.25">
      <c r="B260" s="5"/>
      <c r="C260" s="5"/>
      <c r="D260" s="5"/>
      <c r="E260" s="5"/>
      <c r="F260" s="5"/>
      <c r="G260" s="5"/>
      <c r="H260" s="5"/>
      <c r="I260" s="5"/>
      <c r="J260" s="5"/>
      <c r="L260" s="277"/>
      <c r="M260" s="5"/>
      <c r="R260" s="5"/>
      <c r="S260" s="5"/>
      <c r="T260" s="1120"/>
      <c r="U260" s="5"/>
      <c r="V260" s="5"/>
      <c r="W260" s="5"/>
      <c r="X260" s="1120"/>
      <c r="Y260" s="1120"/>
      <c r="Z260" s="5"/>
      <c r="AA260" s="5"/>
      <c r="AB260" s="1135"/>
      <c r="AC260" s="5"/>
      <c r="AD260" s="5"/>
      <c r="AE260" s="5"/>
      <c r="AF260" s="1120"/>
      <c r="AG260" s="1148"/>
      <c r="AH260" s="1120"/>
      <c r="AI260" s="1120"/>
      <c r="AJ260" s="1120"/>
    </row>
    <row r="261" spans="2:36" ht="30" customHeight="1" x14ac:dyDescent="0.25">
      <c r="B261" s="5"/>
      <c r="C261" s="258" t="s">
        <v>2599</v>
      </c>
      <c r="D261" s="5"/>
      <c r="E261" s="5"/>
      <c r="F261" s="5"/>
      <c r="G261" s="5"/>
      <c r="H261" s="5"/>
      <c r="I261" s="5"/>
      <c r="J261" s="5"/>
      <c r="L261" s="277"/>
      <c r="M261" s="5"/>
      <c r="R261" s="5"/>
      <c r="S261" s="5"/>
      <c r="T261" s="1120"/>
      <c r="U261" s="5"/>
      <c r="V261" s="5"/>
      <c r="W261" s="5"/>
      <c r="X261" s="1120"/>
      <c r="Y261" s="1120"/>
      <c r="Z261" s="5"/>
      <c r="AA261" s="5"/>
      <c r="AB261" s="1135"/>
      <c r="AC261" s="5"/>
      <c r="AD261" s="5"/>
      <c r="AE261" s="5"/>
      <c r="AF261" s="1120"/>
      <c r="AG261" s="1148"/>
      <c r="AH261" s="1120"/>
      <c r="AI261" s="1120"/>
      <c r="AJ261" s="1120"/>
    </row>
    <row r="262" spans="2:36" ht="30" customHeight="1" x14ac:dyDescent="0.25">
      <c r="B262" s="5"/>
      <c r="C262" s="258" t="s">
        <v>2598</v>
      </c>
      <c r="D262" s="5"/>
      <c r="E262" s="5"/>
      <c r="F262" s="5"/>
      <c r="G262" s="5"/>
      <c r="H262" s="5"/>
      <c r="I262" s="5"/>
      <c r="J262" s="5"/>
      <c r="L262" s="277"/>
      <c r="M262" s="5"/>
      <c r="R262" s="5"/>
      <c r="S262" s="5"/>
      <c r="T262" s="1120"/>
      <c r="U262" s="5"/>
      <c r="V262" s="5"/>
      <c r="W262" s="5"/>
      <c r="X262" s="1120"/>
      <c r="Y262" s="1120"/>
      <c r="Z262" s="5"/>
      <c r="AA262" s="5"/>
      <c r="AB262" s="1135"/>
      <c r="AC262" s="5"/>
      <c r="AD262" s="5"/>
      <c r="AE262" s="5"/>
      <c r="AF262" s="1120"/>
      <c r="AG262" s="1148"/>
      <c r="AH262" s="1120"/>
      <c r="AI262" s="1120"/>
      <c r="AJ262" s="1120"/>
    </row>
    <row r="263" spans="2:36" ht="30" customHeight="1" x14ac:dyDescent="0.25">
      <c r="B263" s="5"/>
      <c r="C263" s="5"/>
      <c r="D263" s="5" t="s">
        <v>3075</v>
      </c>
      <c r="E263" s="272">
        <v>0</v>
      </c>
      <c r="F263" s="5"/>
      <c r="G263" s="5"/>
      <c r="H263" s="5"/>
      <c r="I263" s="5"/>
      <c r="J263" s="5"/>
      <c r="L263" s="277"/>
      <c r="M263" s="5"/>
      <c r="R263" s="5"/>
      <c r="S263" s="5"/>
      <c r="T263" s="1120"/>
      <c r="U263" s="5"/>
      <c r="V263" s="5"/>
      <c r="W263" s="5"/>
      <c r="X263" s="1120"/>
      <c r="Y263" s="1120"/>
      <c r="Z263" s="5"/>
      <c r="AA263" s="5"/>
      <c r="AB263" s="1135"/>
      <c r="AC263" s="5"/>
      <c r="AD263" s="5"/>
      <c r="AE263" s="5"/>
      <c r="AF263" s="1120"/>
      <c r="AG263" s="1148"/>
      <c r="AH263" s="1120"/>
      <c r="AI263" s="1120"/>
      <c r="AJ263" s="1120"/>
    </row>
    <row r="264" spans="2:36" ht="30" customHeight="1" x14ac:dyDescent="0.25">
      <c r="B264" s="5"/>
      <c r="C264" s="5"/>
      <c r="D264" s="5" t="s">
        <v>4519</v>
      </c>
      <c r="E264" s="272">
        <v>0</v>
      </c>
      <c r="F264" s="5"/>
      <c r="G264" s="5"/>
      <c r="H264" s="5"/>
      <c r="I264" s="5"/>
      <c r="J264" s="5"/>
      <c r="L264" s="277"/>
      <c r="M264" s="5"/>
      <c r="R264" s="5"/>
      <c r="S264" s="5"/>
      <c r="T264" s="1120"/>
      <c r="U264" s="5"/>
      <c r="V264" s="5"/>
      <c r="W264" s="5"/>
      <c r="X264" s="1120"/>
      <c r="Y264" s="1120"/>
      <c r="Z264" s="5"/>
      <c r="AA264" s="5"/>
      <c r="AB264" s="1135"/>
      <c r="AC264" s="5"/>
      <c r="AD264" s="5"/>
      <c r="AE264" s="5"/>
      <c r="AF264" s="1120"/>
      <c r="AG264" s="1148"/>
      <c r="AH264" s="1120"/>
      <c r="AI264" s="1120"/>
      <c r="AJ264" s="1120"/>
    </row>
    <row r="265" spans="2:36" ht="30" customHeight="1" x14ac:dyDescent="0.25">
      <c r="B265" s="5"/>
      <c r="C265" s="5"/>
      <c r="D265" s="5" t="s">
        <v>2736</v>
      </c>
      <c r="E265" s="272">
        <v>0</v>
      </c>
      <c r="F265" s="5"/>
      <c r="G265" s="5"/>
      <c r="H265" s="5"/>
      <c r="I265" s="5"/>
      <c r="J265" s="5"/>
      <c r="L265" s="277"/>
      <c r="M265" s="5"/>
      <c r="R265" s="5"/>
      <c r="S265" s="5"/>
      <c r="T265" s="1120"/>
      <c r="U265" s="5"/>
      <c r="V265" s="5"/>
      <c r="W265" s="5"/>
      <c r="X265" s="1120"/>
      <c r="Y265" s="1120"/>
      <c r="Z265" s="5"/>
      <c r="AA265" s="5"/>
      <c r="AB265" s="1135"/>
      <c r="AC265" s="5"/>
      <c r="AD265" s="5"/>
      <c r="AE265" s="5"/>
      <c r="AF265" s="1120"/>
      <c r="AG265" s="1148"/>
      <c r="AH265" s="1120"/>
      <c r="AI265" s="1120"/>
      <c r="AJ265" s="1120"/>
    </row>
    <row r="266" spans="2:36" ht="30" customHeight="1" x14ac:dyDescent="0.25">
      <c r="B266" s="5"/>
      <c r="C266" s="258" t="s">
        <v>2594</v>
      </c>
      <c r="D266" s="5"/>
      <c r="E266" s="272"/>
      <c r="F266" s="5"/>
      <c r="G266" s="5"/>
      <c r="H266" s="5"/>
      <c r="I266" s="5"/>
      <c r="J266" s="5"/>
      <c r="L266" s="277"/>
      <c r="M266" s="5"/>
      <c r="R266" s="5"/>
      <c r="S266" s="5"/>
      <c r="T266" s="1120"/>
      <c r="U266" s="5"/>
      <c r="V266" s="5"/>
      <c r="W266" s="5"/>
      <c r="X266" s="1120"/>
      <c r="Y266" s="1120"/>
      <c r="Z266" s="5"/>
      <c r="AA266" s="5"/>
      <c r="AB266" s="1135"/>
      <c r="AC266" s="5"/>
      <c r="AD266" s="5"/>
      <c r="AE266" s="5"/>
      <c r="AF266" s="1120"/>
      <c r="AG266" s="1148"/>
      <c r="AH266" s="1120"/>
      <c r="AI266" s="1120"/>
      <c r="AJ266" s="1120"/>
    </row>
    <row r="267" spans="2:36" ht="30" customHeight="1" x14ac:dyDescent="0.25">
      <c r="B267" s="5"/>
      <c r="C267" s="5"/>
      <c r="D267" s="5" t="s">
        <v>3075</v>
      </c>
      <c r="E267" s="272">
        <f>N162+N163</f>
        <v>6954.3992848243033</v>
      </c>
      <c r="F267" s="5"/>
      <c r="G267" s="5"/>
      <c r="H267" s="5"/>
      <c r="I267" s="5"/>
      <c r="J267" s="5"/>
      <c r="L267" s="277"/>
      <c r="M267" s="5"/>
      <c r="R267" s="5"/>
      <c r="S267" s="5"/>
      <c r="T267" s="1120"/>
      <c r="U267" s="5"/>
      <c r="V267" s="5"/>
      <c r="W267" s="5"/>
      <c r="X267" s="1120"/>
      <c r="Y267" s="1120"/>
      <c r="Z267" s="5"/>
      <c r="AA267" s="5"/>
      <c r="AB267" s="1135"/>
      <c r="AC267" s="5"/>
      <c r="AD267" s="5"/>
      <c r="AE267" s="5"/>
      <c r="AF267" s="1120"/>
      <c r="AG267" s="1148"/>
      <c r="AH267" s="1120"/>
      <c r="AI267" s="1120"/>
      <c r="AJ267" s="1120"/>
    </row>
    <row r="268" spans="2:36" ht="30" customHeight="1" x14ac:dyDescent="0.25">
      <c r="B268" s="5"/>
      <c r="C268" s="5"/>
      <c r="D268" s="5" t="s">
        <v>4519</v>
      </c>
      <c r="E268" s="272">
        <f>AK162+AK163</f>
        <v>2318.1330949414346</v>
      </c>
      <c r="F268" s="5"/>
      <c r="G268" s="5"/>
      <c r="H268" s="5"/>
      <c r="I268" s="5"/>
      <c r="J268" s="5"/>
      <c r="L268" s="277"/>
      <c r="M268" s="5"/>
      <c r="R268" s="5"/>
      <c r="S268" s="5"/>
      <c r="T268" s="1120"/>
      <c r="U268" s="5"/>
      <c r="V268" s="5"/>
      <c r="W268" s="5"/>
      <c r="X268" s="1120"/>
      <c r="Y268" s="1120"/>
      <c r="Z268" s="5"/>
      <c r="AA268" s="5"/>
      <c r="AB268" s="1135"/>
      <c r="AC268" s="5"/>
      <c r="AD268" s="5"/>
      <c r="AE268" s="5"/>
      <c r="AF268" s="1120"/>
      <c r="AG268" s="1148"/>
      <c r="AH268" s="1120"/>
      <c r="AI268" s="1120"/>
      <c r="AJ268" s="1120"/>
    </row>
    <row r="269" spans="2:36" ht="30" customHeight="1" x14ac:dyDescent="0.25">
      <c r="B269" s="5"/>
      <c r="C269" s="5"/>
      <c r="D269" s="5" t="s">
        <v>2736</v>
      </c>
      <c r="E269" s="272">
        <f>AM162+AM163</f>
        <v>6954.3992848243033</v>
      </c>
      <c r="F269" s="5"/>
      <c r="G269" s="5"/>
      <c r="H269" s="5"/>
      <c r="I269" s="5"/>
      <c r="J269" s="5"/>
      <c r="L269" s="277"/>
      <c r="M269" s="5"/>
      <c r="R269" s="5"/>
      <c r="S269" s="5"/>
      <c r="T269" s="1120"/>
      <c r="U269" s="5"/>
      <c r="V269" s="5"/>
      <c r="W269" s="5"/>
      <c r="X269" s="1120"/>
      <c r="Y269" s="1120"/>
      <c r="Z269" s="5"/>
      <c r="AA269" s="5"/>
      <c r="AB269" s="1135"/>
      <c r="AC269" s="5"/>
      <c r="AD269" s="5"/>
      <c r="AE269" s="5"/>
      <c r="AF269" s="1120"/>
      <c r="AG269" s="1148"/>
      <c r="AH269" s="1120"/>
      <c r="AI269" s="1120"/>
      <c r="AJ269" s="1120"/>
    </row>
    <row r="270" spans="2:36" ht="30" customHeight="1" x14ac:dyDescent="0.25">
      <c r="B270" s="5"/>
      <c r="C270" s="258" t="s">
        <v>7713</v>
      </c>
      <c r="D270" s="5"/>
      <c r="E270" s="272"/>
      <c r="F270" s="5"/>
      <c r="G270" s="5"/>
      <c r="H270" s="5"/>
      <c r="I270" s="5"/>
      <c r="J270" s="5"/>
      <c r="L270" s="277"/>
      <c r="M270" s="5"/>
      <c r="R270" s="5"/>
      <c r="S270" s="5"/>
      <c r="T270" s="1120"/>
      <c r="U270" s="5"/>
      <c r="V270" s="5"/>
      <c r="W270" s="5"/>
      <c r="X270" s="1120"/>
      <c r="Y270" s="1120"/>
      <c r="Z270" s="5"/>
      <c r="AA270" s="5"/>
      <c r="AB270" s="1135"/>
      <c r="AC270" s="5"/>
      <c r="AD270" s="5"/>
      <c r="AE270" s="5"/>
      <c r="AF270" s="1120"/>
      <c r="AG270" s="1148"/>
      <c r="AH270" s="1120"/>
      <c r="AI270" s="1120"/>
      <c r="AJ270" s="1120"/>
    </row>
    <row r="271" spans="2:36" ht="30" customHeight="1" x14ac:dyDescent="0.25">
      <c r="B271" s="5"/>
      <c r="C271" s="5"/>
      <c r="D271" s="5" t="s">
        <v>3075</v>
      </c>
      <c r="E271" s="272">
        <f>N146+N147+N148+N149+N150+N151+N152+N153+N154+N155+N156+N157+N158+N159+N160</f>
        <v>38965.559192870576</v>
      </c>
      <c r="F271" s="5"/>
      <c r="G271" s="5"/>
      <c r="H271" s="5"/>
      <c r="I271" s="5"/>
      <c r="J271" s="5"/>
      <c r="L271" s="277"/>
      <c r="M271" s="5"/>
      <c r="R271" s="5"/>
      <c r="S271" s="5"/>
      <c r="T271" s="1120"/>
      <c r="U271" s="5"/>
      <c r="V271" s="5"/>
      <c r="W271" s="5"/>
      <c r="X271" s="1120"/>
      <c r="Y271" s="1120"/>
      <c r="Z271" s="5"/>
      <c r="AA271" s="5"/>
      <c r="AB271" s="1135"/>
      <c r="AC271" s="5"/>
      <c r="AD271" s="5"/>
      <c r="AE271" s="5"/>
      <c r="AF271" s="1120"/>
      <c r="AG271" s="1148"/>
      <c r="AH271" s="1120"/>
      <c r="AI271" s="1120"/>
      <c r="AJ271" s="1120"/>
    </row>
    <row r="272" spans="2:36" ht="30" customHeight="1" x14ac:dyDescent="0.25">
      <c r="B272" s="5"/>
      <c r="C272" s="5"/>
      <c r="D272" s="5" t="s">
        <v>4519</v>
      </c>
      <c r="E272" s="272">
        <f>AK146+AK147+AK148+AK149+AK150+AK151+AK152+AK153+AK154+AK155+AK156+AK157+AK158+AK159+AK160</f>
        <v>13915.772968933428</v>
      </c>
      <c r="F272" s="5"/>
      <c r="G272" s="5"/>
      <c r="H272" s="5"/>
      <c r="I272" s="5"/>
      <c r="J272" s="5"/>
      <c r="L272" s="277"/>
      <c r="M272" s="5"/>
      <c r="R272" s="5"/>
      <c r="S272" s="5"/>
      <c r="T272" s="1120"/>
      <c r="U272" s="5"/>
      <c r="V272" s="5"/>
      <c r="W272" s="5"/>
      <c r="X272" s="1120"/>
      <c r="Y272" s="1120"/>
      <c r="Z272" s="5"/>
      <c r="AA272" s="5"/>
      <c r="AB272" s="1135"/>
      <c r="AC272" s="5"/>
      <c r="AD272" s="5"/>
      <c r="AE272" s="5"/>
      <c r="AF272" s="1120"/>
      <c r="AG272" s="1148"/>
      <c r="AH272" s="1120"/>
      <c r="AI272" s="1120"/>
      <c r="AJ272" s="1120"/>
    </row>
    <row r="273" spans="2:36" ht="30" customHeight="1" x14ac:dyDescent="0.25">
      <c r="B273" s="5"/>
      <c r="C273" s="5"/>
      <c r="D273" s="5" t="s">
        <v>2736</v>
      </c>
      <c r="E273" s="272">
        <f>AM146+AM147+AM148+AM149+AM150+AM151+AM152+AM153+AM154+AM155+AM156+AM157+AM158+AM159+AM160</f>
        <v>38965.559192870576</v>
      </c>
      <c r="F273" s="5"/>
      <c r="G273" s="5"/>
      <c r="H273" s="5"/>
      <c r="I273" s="5"/>
      <c r="J273" s="5"/>
      <c r="L273" s="277"/>
      <c r="M273" s="5"/>
      <c r="R273" s="5"/>
      <c r="S273" s="5"/>
      <c r="T273" s="1120"/>
      <c r="U273" s="5"/>
      <c r="V273" s="5"/>
      <c r="W273" s="5"/>
      <c r="X273" s="1120"/>
      <c r="Y273" s="1120"/>
      <c r="Z273" s="5"/>
      <c r="AA273" s="5"/>
      <c r="AB273" s="1135"/>
      <c r="AC273" s="5"/>
      <c r="AD273" s="5"/>
      <c r="AE273" s="5"/>
      <c r="AF273" s="1120"/>
      <c r="AG273" s="1148"/>
      <c r="AH273" s="1120"/>
      <c r="AI273" s="1120"/>
      <c r="AJ273" s="1120"/>
    </row>
    <row r="274" spans="2:36" ht="30" customHeight="1" x14ac:dyDescent="0.25">
      <c r="B274" s="5"/>
      <c r="C274" s="5"/>
      <c r="D274" s="5" t="s">
        <v>3411</v>
      </c>
      <c r="E274" s="1357">
        <f>S146+S147+S148+S149+S150+S151+S152+S153+S154+S155+S156+S157+S158+S159+S160</f>
        <v>2944.8427771588517</v>
      </c>
      <c r="F274" s="5"/>
      <c r="G274" s="5"/>
      <c r="H274" s="5"/>
      <c r="I274" s="5"/>
      <c r="J274" s="5"/>
      <c r="L274" s="277"/>
      <c r="M274" s="5"/>
      <c r="R274" s="5"/>
      <c r="S274" s="5"/>
      <c r="T274" s="1120"/>
      <c r="U274" s="5"/>
      <c r="V274" s="5"/>
      <c r="W274" s="5"/>
      <c r="X274" s="1120"/>
      <c r="Y274" s="1120"/>
      <c r="Z274" s="5"/>
      <c r="AA274" s="5"/>
      <c r="AB274" s="1135"/>
      <c r="AC274" s="5"/>
      <c r="AD274" s="5"/>
      <c r="AE274" s="5"/>
      <c r="AF274" s="1120"/>
      <c r="AG274" s="1148"/>
      <c r="AH274" s="1120"/>
      <c r="AI274" s="1120"/>
      <c r="AJ274" s="1120"/>
    </row>
    <row r="275" spans="2:36" ht="30" customHeight="1" x14ac:dyDescent="0.25">
      <c r="B275" s="5"/>
      <c r="C275" s="5"/>
      <c r="D275" s="5" t="s">
        <v>4847</v>
      </c>
      <c r="E275" s="585">
        <f>AL146+AL147+AL148+AL149+AL150+AL151+AL152+AL153+AL154+AL155+AL156+AL157+AL158+AL159+AL160</f>
        <v>1023.3406547618962</v>
      </c>
      <c r="F275" s="5"/>
      <c r="G275" s="5"/>
      <c r="H275" s="5"/>
      <c r="I275" s="5"/>
      <c r="J275" s="5"/>
      <c r="L275" s="277"/>
      <c r="M275" s="5"/>
      <c r="R275" s="5"/>
      <c r="S275" s="5"/>
      <c r="T275" s="1120"/>
      <c r="U275" s="5"/>
      <c r="V275" s="5"/>
      <c r="W275" s="5"/>
      <c r="X275" s="1120"/>
      <c r="Y275" s="1120"/>
      <c r="Z275" s="5"/>
      <c r="AA275" s="5"/>
      <c r="AB275" s="1135"/>
      <c r="AC275" s="5"/>
      <c r="AD275" s="5"/>
      <c r="AE275" s="5"/>
      <c r="AF275" s="1120"/>
      <c r="AG275" s="1148"/>
      <c r="AH275" s="1120"/>
      <c r="AI275" s="1120"/>
      <c r="AJ275" s="1120"/>
    </row>
    <row r="276" spans="2:36" ht="30" customHeight="1" x14ac:dyDescent="0.25">
      <c r="B276" s="5"/>
      <c r="C276" s="5"/>
      <c r="D276" s="5" t="s">
        <v>5298</v>
      </c>
      <c r="E276" s="585">
        <f>AN146+AN147+AN148+AN149+AN150+AN151+AN152+AN153+AN154+AN155+AN156+AN157+AN158+AN159+AN160</f>
        <v>2944.8427771588517</v>
      </c>
      <c r="F276" s="5"/>
      <c r="G276" s="5"/>
      <c r="H276" s="5"/>
      <c r="I276" s="5"/>
      <c r="J276" s="5"/>
      <c r="L276" s="277"/>
      <c r="M276" s="5"/>
      <c r="R276" s="5"/>
      <c r="S276" s="5"/>
      <c r="T276" s="1120"/>
      <c r="U276" s="5"/>
      <c r="V276" s="5"/>
      <c r="W276" s="5"/>
      <c r="X276" s="1120"/>
      <c r="Y276" s="1120"/>
      <c r="Z276" s="5"/>
      <c r="AA276" s="5"/>
      <c r="AB276" s="1135"/>
      <c r="AC276" s="5"/>
      <c r="AD276" s="5"/>
      <c r="AE276" s="5"/>
      <c r="AF276" s="1120"/>
      <c r="AG276" s="1148"/>
      <c r="AH276" s="1120"/>
      <c r="AI276" s="1120"/>
      <c r="AJ276" s="1120"/>
    </row>
    <row r="277" spans="2:36" ht="30" customHeight="1" x14ac:dyDescent="0.25">
      <c r="B277" s="5"/>
      <c r="C277" s="5"/>
      <c r="D277" s="5" t="s">
        <v>2740</v>
      </c>
      <c r="E277" s="585">
        <f>T146+T147+T148+T149+T150+T151+T152+T153+T154+T155+T156+T157+T158+T159+T160</f>
        <v>2781.7597139297213</v>
      </c>
      <c r="F277" s="5"/>
      <c r="G277" s="5"/>
      <c r="H277" s="5"/>
      <c r="I277" s="5"/>
      <c r="J277" s="5"/>
      <c r="L277" s="277"/>
      <c r="M277" s="5"/>
      <c r="R277" s="5"/>
      <c r="S277" s="5"/>
      <c r="T277" s="1120"/>
      <c r="U277" s="5"/>
      <c r="V277" s="5"/>
      <c r="W277" s="5"/>
      <c r="X277" s="1120"/>
      <c r="Y277" s="1120"/>
      <c r="Z277" s="5"/>
      <c r="AA277" s="5"/>
      <c r="AB277" s="1135"/>
      <c r="AC277" s="5"/>
      <c r="AD277" s="5"/>
      <c r="AE277" s="5"/>
      <c r="AF277" s="1120"/>
      <c r="AG277" s="1148"/>
      <c r="AH277" s="1120"/>
      <c r="AI277" s="1120"/>
      <c r="AJ277" s="1120"/>
    </row>
    <row r="278" spans="2:36" ht="30" customHeight="1" x14ac:dyDescent="0.25">
      <c r="B278" s="5"/>
      <c r="C278" s="5"/>
      <c r="D278" s="5" t="s">
        <v>2741</v>
      </c>
      <c r="E278" s="585">
        <f>Y146+Y147+Y148+Y149+Y150+Y151+Y152+Y153+Y154+Y155+Y156+Y157+Y158+Y159+Y160</f>
        <v>837.96</v>
      </c>
      <c r="F278" s="5"/>
      <c r="G278" s="5"/>
      <c r="H278" s="5"/>
      <c r="I278" s="5"/>
      <c r="J278" s="5"/>
      <c r="L278" s="277"/>
      <c r="M278" s="5"/>
      <c r="R278" s="5"/>
      <c r="S278" s="5"/>
      <c r="T278" s="1120"/>
      <c r="U278" s="5"/>
      <c r="V278" s="5"/>
      <c r="W278" s="5"/>
      <c r="X278" s="1120"/>
      <c r="Y278" s="1120"/>
      <c r="Z278" s="5"/>
      <c r="AA278" s="5"/>
      <c r="AB278" s="1135"/>
      <c r="AC278" s="5"/>
      <c r="AD278" s="5"/>
      <c r="AE278" s="5"/>
      <c r="AF278" s="1120"/>
      <c r="AG278" s="1148"/>
      <c r="AH278" s="1120"/>
      <c r="AI278" s="1120"/>
      <c r="AJ278" s="1120"/>
    </row>
    <row r="279" spans="2:36" ht="30" customHeight="1" x14ac:dyDescent="0.25">
      <c r="B279" s="5"/>
      <c r="C279" s="5"/>
      <c r="D279" s="5" t="s">
        <v>2742</v>
      </c>
      <c r="E279" s="585">
        <f>AJ146+AJ147+AJ148+AJ149+AJ150+AJ151+AJ152+AJ153+AJ154+AJ155+AJ156+AJ157+AJ158+AJ159+AJ160</f>
        <v>2086.319785447291</v>
      </c>
      <c r="F279" s="5"/>
      <c r="G279" s="5"/>
      <c r="H279" s="5"/>
      <c r="I279" s="5"/>
      <c r="J279" s="5"/>
      <c r="L279" s="277"/>
      <c r="M279" s="5"/>
      <c r="R279" s="5"/>
      <c r="S279" s="5"/>
      <c r="T279" s="1120"/>
      <c r="U279" s="5"/>
      <c r="V279" s="5"/>
      <c r="W279" s="5"/>
      <c r="X279" s="1120"/>
      <c r="Y279" s="1120"/>
      <c r="Z279" s="5"/>
      <c r="AA279" s="5"/>
      <c r="AB279" s="1135"/>
      <c r="AC279" s="5"/>
      <c r="AD279" s="5"/>
      <c r="AE279" s="5"/>
      <c r="AF279" s="1120"/>
      <c r="AG279" s="1148"/>
      <c r="AH279" s="1120"/>
      <c r="AI279" s="1120"/>
      <c r="AJ279" s="1120"/>
    </row>
    <row r="280" spans="2:36" ht="30" customHeight="1" x14ac:dyDescent="0.25">
      <c r="B280" s="5"/>
      <c r="C280" s="5"/>
      <c r="D280" s="5" t="s">
        <v>2943</v>
      </c>
      <c r="E280" s="585">
        <f>AF146+AF147+AF148+AF149+AF150+AF151+AF152+AF153+AF154+AF155+AF156+AF157+AF158+AF159+AF160</f>
        <v>0</v>
      </c>
      <c r="F280" s="5"/>
      <c r="G280" s="5"/>
      <c r="H280" s="5"/>
      <c r="I280" s="5"/>
      <c r="J280" s="5"/>
      <c r="L280" s="277"/>
      <c r="M280" s="5"/>
      <c r="R280" s="5"/>
      <c r="S280" s="5"/>
      <c r="T280" s="1120"/>
      <c r="U280" s="5"/>
      <c r="V280" s="5"/>
      <c r="W280" s="5"/>
      <c r="X280" s="1120"/>
      <c r="Y280" s="1120"/>
      <c r="Z280" s="5"/>
      <c r="AA280" s="5"/>
      <c r="AB280" s="1135"/>
      <c r="AC280" s="5"/>
      <c r="AD280" s="5"/>
      <c r="AE280" s="5"/>
      <c r="AF280" s="1120"/>
      <c r="AG280" s="1148"/>
      <c r="AH280" s="1120"/>
      <c r="AI280" s="1120"/>
      <c r="AJ280" s="1120"/>
    </row>
    <row r="281" spans="2:36" ht="30" customHeight="1" x14ac:dyDescent="0.25">
      <c r="B281" s="5"/>
      <c r="C281" s="5"/>
      <c r="D281" s="5" t="s">
        <v>7715</v>
      </c>
      <c r="E281" s="585">
        <f>AI146+AI147+AI148+AI149+AI150+AI151+AI152+AI153+AI154+AI155+AI156+AI157+AI158+AI159+AI160+AI162+AI163+AI165</f>
        <v>2781.7597139297213</v>
      </c>
      <c r="F281" s="5"/>
      <c r="G281" s="5"/>
      <c r="H281" s="5"/>
      <c r="I281" s="5"/>
      <c r="J281" s="5"/>
      <c r="L281" s="277"/>
      <c r="M281" s="5"/>
      <c r="R281" s="5"/>
      <c r="S281" s="5"/>
      <c r="T281" s="1120"/>
      <c r="U281" s="5"/>
      <c r="V281" s="5"/>
      <c r="W281" s="5"/>
      <c r="X281" s="1120"/>
      <c r="Y281" s="1120"/>
      <c r="Z281" s="5"/>
      <c r="AA281" s="5"/>
      <c r="AB281" s="1135"/>
      <c r="AC281" s="5"/>
      <c r="AD281" s="5"/>
      <c r="AE281" s="5"/>
      <c r="AF281" s="1120"/>
      <c r="AG281" s="1148"/>
      <c r="AH281" s="1120"/>
      <c r="AI281" s="1120"/>
      <c r="AJ281" s="1120"/>
    </row>
    <row r="282" spans="2:36" ht="30" customHeight="1" x14ac:dyDescent="0.25">
      <c r="B282" s="5"/>
      <c r="C282" s="5"/>
      <c r="D282" s="5" t="s">
        <v>2740</v>
      </c>
      <c r="E282" s="585">
        <f>T147+T148+T149+T150+T151+T152+T153+T154+T155+T156+T157+T158+T159+T160+T161+T163+T164+T166</f>
        <v>5563.5194278594427</v>
      </c>
      <c r="F282" s="5"/>
      <c r="G282" s="5"/>
      <c r="H282" s="5"/>
      <c r="I282" s="5"/>
      <c r="J282" s="5"/>
      <c r="L282" s="277"/>
      <c r="M282" s="5"/>
      <c r="R282" s="5"/>
      <c r="S282" s="5"/>
      <c r="T282" s="1120"/>
      <c r="U282" s="5"/>
      <c r="V282" s="5"/>
      <c r="W282" s="5"/>
      <c r="X282" s="1120"/>
      <c r="Y282" s="1120"/>
      <c r="Z282" s="5"/>
      <c r="AA282" s="5"/>
      <c r="AB282" s="1135"/>
      <c r="AC282" s="5"/>
      <c r="AD282" s="5"/>
      <c r="AE282" s="5"/>
      <c r="AF282" s="1120"/>
      <c r="AG282" s="1148"/>
      <c r="AH282" s="1120"/>
      <c r="AI282" s="1120"/>
      <c r="AJ282" s="1120"/>
    </row>
    <row r="283" spans="2:36" ht="30" customHeight="1" x14ac:dyDescent="0.25">
      <c r="B283" s="5"/>
      <c r="C283" s="5"/>
      <c r="D283" s="5" t="s">
        <v>2751</v>
      </c>
      <c r="E283" s="585">
        <f>W152*12</f>
        <v>4798.4658787808039</v>
      </c>
      <c r="F283" s="5"/>
      <c r="G283" s="5"/>
      <c r="H283" s="5"/>
      <c r="I283" s="5"/>
      <c r="J283" s="5"/>
      <c r="L283" s="277"/>
      <c r="M283" s="5"/>
      <c r="R283" s="5"/>
      <c r="S283" s="5"/>
      <c r="T283" s="1120"/>
      <c r="U283" s="5"/>
      <c r="V283" s="5"/>
      <c r="W283" s="5"/>
      <c r="X283" s="1120"/>
      <c r="Y283" s="1120"/>
      <c r="Z283" s="5"/>
      <c r="AA283" s="5"/>
      <c r="AB283" s="1135"/>
      <c r="AC283" s="5"/>
      <c r="AD283" s="5"/>
      <c r="AE283" s="5"/>
      <c r="AF283" s="1120"/>
      <c r="AG283" s="1148"/>
      <c r="AH283" s="1120"/>
      <c r="AI283" s="1120"/>
      <c r="AJ283" s="1120"/>
    </row>
    <row r="284" spans="2:36" ht="30" customHeight="1" x14ac:dyDescent="0.25">
      <c r="B284" s="5"/>
      <c r="C284" s="258" t="s">
        <v>7714</v>
      </c>
      <c r="D284" s="5"/>
      <c r="E284" s="272"/>
      <c r="F284" s="5"/>
      <c r="G284" s="5"/>
      <c r="H284" s="5"/>
      <c r="I284" s="5"/>
      <c r="J284" s="5"/>
      <c r="L284" s="277"/>
      <c r="M284" s="5"/>
      <c r="R284" s="5"/>
      <c r="S284" s="5"/>
      <c r="T284" s="1120"/>
      <c r="U284" s="5"/>
      <c r="V284" s="5"/>
      <c r="W284" s="5"/>
      <c r="X284" s="1120"/>
      <c r="Y284" s="1120"/>
      <c r="Z284" s="5"/>
      <c r="AA284" s="5"/>
      <c r="AB284" s="1135"/>
      <c r="AC284" s="5"/>
      <c r="AD284" s="5"/>
      <c r="AE284" s="5"/>
      <c r="AF284" s="1120"/>
      <c r="AG284" s="1148"/>
      <c r="AH284" s="1120"/>
      <c r="AI284" s="1120"/>
      <c r="AJ284" s="1120"/>
    </row>
    <row r="285" spans="2:36" ht="30" customHeight="1" x14ac:dyDescent="0.25">
      <c r="B285" s="5"/>
      <c r="C285" s="5"/>
      <c r="D285" s="5" t="s">
        <v>2933</v>
      </c>
      <c r="E285" s="585">
        <f>N165</f>
        <v>5175.1021630377327</v>
      </c>
      <c r="F285" s="5"/>
      <c r="G285" s="5"/>
      <c r="H285" s="5"/>
      <c r="I285" s="5"/>
      <c r="J285" s="5"/>
      <c r="L285" s="277"/>
      <c r="M285" s="5"/>
      <c r="R285" s="5"/>
      <c r="S285" s="5"/>
      <c r="T285" s="1120"/>
      <c r="U285" s="5"/>
      <c r="V285" s="5"/>
      <c r="W285" s="5"/>
      <c r="X285" s="1120"/>
      <c r="Y285" s="1120"/>
      <c r="Z285" s="5"/>
      <c r="AA285" s="5"/>
      <c r="AB285" s="1135"/>
      <c r="AC285" s="5"/>
      <c r="AD285" s="5"/>
      <c r="AE285" s="5"/>
      <c r="AF285" s="1120"/>
      <c r="AG285" s="1148"/>
      <c r="AH285" s="1120"/>
      <c r="AI285" s="1120"/>
      <c r="AJ285" s="1120"/>
    </row>
    <row r="286" spans="2:36" ht="30" customHeight="1" x14ac:dyDescent="0.25">
      <c r="B286" s="5"/>
      <c r="C286" s="5"/>
      <c r="D286" s="5" t="s">
        <v>4519</v>
      </c>
      <c r="E286" s="272">
        <f>AK165</f>
        <v>1725.0340543459108</v>
      </c>
      <c r="F286" s="5"/>
      <c r="G286" s="5"/>
      <c r="H286" s="5"/>
      <c r="I286" s="5"/>
      <c r="J286" s="5"/>
      <c r="L286" s="277"/>
      <c r="M286" s="5"/>
      <c r="R286" s="5"/>
      <c r="S286" s="5"/>
      <c r="T286" s="1120"/>
      <c r="U286" s="5"/>
      <c r="V286" s="5"/>
      <c r="W286" s="5"/>
      <c r="X286" s="1120"/>
      <c r="Y286" s="1120"/>
      <c r="Z286" s="5"/>
      <c r="AA286" s="5"/>
      <c r="AB286" s="1135"/>
      <c r="AC286" s="5"/>
      <c r="AD286" s="5"/>
      <c r="AE286" s="5"/>
      <c r="AF286" s="1120"/>
      <c r="AG286" s="1148"/>
      <c r="AH286" s="1120"/>
      <c r="AI286" s="1120"/>
      <c r="AJ286" s="1120"/>
    </row>
    <row r="287" spans="2:36" ht="30" customHeight="1" x14ac:dyDescent="0.25">
      <c r="B287" s="5"/>
      <c r="C287" s="5"/>
      <c r="D287" s="5" t="s">
        <v>2736</v>
      </c>
      <c r="E287" s="272">
        <f>AM165</f>
        <v>5175.1021630377327</v>
      </c>
      <c r="F287" s="5"/>
      <c r="G287" s="5"/>
      <c r="H287" s="5"/>
      <c r="I287" s="5"/>
      <c r="J287" s="5"/>
      <c r="L287" s="277"/>
      <c r="M287" s="5"/>
      <c r="R287" s="5"/>
      <c r="S287" s="5"/>
      <c r="T287" s="1120"/>
      <c r="U287" s="5"/>
      <c r="V287" s="5"/>
      <c r="W287" s="5"/>
      <c r="X287" s="1120"/>
      <c r="Y287" s="1120"/>
      <c r="Z287" s="5"/>
      <c r="AA287" s="5"/>
      <c r="AB287" s="1135"/>
      <c r="AC287" s="5"/>
      <c r="AD287" s="5"/>
      <c r="AE287" s="5"/>
      <c r="AF287" s="1120"/>
      <c r="AG287" s="1148"/>
      <c r="AH287" s="1120"/>
      <c r="AI287" s="1120"/>
      <c r="AJ287" s="1120"/>
    </row>
    <row r="288" spans="2:36" ht="30" customHeight="1" x14ac:dyDescent="0.25">
      <c r="B288" s="5"/>
      <c r="C288" s="5"/>
      <c r="D288" s="5" t="s">
        <v>3411</v>
      </c>
      <c r="E288" s="1357">
        <f>S165</f>
        <v>0</v>
      </c>
      <c r="F288" s="5"/>
      <c r="G288" s="5"/>
      <c r="H288" s="5"/>
      <c r="I288" s="5"/>
      <c r="J288" s="5"/>
      <c r="L288" s="277"/>
      <c r="M288" s="5"/>
      <c r="R288" s="5"/>
      <c r="S288" s="5"/>
      <c r="T288" s="1120"/>
      <c r="U288" s="5"/>
      <c r="V288" s="5"/>
      <c r="W288" s="5"/>
      <c r="X288" s="1120"/>
      <c r="Y288" s="1120"/>
      <c r="Z288" s="5"/>
      <c r="AA288" s="5"/>
      <c r="AB288" s="1135"/>
      <c r="AC288" s="5"/>
      <c r="AD288" s="5"/>
      <c r="AE288" s="5"/>
      <c r="AF288" s="1120"/>
      <c r="AG288" s="1148"/>
      <c r="AH288" s="1120"/>
      <c r="AI288" s="1120"/>
      <c r="AJ288" s="1120"/>
    </row>
    <row r="289" spans="2:36" ht="30" customHeight="1" x14ac:dyDescent="0.25">
      <c r="B289" s="5"/>
      <c r="C289" s="5"/>
      <c r="D289" s="5" t="s">
        <v>4847</v>
      </c>
      <c r="E289" s="585">
        <f>AL165</f>
        <v>0</v>
      </c>
      <c r="F289" s="5"/>
      <c r="G289" s="5"/>
      <c r="H289" s="5"/>
      <c r="I289" s="5"/>
      <c r="J289" s="5"/>
      <c r="L289" s="277"/>
      <c r="M289" s="5"/>
      <c r="R289" s="5"/>
      <c r="S289" s="5"/>
      <c r="T289" s="1120"/>
      <c r="U289" s="5"/>
      <c r="V289" s="5"/>
      <c r="W289" s="5"/>
      <c r="X289" s="1120"/>
      <c r="Y289" s="1120"/>
      <c r="Z289" s="5"/>
      <c r="AA289" s="5"/>
      <c r="AB289" s="1135"/>
      <c r="AC289" s="5"/>
      <c r="AD289" s="5"/>
      <c r="AE289" s="5"/>
      <c r="AF289" s="1120"/>
      <c r="AG289" s="1148"/>
      <c r="AH289" s="1120"/>
      <c r="AI289" s="1120"/>
      <c r="AJ289" s="1120"/>
    </row>
    <row r="290" spans="2:36" ht="30" customHeight="1" x14ac:dyDescent="0.25">
      <c r="B290" s="5"/>
      <c r="C290" s="5"/>
      <c r="D290" s="5" t="s">
        <v>5298</v>
      </c>
      <c r="E290" s="585">
        <f>AN165</f>
        <v>0</v>
      </c>
      <c r="F290" s="5"/>
      <c r="G290" s="5"/>
      <c r="H290" s="5"/>
      <c r="I290" s="5"/>
      <c r="J290" s="5"/>
      <c r="L290" s="277"/>
      <c r="M290" s="5"/>
      <c r="R290" s="5"/>
      <c r="S290" s="5"/>
      <c r="T290" s="1120"/>
      <c r="U290" s="5"/>
      <c r="V290" s="5"/>
      <c r="W290" s="5"/>
      <c r="X290" s="1120"/>
      <c r="Y290" s="1120"/>
      <c r="Z290" s="5"/>
      <c r="AA290" s="5"/>
      <c r="AB290" s="1135"/>
      <c r="AC290" s="5"/>
      <c r="AD290" s="5"/>
      <c r="AE290" s="5"/>
      <c r="AF290" s="1120"/>
      <c r="AG290" s="1148"/>
      <c r="AH290" s="1120"/>
      <c r="AI290" s="1120"/>
      <c r="AJ290" s="1120"/>
    </row>
    <row r="291" spans="2:36" ht="30" customHeight="1" x14ac:dyDescent="0.25">
      <c r="B291" s="5"/>
      <c r="C291" s="5"/>
      <c r="D291" s="5"/>
      <c r="E291" s="5"/>
      <c r="F291" s="5"/>
      <c r="G291" s="5"/>
      <c r="H291" s="5"/>
      <c r="I291" s="5"/>
      <c r="J291" s="5"/>
      <c r="L291" s="277"/>
      <c r="M291" s="5"/>
      <c r="R291" s="5"/>
      <c r="S291" s="5"/>
      <c r="T291" s="1120"/>
      <c r="U291" s="5"/>
      <c r="V291" s="5"/>
      <c r="W291" s="5"/>
      <c r="X291" s="1120"/>
      <c r="Y291" s="1120"/>
      <c r="Z291" s="5"/>
      <c r="AA291" s="5"/>
      <c r="AB291" s="1135"/>
      <c r="AC291" s="5"/>
      <c r="AD291" s="5"/>
      <c r="AE291" s="5"/>
      <c r="AF291" s="1120"/>
      <c r="AG291" s="1148"/>
      <c r="AH291" s="1120"/>
      <c r="AI291" s="1120"/>
      <c r="AJ291" s="1120"/>
    </row>
    <row r="292" spans="2:36" ht="30" customHeight="1" x14ac:dyDescent="0.25">
      <c r="B292" s="5"/>
      <c r="C292" s="258" t="s">
        <v>7726</v>
      </c>
      <c r="D292" s="5"/>
      <c r="E292" s="5"/>
      <c r="F292" s="5"/>
      <c r="G292" s="5"/>
      <c r="H292" s="5"/>
      <c r="I292" s="5"/>
      <c r="J292" s="5"/>
      <c r="L292" s="277"/>
      <c r="M292" s="5"/>
      <c r="R292" s="5"/>
      <c r="S292" s="5"/>
      <c r="T292" s="1120"/>
      <c r="U292" s="5"/>
      <c r="V292" s="5"/>
      <c r="W292" s="5"/>
      <c r="X292" s="1120"/>
      <c r="Y292" s="1120"/>
      <c r="Z292" s="5"/>
      <c r="AA292" s="5"/>
      <c r="AB292" s="1135"/>
      <c r="AC292" s="5"/>
      <c r="AD292" s="5"/>
      <c r="AE292" s="5"/>
      <c r="AF292" s="1120"/>
      <c r="AG292" s="1148"/>
      <c r="AH292" s="1120"/>
      <c r="AI292" s="1120"/>
      <c r="AJ292" s="1120"/>
    </row>
    <row r="293" spans="2:36" ht="30" customHeight="1" x14ac:dyDescent="0.25">
      <c r="B293" s="5"/>
      <c r="C293" s="5"/>
      <c r="D293" s="5" t="s">
        <v>2741</v>
      </c>
      <c r="E293" s="585">
        <f>Y158+Y159+Y160+Y161+Y162+Y163+Y164+Y165+Y166+Y167+Y168+Y169+Y170+Y171+Y172+Y174+Y175+Y177</f>
        <v>1794.7048068172837</v>
      </c>
      <c r="F293" s="5"/>
      <c r="G293" s="5"/>
      <c r="H293" s="5"/>
      <c r="I293" s="5"/>
      <c r="J293" s="5"/>
      <c r="L293" s="277"/>
      <c r="M293" s="5"/>
      <c r="R293" s="5"/>
      <c r="S293" s="5"/>
      <c r="T293" s="1120"/>
      <c r="U293" s="5"/>
      <c r="V293" s="5"/>
      <c r="W293" s="5"/>
      <c r="X293" s="1120"/>
      <c r="Y293" s="1120"/>
      <c r="Z293" s="5"/>
      <c r="AA293" s="5"/>
      <c r="AB293" s="1135"/>
      <c r="AC293" s="5"/>
      <c r="AD293" s="5"/>
      <c r="AE293" s="5"/>
      <c r="AF293" s="1120"/>
      <c r="AG293" s="1148"/>
      <c r="AH293" s="1120"/>
      <c r="AI293" s="1120"/>
      <c r="AJ293" s="1120"/>
    </row>
    <row r="294" spans="2:36" ht="30" customHeight="1" x14ac:dyDescent="0.25">
      <c r="B294" s="5"/>
      <c r="C294" s="5"/>
      <c r="D294" s="5"/>
      <c r="E294" s="5"/>
      <c r="F294" s="5"/>
      <c r="G294" s="5"/>
      <c r="H294" s="5"/>
      <c r="I294" s="5"/>
      <c r="J294" s="5"/>
      <c r="L294" s="277"/>
      <c r="M294" s="5"/>
      <c r="R294" s="5"/>
      <c r="S294" s="5"/>
      <c r="T294" s="1120"/>
      <c r="U294" s="5"/>
      <c r="V294" s="5"/>
      <c r="W294" s="5"/>
      <c r="X294" s="1120"/>
      <c r="Y294" s="1120"/>
      <c r="Z294" s="5"/>
      <c r="AA294" s="5"/>
      <c r="AB294" s="1135"/>
      <c r="AC294" s="5"/>
      <c r="AD294" s="5"/>
      <c r="AE294" s="5"/>
      <c r="AF294" s="1120"/>
      <c r="AG294" s="1148"/>
      <c r="AH294" s="1120"/>
      <c r="AI294" s="1120"/>
      <c r="AJ294" s="1120"/>
    </row>
    <row r="295" spans="2:36" ht="30" customHeight="1" x14ac:dyDescent="0.25">
      <c r="B295" s="5"/>
      <c r="C295" s="258" t="s">
        <v>7727</v>
      </c>
      <c r="D295" s="5"/>
      <c r="E295" s="5"/>
      <c r="F295" s="5"/>
      <c r="G295" s="5"/>
      <c r="H295" s="5"/>
      <c r="I295" s="5"/>
      <c r="J295" s="5"/>
      <c r="L295" s="277"/>
      <c r="M295" s="5"/>
      <c r="R295" s="5"/>
      <c r="S295" s="5"/>
      <c r="T295" s="1120"/>
      <c r="U295" s="5"/>
      <c r="V295" s="5"/>
      <c r="W295" s="5"/>
      <c r="X295" s="1120"/>
      <c r="Y295" s="1120"/>
      <c r="Z295" s="5"/>
      <c r="AA295" s="5"/>
      <c r="AB295" s="1135"/>
      <c r="AC295" s="5"/>
      <c r="AD295" s="5"/>
      <c r="AE295" s="5"/>
      <c r="AF295" s="1120"/>
      <c r="AG295" s="1148"/>
      <c r="AH295" s="1120"/>
      <c r="AI295" s="1120"/>
      <c r="AJ295" s="1120"/>
    </row>
    <row r="296" spans="2:36" ht="30" customHeight="1" x14ac:dyDescent="0.25">
      <c r="B296" s="5"/>
      <c r="C296" s="258" t="s">
        <v>7728</v>
      </c>
      <c r="D296" s="5"/>
      <c r="E296" s="5"/>
      <c r="F296" s="5"/>
      <c r="G296" s="5"/>
      <c r="H296" s="5"/>
      <c r="I296" s="5"/>
      <c r="J296" s="5"/>
      <c r="L296" s="277"/>
      <c r="M296" s="5"/>
      <c r="R296" s="5"/>
      <c r="S296" s="5"/>
      <c r="T296" s="1120"/>
      <c r="U296" s="5"/>
      <c r="V296" s="5"/>
      <c r="W296" s="5"/>
      <c r="X296" s="1120"/>
      <c r="Y296" s="1120"/>
      <c r="Z296" s="5"/>
      <c r="AA296" s="5"/>
      <c r="AB296" s="1135"/>
      <c r="AC296" s="5"/>
      <c r="AD296" s="5"/>
      <c r="AE296" s="5"/>
      <c r="AF296" s="1120"/>
      <c r="AG296" s="1148"/>
      <c r="AH296" s="1120"/>
      <c r="AI296" s="1120"/>
      <c r="AJ296" s="1120"/>
    </row>
    <row r="297" spans="2:36" ht="30" customHeight="1" x14ac:dyDescent="0.25">
      <c r="B297" s="5"/>
      <c r="C297" s="5" t="s">
        <v>2598</v>
      </c>
      <c r="D297" s="5"/>
      <c r="E297" s="5"/>
      <c r="F297" s="5"/>
      <c r="G297" s="5"/>
      <c r="H297" s="5"/>
      <c r="I297" s="5"/>
      <c r="J297" s="5"/>
      <c r="L297" s="277"/>
      <c r="M297" s="5"/>
      <c r="R297" s="5"/>
      <c r="S297" s="5"/>
      <c r="T297" s="1120"/>
      <c r="U297" s="5"/>
      <c r="V297" s="5"/>
      <c r="W297" s="5"/>
      <c r="X297" s="1120"/>
      <c r="Y297" s="1120"/>
      <c r="Z297" s="5"/>
      <c r="AA297" s="5"/>
      <c r="AB297" s="1135"/>
      <c r="AC297" s="5"/>
      <c r="AD297" s="5"/>
      <c r="AE297" s="5"/>
      <c r="AF297" s="1120"/>
      <c r="AG297" s="1148"/>
      <c r="AH297" s="1120"/>
      <c r="AI297" s="1120"/>
      <c r="AJ297" s="1120"/>
    </row>
    <row r="298" spans="2:36" ht="30" customHeight="1" x14ac:dyDescent="0.25">
      <c r="B298" s="5"/>
      <c r="C298" s="5"/>
      <c r="D298" s="5" t="s">
        <v>3075</v>
      </c>
      <c r="E298" s="585">
        <v>0</v>
      </c>
      <c r="F298" s="5"/>
      <c r="G298" s="5"/>
      <c r="H298" s="5"/>
      <c r="I298" s="5"/>
      <c r="J298" s="5"/>
      <c r="L298" s="277"/>
      <c r="M298" s="5"/>
      <c r="R298" s="5"/>
      <c r="S298" s="5"/>
      <c r="T298" s="1120"/>
      <c r="U298" s="5"/>
      <c r="V298" s="5"/>
      <c r="W298" s="5"/>
      <c r="X298" s="1120"/>
      <c r="Y298" s="1120"/>
      <c r="Z298" s="5"/>
      <c r="AA298" s="5"/>
      <c r="AB298" s="1135"/>
      <c r="AC298" s="5"/>
      <c r="AD298" s="5"/>
      <c r="AE298" s="5"/>
      <c r="AF298" s="1120"/>
      <c r="AG298" s="1148"/>
      <c r="AH298" s="1120"/>
      <c r="AI298" s="1120"/>
      <c r="AJ298" s="1120"/>
    </row>
    <row r="299" spans="2:36" ht="30" customHeight="1" x14ac:dyDescent="0.25">
      <c r="B299" s="5"/>
      <c r="C299" s="5"/>
      <c r="D299" s="5" t="s">
        <v>4519</v>
      </c>
      <c r="E299" s="585">
        <v>0</v>
      </c>
      <c r="F299" s="5"/>
      <c r="G299" s="5"/>
      <c r="H299" s="5"/>
      <c r="I299" s="5"/>
      <c r="J299" s="5"/>
      <c r="L299" s="277"/>
      <c r="M299" s="5"/>
      <c r="R299" s="5"/>
      <c r="S299" s="5"/>
      <c r="T299" s="1120"/>
      <c r="U299" s="5"/>
      <c r="V299" s="5"/>
      <c r="W299" s="5"/>
      <c r="X299" s="1120"/>
      <c r="Y299" s="1120"/>
      <c r="Z299" s="5"/>
      <c r="AA299" s="5"/>
      <c r="AB299" s="1135"/>
      <c r="AC299" s="5"/>
      <c r="AD299" s="5"/>
      <c r="AE299" s="5"/>
      <c r="AF299" s="1120"/>
      <c r="AG299" s="1148"/>
      <c r="AH299" s="1120"/>
      <c r="AI299" s="1120"/>
      <c r="AJ299" s="1120"/>
    </row>
    <row r="300" spans="2:36" ht="30" customHeight="1" x14ac:dyDescent="0.25">
      <c r="B300" s="5"/>
      <c r="C300" s="5"/>
      <c r="D300" s="5" t="s">
        <v>5470</v>
      </c>
      <c r="E300" s="585">
        <v>0</v>
      </c>
      <c r="F300" s="5"/>
      <c r="G300" s="5"/>
      <c r="H300" s="5"/>
      <c r="I300" s="5"/>
      <c r="J300" s="5"/>
      <c r="L300" s="277"/>
      <c r="M300" s="5"/>
      <c r="R300" s="5"/>
      <c r="S300" s="5"/>
      <c r="T300" s="1120"/>
      <c r="U300" s="5"/>
      <c r="V300" s="5"/>
      <c r="W300" s="5"/>
      <c r="X300" s="1120"/>
      <c r="Y300" s="1120"/>
      <c r="Z300" s="5"/>
      <c r="AA300" s="5"/>
      <c r="AB300" s="1135"/>
      <c r="AC300" s="5"/>
      <c r="AD300" s="5"/>
      <c r="AE300" s="5"/>
      <c r="AF300" s="1120"/>
      <c r="AG300" s="1148"/>
      <c r="AH300" s="1120"/>
      <c r="AI300" s="1120"/>
      <c r="AJ300" s="1120"/>
    </row>
    <row r="301" spans="2:36" ht="30" customHeight="1" x14ac:dyDescent="0.25">
      <c r="B301" s="5"/>
      <c r="C301" s="5"/>
      <c r="D301" s="5" t="s">
        <v>2741</v>
      </c>
      <c r="E301" s="585">
        <v>0</v>
      </c>
      <c r="F301" s="5"/>
      <c r="G301" s="5"/>
      <c r="H301" s="5"/>
      <c r="I301" s="5"/>
      <c r="J301" s="5"/>
      <c r="L301" s="277"/>
      <c r="M301" s="5"/>
      <c r="R301" s="5"/>
      <c r="S301" s="5"/>
      <c r="T301" s="1120"/>
      <c r="U301" s="5"/>
      <c r="V301" s="5"/>
      <c r="W301" s="5"/>
      <c r="X301" s="1120"/>
      <c r="Y301" s="1120"/>
      <c r="Z301" s="5"/>
      <c r="AA301" s="5"/>
      <c r="AB301" s="1135"/>
      <c r="AC301" s="5"/>
      <c r="AD301" s="5"/>
      <c r="AE301" s="5"/>
      <c r="AF301" s="1120"/>
      <c r="AG301" s="1148"/>
      <c r="AH301" s="1120"/>
      <c r="AI301" s="1120"/>
      <c r="AJ301" s="1120"/>
    </row>
    <row r="302" spans="2:36" ht="30" customHeight="1" x14ac:dyDescent="0.25">
      <c r="B302" s="5"/>
      <c r="C302" s="5" t="s">
        <v>2595</v>
      </c>
      <c r="D302" s="5"/>
      <c r="E302" s="5"/>
      <c r="F302" s="5"/>
      <c r="G302" s="5"/>
      <c r="H302" s="5"/>
      <c r="I302" s="5"/>
      <c r="J302" s="5"/>
      <c r="L302" s="277"/>
      <c r="M302" s="5"/>
      <c r="R302" s="5"/>
      <c r="S302" s="5"/>
      <c r="T302" s="1120"/>
      <c r="U302" s="5"/>
      <c r="V302" s="5"/>
      <c r="W302" s="5"/>
      <c r="X302" s="1120"/>
      <c r="Y302" s="1120"/>
      <c r="Z302" s="5"/>
      <c r="AA302" s="5"/>
      <c r="AB302" s="1135"/>
      <c r="AC302" s="5"/>
      <c r="AD302" s="5"/>
      <c r="AE302" s="5"/>
      <c r="AF302" s="1120"/>
      <c r="AG302" s="1148"/>
      <c r="AH302" s="1120"/>
      <c r="AI302" s="1120"/>
      <c r="AJ302" s="1120"/>
    </row>
    <row r="303" spans="2:36" ht="30" customHeight="1" x14ac:dyDescent="0.25">
      <c r="B303" s="5"/>
      <c r="C303" s="5"/>
      <c r="D303" s="5" t="s">
        <v>3075</v>
      </c>
      <c r="E303" s="585">
        <f>N171</f>
        <v>1356.107860540739</v>
      </c>
      <c r="F303" s="5"/>
      <c r="G303" s="5"/>
      <c r="H303" s="5"/>
      <c r="I303" s="5"/>
      <c r="J303" s="5"/>
      <c r="L303" s="277"/>
      <c r="M303" s="5"/>
      <c r="R303" s="5"/>
      <c r="S303" s="5"/>
      <c r="T303" s="1120"/>
      <c r="U303" s="5"/>
      <c r="V303" s="5"/>
      <c r="W303" s="5"/>
      <c r="X303" s="1120"/>
      <c r="Y303" s="1120"/>
      <c r="Z303" s="5"/>
      <c r="AA303" s="5"/>
      <c r="AB303" s="1135"/>
      <c r="AC303" s="5"/>
      <c r="AD303" s="5"/>
      <c r="AE303" s="5"/>
      <c r="AF303" s="1120"/>
      <c r="AG303" s="1148"/>
      <c r="AH303" s="1120"/>
      <c r="AI303" s="1120"/>
      <c r="AJ303" s="1120"/>
    </row>
    <row r="304" spans="2:36" ht="30" customHeight="1" x14ac:dyDescent="0.25">
      <c r="B304" s="5"/>
      <c r="C304" s="5"/>
      <c r="D304" s="5" t="s">
        <v>4519</v>
      </c>
      <c r="E304" s="585">
        <f>AK171</f>
        <v>452.03595351357967</v>
      </c>
      <c r="F304" s="5"/>
      <c r="G304" s="5"/>
      <c r="H304" s="5"/>
      <c r="I304" s="5"/>
      <c r="J304" s="5"/>
      <c r="L304" s="277"/>
      <c r="M304" s="5"/>
      <c r="R304" s="5"/>
      <c r="S304" s="5"/>
      <c r="T304" s="1120"/>
      <c r="U304" s="5"/>
      <c r="V304" s="5"/>
      <c r="W304" s="5"/>
      <c r="X304" s="1120"/>
      <c r="Y304" s="1120"/>
      <c r="Z304" s="5"/>
      <c r="AA304" s="5"/>
      <c r="AB304" s="1135"/>
      <c r="AC304" s="5"/>
      <c r="AD304" s="5"/>
      <c r="AE304" s="5"/>
      <c r="AF304" s="1120"/>
      <c r="AG304" s="1148"/>
      <c r="AH304" s="1120"/>
      <c r="AI304" s="1120"/>
      <c r="AJ304" s="1120"/>
    </row>
    <row r="305" spans="2:36" ht="30" customHeight="1" x14ac:dyDescent="0.25">
      <c r="B305" s="5"/>
      <c r="C305" s="5"/>
      <c r="D305" s="5" t="s">
        <v>5470</v>
      </c>
      <c r="E305" s="585">
        <f>AM171</f>
        <v>1356.107860540739</v>
      </c>
      <c r="F305" s="5"/>
      <c r="G305" s="5"/>
      <c r="H305" s="5"/>
      <c r="I305" s="5"/>
      <c r="J305" s="5"/>
      <c r="L305" s="277"/>
      <c r="M305" s="5"/>
      <c r="R305" s="5"/>
      <c r="S305" s="5"/>
      <c r="T305" s="1120"/>
      <c r="U305" s="5"/>
      <c r="V305" s="5"/>
      <c r="W305" s="5"/>
      <c r="X305" s="1120"/>
      <c r="Y305" s="1120"/>
      <c r="Z305" s="5"/>
      <c r="AA305" s="5"/>
      <c r="AB305" s="1135"/>
      <c r="AC305" s="5"/>
      <c r="AD305" s="5"/>
      <c r="AE305" s="5"/>
      <c r="AF305" s="1120"/>
      <c r="AG305" s="1148"/>
      <c r="AH305" s="1120"/>
      <c r="AI305" s="1120"/>
      <c r="AJ305" s="1120"/>
    </row>
    <row r="306" spans="2:36" ht="30" customHeight="1" x14ac:dyDescent="0.25">
      <c r="B306" s="5"/>
      <c r="C306" s="5"/>
      <c r="D306" s="5" t="s">
        <v>3411</v>
      </c>
      <c r="E306" s="585">
        <f>S171</f>
        <v>244.09941489733302</v>
      </c>
      <c r="F306" s="5"/>
      <c r="G306" s="5"/>
      <c r="H306" s="5"/>
      <c r="I306" s="5"/>
      <c r="J306" s="5"/>
      <c r="L306" s="277"/>
      <c r="M306" s="5"/>
      <c r="R306" s="5"/>
      <c r="S306" s="5"/>
      <c r="T306" s="1120"/>
      <c r="U306" s="5"/>
      <c r="V306" s="5"/>
      <c r="W306" s="5"/>
      <c r="X306" s="1120"/>
      <c r="Y306" s="1120"/>
      <c r="Z306" s="5"/>
      <c r="AA306" s="5"/>
      <c r="AB306" s="1135"/>
      <c r="AC306" s="5"/>
      <c r="AD306" s="5"/>
      <c r="AE306" s="5"/>
      <c r="AF306" s="1120"/>
      <c r="AG306" s="1148"/>
      <c r="AH306" s="1120"/>
      <c r="AI306" s="1120"/>
      <c r="AJ306" s="1120"/>
    </row>
    <row r="307" spans="2:36" ht="30" customHeight="1" x14ac:dyDescent="0.25">
      <c r="B307" s="5"/>
      <c r="C307" s="5"/>
      <c r="D307" s="5" t="s">
        <v>4847</v>
      </c>
      <c r="E307" s="585">
        <f>AL171</f>
        <v>81.366471632444345</v>
      </c>
      <c r="F307" s="5"/>
      <c r="G307" s="5"/>
      <c r="H307" s="5"/>
      <c r="I307" s="5"/>
      <c r="J307" s="5"/>
      <c r="L307" s="277"/>
      <c r="M307" s="5"/>
      <c r="R307" s="5"/>
      <c r="S307" s="5"/>
      <c r="T307" s="1120"/>
      <c r="U307" s="5"/>
      <c r="V307" s="5"/>
      <c r="W307" s="5"/>
      <c r="X307" s="1120"/>
      <c r="Y307" s="1120"/>
      <c r="Z307" s="5"/>
      <c r="AA307" s="5"/>
      <c r="AB307" s="1135"/>
      <c r="AC307" s="5"/>
      <c r="AD307" s="5"/>
      <c r="AE307" s="5"/>
      <c r="AF307" s="1120"/>
      <c r="AG307" s="1148"/>
      <c r="AH307" s="1120"/>
      <c r="AI307" s="1120"/>
      <c r="AJ307" s="1120"/>
    </row>
    <row r="308" spans="2:36" ht="30" customHeight="1" x14ac:dyDescent="0.25">
      <c r="B308" s="5"/>
      <c r="C308" s="5"/>
      <c r="D308" s="5" t="s">
        <v>5298</v>
      </c>
      <c r="E308" s="585">
        <f>AN171</f>
        <v>244.09941489733302</v>
      </c>
      <c r="F308" s="5"/>
      <c r="G308" s="5"/>
      <c r="H308" s="5"/>
      <c r="I308" s="5"/>
      <c r="J308" s="5"/>
      <c r="L308" s="277"/>
      <c r="M308" s="5"/>
      <c r="R308" s="5"/>
      <c r="S308" s="5"/>
      <c r="T308" s="1120"/>
      <c r="U308" s="5"/>
      <c r="V308" s="5"/>
      <c r="W308" s="5"/>
      <c r="X308" s="1120"/>
      <c r="Y308" s="1120"/>
      <c r="Z308" s="5"/>
      <c r="AA308" s="5"/>
      <c r="AB308" s="1135"/>
      <c r="AC308" s="5"/>
      <c r="AD308" s="5"/>
      <c r="AE308" s="5"/>
      <c r="AF308" s="1120"/>
      <c r="AG308" s="1148"/>
      <c r="AH308" s="1120"/>
      <c r="AI308" s="1120"/>
      <c r="AJ308" s="1120"/>
    </row>
    <row r="309" spans="2:36" ht="30" customHeight="1" x14ac:dyDescent="0.25">
      <c r="B309" s="5"/>
      <c r="C309" s="5"/>
      <c r="D309" s="5" t="s">
        <v>2741</v>
      </c>
      <c r="E309" s="585">
        <f>Y171</f>
        <v>127.93999999999998</v>
      </c>
      <c r="F309" s="5"/>
      <c r="G309" s="5"/>
      <c r="H309" s="5"/>
      <c r="I309" s="5"/>
      <c r="J309" s="5"/>
      <c r="L309" s="277"/>
      <c r="M309" s="5"/>
      <c r="R309" s="5"/>
      <c r="S309" s="5"/>
      <c r="T309" s="1120"/>
      <c r="U309" s="5"/>
      <c r="V309" s="5"/>
      <c r="W309" s="5"/>
      <c r="X309" s="1120"/>
      <c r="Y309" s="1120"/>
      <c r="Z309" s="5"/>
      <c r="AA309" s="5"/>
      <c r="AB309" s="1135"/>
      <c r="AC309" s="5"/>
      <c r="AD309" s="5"/>
      <c r="AE309" s="5"/>
      <c r="AF309" s="1120"/>
      <c r="AG309" s="1148"/>
      <c r="AH309" s="1120"/>
      <c r="AI309" s="1120"/>
      <c r="AJ309" s="1120"/>
    </row>
    <row r="310" spans="2:36" ht="30" customHeight="1" x14ac:dyDescent="0.25">
      <c r="B310" s="5"/>
      <c r="C310" s="5"/>
      <c r="D310" s="5" t="s">
        <v>7731</v>
      </c>
      <c r="E310" s="585">
        <f>AB171</f>
        <v>0</v>
      </c>
      <c r="F310" s="5"/>
      <c r="G310" s="5"/>
      <c r="H310" s="5"/>
      <c r="I310" s="5"/>
      <c r="J310" s="5"/>
      <c r="L310" s="277"/>
      <c r="M310" s="5"/>
      <c r="R310" s="5"/>
      <c r="S310" s="5"/>
      <c r="T310" s="1120"/>
      <c r="U310" s="5"/>
      <c r="V310" s="5"/>
      <c r="W310" s="5"/>
      <c r="X310" s="1120"/>
      <c r="Y310" s="1120"/>
      <c r="Z310" s="5"/>
      <c r="AA310" s="5"/>
      <c r="AB310" s="1135"/>
      <c r="AC310" s="5"/>
      <c r="AD310" s="5"/>
      <c r="AE310" s="5"/>
      <c r="AF310" s="1120"/>
      <c r="AG310" s="1148"/>
      <c r="AH310" s="1120"/>
      <c r="AI310" s="1120"/>
      <c r="AJ310" s="1120"/>
    </row>
    <row r="311" spans="2:36" ht="30" customHeight="1" x14ac:dyDescent="0.25">
      <c r="B311" s="5"/>
      <c r="C311" s="5"/>
      <c r="D311" s="5" t="s">
        <v>2760</v>
      </c>
      <c r="E311" s="585">
        <f>AC171</f>
        <v>0</v>
      </c>
      <c r="F311" s="5"/>
      <c r="G311" s="5"/>
      <c r="H311" s="5"/>
      <c r="I311" s="5"/>
      <c r="J311" s="5"/>
      <c r="L311" s="277"/>
      <c r="M311" s="5"/>
      <c r="R311" s="5"/>
      <c r="S311" s="5"/>
      <c r="T311" s="1120"/>
      <c r="U311" s="5"/>
      <c r="V311" s="5"/>
      <c r="W311" s="5"/>
      <c r="X311" s="1120"/>
      <c r="Y311" s="1120"/>
      <c r="Z311" s="5"/>
      <c r="AA311" s="5"/>
      <c r="AB311" s="1135"/>
      <c r="AC311" s="5"/>
      <c r="AD311" s="5"/>
      <c r="AE311" s="5"/>
      <c r="AF311" s="1120"/>
      <c r="AG311" s="1148"/>
      <c r="AH311" s="1120"/>
      <c r="AI311" s="1120"/>
      <c r="AJ311" s="1120"/>
    </row>
    <row r="312" spans="2:36" ht="30" customHeight="1" x14ac:dyDescent="0.25">
      <c r="B312" s="5"/>
      <c r="C312" s="5" t="s">
        <v>2594</v>
      </c>
      <c r="D312" s="5"/>
      <c r="E312" s="5"/>
      <c r="F312" s="5"/>
      <c r="G312" s="5"/>
      <c r="H312" s="5"/>
      <c r="I312" s="5"/>
      <c r="J312" s="5"/>
      <c r="L312" s="277"/>
      <c r="M312" s="5"/>
      <c r="R312" s="5"/>
      <c r="S312" s="5"/>
      <c r="T312" s="1120"/>
      <c r="U312" s="5"/>
      <c r="V312" s="5"/>
      <c r="W312" s="5"/>
      <c r="X312" s="1120"/>
      <c r="Y312" s="1120"/>
      <c r="Z312" s="5"/>
      <c r="AA312" s="5"/>
      <c r="AB312" s="1135"/>
      <c r="AC312" s="5"/>
      <c r="AD312" s="5"/>
      <c r="AE312" s="5"/>
      <c r="AF312" s="1120"/>
      <c r="AG312" s="1148"/>
      <c r="AH312" s="1120"/>
      <c r="AI312" s="1120"/>
      <c r="AJ312" s="1120"/>
    </row>
    <row r="313" spans="2:36" ht="30" customHeight="1" x14ac:dyDescent="0.25">
      <c r="B313" s="5"/>
      <c r="C313" s="5"/>
      <c r="D313" s="5" t="s">
        <v>3075</v>
      </c>
      <c r="E313" s="585">
        <f>N176</f>
        <v>2225.4177711437774</v>
      </c>
      <c r="F313" s="5"/>
      <c r="G313" s="5"/>
      <c r="H313" s="5"/>
      <c r="I313" s="5"/>
      <c r="J313" s="5"/>
      <c r="L313" s="277"/>
      <c r="M313" s="5"/>
      <c r="R313" s="5"/>
      <c r="S313" s="5"/>
      <c r="T313" s="1120"/>
      <c r="U313" s="5"/>
      <c r="V313" s="5"/>
      <c r="W313" s="5"/>
      <c r="X313" s="1120"/>
      <c r="Y313" s="1120"/>
      <c r="Z313" s="5"/>
      <c r="AA313" s="5"/>
      <c r="AB313" s="1135"/>
      <c r="AC313" s="5"/>
      <c r="AD313" s="5"/>
      <c r="AE313" s="5"/>
      <c r="AF313" s="1120"/>
      <c r="AG313" s="1148"/>
      <c r="AH313" s="1120"/>
      <c r="AI313" s="1120"/>
      <c r="AJ313" s="1120"/>
    </row>
    <row r="314" spans="2:36" ht="30" customHeight="1" x14ac:dyDescent="0.25">
      <c r="B314" s="5"/>
      <c r="C314" s="5"/>
      <c r="D314" s="5" t="s">
        <v>4519</v>
      </c>
      <c r="E314" s="585">
        <f>AK176</f>
        <v>741.8059237145925</v>
      </c>
      <c r="F314" s="5"/>
      <c r="G314" s="5"/>
      <c r="H314" s="5"/>
      <c r="I314" s="5"/>
      <c r="J314" s="5"/>
      <c r="L314" s="277"/>
      <c r="M314" s="5"/>
      <c r="R314" s="5"/>
      <c r="S314" s="5"/>
      <c r="T314" s="1120"/>
      <c r="U314" s="5"/>
      <c r="V314" s="5"/>
      <c r="W314" s="5"/>
      <c r="X314" s="1120"/>
      <c r="Y314" s="1120"/>
      <c r="Z314" s="5"/>
      <c r="AA314" s="5"/>
      <c r="AB314" s="1135"/>
      <c r="AC314" s="5"/>
      <c r="AD314" s="5"/>
      <c r="AE314" s="5"/>
      <c r="AF314" s="1120"/>
      <c r="AG314" s="1148"/>
      <c r="AH314" s="1120"/>
      <c r="AI314" s="1120"/>
      <c r="AJ314" s="1120"/>
    </row>
    <row r="315" spans="2:36" ht="30" customHeight="1" x14ac:dyDescent="0.25">
      <c r="B315" s="5"/>
      <c r="C315" s="5"/>
      <c r="D315" s="5" t="s">
        <v>5470</v>
      </c>
      <c r="E315" s="585">
        <f>AM176</f>
        <v>2225.4177711437774</v>
      </c>
      <c r="F315" s="5"/>
      <c r="G315" s="5"/>
      <c r="H315" s="5"/>
      <c r="I315" s="5"/>
      <c r="J315" s="5"/>
      <c r="L315" s="277"/>
      <c r="M315" s="5"/>
      <c r="R315" s="5"/>
      <c r="S315" s="5"/>
      <c r="T315" s="1120"/>
      <c r="U315" s="5"/>
      <c r="V315" s="5"/>
      <c r="W315" s="5"/>
      <c r="X315" s="1120"/>
      <c r="Y315" s="1120"/>
      <c r="Z315" s="5"/>
      <c r="AA315" s="5"/>
      <c r="AB315" s="1135"/>
      <c r="AC315" s="5"/>
      <c r="AD315" s="5"/>
      <c r="AE315" s="5"/>
      <c r="AF315" s="1120"/>
      <c r="AG315" s="1148"/>
      <c r="AH315" s="1120"/>
      <c r="AI315" s="1120"/>
      <c r="AJ315" s="1120"/>
    </row>
    <row r="316" spans="2:36" ht="30" customHeight="1" x14ac:dyDescent="0.25">
      <c r="B316" s="5"/>
      <c r="C316" s="5" t="s">
        <v>7714</v>
      </c>
      <c r="D316" s="5"/>
      <c r="E316" s="585"/>
      <c r="F316" s="5"/>
      <c r="G316" s="5"/>
      <c r="H316" s="5"/>
      <c r="I316" s="5"/>
      <c r="J316" s="5"/>
      <c r="L316" s="277"/>
      <c r="M316" s="5"/>
      <c r="R316" s="5"/>
      <c r="S316" s="5"/>
      <c r="T316" s="1120"/>
      <c r="U316" s="5"/>
      <c r="V316" s="5"/>
      <c r="W316" s="5"/>
      <c r="X316" s="1120"/>
      <c r="Y316" s="1120"/>
      <c r="Z316" s="5"/>
      <c r="AA316" s="5"/>
      <c r="AB316" s="1135"/>
      <c r="AC316" s="5"/>
      <c r="AD316" s="5"/>
      <c r="AE316" s="5"/>
      <c r="AF316" s="1120"/>
      <c r="AG316" s="1148"/>
      <c r="AH316" s="1120"/>
      <c r="AI316" s="1120"/>
      <c r="AJ316" s="1120"/>
    </row>
    <row r="317" spans="2:36" ht="30" customHeight="1" x14ac:dyDescent="0.25">
      <c r="B317" s="5"/>
      <c r="C317" s="5"/>
      <c r="D317" s="5" t="s">
        <v>3075</v>
      </c>
      <c r="E317" s="585">
        <f>N196</f>
        <v>5175.1115474685648</v>
      </c>
      <c r="F317" s="5"/>
      <c r="G317" s="5"/>
      <c r="H317" s="5"/>
      <c r="I317" s="5"/>
      <c r="J317" s="5"/>
      <c r="L317" s="277"/>
      <c r="M317" s="5"/>
      <c r="R317" s="5"/>
      <c r="S317" s="5"/>
      <c r="T317" s="1120"/>
      <c r="U317" s="5"/>
      <c r="V317" s="5"/>
      <c r="W317" s="5"/>
      <c r="X317" s="1120"/>
      <c r="Y317" s="1120"/>
      <c r="Z317" s="5"/>
      <c r="AA317" s="5"/>
      <c r="AB317" s="1135"/>
      <c r="AC317" s="5"/>
      <c r="AD317" s="5"/>
      <c r="AE317" s="5"/>
      <c r="AF317" s="1120"/>
      <c r="AG317" s="1148"/>
      <c r="AH317" s="1120"/>
      <c r="AI317" s="1120"/>
      <c r="AJ317" s="1120"/>
    </row>
    <row r="318" spans="2:36" ht="30" customHeight="1" x14ac:dyDescent="0.25">
      <c r="B318" s="5"/>
      <c r="C318" s="5"/>
      <c r="D318" s="5" t="s">
        <v>4519</v>
      </c>
      <c r="E318" s="585">
        <f>AK196</f>
        <v>1725.0371824895217</v>
      </c>
      <c r="F318" s="5"/>
      <c r="G318" s="5"/>
      <c r="H318" s="5"/>
      <c r="I318" s="5"/>
      <c r="J318" s="5"/>
      <c r="L318" s="277"/>
      <c r="M318" s="5"/>
      <c r="R318" s="5"/>
      <c r="S318" s="5"/>
      <c r="T318" s="1120"/>
      <c r="U318" s="5"/>
      <c r="V318" s="5"/>
      <c r="W318" s="5"/>
      <c r="X318" s="1120"/>
      <c r="Y318" s="1120"/>
      <c r="Z318" s="5"/>
      <c r="AA318" s="5"/>
      <c r="AB318" s="1135"/>
      <c r="AC318" s="5"/>
      <c r="AD318" s="5"/>
      <c r="AE318" s="5"/>
      <c r="AF318" s="1120"/>
      <c r="AG318" s="1148"/>
      <c r="AH318" s="1120"/>
      <c r="AI318" s="1120"/>
      <c r="AJ318" s="1120"/>
    </row>
    <row r="319" spans="2:36" ht="30" customHeight="1" x14ac:dyDescent="0.25">
      <c r="B319" s="5"/>
      <c r="C319" s="5"/>
      <c r="D319" s="5" t="s">
        <v>5470</v>
      </c>
      <c r="E319" s="585">
        <f>AM196</f>
        <v>5175.1115474685648</v>
      </c>
      <c r="F319" s="5"/>
      <c r="G319" s="5"/>
      <c r="H319" s="5"/>
      <c r="I319" s="5"/>
      <c r="J319" s="5"/>
      <c r="L319" s="277"/>
      <c r="M319" s="5"/>
      <c r="R319" s="5"/>
      <c r="S319" s="5"/>
      <c r="T319" s="1120"/>
      <c r="U319" s="5"/>
      <c r="V319" s="5"/>
      <c r="W319" s="5"/>
      <c r="X319" s="1120"/>
      <c r="Y319" s="1120"/>
      <c r="Z319" s="5"/>
      <c r="AA319" s="5"/>
      <c r="AB319" s="1135"/>
      <c r="AC319" s="5"/>
      <c r="AD319" s="5"/>
      <c r="AE319" s="5"/>
      <c r="AF319" s="1120"/>
      <c r="AG319" s="1148"/>
      <c r="AH319" s="1120"/>
      <c r="AI319" s="1120"/>
      <c r="AJ319" s="1120"/>
    </row>
    <row r="320" spans="2:36" ht="30" customHeight="1" x14ac:dyDescent="0.25">
      <c r="B320" s="5"/>
      <c r="C320" s="5" t="s">
        <v>7729</v>
      </c>
      <c r="D320" s="5"/>
      <c r="E320" s="5"/>
      <c r="F320" s="5"/>
      <c r="G320" s="5"/>
      <c r="H320" s="5"/>
      <c r="I320" s="5"/>
      <c r="J320" s="5"/>
      <c r="L320" s="277"/>
      <c r="M320" s="5"/>
      <c r="R320" s="5"/>
      <c r="S320" s="5"/>
      <c r="T320" s="1120"/>
      <c r="U320" s="5"/>
      <c r="V320" s="5"/>
      <c r="W320" s="5"/>
      <c r="X320" s="1120"/>
      <c r="Y320" s="1120"/>
      <c r="Z320" s="5"/>
      <c r="AA320" s="5"/>
      <c r="AB320" s="1135"/>
      <c r="AC320" s="5"/>
      <c r="AD320" s="5"/>
      <c r="AE320" s="5"/>
      <c r="AF320" s="1120"/>
      <c r="AG320" s="1148"/>
      <c r="AH320" s="1120"/>
      <c r="AI320" s="1120"/>
      <c r="AJ320" s="1120"/>
    </row>
    <row r="321" spans="2:36" ht="30" customHeight="1" x14ac:dyDescent="0.25">
      <c r="B321" s="5"/>
      <c r="C321" s="5" t="s">
        <v>2598</v>
      </c>
      <c r="D321" s="5"/>
      <c r="E321" s="5"/>
      <c r="F321" s="5"/>
      <c r="G321" s="5"/>
      <c r="H321" s="5"/>
      <c r="I321" s="5"/>
      <c r="J321" s="5"/>
      <c r="L321" s="277"/>
      <c r="M321" s="5"/>
      <c r="R321" s="5"/>
      <c r="S321" s="5"/>
      <c r="T321" s="1120"/>
      <c r="U321" s="5"/>
      <c r="V321" s="5"/>
      <c r="W321" s="5"/>
      <c r="X321" s="1120"/>
      <c r="Y321" s="1120"/>
      <c r="Z321" s="5"/>
      <c r="AA321" s="5"/>
      <c r="AB321" s="1135"/>
      <c r="AC321" s="5"/>
      <c r="AD321" s="5"/>
      <c r="AE321" s="5"/>
      <c r="AF321" s="1120"/>
      <c r="AG321" s="1148"/>
      <c r="AH321" s="1120"/>
      <c r="AI321" s="1120"/>
      <c r="AJ321" s="1120"/>
    </row>
    <row r="322" spans="2:36" ht="30" customHeight="1" x14ac:dyDescent="0.25">
      <c r="B322" s="5"/>
      <c r="C322" s="5"/>
      <c r="D322" s="5" t="s">
        <v>3075</v>
      </c>
      <c r="E322" s="585">
        <f>N180+N181+N182+N184</f>
        <v>6606.7193205830881</v>
      </c>
      <c r="F322" s="5"/>
      <c r="G322" s="5"/>
      <c r="H322" s="5"/>
      <c r="I322" s="5"/>
      <c r="J322" s="5"/>
      <c r="L322" s="277"/>
      <c r="M322" s="5"/>
      <c r="R322" s="5"/>
      <c r="S322" s="5"/>
      <c r="T322" s="1120"/>
      <c r="U322" s="5"/>
      <c r="V322" s="5"/>
      <c r="W322" s="5"/>
      <c r="X322" s="1120"/>
      <c r="Y322" s="1120"/>
      <c r="Z322" s="5"/>
      <c r="AA322" s="5"/>
      <c r="AB322" s="1135"/>
      <c r="AC322" s="5"/>
      <c r="AD322" s="5"/>
      <c r="AE322" s="5"/>
      <c r="AF322" s="1120"/>
      <c r="AG322" s="1148"/>
      <c r="AH322" s="1120"/>
      <c r="AI322" s="1120"/>
      <c r="AJ322" s="1120"/>
    </row>
    <row r="323" spans="2:36" ht="30" customHeight="1" x14ac:dyDescent="0.25">
      <c r="B323" s="5"/>
      <c r="C323" s="5"/>
      <c r="D323" s="5" t="s">
        <v>4519</v>
      </c>
      <c r="E323" s="585">
        <f>AK180+AK181+AK182+AK184</f>
        <v>2202.2397735276959</v>
      </c>
      <c r="F323" s="5"/>
      <c r="G323" s="5"/>
      <c r="H323" s="5"/>
      <c r="I323" s="5"/>
      <c r="J323" s="5"/>
      <c r="L323" s="277"/>
      <c r="M323" s="5"/>
      <c r="R323" s="5"/>
      <c r="S323" s="5"/>
      <c r="T323" s="1120"/>
      <c r="U323" s="5"/>
      <c r="V323" s="5"/>
      <c r="W323" s="5"/>
      <c r="X323" s="1120"/>
      <c r="Y323" s="1120"/>
      <c r="Z323" s="5"/>
      <c r="AA323" s="5"/>
      <c r="AB323" s="1135"/>
      <c r="AC323" s="5"/>
      <c r="AD323" s="5"/>
      <c r="AE323" s="5"/>
      <c r="AF323" s="1120"/>
      <c r="AG323" s="1148"/>
      <c r="AH323" s="1120"/>
      <c r="AI323" s="1120"/>
      <c r="AJ323" s="1120"/>
    </row>
    <row r="324" spans="2:36" ht="30" customHeight="1" x14ac:dyDescent="0.25">
      <c r="B324" s="5"/>
      <c r="C324" s="5"/>
      <c r="D324" s="5" t="s">
        <v>5470</v>
      </c>
      <c r="E324" s="585">
        <f>AM180+AM181+AM182+AM184</f>
        <v>6606.7193205830881</v>
      </c>
      <c r="F324" s="5"/>
      <c r="G324" s="5"/>
      <c r="H324" s="5"/>
      <c r="I324" s="5"/>
      <c r="J324" s="5"/>
      <c r="L324" s="277"/>
      <c r="M324" s="5"/>
      <c r="R324" s="5"/>
      <c r="S324" s="5"/>
      <c r="T324" s="1120"/>
      <c r="U324" s="5"/>
      <c r="V324" s="5"/>
      <c r="W324" s="5"/>
      <c r="X324" s="1120"/>
      <c r="Y324" s="1120"/>
      <c r="Z324" s="5"/>
      <c r="AA324" s="5"/>
      <c r="AB324" s="1135"/>
      <c r="AC324" s="5"/>
      <c r="AD324" s="5"/>
      <c r="AE324" s="5"/>
      <c r="AF324" s="1120"/>
      <c r="AG324" s="1148"/>
      <c r="AH324" s="1120"/>
      <c r="AI324" s="1120"/>
      <c r="AJ324" s="1120"/>
    </row>
    <row r="325" spans="2:36" ht="30" customHeight="1" x14ac:dyDescent="0.25">
      <c r="B325" s="5"/>
      <c r="C325" s="5"/>
      <c r="D325" s="5" t="s">
        <v>7730</v>
      </c>
      <c r="E325" s="585">
        <f>AE180+AE181+AE182+AE184</f>
        <v>1093.83</v>
      </c>
      <c r="F325" s="5"/>
      <c r="G325" s="5"/>
      <c r="H325" s="5"/>
      <c r="I325" s="5"/>
      <c r="J325" s="5"/>
      <c r="L325" s="277"/>
      <c r="M325" s="5"/>
      <c r="R325" s="5"/>
      <c r="S325" s="5"/>
      <c r="T325" s="1120"/>
      <c r="U325" s="5"/>
      <c r="V325" s="5"/>
      <c r="W325" s="5"/>
      <c r="X325" s="1120"/>
      <c r="Y325" s="1120"/>
      <c r="Z325" s="5"/>
      <c r="AA325" s="5"/>
      <c r="AB325" s="1135"/>
      <c r="AC325" s="5"/>
      <c r="AD325" s="5"/>
      <c r="AE325" s="5"/>
      <c r="AF325" s="1120"/>
      <c r="AG325" s="1148"/>
      <c r="AH325" s="1120"/>
      <c r="AI325" s="1120"/>
      <c r="AJ325" s="1120"/>
    </row>
    <row r="326" spans="2:36" ht="30" customHeight="1" x14ac:dyDescent="0.25">
      <c r="B326" s="5"/>
      <c r="C326" s="5"/>
      <c r="D326" s="5" t="s">
        <v>2741</v>
      </c>
      <c r="E326" s="585">
        <f>Y180+Y181+Y182+Y184</f>
        <v>307.04000000000002</v>
      </c>
      <c r="F326" s="5"/>
      <c r="G326" s="5"/>
      <c r="H326" s="5"/>
      <c r="I326" s="5"/>
      <c r="J326" s="5"/>
      <c r="L326" s="277"/>
      <c r="M326" s="5"/>
      <c r="R326" s="5"/>
      <c r="S326" s="5"/>
      <c r="T326" s="1120"/>
      <c r="U326" s="5"/>
      <c r="V326" s="5"/>
      <c r="W326" s="5"/>
      <c r="X326" s="1120"/>
      <c r="Y326" s="1120"/>
      <c r="Z326" s="5"/>
      <c r="AA326" s="5"/>
      <c r="AB326" s="1135"/>
      <c r="AC326" s="5"/>
      <c r="AD326" s="5"/>
      <c r="AE326" s="5"/>
      <c r="AF326" s="1120"/>
      <c r="AG326" s="1148"/>
      <c r="AH326" s="1120"/>
      <c r="AI326" s="1120"/>
      <c r="AJ326" s="1120"/>
    </row>
    <row r="327" spans="2:36" ht="30" customHeight="1" x14ac:dyDescent="0.25">
      <c r="B327" s="5"/>
      <c r="C327" s="5"/>
      <c r="D327" s="5" t="s">
        <v>7731</v>
      </c>
      <c r="E327" s="585">
        <f>AB180+AB181+AB182+AB184</f>
        <v>0.62590043563418729</v>
      </c>
      <c r="F327" s="5"/>
      <c r="G327" s="5"/>
      <c r="H327" s="5"/>
      <c r="I327" s="5"/>
      <c r="J327" s="5"/>
      <c r="L327" s="277"/>
      <c r="M327" s="5"/>
      <c r="R327" s="5"/>
      <c r="S327" s="5"/>
      <c r="T327" s="1120"/>
      <c r="U327" s="5"/>
      <c r="V327" s="5"/>
      <c r="W327" s="5"/>
      <c r="X327" s="1120"/>
      <c r="Y327" s="1120"/>
      <c r="Z327" s="5"/>
      <c r="AA327" s="5"/>
      <c r="AB327" s="1135"/>
      <c r="AC327" s="5"/>
      <c r="AD327" s="5"/>
      <c r="AE327" s="5"/>
      <c r="AF327" s="1120"/>
      <c r="AG327" s="1148"/>
      <c r="AH327" s="1120"/>
      <c r="AI327" s="1120"/>
      <c r="AJ327" s="1120"/>
    </row>
    <row r="328" spans="2:36" ht="30" customHeight="1" x14ac:dyDescent="0.25">
      <c r="B328" s="5"/>
      <c r="C328" s="5" t="s">
        <v>2595</v>
      </c>
      <c r="D328" s="5"/>
      <c r="E328" s="5"/>
      <c r="F328" s="5"/>
      <c r="G328" s="5"/>
      <c r="H328" s="5"/>
      <c r="I328" s="5"/>
      <c r="J328" s="5"/>
      <c r="L328" s="277"/>
      <c r="M328" s="5"/>
      <c r="R328" s="5"/>
      <c r="S328" s="5"/>
      <c r="T328" s="1120"/>
      <c r="U328" s="5"/>
      <c r="V328" s="5"/>
      <c r="W328" s="5"/>
      <c r="X328" s="1120"/>
      <c r="Y328" s="1120"/>
      <c r="Z328" s="5"/>
      <c r="AA328" s="5"/>
      <c r="AB328" s="1135"/>
      <c r="AC328" s="5"/>
      <c r="AD328" s="5"/>
      <c r="AE328" s="5"/>
      <c r="AF328" s="1120"/>
      <c r="AG328" s="1148"/>
      <c r="AH328" s="1120"/>
      <c r="AI328" s="1120"/>
      <c r="AJ328" s="1120"/>
    </row>
    <row r="329" spans="2:36" ht="30" customHeight="1" x14ac:dyDescent="0.25">
      <c r="B329" s="5"/>
      <c r="C329" s="5"/>
      <c r="D329" s="5" t="s">
        <v>3075</v>
      </c>
      <c r="E329" s="585">
        <f>N172+N186+N187+N188+N189+N190+N191+N192+N193+N194</f>
        <v>16043.799150089668</v>
      </c>
      <c r="F329" s="5"/>
      <c r="G329" s="5"/>
      <c r="H329" s="5"/>
      <c r="I329" s="5"/>
      <c r="J329" s="5"/>
      <c r="L329" s="277"/>
      <c r="M329" s="5"/>
      <c r="R329" s="5"/>
      <c r="S329" s="5"/>
      <c r="T329" s="1120"/>
      <c r="U329" s="5"/>
      <c r="V329" s="5"/>
      <c r="W329" s="5"/>
      <c r="X329" s="1120"/>
      <c r="Y329" s="1120"/>
      <c r="Z329" s="5"/>
      <c r="AA329" s="5"/>
      <c r="AB329" s="1135"/>
      <c r="AC329" s="5"/>
      <c r="AD329" s="5"/>
      <c r="AE329" s="5"/>
      <c r="AF329" s="1120"/>
      <c r="AG329" s="1148"/>
      <c r="AH329" s="1120"/>
      <c r="AI329" s="1120"/>
      <c r="AJ329" s="1120"/>
    </row>
    <row r="330" spans="2:36" ht="30" customHeight="1" x14ac:dyDescent="0.25">
      <c r="B330" s="5"/>
      <c r="C330" s="5"/>
      <c r="D330" s="5" t="s">
        <v>4519</v>
      </c>
      <c r="E330" s="585">
        <f>AK172+AK186+AK187+AK188+AK189+AK190+AK191+AK192+AK193+AK194</f>
        <v>6043.3729785123196</v>
      </c>
      <c r="F330" s="5"/>
      <c r="G330" s="5"/>
      <c r="H330" s="5"/>
      <c r="I330" s="5"/>
      <c r="J330" s="5"/>
      <c r="L330" s="277"/>
      <c r="M330" s="5"/>
      <c r="R330" s="5"/>
      <c r="S330" s="5"/>
      <c r="T330" s="1120"/>
      <c r="U330" s="5"/>
      <c r="V330" s="5"/>
      <c r="W330" s="5"/>
      <c r="X330" s="1120"/>
      <c r="Y330" s="1120"/>
      <c r="Z330" s="5"/>
      <c r="AA330" s="5"/>
      <c r="AB330" s="1135"/>
      <c r="AC330" s="5"/>
      <c r="AD330" s="5"/>
      <c r="AE330" s="5"/>
      <c r="AF330" s="1120"/>
      <c r="AG330" s="1148"/>
      <c r="AH330" s="1120"/>
      <c r="AI330" s="1120"/>
      <c r="AJ330" s="1120"/>
    </row>
    <row r="331" spans="2:36" ht="30" customHeight="1" x14ac:dyDescent="0.25">
      <c r="B331" s="5"/>
      <c r="C331" s="5"/>
      <c r="D331" s="5" t="s">
        <v>5470</v>
      </c>
      <c r="E331" s="585">
        <f>AM172+AM186+AM187+AM188+AM189+AM190+AM191+AM192+AM193+AM194</f>
        <v>16043.799150089668</v>
      </c>
      <c r="F331" s="5"/>
      <c r="G331" s="5"/>
      <c r="H331" s="5"/>
      <c r="I331" s="5"/>
      <c r="J331" s="5"/>
      <c r="L331" s="277"/>
      <c r="M331" s="5"/>
      <c r="R331" s="5"/>
      <c r="S331" s="5"/>
      <c r="T331" s="1120"/>
      <c r="U331" s="5"/>
      <c r="V331" s="5"/>
      <c r="W331" s="5"/>
      <c r="X331" s="1120"/>
      <c r="Y331" s="1120"/>
      <c r="Z331" s="5"/>
      <c r="AA331" s="5"/>
      <c r="AB331" s="1135"/>
      <c r="AC331" s="5"/>
      <c r="AD331" s="5"/>
      <c r="AE331" s="5"/>
      <c r="AF331" s="1120"/>
      <c r="AG331" s="1148"/>
      <c r="AH331" s="1120"/>
      <c r="AI331" s="1120"/>
      <c r="AJ331" s="1120"/>
    </row>
    <row r="332" spans="2:36" ht="30" customHeight="1" x14ac:dyDescent="0.25">
      <c r="B332" s="5"/>
      <c r="C332" s="5"/>
      <c r="D332" s="5" t="s">
        <v>3411</v>
      </c>
      <c r="E332" s="585">
        <f>S172+S186+S187+S188+S189+S190+S191+S192+S193+S194</f>
        <v>1447.4191231504824</v>
      </c>
      <c r="F332" s="5"/>
      <c r="G332" s="5"/>
      <c r="H332" s="5"/>
      <c r="I332" s="5"/>
      <c r="J332" s="5"/>
      <c r="L332" s="277"/>
      <c r="M332" s="5"/>
      <c r="R332" s="5"/>
      <c r="S332" s="5"/>
      <c r="T332" s="1120"/>
      <c r="U332" s="5"/>
      <c r="V332" s="5"/>
      <c r="W332" s="5"/>
      <c r="X332" s="1120"/>
      <c r="Y332" s="1120"/>
      <c r="Z332" s="5"/>
      <c r="AA332" s="5"/>
      <c r="AB332" s="1135"/>
      <c r="AC332" s="5"/>
      <c r="AD332" s="5"/>
      <c r="AE332" s="5"/>
      <c r="AF332" s="1120"/>
      <c r="AG332" s="1148"/>
      <c r="AH332" s="1120"/>
      <c r="AI332" s="1120"/>
      <c r="AJ332" s="1120"/>
    </row>
    <row r="333" spans="2:36" ht="30" customHeight="1" x14ac:dyDescent="0.25">
      <c r="B333" s="5"/>
      <c r="C333" s="5"/>
      <c r="D333" s="5" t="s">
        <v>4847</v>
      </c>
      <c r="E333" s="585">
        <f>AL172+AL186+AL187+AL188+AL189+AL190+AL191+AL192+AL193+AL194</f>
        <v>603.01596198711536</v>
      </c>
      <c r="F333" s="5"/>
      <c r="G333" s="5"/>
      <c r="H333" s="5"/>
      <c r="I333" s="5"/>
      <c r="J333" s="5"/>
      <c r="L333" s="277"/>
      <c r="M333" s="5"/>
      <c r="R333" s="5"/>
      <c r="S333" s="5"/>
      <c r="T333" s="1120"/>
      <c r="U333" s="5"/>
      <c r="V333" s="5"/>
      <c r="W333" s="5"/>
      <c r="X333" s="1120"/>
      <c r="Y333" s="1120"/>
      <c r="Z333" s="5"/>
      <c r="AA333" s="5"/>
      <c r="AB333" s="1135"/>
      <c r="AC333" s="5"/>
      <c r="AD333" s="5"/>
      <c r="AE333" s="5"/>
      <c r="AF333" s="1120"/>
      <c r="AG333" s="1148"/>
      <c r="AH333" s="1120"/>
      <c r="AI333" s="1120"/>
      <c r="AJ333" s="1120"/>
    </row>
    <row r="334" spans="2:36" ht="30" customHeight="1" x14ac:dyDescent="0.25">
      <c r="B334" s="5"/>
      <c r="C334" s="5"/>
      <c r="D334" s="5" t="s">
        <v>5298</v>
      </c>
      <c r="E334" s="585">
        <f>AN172+AN186+AN187+AN188+AN189+AN190+AN191+AN192+AN193+AN194</f>
        <v>1447.4191231504824</v>
      </c>
      <c r="F334" s="5"/>
      <c r="G334" s="5"/>
      <c r="H334" s="5"/>
      <c r="I334" s="5"/>
      <c r="J334" s="5"/>
      <c r="L334" s="277"/>
      <c r="M334" s="5"/>
      <c r="R334" s="5"/>
      <c r="S334" s="5"/>
      <c r="T334" s="1120"/>
      <c r="U334" s="5"/>
      <c r="V334" s="5"/>
      <c r="W334" s="5"/>
      <c r="X334" s="1120"/>
      <c r="Y334" s="1120"/>
      <c r="Z334" s="5"/>
      <c r="AA334" s="5"/>
      <c r="AB334" s="1135"/>
      <c r="AC334" s="5"/>
      <c r="AD334" s="5"/>
      <c r="AE334" s="5"/>
      <c r="AF334" s="1120"/>
      <c r="AG334" s="1148"/>
      <c r="AH334" s="1120"/>
      <c r="AI334" s="1120"/>
      <c r="AJ334" s="1120"/>
    </row>
    <row r="335" spans="2:36" ht="30" customHeight="1" x14ac:dyDescent="0.25">
      <c r="B335" s="5"/>
      <c r="C335" s="5"/>
      <c r="D335" s="5" t="s">
        <v>7730</v>
      </c>
      <c r="E335" s="585">
        <f>AE172+AE186+AE187+AE188+AE189+AE190+AE191+AE192+AE193+AE194</f>
        <v>949.82</v>
      </c>
      <c r="F335" s="5"/>
      <c r="G335" s="5"/>
      <c r="H335" s="5"/>
      <c r="I335" s="5"/>
      <c r="J335" s="5"/>
      <c r="L335" s="277"/>
      <c r="M335" s="5"/>
      <c r="R335" s="5"/>
      <c r="S335" s="5"/>
      <c r="T335" s="1120"/>
      <c r="U335" s="5"/>
      <c r="V335" s="5"/>
      <c r="W335" s="5"/>
      <c r="X335" s="1120"/>
      <c r="Y335" s="1120"/>
      <c r="Z335" s="5"/>
      <c r="AA335" s="5"/>
      <c r="AB335" s="1135"/>
      <c r="AC335" s="5"/>
      <c r="AD335" s="5"/>
      <c r="AE335" s="5"/>
      <c r="AF335" s="1120"/>
      <c r="AG335" s="1148"/>
      <c r="AH335" s="1120"/>
      <c r="AI335" s="1120"/>
      <c r="AJ335" s="1120"/>
    </row>
    <row r="336" spans="2:36" ht="30" customHeight="1" x14ac:dyDescent="0.25">
      <c r="B336" s="5"/>
      <c r="C336" s="5"/>
      <c r="D336" s="5" t="s">
        <v>2741</v>
      </c>
      <c r="E336" s="585">
        <f>Y172+Y186+Y187+Y188+Y189+Y190+Y191+Y192+Y193+Y194</f>
        <v>767.62</v>
      </c>
      <c r="F336" s="5"/>
      <c r="G336" s="5"/>
      <c r="H336" s="5"/>
      <c r="I336" s="5"/>
      <c r="J336" s="5"/>
      <c r="L336" s="277"/>
      <c r="M336" s="5"/>
      <c r="R336" s="5"/>
      <c r="S336" s="5"/>
      <c r="T336" s="1120"/>
      <c r="U336" s="5"/>
      <c r="V336" s="5"/>
      <c r="W336" s="5"/>
      <c r="X336" s="1120"/>
      <c r="Y336" s="1120"/>
      <c r="Z336" s="5"/>
      <c r="AA336" s="5"/>
      <c r="AB336" s="1135"/>
      <c r="AC336" s="5"/>
      <c r="AD336" s="5"/>
      <c r="AE336" s="5"/>
      <c r="AF336" s="1120"/>
      <c r="AG336" s="1148"/>
      <c r="AH336" s="1120"/>
      <c r="AI336" s="1120"/>
      <c r="AJ336" s="1120"/>
    </row>
    <row r="337" spans="2:36" ht="30" customHeight="1" x14ac:dyDescent="0.25">
      <c r="B337" s="5"/>
      <c r="C337" s="5"/>
      <c r="D337" s="5" t="s">
        <v>7731</v>
      </c>
      <c r="E337" s="585">
        <f>AB172+AB186+AB187+AB188+AB189+AB190+AB191+AB192+AB193+AB194</f>
        <v>172.50867279557335</v>
      </c>
      <c r="F337" s="5"/>
      <c r="G337" s="5"/>
      <c r="H337" s="5"/>
      <c r="I337" s="5"/>
      <c r="J337" s="5"/>
      <c r="L337" s="277"/>
      <c r="M337" s="5"/>
      <c r="R337" s="5"/>
      <c r="S337" s="5"/>
      <c r="T337" s="1120"/>
      <c r="U337" s="5"/>
      <c r="V337" s="5"/>
      <c r="W337" s="5"/>
      <c r="X337" s="1120"/>
      <c r="Y337" s="1120"/>
      <c r="Z337" s="5"/>
      <c r="AA337" s="5"/>
      <c r="AB337" s="1135"/>
      <c r="AC337" s="5"/>
      <c r="AD337" s="5"/>
      <c r="AE337" s="5"/>
      <c r="AF337" s="1120"/>
      <c r="AG337" s="1148"/>
      <c r="AH337" s="1120"/>
      <c r="AI337" s="1120"/>
      <c r="AJ337" s="1120"/>
    </row>
    <row r="338" spans="2:36" ht="30" customHeight="1" x14ac:dyDescent="0.25">
      <c r="B338" s="5"/>
      <c r="C338" s="5"/>
      <c r="D338" s="5" t="s">
        <v>2740</v>
      </c>
      <c r="E338" s="585">
        <f>T172+T186+T187+T188+T189+T190+T191+T192+T193+T194</f>
        <v>2086.319785447291</v>
      </c>
      <c r="F338" s="5"/>
      <c r="G338" s="5"/>
      <c r="H338" s="5"/>
      <c r="I338" s="5"/>
      <c r="J338" s="5"/>
      <c r="L338" s="277"/>
      <c r="M338" s="5"/>
      <c r="R338" s="5"/>
      <c r="S338" s="5"/>
      <c r="T338" s="1120"/>
      <c r="U338" s="5"/>
      <c r="V338" s="5"/>
      <c r="W338" s="5"/>
      <c r="X338" s="1120"/>
      <c r="Y338" s="1120"/>
      <c r="Z338" s="5"/>
      <c r="AA338" s="5"/>
      <c r="AB338" s="1135"/>
      <c r="AC338" s="5"/>
      <c r="AD338" s="5"/>
      <c r="AE338" s="5"/>
      <c r="AF338" s="1120"/>
      <c r="AG338" s="1148"/>
      <c r="AH338" s="1120"/>
      <c r="AI338" s="1120"/>
      <c r="AJ338" s="1120"/>
    </row>
    <row r="339" spans="2:36" ht="30" customHeight="1" x14ac:dyDescent="0.25">
      <c r="B339" s="5"/>
      <c r="C339" s="258" t="s">
        <v>2594</v>
      </c>
      <c r="D339" s="5"/>
      <c r="E339" s="5"/>
      <c r="F339" s="5"/>
      <c r="G339" s="5"/>
      <c r="H339" s="5"/>
      <c r="I339" s="5"/>
      <c r="J339" s="5"/>
      <c r="L339" s="277"/>
      <c r="M339" s="5"/>
      <c r="R339" s="5"/>
      <c r="S339" s="5"/>
      <c r="T339" s="1120"/>
      <c r="U339" s="5"/>
      <c r="V339" s="5"/>
      <c r="W339" s="5"/>
      <c r="X339" s="1120"/>
      <c r="Y339" s="1120"/>
      <c r="Z339" s="5"/>
      <c r="AA339" s="5"/>
      <c r="AB339" s="1135"/>
      <c r="AC339" s="5"/>
      <c r="AD339" s="5"/>
      <c r="AE339" s="5"/>
      <c r="AF339" s="1120"/>
      <c r="AG339" s="1148"/>
      <c r="AH339" s="1120"/>
      <c r="AI339" s="1120"/>
      <c r="AJ339" s="1120"/>
    </row>
    <row r="340" spans="2:36" ht="30" customHeight="1" x14ac:dyDescent="0.25">
      <c r="B340" s="5"/>
      <c r="C340" s="5"/>
      <c r="D340" s="5" t="s">
        <v>3075</v>
      </c>
      <c r="E340" s="585">
        <f>N175+N177+N178</f>
        <v>7928.0451846997066</v>
      </c>
      <c r="F340" s="5"/>
      <c r="G340" s="5"/>
      <c r="H340" s="5"/>
      <c r="I340" s="5"/>
      <c r="J340" s="5"/>
      <c r="L340" s="277"/>
      <c r="M340" s="5"/>
      <c r="R340" s="5"/>
      <c r="S340" s="5"/>
      <c r="T340" s="1120"/>
      <c r="U340" s="5"/>
      <c r="V340" s="5"/>
      <c r="W340" s="5"/>
      <c r="X340" s="1120"/>
      <c r="Y340" s="1120"/>
      <c r="Z340" s="5"/>
      <c r="AA340" s="5"/>
      <c r="AB340" s="1135"/>
      <c r="AC340" s="5"/>
      <c r="AD340" s="5"/>
      <c r="AE340" s="5"/>
      <c r="AF340" s="1120"/>
      <c r="AG340" s="1148"/>
      <c r="AH340" s="1120"/>
      <c r="AI340" s="1120"/>
      <c r="AJ340" s="1120"/>
    </row>
    <row r="341" spans="2:36" ht="30" customHeight="1" x14ac:dyDescent="0.25">
      <c r="B341" s="5"/>
      <c r="C341" s="5"/>
      <c r="D341" s="5" t="s">
        <v>4519</v>
      </c>
      <c r="E341" s="585">
        <f>AK176+AK178+AK179</f>
        <v>1900.8758045186432</v>
      </c>
      <c r="F341" s="5"/>
      <c r="G341" s="5"/>
      <c r="H341" s="5"/>
      <c r="I341" s="5"/>
      <c r="J341" s="5"/>
      <c r="L341" s="277"/>
      <c r="M341" s="5"/>
      <c r="R341" s="5"/>
      <c r="S341" s="5"/>
      <c r="T341" s="1120"/>
      <c r="U341" s="5"/>
      <c r="V341" s="5"/>
      <c r="W341" s="5"/>
      <c r="X341" s="1120"/>
      <c r="Y341" s="1120"/>
      <c r="Z341" s="5"/>
      <c r="AA341" s="5"/>
      <c r="AB341" s="1135"/>
      <c r="AC341" s="5"/>
      <c r="AD341" s="5"/>
      <c r="AE341" s="5"/>
      <c r="AF341" s="1120"/>
      <c r="AG341" s="1148"/>
      <c r="AH341" s="1120"/>
      <c r="AI341" s="1120"/>
      <c r="AJ341" s="1120"/>
    </row>
    <row r="342" spans="2:36" ht="30" customHeight="1" x14ac:dyDescent="0.25">
      <c r="B342" s="5"/>
      <c r="C342" s="5"/>
      <c r="D342" s="5" t="s">
        <v>2736</v>
      </c>
      <c r="E342" s="585">
        <f>AM177+AM179+AM180</f>
        <v>13769.770583952122</v>
      </c>
      <c r="F342" s="5"/>
      <c r="G342" s="5"/>
      <c r="H342" s="5"/>
      <c r="I342" s="5"/>
      <c r="J342" s="5"/>
      <c r="L342" s="277"/>
      <c r="M342" s="5"/>
      <c r="R342" s="5"/>
      <c r="S342" s="5"/>
      <c r="T342" s="1120"/>
      <c r="U342" s="5"/>
      <c r="V342" s="5"/>
      <c r="W342" s="5"/>
      <c r="X342" s="1120"/>
      <c r="Y342" s="1120"/>
      <c r="Z342" s="5"/>
      <c r="AA342" s="5"/>
      <c r="AB342" s="1135"/>
      <c r="AC342" s="5"/>
      <c r="AD342" s="5"/>
      <c r="AE342" s="5"/>
      <c r="AF342" s="1120"/>
      <c r="AG342" s="1148"/>
      <c r="AH342" s="1120"/>
      <c r="AI342" s="1120"/>
      <c r="AJ342" s="1120"/>
    </row>
    <row r="343" spans="2:36" ht="30" customHeight="1" x14ac:dyDescent="0.25">
      <c r="B343" s="5"/>
      <c r="C343" s="258" t="s">
        <v>7732</v>
      </c>
      <c r="D343" s="5"/>
      <c r="E343" s="5"/>
      <c r="F343" s="5"/>
      <c r="G343" s="5"/>
      <c r="H343" s="5"/>
      <c r="I343" s="5"/>
      <c r="J343" s="5"/>
      <c r="L343" s="277"/>
      <c r="M343" s="5"/>
      <c r="R343" s="5"/>
      <c r="S343" s="5"/>
      <c r="T343" s="1120"/>
      <c r="U343" s="5"/>
      <c r="V343" s="5"/>
      <c r="W343" s="5"/>
      <c r="X343" s="1120"/>
      <c r="Y343" s="1120"/>
      <c r="Z343" s="5"/>
      <c r="AA343" s="5"/>
      <c r="AB343" s="1135"/>
      <c r="AC343" s="5"/>
      <c r="AD343" s="5"/>
      <c r="AE343" s="5"/>
      <c r="AF343" s="1120"/>
      <c r="AG343" s="1148"/>
      <c r="AH343" s="1120"/>
      <c r="AI343" s="1120"/>
      <c r="AJ343" s="1120"/>
    </row>
    <row r="344" spans="2:36" ht="30" customHeight="1" x14ac:dyDescent="0.25">
      <c r="B344" s="5"/>
      <c r="C344" s="5" t="s">
        <v>2598</v>
      </c>
      <c r="D344" s="5"/>
      <c r="E344" s="5"/>
      <c r="F344" s="5"/>
      <c r="G344" s="5"/>
      <c r="H344" s="5"/>
      <c r="I344" s="5"/>
      <c r="J344" s="5"/>
      <c r="L344" s="277"/>
      <c r="M344" s="5"/>
      <c r="R344" s="5"/>
      <c r="S344" s="5"/>
      <c r="T344" s="1120"/>
      <c r="U344" s="5"/>
      <c r="V344" s="5"/>
      <c r="W344" s="5"/>
      <c r="X344" s="1120"/>
      <c r="Y344" s="1120"/>
      <c r="Z344" s="5"/>
      <c r="AA344" s="5"/>
      <c r="AB344" s="1135"/>
      <c r="AC344" s="5"/>
      <c r="AD344" s="5"/>
      <c r="AE344" s="5"/>
      <c r="AF344" s="1120"/>
      <c r="AG344" s="1148"/>
      <c r="AH344" s="1120"/>
      <c r="AI344" s="1120"/>
      <c r="AJ344" s="1120"/>
    </row>
    <row r="345" spans="2:36" ht="30" customHeight="1" x14ac:dyDescent="0.25">
      <c r="B345" s="5"/>
      <c r="C345" s="5"/>
      <c r="D345" s="5" t="s">
        <v>3075</v>
      </c>
      <c r="E345" s="585">
        <f>N167</f>
        <v>5563.5294278594429</v>
      </c>
      <c r="F345" s="5"/>
      <c r="G345" s="5"/>
      <c r="H345" s="5"/>
      <c r="I345" s="5"/>
      <c r="J345" s="5"/>
      <c r="L345" s="277"/>
      <c r="M345" s="5"/>
      <c r="R345" s="5"/>
      <c r="S345" s="5"/>
      <c r="T345" s="1120"/>
      <c r="U345" s="5"/>
      <c r="V345" s="5"/>
      <c r="W345" s="5"/>
      <c r="X345" s="1120"/>
      <c r="Y345" s="1120"/>
      <c r="Z345" s="5"/>
      <c r="AA345" s="5"/>
      <c r="AB345" s="1135"/>
      <c r="AC345" s="5"/>
      <c r="AD345" s="5"/>
      <c r="AE345" s="5"/>
      <c r="AF345" s="1120"/>
      <c r="AG345" s="1148"/>
      <c r="AH345" s="1120"/>
      <c r="AI345" s="1120"/>
      <c r="AJ345" s="1120"/>
    </row>
    <row r="346" spans="2:36" ht="30" customHeight="1" x14ac:dyDescent="0.25">
      <c r="B346" s="5"/>
      <c r="C346" s="5"/>
      <c r="D346" s="5" t="s">
        <v>4519</v>
      </c>
      <c r="E346" s="585">
        <f>AK167</f>
        <v>1854.509809286481</v>
      </c>
      <c r="F346" s="5"/>
      <c r="G346" s="5"/>
      <c r="H346" s="5"/>
      <c r="I346" s="5"/>
      <c r="J346" s="5"/>
      <c r="L346" s="277"/>
      <c r="M346" s="5"/>
      <c r="R346" s="5"/>
      <c r="S346" s="5"/>
      <c r="T346" s="1120"/>
      <c r="U346" s="5"/>
      <c r="V346" s="5"/>
      <c r="W346" s="5"/>
      <c r="X346" s="1120"/>
      <c r="Y346" s="1120"/>
      <c r="Z346" s="5"/>
      <c r="AA346" s="5"/>
      <c r="AB346" s="1135"/>
      <c r="AC346" s="5"/>
      <c r="AD346" s="5"/>
      <c r="AE346" s="5"/>
      <c r="AF346" s="1120"/>
      <c r="AG346" s="1148"/>
      <c r="AH346" s="1120"/>
      <c r="AI346" s="1120"/>
      <c r="AJ346" s="1120"/>
    </row>
    <row r="347" spans="2:36" ht="30" customHeight="1" x14ac:dyDescent="0.25">
      <c r="B347" s="5"/>
      <c r="C347" s="5"/>
      <c r="D347" s="5" t="s">
        <v>2736</v>
      </c>
      <c r="E347" s="585">
        <f>AM167</f>
        <v>5563.5294278594429</v>
      </c>
      <c r="F347" s="5"/>
      <c r="G347" s="5"/>
      <c r="H347" s="5"/>
      <c r="I347" s="5"/>
      <c r="J347" s="5"/>
      <c r="L347" s="277"/>
      <c r="M347" s="5"/>
      <c r="R347" s="5"/>
      <c r="S347" s="5"/>
      <c r="T347" s="1120"/>
      <c r="U347" s="5"/>
      <c r="V347" s="5"/>
      <c r="W347" s="5"/>
      <c r="X347" s="1120"/>
      <c r="Y347" s="1120"/>
      <c r="Z347" s="5"/>
      <c r="AA347" s="5"/>
      <c r="AB347" s="1135"/>
      <c r="AC347" s="5"/>
      <c r="AD347" s="5"/>
      <c r="AE347" s="5"/>
      <c r="AF347" s="1120"/>
      <c r="AG347" s="1148"/>
      <c r="AH347" s="1120"/>
      <c r="AI347" s="1120"/>
      <c r="AJ347" s="1120"/>
    </row>
    <row r="348" spans="2:36" ht="30" customHeight="1" x14ac:dyDescent="0.25">
      <c r="B348" s="5"/>
      <c r="C348" s="5" t="s">
        <v>2595</v>
      </c>
      <c r="D348" s="5"/>
      <c r="E348" s="5"/>
      <c r="F348" s="5"/>
      <c r="G348" s="5"/>
      <c r="H348" s="5"/>
      <c r="I348" s="5"/>
      <c r="J348" s="5"/>
      <c r="L348" s="277"/>
      <c r="M348" s="5"/>
      <c r="R348" s="5"/>
      <c r="S348" s="5"/>
      <c r="T348" s="1120"/>
      <c r="U348" s="5"/>
      <c r="V348" s="5"/>
      <c r="W348" s="5"/>
      <c r="X348" s="1120"/>
      <c r="Y348" s="1120"/>
      <c r="Z348" s="5"/>
      <c r="AA348" s="5"/>
      <c r="AB348" s="1135"/>
      <c r="AC348" s="5"/>
      <c r="AD348" s="5"/>
      <c r="AE348" s="5"/>
      <c r="AF348" s="1120"/>
      <c r="AG348" s="1148"/>
      <c r="AH348" s="1120"/>
      <c r="AI348" s="1120"/>
      <c r="AJ348" s="1120"/>
    </row>
    <row r="349" spans="2:36" ht="30" customHeight="1" x14ac:dyDescent="0.25">
      <c r="B349" s="5"/>
      <c r="C349" s="5"/>
      <c r="D349" s="5" t="s">
        <v>3075</v>
      </c>
      <c r="E349" s="585">
        <f>N169+N170</f>
        <v>11961.586769897802</v>
      </c>
      <c r="F349" s="5"/>
      <c r="G349" s="5"/>
      <c r="H349" s="5"/>
      <c r="I349" s="5"/>
      <c r="J349" s="5"/>
      <c r="L349" s="277"/>
      <c r="M349" s="5"/>
      <c r="R349" s="5"/>
      <c r="S349" s="5"/>
      <c r="T349" s="1120"/>
      <c r="U349" s="5"/>
      <c r="V349" s="5"/>
      <c r="W349" s="5"/>
      <c r="X349" s="1120"/>
      <c r="Y349" s="1120"/>
      <c r="Z349" s="5"/>
      <c r="AA349" s="5"/>
      <c r="AB349" s="1135"/>
      <c r="AC349" s="5"/>
      <c r="AD349" s="5"/>
      <c r="AE349" s="5"/>
      <c r="AF349" s="1120"/>
      <c r="AG349" s="1148"/>
      <c r="AH349" s="1120"/>
      <c r="AI349" s="1120"/>
      <c r="AJ349" s="1120"/>
    </row>
    <row r="350" spans="2:36" ht="30" customHeight="1" x14ac:dyDescent="0.25">
      <c r="B350" s="5"/>
      <c r="C350" s="5"/>
      <c r="D350" s="5" t="s">
        <v>4519</v>
      </c>
      <c r="E350" s="585">
        <f>AK169+AK170</f>
        <v>3987.1955899659338</v>
      </c>
      <c r="F350" s="5"/>
      <c r="G350" s="5"/>
      <c r="H350" s="5"/>
      <c r="I350" s="5"/>
      <c r="J350" s="5"/>
      <c r="L350" s="277"/>
      <c r="M350" s="5"/>
      <c r="R350" s="5"/>
      <c r="S350" s="5"/>
      <c r="T350" s="1120"/>
      <c r="U350" s="5"/>
      <c r="V350" s="5"/>
      <c r="W350" s="5"/>
      <c r="X350" s="1120"/>
      <c r="Y350" s="1120"/>
      <c r="Z350" s="5"/>
      <c r="AA350" s="5"/>
      <c r="AB350" s="1135"/>
      <c r="AC350" s="5"/>
      <c r="AD350" s="5"/>
      <c r="AE350" s="5"/>
      <c r="AF350" s="1120"/>
      <c r="AG350" s="1148"/>
      <c r="AH350" s="1120"/>
      <c r="AI350" s="1120"/>
      <c r="AJ350" s="1120"/>
    </row>
    <row r="351" spans="2:36" ht="30" customHeight="1" x14ac:dyDescent="0.25">
      <c r="B351" s="5"/>
      <c r="C351" s="5"/>
      <c r="D351" s="5" t="s">
        <v>5470</v>
      </c>
      <c r="E351" s="585">
        <f>AM169+AM170</f>
        <v>11961.586769897802</v>
      </c>
      <c r="F351" s="5"/>
      <c r="G351" s="5"/>
      <c r="H351" s="5"/>
      <c r="I351" s="5"/>
      <c r="J351" s="5"/>
      <c r="L351" s="277"/>
      <c r="M351" s="5"/>
      <c r="R351" s="5"/>
      <c r="S351" s="5"/>
      <c r="T351" s="1120"/>
      <c r="U351" s="5"/>
      <c r="V351" s="5"/>
      <c r="W351" s="5"/>
      <c r="X351" s="1120"/>
      <c r="Y351" s="1120"/>
      <c r="Z351" s="5"/>
      <c r="AA351" s="5"/>
      <c r="AB351" s="1135"/>
      <c r="AC351" s="5"/>
      <c r="AD351" s="5"/>
      <c r="AE351" s="5"/>
      <c r="AF351" s="1120"/>
      <c r="AG351" s="1148"/>
      <c r="AH351" s="1120"/>
      <c r="AI351" s="1120"/>
      <c r="AJ351" s="1120"/>
    </row>
    <row r="352" spans="2:36" ht="30" customHeight="1" x14ac:dyDescent="0.25">
      <c r="B352" s="5"/>
      <c r="C352" s="5"/>
      <c r="D352" s="5" t="s">
        <v>3411</v>
      </c>
      <c r="E352" s="585">
        <f>S169+S170</f>
        <v>1151.6503215669045</v>
      </c>
      <c r="F352" s="5"/>
      <c r="G352" s="5"/>
      <c r="H352" s="5"/>
      <c r="I352" s="5"/>
      <c r="J352" s="5"/>
      <c r="L352" s="277"/>
      <c r="M352" s="5"/>
      <c r="R352" s="5"/>
      <c r="S352" s="5"/>
      <c r="T352" s="1120"/>
      <c r="U352" s="5"/>
      <c r="V352" s="5"/>
      <c r="W352" s="5"/>
      <c r="X352" s="1120"/>
      <c r="Y352" s="1120"/>
      <c r="Z352" s="5"/>
      <c r="AA352" s="5"/>
      <c r="AB352" s="1135"/>
      <c r="AC352" s="5"/>
      <c r="AD352" s="5"/>
      <c r="AE352" s="5"/>
      <c r="AF352" s="1120"/>
      <c r="AG352" s="1148"/>
      <c r="AH352" s="1120"/>
      <c r="AI352" s="1120"/>
      <c r="AJ352" s="1120"/>
    </row>
    <row r="353" spans="2:36" ht="30" customHeight="1" x14ac:dyDescent="0.25">
      <c r="B353" s="5"/>
      <c r="C353" s="5"/>
      <c r="D353" s="5" t="s">
        <v>4847</v>
      </c>
      <c r="E353" s="585">
        <f>AL169+AL170</f>
        <v>383.8834405223015</v>
      </c>
      <c r="F353" s="5"/>
      <c r="G353" s="5"/>
      <c r="H353" s="5"/>
      <c r="I353" s="5"/>
      <c r="J353" s="5"/>
      <c r="L353" s="277"/>
      <c r="M353" s="5"/>
      <c r="R353" s="5"/>
      <c r="S353" s="5"/>
      <c r="T353" s="1120"/>
      <c r="U353" s="5"/>
      <c r="V353" s="5"/>
      <c r="W353" s="5"/>
      <c r="X353" s="1120"/>
      <c r="Y353" s="1120"/>
      <c r="Z353" s="5"/>
      <c r="AA353" s="5"/>
      <c r="AB353" s="1135"/>
      <c r="AC353" s="5"/>
      <c r="AD353" s="5"/>
      <c r="AE353" s="5"/>
      <c r="AF353" s="1120"/>
      <c r="AG353" s="1148"/>
      <c r="AH353" s="1120"/>
      <c r="AI353" s="1120"/>
      <c r="AJ353" s="1120"/>
    </row>
    <row r="354" spans="2:36" ht="30" customHeight="1" x14ac:dyDescent="0.25">
      <c r="B354" s="5"/>
      <c r="C354" s="5"/>
      <c r="D354" s="5" t="s">
        <v>5298</v>
      </c>
      <c r="E354" s="585">
        <f>AN169+AN170</f>
        <v>1151.6503215669045</v>
      </c>
      <c r="F354" s="5"/>
      <c r="G354" s="5"/>
      <c r="H354" s="5"/>
      <c r="I354" s="5"/>
      <c r="J354" s="5"/>
      <c r="L354" s="277"/>
      <c r="M354" s="5"/>
      <c r="R354" s="5"/>
      <c r="S354" s="5"/>
      <c r="T354" s="1120"/>
      <c r="U354" s="5"/>
      <c r="V354" s="5"/>
      <c r="W354" s="5"/>
      <c r="X354" s="1120"/>
      <c r="Y354" s="1120"/>
      <c r="Z354" s="5"/>
      <c r="AA354" s="5"/>
      <c r="AB354" s="1135"/>
      <c r="AC354" s="5"/>
      <c r="AD354" s="5"/>
      <c r="AE354" s="5"/>
      <c r="AF354" s="1120"/>
      <c r="AG354" s="1148"/>
      <c r="AH354" s="1120"/>
      <c r="AI354" s="1120"/>
      <c r="AJ354" s="1120"/>
    </row>
    <row r="355" spans="2:36" ht="30" customHeight="1" x14ac:dyDescent="0.25">
      <c r="B355" s="5"/>
      <c r="C355" s="5"/>
      <c r="D355" s="5" t="s">
        <v>7730</v>
      </c>
      <c r="E355" s="585">
        <f>AE169+AE170</f>
        <v>0</v>
      </c>
      <c r="F355" s="5"/>
      <c r="G355" s="5"/>
      <c r="H355" s="5"/>
      <c r="I355" s="5"/>
      <c r="J355" s="5"/>
      <c r="L355" s="277"/>
      <c r="M355" s="5"/>
      <c r="R355" s="5"/>
      <c r="S355" s="5"/>
      <c r="T355" s="1120"/>
      <c r="U355" s="5"/>
      <c r="V355" s="5"/>
      <c r="W355" s="5"/>
      <c r="X355" s="1120"/>
      <c r="Y355" s="1120"/>
      <c r="Z355" s="5"/>
      <c r="AA355" s="5"/>
      <c r="AB355" s="1135"/>
      <c r="AC355" s="5"/>
      <c r="AD355" s="5"/>
      <c r="AE355" s="5"/>
      <c r="AF355" s="1120"/>
      <c r="AG355" s="1148"/>
      <c r="AH355" s="1120"/>
      <c r="AI355" s="1120"/>
      <c r="AJ355" s="1120"/>
    </row>
    <row r="356" spans="2:36" ht="30" customHeight="1" x14ac:dyDescent="0.25">
      <c r="B356" s="5"/>
      <c r="C356" s="5"/>
      <c r="D356" s="5" t="s">
        <v>2741</v>
      </c>
      <c r="E356" s="585">
        <f>Y169+Y170</f>
        <v>99.13000000000001</v>
      </c>
      <c r="F356" s="5"/>
      <c r="G356" s="5"/>
      <c r="H356" s="5"/>
      <c r="I356" s="5"/>
      <c r="J356" s="5"/>
      <c r="L356" s="277"/>
      <c r="M356" s="5"/>
      <c r="R356" s="5"/>
      <c r="S356" s="5"/>
      <c r="T356" s="1120"/>
      <c r="U356" s="5"/>
      <c r="V356" s="5"/>
      <c r="W356" s="5"/>
      <c r="X356" s="1120"/>
      <c r="Y356" s="1120"/>
      <c r="Z356" s="5"/>
      <c r="AA356" s="5"/>
      <c r="AB356" s="1135"/>
      <c r="AC356" s="5"/>
      <c r="AD356" s="5"/>
      <c r="AE356" s="5"/>
      <c r="AF356" s="1120"/>
      <c r="AG356" s="1148"/>
      <c r="AH356" s="1120"/>
      <c r="AI356" s="1120"/>
      <c r="AJ356" s="1120"/>
    </row>
    <row r="357" spans="2:36" ht="30" customHeight="1" x14ac:dyDescent="0.25">
      <c r="B357" s="5"/>
      <c r="C357" s="5"/>
      <c r="D357" s="5" t="s">
        <v>7731</v>
      </c>
      <c r="E357" s="585">
        <f>AB169+AB170</f>
        <v>0</v>
      </c>
      <c r="F357" s="5"/>
      <c r="G357" s="5"/>
      <c r="H357" s="5"/>
      <c r="I357" s="5"/>
      <c r="J357" s="5"/>
      <c r="L357" s="277"/>
      <c r="M357" s="5"/>
      <c r="R357" s="5"/>
      <c r="S357" s="5"/>
      <c r="T357" s="1120"/>
      <c r="U357" s="5"/>
      <c r="V357" s="5"/>
      <c r="W357" s="5"/>
      <c r="X357" s="1120"/>
      <c r="Y357" s="1120"/>
      <c r="Z357" s="5"/>
      <c r="AA357" s="5"/>
      <c r="AB357" s="1135"/>
      <c r="AC357" s="5"/>
      <c r="AD357" s="5"/>
      <c r="AE357" s="5"/>
      <c r="AF357" s="1120"/>
      <c r="AG357" s="1148"/>
      <c r="AH357" s="1120"/>
      <c r="AI357" s="1120"/>
      <c r="AJ357" s="1120"/>
    </row>
    <row r="358" spans="2:36" ht="30" customHeight="1" x14ac:dyDescent="0.25">
      <c r="B358" s="5"/>
      <c r="C358" s="5"/>
      <c r="D358" s="5" t="s">
        <v>2740</v>
      </c>
      <c r="E358" s="585">
        <f>T169+T170</f>
        <v>0</v>
      </c>
      <c r="F358" s="5"/>
      <c r="G358" s="5"/>
      <c r="H358" s="5"/>
      <c r="I358" s="5"/>
      <c r="J358" s="5"/>
      <c r="L358" s="277"/>
      <c r="M358" s="5"/>
      <c r="R358" s="5"/>
      <c r="S358" s="5"/>
      <c r="T358" s="1120"/>
      <c r="U358" s="5"/>
      <c r="V358" s="5"/>
      <c r="W358" s="5"/>
      <c r="X358" s="1120"/>
      <c r="Y358" s="1120"/>
      <c r="Z358" s="5"/>
      <c r="AA358" s="5"/>
      <c r="AB358" s="1135"/>
      <c r="AC358" s="5"/>
      <c r="AD358" s="5"/>
      <c r="AE358" s="5"/>
      <c r="AF358" s="1120"/>
      <c r="AG358" s="1148"/>
      <c r="AH358" s="1120"/>
      <c r="AI358" s="1120"/>
      <c r="AJ358" s="1120"/>
    </row>
    <row r="359" spans="2:36" ht="30" customHeight="1" x14ac:dyDescent="0.25">
      <c r="B359" s="5"/>
      <c r="C359" s="5"/>
      <c r="D359" s="5" t="s">
        <v>2760</v>
      </c>
      <c r="E359" s="585">
        <f>AC169+AC170</f>
        <v>642.34</v>
      </c>
      <c r="F359" s="5"/>
      <c r="G359" s="5"/>
      <c r="H359" s="5"/>
      <c r="I359" s="5"/>
      <c r="J359" s="5"/>
      <c r="L359" s="277"/>
      <c r="M359" s="5"/>
      <c r="R359" s="5"/>
      <c r="S359" s="5"/>
      <c r="T359" s="1120"/>
      <c r="U359" s="5"/>
      <c r="V359" s="5"/>
      <c r="W359" s="5"/>
      <c r="X359" s="1120"/>
      <c r="Y359" s="1120"/>
      <c r="Z359" s="5"/>
      <c r="AA359" s="5"/>
      <c r="AB359" s="1135"/>
      <c r="AC359" s="5"/>
      <c r="AD359" s="5"/>
      <c r="AE359" s="5"/>
      <c r="AF359" s="1120"/>
      <c r="AG359" s="1148"/>
      <c r="AH359" s="1120"/>
      <c r="AI359" s="1120"/>
      <c r="AJ359" s="1120"/>
    </row>
    <row r="360" spans="2:36" ht="30" customHeight="1" x14ac:dyDescent="0.25">
      <c r="B360" s="5"/>
      <c r="C360" s="1365" t="s">
        <v>2919</v>
      </c>
      <c r="D360" s="5"/>
      <c r="E360" s="5"/>
      <c r="F360" s="5"/>
      <c r="G360" s="5"/>
      <c r="H360" s="5"/>
      <c r="I360" s="5"/>
      <c r="J360" s="5"/>
      <c r="L360" s="277"/>
      <c r="M360" s="5"/>
      <c r="R360" s="5"/>
      <c r="S360" s="5"/>
      <c r="T360" s="1120"/>
      <c r="U360" s="5"/>
      <c r="V360" s="5"/>
      <c r="W360" s="5"/>
      <c r="X360" s="1120"/>
      <c r="Y360" s="1120"/>
      <c r="Z360" s="5"/>
      <c r="AA360" s="5"/>
      <c r="AB360" s="1135"/>
      <c r="AC360" s="5"/>
      <c r="AD360" s="5"/>
      <c r="AE360" s="5"/>
      <c r="AF360" s="1120"/>
      <c r="AG360" s="1148"/>
      <c r="AH360" s="1120"/>
      <c r="AI360" s="1120"/>
      <c r="AJ360" s="1120"/>
    </row>
    <row r="361" spans="2:36" ht="30" customHeight="1" x14ac:dyDescent="0.25">
      <c r="B361" s="5"/>
      <c r="C361" s="258" t="s">
        <v>2598</v>
      </c>
      <c r="D361" s="5"/>
      <c r="E361" s="5"/>
      <c r="F361" s="5"/>
      <c r="G361" s="5"/>
      <c r="H361" s="5"/>
      <c r="I361" s="5"/>
      <c r="J361" s="5"/>
      <c r="L361" s="277"/>
      <c r="M361" s="5"/>
      <c r="R361" s="5"/>
      <c r="S361" s="5"/>
      <c r="T361" s="1120"/>
      <c r="U361" s="5"/>
      <c r="V361" s="5"/>
      <c r="W361" s="5"/>
      <c r="X361" s="1120"/>
      <c r="Y361" s="1120"/>
      <c r="Z361" s="5"/>
      <c r="AA361" s="5"/>
      <c r="AB361" s="1135"/>
      <c r="AC361" s="5"/>
      <c r="AD361" s="5"/>
      <c r="AE361" s="5"/>
      <c r="AF361" s="1120"/>
      <c r="AG361" s="1148"/>
      <c r="AH361" s="1120"/>
      <c r="AI361" s="1120"/>
      <c r="AJ361" s="1120"/>
    </row>
    <row r="362" spans="2:36" ht="30" customHeight="1" x14ac:dyDescent="0.25">
      <c r="B362" s="5"/>
      <c r="C362" s="5"/>
      <c r="D362" s="5" t="s">
        <v>3075</v>
      </c>
      <c r="E362" s="5">
        <v>0</v>
      </c>
      <c r="F362" s="5"/>
      <c r="G362" s="5"/>
      <c r="H362" s="5"/>
      <c r="I362" s="5"/>
      <c r="J362" s="5"/>
      <c r="L362" s="277"/>
      <c r="M362" s="5"/>
      <c r="R362" s="5"/>
      <c r="S362" s="5"/>
      <c r="T362" s="1120"/>
      <c r="U362" s="5"/>
      <c r="V362" s="5"/>
      <c r="W362" s="5"/>
      <c r="X362" s="1120"/>
      <c r="Y362" s="1120"/>
      <c r="Z362" s="5"/>
      <c r="AA362" s="5"/>
      <c r="AB362" s="1135"/>
      <c r="AC362" s="5"/>
      <c r="AD362" s="5"/>
      <c r="AE362" s="5"/>
      <c r="AF362" s="1120"/>
      <c r="AG362" s="1148"/>
      <c r="AH362" s="1120"/>
      <c r="AI362" s="1120"/>
      <c r="AJ362" s="1120"/>
    </row>
    <row r="363" spans="2:36" ht="30" customHeight="1" x14ac:dyDescent="0.25">
      <c r="B363" s="5"/>
      <c r="C363" s="5"/>
      <c r="D363" s="5" t="s">
        <v>4519</v>
      </c>
      <c r="E363" s="5">
        <v>0</v>
      </c>
      <c r="F363" s="5"/>
      <c r="G363" s="5"/>
      <c r="H363" s="5"/>
      <c r="I363" s="5"/>
      <c r="J363" s="5"/>
      <c r="L363" s="277"/>
      <c r="M363" s="5"/>
      <c r="R363" s="5"/>
      <c r="S363" s="5"/>
      <c r="T363" s="1120"/>
      <c r="U363" s="5"/>
      <c r="V363" s="5"/>
      <c r="W363" s="5"/>
      <c r="X363" s="1120"/>
      <c r="Y363" s="1120"/>
      <c r="Z363" s="5"/>
      <c r="AA363" s="5"/>
      <c r="AB363" s="1135"/>
      <c r="AC363" s="5"/>
      <c r="AD363" s="5"/>
      <c r="AE363" s="5"/>
      <c r="AF363" s="1120"/>
      <c r="AG363" s="1148"/>
      <c r="AH363" s="1120"/>
      <c r="AI363" s="1120"/>
      <c r="AJ363" s="1120"/>
    </row>
    <row r="364" spans="2:36" ht="30" customHeight="1" x14ac:dyDescent="0.25">
      <c r="B364" s="5"/>
      <c r="C364" s="5"/>
      <c r="D364" s="5" t="s">
        <v>2736</v>
      </c>
      <c r="E364" s="5">
        <v>0</v>
      </c>
      <c r="F364" s="5"/>
      <c r="G364" s="5"/>
      <c r="H364" s="5"/>
      <c r="I364" s="5"/>
      <c r="J364" s="5"/>
      <c r="L364" s="277"/>
      <c r="M364" s="5"/>
      <c r="R364" s="5"/>
      <c r="S364" s="5"/>
      <c r="T364" s="1120"/>
      <c r="U364" s="5"/>
      <c r="V364" s="5"/>
      <c r="W364" s="5"/>
      <c r="X364" s="1120"/>
      <c r="Y364" s="1120"/>
      <c r="Z364" s="5"/>
      <c r="AA364" s="5"/>
      <c r="AB364" s="1135"/>
      <c r="AC364" s="5"/>
      <c r="AD364" s="5"/>
      <c r="AE364" s="5"/>
      <c r="AF364" s="1120"/>
      <c r="AG364" s="1148"/>
      <c r="AH364" s="1120"/>
      <c r="AI364" s="1120"/>
      <c r="AJ364" s="1120"/>
    </row>
    <row r="365" spans="2:36" ht="30" customHeight="1" x14ac:dyDescent="0.25">
      <c r="B365" s="5"/>
      <c r="C365" s="258" t="s">
        <v>2595</v>
      </c>
      <c r="D365" s="5"/>
      <c r="E365" s="5"/>
      <c r="F365" s="5"/>
      <c r="G365" s="5"/>
      <c r="H365" s="5"/>
      <c r="I365" s="5"/>
      <c r="J365" s="5"/>
      <c r="L365" s="277"/>
      <c r="M365" s="5"/>
      <c r="R365" s="5"/>
      <c r="S365" s="5"/>
      <c r="T365" s="1120"/>
      <c r="U365" s="5"/>
      <c r="V365" s="5"/>
      <c r="W365" s="5"/>
      <c r="X365" s="1120"/>
      <c r="Y365" s="1120"/>
      <c r="Z365" s="5"/>
      <c r="AA365" s="5"/>
      <c r="AB365" s="1135"/>
      <c r="AC365" s="5"/>
      <c r="AD365" s="5"/>
      <c r="AE365" s="5"/>
      <c r="AF365" s="1120"/>
      <c r="AG365" s="1148"/>
      <c r="AH365" s="1120"/>
      <c r="AI365" s="1120"/>
      <c r="AJ365" s="1120"/>
    </row>
    <row r="366" spans="2:36" ht="30" customHeight="1" x14ac:dyDescent="0.25">
      <c r="B366" s="5"/>
      <c r="C366" s="5"/>
      <c r="D366" s="5" t="s">
        <v>3075</v>
      </c>
      <c r="E366" s="585">
        <f>N211</f>
        <v>1356.107860540739</v>
      </c>
      <c r="F366" s="5"/>
      <c r="G366" s="5"/>
      <c r="H366" s="5"/>
      <c r="I366" s="5"/>
      <c r="J366" s="5"/>
      <c r="L366" s="277"/>
      <c r="M366" s="5"/>
      <c r="R366" s="5"/>
      <c r="S366" s="5"/>
      <c r="T366" s="1120"/>
      <c r="U366" s="5"/>
      <c r="V366" s="5"/>
      <c r="W366" s="5"/>
      <c r="X366" s="1120"/>
      <c r="Y366" s="1120"/>
      <c r="Z366" s="5"/>
      <c r="AA366" s="5"/>
      <c r="AB366" s="1135"/>
      <c r="AC366" s="5"/>
      <c r="AD366" s="5"/>
      <c r="AE366" s="5"/>
      <c r="AF366" s="1120"/>
      <c r="AG366" s="1148"/>
      <c r="AH366" s="1120"/>
      <c r="AI366" s="1120"/>
      <c r="AJ366" s="1120"/>
    </row>
    <row r="367" spans="2:36" ht="30" customHeight="1" x14ac:dyDescent="0.25">
      <c r="B367" s="5"/>
      <c r="C367" s="5"/>
      <c r="D367" s="5" t="s">
        <v>3411</v>
      </c>
      <c r="E367" s="585">
        <f>S211</f>
        <v>230.53833629192565</v>
      </c>
      <c r="F367" s="5"/>
      <c r="G367" s="5"/>
      <c r="H367" s="5"/>
      <c r="I367" s="5"/>
      <c r="J367" s="5"/>
      <c r="L367" s="277"/>
      <c r="M367" s="5"/>
      <c r="R367" s="5"/>
      <c r="S367" s="5"/>
      <c r="T367" s="1120"/>
      <c r="U367" s="5"/>
      <c r="V367" s="5"/>
      <c r="W367" s="5"/>
      <c r="X367" s="1120"/>
      <c r="Y367" s="1120"/>
      <c r="Z367" s="5"/>
      <c r="AA367" s="5"/>
      <c r="AB367" s="1135"/>
      <c r="AC367" s="5"/>
      <c r="AD367" s="5"/>
      <c r="AE367" s="5"/>
      <c r="AF367" s="1120"/>
      <c r="AG367" s="1148"/>
      <c r="AH367" s="1120"/>
      <c r="AI367" s="1120"/>
      <c r="AJ367" s="1120"/>
    </row>
    <row r="368" spans="2:36" ht="30" customHeight="1" x14ac:dyDescent="0.25">
      <c r="B368" s="5"/>
      <c r="C368" s="5"/>
      <c r="D368" s="5" t="s">
        <v>4847</v>
      </c>
      <c r="E368" s="585">
        <f>AL211</f>
        <v>76.846112097308549</v>
      </c>
      <c r="F368" s="5"/>
      <c r="G368" s="5"/>
      <c r="H368" s="5"/>
      <c r="I368" s="5"/>
      <c r="J368" s="5"/>
      <c r="L368" s="277"/>
      <c r="M368" s="5"/>
      <c r="R368" s="5"/>
      <c r="S368" s="5"/>
      <c r="T368" s="1120"/>
      <c r="U368" s="5"/>
      <c r="V368" s="5"/>
      <c r="W368" s="5"/>
      <c r="X368" s="1120"/>
      <c r="Y368" s="1120"/>
      <c r="Z368" s="5"/>
      <c r="AA368" s="5"/>
      <c r="AB368" s="1135"/>
      <c r="AC368" s="5"/>
      <c r="AD368" s="5"/>
      <c r="AE368" s="5"/>
      <c r="AF368" s="1120"/>
      <c r="AG368" s="1148"/>
      <c r="AH368" s="1120"/>
      <c r="AI368" s="1120"/>
      <c r="AJ368" s="1120"/>
    </row>
    <row r="369" spans="2:36" ht="30" customHeight="1" x14ac:dyDescent="0.25">
      <c r="B369" s="5"/>
      <c r="C369" s="5"/>
      <c r="D369" s="5" t="s">
        <v>5298</v>
      </c>
      <c r="E369" s="585">
        <f>AN211</f>
        <v>230.53833629192565</v>
      </c>
      <c r="F369" s="5"/>
      <c r="G369" s="5"/>
      <c r="H369" s="5"/>
      <c r="I369" s="5"/>
      <c r="J369" s="5"/>
      <c r="L369" s="277"/>
      <c r="M369" s="5"/>
      <c r="R369" s="5"/>
      <c r="S369" s="5"/>
      <c r="T369" s="1120"/>
      <c r="U369" s="5"/>
      <c r="V369" s="5"/>
      <c r="W369" s="5"/>
      <c r="X369" s="1120"/>
      <c r="Y369" s="1120"/>
      <c r="Z369" s="5"/>
      <c r="AA369" s="5"/>
      <c r="AB369" s="1135"/>
      <c r="AC369" s="5"/>
      <c r="AD369" s="5"/>
      <c r="AE369" s="5"/>
      <c r="AF369" s="1120"/>
      <c r="AG369" s="1148"/>
      <c r="AH369" s="1120"/>
      <c r="AI369" s="1120"/>
      <c r="AJ369" s="1120"/>
    </row>
    <row r="370" spans="2:36" ht="30" customHeight="1" x14ac:dyDescent="0.25">
      <c r="B370" s="5"/>
      <c r="C370" s="5"/>
      <c r="D370" s="5" t="s">
        <v>4519</v>
      </c>
      <c r="E370" s="585">
        <f>AK211</f>
        <v>452.03595351357967</v>
      </c>
      <c r="F370" s="5"/>
      <c r="G370" s="5"/>
      <c r="H370" s="5"/>
      <c r="I370" s="5"/>
      <c r="J370" s="5"/>
      <c r="L370" s="277"/>
      <c r="M370" s="5"/>
      <c r="R370" s="5"/>
      <c r="S370" s="5"/>
      <c r="T370" s="1120"/>
      <c r="U370" s="5"/>
      <c r="V370" s="5"/>
      <c r="W370" s="5"/>
      <c r="X370" s="1120"/>
      <c r="Y370" s="1120"/>
      <c r="Z370" s="5"/>
      <c r="AA370" s="5"/>
      <c r="AB370" s="1135"/>
      <c r="AC370" s="5"/>
      <c r="AD370" s="5"/>
      <c r="AE370" s="5"/>
      <c r="AF370" s="1120"/>
      <c r="AG370" s="1148"/>
      <c r="AH370" s="1120"/>
      <c r="AI370" s="1120"/>
      <c r="AJ370" s="1120"/>
    </row>
    <row r="371" spans="2:36" ht="30" customHeight="1" x14ac:dyDescent="0.25">
      <c r="B371" s="5"/>
      <c r="C371" s="5"/>
      <c r="D371" s="5" t="s">
        <v>2736</v>
      </c>
      <c r="E371" s="585">
        <f>AM211</f>
        <v>1356.107860540739</v>
      </c>
      <c r="F371" s="5"/>
      <c r="G371" s="5"/>
      <c r="H371" s="5"/>
      <c r="I371" s="5"/>
      <c r="J371" s="5"/>
      <c r="L371" s="277"/>
      <c r="M371" s="5"/>
      <c r="R371" s="5"/>
      <c r="S371" s="5"/>
      <c r="T371" s="1120"/>
      <c r="U371" s="5"/>
      <c r="V371" s="5"/>
      <c r="W371" s="5"/>
      <c r="X371" s="1120"/>
      <c r="Y371" s="1120"/>
      <c r="Z371" s="5"/>
      <c r="AA371" s="5"/>
      <c r="AB371" s="1135"/>
      <c r="AC371" s="5"/>
      <c r="AD371" s="5"/>
      <c r="AE371" s="5"/>
      <c r="AF371" s="1120"/>
      <c r="AG371" s="1148"/>
      <c r="AH371" s="1120"/>
      <c r="AI371" s="1120"/>
      <c r="AJ371" s="1120"/>
    </row>
    <row r="372" spans="2:36" ht="30" customHeight="1" x14ac:dyDescent="0.25">
      <c r="B372" s="5"/>
      <c r="C372" s="5"/>
      <c r="D372" s="5" t="s">
        <v>2741</v>
      </c>
      <c r="E372" s="585">
        <f>Y211</f>
        <v>119.86</v>
      </c>
      <c r="F372" s="5"/>
      <c r="G372" s="5"/>
      <c r="H372" s="5"/>
      <c r="I372" s="5"/>
      <c r="J372" s="5"/>
      <c r="L372" s="277"/>
      <c r="M372" s="5"/>
      <c r="R372" s="5"/>
      <c r="S372" s="5"/>
      <c r="T372" s="1120"/>
      <c r="U372" s="5"/>
      <c r="V372" s="5"/>
      <c r="W372" s="5"/>
      <c r="X372" s="1120"/>
      <c r="Y372" s="1120"/>
      <c r="Z372" s="5"/>
      <c r="AA372" s="5"/>
      <c r="AB372" s="1135"/>
      <c r="AC372" s="5"/>
      <c r="AD372" s="5"/>
      <c r="AE372" s="5"/>
      <c r="AF372" s="1120"/>
      <c r="AG372" s="1148"/>
      <c r="AH372" s="1120"/>
      <c r="AI372" s="1120"/>
      <c r="AJ372" s="1120"/>
    </row>
    <row r="373" spans="2:36" ht="30" customHeight="1" x14ac:dyDescent="0.25">
      <c r="B373" s="5"/>
      <c r="C373" s="258" t="s">
        <v>2594</v>
      </c>
      <c r="D373" s="5"/>
      <c r="E373" s="5"/>
      <c r="F373" s="5"/>
      <c r="G373" s="5"/>
      <c r="H373" s="5"/>
      <c r="I373" s="5"/>
      <c r="J373" s="5"/>
      <c r="L373" s="277"/>
      <c r="M373" s="5"/>
      <c r="R373" s="5"/>
      <c r="S373" s="5"/>
      <c r="T373" s="1120"/>
      <c r="U373" s="5"/>
      <c r="V373" s="5"/>
      <c r="W373" s="5"/>
      <c r="X373" s="1120"/>
      <c r="Y373" s="1120"/>
      <c r="Z373" s="5"/>
      <c r="AA373" s="5"/>
      <c r="AB373" s="1135"/>
      <c r="AC373" s="5"/>
      <c r="AD373" s="5"/>
      <c r="AE373" s="5"/>
      <c r="AF373" s="1120"/>
      <c r="AG373" s="1148"/>
      <c r="AH373" s="1120"/>
      <c r="AI373" s="1120"/>
      <c r="AJ373" s="1120"/>
    </row>
    <row r="374" spans="2:36" ht="30" customHeight="1" x14ac:dyDescent="0.25">
      <c r="B374" s="5"/>
      <c r="C374" s="5"/>
      <c r="D374" s="5" t="s">
        <v>3075</v>
      </c>
      <c r="E374" s="585">
        <f>N202</f>
        <v>2225.4077711437772</v>
      </c>
      <c r="F374" s="5"/>
      <c r="G374" s="5"/>
      <c r="H374" s="5"/>
      <c r="I374" s="5"/>
      <c r="J374" s="5"/>
      <c r="L374" s="277"/>
      <c r="M374" s="5"/>
      <c r="R374" s="5"/>
      <c r="S374" s="5"/>
      <c r="T374" s="1120"/>
      <c r="U374" s="5"/>
      <c r="V374" s="5"/>
      <c r="W374" s="5"/>
      <c r="X374" s="1120"/>
      <c r="Y374" s="1120"/>
      <c r="Z374" s="5"/>
      <c r="AA374" s="5"/>
      <c r="AB374" s="1135"/>
      <c r="AC374" s="5"/>
      <c r="AD374" s="5"/>
      <c r="AE374" s="5"/>
      <c r="AF374" s="1120"/>
      <c r="AG374" s="1148"/>
      <c r="AH374" s="1120"/>
      <c r="AI374" s="1120"/>
      <c r="AJ374" s="1120"/>
    </row>
    <row r="375" spans="2:36" ht="30" customHeight="1" x14ac:dyDescent="0.25">
      <c r="B375" s="5"/>
      <c r="C375" s="5"/>
      <c r="D375" s="5" t="s">
        <v>4519</v>
      </c>
      <c r="E375" s="585">
        <f>AK202</f>
        <v>741.80259038125905</v>
      </c>
      <c r="F375" s="5"/>
      <c r="G375" s="5"/>
      <c r="H375" s="5"/>
      <c r="I375" s="5"/>
      <c r="J375" s="5"/>
      <c r="L375" s="277"/>
      <c r="M375" s="5"/>
      <c r="R375" s="5"/>
      <c r="S375" s="5"/>
      <c r="T375" s="1120"/>
      <c r="U375" s="5"/>
      <c r="V375" s="5"/>
      <c r="W375" s="5"/>
      <c r="X375" s="1120"/>
      <c r="Y375" s="1120"/>
      <c r="Z375" s="5"/>
      <c r="AA375" s="5"/>
      <c r="AB375" s="1135"/>
      <c r="AC375" s="5"/>
      <c r="AD375" s="5"/>
      <c r="AE375" s="5"/>
      <c r="AF375" s="1120"/>
      <c r="AG375" s="1148"/>
      <c r="AH375" s="1120"/>
      <c r="AI375" s="1120"/>
      <c r="AJ375" s="1120"/>
    </row>
    <row r="376" spans="2:36" ht="30" customHeight="1" x14ac:dyDescent="0.25">
      <c r="B376" s="5"/>
      <c r="C376" s="5"/>
      <c r="D376" s="5" t="s">
        <v>5470</v>
      </c>
      <c r="E376" s="585">
        <f>AM202</f>
        <v>2225.4077711437772</v>
      </c>
      <c r="F376" s="5"/>
      <c r="G376" s="5"/>
      <c r="H376" s="5"/>
      <c r="I376" s="5"/>
      <c r="J376" s="5"/>
      <c r="L376" s="277"/>
      <c r="M376" s="5"/>
      <c r="R376" s="5"/>
      <c r="S376" s="5"/>
      <c r="T376" s="1120"/>
      <c r="U376" s="5"/>
      <c r="V376" s="5"/>
      <c r="W376" s="5"/>
      <c r="X376" s="1120"/>
      <c r="Y376" s="1120"/>
      <c r="Z376" s="5"/>
      <c r="AA376" s="5"/>
      <c r="AB376" s="1135"/>
      <c r="AC376" s="5"/>
      <c r="AD376" s="5"/>
      <c r="AE376" s="5"/>
      <c r="AF376" s="1120"/>
      <c r="AG376" s="1148"/>
      <c r="AH376" s="1120"/>
      <c r="AI376" s="1120"/>
      <c r="AJ376" s="1120"/>
    </row>
    <row r="377" spans="2:36" ht="30" customHeight="1" x14ac:dyDescent="0.25">
      <c r="B377" s="5"/>
      <c r="C377" s="258" t="s">
        <v>7714</v>
      </c>
      <c r="D377" s="5"/>
      <c r="E377" s="585"/>
      <c r="F377" s="5"/>
      <c r="G377" s="5"/>
      <c r="H377" s="5"/>
      <c r="I377" s="5"/>
      <c r="J377" s="5"/>
      <c r="L377" s="277"/>
      <c r="M377" s="5"/>
      <c r="R377" s="5"/>
      <c r="S377" s="5"/>
      <c r="T377" s="1120"/>
      <c r="U377" s="5"/>
      <c r="V377" s="5"/>
      <c r="W377" s="5"/>
      <c r="X377" s="1120"/>
      <c r="Y377" s="1120"/>
      <c r="Z377" s="5"/>
      <c r="AA377" s="5"/>
      <c r="AB377" s="1135"/>
      <c r="AC377" s="5"/>
      <c r="AD377" s="5"/>
      <c r="AE377" s="5"/>
      <c r="AF377" s="1120"/>
      <c r="AG377" s="1148"/>
      <c r="AH377" s="1120"/>
      <c r="AI377" s="1120"/>
      <c r="AJ377" s="1120"/>
    </row>
    <row r="378" spans="2:36" ht="30" customHeight="1" x14ac:dyDescent="0.25">
      <c r="B378" s="5"/>
      <c r="C378" s="5"/>
      <c r="D378" s="5" t="s">
        <v>3075</v>
      </c>
      <c r="E378" s="585">
        <f>N205</f>
        <v>5175.1115474685648</v>
      </c>
      <c r="F378" s="5"/>
      <c r="G378" s="5"/>
      <c r="H378" s="5"/>
      <c r="I378" s="5"/>
      <c r="J378" s="5"/>
      <c r="L378" s="277"/>
      <c r="M378" s="5"/>
      <c r="R378" s="5"/>
      <c r="S378" s="5"/>
      <c r="T378" s="1120"/>
      <c r="U378" s="5"/>
      <c r="V378" s="5"/>
      <c r="W378" s="5"/>
      <c r="X378" s="1120"/>
      <c r="Y378" s="1120"/>
      <c r="Z378" s="5"/>
      <c r="AA378" s="5"/>
      <c r="AB378" s="1135"/>
      <c r="AC378" s="5"/>
      <c r="AD378" s="5"/>
      <c r="AE378" s="5"/>
      <c r="AF378" s="1120"/>
      <c r="AG378" s="1148"/>
      <c r="AH378" s="1120"/>
      <c r="AI378" s="1120"/>
      <c r="AJ378" s="1120"/>
    </row>
    <row r="379" spans="2:36" ht="30" customHeight="1" x14ac:dyDescent="0.25">
      <c r="B379" s="5"/>
      <c r="C379" s="5"/>
      <c r="D379" s="5" t="s">
        <v>4519</v>
      </c>
      <c r="E379" s="585">
        <f>AK205</f>
        <v>1725.0371824895217</v>
      </c>
      <c r="F379" s="5"/>
      <c r="G379" s="5"/>
      <c r="H379" s="5"/>
      <c r="I379" s="5"/>
      <c r="J379" s="5"/>
      <c r="L379" s="277"/>
      <c r="M379" s="5"/>
      <c r="R379" s="5"/>
      <c r="S379" s="5"/>
      <c r="T379" s="1120"/>
      <c r="U379" s="5"/>
      <c r="V379" s="5"/>
      <c r="W379" s="5"/>
      <c r="X379" s="1120"/>
      <c r="Y379" s="1120"/>
      <c r="Z379" s="5"/>
      <c r="AA379" s="5"/>
      <c r="AB379" s="1135"/>
      <c r="AC379" s="5"/>
      <c r="AD379" s="5"/>
      <c r="AE379" s="5"/>
      <c r="AF379" s="1120"/>
      <c r="AG379" s="1148"/>
      <c r="AH379" s="1120"/>
      <c r="AI379" s="1120"/>
      <c r="AJ379" s="1120"/>
    </row>
    <row r="380" spans="2:36" ht="30" customHeight="1" x14ac:dyDescent="0.25">
      <c r="B380" s="5"/>
      <c r="C380" s="5"/>
      <c r="D380" s="5" t="s">
        <v>5470</v>
      </c>
      <c r="E380" s="585">
        <f>AM205</f>
        <v>5175.1115474685648</v>
      </c>
      <c r="F380" s="5"/>
      <c r="G380" s="5"/>
      <c r="H380" s="5"/>
      <c r="I380" s="5"/>
      <c r="J380" s="5"/>
      <c r="L380" s="277"/>
      <c r="M380" s="5"/>
      <c r="R380" s="5"/>
      <c r="S380" s="5"/>
      <c r="T380" s="1120"/>
      <c r="U380" s="5"/>
      <c r="V380" s="5"/>
      <c r="W380" s="5"/>
      <c r="X380" s="1120"/>
      <c r="Y380" s="1120"/>
      <c r="Z380" s="5"/>
      <c r="AA380" s="5"/>
      <c r="AB380" s="1135"/>
      <c r="AC380" s="5"/>
      <c r="AD380" s="5"/>
      <c r="AE380" s="5"/>
      <c r="AF380" s="1120"/>
      <c r="AG380" s="1148"/>
      <c r="AH380" s="1120"/>
      <c r="AI380" s="1120"/>
      <c r="AJ380" s="1120"/>
    </row>
    <row r="381" spans="2:36" ht="30" customHeight="1" x14ac:dyDescent="0.25">
      <c r="B381" s="5"/>
      <c r="C381" s="5"/>
      <c r="D381" s="5"/>
      <c r="E381" s="5"/>
      <c r="F381" s="5"/>
      <c r="G381" s="5"/>
      <c r="H381" s="5"/>
      <c r="I381" s="5"/>
      <c r="J381" s="5"/>
      <c r="L381" s="277"/>
      <c r="M381" s="5"/>
      <c r="R381" s="5"/>
      <c r="S381" s="5"/>
      <c r="T381" s="1120"/>
      <c r="U381" s="5"/>
      <c r="V381" s="5"/>
      <c r="W381" s="5"/>
      <c r="X381" s="1120"/>
      <c r="Y381" s="1120"/>
      <c r="Z381" s="5"/>
      <c r="AA381" s="5"/>
      <c r="AB381" s="1135"/>
      <c r="AC381" s="5"/>
      <c r="AD381" s="5"/>
      <c r="AE381" s="5"/>
      <c r="AF381" s="1120"/>
      <c r="AG381" s="1148"/>
      <c r="AH381" s="1120"/>
      <c r="AI381" s="1120"/>
      <c r="AJ381" s="1120"/>
    </row>
    <row r="382" spans="2:36" ht="30" customHeight="1" x14ac:dyDescent="0.25">
      <c r="B382" s="5"/>
      <c r="C382" s="258" t="s">
        <v>7742</v>
      </c>
      <c r="D382" s="5"/>
      <c r="E382" s="5"/>
      <c r="F382" s="5"/>
      <c r="G382" s="5"/>
      <c r="H382" s="5"/>
      <c r="I382" s="5"/>
      <c r="J382" s="5"/>
      <c r="L382" s="277"/>
      <c r="M382" s="5"/>
      <c r="R382" s="5"/>
      <c r="S382" s="5"/>
      <c r="T382" s="1120"/>
      <c r="U382" s="5"/>
      <c r="V382" s="5"/>
      <c r="W382" s="5"/>
      <c r="X382" s="1120"/>
      <c r="Y382" s="1120"/>
      <c r="Z382" s="5"/>
      <c r="AA382" s="5"/>
      <c r="AB382" s="1135"/>
      <c r="AC382" s="5"/>
      <c r="AD382" s="5"/>
      <c r="AE382" s="5"/>
      <c r="AF382" s="1120"/>
      <c r="AG382" s="1148"/>
      <c r="AH382" s="1120"/>
      <c r="AI382" s="1120"/>
      <c r="AJ382" s="1120"/>
    </row>
    <row r="383" spans="2:36" ht="30" customHeight="1" x14ac:dyDescent="0.25">
      <c r="B383" s="5"/>
      <c r="C383" s="258" t="s">
        <v>2598</v>
      </c>
      <c r="D383" s="5"/>
      <c r="E383" s="5"/>
      <c r="F383" s="5"/>
      <c r="G383" s="5"/>
      <c r="H383" s="5"/>
      <c r="I383" s="5"/>
      <c r="J383" s="5"/>
      <c r="L383" s="277"/>
      <c r="M383" s="5"/>
      <c r="R383" s="5"/>
      <c r="S383" s="5"/>
      <c r="T383" s="1120"/>
      <c r="U383" s="5"/>
      <c r="V383" s="5"/>
      <c r="W383" s="5"/>
      <c r="X383" s="1120"/>
      <c r="Y383" s="1120"/>
      <c r="Z383" s="5"/>
      <c r="AA383" s="5"/>
      <c r="AB383" s="1135"/>
      <c r="AC383" s="5"/>
      <c r="AD383" s="5"/>
      <c r="AE383" s="5"/>
      <c r="AF383" s="1120"/>
      <c r="AG383" s="1148"/>
      <c r="AH383" s="1120"/>
      <c r="AI383" s="1120"/>
      <c r="AJ383" s="1120"/>
    </row>
    <row r="384" spans="2:36" ht="30" customHeight="1" x14ac:dyDescent="0.25">
      <c r="B384" s="5"/>
      <c r="C384" s="5"/>
      <c r="D384" s="5" t="s">
        <v>3075</v>
      </c>
      <c r="E384" s="585">
        <f>N2020+N208+209</f>
        <v>1947.6098212060758</v>
      </c>
      <c r="F384" s="5"/>
      <c r="G384" s="5"/>
      <c r="H384" s="5"/>
      <c r="I384" s="5"/>
      <c r="J384" s="5"/>
      <c r="L384" s="277"/>
      <c r="M384" s="5"/>
      <c r="R384" s="5"/>
      <c r="S384" s="5"/>
      <c r="T384" s="1120"/>
      <c r="U384" s="5"/>
      <c r="V384" s="5"/>
      <c r="W384" s="5"/>
      <c r="X384" s="1120"/>
      <c r="Y384" s="1120"/>
      <c r="Z384" s="5"/>
      <c r="AA384" s="5"/>
      <c r="AB384" s="1135"/>
      <c r="AC384" s="5"/>
      <c r="AD384" s="5"/>
      <c r="AE384" s="5"/>
      <c r="AF384" s="1120"/>
      <c r="AG384" s="1148"/>
      <c r="AH384" s="1120"/>
      <c r="AI384" s="1120"/>
      <c r="AJ384" s="1120"/>
    </row>
    <row r="385" spans="2:36" ht="30" customHeight="1" x14ac:dyDescent="0.25">
      <c r="B385" s="5"/>
      <c r="C385" s="5"/>
      <c r="D385" s="5" t="s">
        <v>4519</v>
      </c>
      <c r="E385" s="585">
        <f>AK207+AK208+AK209</f>
        <v>1738.609821206076</v>
      </c>
      <c r="F385" s="5"/>
      <c r="G385" s="5"/>
      <c r="H385" s="5"/>
      <c r="I385" s="5"/>
      <c r="J385" s="5"/>
      <c r="L385" s="277"/>
      <c r="M385" s="5"/>
      <c r="R385" s="5"/>
      <c r="S385" s="5"/>
      <c r="T385" s="1120"/>
      <c r="U385" s="5"/>
      <c r="V385" s="5"/>
      <c r="W385" s="5"/>
      <c r="X385" s="1120"/>
      <c r="Y385" s="1120"/>
      <c r="Z385" s="5"/>
      <c r="AA385" s="5"/>
      <c r="AB385" s="1135"/>
      <c r="AC385" s="5"/>
      <c r="AD385" s="5"/>
      <c r="AE385" s="5"/>
      <c r="AF385" s="1120"/>
      <c r="AG385" s="1148"/>
      <c r="AH385" s="1120"/>
      <c r="AI385" s="1120"/>
      <c r="AJ385" s="1120"/>
    </row>
    <row r="386" spans="2:36" ht="30" customHeight="1" x14ac:dyDescent="0.25">
      <c r="B386" s="5"/>
      <c r="C386" s="5"/>
      <c r="D386" s="5" t="s">
        <v>2736</v>
      </c>
      <c r="E386" s="585">
        <f>AM207+AM208+AM209</f>
        <v>5215.8294636182272</v>
      </c>
      <c r="F386" s="5"/>
      <c r="G386" s="5"/>
      <c r="H386" s="5"/>
      <c r="I386" s="5"/>
      <c r="J386" s="5"/>
      <c r="L386" s="277"/>
      <c r="M386" s="5"/>
      <c r="R386" s="5"/>
      <c r="S386" s="5"/>
      <c r="T386" s="1120"/>
      <c r="U386" s="5"/>
      <c r="V386" s="5"/>
      <c r="W386" s="5"/>
      <c r="X386" s="1120"/>
      <c r="Y386" s="1120"/>
      <c r="Z386" s="5"/>
      <c r="AA386" s="5"/>
      <c r="AB386" s="1135"/>
      <c r="AC386" s="5"/>
      <c r="AD386" s="5"/>
      <c r="AE386" s="5"/>
      <c r="AF386" s="1120"/>
      <c r="AG386" s="1148"/>
      <c r="AH386" s="1120"/>
      <c r="AI386" s="1120"/>
      <c r="AJ386" s="1120"/>
    </row>
    <row r="387" spans="2:36" ht="30" customHeight="1" x14ac:dyDescent="0.25">
      <c r="B387" s="5"/>
      <c r="C387" s="5"/>
      <c r="D387" s="5" t="s">
        <v>2782</v>
      </c>
      <c r="E387" s="585">
        <f>AE207+AE208+AE209</f>
        <v>825.17000000000007</v>
      </c>
      <c r="F387" s="5"/>
      <c r="G387" s="5"/>
      <c r="H387" s="5"/>
      <c r="I387" s="5"/>
      <c r="J387" s="5"/>
      <c r="L387" s="277"/>
      <c r="M387" s="5"/>
      <c r="R387" s="5"/>
      <c r="S387" s="5"/>
      <c r="T387" s="1120"/>
      <c r="U387" s="5"/>
      <c r="V387" s="5"/>
      <c r="W387" s="5"/>
      <c r="X387" s="1120"/>
      <c r="Y387" s="1120"/>
      <c r="Z387" s="5"/>
      <c r="AA387" s="5"/>
      <c r="AB387" s="1135"/>
      <c r="AC387" s="5"/>
      <c r="AD387" s="5"/>
      <c r="AE387" s="5"/>
      <c r="AF387" s="1120"/>
      <c r="AG387" s="1148"/>
      <c r="AH387" s="1120"/>
      <c r="AI387" s="1120"/>
      <c r="AJ387" s="1120"/>
    </row>
    <row r="388" spans="2:36" ht="30" customHeight="1" x14ac:dyDescent="0.25">
      <c r="B388" s="5"/>
      <c r="C388" s="5"/>
      <c r="D388" s="5" t="s">
        <v>2741</v>
      </c>
      <c r="E388" s="585">
        <f>Y207+Y208+Y209</f>
        <v>230.28000000000003</v>
      </c>
      <c r="F388" s="5"/>
      <c r="G388" s="5"/>
      <c r="H388" s="5"/>
      <c r="I388" s="5"/>
      <c r="J388" s="5"/>
      <c r="L388" s="277"/>
      <c r="M388" s="5"/>
      <c r="R388" s="5"/>
      <c r="S388" s="5"/>
      <c r="T388" s="1120"/>
      <c r="U388" s="5"/>
      <c r="V388" s="5"/>
      <c r="W388" s="5"/>
      <c r="X388" s="1120"/>
      <c r="Y388" s="1120"/>
      <c r="Z388" s="5"/>
      <c r="AA388" s="5"/>
      <c r="AB388" s="1135"/>
      <c r="AC388" s="5"/>
      <c r="AD388" s="5"/>
      <c r="AE388" s="5"/>
      <c r="AF388" s="1120"/>
      <c r="AG388" s="1148"/>
      <c r="AH388" s="1120"/>
      <c r="AI388" s="1120"/>
      <c r="AJ388" s="1120"/>
    </row>
    <row r="389" spans="2:36" ht="30" customHeight="1" x14ac:dyDescent="0.25">
      <c r="B389" s="5"/>
      <c r="C389" s="258" t="s">
        <v>2595</v>
      </c>
      <c r="D389" s="5"/>
      <c r="E389" s="5"/>
      <c r="F389" s="5"/>
      <c r="G389" s="5"/>
      <c r="H389" s="5"/>
      <c r="I389" s="5"/>
      <c r="J389" s="5"/>
      <c r="L389" s="277"/>
      <c r="M389" s="5"/>
      <c r="R389" s="5"/>
      <c r="S389" s="5"/>
      <c r="T389" s="1120"/>
      <c r="U389" s="5"/>
      <c r="V389" s="5"/>
      <c r="W389" s="5"/>
      <c r="X389" s="1120"/>
      <c r="Y389" s="1120"/>
      <c r="Z389" s="5"/>
      <c r="AA389" s="5"/>
      <c r="AB389" s="1135"/>
      <c r="AC389" s="5"/>
      <c r="AD389" s="5"/>
      <c r="AE389" s="5"/>
      <c r="AF389" s="1120"/>
      <c r="AG389" s="1148"/>
      <c r="AH389" s="1120"/>
      <c r="AI389" s="1120"/>
      <c r="AJ389" s="1120"/>
    </row>
    <row r="390" spans="2:36" ht="30" customHeight="1" x14ac:dyDescent="0.25">
      <c r="B390" s="5"/>
      <c r="C390" s="5"/>
      <c r="D390" s="5" t="s">
        <v>3075</v>
      </c>
      <c r="E390" s="585">
        <f>N213</f>
        <v>1822.0526126239674</v>
      </c>
      <c r="F390" s="5"/>
      <c r="G390" s="5"/>
      <c r="H390" s="5"/>
      <c r="I390" s="5"/>
      <c r="J390" s="5"/>
      <c r="L390" s="277"/>
      <c r="M390" s="5"/>
      <c r="R390" s="5"/>
      <c r="S390" s="5"/>
      <c r="T390" s="1120"/>
      <c r="U390" s="5"/>
      <c r="V390" s="5"/>
      <c r="W390" s="5"/>
      <c r="X390" s="1120"/>
      <c r="Y390" s="1120"/>
      <c r="Z390" s="5"/>
      <c r="AA390" s="5"/>
      <c r="AB390" s="1135"/>
      <c r="AC390" s="5"/>
      <c r="AD390" s="5"/>
      <c r="AE390" s="5"/>
      <c r="AF390" s="1120"/>
      <c r="AG390" s="1148"/>
      <c r="AH390" s="1120"/>
      <c r="AI390" s="1120"/>
      <c r="AJ390" s="1120"/>
    </row>
    <row r="391" spans="2:36" ht="30" customHeight="1" x14ac:dyDescent="0.25">
      <c r="B391" s="5"/>
      <c r="C391" s="5"/>
      <c r="D391" s="5" t="s">
        <v>3411</v>
      </c>
      <c r="E391" s="585">
        <f>S213</f>
        <v>91.10263063119838</v>
      </c>
      <c r="F391" s="5"/>
      <c r="G391" s="5"/>
      <c r="H391" s="5"/>
      <c r="I391" s="5"/>
      <c r="J391" s="5"/>
      <c r="L391" s="277"/>
      <c r="M391" s="5"/>
      <c r="R391" s="5"/>
      <c r="S391" s="5"/>
      <c r="T391" s="1120"/>
      <c r="U391" s="5"/>
      <c r="V391" s="5"/>
      <c r="W391" s="5"/>
      <c r="X391" s="1120"/>
      <c r="Y391" s="1120"/>
      <c r="Z391" s="5"/>
      <c r="AA391" s="5"/>
      <c r="AB391" s="1135"/>
      <c r="AC391" s="5"/>
      <c r="AD391" s="5"/>
      <c r="AE391" s="5"/>
      <c r="AF391" s="1120"/>
      <c r="AG391" s="1148"/>
      <c r="AH391" s="1120"/>
      <c r="AI391" s="1120"/>
      <c r="AJ391" s="1120"/>
    </row>
    <row r="392" spans="2:36" ht="30" customHeight="1" x14ac:dyDescent="0.25">
      <c r="B392" s="5"/>
      <c r="C392" s="5"/>
      <c r="D392" s="5" t="s">
        <v>4847</v>
      </c>
      <c r="E392" s="585">
        <f>AL213</f>
        <v>30.367543543732793</v>
      </c>
      <c r="F392" s="5"/>
      <c r="G392" s="5"/>
      <c r="H392" s="5"/>
      <c r="I392" s="5"/>
      <c r="J392" s="5"/>
      <c r="L392" s="277"/>
      <c r="M392" s="5"/>
      <c r="R392" s="5"/>
      <c r="S392" s="5"/>
      <c r="T392" s="1120"/>
      <c r="U392" s="5"/>
      <c r="V392" s="5"/>
      <c r="W392" s="5"/>
      <c r="X392" s="1120"/>
      <c r="Y392" s="1120"/>
      <c r="Z392" s="5"/>
      <c r="AA392" s="5"/>
      <c r="AB392" s="1135"/>
      <c r="AC392" s="5"/>
      <c r="AD392" s="5"/>
      <c r="AE392" s="5"/>
      <c r="AF392" s="1120"/>
      <c r="AG392" s="1148"/>
      <c r="AH392" s="1120"/>
      <c r="AI392" s="1120"/>
      <c r="AJ392" s="1120"/>
    </row>
    <row r="393" spans="2:36" ht="30" customHeight="1" x14ac:dyDescent="0.25">
      <c r="B393" s="5"/>
      <c r="C393" s="5"/>
      <c r="D393" s="5" t="s">
        <v>5298</v>
      </c>
      <c r="E393" s="585">
        <f>AN213</f>
        <v>91.10263063119838</v>
      </c>
      <c r="F393" s="5"/>
      <c r="G393" s="5"/>
      <c r="H393" s="5"/>
      <c r="I393" s="5"/>
      <c r="J393" s="5"/>
      <c r="L393" s="277"/>
      <c r="M393" s="5"/>
      <c r="R393" s="5"/>
      <c r="S393" s="5"/>
      <c r="T393" s="1120"/>
      <c r="U393" s="5"/>
      <c r="V393" s="5"/>
      <c r="W393" s="5"/>
      <c r="X393" s="1120"/>
      <c r="Y393" s="1120"/>
      <c r="Z393" s="5"/>
      <c r="AA393" s="5"/>
      <c r="AB393" s="1135"/>
      <c r="AC393" s="5"/>
      <c r="AD393" s="5"/>
      <c r="AE393" s="5"/>
      <c r="AF393" s="1120"/>
      <c r="AG393" s="1148"/>
      <c r="AH393" s="1120"/>
      <c r="AI393" s="1120"/>
      <c r="AJ393" s="1120"/>
    </row>
    <row r="394" spans="2:36" ht="30" customHeight="1" x14ac:dyDescent="0.25">
      <c r="B394" s="5"/>
      <c r="C394" s="5"/>
      <c r="D394" s="5" t="s">
        <v>4519</v>
      </c>
      <c r="E394" s="585">
        <f>AK213</f>
        <v>607.35087087465581</v>
      </c>
      <c r="F394" s="5"/>
      <c r="G394" s="5"/>
      <c r="H394" s="5"/>
      <c r="I394" s="5"/>
      <c r="J394" s="5"/>
      <c r="L394" s="277"/>
      <c r="M394" s="5"/>
      <c r="R394" s="5"/>
      <c r="S394" s="5"/>
      <c r="T394" s="1120"/>
      <c r="U394" s="5"/>
      <c r="V394" s="5"/>
      <c r="W394" s="5"/>
      <c r="X394" s="1120"/>
      <c r="Y394" s="1120"/>
      <c r="Z394" s="5"/>
      <c r="AA394" s="5"/>
      <c r="AB394" s="1135"/>
      <c r="AC394" s="5"/>
      <c r="AD394" s="5"/>
      <c r="AE394" s="5"/>
      <c r="AF394" s="1120"/>
      <c r="AG394" s="1148"/>
      <c r="AH394" s="1120"/>
      <c r="AI394" s="1120"/>
      <c r="AJ394" s="1120"/>
    </row>
    <row r="395" spans="2:36" ht="30" customHeight="1" x14ac:dyDescent="0.25">
      <c r="B395" s="5"/>
      <c r="C395" s="5"/>
      <c r="D395" s="5" t="s">
        <v>2736</v>
      </c>
      <c r="E395" s="585">
        <f>AM213</f>
        <v>1822.0526126239674</v>
      </c>
      <c r="F395" s="5"/>
      <c r="G395" s="5"/>
      <c r="H395" s="5"/>
      <c r="I395" s="5"/>
      <c r="J395" s="5"/>
      <c r="L395" s="277"/>
      <c r="M395" s="5"/>
      <c r="R395" s="5"/>
      <c r="S395" s="5"/>
      <c r="T395" s="1120"/>
      <c r="U395" s="5"/>
      <c r="V395" s="5"/>
      <c r="W395" s="5"/>
      <c r="X395" s="1120"/>
      <c r="Y395" s="1120"/>
      <c r="Z395" s="5"/>
      <c r="AA395" s="5"/>
      <c r="AB395" s="1135"/>
      <c r="AC395" s="5"/>
      <c r="AD395" s="5"/>
      <c r="AE395" s="5"/>
      <c r="AF395" s="1120"/>
      <c r="AG395" s="1148"/>
      <c r="AH395" s="1120"/>
      <c r="AI395" s="1120"/>
      <c r="AJ395" s="1120"/>
    </row>
    <row r="396" spans="2:36" ht="30" customHeight="1" x14ac:dyDescent="0.25">
      <c r="B396" s="5"/>
      <c r="C396" s="5"/>
      <c r="D396" s="5" t="s">
        <v>2741</v>
      </c>
      <c r="E396" s="585">
        <f>Y213</f>
        <v>71.91</v>
      </c>
      <c r="F396" s="5"/>
      <c r="G396" s="5"/>
      <c r="H396" s="5"/>
      <c r="I396" s="5"/>
      <c r="J396" s="5"/>
      <c r="L396" s="277"/>
      <c r="M396" s="5"/>
      <c r="R396" s="5"/>
      <c r="S396" s="5"/>
      <c r="T396" s="1120"/>
      <c r="U396" s="5"/>
      <c r="V396" s="5"/>
      <c r="W396" s="5"/>
      <c r="X396" s="1120"/>
      <c r="Y396" s="1120"/>
      <c r="Z396" s="5"/>
      <c r="AA396" s="5"/>
      <c r="AB396" s="1135"/>
      <c r="AC396" s="5"/>
      <c r="AD396" s="5"/>
      <c r="AE396" s="5"/>
      <c r="AF396" s="1120"/>
      <c r="AG396" s="1148"/>
      <c r="AH396" s="1120"/>
      <c r="AI396" s="1120"/>
      <c r="AJ396" s="1120"/>
    </row>
    <row r="397" spans="2:36" ht="30" customHeight="1" x14ac:dyDescent="0.25">
      <c r="B397" s="5"/>
      <c r="C397" s="5"/>
      <c r="D397" s="5" t="s">
        <v>2782</v>
      </c>
      <c r="E397" s="585">
        <f>AE213</f>
        <v>268.66000000000003</v>
      </c>
      <c r="F397" s="5"/>
      <c r="G397" s="5"/>
      <c r="H397" s="5"/>
      <c r="I397" s="5"/>
      <c r="J397" s="5"/>
      <c r="L397" s="277"/>
      <c r="M397" s="5"/>
      <c r="R397" s="5"/>
      <c r="S397" s="5"/>
      <c r="T397" s="1120"/>
      <c r="U397" s="5"/>
      <c r="V397" s="5"/>
      <c r="W397" s="5"/>
      <c r="X397" s="1120"/>
      <c r="Y397" s="1120"/>
      <c r="Z397" s="5"/>
      <c r="AA397" s="5"/>
      <c r="AB397" s="1135"/>
      <c r="AC397" s="5"/>
      <c r="AD397" s="5"/>
      <c r="AE397" s="5"/>
      <c r="AF397" s="1120"/>
      <c r="AG397" s="1148"/>
      <c r="AH397" s="1120"/>
      <c r="AI397" s="1120"/>
      <c r="AJ397" s="1120"/>
    </row>
    <row r="398" spans="2:36" ht="30" customHeight="1" x14ac:dyDescent="0.25">
      <c r="B398" s="5"/>
      <c r="C398" s="258" t="s">
        <v>2594</v>
      </c>
      <c r="D398" s="5"/>
      <c r="E398" s="5"/>
      <c r="F398" s="5"/>
      <c r="G398" s="5"/>
      <c r="H398" s="5"/>
      <c r="I398" s="5"/>
      <c r="J398" s="5"/>
      <c r="L398" s="277"/>
      <c r="M398" s="5"/>
      <c r="R398" s="5"/>
      <c r="S398" s="5"/>
      <c r="T398" s="1120"/>
      <c r="U398" s="5"/>
      <c r="V398" s="5"/>
      <c r="W398" s="5"/>
      <c r="X398" s="1120"/>
      <c r="Y398" s="1120"/>
      <c r="Z398" s="5"/>
      <c r="AA398" s="5"/>
      <c r="AB398" s="1135"/>
      <c r="AC398" s="5"/>
      <c r="AD398" s="5"/>
      <c r="AE398" s="5"/>
      <c r="AF398" s="1120"/>
      <c r="AG398" s="1148"/>
      <c r="AH398" s="1120"/>
      <c r="AI398" s="1120"/>
      <c r="AJ398" s="1120"/>
    </row>
    <row r="399" spans="2:36" ht="30" customHeight="1" x14ac:dyDescent="0.25">
      <c r="B399" s="5"/>
      <c r="C399" s="5"/>
      <c r="D399" s="5" t="s">
        <v>3075</v>
      </c>
      <c r="E399" s="585">
        <v>0</v>
      </c>
      <c r="F399" s="5"/>
      <c r="G399" s="5"/>
      <c r="H399" s="5"/>
      <c r="I399" s="5"/>
      <c r="J399" s="5"/>
      <c r="L399" s="277"/>
      <c r="M399" s="5"/>
      <c r="R399" s="5"/>
      <c r="S399" s="5"/>
      <c r="T399" s="1120"/>
      <c r="U399" s="5"/>
      <c r="V399" s="5"/>
      <c r="W399" s="5"/>
      <c r="X399" s="1120"/>
      <c r="Y399" s="1120"/>
      <c r="Z399" s="5"/>
      <c r="AA399" s="5"/>
      <c r="AB399" s="1135"/>
      <c r="AC399" s="5"/>
      <c r="AD399" s="5"/>
      <c r="AE399" s="5"/>
      <c r="AF399" s="1120"/>
      <c r="AG399" s="1148"/>
      <c r="AH399" s="1120"/>
      <c r="AI399" s="1120"/>
      <c r="AJ399" s="1120"/>
    </row>
    <row r="400" spans="2:36" ht="30" customHeight="1" x14ac:dyDescent="0.25">
      <c r="B400" s="5"/>
      <c r="C400" s="5"/>
      <c r="D400" s="5" t="s">
        <v>4519</v>
      </c>
      <c r="E400" s="585">
        <v>0</v>
      </c>
      <c r="F400" s="5"/>
      <c r="G400" s="5"/>
      <c r="H400" s="5"/>
      <c r="I400" s="5"/>
      <c r="J400" s="5"/>
      <c r="L400" s="277"/>
      <c r="M400" s="5"/>
      <c r="R400" s="5"/>
      <c r="S400" s="5"/>
      <c r="T400" s="1120"/>
      <c r="U400" s="5"/>
      <c r="V400" s="5"/>
      <c r="W400" s="5"/>
      <c r="X400" s="1120"/>
      <c r="Y400" s="1120"/>
      <c r="Z400" s="5"/>
      <c r="AA400" s="5"/>
      <c r="AB400" s="1135"/>
      <c r="AC400" s="5"/>
      <c r="AD400" s="5"/>
      <c r="AE400" s="5"/>
      <c r="AF400" s="1120"/>
      <c r="AG400" s="1148"/>
      <c r="AH400" s="1120"/>
      <c r="AI400" s="1120"/>
      <c r="AJ400" s="1120"/>
    </row>
    <row r="401" spans="2:36" ht="30" customHeight="1" x14ac:dyDescent="0.25">
      <c r="B401" s="5"/>
      <c r="C401" s="5"/>
      <c r="D401" s="5" t="s">
        <v>5470</v>
      </c>
      <c r="E401" s="585">
        <v>0</v>
      </c>
      <c r="F401" s="5"/>
      <c r="G401" s="5"/>
      <c r="H401" s="5"/>
      <c r="I401" s="5"/>
      <c r="J401" s="5"/>
      <c r="L401" s="277"/>
      <c r="M401" s="5"/>
      <c r="R401" s="5"/>
      <c r="S401" s="5"/>
      <c r="T401" s="1120"/>
      <c r="U401" s="5"/>
      <c r="V401" s="5"/>
      <c r="W401" s="5"/>
      <c r="X401" s="1120"/>
      <c r="Y401" s="1120"/>
      <c r="Z401" s="5"/>
      <c r="AA401" s="5"/>
      <c r="AB401" s="1135"/>
      <c r="AC401" s="5"/>
      <c r="AD401" s="5"/>
      <c r="AE401" s="5"/>
      <c r="AF401" s="1120"/>
      <c r="AG401" s="1148"/>
      <c r="AH401" s="1120"/>
      <c r="AI401" s="1120"/>
      <c r="AJ401" s="1120"/>
    </row>
    <row r="402" spans="2:36" ht="30" customHeight="1" x14ac:dyDescent="0.25">
      <c r="B402" s="5"/>
      <c r="C402" s="258" t="s">
        <v>7743</v>
      </c>
      <c r="D402" s="5"/>
      <c r="E402" s="5"/>
      <c r="F402" s="5"/>
      <c r="G402" s="5"/>
      <c r="H402" s="5"/>
      <c r="I402" s="5"/>
      <c r="J402" s="5"/>
      <c r="L402" s="277"/>
      <c r="M402" s="5"/>
      <c r="R402" s="5"/>
      <c r="S402" s="5"/>
      <c r="T402" s="1120"/>
      <c r="U402" s="5"/>
      <c r="V402" s="5"/>
      <c r="W402" s="5"/>
      <c r="X402" s="1120"/>
      <c r="Y402" s="1120"/>
      <c r="Z402" s="5"/>
      <c r="AA402" s="5"/>
      <c r="AB402" s="1135"/>
      <c r="AC402" s="5"/>
      <c r="AD402" s="5"/>
      <c r="AE402" s="5"/>
      <c r="AF402" s="1120"/>
      <c r="AG402" s="1148"/>
      <c r="AH402" s="1120"/>
      <c r="AI402" s="1120"/>
      <c r="AJ402" s="1120"/>
    </row>
    <row r="403" spans="2:36" ht="30" customHeight="1" x14ac:dyDescent="0.25">
      <c r="B403" s="5"/>
      <c r="C403" s="258" t="s">
        <v>2598</v>
      </c>
      <c r="D403" s="5"/>
      <c r="E403" s="5"/>
      <c r="F403" s="5"/>
      <c r="G403" s="5"/>
      <c r="H403" s="5"/>
      <c r="I403" s="5"/>
      <c r="J403" s="5"/>
      <c r="L403" s="277"/>
      <c r="M403" s="5"/>
      <c r="R403" s="5"/>
      <c r="S403" s="5"/>
      <c r="T403" s="1120"/>
      <c r="U403" s="5"/>
      <c r="V403" s="5"/>
      <c r="W403" s="5"/>
      <c r="X403" s="1120"/>
      <c r="Y403" s="1120"/>
      <c r="Z403" s="5"/>
      <c r="AA403" s="5"/>
      <c r="AB403" s="1135"/>
      <c r="AC403" s="5"/>
      <c r="AD403" s="5"/>
      <c r="AE403" s="5"/>
      <c r="AF403" s="1120"/>
      <c r="AG403" s="1148"/>
      <c r="AH403" s="1120"/>
      <c r="AI403" s="1120"/>
      <c r="AJ403" s="1120"/>
    </row>
    <row r="404" spans="2:36" ht="30" customHeight="1" x14ac:dyDescent="0.25">
      <c r="B404" s="5"/>
      <c r="C404" s="5"/>
      <c r="D404" s="5" t="s">
        <v>3075</v>
      </c>
      <c r="E404" s="585">
        <v>0</v>
      </c>
      <c r="F404" s="5"/>
      <c r="G404" s="5"/>
      <c r="H404" s="5"/>
      <c r="I404" s="5"/>
      <c r="J404" s="5"/>
      <c r="L404" s="277"/>
      <c r="M404" s="5"/>
      <c r="R404" s="5"/>
      <c r="S404" s="5"/>
      <c r="T404" s="1120"/>
      <c r="U404" s="5"/>
      <c r="V404" s="5"/>
      <c r="W404" s="5"/>
      <c r="X404" s="1120"/>
      <c r="Y404" s="1120"/>
      <c r="Z404" s="5"/>
      <c r="AA404" s="5"/>
      <c r="AB404" s="1135"/>
      <c r="AC404" s="5"/>
      <c r="AD404" s="5"/>
      <c r="AE404" s="5"/>
      <c r="AF404" s="1120"/>
      <c r="AG404" s="1148"/>
      <c r="AH404" s="1120"/>
      <c r="AI404" s="1120"/>
      <c r="AJ404" s="1120"/>
    </row>
    <row r="405" spans="2:36" ht="30" customHeight="1" x14ac:dyDescent="0.25">
      <c r="B405" s="5"/>
      <c r="C405" s="5"/>
      <c r="D405" s="5" t="s">
        <v>4519</v>
      </c>
      <c r="E405" s="585">
        <v>0</v>
      </c>
      <c r="F405" s="5"/>
      <c r="G405" s="5"/>
      <c r="H405" s="5"/>
      <c r="I405" s="5"/>
      <c r="J405" s="5"/>
      <c r="L405" s="277"/>
      <c r="M405" s="5"/>
      <c r="R405" s="5"/>
      <c r="S405" s="5"/>
      <c r="T405" s="1120"/>
      <c r="U405" s="5"/>
      <c r="V405" s="5"/>
      <c r="W405" s="5"/>
      <c r="X405" s="1120"/>
      <c r="Y405" s="1120"/>
      <c r="Z405" s="5"/>
      <c r="AA405" s="5"/>
      <c r="AB405" s="1135"/>
      <c r="AC405" s="5"/>
      <c r="AD405" s="5"/>
      <c r="AE405" s="5"/>
      <c r="AF405" s="1120"/>
      <c r="AG405" s="1148"/>
      <c r="AH405" s="1120"/>
      <c r="AI405" s="1120"/>
      <c r="AJ405" s="1120"/>
    </row>
    <row r="406" spans="2:36" ht="30" customHeight="1" x14ac:dyDescent="0.25">
      <c r="B406" s="5"/>
      <c r="C406" s="5"/>
      <c r="D406" s="5" t="s">
        <v>2736</v>
      </c>
      <c r="E406" s="585">
        <v>0</v>
      </c>
      <c r="F406" s="5"/>
      <c r="G406" s="5"/>
      <c r="H406" s="5"/>
      <c r="I406" s="5"/>
      <c r="J406" s="5"/>
      <c r="L406" s="277"/>
      <c r="M406" s="5"/>
      <c r="R406" s="5"/>
      <c r="S406" s="5"/>
      <c r="T406" s="1120"/>
      <c r="U406" s="5"/>
      <c r="V406" s="5"/>
      <c r="W406" s="5"/>
      <c r="X406" s="1120"/>
      <c r="Y406" s="1120"/>
      <c r="Z406" s="5"/>
      <c r="AA406" s="5"/>
      <c r="AB406" s="1135"/>
      <c r="AC406" s="5"/>
      <c r="AD406" s="5"/>
      <c r="AE406" s="5"/>
      <c r="AF406" s="1120"/>
      <c r="AG406" s="1148"/>
      <c r="AH406" s="1120"/>
      <c r="AI406" s="1120"/>
      <c r="AJ406" s="1120"/>
    </row>
    <row r="407" spans="2:36" ht="30" customHeight="1" x14ac:dyDescent="0.25">
      <c r="B407" s="5"/>
      <c r="C407" s="5"/>
      <c r="D407" s="5" t="s">
        <v>2782</v>
      </c>
      <c r="E407" s="585">
        <v>0</v>
      </c>
      <c r="F407" s="5"/>
      <c r="G407" s="5"/>
      <c r="H407" s="5"/>
      <c r="I407" s="5"/>
      <c r="J407" s="5"/>
      <c r="L407" s="277"/>
      <c r="M407" s="5"/>
      <c r="R407" s="5"/>
      <c r="S407" s="5"/>
      <c r="T407" s="1120"/>
      <c r="U407" s="5"/>
      <c r="V407" s="5"/>
      <c r="W407" s="5"/>
      <c r="X407" s="1120"/>
      <c r="Y407" s="1120"/>
      <c r="Z407" s="5"/>
      <c r="AA407" s="5"/>
      <c r="AB407" s="1135"/>
      <c r="AC407" s="5"/>
      <c r="AD407" s="5"/>
      <c r="AE407" s="5"/>
      <c r="AF407" s="1120"/>
      <c r="AG407" s="1148"/>
      <c r="AH407" s="1120"/>
      <c r="AI407" s="1120"/>
      <c r="AJ407" s="1120"/>
    </row>
    <row r="408" spans="2:36" ht="30" customHeight="1" x14ac:dyDescent="0.25">
      <c r="B408" s="5"/>
      <c r="C408" s="5"/>
      <c r="D408" s="5" t="s">
        <v>2741</v>
      </c>
      <c r="E408" s="585">
        <v>0</v>
      </c>
      <c r="F408" s="5"/>
      <c r="G408" s="5"/>
      <c r="H408" s="5"/>
      <c r="I408" s="5"/>
      <c r="J408" s="5"/>
      <c r="L408" s="277"/>
      <c r="M408" s="5"/>
      <c r="R408" s="5"/>
      <c r="S408" s="5"/>
      <c r="T408" s="1120"/>
      <c r="U408" s="5"/>
      <c r="V408" s="5"/>
      <c r="W408" s="5"/>
      <c r="X408" s="1120"/>
      <c r="Y408" s="1120"/>
      <c r="Z408" s="5"/>
      <c r="AA408" s="5"/>
      <c r="AB408" s="1135"/>
      <c r="AC408" s="5"/>
      <c r="AD408" s="5"/>
      <c r="AE408" s="5"/>
      <c r="AF408" s="1120"/>
      <c r="AG408" s="1148"/>
      <c r="AH408" s="1120"/>
      <c r="AI408" s="1120"/>
      <c r="AJ408" s="1120"/>
    </row>
    <row r="409" spans="2:36" ht="30" customHeight="1" x14ac:dyDescent="0.25">
      <c r="B409" s="5"/>
      <c r="C409" s="258" t="s">
        <v>2595</v>
      </c>
      <c r="D409" s="5"/>
      <c r="E409" s="5"/>
      <c r="F409" s="5"/>
      <c r="G409" s="5"/>
      <c r="H409" s="5"/>
      <c r="I409" s="5"/>
      <c r="J409" s="5"/>
      <c r="L409" s="277"/>
      <c r="M409" s="5"/>
      <c r="R409" s="5"/>
      <c r="S409" s="5"/>
      <c r="T409" s="1120"/>
      <c r="U409" s="5"/>
      <c r="V409" s="5"/>
      <c r="W409" s="5"/>
      <c r="X409" s="1120"/>
      <c r="Y409" s="1120"/>
      <c r="Z409" s="5"/>
      <c r="AA409" s="5"/>
      <c r="AB409" s="1135"/>
      <c r="AC409" s="5"/>
      <c r="AD409" s="5"/>
      <c r="AE409" s="5"/>
      <c r="AF409" s="1120"/>
      <c r="AG409" s="1148"/>
      <c r="AH409" s="1120"/>
      <c r="AI409" s="1120"/>
      <c r="AJ409" s="1120"/>
    </row>
    <row r="410" spans="2:36" ht="30" customHeight="1" x14ac:dyDescent="0.25">
      <c r="B410" s="5"/>
      <c r="C410" s="5"/>
      <c r="D410" s="5" t="s">
        <v>3075</v>
      </c>
      <c r="E410" s="585">
        <f>N215</f>
        <v>3887.5092002167853</v>
      </c>
      <c r="F410" s="5"/>
      <c r="G410" s="5"/>
      <c r="H410" s="5"/>
      <c r="I410" s="5"/>
      <c r="J410" s="5"/>
      <c r="L410" s="277"/>
      <c r="M410" s="5"/>
      <c r="R410" s="5"/>
      <c r="S410" s="5"/>
      <c r="T410" s="1120"/>
      <c r="U410" s="5"/>
      <c r="V410" s="5"/>
      <c r="W410" s="5"/>
      <c r="X410" s="1120"/>
      <c r="Y410" s="1120"/>
      <c r="Z410" s="5"/>
      <c r="AA410" s="5"/>
      <c r="AB410" s="1135"/>
      <c r="AC410" s="5"/>
      <c r="AD410" s="5"/>
      <c r="AE410" s="5"/>
      <c r="AF410" s="1120"/>
      <c r="AG410" s="1148"/>
      <c r="AH410" s="1120"/>
      <c r="AI410" s="1120"/>
      <c r="AJ410" s="1120"/>
    </row>
    <row r="411" spans="2:36" ht="30" customHeight="1" x14ac:dyDescent="0.25">
      <c r="B411" s="5"/>
      <c r="C411" s="5"/>
      <c r="D411" s="5" t="s">
        <v>3411</v>
      </c>
      <c r="E411" s="585">
        <f>S215</f>
        <v>194.37546001083928</v>
      </c>
      <c r="F411" s="5"/>
      <c r="G411" s="5"/>
      <c r="H411" s="5"/>
      <c r="I411" s="5"/>
      <c r="J411" s="5"/>
      <c r="L411" s="277"/>
      <c r="M411" s="5"/>
      <c r="R411" s="5"/>
      <c r="S411" s="5"/>
      <c r="T411" s="1120"/>
      <c r="U411" s="5"/>
      <c r="V411" s="5"/>
      <c r="W411" s="5"/>
      <c r="X411" s="1120"/>
      <c r="Y411" s="1120"/>
      <c r="Z411" s="5"/>
      <c r="AA411" s="5"/>
      <c r="AB411" s="1135"/>
      <c r="AC411" s="5"/>
      <c r="AD411" s="5"/>
      <c r="AE411" s="5"/>
      <c r="AF411" s="1120"/>
      <c r="AG411" s="1148"/>
      <c r="AH411" s="1120"/>
      <c r="AI411" s="1120"/>
      <c r="AJ411" s="1120"/>
    </row>
    <row r="412" spans="2:36" ht="30" customHeight="1" x14ac:dyDescent="0.25">
      <c r="B412" s="5"/>
      <c r="C412" s="5"/>
      <c r="D412" s="5" t="s">
        <v>4847</v>
      </c>
      <c r="E412" s="585">
        <f>AL215</f>
        <v>64.791820003613097</v>
      </c>
      <c r="F412" s="5"/>
      <c r="G412" s="5"/>
      <c r="H412" s="5"/>
      <c r="I412" s="5"/>
      <c r="J412" s="5"/>
      <c r="L412" s="277"/>
      <c r="M412" s="5"/>
      <c r="R412" s="5"/>
      <c r="S412" s="5"/>
      <c r="T412" s="1120"/>
      <c r="U412" s="5"/>
      <c r="V412" s="5"/>
      <c r="W412" s="5"/>
      <c r="X412" s="1120"/>
      <c r="Y412" s="1120"/>
      <c r="Z412" s="5"/>
      <c r="AA412" s="5"/>
      <c r="AB412" s="1135"/>
      <c r="AC412" s="5"/>
      <c r="AD412" s="5"/>
      <c r="AE412" s="5"/>
      <c r="AF412" s="1120"/>
      <c r="AG412" s="1148"/>
      <c r="AH412" s="1120"/>
      <c r="AI412" s="1120"/>
      <c r="AJ412" s="1120"/>
    </row>
    <row r="413" spans="2:36" ht="30" customHeight="1" x14ac:dyDescent="0.25">
      <c r="B413" s="5"/>
      <c r="C413" s="5"/>
      <c r="D413" s="5" t="s">
        <v>5298</v>
      </c>
      <c r="E413" s="585">
        <f>AN215</f>
        <v>194.37546001083928</v>
      </c>
      <c r="F413" s="5"/>
      <c r="G413" s="5"/>
      <c r="H413" s="5"/>
      <c r="I413" s="5"/>
      <c r="J413" s="5"/>
      <c r="L413" s="277"/>
      <c r="M413" s="5"/>
      <c r="R413" s="5"/>
      <c r="S413" s="5"/>
      <c r="T413" s="1120"/>
      <c r="U413" s="5"/>
      <c r="V413" s="5"/>
      <c r="W413" s="5"/>
      <c r="X413" s="1120"/>
      <c r="Y413" s="1120"/>
      <c r="Z413" s="5"/>
      <c r="AA413" s="5"/>
      <c r="AB413" s="1135"/>
      <c r="AC413" s="5"/>
      <c r="AD413" s="5"/>
      <c r="AE413" s="5"/>
      <c r="AF413" s="1120"/>
      <c r="AG413" s="1148"/>
      <c r="AH413" s="1120"/>
      <c r="AI413" s="1120"/>
      <c r="AJ413" s="1120"/>
    </row>
    <row r="414" spans="2:36" ht="30" customHeight="1" x14ac:dyDescent="0.25">
      <c r="B414" s="5"/>
      <c r="C414" s="5"/>
      <c r="D414" s="5" t="s">
        <v>4519</v>
      </c>
      <c r="E414" s="585">
        <f>AK215</f>
        <v>1295.8364000722618</v>
      </c>
      <c r="F414" s="5"/>
      <c r="G414" s="5"/>
      <c r="H414" s="5"/>
      <c r="I414" s="5"/>
      <c r="J414" s="5"/>
      <c r="L414" s="277"/>
      <c r="M414" s="5"/>
      <c r="R414" s="5"/>
      <c r="S414" s="5"/>
      <c r="T414" s="1120"/>
      <c r="U414" s="5"/>
      <c r="V414" s="5"/>
      <c r="W414" s="5"/>
      <c r="X414" s="1120"/>
      <c r="Y414" s="1120"/>
      <c r="Z414" s="5"/>
      <c r="AA414" s="5"/>
      <c r="AB414" s="1135"/>
      <c r="AC414" s="5"/>
      <c r="AD414" s="5"/>
      <c r="AE414" s="5"/>
      <c r="AF414" s="1120"/>
      <c r="AG414" s="1148"/>
      <c r="AH414" s="1120"/>
      <c r="AI414" s="1120"/>
      <c r="AJ414" s="1120"/>
    </row>
    <row r="415" spans="2:36" ht="30" customHeight="1" x14ac:dyDescent="0.25">
      <c r="B415" s="5"/>
      <c r="C415" s="5"/>
      <c r="D415" s="5" t="s">
        <v>2736</v>
      </c>
      <c r="E415" s="585">
        <f>AM215</f>
        <v>3887.5092002167853</v>
      </c>
      <c r="F415" s="5"/>
      <c r="G415" s="5"/>
      <c r="H415" s="5"/>
      <c r="I415" s="5"/>
      <c r="J415" s="5"/>
      <c r="L415" s="277"/>
      <c r="M415" s="5"/>
      <c r="R415" s="5"/>
      <c r="S415" s="5"/>
      <c r="T415" s="1120"/>
      <c r="U415" s="5"/>
      <c r="V415" s="5"/>
      <c r="W415" s="5"/>
      <c r="X415" s="1120"/>
      <c r="Y415" s="1120"/>
      <c r="Z415" s="5"/>
      <c r="AA415" s="5"/>
      <c r="AB415" s="1135"/>
      <c r="AC415" s="5"/>
      <c r="AD415" s="5"/>
      <c r="AE415" s="5"/>
      <c r="AF415" s="1120"/>
      <c r="AG415" s="1148"/>
      <c r="AH415" s="1120"/>
      <c r="AI415" s="1120"/>
      <c r="AJ415" s="1120"/>
    </row>
    <row r="416" spans="2:36" ht="30" customHeight="1" x14ac:dyDescent="0.25">
      <c r="B416" s="5"/>
      <c r="C416" s="5"/>
      <c r="D416" s="5" t="s">
        <v>2741</v>
      </c>
      <c r="E416" s="585">
        <f>Y215</f>
        <v>51.18</v>
      </c>
      <c r="F416" s="5"/>
      <c r="G416" s="5"/>
      <c r="H416" s="5"/>
      <c r="I416" s="5"/>
      <c r="J416" s="5"/>
      <c r="L416" s="277"/>
      <c r="M416" s="5"/>
      <c r="R416" s="5"/>
      <c r="S416" s="5"/>
      <c r="T416" s="1120"/>
      <c r="U416" s="5"/>
      <c r="V416" s="5"/>
      <c r="W416" s="5"/>
      <c r="X416" s="1120"/>
      <c r="Y416" s="1120"/>
      <c r="Z416" s="5"/>
      <c r="AA416" s="5"/>
      <c r="AB416" s="1135"/>
      <c r="AC416" s="5"/>
      <c r="AD416" s="5"/>
      <c r="AE416" s="5"/>
      <c r="AF416" s="1120"/>
      <c r="AG416" s="1148"/>
      <c r="AH416" s="1120"/>
      <c r="AI416" s="1120"/>
      <c r="AJ416" s="1120"/>
    </row>
    <row r="417" spans="2:36" ht="30" customHeight="1" x14ac:dyDescent="0.25">
      <c r="B417" s="5"/>
      <c r="C417" s="5"/>
      <c r="D417" s="5" t="s">
        <v>2782</v>
      </c>
      <c r="E417" s="585">
        <f>AE215</f>
        <v>0</v>
      </c>
      <c r="F417" s="5"/>
      <c r="G417" s="5"/>
      <c r="H417" s="5"/>
      <c r="I417" s="5"/>
      <c r="J417" s="5"/>
      <c r="L417" s="277"/>
      <c r="M417" s="5"/>
      <c r="R417" s="5"/>
      <c r="S417" s="5"/>
      <c r="T417" s="1120"/>
      <c r="U417" s="5"/>
      <c r="V417" s="5"/>
      <c r="W417" s="5"/>
      <c r="X417" s="1120"/>
      <c r="Y417" s="1120"/>
      <c r="Z417" s="5"/>
      <c r="AA417" s="5"/>
      <c r="AB417" s="1135"/>
      <c r="AC417" s="5"/>
      <c r="AD417" s="5"/>
      <c r="AE417" s="5"/>
      <c r="AF417" s="1120"/>
      <c r="AG417" s="1148"/>
      <c r="AH417" s="1120"/>
      <c r="AI417" s="1120"/>
      <c r="AJ417" s="1120"/>
    </row>
    <row r="418" spans="2:36" ht="30" customHeight="1" x14ac:dyDescent="0.25">
      <c r="B418" s="5"/>
      <c r="C418" s="258" t="s">
        <v>2594</v>
      </c>
      <c r="D418" s="5"/>
      <c r="E418" s="5"/>
      <c r="F418" s="5"/>
      <c r="G418" s="5"/>
      <c r="H418" s="5"/>
      <c r="I418" s="5"/>
      <c r="J418" s="5"/>
      <c r="L418" s="277"/>
      <c r="M418" s="5"/>
      <c r="R418" s="5"/>
      <c r="S418" s="5"/>
      <c r="T418" s="1120"/>
      <c r="U418" s="5"/>
      <c r="V418" s="5"/>
      <c r="W418" s="5"/>
      <c r="X418" s="1120"/>
      <c r="Y418" s="1120"/>
      <c r="Z418" s="5"/>
      <c r="AA418" s="5"/>
      <c r="AB418" s="1135"/>
      <c r="AC418" s="5"/>
      <c r="AD418" s="5"/>
      <c r="AE418" s="5"/>
      <c r="AF418" s="1120"/>
      <c r="AG418" s="1148"/>
      <c r="AH418" s="1120"/>
      <c r="AI418" s="1120"/>
      <c r="AJ418" s="1120"/>
    </row>
    <row r="419" spans="2:36" ht="30" customHeight="1" x14ac:dyDescent="0.25">
      <c r="B419" s="5"/>
      <c r="C419" s="5"/>
      <c r="D419" s="5" t="s">
        <v>3075</v>
      </c>
      <c r="E419" s="585">
        <v>0</v>
      </c>
      <c r="F419" s="5"/>
      <c r="G419" s="5"/>
      <c r="H419" s="5"/>
      <c r="I419" s="5"/>
      <c r="J419" s="5"/>
      <c r="L419" s="277"/>
      <c r="M419" s="5"/>
      <c r="R419" s="5"/>
      <c r="S419" s="5"/>
      <c r="T419" s="1120"/>
      <c r="U419" s="5"/>
      <c r="V419" s="5"/>
      <c r="W419" s="5"/>
      <c r="X419" s="1120"/>
      <c r="Y419" s="1120"/>
      <c r="Z419" s="5"/>
      <c r="AA419" s="5"/>
      <c r="AB419" s="1135"/>
      <c r="AC419" s="5"/>
      <c r="AD419" s="5"/>
      <c r="AE419" s="5"/>
      <c r="AF419" s="1120"/>
      <c r="AG419" s="1148"/>
      <c r="AH419" s="1120"/>
      <c r="AI419" s="1120"/>
      <c r="AJ419" s="1120"/>
    </row>
    <row r="420" spans="2:36" ht="30" customHeight="1" x14ac:dyDescent="0.25">
      <c r="B420" s="5"/>
      <c r="C420" s="5"/>
      <c r="D420" s="5" t="s">
        <v>4519</v>
      </c>
      <c r="E420" s="585">
        <v>0</v>
      </c>
      <c r="F420" s="5"/>
      <c r="G420" s="5"/>
      <c r="H420" s="5"/>
      <c r="I420" s="5"/>
      <c r="J420" s="5"/>
      <c r="L420" s="277"/>
      <c r="M420" s="5"/>
      <c r="R420" s="5"/>
      <c r="S420" s="5"/>
      <c r="T420" s="1120"/>
      <c r="U420" s="5"/>
      <c r="V420" s="5"/>
      <c r="W420" s="5"/>
      <c r="X420" s="1120"/>
      <c r="Y420" s="1120"/>
      <c r="Z420" s="5"/>
      <c r="AA420" s="5"/>
      <c r="AB420" s="1135"/>
      <c r="AC420" s="5"/>
      <c r="AD420" s="5"/>
      <c r="AE420" s="5"/>
      <c r="AF420" s="1120"/>
      <c r="AG420" s="1148"/>
      <c r="AH420" s="1120"/>
      <c r="AI420" s="1120"/>
      <c r="AJ420" s="1120"/>
    </row>
    <row r="421" spans="2:36" ht="30" customHeight="1" x14ac:dyDescent="0.25">
      <c r="B421" s="5"/>
      <c r="C421" s="5"/>
      <c r="D421" s="5" t="s">
        <v>5470</v>
      </c>
      <c r="E421" s="585">
        <v>0</v>
      </c>
      <c r="F421" s="5"/>
      <c r="G421" s="5"/>
      <c r="H421" s="5"/>
      <c r="I421" s="5"/>
      <c r="J421" s="5"/>
      <c r="L421" s="277"/>
      <c r="M421" s="5"/>
      <c r="R421" s="5"/>
      <c r="S421" s="5"/>
      <c r="T421" s="1120"/>
      <c r="U421" s="5"/>
      <c r="V421" s="5"/>
      <c r="W421" s="5"/>
      <c r="X421" s="1120"/>
      <c r="Y421" s="1120"/>
      <c r="Z421" s="5"/>
      <c r="AA421" s="5"/>
      <c r="AB421" s="1135"/>
      <c r="AC421" s="5"/>
      <c r="AD421" s="5"/>
      <c r="AE421" s="5"/>
      <c r="AF421" s="1120"/>
      <c r="AG421" s="1148"/>
      <c r="AH421" s="1120"/>
      <c r="AI421" s="1120"/>
      <c r="AJ421" s="1120"/>
    </row>
    <row r="422" spans="2:36" ht="30" customHeight="1" x14ac:dyDescent="0.25">
      <c r="B422" s="5"/>
      <c r="C422" s="5"/>
      <c r="D422" s="5"/>
      <c r="E422" s="5"/>
      <c r="F422" s="5"/>
      <c r="G422" s="5"/>
      <c r="H422" s="5"/>
      <c r="I422" s="5"/>
      <c r="J422" s="5"/>
      <c r="L422" s="277"/>
      <c r="M422" s="5"/>
      <c r="R422" s="5"/>
      <c r="S422" s="5"/>
      <c r="T422" s="1120"/>
      <c r="U422" s="5"/>
      <c r="V422" s="5"/>
      <c r="W422" s="5"/>
      <c r="X422" s="1120"/>
      <c r="Y422" s="1120"/>
      <c r="Z422" s="5"/>
      <c r="AA422" s="5"/>
      <c r="AB422" s="1135"/>
      <c r="AC422" s="5"/>
      <c r="AD422" s="5"/>
      <c r="AE422" s="5"/>
      <c r="AF422" s="1120"/>
      <c r="AG422" s="1148"/>
      <c r="AH422" s="1120"/>
      <c r="AI422" s="1120"/>
      <c r="AJ422" s="1120"/>
    </row>
    <row r="423" spans="2:36" ht="30" customHeight="1" x14ac:dyDescent="0.25">
      <c r="B423" s="5"/>
      <c r="C423" s="258" t="s">
        <v>7748</v>
      </c>
      <c r="D423" s="5"/>
      <c r="E423" s="5"/>
      <c r="F423" s="5"/>
      <c r="G423" s="5"/>
      <c r="H423" s="5"/>
      <c r="I423" s="5"/>
      <c r="J423" s="5"/>
      <c r="L423" s="277"/>
      <c r="M423" s="5"/>
      <c r="R423" s="5"/>
      <c r="S423" s="5"/>
      <c r="T423" s="1120"/>
      <c r="U423" s="5"/>
      <c r="V423" s="5"/>
      <c r="W423" s="5"/>
      <c r="X423" s="1120"/>
      <c r="Y423" s="1120"/>
      <c r="Z423" s="5"/>
      <c r="AA423" s="5"/>
      <c r="AB423" s="1135"/>
      <c r="AC423" s="5"/>
      <c r="AD423" s="5"/>
      <c r="AE423" s="5"/>
      <c r="AF423" s="1120"/>
      <c r="AG423" s="1148"/>
      <c r="AH423" s="1120"/>
      <c r="AI423" s="1120"/>
      <c r="AJ423" s="1120"/>
    </row>
    <row r="424" spans="2:36" ht="30" customHeight="1" x14ac:dyDescent="0.25">
      <c r="B424" s="5"/>
      <c r="C424" s="258" t="s">
        <v>2598</v>
      </c>
      <c r="D424" s="5"/>
      <c r="E424" s="5"/>
      <c r="F424" s="5"/>
      <c r="G424" s="5"/>
      <c r="H424" s="5"/>
      <c r="I424" s="5"/>
      <c r="J424" s="5"/>
      <c r="L424" s="277"/>
      <c r="M424" s="5"/>
      <c r="R424" s="5"/>
      <c r="S424" s="5"/>
      <c r="T424" s="1120"/>
      <c r="U424" s="5"/>
      <c r="V424" s="5"/>
      <c r="W424" s="5"/>
      <c r="X424" s="1120"/>
      <c r="Y424" s="1120"/>
      <c r="Z424" s="5"/>
      <c r="AA424" s="5"/>
      <c r="AB424" s="1135"/>
      <c r="AC424" s="5"/>
      <c r="AD424" s="5"/>
      <c r="AE424" s="5"/>
      <c r="AF424" s="1120"/>
      <c r="AG424" s="1148"/>
      <c r="AH424" s="1120"/>
      <c r="AI424" s="1120"/>
      <c r="AJ424" s="1120"/>
    </row>
    <row r="425" spans="2:36" ht="30" customHeight="1" x14ac:dyDescent="0.25">
      <c r="B425" s="5"/>
      <c r="C425" s="5"/>
      <c r="D425" s="5" t="s">
        <v>3075</v>
      </c>
      <c r="E425" s="585">
        <v>0</v>
      </c>
      <c r="F425" s="5"/>
      <c r="G425" s="5"/>
      <c r="H425" s="5"/>
      <c r="I425" s="5"/>
      <c r="J425" s="5"/>
      <c r="L425" s="277"/>
      <c r="M425" s="5"/>
      <c r="R425" s="5"/>
      <c r="S425" s="5"/>
      <c r="T425" s="1120"/>
      <c r="U425" s="5"/>
      <c r="V425" s="5"/>
      <c r="W425" s="5"/>
      <c r="X425" s="1120"/>
      <c r="Y425" s="1120"/>
      <c r="Z425" s="5"/>
      <c r="AA425" s="5"/>
      <c r="AB425" s="1135"/>
      <c r="AC425" s="5"/>
      <c r="AD425" s="5"/>
      <c r="AE425" s="5"/>
      <c r="AF425" s="1120"/>
      <c r="AG425" s="1148"/>
      <c r="AH425" s="1120"/>
      <c r="AI425" s="1120"/>
      <c r="AJ425" s="1120"/>
    </row>
    <row r="426" spans="2:36" ht="30" customHeight="1" x14ac:dyDescent="0.25">
      <c r="B426" s="5"/>
      <c r="C426" s="5"/>
      <c r="D426" s="5" t="s">
        <v>4519</v>
      </c>
      <c r="E426" s="585">
        <v>0</v>
      </c>
      <c r="F426" s="5"/>
      <c r="G426" s="5"/>
      <c r="H426" s="5"/>
      <c r="I426" s="5"/>
      <c r="J426" s="5"/>
      <c r="L426" s="277"/>
      <c r="M426" s="5"/>
      <c r="R426" s="5"/>
      <c r="S426" s="5"/>
      <c r="T426" s="1120"/>
      <c r="U426" s="5"/>
      <c r="V426" s="5"/>
      <c r="W426" s="5"/>
      <c r="X426" s="1120"/>
      <c r="Y426" s="1120"/>
      <c r="Z426" s="5"/>
      <c r="AA426" s="5"/>
      <c r="AB426" s="1135"/>
      <c r="AC426" s="5"/>
      <c r="AD426" s="5"/>
      <c r="AE426" s="5"/>
      <c r="AF426" s="1120"/>
      <c r="AG426" s="1148"/>
      <c r="AH426" s="1120"/>
      <c r="AI426" s="1120"/>
      <c r="AJ426" s="1120"/>
    </row>
    <row r="427" spans="2:36" ht="30" customHeight="1" x14ac:dyDescent="0.25">
      <c r="B427" s="5"/>
      <c r="C427" s="5"/>
      <c r="D427" s="5" t="s">
        <v>2736</v>
      </c>
      <c r="E427" s="585">
        <v>0</v>
      </c>
      <c r="F427" s="5"/>
      <c r="G427" s="5"/>
      <c r="H427" s="5"/>
      <c r="I427" s="5"/>
      <c r="J427" s="5"/>
      <c r="L427" s="277"/>
      <c r="M427" s="5"/>
      <c r="R427" s="5"/>
      <c r="S427" s="5"/>
      <c r="T427" s="1120"/>
      <c r="U427" s="5"/>
      <c r="V427" s="5"/>
      <c r="W427" s="5"/>
      <c r="X427" s="1120"/>
      <c r="Y427" s="1120"/>
      <c r="Z427" s="5"/>
      <c r="AA427" s="5"/>
      <c r="AB427" s="1135"/>
      <c r="AC427" s="5"/>
      <c r="AD427" s="5"/>
      <c r="AE427" s="5"/>
      <c r="AF427" s="1120"/>
      <c r="AG427" s="1148"/>
      <c r="AH427" s="1120"/>
      <c r="AI427" s="1120"/>
      <c r="AJ427" s="1120"/>
    </row>
    <row r="428" spans="2:36" ht="30" customHeight="1" x14ac:dyDescent="0.25">
      <c r="B428" s="5"/>
      <c r="C428" s="5"/>
      <c r="D428" s="5" t="s">
        <v>2782</v>
      </c>
      <c r="E428" s="585">
        <v>0</v>
      </c>
      <c r="F428" s="5"/>
      <c r="G428" s="5"/>
      <c r="H428" s="5"/>
      <c r="I428" s="5"/>
      <c r="J428" s="5"/>
      <c r="L428" s="277"/>
      <c r="M428" s="5"/>
      <c r="R428" s="5"/>
      <c r="S428" s="5"/>
      <c r="T428" s="1120"/>
      <c r="U428" s="5"/>
      <c r="V428" s="5"/>
      <c r="W428" s="5"/>
      <c r="X428" s="1120"/>
      <c r="Y428" s="1120"/>
      <c r="Z428" s="5"/>
      <c r="AA428" s="5"/>
      <c r="AB428" s="1135"/>
      <c r="AC428" s="5"/>
      <c r="AD428" s="5"/>
      <c r="AE428" s="5"/>
      <c r="AF428" s="1120"/>
      <c r="AG428" s="1148"/>
      <c r="AH428" s="1120"/>
      <c r="AI428" s="1120"/>
      <c r="AJ428" s="1120"/>
    </row>
    <row r="429" spans="2:36" ht="30" customHeight="1" x14ac:dyDescent="0.25">
      <c r="B429" s="5"/>
      <c r="C429" s="5"/>
      <c r="D429" s="5" t="s">
        <v>2741</v>
      </c>
      <c r="E429" s="585">
        <v>0</v>
      </c>
      <c r="F429" s="5"/>
      <c r="G429" s="5"/>
      <c r="H429" s="5"/>
      <c r="I429" s="5"/>
      <c r="J429" s="5"/>
      <c r="L429" s="277"/>
      <c r="M429" s="5"/>
      <c r="R429" s="5"/>
      <c r="S429" s="5"/>
      <c r="T429" s="1120"/>
      <c r="U429" s="5"/>
      <c r="V429" s="5"/>
      <c r="W429" s="5"/>
      <c r="X429" s="1120"/>
      <c r="Y429" s="1120"/>
      <c r="Z429" s="5"/>
      <c r="AA429" s="5"/>
      <c r="AB429" s="1135"/>
      <c r="AC429" s="5"/>
      <c r="AD429" s="5"/>
      <c r="AE429" s="5"/>
      <c r="AF429" s="1120"/>
      <c r="AG429" s="1148"/>
      <c r="AH429" s="1120"/>
      <c r="AI429" s="1120"/>
      <c r="AJ429" s="1120"/>
    </row>
    <row r="430" spans="2:36" ht="30" customHeight="1" x14ac:dyDescent="0.25">
      <c r="B430" s="5"/>
      <c r="C430" s="258" t="s">
        <v>2595</v>
      </c>
      <c r="D430" s="5"/>
      <c r="E430" s="5"/>
      <c r="F430" s="5"/>
      <c r="G430" s="5"/>
      <c r="H430" s="5"/>
      <c r="I430" s="5"/>
      <c r="J430" s="5"/>
      <c r="L430" s="277"/>
      <c r="M430" s="5"/>
      <c r="R430" s="5"/>
      <c r="S430" s="5"/>
      <c r="T430" s="1120"/>
      <c r="U430" s="5"/>
      <c r="V430" s="5"/>
      <c r="W430" s="5"/>
      <c r="X430" s="1120"/>
      <c r="Y430" s="1120"/>
      <c r="Z430" s="5"/>
      <c r="AA430" s="5"/>
      <c r="AB430" s="1135"/>
      <c r="AC430" s="5"/>
      <c r="AD430" s="5"/>
      <c r="AE430" s="5"/>
      <c r="AF430" s="1120"/>
      <c r="AG430" s="1148"/>
      <c r="AH430" s="1120"/>
      <c r="AI430" s="1120"/>
      <c r="AJ430" s="1120"/>
    </row>
    <row r="431" spans="2:36" ht="30" customHeight="1" x14ac:dyDescent="0.25">
      <c r="B431" s="5"/>
      <c r="C431" s="5"/>
      <c r="D431" s="5" t="s">
        <v>3075</v>
      </c>
      <c r="E431" s="585">
        <f>N198</f>
        <v>2920.8476996262075</v>
      </c>
      <c r="F431" s="5"/>
      <c r="G431" s="5"/>
      <c r="H431" s="5"/>
      <c r="I431" s="5"/>
      <c r="J431" s="5"/>
      <c r="L431" s="277"/>
      <c r="M431" s="5"/>
      <c r="R431" s="5"/>
      <c r="S431" s="5"/>
      <c r="T431" s="1120"/>
      <c r="U431" s="5"/>
      <c r="V431" s="5"/>
      <c r="W431" s="5"/>
      <c r="X431" s="1120"/>
      <c r="Y431" s="1120"/>
      <c r="Z431" s="5"/>
      <c r="AA431" s="5"/>
      <c r="AB431" s="1135"/>
      <c r="AC431" s="5"/>
      <c r="AD431" s="5"/>
      <c r="AE431" s="5"/>
      <c r="AF431" s="1120"/>
      <c r="AG431" s="1148"/>
      <c r="AH431" s="1120"/>
      <c r="AI431" s="1120"/>
      <c r="AJ431" s="1120"/>
    </row>
    <row r="432" spans="2:36" ht="30" customHeight="1" x14ac:dyDescent="0.25">
      <c r="B432" s="5"/>
      <c r="C432" s="5"/>
      <c r="D432" s="5" t="s">
        <v>3411</v>
      </c>
      <c r="E432" s="585">
        <f>S198</f>
        <v>146.04238498131039</v>
      </c>
      <c r="F432" s="5"/>
      <c r="G432" s="5"/>
      <c r="H432" s="5"/>
      <c r="I432" s="5"/>
      <c r="J432" s="5"/>
      <c r="L432" s="277"/>
      <c r="M432" s="5"/>
      <c r="R432" s="5"/>
      <c r="S432" s="5"/>
      <c r="T432" s="1120"/>
      <c r="U432" s="5"/>
      <c r="V432" s="5"/>
      <c r="W432" s="5"/>
      <c r="X432" s="1120"/>
      <c r="Y432" s="1120"/>
      <c r="Z432" s="5"/>
      <c r="AA432" s="5"/>
      <c r="AB432" s="1135"/>
      <c r="AC432" s="5"/>
      <c r="AD432" s="5"/>
      <c r="AE432" s="5"/>
      <c r="AF432" s="1120"/>
      <c r="AG432" s="1148"/>
      <c r="AH432" s="1120"/>
      <c r="AI432" s="1120"/>
      <c r="AJ432" s="1120"/>
    </row>
    <row r="433" spans="2:36" ht="30" customHeight="1" x14ac:dyDescent="0.25">
      <c r="B433" s="5"/>
      <c r="C433" s="5"/>
      <c r="D433" s="5" t="s">
        <v>4847</v>
      </c>
      <c r="E433" s="585">
        <f>AL198</f>
        <v>48.680794993770128</v>
      </c>
      <c r="F433" s="5"/>
      <c r="G433" s="5"/>
      <c r="H433" s="5"/>
      <c r="I433" s="5"/>
      <c r="J433" s="5"/>
      <c r="L433" s="277"/>
      <c r="M433" s="5"/>
      <c r="R433" s="5"/>
      <c r="S433" s="5"/>
      <c r="T433" s="1120"/>
      <c r="U433" s="5"/>
      <c r="V433" s="5"/>
      <c r="W433" s="5"/>
      <c r="X433" s="1120"/>
      <c r="Y433" s="1120"/>
      <c r="Z433" s="5"/>
      <c r="AA433" s="5"/>
      <c r="AB433" s="1135"/>
      <c r="AC433" s="5"/>
      <c r="AD433" s="5"/>
      <c r="AE433" s="5"/>
      <c r="AF433" s="1120"/>
      <c r="AG433" s="1148"/>
      <c r="AH433" s="1120"/>
      <c r="AI433" s="1120"/>
      <c r="AJ433" s="1120"/>
    </row>
    <row r="434" spans="2:36" ht="30" customHeight="1" x14ac:dyDescent="0.25">
      <c r="B434" s="5"/>
      <c r="C434" s="5"/>
      <c r="D434" s="5" t="s">
        <v>5298</v>
      </c>
      <c r="E434" s="585">
        <f>AN198</f>
        <v>146.04238498131039</v>
      </c>
      <c r="F434" s="5"/>
      <c r="G434" s="5"/>
      <c r="H434" s="5"/>
      <c r="I434" s="5"/>
      <c r="J434" s="5"/>
      <c r="L434" s="277"/>
      <c r="M434" s="5"/>
      <c r="R434" s="5"/>
      <c r="S434" s="5"/>
      <c r="T434" s="1120"/>
      <c r="U434" s="5"/>
      <c r="V434" s="5"/>
      <c r="W434" s="5"/>
      <c r="X434" s="1120"/>
      <c r="Y434" s="1120"/>
      <c r="Z434" s="5"/>
      <c r="AA434" s="5"/>
      <c r="AB434" s="1135"/>
      <c r="AC434" s="5"/>
      <c r="AD434" s="5"/>
      <c r="AE434" s="5"/>
      <c r="AF434" s="1120"/>
      <c r="AG434" s="1148"/>
      <c r="AH434" s="1120"/>
      <c r="AI434" s="1120"/>
      <c r="AJ434" s="1120"/>
    </row>
    <row r="435" spans="2:36" ht="30" customHeight="1" x14ac:dyDescent="0.25">
      <c r="B435" s="5"/>
      <c r="C435" s="5"/>
      <c r="D435" s="5" t="s">
        <v>4519</v>
      </c>
      <c r="E435" s="585">
        <f>AK198</f>
        <v>973.61589987540253</v>
      </c>
      <c r="F435" s="5"/>
      <c r="G435" s="5"/>
      <c r="H435" s="5"/>
      <c r="I435" s="5"/>
      <c r="J435" s="5"/>
      <c r="L435" s="277"/>
      <c r="M435" s="5"/>
      <c r="R435" s="5"/>
      <c r="S435" s="5"/>
      <c r="T435" s="1120"/>
      <c r="U435" s="5"/>
      <c r="V435" s="5"/>
      <c r="W435" s="5"/>
      <c r="X435" s="1120"/>
      <c r="Y435" s="1120"/>
      <c r="Z435" s="5"/>
      <c r="AA435" s="5"/>
      <c r="AB435" s="1135"/>
      <c r="AC435" s="5"/>
      <c r="AD435" s="5"/>
      <c r="AE435" s="5"/>
      <c r="AF435" s="1120"/>
      <c r="AG435" s="1148"/>
      <c r="AH435" s="1120"/>
      <c r="AI435" s="1120"/>
      <c r="AJ435" s="1120"/>
    </row>
    <row r="436" spans="2:36" ht="30" customHeight="1" x14ac:dyDescent="0.25">
      <c r="B436" s="5"/>
      <c r="C436" s="5"/>
      <c r="D436" s="5" t="s">
        <v>2736</v>
      </c>
      <c r="E436" s="585">
        <f>AM198</f>
        <v>2920.8476996262075</v>
      </c>
      <c r="F436" s="5"/>
      <c r="G436" s="5"/>
      <c r="H436" s="5"/>
      <c r="I436" s="5"/>
      <c r="J436" s="5"/>
      <c r="L436" s="277"/>
      <c r="M436" s="5"/>
      <c r="R436" s="5"/>
      <c r="S436" s="5"/>
      <c r="T436" s="1120"/>
      <c r="U436" s="5"/>
      <c r="V436" s="5"/>
      <c r="W436" s="5"/>
      <c r="X436" s="1120"/>
      <c r="Y436" s="1120"/>
      <c r="Z436" s="5"/>
      <c r="AA436" s="5"/>
      <c r="AB436" s="1135"/>
      <c r="AC436" s="5"/>
      <c r="AD436" s="5"/>
      <c r="AE436" s="5"/>
      <c r="AF436" s="1120"/>
      <c r="AG436" s="1148"/>
      <c r="AH436" s="1120"/>
      <c r="AI436" s="1120"/>
      <c r="AJ436" s="1120"/>
    </row>
    <row r="437" spans="2:36" ht="30" customHeight="1" x14ac:dyDescent="0.25">
      <c r="B437" s="5"/>
      <c r="C437" s="5"/>
      <c r="D437" s="5" t="s">
        <v>2741</v>
      </c>
      <c r="E437" s="585">
        <f>Y198</f>
        <v>51.18</v>
      </c>
      <c r="F437" s="5"/>
      <c r="G437" s="5"/>
      <c r="H437" s="5"/>
      <c r="I437" s="5"/>
      <c r="J437" s="5"/>
      <c r="L437" s="277"/>
      <c r="M437" s="5"/>
      <c r="R437" s="5"/>
      <c r="S437" s="5"/>
      <c r="T437" s="1120"/>
      <c r="U437" s="5"/>
      <c r="V437" s="5"/>
      <c r="W437" s="5"/>
      <c r="X437" s="1120"/>
      <c r="Y437" s="1120"/>
      <c r="Z437" s="5"/>
      <c r="AA437" s="5"/>
      <c r="AB437" s="1135"/>
      <c r="AC437" s="5"/>
      <c r="AD437" s="5"/>
      <c r="AE437" s="5"/>
      <c r="AF437" s="1120"/>
      <c r="AG437" s="1148"/>
      <c r="AH437" s="1120"/>
      <c r="AI437" s="1120"/>
      <c r="AJ437" s="1120"/>
    </row>
    <row r="438" spans="2:36" ht="30" customHeight="1" x14ac:dyDescent="0.25">
      <c r="B438" s="5"/>
      <c r="C438" s="5"/>
      <c r="D438" s="5" t="s">
        <v>2782</v>
      </c>
      <c r="E438" s="585">
        <f>AE198</f>
        <v>0</v>
      </c>
      <c r="F438" s="5"/>
      <c r="G438" s="5"/>
      <c r="H438" s="5"/>
      <c r="I438" s="5"/>
      <c r="J438" s="5"/>
      <c r="L438" s="277"/>
      <c r="M438" s="5"/>
      <c r="R438" s="5"/>
      <c r="S438" s="5"/>
      <c r="T438" s="1120"/>
      <c r="U438" s="5"/>
      <c r="V438" s="5"/>
      <c r="W438" s="5"/>
      <c r="X438" s="1120"/>
      <c r="Y438" s="1120"/>
      <c r="Z438" s="5"/>
      <c r="AA438" s="5"/>
      <c r="AB438" s="1135"/>
      <c r="AC438" s="5"/>
      <c r="AD438" s="5"/>
      <c r="AE438" s="5"/>
      <c r="AF438" s="1120"/>
      <c r="AG438" s="1148"/>
      <c r="AH438" s="1120"/>
      <c r="AI438" s="1120"/>
      <c r="AJ438" s="1120"/>
    </row>
    <row r="439" spans="2:36" ht="30" customHeight="1" x14ac:dyDescent="0.25">
      <c r="B439" s="5"/>
      <c r="C439" s="258" t="s">
        <v>2594</v>
      </c>
      <c r="D439" s="5"/>
      <c r="E439" s="5"/>
      <c r="F439" s="5"/>
      <c r="G439" s="5"/>
      <c r="H439" s="5"/>
      <c r="I439" s="5"/>
      <c r="J439" s="5"/>
      <c r="L439" s="277"/>
      <c r="M439" s="5"/>
      <c r="R439" s="5"/>
      <c r="S439" s="5"/>
      <c r="T439" s="1120"/>
      <c r="U439" s="5"/>
      <c r="V439" s="5"/>
      <c r="W439" s="5"/>
      <c r="X439" s="1120"/>
      <c r="Y439" s="1120"/>
      <c r="Z439" s="5"/>
      <c r="AA439" s="5"/>
      <c r="AB439" s="1135"/>
      <c r="AC439" s="5"/>
      <c r="AD439" s="5"/>
      <c r="AE439" s="5"/>
      <c r="AF439" s="1120"/>
      <c r="AG439" s="1148"/>
      <c r="AH439" s="1120"/>
      <c r="AI439" s="1120"/>
      <c r="AJ439" s="1120"/>
    </row>
    <row r="440" spans="2:36" ht="30" customHeight="1" x14ac:dyDescent="0.25">
      <c r="B440" s="5"/>
      <c r="C440" s="5"/>
      <c r="D440" s="5" t="s">
        <v>3075</v>
      </c>
      <c r="E440" s="585">
        <f>N200+N203</f>
        <v>5702.6074135559284</v>
      </c>
      <c r="F440" s="5"/>
      <c r="G440" s="5"/>
      <c r="H440" s="5"/>
      <c r="I440" s="5"/>
      <c r="J440" s="5"/>
      <c r="L440" s="277"/>
      <c r="M440" s="5"/>
      <c r="R440" s="5"/>
      <c r="S440" s="5"/>
      <c r="T440" s="1120"/>
      <c r="U440" s="5"/>
      <c r="V440" s="5"/>
      <c r="W440" s="5"/>
      <c r="X440" s="1120"/>
      <c r="Y440" s="1120"/>
      <c r="Z440" s="5"/>
      <c r="AA440" s="5"/>
      <c r="AB440" s="1135"/>
      <c r="AC440" s="5"/>
      <c r="AD440" s="5"/>
      <c r="AE440" s="5"/>
      <c r="AF440" s="1120"/>
      <c r="AG440" s="1148"/>
      <c r="AH440" s="1120"/>
      <c r="AI440" s="1120"/>
      <c r="AJ440" s="1120"/>
    </row>
    <row r="441" spans="2:36" ht="30" customHeight="1" x14ac:dyDescent="0.25">
      <c r="B441" s="5"/>
      <c r="C441" s="5"/>
      <c r="D441" s="5" t="s">
        <v>4519</v>
      </c>
      <c r="E441" s="585">
        <f>AK200+AK203</f>
        <v>1900.8691378519763</v>
      </c>
      <c r="F441" s="5"/>
      <c r="G441" s="5"/>
      <c r="H441" s="5"/>
      <c r="I441" s="5"/>
      <c r="J441" s="5"/>
      <c r="L441" s="277"/>
      <c r="M441" s="5"/>
      <c r="R441" s="5"/>
      <c r="S441" s="5"/>
      <c r="T441" s="1120"/>
      <c r="U441" s="5"/>
      <c r="V441" s="5"/>
      <c r="W441" s="5"/>
      <c r="X441" s="1120"/>
      <c r="Y441" s="1120"/>
      <c r="Z441" s="5"/>
      <c r="AA441" s="5"/>
      <c r="AB441" s="1135"/>
      <c r="AC441" s="5"/>
      <c r="AD441" s="5"/>
      <c r="AE441" s="5"/>
      <c r="AF441" s="1120"/>
      <c r="AG441" s="1148"/>
      <c r="AH441" s="1120"/>
      <c r="AI441" s="1120"/>
      <c r="AJ441" s="1120"/>
    </row>
    <row r="442" spans="2:36" ht="30" customHeight="1" x14ac:dyDescent="0.25">
      <c r="B442" s="5"/>
      <c r="C442" s="5"/>
      <c r="D442" s="5" t="s">
        <v>5470</v>
      </c>
      <c r="E442" s="585">
        <f>AM200+AM203</f>
        <v>5702.6074135559284</v>
      </c>
      <c r="F442" s="5"/>
      <c r="G442" s="5"/>
      <c r="H442" s="5"/>
      <c r="I442" s="5"/>
      <c r="J442" s="5"/>
      <c r="L442" s="277"/>
      <c r="M442" s="5"/>
      <c r="R442" s="5"/>
      <c r="S442" s="5"/>
      <c r="T442" s="1120"/>
      <c r="U442" s="5"/>
      <c r="V442" s="5"/>
      <c r="W442" s="5"/>
      <c r="X442" s="1120"/>
      <c r="Y442" s="1120"/>
      <c r="Z442" s="5"/>
      <c r="AA442" s="5"/>
      <c r="AB442" s="1135"/>
      <c r="AC442" s="5"/>
      <c r="AD442" s="5"/>
      <c r="AE442" s="5"/>
      <c r="AF442" s="1120"/>
      <c r="AG442" s="1148"/>
      <c r="AH442" s="1120"/>
      <c r="AI442" s="1120"/>
      <c r="AJ442" s="1120"/>
    </row>
    <row r="443" spans="2:36" ht="30" customHeight="1" x14ac:dyDescent="0.25">
      <c r="B443" s="5"/>
      <c r="C443" s="5"/>
      <c r="D443" s="5"/>
      <c r="E443" s="5"/>
      <c r="F443" s="5"/>
      <c r="G443" s="5"/>
      <c r="H443" s="5"/>
      <c r="I443" s="5"/>
      <c r="J443" s="5"/>
      <c r="L443" s="277"/>
      <c r="M443" s="5"/>
      <c r="R443" s="5"/>
      <c r="S443" s="5"/>
      <c r="T443" s="1120"/>
      <c r="U443" s="5"/>
      <c r="V443" s="5"/>
      <c r="W443" s="5"/>
      <c r="X443" s="1120"/>
      <c r="Y443" s="1120"/>
      <c r="Z443" s="5"/>
      <c r="AA443" s="5"/>
      <c r="AB443" s="1135"/>
      <c r="AC443" s="5"/>
      <c r="AD443" s="5"/>
      <c r="AE443" s="5"/>
      <c r="AF443" s="1120"/>
      <c r="AG443" s="1148"/>
      <c r="AH443" s="1120"/>
      <c r="AI443" s="1120"/>
      <c r="AJ443" s="1120"/>
    </row>
    <row r="444" spans="2:36" ht="30" customHeight="1" x14ac:dyDescent="0.25">
      <c r="B444" s="5"/>
      <c r="C444" s="5"/>
      <c r="D444" s="5"/>
      <c r="E444" s="5"/>
      <c r="F444" s="5"/>
      <c r="G444" s="5"/>
      <c r="H444" s="5"/>
      <c r="I444" s="5"/>
      <c r="J444" s="5"/>
      <c r="L444" s="277"/>
      <c r="M444" s="5"/>
      <c r="R444" s="5"/>
      <c r="S444" s="5"/>
      <c r="T444" s="1120"/>
      <c r="U444" s="5"/>
      <c r="V444" s="5"/>
      <c r="W444" s="5"/>
      <c r="X444" s="1120"/>
      <c r="Y444" s="1120"/>
      <c r="Z444" s="5"/>
      <c r="AA444" s="5"/>
      <c r="AB444" s="1135"/>
      <c r="AC444" s="5"/>
      <c r="AD444" s="5"/>
      <c r="AE444" s="5"/>
      <c r="AF444" s="1120"/>
      <c r="AG444" s="1148"/>
      <c r="AH444" s="1120"/>
      <c r="AI444" s="1120"/>
      <c r="AJ444" s="1120"/>
    </row>
    <row r="445" spans="2:36" ht="30" customHeight="1" x14ac:dyDescent="0.25">
      <c r="B445" s="5"/>
      <c r="C445" s="5" t="s">
        <v>4662</v>
      </c>
      <c r="F445" s="5"/>
      <c r="G445" s="5"/>
      <c r="H445" s="5"/>
      <c r="I445" s="5"/>
      <c r="J445" s="5"/>
      <c r="L445" s="277"/>
      <c r="M445" s="5"/>
      <c r="R445" s="5"/>
      <c r="S445" s="5"/>
      <c r="T445" s="1120"/>
      <c r="U445" s="5"/>
      <c r="V445" s="5"/>
      <c r="W445" s="5"/>
      <c r="X445" s="1120"/>
      <c r="Y445" s="1120"/>
      <c r="Z445" s="5"/>
      <c r="AA445" s="5"/>
      <c r="AB445" s="1135"/>
      <c r="AC445" s="5"/>
      <c r="AD445" s="5"/>
      <c r="AE445" s="5"/>
      <c r="AF445" s="1120"/>
      <c r="AG445" s="1148"/>
      <c r="AH445" s="1120"/>
      <c r="AI445" s="1120"/>
      <c r="AJ445" s="1120"/>
    </row>
    <row r="446" spans="2:36" ht="30" customHeight="1" x14ac:dyDescent="0.25">
      <c r="B446" s="5"/>
      <c r="C446" s="5"/>
      <c r="D446" s="5" t="s">
        <v>7790</v>
      </c>
      <c r="E446" s="585">
        <f>N134</f>
        <v>5468.6851057481281</v>
      </c>
      <c r="F446" s="5"/>
      <c r="G446" s="5"/>
      <c r="H446" s="5"/>
      <c r="I446" s="5"/>
      <c r="J446" s="5"/>
      <c r="L446" s="277"/>
      <c r="M446" s="5"/>
      <c r="R446" s="5"/>
      <c r="S446" s="5"/>
      <c r="T446" s="1120"/>
      <c r="U446" s="5"/>
      <c r="V446" s="5"/>
      <c r="W446" s="5"/>
      <c r="X446" s="1120"/>
      <c r="Y446" s="1120"/>
      <c r="Z446" s="5"/>
      <c r="AA446" s="5"/>
      <c r="AB446" s="1135"/>
      <c r="AC446" s="5"/>
      <c r="AD446" s="5"/>
      <c r="AE446" s="5"/>
      <c r="AF446" s="1120"/>
      <c r="AG446" s="1148"/>
      <c r="AH446" s="1120"/>
      <c r="AI446" s="1120"/>
      <c r="AJ446" s="1120"/>
    </row>
    <row r="447" spans="2:36" ht="30" customHeight="1" x14ac:dyDescent="0.25">
      <c r="B447" s="5"/>
      <c r="C447" s="5"/>
      <c r="D447" s="5" t="s">
        <v>4519</v>
      </c>
      <c r="E447" s="585">
        <f>AK134</f>
        <v>1822.895035249376</v>
      </c>
      <c r="F447" s="5"/>
      <c r="G447" s="5"/>
      <c r="H447" s="5"/>
      <c r="I447" s="5"/>
      <c r="J447" s="5"/>
      <c r="L447" s="277"/>
      <c r="M447" s="5"/>
      <c r="R447" s="5"/>
      <c r="S447" s="5"/>
      <c r="T447" s="1120"/>
      <c r="U447" s="5"/>
      <c r="V447" s="5"/>
      <c r="W447" s="5"/>
      <c r="X447" s="1120"/>
      <c r="Y447" s="1120"/>
      <c r="Z447" s="5"/>
      <c r="AA447" s="5"/>
      <c r="AB447" s="1135"/>
      <c r="AC447" s="5"/>
      <c r="AD447" s="5"/>
      <c r="AE447" s="5"/>
      <c r="AF447" s="1120"/>
      <c r="AG447" s="1148"/>
      <c r="AH447" s="1120"/>
      <c r="AI447" s="1120"/>
      <c r="AJ447" s="1120"/>
    </row>
    <row r="448" spans="2:36" ht="30" customHeight="1" x14ac:dyDescent="0.25">
      <c r="B448" s="5"/>
      <c r="C448" s="5"/>
      <c r="D448" s="5" t="s">
        <v>2736</v>
      </c>
      <c r="E448" s="585">
        <f>AM134</f>
        <v>5468.6851057481281</v>
      </c>
      <c r="F448" s="5"/>
      <c r="G448" s="5"/>
      <c r="H448" s="5"/>
      <c r="I448" s="5"/>
      <c r="J448" s="5"/>
      <c r="L448" s="277"/>
      <c r="M448" s="5"/>
      <c r="R448" s="5"/>
      <c r="S448" s="5"/>
      <c r="T448" s="1120"/>
      <c r="U448" s="5"/>
      <c r="V448" s="5"/>
      <c r="W448" s="5"/>
      <c r="X448" s="1120"/>
      <c r="Y448" s="1120"/>
      <c r="Z448" s="5"/>
      <c r="AA448" s="5"/>
      <c r="AB448" s="1135"/>
      <c r="AC448" s="5"/>
      <c r="AD448" s="5"/>
      <c r="AE448" s="5"/>
      <c r="AF448" s="1120"/>
      <c r="AG448" s="1148"/>
      <c r="AH448" s="1120"/>
      <c r="AI448" s="1120"/>
      <c r="AJ448" s="1120"/>
    </row>
    <row r="449" spans="2:36" ht="30" customHeight="1" x14ac:dyDescent="0.25">
      <c r="B449" s="5"/>
      <c r="C449" s="5"/>
      <c r="D449" s="5"/>
      <c r="E449" s="5"/>
      <c r="F449" s="5"/>
      <c r="G449" s="5"/>
      <c r="H449" s="5"/>
      <c r="I449" s="5"/>
      <c r="J449" s="5"/>
      <c r="L449" s="277"/>
      <c r="M449" s="5"/>
      <c r="R449" s="5"/>
      <c r="S449" s="5"/>
      <c r="T449" s="1120"/>
      <c r="U449" s="5"/>
      <c r="V449" s="5"/>
      <c r="W449" s="5"/>
      <c r="X449" s="1120"/>
      <c r="Y449" s="1120"/>
      <c r="Z449" s="5"/>
      <c r="AA449" s="5"/>
      <c r="AB449" s="1135"/>
      <c r="AC449" s="5"/>
      <c r="AD449" s="5"/>
      <c r="AE449" s="5"/>
      <c r="AF449" s="1120"/>
      <c r="AG449" s="1148"/>
      <c r="AH449" s="1120"/>
      <c r="AI449" s="1120"/>
      <c r="AJ449" s="1120"/>
    </row>
    <row r="450" spans="2:36" ht="30" customHeight="1" x14ac:dyDescent="0.25">
      <c r="B450" s="5"/>
      <c r="C450" s="5"/>
      <c r="D450" s="5"/>
      <c r="E450" s="5"/>
      <c r="F450" s="5"/>
      <c r="G450" s="5"/>
      <c r="H450" s="5"/>
      <c r="I450" s="5"/>
      <c r="J450" s="5"/>
      <c r="L450" s="277"/>
      <c r="M450" s="5"/>
      <c r="R450" s="5"/>
      <c r="S450" s="5"/>
      <c r="T450" s="1120"/>
      <c r="U450" s="5"/>
      <c r="V450" s="5"/>
      <c r="W450" s="5"/>
      <c r="X450" s="1120"/>
      <c r="Y450" s="1120"/>
      <c r="Z450" s="5"/>
      <c r="AA450" s="5"/>
      <c r="AB450" s="1135"/>
      <c r="AC450" s="5"/>
      <c r="AD450" s="5"/>
      <c r="AE450" s="5"/>
      <c r="AF450" s="1120"/>
      <c r="AG450" s="1148"/>
      <c r="AH450" s="1120"/>
      <c r="AI450" s="1120"/>
      <c r="AJ450" s="1120"/>
    </row>
    <row r="451" spans="2:36" ht="30" customHeight="1" x14ac:dyDescent="0.25">
      <c r="B451" s="5"/>
      <c r="C451" s="5"/>
      <c r="D451" s="5"/>
      <c r="E451" s="5"/>
      <c r="F451" s="5"/>
      <c r="G451" s="5"/>
      <c r="H451" s="5"/>
      <c r="I451" s="5"/>
      <c r="J451" s="5"/>
      <c r="L451" s="277"/>
      <c r="M451" s="5"/>
      <c r="R451" s="5"/>
      <c r="S451" s="5"/>
      <c r="T451" s="1120"/>
      <c r="U451" s="5"/>
      <c r="V451" s="5"/>
      <c r="W451" s="5"/>
      <c r="X451" s="1120"/>
      <c r="Y451" s="1120"/>
      <c r="Z451" s="5"/>
      <c r="AA451" s="5"/>
      <c r="AB451" s="1135"/>
      <c r="AC451" s="5"/>
      <c r="AD451" s="5"/>
      <c r="AE451" s="5"/>
      <c r="AF451" s="1120"/>
      <c r="AG451" s="1148"/>
      <c r="AH451" s="1120"/>
      <c r="AI451" s="1120"/>
      <c r="AJ451" s="1120"/>
    </row>
    <row r="452" spans="2:36" ht="30" customHeight="1" x14ac:dyDescent="0.25">
      <c r="B452" s="5"/>
      <c r="C452" s="5"/>
      <c r="D452" s="5"/>
      <c r="E452" s="5"/>
      <c r="F452" s="5"/>
      <c r="G452" s="5"/>
      <c r="H452" s="5"/>
      <c r="I452" s="5"/>
      <c r="J452" s="5"/>
      <c r="L452" s="277"/>
      <c r="M452" s="5"/>
      <c r="R452" s="5"/>
      <c r="S452" s="5"/>
      <c r="T452" s="1120"/>
      <c r="U452" s="5"/>
      <c r="V452" s="5"/>
      <c r="W452" s="5"/>
      <c r="X452" s="1120"/>
      <c r="Y452" s="1120"/>
      <c r="Z452" s="5"/>
      <c r="AA452" s="5"/>
      <c r="AB452" s="1135"/>
      <c r="AC452" s="5"/>
      <c r="AD452" s="5"/>
      <c r="AE452" s="5"/>
      <c r="AF452" s="1120"/>
      <c r="AG452" s="1148"/>
      <c r="AH452" s="1120"/>
      <c r="AI452" s="1120"/>
      <c r="AJ452" s="1120"/>
    </row>
    <row r="453" spans="2:36" ht="30" customHeight="1" x14ac:dyDescent="0.25">
      <c r="B453" s="5"/>
      <c r="C453" s="5"/>
      <c r="D453" s="5"/>
      <c r="E453" s="5"/>
      <c r="F453" s="5"/>
      <c r="G453" s="5"/>
      <c r="H453" s="5"/>
      <c r="I453" s="5"/>
      <c r="J453" s="5"/>
      <c r="L453" s="277"/>
      <c r="M453" s="5"/>
      <c r="R453" s="5"/>
      <c r="S453" s="5"/>
      <c r="T453" s="1120"/>
      <c r="U453" s="5"/>
      <c r="V453" s="5"/>
      <c r="W453" s="5"/>
      <c r="X453" s="1120"/>
      <c r="Y453" s="1120"/>
      <c r="Z453" s="5"/>
      <c r="AA453" s="5"/>
      <c r="AB453" s="1135"/>
      <c r="AC453" s="5"/>
      <c r="AD453" s="5"/>
      <c r="AE453" s="5"/>
      <c r="AF453" s="1120"/>
      <c r="AG453" s="1148"/>
      <c r="AH453" s="1120"/>
      <c r="AI453" s="1120"/>
      <c r="AJ453" s="1120"/>
    </row>
    <row r="454" spans="2:36" ht="30" customHeight="1" x14ac:dyDescent="0.25">
      <c r="B454" s="5"/>
      <c r="C454" s="5"/>
      <c r="D454" s="5"/>
      <c r="E454" s="5"/>
      <c r="F454" s="5"/>
      <c r="G454" s="5"/>
      <c r="H454" s="5"/>
      <c r="I454" s="5"/>
      <c r="J454" s="5"/>
      <c r="L454" s="277"/>
      <c r="M454" s="5"/>
      <c r="R454" s="5"/>
      <c r="S454" s="5"/>
      <c r="T454" s="1120"/>
      <c r="U454" s="5"/>
      <c r="V454" s="5"/>
      <c r="W454" s="5"/>
      <c r="X454" s="1120"/>
      <c r="Y454" s="1120"/>
      <c r="Z454" s="5"/>
      <c r="AA454" s="5"/>
      <c r="AB454" s="1135"/>
      <c r="AC454" s="5"/>
      <c r="AD454" s="5"/>
      <c r="AE454" s="5"/>
      <c r="AF454" s="1120"/>
      <c r="AG454" s="1148"/>
      <c r="AH454" s="1120"/>
      <c r="AI454" s="1120"/>
      <c r="AJ454" s="1120"/>
    </row>
    <row r="455" spans="2:36" ht="30" customHeight="1" x14ac:dyDescent="0.25">
      <c r="B455" s="5"/>
      <c r="C455" s="5"/>
      <c r="D455" s="5"/>
      <c r="E455" s="5"/>
      <c r="F455" s="5"/>
      <c r="G455" s="5"/>
      <c r="H455" s="5"/>
      <c r="I455" s="5"/>
      <c r="J455" s="5"/>
      <c r="L455" s="277"/>
      <c r="M455" s="5"/>
      <c r="R455" s="5"/>
      <c r="S455" s="5"/>
      <c r="T455" s="1120"/>
      <c r="U455" s="5"/>
      <c r="V455" s="5"/>
      <c r="W455" s="5"/>
      <c r="X455" s="1120"/>
      <c r="Y455" s="1120"/>
      <c r="Z455" s="5"/>
      <c r="AA455" s="5"/>
      <c r="AB455" s="1135"/>
      <c r="AC455" s="5"/>
      <c r="AD455" s="5"/>
      <c r="AE455" s="5"/>
      <c r="AF455" s="1120"/>
      <c r="AG455" s="1148"/>
      <c r="AH455" s="1120"/>
      <c r="AI455" s="1120"/>
      <c r="AJ455" s="1120"/>
    </row>
    <row r="456" spans="2:36" ht="30" customHeight="1" x14ac:dyDescent="0.25">
      <c r="B456" s="5"/>
      <c r="C456" s="5"/>
      <c r="D456" s="5"/>
      <c r="E456" s="5"/>
      <c r="F456" s="5"/>
      <c r="G456" s="5"/>
      <c r="H456" s="5"/>
      <c r="I456" s="5"/>
      <c r="J456" s="5"/>
      <c r="L456" s="277"/>
      <c r="M456" s="5"/>
      <c r="R456" s="5"/>
      <c r="S456" s="5"/>
      <c r="T456" s="1120"/>
      <c r="U456" s="5"/>
      <c r="V456" s="5"/>
      <c r="W456" s="5"/>
      <c r="X456" s="1120"/>
      <c r="Y456" s="1120"/>
      <c r="Z456" s="5"/>
      <c r="AA456" s="5"/>
      <c r="AB456" s="1135"/>
      <c r="AC456" s="5"/>
      <c r="AD456" s="5"/>
      <c r="AE456" s="5"/>
      <c r="AF456" s="1120"/>
      <c r="AG456" s="1148"/>
      <c r="AH456" s="1120"/>
      <c r="AI456" s="1120"/>
      <c r="AJ456" s="1120"/>
    </row>
    <row r="457" spans="2:36" ht="30" customHeight="1" x14ac:dyDescent="0.25">
      <c r="B457" s="5"/>
      <c r="C457" s="5"/>
      <c r="D457" s="5"/>
      <c r="E457" s="5"/>
      <c r="F457" s="5"/>
      <c r="G457" s="5"/>
      <c r="H457" s="5"/>
      <c r="I457" s="5"/>
      <c r="J457" s="5"/>
      <c r="L457" s="277"/>
      <c r="M457" s="5"/>
      <c r="R457" s="5"/>
      <c r="S457" s="5"/>
      <c r="T457" s="1120"/>
      <c r="U457" s="5"/>
      <c r="V457" s="5"/>
      <c r="W457" s="5"/>
      <c r="X457" s="1120"/>
      <c r="Y457" s="1120"/>
      <c r="Z457" s="5"/>
      <c r="AA457" s="5"/>
      <c r="AB457" s="1135"/>
      <c r="AC457" s="5"/>
      <c r="AD457" s="5"/>
      <c r="AE457" s="5"/>
      <c r="AF457" s="1120"/>
      <c r="AG457" s="1148"/>
      <c r="AH457" s="1120"/>
      <c r="AI457" s="1120"/>
      <c r="AJ457" s="1120"/>
    </row>
    <row r="458" spans="2:36" ht="30" customHeight="1" x14ac:dyDescent="0.25">
      <c r="B458" s="5"/>
      <c r="C458" s="5"/>
      <c r="D458" s="5"/>
      <c r="E458" s="5"/>
      <c r="F458" s="5"/>
      <c r="G458" s="5"/>
      <c r="H458" s="5"/>
      <c r="I458" s="5"/>
      <c r="J458" s="5"/>
      <c r="L458" s="277"/>
      <c r="M458" s="5"/>
      <c r="R458" s="5"/>
      <c r="S458" s="5"/>
      <c r="T458" s="1120"/>
      <c r="U458" s="5"/>
      <c r="V458" s="5"/>
      <c r="W458" s="5"/>
      <c r="X458" s="1120"/>
      <c r="Y458" s="1120"/>
      <c r="Z458" s="5"/>
      <c r="AA458" s="5"/>
      <c r="AB458" s="1135"/>
      <c r="AC458" s="5"/>
      <c r="AD458" s="5"/>
      <c r="AE458" s="5"/>
      <c r="AF458" s="1120"/>
      <c r="AG458" s="1148"/>
      <c r="AH458" s="1120"/>
      <c r="AI458" s="1120"/>
      <c r="AJ458" s="1120"/>
    </row>
    <row r="459" spans="2:36" ht="30" customHeight="1" x14ac:dyDescent="0.25">
      <c r="B459" s="5"/>
      <c r="C459" s="5"/>
      <c r="D459" s="5"/>
      <c r="E459" s="5"/>
      <c r="F459" s="5"/>
      <c r="G459" s="5"/>
      <c r="H459" s="5"/>
      <c r="I459" s="5"/>
      <c r="J459" s="5"/>
      <c r="L459" s="277"/>
      <c r="M459" s="5"/>
      <c r="R459" s="5"/>
      <c r="S459" s="5"/>
      <c r="T459" s="1120"/>
      <c r="U459" s="5"/>
      <c r="V459" s="5"/>
      <c r="W459" s="5"/>
      <c r="X459" s="1120"/>
      <c r="Y459" s="1120"/>
      <c r="Z459" s="5"/>
      <c r="AA459" s="5"/>
      <c r="AB459" s="1135"/>
      <c r="AC459" s="5"/>
      <c r="AD459" s="5"/>
      <c r="AE459" s="5"/>
      <c r="AF459" s="1120"/>
      <c r="AG459" s="1148"/>
      <c r="AH459" s="1120"/>
      <c r="AI459" s="1120"/>
      <c r="AJ459" s="1120"/>
    </row>
    <row r="460" spans="2:36" ht="30" customHeight="1" x14ac:dyDescent="0.25">
      <c r="B460" s="5"/>
      <c r="C460" s="5"/>
      <c r="D460" s="5"/>
      <c r="E460" s="5"/>
      <c r="F460" s="5"/>
      <c r="G460" s="5"/>
      <c r="H460" s="5"/>
      <c r="I460" s="5"/>
      <c r="J460" s="5"/>
      <c r="L460" s="277"/>
      <c r="M460" s="5"/>
      <c r="R460" s="5"/>
      <c r="S460" s="5"/>
      <c r="T460" s="1120"/>
      <c r="U460" s="5"/>
      <c r="V460" s="5"/>
      <c r="W460" s="5"/>
      <c r="X460" s="1120"/>
      <c r="Y460" s="1120"/>
      <c r="Z460" s="5"/>
      <c r="AA460" s="5"/>
      <c r="AB460" s="1135"/>
      <c r="AC460" s="5"/>
      <c r="AD460" s="5"/>
      <c r="AE460" s="5"/>
      <c r="AF460" s="1120"/>
      <c r="AG460" s="1148"/>
      <c r="AH460" s="1120"/>
      <c r="AI460" s="1120"/>
      <c r="AJ460" s="1120"/>
    </row>
    <row r="461" spans="2:36" ht="30" customHeight="1" x14ac:dyDescent="0.25">
      <c r="B461" s="5"/>
      <c r="C461" s="5"/>
      <c r="D461" s="5"/>
      <c r="E461" s="5"/>
      <c r="F461" s="5"/>
      <c r="G461" s="5"/>
      <c r="H461" s="5"/>
      <c r="I461" s="5"/>
      <c r="J461" s="5"/>
      <c r="L461" s="277"/>
      <c r="M461" s="5"/>
      <c r="R461" s="5"/>
      <c r="S461" s="5"/>
      <c r="T461" s="1120"/>
      <c r="U461" s="5"/>
      <c r="V461" s="5"/>
      <c r="W461" s="5"/>
      <c r="X461" s="1120"/>
      <c r="Y461" s="1120"/>
      <c r="Z461" s="5"/>
      <c r="AA461" s="5"/>
      <c r="AB461" s="1135"/>
      <c r="AC461" s="5"/>
      <c r="AD461" s="5"/>
      <c r="AE461" s="5"/>
      <c r="AF461" s="1120"/>
      <c r="AG461" s="1148"/>
      <c r="AH461" s="1120"/>
      <c r="AI461" s="1120"/>
      <c r="AJ461" s="1120"/>
    </row>
    <row r="462" spans="2:36" ht="30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L462" s="277"/>
      <c r="M462" s="5"/>
      <c r="R462" s="5"/>
      <c r="S462" s="5"/>
      <c r="T462" s="1120"/>
      <c r="U462" s="5"/>
      <c r="V462" s="5"/>
      <c r="W462" s="5"/>
      <c r="X462" s="1120"/>
      <c r="Y462" s="1120"/>
      <c r="Z462" s="5"/>
      <c r="AA462" s="5"/>
      <c r="AB462" s="1135"/>
      <c r="AC462" s="5"/>
      <c r="AD462" s="5"/>
      <c r="AE462" s="5"/>
      <c r="AF462" s="1120"/>
      <c r="AG462" s="1148"/>
      <c r="AH462" s="1120"/>
      <c r="AI462" s="1120"/>
      <c r="AJ462" s="1120"/>
    </row>
    <row r="463" spans="2:36" ht="30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L463" s="277"/>
      <c r="M463" s="5"/>
      <c r="R463" s="5"/>
      <c r="S463" s="5"/>
      <c r="T463" s="1120"/>
      <c r="U463" s="5"/>
      <c r="V463" s="5"/>
      <c r="W463" s="5"/>
      <c r="X463" s="1120"/>
      <c r="Y463" s="1120"/>
      <c r="Z463" s="5"/>
      <c r="AA463" s="5"/>
      <c r="AB463" s="1135"/>
      <c r="AC463" s="5"/>
      <c r="AD463" s="5"/>
      <c r="AE463" s="5"/>
      <c r="AF463" s="1120"/>
      <c r="AG463" s="1148"/>
      <c r="AH463" s="1120"/>
      <c r="AI463" s="1120"/>
      <c r="AJ463" s="1120"/>
    </row>
    <row r="464" spans="2:36" ht="30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L464" s="277"/>
      <c r="M464" s="5"/>
      <c r="R464" s="5"/>
      <c r="S464" s="5"/>
      <c r="T464" s="1120"/>
      <c r="U464" s="5"/>
      <c r="V464" s="5"/>
      <c r="W464" s="5"/>
      <c r="X464" s="1120"/>
      <c r="Y464" s="1120"/>
      <c r="Z464" s="5"/>
      <c r="AA464" s="5"/>
      <c r="AB464" s="1135"/>
      <c r="AC464" s="5"/>
      <c r="AD464" s="5"/>
      <c r="AE464" s="5"/>
      <c r="AF464" s="1120"/>
      <c r="AG464" s="1148"/>
      <c r="AH464" s="1120"/>
      <c r="AI464" s="1120"/>
      <c r="AJ464" s="1120"/>
    </row>
    <row r="465" spans="2:36" ht="30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L465" s="277"/>
      <c r="M465" s="5"/>
      <c r="R465" s="5"/>
      <c r="S465" s="5"/>
      <c r="T465" s="1120"/>
      <c r="U465" s="5"/>
      <c r="V465" s="5"/>
      <c r="W465" s="5"/>
      <c r="X465" s="1120"/>
      <c r="Y465" s="1120"/>
      <c r="Z465" s="5"/>
      <c r="AA465" s="5"/>
      <c r="AB465" s="1135"/>
      <c r="AC465" s="5"/>
      <c r="AD465" s="5"/>
      <c r="AE465" s="5"/>
      <c r="AF465" s="1120"/>
      <c r="AG465" s="1148"/>
      <c r="AH465" s="1120"/>
      <c r="AI465" s="1120"/>
      <c r="AJ465" s="1120"/>
    </row>
    <row r="466" spans="2:36" ht="30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L466" s="277"/>
      <c r="M466" s="5"/>
      <c r="R466" s="5"/>
      <c r="S466" s="5"/>
      <c r="T466" s="1120"/>
      <c r="U466" s="5"/>
      <c r="V466" s="5"/>
      <c r="W466" s="5"/>
      <c r="X466" s="1120"/>
      <c r="Y466" s="1120"/>
      <c r="Z466" s="5"/>
      <c r="AA466" s="5"/>
      <c r="AB466" s="1135"/>
      <c r="AC466" s="5"/>
      <c r="AD466" s="5"/>
      <c r="AE466" s="5"/>
      <c r="AF466" s="1120"/>
      <c r="AG466" s="1148"/>
      <c r="AH466" s="1120"/>
      <c r="AI466" s="1120"/>
      <c r="AJ466" s="1120"/>
    </row>
    <row r="467" spans="2:36" ht="30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L467" s="277"/>
      <c r="M467" s="5"/>
      <c r="R467" s="5"/>
      <c r="S467" s="5"/>
      <c r="T467" s="1120"/>
      <c r="U467" s="5"/>
      <c r="V467" s="5"/>
      <c r="W467" s="5"/>
      <c r="X467" s="1120"/>
      <c r="Y467" s="1120"/>
      <c r="Z467" s="5"/>
      <c r="AA467" s="5"/>
      <c r="AB467" s="1135"/>
      <c r="AC467" s="5"/>
      <c r="AD467" s="5"/>
      <c r="AE467" s="5"/>
      <c r="AF467" s="1120"/>
      <c r="AG467" s="1148"/>
      <c r="AH467" s="1120"/>
      <c r="AI467" s="1120"/>
      <c r="AJ467" s="1120"/>
    </row>
    <row r="468" spans="2:36" ht="30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L468" s="277"/>
      <c r="M468" s="5"/>
      <c r="R468" s="5"/>
      <c r="S468" s="5"/>
      <c r="T468" s="1120"/>
      <c r="U468" s="5"/>
      <c r="V468" s="5"/>
      <c r="W468" s="5"/>
      <c r="X468" s="1120"/>
      <c r="Y468" s="1120"/>
      <c r="Z468" s="5"/>
      <c r="AA468" s="5"/>
      <c r="AB468" s="1135"/>
      <c r="AC468" s="5"/>
      <c r="AD468" s="5"/>
      <c r="AE468" s="5"/>
      <c r="AF468" s="1120"/>
      <c r="AG468" s="1148"/>
      <c r="AH468" s="1120"/>
      <c r="AI468" s="1120"/>
      <c r="AJ468" s="1120"/>
    </row>
    <row r="469" spans="2:36" ht="30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L469" s="277"/>
      <c r="M469" s="5"/>
      <c r="R469" s="5"/>
      <c r="S469" s="5"/>
      <c r="T469" s="1120"/>
      <c r="U469" s="5"/>
      <c r="V469" s="5"/>
      <c r="W469" s="5"/>
      <c r="X469" s="1120"/>
      <c r="Y469" s="1120"/>
      <c r="Z469" s="5"/>
      <c r="AA469" s="5"/>
      <c r="AB469" s="1135"/>
      <c r="AC469" s="5"/>
      <c r="AD469" s="5"/>
      <c r="AE469" s="5"/>
      <c r="AF469" s="1120"/>
      <c r="AG469" s="1148"/>
      <c r="AH469" s="1120"/>
      <c r="AI469" s="1120"/>
      <c r="AJ469" s="1120"/>
    </row>
    <row r="470" spans="2:36" ht="30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L470" s="277"/>
      <c r="M470" s="5"/>
      <c r="R470" s="5"/>
      <c r="S470" s="5"/>
      <c r="T470" s="1120"/>
      <c r="U470" s="5"/>
      <c r="V470" s="5"/>
      <c r="W470" s="5"/>
      <c r="X470" s="1120"/>
      <c r="Y470" s="1120"/>
      <c r="Z470" s="5"/>
      <c r="AA470" s="5"/>
      <c r="AB470" s="1135"/>
      <c r="AC470" s="5"/>
      <c r="AD470" s="5"/>
      <c r="AE470" s="5"/>
      <c r="AF470" s="1120"/>
      <c r="AG470" s="1148"/>
      <c r="AH470" s="1120"/>
      <c r="AI470" s="1120"/>
      <c r="AJ470" s="1120"/>
    </row>
    <row r="471" spans="2:36" ht="30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L471" s="277"/>
      <c r="M471" s="5"/>
      <c r="R471" s="5"/>
      <c r="S471" s="5"/>
      <c r="T471" s="1120"/>
      <c r="U471" s="5"/>
      <c r="V471" s="5"/>
      <c r="W471" s="5"/>
      <c r="X471" s="1120"/>
      <c r="Y471" s="1120"/>
      <c r="Z471" s="5"/>
      <c r="AA471" s="5"/>
      <c r="AB471" s="1135"/>
      <c r="AC471" s="5"/>
      <c r="AD471" s="5"/>
      <c r="AE471" s="5"/>
      <c r="AF471" s="1120"/>
      <c r="AG471" s="1148"/>
      <c r="AH471" s="1120"/>
      <c r="AI471" s="1120"/>
      <c r="AJ471" s="1120"/>
    </row>
    <row r="472" spans="2:36" ht="30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L472" s="277"/>
      <c r="M472" s="5"/>
      <c r="R472" s="5"/>
      <c r="S472" s="5"/>
      <c r="T472" s="1120"/>
      <c r="U472" s="5"/>
      <c r="V472" s="5"/>
      <c r="W472" s="5"/>
      <c r="X472" s="1120"/>
      <c r="Y472" s="1120"/>
      <c r="Z472" s="5"/>
      <c r="AA472" s="5"/>
      <c r="AB472" s="1135"/>
      <c r="AC472" s="5"/>
      <c r="AD472" s="5"/>
      <c r="AE472" s="5"/>
      <c r="AF472" s="1120"/>
      <c r="AG472" s="1148"/>
      <c r="AH472" s="1120"/>
      <c r="AI472" s="1120"/>
      <c r="AJ472" s="1120"/>
    </row>
    <row r="473" spans="2:36" ht="30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L473" s="277"/>
      <c r="M473" s="5"/>
      <c r="R473" s="5"/>
      <c r="S473" s="5"/>
      <c r="T473" s="1120"/>
      <c r="U473" s="5"/>
      <c r="V473" s="5"/>
      <c r="W473" s="5"/>
      <c r="X473" s="1120"/>
      <c r="Y473" s="1120"/>
      <c r="Z473" s="5"/>
      <c r="AA473" s="5"/>
      <c r="AB473" s="1135"/>
      <c r="AC473" s="5"/>
      <c r="AD473" s="5"/>
      <c r="AE473" s="5"/>
      <c r="AF473" s="1120"/>
      <c r="AG473" s="1148"/>
      <c r="AH473" s="1120"/>
      <c r="AI473" s="1120"/>
      <c r="AJ473" s="1120"/>
    </row>
    <row r="474" spans="2:36" ht="30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L474" s="277"/>
      <c r="M474" s="5"/>
      <c r="R474" s="5"/>
      <c r="S474" s="5"/>
      <c r="T474" s="1120"/>
      <c r="U474" s="5"/>
      <c r="V474" s="5"/>
      <c r="W474" s="5"/>
      <c r="X474" s="1120"/>
      <c r="Y474" s="1120"/>
      <c r="Z474" s="5"/>
      <c r="AA474" s="5"/>
      <c r="AB474" s="1135"/>
      <c r="AC474" s="5"/>
      <c r="AD474" s="5"/>
      <c r="AE474" s="5"/>
      <c r="AF474" s="1120"/>
      <c r="AG474" s="1148"/>
      <c r="AH474" s="1120"/>
      <c r="AI474" s="1120"/>
      <c r="AJ474" s="1120"/>
    </row>
    <row r="475" spans="2:36" ht="30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L475" s="277"/>
      <c r="M475" s="5"/>
      <c r="R475" s="5"/>
      <c r="S475" s="5"/>
      <c r="T475" s="1120"/>
      <c r="U475" s="5"/>
      <c r="V475" s="5"/>
      <c r="W475" s="5"/>
      <c r="X475" s="1120"/>
      <c r="Y475" s="1120"/>
      <c r="Z475" s="5"/>
      <c r="AA475" s="5"/>
      <c r="AB475" s="1135"/>
      <c r="AC475" s="5"/>
      <c r="AD475" s="5"/>
      <c r="AE475" s="5"/>
      <c r="AF475" s="1120"/>
      <c r="AG475" s="1148"/>
      <c r="AH475" s="1120"/>
      <c r="AI475" s="1120"/>
      <c r="AJ475" s="1120"/>
    </row>
    <row r="476" spans="2:36" ht="30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L476" s="277"/>
      <c r="M476" s="5"/>
      <c r="R476" s="5"/>
      <c r="S476" s="5"/>
      <c r="T476" s="1120"/>
      <c r="U476" s="5"/>
      <c r="V476" s="5"/>
      <c r="W476" s="5"/>
      <c r="X476" s="1120"/>
      <c r="Y476" s="1120"/>
      <c r="Z476" s="5"/>
      <c r="AA476" s="5"/>
      <c r="AB476" s="1135"/>
      <c r="AC476" s="5"/>
      <c r="AD476" s="5"/>
      <c r="AE476" s="5"/>
      <c r="AF476" s="1120"/>
      <c r="AG476" s="1148"/>
      <c r="AH476" s="1120"/>
      <c r="AI476" s="1120"/>
      <c r="AJ476" s="1120"/>
    </row>
    <row r="477" spans="2:36" ht="30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L477" s="277"/>
      <c r="M477" s="5"/>
      <c r="R477" s="5"/>
      <c r="S477" s="5"/>
      <c r="T477" s="1120"/>
      <c r="U477" s="5"/>
      <c r="V477" s="5"/>
      <c r="W477" s="5"/>
      <c r="X477" s="1120"/>
      <c r="Y477" s="1120"/>
      <c r="Z477" s="5"/>
      <c r="AA477" s="5"/>
      <c r="AB477" s="1135"/>
      <c r="AC477" s="5"/>
      <c r="AD477" s="5"/>
      <c r="AE477" s="5"/>
      <c r="AF477" s="1120"/>
      <c r="AG477" s="1148"/>
      <c r="AH477" s="1120"/>
      <c r="AI477" s="1120"/>
      <c r="AJ477" s="1120"/>
    </row>
    <row r="478" spans="2:36" ht="30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L478" s="277"/>
      <c r="M478" s="5"/>
      <c r="R478" s="5"/>
      <c r="S478" s="5"/>
      <c r="T478" s="1120"/>
      <c r="U478" s="5"/>
      <c r="V478" s="5"/>
      <c r="W478" s="5"/>
      <c r="X478" s="1120"/>
      <c r="Y478" s="1120"/>
      <c r="Z478" s="5"/>
      <c r="AA478" s="5"/>
      <c r="AB478" s="1135"/>
      <c r="AC478" s="5"/>
      <c r="AD478" s="5"/>
      <c r="AE478" s="5"/>
      <c r="AF478" s="1120"/>
      <c r="AG478" s="1148"/>
      <c r="AH478" s="1120"/>
      <c r="AI478" s="1120"/>
      <c r="AJ478" s="1120"/>
    </row>
    <row r="479" spans="2:36" ht="30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L479" s="277"/>
      <c r="M479" s="5"/>
      <c r="R479" s="5"/>
      <c r="S479" s="5"/>
      <c r="T479" s="1120"/>
      <c r="U479" s="5"/>
      <c r="V479" s="5"/>
      <c r="W479" s="5"/>
      <c r="X479" s="1120"/>
      <c r="Y479" s="1120"/>
      <c r="Z479" s="5"/>
      <c r="AA479" s="5"/>
      <c r="AB479" s="1135"/>
      <c r="AC479" s="5"/>
      <c r="AD479" s="5"/>
      <c r="AE479" s="5"/>
      <c r="AF479" s="1120"/>
      <c r="AG479" s="1148"/>
      <c r="AH479" s="1120"/>
      <c r="AI479" s="1120"/>
      <c r="AJ479" s="1120"/>
    </row>
    <row r="480" spans="2:36" ht="30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L480" s="277"/>
      <c r="M480" s="5"/>
      <c r="R480" s="5"/>
      <c r="S480" s="5"/>
      <c r="T480" s="1120"/>
      <c r="U480" s="5"/>
      <c r="V480" s="5"/>
      <c r="W480" s="5"/>
      <c r="X480" s="1120"/>
      <c r="Y480" s="1120"/>
      <c r="Z480" s="5"/>
      <c r="AA480" s="5"/>
      <c r="AB480" s="1135"/>
      <c r="AC480" s="5"/>
      <c r="AD480" s="5"/>
      <c r="AE480" s="5"/>
      <c r="AF480" s="1120"/>
      <c r="AG480" s="1148"/>
      <c r="AH480" s="1120"/>
      <c r="AI480" s="1120"/>
      <c r="AJ480" s="1120"/>
    </row>
    <row r="481" spans="2:36" ht="30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L481" s="277"/>
      <c r="M481" s="5"/>
      <c r="R481" s="5"/>
      <c r="S481" s="5"/>
      <c r="T481" s="1120"/>
      <c r="U481" s="5"/>
      <c r="V481" s="5"/>
      <c r="W481" s="5"/>
      <c r="X481" s="1120"/>
      <c r="Y481" s="1120"/>
      <c r="Z481" s="5"/>
      <c r="AA481" s="5"/>
      <c r="AB481" s="1135"/>
      <c r="AC481" s="5"/>
      <c r="AD481" s="5"/>
      <c r="AE481" s="5"/>
      <c r="AF481" s="1120"/>
      <c r="AG481" s="1148"/>
      <c r="AH481" s="1120"/>
      <c r="AI481" s="1120"/>
      <c r="AJ481" s="1120"/>
    </row>
    <row r="482" spans="2:36" ht="30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L482" s="277"/>
      <c r="M482" s="5"/>
      <c r="R482" s="5"/>
      <c r="S482" s="5"/>
      <c r="T482" s="1120"/>
      <c r="U482" s="5"/>
      <c r="V482" s="5"/>
      <c r="W482" s="5"/>
      <c r="X482" s="1120"/>
      <c r="Y482" s="1120"/>
      <c r="Z482" s="5"/>
      <c r="AA482" s="5"/>
      <c r="AB482" s="1135"/>
      <c r="AC482" s="5"/>
      <c r="AD482" s="5"/>
      <c r="AE482" s="5"/>
      <c r="AF482" s="1120"/>
      <c r="AG482" s="1148"/>
      <c r="AH482" s="1120"/>
      <c r="AI482" s="1120"/>
      <c r="AJ482" s="1120"/>
    </row>
    <row r="483" spans="2:36" ht="30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L483" s="277"/>
      <c r="M483" s="5"/>
      <c r="R483" s="5"/>
      <c r="S483" s="5"/>
      <c r="T483" s="1120"/>
      <c r="U483" s="5"/>
      <c r="V483" s="5"/>
      <c r="W483" s="5"/>
      <c r="X483" s="1120"/>
      <c r="Y483" s="1120"/>
      <c r="Z483" s="5"/>
      <c r="AA483" s="5"/>
      <c r="AB483" s="1135"/>
      <c r="AC483" s="5"/>
      <c r="AD483" s="5"/>
      <c r="AE483" s="5"/>
      <c r="AF483" s="1120"/>
      <c r="AG483" s="1148"/>
      <c r="AH483" s="1120"/>
      <c r="AI483" s="1120"/>
      <c r="AJ483" s="1120"/>
    </row>
    <row r="484" spans="2:36" ht="30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L484" s="277"/>
      <c r="M484" s="5"/>
      <c r="R484" s="5"/>
      <c r="S484" s="5"/>
      <c r="T484" s="1120"/>
      <c r="U484" s="5"/>
      <c r="V484" s="5"/>
      <c r="W484" s="5"/>
      <c r="X484" s="1120"/>
      <c r="Y484" s="1120"/>
      <c r="Z484" s="5"/>
      <c r="AA484" s="5"/>
      <c r="AB484" s="1135"/>
      <c r="AC484" s="5"/>
      <c r="AD484" s="5"/>
      <c r="AE484" s="5"/>
      <c r="AF484" s="1120"/>
      <c r="AG484" s="1148"/>
      <c r="AH484" s="1120"/>
      <c r="AI484" s="1120"/>
      <c r="AJ484" s="1120"/>
    </row>
    <row r="485" spans="2:36" ht="30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L485" s="277"/>
      <c r="M485" s="5"/>
      <c r="R485" s="5"/>
      <c r="S485" s="5"/>
      <c r="T485" s="1120"/>
      <c r="U485" s="5"/>
      <c r="V485" s="5"/>
      <c r="W485" s="5"/>
      <c r="X485" s="1120"/>
      <c r="Y485" s="1120"/>
      <c r="Z485" s="5"/>
      <c r="AA485" s="5"/>
      <c r="AB485" s="1135"/>
      <c r="AC485" s="5"/>
      <c r="AD485" s="5"/>
      <c r="AE485" s="5"/>
      <c r="AF485" s="1120"/>
      <c r="AG485" s="1148"/>
      <c r="AH485" s="1120"/>
      <c r="AI485" s="1120"/>
      <c r="AJ485" s="1120"/>
    </row>
    <row r="486" spans="2:36" ht="30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L486" s="277"/>
      <c r="M486" s="5"/>
      <c r="R486" s="5"/>
      <c r="S486" s="5"/>
      <c r="T486" s="1120"/>
      <c r="U486" s="5"/>
      <c r="V486" s="5"/>
      <c r="W486" s="5"/>
      <c r="X486" s="1120"/>
      <c r="Y486" s="1120"/>
      <c r="Z486" s="5"/>
      <c r="AA486" s="5"/>
      <c r="AB486" s="1135"/>
      <c r="AC486" s="5"/>
      <c r="AD486" s="5"/>
      <c r="AE486" s="5"/>
      <c r="AF486" s="1120"/>
      <c r="AG486" s="1148"/>
      <c r="AH486" s="1120"/>
      <c r="AI486" s="1120"/>
      <c r="AJ486" s="1120"/>
    </row>
    <row r="487" spans="2:36" ht="30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L487" s="277"/>
      <c r="M487" s="5"/>
      <c r="R487" s="5"/>
      <c r="S487" s="5"/>
      <c r="T487" s="1120"/>
      <c r="U487" s="5"/>
      <c r="V487" s="5"/>
      <c r="W487" s="5"/>
      <c r="X487" s="1120"/>
      <c r="Y487" s="1120"/>
      <c r="Z487" s="5"/>
      <c r="AA487" s="5"/>
      <c r="AB487" s="1135"/>
      <c r="AC487" s="5"/>
      <c r="AD487" s="5"/>
      <c r="AE487" s="5"/>
      <c r="AF487" s="1120"/>
      <c r="AG487" s="1148"/>
      <c r="AH487" s="1120"/>
      <c r="AI487" s="1120"/>
      <c r="AJ487" s="1120"/>
    </row>
    <row r="488" spans="2:36" ht="30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L488" s="277"/>
      <c r="M488" s="5"/>
      <c r="R488" s="5"/>
      <c r="S488" s="5"/>
      <c r="T488" s="1120"/>
      <c r="U488" s="5"/>
      <c r="V488" s="5"/>
      <c r="W488" s="5"/>
      <c r="X488" s="1120"/>
      <c r="Y488" s="1120"/>
      <c r="Z488" s="5"/>
      <c r="AA488" s="5"/>
      <c r="AB488" s="1135"/>
      <c r="AC488" s="5"/>
      <c r="AD488" s="5"/>
      <c r="AE488" s="5"/>
      <c r="AF488" s="1120"/>
      <c r="AG488" s="1148"/>
      <c r="AH488" s="1120"/>
      <c r="AI488" s="1120"/>
      <c r="AJ488" s="1120"/>
    </row>
    <row r="489" spans="2:36" ht="30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L489" s="277"/>
      <c r="M489" s="5"/>
      <c r="R489" s="5"/>
      <c r="S489" s="5"/>
      <c r="T489" s="1120"/>
      <c r="U489" s="5"/>
      <c r="V489" s="5"/>
      <c r="W489" s="5"/>
      <c r="X489" s="1120"/>
      <c r="Y489" s="1120"/>
      <c r="Z489" s="5"/>
      <c r="AA489" s="5"/>
      <c r="AB489" s="1135"/>
      <c r="AC489" s="5"/>
      <c r="AD489" s="5"/>
      <c r="AE489" s="5"/>
      <c r="AF489" s="1120"/>
      <c r="AG489" s="1148"/>
      <c r="AH489" s="1120"/>
      <c r="AI489" s="1120"/>
      <c r="AJ489" s="1120"/>
    </row>
    <row r="490" spans="2:36" ht="30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L490" s="277"/>
      <c r="M490" s="5"/>
      <c r="R490" s="5"/>
      <c r="S490" s="5"/>
      <c r="T490" s="1120"/>
      <c r="U490" s="5"/>
      <c r="V490" s="5"/>
      <c r="W490" s="5"/>
      <c r="X490" s="1120"/>
      <c r="Y490" s="1120"/>
      <c r="Z490" s="5"/>
      <c r="AA490" s="5"/>
      <c r="AB490" s="1135"/>
      <c r="AC490" s="5"/>
      <c r="AD490" s="5"/>
      <c r="AE490" s="5"/>
      <c r="AF490" s="1120"/>
      <c r="AG490" s="1148"/>
      <c r="AH490" s="1120"/>
      <c r="AI490" s="1120"/>
      <c r="AJ490" s="1120"/>
    </row>
    <row r="491" spans="2:36" ht="30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L491" s="277"/>
      <c r="M491" s="5"/>
      <c r="R491" s="5"/>
      <c r="S491" s="5"/>
      <c r="T491" s="1120"/>
      <c r="U491" s="5"/>
      <c r="V491" s="5"/>
      <c r="W491" s="5"/>
      <c r="X491" s="1120"/>
      <c r="Y491" s="1120"/>
      <c r="Z491" s="5"/>
      <c r="AA491" s="5"/>
      <c r="AB491" s="1135"/>
      <c r="AC491" s="5"/>
      <c r="AD491" s="5"/>
      <c r="AE491" s="5"/>
      <c r="AF491" s="1120"/>
      <c r="AG491" s="1148"/>
      <c r="AH491" s="1120"/>
      <c r="AI491" s="1120"/>
      <c r="AJ491" s="1120"/>
    </row>
    <row r="492" spans="2:36" ht="30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L492" s="277"/>
      <c r="M492" s="5"/>
      <c r="R492" s="5"/>
      <c r="S492" s="5"/>
      <c r="T492" s="1120"/>
      <c r="U492" s="5"/>
      <c r="V492" s="5"/>
      <c r="W492" s="5"/>
      <c r="X492" s="1120"/>
      <c r="Y492" s="1120"/>
      <c r="Z492" s="5"/>
      <c r="AA492" s="5"/>
      <c r="AB492" s="1135"/>
      <c r="AC492" s="5"/>
      <c r="AD492" s="5"/>
      <c r="AE492" s="5"/>
      <c r="AF492" s="1120"/>
      <c r="AG492" s="1148"/>
      <c r="AH492" s="1120"/>
      <c r="AI492" s="1120"/>
      <c r="AJ492" s="1120"/>
    </row>
    <row r="493" spans="2:36" ht="30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L493" s="277"/>
      <c r="M493" s="5"/>
      <c r="R493" s="5"/>
      <c r="S493" s="5"/>
      <c r="T493" s="1120"/>
      <c r="U493" s="5"/>
      <c r="V493" s="5"/>
      <c r="W493" s="5"/>
      <c r="X493" s="1120"/>
      <c r="Y493" s="1120"/>
      <c r="Z493" s="5"/>
      <c r="AA493" s="5"/>
      <c r="AB493" s="1135"/>
      <c r="AC493" s="5"/>
      <c r="AD493" s="5"/>
      <c r="AE493" s="5"/>
      <c r="AF493" s="1120"/>
      <c r="AG493" s="1148"/>
      <c r="AH493" s="1120"/>
      <c r="AI493" s="1120"/>
      <c r="AJ493" s="1120"/>
    </row>
    <row r="494" spans="2:36" ht="30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L494" s="277"/>
      <c r="M494" s="5"/>
      <c r="R494" s="5"/>
      <c r="S494" s="5"/>
      <c r="T494" s="1120"/>
      <c r="U494" s="5"/>
      <c r="V494" s="5"/>
      <c r="W494" s="5"/>
      <c r="X494" s="1120"/>
      <c r="Y494" s="1120"/>
      <c r="Z494" s="5"/>
      <c r="AA494" s="5"/>
      <c r="AB494" s="1135"/>
      <c r="AC494" s="5"/>
      <c r="AD494" s="5"/>
      <c r="AE494" s="5"/>
      <c r="AF494" s="1120"/>
      <c r="AG494" s="1148"/>
      <c r="AH494" s="1120"/>
      <c r="AI494" s="1120"/>
      <c r="AJ494" s="1120"/>
    </row>
    <row r="495" spans="2:36" ht="30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L495" s="277"/>
      <c r="M495" s="5"/>
      <c r="R495" s="5"/>
      <c r="S495" s="5"/>
      <c r="T495" s="1120"/>
      <c r="U495" s="5"/>
      <c r="V495" s="5"/>
      <c r="W495" s="5"/>
      <c r="X495" s="1120"/>
      <c r="Y495" s="1120"/>
      <c r="Z495" s="5"/>
      <c r="AA495" s="5"/>
      <c r="AB495" s="1135"/>
      <c r="AC495" s="5"/>
      <c r="AD495" s="5"/>
      <c r="AE495" s="5"/>
      <c r="AF495" s="1120"/>
      <c r="AG495" s="1148"/>
      <c r="AH495" s="1120"/>
      <c r="AI495" s="1120"/>
      <c r="AJ495" s="1120"/>
    </row>
    <row r="496" spans="2:36" ht="30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L496" s="277"/>
      <c r="M496" s="5"/>
      <c r="R496" s="5"/>
      <c r="S496" s="5"/>
      <c r="T496" s="1120"/>
      <c r="U496" s="5"/>
      <c r="V496" s="5"/>
      <c r="W496" s="5"/>
      <c r="X496" s="1120"/>
      <c r="Y496" s="1120"/>
      <c r="Z496" s="5"/>
      <c r="AA496" s="5"/>
      <c r="AB496" s="1135"/>
      <c r="AC496" s="5"/>
      <c r="AD496" s="5"/>
      <c r="AE496" s="5"/>
      <c r="AF496" s="1120"/>
      <c r="AG496" s="1148"/>
      <c r="AH496" s="1120"/>
      <c r="AI496" s="1120"/>
      <c r="AJ496" s="1120"/>
    </row>
    <row r="497" spans="2:36" ht="30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L497" s="277"/>
      <c r="M497" s="5"/>
      <c r="R497" s="5"/>
      <c r="S497" s="5"/>
      <c r="T497" s="1120"/>
      <c r="U497" s="5"/>
      <c r="V497" s="5"/>
      <c r="W497" s="5"/>
      <c r="X497" s="1120"/>
      <c r="Y497" s="1120"/>
      <c r="Z497" s="5"/>
      <c r="AA497" s="5"/>
      <c r="AB497" s="1135"/>
      <c r="AC497" s="5"/>
      <c r="AD497" s="5"/>
      <c r="AE497" s="5"/>
      <c r="AF497" s="1120"/>
      <c r="AG497" s="1148"/>
      <c r="AH497" s="1120"/>
      <c r="AI497" s="1120"/>
      <c r="AJ497" s="1120"/>
    </row>
    <row r="498" spans="2:36" ht="30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L498" s="277"/>
      <c r="M498" s="5"/>
      <c r="R498" s="5"/>
      <c r="S498" s="5"/>
      <c r="T498" s="1120"/>
      <c r="U498" s="5"/>
      <c r="V498" s="5"/>
      <c r="W498" s="5"/>
      <c r="X498" s="1120"/>
      <c r="Y498" s="1120"/>
      <c r="Z498" s="5"/>
      <c r="AA498" s="5"/>
      <c r="AB498" s="1135"/>
      <c r="AC498" s="5"/>
      <c r="AD498" s="5"/>
      <c r="AE498" s="5"/>
      <c r="AF498" s="1120"/>
      <c r="AG498" s="1148"/>
      <c r="AH498" s="1120"/>
      <c r="AI498" s="1120"/>
      <c r="AJ498" s="1120"/>
    </row>
    <row r="499" spans="2:36" ht="30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L499" s="277"/>
      <c r="M499" s="5"/>
      <c r="R499" s="5"/>
      <c r="S499" s="5"/>
      <c r="T499" s="1120"/>
      <c r="U499" s="5"/>
      <c r="V499" s="5"/>
      <c r="W499" s="5"/>
      <c r="X499" s="1120"/>
      <c r="Y499" s="1120"/>
      <c r="Z499" s="5"/>
      <c r="AA499" s="5"/>
      <c r="AB499" s="1135"/>
      <c r="AC499" s="5"/>
      <c r="AD499" s="5"/>
      <c r="AE499" s="5"/>
      <c r="AF499" s="1120"/>
      <c r="AG499" s="1148"/>
      <c r="AH499" s="1120"/>
      <c r="AI499" s="1120"/>
      <c r="AJ499" s="1120"/>
    </row>
    <row r="500" spans="2:36" ht="30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L500" s="277"/>
      <c r="M500" s="5"/>
      <c r="R500" s="5"/>
      <c r="S500" s="5"/>
      <c r="T500" s="1120"/>
      <c r="U500" s="5"/>
      <c r="V500" s="5"/>
      <c r="W500" s="5"/>
      <c r="X500" s="1120"/>
      <c r="Y500" s="1120"/>
      <c r="Z500" s="5"/>
      <c r="AA500" s="5"/>
      <c r="AB500" s="1135"/>
      <c r="AC500" s="5"/>
      <c r="AD500" s="5"/>
      <c r="AE500" s="5"/>
      <c r="AF500" s="1120"/>
      <c r="AG500" s="1148"/>
      <c r="AH500" s="1120"/>
      <c r="AI500" s="1120"/>
      <c r="AJ500" s="1120"/>
    </row>
    <row r="501" spans="2:36" ht="30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L501" s="277"/>
      <c r="M501" s="5"/>
      <c r="R501" s="5"/>
      <c r="S501" s="5"/>
      <c r="T501" s="1120"/>
      <c r="U501" s="5"/>
      <c r="V501" s="5"/>
      <c r="W501" s="5"/>
      <c r="X501" s="1120"/>
      <c r="Y501" s="1120"/>
      <c r="Z501" s="5"/>
      <c r="AA501" s="5"/>
      <c r="AB501" s="1135"/>
      <c r="AC501" s="5"/>
      <c r="AD501" s="5"/>
      <c r="AE501" s="5"/>
      <c r="AF501" s="1120"/>
      <c r="AG501" s="1148"/>
      <c r="AH501" s="1120"/>
      <c r="AI501" s="1120"/>
      <c r="AJ501" s="1120"/>
    </row>
    <row r="502" spans="2:36" ht="30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L502" s="277"/>
      <c r="M502" s="5"/>
      <c r="R502" s="5"/>
      <c r="S502" s="5"/>
      <c r="T502" s="1120"/>
      <c r="U502" s="5"/>
      <c r="V502" s="5"/>
      <c r="W502" s="5"/>
      <c r="X502" s="1120"/>
      <c r="Y502" s="1120"/>
      <c r="Z502" s="5"/>
      <c r="AA502" s="5"/>
      <c r="AB502" s="1135"/>
      <c r="AC502" s="5"/>
      <c r="AD502" s="5"/>
      <c r="AE502" s="5"/>
      <c r="AF502" s="1120"/>
      <c r="AG502" s="1148"/>
      <c r="AH502" s="1120"/>
      <c r="AI502" s="1120"/>
      <c r="AJ502" s="1120"/>
    </row>
    <row r="503" spans="2:36" ht="30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L503" s="277"/>
      <c r="M503" s="5"/>
      <c r="R503" s="5"/>
      <c r="S503" s="5"/>
      <c r="T503" s="1120"/>
      <c r="U503" s="5"/>
      <c r="V503" s="5"/>
      <c r="W503" s="5"/>
      <c r="X503" s="1120"/>
      <c r="Y503" s="1120"/>
      <c r="Z503" s="5"/>
      <c r="AA503" s="5"/>
      <c r="AB503" s="1135"/>
      <c r="AC503" s="5"/>
      <c r="AD503" s="5"/>
      <c r="AE503" s="5"/>
      <c r="AF503" s="1120"/>
      <c r="AG503" s="1148"/>
      <c r="AH503" s="1120"/>
      <c r="AI503" s="1120"/>
      <c r="AJ503" s="1120"/>
    </row>
    <row r="504" spans="2:36" ht="30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L504" s="277"/>
      <c r="M504" s="5"/>
      <c r="R504" s="5"/>
      <c r="S504" s="5"/>
      <c r="T504" s="1120"/>
      <c r="U504" s="5"/>
      <c r="V504" s="5"/>
      <c r="W504" s="5"/>
      <c r="X504" s="1120"/>
      <c r="Y504" s="1120"/>
      <c r="Z504" s="5"/>
      <c r="AA504" s="5"/>
      <c r="AB504" s="1135"/>
      <c r="AC504" s="5"/>
      <c r="AD504" s="5"/>
      <c r="AE504" s="5"/>
      <c r="AF504" s="1120"/>
      <c r="AG504" s="1148"/>
      <c r="AH504" s="1120"/>
      <c r="AI504" s="1120"/>
      <c r="AJ504" s="1120"/>
    </row>
    <row r="505" spans="2:36" ht="30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L505" s="277"/>
      <c r="M505" s="5"/>
      <c r="R505" s="5"/>
      <c r="S505" s="5"/>
      <c r="T505" s="1120"/>
      <c r="U505" s="5"/>
      <c r="V505" s="5"/>
      <c r="W505" s="5"/>
      <c r="X505" s="1120"/>
      <c r="Y505" s="1120"/>
      <c r="Z505" s="5"/>
      <c r="AA505" s="5"/>
      <c r="AB505" s="1135"/>
      <c r="AC505" s="5"/>
      <c r="AD505" s="5"/>
      <c r="AE505" s="5"/>
      <c r="AF505" s="1120"/>
      <c r="AG505" s="1148"/>
      <c r="AH505" s="1120"/>
      <c r="AI505" s="1120"/>
      <c r="AJ505" s="1120"/>
    </row>
    <row r="506" spans="2:36" ht="30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L506" s="277"/>
      <c r="M506" s="5"/>
      <c r="R506" s="5"/>
      <c r="S506" s="5"/>
      <c r="T506" s="1120"/>
      <c r="U506" s="5"/>
      <c r="V506" s="5"/>
      <c r="W506" s="5"/>
      <c r="X506" s="1120"/>
      <c r="Y506" s="1120"/>
      <c r="Z506" s="5"/>
      <c r="AA506" s="5"/>
      <c r="AB506" s="1135"/>
      <c r="AC506" s="5"/>
      <c r="AD506" s="5"/>
      <c r="AE506" s="5"/>
      <c r="AF506" s="1120"/>
      <c r="AG506" s="1148"/>
      <c r="AH506" s="1120"/>
      <c r="AI506" s="1120"/>
      <c r="AJ506" s="1120"/>
    </row>
    <row r="507" spans="2:36" ht="30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L507" s="277"/>
      <c r="M507" s="5"/>
      <c r="R507" s="5"/>
      <c r="S507" s="5"/>
      <c r="T507" s="1120"/>
      <c r="U507" s="5"/>
      <c r="V507" s="5"/>
      <c r="W507" s="5"/>
      <c r="X507" s="1120"/>
      <c r="Y507" s="1120"/>
      <c r="Z507" s="5"/>
      <c r="AA507" s="5"/>
      <c r="AB507" s="1135"/>
      <c r="AC507" s="5"/>
      <c r="AD507" s="5"/>
      <c r="AE507" s="5"/>
      <c r="AF507" s="1120"/>
      <c r="AG507" s="1148"/>
      <c r="AH507" s="1120"/>
      <c r="AI507" s="1120"/>
      <c r="AJ507" s="1120"/>
    </row>
    <row r="508" spans="2:36" ht="30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L508" s="277"/>
      <c r="M508" s="5"/>
      <c r="R508" s="5"/>
      <c r="S508" s="5"/>
      <c r="T508" s="1120"/>
      <c r="U508" s="5"/>
      <c r="V508" s="5"/>
      <c r="W508" s="5"/>
      <c r="X508" s="1120"/>
      <c r="Y508" s="1120"/>
      <c r="Z508" s="5"/>
      <c r="AA508" s="5"/>
      <c r="AB508" s="1135"/>
      <c r="AC508" s="5"/>
      <c r="AD508" s="5"/>
      <c r="AE508" s="5"/>
      <c r="AF508" s="1120"/>
      <c r="AG508" s="1148"/>
      <c r="AH508" s="1120"/>
      <c r="AI508" s="1120"/>
      <c r="AJ508" s="1120"/>
    </row>
    <row r="509" spans="2:36" ht="30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L509" s="277"/>
      <c r="M509" s="5"/>
      <c r="R509" s="5"/>
      <c r="S509" s="5"/>
      <c r="T509" s="1120"/>
      <c r="U509" s="5"/>
      <c r="V509" s="5"/>
      <c r="W509" s="5"/>
      <c r="X509" s="1120"/>
      <c r="Y509" s="1120"/>
      <c r="Z509" s="5"/>
      <c r="AA509" s="5"/>
      <c r="AB509" s="1135"/>
      <c r="AC509" s="5"/>
      <c r="AD509" s="5"/>
      <c r="AE509" s="5"/>
      <c r="AF509" s="1120"/>
      <c r="AG509" s="1148"/>
      <c r="AH509" s="1120"/>
      <c r="AI509" s="1120"/>
      <c r="AJ509" s="1120"/>
    </row>
    <row r="510" spans="2:36" ht="30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L510" s="277"/>
      <c r="M510" s="5"/>
      <c r="R510" s="5"/>
      <c r="S510" s="5"/>
      <c r="T510" s="1120"/>
      <c r="U510" s="5"/>
      <c r="V510" s="5"/>
      <c r="W510" s="5"/>
      <c r="X510" s="1120"/>
      <c r="Y510" s="1120"/>
      <c r="Z510" s="5"/>
      <c r="AA510" s="5"/>
      <c r="AB510" s="1135"/>
      <c r="AC510" s="5"/>
      <c r="AD510" s="5"/>
      <c r="AE510" s="5"/>
      <c r="AF510" s="1120"/>
      <c r="AG510" s="1148"/>
      <c r="AH510" s="1120"/>
      <c r="AI510" s="1120"/>
      <c r="AJ510" s="1120"/>
    </row>
    <row r="511" spans="2:36" ht="30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L511" s="277"/>
      <c r="M511" s="5"/>
      <c r="R511" s="5"/>
      <c r="S511" s="5"/>
      <c r="T511" s="1120"/>
      <c r="U511" s="5"/>
      <c r="V511" s="5"/>
      <c r="W511" s="5"/>
      <c r="X511" s="1120"/>
      <c r="Y511" s="1120"/>
      <c r="Z511" s="5"/>
      <c r="AA511" s="5"/>
      <c r="AB511" s="1135"/>
      <c r="AC511" s="5"/>
      <c r="AD511" s="5"/>
      <c r="AE511" s="5"/>
      <c r="AF511" s="1120"/>
      <c r="AG511" s="1148"/>
      <c r="AH511" s="1120"/>
      <c r="AI511" s="1120"/>
      <c r="AJ511" s="1120"/>
    </row>
    <row r="512" spans="2:36" ht="30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L512" s="277"/>
      <c r="M512" s="5"/>
      <c r="R512" s="5"/>
      <c r="S512" s="5"/>
      <c r="T512" s="1120"/>
      <c r="U512" s="5"/>
      <c r="V512" s="5"/>
      <c r="W512" s="5"/>
      <c r="X512" s="1120"/>
      <c r="Y512" s="1120"/>
      <c r="Z512" s="5"/>
      <c r="AA512" s="5"/>
      <c r="AB512" s="1135"/>
      <c r="AC512" s="5"/>
      <c r="AD512" s="5"/>
      <c r="AE512" s="5"/>
      <c r="AF512" s="1120"/>
      <c r="AG512" s="1148"/>
      <c r="AH512" s="1120"/>
      <c r="AI512" s="1120"/>
      <c r="AJ512" s="1120"/>
    </row>
    <row r="513" spans="2:36" ht="30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L513" s="277"/>
      <c r="M513" s="5"/>
      <c r="R513" s="5"/>
      <c r="S513" s="5"/>
      <c r="T513" s="1120"/>
      <c r="U513" s="5"/>
      <c r="V513" s="5"/>
      <c r="W513" s="5"/>
      <c r="X513" s="1120"/>
      <c r="Y513" s="1120"/>
      <c r="Z513" s="5"/>
      <c r="AA513" s="5"/>
      <c r="AB513" s="1135"/>
      <c r="AC513" s="5"/>
      <c r="AD513" s="5"/>
      <c r="AE513" s="5"/>
      <c r="AF513" s="1120"/>
      <c r="AG513" s="1148"/>
      <c r="AH513" s="1120"/>
      <c r="AI513" s="1120"/>
      <c r="AJ513" s="1120"/>
    </row>
    <row r="514" spans="2:36" ht="30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L514" s="277"/>
      <c r="M514" s="5"/>
      <c r="R514" s="5"/>
      <c r="S514" s="5"/>
      <c r="T514" s="1120"/>
      <c r="U514" s="5"/>
      <c r="V514" s="5"/>
      <c r="W514" s="5"/>
      <c r="X514" s="1120"/>
      <c r="Y514" s="1120"/>
      <c r="Z514" s="5"/>
      <c r="AA514" s="5"/>
      <c r="AB514" s="1135"/>
      <c r="AC514" s="5"/>
      <c r="AD514" s="5"/>
      <c r="AE514" s="5"/>
      <c r="AF514" s="1120"/>
      <c r="AG514" s="1148"/>
      <c r="AH514" s="1120"/>
      <c r="AI514" s="1120"/>
      <c r="AJ514" s="1120"/>
    </row>
    <row r="515" spans="2:36" ht="30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L515" s="277"/>
      <c r="M515" s="5"/>
      <c r="R515" s="5"/>
      <c r="S515" s="5"/>
      <c r="T515" s="1120"/>
      <c r="U515" s="5"/>
      <c r="V515" s="5"/>
      <c r="W515" s="5"/>
      <c r="X515" s="1120"/>
      <c r="Y515" s="1120"/>
      <c r="Z515" s="5"/>
      <c r="AA515" s="5"/>
      <c r="AB515" s="1135"/>
      <c r="AC515" s="5"/>
      <c r="AD515" s="5"/>
      <c r="AE515" s="5"/>
      <c r="AF515" s="1120"/>
      <c r="AG515" s="1148"/>
      <c r="AH515" s="1120"/>
      <c r="AI515" s="1120"/>
      <c r="AJ515" s="1120"/>
    </row>
    <row r="516" spans="2:36" ht="30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L516" s="277"/>
      <c r="M516" s="5"/>
      <c r="R516" s="5"/>
      <c r="S516" s="5"/>
      <c r="T516" s="1120"/>
      <c r="U516" s="5"/>
      <c r="V516" s="5"/>
      <c r="W516" s="5"/>
      <c r="X516" s="1120"/>
      <c r="Y516" s="1120"/>
      <c r="Z516" s="5"/>
      <c r="AA516" s="5"/>
      <c r="AB516" s="1135"/>
      <c r="AC516" s="5"/>
      <c r="AD516" s="5"/>
      <c r="AE516" s="5"/>
      <c r="AF516" s="1120"/>
      <c r="AG516" s="1148"/>
      <c r="AH516" s="1120"/>
      <c r="AI516" s="1120"/>
      <c r="AJ516" s="1120"/>
    </row>
    <row r="517" spans="2:36" ht="30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L517" s="277"/>
      <c r="M517" s="5"/>
      <c r="R517" s="5"/>
      <c r="S517" s="5"/>
      <c r="T517" s="1120"/>
      <c r="U517" s="5"/>
      <c r="V517" s="5"/>
      <c r="W517" s="5"/>
      <c r="X517" s="1120"/>
      <c r="Y517" s="1120"/>
      <c r="Z517" s="5"/>
      <c r="AA517" s="5"/>
      <c r="AB517" s="1135"/>
      <c r="AC517" s="5"/>
      <c r="AD517" s="5"/>
      <c r="AE517" s="5"/>
      <c r="AF517" s="1120"/>
      <c r="AG517" s="1148"/>
      <c r="AH517" s="1120"/>
      <c r="AI517" s="1120"/>
      <c r="AJ517" s="1120"/>
    </row>
    <row r="518" spans="2:36" ht="30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L518" s="277"/>
      <c r="M518" s="5"/>
      <c r="R518" s="5"/>
      <c r="S518" s="5"/>
      <c r="T518" s="1120"/>
      <c r="U518" s="5"/>
      <c r="V518" s="5"/>
      <c r="W518" s="5"/>
      <c r="X518" s="1120"/>
      <c r="Y518" s="1120"/>
      <c r="Z518" s="5"/>
      <c r="AA518" s="5"/>
      <c r="AB518" s="1135"/>
      <c r="AC518" s="5"/>
      <c r="AD518" s="5"/>
      <c r="AE518" s="5"/>
      <c r="AF518" s="1120"/>
      <c r="AG518" s="1148"/>
      <c r="AH518" s="1120"/>
      <c r="AI518" s="1120"/>
      <c r="AJ518" s="1120"/>
    </row>
    <row r="519" spans="2:36" ht="30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L519" s="277"/>
      <c r="M519" s="5"/>
      <c r="R519" s="5"/>
      <c r="S519" s="5"/>
      <c r="T519" s="1120"/>
      <c r="U519" s="5"/>
      <c r="V519" s="5"/>
      <c r="W519" s="5"/>
      <c r="X519" s="1120"/>
      <c r="Y519" s="1120"/>
      <c r="Z519" s="5"/>
      <c r="AA519" s="5"/>
      <c r="AB519" s="1135"/>
      <c r="AC519" s="5"/>
      <c r="AD519" s="5"/>
      <c r="AE519" s="5"/>
      <c r="AF519" s="1120"/>
      <c r="AG519" s="1148"/>
      <c r="AH519" s="1120"/>
      <c r="AI519" s="1120"/>
      <c r="AJ519" s="1120"/>
    </row>
    <row r="520" spans="2:36" ht="30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L520" s="277"/>
      <c r="M520" s="5"/>
      <c r="R520" s="5"/>
      <c r="S520" s="5"/>
      <c r="T520" s="1120"/>
      <c r="U520" s="5"/>
      <c r="V520" s="5"/>
      <c r="W520" s="5"/>
      <c r="X520" s="1120"/>
      <c r="Y520" s="1120"/>
      <c r="Z520" s="5"/>
      <c r="AA520" s="5"/>
      <c r="AB520" s="1135"/>
      <c r="AC520" s="5"/>
      <c r="AD520" s="5"/>
      <c r="AE520" s="5"/>
      <c r="AF520" s="1120"/>
      <c r="AG520" s="1148"/>
      <c r="AH520" s="1120"/>
      <c r="AI520" s="1120"/>
      <c r="AJ520" s="1120"/>
    </row>
    <row r="521" spans="2:36" ht="30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L521" s="277"/>
      <c r="M521" s="5"/>
      <c r="R521" s="5"/>
      <c r="S521" s="5"/>
      <c r="T521" s="1120"/>
      <c r="U521" s="5"/>
      <c r="V521" s="5"/>
      <c r="W521" s="5"/>
      <c r="X521" s="1120"/>
      <c r="Y521" s="1120"/>
      <c r="Z521" s="5"/>
      <c r="AA521" s="5"/>
      <c r="AB521" s="1135"/>
      <c r="AC521" s="5"/>
      <c r="AD521" s="5"/>
      <c r="AE521" s="5"/>
      <c r="AF521" s="1120"/>
      <c r="AG521" s="1148"/>
      <c r="AH521" s="1120"/>
      <c r="AI521" s="1120"/>
      <c r="AJ521" s="1120"/>
    </row>
    <row r="522" spans="2:36" ht="30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L522" s="277"/>
      <c r="M522" s="5"/>
      <c r="R522" s="5"/>
      <c r="S522" s="5"/>
      <c r="T522" s="1120"/>
      <c r="U522" s="5"/>
      <c r="V522" s="5"/>
      <c r="W522" s="5"/>
      <c r="X522" s="1120"/>
      <c r="Y522" s="1120"/>
      <c r="Z522" s="5"/>
      <c r="AA522" s="5"/>
      <c r="AB522" s="1135"/>
      <c r="AC522" s="5"/>
      <c r="AD522" s="5"/>
      <c r="AE522" s="5"/>
      <c r="AF522" s="1120"/>
      <c r="AG522" s="1148"/>
      <c r="AH522" s="1120"/>
      <c r="AI522" s="1120"/>
      <c r="AJ522" s="1120"/>
    </row>
    <row r="523" spans="2:36" ht="30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L523" s="277"/>
      <c r="M523" s="5"/>
      <c r="R523" s="5"/>
      <c r="S523" s="5"/>
      <c r="T523" s="1120"/>
      <c r="U523" s="5"/>
      <c r="V523" s="5"/>
      <c r="W523" s="5"/>
      <c r="X523" s="1120"/>
      <c r="Y523" s="1120"/>
      <c r="Z523" s="5"/>
      <c r="AA523" s="5"/>
      <c r="AB523" s="1135"/>
      <c r="AC523" s="5"/>
      <c r="AD523" s="5"/>
      <c r="AE523" s="5"/>
      <c r="AF523" s="1120"/>
      <c r="AG523" s="1148"/>
      <c r="AH523" s="1120"/>
      <c r="AI523" s="1120"/>
      <c r="AJ523" s="1120"/>
    </row>
    <row r="524" spans="2:36" ht="30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L524" s="277"/>
      <c r="M524" s="5"/>
      <c r="R524" s="5"/>
      <c r="S524" s="5"/>
      <c r="T524" s="1120"/>
      <c r="U524" s="5"/>
      <c r="V524" s="5"/>
      <c r="W524" s="5"/>
      <c r="X524" s="1120"/>
      <c r="Y524" s="1120"/>
      <c r="Z524" s="5"/>
      <c r="AA524" s="5"/>
      <c r="AB524" s="1135"/>
      <c r="AC524" s="5"/>
      <c r="AD524" s="5"/>
      <c r="AE524" s="5"/>
      <c r="AF524" s="1120"/>
      <c r="AG524" s="1148"/>
      <c r="AH524" s="1120"/>
      <c r="AI524" s="1120"/>
      <c r="AJ524" s="1120"/>
    </row>
    <row r="525" spans="2:36" ht="30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L525" s="277"/>
      <c r="M525" s="5"/>
      <c r="R525" s="5"/>
      <c r="S525" s="5"/>
      <c r="T525" s="1120"/>
      <c r="U525" s="5"/>
      <c r="V525" s="5"/>
      <c r="W525" s="5"/>
      <c r="X525" s="1120"/>
      <c r="Y525" s="1120"/>
      <c r="Z525" s="5"/>
      <c r="AA525" s="5"/>
      <c r="AB525" s="1135"/>
      <c r="AC525" s="5"/>
      <c r="AD525" s="5"/>
      <c r="AE525" s="5"/>
      <c r="AF525" s="1120"/>
      <c r="AG525" s="1148"/>
      <c r="AH525" s="1120"/>
      <c r="AI525" s="1120"/>
      <c r="AJ525" s="1120"/>
    </row>
    <row r="526" spans="2:36" ht="30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L526" s="277"/>
      <c r="M526" s="5"/>
      <c r="R526" s="5"/>
      <c r="S526" s="5"/>
      <c r="T526" s="1120"/>
      <c r="U526" s="5"/>
      <c r="V526" s="5"/>
      <c r="W526" s="5"/>
      <c r="X526" s="1120"/>
      <c r="Y526" s="1120"/>
      <c r="Z526" s="5"/>
      <c r="AA526" s="5"/>
      <c r="AB526" s="1135"/>
      <c r="AC526" s="5"/>
      <c r="AD526" s="5"/>
      <c r="AE526" s="5"/>
      <c r="AF526" s="1120"/>
      <c r="AG526" s="1148"/>
      <c r="AH526" s="1120"/>
      <c r="AI526" s="1120"/>
      <c r="AJ526" s="1120"/>
    </row>
    <row r="527" spans="2:36" ht="30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L527" s="277"/>
      <c r="M527" s="5"/>
      <c r="R527" s="5"/>
      <c r="S527" s="5"/>
      <c r="T527" s="1120"/>
      <c r="U527" s="5"/>
      <c r="V527" s="5"/>
      <c r="W527" s="5"/>
      <c r="X527" s="1120"/>
      <c r="Y527" s="1120"/>
      <c r="Z527" s="5"/>
      <c r="AA527" s="5"/>
      <c r="AB527" s="1135"/>
      <c r="AC527" s="5"/>
      <c r="AD527" s="5"/>
      <c r="AE527" s="5"/>
      <c r="AF527" s="1120"/>
      <c r="AG527" s="1148"/>
      <c r="AH527" s="1120"/>
      <c r="AI527" s="1120"/>
      <c r="AJ527" s="1120"/>
    </row>
    <row r="528" spans="2:36" ht="30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L528" s="277"/>
      <c r="M528" s="5"/>
      <c r="R528" s="5"/>
      <c r="S528" s="5"/>
      <c r="T528" s="1120"/>
      <c r="U528" s="5"/>
      <c r="V528" s="5"/>
      <c r="W528" s="5"/>
      <c r="X528" s="1120"/>
      <c r="Y528" s="1120"/>
      <c r="Z528" s="5"/>
      <c r="AA528" s="5"/>
      <c r="AB528" s="1135"/>
      <c r="AC528" s="5"/>
      <c r="AD528" s="5"/>
      <c r="AE528" s="5"/>
      <c r="AF528" s="1120"/>
      <c r="AG528" s="1148"/>
      <c r="AH528" s="1120"/>
      <c r="AI528" s="1120"/>
      <c r="AJ528" s="1120"/>
    </row>
    <row r="529" spans="2:36" ht="30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L529" s="277"/>
      <c r="M529" s="5"/>
      <c r="R529" s="5"/>
      <c r="S529" s="5"/>
      <c r="T529" s="1120"/>
      <c r="U529" s="5"/>
      <c r="V529" s="5"/>
      <c r="W529" s="5"/>
      <c r="X529" s="1120"/>
      <c r="Y529" s="1120"/>
      <c r="Z529" s="5"/>
      <c r="AA529" s="5"/>
      <c r="AB529" s="1135"/>
      <c r="AC529" s="5"/>
      <c r="AD529" s="5"/>
      <c r="AE529" s="5"/>
      <c r="AF529" s="1120"/>
      <c r="AG529" s="1148"/>
      <c r="AH529" s="1120"/>
      <c r="AI529" s="1120"/>
      <c r="AJ529" s="1120"/>
    </row>
    <row r="530" spans="2:36" ht="30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L530" s="277"/>
      <c r="M530" s="5"/>
      <c r="R530" s="5"/>
      <c r="S530" s="5"/>
      <c r="T530" s="1120"/>
      <c r="U530" s="5"/>
      <c r="V530" s="5"/>
      <c r="W530" s="5"/>
      <c r="X530" s="1120"/>
      <c r="Y530" s="1120"/>
      <c r="Z530" s="5"/>
      <c r="AA530" s="5"/>
      <c r="AB530" s="1135"/>
      <c r="AC530" s="5"/>
      <c r="AD530" s="5"/>
      <c r="AE530" s="5"/>
      <c r="AF530" s="1120"/>
      <c r="AG530" s="1148"/>
      <c r="AH530" s="1120"/>
      <c r="AI530" s="1120"/>
      <c r="AJ530" s="1120"/>
    </row>
    <row r="531" spans="2:36" ht="30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L531" s="277"/>
      <c r="M531" s="5"/>
      <c r="R531" s="5"/>
      <c r="S531" s="5"/>
      <c r="T531" s="1120"/>
      <c r="U531" s="5"/>
      <c r="V531" s="5"/>
      <c r="W531" s="5"/>
      <c r="X531" s="1120"/>
      <c r="Y531" s="1120"/>
      <c r="Z531" s="5"/>
      <c r="AA531" s="5"/>
      <c r="AB531" s="1135"/>
      <c r="AC531" s="5"/>
      <c r="AD531" s="5"/>
      <c r="AE531" s="5"/>
      <c r="AF531" s="1120"/>
      <c r="AG531" s="1148"/>
      <c r="AH531" s="1120"/>
      <c r="AI531" s="1120"/>
      <c r="AJ531" s="1120"/>
    </row>
    <row r="532" spans="2:36" ht="30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L532" s="277"/>
      <c r="M532" s="5"/>
      <c r="R532" s="5"/>
      <c r="S532" s="5"/>
      <c r="T532" s="1120"/>
      <c r="U532" s="5"/>
      <c r="V532" s="5"/>
      <c r="W532" s="5"/>
      <c r="X532" s="1120"/>
      <c r="Y532" s="1120"/>
      <c r="Z532" s="5"/>
      <c r="AA532" s="5"/>
      <c r="AB532" s="1135"/>
      <c r="AC532" s="5"/>
      <c r="AD532" s="5"/>
      <c r="AE532" s="5"/>
      <c r="AF532" s="1120"/>
      <c r="AG532" s="1148"/>
      <c r="AH532" s="1120"/>
      <c r="AI532" s="1120"/>
      <c r="AJ532" s="1120"/>
    </row>
    <row r="533" spans="2:36" ht="30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L533" s="277"/>
      <c r="M533" s="5"/>
      <c r="R533" s="5"/>
      <c r="S533" s="5"/>
      <c r="T533" s="1120"/>
      <c r="U533" s="5"/>
      <c r="V533" s="5"/>
      <c r="W533" s="5"/>
      <c r="X533" s="1120"/>
      <c r="Y533" s="1120"/>
      <c r="Z533" s="5"/>
      <c r="AA533" s="5"/>
      <c r="AB533" s="1135"/>
      <c r="AC533" s="5"/>
      <c r="AD533" s="5"/>
      <c r="AE533" s="5"/>
      <c r="AF533" s="1120"/>
      <c r="AG533" s="1148"/>
      <c r="AH533" s="1120"/>
      <c r="AI533" s="1120"/>
      <c r="AJ533" s="1120"/>
    </row>
    <row r="534" spans="2:36" ht="30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L534" s="277"/>
      <c r="M534" s="5"/>
      <c r="R534" s="5"/>
      <c r="S534" s="5"/>
      <c r="T534" s="1120"/>
      <c r="U534" s="5"/>
      <c r="V534" s="5"/>
      <c r="W534" s="5"/>
      <c r="X534" s="1120"/>
      <c r="Y534" s="1120"/>
      <c r="Z534" s="5"/>
      <c r="AA534" s="5"/>
      <c r="AB534" s="1135"/>
      <c r="AC534" s="5"/>
      <c r="AD534" s="5"/>
      <c r="AE534" s="5"/>
      <c r="AF534" s="1120"/>
      <c r="AG534" s="1148"/>
      <c r="AH534" s="1120"/>
      <c r="AI534" s="1120"/>
      <c r="AJ534" s="1120"/>
    </row>
    <row r="535" spans="2:36" ht="30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L535" s="277"/>
      <c r="M535" s="5"/>
      <c r="R535" s="5"/>
      <c r="S535" s="5"/>
      <c r="T535" s="1120"/>
      <c r="U535" s="5"/>
      <c r="V535" s="5"/>
      <c r="W535" s="5"/>
      <c r="X535" s="1120"/>
      <c r="Y535" s="1120"/>
      <c r="Z535" s="5"/>
      <c r="AA535" s="5"/>
      <c r="AB535" s="1135"/>
      <c r="AC535" s="5"/>
      <c r="AD535" s="5"/>
      <c r="AE535" s="5"/>
      <c r="AF535" s="1120"/>
      <c r="AG535" s="1148"/>
      <c r="AH535" s="1120"/>
      <c r="AI535" s="1120"/>
      <c r="AJ535" s="1120"/>
    </row>
    <row r="536" spans="2:36" ht="30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L536" s="277"/>
      <c r="M536" s="5"/>
      <c r="R536" s="5"/>
      <c r="S536" s="5"/>
      <c r="T536" s="1120"/>
      <c r="U536" s="5"/>
      <c r="V536" s="5"/>
      <c r="W536" s="5"/>
      <c r="X536" s="1120"/>
      <c r="Y536" s="1120"/>
      <c r="Z536" s="5"/>
      <c r="AA536" s="5"/>
      <c r="AB536" s="1135"/>
      <c r="AC536" s="5"/>
      <c r="AD536" s="5"/>
      <c r="AE536" s="5"/>
      <c r="AF536" s="1120"/>
      <c r="AG536" s="1148"/>
      <c r="AH536" s="1120"/>
      <c r="AI536" s="1120"/>
      <c r="AJ536" s="1120"/>
    </row>
    <row r="537" spans="2:36" ht="30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L537" s="277"/>
      <c r="M537" s="5"/>
      <c r="R537" s="5"/>
      <c r="S537" s="5"/>
      <c r="T537" s="1120"/>
      <c r="U537" s="5"/>
      <c r="V537" s="5"/>
      <c r="W537" s="5"/>
      <c r="X537" s="1120"/>
      <c r="Y537" s="1120"/>
      <c r="Z537" s="5"/>
      <c r="AA537" s="5"/>
      <c r="AB537" s="1135"/>
      <c r="AC537" s="5"/>
      <c r="AD537" s="5"/>
      <c r="AE537" s="5"/>
      <c r="AF537" s="1120"/>
      <c r="AG537" s="1148"/>
      <c r="AH537" s="1120"/>
      <c r="AI537" s="1120"/>
      <c r="AJ537" s="1120"/>
    </row>
    <row r="538" spans="2:36" ht="30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L538" s="277"/>
      <c r="M538" s="5"/>
      <c r="R538" s="5"/>
      <c r="S538" s="5"/>
      <c r="T538" s="1120"/>
      <c r="U538" s="5"/>
      <c r="V538" s="5"/>
      <c r="W538" s="5"/>
      <c r="X538" s="1120"/>
      <c r="Y538" s="1120"/>
      <c r="Z538" s="5"/>
      <c r="AA538" s="5"/>
      <c r="AB538" s="1135"/>
      <c r="AC538" s="5"/>
      <c r="AD538" s="5"/>
      <c r="AE538" s="5"/>
      <c r="AF538" s="1120"/>
      <c r="AG538" s="1148"/>
      <c r="AH538" s="1120"/>
      <c r="AI538" s="1120"/>
      <c r="AJ538" s="1120"/>
    </row>
    <row r="539" spans="2:36" ht="30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L539" s="277"/>
      <c r="M539" s="5"/>
      <c r="R539" s="5"/>
      <c r="S539" s="5"/>
      <c r="T539" s="1120"/>
      <c r="U539" s="5"/>
      <c r="V539" s="5"/>
      <c r="W539" s="5"/>
      <c r="X539" s="1120"/>
      <c r="Y539" s="1120"/>
      <c r="Z539" s="5"/>
      <c r="AA539" s="5"/>
      <c r="AB539" s="1135"/>
      <c r="AC539" s="5"/>
      <c r="AD539" s="5"/>
      <c r="AE539" s="5"/>
      <c r="AF539" s="1120"/>
      <c r="AG539" s="1148"/>
      <c r="AH539" s="1120"/>
      <c r="AI539" s="1120"/>
      <c r="AJ539" s="1120"/>
    </row>
    <row r="540" spans="2:36" ht="30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L540" s="277"/>
      <c r="M540" s="5"/>
      <c r="R540" s="5"/>
      <c r="S540" s="5"/>
      <c r="T540" s="1120"/>
      <c r="U540" s="5"/>
      <c r="V540" s="5"/>
      <c r="W540" s="5"/>
      <c r="X540" s="1120"/>
      <c r="Y540" s="1120"/>
      <c r="Z540" s="5"/>
      <c r="AA540" s="5"/>
      <c r="AB540" s="1135"/>
      <c r="AC540" s="5"/>
      <c r="AD540" s="5"/>
      <c r="AE540" s="5"/>
      <c r="AF540" s="1120"/>
      <c r="AG540" s="1148"/>
      <c r="AH540" s="1120"/>
      <c r="AI540" s="1120"/>
      <c r="AJ540" s="1120"/>
    </row>
    <row r="541" spans="2:36" ht="30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L541" s="277"/>
      <c r="M541" s="5"/>
      <c r="R541" s="5"/>
      <c r="S541" s="5"/>
      <c r="T541" s="1120"/>
      <c r="U541" s="5"/>
      <c r="V541" s="5"/>
      <c r="W541" s="5"/>
      <c r="X541" s="1120"/>
      <c r="Y541" s="1120"/>
      <c r="Z541" s="5"/>
      <c r="AA541" s="5"/>
      <c r="AB541" s="1135"/>
      <c r="AC541" s="5"/>
      <c r="AD541" s="5"/>
      <c r="AE541" s="5"/>
      <c r="AF541" s="1120"/>
      <c r="AG541" s="1148"/>
      <c r="AH541" s="1120"/>
      <c r="AI541" s="1120"/>
      <c r="AJ541" s="1120"/>
    </row>
    <row r="542" spans="2:36" ht="30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L542" s="277"/>
      <c r="M542" s="5"/>
      <c r="R542" s="5"/>
      <c r="S542" s="5"/>
      <c r="T542" s="1120"/>
      <c r="U542" s="5"/>
      <c r="V542" s="5"/>
      <c r="W542" s="5"/>
      <c r="X542" s="1120"/>
      <c r="Y542" s="1120"/>
      <c r="Z542" s="5"/>
      <c r="AA542" s="5"/>
      <c r="AB542" s="1135"/>
      <c r="AC542" s="5"/>
      <c r="AD542" s="5"/>
      <c r="AE542" s="5"/>
      <c r="AF542" s="1120"/>
      <c r="AG542" s="1148"/>
      <c r="AH542" s="1120"/>
      <c r="AI542" s="1120"/>
      <c r="AJ542" s="1120"/>
    </row>
    <row r="543" spans="2:36" ht="30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L543" s="277"/>
      <c r="M543" s="5"/>
      <c r="R543" s="5"/>
      <c r="S543" s="5"/>
      <c r="T543" s="1120"/>
      <c r="U543" s="5"/>
      <c r="V543" s="5"/>
      <c r="W543" s="5"/>
      <c r="X543" s="1120"/>
      <c r="Y543" s="1120"/>
      <c r="Z543" s="5"/>
      <c r="AA543" s="5"/>
      <c r="AB543" s="1135"/>
      <c r="AC543" s="5"/>
      <c r="AD543" s="5"/>
      <c r="AE543" s="5"/>
      <c r="AF543" s="1120"/>
      <c r="AG543" s="1148"/>
      <c r="AH543" s="1120"/>
      <c r="AI543" s="1120"/>
      <c r="AJ543" s="1120"/>
    </row>
    <row r="544" spans="2:36" ht="30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L544" s="277"/>
      <c r="M544" s="5"/>
      <c r="R544" s="5"/>
      <c r="S544" s="5"/>
      <c r="T544" s="1120"/>
      <c r="U544" s="5"/>
      <c r="V544" s="5"/>
      <c r="W544" s="5"/>
      <c r="X544" s="1120"/>
      <c r="Y544" s="1120"/>
      <c r="Z544" s="5"/>
      <c r="AA544" s="5"/>
      <c r="AB544" s="1135"/>
      <c r="AC544" s="5"/>
      <c r="AD544" s="5"/>
      <c r="AE544" s="5"/>
      <c r="AF544" s="1120"/>
      <c r="AG544" s="1148"/>
      <c r="AH544" s="1120"/>
      <c r="AI544" s="1120"/>
      <c r="AJ544" s="1120"/>
    </row>
    <row r="545" spans="2:36" ht="30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L545" s="277"/>
      <c r="M545" s="5"/>
      <c r="R545" s="5"/>
      <c r="S545" s="5"/>
      <c r="T545" s="1120"/>
      <c r="U545" s="5"/>
      <c r="V545" s="5"/>
      <c r="W545" s="5"/>
      <c r="X545" s="1120"/>
      <c r="Y545" s="1120"/>
      <c r="Z545" s="5"/>
      <c r="AA545" s="5"/>
      <c r="AB545" s="1135"/>
      <c r="AC545" s="5"/>
      <c r="AD545" s="5"/>
      <c r="AE545" s="5"/>
      <c r="AF545" s="1120"/>
      <c r="AG545" s="1148"/>
      <c r="AH545" s="1120"/>
      <c r="AI545" s="1120"/>
      <c r="AJ545" s="1120"/>
    </row>
    <row r="546" spans="2:36" ht="30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L546" s="277"/>
      <c r="M546" s="5"/>
      <c r="R546" s="5"/>
      <c r="S546" s="5"/>
      <c r="T546" s="1120"/>
      <c r="U546" s="5"/>
      <c r="V546" s="5"/>
      <c r="W546" s="5"/>
      <c r="X546" s="1120"/>
      <c r="Y546" s="1120"/>
      <c r="Z546" s="5"/>
      <c r="AA546" s="5"/>
      <c r="AB546" s="1135"/>
      <c r="AC546" s="5"/>
      <c r="AD546" s="5"/>
      <c r="AE546" s="5"/>
      <c r="AF546" s="1120"/>
      <c r="AG546" s="1148"/>
      <c r="AH546" s="1120"/>
      <c r="AI546" s="1120"/>
      <c r="AJ546" s="1120"/>
    </row>
    <row r="547" spans="2:36" ht="30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L547" s="277"/>
      <c r="M547" s="5"/>
      <c r="R547" s="5"/>
      <c r="S547" s="5"/>
      <c r="T547" s="1120"/>
      <c r="U547" s="5"/>
      <c r="V547" s="5"/>
      <c r="W547" s="5"/>
      <c r="X547" s="1120"/>
      <c r="Y547" s="1120"/>
      <c r="Z547" s="5"/>
      <c r="AA547" s="5"/>
      <c r="AB547" s="1135"/>
      <c r="AC547" s="5"/>
      <c r="AD547" s="5"/>
      <c r="AE547" s="5"/>
      <c r="AF547" s="1120"/>
      <c r="AG547" s="1148"/>
      <c r="AH547" s="1120"/>
      <c r="AI547" s="1120"/>
      <c r="AJ547" s="1120"/>
    </row>
    <row r="548" spans="2:36" ht="30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L548" s="277"/>
      <c r="M548" s="5"/>
      <c r="R548" s="5"/>
      <c r="S548" s="5"/>
      <c r="T548" s="1120"/>
      <c r="U548" s="5"/>
      <c r="V548" s="5"/>
      <c r="W548" s="5"/>
      <c r="X548" s="1120"/>
      <c r="Y548" s="1120"/>
      <c r="Z548" s="5"/>
      <c r="AA548" s="5"/>
      <c r="AB548" s="1135"/>
      <c r="AC548" s="5"/>
      <c r="AD548" s="5"/>
      <c r="AE548" s="5"/>
      <c r="AF548" s="1120"/>
      <c r="AG548" s="1148"/>
      <c r="AH548" s="1120"/>
      <c r="AI548" s="1120"/>
      <c r="AJ548" s="1120"/>
    </row>
    <row r="549" spans="2:36" ht="30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L549" s="277"/>
      <c r="M549" s="5"/>
      <c r="R549" s="5"/>
      <c r="S549" s="5"/>
      <c r="T549" s="1120"/>
      <c r="U549" s="5"/>
      <c r="V549" s="5"/>
      <c r="W549" s="5"/>
      <c r="X549" s="1120"/>
      <c r="Y549" s="1120"/>
      <c r="Z549" s="5"/>
      <c r="AA549" s="5"/>
      <c r="AB549" s="1135"/>
      <c r="AC549" s="5"/>
      <c r="AD549" s="5"/>
      <c r="AE549" s="5"/>
      <c r="AF549" s="1120"/>
      <c r="AG549" s="1148"/>
      <c r="AH549" s="1120"/>
      <c r="AI549" s="1120"/>
      <c r="AJ549" s="1120"/>
    </row>
    <row r="550" spans="2:36" ht="30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L550" s="277"/>
      <c r="M550" s="5"/>
      <c r="R550" s="5"/>
      <c r="S550" s="5"/>
      <c r="T550" s="1120"/>
      <c r="U550" s="5"/>
      <c r="V550" s="5"/>
      <c r="W550" s="5"/>
      <c r="X550" s="1120"/>
      <c r="Y550" s="1120"/>
      <c r="Z550" s="5"/>
      <c r="AA550" s="5"/>
      <c r="AB550" s="1135"/>
      <c r="AC550" s="5"/>
      <c r="AD550" s="5"/>
      <c r="AE550" s="5"/>
      <c r="AF550" s="1120"/>
      <c r="AG550" s="1148"/>
      <c r="AH550" s="1120"/>
      <c r="AI550" s="1120"/>
      <c r="AJ550" s="1120"/>
    </row>
    <row r="551" spans="2:36" ht="30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L551" s="277"/>
      <c r="M551" s="5"/>
      <c r="R551" s="5"/>
      <c r="S551" s="5"/>
      <c r="T551" s="1120"/>
      <c r="U551" s="5"/>
      <c r="V551" s="5"/>
      <c r="W551" s="5"/>
      <c r="X551" s="1120"/>
      <c r="Y551" s="1120"/>
      <c r="Z551" s="5"/>
      <c r="AA551" s="5"/>
      <c r="AB551" s="1135"/>
      <c r="AC551" s="5"/>
      <c r="AD551" s="5"/>
      <c r="AE551" s="5"/>
      <c r="AF551" s="1120"/>
      <c r="AG551" s="1148"/>
      <c r="AH551" s="1120"/>
      <c r="AI551" s="1120"/>
      <c r="AJ551" s="1120"/>
    </row>
    <row r="552" spans="2:36" ht="30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L552" s="277"/>
      <c r="M552" s="5"/>
      <c r="R552" s="5"/>
      <c r="S552" s="5"/>
      <c r="T552" s="1120"/>
      <c r="U552" s="5"/>
      <c r="V552" s="5"/>
      <c r="W552" s="5"/>
      <c r="X552" s="1120"/>
      <c r="Y552" s="1120"/>
      <c r="Z552" s="5"/>
      <c r="AA552" s="5"/>
      <c r="AB552" s="1135"/>
      <c r="AC552" s="5"/>
      <c r="AD552" s="5"/>
      <c r="AE552" s="5"/>
      <c r="AF552" s="1120"/>
      <c r="AG552" s="1148"/>
      <c r="AH552" s="1120"/>
      <c r="AI552" s="1120"/>
      <c r="AJ552" s="1120"/>
    </row>
    <row r="553" spans="2:36" ht="30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L553" s="277"/>
      <c r="M553" s="5"/>
      <c r="R553" s="5"/>
      <c r="S553" s="5"/>
      <c r="T553" s="1120"/>
      <c r="U553" s="5"/>
      <c r="V553" s="5"/>
      <c r="W553" s="5"/>
      <c r="X553" s="1120"/>
      <c r="Y553" s="1120"/>
      <c r="Z553" s="5"/>
      <c r="AA553" s="5"/>
      <c r="AB553" s="1135"/>
      <c r="AC553" s="5"/>
      <c r="AD553" s="5"/>
      <c r="AE553" s="5"/>
      <c r="AF553" s="1120"/>
      <c r="AG553" s="1148"/>
      <c r="AH553" s="1120"/>
      <c r="AI553" s="1120"/>
      <c r="AJ553" s="1120"/>
    </row>
    <row r="554" spans="2:36" ht="30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L554" s="277"/>
      <c r="M554" s="5"/>
      <c r="R554" s="5"/>
      <c r="S554" s="5"/>
      <c r="T554" s="1120"/>
      <c r="U554" s="5"/>
      <c r="V554" s="5"/>
      <c r="W554" s="5"/>
      <c r="X554" s="1120"/>
      <c r="Y554" s="1120"/>
      <c r="Z554" s="5"/>
      <c r="AA554" s="5"/>
      <c r="AB554" s="1135"/>
      <c r="AC554" s="5"/>
      <c r="AD554" s="5"/>
      <c r="AE554" s="5"/>
      <c r="AF554" s="1120"/>
      <c r="AG554" s="1148"/>
      <c r="AH554" s="1120"/>
      <c r="AI554" s="1120"/>
      <c r="AJ554" s="1120"/>
    </row>
    <row r="555" spans="2:36" ht="30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L555" s="277"/>
      <c r="M555" s="5"/>
      <c r="R555" s="5"/>
      <c r="S555" s="5"/>
      <c r="T555" s="1120"/>
      <c r="U555" s="5"/>
      <c r="V555" s="5"/>
      <c r="W555" s="5"/>
      <c r="X555" s="1120"/>
      <c r="Y555" s="1120"/>
      <c r="Z555" s="5"/>
      <c r="AA555" s="5"/>
      <c r="AB555" s="1135"/>
      <c r="AC555" s="5"/>
      <c r="AD555" s="5"/>
      <c r="AE555" s="5"/>
      <c r="AF555" s="1120"/>
      <c r="AG555" s="1148"/>
      <c r="AH555" s="1120"/>
      <c r="AI555" s="1120"/>
      <c r="AJ555" s="1120"/>
    </row>
    <row r="556" spans="2:36" ht="30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L556" s="277"/>
      <c r="M556" s="5"/>
      <c r="R556" s="5"/>
      <c r="S556" s="5"/>
      <c r="T556" s="1120"/>
      <c r="U556" s="5"/>
      <c r="V556" s="5"/>
      <c r="W556" s="5"/>
      <c r="X556" s="1120"/>
      <c r="Y556" s="1120"/>
      <c r="Z556" s="5"/>
      <c r="AA556" s="5"/>
      <c r="AB556" s="1135"/>
      <c r="AC556" s="5"/>
      <c r="AD556" s="5"/>
      <c r="AE556" s="5"/>
      <c r="AF556" s="1120"/>
      <c r="AG556" s="1148"/>
      <c r="AH556" s="1120"/>
      <c r="AI556" s="1120"/>
      <c r="AJ556" s="1120"/>
    </row>
    <row r="557" spans="2:36" ht="30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L557" s="277"/>
      <c r="M557" s="5"/>
      <c r="R557" s="5"/>
      <c r="S557" s="5"/>
      <c r="T557" s="1120"/>
      <c r="U557" s="5"/>
      <c r="V557" s="5"/>
      <c r="W557" s="5"/>
      <c r="X557" s="1120"/>
      <c r="Y557" s="1120"/>
      <c r="Z557" s="5"/>
      <c r="AA557" s="5"/>
      <c r="AB557" s="1135"/>
      <c r="AC557" s="5"/>
      <c r="AD557" s="5"/>
      <c r="AE557" s="5"/>
      <c r="AF557" s="1120"/>
      <c r="AG557" s="1148"/>
      <c r="AH557" s="1120"/>
      <c r="AI557" s="1120"/>
      <c r="AJ557" s="1120"/>
    </row>
    <row r="558" spans="2:36" ht="30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L558" s="277"/>
      <c r="M558" s="5"/>
      <c r="R558" s="5"/>
      <c r="S558" s="5"/>
      <c r="T558" s="1120"/>
      <c r="U558" s="5"/>
      <c r="V558" s="5"/>
      <c r="W558" s="5"/>
      <c r="X558" s="1120"/>
      <c r="Y558" s="1120"/>
      <c r="Z558" s="5"/>
      <c r="AA558" s="5"/>
      <c r="AB558" s="1135"/>
      <c r="AC558" s="5"/>
      <c r="AD558" s="5"/>
      <c r="AE558" s="5"/>
      <c r="AF558" s="1120"/>
      <c r="AG558" s="1148"/>
      <c r="AH558" s="1120"/>
      <c r="AI558" s="1120"/>
      <c r="AJ558" s="1120"/>
    </row>
    <row r="559" spans="2:36" ht="30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L559" s="277"/>
      <c r="M559" s="5"/>
      <c r="R559" s="5"/>
      <c r="S559" s="5"/>
      <c r="T559" s="1120"/>
      <c r="U559" s="5"/>
      <c r="V559" s="5"/>
      <c r="W559" s="5"/>
      <c r="X559" s="1120"/>
      <c r="Y559" s="1120"/>
      <c r="Z559" s="5"/>
      <c r="AA559" s="5"/>
      <c r="AB559" s="1135"/>
      <c r="AC559" s="5"/>
      <c r="AD559" s="5"/>
      <c r="AE559" s="5"/>
      <c r="AF559" s="1120"/>
      <c r="AG559" s="1148"/>
      <c r="AH559" s="1120"/>
      <c r="AI559" s="1120"/>
      <c r="AJ559" s="1120"/>
    </row>
    <row r="560" spans="2:36" ht="30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L560" s="277"/>
      <c r="M560" s="5"/>
      <c r="R560" s="5"/>
      <c r="S560" s="5"/>
      <c r="T560" s="1120"/>
      <c r="U560" s="5"/>
      <c r="V560" s="5"/>
      <c r="W560" s="5"/>
      <c r="X560" s="1120"/>
      <c r="Y560" s="1120"/>
      <c r="Z560" s="5"/>
      <c r="AA560" s="5"/>
      <c r="AB560" s="1135"/>
      <c r="AC560" s="5"/>
      <c r="AD560" s="5"/>
      <c r="AE560" s="5"/>
      <c r="AF560" s="1120"/>
      <c r="AG560" s="1148"/>
      <c r="AH560" s="1120"/>
      <c r="AI560" s="1120"/>
      <c r="AJ560" s="1120"/>
    </row>
    <row r="561" spans="2:36" ht="30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L561" s="277"/>
      <c r="M561" s="5"/>
      <c r="R561" s="5"/>
      <c r="S561" s="5"/>
      <c r="T561" s="1120"/>
      <c r="U561" s="5"/>
      <c r="V561" s="5"/>
      <c r="W561" s="5"/>
      <c r="X561" s="1120"/>
      <c r="Y561" s="1120"/>
      <c r="Z561" s="5"/>
      <c r="AA561" s="5"/>
      <c r="AB561" s="1135"/>
      <c r="AC561" s="5"/>
      <c r="AD561" s="5"/>
      <c r="AE561" s="5"/>
      <c r="AF561" s="1120"/>
      <c r="AG561" s="1148"/>
      <c r="AH561" s="1120"/>
      <c r="AI561" s="1120"/>
      <c r="AJ561" s="1120"/>
    </row>
    <row r="562" spans="2:36" ht="30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L562" s="277"/>
      <c r="M562" s="5"/>
      <c r="R562" s="5"/>
      <c r="S562" s="5"/>
      <c r="T562" s="1120"/>
      <c r="U562" s="5"/>
      <c r="V562" s="5"/>
      <c r="W562" s="5"/>
      <c r="X562" s="1120"/>
      <c r="Y562" s="1120"/>
      <c r="Z562" s="5"/>
      <c r="AA562" s="5"/>
      <c r="AB562" s="1135"/>
      <c r="AC562" s="5"/>
      <c r="AD562" s="5"/>
      <c r="AE562" s="5"/>
      <c r="AF562" s="1120"/>
      <c r="AG562" s="1148"/>
      <c r="AH562" s="1120"/>
      <c r="AI562" s="1120"/>
      <c r="AJ562" s="1120"/>
    </row>
    <row r="563" spans="2:36" ht="30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L563" s="277"/>
      <c r="M563" s="5"/>
      <c r="R563" s="5"/>
      <c r="S563" s="5"/>
      <c r="T563" s="1120"/>
      <c r="U563" s="5"/>
      <c r="V563" s="5"/>
      <c r="W563" s="5"/>
      <c r="X563" s="1120"/>
      <c r="Y563" s="1120"/>
      <c r="Z563" s="5"/>
      <c r="AA563" s="5"/>
      <c r="AB563" s="1135"/>
      <c r="AC563" s="5"/>
      <c r="AD563" s="5"/>
      <c r="AE563" s="5"/>
      <c r="AF563" s="1120"/>
      <c r="AG563" s="1148"/>
      <c r="AH563" s="1120"/>
      <c r="AI563" s="1120"/>
      <c r="AJ563" s="1120"/>
    </row>
    <row r="564" spans="2:36" ht="30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L564" s="277"/>
      <c r="M564" s="5"/>
      <c r="R564" s="5"/>
      <c r="S564" s="5"/>
      <c r="T564" s="1120"/>
      <c r="U564" s="5"/>
      <c r="V564" s="5"/>
      <c r="W564" s="5"/>
      <c r="X564" s="1120"/>
      <c r="Y564" s="1120"/>
      <c r="Z564" s="5"/>
      <c r="AA564" s="5"/>
      <c r="AB564" s="1135"/>
      <c r="AC564" s="5"/>
      <c r="AD564" s="5"/>
      <c r="AE564" s="5"/>
      <c r="AF564" s="1120"/>
      <c r="AG564" s="1148"/>
      <c r="AH564" s="1120"/>
      <c r="AI564" s="1120"/>
      <c r="AJ564" s="1120"/>
    </row>
    <row r="565" spans="2:36" ht="30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L565" s="277"/>
      <c r="M565" s="5"/>
      <c r="R565" s="5"/>
      <c r="S565" s="5"/>
      <c r="T565" s="1120"/>
      <c r="U565" s="5"/>
      <c r="V565" s="5"/>
      <c r="W565" s="5"/>
      <c r="X565" s="1120"/>
      <c r="Y565" s="1120"/>
      <c r="Z565" s="5"/>
      <c r="AA565" s="5"/>
      <c r="AB565" s="1135"/>
      <c r="AC565" s="5"/>
      <c r="AD565" s="5"/>
      <c r="AE565" s="5"/>
      <c r="AF565" s="1120"/>
      <c r="AG565" s="1148"/>
      <c r="AH565" s="1120"/>
      <c r="AI565" s="1120"/>
      <c r="AJ565" s="1120"/>
    </row>
    <row r="566" spans="2:36" ht="30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L566" s="277"/>
      <c r="M566" s="5"/>
      <c r="R566" s="5"/>
      <c r="S566" s="5"/>
      <c r="T566" s="1120"/>
      <c r="U566" s="5"/>
      <c r="V566" s="5"/>
      <c r="W566" s="5"/>
      <c r="X566" s="1120"/>
      <c r="Y566" s="1120"/>
      <c r="Z566" s="5"/>
      <c r="AA566" s="5"/>
      <c r="AB566" s="1135"/>
      <c r="AC566" s="5"/>
      <c r="AD566" s="5"/>
      <c r="AE566" s="5"/>
      <c r="AF566" s="1120"/>
      <c r="AG566" s="1148"/>
      <c r="AH566" s="1120"/>
      <c r="AI566" s="1120"/>
      <c r="AJ566" s="1120"/>
    </row>
    <row r="567" spans="2:36" ht="30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L567" s="277"/>
      <c r="M567" s="5"/>
      <c r="R567" s="5"/>
      <c r="S567" s="5"/>
      <c r="T567" s="1120"/>
      <c r="U567" s="5"/>
      <c r="V567" s="5"/>
      <c r="W567" s="5"/>
      <c r="X567" s="1120"/>
      <c r="Y567" s="1120"/>
      <c r="Z567" s="5"/>
      <c r="AA567" s="5"/>
      <c r="AB567" s="1135"/>
      <c r="AC567" s="5"/>
      <c r="AD567" s="5"/>
      <c r="AE567" s="5"/>
      <c r="AF567" s="1120"/>
      <c r="AG567" s="1148"/>
      <c r="AH567" s="1120"/>
      <c r="AI567" s="1120"/>
      <c r="AJ567" s="1120"/>
    </row>
    <row r="568" spans="2:36" ht="30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L568" s="277"/>
      <c r="M568" s="5"/>
      <c r="R568" s="5"/>
      <c r="S568" s="5"/>
      <c r="T568" s="1120"/>
      <c r="U568" s="5"/>
      <c r="V568" s="5"/>
      <c r="W568" s="5"/>
      <c r="X568" s="1120"/>
      <c r="Y568" s="1120"/>
      <c r="Z568" s="5"/>
      <c r="AA568" s="5"/>
      <c r="AB568" s="1135"/>
      <c r="AC568" s="5"/>
      <c r="AD568" s="5"/>
      <c r="AE568" s="5"/>
      <c r="AF568" s="1120"/>
      <c r="AG568" s="1148"/>
      <c r="AH568" s="1120"/>
      <c r="AI568" s="1120"/>
      <c r="AJ568" s="1120"/>
    </row>
    <row r="569" spans="2:36" ht="30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L569" s="277"/>
      <c r="M569" s="5"/>
      <c r="R569" s="5"/>
      <c r="S569" s="5"/>
      <c r="T569" s="1120"/>
      <c r="U569" s="5"/>
      <c r="V569" s="5"/>
      <c r="W569" s="5"/>
      <c r="X569" s="1120"/>
      <c r="Y569" s="1120"/>
      <c r="Z569" s="5"/>
      <c r="AA569" s="5"/>
      <c r="AB569" s="1135"/>
      <c r="AC569" s="5"/>
      <c r="AD569" s="5"/>
      <c r="AE569" s="5"/>
      <c r="AF569" s="1120"/>
      <c r="AG569" s="1148"/>
      <c r="AH569" s="1120"/>
      <c r="AI569" s="1120"/>
      <c r="AJ569" s="1120"/>
    </row>
    <row r="570" spans="2:36" ht="30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L570" s="277"/>
      <c r="M570" s="5"/>
      <c r="R570" s="5"/>
      <c r="S570" s="5"/>
      <c r="T570" s="1120"/>
      <c r="U570" s="5"/>
      <c r="V570" s="5"/>
      <c r="W570" s="5"/>
      <c r="X570" s="1120"/>
      <c r="Y570" s="1120"/>
      <c r="Z570" s="5"/>
      <c r="AA570" s="5"/>
      <c r="AB570" s="1135"/>
      <c r="AC570" s="5"/>
      <c r="AD570" s="5"/>
      <c r="AE570" s="5"/>
      <c r="AF570" s="1120"/>
      <c r="AG570" s="1148"/>
      <c r="AH570" s="1120"/>
      <c r="AI570" s="1120"/>
      <c r="AJ570" s="1120"/>
    </row>
    <row r="571" spans="2:36" ht="30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L571" s="277"/>
      <c r="M571" s="5"/>
      <c r="R571" s="5"/>
      <c r="S571" s="5"/>
      <c r="T571" s="1120"/>
      <c r="U571" s="5"/>
      <c r="V571" s="5"/>
      <c r="W571" s="5"/>
      <c r="X571" s="1120"/>
      <c r="Y571" s="1120"/>
      <c r="Z571" s="5"/>
      <c r="AA571" s="5"/>
      <c r="AB571" s="1135"/>
      <c r="AC571" s="5"/>
      <c r="AD571" s="5"/>
      <c r="AE571" s="5"/>
      <c r="AF571" s="1120"/>
      <c r="AG571" s="1148"/>
      <c r="AH571" s="1120"/>
      <c r="AI571" s="1120"/>
      <c r="AJ571" s="1120"/>
    </row>
    <row r="572" spans="2:36" ht="30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L572" s="277"/>
      <c r="M572" s="5"/>
      <c r="R572" s="5"/>
      <c r="S572" s="5"/>
      <c r="T572" s="1120"/>
      <c r="U572" s="5"/>
      <c r="V572" s="5"/>
      <c r="W572" s="5"/>
      <c r="X572" s="1120"/>
      <c r="Y572" s="1120"/>
      <c r="Z572" s="5"/>
      <c r="AA572" s="5"/>
      <c r="AB572" s="1135"/>
      <c r="AC572" s="5"/>
      <c r="AD572" s="5"/>
      <c r="AE572" s="5"/>
      <c r="AF572" s="1120"/>
      <c r="AG572" s="1148"/>
      <c r="AH572" s="1120"/>
      <c r="AI572" s="1120"/>
      <c r="AJ572" s="1120"/>
    </row>
    <row r="573" spans="2:36" ht="30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L573" s="277"/>
      <c r="M573" s="5"/>
      <c r="R573" s="5"/>
      <c r="S573" s="5"/>
      <c r="T573" s="1120"/>
      <c r="U573" s="5"/>
      <c r="V573" s="5"/>
      <c r="W573" s="5"/>
      <c r="X573" s="1120"/>
      <c r="Y573" s="1120"/>
      <c r="Z573" s="5"/>
      <c r="AA573" s="5"/>
      <c r="AB573" s="1135"/>
      <c r="AC573" s="5"/>
      <c r="AD573" s="5"/>
      <c r="AE573" s="5"/>
      <c r="AF573" s="1120"/>
      <c r="AG573" s="1148"/>
      <c r="AH573" s="1120"/>
      <c r="AI573" s="1120"/>
      <c r="AJ573" s="1120"/>
    </row>
    <row r="574" spans="2:36" ht="30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L574" s="277"/>
      <c r="M574" s="5"/>
      <c r="R574" s="5"/>
      <c r="S574" s="5"/>
      <c r="T574" s="1120"/>
      <c r="U574" s="5"/>
      <c r="V574" s="5"/>
      <c r="W574" s="5"/>
      <c r="X574" s="1120"/>
      <c r="Y574" s="1120"/>
      <c r="Z574" s="5"/>
      <c r="AA574" s="5"/>
      <c r="AB574" s="1135"/>
      <c r="AC574" s="5"/>
      <c r="AD574" s="5"/>
      <c r="AE574" s="5"/>
      <c r="AF574" s="1120"/>
      <c r="AG574" s="1148"/>
      <c r="AH574" s="1120"/>
      <c r="AI574" s="1120"/>
      <c r="AJ574" s="1120"/>
    </row>
    <row r="575" spans="2:36" ht="30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L575" s="277"/>
      <c r="M575" s="5"/>
      <c r="R575" s="5"/>
      <c r="S575" s="5"/>
      <c r="T575" s="1120"/>
      <c r="U575" s="5"/>
      <c r="V575" s="5"/>
      <c r="W575" s="5"/>
      <c r="X575" s="1120"/>
      <c r="Y575" s="1120"/>
      <c r="Z575" s="5"/>
      <c r="AA575" s="5"/>
      <c r="AB575" s="1135"/>
      <c r="AC575" s="5"/>
      <c r="AD575" s="5"/>
      <c r="AE575" s="5"/>
      <c r="AF575" s="1120"/>
      <c r="AG575" s="1148"/>
      <c r="AH575" s="1120"/>
      <c r="AI575" s="1120"/>
      <c r="AJ575" s="1120"/>
    </row>
    <row r="576" spans="2:36" ht="30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L576" s="277"/>
      <c r="M576" s="5"/>
      <c r="R576" s="5"/>
      <c r="S576" s="5"/>
      <c r="T576" s="1120"/>
      <c r="U576" s="5"/>
      <c r="V576" s="5"/>
      <c r="W576" s="5"/>
      <c r="X576" s="1120"/>
      <c r="Y576" s="1120"/>
      <c r="Z576" s="5"/>
      <c r="AA576" s="5"/>
      <c r="AB576" s="1135"/>
      <c r="AC576" s="5"/>
      <c r="AD576" s="5"/>
      <c r="AE576" s="5"/>
      <c r="AF576" s="1120"/>
      <c r="AG576" s="1148"/>
      <c r="AH576" s="1120"/>
      <c r="AI576" s="1120"/>
      <c r="AJ576" s="1120"/>
    </row>
    <row r="577" spans="2:36" ht="30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L577" s="277"/>
      <c r="M577" s="5"/>
      <c r="R577" s="5"/>
      <c r="S577" s="5"/>
      <c r="T577" s="1120"/>
      <c r="U577" s="5"/>
      <c r="V577" s="5"/>
      <c r="W577" s="5"/>
      <c r="X577" s="1120"/>
      <c r="Y577" s="1120"/>
      <c r="Z577" s="5"/>
      <c r="AA577" s="5"/>
      <c r="AB577" s="1135"/>
      <c r="AC577" s="5"/>
      <c r="AD577" s="5"/>
      <c r="AE577" s="5"/>
      <c r="AF577" s="1120"/>
      <c r="AG577" s="1148"/>
      <c r="AH577" s="1120"/>
      <c r="AI577" s="1120"/>
      <c r="AJ577" s="1120"/>
    </row>
    <row r="578" spans="2:36" ht="30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L578" s="277"/>
      <c r="M578" s="5"/>
      <c r="R578" s="5"/>
      <c r="S578" s="5"/>
      <c r="T578" s="1120"/>
      <c r="U578" s="5"/>
      <c r="V578" s="5"/>
      <c r="W578" s="5"/>
      <c r="X578" s="1120"/>
      <c r="Y578" s="1120"/>
      <c r="Z578" s="5"/>
      <c r="AA578" s="5"/>
      <c r="AB578" s="1135"/>
      <c r="AC578" s="5"/>
      <c r="AD578" s="5"/>
      <c r="AE578" s="5"/>
      <c r="AF578" s="1120"/>
      <c r="AG578" s="1148"/>
      <c r="AH578" s="1120"/>
      <c r="AI578" s="1120"/>
      <c r="AJ578" s="1120"/>
    </row>
    <row r="579" spans="2:36" ht="30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L579" s="277"/>
      <c r="M579" s="5"/>
      <c r="R579" s="5"/>
      <c r="S579" s="5"/>
      <c r="T579" s="1120"/>
      <c r="U579" s="5"/>
      <c r="V579" s="5"/>
      <c r="W579" s="5"/>
      <c r="X579" s="1120"/>
      <c r="Y579" s="1120"/>
      <c r="Z579" s="5"/>
      <c r="AA579" s="5"/>
      <c r="AB579" s="1135"/>
      <c r="AC579" s="5"/>
      <c r="AD579" s="5"/>
      <c r="AE579" s="5"/>
      <c r="AF579" s="1120"/>
      <c r="AG579" s="1148"/>
      <c r="AH579" s="1120"/>
      <c r="AI579" s="1120"/>
      <c r="AJ579" s="1120"/>
    </row>
    <row r="580" spans="2:36" ht="30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L580" s="277"/>
      <c r="M580" s="5"/>
      <c r="R580" s="5"/>
      <c r="S580" s="5"/>
      <c r="T580" s="1120"/>
      <c r="U580" s="5"/>
      <c r="V580" s="5"/>
      <c r="W580" s="5"/>
      <c r="X580" s="1120"/>
      <c r="Y580" s="1120"/>
      <c r="Z580" s="5"/>
      <c r="AA580" s="5"/>
      <c r="AB580" s="1135"/>
      <c r="AC580" s="5"/>
      <c r="AD580" s="5"/>
      <c r="AE580" s="5"/>
      <c r="AF580" s="1120"/>
      <c r="AG580" s="1148"/>
      <c r="AH580" s="1120"/>
      <c r="AI580" s="1120"/>
      <c r="AJ580" s="1120"/>
    </row>
    <row r="581" spans="2:36" ht="30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L581" s="277"/>
      <c r="M581" s="5"/>
      <c r="R581" s="5"/>
      <c r="S581" s="5"/>
      <c r="T581" s="1120"/>
      <c r="U581" s="5"/>
      <c r="V581" s="5"/>
      <c r="W581" s="5"/>
      <c r="X581" s="1120"/>
      <c r="Y581" s="1120"/>
      <c r="Z581" s="5"/>
      <c r="AA581" s="5"/>
      <c r="AB581" s="1135"/>
      <c r="AC581" s="5"/>
      <c r="AD581" s="5"/>
      <c r="AE581" s="5"/>
      <c r="AF581" s="1120"/>
      <c r="AG581" s="1148"/>
      <c r="AH581" s="1120"/>
      <c r="AI581" s="1120"/>
      <c r="AJ581" s="1120"/>
    </row>
    <row r="582" spans="2:36" ht="30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L582" s="277"/>
      <c r="M582" s="5"/>
      <c r="R582" s="5"/>
      <c r="S582" s="5"/>
      <c r="T582" s="1120"/>
      <c r="U582" s="5"/>
      <c r="V582" s="5"/>
      <c r="W582" s="5"/>
      <c r="X582" s="1120"/>
      <c r="Y582" s="1120"/>
      <c r="Z582" s="5"/>
      <c r="AA582" s="5"/>
      <c r="AB582" s="1135"/>
      <c r="AC582" s="5"/>
      <c r="AD582" s="5"/>
      <c r="AE582" s="5"/>
      <c r="AF582" s="1120"/>
      <c r="AG582" s="1148"/>
      <c r="AH582" s="1120"/>
      <c r="AI582" s="1120"/>
      <c r="AJ582" s="1120"/>
    </row>
    <row r="583" spans="2:36" ht="30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L583" s="277"/>
      <c r="M583" s="5"/>
      <c r="R583" s="5"/>
      <c r="S583" s="5"/>
      <c r="T583" s="1120"/>
      <c r="U583" s="5"/>
      <c r="V583" s="5"/>
      <c r="W583" s="5"/>
      <c r="X583" s="1120"/>
      <c r="Y583" s="1120"/>
      <c r="Z583" s="5"/>
      <c r="AA583" s="5"/>
      <c r="AB583" s="1135"/>
      <c r="AC583" s="5"/>
      <c r="AD583" s="5"/>
      <c r="AE583" s="5"/>
      <c r="AF583" s="1120"/>
      <c r="AG583" s="1148"/>
      <c r="AH583" s="1120"/>
      <c r="AI583" s="1120"/>
      <c r="AJ583" s="1120"/>
    </row>
    <row r="584" spans="2:36" ht="30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L584" s="277"/>
      <c r="M584" s="5"/>
      <c r="R584" s="5"/>
      <c r="S584" s="5"/>
      <c r="T584" s="1120"/>
      <c r="U584" s="5"/>
      <c r="V584" s="5"/>
      <c r="W584" s="5"/>
      <c r="X584" s="1120"/>
      <c r="Y584" s="1120"/>
      <c r="Z584" s="5"/>
      <c r="AA584" s="5"/>
      <c r="AB584" s="1135"/>
      <c r="AC584" s="5"/>
      <c r="AD584" s="5"/>
      <c r="AE584" s="5"/>
      <c r="AF584" s="1120"/>
      <c r="AG584" s="1148"/>
      <c r="AH584" s="1120"/>
      <c r="AI584" s="1120"/>
      <c r="AJ584" s="1120"/>
    </row>
    <row r="585" spans="2:36" ht="30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L585" s="277"/>
      <c r="M585" s="5"/>
      <c r="R585" s="5"/>
      <c r="S585" s="5"/>
      <c r="T585" s="1120"/>
      <c r="U585" s="5"/>
      <c r="V585" s="5"/>
      <c r="W585" s="5"/>
      <c r="X585" s="1120"/>
      <c r="Y585" s="1120"/>
      <c r="Z585" s="5"/>
      <c r="AA585" s="5"/>
      <c r="AB585" s="1135"/>
      <c r="AC585" s="5"/>
      <c r="AD585" s="5"/>
      <c r="AE585" s="5"/>
      <c r="AF585" s="1120"/>
      <c r="AG585" s="1148"/>
      <c r="AH585" s="1120"/>
      <c r="AI585" s="1120"/>
      <c r="AJ585" s="1120"/>
    </row>
    <row r="586" spans="2:36" ht="30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L586" s="277"/>
      <c r="M586" s="5"/>
      <c r="R586" s="5"/>
      <c r="S586" s="5"/>
      <c r="T586" s="1120"/>
      <c r="U586" s="5"/>
      <c r="V586" s="5"/>
      <c r="W586" s="5"/>
      <c r="X586" s="1120"/>
      <c r="Y586" s="1120"/>
      <c r="Z586" s="5"/>
      <c r="AA586" s="5"/>
      <c r="AB586" s="1135"/>
      <c r="AC586" s="5"/>
      <c r="AD586" s="5"/>
      <c r="AE586" s="5"/>
      <c r="AF586" s="1120"/>
      <c r="AG586" s="1148"/>
      <c r="AH586" s="1120"/>
      <c r="AI586" s="1120"/>
      <c r="AJ586" s="1120"/>
    </row>
    <row r="587" spans="2:36" ht="30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L587" s="277"/>
      <c r="M587" s="5"/>
      <c r="R587" s="5"/>
      <c r="S587" s="5"/>
      <c r="T587" s="1120"/>
      <c r="U587" s="5"/>
      <c r="V587" s="5"/>
      <c r="W587" s="5"/>
      <c r="X587" s="1120"/>
      <c r="Y587" s="1120"/>
      <c r="Z587" s="5"/>
      <c r="AA587" s="5"/>
      <c r="AB587" s="1135"/>
      <c r="AC587" s="5"/>
      <c r="AD587" s="5"/>
      <c r="AE587" s="5"/>
      <c r="AF587" s="1120"/>
      <c r="AG587" s="1148"/>
      <c r="AH587" s="1120"/>
      <c r="AI587" s="1120"/>
      <c r="AJ587" s="1120"/>
    </row>
    <row r="588" spans="2:36" ht="30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L588" s="277"/>
      <c r="M588" s="5"/>
      <c r="R588" s="5"/>
      <c r="S588" s="5"/>
      <c r="T588" s="1120"/>
      <c r="U588" s="5"/>
      <c r="V588" s="5"/>
      <c r="W588" s="5"/>
      <c r="X588" s="1120"/>
      <c r="Y588" s="1120"/>
      <c r="Z588" s="5"/>
      <c r="AA588" s="5"/>
      <c r="AB588" s="1135"/>
      <c r="AC588" s="5"/>
      <c r="AD588" s="5"/>
      <c r="AE588" s="5"/>
      <c r="AF588" s="1120"/>
      <c r="AG588" s="1148"/>
      <c r="AH588" s="1120"/>
      <c r="AI588" s="1120"/>
      <c r="AJ588" s="1120"/>
    </row>
    <row r="589" spans="2:36" ht="30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L589" s="277"/>
      <c r="M589" s="5"/>
      <c r="R589" s="5"/>
      <c r="S589" s="5"/>
      <c r="T589" s="1120"/>
      <c r="U589" s="5"/>
      <c r="V589" s="5"/>
      <c r="W589" s="5"/>
      <c r="X589" s="1120"/>
      <c r="Y589" s="1120"/>
      <c r="Z589" s="5"/>
      <c r="AA589" s="5"/>
      <c r="AB589" s="1135"/>
      <c r="AC589" s="5"/>
      <c r="AD589" s="5"/>
      <c r="AE589" s="5"/>
      <c r="AF589" s="1120"/>
      <c r="AG589" s="1148"/>
      <c r="AH589" s="1120"/>
      <c r="AI589" s="1120"/>
      <c r="AJ589" s="1120"/>
    </row>
    <row r="590" spans="2:36" ht="30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L590" s="277"/>
      <c r="M590" s="5"/>
      <c r="R590" s="5"/>
      <c r="S590" s="5"/>
      <c r="T590" s="1120"/>
      <c r="U590" s="5"/>
      <c r="V590" s="5"/>
      <c r="W590" s="5"/>
      <c r="X590" s="1120"/>
      <c r="Y590" s="1120"/>
      <c r="Z590" s="5"/>
      <c r="AA590" s="5"/>
      <c r="AB590" s="1135"/>
      <c r="AC590" s="5"/>
      <c r="AD590" s="5"/>
      <c r="AE590" s="5"/>
      <c r="AF590" s="1120"/>
      <c r="AG590" s="1148"/>
      <c r="AH590" s="1120"/>
      <c r="AI590" s="1120"/>
      <c r="AJ590" s="1120"/>
    </row>
    <row r="591" spans="2:36" ht="30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L591" s="277"/>
      <c r="M591" s="5"/>
      <c r="R591" s="5"/>
      <c r="S591" s="5"/>
      <c r="T591" s="1120"/>
      <c r="U591" s="5"/>
      <c r="V591" s="5"/>
      <c r="W591" s="5"/>
      <c r="X591" s="1120"/>
      <c r="Y591" s="1120"/>
      <c r="Z591" s="5"/>
      <c r="AA591" s="5"/>
      <c r="AB591" s="1135"/>
      <c r="AC591" s="5"/>
      <c r="AD591" s="5"/>
      <c r="AE591" s="5"/>
      <c r="AF591" s="1120"/>
      <c r="AG591" s="1148"/>
      <c r="AH591" s="1120"/>
      <c r="AI591" s="1120"/>
      <c r="AJ591" s="1120"/>
    </row>
    <row r="592" spans="2:36" ht="30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L592" s="277"/>
      <c r="M592" s="5"/>
      <c r="R592" s="5"/>
      <c r="S592" s="5"/>
      <c r="T592" s="1120"/>
      <c r="U592" s="5"/>
      <c r="V592" s="5"/>
      <c r="W592" s="5"/>
      <c r="X592" s="1120"/>
      <c r="Y592" s="1120"/>
      <c r="Z592" s="5"/>
      <c r="AA592" s="5"/>
      <c r="AB592" s="1135"/>
      <c r="AC592" s="5"/>
      <c r="AD592" s="5"/>
      <c r="AE592" s="5"/>
      <c r="AF592" s="1120"/>
      <c r="AG592" s="1148"/>
      <c r="AH592" s="1120"/>
      <c r="AI592" s="1120"/>
      <c r="AJ592" s="1120"/>
    </row>
    <row r="593" spans="2:36" ht="30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L593" s="277"/>
      <c r="M593" s="5"/>
      <c r="R593" s="5"/>
      <c r="S593" s="5"/>
      <c r="T593" s="1120"/>
      <c r="U593" s="5"/>
      <c r="V593" s="5"/>
      <c r="W593" s="5"/>
      <c r="X593" s="1120"/>
      <c r="Y593" s="1120"/>
      <c r="Z593" s="5"/>
      <c r="AA593" s="5"/>
      <c r="AB593" s="1135"/>
      <c r="AC593" s="5"/>
      <c r="AD593" s="5"/>
      <c r="AE593" s="5"/>
      <c r="AF593" s="1120"/>
      <c r="AG593" s="1148"/>
      <c r="AH593" s="1120"/>
      <c r="AI593" s="1120"/>
      <c r="AJ593" s="1120"/>
    </row>
    <row r="594" spans="2:36" ht="30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L594" s="277"/>
      <c r="M594" s="5"/>
      <c r="R594" s="5"/>
      <c r="S594" s="5"/>
      <c r="T594" s="1120"/>
      <c r="U594" s="5"/>
      <c r="V594" s="5"/>
      <c r="W594" s="5"/>
      <c r="X594" s="1120"/>
      <c r="Y594" s="1120"/>
      <c r="Z594" s="5"/>
      <c r="AA594" s="5"/>
      <c r="AB594" s="1135"/>
      <c r="AC594" s="5"/>
      <c r="AD594" s="5"/>
      <c r="AE594" s="5"/>
      <c r="AF594" s="1120"/>
      <c r="AG594" s="1148"/>
      <c r="AH594" s="1120"/>
      <c r="AI594" s="1120"/>
      <c r="AJ594" s="1120"/>
    </row>
    <row r="595" spans="2:36" ht="30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L595" s="277"/>
      <c r="M595" s="5"/>
      <c r="R595" s="5"/>
      <c r="S595" s="5"/>
      <c r="T595" s="1120"/>
      <c r="U595" s="5"/>
      <c r="V595" s="5"/>
      <c r="W595" s="5"/>
      <c r="X595" s="1120"/>
      <c r="Y595" s="1120"/>
      <c r="Z595" s="5"/>
      <c r="AA595" s="5"/>
      <c r="AB595" s="1135"/>
      <c r="AC595" s="5"/>
      <c r="AD595" s="5"/>
      <c r="AE595" s="5"/>
      <c r="AF595" s="1120"/>
      <c r="AG595" s="1148"/>
      <c r="AH595" s="1120"/>
      <c r="AI595" s="1120"/>
      <c r="AJ595" s="1120"/>
    </row>
    <row r="596" spans="2:36" ht="30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L596" s="277"/>
      <c r="M596" s="5"/>
      <c r="R596" s="5"/>
      <c r="S596" s="5"/>
      <c r="T596" s="1120"/>
      <c r="U596" s="5"/>
      <c r="V596" s="5"/>
      <c r="W596" s="5"/>
      <c r="X596" s="1120"/>
      <c r="Y596" s="1120"/>
      <c r="Z596" s="5"/>
      <c r="AA596" s="5"/>
      <c r="AB596" s="1135"/>
      <c r="AC596" s="5"/>
      <c r="AD596" s="5"/>
      <c r="AE596" s="5"/>
      <c r="AF596" s="1120"/>
      <c r="AG596" s="1148"/>
      <c r="AH596" s="1120"/>
      <c r="AI596" s="1120"/>
      <c r="AJ596" s="1120"/>
    </row>
    <row r="597" spans="2:36" ht="30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L597" s="277"/>
      <c r="M597" s="5"/>
      <c r="R597" s="5"/>
      <c r="S597" s="5"/>
      <c r="T597" s="1120"/>
      <c r="U597" s="5"/>
      <c r="V597" s="5"/>
      <c r="W597" s="5"/>
      <c r="X597" s="1120"/>
      <c r="Y597" s="1120"/>
      <c r="Z597" s="5"/>
      <c r="AA597" s="5"/>
      <c r="AB597" s="1135"/>
      <c r="AC597" s="5"/>
      <c r="AD597" s="5"/>
      <c r="AE597" s="5"/>
      <c r="AF597" s="1120"/>
      <c r="AG597" s="1148"/>
      <c r="AH597" s="1120"/>
      <c r="AI597" s="1120"/>
      <c r="AJ597" s="1120"/>
    </row>
    <row r="598" spans="2:36" ht="30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L598" s="277"/>
      <c r="M598" s="5"/>
      <c r="R598" s="5"/>
      <c r="S598" s="5"/>
      <c r="T598" s="1120"/>
      <c r="U598" s="5"/>
      <c r="V598" s="5"/>
      <c r="W598" s="5"/>
      <c r="X598" s="1120"/>
      <c r="Y598" s="1120"/>
      <c r="Z598" s="5"/>
      <c r="AA598" s="5"/>
      <c r="AB598" s="1135"/>
      <c r="AC598" s="5"/>
      <c r="AD598" s="5"/>
      <c r="AE598" s="5"/>
      <c r="AF598" s="1120"/>
      <c r="AG598" s="1148"/>
      <c r="AH598" s="1120"/>
      <c r="AI598" s="1120"/>
      <c r="AJ598" s="1120"/>
    </row>
    <row r="599" spans="2:36" ht="30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L599" s="277"/>
      <c r="M599" s="5"/>
      <c r="R599" s="5"/>
      <c r="S599" s="5"/>
      <c r="T599" s="1120"/>
      <c r="U599" s="5"/>
      <c r="V599" s="5"/>
      <c r="W599" s="5"/>
      <c r="X599" s="1120"/>
      <c r="Y599" s="1120"/>
      <c r="Z599" s="5"/>
      <c r="AA599" s="5"/>
      <c r="AB599" s="1135"/>
      <c r="AC599" s="5"/>
      <c r="AD599" s="5"/>
      <c r="AE599" s="5"/>
      <c r="AF599" s="1120"/>
      <c r="AG599" s="1148"/>
      <c r="AH599" s="1120"/>
      <c r="AI599" s="1120"/>
      <c r="AJ599" s="1120"/>
    </row>
    <row r="600" spans="2:36" ht="30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L600" s="277"/>
      <c r="M600" s="5"/>
      <c r="R600" s="5"/>
      <c r="S600" s="5"/>
      <c r="T600" s="1120"/>
      <c r="U600" s="5"/>
      <c r="V600" s="5"/>
      <c r="W600" s="5"/>
      <c r="X600" s="1120"/>
      <c r="Y600" s="1120"/>
      <c r="Z600" s="5"/>
      <c r="AA600" s="5"/>
      <c r="AB600" s="1135"/>
      <c r="AC600" s="5"/>
      <c r="AD600" s="5"/>
      <c r="AE600" s="5"/>
      <c r="AF600" s="1120"/>
      <c r="AG600" s="1148"/>
      <c r="AH600" s="1120"/>
      <c r="AI600" s="1120"/>
      <c r="AJ600" s="1120"/>
    </row>
    <row r="601" spans="2:36" ht="30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L601" s="277"/>
      <c r="M601" s="5"/>
      <c r="R601" s="5"/>
      <c r="S601" s="5"/>
      <c r="T601" s="1120"/>
      <c r="U601" s="5"/>
      <c r="V601" s="5"/>
      <c r="W601" s="5"/>
      <c r="X601" s="1120"/>
      <c r="Y601" s="1120"/>
      <c r="Z601" s="5"/>
      <c r="AA601" s="5"/>
      <c r="AB601" s="1135"/>
      <c r="AC601" s="5"/>
      <c r="AD601" s="5"/>
      <c r="AE601" s="5"/>
      <c r="AF601" s="1120"/>
      <c r="AG601" s="1148"/>
      <c r="AH601" s="1120"/>
      <c r="AI601" s="1120"/>
      <c r="AJ601" s="1120"/>
    </row>
    <row r="602" spans="2:36" ht="30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L602" s="277"/>
      <c r="M602" s="5"/>
      <c r="R602" s="5"/>
      <c r="S602" s="5"/>
      <c r="T602" s="1120"/>
      <c r="U602" s="5"/>
      <c r="V602" s="5"/>
      <c r="W602" s="5"/>
      <c r="X602" s="1120"/>
      <c r="Y602" s="1120"/>
      <c r="Z602" s="5"/>
      <c r="AA602" s="5"/>
      <c r="AB602" s="1135"/>
      <c r="AC602" s="5"/>
      <c r="AD602" s="5"/>
      <c r="AE602" s="5"/>
      <c r="AF602" s="1120"/>
      <c r="AG602" s="1148"/>
      <c r="AH602" s="1120"/>
      <c r="AI602" s="1120"/>
      <c r="AJ602" s="1120"/>
    </row>
    <row r="603" spans="2:36" ht="30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L603" s="277"/>
      <c r="M603" s="5"/>
      <c r="R603" s="5"/>
      <c r="S603" s="5"/>
      <c r="T603" s="1120"/>
      <c r="U603" s="5"/>
      <c r="V603" s="5"/>
      <c r="W603" s="5"/>
      <c r="X603" s="1120"/>
      <c r="Y603" s="1120"/>
      <c r="Z603" s="5"/>
      <c r="AA603" s="5"/>
      <c r="AB603" s="1135"/>
      <c r="AC603" s="5"/>
      <c r="AD603" s="5"/>
      <c r="AE603" s="5"/>
      <c r="AF603" s="1120"/>
      <c r="AG603" s="1148"/>
      <c r="AH603" s="1120"/>
      <c r="AI603" s="1120"/>
      <c r="AJ603" s="1120"/>
    </row>
    <row r="604" spans="2:36" ht="30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L604" s="277"/>
      <c r="M604" s="5"/>
      <c r="R604" s="5"/>
      <c r="S604" s="5"/>
      <c r="T604" s="1120"/>
      <c r="U604" s="5"/>
      <c r="V604" s="5"/>
      <c r="W604" s="5"/>
      <c r="X604" s="1120"/>
      <c r="Y604" s="1120"/>
      <c r="Z604" s="5"/>
      <c r="AA604" s="5"/>
      <c r="AB604" s="1135"/>
      <c r="AC604" s="5"/>
      <c r="AD604" s="5"/>
      <c r="AE604" s="5"/>
      <c r="AF604" s="1120"/>
      <c r="AG604" s="1148"/>
      <c r="AH604" s="1120"/>
      <c r="AI604" s="1120"/>
      <c r="AJ604" s="1120"/>
    </row>
    <row r="605" spans="2:36" ht="30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L605" s="277"/>
      <c r="M605" s="5"/>
      <c r="R605" s="5"/>
      <c r="S605" s="5"/>
      <c r="T605" s="1120"/>
      <c r="U605" s="5"/>
      <c r="V605" s="5"/>
      <c r="W605" s="5"/>
      <c r="X605" s="1120"/>
      <c r="Y605" s="1120"/>
      <c r="Z605" s="5"/>
      <c r="AA605" s="5"/>
      <c r="AB605" s="1135"/>
      <c r="AC605" s="5"/>
      <c r="AD605" s="5"/>
      <c r="AE605" s="5"/>
      <c r="AF605" s="1120"/>
      <c r="AG605" s="1148"/>
      <c r="AH605" s="1120"/>
      <c r="AI605" s="1120"/>
      <c r="AJ605" s="1120"/>
    </row>
    <row r="606" spans="2:36" ht="30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L606" s="277"/>
      <c r="M606" s="5"/>
      <c r="R606" s="5"/>
      <c r="S606" s="5"/>
      <c r="T606" s="1120"/>
      <c r="U606" s="5"/>
      <c r="V606" s="5"/>
      <c r="W606" s="5"/>
      <c r="X606" s="1120"/>
      <c r="Y606" s="1120"/>
      <c r="Z606" s="5"/>
      <c r="AA606" s="5"/>
      <c r="AB606" s="1135"/>
      <c r="AC606" s="5"/>
      <c r="AD606" s="5"/>
      <c r="AE606" s="5"/>
      <c r="AF606" s="1120"/>
      <c r="AG606" s="1148"/>
      <c r="AH606" s="1120"/>
      <c r="AI606" s="1120"/>
      <c r="AJ606" s="1120"/>
    </row>
    <row r="607" spans="2:36" ht="30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L607" s="277"/>
      <c r="M607" s="5"/>
      <c r="R607" s="5"/>
      <c r="S607" s="5"/>
      <c r="T607" s="1120"/>
      <c r="U607" s="5"/>
      <c r="V607" s="5"/>
      <c r="W607" s="5"/>
      <c r="X607" s="1120"/>
      <c r="Y607" s="1120"/>
      <c r="Z607" s="5"/>
      <c r="AA607" s="5"/>
      <c r="AB607" s="1135"/>
      <c r="AC607" s="5"/>
      <c r="AD607" s="5"/>
      <c r="AE607" s="5"/>
      <c r="AF607" s="1120"/>
      <c r="AG607" s="1148"/>
      <c r="AH607" s="1120"/>
      <c r="AI607" s="1120"/>
      <c r="AJ607" s="1120"/>
    </row>
    <row r="608" spans="2:36" ht="30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L608" s="277"/>
      <c r="M608" s="5"/>
      <c r="R608" s="5"/>
      <c r="S608" s="5"/>
      <c r="T608" s="1120"/>
      <c r="U608" s="5"/>
      <c r="V608" s="5"/>
      <c r="W608" s="5"/>
      <c r="X608" s="1120"/>
      <c r="Y608" s="1120"/>
      <c r="Z608" s="5"/>
      <c r="AA608" s="5"/>
      <c r="AB608" s="1135"/>
      <c r="AC608" s="5"/>
      <c r="AD608" s="5"/>
      <c r="AE608" s="5"/>
      <c r="AF608" s="1120"/>
      <c r="AG608" s="1148"/>
      <c r="AH608" s="1120"/>
      <c r="AI608" s="1120"/>
      <c r="AJ608" s="1120"/>
    </row>
    <row r="609" spans="2:36" ht="30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L609" s="277"/>
      <c r="M609" s="5"/>
      <c r="R609" s="5"/>
      <c r="S609" s="5"/>
      <c r="T609" s="1120"/>
      <c r="U609" s="5"/>
      <c r="V609" s="5"/>
      <c r="W609" s="5"/>
      <c r="X609" s="1120"/>
      <c r="Y609" s="1120"/>
      <c r="Z609" s="5"/>
      <c r="AA609" s="5"/>
      <c r="AB609" s="1135"/>
      <c r="AC609" s="5"/>
      <c r="AD609" s="5"/>
      <c r="AE609" s="5"/>
      <c r="AF609" s="1120"/>
      <c r="AG609" s="1148"/>
      <c r="AH609" s="1120"/>
      <c r="AI609" s="1120"/>
      <c r="AJ609" s="1120"/>
    </row>
    <row r="610" spans="2:36" ht="30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L610" s="277"/>
      <c r="M610" s="5"/>
      <c r="R610" s="5"/>
      <c r="S610" s="5"/>
      <c r="T610" s="1120"/>
      <c r="U610" s="5"/>
      <c r="V610" s="5"/>
      <c r="W610" s="5"/>
      <c r="X610" s="1120"/>
      <c r="Y610" s="1120"/>
      <c r="Z610" s="5"/>
      <c r="AA610" s="5"/>
      <c r="AB610" s="1135"/>
      <c r="AC610" s="5"/>
      <c r="AD610" s="5"/>
      <c r="AE610" s="5"/>
      <c r="AF610" s="1120"/>
      <c r="AG610" s="1148"/>
      <c r="AH610" s="1120"/>
      <c r="AI610" s="1120"/>
      <c r="AJ610" s="1120"/>
    </row>
    <row r="611" spans="2:36" ht="30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L611" s="277"/>
      <c r="M611" s="5"/>
      <c r="R611" s="5"/>
      <c r="S611" s="5"/>
      <c r="T611" s="1120"/>
      <c r="U611" s="5"/>
      <c r="V611" s="5"/>
      <c r="W611" s="5"/>
      <c r="X611" s="1120"/>
      <c r="Y611" s="1120"/>
      <c r="Z611" s="5"/>
      <c r="AA611" s="5"/>
      <c r="AB611" s="1135"/>
      <c r="AC611" s="5"/>
      <c r="AD611" s="5"/>
      <c r="AE611" s="5"/>
      <c r="AF611" s="1120"/>
      <c r="AG611" s="1148"/>
      <c r="AH611" s="1120"/>
      <c r="AI611" s="1120"/>
      <c r="AJ611" s="1120"/>
    </row>
    <row r="612" spans="2:36" ht="30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L612" s="277"/>
      <c r="M612" s="5"/>
      <c r="R612" s="5"/>
      <c r="S612" s="5"/>
      <c r="T612" s="1120"/>
      <c r="U612" s="5"/>
      <c r="V612" s="5"/>
      <c r="W612" s="5"/>
      <c r="X612" s="1120"/>
      <c r="Y612" s="1120"/>
      <c r="Z612" s="5"/>
      <c r="AA612" s="5"/>
      <c r="AB612" s="1135"/>
      <c r="AC612" s="5"/>
      <c r="AD612" s="5"/>
      <c r="AE612" s="5"/>
      <c r="AF612" s="1120"/>
      <c r="AG612" s="1148"/>
      <c r="AH612" s="1120"/>
      <c r="AI612" s="1120"/>
      <c r="AJ612" s="1120"/>
    </row>
    <row r="613" spans="2:36" ht="30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L613" s="277"/>
      <c r="M613" s="5"/>
      <c r="R613" s="5"/>
      <c r="S613" s="5"/>
      <c r="T613" s="1120"/>
      <c r="U613" s="5"/>
      <c r="V613" s="5"/>
      <c r="W613" s="5"/>
      <c r="X613" s="1120"/>
      <c r="Y613" s="1120"/>
      <c r="Z613" s="5"/>
      <c r="AA613" s="5"/>
      <c r="AB613" s="1135"/>
      <c r="AC613" s="5"/>
      <c r="AD613" s="5"/>
      <c r="AE613" s="5"/>
      <c r="AF613" s="1120"/>
      <c r="AG613" s="1148"/>
      <c r="AH613" s="1120"/>
      <c r="AI613" s="1120"/>
      <c r="AJ613" s="1120"/>
    </row>
    <row r="614" spans="2:36" ht="30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L614" s="277"/>
      <c r="M614" s="5"/>
      <c r="R614" s="5"/>
      <c r="S614" s="5"/>
      <c r="T614" s="1120"/>
      <c r="U614" s="5"/>
      <c r="V614" s="5"/>
      <c r="W614" s="5"/>
      <c r="X614" s="1120"/>
      <c r="Y614" s="1120"/>
      <c r="Z614" s="5"/>
      <c r="AA614" s="5"/>
      <c r="AB614" s="1135"/>
      <c r="AC614" s="5"/>
      <c r="AD614" s="5"/>
      <c r="AE614" s="5"/>
      <c r="AF614" s="1120"/>
      <c r="AG614" s="1148"/>
      <c r="AH614" s="1120"/>
      <c r="AI614" s="1120"/>
      <c r="AJ614" s="1120"/>
    </row>
    <row r="615" spans="2:36" ht="30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L615" s="277"/>
      <c r="M615" s="5"/>
      <c r="R615" s="5"/>
      <c r="S615" s="5"/>
      <c r="T615" s="1120"/>
      <c r="U615" s="5"/>
      <c r="V615" s="5"/>
      <c r="W615" s="5"/>
      <c r="X615" s="1120"/>
      <c r="Y615" s="1120"/>
      <c r="Z615" s="5"/>
      <c r="AA615" s="5"/>
      <c r="AB615" s="1135"/>
      <c r="AC615" s="5"/>
      <c r="AD615" s="5"/>
      <c r="AE615" s="5"/>
      <c r="AF615" s="1120"/>
      <c r="AG615" s="1148"/>
      <c r="AH615" s="1120"/>
      <c r="AI615" s="1120"/>
      <c r="AJ615" s="1120"/>
    </row>
    <row r="616" spans="2:36" ht="30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L616" s="277"/>
      <c r="M616" s="5"/>
      <c r="R616" s="5"/>
      <c r="S616" s="5"/>
      <c r="T616" s="1120"/>
      <c r="U616" s="5"/>
      <c r="V616" s="5"/>
      <c r="W616" s="5"/>
      <c r="X616" s="1120"/>
      <c r="Y616" s="1120"/>
      <c r="Z616" s="5"/>
      <c r="AA616" s="5"/>
      <c r="AB616" s="1135"/>
      <c r="AC616" s="5"/>
      <c r="AD616" s="5"/>
      <c r="AE616" s="5"/>
      <c r="AF616" s="1120"/>
      <c r="AG616" s="1148"/>
      <c r="AH616" s="1120"/>
      <c r="AI616" s="1120"/>
      <c r="AJ616" s="1120"/>
    </row>
    <row r="617" spans="2:36" ht="30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L617" s="277"/>
      <c r="M617" s="5"/>
      <c r="R617" s="5"/>
      <c r="S617" s="5"/>
      <c r="T617" s="1120"/>
      <c r="U617" s="5"/>
      <c r="V617" s="5"/>
      <c r="W617" s="5"/>
      <c r="X617" s="1120"/>
      <c r="Y617" s="1120"/>
      <c r="Z617" s="5"/>
      <c r="AA617" s="5"/>
      <c r="AB617" s="1135"/>
      <c r="AC617" s="5"/>
      <c r="AD617" s="5"/>
      <c r="AE617" s="5"/>
      <c r="AF617" s="1120"/>
      <c r="AG617" s="1148"/>
      <c r="AH617" s="1120"/>
      <c r="AI617" s="1120"/>
      <c r="AJ617" s="1120"/>
    </row>
    <row r="618" spans="2:36" ht="30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L618" s="277"/>
      <c r="M618" s="5"/>
      <c r="R618" s="5"/>
      <c r="S618" s="5"/>
      <c r="T618" s="1120"/>
      <c r="U618" s="5"/>
      <c r="V618" s="5"/>
      <c r="W618" s="5"/>
      <c r="X618" s="1120"/>
      <c r="Y618" s="1120"/>
      <c r="Z618" s="5"/>
      <c r="AA618" s="5"/>
      <c r="AB618" s="1135"/>
      <c r="AC618" s="5"/>
      <c r="AD618" s="5"/>
      <c r="AE618" s="5"/>
      <c r="AF618" s="1120"/>
      <c r="AG618" s="1148"/>
      <c r="AH618" s="1120"/>
      <c r="AI618" s="1120"/>
      <c r="AJ618" s="1120"/>
    </row>
    <row r="619" spans="2:36" ht="30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L619" s="277"/>
      <c r="M619" s="5"/>
      <c r="R619" s="5"/>
      <c r="S619" s="5"/>
      <c r="T619" s="1120"/>
      <c r="U619" s="5"/>
      <c r="V619" s="5"/>
      <c r="W619" s="5"/>
      <c r="X619" s="1120"/>
      <c r="Y619" s="1120"/>
      <c r="Z619" s="5"/>
      <c r="AA619" s="5"/>
      <c r="AB619" s="1135"/>
      <c r="AC619" s="5"/>
      <c r="AD619" s="5"/>
      <c r="AE619" s="5"/>
      <c r="AF619" s="1120"/>
      <c r="AG619" s="1148"/>
      <c r="AH619" s="1120"/>
      <c r="AI619" s="1120"/>
      <c r="AJ619" s="1120"/>
    </row>
    <row r="620" spans="2:36" ht="30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L620" s="277"/>
      <c r="M620" s="5"/>
      <c r="R620" s="5"/>
      <c r="S620" s="5"/>
      <c r="T620" s="1120"/>
      <c r="U620" s="5"/>
      <c r="V620" s="5"/>
      <c r="W620" s="5"/>
      <c r="X620" s="1120"/>
      <c r="Y620" s="1120"/>
      <c r="Z620" s="5"/>
      <c r="AA620" s="5"/>
      <c r="AB620" s="1135"/>
      <c r="AC620" s="5"/>
      <c r="AD620" s="5"/>
      <c r="AE620" s="5"/>
      <c r="AF620" s="1120"/>
      <c r="AG620" s="1148"/>
      <c r="AH620" s="1120"/>
      <c r="AI620" s="1120"/>
      <c r="AJ620" s="1120"/>
    </row>
    <row r="621" spans="2:36" ht="30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L621" s="277"/>
      <c r="M621" s="5"/>
      <c r="R621" s="5"/>
      <c r="S621" s="5"/>
      <c r="T621" s="1120"/>
      <c r="U621" s="5"/>
      <c r="V621" s="5"/>
      <c r="W621" s="5"/>
      <c r="X621" s="1120"/>
      <c r="Y621" s="1120"/>
      <c r="Z621" s="5"/>
      <c r="AA621" s="5"/>
      <c r="AB621" s="1135"/>
      <c r="AC621" s="5"/>
      <c r="AD621" s="5"/>
      <c r="AE621" s="5"/>
      <c r="AF621" s="1120"/>
      <c r="AG621" s="1148"/>
      <c r="AH621" s="1120"/>
      <c r="AI621" s="1120"/>
      <c r="AJ621" s="1120"/>
    </row>
    <row r="622" spans="2:36" ht="30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L622" s="277"/>
      <c r="M622" s="5"/>
      <c r="R622" s="5"/>
      <c r="S622" s="5"/>
      <c r="T622" s="1120"/>
      <c r="U622" s="5"/>
      <c r="V622" s="5"/>
      <c r="W622" s="5"/>
      <c r="X622" s="1120"/>
      <c r="Y622" s="1120"/>
      <c r="Z622" s="5"/>
      <c r="AA622" s="5"/>
      <c r="AB622" s="1135"/>
      <c r="AC622" s="5"/>
      <c r="AD622" s="5"/>
      <c r="AE622" s="5"/>
      <c r="AF622" s="1120"/>
      <c r="AG622" s="1148"/>
      <c r="AH622" s="1120"/>
      <c r="AI622" s="1120"/>
      <c r="AJ622" s="1120"/>
    </row>
    <row r="623" spans="2:36" ht="30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L623" s="277"/>
      <c r="M623" s="5"/>
      <c r="R623" s="5"/>
      <c r="S623" s="5"/>
      <c r="T623" s="1120"/>
      <c r="U623" s="5"/>
      <c r="V623" s="5"/>
      <c r="W623" s="5"/>
      <c r="X623" s="1120"/>
      <c r="Y623" s="1120"/>
      <c r="Z623" s="5"/>
      <c r="AA623" s="5"/>
      <c r="AB623" s="1135"/>
      <c r="AC623" s="5"/>
      <c r="AD623" s="5"/>
      <c r="AE623" s="5"/>
      <c r="AF623" s="1120"/>
      <c r="AG623" s="1148"/>
      <c r="AH623" s="1120"/>
      <c r="AI623" s="1120"/>
      <c r="AJ623" s="1120"/>
    </row>
    <row r="624" spans="2:36" ht="30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L624" s="277"/>
      <c r="M624" s="5"/>
      <c r="R624" s="5"/>
      <c r="S624" s="5"/>
      <c r="T624" s="1120"/>
      <c r="U624" s="5"/>
      <c r="V624" s="5"/>
      <c r="W624" s="5"/>
      <c r="X624" s="1120"/>
      <c r="Y624" s="1120"/>
      <c r="Z624" s="5"/>
      <c r="AA624" s="5"/>
      <c r="AB624" s="1135"/>
      <c r="AC624" s="5"/>
      <c r="AD624" s="5"/>
      <c r="AE624" s="5"/>
      <c r="AF624" s="1120"/>
      <c r="AG624" s="1148"/>
      <c r="AH624" s="1120"/>
      <c r="AI624" s="1120"/>
      <c r="AJ624" s="1120"/>
    </row>
    <row r="625" spans="2:36" ht="30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L625" s="277"/>
      <c r="M625" s="5"/>
      <c r="R625" s="5"/>
      <c r="S625" s="5"/>
      <c r="T625" s="1120"/>
      <c r="U625" s="5"/>
      <c r="V625" s="5"/>
      <c r="W625" s="5"/>
      <c r="X625" s="1120"/>
      <c r="Y625" s="1120"/>
      <c r="Z625" s="5"/>
      <c r="AA625" s="5"/>
      <c r="AB625" s="1135"/>
      <c r="AC625" s="5"/>
      <c r="AD625" s="5"/>
      <c r="AE625" s="5"/>
      <c r="AF625" s="1120"/>
      <c r="AG625" s="1148"/>
      <c r="AH625" s="1120"/>
      <c r="AI625" s="1120"/>
      <c r="AJ625" s="1120"/>
    </row>
    <row r="626" spans="2:36" ht="30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L626" s="277"/>
      <c r="M626" s="5"/>
      <c r="R626" s="5"/>
      <c r="S626" s="5"/>
      <c r="T626" s="1120"/>
      <c r="U626" s="5"/>
      <c r="V626" s="5"/>
      <c r="W626" s="5"/>
      <c r="X626" s="1120"/>
      <c r="Y626" s="1120"/>
      <c r="Z626" s="5"/>
      <c r="AA626" s="5"/>
      <c r="AB626" s="1135"/>
      <c r="AC626" s="5"/>
      <c r="AD626" s="5"/>
      <c r="AE626" s="5"/>
      <c r="AF626" s="1120"/>
      <c r="AG626" s="1148"/>
      <c r="AH626" s="1120"/>
      <c r="AI626" s="1120"/>
      <c r="AJ626" s="1120"/>
    </row>
    <row r="627" spans="2:36" ht="30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L627" s="277"/>
      <c r="M627" s="5"/>
      <c r="R627" s="5"/>
      <c r="S627" s="5"/>
      <c r="T627" s="1120"/>
      <c r="U627" s="5"/>
      <c r="V627" s="5"/>
      <c r="W627" s="5"/>
      <c r="X627" s="1120"/>
      <c r="Y627" s="1120"/>
      <c r="Z627" s="5"/>
      <c r="AA627" s="5"/>
      <c r="AB627" s="1135"/>
      <c r="AC627" s="5"/>
      <c r="AD627" s="5"/>
      <c r="AE627" s="5"/>
      <c r="AF627" s="1120"/>
      <c r="AG627" s="1148"/>
      <c r="AH627" s="1120"/>
      <c r="AI627" s="1120"/>
      <c r="AJ627" s="1120"/>
    </row>
    <row r="628" spans="2:36" ht="30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L628" s="277"/>
      <c r="M628" s="5"/>
      <c r="R628" s="5"/>
      <c r="S628" s="5"/>
      <c r="T628" s="1120"/>
      <c r="U628" s="5"/>
      <c r="V628" s="5"/>
      <c r="W628" s="5"/>
      <c r="X628" s="1120"/>
      <c r="Y628" s="1120"/>
      <c r="Z628" s="5"/>
      <c r="AA628" s="5"/>
      <c r="AB628" s="1135"/>
      <c r="AC628" s="5"/>
      <c r="AD628" s="5"/>
      <c r="AE628" s="5"/>
      <c r="AF628" s="1120"/>
      <c r="AG628" s="1148"/>
      <c r="AH628" s="1120"/>
      <c r="AI628" s="1120"/>
      <c r="AJ628" s="1120"/>
    </row>
    <row r="629" spans="2:36" ht="30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L629" s="277"/>
      <c r="M629" s="5"/>
      <c r="R629" s="5"/>
      <c r="S629" s="5"/>
      <c r="T629" s="1120"/>
      <c r="U629" s="5"/>
      <c r="V629" s="5"/>
      <c r="W629" s="5"/>
      <c r="X629" s="1120"/>
      <c r="Y629" s="1120"/>
      <c r="Z629" s="5"/>
      <c r="AA629" s="5"/>
      <c r="AB629" s="1135"/>
      <c r="AC629" s="5"/>
      <c r="AD629" s="5"/>
      <c r="AE629" s="5"/>
      <c r="AF629" s="1120"/>
      <c r="AG629" s="1148"/>
      <c r="AH629" s="1120"/>
      <c r="AI629" s="1120"/>
      <c r="AJ629" s="1120"/>
    </row>
    <row r="630" spans="2:36" ht="30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L630" s="277"/>
      <c r="M630" s="5"/>
      <c r="R630" s="5"/>
      <c r="S630" s="5"/>
      <c r="T630" s="1120"/>
      <c r="U630" s="5"/>
      <c r="V630" s="5"/>
      <c r="W630" s="5"/>
      <c r="X630" s="1120"/>
      <c r="Y630" s="1120"/>
      <c r="Z630" s="5"/>
      <c r="AA630" s="5"/>
      <c r="AB630" s="1135"/>
      <c r="AC630" s="5"/>
      <c r="AD630" s="5"/>
      <c r="AE630" s="5"/>
      <c r="AF630" s="1120"/>
      <c r="AG630" s="1148"/>
      <c r="AH630" s="1120"/>
      <c r="AI630" s="1120"/>
      <c r="AJ630" s="1120"/>
    </row>
    <row r="631" spans="2:36" ht="30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L631" s="277"/>
      <c r="M631" s="5"/>
      <c r="R631" s="5"/>
      <c r="S631" s="5"/>
      <c r="T631" s="1120"/>
      <c r="U631" s="5"/>
      <c r="V631" s="5"/>
      <c r="W631" s="5"/>
      <c r="X631" s="1120"/>
      <c r="Y631" s="1120"/>
      <c r="Z631" s="5"/>
      <c r="AA631" s="5"/>
      <c r="AB631" s="1135"/>
      <c r="AC631" s="5"/>
      <c r="AD631" s="5"/>
      <c r="AE631" s="5"/>
      <c r="AF631" s="1120"/>
      <c r="AG631" s="1148"/>
      <c r="AH631" s="1120"/>
      <c r="AI631" s="1120"/>
      <c r="AJ631" s="1120"/>
    </row>
    <row r="632" spans="2:36" ht="30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L632" s="277"/>
      <c r="M632" s="5"/>
      <c r="R632" s="5"/>
      <c r="S632" s="5"/>
      <c r="T632" s="1120"/>
      <c r="U632" s="5"/>
      <c r="V632" s="5"/>
      <c r="W632" s="5"/>
      <c r="X632" s="1120"/>
      <c r="Y632" s="1120"/>
      <c r="Z632" s="5"/>
      <c r="AA632" s="5"/>
      <c r="AB632" s="1135"/>
      <c r="AC632" s="5"/>
      <c r="AD632" s="5"/>
      <c r="AE632" s="5"/>
      <c r="AF632" s="1120"/>
      <c r="AG632" s="1148"/>
      <c r="AH632" s="1120"/>
      <c r="AI632" s="1120"/>
      <c r="AJ632" s="1120"/>
    </row>
    <row r="633" spans="2:36" ht="30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L633" s="277"/>
      <c r="M633" s="5"/>
      <c r="R633" s="5"/>
      <c r="S633" s="5"/>
      <c r="T633" s="1120"/>
      <c r="U633" s="5"/>
      <c r="V633" s="5"/>
      <c r="W633" s="5"/>
      <c r="X633" s="1120"/>
      <c r="Y633" s="1120"/>
      <c r="Z633" s="5"/>
      <c r="AA633" s="5"/>
      <c r="AB633" s="1135"/>
      <c r="AC633" s="5"/>
      <c r="AD633" s="5"/>
      <c r="AE633" s="5"/>
      <c r="AF633" s="1120"/>
      <c r="AG633" s="1148"/>
      <c r="AH633" s="1120"/>
      <c r="AI633" s="1120"/>
      <c r="AJ633" s="1120"/>
    </row>
    <row r="634" spans="2:36" ht="30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L634" s="277"/>
      <c r="M634" s="5"/>
      <c r="R634" s="5"/>
      <c r="S634" s="5"/>
      <c r="T634" s="1120"/>
      <c r="U634" s="5"/>
      <c r="V634" s="5"/>
      <c r="W634" s="5"/>
      <c r="X634" s="1120"/>
      <c r="Y634" s="1120"/>
      <c r="Z634" s="5"/>
      <c r="AA634" s="5"/>
      <c r="AB634" s="1135"/>
      <c r="AC634" s="5"/>
      <c r="AD634" s="5"/>
      <c r="AE634" s="5"/>
      <c r="AF634" s="1120"/>
      <c r="AG634" s="1148"/>
      <c r="AH634" s="1120"/>
      <c r="AI634" s="1120"/>
      <c r="AJ634" s="1120"/>
    </row>
    <row r="635" spans="2:36" ht="30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L635" s="277"/>
      <c r="M635" s="5"/>
      <c r="R635" s="5"/>
      <c r="S635" s="5"/>
      <c r="T635" s="1120"/>
      <c r="U635" s="5"/>
      <c r="V635" s="5"/>
      <c r="W635" s="5"/>
      <c r="X635" s="1120"/>
      <c r="Y635" s="1120"/>
      <c r="Z635" s="5"/>
      <c r="AA635" s="5"/>
      <c r="AB635" s="1135"/>
      <c r="AC635" s="5"/>
      <c r="AD635" s="5"/>
      <c r="AE635" s="5"/>
      <c r="AF635" s="1120"/>
      <c r="AG635" s="1148"/>
      <c r="AH635" s="1120"/>
      <c r="AI635" s="1120"/>
      <c r="AJ635" s="1120"/>
    </row>
    <row r="636" spans="2:36" ht="30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L636" s="277"/>
      <c r="M636" s="5"/>
      <c r="R636" s="5"/>
      <c r="S636" s="5"/>
      <c r="T636" s="1120"/>
      <c r="U636" s="5"/>
      <c r="V636" s="5"/>
      <c r="W636" s="5"/>
      <c r="X636" s="1120"/>
      <c r="Y636" s="1120"/>
      <c r="Z636" s="5"/>
      <c r="AA636" s="5"/>
      <c r="AB636" s="1135"/>
      <c r="AC636" s="5"/>
      <c r="AD636" s="5"/>
      <c r="AE636" s="5"/>
      <c r="AF636" s="1120"/>
      <c r="AG636" s="1148"/>
      <c r="AH636" s="1120"/>
      <c r="AI636" s="1120"/>
      <c r="AJ636" s="1120"/>
    </row>
    <row r="637" spans="2:36" ht="30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L637" s="277"/>
      <c r="M637" s="5"/>
      <c r="R637" s="5"/>
      <c r="S637" s="5"/>
      <c r="T637" s="1120"/>
      <c r="U637" s="5"/>
      <c r="V637" s="5"/>
      <c r="W637" s="5"/>
      <c r="X637" s="1120"/>
      <c r="Y637" s="1120"/>
      <c r="Z637" s="5"/>
      <c r="AA637" s="5"/>
      <c r="AB637" s="1135"/>
      <c r="AC637" s="5"/>
      <c r="AD637" s="5"/>
      <c r="AE637" s="5"/>
      <c r="AF637" s="1120"/>
      <c r="AG637" s="1148"/>
      <c r="AH637" s="1120"/>
      <c r="AI637" s="1120"/>
      <c r="AJ637" s="1120"/>
    </row>
    <row r="638" spans="2:36" ht="30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L638" s="277"/>
      <c r="M638" s="5"/>
      <c r="R638" s="5"/>
      <c r="S638" s="5"/>
      <c r="T638" s="1120"/>
      <c r="U638" s="5"/>
      <c r="V638" s="5"/>
      <c r="W638" s="5"/>
      <c r="X638" s="1120"/>
      <c r="Y638" s="1120"/>
      <c r="Z638" s="5"/>
      <c r="AA638" s="5"/>
      <c r="AB638" s="1135"/>
      <c r="AC638" s="5"/>
      <c r="AD638" s="5"/>
      <c r="AE638" s="5"/>
      <c r="AF638" s="1120"/>
      <c r="AG638" s="1148"/>
      <c r="AH638" s="1120"/>
      <c r="AI638" s="1120"/>
      <c r="AJ638" s="1120"/>
    </row>
    <row r="639" spans="2:36" ht="30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L639" s="277"/>
      <c r="M639" s="5"/>
      <c r="R639" s="5"/>
      <c r="S639" s="5"/>
      <c r="T639" s="1120"/>
      <c r="U639" s="5"/>
      <c r="V639" s="5"/>
      <c r="W639" s="5"/>
      <c r="X639" s="1120"/>
      <c r="Y639" s="1120"/>
      <c r="Z639" s="5"/>
      <c r="AA639" s="5"/>
      <c r="AB639" s="1135"/>
      <c r="AC639" s="5"/>
      <c r="AD639" s="5"/>
      <c r="AE639" s="5"/>
      <c r="AF639" s="1120"/>
      <c r="AG639" s="1148"/>
      <c r="AH639" s="1120"/>
      <c r="AI639" s="1120"/>
      <c r="AJ639" s="1120"/>
    </row>
    <row r="640" spans="2:36" ht="30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L640" s="277"/>
      <c r="M640" s="5"/>
      <c r="R640" s="5"/>
      <c r="S640" s="5"/>
      <c r="T640" s="1120"/>
      <c r="U640" s="5"/>
      <c r="V640" s="5"/>
      <c r="W640" s="5"/>
      <c r="X640" s="1120"/>
      <c r="Y640" s="1120"/>
      <c r="Z640" s="5"/>
      <c r="AA640" s="5"/>
      <c r="AB640" s="1135"/>
      <c r="AC640" s="5"/>
      <c r="AD640" s="5"/>
      <c r="AE640" s="5"/>
      <c r="AF640" s="1120"/>
      <c r="AG640" s="1148"/>
      <c r="AH640" s="1120"/>
      <c r="AI640" s="1120"/>
      <c r="AJ640" s="1120"/>
    </row>
    <row r="641" spans="2:36" ht="30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L641" s="277"/>
      <c r="M641" s="5"/>
      <c r="R641" s="5"/>
      <c r="S641" s="5"/>
      <c r="T641" s="1120"/>
      <c r="U641" s="5"/>
      <c r="V641" s="5"/>
      <c r="W641" s="5"/>
      <c r="X641" s="1120"/>
      <c r="Y641" s="1120"/>
      <c r="Z641" s="5"/>
      <c r="AA641" s="5"/>
      <c r="AB641" s="1135"/>
      <c r="AC641" s="5"/>
      <c r="AD641" s="5"/>
      <c r="AE641" s="5"/>
      <c r="AF641" s="1120"/>
      <c r="AG641" s="1148"/>
      <c r="AH641" s="1120"/>
      <c r="AI641" s="1120"/>
      <c r="AJ641" s="1120"/>
    </row>
    <row r="642" spans="2:36" ht="30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L642" s="277"/>
      <c r="M642" s="5"/>
      <c r="R642" s="5"/>
      <c r="S642" s="5"/>
      <c r="T642" s="1120"/>
      <c r="U642" s="5"/>
      <c r="V642" s="5"/>
      <c r="W642" s="5"/>
      <c r="X642" s="1120"/>
      <c r="Y642" s="1120"/>
      <c r="Z642" s="5"/>
      <c r="AA642" s="5"/>
      <c r="AB642" s="1135"/>
      <c r="AC642" s="5"/>
      <c r="AD642" s="5"/>
      <c r="AE642" s="5"/>
      <c r="AF642" s="1120"/>
      <c r="AG642" s="1148"/>
      <c r="AH642" s="1120"/>
      <c r="AI642" s="1120"/>
      <c r="AJ642" s="1120"/>
    </row>
    <row r="643" spans="2:36" ht="30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L643" s="277"/>
      <c r="M643" s="5"/>
      <c r="R643" s="5"/>
      <c r="S643" s="5"/>
      <c r="T643" s="1120"/>
      <c r="U643" s="5"/>
      <c r="V643" s="5"/>
      <c r="W643" s="5"/>
      <c r="X643" s="1120"/>
      <c r="Y643" s="1120"/>
      <c r="Z643" s="5"/>
      <c r="AA643" s="5"/>
      <c r="AB643" s="1135"/>
      <c r="AC643" s="5"/>
      <c r="AD643" s="5"/>
      <c r="AE643" s="5"/>
      <c r="AF643" s="1120"/>
      <c r="AG643" s="1148"/>
      <c r="AH643" s="1120"/>
      <c r="AI643" s="1120"/>
      <c r="AJ643" s="1120"/>
    </row>
    <row r="644" spans="2:36" ht="30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L644" s="277"/>
      <c r="M644" s="5"/>
      <c r="R644" s="5"/>
      <c r="S644" s="5"/>
      <c r="T644" s="1120"/>
      <c r="U644" s="5"/>
      <c r="V644" s="5"/>
      <c r="W644" s="5"/>
      <c r="X644" s="1120"/>
      <c r="Y644" s="1120"/>
      <c r="Z644" s="5"/>
      <c r="AA644" s="5"/>
      <c r="AB644" s="1135"/>
      <c r="AC644" s="5"/>
      <c r="AD644" s="5"/>
      <c r="AE644" s="5"/>
      <c r="AF644" s="1120"/>
      <c r="AG644" s="1148"/>
      <c r="AH644" s="1120"/>
      <c r="AI644" s="1120"/>
      <c r="AJ644" s="1120"/>
    </row>
    <row r="645" spans="2:36" ht="30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L645" s="277"/>
      <c r="M645" s="5"/>
      <c r="R645" s="5"/>
      <c r="S645" s="5"/>
      <c r="T645" s="1120"/>
      <c r="U645" s="5"/>
      <c r="V645" s="5"/>
      <c r="W645" s="5"/>
      <c r="X645" s="1120"/>
      <c r="Y645" s="1120"/>
      <c r="Z645" s="5"/>
      <c r="AA645" s="5"/>
      <c r="AB645" s="1135"/>
      <c r="AC645" s="5"/>
      <c r="AD645" s="5"/>
      <c r="AE645" s="5"/>
      <c r="AF645" s="1120"/>
      <c r="AG645" s="1148"/>
      <c r="AH645" s="1120"/>
      <c r="AI645" s="1120"/>
      <c r="AJ645" s="1120"/>
    </row>
    <row r="646" spans="2:36" ht="30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L646" s="277"/>
      <c r="M646" s="5"/>
      <c r="R646" s="5"/>
      <c r="S646" s="5"/>
      <c r="T646" s="1120"/>
      <c r="U646" s="5"/>
      <c r="V646" s="5"/>
      <c r="W646" s="5"/>
      <c r="X646" s="1120"/>
      <c r="Y646" s="1120"/>
      <c r="Z646" s="5"/>
      <c r="AA646" s="5"/>
      <c r="AB646" s="1135"/>
      <c r="AC646" s="5"/>
      <c r="AD646" s="5"/>
      <c r="AE646" s="5"/>
      <c r="AF646" s="1120"/>
      <c r="AG646" s="1148"/>
      <c r="AH646" s="1120"/>
      <c r="AI646" s="1120"/>
      <c r="AJ646" s="1120"/>
    </row>
    <row r="647" spans="2:36" ht="30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L647" s="277"/>
      <c r="M647" s="5"/>
      <c r="R647" s="5"/>
      <c r="S647" s="5"/>
      <c r="T647" s="1120"/>
      <c r="U647" s="5"/>
      <c r="V647" s="5"/>
      <c r="W647" s="5"/>
      <c r="X647" s="1120"/>
      <c r="Y647" s="1120"/>
      <c r="Z647" s="5"/>
      <c r="AA647" s="5"/>
      <c r="AB647" s="1135"/>
      <c r="AC647" s="5"/>
      <c r="AD647" s="5"/>
      <c r="AE647" s="5"/>
      <c r="AF647" s="1120"/>
      <c r="AG647" s="1148"/>
      <c r="AH647" s="1120"/>
      <c r="AI647" s="1120"/>
      <c r="AJ647" s="1120"/>
    </row>
    <row r="648" spans="2:36" ht="30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L648" s="277"/>
      <c r="M648" s="5"/>
      <c r="R648" s="5"/>
      <c r="S648" s="5"/>
      <c r="T648" s="1120"/>
      <c r="U648" s="5"/>
      <c r="V648" s="5"/>
      <c r="W648" s="5"/>
      <c r="X648" s="1120"/>
      <c r="Y648" s="1120"/>
      <c r="Z648" s="5"/>
      <c r="AA648" s="5"/>
      <c r="AB648" s="1135"/>
      <c r="AC648" s="5"/>
      <c r="AD648" s="5"/>
      <c r="AE648" s="5"/>
      <c r="AF648" s="1120"/>
      <c r="AG648" s="1148"/>
      <c r="AH648" s="1120"/>
      <c r="AI648" s="1120"/>
      <c r="AJ648" s="1120"/>
    </row>
    <row r="649" spans="2:36" ht="30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L649" s="277"/>
      <c r="M649" s="5"/>
      <c r="R649" s="5"/>
      <c r="S649" s="5"/>
      <c r="T649" s="1120"/>
      <c r="U649" s="5"/>
      <c r="V649" s="5"/>
      <c r="W649" s="5"/>
      <c r="X649" s="1120"/>
      <c r="Y649" s="1120"/>
      <c r="Z649" s="5"/>
      <c r="AA649" s="5"/>
      <c r="AB649" s="1135"/>
      <c r="AC649" s="5"/>
      <c r="AD649" s="5"/>
      <c r="AE649" s="5"/>
      <c r="AF649" s="1120"/>
      <c r="AG649" s="1148"/>
      <c r="AH649" s="1120"/>
      <c r="AI649" s="1120"/>
      <c r="AJ649" s="1120"/>
    </row>
    <row r="650" spans="2:36" ht="30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L650" s="277"/>
      <c r="M650" s="5"/>
      <c r="R650" s="5"/>
      <c r="S650" s="5"/>
      <c r="T650" s="1120"/>
      <c r="U650" s="5"/>
      <c r="V650" s="5"/>
      <c r="W650" s="5"/>
      <c r="X650" s="1120"/>
      <c r="Y650" s="1120"/>
      <c r="Z650" s="5"/>
      <c r="AA650" s="5"/>
      <c r="AB650" s="1135"/>
      <c r="AC650" s="5"/>
      <c r="AD650" s="5"/>
      <c r="AE650" s="5"/>
      <c r="AF650" s="1120"/>
      <c r="AG650" s="1148"/>
      <c r="AH650" s="1120"/>
      <c r="AI650" s="1120"/>
      <c r="AJ650" s="1120"/>
    </row>
    <row r="651" spans="2:36" ht="30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L651" s="277"/>
      <c r="M651" s="5"/>
      <c r="R651" s="5"/>
      <c r="S651" s="5"/>
      <c r="T651" s="1120"/>
      <c r="U651" s="5"/>
      <c r="V651" s="5"/>
      <c r="W651" s="5"/>
      <c r="X651" s="1120"/>
      <c r="Y651" s="1120"/>
      <c r="Z651" s="5"/>
      <c r="AA651" s="5"/>
      <c r="AB651" s="1135"/>
      <c r="AC651" s="5"/>
      <c r="AD651" s="5"/>
      <c r="AE651" s="5"/>
      <c r="AF651" s="1120"/>
      <c r="AG651" s="1148"/>
      <c r="AH651" s="1120"/>
      <c r="AI651" s="1120"/>
      <c r="AJ651" s="1120"/>
    </row>
    <row r="652" spans="2:36" ht="30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L652" s="277"/>
      <c r="M652" s="5"/>
      <c r="R652" s="5"/>
      <c r="S652" s="5"/>
      <c r="T652" s="1120"/>
      <c r="U652" s="5"/>
      <c r="V652" s="5"/>
      <c r="W652" s="5"/>
      <c r="X652" s="1120"/>
      <c r="Y652" s="1120"/>
      <c r="Z652" s="5"/>
      <c r="AA652" s="5"/>
      <c r="AB652" s="1135"/>
      <c r="AC652" s="5"/>
      <c r="AD652" s="5"/>
      <c r="AE652" s="5"/>
      <c r="AF652" s="1120"/>
      <c r="AG652" s="1148"/>
      <c r="AH652" s="1120"/>
      <c r="AI652" s="1120"/>
      <c r="AJ652" s="1120"/>
    </row>
    <row r="653" spans="2:36" ht="30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L653" s="277"/>
      <c r="M653" s="5"/>
      <c r="R653" s="5"/>
      <c r="S653" s="5"/>
      <c r="T653" s="1120"/>
      <c r="U653" s="5"/>
      <c r="V653" s="5"/>
      <c r="W653" s="5"/>
      <c r="X653" s="1120"/>
      <c r="Y653" s="1120"/>
      <c r="Z653" s="5"/>
      <c r="AA653" s="5"/>
      <c r="AB653" s="1135"/>
      <c r="AC653" s="5"/>
      <c r="AD653" s="5"/>
      <c r="AE653" s="5"/>
      <c r="AF653" s="1120"/>
      <c r="AG653" s="1148"/>
      <c r="AH653" s="1120"/>
      <c r="AI653" s="1120"/>
      <c r="AJ653" s="1120"/>
    </row>
    <row r="654" spans="2:36" ht="30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L654" s="277"/>
      <c r="M654" s="5"/>
      <c r="R654" s="5"/>
      <c r="S654" s="5"/>
      <c r="T654" s="1120"/>
      <c r="U654" s="5"/>
      <c r="V654" s="5"/>
      <c r="W654" s="5"/>
      <c r="X654" s="1120"/>
      <c r="Y654" s="1120"/>
      <c r="Z654" s="5"/>
      <c r="AA654" s="5"/>
      <c r="AB654" s="1135"/>
      <c r="AC654" s="5"/>
      <c r="AD654" s="5"/>
      <c r="AE654" s="5"/>
      <c r="AF654" s="1120"/>
      <c r="AG654" s="1148"/>
      <c r="AH654" s="1120"/>
      <c r="AI654" s="1120"/>
      <c r="AJ654" s="1120"/>
    </row>
    <row r="655" spans="2:36" ht="30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L655" s="277"/>
      <c r="M655" s="5"/>
      <c r="R655" s="5"/>
      <c r="S655" s="5"/>
      <c r="T655" s="1120"/>
      <c r="U655" s="5"/>
      <c r="V655" s="5"/>
      <c r="W655" s="5"/>
      <c r="X655" s="1120"/>
      <c r="Y655" s="1120"/>
      <c r="Z655" s="5"/>
      <c r="AA655" s="5"/>
      <c r="AB655" s="1135"/>
      <c r="AC655" s="5"/>
      <c r="AD655" s="5"/>
      <c r="AE655" s="5"/>
      <c r="AF655" s="1120"/>
      <c r="AG655" s="1148"/>
      <c r="AH655" s="1120"/>
      <c r="AI655" s="1120"/>
      <c r="AJ655" s="1120"/>
    </row>
    <row r="656" spans="2:36" ht="30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L656" s="277"/>
      <c r="M656" s="5"/>
      <c r="R656" s="5"/>
      <c r="S656" s="5"/>
      <c r="T656" s="1120"/>
      <c r="U656" s="5"/>
      <c r="V656" s="5"/>
      <c r="W656" s="5"/>
      <c r="X656" s="1120"/>
      <c r="Y656" s="1120"/>
      <c r="Z656" s="5"/>
      <c r="AA656" s="5"/>
      <c r="AB656" s="1135"/>
      <c r="AC656" s="5"/>
      <c r="AD656" s="5"/>
      <c r="AE656" s="5"/>
      <c r="AF656" s="1120"/>
      <c r="AG656" s="1148"/>
      <c r="AH656" s="1120"/>
      <c r="AI656" s="1120"/>
      <c r="AJ656" s="1120"/>
    </row>
    <row r="657" spans="2:36" ht="30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L657" s="277"/>
      <c r="M657" s="5"/>
      <c r="R657" s="5"/>
      <c r="S657" s="5"/>
      <c r="T657" s="1120"/>
      <c r="U657" s="5"/>
      <c r="V657" s="5"/>
      <c r="W657" s="5"/>
      <c r="X657" s="1120"/>
      <c r="Y657" s="1120"/>
      <c r="Z657" s="5"/>
      <c r="AA657" s="5"/>
      <c r="AB657" s="1135"/>
      <c r="AC657" s="5"/>
      <c r="AD657" s="5"/>
      <c r="AE657" s="5"/>
      <c r="AF657" s="1120"/>
      <c r="AG657" s="1148"/>
      <c r="AH657" s="1120"/>
      <c r="AI657" s="1120"/>
      <c r="AJ657" s="1120"/>
    </row>
    <row r="658" spans="2:36" ht="30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L658" s="277"/>
      <c r="M658" s="5"/>
      <c r="R658" s="5"/>
      <c r="S658" s="5"/>
      <c r="T658" s="1120"/>
      <c r="U658" s="5"/>
      <c r="V658" s="5"/>
      <c r="W658" s="5"/>
      <c r="X658" s="1120"/>
      <c r="Y658" s="1120"/>
      <c r="Z658" s="5"/>
      <c r="AA658" s="5"/>
      <c r="AB658" s="1135"/>
      <c r="AC658" s="5"/>
      <c r="AD658" s="5"/>
      <c r="AE658" s="5"/>
      <c r="AF658" s="1120"/>
      <c r="AG658" s="1148"/>
      <c r="AH658" s="1120"/>
      <c r="AI658" s="1120"/>
      <c r="AJ658" s="1120"/>
    </row>
    <row r="659" spans="2:36" ht="30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L659" s="277"/>
      <c r="M659" s="5"/>
      <c r="R659" s="5"/>
      <c r="S659" s="5"/>
      <c r="T659" s="1120"/>
      <c r="U659" s="5"/>
      <c r="V659" s="5"/>
      <c r="W659" s="5"/>
      <c r="X659" s="1120"/>
      <c r="Y659" s="1120"/>
      <c r="Z659" s="5"/>
      <c r="AA659" s="5"/>
      <c r="AB659" s="1135"/>
      <c r="AC659" s="5"/>
      <c r="AD659" s="5"/>
      <c r="AE659" s="5"/>
      <c r="AF659" s="1120"/>
      <c r="AG659" s="1148"/>
      <c r="AH659" s="1120"/>
      <c r="AI659" s="1120"/>
      <c r="AJ659" s="1120"/>
    </row>
    <row r="660" spans="2:36" ht="30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L660" s="277"/>
      <c r="M660" s="5"/>
      <c r="R660" s="5"/>
      <c r="S660" s="5"/>
      <c r="T660" s="1120"/>
      <c r="U660" s="5"/>
      <c r="V660" s="5"/>
      <c r="W660" s="5"/>
      <c r="X660" s="1120"/>
      <c r="Y660" s="1120"/>
      <c r="Z660" s="5"/>
      <c r="AA660" s="5"/>
      <c r="AB660" s="1135"/>
      <c r="AC660" s="5"/>
      <c r="AD660" s="5"/>
      <c r="AE660" s="5"/>
      <c r="AF660" s="1120"/>
      <c r="AG660" s="1148"/>
      <c r="AH660" s="1120"/>
      <c r="AI660" s="1120"/>
      <c r="AJ660" s="1120"/>
    </row>
    <row r="661" spans="2:36" ht="30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L661" s="277"/>
      <c r="M661" s="5"/>
      <c r="R661" s="5"/>
      <c r="S661" s="5"/>
      <c r="T661" s="1120"/>
      <c r="U661" s="5"/>
      <c r="V661" s="5"/>
      <c r="W661" s="5"/>
      <c r="X661" s="1120"/>
      <c r="Y661" s="1120"/>
      <c r="Z661" s="5"/>
      <c r="AA661" s="5"/>
      <c r="AB661" s="1135"/>
      <c r="AC661" s="5"/>
      <c r="AD661" s="5"/>
      <c r="AE661" s="5"/>
      <c r="AF661" s="1120"/>
      <c r="AG661" s="1148"/>
      <c r="AH661" s="1120"/>
      <c r="AI661" s="1120"/>
      <c r="AJ661" s="1120"/>
    </row>
    <row r="662" spans="2:36" ht="30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L662" s="277"/>
      <c r="M662" s="5"/>
      <c r="R662" s="5"/>
      <c r="S662" s="5"/>
      <c r="T662" s="1120"/>
      <c r="U662" s="5"/>
      <c r="V662" s="5"/>
      <c r="W662" s="5"/>
      <c r="X662" s="1120"/>
      <c r="Y662" s="1120"/>
      <c r="Z662" s="5"/>
      <c r="AA662" s="5"/>
      <c r="AB662" s="1135"/>
      <c r="AC662" s="5"/>
      <c r="AD662" s="5"/>
      <c r="AE662" s="5"/>
      <c r="AF662" s="1120"/>
      <c r="AG662" s="1148"/>
      <c r="AH662" s="1120"/>
      <c r="AI662" s="1120"/>
      <c r="AJ662" s="1120"/>
    </row>
    <row r="663" spans="2:36" ht="30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L663" s="277"/>
      <c r="M663" s="5"/>
      <c r="R663" s="5"/>
      <c r="S663" s="5"/>
      <c r="T663" s="1120"/>
      <c r="U663" s="5"/>
      <c r="V663" s="5"/>
      <c r="W663" s="5"/>
      <c r="X663" s="1120"/>
      <c r="Y663" s="1120"/>
      <c r="Z663" s="5"/>
      <c r="AA663" s="5"/>
      <c r="AB663" s="1135"/>
      <c r="AC663" s="5"/>
      <c r="AD663" s="5"/>
      <c r="AE663" s="5"/>
      <c r="AF663" s="1120"/>
      <c r="AG663" s="1148"/>
      <c r="AH663" s="1120"/>
      <c r="AI663" s="1120"/>
      <c r="AJ663" s="1120"/>
    </row>
    <row r="664" spans="2:36" ht="30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L664" s="277"/>
      <c r="M664" s="5"/>
      <c r="R664" s="5"/>
      <c r="S664" s="5"/>
      <c r="T664" s="1120"/>
      <c r="U664" s="5"/>
      <c r="V664" s="5"/>
      <c r="W664" s="5"/>
      <c r="X664" s="1120"/>
      <c r="Y664" s="1120"/>
      <c r="Z664" s="5"/>
      <c r="AA664" s="5"/>
      <c r="AB664" s="1135"/>
      <c r="AC664" s="5"/>
      <c r="AD664" s="5"/>
      <c r="AE664" s="5"/>
      <c r="AF664" s="1120"/>
      <c r="AG664" s="1148"/>
      <c r="AH664" s="1120"/>
      <c r="AI664" s="1120"/>
      <c r="AJ664" s="1120"/>
    </row>
    <row r="665" spans="2:36" ht="30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L665" s="277"/>
      <c r="M665" s="5"/>
      <c r="R665" s="5"/>
      <c r="S665" s="5"/>
      <c r="T665" s="1120"/>
      <c r="U665" s="5"/>
      <c r="V665" s="5"/>
      <c r="W665" s="5"/>
      <c r="X665" s="1120"/>
      <c r="Y665" s="1120"/>
      <c r="Z665" s="5"/>
      <c r="AA665" s="5"/>
      <c r="AB665" s="1135"/>
      <c r="AC665" s="5"/>
      <c r="AD665" s="5"/>
      <c r="AE665" s="5"/>
      <c r="AF665" s="1120"/>
      <c r="AG665" s="1148"/>
      <c r="AH665" s="1120"/>
      <c r="AI665" s="1120"/>
      <c r="AJ665" s="1120"/>
    </row>
    <row r="666" spans="2:36" ht="30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L666" s="277"/>
      <c r="M666" s="5"/>
      <c r="R666" s="5"/>
      <c r="S666" s="5"/>
      <c r="T666" s="1120"/>
      <c r="U666" s="5"/>
      <c r="V666" s="5"/>
      <c r="W666" s="5"/>
      <c r="X666" s="1120"/>
      <c r="Y666" s="1120"/>
      <c r="Z666" s="5"/>
      <c r="AA666" s="5"/>
      <c r="AB666" s="1135"/>
      <c r="AC666" s="5"/>
      <c r="AD666" s="5"/>
      <c r="AE666" s="5"/>
      <c r="AF666" s="1120"/>
      <c r="AG666" s="1148"/>
      <c r="AH666" s="1120"/>
      <c r="AI666" s="1120"/>
      <c r="AJ666" s="1120"/>
    </row>
    <row r="667" spans="2:36" ht="30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L667" s="277"/>
      <c r="M667" s="5"/>
      <c r="R667" s="5"/>
      <c r="S667" s="5"/>
      <c r="T667" s="1120"/>
      <c r="U667" s="5"/>
      <c r="V667" s="5"/>
      <c r="W667" s="5"/>
      <c r="X667" s="1120"/>
      <c r="Y667" s="1120"/>
      <c r="Z667" s="5"/>
      <c r="AA667" s="5"/>
      <c r="AB667" s="1135"/>
      <c r="AC667" s="5"/>
      <c r="AD667" s="5"/>
      <c r="AE667" s="5"/>
      <c r="AF667" s="1120"/>
      <c r="AG667" s="1148"/>
      <c r="AH667" s="1120"/>
      <c r="AI667" s="1120"/>
      <c r="AJ667" s="1120"/>
    </row>
    <row r="668" spans="2:36" ht="30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L668" s="277"/>
      <c r="M668" s="5"/>
      <c r="R668" s="5"/>
      <c r="S668" s="5"/>
      <c r="T668" s="1120"/>
      <c r="U668" s="5"/>
      <c r="V668" s="5"/>
      <c r="W668" s="5"/>
      <c r="X668" s="1120"/>
      <c r="Y668" s="1120"/>
      <c r="Z668" s="5"/>
      <c r="AA668" s="5"/>
      <c r="AB668" s="1135"/>
      <c r="AC668" s="5"/>
      <c r="AD668" s="5"/>
      <c r="AE668" s="5"/>
      <c r="AF668" s="1120"/>
      <c r="AG668" s="1148"/>
      <c r="AH668" s="1120"/>
      <c r="AI668" s="1120"/>
      <c r="AJ668" s="1120"/>
    </row>
    <row r="669" spans="2:36" ht="30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L669" s="277"/>
      <c r="M669" s="5"/>
      <c r="R669" s="5"/>
      <c r="S669" s="5"/>
      <c r="T669" s="1120"/>
      <c r="U669" s="5"/>
      <c r="V669" s="5"/>
      <c r="W669" s="5"/>
      <c r="X669" s="1120"/>
      <c r="Y669" s="1120"/>
      <c r="Z669" s="5"/>
      <c r="AA669" s="5"/>
      <c r="AB669" s="1135"/>
      <c r="AC669" s="5"/>
      <c r="AD669" s="5"/>
      <c r="AE669" s="5"/>
      <c r="AF669" s="1120"/>
      <c r="AG669" s="1148"/>
      <c r="AH669" s="1120"/>
      <c r="AI669" s="1120"/>
      <c r="AJ669" s="1120"/>
    </row>
    <row r="670" spans="2:36" ht="30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L670" s="277"/>
      <c r="M670" s="5"/>
      <c r="R670" s="5"/>
      <c r="S670" s="5"/>
      <c r="T670" s="1120"/>
      <c r="U670" s="5"/>
      <c r="V670" s="5"/>
      <c r="W670" s="5"/>
      <c r="X670" s="1120"/>
      <c r="Y670" s="1120"/>
      <c r="Z670" s="5"/>
      <c r="AA670" s="5"/>
      <c r="AB670" s="1135"/>
      <c r="AC670" s="5"/>
      <c r="AD670" s="5"/>
      <c r="AE670" s="5"/>
      <c r="AF670" s="1120"/>
      <c r="AG670" s="1148"/>
      <c r="AH670" s="1120"/>
      <c r="AI670" s="1120"/>
      <c r="AJ670" s="1120"/>
    </row>
    <row r="671" spans="2:36" ht="30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L671" s="277"/>
      <c r="M671" s="5"/>
      <c r="R671" s="5"/>
      <c r="S671" s="5"/>
      <c r="T671" s="1120"/>
      <c r="U671" s="5"/>
      <c r="V671" s="5"/>
      <c r="W671" s="5"/>
      <c r="X671" s="1120"/>
      <c r="Y671" s="1120"/>
      <c r="Z671" s="5"/>
      <c r="AA671" s="5"/>
      <c r="AB671" s="1135"/>
      <c r="AC671" s="5"/>
      <c r="AD671" s="5"/>
      <c r="AE671" s="5"/>
      <c r="AF671" s="1120"/>
      <c r="AG671" s="1148"/>
      <c r="AH671" s="1120"/>
      <c r="AI671" s="1120"/>
      <c r="AJ671" s="1120"/>
    </row>
    <row r="672" spans="2:36" ht="30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L672" s="277"/>
      <c r="M672" s="5"/>
      <c r="R672" s="5"/>
      <c r="S672" s="5"/>
      <c r="T672" s="1120"/>
      <c r="U672" s="5"/>
      <c r="V672" s="5"/>
      <c r="W672" s="5"/>
      <c r="X672" s="1120"/>
      <c r="Y672" s="1120"/>
      <c r="Z672" s="5"/>
      <c r="AA672" s="5"/>
      <c r="AB672" s="1135"/>
      <c r="AC672" s="5"/>
      <c r="AD672" s="5"/>
      <c r="AE672" s="5"/>
      <c r="AF672" s="1120"/>
      <c r="AG672" s="1148"/>
      <c r="AH672" s="1120"/>
      <c r="AI672" s="1120"/>
      <c r="AJ672" s="1120"/>
    </row>
    <row r="673" spans="2:36" ht="30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L673" s="277"/>
      <c r="M673" s="5"/>
      <c r="R673" s="5"/>
      <c r="S673" s="5"/>
      <c r="T673" s="1120"/>
      <c r="U673" s="5"/>
      <c r="V673" s="5"/>
      <c r="W673" s="5"/>
      <c r="X673" s="1120"/>
      <c r="Y673" s="1120"/>
      <c r="Z673" s="5"/>
      <c r="AA673" s="5"/>
      <c r="AB673" s="1135"/>
      <c r="AC673" s="5"/>
      <c r="AD673" s="5"/>
      <c r="AE673" s="5"/>
      <c r="AF673" s="1120"/>
      <c r="AG673" s="1148"/>
      <c r="AH673" s="1120"/>
      <c r="AI673" s="1120"/>
      <c r="AJ673" s="1120"/>
    </row>
    <row r="674" spans="2:36" ht="30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L674" s="277"/>
      <c r="M674" s="5"/>
      <c r="R674" s="5"/>
      <c r="S674" s="5"/>
      <c r="T674" s="1120"/>
      <c r="U674" s="5"/>
      <c r="V674" s="5"/>
      <c r="W674" s="5"/>
      <c r="X674" s="1120"/>
      <c r="Y674" s="1120"/>
      <c r="Z674" s="5"/>
      <c r="AA674" s="5"/>
      <c r="AB674" s="1135"/>
      <c r="AC674" s="5"/>
      <c r="AD674" s="5"/>
      <c r="AE674" s="5"/>
      <c r="AF674" s="1120"/>
      <c r="AG674" s="1148"/>
      <c r="AH674" s="1120"/>
      <c r="AI674" s="1120"/>
      <c r="AJ674" s="1120"/>
    </row>
    <row r="675" spans="2:36" ht="30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L675" s="277"/>
      <c r="M675" s="5"/>
      <c r="R675" s="5"/>
      <c r="S675" s="5"/>
      <c r="T675" s="1120"/>
      <c r="U675" s="5"/>
      <c r="V675" s="5"/>
      <c r="W675" s="5"/>
      <c r="X675" s="1120"/>
      <c r="Y675" s="1120"/>
      <c r="Z675" s="5"/>
      <c r="AA675" s="5"/>
      <c r="AB675" s="1135"/>
      <c r="AC675" s="5"/>
      <c r="AD675" s="5"/>
      <c r="AE675" s="5"/>
      <c r="AF675" s="1120"/>
      <c r="AG675" s="1148"/>
      <c r="AH675" s="1120"/>
      <c r="AI675" s="1120"/>
      <c r="AJ675" s="1120"/>
    </row>
    <row r="676" spans="2:36" ht="30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L676" s="277"/>
      <c r="M676" s="5"/>
      <c r="R676" s="5"/>
      <c r="S676" s="5"/>
      <c r="T676" s="1120"/>
      <c r="U676" s="5"/>
      <c r="V676" s="5"/>
      <c r="W676" s="5"/>
      <c r="X676" s="1120"/>
      <c r="Y676" s="1120"/>
      <c r="Z676" s="5"/>
      <c r="AA676" s="5"/>
      <c r="AB676" s="1135"/>
      <c r="AC676" s="5"/>
      <c r="AD676" s="5"/>
      <c r="AE676" s="5"/>
      <c r="AF676" s="1120"/>
      <c r="AG676" s="1148"/>
      <c r="AH676" s="1120"/>
      <c r="AI676" s="1120"/>
      <c r="AJ676" s="1120"/>
    </row>
    <row r="677" spans="2:36" ht="30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L677" s="277"/>
      <c r="M677" s="5"/>
      <c r="R677" s="5"/>
      <c r="S677" s="5"/>
      <c r="T677" s="1120"/>
      <c r="U677" s="5"/>
      <c r="V677" s="5"/>
      <c r="W677" s="5"/>
      <c r="X677" s="1120"/>
      <c r="Y677" s="1120"/>
      <c r="Z677" s="5"/>
      <c r="AA677" s="5"/>
      <c r="AB677" s="1135"/>
      <c r="AC677" s="5"/>
      <c r="AD677" s="5"/>
      <c r="AE677" s="5"/>
      <c r="AF677" s="1120"/>
      <c r="AG677" s="1148"/>
      <c r="AH677" s="1120"/>
      <c r="AI677" s="1120"/>
      <c r="AJ677" s="1120"/>
    </row>
    <row r="678" spans="2:36" ht="30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L678" s="277"/>
      <c r="M678" s="5"/>
      <c r="R678" s="5"/>
      <c r="S678" s="5"/>
      <c r="T678" s="1120"/>
      <c r="U678" s="5"/>
      <c r="V678" s="5"/>
      <c r="W678" s="5"/>
      <c r="X678" s="1120"/>
      <c r="Y678" s="1120"/>
      <c r="Z678" s="5"/>
      <c r="AA678" s="5"/>
      <c r="AB678" s="1135"/>
      <c r="AC678" s="5"/>
      <c r="AD678" s="5"/>
      <c r="AE678" s="5"/>
      <c r="AF678" s="1120"/>
      <c r="AG678" s="1148"/>
      <c r="AH678" s="1120"/>
      <c r="AI678" s="1120"/>
      <c r="AJ678" s="1120"/>
    </row>
    <row r="679" spans="2:36" ht="30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L679" s="277"/>
      <c r="M679" s="5"/>
      <c r="R679" s="5"/>
      <c r="S679" s="5"/>
      <c r="T679" s="1120"/>
      <c r="U679" s="5"/>
      <c r="V679" s="5"/>
      <c r="W679" s="5"/>
      <c r="X679" s="1120"/>
      <c r="Y679" s="1120"/>
      <c r="Z679" s="5"/>
      <c r="AA679" s="5"/>
      <c r="AB679" s="1135"/>
      <c r="AC679" s="5"/>
      <c r="AD679" s="5"/>
      <c r="AE679" s="5"/>
      <c r="AF679" s="1120"/>
      <c r="AG679" s="1148"/>
      <c r="AH679" s="1120"/>
      <c r="AI679" s="1120"/>
      <c r="AJ679" s="1120"/>
    </row>
    <row r="680" spans="2:36" ht="30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L680" s="277"/>
      <c r="M680" s="5"/>
      <c r="R680" s="5"/>
      <c r="S680" s="5"/>
      <c r="T680" s="1120"/>
      <c r="U680" s="5"/>
      <c r="V680" s="5"/>
      <c r="W680" s="5"/>
      <c r="X680" s="1120"/>
      <c r="Y680" s="1120"/>
      <c r="Z680" s="5"/>
      <c r="AA680" s="5"/>
      <c r="AB680" s="1135"/>
      <c r="AC680" s="5"/>
      <c r="AD680" s="5"/>
      <c r="AE680" s="5"/>
      <c r="AF680" s="1120"/>
      <c r="AG680" s="1148"/>
      <c r="AH680" s="1120"/>
      <c r="AI680" s="1120"/>
      <c r="AJ680" s="1120"/>
    </row>
    <row r="681" spans="2:36" ht="30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L681" s="277"/>
      <c r="M681" s="5"/>
      <c r="R681" s="5"/>
      <c r="S681" s="5"/>
      <c r="T681" s="1120"/>
      <c r="U681" s="5"/>
      <c r="V681" s="5"/>
      <c r="W681" s="5"/>
      <c r="X681" s="1120"/>
      <c r="Y681" s="1120"/>
      <c r="Z681" s="5"/>
      <c r="AA681" s="5"/>
      <c r="AB681" s="1135"/>
      <c r="AC681" s="5"/>
      <c r="AD681" s="5"/>
      <c r="AE681" s="5"/>
      <c r="AF681" s="1120"/>
      <c r="AG681" s="1148"/>
      <c r="AH681" s="1120"/>
      <c r="AI681" s="1120"/>
      <c r="AJ681" s="1120"/>
    </row>
    <row r="682" spans="2:36" ht="30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L682" s="277"/>
      <c r="M682" s="5"/>
      <c r="R682" s="5"/>
      <c r="S682" s="5"/>
      <c r="T682" s="1120"/>
      <c r="U682" s="5"/>
      <c r="V682" s="5"/>
      <c r="W682" s="5"/>
      <c r="X682" s="1120"/>
      <c r="Y682" s="1120"/>
      <c r="Z682" s="5"/>
      <c r="AA682" s="5"/>
      <c r="AB682" s="1135"/>
      <c r="AC682" s="5"/>
      <c r="AD682" s="5"/>
      <c r="AE682" s="5"/>
      <c r="AF682" s="1120"/>
      <c r="AG682" s="1148"/>
      <c r="AH682" s="1120"/>
      <c r="AI682" s="1120"/>
      <c r="AJ682" s="1120"/>
    </row>
    <row r="683" spans="2:36" ht="30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L683" s="277"/>
      <c r="M683" s="5"/>
      <c r="R683" s="5"/>
      <c r="S683" s="5"/>
      <c r="T683" s="1120"/>
      <c r="U683" s="5"/>
      <c r="V683" s="5"/>
      <c r="W683" s="5"/>
      <c r="X683" s="1120"/>
      <c r="Y683" s="1120"/>
      <c r="Z683" s="5"/>
      <c r="AA683" s="5"/>
      <c r="AB683" s="1135"/>
      <c r="AC683" s="5"/>
      <c r="AD683" s="5"/>
      <c r="AE683" s="5"/>
      <c r="AF683" s="1120"/>
      <c r="AG683" s="1148"/>
      <c r="AH683" s="1120"/>
      <c r="AI683" s="1120"/>
      <c r="AJ683" s="1120"/>
    </row>
    <row r="684" spans="2:36" ht="30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L684" s="277"/>
      <c r="M684" s="5"/>
      <c r="R684" s="5"/>
      <c r="S684" s="5"/>
      <c r="T684" s="1120"/>
      <c r="U684" s="5"/>
      <c r="V684" s="5"/>
      <c r="W684" s="5"/>
      <c r="X684" s="1120"/>
      <c r="Y684" s="1120"/>
      <c r="Z684" s="5"/>
      <c r="AA684" s="5"/>
      <c r="AB684" s="1135"/>
      <c r="AC684" s="5"/>
      <c r="AD684" s="5"/>
      <c r="AE684" s="5"/>
      <c r="AF684" s="1120"/>
      <c r="AG684" s="1148"/>
      <c r="AH684" s="1120"/>
      <c r="AI684" s="1120"/>
      <c r="AJ684" s="1120"/>
    </row>
    <row r="685" spans="2:36" ht="30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L685" s="277"/>
      <c r="M685" s="5"/>
      <c r="R685" s="5"/>
      <c r="S685" s="5"/>
      <c r="T685" s="1120"/>
      <c r="U685" s="5"/>
      <c r="V685" s="5"/>
      <c r="W685" s="5"/>
      <c r="X685" s="1120"/>
      <c r="Y685" s="1120"/>
      <c r="Z685" s="5"/>
      <c r="AA685" s="5"/>
      <c r="AB685" s="1135"/>
      <c r="AC685" s="5"/>
      <c r="AD685" s="5"/>
      <c r="AE685" s="5"/>
      <c r="AF685" s="1120"/>
      <c r="AG685" s="1148"/>
      <c r="AH685" s="1120"/>
      <c r="AI685" s="1120"/>
      <c r="AJ685" s="1120"/>
    </row>
    <row r="686" spans="2:36" ht="30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L686" s="277"/>
      <c r="M686" s="5"/>
      <c r="R686" s="5"/>
      <c r="S686" s="5"/>
      <c r="T686" s="1120"/>
      <c r="U686" s="5"/>
      <c r="V686" s="5"/>
      <c r="W686" s="5"/>
      <c r="X686" s="1120"/>
      <c r="Y686" s="1120"/>
      <c r="Z686" s="5"/>
      <c r="AA686" s="5"/>
      <c r="AB686" s="1135"/>
      <c r="AC686" s="5"/>
      <c r="AD686" s="5"/>
      <c r="AE686" s="5"/>
      <c r="AF686" s="1120"/>
      <c r="AG686" s="1148"/>
      <c r="AH686" s="1120"/>
      <c r="AI686" s="1120"/>
      <c r="AJ686" s="1120"/>
    </row>
    <row r="687" spans="2:36" ht="30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L687" s="277"/>
      <c r="M687" s="5"/>
      <c r="R687" s="5"/>
      <c r="S687" s="5"/>
      <c r="T687" s="1120"/>
      <c r="U687" s="5"/>
      <c r="V687" s="5"/>
      <c r="W687" s="5"/>
      <c r="X687" s="1120"/>
      <c r="Y687" s="1120"/>
      <c r="Z687" s="5"/>
      <c r="AA687" s="5"/>
      <c r="AB687" s="1135"/>
      <c r="AC687" s="5"/>
      <c r="AD687" s="5"/>
      <c r="AE687" s="5"/>
      <c r="AF687" s="1120"/>
      <c r="AG687" s="1148"/>
      <c r="AH687" s="1120"/>
      <c r="AI687" s="1120"/>
      <c r="AJ687" s="1120"/>
    </row>
    <row r="688" spans="2:36" ht="30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L688" s="277"/>
      <c r="M688" s="5"/>
      <c r="R688" s="5"/>
      <c r="S688" s="5"/>
      <c r="T688" s="1120"/>
      <c r="U688" s="5"/>
      <c r="V688" s="5"/>
      <c r="W688" s="5"/>
      <c r="X688" s="1120"/>
      <c r="Y688" s="1120"/>
      <c r="Z688" s="5"/>
      <c r="AA688" s="5"/>
      <c r="AB688" s="1135"/>
      <c r="AC688" s="5"/>
      <c r="AD688" s="5"/>
      <c r="AE688" s="5"/>
      <c r="AF688" s="1120"/>
      <c r="AG688" s="1148"/>
      <c r="AH688" s="1120"/>
      <c r="AI688" s="1120"/>
      <c r="AJ688" s="1120"/>
    </row>
    <row r="689" spans="2:36" ht="30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L689" s="277"/>
      <c r="M689" s="5"/>
      <c r="R689" s="5"/>
      <c r="S689" s="5"/>
      <c r="T689" s="1120"/>
      <c r="U689" s="5"/>
      <c r="V689" s="5"/>
      <c r="W689" s="5"/>
      <c r="X689" s="1120"/>
      <c r="Y689" s="1120"/>
      <c r="Z689" s="5"/>
      <c r="AA689" s="5"/>
      <c r="AB689" s="1135"/>
      <c r="AC689" s="5"/>
      <c r="AD689" s="5"/>
      <c r="AE689" s="5"/>
      <c r="AF689" s="1120"/>
      <c r="AG689" s="1148"/>
      <c r="AH689" s="1120"/>
      <c r="AI689" s="1120"/>
      <c r="AJ689" s="1120"/>
    </row>
    <row r="690" spans="2:36" ht="30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L690" s="277"/>
      <c r="M690" s="5"/>
      <c r="R690" s="5"/>
      <c r="S690" s="5"/>
      <c r="T690" s="1120"/>
      <c r="U690" s="5"/>
      <c r="V690" s="5"/>
      <c r="W690" s="5"/>
      <c r="X690" s="1120"/>
      <c r="Y690" s="1120"/>
      <c r="Z690" s="5"/>
      <c r="AA690" s="5"/>
      <c r="AB690" s="1135"/>
      <c r="AC690" s="5"/>
      <c r="AD690" s="5"/>
      <c r="AE690" s="5"/>
      <c r="AF690" s="1120"/>
      <c r="AG690" s="1148"/>
      <c r="AH690" s="1120"/>
      <c r="AI690" s="1120"/>
      <c r="AJ690" s="1120"/>
    </row>
    <row r="691" spans="2:36" ht="30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L691" s="277"/>
      <c r="M691" s="5"/>
      <c r="R691" s="5"/>
      <c r="S691" s="5"/>
      <c r="T691" s="1120"/>
      <c r="U691" s="5"/>
      <c r="V691" s="5"/>
      <c r="W691" s="5"/>
      <c r="X691" s="1120"/>
      <c r="Y691" s="1120"/>
      <c r="Z691" s="5"/>
      <c r="AA691" s="5"/>
      <c r="AB691" s="1135"/>
      <c r="AC691" s="5"/>
      <c r="AD691" s="5"/>
      <c r="AE691" s="5"/>
      <c r="AF691" s="1120"/>
      <c r="AG691" s="1148"/>
      <c r="AH691" s="1120"/>
      <c r="AI691" s="1120"/>
      <c r="AJ691" s="1120"/>
    </row>
    <row r="692" spans="2:36" ht="30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L692" s="277"/>
      <c r="M692" s="5"/>
      <c r="R692" s="5"/>
      <c r="S692" s="5"/>
      <c r="T692" s="1120"/>
      <c r="U692" s="5"/>
      <c r="V692" s="5"/>
      <c r="W692" s="5"/>
      <c r="X692" s="1120"/>
      <c r="Y692" s="1120"/>
      <c r="Z692" s="5"/>
      <c r="AA692" s="5"/>
      <c r="AB692" s="1135"/>
      <c r="AC692" s="5"/>
      <c r="AD692" s="5"/>
      <c r="AE692" s="5"/>
      <c r="AF692" s="1120"/>
      <c r="AG692" s="1148"/>
      <c r="AH692" s="1120"/>
      <c r="AI692" s="1120"/>
      <c r="AJ692" s="1120"/>
    </row>
    <row r="693" spans="2:36" ht="30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L693" s="277"/>
      <c r="M693" s="5"/>
      <c r="R693" s="5"/>
      <c r="S693" s="5"/>
      <c r="T693" s="1120"/>
      <c r="U693" s="5"/>
      <c r="V693" s="5"/>
      <c r="W693" s="5"/>
      <c r="X693" s="1120"/>
      <c r="Y693" s="1120"/>
      <c r="Z693" s="5"/>
      <c r="AA693" s="5"/>
      <c r="AB693" s="1135"/>
      <c r="AC693" s="5"/>
      <c r="AD693" s="5"/>
      <c r="AE693" s="5"/>
      <c r="AF693" s="1120"/>
      <c r="AG693" s="1148"/>
      <c r="AH693" s="1120"/>
      <c r="AI693" s="1120"/>
      <c r="AJ693" s="1120"/>
    </row>
    <row r="694" spans="2:36" ht="30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L694" s="277"/>
      <c r="M694" s="5"/>
      <c r="R694" s="5"/>
      <c r="S694" s="5"/>
      <c r="T694" s="1120"/>
      <c r="U694" s="5"/>
      <c r="V694" s="5"/>
      <c r="W694" s="5"/>
      <c r="X694" s="1120"/>
      <c r="Y694" s="1120"/>
      <c r="Z694" s="5"/>
      <c r="AA694" s="5"/>
      <c r="AB694" s="1135"/>
      <c r="AC694" s="5"/>
      <c r="AD694" s="5"/>
      <c r="AE694" s="5"/>
      <c r="AF694" s="1120"/>
      <c r="AG694" s="1148"/>
      <c r="AH694" s="1120"/>
      <c r="AI694" s="1120"/>
      <c r="AJ694" s="1120"/>
    </row>
    <row r="695" spans="2:36" ht="30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L695" s="277"/>
      <c r="M695" s="5"/>
      <c r="R695" s="5"/>
      <c r="S695" s="5"/>
      <c r="T695" s="1120"/>
      <c r="U695" s="5"/>
      <c r="V695" s="5"/>
      <c r="W695" s="5"/>
      <c r="X695" s="1120"/>
      <c r="Y695" s="1120"/>
      <c r="Z695" s="5"/>
      <c r="AA695" s="5"/>
      <c r="AB695" s="1135"/>
      <c r="AC695" s="5"/>
      <c r="AD695" s="5"/>
      <c r="AE695" s="5"/>
      <c r="AF695" s="1120"/>
      <c r="AG695" s="1148"/>
      <c r="AH695" s="1120"/>
      <c r="AI695" s="1120"/>
      <c r="AJ695" s="1120"/>
    </row>
    <row r="696" spans="2:36" ht="30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L696" s="277"/>
      <c r="M696" s="5"/>
      <c r="R696" s="5"/>
      <c r="S696" s="5"/>
      <c r="T696" s="1120"/>
      <c r="U696" s="5"/>
      <c r="V696" s="5"/>
      <c r="W696" s="5"/>
      <c r="X696" s="1120"/>
      <c r="Y696" s="1120"/>
      <c r="Z696" s="5"/>
      <c r="AA696" s="5"/>
      <c r="AB696" s="1135"/>
      <c r="AC696" s="5"/>
      <c r="AD696" s="5"/>
      <c r="AE696" s="5"/>
      <c r="AF696" s="1120"/>
      <c r="AG696" s="1148"/>
      <c r="AH696" s="1120"/>
      <c r="AI696" s="1120"/>
      <c r="AJ696" s="1120"/>
    </row>
    <row r="697" spans="2:36" ht="30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L697" s="277"/>
      <c r="M697" s="5"/>
      <c r="R697" s="5"/>
      <c r="S697" s="5"/>
      <c r="T697" s="1120"/>
      <c r="U697" s="5"/>
      <c r="V697" s="5"/>
      <c r="W697" s="5"/>
      <c r="X697" s="1120"/>
      <c r="Y697" s="1120"/>
      <c r="Z697" s="5"/>
      <c r="AA697" s="5"/>
      <c r="AB697" s="1135"/>
      <c r="AC697" s="5"/>
      <c r="AD697" s="5"/>
      <c r="AE697" s="5"/>
      <c r="AF697" s="1120"/>
      <c r="AG697" s="1148"/>
      <c r="AH697" s="1120"/>
      <c r="AI697" s="1120"/>
      <c r="AJ697" s="1120"/>
    </row>
    <row r="698" spans="2:36" ht="30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L698" s="277"/>
      <c r="M698" s="5"/>
      <c r="R698" s="5"/>
      <c r="S698" s="5"/>
      <c r="T698" s="1120"/>
      <c r="U698" s="5"/>
      <c r="V698" s="5"/>
      <c r="W698" s="5"/>
      <c r="X698" s="1120"/>
      <c r="Y698" s="1120"/>
      <c r="Z698" s="5"/>
      <c r="AA698" s="5"/>
      <c r="AB698" s="1135"/>
      <c r="AC698" s="5"/>
      <c r="AD698" s="5"/>
      <c r="AE698" s="5"/>
      <c r="AF698" s="1120"/>
      <c r="AG698" s="1148"/>
      <c r="AH698" s="1120"/>
      <c r="AI698" s="1120"/>
      <c r="AJ698" s="1120"/>
    </row>
    <row r="699" spans="2:36" ht="30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L699" s="277"/>
      <c r="M699" s="5"/>
      <c r="R699" s="5"/>
      <c r="S699" s="5"/>
      <c r="T699" s="1120"/>
      <c r="U699" s="5"/>
      <c r="V699" s="5"/>
      <c r="W699" s="5"/>
      <c r="X699" s="1120"/>
      <c r="Y699" s="1120"/>
      <c r="Z699" s="5"/>
      <c r="AA699" s="5"/>
      <c r="AB699" s="1135"/>
      <c r="AC699" s="5"/>
      <c r="AD699" s="5"/>
      <c r="AE699" s="5"/>
      <c r="AF699" s="1120"/>
      <c r="AG699" s="1148"/>
      <c r="AH699" s="1120"/>
      <c r="AI699" s="1120"/>
      <c r="AJ699" s="1120"/>
    </row>
    <row r="700" spans="2:36" ht="30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L700" s="277"/>
      <c r="M700" s="5"/>
      <c r="R700" s="5"/>
      <c r="S700" s="5"/>
      <c r="T700" s="1120"/>
      <c r="U700" s="5"/>
      <c r="V700" s="5"/>
      <c r="W700" s="5"/>
      <c r="X700" s="1120"/>
      <c r="Y700" s="1120"/>
      <c r="Z700" s="5"/>
      <c r="AA700" s="5"/>
      <c r="AB700" s="1135"/>
      <c r="AC700" s="5"/>
      <c r="AD700" s="5"/>
      <c r="AE700" s="5"/>
      <c r="AF700" s="1120"/>
      <c r="AG700" s="1148"/>
      <c r="AH700" s="1120"/>
      <c r="AI700" s="1120"/>
      <c r="AJ700" s="1120"/>
    </row>
    <row r="701" spans="2:36" ht="30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L701" s="277"/>
      <c r="M701" s="5"/>
      <c r="R701" s="5"/>
      <c r="S701" s="5"/>
      <c r="T701" s="1120"/>
      <c r="U701" s="5"/>
      <c r="V701" s="5"/>
      <c r="W701" s="5"/>
      <c r="X701" s="1120"/>
      <c r="Y701" s="1120"/>
      <c r="Z701" s="5"/>
      <c r="AA701" s="5"/>
      <c r="AB701" s="1135"/>
      <c r="AC701" s="5"/>
      <c r="AD701" s="5"/>
      <c r="AE701" s="5"/>
      <c r="AF701" s="1120"/>
      <c r="AG701" s="1148"/>
      <c r="AH701" s="1120"/>
      <c r="AI701" s="1120"/>
      <c r="AJ701" s="1120"/>
    </row>
    <row r="702" spans="2:36" ht="30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L702" s="277"/>
      <c r="M702" s="5"/>
      <c r="R702" s="5"/>
      <c r="S702" s="5"/>
      <c r="T702" s="1120"/>
      <c r="U702" s="5"/>
      <c r="V702" s="5"/>
      <c r="W702" s="5"/>
      <c r="X702" s="1120"/>
      <c r="Y702" s="1120"/>
      <c r="Z702" s="5"/>
      <c r="AA702" s="5"/>
      <c r="AB702" s="1135"/>
      <c r="AC702" s="5"/>
      <c r="AD702" s="5"/>
      <c r="AE702" s="5"/>
      <c r="AF702" s="1120"/>
      <c r="AG702" s="1148"/>
      <c r="AH702" s="1120"/>
      <c r="AI702" s="1120"/>
      <c r="AJ702" s="1120"/>
    </row>
    <row r="703" spans="2:36" ht="30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L703" s="277"/>
      <c r="M703" s="5"/>
      <c r="R703" s="5"/>
      <c r="S703" s="5"/>
      <c r="T703" s="1120"/>
      <c r="U703" s="5"/>
      <c r="V703" s="5"/>
      <c r="W703" s="5"/>
      <c r="X703" s="1120"/>
      <c r="Y703" s="1120"/>
      <c r="Z703" s="5"/>
      <c r="AA703" s="5"/>
      <c r="AB703" s="1135"/>
      <c r="AC703" s="5"/>
      <c r="AD703" s="5"/>
      <c r="AE703" s="5"/>
      <c r="AF703" s="1120"/>
      <c r="AG703" s="1148"/>
      <c r="AH703" s="1120"/>
      <c r="AI703" s="1120"/>
      <c r="AJ703" s="1120"/>
    </row>
    <row r="704" spans="2:36" ht="30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L704" s="277"/>
      <c r="M704" s="5"/>
      <c r="R704" s="5"/>
      <c r="S704" s="5"/>
      <c r="T704" s="1120"/>
      <c r="U704" s="5"/>
      <c r="V704" s="5"/>
      <c r="W704" s="5"/>
      <c r="X704" s="1120"/>
      <c r="Y704" s="1120"/>
      <c r="Z704" s="5"/>
      <c r="AA704" s="5"/>
      <c r="AB704" s="1135"/>
      <c r="AC704" s="5"/>
      <c r="AD704" s="5"/>
      <c r="AE704" s="5"/>
      <c r="AF704" s="1120"/>
      <c r="AG704" s="1148"/>
      <c r="AH704" s="1120"/>
      <c r="AI704" s="1120"/>
      <c r="AJ704" s="1120"/>
    </row>
    <row r="705" spans="2:36" ht="30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L705" s="277"/>
      <c r="M705" s="5"/>
      <c r="R705" s="5"/>
      <c r="S705" s="5"/>
      <c r="T705" s="1120"/>
      <c r="U705" s="5"/>
      <c r="V705" s="5"/>
      <c r="W705" s="5"/>
      <c r="X705" s="1120"/>
      <c r="Y705" s="1120"/>
      <c r="Z705" s="5"/>
      <c r="AA705" s="5"/>
      <c r="AB705" s="1135"/>
      <c r="AC705" s="5"/>
      <c r="AD705" s="5"/>
      <c r="AE705" s="5"/>
      <c r="AF705" s="1120"/>
      <c r="AG705" s="1148"/>
      <c r="AH705" s="1120"/>
      <c r="AI705" s="1120"/>
      <c r="AJ705" s="1120"/>
    </row>
    <row r="706" spans="2:36" ht="30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L706" s="277"/>
      <c r="M706" s="5"/>
      <c r="R706" s="5"/>
      <c r="S706" s="5"/>
      <c r="T706" s="1120"/>
      <c r="U706" s="5"/>
      <c r="V706" s="5"/>
      <c r="W706" s="5"/>
      <c r="X706" s="1120"/>
      <c r="Y706" s="1120"/>
      <c r="Z706" s="5"/>
      <c r="AA706" s="5"/>
      <c r="AB706" s="1135"/>
      <c r="AC706" s="5"/>
      <c r="AD706" s="5"/>
      <c r="AE706" s="5"/>
      <c r="AF706" s="1120"/>
      <c r="AG706" s="1148"/>
      <c r="AH706" s="1120"/>
      <c r="AI706" s="1120"/>
      <c r="AJ706" s="1120"/>
    </row>
    <row r="707" spans="2:36" ht="30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L707" s="277"/>
      <c r="M707" s="5"/>
      <c r="R707" s="5"/>
      <c r="S707" s="5"/>
      <c r="T707" s="1120"/>
      <c r="U707" s="5"/>
      <c r="V707" s="5"/>
      <c r="W707" s="5"/>
      <c r="X707" s="1120"/>
      <c r="Y707" s="1120"/>
      <c r="Z707" s="5"/>
      <c r="AA707" s="5"/>
      <c r="AB707" s="1135"/>
      <c r="AC707" s="5"/>
      <c r="AD707" s="5"/>
      <c r="AE707" s="5"/>
      <c r="AF707" s="1120"/>
      <c r="AG707" s="1148"/>
      <c r="AH707" s="1120"/>
      <c r="AI707" s="1120"/>
      <c r="AJ707" s="1120"/>
    </row>
    <row r="708" spans="2:36" ht="30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L708" s="277"/>
      <c r="M708" s="5"/>
      <c r="R708" s="5"/>
      <c r="S708" s="5"/>
      <c r="T708" s="1120"/>
      <c r="U708" s="5"/>
      <c r="V708" s="5"/>
      <c r="W708" s="5"/>
      <c r="X708" s="1120"/>
      <c r="Y708" s="1120"/>
      <c r="Z708" s="5"/>
      <c r="AA708" s="5"/>
      <c r="AB708" s="1135"/>
      <c r="AC708" s="5"/>
      <c r="AD708" s="5"/>
      <c r="AE708" s="5"/>
      <c r="AF708" s="1120"/>
      <c r="AG708" s="1148"/>
      <c r="AH708" s="1120"/>
      <c r="AI708" s="1120"/>
      <c r="AJ708" s="1120"/>
    </row>
    <row r="709" spans="2:36" ht="30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L709" s="277"/>
      <c r="M709" s="5"/>
      <c r="R709" s="5"/>
      <c r="S709" s="5"/>
      <c r="T709" s="1120"/>
      <c r="U709" s="5"/>
      <c r="V709" s="5"/>
      <c r="W709" s="5"/>
      <c r="X709" s="1120"/>
      <c r="Y709" s="1120"/>
      <c r="Z709" s="5"/>
      <c r="AA709" s="5"/>
      <c r="AB709" s="1135"/>
      <c r="AC709" s="5"/>
      <c r="AD709" s="5"/>
      <c r="AE709" s="5"/>
      <c r="AF709" s="1120"/>
      <c r="AG709" s="1148"/>
      <c r="AH709" s="1120"/>
      <c r="AI709" s="1120"/>
      <c r="AJ709" s="1120"/>
    </row>
    <row r="710" spans="2:36" ht="30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L710" s="277"/>
      <c r="M710" s="5"/>
      <c r="R710" s="5"/>
      <c r="S710" s="5"/>
      <c r="T710" s="1120"/>
      <c r="U710" s="5"/>
      <c r="V710" s="5"/>
      <c r="W710" s="5"/>
      <c r="X710" s="1120"/>
      <c r="Y710" s="1120"/>
      <c r="Z710" s="5"/>
      <c r="AA710" s="5"/>
      <c r="AB710" s="1135"/>
      <c r="AC710" s="5"/>
      <c r="AD710" s="5"/>
      <c r="AE710" s="5"/>
      <c r="AF710" s="1120"/>
      <c r="AG710" s="1148"/>
      <c r="AH710" s="1120"/>
      <c r="AI710" s="1120"/>
      <c r="AJ710" s="1120"/>
    </row>
    <row r="711" spans="2:36" ht="30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L711" s="277"/>
      <c r="M711" s="5"/>
      <c r="R711" s="5"/>
      <c r="S711" s="5"/>
      <c r="T711" s="1120"/>
      <c r="U711" s="5"/>
      <c r="V711" s="5"/>
      <c r="W711" s="5"/>
      <c r="X711" s="1120"/>
      <c r="Y711" s="1120"/>
      <c r="Z711" s="5"/>
      <c r="AA711" s="5"/>
      <c r="AB711" s="1135"/>
      <c r="AC711" s="5"/>
      <c r="AD711" s="5"/>
      <c r="AE711" s="5"/>
      <c r="AF711" s="1120"/>
      <c r="AG711" s="1148"/>
      <c r="AH711" s="1120"/>
      <c r="AI711" s="1120"/>
      <c r="AJ711" s="1120"/>
    </row>
    <row r="712" spans="2:36" ht="30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L712" s="277"/>
      <c r="M712" s="5"/>
      <c r="R712" s="5"/>
      <c r="S712" s="5"/>
      <c r="T712" s="1120"/>
      <c r="U712" s="5"/>
      <c r="V712" s="5"/>
      <c r="W712" s="5"/>
      <c r="X712" s="1120"/>
      <c r="Y712" s="1120"/>
      <c r="Z712" s="5"/>
      <c r="AA712" s="5"/>
      <c r="AB712" s="1135"/>
      <c r="AC712" s="5"/>
      <c r="AD712" s="5"/>
      <c r="AE712" s="5"/>
      <c r="AF712" s="1120"/>
      <c r="AG712" s="1148"/>
      <c r="AH712" s="1120"/>
      <c r="AI712" s="1120"/>
      <c r="AJ712" s="1120"/>
    </row>
    <row r="713" spans="2:36" ht="30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L713" s="277"/>
      <c r="M713" s="5"/>
      <c r="R713" s="5"/>
      <c r="S713" s="5"/>
      <c r="T713" s="1120"/>
      <c r="U713" s="5"/>
      <c r="V713" s="5"/>
      <c r="W713" s="5"/>
      <c r="X713" s="1120"/>
      <c r="Y713" s="1120"/>
      <c r="Z713" s="5"/>
      <c r="AA713" s="5"/>
      <c r="AB713" s="1135"/>
      <c r="AC713" s="5"/>
      <c r="AD713" s="5"/>
      <c r="AE713" s="5"/>
      <c r="AF713" s="1120"/>
      <c r="AG713" s="1148"/>
      <c r="AH713" s="1120"/>
      <c r="AI713" s="1120"/>
      <c r="AJ713" s="1120"/>
    </row>
    <row r="714" spans="2:36" ht="30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L714" s="277"/>
      <c r="M714" s="5"/>
      <c r="R714" s="5"/>
      <c r="S714" s="5"/>
      <c r="T714" s="1120"/>
      <c r="U714" s="5"/>
      <c r="V714" s="5"/>
      <c r="W714" s="5"/>
      <c r="X714" s="1120"/>
      <c r="Y714" s="1120"/>
      <c r="Z714" s="5"/>
      <c r="AA714" s="5"/>
      <c r="AB714" s="1135"/>
      <c r="AC714" s="5"/>
      <c r="AD714" s="5"/>
      <c r="AE714" s="5"/>
      <c r="AF714" s="1120"/>
      <c r="AG714" s="1148"/>
      <c r="AH714" s="1120"/>
      <c r="AI714" s="1120"/>
      <c r="AJ714" s="1120"/>
    </row>
    <row r="715" spans="2:36" ht="30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L715" s="277"/>
      <c r="M715" s="5"/>
      <c r="R715" s="5"/>
      <c r="S715" s="5"/>
      <c r="T715" s="1120"/>
      <c r="U715" s="5"/>
      <c r="V715" s="5"/>
      <c r="W715" s="5"/>
      <c r="X715" s="1120"/>
      <c r="Y715" s="1120"/>
      <c r="Z715" s="5"/>
      <c r="AA715" s="5"/>
      <c r="AB715" s="1135"/>
      <c r="AC715" s="5"/>
      <c r="AD715" s="5"/>
      <c r="AE715" s="5"/>
      <c r="AF715" s="1120"/>
      <c r="AG715" s="1148"/>
      <c r="AH715" s="1120"/>
      <c r="AI715" s="1120"/>
      <c r="AJ715" s="1120"/>
    </row>
    <row r="716" spans="2:36" ht="30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L716" s="277"/>
      <c r="M716" s="5"/>
      <c r="R716" s="5"/>
      <c r="S716" s="5"/>
      <c r="T716" s="1120"/>
      <c r="U716" s="5"/>
      <c r="V716" s="5"/>
      <c r="W716" s="5"/>
      <c r="X716" s="1120"/>
      <c r="Y716" s="1120"/>
      <c r="Z716" s="5"/>
      <c r="AA716" s="5"/>
      <c r="AB716" s="1135"/>
      <c r="AC716" s="5"/>
      <c r="AD716" s="5"/>
      <c r="AE716" s="5"/>
      <c r="AF716" s="1120"/>
      <c r="AG716" s="1148"/>
      <c r="AH716" s="1120"/>
      <c r="AI716" s="1120"/>
      <c r="AJ716" s="1120"/>
    </row>
    <row r="717" spans="2:36" ht="30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L717" s="277"/>
      <c r="M717" s="5"/>
      <c r="R717" s="5"/>
      <c r="S717" s="5"/>
      <c r="T717" s="1120"/>
      <c r="U717" s="5"/>
      <c r="V717" s="5"/>
      <c r="W717" s="5"/>
      <c r="X717" s="1120"/>
      <c r="Y717" s="1120"/>
      <c r="Z717" s="5"/>
      <c r="AA717" s="5"/>
      <c r="AB717" s="1135"/>
      <c r="AC717" s="5"/>
      <c r="AD717" s="5"/>
      <c r="AE717" s="5"/>
      <c r="AF717" s="1120"/>
      <c r="AG717" s="1148"/>
      <c r="AH717" s="1120"/>
      <c r="AI717" s="1120"/>
      <c r="AJ717" s="1120"/>
    </row>
    <row r="718" spans="2:36" ht="30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L718" s="277"/>
      <c r="M718" s="5"/>
      <c r="R718" s="5"/>
      <c r="S718" s="5"/>
      <c r="T718" s="1120"/>
      <c r="U718" s="5"/>
      <c r="V718" s="5"/>
      <c r="W718" s="5"/>
      <c r="X718" s="1120"/>
      <c r="Y718" s="1120"/>
      <c r="Z718" s="5"/>
      <c r="AA718" s="5"/>
      <c r="AB718" s="1135"/>
      <c r="AC718" s="5"/>
      <c r="AD718" s="5"/>
      <c r="AE718" s="5"/>
      <c r="AF718" s="1120"/>
      <c r="AG718" s="1148"/>
      <c r="AH718" s="1120"/>
      <c r="AI718" s="1120"/>
      <c r="AJ718" s="1120"/>
    </row>
    <row r="719" spans="2:36" ht="30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L719" s="277"/>
      <c r="M719" s="5"/>
      <c r="R719" s="5"/>
      <c r="S719" s="5"/>
      <c r="T719" s="1120"/>
      <c r="U719" s="5"/>
      <c r="V719" s="5"/>
      <c r="W719" s="5"/>
      <c r="X719" s="1120"/>
      <c r="Y719" s="1120"/>
      <c r="Z719" s="5"/>
      <c r="AA719" s="5"/>
      <c r="AB719" s="1135"/>
      <c r="AC719" s="5"/>
      <c r="AD719" s="5"/>
      <c r="AE719" s="5"/>
      <c r="AF719" s="1120"/>
      <c r="AG719" s="1148"/>
      <c r="AH719" s="1120"/>
      <c r="AI719" s="1120"/>
      <c r="AJ719" s="1120"/>
    </row>
    <row r="720" spans="2:36" ht="30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L720" s="277"/>
      <c r="M720" s="5"/>
      <c r="R720" s="5"/>
      <c r="S720" s="5"/>
      <c r="T720" s="1120"/>
      <c r="U720" s="5"/>
      <c r="V720" s="5"/>
      <c r="W720" s="5"/>
      <c r="X720" s="1120"/>
      <c r="Y720" s="1120"/>
      <c r="Z720" s="5"/>
      <c r="AA720" s="5"/>
      <c r="AB720" s="1135"/>
      <c r="AC720" s="5"/>
      <c r="AD720" s="5"/>
      <c r="AE720" s="5"/>
      <c r="AF720" s="1120"/>
      <c r="AG720" s="1148"/>
      <c r="AH720" s="1120"/>
      <c r="AI720" s="1120"/>
      <c r="AJ720" s="1120"/>
    </row>
    <row r="721" spans="2:36" ht="30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L721" s="277"/>
      <c r="M721" s="5"/>
      <c r="R721" s="5"/>
      <c r="S721" s="5"/>
      <c r="T721" s="1120"/>
      <c r="U721" s="5"/>
      <c r="V721" s="5"/>
      <c r="W721" s="5"/>
      <c r="X721" s="1120"/>
      <c r="Y721" s="1120"/>
      <c r="Z721" s="5"/>
      <c r="AA721" s="5"/>
      <c r="AB721" s="1135"/>
      <c r="AC721" s="5"/>
      <c r="AD721" s="5"/>
      <c r="AE721" s="5"/>
      <c r="AF721" s="1120"/>
      <c r="AG721" s="1148"/>
      <c r="AH721" s="1120"/>
      <c r="AI721" s="1120"/>
      <c r="AJ721" s="1120"/>
    </row>
    <row r="722" spans="2:36" ht="30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L722" s="277"/>
      <c r="M722" s="5"/>
      <c r="R722" s="5"/>
      <c r="S722" s="5"/>
      <c r="T722" s="1120"/>
      <c r="U722" s="5"/>
      <c r="V722" s="5"/>
      <c r="W722" s="5"/>
      <c r="X722" s="1120"/>
      <c r="Y722" s="1120"/>
      <c r="Z722" s="5"/>
      <c r="AA722" s="5"/>
      <c r="AB722" s="1135"/>
      <c r="AC722" s="5"/>
      <c r="AD722" s="5"/>
      <c r="AE722" s="5"/>
      <c r="AF722" s="1120"/>
      <c r="AG722" s="1148"/>
      <c r="AH722" s="1120"/>
      <c r="AI722" s="1120"/>
      <c r="AJ722" s="1120"/>
    </row>
    <row r="723" spans="2:36" ht="30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L723" s="277"/>
      <c r="M723" s="5"/>
      <c r="R723" s="5"/>
      <c r="S723" s="5"/>
      <c r="T723" s="1120"/>
      <c r="U723" s="5"/>
      <c r="V723" s="5"/>
      <c r="W723" s="5"/>
      <c r="X723" s="1120"/>
      <c r="Y723" s="1120"/>
      <c r="Z723" s="5"/>
      <c r="AA723" s="5"/>
      <c r="AB723" s="1135"/>
      <c r="AC723" s="5"/>
      <c r="AD723" s="5"/>
      <c r="AE723" s="5"/>
      <c r="AF723" s="1120"/>
      <c r="AG723" s="1148"/>
      <c r="AH723" s="1120"/>
      <c r="AI723" s="1120"/>
      <c r="AJ723" s="1120"/>
    </row>
    <row r="724" spans="2:36" ht="30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L724" s="277"/>
      <c r="M724" s="5"/>
      <c r="R724" s="5"/>
      <c r="S724" s="5"/>
      <c r="T724" s="1120"/>
      <c r="U724" s="5"/>
      <c r="V724" s="5"/>
      <c r="W724" s="5"/>
      <c r="X724" s="1120"/>
      <c r="Y724" s="1120"/>
      <c r="Z724" s="5"/>
      <c r="AA724" s="5"/>
      <c r="AB724" s="1135"/>
      <c r="AC724" s="5"/>
      <c r="AD724" s="5"/>
      <c r="AE724" s="5"/>
      <c r="AF724" s="1120"/>
      <c r="AG724" s="1148"/>
      <c r="AH724" s="1120"/>
      <c r="AI724" s="1120"/>
      <c r="AJ724" s="1120"/>
    </row>
    <row r="725" spans="2:36" ht="30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L725" s="277"/>
      <c r="M725" s="5"/>
      <c r="R725" s="5"/>
      <c r="S725" s="5"/>
      <c r="T725" s="1120"/>
      <c r="U725" s="5"/>
      <c r="V725" s="5"/>
      <c r="W725" s="5"/>
      <c r="X725" s="1120"/>
      <c r="Y725" s="1120"/>
      <c r="Z725" s="5"/>
      <c r="AA725" s="5"/>
      <c r="AB725" s="1135"/>
      <c r="AC725" s="5"/>
      <c r="AD725" s="5"/>
      <c r="AE725" s="5"/>
      <c r="AF725" s="1120"/>
      <c r="AG725" s="1148"/>
      <c r="AH725" s="1120"/>
      <c r="AI725" s="1120"/>
      <c r="AJ725" s="1120"/>
    </row>
    <row r="726" spans="2:36" ht="30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L726" s="277"/>
      <c r="M726" s="5"/>
      <c r="R726" s="5"/>
      <c r="S726" s="5"/>
      <c r="T726" s="1120"/>
      <c r="U726" s="5"/>
      <c r="V726" s="5"/>
      <c r="W726" s="5"/>
      <c r="X726" s="1120"/>
      <c r="Y726" s="1120"/>
      <c r="Z726" s="5"/>
      <c r="AA726" s="5"/>
      <c r="AB726" s="1135"/>
      <c r="AC726" s="5"/>
      <c r="AD726" s="5"/>
      <c r="AE726" s="5"/>
      <c r="AF726" s="1120"/>
      <c r="AG726" s="1148"/>
      <c r="AH726" s="1120"/>
      <c r="AI726" s="1120"/>
      <c r="AJ726" s="1120"/>
    </row>
    <row r="727" spans="2:36" ht="30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L727" s="277"/>
      <c r="M727" s="5"/>
      <c r="R727" s="5"/>
      <c r="S727" s="5"/>
      <c r="T727" s="1120"/>
      <c r="U727" s="5"/>
      <c r="V727" s="5"/>
      <c r="W727" s="5"/>
      <c r="X727" s="1120"/>
      <c r="Y727" s="1120"/>
      <c r="Z727" s="5"/>
      <c r="AA727" s="5"/>
      <c r="AB727" s="1135"/>
      <c r="AC727" s="5"/>
      <c r="AD727" s="5"/>
      <c r="AE727" s="5"/>
      <c r="AF727" s="1120"/>
      <c r="AG727" s="1148"/>
      <c r="AH727" s="1120"/>
      <c r="AI727" s="1120"/>
      <c r="AJ727" s="1120"/>
    </row>
    <row r="728" spans="2:36" ht="30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L728" s="277"/>
      <c r="M728" s="5"/>
      <c r="R728" s="5"/>
      <c r="S728" s="5"/>
      <c r="T728" s="1120"/>
      <c r="U728" s="5"/>
      <c r="V728" s="5"/>
      <c r="W728" s="5"/>
      <c r="X728" s="1120"/>
      <c r="Y728" s="1120"/>
      <c r="Z728" s="5"/>
      <c r="AA728" s="5"/>
      <c r="AB728" s="1135"/>
      <c r="AC728" s="5"/>
      <c r="AD728" s="5"/>
      <c r="AE728" s="5"/>
      <c r="AF728" s="1120"/>
      <c r="AG728" s="1148"/>
      <c r="AH728" s="1120"/>
      <c r="AI728" s="1120"/>
      <c r="AJ728" s="1120"/>
    </row>
    <row r="729" spans="2:36" ht="30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L729" s="277"/>
      <c r="M729" s="5"/>
      <c r="R729" s="5"/>
      <c r="S729" s="5"/>
      <c r="T729" s="1120"/>
      <c r="U729" s="5"/>
      <c r="V729" s="5"/>
      <c r="W729" s="5"/>
      <c r="X729" s="1120"/>
      <c r="Y729" s="1120"/>
      <c r="Z729" s="5"/>
      <c r="AA729" s="5"/>
      <c r="AB729" s="1135"/>
      <c r="AC729" s="5"/>
      <c r="AD729" s="5"/>
      <c r="AE729" s="5"/>
      <c r="AF729" s="1120"/>
      <c r="AG729" s="1148"/>
      <c r="AH729" s="1120"/>
      <c r="AI729" s="1120"/>
      <c r="AJ729" s="1120"/>
    </row>
    <row r="730" spans="2:36" ht="30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L730" s="277"/>
      <c r="M730" s="5"/>
      <c r="R730" s="5"/>
      <c r="S730" s="5"/>
      <c r="T730" s="1120"/>
      <c r="U730" s="5"/>
      <c r="V730" s="5"/>
      <c r="W730" s="5"/>
      <c r="X730" s="1120"/>
      <c r="Y730" s="1120"/>
      <c r="Z730" s="5"/>
      <c r="AA730" s="5"/>
      <c r="AB730" s="1135"/>
      <c r="AC730" s="5"/>
      <c r="AD730" s="5"/>
      <c r="AE730" s="5"/>
      <c r="AF730" s="1120"/>
      <c r="AG730" s="1148"/>
      <c r="AH730" s="1120"/>
      <c r="AI730" s="1120"/>
      <c r="AJ730" s="1120"/>
    </row>
    <row r="731" spans="2:36" ht="30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L731" s="277"/>
      <c r="M731" s="5"/>
      <c r="R731" s="5"/>
      <c r="S731" s="5"/>
      <c r="T731" s="1120"/>
      <c r="U731" s="5"/>
      <c r="V731" s="5"/>
      <c r="W731" s="5"/>
      <c r="X731" s="1120"/>
      <c r="Y731" s="1120"/>
      <c r="Z731" s="5"/>
      <c r="AA731" s="5"/>
      <c r="AB731" s="1135"/>
      <c r="AC731" s="5"/>
      <c r="AD731" s="5"/>
      <c r="AE731" s="5"/>
      <c r="AF731" s="1120"/>
      <c r="AG731" s="1148"/>
      <c r="AH731" s="1120"/>
      <c r="AI731" s="1120"/>
      <c r="AJ731" s="1120"/>
    </row>
    <row r="732" spans="2:36" ht="30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L732" s="277"/>
      <c r="M732" s="5"/>
      <c r="R732" s="5"/>
      <c r="S732" s="5"/>
      <c r="T732" s="1120"/>
      <c r="U732" s="5"/>
      <c r="V732" s="5"/>
      <c r="W732" s="5"/>
      <c r="X732" s="1120"/>
      <c r="Y732" s="1120"/>
      <c r="Z732" s="5"/>
      <c r="AA732" s="5"/>
      <c r="AB732" s="1135"/>
      <c r="AC732" s="5"/>
      <c r="AD732" s="5"/>
      <c r="AE732" s="5"/>
      <c r="AF732" s="1120"/>
      <c r="AG732" s="1148"/>
      <c r="AH732" s="1120"/>
      <c r="AI732" s="1120"/>
      <c r="AJ732" s="1120"/>
    </row>
    <row r="733" spans="2:36" ht="30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L733" s="277"/>
      <c r="M733" s="5"/>
      <c r="R733" s="5"/>
      <c r="S733" s="5"/>
      <c r="T733" s="1120"/>
      <c r="U733" s="5"/>
      <c r="V733" s="5"/>
      <c r="W733" s="5"/>
      <c r="X733" s="1120"/>
      <c r="Y733" s="1120"/>
      <c r="Z733" s="5"/>
      <c r="AA733" s="5"/>
      <c r="AB733" s="1135"/>
      <c r="AC733" s="5"/>
      <c r="AD733" s="5"/>
      <c r="AE733" s="5"/>
      <c r="AF733" s="1120"/>
      <c r="AG733" s="1148"/>
      <c r="AH733" s="1120"/>
      <c r="AI733" s="1120"/>
      <c r="AJ733" s="1120"/>
    </row>
    <row r="734" spans="2:36" ht="30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L734" s="277"/>
      <c r="M734" s="5"/>
      <c r="R734" s="5"/>
      <c r="S734" s="5"/>
      <c r="T734" s="1120"/>
      <c r="U734" s="5"/>
      <c r="V734" s="5"/>
      <c r="W734" s="5"/>
      <c r="X734" s="1120"/>
      <c r="Y734" s="1120"/>
      <c r="Z734" s="5"/>
      <c r="AA734" s="5"/>
      <c r="AB734" s="1135"/>
      <c r="AC734" s="5"/>
      <c r="AD734" s="5"/>
      <c r="AE734" s="5"/>
      <c r="AF734" s="1120"/>
      <c r="AG734" s="1148"/>
      <c r="AH734" s="1120"/>
      <c r="AI734" s="1120"/>
      <c r="AJ734" s="1120"/>
    </row>
    <row r="735" spans="2:36" ht="30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L735" s="277"/>
      <c r="M735" s="5"/>
      <c r="R735" s="5"/>
      <c r="S735" s="5"/>
      <c r="T735" s="1120"/>
      <c r="U735" s="5"/>
      <c r="V735" s="5"/>
      <c r="W735" s="5"/>
      <c r="X735" s="1120"/>
      <c r="Y735" s="1120"/>
      <c r="Z735" s="5"/>
      <c r="AA735" s="5"/>
      <c r="AB735" s="1135"/>
      <c r="AC735" s="5"/>
      <c r="AD735" s="5"/>
      <c r="AE735" s="5"/>
      <c r="AF735" s="1120"/>
      <c r="AG735" s="1148"/>
      <c r="AH735" s="1120"/>
      <c r="AI735" s="1120"/>
      <c r="AJ735" s="1120"/>
    </row>
    <row r="736" spans="2:36" ht="30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L736" s="277"/>
      <c r="M736" s="5"/>
      <c r="R736" s="5"/>
      <c r="S736" s="5"/>
      <c r="T736" s="1120"/>
      <c r="U736" s="5"/>
      <c r="V736" s="5"/>
      <c r="W736" s="5"/>
      <c r="X736" s="1120"/>
      <c r="Y736" s="1120"/>
      <c r="Z736" s="5"/>
      <c r="AA736" s="5"/>
      <c r="AB736" s="1135"/>
      <c r="AC736" s="5"/>
      <c r="AD736" s="5"/>
      <c r="AE736" s="5"/>
      <c r="AF736" s="1120"/>
      <c r="AG736" s="1148"/>
      <c r="AH736" s="1120"/>
      <c r="AI736" s="1120"/>
      <c r="AJ736" s="1120"/>
    </row>
    <row r="737" spans="2:36" ht="30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L737" s="277"/>
      <c r="M737" s="5"/>
      <c r="R737" s="5"/>
      <c r="S737" s="5"/>
      <c r="T737" s="1120"/>
      <c r="U737" s="5"/>
      <c r="V737" s="5"/>
      <c r="W737" s="5"/>
      <c r="X737" s="1120"/>
      <c r="Y737" s="1120"/>
      <c r="Z737" s="5"/>
      <c r="AA737" s="5"/>
      <c r="AB737" s="1135"/>
      <c r="AC737" s="5"/>
      <c r="AD737" s="5"/>
      <c r="AE737" s="5"/>
      <c r="AF737" s="1120"/>
      <c r="AG737" s="1148"/>
      <c r="AH737" s="1120"/>
      <c r="AI737" s="1120"/>
      <c r="AJ737" s="1120"/>
    </row>
    <row r="738" spans="2:36" ht="30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L738" s="277"/>
      <c r="M738" s="5"/>
      <c r="R738" s="5"/>
      <c r="S738" s="5"/>
      <c r="T738" s="1120"/>
      <c r="U738" s="5"/>
      <c r="V738" s="5"/>
      <c r="W738" s="5"/>
      <c r="X738" s="1120"/>
      <c r="Y738" s="1120"/>
      <c r="Z738" s="5"/>
      <c r="AA738" s="5"/>
      <c r="AB738" s="1135"/>
      <c r="AC738" s="5"/>
      <c r="AD738" s="5"/>
      <c r="AE738" s="5"/>
      <c r="AF738" s="1120"/>
      <c r="AG738" s="1148"/>
      <c r="AH738" s="1120"/>
      <c r="AI738" s="1120"/>
      <c r="AJ738" s="1120"/>
    </row>
    <row r="739" spans="2:36" ht="30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L739" s="277"/>
      <c r="M739" s="5"/>
      <c r="R739" s="5"/>
      <c r="S739" s="5"/>
      <c r="T739" s="1120"/>
      <c r="U739" s="5"/>
      <c r="V739" s="5"/>
      <c r="W739" s="5"/>
      <c r="X739" s="1120"/>
      <c r="Y739" s="1120"/>
      <c r="Z739" s="5"/>
      <c r="AA739" s="5"/>
      <c r="AB739" s="1135"/>
      <c r="AC739" s="5"/>
      <c r="AD739" s="5"/>
      <c r="AE739" s="5"/>
      <c r="AF739" s="1120"/>
      <c r="AG739" s="1148"/>
      <c r="AH739" s="1120"/>
      <c r="AI739" s="1120"/>
      <c r="AJ739" s="1120"/>
    </row>
    <row r="740" spans="2:36" ht="30" customHeight="1" x14ac:dyDescent="0.25">
      <c r="B740" s="5"/>
      <c r="C740" s="5"/>
      <c r="D740" s="5"/>
      <c r="E740" s="5"/>
      <c r="F740" s="5"/>
      <c r="G740" s="5"/>
      <c r="H740" s="5"/>
      <c r="I740" s="5"/>
      <c r="J740" s="5"/>
      <c r="L740" s="277"/>
      <c r="M740" s="5"/>
      <c r="R740" s="5"/>
      <c r="S740" s="5"/>
      <c r="T740" s="1120"/>
      <c r="U740" s="5"/>
      <c r="V740" s="5"/>
      <c r="W740" s="5"/>
      <c r="X740" s="1120"/>
      <c r="Y740" s="1120"/>
      <c r="Z740" s="5"/>
      <c r="AA740" s="5"/>
      <c r="AB740" s="1135"/>
      <c r="AC740" s="5"/>
      <c r="AD740" s="5"/>
      <c r="AE740" s="5"/>
      <c r="AF740" s="1120"/>
      <c r="AG740" s="1148"/>
      <c r="AH740" s="1120"/>
      <c r="AI740" s="1120"/>
      <c r="AJ740" s="1120"/>
    </row>
    <row r="741" spans="2:36" ht="30" customHeight="1" x14ac:dyDescent="0.25">
      <c r="B741" s="5"/>
      <c r="C741" s="5"/>
      <c r="D741" s="5"/>
      <c r="E741" s="5"/>
      <c r="F741" s="5"/>
      <c r="G741" s="5"/>
      <c r="H741" s="5"/>
      <c r="I741" s="5"/>
      <c r="J741" s="5"/>
      <c r="L741" s="277"/>
      <c r="M741" s="5"/>
      <c r="R741" s="5"/>
      <c r="S741" s="5"/>
      <c r="T741" s="1120"/>
      <c r="U741" s="5"/>
      <c r="V741" s="5"/>
      <c r="W741" s="5"/>
      <c r="X741" s="1120"/>
      <c r="Y741" s="1120"/>
      <c r="Z741" s="5"/>
      <c r="AA741" s="5"/>
      <c r="AB741" s="1135"/>
      <c r="AC741" s="5"/>
      <c r="AD741" s="5"/>
      <c r="AE741" s="5"/>
      <c r="AF741" s="1120"/>
      <c r="AG741" s="1148"/>
      <c r="AH741" s="1120"/>
      <c r="AI741" s="1120"/>
      <c r="AJ741" s="1120"/>
    </row>
    <row r="742" spans="2:36" ht="30" customHeight="1" x14ac:dyDescent="0.25">
      <c r="B742" s="5"/>
      <c r="C742" s="5"/>
      <c r="D742" s="5"/>
      <c r="E742" s="5"/>
      <c r="F742" s="5"/>
      <c r="G742" s="5"/>
      <c r="H742" s="5"/>
      <c r="I742" s="5"/>
      <c r="J742" s="5"/>
      <c r="L742" s="277"/>
      <c r="M742" s="5"/>
      <c r="R742" s="5"/>
      <c r="S742" s="5"/>
      <c r="T742" s="1120"/>
      <c r="U742" s="5"/>
      <c r="V742" s="5"/>
      <c r="W742" s="5"/>
      <c r="X742" s="1120"/>
      <c r="Y742" s="1120"/>
      <c r="Z742" s="5"/>
      <c r="AA742" s="5"/>
      <c r="AB742" s="1135"/>
      <c r="AC742" s="5"/>
      <c r="AD742" s="5"/>
      <c r="AE742" s="5"/>
      <c r="AF742" s="1120"/>
      <c r="AG742" s="1148"/>
      <c r="AH742" s="1120"/>
      <c r="AI742" s="1120"/>
      <c r="AJ742" s="1120"/>
    </row>
    <row r="743" spans="2:36" ht="30" customHeight="1" x14ac:dyDescent="0.25">
      <c r="B743" s="5"/>
      <c r="C743" s="5"/>
      <c r="D743" s="5"/>
      <c r="E743" s="5"/>
      <c r="F743" s="5"/>
      <c r="G743" s="5"/>
      <c r="H743" s="5"/>
      <c r="I743" s="5"/>
      <c r="J743" s="5"/>
      <c r="L743" s="277"/>
      <c r="M743" s="5"/>
      <c r="R743" s="5"/>
      <c r="S743" s="5"/>
      <c r="T743" s="1120"/>
      <c r="U743" s="5"/>
      <c r="V743" s="5"/>
      <c r="W743" s="5"/>
      <c r="X743" s="1120"/>
      <c r="Y743" s="1120"/>
      <c r="Z743" s="5"/>
      <c r="AA743" s="5"/>
      <c r="AB743" s="1135"/>
      <c r="AC743" s="5"/>
      <c r="AD743" s="5"/>
      <c r="AE743" s="5"/>
      <c r="AF743" s="1120"/>
      <c r="AG743" s="1148"/>
      <c r="AH743" s="1120"/>
      <c r="AI743" s="1120"/>
      <c r="AJ743" s="1120"/>
    </row>
    <row r="744" spans="2:36" ht="30" customHeight="1" x14ac:dyDescent="0.25">
      <c r="B744" s="5"/>
      <c r="C744" s="5"/>
      <c r="D744" s="5"/>
      <c r="E744" s="5"/>
      <c r="F744" s="5"/>
      <c r="G744" s="5"/>
      <c r="H744" s="5"/>
      <c r="I744" s="5"/>
      <c r="J744" s="5"/>
      <c r="L744" s="277"/>
      <c r="M744" s="5"/>
      <c r="R744" s="5"/>
      <c r="S744" s="5"/>
      <c r="T744" s="1120"/>
      <c r="U744" s="5"/>
      <c r="V744" s="5"/>
      <c r="W744" s="5"/>
      <c r="X744" s="1120"/>
      <c r="Y744" s="1120"/>
      <c r="Z744" s="5"/>
      <c r="AA744" s="5"/>
      <c r="AB744" s="1135"/>
      <c r="AC744" s="5"/>
      <c r="AD744" s="5"/>
      <c r="AE744" s="5"/>
      <c r="AF744" s="1120"/>
      <c r="AG744" s="1148"/>
      <c r="AH744" s="1120"/>
      <c r="AI744" s="1120"/>
      <c r="AJ744" s="1120"/>
    </row>
    <row r="745" spans="2:36" ht="30" customHeight="1" x14ac:dyDescent="0.25">
      <c r="B745" s="5"/>
      <c r="C745" s="5"/>
      <c r="D745" s="5"/>
      <c r="E745" s="5"/>
      <c r="F745" s="5"/>
      <c r="G745" s="5"/>
      <c r="H745" s="5"/>
      <c r="I745" s="5"/>
      <c r="J745" s="5"/>
      <c r="L745" s="277"/>
      <c r="M745" s="5"/>
      <c r="R745" s="5"/>
      <c r="S745" s="5"/>
      <c r="T745" s="1120"/>
      <c r="U745" s="5"/>
      <c r="V745" s="5"/>
      <c r="W745" s="5"/>
      <c r="X745" s="1120"/>
      <c r="Y745" s="1120"/>
      <c r="Z745" s="5"/>
      <c r="AA745" s="5"/>
      <c r="AB745" s="1135"/>
      <c r="AC745" s="5"/>
      <c r="AD745" s="5"/>
      <c r="AE745" s="5"/>
      <c r="AF745" s="1120"/>
      <c r="AG745" s="1148"/>
      <c r="AH745" s="1120"/>
      <c r="AI745" s="1120"/>
      <c r="AJ745" s="1120"/>
    </row>
    <row r="746" spans="2:36" ht="30" customHeight="1" x14ac:dyDescent="0.25">
      <c r="B746" s="5"/>
      <c r="C746" s="5"/>
      <c r="D746" s="5"/>
      <c r="E746" s="5"/>
      <c r="F746" s="5"/>
      <c r="G746" s="5"/>
      <c r="H746" s="5"/>
      <c r="I746" s="5"/>
      <c r="J746" s="5"/>
      <c r="L746" s="277"/>
      <c r="M746" s="5"/>
      <c r="R746" s="5"/>
      <c r="S746" s="5"/>
      <c r="T746" s="1120"/>
      <c r="U746" s="5"/>
      <c r="V746" s="5"/>
      <c r="W746" s="5"/>
      <c r="X746" s="1120"/>
      <c r="Y746" s="1120"/>
      <c r="Z746" s="5"/>
      <c r="AA746" s="5"/>
      <c r="AB746" s="1135"/>
      <c r="AC746" s="5"/>
      <c r="AD746" s="5"/>
      <c r="AE746" s="5"/>
      <c r="AF746" s="1120"/>
      <c r="AG746" s="1148"/>
      <c r="AH746" s="1120"/>
      <c r="AI746" s="1120"/>
      <c r="AJ746" s="1120"/>
    </row>
    <row r="747" spans="2:36" ht="30" customHeight="1" x14ac:dyDescent="0.25">
      <c r="B747" s="5"/>
      <c r="C747" s="5"/>
      <c r="D747" s="5"/>
      <c r="E747" s="5"/>
      <c r="F747" s="5"/>
      <c r="G747" s="5"/>
      <c r="H747" s="5"/>
      <c r="I747" s="5"/>
      <c r="J747" s="5"/>
      <c r="L747" s="277"/>
      <c r="M747" s="5"/>
      <c r="R747" s="5"/>
      <c r="S747" s="5"/>
      <c r="T747" s="1120"/>
      <c r="U747" s="5"/>
      <c r="V747" s="5"/>
      <c r="W747" s="5"/>
      <c r="X747" s="1120"/>
      <c r="Y747" s="1120"/>
      <c r="Z747" s="5"/>
      <c r="AA747" s="5"/>
      <c r="AB747" s="1135"/>
      <c r="AC747" s="5"/>
      <c r="AD747" s="5"/>
      <c r="AE747" s="5"/>
      <c r="AF747" s="1120"/>
      <c r="AG747" s="1148"/>
      <c r="AH747" s="1120"/>
      <c r="AI747" s="1120"/>
      <c r="AJ747" s="1120"/>
    </row>
    <row r="748" spans="2:36" ht="30" customHeight="1" x14ac:dyDescent="0.25">
      <c r="B748" s="5"/>
      <c r="C748" s="5"/>
      <c r="D748" s="5"/>
      <c r="E748" s="5"/>
      <c r="F748" s="5"/>
      <c r="G748" s="5"/>
      <c r="H748" s="5"/>
      <c r="I748" s="5"/>
      <c r="J748" s="5"/>
      <c r="L748" s="277"/>
      <c r="M748" s="5"/>
      <c r="R748" s="5"/>
      <c r="S748" s="5"/>
      <c r="T748" s="1120"/>
      <c r="U748" s="5"/>
      <c r="V748" s="5"/>
      <c r="W748" s="5"/>
      <c r="X748" s="1120"/>
      <c r="Y748" s="1120"/>
      <c r="Z748" s="5"/>
      <c r="AA748" s="5"/>
      <c r="AB748" s="1135"/>
      <c r="AC748" s="5"/>
      <c r="AD748" s="5"/>
      <c r="AE748" s="5"/>
      <c r="AF748" s="1120"/>
      <c r="AG748" s="1148"/>
      <c r="AH748" s="1120"/>
      <c r="AI748" s="1120"/>
      <c r="AJ748" s="1120"/>
    </row>
    <row r="749" spans="2:36" ht="30" customHeight="1" x14ac:dyDescent="0.25">
      <c r="B749" s="5"/>
      <c r="C749" s="5"/>
      <c r="D749" s="5"/>
      <c r="E749" s="5"/>
      <c r="F749" s="5"/>
      <c r="G749" s="5"/>
      <c r="H749" s="5"/>
      <c r="I749" s="5"/>
      <c r="J749" s="5"/>
      <c r="L749" s="277"/>
      <c r="M749" s="5"/>
      <c r="R749" s="5"/>
      <c r="S749" s="5"/>
      <c r="T749" s="1120"/>
      <c r="U749" s="5"/>
      <c r="V749" s="5"/>
      <c r="W749" s="5"/>
      <c r="X749" s="1120"/>
      <c r="Y749" s="1120"/>
      <c r="Z749" s="5"/>
      <c r="AA749" s="5"/>
      <c r="AB749" s="1135"/>
      <c r="AC749" s="5"/>
      <c r="AD749" s="5"/>
      <c r="AE749" s="5"/>
      <c r="AF749" s="1120"/>
      <c r="AG749" s="1148"/>
      <c r="AH749" s="1120"/>
      <c r="AI749" s="1120"/>
      <c r="AJ749" s="1120"/>
    </row>
    <row r="750" spans="2:36" ht="30" customHeight="1" x14ac:dyDescent="0.25">
      <c r="B750" s="5"/>
      <c r="C750" s="5"/>
      <c r="D750" s="5"/>
      <c r="E750" s="5"/>
      <c r="F750" s="5"/>
      <c r="G750" s="5"/>
      <c r="H750" s="5"/>
      <c r="I750" s="5"/>
      <c r="J750" s="5"/>
      <c r="L750" s="277"/>
      <c r="M750" s="5"/>
      <c r="R750" s="5"/>
      <c r="S750" s="5"/>
      <c r="T750" s="1120"/>
      <c r="U750" s="5"/>
      <c r="V750" s="5"/>
      <c r="W750" s="5"/>
      <c r="X750" s="1120"/>
      <c r="Y750" s="1120"/>
      <c r="Z750" s="5"/>
      <c r="AA750" s="5"/>
      <c r="AB750" s="1135"/>
      <c r="AC750" s="5"/>
      <c r="AD750" s="5"/>
      <c r="AE750" s="5"/>
      <c r="AF750" s="1120"/>
      <c r="AG750" s="1148"/>
      <c r="AH750" s="1120"/>
      <c r="AI750" s="1120"/>
      <c r="AJ750" s="1120"/>
    </row>
    <row r="751" spans="2:36" ht="30" customHeight="1" x14ac:dyDescent="0.25">
      <c r="B751" s="5"/>
      <c r="C751" s="5"/>
      <c r="D751" s="5"/>
      <c r="E751" s="5"/>
      <c r="F751" s="5"/>
      <c r="G751" s="5"/>
      <c r="H751" s="5"/>
      <c r="I751" s="5"/>
      <c r="J751" s="5"/>
      <c r="L751" s="277"/>
      <c r="M751" s="5"/>
      <c r="R751" s="5"/>
      <c r="S751" s="5"/>
      <c r="T751" s="1120"/>
      <c r="U751" s="5"/>
      <c r="V751" s="5"/>
      <c r="W751" s="5"/>
      <c r="X751" s="1120"/>
      <c r="Y751" s="1120"/>
      <c r="Z751" s="5"/>
      <c r="AA751" s="5"/>
      <c r="AB751" s="1135"/>
      <c r="AC751" s="5"/>
      <c r="AD751" s="5"/>
      <c r="AE751" s="5"/>
      <c r="AF751" s="1120"/>
      <c r="AG751" s="1148"/>
      <c r="AH751" s="1120"/>
      <c r="AI751" s="1120"/>
      <c r="AJ751" s="1120"/>
    </row>
    <row r="752" spans="2:36" ht="30" customHeight="1" x14ac:dyDescent="0.25">
      <c r="B752" s="5"/>
      <c r="C752" s="5"/>
      <c r="D752" s="5"/>
      <c r="E752" s="5"/>
      <c r="F752" s="5"/>
      <c r="G752" s="5"/>
      <c r="H752" s="5"/>
      <c r="I752" s="5"/>
      <c r="J752" s="5"/>
      <c r="L752" s="277"/>
      <c r="M752" s="5"/>
      <c r="R752" s="5"/>
      <c r="S752" s="5"/>
      <c r="T752" s="1120"/>
      <c r="U752" s="5"/>
      <c r="V752" s="5"/>
      <c r="W752" s="5"/>
      <c r="X752" s="1120"/>
      <c r="Y752" s="1120"/>
      <c r="Z752" s="5"/>
      <c r="AA752" s="5"/>
      <c r="AB752" s="1135"/>
      <c r="AC752" s="5"/>
      <c r="AD752" s="5"/>
      <c r="AE752" s="5"/>
      <c r="AF752" s="1120"/>
      <c r="AG752" s="1148"/>
      <c r="AH752" s="1120"/>
      <c r="AI752" s="1120"/>
      <c r="AJ752" s="1120"/>
    </row>
    <row r="753" spans="2:36" ht="30" customHeight="1" x14ac:dyDescent="0.25">
      <c r="B753" s="5"/>
      <c r="C753" s="5"/>
      <c r="D753" s="5"/>
      <c r="E753" s="5"/>
      <c r="F753" s="5"/>
      <c r="G753" s="5"/>
      <c r="H753" s="5"/>
      <c r="I753" s="5"/>
      <c r="J753" s="5"/>
      <c r="L753" s="277"/>
      <c r="M753" s="5"/>
      <c r="R753" s="5"/>
      <c r="S753" s="5"/>
      <c r="T753" s="1120"/>
      <c r="U753" s="5"/>
      <c r="V753" s="5"/>
      <c r="W753" s="5"/>
      <c r="X753" s="1120"/>
      <c r="Y753" s="1120"/>
      <c r="Z753" s="5"/>
      <c r="AA753" s="5"/>
      <c r="AB753" s="1135"/>
      <c r="AC753" s="5"/>
      <c r="AD753" s="5"/>
      <c r="AE753" s="5"/>
      <c r="AF753" s="1120"/>
      <c r="AG753" s="1148"/>
      <c r="AH753" s="1120"/>
      <c r="AI753" s="1120"/>
      <c r="AJ753" s="1120"/>
    </row>
    <row r="754" spans="2:36" ht="30" customHeight="1" x14ac:dyDescent="0.25">
      <c r="B754" s="5"/>
      <c r="C754" s="5"/>
      <c r="D754" s="5"/>
      <c r="E754" s="5"/>
      <c r="F754" s="5"/>
      <c r="G754" s="5"/>
      <c r="H754" s="5"/>
      <c r="I754" s="5"/>
      <c r="J754" s="5"/>
      <c r="L754" s="277"/>
      <c r="M754" s="5"/>
      <c r="R754" s="5"/>
      <c r="S754" s="5"/>
      <c r="T754" s="1120"/>
      <c r="U754" s="5"/>
      <c r="V754" s="5"/>
      <c r="W754" s="5"/>
      <c r="X754" s="1120"/>
      <c r="Y754" s="1120"/>
      <c r="Z754" s="5"/>
      <c r="AA754" s="5"/>
      <c r="AB754" s="1135"/>
      <c r="AC754" s="5"/>
      <c r="AD754" s="5"/>
      <c r="AE754" s="5"/>
      <c r="AF754" s="1120"/>
      <c r="AG754" s="1148"/>
      <c r="AH754" s="1120"/>
      <c r="AI754" s="1120"/>
      <c r="AJ754" s="1120"/>
    </row>
    <row r="755" spans="2:36" ht="30" customHeight="1" x14ac:dyDescent="0.25">
      <c r="B755" s="5"/>
      <c r="C755" s="5"/>
      <c r="D755" s="5"/>
      <c r="E755" s="5"/>
      <c r="F755" s="5"/>
      <c r="G755" s="5"/>
      <c r="H755" s="5"/>
      <c r="I755" s="5"/>
      <c r="J755" s="5"/>
      <c r="L755" s="277"/>
      <c r="M755" s="5"/>
      <c r="R755" s="5"/>
      <c r="S755" s="5"/>
      <c r="T755" s="1120"/>
      <c r="U755" s="5"/>
      <c r="V755" s="5"/>
      <c r="W755" s="5"/>
      <c r="X755" s="1120"/>
      <c r="Y755" s="1120"/>
      <c r="Z755" s="5"/>
      <c r="AA755" s="5"/>
      <c r="AB755" s="1135"/>
      <c r="AC755" s="5"/>
      <c r="AD755" s="5"/>
      <c r="AE755" s="5"/>
      <c r="AF755" s="1120"/>
      <c r="AG755" s="1148"/>
      <c r="AH755" s="1120"/>
      <c r="AI755" s="1120"/>
      <c r="AJ755" s="1120"/>
    </row>
    <row r="756" spans="2:36" ht="30" customHeight="1" x14ac:dyDescent="0.25">
      <c r="B756" s="5"/>
      <c r="C756" s="5"/>
      <c r="D756" s="5"/>
      <c r="E756" s="5"/>
      <c r="F756" s="5"/>
      <c r="G756" s="5"/>
      <c r="H756" s="5"/>
      <c r="I756" s="5"/>
      <c r="J756" s="5"/>
      <c r="L756" s="277"/>
      <c r="M756" s="5"/>
      <c r="R756" s="5"/>
      <c r="S756" s="5"/>
      <c r="T756" s="1120"/>
      <c r="U756" s="5"/>
      <c r="V756" s="5"/>
      <c r="W756" s="5"/>
      <c r="X756" s="1120"/>
      <c r="Y756" s="1120"/>
      <c r="Z756" s="5"/>
      <c r="AA756" s="5"/>
      <c r="AB756" s="1135"/>
      <c r="AC756" s="5"/>
      <c r="AD756" s="5"/>
      <c r="AE756" s="5"/>
      <c r="AF756" s="1120"/>
      <c r="AG756" s="1148"/>
      <c r="AH756" s="1120"/>
      <c r="AI756" s="1120"/>
      <c r="AJ756" s="1120"/>
    </row>
    <row r="757" spans="2:36" ht="30" customHeight="1" x14ac:dyDescent="0.25">
      <c r="B757" s="5"/>
      <c r="C757" s="5"/>
      <c r="D757" s="5"/>
      <c r="E757" s="5"/>
      <c r="F757" s="5"/>
      <c r="G757" s="5"/>
      <c r="H757" s="5"/>
      <c r="I757" s="5"/>
      <c r="J757" s="5"/>
      <c r="L757" s="277"/>
      <c r="M757" s="5"/>
      <c r="R757" s="5"/>
      <c r="S757" s="5"/>
      <c r="T757" s="1120"/>
      <c r="U757" s="5"/>
      <c r="V757" s="5"/>
      <c r="W757" s="5"/>
      <c r="X757" s="1120"/>
      <c r="Y757" s="1120"/>
      <c r="Z757" s="5"/>
      <c r="AA757" s="5"/>
      <c r="AB757" s="1135"/>
      <c r="AC757" s="5"/>
      <c r="AD757" s="5"/>
      <c r="AE757" s="5"/>
      <c r="AF757" s="1120"/>
      <c r="AG757" s="1148"/>
      <c r="AH757" s="1120"/>
      <c r="AI757" s="1120"/>
      <c r="AJ757" s="1120"/>
    </row>
    <row r="758" spans="2:36" ht="30" customHeight="1" x14ac:dyDescent="0.25">
      <c r="B758" s="5"/>
      <c r="C758" s="5"/>
      <c r="D758" s="5"/>
      <c r="E758" s="5"/>
      <c r="F758" s="5"/>
      <c r="G758" s="5"/>
      <c r="H758" s="5"/>
      <c r="I758" s="5"/>
      <c r="J758" s="5"/>
      <c r="L758" s="277"/>
      <c r="M758" s="5"/>
      <c r="R758" s="5"/>
      <c r="S758" s="5"/>
      <c r="T758" s="1120"/>
      <c r="U758" s="5"/>
      <c r="V758" s="5"/>
      <c r="W758" s="5"/>
      <c r="X758" s="1120"/>
      <c r="Y758" s="1120"/>
      <c r="Z758" s="5"/>
      <c r="AA758" s="5"/>
      <c r="AB758" s="1135"/>
      <c r="AC758" s="5"/>
      <c r="AD758" s="5"/>
      <c r="AE758" s="5"/>
      <c r="AF758" s="1120"/>
      <c r="AG758" s="1148"/>
      <c r="AH758" s="1120"/>
      <c r="AI758" s="1120"/>
      <c r="AJ758" s="1120"/>
    </row>
    <row r="759" spans="2:36" ht="30" customHeight="1" x14ac:dyDescent="0.25">
      <c r="B759" s="5"/>
      <c r="C759" s="5"/>
      <c r="D759" s="5"/>
      <c r="E759" s="5"/>
      <c r="F759" s="5"/>
      <c r="G759" s="5"/>
      <c r="H759" s="5"/>
      <c r="I759" s="5"/>
      <c r="J759" s="5"/>
      <c r="L759" s="277"/>
      <c r="M759" s="5"/>
      <c r="R759" s="5"/>
      <c r="S759" s="5"/>
      <c r="T759" s="1120"/>
      <c r="U759" s="5"/>
      <c r="V759" s="5"/>
      <c r="W759" s="5"/>
      <c r="X759" s="1120"/>
      <c r="Y759" s="1120"/>
      <c r="Z759" s="5"/>
      <c r="AA759" s="5"/>
      <c r="AB759" s="1135"/>
      <c r="AC759" s="5"/>
      <c r="AD759" s="5"/>
      <c r="AE759" s="5"/>
      <c r="AF759" s="1120"/>
      <c r="AG759" s="1148"/>
      <c r="AH759" s="1120"/>
      <c r="AI759" s="1120"/>
      <c r="AJ759" s="1120"/>
    </row>
    <row r="760" spans="2:36" ht="30" customHeight="1" x14ac:dyDescent="0.25">
      <c r="B760" s="5"/>
      <c r="C760" s="5"/>
      <c r="D760" s="5"/>
      <c r="E760" s="5"/>
      <c r="F760" s="5"/>
      <c r="G760" s="5"/>
      <c r="H760" s="5"/>
      <c r="I760" s="5"/>
      <c r="J760" s="5"/>
      <c r="L760" s="277"/>
      <c r="M760" s="5"/>
      <c r="R760" s="5"/>
      <c r="S760" s="5"/>
      <c r="T760" s="1120"/>
      <c r="U760" s="5"/>
      <c r="V760" s="5"/>
      <c r="W760" s="5"/>
      <c r="X760" s="1120"/>
      <c r="Y760" s="1120"/>
      <c r="Z760" s="5"/>
      <c r="AA760" s="5"/>
      <c r="AB760" s="1135"/>
      <c r="AC760" s="5"/>
      <c r="AD760" s="5"/>
      <c r="AE760" s="5"/>
      <c r="AF760" s="1120"/>
      <c r="AG760" s="1148"/>
      <c r="AH760" s="1120"/>
      <c r="AI760" s="1120"/>
      <c r="AJ760" s="1120"/>
    </row>
    <row r="761" spans="2:36" ht="30" customHeight="1" x14ac:dyDescent="0.25">
      <c r="B761" s="5"/>
      <c r="C761" s="5"/>
      <c r="D761" s="5"/>
      <c r="E761" s="5"/>
      <c r="F761" s="5"/>
      <c r="G761" s="5"/>
      <c r="H761" s="5"/>
      <c r="I761" s="5"/>
      <c r="J761" s="5"/>
      <c r="L761" s="277"/>
      <c r="M761" s="5"/>
      <c r="R761" s="5"/>
      <c r="S761" s="5"/>
      <c r="T761" s="1120"/>
      <c r="U761" s="5"/>
      <c r="V761" s="5"/>
      <c r="W761" s="5"/>
      <c r="X761" s="1120"/>
      <c r="Y761" s="1120"/>
      <c r="Z761" s="5"/>
      <c r="AA761" s="5"/>
      <c r="AB761" s="1135"/>
      <c r="AC761" s="5"/>
      <c r="AD761" s="5"/>
      <c r="AE761" s="5"/>
      <c r="AF761" s="1120"/>
      <c r="AG761" s="1148"/>
      <c r="AH761" s="1120"/>
      <c r="AI761" s="1120"/>
      <c r="AJ761" s="1120"/>
    </row>
    <row r="762" spans="2:36" ht="30" customHeight="1" x14ac:dyDescent="0.25">
      <c r="B762" s="5"/>
      <c r="C762" s="5"/>
      <c r="D762" s="5"/>
      <c r="E762" s="5"/>
      <c r="F762" s="5"/>
      <c r="G762" s="5"/>
      <c r="H762" s="5"/>
      <c r="I762" s="5"/>
      <c r="J762" s="5"/>
      <c r="L762" s="277"/>
      <c r="M762" s="5"/>
      <c r="R762" s="5"/>
      <c r="S762" s="5"/>
      <c r="T762" s="1120"/>
      <c r="U762" s="5"/>
      <c r="V762" s="5"/>
      <c r="W762" s="5"/>
      <c r="X762" s="1120"/>
      <c r="Y762" s="1120"/>
      <c r="Z762" s="5"/>
      <c r="AA762" s="5"/>
      <c r="AB762" s="1135"/>
      <c r="AC762" s="5"/>
      <c r="AD762" s="5"/>
      <c r="AE762" s="5"/>
      <c r="AF762" s="1120"/>
      <c r="AG762" s="1148"/>
      <c r="AH762" s="1120"/>
      <c r="AI762" s="1120"/>
      <c r="AJ762" s="1120"/>
    </row>
    <row r="763" spans="2:36" ht="30" customHeight="1" x14ac:dyDescent="0.25">
      <c r="B763" s="5"/>
      <c r="C763" s="5"/>
      <c r="D763" s="5"/>
      <c r="E763" s="5"/>
      <c r="F763" s="5"/>
      <c r="G763" s="5"/>
      <c r="H763" s="5"/>
      <c r="I763" s="5"/>
      <c r="J763" s="5"/>
      <c r="L763" s="277"/>
      <c r="M763" s="5"/>
      <c r="R763" s="5"/>
      <c r="S763" s="5"/>
      <c r="T763" s="1120"/>
      <c r="U763" s="5"/>
      <c r="V763" s="5"/>
      <c r="W763" s="5"/>
      <c r="X763" s="1120"/>
      <c r="Y763" s="1120"/>
      <c r="Z763" s="5"/>
      <c r="AA763" s="5"/>
      <c r="AB763" s="1135"/>
      <c r="AC763" s="5"/>
      <c r="AD763" s="5"/>
      <c r="AE763" s="5"/>
      <c r="AF763" s="1120"/>
      <c r="AG763" s="1148"/>
      <c r="AH763" s="1120"/>
      <c r="AI763" s="1120"/>
      <c r="AJ763" s="1120"/>
    </row>
    <row r="764" spans="2:36" ht="30" customHeight="1" x14ac:dyDescent="0.25">
      <c r="B764" s="5"/>
      <c r="C764" s="5"/>
      <c r="D764" s="5"/>
      <c r="E764" s="5"/>
      <c r="F764" s="5"/>
      <c r="G764" s="5"/>
      <c r="H764" s="5"/>
      <c r="I764" s="5"/>
      <c r="J764" s="5"/>
      <c r="L764" s="277"/>
      <c r="M764" s="5"/>
      <c r="R764" s="5"/>
      <c r="S764" s="5"/>
      <c r="T764" s="1120"/>
      <c r="U764" s="5"/>
      <c r="V764" s="5"/>
      <c r="W764" s="5"/>
      <c r="X764" s="1120"/>
      <c r="Y764" s="1120"/>
      <c r="Z764" s="5"/>
      <c r="AA764" s="5"/>
      <c r="AB764" s="1135"/>
      <c r="AC764" s="5"/>
      <c r="AD764" s="5"/>
      <c r="AE764" s="5"/>
      <c r="AF764" s="1120"/>
      <c r="AG764" s="1148"/>
      <c r="AH764" s="1120"/>
      <c r="AI764" s="1120"/>
      <c r="AJ764" s="1120"/>
    </row>
    <row r="765" spans="2:36" ht="30" customHeight="1" x14ac:dyDescent="0.25">
      <c r="B765" s="5"/>
      <c r="C765" s="5"/>
      <c r="D765" s="5"/>
      <c r="E765" s="5"/>
      <c r="F765" s="5"/>
      <c r="G765" s="5"/>
      <c r="H765" s="5"/>
      <c r="I765" s="5"/>
      <c r="J765" s="5"/>
      <c r="L765" s="277"/>
      <c r="M765" s="5"/>
      <c r="R765" s="5"/>
      <c r="S765" s="5"/>
      <c r="T765" s="1120"/>
      <c r="U765" s="5"/>
      <c r="V765" s="5"/>
      <c r="W765" s="5"/>
      <c r="X765" s="1120"/>
      <c r="Y765" s="1120"/>
      <c r="Z765" s="5"/>
      <c r="AA765" s="5"/>
      <c r="AB765" s="1135"/>
      <c r="AC765" s="5"/>
      <c r="AD765" s="5"/>
      <c r="AE765" s="5"/>
      <c r="AF765" s="1120"/>
      <c r="AG765" s="1148"/>
      <c r="AH765" s="1120"/>
      <c r="AI765" s="1120"/>
      <c r="AJ765" s="1120"/>
    </row>
    <row r="766" spans="2:36" ht="30" customHeight="1" x14ac:dyDescent="0.25">
      <c r="B766" s="5"/>
      <c r="C766" s="5"/>
      <c r="D766" s="5"/>
      <c r="E766" s="5"/>
      <c r="F766" s="5"/>
      <c r="G766" s="5"/>
      <c r="H766" s="5"/>
      <c r="I766" s="5"/>
      <c r="J766" s="5"/>
      <c r="L766" s="277"/>
      <c r="M766" s="5"/>
      <c r="R766" s="5"/>
      <c r="S766" s="5"/>
      <c r="T766" s="1120"/>
      <c r="U766" s="5"/>
      <c r="V766" s="5"/>
      <c r="W766" s="5"/>
      <c r="X766" s="1120"/>
      <c r="Y766" s="1120"/>
      <c r="Z766" s="5"/>
      <c r="AA766" s="5"/>
      <c r="AB766" s="1135"/>
      <c r="AC766" s="5"/>
      <c r="AD766" s="5"/>
      <c r="AE766" s="5"/>
      <c r="AF766" s="1120"/>
      <c r="AG766" s="1148"/>
      <c r="AH766" s="1120"/>
      <c r="AI766" s="1120"/>
      <c r="AJ766" s="1120"/>
    </row>
    <row r="767" spans="2:36" ht="30" customHeight="1" x14ac:dyDescent="0.25">
      <c r="B767" s="5"/>
      <c r="C767" s="5"/>
      <c r="D767" s="5"/>
      <c r="E767" s="5"/>
      <c r="F767" s="5"/>
      <c r="G767" s="5"/>
      <c r="H767" s="5"/>
      <c r="I767" s="5"/>
      <c r="J767" s="5"/>
      <c r="L767" s="277"/>
      <c r="M767" s="5"/>
      <c r="R767" s="5"/>
      <c r="S767" s="5"/>
      <c r="T767" s="1120"/>
      <c r="U767" s="5"/>
      <c r="V767" s="5"/>
      <c r="W767" s="5"/>
      <c r="X767" s="1120"/>
      <c r="Y767" s="1120"/>
      <c r="Z767" s="5"/>
      <c r="AA767" s="5"/>
      <c r="AB767" s="1135"/>
      <c r="AC767" s="5"/>
      <c r="AD767" s="5"/>
      <c r="AE767" s="5"/>
      <c r="AF767" s="1120"/>
      <c r="AG767" s="1148"/>
      <c r="AH767" s="1120"/>
      <c r="AI767" s="1120"/>
      <c r="AJ767" s="1120"/>
    </row>
    <row r="768" spans="2:36" ht="30" customHeight="1" x14ac:dyDescent="0.25">
      <c r="B768" s="5"/>
      <c r="C768" s="5"/>
      <c r="D768" s="5"/>
      <c r="E768" s="5"/>
      <c r="F768" s="5"/>
      <c r="G768" s="5"/>
      <c r="H768" s="5"/>
      <c r="I768" s="5"/>
      <c r="J768" s="5"/>
      <c r="L768" s="277"/>
      <c r="M768" s="5"/>
      <c r="R768" s="5"/>
      <c r="S768" s="5"/>
      <c r="T768" s="1120"/>
      <c r="U768" s="5"/>
      <c r="V768" s="5"/>
      <c r="W768" s="5"/>
      <c r="X768" s="1120"/>
      <c r="Y768" s="1120"/>
      <c r="Z768" s="5"/>
      <c r="AA768" s="5"/>
      <c r="AB768" s="1135"/>
      <c r="AC768" s="5"/>
      <c r="AD768" s="5"/>
      <c r="AE768" s="5"/>
      <c r="AF768" s="1120"/>
      <c r="AG768" s="1148"/>
      <c r="AH768" s="1120"/>
      <c r="AI768" s="1120"/>
      <c r="AJ768" s="1120"/>
    </row>
    <row r="769" spans="2:36" ht="30" customHeight="1" x14ac:dyDescent="0.25">
      <c r="B769" s="5"/>
      <c r="C769" s="5"/>
      <c r="D769" s="5"/>
      <c r="E769" s="5"/>
      <c r="F769" s="5"/>
      <c r="G769" s="5"/>
      <c r="H769" s="5"/>
      <c r="I769" s="5"/>
      <c r="J769" s="5"/>
      <c r="L769" s="277"/>
      <c r="M769" s="5"/>
      <c r="R769" s="5"/>
      <c r="S769" s="5"/>
      <c r="T769" s="1120"/>
      <c r="U769" s="5"/>
      <c r="V769" s="5"/>
      <c r="W769" s="5"/>
      <c r="X769" s="1120"/>
      <c r="Y769" s="1120"/>
      <c r="Z769" s="5"/>
      <c r="AA769" s="5"/>
      <c r="AB769" s="1135"/>
      <c r="AC769" s="5"/>
      <c r="AD769" s="5"/>
      <c r="AE769" s="5"/>
      <c r="AF769" s="1120"/>
      <c r="AG769" s="1148"/>
      <c r="AH769" s="1120"/>
      <c r="AI769" s="1120"/>
      <c r="AJ769" s="1120"/>
    </row>
    <row r="770" spans="2:36" ht="30" customHeight="1" x14ac:dyDescent="0.25">
      <c r="B770" s="5"/>
      <c r="C770" s="5"/>
      <c r="D770" s="5"/>
      <c r="E770" s="5"/>
      <c r="F770" s="5"/>
      <c r="G770" s="5"/>
      <c r="H770" s="5"/>
      <c r="I770" s="5"/>
      <c r="J770" s="5"/>
      <c r="L770" s="277"/>
      <c r="M770" s="5"/>
      <c r="R770" s="5"/>
      <c r="S770" s="5"/>
      <c r="T770" s="1120"/>
      <c r="U770" s="5"/>
      <c r="V770" s="5"/>
      <c r="W770" s="5"/>
      <c r="X770" s="1120"/>
      <c r="Y770" s="1120"/>
      <c r="Z770" s="5"/>
      <c r="AA770" s="5"/>
      <c r="AB770" s="1135"/>
      <c r="AC770" s="5"/>
      <c r="AD770" s="5"/>
      <c r="AE770" s="5"/>
      <c r="AF770" s="1120"/>
      <c r="AG770" s="1148"/>
      <c r="AH770" s="1120"/>
      <c r="AI770" s="1120"/>
      <c r="AJ770" s="1120"/>
    </row>
    <row r="771" spans="2:36" ht="30" customHeight="1" x14ac:dyDescent="0.25">
      <c r="B771" s="5"/>
      <c r="C771" s="5"/>
      <c r="D771" s="5"/>
      <c r="E771" s="5"/>
      <c r="F771" s="5"/>
      <c r="G771" s="5"/>
      <c r="H771" s="5"/>
      <c r="I771" s="5"/>
      <c r="J771" s="5"/>
      <c r="L771" s="277"/>
      <c r="M771" s="5"/>
      <c r="R771" s="5"/>
      <c r="S771" s="5"/>
      <c r="T771" s="1120"/>
      <c r="U771" s="5"/>
      <c r="V771" s="5"/>
      <c r="W771" s="5"/>
      <c r="X771" s="1120"/>
      <c r="Y771" s="1120"/>
      <c r="Z771" s="5"/>
      <c r="AA771" s="5"/>
      <c r="AB771" s="1135"/>
      <c r="AC771" s="5"/>
      <c r="AD771" s="5"/>
      <c r="AE771" s="5"/>
      <c r="AF771" s="1120"/>
      <c r="AG771" s="1148"/>
      <c r="AH771" s="1120"/>
      <c r="AI771" s="1120"/>
      <c r="AJ771" s="1120"/>
    </row>
    <row r="772" spans="2:36" ht="30" customHeight="1" x14ac:dyDescent="0.25">
      <c r="B772" s="5"/>
      <c r="C772" s="5"/>
      <c r="D772" s="5"/>
      <c r="E772" s="5"/>
      <c r="F772" s="5"/>
      <c r="G772" s="5"/>
      <c r="H772" s="5"/>
      <c r="I772" s="5"/>
      <c r="J772" s="5"/>
      <c r="L772" s="277"/>
      <c r="M772" s="5"/>
      <c r="R772" s="5"/>
      <c r="S772" s="5"/>
      <c r="T772" s="1120"/>
      <c r="U772" s="5"/>
      <c r="V772" s="5"/>
      <c r="W772" s="5"/>
      <c r="X772" s="1120"/>
      <c r="Y772" s="1120"/>
      <c r="Z772" s="5"/>
      <c r="AA772" s="5"/>
      <c r="AB772" s="1135"/>
      <c r="AC772" s="5"/>
      <c r="AD772" s="5"/>
      <c r="AE772" s="5"/>
      <c r="AF772" s="1120"/>
      <c r="AG772" s="1148"/>
      <c r="AH772" s="1120"/>
      <c r="AI772" s="1120"/>
      <c r="AJ772" s="1120"/>
    </row>
    <row r="773" spans="2:36" ht="30" customHeight="1" x14ac:dyDescent="0.25">
      <c r="B773" s="5"/>
      <c r="C773" s="5"/>
      <c r="D773" s="5"/>
      <c r="E773" s="5"/>
      <c r="F773" s="5"/>
      <c r="G773" s="5"/>
      <c r="H773" s="5"/>
      <c r="I773" s="5"/>
      <c r="J773" s="5"/>
      <c r="L773" s="277"/>
      <c r="M773" s="5"/>
      <c r="R773" s="5"/>
      <c r="S773" s="5"/>
      <c r="T773" s="1120"/>
      <c r="U773" s="5"/>
      <c r="V773" s="5"/>
      <c r="W773" s="5"/>
      <c r="X773" s="1120"/>
      <c r="Y773" s="1120"/>
      <c r="Z773" s="5"/>
      <c r="AA773" s="5"/>
      <c r="AB773" s="1135"/>
      <c r="AC773" s="5"/>
      <c r="AD773" s="5"/>
      <c r="AE773" s="5"/>
      <c r="AF773" s="1120"/>
      <c r="AG773" s="1148"/>
      <c r="AH773" s="1120"/>
      <c r="AI773" s="1120"/>
      <c r="AJ773" s="1120"/>
    </row>
    <row r="774" spans="2:36" ht="30" customHeight="1" x14ac:dyDescent="0.25">
      <c r="B774" s="5"/>
      <c r="C774" s="5"/>
      <c r="D774" s="5"/>
      <c r="E774" s="5"/>
      <c r="F774" s="5"/>
      <c r="G774" s="5"/>
      <c r="H774" s="5"/>
      <c r="I774" s="5"/>
      <c r="J774" s="5"/>
      <c r="L774" s="277"/>
      <c r="M774" s="5"/>
      <c r="R774" s="5"/>
      <c r="S774" s="5"/>
      <c r="T774" s="1120"/>
      <c r="U774" s="5"/>
      <c r="V774" s="5"/>
      <c r="W774" s="5"/>
      <c r="X774" s="1120"/>
      <c r="Y774" s="1120"/>
      <c r="Z774" s="5"/>
      <c r="AA774" s="5"/>
      <c r="AB774" s="1135"/>
      <c r="AC774" s="5"/>
      <c r="AD774" s="5"/>
      <c r="AE774" s="5"/>
      <c r="AF774" s="1120"/>
      <c r="AG774" s="1148"/>
      <c r="AH774" s="1120"/>
      <c r="AI774" s="1120"/>
      <c r="AJ774" s="1120"/>
    </row>
    <row r="775" spans="2:36" ht="30" customHeight="1" x14ac:dyDescent="0.25">
      <c r="B775" s="5"/>
      <c r="C775" s="5"/>
      <c r="D775" s="5"/>
      <c r="E775" s="5"/>
      <c r="F775" s="5"/>
      <c r="G775" s="5"/>
      <c r="H775" s="5"/>
      <c r="I775" s="5"/>
      <c r="J775" s="5"/>
      <c r="L775" s="277"/>
      <c r="M775" s="5"/>
      <c r="R775" s="5"/>
      <c r="S775" s="5"/>
      <c r="T775" s="1120"/>
      <c r="U775" s="5"/>
      <c r="V775" s="5"/>
      <c r="W775" s="5"/>
      <c r="X775" s="1120"/>
      <c r="Y775" s="1120"/>
      <c r="Z775" s="5"/>
      <c r="AA775" s="5"/>
      <c r="AB775" s="1135"/>
      <c r="AC775" s="5"/>
      <c r="AD775" s="5"/>
      <c r="AE775" s="5"/>
      <c r="AF775" s="1120"/>
      <c r="AG775" s="1148"/>
      <c r="AH775" s="1120"/>
      <c r="AI775" s="1120"/>
      <c r="AJ775" s="1120"/>
    </row>
    <row r="776" spans="2:36" ht="30" customHeight="1" x14ac:dyDescent="0.25">
      <c r="B776" s="5"/>
      <c r="C776" s="5"/>
      <c r="D776" s="5"/>
      <c r="E776" s="5"/>
      <c r="F776" s="5"/>
      <c r="G776" s="5"/>
      <c r="H776" s="5"/>
      <c r="I776" s="5"/>
      <c r="J776" s="5"/>
      <c r="L776" s="277"/>
      <c r="M776" s="5"/>
      <c r="R776" s="5"/>
      <c r="S776" s="5"/>
      <c r="T776" s="1120"/>
      <c r="U776" s="5"/>
      <c r="V776" s="5"/>
      <c r="W776" s="5"/>
      <c r="X776" s="1120"/>
      <c r="Y776" s="1120"/>
      <c r="Z776" s="5"/>
      <c r="AA776" s="5"/>
      <c r="AB776" s="1135"/>
      <c r="AC776" s="5"/>
      <c r="AD776" s="5"/>
      <c r="AE776" s="5"/>
      <c r="AF776" s="1120"/>
      <c r="AG776" s="1148"/>
      <c r="AH776" s="1120"/>
      <c r="AI776" s="1120"/>
      <c r="AJ776" s="1120"/>
    </row>
    <row r="777" spans="2:36" ht="30" customHeight="1" x14ac:dyDescent="0.25">
      <c r="B777" s="5"/>
      <c r="C777" s="5"/>
      <c r="D777" s="5"/>
      <c r="E777" s="5"/>
      <c r="F777" s="5"/>
      <c r="G777" s="5"/>
      <c r="H777" s="5"/>
      <c r="I777" s="5"/>
      <c r="J777" s="5"/>
      <c r="L777" s="277"/>
      <c r="M777" s="5"/>
      <c r="R777" s="5"/>
      <c r="S777" s="5"/>
      <c r="T777" s="1120"/>
      <c r="U777" s="5"/>
      <c r="V777" s="5"/>
      <c r="W777" s="5"/>
      <c r="X777" s="1120"/>
      <c r="Y777" s="1120"/>
      <c r="Z777" s="5"/>
      <c r="AA777" s="5"/>
      <c r="AB777" s="1135"/>
      <c r="AC777" s="5"/>
      <c r="AD777" s="5"/>
      <c r="AE777" s="5"/>
      <c r="AF777" s="1120"/>
      <c r="AG777" s="1148"/>
      <c r="AH777" s="1120"/>
      <c r="AI777" s="1120"/>
      <c r="AJ777" s="1120"/>
    </row>
    <row r="778" spans="2:36" ht="30" customHeight="1" x14ac:dyDescent="0.25">
      <c r="B778" s="5"/>
      <c r="C778" s="5"/>
      <c r="D778" s="5"/>
      <c r="E778" s="5"/>
      <c r="F778" s="5"/>
      <c r="G778" s="5"/>
      <c r="H778" s="5"/>
      <c r="I778" s="5"/>
      <c r="J778" s="5"/>
      <c r="L778" s="277"/>
      <c r="M778" s="5"/>
      <c r="R778" s="5"/>
      <c r="S778" s="5"/>
      <c r="T778" s="1120"/>
      <c r="U778" s="5"/>
      <c r="V778" s="5"/>
      <c r="W778" s="5"/>
      <c r="X778" s="1120"/>
      <c r="Y778" s="1120"/>
      <c r="Z778" s="5"/>
      <c r="AA778" s="5"/>
      <c r="AB778" s="1135"/>
      <c r="AC778" s="5"/>
      <c r="AD778" s="5"/>
      <c r="AE778" s="5"/>
      <c r="AF778" s="1120"/>
      <c r="AG778" s="1148"/>
      <c r="AH778" s="1120"/>
      <c r="AI778" s="1120"/>
      <c r="AJ778" s="1120"/>
    </row>
    <row r="779" spans="2:36" ht="30" customHeight="1" x14ac:dyDescent="0.25">
      <c r="B779" s="5"/>
      <c r="C779" s="5"/>
      <c r="D779" s="5"/>
      <c r="E779" s="5"/>
      <c r="F779" s="5"/>
      <c r="G779" s="5"/>
      <c r="H779" s="5"/>
      <c r="I779" s="5"/>
      <c r="J779" s="5"/>
      <c r="L779" s="277"/>
      <c r="M779" s="5"/>
      <c r="R779" s="5"/>
      <c r="S779" s="5"/>
      <c r="T779" s="1120"/>
      <c r="U779" s="5"/>
      <c r="V779" s="5"/>
      <c r="W779" s="5"/>
      <c r="X779" s="1120"/>
      <c r="Y779" s="1120"/>
      <c r="Z779" s="5"/>
      <c r="AA779" s="5"/>
      <c r="AB779" s="1135"/>
      <c r="AC779" s="5"/>
      <c r="AD779" s="5"/>
      <c r="AE779" s="5"/>
      <c r="AF779" s="1120"/>
      <c r="AG779" s="1148"/>
      <c r="AH779" s="1120"/>
      <c r="AI779" s="1120"/>
      <c r="AJ779" s="1120"/>
    </row>
    <row r="780" spans="2:36" ht="30" customHeight="1" x14ac:dyDescent="0.25">
      <c r="B780" s="5"/>
      <c r="C780" s="5"/>
      <c r="D780" s="5"/>
      <c r="E780" s="5"/>
      <c r="F780" s="5"/>
      <c r="G780" s="5"/>
      <c r="H780" s="5"/>
      <c r="I780" s="5"/>
      <c r="J780" s="5"/>
      <c r="L780" s="277"/>
      <c r="M780" s="5"/>
      <c r="R780" s="5"/>
      <c r="S780" s="5"/>
      <c r="T780" s="1120"/>
      <c r="U780" s="5"/>
      <c r="V780" s="5"/>
      <c r="W780" s="5"/>
      <c r="X780" s="1120"/>
      <c r="Y780" s="1120"/>
      <c r="Z780" s="5"/>
      <c r="AA780" s="5"/>
      <c r="AB780" s="1135"/>
      <c r="AC780" s="5"/>
      <c r="AD780" s="5"/>
      <c r="AE780" s="5"/>
      <c r="AF780" s="1120"/>
      <c r="AG780" s="1148"/>
      <c r="AH780" s="1120"/>
      <c r="AI780" s="1120"/>
      <c r="AJ780" s="1120"/>
    </row>
    <row r="781" spans="2:36" ht="30" customHeight="1" x14ac:dyDescent="0.25">
      <c r="B781" s="5"/>
      <c r="C781" s="5"/>
      <c r="D781" s="5"/>
      <c r="E781" s="5"/>
      <c r="F781" s="5"/>
      <c r="G781" s="5"/>
      <c r="H781" s="5"/>
      <c r="I781" s="5"/>
      <c r="J781" s="5"/>
      <c r="L781" s="277"/>
      <c r="M781" s="5"/>
      <c r="R781" s="5"/>
      <c r="S781" s="5"/>
      <c r="T781" s="1120"/>
      <c r="U781" s="5"/>
      <c r="V781" s="5"/>
      <c r="W781" s="5"/>
      <c r="X781" s="1120"/>
      <c r="Y781" s="1120"/>
      <c r="Z781" s="5"/>
      <c r="AA781" s="5"/>
      <c r="AB781" s="1135"/>
      <c r="AC781" s="5"/>
      <c r="AD781" s="5"/>
      <c r="AE781" s="5"/>
      <c r="AF781" s="1120"/>
      <c r="AG781" s="1148"/>
      <c r="AH781" s="1120"/>
      <c r="AI781" s="1120"/>
      <c r="AJ781" s="1120"/>
    </row>
    <row r="782" spans="2:36" ht="30" customHeight="1" x14ac:dyDescent="0.25">
      <c r="B782" s="5"/>
      <c r="C782" s="5"/>
      <c r="D782" s="5"/>
      <c r="E782" s="5"/>
      <c r="F782" s="5"/>
      <c r="G782" s="5"/>
      <c r="H782" s="5"/>
      <c r="I782" s="5"/>
      <c r="J782" s="5"/>
      <c r="L782" s="277"/>
      <c r="M782" s="5"/>
      <c r="R782" s="5"/>
      <c r="S782" s="5"/>
      <c r="T782" s="1120"/>
      <c r="U782" s="5"/>
      <c r="V782" s="5"/>
      <c r="W782" s="5"/>
      <c r="X782" s="1120"/>
      <c r="Y782" s="1120"/>
      <c r="Z782" s="5"/>
      <c r="AA782" s="5"/>
      <c r="AB782" s="1135"/>
      <c r="AC782" s="5"/>
      <c r="AD782" s="5"/>
      <c r="AE782" s="5"/>
      <c r="AF782" s="1120"/>
      <c r="AG782" s="1148"/>
      <c r="AH782" s="1120"/>
      <c r="AI782" s="1120"/>
      <c r="AJ782" s="1120"/>
    </row>
    <row r="783" spans="2:36" ht="30" customHeight="1" x14ac:dyDescent="0.25">
      <c r="B783" s="5"/>
      <c r="C783" s="5"/>
      <c r="D783" s="5"/>
      <c r="E783" s="5"/>
      <c r="F783" s="5"/>
      <c r="G783" s="5"/>
      <c r="H783" s="5"/>
      <c r="I783" s="5"/>
      <c r="J783" s="5"/>
      <c r="L783" s="277"/>
      <c r="M783" s="5"/>
      <c r="R783" s="5"/>
      <c r="S783" s="5"/>
      <c r="T783" s="1120"/>
      <c r="U783" s="5"/>
      <c r="V783" s="5"/>
      <c r="W783" s="5"/>
      <c r="X783" s="1120"/>
      <c r="Y783" s="1120"/>
      <c r="Z783" s="5"/>
      <c r="AA783" s="5"/>
      <c r="AB783" s="1135"/>
      <c r="AC783" s="5"/>
      <c r="AD783" s="5"/>
      <c r="AE783" s="5"/>
      <c r="AF783" s="1120"/>
      <c r="AG783" s="1148"/>
      <c r="AH783" s="1120"/>
      <c r="AI783" s="1120"/>
      <c r="AJ783" s="1120"/>
    </row>
    <row r="784" spans="2:36" ht="30" customHeight="1" x14ac:dyDescent="0.25">
      <c r="B784" s="5"/>
      <c r="C784" s="5"/>
      <c r="D784" s="5"/>
      <c r="E784" s="5"/>
      <c r="F784" s="5"/>
      <c r="G784" s="5"/>
      <c r="H784" s="5"/>
      <c r="I784" s="5"/>
      <c r="J784" s="5"/>
      <c r="L784" s="277"/>
      <c r="M784" s="5"/>
      <c r="R784" s="5"/>
      <c r="S784" s="5"/>
      <c r="T784" s="1120"/>
      <c r="U784" s="5"/>
      <c r="V784" s="5"/>
      <c r="W784" s="5"/>
      <c r="X784" s="1120"/>
      <c r="Y784" s="1120"/>
      <c r="Z784" s="5"/>
      <c r="AA784" s="5"/>
      <c r="AB784" s="1135"/>
      <c r="AC784" s="5"/>
      <c r="AD784" s="5"/>
      <c r="AE784" s="5"/>
      <c r="AF784" s="1120"/>
      <c r="AG784" s="1148"/>
      <c r="AH784" s="1120"/>
      <c r="AI784" s="1120"/>
      <c r="AJ784" s="1120"/>
    </row>
    <row r="785" spans="2:36" ht="30" customHeight="1" x14ac:dyDescent="0.25">
      <c r="B785" s="5"/>
      <c r="C785" s="5"/>
      <c r="D785" s="5"/>
      <c r="E785" s="5"/>
      <c r="F785" s="5"/>
      <c r="G785" s="5"/>
      <c r="H785" s="5"/>
      <c r="I785" s="5"/>
      <c r="J785" s="5"/>
      <c r="L785" s="277"/>
      <c r="M785" s="5"/>
      <c r="R785" s="5"/>
      <c r="S785" s="5"/>
      <c r="T785" s="1120"/>
      <c r="U785" s="5"/>
      <c r="V785" s="5"/>
      <c r="W785" s="5"/>
      <c r="X785" s="1120"/>
      <c r="Y785" s="1120"/>
      <c r="Z785" s="5"/>
      <c r="AA785" s="5"/>
      <c r="AB785" s="1135"/>
      <c r="AC785" s="5"/>
      <c r="AD785" s="5"/>
      <c r="AE785" s="5"/>
      <c r="AF785" s="1120"/>
      <c r="AG785" s="1148"/>
      <c r="AH785" s="1120"/>
      <c r="AI785" s="1120"/>
      <c r="AJ785" s="1120"/>
    </row>
    <row r="786" spans="2:36" ht="30" customHeight="1" x14ac:dyDescent="0.25">
      <c r="B786" s="5"/>
      <c r="C786" s="5"/>
      <c r="D786" s="5"/>
      <c r="E786" s="5"/>
      <c r="F786" s="5"/>
      <c r="G786" s="5"/>
      <c r="H786" s="5"/>
      <c r="I786" s="5"/>
      <c r="J786" s="5"/>
      <c r="L786" s="277"/>
      <c r="M786" s="5"/>
      <c r="R786" s="5"/>
      <c r="S786" s="5"/>
      <c r="T786" s="1120"/>
      <c r="U786" s="5"/>
      <c r="V786" s="5"/>
      <c r="W786" s="5"/>
      <c r="X786" s="1120"/>
      <c r="Y786" s="1120"/>
      <c r="Z786" s="5"/>
      <c r="AA786" s="5"/>
      <c r="AB786" s="1135"/>
      <c r="AC786" s="5"/>
      <c r="AD786" s="5"/>
      <c r="AE786" s="5"/>
      <c r="AF786" s="1120"/>
      <c r="AG786" s="1148"/>
      <c r="AH786" s="1120"/>
      <c r="AI786" s="1120"/>
      <c r="AJ786" s="1120"/>
    </row>
    <row r="787" spans="2:36" ht="30" customHeight="1" x14ac:dyDescent="0.25">
      <c r="B787" s="5"/>
      <c r="C787" s="5"/>
      <c r="D787" s="5"/>
      <c r="E787" s="5"/>
      <c r="F787" s="5"/>
      <c r="G787" s="5"/>
      <c r="H787" s="5"/>
      <c r="I787" s="5"/>
      <c r="J787" s="5"/>
      <c r="L787" s="277"/>
      <c r="M787" s="5"/>
      <c r="R787" s="5"/>
      <c r="S787" s="5"/>
      <c r="T787" s="1120"/>
      <c r="U787" s="5"/>
      <c r="V787" s="5"/>
      <c r="W787" s="5"/>
      <c r="X787" s="1120"/>
      <c r="Y787" s="1120"/>
      <c r="Z787" s="5"/>
      <c r="AA787" s="5"/>
      <c r="AB787" s="1135"/>
      <c r="AC787" s="5"/>
      <c r="AD787" s="5"/>
      <c r="AE787" s="5"/>
      <c r="AF787" s="1120"/>
      <c r="AG787" s="1148"/>
      <c r="AH787" s="1120"/>
      <c r="AI787" s="1120"/>
      <c r="AJ787" s="1120"/>
    </row>
    <row r="788" spans="2:36" ht="30" customHeight="1" x14ac:dyDescent="0.25">
      <c r="B788" s="5"/>
      <c r="C788" s="5"/>
      <c r="D788" s="5"/>
      <c r="E788" s="5"/>
      <c r="F788" s="5"/>
      <c r="G788" s="5"/>
      <c r="H788" s="5"/>
      <c r="I788" s="5"/>
      <c r="J788" s="5"/>
      <c r="L788" s="277"/>
      <c r="M788" s="5"/>
      <c r="R788" s="5"/>
      <c r="S788" s="5"/>
      <c r="T788" s="1120"/>
      <c r="U788" s="5"/>
      <c r="V788" s="5"/>
      <c r="W788" s="5"/>
      <c r="X788" s="1120"/>
      <c r="Y788" s="1120"/>
      <c r="Z788" s="5"/>
      <c r="AA788" s="5"/>
      <c r="AB788" s="1135"/>
      <c r="AC788" s="5"/>
      <c r="AD788" s="5"/>
      <c r="AE788" s="5"/>
      <c r="AF788" s="1120"/>
      <c r="AG788" s="1148"/>
      <c r="AH788" s="1120"/>
      <c r="AI788" s="1120"/>
      <c r="AJ788" s="1120"/>
    </row>
    <row r="789" spans="2:36" ht="30" customHeight="1" x14ac:dyDescent="0.25">
      <c r="B789" s="5"/>
      <c r="C789" s="5"/>
      <c r="D789" s="5"/>
      <c r="E789" s="5"/>
      <c r="F789" s="5"/>
      <c r="G789" s="5"/>
      <c r="H789" s="5"/>
      <c r="I789" s="5"/>
      <c r="J789" s="5"/>
      <c r="L789" s="277"/>
      <c r="M789" s="5"/>
      <c r="R789" s="5"/>
      <c r="S789" s="5"/>
      <c r="T789" s="1120"/>
      <c r="U789" s="5"/>
      <c r="V789" s="5"/>
      <c r="W789" s="5"/>
      <c r="X789" s="1120"/>
      <c r="Y789" s="1120"/>
      <c r="Z789" s="5"/>
      <c r="AA789" s="5"/>
      <c r="AB789" s="1135"/>
      <c r="AC789" s="5"/>
      <c r="AD789" s="5"/>
      <c r="AE789" s="5"/>
      <c r="AF789" s="1120"/>
      <c r="AG789" s="1148"/>
      <c r="AH789" s="1120"/>
      <c r="AI789" s="1120"/>
      <c r="AJ789" s="1120"/>
    </row>
    <row r="790" spans="2:36" ht="30" customHeight="1" x14ac:dyDescent="0.25">
      <c r="B790" s="5"/>
      <c r="C790" s="5"/>
      <c r="D790" s="5"/>
      <c r="E790" s="5"/>
      <c r="F790" s="5"/>
      <c r="G790" s="5"/>
      <c r="H790" s="5"/>
      <c r="I790" s="5"/>
      <c r="J790" s="5"/>
      <c r="L790" s="277"/>
      <c r="M790" s="5"/>
      <c r="R790" s="5"/>
      <c r="S790" s="5"/>
      <c r="T790" s="1120"/>
      <c r="U790" s="5"/>
      <c r="V790" s="5"/>
      <c r="W790" s="5"/>
      <c r="X790" s="1120"/>
      <c r="Y790" s="1120"/>
      <c r="Z790" s="5"/>
      <c r="AA790" s="5"/>
      <c r="AB790" s="1135"/>
      <c r="AC790" s="5"/>
      <c r="AD790" s="5"/>
      <c r="AE790" s="5"/>
      <c r="AF790" s="1120"/>
      <c r="AG790" s="1148"/>
      <c r="AH790" s="1120"/>
      <c r="AI790" s="1120"/>
      <c r="AJ790" s="1120"/>
    </row>
    <row r="791" spans="2:36" ht="30" customHeight="1" x14ac:dyDescent="0.25">
      <c r="B791" s="5"/>
      <c r="C791" s="5"/>
      <c r="D791" s="5"/>
      <c r="E791" s="5"/>
      <c r="F791" s="5"/>
      <c r="G791" s="5"/>
      <c r="H791" s="5"/>
      <c r="I791" s="5"/>
      <c r="J791" s="5"/>
      <c r="L791" s="277"/>
      <c r="M791" s="5"/>
      <c r="R791" s="5"/>
      <c r="S791" s="5"/>
      <c r="T791" s="1120"/>
      <c r="U791" s="5"/>
      <c r="V791" s="5"/>
      <c r="W791" s="5"/>
      <c r="X791" s="1120"/>
      <c r="Y791" s="1120"/>
      <c r="Z791" s="5"/>
      <c r="AA791" s="5"/>
      <c r="AB791" s="1135"/>
      <c r="AC791" s="5"/>
      <c r="AD791" s="5"/>
      <c r="AE791" s="5"/>
      <c r="AF791" s="1120"/>
      <c r="AG791" s="1148"/>
      <c r="AH791" s="1120"/>
      <c r="AI791" s="1120"/>
      <c r="AJ791" s="1120"/>
    </row>
    <row r="792" spans="2:36" ht="30" customHeight="1" x14ac:dyDescent="0.25">
      <c r="B792" s="5"/>
      <c r="C792" s="5"/>
      <c r="D792" s="5"/>
      <c r="E792" s="5"/>
      <c r="F792" s="5"/>
      <c r="G792" s="5"/>
      <c r="H792" s="5"/>
      <c r="I792" s="5"/>
      <c r="J792" s="5"/>
      <c r="L792" s="277"/>
      <c r="M792" s="5"/>
      <c r="R792" s="5"/>
      <c r="S792" s="5"/>
      <c r="T792" s="1120"/>
      <c r="U792" s="5"/>
      <c r="V792" s="5"/>
      <c r="W792" s="5"/>
      <c r="X792" s="1120"/>
      <c r="Y792" s="1120"/>
      <c r="Z792" s="5"/>
      <c r="AA792" s="5"/>
      <c r="AB792" s="1135"/>
      <c r="AC792" s="5"/>
      <c r="AD792" s="5"/>
      <c r="AE792" s="5"/>
      <c r="AF792" s="1120"/>
      <c r="AG792" s="1148"/>
      <c r="AH792" s="1120"/>
      <c r="AI792" s="1120"/>
      <c r="AJ792" s="1120"/>
    </row>
    <row r="793" spans="2:36" ht="30" customHeight="1" x14ac:dyDescent="0.25">
      <c r="B793" s="5"/>
      <c r="C793" s="5"/>
      <c r="D793" s="5"/>
      <c r="E793" s="5"/>
      <c r="F793" s="5"/>
      <c r="G793" s="5"/>
      <c r="H793" s="5"/>
      <c r="I793" s="5"/>
      <c r="J793" s="5"/>
      <c r="L793" s="277"/>
      <c r="M793" s="5"/>
      <c r="R793" s="5"/>
      <c r="S793" s="5"/>
      <c r="T793" s="1120"/>
      <c r="U793" s="5"/>
      <c r="V793" s="5"/>
      <c r="W793" s="5"/>
      <c r="X793" s="1120"/>
      <c r="Y793" s="1120"/>
      <c r="Z793" s="5"/>
      <c r="AA793" s="5"/>
      <c r="AB793" s="1135"/>
      <c r="AC793" s="5"/>
      <c r="AD793" s="5"/>
      <c r="AE793" s="5"/>
      <c r="AF793" s="1120"/>
      <c r="AG793" s="1148"/>
      <c r="AH793" s="1120"/>
      <c r="AI793" s="1120"/>
      <c r="AJ793" s="1120"/>
    </row>
    <row r="794" spans="2:36" ht="30" customHeight="1" x14ac:dyDescent="0.25">
      <c r="B794" s="5"/>
      <c r="C794" s="5"/>
      <c r="D794" s="5"/>
      <c r="E794" s="5"/>
      <c r="F794" s="5"/>
      <c r="G794" s="5"/>
      <c r="H794" s="5"/>
      <c r="I794" s="5"/>
      <c r="J794" s="5"/>
      <c r="L794" s="277"/>
      <c r="M794" s="5"/>
      <c r="R794" s="5"/>
      <c r="S794" s="5"/>
      <c r="T794" s="1120"/>
      <c r="U794" s="5"/>
      <c r="V794" s="5"/>
      <c r="W794" s="5"/>
      <c r="X794" s="1120"/>
      <c r="Y794" s="1120"/>
      <c r="Z794" s="5"/>
      <c r="AA794" s="5"/>
      <c r="AB794" s="1135"/>
      <c r="AC794" s="5"/>
      <c r="AD794" s="5"/>
      <c r="AE794" s="5"/>
      <c r="AF794" s="1120"/>
      <c r="AG794" s="1148"/>
      <c r="AH794" s="1120"/>
      <c r="AI794" s="1120"/>
      <c r="AJ794" s="1120"/>
    </row>
    <row r="795" spans="2:36" ht="30" customHeight="1" x14ac:dyDescent="0.25">
      <c r="B795" s="5"/>
      <c r="C795" s="5"/>
      <c r="D795" s="5"/>
      <c r="E795" s="5"/>
      <c r="F795" s="5"/>
      <c r="G795" s="5"/>
      <c r="H795" s="5"/>
      <c r="I795" s="5"/>
      <c r="J795" s="5"/>
      <c r="L795" s="277"/>
      <c r="M795" s="5"/>
      <c r="R795" s="5"/>
      <c r="S795" s="5"/>
      <c r="T795" s="1120"/>
      <c r="U795" s="5"/>
      <c r="V795" s="5"/>
      <c r="W795" s="5"/>
      <c r="X795" s="1120"/>
      <c r="Y795" s="1120"/>
      <c r="Z795" s="5"/>
      <c r="AA795" s="5"/>
      <c r="AB795" s="1135"/>
      <c r="AC795" s="5"/>
      <c r="AD795" s="5"/>
      <c r="AE795" s="5"/>
      <c r="AF795" s="1120"/>
      <c r="AG795" s="1148"/>
      <c r="AH795" s="1120"/>
      <c r="AI795" s="1120"/>
      <c r="AJ795" s="1120"/>
    </row>
    <row r="796" spans="2:36" ht="30" customHeight="1" x14ac:dyDescent="0.25">
      <c r="B796" s="5"/>
      <c r="C796" s="5"/>
      <c r="D796" s="5"/>
      <c r="E796" s="5"/>
      <c r="F796" s="5"/>
      <c r="G796" s="5"/>
      <c r="H796" s="5"/>
      <c r="I796" s="5"/>
      <c r="J796" s="5"/>
      <c r="L796" s="277"/>
      <c r="M796" s="5"/>
      <c r="R796" s="5"/>
      <c r="S796" s="5"/>
      <c r="T796" s="1120"/>
      <c r="U796" s="5"/>
      <c r="V796" s="5"/>
      <c r="W796" s="5"/>
      <c r="X796" s="1120"/>
      <c r="Y796" s="1120"/>
      <c r="Z796" s="5"/>
      <c r="AA796" s="5"/>
      <c r="AB796" s="1135"/>
      <c r="AC796" s="5"/>
      <c r="AD796" s="5"/>
      <c r="AE796" s="5"/>
      <c r="AF796" s="1120"/>
      <c r="AG796" s="1148"/>
      <c r="AH796" s="1120"/>
      <c r="AI796" s="1120"/>
      <c r="AJ796" s="1120"/>
    </row>
    <row r="797" spans="2:36" ht="30" customHeight="1" x14ac:dyDescent="0.25">
      <c r="B797" s="5"/>
      <c r="C797" s="5"/>
      <c r="D797" s="5"/>
      <c r="E797" s="5"/>
      <c r="F797" s="5"/>
      <c r="G797" s="5"/>
      <c r="H797" s="5"/>
      <c r="I797" s="5"/>
      <c r="J797" s="5"/>
      <c r="L797" s="277"/>
      <c r="M797" s="5"/>
      <c r="R797" s="5"/>
      <c r="S797" s="5"/>
      <c r="T797" s="1120"/>
      <c r="U797" s="5"/>
      <c r="V797" s="5"/>
      <c r="W797" s="5"/>
      <c r="X797" s="1120"/>
      <c r="Y797" s="1120"/>
      <c r="Z797" s="5"/>
      <c r="AA797" s="5"/>
      <c r="AB797" s="1135"/>
      <c r="AC797" s="5"/>
      <c r="AD797" s="5"/>
      <c r="AE797" s="5"/>
      <c r="AF797" s="1120"/>
      <c r="AG797" s="1148"/>
      <c r="AH797" s="1120"/>
      <c r="AI797" s="1120"/>
      <c r="AJ797" s="1120"/>
    </row>
    <row r="798" spans="2:36" ht="30" customHeight="1" x14ac:dyDescent="0.25">
      <c r="B798" s="5"/>
      <c r="C798" s="5"/>
      <c r="D798" s="5"/>
      <c r="E798" s="5"/>
      <c r="F798" s="5"/>
      <c r="G798" s="5"/>
      <c r="H798" s="5"/>
      <c r="I798" s="5"/>
      <c r="J798" s="5"/>
      <c r="L798" s="277"/>
      <c r="M798" s="5"/>
      <c r="R798" s="5"/>
      <c r="S798" s="5"/>
      <c r="T798" s="1120"/>
      <c r="U798" s="5"/>
      <c r="V798" s="5"/>
      <c r="W798" s="5"/>
      <c r="X798" s="1120"/>
      <c r="Y798" s="1120"/>
      <c r="Z798" s="5"/>
      <c r="AA798" s="5"/>
      <c r="AB798" s="1135"/>
      <c r="AC798" s="5"/>
      <c r="AD798" s="5"/>
      <c r="AE798" s="5"/>
      <c r="AF798" s="1120"/>
      <c r="AG798" s="1148"/>
      <c r="AH798" s="1120"/>
      <c r="AI798" s="1120"/>
      <c r="AJ798" s="1120"/>
    </row>
    <row r="799" spans="2:36" ht="30" customHeight="1" x14ac:dyDescent="0.25">
      <c r="B799" s="5"/>
      <c r="C799" s="5"/>
      <c r="D799" s="5"/>
      <c r="E799" s="5"/>
      <c r="F799" s="5"/>
      <c r="G799" s="5"/>
      <c r="H799" s="5"/>
      <c r="I799" s="5"/>
      <c r="J799" s="5"/>
      <c r="L799" s="277"/>
      <c r="M799" s="5"/>
      <c r="R799" s="5"/>
      <c r="S799" s="5"/>
      <c r="T799" s="1120"/>
      <c r="U799" s="5"/>
      <c r="V799" s="5"/>
      <c r="W799" s="5"/>
      <c r="X799" s="1120"/>
      <c r="Y799" s="1120"/>
      <c r="Z799" s="5"/>
      <c r="AA799" s="5"/>
      <c r="AB799" s="1135"/>
      <c r="AC799" s="5"/>
      <c r="AD799" s="5"/>
      <c r="AE799" s="5"/>
      <c r="AF799" s="1120"/>
      <c r="AG799" s="1148"/>
      <c r="AH799" s="1120"/>
      <c r="AI799" s="1120"/>
      <c r="AJ799" s="1120"/>
    </row>
    <row r="800" spans="2:36" ht="30" customHeight="1" x14ac:dyDescent="0.25">
      <c r="B800" s="5"/>
      <c r="C800" s="5"/>
      <c r="D800" s="5"/>
      <c r="E800" s="5"/>
      <c r="F800" s="5"/>
      <c r="G800" s="5"/>
      <c r="H800" s="5"/>
      <c r="I800" s="5"/>
      <c r="J800" s="5"/>
      <c r="L800" s="277"/>
      <c r="M800" s="5"/>
      <c r="R800" s="5"/>
      <c r="S800" s="5"/>
      <c r="T800" s="1120"/>
      <c r="U800" s="5"/>
      <c r="V800" s="5"/>
      <c r="W800" s="5"/>
      <c r="X800" s="1120"/>
      <c r="Y800" s="1120"/>
      <c r="Z800" s="5"/>
      <c r="AA800" s="5"/>
      <c r="AB800" s="1135"/>
      <c r="AC800" s="5"/>
      <c r="AD800" s="5"/>
      <c r="AE800" s="5"/>
      <c r="AF800" s="1120"/>
      <c r="AG800" s="1148"/>
      <c r="AH800" s="1120"/>
      <c r="AI800" s="1120"/>
      <c r="AJ800" s="1120"/>
    </row>
    <row r="801" spans="2:36" ht="30" customHeight="1" x14ac:dyDescent="0.25">
      <c r="B801" s="5"/>
      <c r="C801" s="5"/>
      <c r="D801" s="5"/>
      <c r="E801" s="5"/>
      <c r="F801" s="5"/>
      <c r="G801" s="5"/>
      <c r="H801" s="5"/>
      <c r="I801" s="5"/>
      <c r="J801" s="5"/>
      <c r="L801" s="277"/>
      <c r="M801" s="5"/>
      <c r="R801" s="5"/>
      <c r="S801" s="5"/>
      <c r="T801" s="1120"/>
      <c r="U801" s="5"/>
      <c r="V801" s="5"/>
      <c r="W801" s="5"/>
      <c r="X801" s="1120"/>
      <c r="Y801" s="1120"/>
      <c r="Z801" s="5"/>
      <c r="AA801" s="5"/>
      <c r="AB801" s="1135"/>
      <c r="AC801" s="5"/>
      <c r="AD801" s="5"/>
      <c r="AE801" s="5"/>
      <c r="AF801" s="1120"/>
      <c r="AG801" s="1148"/>
      <c r="AH801" s="1120"/>
      <c r="AI801" s="1120"/>
      <c r="AJ801" s="1120"/>
    </row>
    <row r="802" spans="2:36" ht="30" customHeight="1" x14ac:dyDescent="0.25">
      <c r="B802" s="5"/>
      <c r="C802" s="5"/>
      <c r="D802" s="5"/>
      <c r="E802" s="5"/>
      <c r="F802" s="5"/>
      <c r="G802" s="5"/>
      <c r="H802" s="5"/>
      <c r="I802" s="5"/>
      <c r="J802" s="5"/>
      <c r="L802" s="277"/>
      <c r="M802" s="5"/>
      <c r="R802" s="5"/>
      <c r="S802" s="5"/>
      <c r="T802" s="1120"/>
      <c r="U802" s="5"/>
      <c r="V802" s="5"/>
      <c r="W802" s="5"/>
      <c r="X802" s="1120"/>
      <c r="Y802" s="1120"/>
      <c r="Z802" s="5"/>
      <c r="AA802" s="5"/>
      <c r="AB802" s="1135"/>
      <c r="AC802" s="5"/>
      <c r="AD802" s="5"/>
      <c r="AE802" s="5"/>
      <c r="AF802" s="1120"/>
      <c r="AG802" s="1148"/>
      <c r="AH802" s="1120"/>
      <c r="AI802" s="1120"/>
      <c r="AJ802" s="1120"/>
    </row>
    <row r="803" spans="2:36" ht="30" customHeight="1" x14ac:dyDescent="0.25">
      <c r="B803" s="5"/>
      <c r="C803" s="5"/>
      <c r="D803" s="5"/>
      <c r="E803" s="5"/>
      <c r="F803" s="5"/>
      <c r="G803" s="5"/>
      <c r="H803" s="5"/>
      <c r="I803" s="5"/>
      <c r="J803" s="5"/>
      <c r="L803" s="277"/>
      <c r="M803" s="5"/>
      <c r="R803" s="5"/>
      <c r="S803" s="5"/>
      <c r="T803" s="1120"/>
      <c r="U803" s="5"/>
      <c r="V803" s="5"/>
      <c r="W803" s="5"/>
      <c r="X803" s="1120"/>
      <c r="Y803" s="1120"/>
      <c r="Z803" s="5"/>
      <c r="AA803" s="5"/>
      <c r="AB803" s="1135"/>
      <c r="AC803" s="5"/>
      <c r="AD803" s="5"/>
      <c r="AE803" s="5"/>
      <c r="AF803" s="1120"/>
      <c r="AG803" s="1148"/>
      <c r="AH803" s="1120"/>
      <c r="AI803" s="1120"/>
      <c r="AJ803" s="1120"/>
    </row>
    <row r="804" spans="2:36" ht="30" customHeight="1" x14ac:dyDescent="0.25">
      <c r="B804" s="5"/>
      <c r="C804" s="5"/>
      <c r="D804" s="5"/>
      <c r="E804" s="5"/>
      <c r="F804" s="5"/>
      <c r="G804" s="5"/>
      <c r="H804" s="5"/>
      <c r="I804" s="5"/>
      <c r="J804" s="5"/>
      <c r="L804" s="277"/>
      <c r="M804" s="5"/>
      <c r="R804" s="5"/>
      <c r="S804" s="5"/>
      <c r="T804" s="1120"/>
      <c r="U804" s="5"/>
      <c r="V804" s="5"/>
      <c r="W804" s="5"/>
      <c r="X804" s="1120"/>
      <c r="Y804" s="1120"/>
      <c r="Z804" s="5"/>
      <c r="AA804" s="5"/>
      <c r="AB804" s="1135"/>
      <c r="AC804" s="5"/>
      <c r="AD804" s="5"/>
      <c r="AE804" s="5"/>
      <c r="AF804" s="1120"/>
      <c r="AG804" s="1148"/>
      <c r="AH804" s="1120"/>
      <c r="AI804" s="1120"/>
      <c r="AJ804" s="1120"/>
    </row>
    <row r="805" spans="2:36" ht="30" customHeight="1" x14ac:dyDescent="0.25">
      <c r="B805" s="5"/>
      <c r="C805" s="5"/>
      <c r="D805" s="5"/>
      <c r="E805" s="5"/>
      <c r="F805" s="5"/>
      <c r="G805" s="5"/>
      <c r="H805" s="5"/>
      <c r="I805" s="5"/>
      <c r="J805" s="5"/>
      <c r="L805" s="277"/>
      <c r="M805" s="5"/>
      <c r="R805" s="5"/>
      <c r="S805" s="5"/>
      <c r="T805" s="1120"/>
      <c r="U805" s="5"/>
      <c r="V805" s="5"/>
      <c r="W805" s="5"/>
      <c r="X805" s="1120"/>
      <c r="Y805" s="1120"/>
      <c r="Z805" s="5"/>
      <c r="AA805" s="5"/>
      <c r="AB805" s="1135"/>
      <c r="AC805" s="5"/>
      <c r="AD805" s="5"/>
      <c r="AE805" s="5"/>
      <c r="AF805" s="1120"/>
      <c r="AG805" s="1148"/>
      <c r="AH805" s="1120"/>
      <c r="AI805" s="1120"/>
      <c r="AJ805" s="1120"/>
    </row>
    <row r="806" spans="2:36" ht="30" customHeight="1" x14ac:dyDescent="0.25">
      <c r="B806" s="5"/>
      <c r="C806" s="5"/>
      <c r="D806" s="5"/>
      <c r="E806" s="5"/>
      <c r="F806" s="5"/>
      <c r="G806" s="5"/>
      <c r="H806" s="5"/>
      <c r="I806" s="5"/>
      <c r="J806" s="5"/>
      <c r="L806" s="277"/>
      <c r="M806" s="5"/>
      <c r="R806" s="5"/>
      <c r="S806" s="5"/>
      <c r="T806" s="1120"/>
      <c r="U806" s="5"/>
      <c r="V806" s="5"/>
      <c r="W806" s="5"/>
      <c r="X806" s="1120"/>
      <c r="Y806" s="1120"/>
      <c r="Z806" s="5"/>
      <c r="AA806" s="5"/>
      <c r="AB806" s="1135"/>
      <c r="AC806" s="5"/>
      <c r="AD806" s="5"/>
      <c r="AE806" s="5"/>
      <c r="AF806" s="1120"/>
      <c r="AG806" s="1148"/>
      <c r="AH806" s="1120"/>
      <c r="AI806" s="1120"/>
      <c r="AJ806" s="1120"/>
    </row>
    <row r="807" spans="2:36" ht="30" customHeight="1" x14ac:dyDescent="0.25">
      <c r="B807" s="5"/>
      <c r="C807" s="5"/>
      <c r="D807" s="5"/>
      <c r="E807" s="5"/>
      <c r="F807" s="5"/>
      <c r="G807" s="5"/>
      <c r="H807" s="5"/>
      <c r="I807" s="5"/>
      <c r="J807" s="5"/>
      <c r="L807" s="277"/>
      <c r="M807" s="5"/>
      <c r="R807" s="5"/>
      <c r="S807" s="5"/>
      <c r="T807" s="1120"/>
      <c r="U807" s="5"/>
      <c r="V807" s="5"/>
      <c r="W807" s="5"/>
      <c r="X807" s="1120"/>
      <c r="Y807" s="1120"/>
      <c r="Z807" s="5"/>
      <c r="AA807" s="5"/>
      <c r="AB807" s="1135"/>
      <c r="AC807" s="5"/>
      <c r="AD807" s="5"/>
      <c r="AE807" s="5"/>
      <c r="AF807" s="1120"/>
      <c r="AG807" s="1148"/>
      <c r="AH807" s="1120"/>
      <c r="AI807" s="1120"/>
      <c r="AJ807" s="1120"/>
    </row>
    <row r="808" spans="2:36" ht="30" customHeight="1" x14ac:dyDescent="0.25">
      <c r="B808" s="5"/>
      <c r="C808" s="5"/>
      <c r="D808" s="5"/>
      <c r="E808" s="5"/>
      <c r="F808" s="5"/>
      <c r="G808" s="5"/>
      <c r="H808" s="5"/>
      <c r="I808" s="5"/>
      <c r="J808" s="5"/>
      <c r="L808" s="277"/>
      <c r="M808" s="5"/>
      <c r="R808" s="5"/>
      <c r="S808" s="5"/>
      <c r="T808" s="1120"/>
      <c r="U808" s="5"/>
      <c r="V808" s="5"/>
      <c r="W808" s="5"/>
      <c r="X808" s="1120"/>
      <c r="Y808" s="1120"/>
      <c r="Z808" s="5"/>
      <c r="AA808" s="5"/>
      <c r="AB808" s="1135"/>
      <c r="AC808" s="5"/>
      <c r="AD808" s="5"/>
      <c r="AE808" s="5"/>
      <c r="AF808" s="1120"/>
      <c r="AG808" s="1148"/>
      <c r="AH808" s="1120"/>
      <c r="AI808" s="1120"/>
      <c r="AJ808" s="1120"/>
    </row>
    <row r="809" spans="2:36" ht="30" customHeight="1" x14ac:dyDescent="0.25">
      <c r="B809" s="5"/>
      <c r="C809" s="5"/>
      <c r="D809" s="5"/>
      <c r="E809" s="5"/>
      <c r="F809" s="5"/>
      <c r="G809" s="5"/>
      <c r="H809" s="5"/>
      <c r="I809" s="5"/>
      <c r="J809" s="5"/>
      <c r="L809" s="277"/>
      <c r="M809" s="5"/>
      <c r="R809" s="5"/>
      <c r="S809" s="5"/>
      <c r="T809" s="1120"/>
      <c r="U809" s="5"/>
      <c r="V809" s="5"/>
      <c r="W809" s="5"/>
      <c r="X809" s="1120"/>
      <c r="Y809" s="1120"/>
      <c r="Z809" s="5"/>
      <c r="AA809" s="5"/>
      <c r="AB809" s="1135"/>
      <c r="AC809" s="5"/>
      <c r="AD809" s="5"/>
      <c r="AE809" s="5"/>
      <c r="AF809" s="1120"/>
      <c r="AG809" s="1148"/>
      <c r="AH809" s="1120"/>
      <c r="AI809" s="1120"/>
      <c r="AJ809" s="1120"/>
    </row>
    <row r="810" spans="2:36" ht="30" customHeight="1" x14ac:dyDescent="0.25">
      <c r="B810" s="5"/>
      <c r="C810" s="5"/>
      <c r="D810" s="5"/>
      <c r="E810" s="5"/>
      <c r="F810" s="5"/>
      <c r="G810" s="5"/>
      <c r="H810" s="5"/>
      <c r="I810" s="5"/>
      <c r="J810" s="5"/>
      <c r="L810" s="277"/>
      <c r="M810" s="5"/>
      <c r="R810" s="5"/>
      <c r="S810" s="5"/>
      <c r="T810" s="1120"/>
      <c r="U810" s="5"/>
      <c r="V810" s="5"/>
      <c r="W810" s="5"/>
      <c r="X810" s="1120"/>
      <c r="Y810" s="1120"/>
      <c r="Z810" s="5"/>
      <c r="AA810" s="5"/>
      <c r="AB810" s="1135"/>
      <c r="AC810" s="5"/>
      <c r="AD810" s="5"/>
      <c r="AE810" s="5"/>
      <c r="AF810" s="1120"/>
      <c r="AG810" s="1148"/>
      <c r="AH810" s="1120"/>
      <c r="AI810" s="1120"/>
      <c r="AJ810" s="1120"/>
    </row>
    <row r="811" spans="2:36" ht="30" customHeight="1" x14ac:dyDescent="0.25">
      <c r="B811" s="5"/>
      <c r="C811" s="5"/>
      <c r="D811" s="5"/>
      <c r="E811" s="5"/>
      <c r="F811" s="5"/>
      <c r="G811" s="5"/>
      <c r="H811" s="5"/>
      <c r="I811" s="5"/>
      <c r="J811" s="5"/>
      <c r="L811" s="277"/>
      <c r="M811" s="5"/>
      <c r="R811" s="5"/>
      <c r="S811" s="5"/>
      <c r="T811" s="1120"/>
      <c r="U811" s="5"/>
      <c r="V811" s="5"/>
      <c r="W811" s="5"/>
      <c r="X811" s="1120"/>
      <c r="Y811" s="1120"/>
      <c r="Z811" s="5"/>
      <c r="AA811" s="5"/>
      <c r="AB811" s="1135"/>
      <c r="AC811" s="5"/>
      <c r="AD811" s="5"/>
      <c r="AE811" s="5"/>
      <c r="AF811" s="1120"/>
      <c r="AG811" s="1148"/>
      <c r="AH811" s="1120"/>
      <c r="AI811" s="1120"/>
      <c r="AJ811" s="1120"/>
    </row>
    <row r="812" spans="2:36" ht="30" customHeight="1" x14ac:dyDescent="0.25">
      <c r="B812" s="5"/>
      <c r="C812" s="5"/>
      <c r="D812" s="5"/>
      <c r="E812" s="5"/>
      <c r="F812" s="5"/>
      <c r="G812" s="5"/>
      <c r="H812" s="5"/>
      <c r="I812" s="5"/>
      <c r="J812" s="5"/>
      <c r="L812" s="277"/>
      <c r="M812" s="5"/>
      <c r="R812" s="5"/>
      <c r="S812" s="5"/>
      <c r="T812" s="1120"/>
      <c r="U812" s="5"/>
      <c r="V812" s="5"/>
      <c r="W812" s="5"/>
      <c r="X812" s="1120"/>
      <c r="Y812" s="1120"/>
      <c r="Z812" s="5"/>
      <c r="AA812" s="5"/>
      <c r="AB812" s="1135"/>
      <c r="AC812" s="5"/>
      <c r="AD812" s="5"/>
      <c r="AE812" s="5"/>
      <c r="AF812" s="1120"/>
      <c r="AG812" s="1148"/>
      <c r="AH812" s="1120"/>
      <c r="AI812" s="1120"/>
      <c r="AJ812" s="1120"/>
    </row>
    <row r="813" spans="2:36" ht="30" customHeight="1" x14ac:dyDescent="0.25">
      <c r="B813" s="5"/>
      <c r="C813" s="5"/>
      <c r="D813" s="5"/>
      <c r="E813" s="5"/>
      <c r="F813" s="5"/>
      <c r="G813" s="5"/>
      <c r="H813" s="5"/>
      <c r="I813" s="5"/>
      <c r="J813" s="5"/>
      <c r="L813" s="277"/>
      <c r="M813" s="5"/>
      <c r="R813" s="5"/>
      <c r="S813" s="5"/>
      <c r="T813" s="1120"/>
      <c r="U813" s="5"/>
      <c r="V813" s="5"/>
      <c r="W813" s="5"/>
      <c r="X813" s="1120"/>
      <c r="Y813" s="1120"/>
      <c r="Z813" s="5"/>
      <c r="AA813" s="5"/>
      <c r="AB813" s="1135"/>
      <c r="AC813" s="5"/>
      <c r="AD813" s="5"/>
      <c r="AE813" s="5"/>
      <c r="AF813" s="1120"/>
      <c r="AG813" s="1148"/>
      <c r="AH813" s="1120"/>
      <c r="AI813" s="1120"/>
      <c r="AJ813" s="1120"/>
    </row>
    <row r="814" spans="2:36" ht="30" customHeight="1" x14ac:dyDescent="0.25">
      <c r="B814" s="5"/>
      <c r="C814" s="5"/>
      <c r="D814" s="5"/>
      <c r="E814" s="5"/>
      <c r="F814" s="5"/>
      <c r="G814" s="5"/>
      <c r="H814" s="5"/>
      <c r="I814" s="5"/>
      <c r="J814" s="5"/>
      <c r="L814" s="277"/>
      <c r="M814" s="5"/>
      <c r="R814" s="5"/>
      <c r="S814" s="5"/>
      <c r="T814" s="1120"/>
      <c r="U814" s="5"/>
      <c r="V814" s="5"/>
      <c r="W814" s="5"/>
      <c r="X814" s="1120"/>
      <c r="Y814" s="1120"/>
      <c r="Z814" s="5"/>
      <c r="AA814" s="5"/>
      <c r="AB814" s="1135"/>
      <c r="AC814" s="5"/>
      <c r="AD814" s="5"/>
      <c r="AE814" s="5"/>
      <c r="AF814" s="1120"/>
      <c r="AG814" s="1148"/>
      <c r="AH814" s="1120"/>
      <c r="AI814" s="1120"/>
      <c r="AJ814" s="1120"/>
    </row>
    <row r="815" spans="2:36" ht="30" customHeight="1" x14ac:dyDescent="0.25">
      <c r="B815" s="5"/>
      <c r="C815" s="5"/>
      <c r="D815" s="5"/>
      <c r="E815" s="5"/>
      <c r="F815" s="5"/>
      <c r="G815" s="5"/>
      <c r="H815" s="5"/>
      <c r="I815" s="5"/>
      <c r="J815" s="5"/>
      <c r="L815" s="277"/>
      <c r="M815" s="5"/>
      <c r="R815" s="5"/>
      <c r="S815" s="5"/>
      <c r="T815" s="1120"/>
      <c r="U815" s="5"/>
      <c r="V815" s="5"/>
      <c r="W815" s="5"/>
      <c r="X815" s="1120"/>
      <c r="Y815" s="1120"/>
      <c r="Z815" s="5"/>
      <c r="AA815" s="5"/>
      <c r="AB815" s="1135"/>
      <c r="AC815" s="5"/>
      <c r="AD815" s="5"/>
      <c r="AE815" s="5"/>
      <c r="AF815" s="1120"/>
      <c r="AG815" s="1148"/>
      <c r="AH815" s="1120"/>
      <c r="AI815" s="1120"/>
      <c r="AJ815" s="1120"/>
    </row>
    <row r="816" spans="2:36" ht="30" customHeight="1" x14ac:dyDescent="0.25">
      <c r="B816" s="5"/>
      <c r="C816" s="5"/>
      <c r="D816" s="5"/>
      <c r="E816" s="5"/>
      <c r="F816" s="5"/>
      <c r="G816" s="5"/>
      <c r="H816" s="5"/>
      <c r="I816" s="5"/>
      <c r="J816" s="5"/>
      <c r="L816" s="277"/>
      <c r="M816" s="5"/>
      <c r="R816" s="5"/>
      <c r="S816" s="5"/>
      <c r="T816" s="1120"/>
      <c r="U816" s="5"/>
      <c r="V816" s="5"/>
      <c r="W816" s="5"/>
      <c r="X816" s="1120"/>
      <c r="Y816" s="1120"/>
      <c r="Z816" s="5"/>
      <c r="AA816" s="5"/>
      <c r="AB816" s="1135"/>
      <c r="AC816" s="5"/>
      <c r="AD816" s="5"/>
      <c r="AE816" s="5"/>
      <c r="AF816" s="1120"/>
      <c r="AG816" s="1148"/>
      <c r="AH816" s="1120"/>
      <c r="AI816" s="1120"/>
      <c r="AJ816" s="1120"/>
    </row>
    <row r="817" spans="2:36" ht="30" customHeight="1" x14ac:dyDescent="0.25">
      <c r="B817" s="5"/>
      <c r="C817" s="5"/>
      <c r="D817" s="5"/>
      <c r="E817" s="5"/>
      <c r="F817" s="5"/>
      <c r="G817" s="5"/>
      <c r="H817" s="5"/>
      <c r="I817" s="5"/>
      <c r="J817" s="5"/>
      <c r="L817" s="277"/>
      <c r="M817" s="5"/>
      <c r="R817" s="5"/>
      <c r="S817" s="5"/>
      <c r="T817" s="1120"/>
      <c r="U817" s="5"/>
      <c r="V817" s="5"/>
      <c r="W817" s="5"/>
      <c r="X817" s="1120"/>
      <c r="Y817" s="1120"/>
      <c r="Z817" s="5"/>
      <c r="AA817" s="5"/>
      <c r="AB817" s="1135"/>
      <c r="AC817" s="5"/>
      <c r="AD817" s="5"/>
      <c r="AE817" s="5"/>
      <c r="AF817" s="1120"/>
      <c r="AG817" s="1148"/>
      <c r="AH817" s="1120"/>
      <c r="AI817" s="1120"/>
      <c r="AJ817" s="1120"/>
    </row>
    <row r="818" spans="2:36" ht="30" customHeight="1" x14ac:dyDescent="0.25">
      <c r="B818" s="5"/>
      <c r="C818" s="5"/>
      <c r="D818" s="5"/>
      <c r="E818" s="5"/>
      <c r="F818" s="5"/>
      <c r="G818" s="5"/>
      <c r="H818" s="5"/>
      <c r="I818" s="5"/>
      <c r="J818" s="5"/>
      <c r="L818" s="277"/>
      <c r="M818" s="5"/>
      <c r="R818" s="5"/>
      <c r="S818" s="5"/>
      <c r="T818" s="1120"/>
      <c r="U818" s="5"/>
      <c r="V818" s="5"/>
      <c r="W818" s="5"/>
      <c r="X818" s="1120"/>
      <c r="Y818" s="1120"/>
      <c r="Z818" s="5"/>
      <c r="AA818" s="5"/>
      <c r="AB818" s="1135"/>
      <c r="AC818" s="5"/>
      <c r="AD818" s="5"/>
      <c r="AE818" s="5"/>
      <c r="AF818" s="1120"/>
      <c r="AG818" s="1148"/>
      <c r="AH818" s="1120"/>
      <c r="AI818" s="1120"/>
      <c r="AJ818" s="1120"/>
    </row>
    <row r="819" spans="2:36" ht="30" customHeight="1" x14ac:dyDescent="0.25">
      <c r="B819" s="5"/>
      <c r="C819" s="5"/>
      <c r="D819" s="5"/>
      <c r="E819" s="5"/>
      <c r="F819" s="5"/>
      <c r="G819" s="5"/>
      <c r="H819" s="5"/>
      <c r="I819" s="5"/>
      <c r="J819" s="5"/>
      <c r="L819" s="277"/>
      <c r="M819" s="5"/>
      <c r="R819" s="5"/>
      <c r="S819" s="5"/>
      <c r="T819" s="1120"/>
      <c r="U819" s="5"/>
      <c r="V819" s="5"/>
      <c r="W819" s="5"/>
      <c r="X819" s="1120"/>
      <c r="Y819" s="1120"/>
      <c r="Z819" s="5"/>
      <c r="AA819" s="5"/>
      <c r="AB819" s="1135"/>
      <c r="AC819" s="5"/>
      <c r="AD819" s="5"/>
      <c r="AE819" s="5"/>
      <c r="AF819" s="1120"/>
      <c r="AG819" s="1148"/>
      <c r="AH819" s="1120"/>
      <c r="AI819" s="1120"/>
      <c r="AJ819" s="1120"/>
    </row>
    <row r="820" spans="2:36" ht="30" customHeight="1" x14ac:dyDescent="0.25">
      <c r="B820" s="5"/>
      <c r="C820" s="5"/>
      <c r="D820" s="5"/>
      <c r="E820" s="5"/>
      <c r="F820" s="5"/>
      <c r="G820" s="5"/>
      <c r="H820" s="5"/>
      <c r="I820" s="5"/>
      <c r="J820" s="5"/>
      <c r="L820" s="277"/>
      <c r="M820" s="5"/>
      <c r="R820" s="5"/>
      <c r="S820" s="5"/>
      <c r="T820" s="1120"/>
      <c r="U820" s="5"/>
      <c r="V820" s="5"/>
      <c r="W820" s="5"/>
      <c r="X820" s="1120"/>
      <c r="Y820" s="1120"/>
      <c r="Z820" s="5"/>
      <c r="AA820" s="5"/>
      <c r="AB820" s="1135"/>
      <c r="AC820" s="5"/>
      <c r="AD820" s="5"/>
      <c r="AE820" s="5"/>
      <c r="AF820" s="1120"/>
      <c r="AG820" s="1148"/>
      <c r="AH820" s="1120"/>
      <c r="AI820" s="1120"/>
      <c r="AJ820" s="1120"/>
    </row>
    <row r="821" spans="2:36" ht="30" customHeight="1" x14ac:dyDescent="0.25">
      <c r="B821" s="5"/>
      <c r="C821" s="5"/>
      <c r="D821" s="5"/>
      <c r="E821" s="5"/>
      <c r="F821" s="5"/>
      <c r="G821" s="5"/>
      <c r="H821" s="5"/>
      <c r="I821" s="5"/>
      <c r="J821" s="5"/>
      <c r="L821" s="277"/>
      <c r="M821" s="5"/>
      <c r="R821" s="5"/>
      <c r="S821" s="5"/>
      <c r="T821" s="1120"/>
      <c r="U821" s="5"/>
      <c r="V821" s="5"/>
      <c r="W821" s="5"/>
      <c r="X821" s="1120"/>
      <c r="Y821" s="1120"/>
      <c r="Z821" s="5"/>
      <c r="AA821" s="5"/>
      <c r="AB821" s="1135"/>
      <c r="AC821" s="5"/>
      <c r="AD821" s="5"/>
      <c r="AE821" s="5"/>
      <c r="AF821" s="1120"/>
      <c r="AG821" s="1148"/>
      <c r="AH821" s="1120"/>
      <c r="AI821" s="1120"/>
      <c r="AJ821" s="1120"/>
    </row>
    <row r="822" spans="2:36" ht="30" customHeight="1" x14ac:dyDescent="0.25">
      <c r="B822" s="5"/>
      <c r="C822" s="5"/>
      <c r="D822" s="5"/>
      <c r="E822" s="5"/>
      <c r="F822" s="5"/>
      <c r="G822" s="5"/>
      <c r="H822" s="5"/>
      <c r="I822" s="5"/>
      <c r="J822" s="5"/>
      <c r="L822" s="277"/>
      <c r="M822" s="5"/>
      <c r="R822" s="5"/>
      <c r="S822" s="5"/>
      <c r="T822" s="1120"/>
      <c r="U822" s="5"/>
      <c r="V822" s="5"/>
      <c r="W822" s="5"/>
      <c r="X822" s="1120"/>
      <c r="Y822" s="1120"/>
      <c r="Z822" s="5"/>
      <c r="AA822" s="5"/>
      <c r="AB822" s="1135"/>
      <c r="AC822" s="5"/>
      <c r="AD822" s="5"/>
      <c r="AE822" s="5"/>
      <c r="AF822" s="1120"/>
      <c r="AG822" s="1148"/>
      <c r="AH822" s="1120"/>
      <c r="AI822" s="1120"/>
      <c r="AJ822" s="1120"/>
    </row>
    <row r="823" spans="2:36" ht="30" customHeight="1" x14ac:dyDescent="0.25">
      <c r="B823" s="5"/>
      <c r="C823" s="5"/>
      <c r="D823" s="5"/>
      <c r="E823" s="5"/>
      <c r="F823" s="5"/>
      <c r="G823" s="5"/>
      <c r="H823" s="5"/>
      <c r="I823" s="5"/>
      <c r="J823" s="5"/>
      <c r="L823" s="277"/>
      <c r="M823" s="5"/>
      <c r="R823" s="5"/>
      <c r="S823" s="5"/>
      <c r="T823" s="1120"/>
      <c r="U823" s="5"/>
      <c r="V823" s="5"/>
      <c r="W823" s="5"/>
      <c r="X823" s="1120"/>
      <c r="Y823" s="1120"/>
      <c r="Z823" s="5"/>
      <c r="AA823" s="5"/>
      <c r="AB823" s="1135"/>
      <c r="AC823" s="5"/>
      <c r="AD823" s="5"/>
      <c r="AE823" s="5"/>
      <c r="AF823" s="1120"/>
      <c r="AG823" s="1148"/>
      <c r="AH823" s="1120"/>
      <c r="AI823" s="1120"/>
      <c r="AJ823" s="1120"/>
    </row>
    <row r="824" spans="2:36" ht="30" customHeight="1" x14ac:dyDescent="0.25">
      <c r="B824" s="5"/>
      <c r="C824" s="5"/>
      <c r="D824" s="5"/>
      <c r="E824" s="5"/>
      <c r="F824" s="5"/>
      <c r="G824" s="5"/>
      <c r="H824" s="5"/>
      <c r="I824" s="5"/>
      <c r="J824" s="5"/>
      <c r="L824" s="277"/>
      <c r="M824" s="5"/>
      <c r="R824" s="5"/>
      <c r="S824" s="5"/>
      <c r="T824" s="1120"/>
      <c r="U824" s="5"/>
      <c r="V824" s="5"/>
      <c r="W824" s="5"/>
      <c r="X824" s="1120"/>
      <c r="Y824" s="1120"/>
      <c r="Z824" s="5"/>
      <c r="AA824" s="5"/>
      <c r="AB824" s="1135"/>
      <c r="AC824" s="5"/>
      <c r="AD824" s="5"/>
      <c r="AE824" s="5"/>
      <c r="AF824" s="1120"/>
      <c r="AG824" s="1148"/>
      <c r="AH824" s="1120"/>
      <c r="AI824" s="1120"/>
      <c r="AJ824" s="1120"/>
    </row>
    <row r="825" spans="2:36" ht="30" customHeight="1" x14ac:dyDescent="0.25">
      <c r="B825" s="5"/>
      <c r="C825" s="5"/>
      <c r="D825" s="5"/>
      <c r="E825" s="5"/>
      <c r="F825" s="5"/>
      <c r="G825" s="5"/>
      <c r="H825" s="5"/>
      <c r="I825" s="5"/>
      <c r="J825" s="5"/>
      <c r="L825" s="277"/>
      <c r="M825" s="5"/>
      <c r="R825" s="5"/>
      <c r="S825" s="5"/>
      <c r="T825" s="1120"/>
      <c r="U825" s="5"/>
      <c r="V825" s="5"/>
      <c r="W825" s="5"/>
      <c r="X825" s="1120"/>
      <c r="Y825" s="1120"/>
      <c r="Z825" s="5"/>
      <c r="AA825" s="5"/>
      <c r="AB825" s="1135"/>
      <c r="AC825" s="5"/>
      <c r="AD825" s="5"/>
      <c r="AE825" s="5"/>
      <c r="AF825" s="1120"/>
      <c r="AG825" s="1148"/>
      <c r="AH825" s="1120"/>
      <c r="AI825" s="1120"/>
      <c r="AJ825" s="1120"/>
    </row>
    <row r="826" spans="2:36" ht="30" customHeight="1" x14ac:dyDescent="0.25">
      <c r="B826" s="5"/>
      <c r="C826" s="5"/>
      <c r="D826" s="5"/>
      <c r="E826" s="5"/>
      <c r="F826" s="5"/>
      <c r="G826" s="5"/>
      <c r="H826" s="5"/>
      <c r="I826" s="5"/>
      <c r="J826" s="5"/>
      <c r="L826" s="277"/>
      <c r="M826" s="5"/>
      <c r="R826" s="5"/>
      <c r="S826" s="5"/>
      <c r="T826" s="1120"/>
      <c r="U826" s="5"/>
      <c r="V826" s="5"/>
      <c r="W826" s="5"/>
      <c r="X826" s="1120"/>
      <c r="Y826" s="1120"/>
      <c r="Z826" s="5"/>
      <c r="AA826" s="5"/>
      <c r="AB826" s="1135"/>
      <c r="AC826" s="5"/>
      <c r="AD826" s="5"/>
      <c r="AE826" s="5"/>
      <c r="AF826" s="1120"/>
      <c r="AG826" s="1148"/>
      <c r="AH826" s="1120"/>
      <c r="AI826" s="1120"/>
      <c r="AJ826" s="1120"/>
    </row>
    <row r="827" spans="2:36" ht="30" customHeight="1" x14ac:dyDescent="0.25">
      <c r="B827" s="5"/>
      <c r="C827" s="5"/>
      <c r="D827" s="5"/>
      <c r="E827" s="5"/>
      <c r="F827" s="5"/>
      <c r="G827" s="5"/>
      <c r="H827" s="5"/>
      <c r="I827" s="5"/>
      <c r="J827" s="5"/>
      <c r="L827" s="277"/>
      <c r="M827" s="5"/>
      <c r="R827" s="5"/>
      <c r="S827" s="5"/>
      <c r="T827" s="1120"/>
      <c r="U827" s="5"/>
      <c r="V827" s="5"/>
      <c r="W827" s="5"/>
      <c r="X827" s="1120"/>
      <c r="Y827" s="1120"/>
      <c r="Z827" s="5"/>
      <c r="AA827" s="5"/>
      <c r="AB827" s="1135"/>
      <c r="AC827" s="5"/>
      <c r="AD827" s="5"/>
      <c r="AE827" s="5"/>
      <c r="AF827" s="1120"/>
      <c r="AG827" s="1148"/>
      <c r="AH827" s="1120"/>
      <c r="AI827" s="1120"/>
      <c r="AJ827" s="1120"/>
    </row>
    <row r="828" spans="2:36" ht="30" customHeight="1" x14ac:dyDescent="0.25">
      <c r="B828" s="5"/>
      <c r="C828" s="5"/>
      <c r="D828" s="5"/>
      <c r="E828" s="5"/>
      <c r="F828" s="5"/>
      <c r="G828" s="5"/>
      <c r="H828" s="5"/>
      <c r="I828" s="5"/>
      <c r="J828" s="5"/>
      <c r="L828" s="277"/>
      <c r="M828" s="5"/>
      <c r="R828" s="5"/>
      <c r="S828" s="5"/>
      <c r="T828" s="1120"/>
      <c r="U828" s="5"/>
      <c r="V828" s="5"/>
      <c r="W828" s="5"/>
      <c r="X828" s="1120"/>
      <c r="Y828" s="1120"/>
      <c r="Z828" s="5"/>
      <c r="AA828" s="5"/>
      <c r="AB828" s="1135"/>
      <c r="AC828" s="5"/>
      <c r="AD828" s="5"/>
      <c r="AE828" s="5"/>
      <c r="AF828" s="1120"/>
      <c r="AG828" s="1148"/>
      <c r="AH828" s="1120"/>
      <c r="AI828" s="1120"/>
      <c r="AJ828" s="1120"/>
    </row>
    <row r="829" spans="2:36" ht="30" customHeight="1" x14ac:dyDescent="0.25">
      <c r="B829" s="5"/>
      <c r="C829" s="5"/>
      <c r="D829" s="5"/>
      <c r="E829" s="5"/>
      <c r="F829" s="5"/>
      <c r="G829" s="5"/>
      <c r="H829" s="5"/>
      <c r="I829" s="5"/>
      <c r="J829" s="5"/>
      <c r="L829" s="277"/>
      <c r="M829" s="5"/>
      <c r="R829" s="5"/>
      <c r="S829" s="5"/>
      <c r="T829" s="1120"/>
      <c r="U829" s="5"/>
      <c r="V829" s="5"/>
      <c r="W829" s="5"/>
      <c r="X829" s="1120"/>
      <c r="Y829" s="1120"/>
      <c r="Z829" s="5"/>
      <c r="AA829" s="5"/>
      <c r="AB829" s="1135"/>
      <c r="AC829" s="5"/>
      <c r="AD829" s="5"/>
      <c r="AE829" s="5"/>
      <c r="AF829" s="1120"/>
      <c r="AG829" s="1148"/>
      <c r="AH829" s="1120"/>
      <c r="AI829" s="1120"/>
      <c r="AJ829" s="1120"/>
    </row>
    <row r="830" spans="2:36" ht="30" customHeight="1" x14ac:dyDescent="0.25">
      <c r="B830" s="5"/>
      <c r="C830" s="5"/>
      <c r="D830" s="5"/>
      <c r="E830" s="5"/>
      <c r="F830" s="5"/>
      <c r="G830" s="5"/>
      <c r="H830" s="5"/>
      <c r="I830" s="5"/>
      <c r="J830" s="5"/>
      <c r="L830" s="277"/>
      <c r="M830" s="5"/>
      <c r="R830" s="5"/>
      <c r="S830" s="5"/>
      <c r="T830" s="1120"/>
      <c r="U830" s="5"/>
      <c r="V830" s="5"/>
      <c r="W830" s="5"/>
      <c r="X830" s="1120"/>
      <c r="Y830" s="1120"/>
      <c r="Z830" s="5"/>
      <c r="AA830" s="5"/>
      <c r="AB830" s="1135"/>
      <c r="AC830" s="5"/>
      <c r="AD830" s="5"/>
      <c r="AE830" s="5"/>
      <c r="AF830" s="1120"/>
      <c r="AG830" s="1148"/>
      <c r="AH830" s="1120"/>
      <c r="AI830" s="1120"/>
      <c r="AJ830" s="1120"/>
    </row>
    <row r="831" spans="2:36" ht="30" customHeight="1" x14ac:dyDescent="0.25">
      <c r="B831" s="5"/>
      <c r="C831" s="5"/>
      <c r="D831" s="5"/>
      <c r="E831" s="5"/>
      <c r="F831" s="5"/>
      <c r="G831" s="5"/>
      <c r="H831" s="5"/>
      <c r="I831" s="5"/>
      <c r="J831" s="5"/>
      <c r="L831" s="277"/>
      <c r="M831" s="5"/>
      <c r="R831" s="5"/>
      <c r="S831" s="5"/>
      <c r="T831" s="1120"/>
      <c r="U831" s="5"/>
      <c r="V831" s="5"/>
      <c r="W831" s="5"/>
      <c r="X831" s="1120"/>
      <c r="Y831" s="1120"/>
      <c r="Z831" s="5"/>
      <c r="AA831" s="5"/>
      <c r="AB831" s="1135"/>
      <c r="AC831" s="5"/>
      <c r="AD831" s="5"/>
      <c r="AE831" s="5"/>
      <c r="AF831" s="1120"/>
      <c r="AG831" s="1148"/>
      <c r="AH831" s="1120"/>
      <c r="AI831" s="1120"/>
      <c r="AJ831" s="1120"/>
    </row>
    <row r="832" spans="2:36" ht="30" customHeight="1" x14ac:dyDescent="0.25">
      <c r="B832" s="5"/>
      <c r="C832" s="5"/>
      <c r="D832" s="5"/>
      <c r="E832" s="5"/>
      <c r="F832" s="5"/>
      <c r="G832" s="5"/>
      <c r="H832" s="5"/>
      <c r="I832" s="5"/>
      <c r="J832" s="5"/>
      <c r="L832" s="277"/>
      <c r="M832" s="5"/>
      <c r="R832" s="5"/>
      <c r="S832" s="5"/>
      <c r="T832" s="1120"/>
      <c r="U832" s="5"/>
      <c r="V832" s="5"/>
      <c r="W832" s="5"/>
      <c r="X832" s="1120"/>
      <c r="Y832" s="1120"/>
      <c r="Z832" s="5"/>
      <c r="AA832" s="5"/>
      <c r="AB832" s="1135"/>
      <c r="AC832" s="5"/>
      <c r="AD832" s="5"/>
      <c r="AE832" s="5"/>
      <c r="AF832" s="1120"/>
      <c r="AG832" s="1148"/>
      <c r="AH832" s="1120"/>
      <c r="AI832" s="1120"/>
      <c r="AJ832" s="1120"/>
    </row>
    <row r="833" spans="2:36" ht="30" customHeight="1" x14ac:dyDescent="0.25">
      <c r="B833" s="5"/>
      <c r="C833" s="5"/>
      <c r="D833" s="5"/>
      <c r="E833" s="5"/>
      <c r="F833" s="5"/>
      <c r="G833" s="5"/>
      <c r="H833" s="5"/>
      <c r="I833" s="5"/>
      <c r="J833" s="5"/>
      <c r="L833" s="277"/>
      <c r="M833" s="5"/>
      <c r="R833" s="5"/>
      <c r="S833" s="5"/>
      <c r="T833" s="1120"/>
      <c r="U833" s="5"/>
      <c r="V833" s="5"/>
      <c r="W833" s="5"/>
      <c r="X833" s="1120"/>
      <c r="Y833" s="1120"/>
      <c r="Z833" s="5"/>
      <c r="AA833" s="5"/>
      <c r="AB833" s="1135"/>
      <c r="AC833" s="5"/>
      <c r="AD833" s="5"/>
      <c r="AE833" s="5"/>
      <c r="AF833" s="1120"/>
      <c r="AG833" s="1148"/>
      <c r="AH833" s="1120"/>
      <c r="AI833" s="1120"/>
      <c r="AJ833" s="1120"/>
    </row>
    <row r="834" spans="2:36" ht="30" customHeight="1" x14ac:dyDescent="0.25">
      <c r="B834" s="5"/>
      <c r="C834" s="5"/>
      <c r="D834" s="5"/>
      <c r="E834" s="5"/>
      <c r="F834" s="5"/>
      <c r="G834" s="5"/>
      <c r="H834" s="5"/>
      <c r="I834" s="5"/>
      <c r="J834" s="5"/>
      <c r="L834" s="277"/>
      <c r="M834" s="5"/>
      <c r="R834" s="5"/>
      <c r="S834" s="5"/>
      <c r="T834" s="1120"/>
      <c r="U834" s="5"/>
      <c r="V834" s="5"/>
      <c r="W834" s="5"/>
      <c r="X834" s="1120"/>
      <c r="Y834" s="1120"/>
      <c r="Z834" s="5"/>
      <c r="AA834" s="5"/>
      <c r="AB834" s="1135"/>
      <c r="AC834" s="5"/>
      <c r="AD834" s="5"/>
      <c r="AE834" s="5"/>
      <c r="AF834" s="1120"/>
      <c r="AG834" s="1148"/>
      <c r="AH834" s="1120"/>
      <c r="AI834" s="1120"/>
      <c r="AJ834" s="1120"/>
    </row>
    <row r="835" spans="2:36" ht="30" customHeight="1" x14ac:dyDescent="0.25">
      <c r="B835" s="5"/>
      <c r="C835" s="5"/>
      <c r="D835" s="5"/>
      <c r="E835" s="5"/>
      <c r="F835" s="5"/>
      <c r="G835" s="5"/>
      <c r="H835" s="5"/>
      <c r="I835" s="5"/>
      <c r="J835" s="5"/>
      <c r="L835" s="277"/>
      <c r="M835" s="5"/>
      <c r="R835" s="5"/>
      <c r="S835" s="5"/>
      <c r="T835" s="1120"/>
      <c r="U835" s="5"/>
      <c r="V835" s="5"/>
      <c r="W835" s="5"/>
      <c r="X835" s="1120"/>
      <c r="Y835" s="1120"/>
      <c r="Z835" s="5"/>
      <c r="AA835" s="5"/>
      <c r="AB835" s="1135"/>
      <c r="AC835" s="5"/>
      <c r="AD835" s="5"/>
      <c r="AE835" s="5"/>
      <c r="AF835" s="1120"/>
      <c r="AG835" s="1148"/>
      <c r="AH835" s="1120"/>
      <c r="AI835" s="1120"/>
      <c r="AJ835" s="1120"/>
    </row>
    <row r="836" spans="2:36" ht="30" customHeight="1" x14ac:dyDescent="0.25">
      <c r="B836" s="5"/>
      <c r="C836" s="5"/>
      <c r="D836" s="5"/>
      <c r="E836" s="5"/>
      <c r="F836" s="5"/>
      <c r="G836" s="5"/>
      <c r="H836" s="5"/>
      <c r="I836" s="5"/>
      <c r="J836" s="5"/>
      <c r="L836" s="277"/>
      <c r="M836" s="5"/>
      <c r="R836" s="5"/>
      <c r="S836" s="5"/>
      <c r="T836" s="1120"/>
      <c r="U836" s="5"/>
      <c r="V836" s="5"/>
      <c r="W836" s="5"/>
      <c r="X836" s="1120"/>
      <c r="Y836" s="1120"/>
      <c r="Z836" s="5"/>
      <c r="AA836" s="5"/>
      <c r="AB836" s="1135"/>
      <c r="AC836" s="5"/>
      <c r="AD836" s="5"/>
      <c r="AE836" s="5"/>
      <c r="AF836" s="1120"/>
      <c r="AG836" s="1148"/>
      <c r="AH836" s="1120"/>
      <c r="AI836" s="1120"/>
      <c r="AJ836" s="1120"/>
    </row>
    <row r="837" spans="2:36" ht="30" customHeight="1" x14ac:dyDescent="0.25">
      <c r="B837" s="5"/>
      <c r="C837" s="5"/>
      <c r="D837" s="5"/>
      <c r="E837" s="5"/>
      <c r="F837" s="5"/>
      <c r="G837" s="5"/>
      <c r="H837" s="5"/>
      <c r="I837" s="5"/>
      <c r="J837" s="5"/>
      <c r="L837" s="277"/>
      <c r="M837" s="5"/>
      <c r="R837" s="5"/>
      <c r="S837" s="5"/>
      <c r="T837" s="1120"/>
      <c r="U837" s="5"/>
      <c r="V837" s="5"/>
      <c r="W837" s="5"/>
      <c r="X837" s="1120"/>
      <c r="Y837" s="1120"/>
      <c r="Z837" s="5"/>
      <c r="AA837" s="5"/>
      <c r="AB837" s="1135"/>
      <c r="AC837" s="5"/>
      <c r="AD837" s="5"/>
      <c r="AE837" s="5"/>
      <c r="AF837" s="1120"/>
      <c r="AG837" s="1148"/>
      <c r="AH837" s="1120"/>
      <c r="AI837" s="1120"/>
      <c r="AJ837" s="1120"/>
    </row>
    <row r="838" spans="2:36" ht="30" customHeight="1" x14ac:dyDescent="0.25">
      <c r="B838" s="5"/>
      <c r="C838" s="5"/>
      <c r="D838" s="5"/>
      <c r="E838" s="5"/>
      <c r="F838" s="5"/>
      <c r="G838" s="5"/>
      <c r="H838" s="5"/>
      <c r="I838" s="5"/>
      <c r="J838" s="5"/>
      <c r="L838" s="277"/>
      <c r="M838" s="5"/>
      <c r="R838" s="5"/>
      <c r="S838" s="5"/>
      <c r="T838" s="1120"/>
      <c r="U838" s="5"/>
      <c r="V838" s="5"/>
      <c r="W838" s="5"/>
      <c r="X838" s="1120"/>
      <c r="Y838" s="1120"/>
      <c r="Z838" s="5"/>
      <c r="AA838" s="5"/>
      <c r="AB838" s="1135"/>
      <c r="AC838" s="5"/>
      <c r="AD838" s="5"/>
      <c r="AE838" s="5"/>
      <c r="AF838" s="1120"/>
      <c r="AG838" s="1148"/>
      <c r="AH838" s="1120"/>
      <c r="AI838" s="1120"/>
      <c r="AJ838" s="1120"/>
    </row>
    <row r="839" spans="2:36" ht="30" customHeight="1" x14ac:dyDescent="0.25">
      <c r="B839" s="5"/>
      <c r="C839" s="5"/>
      <c r="D839" s="5"/>
      <c r="E839" s="5"/>
      <c r="F839" s="5"/>
      <c r="G839" s="5"/>
      <c r="H839" s="5"/>
      <c r="I839" s="5"/>
      <c r="J839" s="5"/>
      <c r="L839" s="277"/>
      <c r="M839" s="5"/>
      <c r="R839" s="5"/>
      <c r="S839" s="5"/>
      <c r="T839" s="1120"/>
      <c r="U839" s="5"/>
      <c r="V839" s="5"/>
      <c r="W839" s="5"/>
      <c r="X839" s="1120"/>
      <c r="Y839" s="1120"/>
      <c r="Z839" s="5"/>
      <c r="AA839" s="5"/>
      <c r="AB839" s="1135"/>
      <c r="AC839" s="5"/>
      <c r="AD839" s="5"/>
      <c r="AE839" s="5"/>
      <c r="AF839" s="1120"/>
      <c r="AG839" s="1148"/>
      <c r="AH839" s="1120"/>
      <c r="AI839" s="1120"/>
      <c r="AJ839" s="1120"/>
    </row>
    <row r="840" spans="2:36" ht="30" customHeight="1" x14ac:dyDescent="0.25">
      <c r="B840" s="5"/>
      <c r="C840" s="5"/>
      <c r="D840" s="5"/>
      <c r="E840" s="5"/>
      <c r="F840" s="5"/>
      <c r="G840" s="5"/>
      <c r="H840" s="5"/>
      <c r="I840" s="5"/>
      <c r="J840" s="5"/>
      <c r="L840" s="277"/>
      <c r="M840" s="5"/>
      <c r="R840" s="5"/>
      <c r="S840" s="5"/>
      <c r="T840" s="1120"/>
      <c r="U840" s="5"/>
      <c r="V840" s="5"/>
      <c r="W840" s="5"/>
      <c r="X840" s="1120"/>
      <c r="Y840" s="1120"/>
      <c r="Z840" s="5"/>
      <c r="AA840" s="5"/>
      <c r="AB840" s="1135"/>
      <c r="AC840" s="5"/>
      <c r="AD840" s="5"/>
      <c r="AE840" s="5"/>
      <c r="AF840" s="1120"/>
      <c r="AG840" s="1148"/>
      <c r="AH840" s="1120"/>
      <c r="AI840" s="1120"/>
      <c r="AJ840" s="1120"/>
    </row>
    <row r="841" spans="2:36" ht="30" customHeight="1" x14ac:dyDescent="0.25">
      <c r="B841" s="5"/>
      <c r="C841" s="5"/>
      <c r="D841" s="5"/>
      <c r="E841" s="5"/>
      <c r="F841" s="5"/>
      <c r="G841" s="5"/>
      <c r="H841" s="5"/>
      <c r="I841" s="5"/>
      <c r="J841" s="5"/>
      <c r="L841" s="277"/>
      <c r="M841" s="5"/>
      <c r="R841" s="5"/>
      <c r="S841" s="5"/>
      <c r="T841" s="1120"/>
      <c r="U841" s="5"/>
      <c r="V841" s="5"/>
      <c r="W841" s="5"/>
      <c r="X841" s="1120"/>
      <c r="Y841" s="1120"/>
      <c r="Z841" s="5"/>
      <c r="AA841" s="5"/>
      <c r="AB841" s="1135"/>
      <c r="AC841" s="5"/>
      <c r="AD841" s="5"/>
      <c r="AE841" s="5"/>
      <c r="AF841" s="1120"/>
      <c r="AG841" s="1148"/>
      <c r="AH841" s="1120"/>
      <c r="AI841" s="1120"/>
      <c r="AJ841" s="1120"/>
    </row>
    <row r="842" spans="2:36" ht="30" customHeight="1" x14ac:dyDescent="0.25">
      <c r="B842" s="5"/>
      <c r="C842" s="5"/>
      <c r="D842" s="5"/>
      <c r="E842" s="5"/>
      <c r="F842" s="5"/>
      <c r="G842" s="5"/>
      <c r="H842" s="5"/>
      <c r="I842" s="5"/>
      <c r="J842" s="5"/>
      <c r="L842" s="277"/>
      <c r="M842" s="5"/>
      <c r="R842" s="5"/>
      <c r="S842" s="5"/>
      <c r="T842" s="1120"/>
      <c r="U842" s="5"/>
      <c r="V842" s="5"/>
      <c r="W842" s="5"/>
      <c r="X842" s="1120"/>
      <c r="Y842" s="1120"/>
      <c r="Z842" s="5"/>
      <c r="AA842" s="5"/>
      <c r="AB842" s="1135"/>
      <c r="AC842" s="5"/>
      <c r="AD842" s="5"/>
      <c r="AE842" s="5"/>
      <c r="AF842" s="1120"/>
      <c r="AG842" s="1148"/>
      <c r="AH842" s="1120"/>
      <c r="AI842" s="1120"/>
      <c r="AJ842" s="1120"/>
    </row>
    <row r="843" spans="2:36" ht="30" customHeight="1" x14ac:dyDescent="0.25">
      <c r="B843" s="5"/>
      <c r="C843" s="5"/>
      <c r="D843" s="5"/>
      <c r="E843" s="5"/>
      <c r="F843" s="5"/>
      <c r="G843" s="5"/>
      <c r="H843" s="5"/>
      <c r="I843" s="5"/>
      <c r="J843" s="5"/>
      <c r="L843" s="277"/>
      <c r="M843" s="5"/>
      <c r="R843" s="5"/>
      <c r="S843" s="5"/>
      <c r="T843" s="1120"/>
      <c r="U843" s="5"/>
      <c r="V843" s="5"/>
      <c r="W843" s="5"/>
      <c r="X843" s="1120"/>
      <c r="Y843" s="1120"/>
      <c r="Z843" s="5"/>
      <c r="AA843" s="5"/>
      <c r="AB843" s="1135"/>
      <c r="AC843" s="5"/>
      <c r="AD843" s="5"/>
      <c r="AE843" s="5"/>
      <c r="AF843" s="1120"/>
      <c r="AG843" s="1148"/>
      <c r="AH843" s="1120"/>
      <c r="AI843" s="1120"/>
      <c r="AJ843" s="1120"/>
    </row>
    <row r="844" spans="2:36" ht="30" customHeight="1" x14ac:dyDescent="0.25">
      <c r="B844" s="5"/>
      <c r="C844" s="5"/>
      <c r="D844" s="5"/>
      <c r="E844" s="5"/>
      <c r="F844" s="5"/>
      <c r="G844" s="5"/>
      <c r="H844" s="5"/>
      <c r="I844" s="5"/>
      <c r="J844" s="5"/>
      <c r="L844" s="277"/>
      <c r="M844" s="5"/>
      <c r="R844" s="5"/>
      <c r="S844" s="5"/>
      <c r="T844" s="1120"/>
      <c r="U844" s="5"/>
      <c r="V844" s="5"/>
      <c r="W844" s="5"/>
      <c r="X844" s="1120"/>
      <c r="Y844" s="1120"/>
      <c r="Z844" s="5"/>
      <c r="AA844" s="5"/>
      <c r="AB844" s="1135"/>
      <c r="AC844" s="5"/>
      <c r="AD844" s="5"/>
      <c r="AE844" s="5"/>
      <c r="AF844" s="1120"/>
      <c r="AG844" s="1148"/>
      <c r="AH844" s="1120"/>
      <c r="AI844" s="1120"/>
      <c r="AJ844" s="1120"/>
    </row>
    <row r="845" spans="2:36" ht="30" customHeight="1" x14ac:dyDescent="0.25">
      <c r="B845" s="5"/>
      <c r="C845" s="5"/>
      <c r="D845" s="5"/>
      <c r="E845" s="5"/>
      <c r="F845" s="5"/>
      <c r="G845" s="5"/>
      <c r="H845" s="5"/>
      <c r="I845" s="5"/>
      <c r="J845" s="5"/>
      <c r="L845" s="277"/>
      <c r="M845" s="5"/>
      <c r="R845" s="5"/>
      <c r="S845" s="5"/>
      <c r="T845" s="1120"/>
      <c r="U845" s="5"/>
      <c r="V845" s="5"/>
      <c r="W845" s="5"/>
      <c r="X845" s="1120"/>
      <c r="Y845" s="1120"/>
      <c r="Z845" s="5"/>
      <c r="AA845" s="5"/>
      <c r="AB845" s="1135"/>
      <c r="AC845" s="5"/>
      <c r="AD845" s="5"/>
      <c r="AE845" s="5"/>
      <c r="AF845" s="1120"/>
      <c r="AG845" s="1148"/>
      <c r="AH845" s="1120"/>
      <c r="AI845" s="1120"/>
      <c r="AJ845" s="1120"/>
    </row>
    <row r="846" spans="2:36" ht="30" customHeight="1" x14ac:dyDescent="0.25">
      <c r="B846" s="5"/>
      <c r="C846" s="5"/>
      <c r="D846" s="5"/>
      <c r="E846" s="5"/>
      <c r="F846" s="5"/>
      <c r="G846" s="5"/>
      <c r="H846" s="5"/>
      <c r="I846" s="5"/>
      <c r="J846" s="5"/>
      <c r="L846" s="277"/>
      <c r="M846" s="5"/>
      <c r="R846" s="5"/>
      <c r="S846" s="5"/>
      <c r="T846" s="1120"/>
      <c r="U846" s="5"/>
      <c r="V846" s="5"/>
      <c r="W846" s="5"/>
      <c r="X846" s="1120"/>
      <c r="Y846" s="1120"/>
      <c r="Z846" s="5"/>
      <c r="AA846" s="5"/>
      <c r="AB846" s="1135"/>
      <c r="AC846" s="5"/>
      <c r="AD846" s="5"/>
      <c r="AE846" s="5"/>
      <c r="AF846" s="1120"/>
      <c r="AG846" s="1148"/>
      <c r="AH846" s="1120"/>
      <c r="AI846" s="1120"/>
      <c r="AJ846" s="1120"/>
    </row>
    <row r="847" spans="2:36" ht="30" customHeight="1" x14ac:dyDescent="0.25">
      <c r="B847" s="5"/>
      <c r="C847" s="5"/>
      <c r="D847" s="5"/>
      <c r="E847" s="5"/>
      <c r="F847" s="5"/>
      <c r="G847" s="5"/>
      <c r="H847" s="5"/>
      <c r="I847" s="5"/>
      <c r="J847" s="5"/>
      <c r="L847" s="277"/>
      <c r="M847" s="5"/>
      <c r="R847" s="5"/>
      <c r="S847" s="5"/>
      <c r="T847" s="1120"/>
      <c r="U847" s="5"/>
      <c r="V847" s="5"/>
      <c r="W847" s="5"/>
      <c r="X847" s="1120"/>
      <c r="Y847" s="1120"/>
      <c r="Z847" s="5"/>
      <c r="AA847" s="5"/>
      <c r="AB847" s="1135"/>
      <c r="AC847" s="5"/>
      <c r="AD847" s="5"/>
      <c r="AE847" s="5"/>
      <c r="AF847" s="1120"/>
      <c r="AG847" s="1148"/>
      <c r="AH847" s="1120"/>
      <c r="AI847" s="1120"/>
      <c r="AJ847" s="1120"/>
    </row>
    <row r="848" spans="2:36" ht="30" customHeight="1" x14ac:dyDescent="0.25">
      <c r="B848" s="5"/>
      <c r="C848" s="5"/>
      <c r="D848" s="5"/>
      <c r="E848" s="5"/>
      <c r="F848" s="5"/>
      <c r="G848" s="5"/>
      <c r="H848" s="5"/>
      <c r="I848" s="5"/>
      <c r="J848" s="5"/>
      <c r="L848" s="277"/>
      <c r="M848" s="5"/>
      <c r="R848" s="5"/>
      <c r="S848" s="5"/>
      <c r="T848" s="1120"/>
      <c r="U848" s="5"/>
      <c r="V848" s="5"/>
      <c r="W848" s="5"/>
      <c r="X848" s="1120"/>
      <c r="Y848" s="1120"/>
      <c r="Z848" s="5"/>
      <c r="AA848" s="5"/>
      <c r="AB848" s="1135"/>
      <c r="AC848" s="5"/>
      <c r="AD848" s="5"/>
      <c r="AE848" s="5"/>
      <c r="AF848" s="1120"/>
      <c r="AG848" s="1148"/>
      <c r="AH848" s="1120"/>
      <c r="AI848" s="1120"/>
      <c r="AJ848" s="1120"/>
    </row>
    <row r="849" spans="2:36" ht="30" customHeight="1" x14ac:dyDescent="0.25">
      <c r="B849" s="5"/>
      <c r="C849" s="5"/>
      <c r="D849" s="5"/>
      <c r="E849" s="5"/>
      <c r="F849" s="5"/>
      <c r="G849" s="5"/>
      <c r="H849" s="5"/>
      <c r="I849" s="5"/>
      <c r="J849" s="5"/>
      <c r="L849" s="277"/>
      <c r="M849" s="5"/>
      <c r="R849" s="5"/>
      <c r="S849" s="5"/>
      <c r="T849" s="1120"/>
      <c r="U849" s="5"/>
      <c r="V849" s="5"/>
      <c r="W849" s="5"/>
      <c r="X849" s="1120"/>
      <c r="Y849" s="1120"/>
      <c r="Z849" s="5"/>
      <c r="AA849" s="5"/>
      <c r="AB849" s="1135"/>
      <c r="AC849" s="5"/>
      <c r="AD849" s="5"/>
      <c r="AE849" s="5"/>
      <c r="AF849" s="1120"/>
      <c r="AG849" s="1148"/>
      <c r="AH849" s="1120"/>
      <c r="AI849" s="1120"/>
      <c r="AJ849" s="1120"/>
    </row>
    <row r="850" spans="2:36" ht="30" customHeight="1" x14ac:dyDescent="0.25">
      <c r="B850" s="5"/>
      <c r="C850" s="5"/>
      <c r="D850" s="5"/>
      <c r="E850" s="5"/>
      <c r="F850" s="5"/>
      <c r="G850" s="5"/>
      <c r="H850" s="5"/>
      <c r="I850" s="5"/>
      <c r="J850" s="5"/>
      <c r="L850" s="277"/>
      <c r="M850" s="5"/>
      <c r="R850" s="5"/>
      <c r="S850" s="5"/>
      <c r="T850" s="1120"/>
      <c r="U850" s="5"/>
      <c r="V850" s="5"/>
      <c r="W850" s="5"/>
      <c r="X850" s="1120"/>
      <c r="Y850" s="1120"/>
      <c r="Z850" s="5"/>
      <c r="AA850" s="5"/>
      <c r="AB850" s="1135"/>
      <c r="AC850" s="5"/>
      <c r="AD850" s="5"/>
      <c r="AE850" s="5"/>
      <c r="AF850" s="1120"/>
      <c r="AG850" s="1148"/>
      <c r="AH850" s="1120"/>
      <c r="AI850" s="1120"/>
      <c r="AJ850" s="1120"/>
    </row>
    <row r="851" spans="2:36" ht="30" customHeight="1" x14ac:dyDescent="0.25">
      <c r="B851" s="5"/>
      <c r="C851" s="5"/>
      <c r="D851" s="5"/>
      <c r="E851" s="5"/>
      <c r="F851" s="5"/>
      <c r="G851" s="5"/>
      <c r="H851" s="5"/>
      <c r="I851" s="5"/>
      <c r="J851" s="5"/>
      <c r="L851" s="277"/>
      <c r="M851" s="5"/>
      <c r="R851" s="5"/>
      <c r="S851" s="5"/>
      <c r="T851" s="1120"/>
      <c r="U851" s="5"/>
      <c r="V851" s="5"/>
      <c r="W851" s="5"/>
      <c r="X851" s="1120"/>
      <c r="Y851" s="1120"/>
      <c r="Z851" s="5"/>
      <c r="AA851" s="5"/>
      <c r="AB851" s="1135"/>
      <c r="AC851" s="5"/>
      <c r="AD851" s="5"/>
      <c r="AE851" s="5"/>
      <c r="AF851" s="1120"/>
      <c r="AG851" s="1148"/>
      <c r="AH851" s="1120"/>
      <c r="AI851" s="1120"/>
      <c r="AJ851" s="1120"/>
    </row>
    <row r="852" spans="2:36" ht="30" customHeight="1" x14ac:dyDescent="0.25">
      <c r="B852" s="5"/>
      <c r="C852" s="5"/>
      <c r="D852" s="5"/>
      <c r="E852" s="5"/>
      <c r="F852" s="5"/>
      <c r="G852" s="5"/>
      <c r="H852" s="5"/>
      <c r="I852" s="5"/>
      <c r="J852" s="5"/>
      <c r="L852" s="277"/>
      <c r="M852" s="5"/>
      <c r="R852" s="5"/>
      <c r="S852" s="5"/>
      <c r="T852" s="1120"/>
      <c r="U852" s="5"/>
      <c r="V852" s="5"/>
      <c r="W852" s="5"/>
      <c r="X852" s="1120"/>
      <c r="Y852" s="1120"/>
      <c r="Z852" s="5"/>
      <c r="AA852" s="5"/>
      <c r="AB852" s="1135"/>
      <c r="AC852" s="5"/>
      <c r="AD852" s="5"/>
      <c r="AE852" s="5"/>
      <c r="AF852" s="1120"/>
      <c r="AG852" s="1148"/>
      <c r="AH852" s="1120"/>
      <c r="AI852" s="1120"/>
      <c r="AJ852" s="1120"/>
    </row>
    <row r="853" spans="2:36" ht="30" customHeight="1" x14ac:dyDescent="0.25">
      <c r="B853" s="5"/>
      <c r="C853" s="5"/>
      <c r="D853" s="5"/>
      <c r="E853" s="5"/>
      <c r="F853" s="5"/>
      <c r="G853" s="5"/>
      <c r="H853" s="5"/>
      <c r="I853" s="5"/>
      <c r="J853" s="5"/>
      <c r="L853" s="277"/>
      <c r="M853" s="5"/>
      <c r="R853" s="5"/>
      <c r="S853" s="5"/>
      <c r="T853" s="1120"/>
      <c r="U853" s="5"/>
      <c r="V853" s="5"/>
      <c r="W853" s="5"/>
      <c r="X853" s="1120"/>
      <c r="Y853" s="1120"/>
      <c r="Z853" s="5"/>
      <c r="AA853" s="5"/>
      <c r="AB853" s="1135"/>
      <c r="AC853" s="5"/>
      <c r="AD853" s="5"/>
      <c r="AE853" s="5"/>
      <c r="AF853" s="1120"/>
      <c r="AG853" s="1148"/>
      <c r="AH853" s="1120"/>
      <c r="AI853" s="1120"/>
      <c r="AJ853" s="1120"/>
    </row>
    <row r="854" spans="2:36" ht="30" customHeight="1" x14ac:dyDescent="0.25">
      <c r="B854" s="5"/>
      <c r="C854" s="5"/>
      <c r="D854" s="5"/>
      <c r="E854" s="5"/>
      <c r="F854" s="5"/>
      <c r="G854" s="5"/>
      <c r="H854" s="5"/>
      <c r="I854" s="5"/>
      <c r="J854" s="5"/>
      <c r="L854" s="277"/>
      <c r="M854" s="5"/>
      <c r="R854" s="5"/>
      <c r="S854" s="5"/>
      <c r="T854" s="1120"/>
      <c r="U854" s="5"/>
      <c r="V854" s="5"/>
      <c r="W854" s="5"/>
      <c r="X854" s="1120"/>
      <c r="Y854" s="1120"/>
      <c r="Z854" s="5"/>
      <c r="AA854" s="5"/>
      <c r="AB854" s="1135"/>
      <c r="AC854" s="5"/>
      <c r="AD854" s="5"/>
      <c r="AE854" s="5"/>
      <c r="AF854" s="1120"/>
      <c r="AG854" s="1148"/>
      <c r="AH854" s="1120"/>
      <c r="AI854" s="1120"/>
      <c r="AJ854" s="1120"/>
    </row>
    <row r="855" spans="2:36" ht="30" customHeight="1" x14ac:dyDescent="0.25">
      <c r="B855" s="5"/>
      <c r="C855" s="5"/>
      <c r="D855" s="5"/>
      <c r="E855" s="5"/>
      <c r="F855" s="5"/>
      <c r="G855" s="5"/>
      <c r="H855" s="5"/>
      <c r="I855" s="5"/>
      <c r="J855" s="5"/>
      <c r="L855" s="277"/>
      <c r="M855" s="5"/>
      <c r="R855" s="5"/>
      <c r="S855" s="5"/>
      <c r="T855" s="1120"/>
      <c r="U855" s="5"/>
      <c r="V855" s="5"/>
      <c r="W855" s="5"/>
      <c r="X855" s="1120"/>
      <c r="Y855" s="1120"/>
      <c r="Z855" s="5"/>
      <c r="AA855" s="5"/>
      <c r="AB855" s="1135"/>
      <c r="AC855" s="5"/>
      <c r="AD855" s="5"/>
      <c r="AE855" s="5"/>
      <c r="AF855" s="1120"/>
      <c r="AG855" s="1148"/>
      <c r="AH855" s="1120"/>
      <c r="AI855" s="1120"/>
      <c r="AJ855" s="1120"/>
    </row>
    <row r="856" spans="2:36" ht="30" customHeight="1" x14ac:dyDescent="0.25">
      <c r="B856" s="5"/>
      <c r="C856" s="5"/>
      <c r="D856" s="5"/>
      <c r="E856" s="5"/>
      <c r="F856" s="5"/>
      <c r="G856" s="5"/>
      <c r="H856" s="5"/>
      <c r="I856" s="5"/>
      <c r="J856" s="5"/>
      <c r="L856" s="277"/>
      <c r="M856" s="5"/>
      <c r="R856" s="5"/>
      <c r="S856" s="5"/>
      <c r="T856" s="1120"/>
      <c r="U856" s="5"/>
      <c r="V856" s="5"/>
      <c r="W856" s="5"/>
      <c r="X856" s="1120"/>
      <c r="Y856" s="1120"/>
      <c r="Z856" s="5"/>
      <c r="AA856" s="5"/>
      <c r="AB856" s="1135"/>
      <c r="AC856" s="5"/>
      <c r="AD856" s="5"/>
      <c r="AE856" s="5"/>
      <c r="AF856" s="1120"/>
      <c r="AG856" s="1148"/>
      <c r="AH856" s="1120"/>
      <c r="AI856" s="1120"/>
      <c r="AJ856" s="1120"/>
    </row>
    <row r="857" spans="2:36" ht="30" customHeight="1" x14ac:dyDescent="0.25">
      <c r="B857" s="5"/>
      <c r="C857" s="5"/>
      <c r="D857" s="5"/>
      <c r="E857" s="5"/>
      <c r="F857" s="5"/>
      <c r="G857" s="5"/>
      <c r="H857" s="5"/>
      <c r="I857" s="5"/>
      <c r="J857" s="5"/>
      <c r="L857" s="277"/>
      <c r="M857" s="5"/>
      <c r="R857" s="5"/>
      <c r="S857" s="5"/>
      <c r="T857" s="1120"/>
      <c r="U857" s="5"/>
      <c r="V857" s="5"/>
      <c r="W857" s="5"/>
      <c r="X857" s="1120"/>
      <c r="Y857" s="1120"/>
      <c r="Z857" s="5"/>
      <c r="AA857" s="5"/>
      <c r="AB857" s="1135"/>
      <c r="AC857" s="5"/>
      <c r="AD857" s="5"/>
      <c r="AE857" s="5"/>
      <c r="AF857" s="1120"/>
      <c r="AG857" s="1148"/>
      <c r="AH857" s="1120"/>
      <c r="AI857" s="1120"/>
      <c r="AJ857" s="1120"/>
    </row>
    <row r="858" spans="2:36" ht="30" customHeight="1" x14ac:dyDescent="0.25">
      <c r="B858" s="5"/>
      <c r="C858" s="5"/>
      <c r="D858" s="5"/>
      <c r="E858" s="5"/>
      <c r="F858" s="5"/>
      <c r="G858" s="5"/>
      <c r="H858" s="5"/>
      <c r="I858" s="5"/>
      <c r="J858" s="5"/>
      <c r="L858" s="277"/>
      <c r="M858" s="5"/>
      <c r="R858" s="5"/>
      <c r="S858" s="5"/>
      <c r="T858" s="1120"/>
      <c r="U858" s="5"/>
      <c r="V858" s="5"/>
      <c r="W858" s="5"/>
      <c r="X858" s="1120"/>
      <c r="Y858" s="1120"/>
      <c r="Z858" s="5"/>
      <c r="AA858" s="5"/>
      <c r="AB858" s="1135"/>
      <c r="AC858" s="5"/>
      <c r="AD858" s="5"/>
      <c r="AE858" s="5"/>
      <c r="AF858" s="1120"/>
      <c r="AG858" s="1148"/>
      <c r="AH858" s="1120"/>
      <c r="AI858" s="1120"/>
      <c r="AJ858" s="1120"/>
    </row>
    <row r="859" spans="2:36" ht="30" customHeight="1" x14ac:dyDescent="0.25">
      <c r="B859" s="5"/>
      <c r="C859" s="5"/>
      <c r="D859" s="5"/>
      <c r="E859" s="5"/>
      <c r="F859" s="5"/>
      <c r="G859" s="5"/>
      <c r="H859" s="5"/>
      <c r="I859" s="5"/>
      <c r="J859" s="5"/>
      <c r="L859" s="277"/>
      <c r="M859" s="5"/>
      <c r="R859" s="5"/>
      <c r="S859" s="5"/>
      <c r="T859" s="1120"/>
      <c r="U859" s="5"/>
      <c r="V859" s="5"/>
      <c r="W859" s="5"/>
      <c r="X859" s="1120"/>
      <c r="Y859" s="1120"/>
      <c r="Z859" s="5"/>
      <c r="AA859" s="5"/>
      <c r="AB859" s="1135"/>
      <c r="AC859" s="5"/>
      <c r="AD859" s="5"/>
      <c r="AE859" s="5"/>
      <c r="AF859" s="1120"/>
      <c r="AG859" s="1148"/>
      <c r="AH859" s="1120"/>
      <c r="AI859" s="1120"/>
      <c r="AJ859" s="1120"/>
    </row>
    <row r="860" spans="2:36" ht="30" customHeight="1" x14ac:dyDescent="0.25">
      <c r="B860" s="5"/>
      <c r="C860" s="5"/>
      <c r="D860" s="5"/>
      <c r="E860" s="5"/>
      <c r="F860" s="5"/>
      <c r="G860" s="5"/>
      <c r="H860" s="5"/>
      <c r="I860" s="5"/>
      <c r="J860" s="5"/>
      <c r="L860" s="277"/>
      <c r="M860" s="5"/>
      <c r="R860" s="5"/>
      <c r="S860" s="5"/>
      <c r="T860" s="1120"/>
      <c r="U860" s="5"/>
      <c r="V860" s="5"/>
      <c r="W860" s="5"/>
      <c r="X860" s="1120"/>
      <c r="Y860" s="1120"/>
      <c r="Z860" s="5"/>
      <c r="AA860" s="5"/>
      <c r="AB860" s="1135"/>
      <c r="AC860" s="5"/>
      <c r="AD860" s="5"/>
      <c r="AE860" s="5"/>
      <c r="AF860" s="1120"/>
      <c r="AG860" s="1148"/>
      <c r="AH860" s="1120"/>
      <c r="AI860" s="1120"/>
      <c r="AJ860" s="1120"/>
    </row>
    <row r="861" spans="2:36" ht="30" customHeight="1" x14ac:dyDescent="0.25">
      <c r="B861" s="5"/>
      <c r="C861" s="5"/>
      <c r="D861" s="5"/>
      <c r="E861" s="5"/>
      <c r="F861" s="5"/>
      <c r="G861" s="5"/>
      <c r="H861" s="5"/>
      <c r="I861" s="5"/>
      <c r="J861" s="5"/>
      <c r="L861" s="277"/>
      <c r="M861" s="5"/>
      <c r="R861" s="5"/>
      <c r="S861" s="5"/>
      <c r="T861" s="1120"/>
      <c r="U861" s="5"/>
      <c r="V861" s="5"/>
      <c r="W861" s="5"/>
      <c r="X861" s="1120"/>
      <c r="Y861" s="1120"/>
      <c r="Z861" s="5"/>
      <c r="AA861" s="5"/>
      <c r="AB861" s="1135"/>
      <c r="AC861" s="5"/>
      <c r="AD861" s="5"/>
      <c r="AE861" s="5"/>
      <c r="AF861" s="1120"/>
      <c r="AG861" s="1148"/>
      <c r="AH861" s="1120"/>
      <c r="AI861" s="1120"/>
      <c r="AJ861" s="1120"/>
    </row>
    <row r="862" spans="2:36" ht="30" customHeight="1" x14ac:dyDescent="0.25">
      <c r="B862" s="5"/>
      <c r="C862" s="5"/>
      <c r="D862" s="5"/>
      <c r="E862" s="5"/>
      <c r="F862" s="5"/>
      <c r="G862" s="5"/>
      <c r="H862" s="5"/>
      <c r="I862" s="5"/>
      <c r="J862" s="5"/>
      <c r="L862" s="277"/>
      <c r="M862" s="5"/>
      <c r="R862" s="5"/>
      <c r="S862" s="5"/>
      <c r="T862" s="1120"/>
      <c r="U862" s="5"/>
      <c r="V862" s="5"/>
      <c r="W862" s="5"/>
      <c r="X862" s="1120"/>
      <c r="Y862" s="1120"/>
      <c r="Z862" s="5"/>
      <c r="AA862" s="5"/>
      <c r="AB862" s="1135"/>
      <c r="AC862" s="5"/>
      <c r="AD862" s="5"/>
      <c r="AE862" s="5"/>
      <c r="AF862" s="1120"/>
      <c r="AG862" s="1148"/>
      <c r="AH862" s="1120"/>
      <c r="AI862" s="1120"/>
      <c r="AJ862" s="1120"/>
    </row>
    <row r="863" spans="2:36" ht="30" customHeight="1" x14ac:dyDescent="0.25">
      <c r="B863" s="5"/>
      <c r="C863" s="5"/>
      <c r="D863" s="5"/>
      <c r="E863" s="5"/>
      <c r="F863" s="5"/>
      <c r="G863" s="5"/>
      <c r="H863" s="5"/>
      <c r="I863" s="5"/>
      <c r="J863" s="5"/>
      <c r="L863" s="277"/>
      <c r="M863" s="5"/>
      <c r="R863" s="5"/>
      <c r="S863" s="5"/>
      <c r="T863" s="1120"/>
      <c r="U863" s="5"/>
      <c r="V863" s="5"/>
      <c r="W863" s="5"/>
      <c r="X863" s="1120"/>
      <c r="Y863" s="1120"/>
      <c r="Z863" s="5"/>
      <c r="AA863" s="5"/>
      <c r="AB863" s="1135"/>
      <c r="AC863" s="5"/>
      <c r="AD863" s="5"/>
      <c r="AE863" s="5"/>
      <c r="AF863" s="1120"/>
      <c r="AG863" s="1148"/>
      <c r="AH863" s="1120"/>
      <c r="AI863" s="1120"/>
      <c r="AJ863" s="1120"/>
    </row>
    <row r="864" spans="2:36" ht="30" customHeight="1" x14ac:dyDescent="0.25">
      <c r="B864" s="5"/>
      <c r="C864" s="5"/>
      <c r="D864" s="5"/>
      <c r="E864" s="5"/>
      <c r="F864" s="5"/>
      <c r="G864" s="5"/>
      <c r="H864" s="5"/>
      <c r="I864" s="5"/>
      <c r="J864" s="5"/>
      <c r="L864" s="277"/>
      <c r="M864" s="5"/>
      <c r="R864" s="5"/>
      <c r="S864" s="5"/>
      <c r="T864" s="1120"/>
      <c r="U864" s="5"/>
      <c r="V864" s="5"/>
      <c r="W864" s="5"/>
      <c r="X864" s="1120"/>
      <c r="Y864" s="1120"/>
      <c r="Z864" s="5"/>
      <c r="AA864" s="5"/>
      <c r="AB864" s="1135"/>
      <c r="AC864" s="5"/>
      <c r="AD864" s="5"/>
      <c r="AE864" s="5"/>
      <c r="AF864" s="1120"/>
      <c r="AG864" s="1148"/>
      <c r="AH864" s="1120"/>
      <c r="AI864" s="1120"/>
      <c r="AJ864" s="1120"/>
    </row>
    <row r="865" spans="2:36" ht="30" customHeight="1" x14ac:dyDescent="0.25">
      <c r="B865" s="5"/>
      <c r="C865" s="5"/>
      <c r="D865" s="5"/>
      <c r="E865" s="5"/>
      <c r="F865" s="5"/>
      <c r="G865" s="5"/>
      <c r="H865" s="5"/>
      <c r="I865" s="5"/>
      <c r="J865" s="5"/>
      <c r="L865" s="277"/>
      <c r="M865" s="5"/>
      <c r="R865" s="5"/>
      <c r="S865" s="5"/>
      <c r="T865" s="1120"/>
      <c r="U865" s="5"/>
      <c r="V865" s="5"/>
      <c r="W865" s="5"/>
      <c r="X865" s="1120"/>
      <c r="Y865" s="1120"/>
      <c r="Z865" s="5"/>
      <c r="AA865" s="5"/>
      <c r="AB865" s="1135"/>
      <c r="AC865" s="5"/>
      <c r="AD865" s="5"/>
      <c r="AE865" s="5"/>
      <c r="AF865" s="1120"/>
      <c r="AG865" s="1148"/>
      <c r="AH865" s="1120"/>
      <c r="AI865" s="1120"/>
      <c r="AJ865" s="1120"/>
    </row>
    <row r="866" spans="2:36" ht="30" customHeight="1" x14ac:dyDescent="0.25">
      <c r="B866" s="5"/>
      <c r="C866" s="5"/>
      <c r="D866" s="5"/>
      <c r="E866" s="5"/>
      <c r="F866" s="5"/>
      <c r="G866" s="5"/>
      <c r="H866" s="5"/>
      <c r="I866" s="5"/>
      <c r="J866" s="5"/>
      <c r="L866" s="277"/>
      <c r="M866" s="5"/>
      <c r="R866" s="5"/>
      <c r="S866" s="5"/>
      <c r="T866" s="1120"/>
      <c r="U866" s="5"/>
      <c r="V866" s="5"/>
      <c r="W866" s="5"/>
      <c r="X866" s="1120"/>
      <c r="Y866" s="1120"/>
      <c r="Z866" s="5"/>
      <c r="AA866" s="5"/>
      <c r="AB866" s="1135"/>
      <c r="AC866" s="5"/>
      <c r="AD866" s="5"/>
      <c r="AE866" s="5"/>
      <c r="AF866" s="1120"/>
      <c r="AG866" s="1148"/>
      <c r="AH866" s="1120"/>
      <c r="AI866" s="1120"/>
      <c r="AJ866" s="1120"/>
    </row>
    <row r="867" spans="2:36" ht="30" customHeight="1" x14ac:dyDescent="0.25">
      <c r="B867" s="5"/>
      <c r="C867" s="5"/>
      <c r="D867" s="5"/>
      <c r="E867" s="5"/>
      <c r="F867" s="5"/>
      <c r="G867" s="5"/>
      <c r="H867" s="5"/>
      <c r="I867" s="5"/>
      <c r="J867" s="5"/>
      <c r="L867" s="277"/>
      <c r="M867" s="5"/>
      <c r="R867" s="5"/>
      <c r="S867" s="5"/>
      <c r="T867" s="1120"/>
      <c r="U867" s="5"/>
      <c r="V867" s="5"/>
      <c r="W867" s="5"/>
      <c r="X867" s="1120"/>
      <c r="Y867" s="1120"/>
      <c r="Z867" s="5"/>
      <c r="AA867" s="5"/>
      <c r="AB867" s="1135"/>
      <c r="AC867" s="5"/>
      <c r="AD867" s="5"/>
      <c r="AE867" s="5"/>
      <c r="AF867" s="1120"/>
      <c r="AG867" s="1148"/>
      <c r="AH867" s="1120"/>
      <c r="AI867" s="1120"/>
      <c r="AJ867" s="1120"/>
    </row>
    <row r="868" spans="2:36" ht="30" customHeight="1" x14ac:dyDescent="0.25">
      <c r="B868" s="5"/>
      <c r="C868" s="5"/>
      <c r="D868" s="5"/>
      <c r="E868" s="5"/>
      <c r="F868" s="5"/>
      <c r="G868" s="5"/>
      <c r="H868" s="5"/>
      <c r="I868" s="5"/>
      <c r="J868" s="5"/>
      <c r="L868" s="277"/>
      <c r="M868" s="5"/>
      <c r="R868" s="5"/>
      <c r="S868" s="5"/>
      <c r="T868" s="1120"/>
      <c r="U868" s="5"/>
      <c r="V868" s="5"/>
      <c r="W868" s="5"/>
      <c r="X868" s="1120"/>
      <c r="Y868" s="1120"/>
      <c r="Z868" s="5"/>
      <c r="AA868" s="5"/>
      <c r="AB868" s="1135"/>
      <c r="AC868" s="5"/>
      <c r="AD868" s="5"/>
      <c r="AE868" s="5"/>
      <c r="AF868" s="1120"/>
      <c r="AG868" s="1148"/>
      <c r="AH868" s="1120"/>
      <c r="AI868" s="1120"/>
      <c r="AJ868" s="1120"/>
    </row>
    <row r="869" spans="2:36" ht="30" customHeight="1" x14ac:dyDescent="0.25">
      <c r="B869" s="5"/>
      <c r="C869" s="5"/>
      <c r="D869" s="5"/>
      <c r="E869" s="5"/>
      <c r="F869" s="5"/>
      <c r="G869" s="5"/>
      <c r="H869" s="5"/>
      <c r="I869" s="5"/>
      <c r="J869" s="5"/>
      <c r="L869" s="277"/>
      <c r="M869" s="5"/>
      <c r="R869" s="5"/>
      <c r="S869" s="5"/>
      <c r="T869" s="1120"/>
      <c r="U869" s="5"/>
      <c r="V869" s="5"/>
      <c r="W869" s="5"/>
      <c r="X869" s="1120"/>
      <c r="Y869" s="1120"/>
      <c r="Z869" s="5"/>
      <c r="AA869" s="5"/>
      <c r="AB869" s="1135"/>
      <c r="AC869" s="5"/>
      <c r="AD869" s="5"/>
      <c r="AE869" s="5"/>
      <c r="AF869" s="1120"/>
      <c r="AG869" s="1148"/>
      <c r="AH869" s="1120"/>
      <c r="AI869" s="1120"/>
      <c r="AJ869" s="1120"/>
    </row>
    <row r="870" spans="2:36" ht="30" customHeight="1" x14ac:dyDescent="0.25">
      <c r="B870" s="5"/>
      <c r="C870" s="5"/>
      <c r="D870" s="5"/>
      <c r="E870" s="5"/>
      <c r="F870" s="5"/>
      <c r="G870" s="5"/>
      <c r="H870" s="5"/>
      <c r="I870" s="5"/>
      <c r="J870" s="5"/>
      <c r="L870" s="277"/>
      <c r="M870" s="5"/>
      <c r="R870" s="5"/>
      <c r="S870" s="5"/>
      <c r="T870" s="1120"/>
      <c r="U870" s="5"/>
      <c r="V870" s="5"/>
      <c r="W870" s="5"/>
      <c r="X870" s="1120"/>
      <c r="Y870" s="1120"/>
      <c r="Z870" s="5"/>
      <c r="AA870" s="5"/>
      <c r="AB870" s="1135"/>
      <c r="AC870" s="5"/>
      <c r="AD870" s="5"/>
      <c r="AE870" s="5"/>
      <c r="AF870" s="1120"/>
      <c r="AG870" s="1148"/>
      <c r="AH870" s="1120"/>
      <c r="AI870" s="1120"/>
      <c r="AJ870" s="1120"/>
    </row>
    <row r="871" spans="2:36" ht="30" customHeight="1" x14ac:dyDescent="0.25">
      <c r="B871" s="5"/>
      <c r="C871" s="5"/>
      <c r="D871" s="5"/>
      <c r="E871" s="5"/>
      <c r="F871" s="5"/>
      <c r="G871" s="5"/>
      <c r="H871" s="5"/>
      <c r="I871" s="5"/>
      <c r="J871" s="5"/>
      <c r="L871" s="277"/>
      <c r="M871" s="5"/>
      <c r="R871" s="5"/>
      <c r="S871" s="5"/>
      <c r="T871" s="1120"/>
      <c r="U871" s="5"/>
      <c r="V871" s="5"/>
      <c r="W871" s="5"/>
      <c r="X871" s="1120"/>
      <c r="Y871" s="1120"/>
      <c r="Z871" s="5"/>
      <c r="AA871" s="5"/>
      <c r="AB871" s="1135"/>
      <c r="AC871" s="5"/>
      <c r="AD871" s="5"/>
      <c r="AE871" s="5"/>
      <c r="AF871" s="1120"/>
      <c r="AG871" s="1148"/>
      <c r="AH871" s="1120"/>
      <c r="AI871" s="1120"/>
      <c r="AJ871" s="1120"/>
    </row>
    <row r="872" spans="2:36" ht="30" customHeight="1" x14ac:dyDescent="0.25">
      <c r="B872" s="5"/>
      <c r="C872" s="5"/>
      <c r="D872" s="5"/>
      <c r="E872" s="5"/>
      <c r="F872" s="5"/>
      <c r="G872" s="5"/>
      <c r="H872" s="5"/>
      <c r="I872" s="5"/>
      <c r="J872" s="5"/>
      <c r="L872" s="277"/>
      <c r="M872" s="5"/>
      <c r="R872" s="5"/>
      <c r="S872" s="5"/>
      <c r="T872" s="1120"/>
      <c r="U872" s="5"/>
      <c r="V872" s="5"/>
      <c r="W872" s="5"/>
      <c r="X872" s="1120"/>
      <c r="Y872" s="1120"/>
      <c r="Z872" s="5"/>
      <c r="AA872" s="5"/>
      <c r="AB872" s="1135"/>
      <c r="AC872" s="5"/>
      <c r="AD872" s="5"/>
      <c r="AE872" s="5"/>
      <c r="AF872" s="1120"/>
      <c r="AG872" s="1148"/>
      <c r="AH872" s="1120"/>
      <c r="AI872" s="1120"/>
      <c r="AJ872" s="1120"/>
    </row>
    <row r="873" spans="2:36" ht="30" customHeight="1" x14ac:dyDescent="0.25">
      <c r="B873" s="5"/>
      <c r="C873" s="5"/>
      <c r="D873" s="5"/>
      <c r="E873" s="5"/>
      <c r="F873" s="5"/>
      <c r="G873" s="5"/>
      <c r="H873" s="5"/>
      <c r="I873" s="5"/>
      <c r="J873" s="5"/>
      <c r="L873" s="277"/>
      <c r="M873" s="5"/>
      <c r="R873" s="5"/>
      <c r="S873" s="5"/>
      <c r="T873" s="1120"/>
      <c r="U873" s="5"/>
      <c r="V873" s="5"/>
      <c r="W873" s="5"/>
      <c r="X873" s="1120"/>
      <c r="Y873" s="1120"/>
      <c r="Z873" s="5"/>
      <c r="AA873" s="5"/>
      <c r="AB873" s="1135"/>
      <c r="AC873" s="5"/>
      <c r="AD873" s="5"/>
      <c r="AE873" s="5"/>
      <c r="AF873" s="1120"/>
      <c r="AG873" s="1148"/>
      <c r="AH873" s="1120"/>
      <c r="AI873" s="1120"/>
      <c r="AJ873" s="1120"/>
    </row>
    <row r="874" spans="2:36" ht="30" customHeight="1" x14ac:dyDescent="0.25">
      <c r="B874" s="5"/>
      <c r="C874" s="5"/>
      <c r="D874" s="5"/>
      <c r="E874" s="5"/>
      <c r="F874" s="5"/>
      <c r="G874" s="5"/>
      <c r="H874" s="5"/>
      <c r="I874" s="5"/>
      <c r="J874" s="5"/>
      <c r="L874" s="277"/>
      <c r="M874" s="5"/>
      <c r="R874" s="5"/>
      <c r="S874" s="5"/>
      <c r="T874" s="1120"/>
      <c r="U874" s="5"/>
      <c r="V874" s="5"/>
      <c r="W874" s="5"/>
      <c r="X874" s="1120"/>
      <c r="Y874" s="1120"/>
      <c r="Z874" s="5"/>
      <c r="AA874" s="5"/>
      <c r="AB874" s="1135"/>
      <c r="AC874" s="5"/>
      <c r="AD874" s="5"/>
      <c r="AE874" s="5"/>
      <c r="AF874" s="1120"/>
      <c r="AG874" s="1148"/>
      <c r="AH874" s="1120"/>
      <c r="AI874" s="1120"/>
      <c r="AJ874" s="1120"/>
    </row>
    <row r="875" spans="2:36" ht="30" customHeight="1" x14ac:dyDescent="0.25">
      <c r="B875" s="5"/>
      <c r="C875" s="5"/>
      <c r="D875" s="5"/>
      <c r="E875" s="5"/>
      <c r="F875" s="5"/>
      <c r="G875" s="5"/>
      <c r="H875" s="5"/>
      <c r="I875" s="5"/>
      <c r="J875" s="5"/>
      <c r="L875" s="277"/>
      <c r="M875" s="5"/>
      <c r="R875" s="5"/>
      <c r="S875" s="5"/>
      <c r="T875" s="1120"/>
      <c r="U875" s="5"/>
      <c r="V875" s="5"/>
      <c r="W875" s="5"/>
      <c r="X875" s="1120"/>
      <c r="Y875" s="1120"/>
      <c r="Z875" s="5"/>
      <c r="AA875" s="5"/>
      <c r="AB875" s="1135"/>
      <c r="AC875" s="5"/>
      <c r="AD875" s="5"/>
      <c r="AE875" s="5"/>
      <c r="AF875" s="1120"/>
      <c r="AG875" s="1148"/>
      <c r="AH875" s="1120"/>
      <c r="AI875" s="1120"/>
      <c r="AJ875" s="1120"/>
    </row>
    <row r="876" spans="2:36" ht="30" customHeight="1" x14ac:dyDescent="0.25">
      <c r="B876" s="5"/>
      <c r="C876" s="5"/>
      <c r="D876" s="5"/>
      <c r="E876" s="5"/>
      <c r="F876" s="5"/>
      <c r="G876" s="5"/>
      <c r="H876" s="5"/>
      <c r="I876" s="5"/>
      <c r="J876" s="5"/>
      <c r="L876" s="277"/>
      <c r="M876" s="5"/>
      <c r="R876" s="5"/>
      <c r="S876" s="5"/>
      <c r="T876" s="1120"/>
      <c r="U876" s="5"/>
      <c r="V876" s="5"/>
      <c r="W876" s="5"/>
      <c r="X876" s="1120"/>
      <c r="Y876" s="1120"/>
      <c r="Z876" s="5"/>
      <c r="AA876" s="5"/>
      <c r="AB876" s="1135"/>
      <c r="AC876" s="5"/>
      <c r="AD876" s="5"/>
      <c r="AE876" s="5"/>
      <c r="AF876" s="1120"/>
      <c r="AG876" s="1148"/>
      <c r="AH876" s="1120"/>
      <c r="AI876" s="1120"/>
      <c r="AJ876" s="1120"/>
    </row>
    <row r="877" spans="2:36" ht="30" customHeight="1" x14ac:dyDescent="0.25">
      <c r="B877" s="5"/>
      <c r="C877" s="5"/>
      <c r="D877" s="5"/>
      <c r="E877" s="5"/>
      <c r="F877" s="5"/>
      <c r="G877" s="5"/>
      <c r="H877" s="5"/>
      <c r="I877" s="5"/>
      <c r="J877" s="5"/>
      <c r="L877" s="277"/>
      <c r="M877" s="5"/>
      <c r="R877" s="5"/>
      <c r="S877" s="5"/>
      <c r="T877" s="1120"/>
      <c r="U877" s="5"/>
      <c r="V877" s="5"/>
      <c r="W877" s="5"/>
      <c r="X877" s="1120"/>
      <c r="Y877" s="1120"/>
      <c r="Z877" s="5"/>
      <c r="AA877" s="5"/>
      <c r="AB877" s="1135"/>
      <c r="AC877" s="5"/>
      <c r="AD877" s="5"/>
      <c r="AE877" s="5"/>
      <c r="AF877" s="1120"/>
      <c r="AG877" s="1148"/>
      <c r="AH877" s="1120"/>
      <c r="AI877" s="1120"/>
      <c r="AJ877" s="1120"/>
    </row>
    <row r="878" spans="2:36" ht="30" customHeight="1" x14ac:dyDescent="0.25">
      <c r="B878" s="5"/>
      <c r="C878" s="5"/>
      <c r="D878" s="5"/>
      <c r="E878" s="5"/>
      <c r="F878" s="5"/>
      <c r="G878" s="5"/>
      <c r="H878" s="5"/>
      <c r="I878" s="5"/>
      <c r="J878" s="5"/>
      <c r="L878" s="277"/>
      <c r="M878" s="5"/>
      <c r="R878" s="5"/>
      <c r="S878" s="5"/>
      <c r="T878" s="1120"/>
      <c r="U878" s="5"/>
      <c r="V878" s="5"/>
      <c r="W878" s="5"/>
      <c r="X878" s="1120"/>
      <c r="Y878" s="1120"/>
      <c r="Z878" s="5"/>
      <c r="AA878" s="5"/>
      <c r="AB878" s="1135"/>
      <c r="AC878" s="5"/>
      <c r="AD878" s="5"/>
      <c r="AE878" s="5"/>
      <c r="AF878" s="1120"/>
      <c r="AG878" s="1148"/>
      <c r="AH878" s="1120"/>
      <c r="AI878" s="1120"/>
      <c r="AJ878" s="1120"/>
    </row>
    <row r="879" spans="2:36" ht="30" customHeight="1" x14ac:dyDescent="0.25">
      <c r="B879" s="5"/>
      <c r="C879" s="5"/>
      <c r="D879" s="5"/>
      <c r="E879" s="5"/>
      <c r="F879" s="5"/>
      <c r="G879" s="5"/>
      <c r="H879" s="5"/>
      <c r="I879" s="5"/>
      <c r="J879" s="5"/>
      <c r="L879" s="277"/>
      <c r="M879" s="5"/>
      <c r="R879" s="5"/>
      <c r="S879" s="5"/>
      <c r="T879" s="1120"/>
      <c r="U879" s="5"/>
      <c r="V879" s="5"/>
      <c r="W879" s="5"/>
      <c r="X879" s="1120"/>
      <c r="Y879" s="1120"/>
      <c r="Z879" s="5"/>
      <c r="AA879" s="5"/>
      <c r="AB879" s="1135"/>
      <c r="AC879" s="5"/>
      <c r="AD879" s="5"/>
      <c r="AE879" s="5"/>
      <c r="AF879" s="1120"/>
      <c r="AG879" s="1148"/>
      <c r="AH879" s="1120"/>
      <c r="AI879" s="1120"/>
      <c r="AJ879" s="1120"/>
    </row>
    <row r="880" spans="2:36" ht="30" customHeight="1" x14ac:dyDescent="0.25">
      <c r="B880" s="5"/>
      <c r="C880" s="5"/>
      <c r="D880" s="5"/>
      <c r="E880" s="5"/>
      <c r="F880" s="5"/>
      <c r="G880" s="5"/>
      <c r="H880" s="5"/>
      <c r="I880" s="5"/>
      <c r="J880" s="5"/>
      <c r="L880" s="277"/>
      <c r="M880" s="5"/>
      <c r="R880" s="5"/>
      <c r="S880" s="5"/>
      <c r="T880" s="1120"/>
      <c r="U880" s="5"/>
      <c r="V880" s="5"/>
      <c r="W880" s="5"/>
      <c r="X880" s="1120"/>
      <c r="Y880" s="1120"/>
      <c r="Z880" s="5"/>
      <c r="AA880" s="5"/>
      <c r="AB880" s="1135"/>
      <c r="AC880" s="5"/>
      <c r="AD880" s="5"/>
      <c r="AE880" s="5"/>
      <c r="AF880" s="1120"/>
      <c r="AG880" s="1148"/>
      <c r="AH880" s="1120"/>
      <c r="AI880" s="1120"/>
      <c r="AJ880" s="1120"/>
    </row>
    <row r="881" spans="2:36" ht="30" customHeight="1" x14ac:dyDescent="0.25">
      <c r="B881" s="5"/>
      <c r="C881" s="5"/>
      <c r="D881" s="5"/>
      <c r="E881" s="5"/>
      <c r="F881" s="5"/>
      <c r="G881" s="5"/>
      <c r="H881" s="5"/>
      <c r="I881" s="5"/>
      <c r="J881" s="5"/>
      <c r="L881" s="277"/>
      <c r="M881" s="5"/>
      <c r="R881" s="5"/>
      <c r="S881" s="5"/>
      <c r="T881" s="1120"/>
      <c r="U881" s="5"/>
      <c r="V881" s="5"/>
      <c r="W881" s="5"/>
      <c r="X881" s="1120"/>
      <c r="Y881" s="1120"/>
      <c r="Z881" s="5"/>
      <c r="AA881" s="5"/>
      <c r="AB881" s="1135"/>
      <c r="AC881" s="5"/>
      <c r="AD881" s="5"/>
      <c r="AE881" s="5"/>
      <c r="AF881" s="1120"/>
      <c r="AG881" s="1148"/>
      <c r="AH881" s="1120"/>
      <c r="AI881" s="1120"/>
      <c r="AJ881" s="1120"/>
    </row>
    <row r="882" spans="2:36" ht="30" customHeight="1" x14ac:dyDescent="0.25">
      <c r="B882" s="5"/>
      <c r="C882" s="5"/>
      <c r="D882" s="5"/>
      <c r="E882" s="5"/>
      <c r="F882" s="5"/>
      <c r="G882" s="5"/>
      <c r="H882" s="5"/>
      <c r="I882" s="5"/>
      <c r="J882" s="5"/>
      <c r="L882" s="277"/>
      <c r="M882" s="5"/>
      <c r="R882" s="5"/>
      <c r="S882" s="5"/>
      <c r="T882" s="1120"/>
      <c r="U882" s="5"/>
      <c r="V882" s="5"/>
      <c r="W882" s="5"/>
      <c r="X882" s="1120"/>
      <c r="Y882" s="1120"/>
      <c r="Z882" s="5"/>
      <c r="AA882" s="5"/>
      <c r="AB882" s="1135"/>
      <c r="AC882" s="5"/>
      <c r="AD882" s="5"/>
      <c r="AE882" s="5"/>
      <c r="AF882" s="1120"/>
      <c r="AG882" s="1148"/>
      <c r="AH882" s="1120"/>
      <c r="AI882" s="1120"/>
      <c r="AJ882" s="1120"/>
    </row>
    <row r="883" spans="2:36" ht="30" customHeight="1" x14ac:dyDescent="0.25">
      <c r="B883" s="5"/>
      <c r="C883" s="5"/>
      <c r="D883" s="5"/>
      <c r="E883" s="5"/>
      <c r="F883" s="5"/>
      <c r="G883" s="5"/>
      <c r="H883" s="5"/>
      <c r="I883" s="5"/>
      <c r="J883" s="5"/>
      <c r="L883" s="277"/>
      <c r="M883" s="5"/>
      <c r="R883" s="5"/>
      <c r="S883" s="5"/>
      <c r="T883" s="1120"/>
      <c r="U883" s="5"/>
      <c r="V883" s="5"/>
      <c r="W883" s="5"/>
      <c r="X883" s="1120"/>
      <c r="Y883" s="1120"/>
      <c r="Z883" s="5"/>
      <c r="AA883" s="5"/>
      <c r="AB883" s="1135"/>
      <c r="AC883" s="5"/>
      <c r="AD883" s="5"/>
      <c r="AE883" s="5"/>
      <c r="AF883" s="1120"/>
      <c r="AG883" s="1148"/>
      <c r="AH883" s="1120"/>
      <c r="AI883" s="1120"/>
      <c r="AJ883" s="1120"/>
    </row>
    <row r="884" spans="2:36" ht="30" customHeight="1" x14ac:dyDescent="0.25">
      <c r="B884" s="5"/>
      <c r="C884" s="5"/>
      <c r="D884" s="5"/>
      <c r="E884" s="5"/>
      <c r="F884" s="5"/>
      <c r="G884" s="5"/>
      <c r="H884" s="5"/>
      <c r="I884" s="5"/>
      <c r="J884" s="5"/>
      <c r="L884" s="277"/>
      <c r="M884" s="5"/>
      <c r="R884" s="5"/>
      <c r="S884" s="5"/>
      <c r="T884" s="1120"/>
      <c r="U884" s="5"/>
      <c r="V884" s="5"/>
      <c r="W884" s="5"/>
      <c r="X884" s="1120"/>
      <c r="Y884" s="1120"/>
      <c r="Z884" s="5"/>
      <c r="AA884" s="5"/>
      <c r="AB884" s="1135"/>
      <c r="AC884" s="5"/>
      <c r="AD884" s="5"/>
      <c r="AE884" s="5"/>
      <c r="AF884" s="1120"/>
      <c r="AG884" s="1148"/>
      <c r="AH884" s="1120"/>
      <c r="AI884" s="1120"/>
      <c r="AJ884" s="1120"/>
    </row>
    <row r="885" spans="2:36" ht="30" customHeight="1" x14ac:dyDescent="0.25">
      <c r="B885" s="5"/>
      <c r="C885" s="5"/>
      <c r="D885" s="5"/>
      <c r="E885" s="5"/>
      <c r="F885" s="5"/>
      <c r="G885" s="5"/>
      <c r="H885" s="5"/>
      <c r="I885" s="5"/>
      <c r="J885" s="5"/>
      <c r="L885" s="277"/>
      <c r="M885" s="5"/>
      <c r="R885" s="5"/>
      <c r="S885" s="5"/>
      <c r="T885" s="1120"/>
      <c r="U885" s="5"/>
      <c r="V885" s="5"/>
      <c r="W885" s="5"/>
      <c r="X885" s="1120"/>
      <c r="Y885" s="1120"/>
      <c r="Z885" s="5"/>
      <c r="AA885" s="5"/>
      <c r="AB885" s="1135"/>
      <c r="AC885" s="5"/>
      <c r="AD885" s="5"/>
      <c r="AE885" s="5"/>
      <c r="AF885" s="1120"/>
      <c r="AG885" s="1148"/>
      <c r="AH885" s="1120"/>
      <c r="AI885" s="1120"/>
      <c r="AJ885" s="1120"/>
    </row>
    <row r="886" spans="2:36" ht="30" customHeight="1" x14ac:dyDescent="0.25">
      <c r="B886" s="5"/>
      <c r="C886" s="5"/>
      <c r="D886" s="5"/>
      <c r="E886" s="5"/>
      <c r="F886" s="5"/>
      <c r="G886" s="5"/>
      <c r="H886" s="5"/>
      <c r="I886" s="5"/>
      <c r="J886" s="5"/>
      <c r="L886" s="277"/>
      <c r="M886" s="5"/>
      <c r="R886" s="5"/>
      <c r="S886" s="5"/>
      <c r="T886" s="1120"/>
      <c r="U886" s="5"/>
      <c r="V886" s="5"/>
      <c r="W886" s="5"/>
      <c r="X886" s="1120"/>
      <c r="Y886" s="1120"/>
      <c r="Z886" s="5"/>
      <c r="AA886" s="5"/>
      <c r="AB886" s="1135"/>
      <c r="AC886" s="5"/>
      <c r="AD886" s="5"/>
      <c r="AE886" s="5"/>
      <c r="AF886" s="1120"/>
      <c r="AG886" s="1148"/>
      <c r="AH886" s="1120"/>
      <c r="AI886" s="1120"/>
      <c r="AJ886" s="1120"/>
    </row>
    <row r="887" spans="2:36" ht="30" customHeight="1" x14ac:dyDescent="0.25">
      <c r="B887" s="5"/>
      <c r="C887" s="5"/>
      <c r="D887" s="5"/>
      <c r="E887" s="5"/>
      <c r="F887" s="5"/>
      <c r="G887" s="5"/>
      <c r="H887" s="5"/>
      <c r="I887" s="5"/>
      <c r="J887" s="5"/>
      <c r="L887" s="277"/>
      <c r="M887" s="5"/>
      <c r="R887" s="5"/>
      <c r="S887" s="5"/>
      <c r="T887" s="1120"/>
      <c r="U887" s="5"/>
      <c r="V887" s="5"/>
      <c r="W887" s="5"/>
      <c r="X887" s="1120"/>
      <c r="Y887" s="1120"/>
      <c r="Z887" s="5"/>
      <c r="AA887" s="5"/>
      <c r="AB887" s="1135"/>
      <c r="AC887" s="5"/>
      <c r="AD887" s="5"/>
      <c r="AE887" s="5"/>
      <c r="AF887" s="1120"/>
      <c r="AG887" s="1148"/>
      <c r="AH887" s="1120"/>
      <c r="AI887" s="1120"/>
      <c r="AJ887" s="1120"/>
    </row>
    <row r="888" spans="2:36" ht="30" customHeight="1" x14ac:dyDescent="0.25">
      <c r="B888" s="5"/>
      <c r="C888" s="5"/>
      <c r="D888" s="5"/>
      <c r="E888" s="5"/>
      <c r="F888" s="5"/>
      <c r="G888" s="5"/>
      <c r="H888" s="5"/>
      <c r="I888" s="5"/>
      <c r="J888" s="5"/>
      <c r="L888" s="277"/>
      <c r="M888" s="5"/>
      <c r="R888" s="5"/>
      <c r="S888" s="5"/>
      <c r="T888" s="1120"/>
      <c r="U888" s="5"/>
      <c r="V888" s="5"/>
      <c r="W888" s="5"/>
      <c r="X888" s="1120"/>
      <c r="Y888" s="1120"/>
      <c r="Z888" s="5"/>
      <c r="AA888" s="5"/>
      <c r="AB888" s="1135"/>
      <c r="AC888" s="5"/>
      <c r="AD888" s="5"/>
      <c r="AE888" s="5"/>
      <c r="AF888" s="1120"/>
      <c r="AG888" s="1148"/>
      <c r="AH888" s="1120"/>
      <c r="AI888" s="1120"/>
      <c r="AJ888" s="1120"/>
    </row>
    <row r="889" spans="2:36" ht="30" customHeight="1" x14ac:dyDescent="0.25">
      <c r="B889" s="5"/>
      <c r="C889" s="5"/>
      <c r="D889" s="5"/>
      <c r="E889" s="5"/>
      <c r="F889" s="5"/>
      <c r="G889" s="5"/>
      <c r="H889" s="5"/>
      <c r="I889" s="5"/>
      <c r="J889" s="5"/>
      <c r="L889" s="277"/>
      <c r="M889" s="5"/>
      <c r="R889" s="5"/>
      <c r="S889" s="5"/>
      <c r="T889" s="1120"/>
      <c r="U889" s="5"/>
      <c r="V889" s="5"/>
      <c r="W889" s="5"/>
      <c r="X889" s="1120"/>
      <c r="Y889" s="1120"/>
      <c r="Z889" s="5"/>
      <c r="AA889" s="5"/>
      <c r="AB889" s="1135"/>
      <c r="AC889" s="5"/>
      <c r="AD889" s="5"/>
      <c r="AE889" s="5"/>
      <c r="AF889" s="1120"/>
      <c r="AG889" s="1148"/>
      <c r="AH889" s="1120"/>
      <c r="AI889" s="1120"/>
      <c r="AJ889" s="1120"/>
    </row>
    <row r="890" spans="2:36" ht="30" customHeight="1" x14ac:dyDescent="0.25">
      <c r="B890" s="5"/>
      <c r="C890" s="5"/>
      <c r="D890" s="5"/>
      <c r="E890" s="5"/>
      <c r="F890" s="5"/>
      <c r="G890" s="5"/>
      <c r="H890" s="5"/>
      <c r="I890" s="5"/>
      <c r="J890" s="5"/>
      <c r="L890" s="277"/>
      <c r="M890" s="5"/>
      <c r="R890" s="5"/>
      <c r="S890" s="5"/>
      <c r="T890" s="1120"/>
      <c r="U890" s="5"/>
      <c r="V890" s="5"/>
      <c r="W890" s="5"/>
      <c r="X890" s="1120"/>
      <c r="Y890" s="1120"/>
      <c r="Z890" s="5"/>
      <c r="AA890" s="5"/>
      <c r="AB890" s="1135"/>
      <c r="AC890" s="5"/>
      <c r="AD890" s="5"/>
      <c r="AE890" s="5"/>
      <c r="AF890" s="1120"/>
      <c r="AG890" s="1148"/>
      <c r="AH890" s="1120"/>
      <c r="AI890" s="1120"/>
      <c r="AJ890" s="1120"/>
    </row>
    <row r="891" spans="2:36" ht="30" customHeight="1" x14ac:dyDescent="0.25">
      <c r="B891" s="5"/>
      <c r="C891" s="5"/>
      <c r="D891" s="5"/>
      <c r="E891" s="5"/>
      <c r="F891" s="5"/>
      <c r="G891" s="5"/>
      <c r="H891" s="5"/>
      <c r="I891" s="5"/>
      <c r="J891" s="5"/>
      <c r="L891" s="277"/>
      <c r="M891" s="5"/>
      <c r="R891" s="5"/>
      <c r="S891" s="5"/>
      <c r="T891" s="1120"/>
      <c r="U891" s="5"/>
      <c r="V891" s="5"/>
      <c r="W891" s="5"/>
      <c r="X891" s="1120"/>
      <c r="Y891" s="1120"/>
      <c r="Z891" s="5"/>
      <c r="AA891" s="5"/>
      <c r="AB891" s="1135"/>
      <c r="AC891" s="5"/>
      <c r="AD891" s="5"/>
      <c r="AE891" s="5"/>
      <c r="AF891" s="1120"/>
      <c r="AG891" s="1148"/>
      <c r="AH891" s="1120"/>
      <c r="AI891" s="1120"/>
      <c r="AJ891" s="1120"/>
    </row>
    <row r="892" spans="2:36" ht="30" customHeight="1" x14ac:dyDescent="0.25">
      <c r="B892" s="5"/>
      <c r="C892" s="5"/>
      <c r="D892" s="5"/>
      <c r="E892" s="5"/>
      <c r="F892" s="5"/>
      <c r="G892" s="5"/>
      <c r="H892" s="5"/>
      <c r="I892" s="5"/>
      <c r="J892" s="5"/>
      <c r="L892" s="277"/>
      <c r="M892" s="5"/>
      <c r="R892" s="5"/>
      <c r="S892" s="5"/>
      <c r="T892" s="1120"/>
      <c r="U892" s="5"/>
      <c r="V892" s="5"/>
      <c r="W892" s="5"/>
      <c r="X892" s="1120"/>
      <c r="Y892" s="1120"/>
      <c r="Z892" s="5"/>
      <c r="AA892" s="5"/>
      <c r="AB892" s="1135"/>
      <c r="AC892" s="5"/>
      <c r="AD892" s="5"/>
      <c r="AE892" s="5"/>
      <c r="AF892" s="1120"/>
      <c r="AG892" s="1148"/>
      <c r="AH892" s="1120"/>
      <c r="AI892" s="1120"/>
      <c r="AJ892" s="1120"/>
    </row>
    <row r="893" spans="2:36" ht="30" customHeight="1" x14ac:dyDescent="0.25">
      <c r="B893" s="5"/>
      <c r="C893" s="5"/>
      <c r="D893" s="5"/>
      <c r="E893" s="5"/>
      <c r="F893" s="5"/>
      <c r="G893" s="5"/>
      <c r="H893" s="5"/>
      <c r="I893" s="5"/>
      <c r="J893" s="5"/>
      <c r="L893" s="277"/>
      <c r="M893" s="5"/>
      <c r="R893" s="5"/>
      <c r="S893" s="5"/>
      <c r="T893" s="1120"/>
      <c r="U893" s="5"/>
      <c r="V893" s="5"/>
      <c r="W893" s="5"/>
      <c r="X893" s="1120"/>
      <c r="Y893" s="1120"/>
      <c r="Z893" s="5"/>
      <c r="AA893" s="5"/>
      <c r="AB893" s="1135"/>
      <c r="AC893" s="5"/>
      <c r="AD893" s="5"/>
      <c r="AE893" s="5"/>
      <c r="AF893" s="1120"/>
      <c r="AG893" s="1148"/>
      <c r="AH893" s="1120"/>
      <c r="AI893" s="1120"/>
      <c r="AJ893" s="1120"/>
    </row>
    <row r="894" spans="2:36" ht="30" customHeight="1" x14ac:dyDescent="0.25">
      <c r="B894" s="5"/>
      <c r="C894" s="5"/>
      <c r="D894" s="5"/>
      <c r="E894" s="5"/>
      <c r="F894" s="5"/>
      <c r="G894" s="5"/>
      <c r="H894" s="5"/>
      <c r="I894" s="5"/>
      <c r="J894" s="5"/>
      <c r="L894" s="277"/>
      <c r="M894" s="5"/>
      <c r="R894" s="5"/>
      <c r="S894" s="5"/>
      <c r="T894" s="1120"/>
      <c r="U894" s="5"/>
      <c r="V894" s="5"/>
      <c r="W894" s="5"/>
      <c r="X894" s="1120"/>
      <c r="Y894" s="1120"/>
      <c r="Z894" s="5"/>
      <c r="AA894" s="5"/>
      <c r="AB894" s="1135"/>
      <c r="AC894" s="5"/>
      <c r="AD894" s="5"/>
      <c r="AE894" s="5"/>
      <c r="AF894" s="1120"/>
      <c r="AG894" s="1148"/>
      <c r="AH894" s="1120"/>
      <c r="AI894" s="1120"/>
      <c r="AJ894" s="1120"/>
    </row>
    <row r="895" spans="2:36" ht="30" customHeight="1" x14ac:dyDescent="0.25">
      <c r="B895" s="5"/>
      <c r="C895" s="5"/>
      <c r="D895" s="5"/>
      <c r="E895" s="5"/>
      <c r="F895" s="5"/>
      <c r="G895" s="5"/>
      <c r="H895" s="5"/>
      <c r="I895" s="5"/>
      <c r="J895" s="5"/>
      <c r="L895" s="277"/>
      <c r="M895" s="5"/>
      <c r="R895" s="5"/>
      <c r="S895" s="5"/>
      <c r="T895" s="1120"/>
      <c r="U895" s="5"/>
      <c r="V895" s="5"/>
      <c r="W895" s="5"/>
      <c r="X895" s="1120"/>
      <c r="Y895" s="1120"/>
      <c r="Z895" s="5"/>
      <c r="AA895" s="5"/>
      <c r="AB895" s="1135"/>
      <c r="AC895" s="5"/>
      <c r="AD895" s="5"/>
      <c r="AE895" s="5"/>
      <c r="AF895" s="1120"/>
      <c r="AG895" s="1148"/>
      <c r="AH895" s="1120"/>
      <c r="AI895" s="1120"/>
      <c r="AJ895" s="1120"/>
    </row>
    <row r="896" spans="2:36" ht="30" customHeight="1" x14ac:dyDescent="0.25">
      <c r="B896" s="5"/>
      <c r="C896" s="5"/>
      <c r="D896" s="5"/>
      <c r="E896" s="5"/>
      <c r="F896" s="5"/>
      <c r="G896" s="5"/>
      <c r="H896" s="5"/>
      <c r="I896" s="5"/>
      <c r="J896" s="5"/>
      <c r="L896" s="277"/>
      <c r="M896" s="5"/>
      <c r="R896" s="5"/>
      <c r="S896" s="5"/>
      <c r="T896" s="1120"/>
      <c r="U896" s="5"/>
      <c r="V896" s="5"/>
      <c r="W896" s="5"/>
      <c r="X896" s="1120"/>
      <c r="Y896" s="1120"/>
      <c r="Z896" s="5"/>
      <c r="AA896" s="5"/>
      <c r="AB896" s="1135"/>
      <c r="AC896" s="5"/>
      <c r="AD896" s="5"/>
      <c r="AE896" s="5"/>
      <c r="AF896" s="1120"/>
      <c r="AG896" s="1148"/>
      <c r="AH896" s="1120"/>
      <c r="AI896" s="1120"/>
      <c r="AJ896" s="1120"/>
    </row>
    <row r="897" spans="2:36" ht="30" customHeight="1" x14ac:dyDescent="0.25">
      <c r="B897" s="5"/>
      <c r="C897" s="5"/>
      <c r="D897" s="5"/>
      <c r="E897" s="5"/>
      <c r="F897" s="5"/>
      <c r="G897" s="5"/>
      <c r="H897" s="5"/>
      <c r="I897" s="5"/>
      <c r="J897" s="5"/>
      <c r="L897" s="277"/>
      <c r="M897" s="5"/>
      <c r="R897" s="5"/>
      <c r="S897" s="5"/>
      <c r="T897" s="1120"/>
      <c r="U897" s="5"/>
      <c r="V897" s="5"/>
      <c r="W897" s="5"/>
      <c r="X897" s="1120"/>
      <c r="Y897" s="1120"/>
      <c r="Z897" s="5"/>
      <c r="AA897" s="5"/>
      <c r="AB897" s="1135"/>
      <c r="AC897" s="5"/>
      <c r="AD897" s="5"/>
      <c r="AE897" s="5"/>
      <c r="AF897" s="1120"/>
      <c r="AG897" s="1148"/>
      <c r="AH897" s="1120"/>
      <c r="AI897" s="1120"/>
      <c r="AJ897" s="1120"/>
    </row>
    <row r="898" spans="2:36" ht="30" customHeight="1" x14ac:dyDescent="0.25">
      <c r="B898" s="5"/>
      <c r="C898" s="5"/>
      <c r="D898" s="5"/>
      <c r="E898" s="5"/>
      <c r="F898" s="5"/>
      <c r="G898" s="5"/>
      <c r="H898" s="5"/>
      <c r="I898" s="5"/>
      <c r="J898" s="5"/>
      <c r="L898" s="277"/>
      <c r="M898" s="5"/>
      <c r="R898" s="5"/>
      <c r="S898" s="5"/>
      <c r="T898" s="1120"/>
      <c r="U898" s="5"/>
      <c r="V898" s="5"/>
      <c r="W898" s="5"/>
      <c r="X898" s="1120"/>
      <c r="Y898" s="1120"/>
      <c r="Z898" s="5"/>
      <c r="AA898" s="5"/>
      <c r="AB898" s="1135"/>
      <c r="AC898" s="5"/>
      <c r="AD898" s="5"/>
      <c r="AE898" s="5"/>
      <c r="AF898" s="1120"/>
      <c r="AG898" s="1148"/>
      <c r="AH898" s="1120"/>
      <c r="AI898" s="1120"/>
      <c r="AJ898" s="1120"/>
    </row>
    <row r="899" spans="2:36" ht="30" customHeight="1" x14ac:dyDescent="0.25">
      <c r="B899" s="5"/>
      <c r="C899" s="5"/>
      <c r="D899" s="5"/>
      <c r="E899" s="5"/>
      <c r="F899" s="5"/>
      <c r="G899" s="5"/>
      <c r="H899" s="5"/>
      <c r="I899" s="5"/>
      <c r="J899" s="5"/>
      <c r="L899" s="277"/>
      <c r="M899" s="5"/>
      <c r="R899" s="5"/>
      <c r="S899" s="5"/>
      <c r="T899" s="1120"/>
      <c r="U899" s="5"/>
      <c r="V899" s="5"/>
      <c r="W899" s="5"/>
      <c r="X899" s="1120"/>
      <c r="Y899" s="1120"/>
      <c r="Z899" s="5"/>
      <c r="AA899" s="5"/>
      <c r="AB899" s="1135"/>
      <c r="AC899" s="5"/>
      <c r="AD899" s="5"/>
      <c r="AE899" s="5"/>
      <c r="AF899" s="1120"/>
      <c r="AG899" s="1148"/>
      <c r="AH899" s="1120"/>
      <c r="AI899" s="1120"/>
      <c r="AJ899" s="1120"/>
    </row>
    <row r="900" spans="2:36" ht="30" customHeight="1" x14ac:dyDescent="0.25">
      <c r="B900" s="5"/>
      <c r="C900" s="5"/>
      <c r="D900" s="5"/>
      <c r="E900" s="5"/>
      <c r="F900" s="5"/>
      <c r="G900" s="5"/>
      <c r="H900" s="5"/>
      <c r="I900" s="5"/>
      <c r="J900" s="5"/>
      <c r="L900" s="277"/>
      <c r="M900" s="5"/>
      <c r="R900" s="5"/>
      <c r="S900" s="5"/>
      <c r="T900" s="1120"/>
      <c r="U900" s="5"/>
      <c r="V900" s="5"/>
      <c r="W900" s="5"/>
      <c r="X900" s="1120"/>
      <c r="Y900" s="1120"/>
      <c r="Z900" s="5"/>
      <c r="AA900" s="5"/>
      <c r="AB900" s="1135"/>
      <c r="AC900" s="5"/>
      <c r="AD900" s="5"/>
      <c r="AE900" s="5"/>
      <c r="AF900" s="1120"/>
      <c r="AG900" s="1148"/>
      <c r="AH900" s="1120"/>
      <c r="AI900" s="1120"/>
      <c r="AJ900" s="1120"/>
    </row>
    <row r="901" spans="2:36" ht="30" customHeight="1" x14ac:dyDescent="0.25">
      <c r="B901" s="5"/>
      <c r="C901" s="5"/>
      <c r="D901" s="5"/>
      <c r="E901" s="5"/>
      <c r="F901" s="5"/>
      <c r="G901" s="5"/>
      <c r="H901" s="5"/>
      <c r="I901" s="5"/>
      <c r="J901" s="5"/>
      <c r="L901" s="277"/>
      <c r="M901" s="5"/>
      <c r="R901" s="5"/>
      <c r="S901" s="5"/>
      <c r="T901" s="1120"/>
      <c r="U901" s="5"/>
      <c r="V901" s="5"/>
      <c r="W901" s="5"/>
      <c r="X901" s="1120"/>
      <c r="Y901" s="1120"/>
      <c r="Z901" s="5"/>
      <c r="AA901" s="5"/>
      <c r="AB901" s="1135"/>
      <c r="AC901" s="5"/>
      <c r="AD901" s="5"/>
      <c r="AE901" s="5"/>
      <c r="AF901" s="1120"/>
      <c r="AG901" s="1148"/>
      <c r="AH901" s="1120"/>
      <c r="AI901" s="1120"/>
      <c r="AJ901" s="1120"/>
    </row>
    <row r="902" spans="2:36" ht="30" customHeight="1" x14ac:dyDescent="0.25">
      <c r="B902" s="5"/>
      <c r="C902" s="5"/>
      <c r="D902" s="5"/>
      <c r="E902" s="5"/>
      <c r="F902" s="5"/>
      <c r="G902" s="5"/>
      <c r="H902" s="5"/>
      <c r="I902" s="5"/>
      <c r="J902" s="5"/>
      <c r="L902" s="277"/>
      <c r="M902" s="5"/>
      <c r="R902" s="5"/>
      <c r="S902" s="5"/>
      <c r="T902" s="1120"/>
      <c r="U902" s="5"/>
      <c r="V902" s="5"/>
      <c r="W902" s="5"/>
      <c r="X902" s="1120"/>
      <c r="Y902" s="1120"/>
      <c r="Z902" s="5"/>
      <c r="AA902" s="5"/>
      <c r="AB902" s="1135"/>
      <c r="AC902" s="5"/>
      <c r="AD902" s="5"/>
      <c r="AE902" s="5"/>
      <c r="AF902" s="1120"/>
      <c r="AG902" s="1148"/>
      <c r="AH902" s="1120"/>
      <c r="AI902" s="1120"/>
      <c r="AJ902" s="1120"/>
    </row>
    <row r="903" spans="2:36" ht="30" customHeight="1" x14ac:dyDescent="0.25">
      <c r="B903" s="5"/>
      <c r="C903" s="5"/>
      <c r="D903" s="5"/>
      <c r="E903" s="5"/>
      <c r="F903" s="5"/>
      <c r="G903" s="5"/>
      <c r="H903" s="5"/>
      <c r="I903" s="5"/>
      <c r="J903" s="5"/>
      <c r="L903" s="277"/>
      <c r="M903" s="5"/>
      <c r="R903" s="5"/>
      <c r="S903" s="5"/>
      <c r="T903" s="1120"/>
      <c r="U903" s="5"/>
      <c r="V903" s="5"/>
      <c r="W903" s="5"/>
      <c r="X903" s="1120"/>
      <c r="Y903" s="1120"/>
      <c r="Z903" s="5"/>
      <c r="AA903" s="5"/>
      <c r="AB903" s="1135"/>
      <c r="AC903" s="5"/>
      <c r="AD903" s="5"/>
      <c r="AE903" s="5"/>
      <c r="AF903" s="1120"/>
      <c r="AG903" s="1148"/>
      <c r="AH903" s="1120"/>
      <c r="AI903" s="1120"/>
      <c r="AJ903" s="1120"/>
    </row>
    <row r="904" spans="2:36" ht="30" customHeight="1" x14ac:dyDescent="0.25">
      <c r="B904" s="5"/>
      <c r="C904" s="5"/>
      <c r="D904" s="5"/>
      <c r="E904" s="5"/>
      <c r="F904" s="5"/>
      <c r="G904" s="5"/>
      <c r="H904" s="5"/>
      <c r="I904" s="5"/>
      <c r="J904" s="5"/>
      <c r="L904" s="277"/>
      <c r="M904" s="5"/>
      <c r="R904" s="5"/>
      <c r="S904" s="5"/>
      <c r="T904" s="1120"/>
      <c r="U904" s="5"/>
      <c r="V904" s="5"/>
      <c r="W904" s="5"/>
      <c r="X904" s="1120"/>
      <c r="Y904" s="1120"/>
      <c r="Z904" s="5"/>
      <c r="AA904" s="5"/>
      <c r="AB904" s="1135"/>
      <c r="AC904" s="5"/>
      <c r="AD904" s="5"/>
      <c r="AE904" s="5"/>
      <c r="AF904" s="1120"/>
      <c r="AG904" s="1148"/>
      <c r="AH904" s="1120"/>
      <c r="AI904" s="1120"/>
      <c r="AJ904" s="1120"/>
    </row>
    <row r="905" spans="2:36" ht="30" customHeight="1" x14ac:dyDescent="0.25">
      <c r="B905" s="5"/>
      <c r="C905" s="5"/>
      <c r="D905" s="5"/>
      <c r="E905" s="5"/>
      <c r="F905" s="5"/>
      <c r="G905" s="5"/>
      <c r="H905" s="5"/>
      <c r="I905" s="5"/>
      <c r="J905" s="5"/>
      <c r="L905" s="277"/>
      <c r="M905" s="5"/>
      <c r="R905" s="5"/>
      <c r="S905" s="5"/>
      <c r="T905" s="1120"/>
      <c r="U905" s="5"/>
      <c r="V905" s="5"/>
      <c r="W905" s="5"/>
      <c r="X905" s="1120"/>
      <c r="Y905" s="1120"/>
      <c r="Z905" s="5"/>
      <c r="AA905" s="5"/>
      <c r="AB905" s="1135"/>
      <c r="AC905" s="5"/>
      <c r="AD905" s="5"/>
      <c r="AE905" s="5"/>
      <c r="AF905" s="1120"/>
      <c r="AG905" s="1148"/>
      <c r="AH905" s="1120"/>
      <c r="AI905" s="1120"/>
      <c r="AJ905" s="1120"/>
    </row>
    <row r="906" spans="2:36" ht="30" customHeight="1" x14ac:dyDescent="0.25">
      <c r="B906" s="5"/>
      <c r="C906" s="5"/>
      <c r="D906" s="5"/>
      <c r="E906" s="5"/>
      <c r="F906" s="5"/>
      <c r="G906" s="5"/>
      <c r="H906" s="5"/>
      <c r="I906" s="5"/>
      <c r="J906" s="5"/>
      <c r="L906" s="277"/>
      <c r="M906" s="5"/>
      <c r="R906" s="5"/>
      <c r="S906" s="5"/>
      <c r="T906" s="1120"/>
      <c r="U906" s="5"/>
      <c r="V906" s="5"/>
      <c r="W906" s="5"/>
      <c r="X906" s="1120"/>
      <c r="Y906" s="1120"/>
      <c r="Z906" s="5"/>
      <c r="AA906" s="5"/>
      <c r="AB906" s="1135"/>
      <c r="AC906" s="5"/>
      <c r="AD906" s="5"/>
      <c r="AE906" s="5"/>
      <c r="AF906" s="1120"/>
      <c r="AG906" s="1148"/>
      <c r="AH906" s="1120"/>
      <c r="AI906" s="1120"/>
      <c r="AJ906" s="1120"/>
    </row>
    <row r="907" spans="2:36" ht="30" customHeight="1" x14ac:dyDescent="0.25">
      <c r="B907" s="5"/>
      <c r="C907" s="5"/>
      <c r="D907" s="5"/>
      <c r="E907" s="5"/>
      <c r="F907" s="5"/>
      <c r="G907" s="5"/>
      <c r="H907" s="5"/>
      <c r="I907" s="5"/>
      <c r="J907" s="5"/>
      <c r="L907" s="277"/>
      <c r="M907" s="5"/>
      <c r="R907" s="5"/>
      <c r="S907" s="5"/>
      <c r="T907" s="1120"/>
      <c r="U907" s="5"/>
      <c r="V907" s="5"/>
      <c r="W907" s="5"/>
      <c r="X907" s="1120"/>
      <c r="Y907" s="1120"/>
      <c r="Z907" s="5"/>
      <c r="AA907" s="5"/>
      <c r="AB907" s="1135"/>
      <c r="AC907" s="5"/>
      <c r="AD907" s="5"/>
      <c r="AE907" s="5"/>
      <c r="AF907" s="1120"/>
      <c r="AG907" s="1148"/>
      <c r="AH907" s="1120"/>
      <c r="AI907" s="1120"/>
      <c r="AJ907" s="1120"/>
    </row>
    <row r="908" spans="2:36" ht="30" customHeight="1" x14ac:dyDescent="0.25">
      <c r="B908" s="5"/>
      <c r="C908" s="5"/>
      <c r="D908" s="5"/>
      <c r="E908" s="5"/>
      <c r="F908" s="5"/>
      <c r="G908" s="5"/>
      <c r="H908" s="5"/>
      <c r="I908" s="5"/>
      <c r="J908" s="5"/>
      <c r="L908" s="277"/>
      <c r="M908" s="5"/>
      <c r="R908" s="5"/>
      <c r="S908" s="5"/>
      <c r="T908" s="1120"/>
      <c r="U908" s="5"/>
      <c r="V908" s="5"/>
      <c r="W908" s="5"/>
      <c r="X908" s="1120"/>
      <c r="Y908" s="1120"/>
      <c r="Z908" s="5"/>
      <c r="AA908" s="5"/>
      <c r="AB908" s="1135"/>
      <c r="AC908" s="5"/>
      <c r="AD908" s="5"/>
      <c r="AE908" s="5"/>
      <c r="AF908" s="1120"/>
      <c r="AG908" s="1148"/>
      <c r="AH908" s="1120"/>
      <c r="AI908" s="1120"/>
      <c r="AJ908" s="1120"/>
    </row>
    <row r="909" spans="2:36" ht="30" customHeight="1" x14ac:dyDescent="0.25">
      <c r="B909" s="5"/>
      <c r="C909" s="5"/>
      <c r="D909" s="5"/>
      <c r="E909" s="5"/>
      <c r="F909" s="5"/>
      <c r="G909" s="5"/>
      <c r="H909" s="5"/>
      <c r="I909" s="5"/>
      <c r="J909" s="5"/>
      <c r="L909" s="277"/>
      <c r="M909" s="5"/>
      <c r="R909" s="5"/>
      <c r="S909" s="5"/>
      <c r="T909" s="1120"/>
      <c r="U909" s="5"/>
      <c r="V909" s="5"/>
      <c r="W909" s="5"/>
      <c r="X909" s="1120"/>
      <c r="Y909" s="1120"/>
      <c r="Z909" s="5"/>
      <c r="AA909" s="5"/>
      <c r="AB909" s="1135"/>
      <c r="AC909" s="5"/>
      <c r="AD909" s="5"/>
      <c r="AE909" s="5"/>
      <c r="AF909" s="1120"/>
      <c r="AG909" s="1148"/>
      <c r="AH909" s="1120"/>
      <c r="AI909" s="1120"/>
      <c r="AJ909" s="1120"/>
    </row>
    <row r="910" spans="2:36" ht="30" customHeight="1" x14ac:dyDescent="0.25">
      <c r="B910" s="5"/>
      <c r="C910" s="5"/>
      <c r="D910" s="5"/>
      <c r="E910" s="5"/>
      <c r="F910" s="5"/>
      <c r="G910" s="5"/>
      <c r="H910" s="5"/>
      <c r="I910" s="5"/>
      <c r="J910" s="5"/>
      <c r="L910" s="277"/>
      <c r="M910" s="5"/>
      <c r="R910" s="5"/>
      <c r="S910" s="5"/>
      <c r="T910" s="1120"/>
      <c r="U910" s="5"/>
      <c r="V910" s="5"/>
      <c r="W910" s="5"/>
      <c r="X910" s="1120"/>
      <c r="Y910" s="1120"/>
      <c r="Z910" s="5"/>
      <c r="AA910" s="5"/>
      <c r="AB910" s="1135"/>
      <c r="AC910" s="5"/>
      <c r="AD910" s="5"/>
      <c r="AE910" s="5"/>
      <c r="AF910" s="1120"/>
      <c r="AG910" s="1148"/>
      <c r="AH910" s="1120"/>
      <c r="AI910" s="1120"/>
      <c r="AJ910" s="1120"/>
    </row>
    <row r="911" spans="2:36" ht="30" customHeight="1" x14ac:dyDescent="0.25">
      <c r="B911" s="5"/>
      <c r="C911" s="5"/>
      <c r="D911" s="5"/>
      <c r="E911" s="5"/>
      <c r="F911" s="5"/>
      <c r="G911" s="5"/>
      <c r="H911" s="5"/>
      <c r="I911" s="5"/>
      <c r="J911" s="5"/>
      <c r="L911" s="277"/>
      <c r="M911" s="5"/>
      <c r="R911" s="5"/>
      <c r="S911" s="5"/>
      <c r="T911" s="1120"/>
      <c r="U911" s="5"/>
      <c r="V911" s="5"/>
      <c r="W911" s="5"/>
      <c r="X911" s="1120"/>
      <c r="Y911" s="1120"/>
      <c r="Z911" s="5"/>
      <c r="AA911" s="5"/>
      <c r="AB911" s="1135"/>
      <c r="AC911" s="5"/>
      <c r="AD911" s="5"/>
      <c r="AE911" s="5"/>
      <c r="AF911" s="1120"/>
      <c r="AG911" s="1148"/>
      <c r="AH911" s="1120"/>
      <c r="AI911" s="1120"/>
      <c r="AJ911" s="1120"/>
    </row>
    <row r="912" spans="2:36" ht="30" customHeight="1" x14ac:dyDescent="0.25">
      <c r="B912" s="5"/>
      <c r="C912" s="5"/>
      <c r="D912" s="5"/>
      <c r="E912" s="5"/>
      <c r="F912" s="5"/>
      <c r="G912" s="5"/>
      <c r="H912" s="5"/>
      <c r="I912" s="5"/>
      <c r="J912" s="5"/>
      <c r="L912" s="277"/>
      <c r="M912" s="5"/>
      <c r="R912" s="5"/>
      <c r="S912" s="5"/>
      <c r="T912" s="1120"/>
      <c r="U912" s="5"/>
      <c r="V912" s="5"/>
      <c r="W912" s="5"/>
      <c r="X912" s="1120"/>
      <c r="Y912" s="1120"/>
      <c r="Z912" s="5"/>
      <c r="AA912" s="5"/>
      <c r="AB912" s="1135"/>
      <c r="AC912" s="5"/>
      <c r="AD912" s="5"/>
      <c r="AE912" s="5"/>
      <c r="AF912" s="1120"/>
      <c r="AG912" s="1148"/>
      <c r="AH912" s="1120"/>
      <c r="AI912" s="1120"/>
      <c r="AJ912" s="1120"/>
    </row>
    <row r="913" spans="2:36" ht="30" customHeight="1" x14ac:dyDescent="0.25">
      <c r="B913" s="5"/>
      <c r="C913" s="5"/>
      <c r="D913" s="5"/>
      <c r="E913" s="5"/>
      <c r="F913" s="5"/>
      <c r="G913" s="5"/>
      <c r="H913" s="5"/>
      <c r="I913" s="5"/>
      <c r="J913" s="5"/>
      <c r="L913" s="277"/>
      <c r="M913" s="5"/>
      <c r="R913" s="5"/>
      <c r="S913" s="5"/>
      <c r="T913" s="1120"/>
      <c r="U913" s="5"/>
      <c r="V913" s="5"/>
      <c r="W913" s="5"/>
      <c r="X913" s="1120"/>
      <c r="Y913" s="1120"/>
      <c r="Z913" s="5"/>
      <c r="AA913" s="5"/>
      <c r="AB913" s="1135"/>
      <c r="AC913" s="5"/>
      <c r="AD913" s="5"/>
      <c r="AE913" s="5"/>
      <c r="AF913" s="1120"/>
      <c r="AG913" s="1148"/>
      <c r="AH913" s="1120"/>
      <c r="AI913" s="1120"/>
      <c r="AJ913" s="1120"/>
    </row>
    <row r="914" spans="2:36" ht="30" customHeight="1" x14ac:dyDescent="0.25">
      <c r="B914" s="5"/>
      <c r="C914" s="5"/>
      <c r="D914" s="5"/>
      <c r="E914" s="5"/>
      <c r="F914" s="5"/>
      <c r="G914" s="5"/>
      <c r="H914" s="5"/>
      <c r="I914" s="5"/>
      <c r="J914" s="5"/>
      <c r="L914" s="277"/>
      <c r="M914" s="5"/>
      <c r="R914" s="5"/>
      <c r="S914" s="5"/>
      <c r="T914" s="1120"/>
      <c r="U914" s="5"/>
      <c r="V914" s="5"/>
      <c r="W914" s="5"/>
      <c r="X914" s="1120"/>
      <c r="Y914" s="1120"/>
      <c r="Z914" s="5"/>
      <c r="AA914" s="5"/>
      <c r="AB914" s="1135"/>
      <c r="AC914" s="5"/>
      <c r="AD914" s="5"/>
      <c r="AE914" s="5"/>
      <c r="AF914" s="1120"/>
      <c r="AG914" s="1148"/>
      <c r="AH914" s="1120"/>
      <c r="AI914" s="1120"/>
      <c r="AJ914" s="1120"/>
    </row>
    <row r="915" spans="2:36" ht="30" customHeight="1" x14ac:dyDescent="0.25">
      <c r="B915" s="5"/>
      <c r="C915" s="5"/>
      <c r="D915" s="5"/>
      <c r="E915" s="5"/>
      <c r="F915" s="5"/>
      <c r="G915" s="5"/>
      <c r="H915" s="5"/>
      <c r="I915" s="5"/>
      <c r="J915" s="5"/>
      <c r="L915" s="277"/>
      <c r="M915" s="5"/>
      <c r="R915" s="5"/>
      <c r="S915" s="5"/>
      <c r="T915" s="1120"/>
      <c r="U915" s="5"/>
      <c r="V915" s="5"/>
      <c r="W915" s="5"/>
      <c r="X915" s="1120"/>
      <c r="Y915" s="1120"/>
      <c r="Z915" s="5"/>
      <c r="AA915" s="5"/>
      <c r="AB915" s="1135"/>
      <c r="AC915" s="5"/>
      <c r="AD915" s="5"/>
      <c r="AE915" s="5"/>
      <c r="AF915" s="1120"/>
      <c r="AG915" s="1148"/>
      <c r="AH915" s="1120"/>
      <c r="AI915" s="1120"/>
      <c r="AJ915" s="1120"/>
    </row>
    <row r="916" spans="2:36" ht="30" customHeight="1" x14ac:dyDescent="0.25">
      <c r="B916" s="5"/>
      <c r="C916" s="5"/>
      <c r="D916" s="5"/>
      <c r="E916" s="5"/>
      <c r="F916" s="5"/>
      <c r="G916" s="5"/>
      <c r="H916" s="5"/>
      <c r="I916" s="5"/>
      <c r="J916" s="5"/>
      <c r="L916" s="277"/>
      <c r="M916" s="5"/>
      <c r="R916" s="5"/>
      <c r="S916" s="5"/>
      <c r="T916" s="1120"/>
      <c r="U916" s="5"/>
      <c r="V916" s="5"/>
      <c r="W916" s="5"/>
      <c r="X916" s="1120"/>
      <c r="Y916" s="1120"/>
      <c r="Z916" s="5"/>
      <c r="AA916" s="5"/>
      <c r="AB916" s="1135"/>
      <c r="AC916" s="5"/>
      <c r="AD916" s="5"/>
      <c r="AE916" s="5"/>
      <c r="AF916" s="1120"/>
      <c r="AG916" s="1148"/>
      <c r="AH916" s="1120"/>
      <c r="AI916" s="1120"/>
      <c r="AJ916" s="1120"/>
    </row>
    <row r="917" spans="2:36" ht="30" customHeight="1" x14ac:dyDescent="0.25">
      <c r="B917" s="5"/>
      <c r="C917" s="5"/>
      <c r="D917" s="5"/>
      <c r="E917" s="5"/>
      <c r="F917" s="5"/>
      <c r="G917" s="5"/>
      <c r="H917" s="5"/>
      <c r="I917" s="5"/>
      <c r="J917" s="5"/>
      <c r="L917" s="277"/>
      <c r="M917" s="5"/>
      <c r="R917" s="5"/>
      <c r="S917" s="5"/>
      <c r="T917" s="1120"/>
      <c r="U917" s="5"/>
      <c r="V917" s="5"/>
      <c r="W917" s="5"/>
      <c r="X917" s="1120"/>
      <c r="Y917" s="1120"/>
      <c r="Z917" s="5"/>
      <c r="AA917" s="5"/>
      <c r="AB917" s="1135"/>
      <c r="AC917" s="5"/>
      <c r="AD917" s="5"/>
      <c r="AE917" s="5"/>
      <c r="AF917" s="1120"/>
      <c r="AG917" s="1148"/>
      <c r="AH917" s="1120"/>
      <c r="AI917" s="1120"/>
      <c r="AJ917" s="1120"/>
    </row>
    <row r="918" spans="2:36" ht="30" customHeight="1" x14ac:dyDescent="0.25">
      <c r="B918" s="5"/>
      <c r="C918" s="5"/>
      <c r="D918" s="5"/>
      <c r="E918" s="5"/>
      <c r="F918" s="5"/>
      <c r="G918" s="5"/>
      <c r="H918" s="5"/>
      <c r="I918" s="5"/>
      <c r="J918" s="5"/>
      <c r="L918" s="277"/>
      <c r="M918" s="5"/>
      <c r="R918" s="5"/>
      <c r="S918" s="5"/>
      <c r="T918" s="1120"/>
      <c r="U918" s="5"/>
      <c r="V918" s="5"/>
      <c r="W918" s="5"/>
      <c r="X918" s="1120"/>
      <c r="Y918" s="1120"/>
      <c r="Z918" s="5"/>
      <c r="AA918" s="5"/>
      <c r="AB918" s="1135"/>
      <c r="AC918" s="5"/>
      <c r="AD918" s="5"/>
      <c r="AE918" s="5"/>
      <c r="AF918" s="1120"/>
      <c r="AG918" s="1148"/>
      <c r="AH918" s="1120"/>
      <c r="AI918" s="1120"/>
      <c r="AJ918" s="1120"/>
    </row>
    <row r="919" spans="2:36" ht="30" customHeight="1" x14ac:dyDescent="0.25">
      <c r="B919" s="5"/>
      <c r="C919" s="5"/>
      <c r="D919" s="5"/>
      <c r="E919" s="5"/>
      <c r="F919" s="5"/>
      <c r="G919" s="5"/>
      <c r="H919" s="5"/>
      <c r="I919" s="5"/>
      <c r="J919" s="5"/>
      <c r="L919" s="277"/>
      <c r="M919" s="5"/>
      <c r="R919" s="5"/>
      <c r="S919" s="5"/>
      <c r="T919" s="1120"/>
      <c r="U919" s="5"/>
      <c r="V919" s="5"/>
      <c r="W919" s="5"/>
      <c r="X919" s="1120"/>
      <c r="Y919" s="1120"/>
      <c r="Z919" s="5"/>
      <c r="AA919" s="5"/>
      <c r="AB919" s="1135"/>
      <c r="AC919" s="5"/>
      <c r="AD919" s="5"/>
      <c r="AE919" s="5"/>
      <c r="AF919" s="1120"/>
      <c r="AG919" s="1148"/>
      <c r="AH919" s="1120"/>
      <c r="AI919" s="1120"/>
      <c r="AJ919" s="1120"/>
    </row>
    <row r="920" spans="2:36" ht="30" customHeight="1" x14ac:dyDescent="0.25">
      <c r="B920" s="5"/>
      <c r="C920" s="5"/>
      <c r="D920" s="5"/>
      <c r="E920" s="5"/>
      <c r="F920" s="5"/>
      <c r="G920" s="5"/>
      <c r="H920" s="5"/>
      <c r="I920" s="5"/>
      <c r="J920" s="5"/>
      <c r="L920" s="277"/>
      <c r="M920" s="5"/>
      <c r="R920" s="5"/>
      <c r="S920" s="5"/>
      <c r="T920" s="1120"/>
      <c r="U920" s="5"/>
      <c r="V920" s="5"/>
      <c r="W920" s="5"/>
      <c r="X920" s="1120"/>
      <c r="Y920" s="1120"/>
      <c r="Z920" s="5"/>
      <c r="AA920" s="5"/>
      <c r="AB920" s="1135"/>
      <c r="AC920" s="5"/>
      <c r="AD920" s="5"/>
      <c r="AE920" s="5"/>
      <c r="AF920" s="1120"/>
      <c r="AG920" s="1148"/>
      <c r="AH920" s="1120"/>
      <c r="AI920" s="1120"/>
      <c r="AJ920" s="1120"/>
    </row>
    <row r="921" spans="2:36" ht="30" customHeight="1" x14ac:dyDescent="0.25">
      <c r="B921" s="5"/>
      <c r="C921" s="5"/>
      <c r="D921" s="5"/>
      <c r="E921" s="5"/>
      <c r="F921" s="5"/>
      <c r="G921" s="5"/>
      <c r="H921" s="5"/>
      <c r="I921" s="5"/>
      <c r="J921" s="5"/>
      <c r="L921" s="277"/>
      <c r="M921" s="5"/>
      <c r="R921" s="5"/>
      <c r="S921" s="5"/>
      <c r="T921" s="1120"/>
      <c r="U921" s="5"/>
      <c r="V921" s="5"/>
      <c r="W921" s="5"/>
      <c r="X921" s="1120"/>
      <c r="Y921" s="1120"/>
      <c r="Z921" s="5"/>
      <c r="AA921" s="5"/>
      <c r="AB921" s="1135"/>
      <c r="AC921" s="5"/>
      <c r="AD921" s="5"/>
      <c r="AE921" s="5"/>
      <c r="AF921" s="1120"/>
      <c r="AG921" s="1148"/>
      <c r="AH921" s="1120"/>
      <c r="AI921" s="1120"/>
      <c r="AJ921" s="1120"/>
    </row>
    <row r="922" spans="2:36" ht="30" customHeight="1" x14ac:dyDescent="0.25">
      <c r="B922" s="5"/>
      <c r="C922" s="5"/>
      <c r="D922" s="5"/>
      <c r="E922" s="5"/>
      <c r="F922" s="5"/>
      <c r="G922" s="5"/>
      <c r="H922" s="5"/>
      <c r="I922" s="5"/>
      <c r="J922" s="5"/>
      <c r="L922" s="277"/>
      <c r="M922" s="5"/>
      <c r="R922" s="5"/>
      <c r="S922" s="5"/>
      <c r="T922" s="1120"/>
      <c r="U922" s="5"/>
      <c r="V922" s="5"/>
      <c r="W922" s="5"/>
      <c r="X922" s="1120"/>
      <c r="Y922" s="1120"/>
      <c r="Z922" s="5"/>
      <c r="AA922" s="5"/>
      <c r="AB922" s="1135"/>
      <c r="AC922" s="5"/>
      <c r="AD922" s="5"/>
      <c r="AE922" s="5"/>
      <c r="AF922" s="1120"/>
      <c r="AG922" s="1148"/>
      <c r="AH922" s="1120"/>
      <c r="AI922" s="1120"/>
      <c r="AJ922" s="1120"/>
    </row>
    <row r="923" spans="2:36" ht="30" customHeight="1" x14ac:dyDescent="0.25">
      <c r="B923" s="5"/>
      <c r="C923" s="5"/>
      <c r="D923" s="5"/>
      <c r="E923" s="5"/>
      <c r="F923" s="5"/>
      <c r="G923" s="5"/>
      <c r="H923" s="5"/>
      <c r="I923" s="5"/>
      <c r="J923" s="5"/>
      <c r="L923" s="277"/>
      <c r="M923" s="5"/>
      <c r="R923" s="5"/>
      <c r="S923" s="5"/>
      <c r="T923" s="1120"/>
      <c r="U923" s="5"/>
      <c r="V923" s="5"/>
      <c r="W923" s="5"/>
      <c r="X923" s="1120"/>
      <c r="Y923" s="1120"/>
      <c r="Z923" s="5"/>
      <c r="AA923" s="5"/>
      <c r="AB923" s="1135"/>
      <c r="AC923" s="5"/>
      <c r="AD923" s="5"/>
      <c r="AE923" s="5"/>
      <c r="AF923" s="1120"/>
      <c r="AG923" s="1148"/>
      <c r="AH923" s="1120"/>
      <c r="AI923" s="1120"/>
      <c r="AJ923" s="1120"/>
    </row>
    <row r="924" spans="2:36" ht="30" customHeight="1" x14ac:dyDescent="0.25">
      <c r="B924" s="5"/>
      <c r="C924" s="5"/>
      <c r="D924" s="5"/>
      <c r="E924" s="5"/>
      <c r="F924" s="5"/>
      <c r="G924" s="5"/>
      <c r="H924" s="5"/>
      <c r="I924" s="5"/>
      <c r="J924" s="5"/>
      <c r="L924" s="277"/>
      <c r="M924" s="5"/>
      <c r="R924" s="5"/>
      <c r="S924" s="5"/>
      <c r="T924" s="1120"/>
      <c r="U924" s="5"/>
      <c r="V924" s="5"/>
      <c r="W924" s="5"/>
      <c r="X924" s="1120"/>
      <c r="Y924" s="1120"/>
      <c r="Z924" s="5"/>
      <c r="AA924" s="5"/>
      <c r="AB924" s="1135"/>
      <c r="AC924" s="5"/>
      <c r="AD924" s="5"/>
      <c r="AE924" s="5"/>
      <c r="AF924" s="1120"/>
      <c r="AG924" s="1148"/>
      <c r="AH924" s="1120"/>
      <c r="AI924" s="1120"/>
      <c r="AJ924" s="1120"/>
    </row>
    <row r="925" spans="2:36" ht="30" customHeight="1" x14ac:dyDescent="0.25">
      <c r="B925" s="5"/>
      <c r="C925" s="5"/>
      <c r="D925" s="5"/>
      <c r="E925" s="5"/>
      <c r="F925" s="5"/>
      <c r="G925" s="5"/>
      <c r="H925" s="5"/>
      <c r="I925" s="5"/>
      <c r="J925" s="5"/>
      <c r="L925" s="277"/>
      <c r="M925" s="5"/>
      <c r="R925" s="5"/>
      <c r="S925" s="5"/>
      <c r="T925" s="1120"/>
      <c r="U925" s="5"/>
      <c r="V925" s="5"/>
      <c r="W925" s="5"/>
      <c r="X925" s="1120"/>
      <c r="Y925" s="1120"/>
      <c r="Z925" s="5"/>
      <c r="AA925" s="5"/>
      <c r="AB925" s="1135"/>
      <c r="AC925" s="5"/>
      <c r="AD925" s="5"/>
      <c r="AE925" s="5"/>
      <c r="AF925" s="1120"/>
      <c r="AG925" s="1148"/>
      <c r="AH925" s="1120"/>
      <c r="AI925" s="1120"/>
      <c r="AJ925" s="1120"/>
    </row>
    <row r="926" spans="2:36" ht="30" customHeight="1" x14ac:dyDescent="0.25">
      <c r="B926" s="5"/>
      <c r="C926" s="5"/>
      <c r="D926" s="5"/>
      <c r="E926" s="5"/>
      <c r="F926" s="5"/>
      <c r="G926" s="5"/>
      <c r="H926" s="5"/>
      <c r="I926" s="5"/>
      <c r="J926" s="5"/>
      <c r="L926" s="277"/>
      <c r="M926" s="5"/>
      <c r="R926" s="5"/>
      <c r="S926" s="5"/>
      <c r="T926" s="1120"/>
      <c r="U926" s="5"/>
      <c r="V926" s="5"/>
      <c r="W926" s="5"/>
      <c r="X926" s="1120"/>
      <c r="Y926" s="1120"/>
      <c r="Z926" s="5"/>
      <c r="AA926" s="5"/>
      <c r="AB926" s="1135"/>
      <c r="AC926" s="5"/>
      <c r="AD926" s="5"/>
      <c r="AE926" s="5"/>
      <c r="AF926" s="1120"/>
      <c r="AG926" s="1148"/>
      <c r="AH926" s="1120"/>
      <c r="AI926" s="1120"/>
      <c r="AJ926" s="1120"/>
    </row>
    <row r="927" spans="2:36" ht="30" customHeight="1" x14ac:dyDescent="0.25">
      <c r="B927" s="5"/>
      <c r="C927" s="5"/>
      <c r="D927" s="5"/>
      <c r="E927" s="5"/>
      <c r="F927" s="5"/>
      <c r="G927" s="5"/>
      <c r="H927" s="5"/>
      <c r="I927" s="5"/>
      <c r="J927" s="5"/>
      <c r="L927" s="277"/>
      <c r="M927" s="5"/>
      <c r="R927" s="5"/>
      <c r="S927" s="5"/>
      <c r="T927" s="1120"/>
      <c r="U927" s="5"/>
      <c r="V927" s="5"/>
      <c r="W927" s="5"/>
      <c r="X927" s="1120"/>
      <c r="Y927" s="1120"/>
      <c r="Z927" s="5"/>
      <c r="AA927" s="5"/>
      <c r="AB927" s="1135"/>
      <c r="AC927" s="5"/>
      <c r="AD927" s="5"/>
      <c r="AE927" s="5"/>
      <c r="AF927" s="1120"/>
      <c r="AG927" s="1148"/>
      <c r="AH927" s="1120"/>
      <c r="AI927" s="1120"/>
      <c r="AJ927" s="1120"/>
    </row>
    <row r="928" spans="2:36" ht="30" customHeight="1" x14ac:dyDescent="0.25">
      <c r="B928" s="5"/>
      <c r="C928" s="5"/>
      <c r="D928" s="5"/>
      <c r="E928" s="5"/>
      <c r="F928" s="5"/>
      <c r="G928" s="5"/>
      <c r="H928" s="5"/>
      <c r="I928" s="5"/>
      <c r="J928" s="5"/>
      <c r="L928" s="277"/>
      <c r="M928" s="5"/>
      <c r="R928" s="5"/>
      <c r="S928" s="5"/>
      <c r="T928" s="1120"/>
      <c r="U928" s="5"/>
      <c r="V928" s="5"/>
      <c r="W928" s="5"/>
      <c r="X928" s="1120"/>
      <c r="Y928" s="1120"/>
      <c r="Z928" s="5"/>
      <c r="AA928" s="5"/>
      <c r="AB928" s="1135"/>
      <c r="AC928" s="5"/>
      <c r="AD928" s="5"/>
      <c r="AE928" s="5"/>
      <c r="AF928" s="1120"/>
      <c r="AG928" s="1148"/>
      <c r="AH928" s="1120"/>
      <c r="AI928" s="1120"/>
      <c r="AJ928" s="1120"/>
    </row>
    <row r="929" spans="2:36" ht="30" customHeight="1" x14ac:dyDescent="0.25">
      <c r="B929" s="5"/>
      <c r="C929" s="5"/>
      <c r="D929" s="5"/>
      <c r="E929" s="5"/>
      <c r="F929" s="5"/>
      <c r="G929" s="5"/>
      <c r="H929" s="5"/>
      <c r="I929" s="5"/>
      <c r="J929" s="5"/>
      <c r="L929" s="277"/>
      <c r="M929" s="5"/>
      <c r="R929" s="5"/>
      <c r="S929" s="5"/>
      <c r="T929" s="1120"/>
      <c r="U929" s="5"/>
      <c r="V929" s="5"/>
      <c r="W929" s="5"/>
      <c r="X929" s="1120"/>
      <c r="Y929" s="1120"/>
      <c r="Z929" s="5"/>
      <c r="AA929" s="5"/>
      <c r="AB929" s="1135"/>
      <c r="AC929" s="5"/>
      <c r="AD929" s="5"/>
      <c r="AE929" s="5"/>
      <c r="AF929" s="1120"/>
      <c r="AG929" s="1148"/>
      <c r="AH929" s="1120"/>
      <c r="AI929" s="1120"/>
      <c r="AJ929" s="1120"/>
    </row>
    <row r="930" spans="2:36" ht="30" customHeight="1" x14ac:dyDescent="0.25">
      <c r="B930" s="5"/>
      <c r="C930" s="5"/>
      <c r="D930" s="5"/>
      <c r="E930" s="5"/>
      <c r="F930" s="5"/>
      <c r="G930" s="5"/>
      <c r="H930" s="5"/>
      <c r="I930" s="5"/>
      <c r="J930" s="5"/>
      <c r="L930" s="277"/>
      <c r="M930" s="5"/>
      <c r="R930" s="5"/>
      <c r="S930" s="5"/>
      <c r="T930" s="1120"/>
      <c r="U930" s="5"/>
      <c r="V930" s="5"/>
      <c r="W930" s="5"/>
      <c r="X930" s="1120"/>
      <c r="Y930" s="1120"/>
      <c r="Z930" s="5"/>
      <c r="AA930" s="5"/>
      <c r="AB930" s="1135"/>
      <c r="AC930" s="5"/>
      <c r="AD930" s="5"/>
      <c r="AE930" s="5"/>
      <c r="AF930" s="1120"/>
      <c r="AG930" s="1148"/>
      <c r="AH930" s="1120"/>
      <c r="AI930" s="1120"/>
      <c r="AJ930" s="1120"/>
    </row>
    <row r="931" spans="2:36" ht="30" customHeight="1" x14ac:dyDescent="0.25">
      <c r="B931" s="5"/>
      <c r="C931" s="5"/>
      <c r="D931" s="5"/>
      <c r="E931" s="5"/>
      <c r="F931" s="5"/>
      <c r="G931" s="5"/>
      <c r="H931" s="5"/>
      <c r="I931" s="5"/>
      <c r="J931" s="5"/>
      <c r="L931" s="277"/>
      <c r="M931" s="5"/>
      <c r="R931" s="5"/>
      <c r="S931" s="5"/>
      <c r="T931" s="1120"/>
      <c r="U931" s="5"/>
      <c r="V931" s="5"/>
      <c r="W931" s="5"/>
      <c r="X931" s="1120"/>
      <c r="Y931" s="1120"/>
      <c r="Z931" s="5"/>
      <c r="AA931" s="5"/>
      <c r="AB931" s="1135"/>
      <c r="AC931" s="5"/>
      <c r="AD931" s="5"/>
      <c r="AE931" s="5"/>
      <c r="AF931" s="1120"/>
      <c r="AG931" s="1148"/>
      <c r="AH931" s="1120"/>
      <c r="AI931" s="1120"/>
      <c r="AJ931" s="1120"/>
    </row>
    <row r="932" spans="2:36" ht="30" customHeight="1" x14ac:dyDescent="0.25">
      <c r="B932" s="5"/>
      <c r="C932" s="5"/>
      <c r="D932" s="5"/>
      <c r="E932" s="5"/>
      <c r="F932" s="5"/>
      <c r="G932" s="5"/>
      <c r="H932" s="5"/>
      <c r="I932" s="5"/>
      <c r="J932" s="5"/>
      <c r="L932" s="277"/>
      <c r="M932" s="5"/>
      <c r="R932" s="5"/>
      <c r="S932" s="5"/>
      <c r="T932" s="1120"/>
      <c r="U932" s="5"/>
      <c r="V932" s="5"/>
      <c r="W932" s="5"/>
      <c r="X932" s="1120"/>
      <c r="Y932" s="1120"/>
      <c r="Z932" s="5"/>
      <c r="AA932" s="5"/>
      <c r="AB932" s="1135"/>
      <c r="AC932" s="5"/>
      <c r="AD932" s="5"/>
      <c r="AE932" s="5"/>
      <c r="AF932" s="1120"/>
      <c r="AG932" s="1148"/>
      <c r="AH932" s="1120"/>
      <c r="AI932" s="1120"/>
      <c r="AJ932" s="1120"/>
    </row>
    <row r="933" spans="2:36" ht="30" customHeight="1" x14ac:dyDescent="0.25">
      <c r="B933" s="5"/>
      <c r="C933" s="5"/>
      <c r="D933" s="5"/>
      <c r="E933" s="5"/>
      <c r="F933" s="5"/>
      <c r="G933" s="5"/>
      <c r="H933" s="5"/>
      <c r="I933" s="5"/>
      <c r="J933" s="5"/>
      <c r="L933" s="277"/>
      <c r="M933" s="5"/>
      <c r="R933" s="5"/>
      <c r="S933" s="5"/>
      <c r="T933" s="1120"/>
      <c r="U933" s="5"/>
      <c r="V933" s="5"/>
      <c r="W933" s="5"/>
      <c r="X933" s="1120"/>
      <c r="Y933" s="1120"/>
      <c r="Z933" s="5"/>
      <c r="AA933" s="5"/>
      <c r="AB933" s="1135"/>
      <c r="AC933" s="5"/>
      <c r="AD933" s="5"/>
      <c r="AE933" s="5"/>
      <c r="AF933" s="1120"/>
      <c r="AG933" s="1148"/>
      <c r="AH933" s="1120"/>
      <c r="AI933" s="1120"/>
      <c r="AJ933" s="1120"/>
    </row>
    <row r="934" spans="2:36" ht="30" customHeight="1" x14ac:dyDescent="0.25">
      <c r="B934" s="5"/>
      <c r="C934" s="5"/>
      <c r="D934" s="5"/>
      <c r="E934" s="5"/>
      <c r="F934" s="5"/>
      <c r="G934" s="5"/>
      <c r="H934" s="5"/>
      <c r="I934" s="5"/>
      <c r="J934" s="5"/>
      <c r="L934" s="277"/>
      <c r="M934" s="5"/>
      <c r="R934" s="5"/>
      <c r="S934" s="5"/>
      <c r="T934" s="1120"/>
      <c r="U934" s="5"/>
      <c r="V934" s="5"/>
      <c r="W934" s="5"/>
      <c r="X934" s="1120"/>
      <c r="Y934" s="1120"/>
      <c r="Z934" s="5"/>
      <c r="AA934" s="5"/>
      <c r="AB934" s="1135"/>
      <c r="AC934" s="5"/>
      <c r="AD934" s="5"/>
      <c r="AE934" s="5"/>
      <c r="AF934" s="1120"/>
      <c r="AG934" s="1148"/>
      <c r="AH934" s="1120"/>
      <c r="AI934" s="1120"/>
      <c r="AJ934" s="1120"/>
    </row>
    <row r="935" spans="2:36" ht="30" customHeight="1" x14ac:dyDescent="0.25">
      <c r="B935" s="5"/>
      <c r="C935" s="5"/>
      <c r="D935" s="5"/>
      <c r="E935" s="5"/>
      <c r="F935" s="5"/>
      <c r="G935" s="5"/>
      <c r="H935" s="5"/>
      <c r="I935" s="5"/>
      <c r="J935" s="5"/>
      <c r="L935" s="277"/>
      <c r="M935" s="5"/>
      <c r="R935" s="5"/>
      <c r="S935" s="5"/>
      <c r="T935" s="1120"/>
      <c r="U935" s="5"/>
      <c r="V935" s="5"/>
      <c r="W935" s="5"/>
      <c r="X935" s="1120"/>
      <c r="Y935" s="1120"/>
      <c r="Z935" s="5"/>
      <c r="AA935" s="5"/>
      <c r="AB935" s="1135"/>
      <c r="AC935" s="5"/>
      <c r="AD935" s="5"/>
      <c r="AE935" s="5"/>
      <c r="AF935" s="1120"/>
      <c r="AG935" s="1148"/>
      <c r="AH935" s="1120"/>
      <c r="AI935" s="1120"/>
      <c r="AJ935" s="1120"/>
    </row>
    <row r="936" spans="2:36" ht="30" customHeight="1" x14ac:dyDescent="0.25">
      <c r="B936" s="5"/>
      <c r="C936" s="5"/>
      <c r="D936" s="5"/>
      <c r="E936" s="5"/>
      <c r="F936" s="5"/>
      <c r="G936" s="5"/>
      <c r="H936" s="5"/>
      <c r="I936" s="5"/>
      <c r="J936" s="5"/>
      <c r="L936" s="277"/>
      <c r="M936" s="5"/>
      <c r="R936" s="5"/>
      <c r="S936" s="5"/>
      <c r="T936" s="1120"/>
      <c r="U936" s="5"/>
      <c r="V936" s="5"/>
      <c r="W936" s="5"/>
      <c r="X936" s="1120"/>
      <c r="Y936" s="1120"/>
      <c r="Z936" s="5"/>
      <c r="AA936" s="5"/>
      <c r="AB936" s="1135"/>
      <c r="AC936" s="5"/>
      <c r="AD936" s="5"/>
      <c r="AE936" s="5"/>
      <c r="AF936" s="1120"/>
      <c r="AG936" s="1148"/>
      <c r="AH936" s="1120"/>
      <c r="AI936" s="1120"/>
      <c r="AJ936" s="1120"/>
    </row>
    <row r="937" spans="2:36" ht="30" customHeight="1" x14ac:dyDescent="0.25">
      <c r="B937" s="5"/>
      <c r="C937" s="5"/>
      <c r="D937" s="5"/>
      <c r="E937" s="5"/>
      <c r="F937" s="5"/>
      <c r="G937" s="5"/>
      <c r="H937" s="5"/>
      <c r="I937" s="5"/>
      <c r="J937" s="5"/>
      <c r="L937" s="277"/>
      <c r="M937" s="5"/>
      <c r="R937" s="5"/>
      <c r="S937" s="5"/>
      <c r="T937" s="1120"/>
      <c r="U937" s="5"/>
      <c r="V937" s="5"/>
      <c r="W937" s="5"/>
      <c r="X937" s="1120"/>
      <c r="Y937" s="1120"/>
      <c r="Z937" s="5"/>
      <c r="AA937" s="5"/>
      <c r="AB937" s="1135"/>
      <c r="AC937" s="5"/>
      <c r="AD937" s="5"/>
      <c r="AE937" s="5"/>
      <c r="AF937" s="1120"/>
      <c r="AG937" s="1148"/>
      <c r="AH937" s="1120"/>
      <c r="AI937" s="1120"/>
      <c r="AJ937" s="1120"/>
    </row>
    <row r="938" spans="2:36" ht="30" customHeight="1" x14ac:dyDescent="0.25">
      <c r="B938" s="5"/>
      <c r="C938" s="5"/>
      <c r="D938" s="5"/>
      <c r="E938" s="5"/>
      <c r="F938" s="5"/>
      <c r="G938" s="5"/>
      <c r="H938" s="5"/>
      <c r="I938" s="5"/>
      <c r="J938" s="5"/>
      <c r="L938" s="277"/>
      <c r="M938" s="5"/>
      <c r="R938" s="5"/>
      <c r="S938" s="5"/>
      <c r="T938" s="1120"/>
      <c r="U938" s="5"/>
      <c r="V938" s="5"/>
      <c r="W938" s="5"/>
      <c r="X938" s="1120"/>
      <c r="Y938" s="1120"/>
      <c r="Z938" s="5"/>
      <c r="AA938" s="5"/>
      <c r="AB938" s="1135"/>
      <c r="AC938" s="5"/>
      <c r="AD938" s="5"/>
      <c r="AE938" s="5"/>
      <c r="AF938" s="1120"/>
      <c r="AG938" s="1148"/>
      <c r="AH938" s="1120"/>
      <c r="AI938" s="1120"/>
      <c r="AJ938" s="1120"/>
    </row>
    <row r="939" spans="2:36" ht="30" customHeight="1" x14ac:dyDescent="0.25">
      <c r="B939" s="5"/>
      <c r="C939" s="5"/>
      <c r="D939" s="5"/>
      <c r="E939" s="5"/>
      <c r="F939" s="5"/>
      <c r="G939" s="5"/>
      <c r="H939" s="5"/>
      <c r="I939" s="5"/>
      <c r="J939" s="5"/>
      <c r="L939" s="277"/>
      <c r="M939" s="5"/>
      <c r="R939" s="5"/>
      <c r="S939" s="5"/>
      <c r="T939" s="1120"/>
      <c r="U939" s="5"/>
      <c r="V939" s="5"/>
      <c r="W939" s="5"/>
      <c r="X939" s="1120"/>
      <c r="Y939" s="1120"/>
      <c r="Z939" s="5"/>
      <c r="AA939" s="5"/>
      <c r="AB939" s="1135"/>
      <c r="AC939" s="5"/>
      <c r="AD939" s="5"/>
      <c r="AE939" s="5"/>
      <c r="AF939" s="1120"/>
      <c r="AG939" s="1148"/>
      <c r="AH939" s="1120"/>
      <c r="AI939" s="1120"/>
      <c r="AJ939" s="1120"/>
    </row>
    <row r="940" spans="2:36" ht="30" customHeight="1" x14ac:dyDescent="0.25">
      <c r="B940" s="5"/>
      <c r="C940" s="5"/>
      <c r="D940" s="5"/>
      <c r="E940" s="5"/>
      <c r="F940" s="5"/>
      <c r="G940" s="5"/>
      <c r="H940" s="5"/>
      <c r="I940" s="5"/>
      <c r="J940" s="5"/>
      <c r="L940" s="277"/>
      <c r="M940" s="5"/>
      <c r="R940" s="5"/>
      <c r="S940" s="5"/>
      <c r="T940" s="1120"/>
      <c r="U940" s="5"/>
      <c r="V940" s="5"/>
      <c r="W940" s="5"/>
      <c r="X940" s="1120"/>
      <c r="Y940" s="1120"/>
      <c r="Z940" s="5"/>
      <c r="AA940" s="5"/>
      <c r="AB940" s="1135"/>
      <c r="AC940" s="5"/>
      <c r="AD940" s="5"/>
      <c r="AE940" s="5"/>
      <c r="AF940" s="1120"/>
      <c r="AG940" s="1148"/>
      <c r="AH940" s="1120"/>
      <c r="AI940" s="1120"/>
      <c r="AJ940" s="1120"/>
    </row>
    <row r="941" spans="2:36" ht="30" customHeight="1" x14ac:dyDescent="0.25">
      <c r="B941" s="5"/>
      <c r="C941" s="5"/>
      <c r="D941" s="5"/>
      <c r="E941" s="5"/>
      <c r="F941" s="5"/>
      <c r="G941" s="5"/>
      <c r="H941" s="5"/>
      <c r="I941" s="5"/>
      <c r="J941" s="5"/>
      <c r="L941" s="277"/>
      <c r="M941" s="5"/>
      <c r="R941" s="5"/>
      <c r="S941" s="5"/>
      <c r="T941" s="1120"/>
      <c r="U941" s="5"/>
      <c r="V941" s="5"/>
      <c r="W941" s="5"/>
      <c r="X941" s="1120"/>
      <c r="Y941" s="1120"/>
      <c r="Z941" s="5"/>
      <c r="AA941" s="5"/>
      <c r="AB941" s="1135"/>
      <c r="AC941" s="5"/>
      <c r="AD941" s="5"/>
      <c r="AE941" s="5"/>
      <c r="AF941" s="1120"/>
      <c r="AG941" s="1148"/>
      <c r="AH941" s="1120"/>
      <c r="AI941" s="1120"/>
      <c r="AJ941" s="1120"/>
    </row>
    <row r="942" spans="2:36" ht="30" customHeight="1" x14ac:dyDescent="0.25">
      <c r="B942" s="5"/>
      <c r="C942" s="5"/>
      <c r="D942" s="5"/>
      <c r="E942" s="5"/>
      <c r="F942" s="5"/>
      <c r="G942" s="5"/>
      <c r="H942" s="5"/>
      <c r="I942" s="5"/>
      <c r="J942" s="5"/>
      <c r="L942" s="277"/>
      <c r="M942" s="5"/>
      <c r="R942" s="5"/>
      <c r="S942" s="5"/>
      <c r="T942" s="1120"/>
      <c r="U942" s="5"/>
      <c r="V942" s="5"/>
      <c r="W942" s="5"/>
      <c r="X942" s="1120"/>
      <c r="Y942" s="1120"/>
      <c r="Z942" s="5"/>
      <c r="AA942" s="5"/>
      <c r="AB942" s="1135"/>
      <c r="AC942" s="5"/>
      <c r="AD942" s="5"/>
      <c r="AE942" s="5"/>
      <c r="AF942" s="1120"/>
      <c r="AG942" s="1148"/>
      <c r="AH942" s="1120"/>
      <c r="AI942" s="1120"/>
      <c r="AJ942" s="1120"/>
    </row>
    <row r="943" spans="2:36" ht="30" customHeight="1" x14ac:dyDescent="0.25">
      <c r="B943" s="5"/>
      <c r="C943" s="5"/>
      <c r="D943" s="5"/>
      <c r="E943" s="5"/>
      <c r="F943" s="5"/>
      <c r="G943" s="5"/>
      <c r="H943" s="5"/>
      <c r="I943" s="5"/>
      <c r="J943" s="5"/>
      <c r="L943" s="277"/>
      <c r="M943" s="5"/>
      <c r="R943" s="5"/>
      <c r="S943" s="5"/>
      <c r="T943" s="1120"/>
      <c r="U943" s="5"/>
      <c r="V943" s="5"/>
      <c r="W943" s="5"/>
      <c r="X943" s="1120"/>
      <c r="Y943" s="1120"/>
      <c r="Z943" s="5"/>
      <c r="AA943" s="5"/>
      <c r="AB943" s="1135"/>
      <c r="AC943" s="5"/>
      <c r="AD943" s="5"/>
      <c r="AE943" s="5"/>
      <c r="AF943" s="1120"/>
      <c r="AG943" s="1148"/>
      <c r="AH943" s="1120"/>
      <c r="AI943" s="1120"/>
      <c r="AJ943" s="1120"/>
    </row>
    <row r="944" spans="2:36" ht="30" customHeight="1" x14ac:dyDescent="0.25">
      <c r="B944" s="5"/>
      <c r="C944" s="5"/>
      <c r="D944" s="5"/>
      <c r="E944" s="5"/>
      <c r="F944" s="5"/>
      <c r="G944" s="5"/>
      <c r="H944" s="5"/>
      <c r="I944" s="5"/>
      <c r="J944" s="5"/>
      <c r="L944" s="277"/>
      <c r="M944" s="5"/>
      <c r="R944" s="5"/>
      <c r="S944" s="5"/>
      <c r="T944" s="1120"/>
      <c r="U944" s="5"/>
      <c r="V944" s="5"/>
      <c r="W944" s="5"/>
      <c r="X944" s="1120"/>
      <c r="Y944" s="1120"/>
      <c r="Z944" s="5"/>
      <c r="AA944" s="5"/>
      <c r="AB944" s="1135"/>
      <c r="AC944" s="5"/>
      <c r="AD944" s="5"/>
      <c r="AE944" s="5"/>
      <c r="AF944" s="1120"/>
      <c r="AG944" s="1148"/>
      <c r="AH944" s="1120"/>
      <c r="AI944" s="1120"/>
      <c r="AJ944" s="1120"/>
    </row>
    <row r="945" spans="2:36" ht="30" customHeight="1" x14ac:dyDescent="0.25">
      <c r="B945" s="5"/>
      <c r="C945" s="5"/>
      <c r="D945" s="5"/>
      <c r="E945" s="5"/>
      <c r="F945" s="5"/>
      <c r="G945" s="5"/>
      <c r="H945" s="5"/>
      <c r="I945" s="5"/>
      <c r="J945" s="5"/>
      <c r="L945" s="277"/>
      <c r="M945" s="5"/>
      <c r="R945" s="5"/>
      <c r="S945" s="5"/>
      <c r="T945" s="1120"/>
      <c r="U945" s="5"/>
      <c r="V945" s="5"/>
      <c r="W945" s="5"/>
      <c r="X945" s="1120"/>
      <c r="Y945" s="1120"/>
      <c r="Z945" s="5"/>
      <c r="AA945" s="5"/>
      <c r="AB945" s="1135"/>
      <c r="AC945" s="5"/>
      <c r="AD945" s="5"/>
      <c r="AE945" s="5"/>
      <c r="AF945" s="1120"/>
      <c r="AG945" s="1148"/>
      <c r="AH945" s="1120"/>
      <c r="AI945" s="1120"/>
      <c r="AJ945" s="1120"/>
    </row>
    <row r="946" spans="2:36" ht="30" customHeight="1" x14ac:dyDescent="0.25">
      <c r="B946" s="5"/>
      <c r="C946" s="5"/>
      <c r="D946" s="5"/>
      <c r="E946" s="5"/>
      <c r="F946" s="5"/>
      <c r="G946" s="5"/>
      <c r="H946" s="5"/>
      <c r="I946" s="5"/>
      <c r="J946" s="5"/>
      <c r="L946" s="277"/>
      <c r="M946" s="5"/>
      <c r="R946" s="5"/>
      <c r="S946" s="5"/>
      <c r="T946" s="1120"/>
      <c r="U946" s="5"/>
      <c r="V946" s="5"/>
      <c r="W946" s="5"/>
      <c r="X946" s="1120"/>
      <c r="Y946" s="1120"/>
      <c r="Z946" s="5"/>
      <c r="AA946" s="5"/>
      <c r="AB946" s="1135"/>
      <c r="AC946" s="5"/>
      <c r="AD946" s="5"/>
      <c r="AE946" s="5"/>
      <c r="AF946" s="1120"/>
      <c r="AG946" s="1148"/>
      <c r="AH946" s="1120"/>
      <c r="AI946" s="1120"/>
      <c r="AJ946" s="1120"/>
    </row>
    <row r="947" spans="2:36" ht="30" customHeight="1" x14ac:dyDescent="0.25">
      <c r="B947" s="5"/>
      <c r="C947" s="5"/>
      <c r="D947" s="5"/>
      <c r="E947" s="5"/>
      <c r="F947" s="5"/>
      <c r="G947" s="5"/>
      <c r="H947" s="5"/>
      <c r="I947" s="5"/>
      <c r="J947" s="5"/>
      <c r="L947" s="277"/>
      <c r="M947" s="5"/>
      <c r="R947" s="5"/>
      <c r="S947" s="5"/>
      <c r="T947" s="1120"/>
      <c r="U947" s="5"/>
      <c r="V947" s="5"/>
      <c r="W947" s="5"/>
      <c r="X947" s="1120"/>
      <c r="Y947" s="1120"/>
      <c r="Z947" s="5"/>
      <c r="AA947" s="5"/>
      <c r="AB947" s="1135"/>
      <c r="AC947" s="5"/>
      <c r="AD947" s="5"/>
      <c r="AE947" s="5"/>
      <c r="AF947" s="1120"/>
      <c r="AG947" s="1148"/>
      <c r="AH947" s="1120"/>
      <c r="AI947" s="1120"/>
      <c r="AJ947" s="1120"/>
    </row>
    <row r="948" spans="2:36" ht="30" customHeight="1" x14ac:dyDescent="0.25">
      <c r="B948" s="5"/>
      <c r="C948" s="5"/>
      <c r="D948" s="5"/>
      <c r="E948" s="5"/>
      <c r="F948" s="5"/>
      <c r="G948" s="5"/>
      <c r="H948" s="5"/>
      <c r="I948" s="5"/>
      <c r="J948" s="5"/>
      <c r="L948" s="277"/>
      <c r="M948" s="5"/>
      <c r="R948" s="5"/>
      <c r="S948" s="5"/>
      <c r="T948" s="1120"/>
      <c r="U948" s="5"/>
      <c r="V948" s="5"/>
      <c r="W948" s="5"/>
      <c r="X948" s="1120"/>
      <c r="Y948" s="1120"/>
      <c r="Z948" s="5"/>
      <c r="AA948" s="5"/>
      <c r="AB948" s="1135"/>
      <c r="AC948" s="5"/>
      <c r="AD948" s="5"/>
      <c r="AE948" s="5"/>
      <c r="AF948" s="1120"/>
      <c r="AG948" s="1148"/>
      <c r="AH948" s="1120"/>
      <c r="AI948" s="1120"/>
      <c r="AJ948" s="1120"/>
    </row>
    <row r="949" spans="2:36" ht="30" customHeight="1" x14ac:dyDescent="0.25">
      <c r="B949" s="5"/>
      <c r="C949" s="5"/>
      <c r="D949" s="5"/>
      <c r="E949" s="5"/>
      <c r="F949" s="5"/>
      <c r="G949" s="5"/>
      <c r="H949" s="5"/>
      <c r="I949" s="5"/>
      <c r="J949" s="5"/>
      <c r="L949" s="277"/>
      <c r="M949" s="5"/>
      <c r="R949" s="5"/>
      <c r="S949" s="5"/>
      <c r="T949" s="1120"/>
      <c r="U949" s="5"/>
      <c r="V949" s="5"/>
      <c r="W949" s="5"/>
      <c r="X949" s="1120"/>
      <c r="Y949" s="1120"/>
      <c r="Z949" s="5"/>
      <c r="AA949" s="5"/>
      <c r="AB949" s="1135"/>
      <c r="AC949" s="5"/>
      <c r="AD949" s="5"/>
      <c r="AE949" s="5"/>
      <c r="AF949" s="1120"/>
      <c r="AG949" s="1148"/>
      <c r="AH949" s="1120"/>
      <c r="AI949" s="1120"/>
      <c r="AJ949" s="1120"/>
    </row>
    <row r="950" spans="2:36" ht="30" customHeight="1" x14ac:dyDescent="0.25">
      <c r="B950" s="5"/>
      <c r="C950" s="5"/>
      <c r="D950" s="5"/>
      <c r="E950" s="5"/>
      <c r="F950" s="5"/>
      <c r="G950" s="5"/>
      <c r="H950" s="5"/>
      <c r="I950" s="5"/>
      <c r="J950" s="5"/>
      <c r="L950" s="277"/>
      <c r="M950" s="5"/>
      <c r="R950" s="5"/>
      <c r="S950" s="5"/>
      <c r="T950" s="1120"/>
      <c r="U950" s="5"/>
      <c r="V950" s="5"/>
      <c r="W950" s="5"/>
      <c r="X950" s="1120"/>
      <c r="Y950" s="1120"/>
      <c r="Z950" s="5"/>
      <c r="AA950" s="5"/>
      <c r="AB950" s="1135"/>
      <c r="AC950" s="5"/>
      <c r="AD950" s="5"/>
      <c r="AE950" s="5"/>
      <c r="AF950" s="1120"/>
      <c r="AG950" s="1148"/>
      <c r="AH950" s="1120"/>
      <c r="AI950" s="1120"/>
      <c r="AJ950" s="1120"/>
    </row>
    <row r="951" spans="2:36" ht="30" customHeight="1" x14ac:dyDescent="0.25">
      <c r="B951" s="5"/>
      <c r="C951" s="5"/>
      <c r="D951" s="5"/>
      <c r="E951" s="5"/>
      <c r="F951" s="5"/>
      <c r="G951" s="5"/>
      <c r="H951" s="5"/>
      <c r="I951" s="5"/>
      <c r="J951" s="5"/>
      <c r="L951" s="277"/>
      <c r="M951" s="5"/>
      <c r="R951" s="5"/>
      <c r="S951" s="5"/>
      <c r="T951" s="1120"/>
      <c r="U951" s="5"/>
      <c r="V951" s="5"/>
      <c r="W951" s="5"/>
      <c r="X951" s="1120"/>
      <c r="Y951" s="1120"/>
      <c r="Z951" s="5"/>
      <c r="AA951" s="5"/>
      <c r="AB951" s="1135"/>
      <c r="AC951" s="5"/>
      <c r="AD951" s="5"/>
      <c r="AE951" s="5"/>
      <c r="AF951" s="1120"/>
      <c r="AG951" s="1148"/>
      <c r="AH951" s="1120"/>
      <c r="AI951" s="1120"/>
      <c r="AJ951" s="1120"/>
    </row>
    <row r="952" spans="2:36" ht="30" customHeight="1" x14ac:dyDescent="0.25">
      <c r="B952" s="5"/>
      <c r="C952" s="5"/>
      <c r="D952" s="5"/>
      <c r="E952" s="5"/>
      <c r="F952" s="5"/>
      <c r="G952" s="5"/>
      <c r="H952" s="5"/>
      <c r="I952" s="5"/>
      <c r="J952" s="5"/>
      <c r="L952" s="277"/>
      <c r="M952" s="5"/>
      <c r="R952" s="5"/>
      <c r="S952" s="5"/>
      <c r="T952" s="1120"/>
      <c r="U952" s="5"/>
      <c r="V952" s="5"/>
      <c r="W952" s="5"/>
      <c r="X952" s="1120"/>
      <c r="Y952" s="1120"/>
      <c r="Z952" s="5"/>
      <c r="AA952" s="5"/>
      <c r="AB952" s="1135"/>
      <c r="AC952" s="5"/>
      <c r="AD952" s="5"/>
      <c r="AE952" s="5"/>
      <c r="AF952" s="1120"/>
      <c r="AG952" s="1148"/>
      <c r="AH952" s="1120"/>
      <c r="AI952" s="1120"/>
      <c r="AJ952" s="1120"/>
    </row>
    <row r="953" spans="2:36" ht="30" customHeight="1" x14ac:dyDescent="0.25">
      <c r="B953" s="5"/>
      <c r="C953" s="5"/>
      <c r="D953" s="5"/>
      <c r="E953" s="5"/>
      <c r="F953" s="5"/>
      <c r="G953" s="5"/>
      <c r="H953" s="5"/>
      <c r="I953" s="5"/>
      <c r="J953" s="5"/>
      <c r="L953" s="277"/>
      <c r="M953" s="5"/>
      <c r="R953" s="5"/>
      <c r="S953" s="5"/>
      <c r="T953" s="1120"/>
      <c r="U953" s="5"/>
      <c r="V953" s="5"/>
      <c r="W953" s="5"/>
      <c r="X953" s="1120"/>
      <c r="Y953" s="1120"/>
      <c r="Z953" s="5"/>
      <c r="AA953" s="5"/>
      <c r="AB953" s="1135"/>
      <c r="AC953" s="5"/>
      <c r="AD953" s="5"/>
      <c r="AE953" s="5"/>
      <c r="AF953" s="1120"/>
      <c r="AG953" s="1148"/>
      <c r="AH953" s="1120"/>
      <c r="AI953" s="1120"/>
      <c r="AJ953" s="1120"/>
    </row>
    <row r="954" spans="2:36" ht="30" customHeight="1" x14ac:dyDescent="0.25">
      <c r="B954" s="5"/>
      <c r="C954" s="5"/>
      <c r="D954" s="5"/>
      <c r="E954" s="5"/>
      <c r="F954" s="5"/>
      <c r="G954" s="5"/>
      <c r="H954" s="5"/>
      <c r="I954" s="5"/>
      <c r="J954" s="5"/>
      <c r="L954" s="277"/>
      <c r="M954" s="5"/>
      <c r="R954" s="5"/>
      <c r="S954" s="5"/>
      <c r="T954" s="1120"/>
      <c r="U954" s="5"/>
      <c r="V954" s="5"/>
      <c r="W954" s="5"/>
      <c r="X954" s="1120"/>
      <c r="Y954" s="1120"/>
      <c r="Z954" s="5"/>
      <c r="AA954" s="5"/>
      <c r="AB954" s="1135"/>
      <c r="AC954" s="5"/>
      <c r="AD954" s="5"/>
      <c r="AE954" s="5"/>
      <c r="AF954" s="1120"/>
      <c r="AG954" s="1148"/>
      <c r="AH954" s="1120"/>
      <c r="AI954" s="1120"/>
      <c r="AJ954" s="1120"/>
    </row>
    <row r="955" spans="2:36" ht="30" customHeight="1" x14ac:dyDescent="0.25">
      <c r="B955" s="5"/>
      <c r="C955" s="5"/>
      <c r="D955" s="5"/>
      <c r="E955" s="5"/>
      <c r="F955" s="5"/>
      <c r="G955" s="5"/>
      <c r="H955" s="5"/>
      <c r="I955" s="5"/>
      <c r="J955" s="5"/>
      <c r="L955" s="277"/>
      <c r="M955" s="5"/>
      <c r="R955" s="5"/>
      <c r="S955" s="5"/>
      <c r="T955" s="1120"/>
      <c r="U955" s="5"/>
      <c r="V955" s="5"/>
      <c r="W955" s="5"/>
      <c r="X955" s="1120"/>
      <c r="Y955" s="1120"/>
      <c r="Z955" s="5"/>
      <c r="AA955" s="5"/>
      <c r="AB955" s="1135"/>
      <c r="AC955" s="5"/>
      <c r="AD955" s="5"/>
      <c r="AE955" s="5"/>
      <c r="AF955" s="1120"/>
      <c r="AG955" s="1148"/>
      <c r="AH955" s="1120"/>
      <c r="AI955" s="1120"/>
      <c r="AJ955" s="1120"/>
    </row>
    <row r="956" spans="2:36" ht="30" customHeight="1" x14ac:dyDescent="0.25">
      <c r="B956" s="5"/>
      <c r="C956" s="5"/>
      <c r="D956" s="5"/>
      <c r="E956" s="5"/>
      <c r="F956" s="5"/>
      <c r="G956" s="5"/>
      <c r="H956" s="5"/>
      <c r="I956" s="5"/>
      <c r="J956" s="5"/>
      <c r="L956" s="277"/>
      <c r="M956" s="5"/>
      <c r="R956" s="5"/>
      <c r="S956" s="5"/>
      <c r="T956" s="1120"/>
      <c r="U956" s="5"/>
      <c r="V956" s="5"/>
      <c r="W956" s="5"/>
      <c r="X956" s="1120"/>
      <c r="Y956" s="1120"/>
      <c r="Z956" s="5"/>
      <c r="AA956" s="5"/>
      <c r="AB956" s="1135"/>
      <c r="AC956" s="5"/>
      <c r="AD956" s="5"/>
      <c r="AE956" s="5"/>
      <c r="AF956" s="1120"/>
      <c r="AG956" s="1148"/>
      <c r="AH956" s="1120"/>
      <c r="AI956" s="1120"/>
      <c r="AJ956" s="1120"/>
    </row>
    <row r="957" spans="2:36" ht="30" customHeight="1" x14ac:dyDescent="0.25">
      <c r="B957" s="5"/>
      <c r="C957" s="5"/>
      <c r="D957" s="5"/>
      <c r="E957" s="5"/>
      <c r="F957" s="5"/>
      <c r="G957" s="5"/>
      <c r="H957" s="5"/>
      <c r="I957" s="5"/>
      <c r="J957" s="5"/>
      <c r="L957" s="277"/>
      <c r="M957" s="5"/>
      <c r="R957" s="5"/>
      <c r="S957" s="5"/>
      <c r="T957" s="1120"/>
      <c r="U957" s="5"/>
      <c r="V957" s="5"/>
      <c r="W957" s="5"/>
      <c r="X957" s="1120"/>
      <c r="Y957" s="1120"/>
      <c r="Z957" s="5"/>
      <c r="AA957" s="5"/>
      <c r="AB957" s="1135"/>
      <c r="AC957" s="5"/>
      <c r="AD957" s="5"/>
      <c r="AE957" s="5"/>
      <c r="AF957" s="1120"/>
      <c r="AG957" s="1148"/>
      <c r="AH957" s="1120"/>
      <c r="AI957" s="1120"/>
      <c r="AJ957" s="1120"/>
    </row>
    <row r="958" spans="2:36" ht="30" customHeight="1" x14ac:dyDescent="0.25">
      <c r="B958" s="5"/>
      <c r="C958" s="5"/>
      <c r="D958" s="5"/>
      <c r="E958" s="5"/>
      <c r="F958" s="5"/>
      <c r="G958" s="5"/>
      <c r="H958" s="5"/>
      <c r="I958" s="5"/>
      <c r="J958" s="5"/>
      <c r="L958" s="277"/>
      <c r="M958" s="5"/>
      <c r="R958" s="5"/>
      <c r="S958" s="5"/>
      <c r="T958" s="1120"/>
      <c r="U958" s="5"/>
      <c r="V958" s="5"/>
      <c r="W958" s="5"/>
      <c r="X958" s="1120"/>
      <c r="Y958" s="1120"/>
      <c r="Z958" s="5"/>
      <c r="AA958" s="5"/>
      <c r="AB958" s="1135"/>
      <c r="AC958" s="5"/>
      <c r="AD958" s="5"/>
      <c r="AE958" s="5"/>
      <c r="AF958" s="1120"/>
      <c r="AG958" s="1148"/>
      <c r="AH958" s="1120"/>
      <c r="AI958" s="1120"/>
      <c r="AJ958" s="1120"/>
    </row>
    <row r="959" spans="2:36" ht="30" customHeight="1" x14ac:dyDescent="0.25">
      <c r="B959" s="5"/>
      <c r="C959" s="5"/>
      <c r="D959" s="5"/>
      <c r="E959" s="5"/>
      <c r="F959" s="5"/>
      <c r="G959" s="5"/>
      <c r="H959" s="5"/>
      <c r="I959" s="5"/>
      <c r="J959" s="5"/>
      <c r="L959" s="277"/>
      <c r="M959" s="5"/>
      <c r="R959" s="5"/>
      <c r="S959" s="5"/>
      <c r="T959" s="1120"/>
      <c r="U959" s="5"/>
      <c r="V959" s="5"/>
      <c r="W959" s="5"/>
      <c r="X959" s="1120"/>
      <c r="Y959" s="1120"/>
      <c r="Z959" s="5"/>
      <c r="AA959" s="5"/>
      <c r="AB959" s="1135"/>
      <c r="AC959" s="5"/>
      <c r="AD959" s="5"/>
      <c r="AE959" s="5"/>
      <c r="AF959" s="1120"/>
      <c r="AG959" s="1148"/>
      <c r="AH959" s="1120"/>
      <c r="AI959" s="1120"/>
      <c r="AJ959" s="1120"/>
    </row>
    <row r="960" spans="2:36" ht="30" customHeight="1" x14ac:dyDescent="0.25">
      <c r="B960" s="5"/>
      <c r="C960" s="5"/>
      <c r="D960" s="5"/>
      <c r="E960" s="5"/>
      <c r="F960" s="5"/>
      <c r="G960" s="5"/>
      <c r="H960" s="5"/>
      <c r="I960" s="5"/>
      <c r="J960" s="5"/>
      <c r="L960" s="277"/>
      <c r="M960" s="5"/>
      <c r="R960" s="5"/>
      <c r="S960" s="5"/>
      <c r="T960" s="1120"/>
      <c r="U960" s="5"/>
      <c r="V960" s="5"/>
      <c r="W960" s="5"/>
      <c r="X960" s="1120"/>
      <c r="Y960" s="1120"/>
      <c r="Z960" s="5"/>
      <c r="AA960" s="5"/>
      <c r="AB960" s="1135"/>
      <c r="AC960" s="5"/>
      <c r="AD960" s="5"/>
      <c r="AE960" s="5"/>
      <c r="AF960" s="1120"/>
      <c r="AG960" s="1148"/>
      <c r="AH960" s="1120"/>
      <c r="AI960" s="1120"/>
      <c r="AJ960" s="1120"/>
    </row>
    <row r="961" spans="2:36" ht="30" customHeight="1" x14ac:dyDescent="0.25">
      <c r="B961" s="5"/>
      <c r="C961" s="5"/>
      <c r="D961" s="5"/>
      <c r="E961" s="5"/>
      <c r="F961" s="5"/>
      <c r="G961" s="5"/>
      <c r="H961" s="5"/>
      <c r="I961" s="5"/>
      <c r="J961" s="5"/>
      <c r="L961" s="277"/>
      <c r="M961" s="5"/>
      <c r="R961" s="5"/>
      <c r="S961" s="5"/>
      <c r="T961" s="1120"/>
      <c r="U961" s="5"/>
      <c r="V961" s="5"/>
      <c r="W961" s="5"/>
      <c r="X961" s="1120"/>
      <c r="Y961" s="1120"/>
      <c r="Z961" s="5"/>
      <c r="AA961" s="5"/>
      <c r="AB961" s="1135"/>
      <c r="AC961" s="5"/>
      <c r="AD961" s="5"/>
      <c r="AE961" s="5"/>
      <c r="AF961" s="1120"/>
      <c r="AG961" s="1148"/>
      <c r="AH961" s="1120"/>
      <c r="AI961" s="1120"/>
      <c r="AJ961" s="1120"/>
    </row>
    <row r="962" spans="2:36" ht="30" customHeight="1" x14ac:dyDescent="0.25">
      <c r="B962" s="5"/>
      <c r="C962" s="5"/>
      <c r="D962" s="5"/>
      <c r="E962" s="5"/>
      <c r="F962" s="5"/>
      <c r="G962" s="5"/>
      <c r="H962" s="5"/>
      <c r="I962" s="5"/>
      <c r="J962" s="5"/>
      <c r="L962" s="277"/>
      <c r="M962" s="5"/>
      <c r="R962" s="5"/>
      <c r="S962" s="5"/>
      <c r="T962" s="1120"/>
      <c r="U962" s="5"/>
      <c r="V962" s="5"/>
      <c r="W962" s="5"/>
      <c r="X962" s="1120"/>
      <c r="Y962" s="1120"/>
      <c r="Z962" s="5"/>
      <c r="AA962" s="5"/>
      <c r="AB962" s="1135"/>
      <c r="AC962" s="5"/>
      <c r="AD962" s="5"/>
      <c r="AE962" s="5"/>
      <c r="AF962" s="1120"/>
      <c r="AG962" s="1148"/>
      <c r="AH962" s="1120"/>
      <c r="AI962" s="1120"/>
      <c r="AJ962" s="1120"/>
    </row>
    <row r="963" spans="2:36" ht="30" customHeight="1" x14ac:dyDescent="0.25">
      <c r="B963" s="5"/>
      <c r="C963" s="5"/>
      <c r="D963" s="5"/>
      <c r="E963" s="5"/>
      <c r="F963" s="5"/>
      <c r="G963" s="5"/>
      <c r="H963" s="5"/>
      <c r="I963" s="5"/>
      <c r="J963" s="5"/>
      <c r="L963" s="277"/>
      <c r="M963" s="5"/>
      <c r="R963" s="5"/>
      <c r="S963" s="5"/>
      <c r="T963" s="1120"/>
      <c r="U963" s="5"/>
      <c r="V963" s="5"/>
      <c r="W963" s="5"/>
      <c r="X963" s="1120"/>
      <c r="Y963" s="1120"/>
      <c r="Z963" s="5"/>
      <c r="AA963" s="5"/>
      <c r="AB963" s="1135"/>
      <c r="AC963" s="5"/>
      <c r="AD963" s="5"/>
      <c r="AE963" s="5"/>
      <c r="AF963" s="1120"/>
      <c r="AG963" s="1148"/>
      <c r="AH963" s="1120"/>
      <c r="AI963" s="1120"/>
      <c r="AJ963" s="1120"/>
    </row>
    <row r="964" spans="2:36" ht="30" customHeight="1" x14ac:dyDescent="0.25">
      <c r="B964" s="5"/>
      <c r="C964" s="5"/>
      <c r="D964" s="5"/>
      <c r="E964" s="5"/>
      <c r="F964" s="5"/>
      <c r="G964" s="5"/>
      <c r="H964" s="5"/>
      <c r="I964" s="5"/>
      <c r="J964" s="5"/>
      <c r="L964" s="277"/>
      <c r="M964" s="5"/>
      <c r="R964" s="5"/>
      <c r="S964" s="5"/>
      <c r="T964" s="1120"/>
      <c r="U964" s="5"/>
      <c r="V964" s="5"/>
      <c r="W964" s="5"/>
      <c r="X964" s="1120"/>
      <c r="Y964" s="1120"/>
      <c r="Z964" s="5"/>
      <c r="AA964" s="5"/>
      <c r="AB964" s="1135"/>
      <c r="AC964" s="5"/>
      <c r="AD964" s="5"/>
      <c r="AE964" s="5"/>
      <c r="AF964" s="1120"/>
      <c r="AG964" s="1148"/>
      <c r="AH964" s="1120"/>
      <c r="AI964" s="1120"/>
      <c r="AJ964" s="1120"/>
    </row>
    <row r="965" spans="2:36" ht="30" customHeight="1" x14ac:dyDescent="0.25">
      <c r="B965" s="5"/>
      <c r="C965" s="5"/>
      <c r="D965" s="5"/>
      <c r="E965" s="5"/>
      <c r="F965" s="5"/>
      <c r="G965" s="5"/>
      <c r="H965" s="5"/>
      <c r="I965" s="5"/>
      <c r="J965" s="5"/>
      <c r="L965" s="277"/>
      <c r="M965" s="5"/>
      <c r="R965" s="5"/>
      <c r="S965" s="5"/>
      <c r="T965" s="1120"/>
      <c r="U965" s="5"/>
      <c r="V965" s="5"/>
      <c r="W965" s="5"/>
      <c r="X965" s="1120"/>
      <c r="Y965" s="1120"/>
      <c r="Z965" s="5"/>
      <c r="AA965" s="5"/>
      <c r="AB965" s="1135"/>
      <c r="AC965" s="5"/>
      <c r="AD965" s="5"/>
      <c r="AE965" s="5"/>
      <c r="AF965" s="1120"/>
      <c r="AG965" s="1148"/>
      <c r="AH965" s="1120"/>
      <c r="AI965" s="1120"/>
      <c r="AJ965" s="1120"/>
    </row>
    <row r="966" spans="2:36" ht="30" customHeight="1" x14ac:dyDescent="0.25">
      <c r="B966" s="5"/>
      <c r="C966" s="5"/>
      <c r="D966" s="5"/>
      <c r="E966" s="5"/>
      <c r="F966" s="5"/>
      <c r="G966" s="5"/>
      <c r="H966" s="5"/>
      <c r="I966" s="5"/>
      <c r="J966" s="5"/>
      <c r="L966" s="277"/>
      <c r="M966" s="5"/>
      <c r="R966" s="5"/>
      <c r="S966" s="5"/>
      <c r="T966" s="1120"/>
      <c r="U966" s="5"/>
      <c r="V966" s="5"/>
      <c r="W966" s="5"/>
      <c r="X966" s="1120"/>
      <c r="Y966" s="1120"/>
      <c r="Z966" s="5"/>
      <c r="AA966" s="5"/>
      <c r="AB966" s="1135"/>
      <c r="AC966" s="5"/>
      <c r="AD966" s="5"/>
      <c r="AE966" s="5"/>
      <c r="AF966" s="1120"/>
      <c r="AG966" s="1148"/>
      <c r="AH966" s="1120"/>
      <c r="AI966" s="1120"/>
      <c r="AJ966" s="1120"/>
    </row>
    <row r="967" spans="2:36" ht="30" customHeight="1" x14ac:dyDescent="0.25">
      <c r="B967" s="5"/>
      <c r="C967" s="5"/>
      <c r="D967" s="5"/>
      <c r="E967" s="5"/>
      <c r="F967" s="5"/>
      <c r="G967" s="5"/>
      <c r="H967" s="5"/>
      <c r="I967" s="5"/>
      <c r="J967" s="5"/>
      <c r="L967" s="277"/>
      <c r="M967" s="5"/>
      <c r="R967" s="5"/>
      <c r="S967" s="5"/>
      <c r="T967" s="1120"/>
      <c r="U967" s="5"/>
      <c r="V967" s="5"/>
      <c r="W967" s="5"/>
      <c r="X967" s="1120"/>
      <c r="Y967" s="1120"/>
      <c r="Z967" s="5"/>
      <c r="AA967" s="5"/>
      <c r="AB967" s="1135"/>
      <c r="AC967" s="5"/>
      <c r="AD967" s="5"/>
      <c r="AE967" s="5"/>
      <c r="AF967" s="1120"/>
      <c r="AG967" s="1148"/>
      <c r="AH967" s="1120"/>
      <c r="AI967" s="1120"/>
      <c r="AJ967" s="1120"/>
    </row>
    <row r="968" spans="2:36" ht="30" customHeight="1" x14ac:dyDescent="0.25">
      <c r="B968" s="5"/>
      <c r="C968" s="5"/>
      <c r="D968" s="5"/>
      <c r="E968" s="5"/>
      <c r="F968" s="5"/>
      <c r="G968" s="5"/>
      <c r="H968" s="5"/>
      <c r="I968" s="5"/>
      <c r="J968" s="5"/>
      <c r="L968" s="277"/>
      <c r="M968" s="5"/>
      <c r="R968" s="5"/>
      <c r="S968" s="5"/>
      <c r="T968" s="1120"/>
      <c r="U968" s="5"/>
      <c r="V968" s="5"/>
      <c r="W968" s="5"/>
      <c r="X968" s="1120"/>
      <c r="Y968" s="1120"/>
      <c r="Z968" s="5"/>
      <c r="AA968" s="5"/>
      <c r="AB968" s="1135"/>
      <c r="AC968" s="5"/>
      <c r="AD968" s="5"/>
      <c r="AE968" s="5"/>
      <c r="AF968" s="1120"/>
      <c r="AG968" s="1148"/>
      <c r="AH968" s="1120"/>
      <c r="AI968" s="1120"/>
      <c r="AJ968" s="1120"/>
    </row>
    <row r="969" spans="2:36" ht="30" customHeight="1" x14ac:dyDescent="0.25">
      <c r="B969" s="5"/>
      <c r="C969" s="5"/>
      <c r="D969" s="5"/>
      <c r="E969" s="5"/>
      <c r="F969" s="5"/>
      <c r="G969" s="5"/>
      <c r="H969" s="5"/>
      <c r="I969" s="5"/>
      <c r="J969" s="5"/>
      <c r="L969" s="277"/>
      <c r="M969" s="5"/>
      <c r="R969" s="5"/>
      <c r="S969" s="5"/>
      <c r="T969" s="1120"/>
      <c r="U969" s="5"/>
      <c r="V969" s="5"/>
      <c r="W969" s="5"/>
      <c r="X969" s="1120"/>
      <c r="Y969" s="1120"/>
      <c r="Z969" s="5"/>
      <c r="AA969" s="5"/>
      <c r="AB969" s="1135"/>
      <c r="AC969" s="5"/>
      <c r="AD969" s="5"/>
      <c r="AE969" s="5"/>
      <c r="AF969" s="1120"/>
      <c r="AG969" s="1148"/>
      <c r="AH969" s="1120"/>
      <c r="AI969" s="1120"/>
      <c r="AJ969" s="1120"/>
    </row>
    <row r="970" spans="2:36" ht="30" customHeight="1" x14ac:dyDescent="0.25">
      <c r="B970" s="5"/>
      <c r="C970" s="5"/>
      <c r="D970" s="5"/>
      <c r="E970" s="5"/>
      <c r="F970" s="5"/>
      <c r="G970" s="5"/>
      <c r="H970" s="5"/>
      <c r="I970" s="5"/>
      <c r="J970" s="5"/>
      <c r="L970" s="277"/>
      <c r="M970" s="5"/>
      <c r="R970" s="5"/>
      <c r="S970" s="5"/>
      <c r="T970" s="1120"/>
      <c r="U970" s="5"/>
      <c r="V970" s="5"/>
      <c r="W970" s="5"/>
      <c r="X970" s="1120"/>
      <c r="Y970" s="1120"/>
      <c r="Z970" s="5"/>
      <c r="AA970" s="5"/>
      <c r="AB970" s="1135"/>
      <c r="AC970" s="5"/>
      <c r="AD970" s="5"/>
      <c r="AE970" s="5"/>
      <c r="AF970" s="1120"/>
      <c r="AG970" s="1148"/>
      <c r="AH970" s="1120"/>
      <c r="AI970" s="1120"/>
      <c r="AJ970" s="1120"/>
    </row>
    <row r="971" spans="2:36" ht="30" customHeight="1" x14ac:dyDescent="0.25">
      <c r="B971" s="5"/>
      <c r="C971" s="5"/>
      <c r="D971" s="5"/>
      <c r="E971" s="5"/>
      <c r="F971" s="5"/>
      <c r="G971" s="5"/>
      <c r="H971" s="5"/>
      <c r="I971" s="5"/>
      <c r="J971" s="5"/>
      <c r="L971" s="277"/>
      <c r="M971" s="5"/>
      <c r="R971" s="5"/>
      <c r="S971" s="5"/>
      <c r="T971" s="1120"/>
      <c r="U971" s="5"/>
      <c r="V971" s="5"/>
      <c r="W971" s="5"/>
      <c r="X971" s="1120"/>
      <c r="Y971" s="1120"/>
      <c r="Z971" s="5"/>
      <c r="AA971" s="5"/>
      <c r="AB971" s="1135"/>
      <c r="AC971" s="5"/>
      <c r="AD971" s="5"/>
      <c r="AE971" s="5"/>
      <c r="AF971" s="1120"/>
      <c r="AG971" s="1148"/>
      <c r="AH971" s="1120"/>
      <c r="AI971" s="1120"/>
      <c r="AJ971" s="1120"/>
    </row>
    <row r="972" spans="2:36" ht="30" customHeight="1" x14ac:dyDescent="0.25">
      <c r="B972" s="5"/>
      <c r="C972" s="5"/>
      <c r="D972" s="5"/>
      <c r="E972" s="5"/>
      <c r="F972" s="5"/>
      <c r="G972" s="5"/>
      <c r="H972" s="5"/>
      <c r="I972" s="5"/>
      <c r="J972" s="5"/>
      <c r="L972" s="277"/>
      <c r="M972" s="5"/>
      <c r="R972" s="5"/>
      <c r="S972" s="5"/>
      <c r="T972" s="1120"/>
      <c r="U972" s="5"/>
      <c r="V972" s="5"/>
      <c r="W972" s="5"/>
      <c r="X972" s="1120"/>
      <c r="Y972" s="1120"/>
      <c r="Z972" s="5"/>
      <c r="AA972" s="5"/>
      <c r="AB972" s="1135"/>
      <c r="AC972" s="5"/>
      <c r="AD972" s="5"/>
      <c r="AE972" s="5"/>
      <c r="AF972" s="1120"/>
      <c r="AG972" s="1148"/>
      <c r="AH972" s="1120"/>
      <c r="AI972" s="1120"/>
      <c r="AJ972" s="1120"/>
    </row>
    <row r="973" spans="2:36" ht="30" customHeight="1" x14ac:dyDescent="0.25">
      <c r="B973" s="5"/>
      <c r="C973" s="5"/>
      <c r="D973" s="5"/>
      <c r="E973" s="5"/>
      <c r="F973" s="5"/>
      <c r="G973" s="5"/>
      <c r="H973" s="5"/>
      <c r="I973" s="5"/>
      <c r="J973" s="5"/>
      <c r="L973" s="277"/>
      <c r="M973" s="5"/>
      <c r="R973" s="5"/>
      <c r="S973" s="5"/>
      <c r="T973" s="1120"/>
      <c r="U973" s="5"/>
      <c r="V973" s="5"/>
      <c r="W973" s="5"/>
      <c r="X973" s="1120"/>
      <c r="Y973" s="1120"/>
      <c r="Z973" s="5"/>
      <c r="AA973" s="5"/>
      <c r="AB973" s="1135"/>
      <c r="AC973" s="5"/>
      <c r="AD973" s="5"/>
      <c r="AE973" s="5"/>
      <c r="AF973" s="1120"/>
      <c r="AG973" s="1148"/>
      <c r="AH973" s="1120"/>
      <c r="AI973" s="1120"/>
      <c r="AJ973" s="1120"/>
    </row>
    <row r="974" spans="2:36" ht="30" customHeight="1" x14ac:dyDescent="0.25">
      <c r="B974" s="5"/>
      <c r="C974" s="5"/>
      <c r="D974" s="5"/>
      <c r="E974" s="5"/>
      <c r="F974" s="5"/>
      <c r="G974" s="5"/>
      <c r="H974" s="5"/>
      <c r="I974" s="5"/>
      <c r="J974" s="5"/>
      <c r="L974" s="277"/>
      <c r="M974" s="5"/>
      <c r="R974" s="5"/>
      <c r="S974" s="5"/>
      <c r="T974" s="1120"/>
      <c r="U974" s="5"/>
      <c r="V974" s="5"/>
      <c r="W974" s="5"/>
      <c r="X974" s="1120"/>
      <c r="Y974" s="1120"/>
      <c r="Z974" s="5"/>
      <c r="AA974" s="5"/>
      <c r="AB974" s="1135"/>
      <c r="AC974" s="5"/>
      <c r="AD974" s="5"/>
      <c r="AE974" s="5"/>
      <c r="AF974" s="1120"/>
      <c r="AG974" s="1148"/>
      <c r="AH974" s="1120"/>
      <c r="AI974" s="1120"/>
      <c r="AJ974" s="1120"/>
    </row>
    <row r="975" spans="2:36" ht="30" customHeight="1" x14ac:dyDescent="0.25">
      <c r="B975" s="5"/>
      <c r="C975" s="5"/>
      <c r="D975" s="5"/>
      <c r="E975" s="5"/>
      <c r="F975" s="5"/>
      <c r="G975" s="5"/>
      <c r="H975" s="5"/>
      <c r="I975" s="5"/>
      <c r="J975" s="5"/>
      <c r="L975" s="277"/>
      <c r="M975" s="5"/>
      <c r="R975" s="5"/>
      <c r="S975" s="5"/>
      <c r="T975" s="1120"/>
      <c r="U975" s="5"/>
      <c r="V975" s="5"/>
      <c r="W975" s="5"/>
      <c r="X975" s="1120"/>
      <c r="Y975" s="1120"/>
      <c r="Z975" s="5"/>
      <c r="AA975" s="5"/>
      <c r="AB975" s="1135"/>
      <c r="AC975" s="5"/>
      <c r="AD975" s="5"/>
      <c r="AE975" s="5"/>
      <c r="AF975" s="1120"/>
      <c r="AG975" s="1148"/>
      <c r="AH975" s="1120"/>
      <c r="AI975" s="1120"/>
      <c r="AJ975" s="1120"/>
    </row>
    <row r="976" spans="2:36" ht="30" customHeight="1" x14ac:dyDescent="0.25">
      <c r="B976" s="5"/>
      <c r="C976" s="5"/>
      <c r="D976" s="5"/>
      <c r="E976" s="5"/>
      <c r="F976" s="5"/>
      <c r="G976" s="5"/>
      <c r="H976" s="5"/>
      <c r="I976" s="5"/>
      <c r="J976" s="5"/>
      <c r="L976" s="277"/>
      <c r="M976" s="5"/>
      <c r="R976" s="5"/>
      <c r="S976" s="5"/>
      <c r="T976" s="1120"/>
      <c r="U976" s="5"/>
      <c r="V976" s="5"/>
      <c r="W976" s="5"/>
      <c r="X976" s="1120"/>
      <c r="Y976" s="1120"/>
      <c r="Z976" s="5"/>
      <c r="AA976" s="5"/>
      <c r="AB976" s="1135"/>
      <c r="AC976" s="5"/>
      <c r="AD976" s="5"/>
      <c r="AE976" s="5"/>
      <c r="AF976" s="1120"/>
      <c r="AG976" s="1148"/>
      <c r="AH976" s="1120"/>
      <c r="AI976" s="1120"/>
      <c r="AJ976" s="1120"/>
    </row>
    <row r="977" spans="2:36" ht="30" customHeight="1" x14ac:dyDescent="0.25">
      <c r="B977" s="5"/>
      <c r="C977" s="5"/>
      <c r="D977" s="5"/>
      <c r="E977" s="5"/>
      <c r="F977" s="5"/>
      <c r="G977" s="5"/>
      <c r="H977" s="5"/>
      <c r="I977" s="5"/>
      <c r="J977" s="5"/>
      <c r="L977" s="277"/>
      <c r="M977" s="5"/>
      <c r="R977" s="5"/>
      <c r="S977" s="5"/>
      <c r="T977" s="1120"/>
      <c r="U977" s="5"/>
      <c r="V977" s="5"/>
      <c r="W977" s="5"/>
      <c r="X977" s="1120"/>
      <c r="Y977" s="1120"/>
      <c r="Z977" s="5"/>
      <c r="AA977" s="5"/>
      <c r="AB977" s="1135"/>
      <c r="AC977" s="5"/>
      <c r="AD977" s="5"/>
      <c r="AE977" s="5"/>
      <c r="AF977" s="1120"/>
      <c r="AG977" s="1148"/>
      <c r="AH977" s="1120"/>
      <c r="AI977" s="1120"/>
      <c r="AJ977" s="1120"/>
    </row>
    <row r="978" spans="2:36" ht="30" customHeight="1" x14ac:dyDescent="0.25">
      <c r="B978" s="5"/>
      <c r="C978" s="5"/>
      <c r="D978" s="5"/>
      <c r="E978" s="5"/>
      <c r="F978" s="5"/>
      <c r="G978" s="5"/>
      <c r="H978" s="5"/>
      <c r="I978" s="5"/>
      <c r="J978" s="5"/>
      <c r="L978" s="277"/>
      <c r="M978" s="5"/>
      <c r="R978" s="5"/>
      <c r="S978" s="5"/>
      <c r="T978" s="1120"/>
      <c r="U978" s="5"/>
      <c r="V978" s="5"/>
      <c r="W978" s="5"/>
      <c r="X978" s="1120"/>
      <c r="Y978" s="1120"/>
      <c r="Z978" s="5"/>
      <c r="AA978" s="5"/>
      <c r="AB978" s="1135"/>
      <c r="AC978" s="5"/>
      <c r="AD978" s="5"/>
      <c r="AE978" s="5"/>
      <c r="AF978" s="1120"/>
      <c r="AG978" s="1148"/>
      <c r="AH978" s="1120"/>
      <c r="AI978" s="1120"/>
      <c r="AJ978" s="1120"/>
    </row>
    <row r="979" spans="2:36" ht="30" customHeight="1" x14ac:dyDescent="0.25">
      <c r="B979" s="5"/>
      <c r="C979" s="5"/>
      <c r="D979" s="5"/>
      <c r="E979" s="5"/>
      <c r="F979" s="5"/>
      <c r="G979" s="5"/>
      <c r="H979" s="5"/>
      <c r="I979" s="5"/>
      <c r="J979" s="5"/>
      <c r="L979" s="277"/>
      <c r="M979" s="5"/>
      <c r="R979" s="5"/>
      <c r="S979" s="5"/>
      <c r="T979" s="1120"/>
      <c r="U979" s="5"/>
      <c r="V979" s="5"/>
      <c r="W979" s="5"/>
      <c r="X979" s="1120"/>
      <c r="Y979" s="1120"/>
      <c r="Z979" s="5"/>
      <c r="AA979" s="5"/>
      <c r="AB979" s="1135"/>
      <c r="AC979" s="5"/>
      <c r="AD979" s="5"/>
      <c r="AE979" s="5"/>
      <c r="AF979" s="1120"/>
      <c r="AG979" s="1148"/>
      <c r="AH979" s="1120"/>
      <c r="AI979" s="1120"/>
      <c r="AJ979" s="1120"/>
    </row>
    <row r="980" spans="2:36" ht="30" customHeight="1" x14ac:dyDescent="0.25">
      <c r="B980" s="5"/>
      <c r="C980" s="5"/>
      <c r="D980" s="5"/>
      <c r="E980" s="5"/>
      <c r="F980" s="5"/>
      <c r="G980" s="5"/>
      <c r="H980" s="5"/>
      <c r="I980" s="5"/>
      <c r="J980" s="5"/>
      <c r="L980" s="277"/>
      <c r="M980" s="5"/>
      <c r="R980" s="5"/>
      <c r="S980" s="5"/>
      <c r="T980" s="1120"/>
      <c r="U980" s="5"/>
      <c r="V980" s="5"/>
      <c r="W980" s="5"/>
      <c r="X980" s="1120"/>
      <c r="Y980" s="1120"/>
      <c r="Z980" s="5"/>
      <c r="AA980" s="5"/>
      <c r="AB980" s="1135"/>
      <c r="AC980" s="5"/>
      <c r="AD980" s="5"/>
      <c r="AE980" s="5"/>
      <c r="AF980" s="1120"/>
      <c r="AG980" s="1148"/>
      <c r="AH980" s="1120"/>
      <c r="AI980" s="1120"/>
      <c r="AJ980" s="1120"/>
    </row>
    <row r="981" spans="2:36" ht="30" customHeight="1" x14ac:dyDescent="0.25">
      <c r="B981" s="5"/>
      <c r="C981" s="5"/>
      <c r="D981" s="5"/>
      <c r="E981" s="5"/>
      <c r="F981" s="5"/>
      <c r="G981" s="5"/>
      <c r="H981" s="5"/>
      <c r="I981" s="5"/>
      <c r="J981" s="5"/>
      <c r="L981" s="277"/>
      <c r="M981" s="5"/>
      <c r="R981" s="5"/>
      <c r="S981" s="5"/>
      <c r="T981" s="1120"/>
      <c r="U981" s="5"/>
      <c r="V981" s="5"/>
      <c r="W981" s="5"/>
      <c r="X981" s="1120"/>
      <c r="Y981" s="1120"/>
      <c r="Z981" s="5"/>
      <c r="AA981" s="5"/>
      <c r="AB981" s="1135"/>
      <c r="AC981" s="5"/>
      <c r="AD981" s="5"/>
      <c r="AE981" s="5"/>
      <c r="AF981" s="1120"/>
      <c r="AG981" s="1148"/>
      <c r="AH981" s="1120"/>
      <c r="AI981" s="1120"/>
      <c r="AJ981" s="1120"/>
    </row>
    <row r="982" spans="2:36" ht="30" customHeight="1" x14ac:dyDescent="0.25">
      <c r="B982" s="5"/>
      <c r="C982" s="5"/>
      <c r="D982" s="5"/>
      <c r="E982" s="5"/>
      <c r="F982" s="5"/>
      <c r="G982" s="5"/>
      <c r="H982" s="5"/>
      <c r="I982" s="5"/>
      <c r="J982" s="5"/>
      <c r="L982" s="277"/>
      <c r="M982" s="5"/>
      <c r="R982" s="5"/>
      <c r="S982" s="5"/>
      <c r="T982" s="1120"/>
      <c r="U982" s="5"/>
      <c r="V982" s="5"/>
      <c r="W982" s="5"/>
      <c r="X982" s="1120"/>
      <c r="Y982" s="1120"/>
      <c r="Z982" s="5"/>
      <c r="AA982" s="5"/>
      <c r="AB982" s="1135"/>
      <c r="AC982" s="5"/>
      <c r="AD982" s="5"/>
      <c r="AE982" s="5"/>
      <c r="AF982" s="1120"/>
      <c r="AG982" s="1148"/>
      <c r="AH982" s="1120"/>
      <c r="AI982" s="1120"/>
      <c r="AJ982" s="1120"/>
    </row>
    <row r="983" spans="2:36" ht="30" customHeight="1" x14ac:dyDescent="0.25">
      <c r="B983" s="5"/>
      <c r="C983" s="5"/>
      <c r="D983" s="5"/>
      <c r="E983" s="5"/>
      <c r="F983" s="5"/>
      <c r="G983" s="5"/>
      <c r="H983" s="5"/>
      <c r="I983" s="5"/>
      <c r="J983" s="5"/>
      <c r="L983" s="277"/>
      <c r="M983" s="5"/>
      <c r="R983" s="5"/>
      <c r="S983" s="5"/>
      <c r="T983" s="1120"/>
      <c r="U983" s="5"/>
      <c r="V983" s="5"/>
      <c r="W983" s="5"/>
      <c r="X983" s="1120"/>
      <c r="Y983" s="1120"/>
      <c r="Z983" s="5"/>
      <c r="AA983" s="5"/>
      <c r="AB983" s="1135"/>
      <c r="AC983" s="5"/>
      <c r="AD983" s="5"/>
      <c r="AE983" s="5"/>
      <c r="AF983" s="1120"/>
      <c r="AG983" s="1148"/>
      <c r="AH983" s="1120"/>
      <c r="AI983" s="1120"/>
      <c r="AJ983" s="1120"/>
    </row>
    <row r="984" spans="2:36" ht="30" customHeight="1" x14ac:dyDescent="0.25">
      <c r="B984" s="5"/>
      <c r="C984" s="5"/>
      <c r="D984" s="5"/>
      <c r="E984" s="5"/>
      <c r="F984" s="5"/>
      <c r="G984" s="5"/>
      <c r="H984" s="5"/>
      <c r="I984" s="5"/>
      <c r="J984" s="5"/>
      <c r="L984" s="277"/>
      <c r="M984" s="5"/>
      <c r="R984" s="5"/>
      <c r="S984" s="5"/>
      <c r="T984" s="1120"/>
      <c r="U984" s="5"/>
      <c r="V984" s="5"/>
      <c r="W984" s="5"/>
      <c r="X984" s="1120"/>
      <c r="Y984" s="1120"/>
      <c r="Z984" s="5"/>
      <c r="AA984" s="5"/>
      <c r="AB984" s="1135"/>
      <c r="AC984" s="5"/>
      <c r="AD984" s="5"/>
      <c r="AE984" s="5"/>
      <c r="AF984" s="1120"/>
      <c r="AG984" s="1148"/>
      <c r="AH984" s="1120"/>
      <c r="AI984" s="1120"/>
      <c r="AJ984" s="1120"/>
    </row>
    <row r="985" spans="2:36" ht="30" customHeight="1" x14ac:dyDescent="0.25">
      <c r="B985" s="5"/>
      <c r="C985" s="5"/>
      <c r="D985" s="5"/>
      <c r="E985" s="5"/>
      <c r="F985" s="5"/>
      <c r="G985" s="5"/>
      <c r="H985" s="5"/>
      <c r="I985" s="5"/>
      <c r="J985" s="5"/>
      <c r="L985" s="277"/>
      <c r="M985" s="5"/>
      <c r="R985" s="5"/>
      <c r="S985" s="5"/>
      <c r="T985" s="1120"/>
      <c r="U985" s="5"/>
      <c r="V985" s="5"/>
      <c r="W985" s="5"/>
      <c r="X985" s="1120"/>
      <c r="Y985" s="1120"/>
      <c r="Z985" s="5"/>
      <c r="AA985" s="5"/>
      <c r="AB985" s="1135"/>
      <c r="AC985" s="5"/>
      <c r="AD985" s="5"/>
      <c r="AE985" s="5"/>
      <c r="AF985" s="1120"/>
      <c r="AG985" s="1148"/>
      <c r="AH985" s="1120"/>
      <c r="AI985" s="1120"/>
      <c r="AJ985" s="1120"/>
    </row>
    <row r="986" spans="2:36" ht="30" customHeight="1" x14ac:dyDescent="0.25">
      <c r="B986" s="5"/>
      <c r="C986" s="5"/>
      <c r="D986" s="5"/>
      <c r="E986" s="5"/>
      <c r="F986" s="5"/>
      <c r="G986" s="5"/>
      <c r="H986" s="5"/>
      <c r="I986" s="5"/>
      <c r="J986" s="5"/>
      <c r="L986" s="277"/>
      <c r="M986" s="5"/>
      <c r="R986" s="5"/>
      <c r="S986" s="5"/>
      <c r="T986" s="1120"/>
      <c r="U986" s="5"/>
      <c r="V986" s="5"/>
      <c r="W986" s="5"/>
      <c r="X986" s="1120"/>
      <c r="Y986" s="1120"/>
      <c r="Z986" s="5"/>
      <c r="AA986" s="5"/>
      <c r="AB986" s="1135"/>
      <c r="AC986" s="5"/>
      <c r="AD986" s="5"/>
      <c r="AE986" s="5"/>
      <c r="AF986" s="1120"/>
      <c r="AG986" s="1148"/>
      <c r="AH986" s="1120"/>
      <c r="AI986" s="1120"/>
      <c r="AJ986" s="1120"/>
    </row>
    <row r="987" spans="2:36" ht="30" customHeight="1" x14ac:dyDescent="0.25">
      <c r="B987" s="5"/>
      <c r="C987" s="5"/>
      <c r="D987" s="5"/>
      <c r="E987" s="5"/>
      <c r="F987" s="5"/>
      <c r="G987" s="5"/>
      <c r="H987" s="5"/>
      <c r="I987" s="5"/>
      <c r="J987" s="5"/>
      <c r="L987" s="277"/>
      <c r="M987" s="5"/>
      <c r="R987" s="5"/>
      <c r="S987" s="5"/>
      <c r="T987" s="1120"/>
      <c r="U987" s="5"/>
      <c r="V987" s="5"/>
      <c r="W987" s="5"/>
      <c r="X987" s="1120"/>
      <c r="Y987" s="1120"/>
      <c r="Z987" s="5"/>
      <c r="AA987" s="5"/>
      <c r="AB987" s="1135"/>
      <c r="AC987" s="5"/>
      <c r="AD987" s="5"/>
      <c r="AE987" s="5"/>
      <c r="AF987" s="1120"/>
      <c r="AG987" s="1148"/>
      <c r="AH987" s="1120"/>
      <c r="AI987" s="1120"/>
      <c r="AJ987" s="1120"/>
    </row>
    <row r="988" spans="2:36" ht="30" customHeight="1" x14ac:dyDescent="0.25">
      <c r="B988" s="5"/>
      <c r="C988" s="5"/>
      <c r="D988" s="5"/>
      <c r="E988" s="5"/>
      <c r="F988" s="5"/>
      <c r="G988" s="5"/>
      <c r="H988" s="5"/>
      <c r="I988" s="5"/>
      <c r="J988" s="5"/>
      <c r="L988" s="277"/>
      <c r="M988" s="5"/>
      <c r="R988" s="5"/>
      <c r="S988" s="5"/>
      <c r="T988" s="1120"/>
      <c r="U988" s="5"/>
      <c r="V988" s="5"/>
      <c r="W988" s="5"/>
      <c r="X988" s="1120"/>
      <c r="Y988" s="1120"/>
      <c r="Z988" s="5"/>
      <c r="AA988" s="5"/>
      <c r="AB988" s="1135"/>
      <c r="AC988" s="5"/>
      <c r="AD988" s="5"/>
      <c r="AE988" s="5"/>
      <c r="AF988" s="1120"/>
      <c r="AG988" s="1148"/>
      <c r="AH988" s="1120"/>
      <c r="AI988" s="1120"/>
      <c r="AJ988" s="1120"/>
    </row>
    <row r="989" spans="2:36" ht="30" customHeight="1" x14ac:dyDescent="0.25">
      <c r="B989" s="5"/>
      <c r="C989" s="5"/>
      <c r="D989" s="5"/>
      <c r="E989" s="5"/>
      <c r="F989" s="5"/>
      <c r="G989" s="5"/>
      <c r="H989" s="5"/>
      <c r="I989" s="5"/>
      <c r="J989" s="5"/>
      <c r="L989" s="277"/>
      <c r="M989" s="5"/>
      <c r="R989" s="5"/>
      <c r="S989" s="5"/>
      <c r="T989" s="1120"/>
      <c r="U989" s="5"/>
      <c r="V989" s="5"/>
      <c r="W989" s="5"/>
      <c r="X989" s="1120"/>
      <c r="Y989" s="1120"/>
      <c r="Z989" s="5"/>
      <c r="AA989" s="5"/>
      <c r="AB989" s="1135"/>
      <c r="AC989" s="5"/>
      <c r="AD989" s="5"/>
      <c r="AE989" s="5"/>
      <c r="AF989" s="1120"/>
      <c r="AG989" s="1148"/>
      <c r="AH989" s="1120"/>
      <c r="AI989" s="1120"/>
      <c r="AJ989" s="1120"/>
    </row>
    <row r="990" spans="2:36" ht="30" customHeight="1" x14ac:dyDescent="0.25">
      <c r="B990" s="5"/>
      <c r="C990" s="5"/>
      <c r="D990" s="5"/>
      <c r="E990" s="5"/>
      <c r="F990" s="5"/>
      <c r="G990" s="5"/>
      <c r="H990" s="5"/>
      <c r="I990" s="5"/>
      <c r="J990" s="5"/>
      <c r="L990" s="277"/>
      <c r="M990" s="5"/>
      <c r="R990" s="5"/>
      <c r="S990" s="5"/>
      <c r="T990" s="1120"/>
      <c r="U990" s="5"/>
      <c r="V990" s="5"/>
      <c r="W990" s="5"/>
      <c r="X990" s="1120"/>
      <c r="Y990" s="1120"/>
      <c r="Z990" s="5"/>
      <c r="AA990" s="5"/>
      <c r="AB990" s="1135"/>
      <c r="AC990" s="5"/>
      <c r="AD990" s="5"/>
      <c r="AE990" s="5"/>
      <c r="AF990" s="1120"/>
      <c r="AG990" s="1148"/>
      <c r="AH990" s="1120"/>
      <c r="AI990" s="1120"/>
      <c r="AJ990" s="1120"/>
    </row>
    <row r="991" spans="2:36" ht="30" customHeight="1" x14ac:dyDescent="0.25">
      <c r="B991" s="5"/>
      <c r="C991" s="5"/>
      <c r="D991" s="5"/>
      <c r="E991" s="5"/>
      <c r="F991" s="5"/>
      <c r="G991" s="5"/>
      <c r="H991" s="5"/>
      <c r="I991" s="5"/>
      <c r="J991" s="5"/>
      <c r="L991" s="277"/>
      <c r="M991" s="5"/>
      <c r="R991" s="5"/>
      <c r="S991" s="5"/>
      <c r="T991" s="1120"/>
      <c r="U991" s="5"/>
      <c r="V991" s="5"/>
      <c r="W991" s="5"/>
      <c r="X991" s="1120"/>
      <c r="Y991" s="1120"/>
      <c r="Z991" s="5"/>
      <c r="AA991" s="5"/>
      <c r="AB991" s="1135"/>
      <c r="AC991" s="5"/>
      <c r="AD991" s="5"/>
      <c r="AE991" s="5"/>
      <c r="AF991" s="1120"/>
      <c r="AG991" s="1148"/>
      <c r="AH991" s="1120"/>
      <c r="AI991" s="1120"/>
      <c r="AJ991" s="1120"/>
    </row>
    <row r="992" spans="2:36" ht="30" customHeight="1" x14ac:dyDescent="0.25">
      <c r="B992" s="5"/>
      <c r="C992" s="5"/>
      <c r="D992" s="5"/>
      <c r="E992" s="5"/>
      <c r="F992" s="5"/>
      <c r="G992" s="5"/>
      <c r="H992" s="5"/>
      <c r="I992" s="5"/>
      <c r="J992" s="5"/>
      <c r="L992" s="277"/>
      <c r="M992" s="5"/>
      <c r="R992" s="5"/>
      <c r="S992" s="5"/>
      <c r="T992" s="1120"/>
      <c r="U992" s="5"/>
      <c r="V992" s="5"/>
      <c r="W992" s="5"/>
      <c r="X992" s="1120"/>
      <c r="Y992" s="1120"/>
      <c r="Z992" s="5"/>
      <c r="AA992" s="5"/>
      <c r="AB992" s="1135"/>
      <c r="AC992" s="5"/>
      <c r="AD992" s="5"/>
      <c r="AE992" s="5"/>
      <c r="AF992" s="1120"/>
      <c r="AG992" s="1148"/>
      <c r="AH992" s="1120"/>
      <c r="AI992" s="1120"/>
      <c r="AJ992" s="1120"/>
    </row>
    <row r="993" spans="2:36" ht="30" customHeight="1" x14ac:dyDescent="0.25">
      <c r="B993" s="5"/>
      <c r="C993" s="5"/>
      <c r="D993" s="5"/>
      <c r="E993" s="5"/>
      <c r="F993" s="5"/>
      <c r="G993" s="5"/>
      <c r="H993" s="5"/>
      <c r="I993" s="5"/>
      <c r="J993" s="5"/>
      <c r="L993" s="277"/>
      <c r="M993" s="5"/>
      <c r="R993" s="5"/>
      <c r="S993" s="5"/>
      <c r="T993" s="1120"/>
      <c r="U993" s="5"/>
      <c r="V993" s="5"/>
      <c r="W993" s="5"/>
      <c r="X993" s="1120"/>
      <c r="Y993" s="1120"/>
      <c r="Z993" s="5"/>
      <c r="AA993" s="5"/>
      <c r="AB993" s="1135"/>
      <c r="AC993" s="5"/>
      <c r="AD993" s="5"/>
      <c r="AE993" s="5"/>
      <c r="AF993" s="1120"/>
      <c r="AG993" s="1148"/>
      <c r="AH993" s="1120"/>
      <c r="AI993" s="1120"/>
      <c r="AJ993" s="1120"/>
    </row>
    <row r="994" spans="2:36" ht="30" customHeight="1" x14ac:dyDescent="0.25">
      <c r="B994" s="5"/>
      <c r="C994" s="5"/>
      <c r="D994" s="5"/>
      <c r="E994" s="5"/>
      <c r="F994" s="5"/>
      <c r="G994" s="5"/>
      <c r="H994" s="5"/>
      <c r="I994" s="5"/>
      <c r="J994" s="5"/>
      <c r="L994" s="277"/>
      <c r="M994" s="5"/>
      <c r="R994" s="5"/>
      <c r="S994" s="5"/>
      <c r="T994" s="1120"/>
      <c r="U994" s="5"/>
      <c r="V994" s="5"/>
      <c r="W994" s="5"/>
      <c r="X994" s="1120"/>
      <c r="Y994" s="1120"/>
      <c r="Z994" s="5"/>
      <c r="AA994" s="5"/>
      <c r="AB994" s="1135"/>
      <c r="AC994" s="5"/>
      <c r="AD994" s="5"/>
      <c r="AE994" s="5"/>
      <c r="AF994" s="1120"/>
      <c r="AG994" s="1148"/>
      <c r="AH994" s="1120"/>
      <c r="AI994" s="1120"/>
      <c r="AJ994" s="1120"/>
    </row>
    <row r="995" spans="2:36" ht="30" customHeight="1" x14ac:dyDescent="0.25">
      <c r="B995" s="5"/>
      <c r="C995" s="5"/>
      <c r="D995" s="5"/>
      <c r="E995" s="5"/>
      <c r="F995" s="5"/>
      <c r="G995" s="5"/>
      <c r="H995" s="5"/>
      <c r="I995" s="5"/>
      <c r="J995" s="5"/>
      <c r="L995" s="277"/>
      <c r="M995" s="5"/>
      <c r="R995" s="5"/>
      <c r="S995" s="5"/>
      <c r="T995" s="1120"/>
      <c r="U995" s="5"/>
      <c r="V995" s="5"/>
      <c r="W995" s="5"/>
      <c r="X995" s="1120"/>
      <c r="Y995" s="1120"/>
      <c r="Z995" s="5"/>
      <c r="AA995" s="5"/>
      <c r="AB995" s="1135"/>
      <c r="AC995" s="5"/>
      <c r="AD995" s="5"/>
      <c r="AE995" s="5"/>
      <c r="AF995" s="1120"/>
      <c r="AG995" s="1148"/>
      <c r="AH995" s="1120"/>
      <c r="AI995" s="1120"/>
      <c r="AJ995" s="1120"/>
    </row>
    <row r="996" spans="2:36" ht="30" customHeight="1" x14ac:dyDescent="0.25">
      <c r="B996" s="5"/>
      <c r="C996" s="5"/>
      <c r="D996" s="5"/>
      <c r="E996" s="5"/>
      <c r="F996" s="5"/>
      <c r="G996" s="5"/>
      <c r="H996" s="5"/>
      <c r="I996" s="5"/>
      <c r="J996" s="5"/>
      <c r="L996" s="277"/>
      <c r="M996" s="5"/>
      <c r="R996" s="5"/>
      <c r="S996" s="5"/>
      <c r="T996" s="1120"/>
      <c r="U996" s="5"/>
      <c r="V996" s="5"/>
      <c r="W996" s="5"/>
      <c r="X996" s="1120"/>
      <c r="Y996" s="1120"/>
      <c r="Z996" s="5"/>
      <c r="AA996" s="5"/>
      <c r="AB996" s="1135"/>
      <c r="AC996" s="5"/>
      <c r="AD996" s="5"/>
      <c r="AE996" s="5"/>
      <c r="AF996" s="1120"/>
      <c r="AG996" s="1148"/>
      <c r="AH996" s="1120"/>
      <c r="AI996" s="1120"/>
      <c r="AJ996" s="1120"/>
    </row>
    <row r="997" spans="2:36" ht="30" customHeight="1" x14ac:dyDescent="0.25">
      <c r="B997" s="5"/>
      <c r="C997" s="5"/>
      <c r="D997" s="5"/>
      <c r="E997" s="5"/>
      <c r="F997" s="5"/>
      <c r="G997" s="5"/>
      <c r="H997" s="5"/>
      <c r="I997" s="5"/>
      <c r="J997" s="5"/>
      <c r="L997" s="277"/>
      <c r="M997" s="5"/>
      <c r="R997" s="5"/>
      <c r="S997" s="5"/>
      <c r="T997" s="1120"/>
      <c r="U997" s="5"/>
      <c r="V997" s="5"/>
      <c r="W997" s="5"/>
      <c r="X997" s="1120"/>
      <c r="Y997" s="1120"/>
      <c r="Z997" s="5"/>
      <c r="AA997" s="5"/>
      <c r="AB997" s="1135"/>
      <c r="AC997" s="5"/>
      <c r="AD997" s="5"/>
      <c r="AE997" s="5"/>
      <c r="AF997" s="1120"/>
      <c r="AG997" s="1148"/>
      <c r="AH997" s="1120"/>
      <c r="AI997" s="1120"/>
      <c r="AJ997" s="1120"/>
    </row>
    <row r="998" spans="2:36" ht="30" customHeight="1" x14ac:dyDescent="0.25">
      <c r="B998" s="5"/>
      <c r="C998" s="5"/>
      <c r="D998" s="5"/>
      <c r="E998" s="5"/>
      <c r="F998" s="5"/>
      <c r="G998" s="5"/>
      <c r="H998" s="5"/>
      <c r="I998" s="5"/>
      <c r="J998" s="5"/>
      <c r="L998" s="277"/>
      <c r="M998" s="5"/>
      <c r="R998" s="5"/>
      <c r="S998" s="5"/>
      <c r="T998" s="1120"/>
      <c r="U998" s="5"/>
      <c r="V998" s="5"/>
      <c r="W998" s="5"/>
      <c r="X998" s="1120"/>
      <c r="Y998" s="1120"/>
      <c r="Z998" s="5"/>
      <c r="AA998" s="5"/>
      <c r="AB998" s="1135"/>
      <c r="AC998" s="5"/>
      <c r="AD998" s="5"/>
      <c r="AE998" s="5"/>
      <c r="AF998" s="1120"/>
      <c r="AG998" s="1148"/>
      <c r="AH998" s="1120"/>
      <c r="AI998" s="1120"/>
      <c r="AJ998" s="1120"/>
    </row>
    <row r="999" spans="2:36" ht="30" customHeight="1" x14ac:dyDescent="0.25">
      <c r="B999" s="5"/>
      <c r="C999" s="5"/>
      <c r="D999" s="5"/>
      <c r="E999" s="5"/>
      <c r="F999" s="5"/>
      <c r="G999" s="5"/>
      <c r="H999" s="5"/>
      <c r="I999" s="5"/>
      <c r="J999" s="5"/>
      <c r="L999" s="277"/>
      <c r="M999" s="5"/>
      <c r="R999" s="5"/>
      <c r="S999" s="5"/>
      <c r="T999" s="1120"/>
      <c r="U999" s="5"/>
      <c r="V999" s="5"/>
      <c r="W999" s="5"/>
      <c r="X999" s="1120"/>
      <c r="Y999" s="1120"/>
      <c r="Z999" s="5"/>
      <c r="AA999" s="5"/>
      <c r="AB999" s="1135"/>
      <c r="AC999" s="5"/>
      <c r="AD999" s="5"/>
      <c r="AE999" s="5"/>
      <c r="AF999" s="1120"/>
      <c r="AG999" s="1148"/>
      <c r="AH999" s="1120"/>
      <c r="AI999" s="1120"/>
      <c r="AJ999" s="1120"/>
    </row>
    <row r="1000" spans="2:36" ht="30" customHeight="1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L1000" s="277"/>
      <c r="M1000" s="5"/>
      <c r="R1000" s="5"/>
      <c r="S1000" s="5"/>
      <c r="T1000" s="1120"/>
      <c r="U1000" s="5"/>
      <c r="V1000" s="5"/>
      <c r="W1000" s="5"/>
      <c r="X1000" s="1120"/>
      <c r="Y1000" s="1120"/>
      <c r="Z1000" s="5"/>
      <c r="AA1000" s="5"/>
      <c r="AB1000" s="1135"/>
      <c r="AC1000" s="5"/>
      <c r="AD1000" s="5"/>
      <c r="AE1000" s="5"/>
      <c r="AF1000" s="1120"/>
      <c r="AG1000" s="1148"/>
      <c r="AH1000" s="1120"/>
      <c r="AI1000" s="1120"/>
      <c r="AJ1000" s="1120"/>
    </row>
    <row r="1001" spans="2:36" ht="30" customHeight="1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L1001" s="277"/>
      <c r="M1001" s="5"/>
      <c r="R1001" s="5"/>
      <c r="S1001" s="5"/>
      <c r="T1001" s="1120"/>
      <c r="U1001" s="5"/>
      <c r="V1001" s="5"/>
      <c r="W1001" s="5"/>
      <c r="X1001" s="1120"/>
      <c r="Y1001" s="1120"/>
      <c r="Z1001" s="5"/>
      <c r="AA1001" s="5"/>
      <c r="AB1001" s="1135"/>
      <c r="AC1001" s="5"/>
      <c r="AD1001" s="5"/>
      <c r="AE1001" s="5"/>
      <c r="AF1001" s="1120"/>
      <c r="AG1001" s="1148"/>
      <c r="AH1001" s="1120"/>
      <c r="AI1001" s="1120"/>
      <c r="AJ1001" s="1120"/>
    </row>
    <row r="1002" spans="2:36" ht="30" customHeight="1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L1002" s="277"/>
      <c r="M1002" s="5"/>
      <c r="R1002" s="5"/>
      <c r="S1002" s="5"/>
      <c r="T1002" s="1120"/>
      <c r="U1002" s="5"/>
      <c r="V1002" s="5"/>
      <c r="W1002" s="5"/>
      <c r="X1002" s="1120"/>
      <c r="Y1002" s="1120"/>
      <c r="Z1002" s="5"/>
      <c r="AA1002" s="5"/>
      <c r="AB1002" s="1135"/>
      <c r="AC1002" s="5"/>
      <c r="AD1002" s="5"/>
      <c r="AE1002" s="5"/>
      <c r="AF1002" s="1120"/>
      <c r="AG1002" s="1148"/>
      <c r="AH1002" s="1120"/>
      <c r="AI1002" s="1120"/>
      <c r="AJ1002" s="1120"/>
    </row>
    <row r="1003" spans="2:36" ht="30" customHeight="1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L1003" s="277"/>
      <c r="M1003" s="5"/>
      <c r="R1003" s="5"/>
      <c r="S1003" s="5"/>
      <c r="T1003" s="1120"/>
      <c r="U1003" s="5"/>
      <c r="V1003" s="5"/>
      <c r="W1003" s="5"/>
      <c r="X1003" s="1120"/>
      <c r="Y1003" s="1120"/>
      <c r="Z1003" s="5"/>
      <c r="AA1003" s="5"/>
      <c r="AB1003" s="1135"/>
      <c r="AC1003" s="5"/>
      <c r="AD1003" s="5"/>
      <c r="AE1003" s="5"/>
      <c r="AF1003" s="1120"/>
      <c r="AG1003" s="1148"/>
      <c r="AH1003" s="1120"/>
      <c r="AI1003" s="1120"/>
      <c r="AJ1003" s="1120"/>
    </row>
    <row r="1004" spans="2:36" ht="30" customHeight="1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L1004" s="277"/>
      <c r="M1004" s="5"/>
      <c r="R1004" s="5"/>
      <c r="S1004" s="5"/>
      <c r="T1004" s="1120"/>
      <c r="U1004" s="5"/>
      <c r="V1004" s="5"/>
      <c r="W1004" s="5"/>
      <c r="X1004" s="1120"/>
      <c r="Y1004" s="1120"/>
      <c r="Z1004" s="5"/>
      <c r="AA1004" s="5"/>
      <c r="AB1004" s="1135"/>
      <c r="AC1004" s="5"/>
      <c r="AD1004" s="5"/>
      <c r="AE1004" s="5"/>
      <c r="AF1004" s="1120"/>
      <c r="AG1004" s="1148"/>
      <c r="AH1004" s="1120"/>
      <c r="AI1004" s="1120"/>
      <c r="AJ1004" s="1120"/>
    </row>
    <row r="1005" spans="2:36" ht="30" customHeight="1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L1005" s="277"/>
      <c r="M1005" s="5"/>
      <c r="R1005" s="5"/>
      <c r="S1005" s="5"/>
      <c r="T1005" s="1120"/>
      <c r="U1005" s="5"/>
      <c r="V1005" s="5"/>
      <c r="W1005" s="5"/>
      <c r="X1005" s="1120"/>
      <c r="Y1005" s="1120"/>
      <c r="Z1005" s="5"/>
      <c r="AA1005" s="5"/>
      <c r="AB1005" s="1135"/>
      <c r="AC1005" s="5"/>
      <c r="AD1005" s="5"/>
      <c r="AE1005" s="5"/>
      <c r="AF1005" s="1120"/>
      <c r="AG1005" s="1148"/>
      <c r="AH1005" s="1120"/>
      <c r="AI1005" s="1120"/>
      <c r="AJ1005" s="1120"/>
    </row>
    <row r="1006" spans="2:36" ht="30" customHeight="1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L1006" s="277"/>
      <c r="M1006" s="5"/>
      <c r="R1006" s="5"/>
      <c r="S1006" s="5"/>
      <c r="T1006" s="1120"/>
      <c r="U1006" s="5"/>
      <c r="V1006" s="5"/>
      <c r="W1006" s="5"/>
      <c r="X1006" s="1120"/>
      <c r="Y1006" s="1120"/>
      <c r="Z1006" s="5"/>
      <c r="AA1006" s="5"/>
      <c r="AB1006" s="1135"/>
      <c r="AC1006" s="5"/>
      <c r="AD1006" s="5"/>
      <c r="AE1006" s="5"/>
      <c r="AF1006" s="1120"/>
      <c r="AG1006" s="1148"/>
      <c r="AH1006" s="1120"/>
      <c r="AI1006" s="1120"/>
      <c r="AJ1006" s="1120"/>
    </row>
    <row r="1007" spans="2:36" ht="30" customHeight="1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L1007" s="277"/>
      <c r="M1007" s="5"/>
      <c r="R1007" s="5"/>
      <c r="S1007" s="5"/>
      <c r="T1007" s="1120"/>
      <c r="U1007" s="5"/>
      <c r="V1007" s="5"/>
      <c r="W1007" s="5"/>
      <c r="X1007" s="1120"/>
      <c r="Y1007" s="1120"/>
      <c r="Z1007" s="5"/>
      <c r="AA1007" s="5"/>
      <c r="AB1007" s="1135"/>
      <c r="AC1007" s="5"/>
      <c r="AD1007" s="5"/>
      <c r="AE1007" s="5"/>
      <c r="AF1007" s="1120"/>
      <c r="AG1007" s="1148"/>
      <c r="AH1007" s="1120"/>
      <c r="AI1007" s="1120"/>
      <c r="AJ1007" s="1120"/>
    </row>
    <row r="1008" spans="2:36" ht="30" customHeight="1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L1008" s="277"/>
      <c r="M1008" s="5"/>
      <c r="R1008" s="5"/>
      <c r="S1008" s="5"/>
      <c r="T1008" s="1120"/>
      <c r="U1008" s="5"/>
      <c r="V1008" s="5"/>
      <c r="W1008" s="5"/>
      <c r="X1008" s="1120"/>
      <c r="Y1008" s="1120"/>
      <c r="Z1008" s="5"/>
      <c r="AA1008" s="5"/>
      <c r="AB1008" s="1135"/>
      <c r="AC1008" s="5"/>
      <c r="AD1008" s="5"/>
      <c r="AE1008" s="5"/>
      <c r="AF1008" s="1120"/>
      <c r="AG1008" s="1148"/>
      <c r="AH1008" s="1120"/>
      <c r="AI1008" s="1120"/>
      <c r="AJ1008" s="1120"/>
    </row>
    <row r="1009" spans="2:36" ht="30" customHeight="1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L1009" s="277"/>
      <c r="M1009" s="5"/>
      <c r="R1009" s="5"/>
      <c r="S1009" s="5"/>
      <c r="T1009" s="1120"/>
      <c r="U1009" s="5"/>
      <c r="V1009" s="5"/>
      <c r="W1009" s="5"/>
      <c r="X1009" s="1120"/>
      <c r="Y1009" s="1120"/>
      <c r="Z1009" s="5"/>
      <c r="AA1009" s="5"/>
      <c r="AB1009" s="1135"/>
      <c r="AC1009" s="5"/>
      <c r="AD1009" s="5"/>
      <c r="AE1009" s="5"/>
      <c r="AF1009" s="1120"/>
      <c r="AG1009" s="1148"/>
      <c r="AH1009" s="1120"/>
      <c r="AI1009" s="1120"/>
      <c r="AJ1009" s="1120"/>
    </row>
    <row r="1010" spans="2:36" ht="30" customHeight="1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L1010" s="277"/>
      <c r="M1010" s="5"/>
      <c r="R1010" s="5"/>
      <c r="S1010" s="5"/>
      <c r="T1010" s="1120"/>
      <c r="U1010" s="5"/>
      <c r="V1010" s="5"/>
      <c r="W1010" s="5"/>
      <c r="X1010" s="1120"/>
      <c r="Y1010" s="1120"/>
      <c r="Z1010" s="5"/>
      <c r="AA1010" s="5"/>
      <c r="AB1010" s="1135"/>
      <c r="AC1010" s="5"/>
      <c r="AD1010" s="5"/>
      <c r="AE1010" s="5"/>
      <c r="AF1010" s="1120"/>
      <c r="AG1010" s="1148"/>
      <c r="AH1010" s="1120"/>
      <c r="AI1010" s="1120"/>
      <c r="AJ1010" s="1120"/>
    </row>
    <row r="1011" spans="2:36" ht="30" customHeight="1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L1011" s="277"/>
      <c r="M1011" s="5"/>
      <c r="R1011" s="5"/>
      <c r="S1011" s="5"/>
      <c r="T1011" s="1120"/>
      <c r="U1011" s="5"/>
      <c r="V1011" s="5"/>
      <c r="W1011" s="5"/>
      <c r="X1011" s="1120"/>
      <c r="Y1011" s="1120"/>
      <c r="Z1011" s="5"/>
      <c r="AA1011" s="5"/>
      <c r="AB1011" s="1135"/>
      <c r="AC1011" s="5"/>
      <c r="AD1011" s="5"/>
      <c r="AE1011" s="5"/>
      <c r="AF1011" s="1120"/>
      <c r="AG1011" s="1148"/>
      <c r="AH1011" s="1120"/>
      <c r="AI1011" s="1120"/>
      <c r="AJ1011" s="1120"/>
    </row>
    <row r="1012" spans="2:36" ht="30" customHeight="1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L1012" s="277"/>
      <c r="M1012" s="5"/>
      <c r="R1012" s="5"/>
      <c r="S1012" s="5"/>
      <c r="T1012" s="1120"/>
      <c r="U1012" s="5"/>
      <c r="V1012" s="5"/>
      <c r="W1012" s="5"/>
      <c r="X1012" s="1120"/>
      <c r="Y1012" s="1120"/>
      <c r="Z1012" s="5"/>
      <c r="AA1012" s="5"/>
      <c r="AB1012" s="1135"/>
      <c r="AC1012" s="5"/>
      <c r="AD1012" s="5"/>
      <c r="AE1012" s="5"/>
      <c r="AF1012" s="1120"/>
      <c r="AG1012" s="1148"/>
      <c r="AH1012" s="1120"/>
      <c r="AI1012" s="1120"/>
      <c r="AJ1012" s="1120"/>
    </row>
    <row r="1013" spans="2:36" ht="30" customHeight="1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L1013" s="277"/>
      <c r="M1013" s="5"/>
      <c r="R1013" s="5"/>
      <c r="S1013" s="5"/>
      <c r="T1013" s="1120"/>
      <c r="U1013" s="5"/>
      <c r="V1013" s="5"/>
      <c r="W1013" s="5"/>
      <c r="X1013" s="1120"/>
      <c r="Y1013" s="1120"/>
      <c r="Z1013" s="5"/>
      <c r="AA1013" s="5"/>
      <c r="AB1013" s="1135"/>
      <c r="AC1013" s="5"/>
      <c r="AD1013" s="5"/>
      <c r="AE1013" s="5"/>
      <c r="AF1013" s="1120"/>
      <c r="AG1013" s="1148"/>
      <c r="AH1013" s="1120"/>
      <c r="AI1013" s="1120"/>
      <c r="AJ1013" s="1120"/>
    </row>
    <row r="1014" spans="2:36" ht="30" customHeight="1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L1014" s="277"/>
      <c r="M1014" s="5"/>
      <c r="R1014" s="5"/>
      <c r="S1014" s="5"/>
      <c r="T1014" s="1120"/>
      <c r="U1014" s="5"/>
      <c r="V1014" s="5"/>
      <c r="W1014" s="5"/>
      <c r="X1014" s="1120"/>
      <c r="Y1014" s="1120"/>
      <c r="Z1014" s="5"/>
      <c r="AA1014" s="5"/>
      <c r="AB1014" s="1135"/>
      <c r="AC1014" s="5"/>
      <c r="AD1014" s="5"/>
      <c r="AE1014" s="5"/>
      <c r="AF1014" s="1120"/>
      <c r="AG1014" s="1148"/>
      <c r="AH1014" s="1120"/>
      <c r="AI1014" s="1120"/>
      <c r="AJ1014" s="1120"/>
    </row>
    <row r="1015" spans="2:36" ht="30" customHeight="1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L1015" s="277"/>
      <c r="M1015" s="5"/>
      <c r="R1015" s="5"/>
      <c r="S1015" s="5"/>
      <c r="T1015" s="1120"/>
      <c r="U1015" s="5"/>
      <c r="V1015" s="5"/>
      <c r="W1015" s="5"/>
      <c r="X1015" s="1120"/>
      <c r="Y1015" s="1120"/>
      <c r="Z1015" s="5"/>
      <c r="AA1015" s="5"/>
      <c r="AB1015" s="1135"/>
      <c r="AC1015" s="5"/>
      <c r="AD1015" s="5"/>
      <c r="AE1015" s="5"/>
      <c r="AF1015" s="1120"/>
      <c r="AG1015" s="1148"/>
      <c r="AH1015" s="1120"/>
      <c r="AI1015" s="1120"/>
      <c r="AJ1015" s="1120"/>
    </row>
    <row r="1016" spans="2:36" ht="30" customHeight="1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L1016" s="277"/>
      <c r="M1016" s="5"/>
      <c r="R1016" s="5"/>
      <c r="S1016" s="5"/>
      <c r="T1016" s="1120"/>
      <c r="U1016" s="5"/>
      <c r="V1016" s="5"/>
      <c r="W1016" s="5"/>
      <c r="X1016" s="1120"/>
      <c r="Y1016" s="1120"/>
      <c r="Z1016" s="5"/>
      <c r="AA1016" s="5"/>
      <c r="AB1016" s="1135"/>
      <c r="AC1016" s="5"/>
      <c r="AD1016" s="5"/>
      <c r="AE1016" s="5"/>
      <c r="AF1016" s="1120"/>
      <c r="AG1016" s="1148"/>
      <c r="AH1016" s="1120"/>
      <c r="AI1016" s="1120"/>
      <c r="AJ1016" s="1120"/>
    </row>
    <row r="1017" spans="2:36" ht="30" customHeight="1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L1017" s="277"/>
      <c r="M1017" s="5"/>
      <c r="R1017" s="5"/>
      <c r="S1017" s="5"/>
      <c r="T1017" s="1120"/>
      <c r="U1017" s="5"/>
      <c r="V1017" s="5"/>
      <c r="W1017" s="5"/>
      <c r="X1017" s="1120"/>
      <c r="Y1017" s="1120"/>
      <c r="Z1017" s="5"/>
      <c r="AA1017" s="5"/>
      <c r="AB1017" s="1135"/>
      <c r="AC1017" s="5"/>
      <c r="AD1017" s="5"/>
      <c r="AE1017" s="5"/>
      <c r="AF1017" s="1120"/>
      <c r="AG1017" s="1148"/>
      <c r="AH1017" s="1120"/>
      <c r="AI1017" s="1120"/>
      <c r="AJ1017" s="1120"/>
    </row>
    <row r="1018" spans="2:36" ht="30" customHeight="1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L1018" s="277"/>
      <c r="M1018" s="5"/>
      <c r="R1018" s="5"/>
      <c r="S1018" s="5"/>
      <c r="T1018" s="1120"/>
      <c r="U1018" s="5"/>
      <c r="V1018" s="5"/>
      <c r="W1018" s="5"/>
      <c r="X1018" s="1120"/>
      <c r="Y1018" s="1120"/>
      <c r="Z1018" s="5"/>
      <c r="AA1018" s="5"/>
      <c r="AB1018" s="1135"/>
      <c r="AC1018" s="5"/>
      <c r="AD1018" s="5"/>
      <c r="AE1018" s="5"/>
      <c r="AF1018" s="1120"/>
      <c r="AG1018" s="1148"/>
      <c r="AH1018" s="1120"/>
      <c r="AI1018" s="1120"/>
      <c r="AJ1018" s="1120"/>
    </row>
    <row r="1019" spans="2:36" ht="30" customHeight="1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L1019" s="277"/>
      <c r="M1019" s="5"/>
      <c r="R1019" s="5"/>
      <c r="S1019" s="5"/>
      <c r="T1019" s="1120"/>
      <c r="U1019" s="5"/>
      <c r="V1019" s="5"/>
      <c r="W1019" s="5"/>
      <c r="X1019" s="1120"/>
      <c r="Y1019" s="1120"/>
      <c r="Z1019" s="5"/>
      <c r="AA1019" s="5"/>
      <c r="AB1019" s="1135"/>
      <c r="AC1019" s="5"/>
      <c r="AD1019" s="5"/>
      <c r="AE1019" s="5"/>
      <c r="AF1019" s="1120"/>
      <c r="AG1019" s="1148"/>
      <c r="AH1019" s="1120"/>
      <c r="AI1019" s="1120"/>
      <c r="AJ1019" s="1120"/>
    </row>
    <row r="1020" spans="2:36" ht="30" customHeight="1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L1020" s="277"/>
      <c r="M1020" s="5"/>
      <c r="R1020" s="5"/>
      <c r="S1020" s="5"/>
      <c r="T1020" s="1120"/>
      <c r="U1020" s="5"/>
      <c r="V1020" s="5"/>
      <c r="W1020" s="5"/>
      <c r="X1020" s="1120"/>
      <c r="Y1020" s="1120"/>
      <c r="Z1020" s="5"/>
      <c r="AA1020" s="5"/>
      <c r="AB1020" s="1135"/>
      <c r="AC1020" s="5"/>
      <c r="AD1020" s="5"/>
      <c r="AE1020" s="5"/>
      <c r="AF1020" s="1120"/>
      <c r="AG1020" s="1148"/>
      <c r="AH1020" s="1120"/>
      <c r="AI1020" s="1120"/>
      <c r="AJ1020" s="1120"/>
    </row>
    <row r="1021" spans="2:36" ht="30" customHeight="1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L1021" s="277"/>
      <c r="M1021" s="5"/>
      <c r="R1021" s="5"/>
      <c r="S1021" s="5"/>
      <c r="T1021" s="1120"/>
      <c r="U1021" s="5"/>
      <c r="V1021" s="5"/>
      <c r="W1021" s="5"/>
      <c r="X1021" s="1120"/>
      <c r="Y1021" s="1120"/>
      <c r="Z1021" s="5"/>
      <c r="AA1021" s="5"/>
      <c r="AB1021" s="1135"/>
      <c r="AC1021" s="5"/>
      <c r="AD1021" s="5"/>
      <c r="AE1021" s="5"/>
      <c r="AF1021" s="1120"/>
      <c r="AG1021" s="1148"/>
      <c r="AH1021" s="1120"/>
      <c r="AI1021" s="1120"/>
      <c r="AJ1021" s="1120"/>
    </row>
    <row r="1022" spans="2:36" ht="30" customHeight="1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L1022" s="277"/>
      <c r="M1022" s="5"/>
      <c r="R1022" s="5"/>
      <c r="S1022" s="5"/>
      <c r="T1022" s="1120"/>
      <c r="U1022" s="5"/>
      <c r="V1022" s="5"/>
      <c r="W1022" s="5"/>
      <c r="X1022" s="1120"/>
      <c r="Y1022" s="1120"/>
      <c r="Z1022" s="5"/>
      <c r="AA1022" s="5"/>
      <c r="AB1022" s="1135"/>
      <c r="AC1022" s="5"/>
      <c r="AD1022" s="5"/>
      <c r="AE1022" s="5"/>
      <c r="AF1022" s="1120"/>
      <c r="AG1022" s="1148"/>
      <c r="AH1022" s="1120"/>
      <c r="AI1022" s="1120"/>
      <c r="AJ1022" s="1120"/>
    </row>
    <row r="1023" spans="2:36" ht="30" customHeight="1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L1023" s="277"/>
      <c r="M1023" s="5"/>
      <c r="R1023" s="5"/>
      <c r="S1023" s="5"/>
      <c r="T1023" s="1120"/>
      <c r="U1023" s="5"/>
      <c r="V1023" s="5"/>
      <c r="W1023" s="5"/>
      <c r="X1023" s="1120"/>
      <c r="Y1023" s="1120"/>
      <c r="Z1023" s="5"/>
      <c r="AA1023" s="5"/>
      <c r="AB1023" s="1135"/>
      <c r="AC1023" s="5"/>
      <c r="AD1023" s="5"/>
      <c r="AE1023" s="5"/>
      <c r="AF1023" s="1120"/>
      <c r="AG1023" s="1148"/>
      <c r="AH1023" s="1120"/>
      <c r="AI1023" s="1120"/>
      <c r="AJ1023" s="1120"/>
    </row>
    <row r="1024" spans="2:36" ht="30" customHeight="1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L1024" s="277"/>
      <c r="M1024" s="5"/>
      <c r="R1024" s="5"/>
      <c r="S1024" s="5"/>
      <c r="T1024" s="1120"/>
      <c r="U1024" s="5"/>
      <c r="V1024" s="5"/>
      <c r="W1024" s="5"/>
      <c r="X1024" s="1120"/>
      <c r="Y1024" s="1120"/>
      <c r="Z1024" s="5"/>
      <c r="AA1024" s="5"/>
      <c r="AB1024" s="1135"/>
      <c r="AC1024" s="5"/>
      <c r="AD1024" s="5"/>
      <c r="AE1024" s="5"/>
      <c r="AF1024" s="1120"/>
      <c r="AG1024" s="1148"/>
      <c r="AH1024" s="1120"/>
      <c r="AI1024" s="1120"/>
      <c r="AJ1024" s="1120"/>
    </row>
    <row r="1025" spans="2:36" ht="30" customHeight="1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L1025" s="277"/>
      <c r="M1025" s="5"/>
      <c r="R1025" s="5"/>
      <c r="S1025" s="5"/>
      <c r="T1025" s="1120"/>
      <c r="U1025" s="5"/>
      <c r="V1025" s="5"/>
      <c r="W1025" s="5"/>
      <c r="X1025" s="1120"/>
      <c r="Y1025" s="1120"/>
      <c r="Z1025" s="5"/>
      <c r="AA1025" s="5"/>
      <c r="AB1025" s="1135"/>
      <c r="AC1025" s="5"/>
      <c r="AD1025" s="5"/>
      <c r="AE1025" s="5"/>
      <c r="AF1025" s="1120"/>
      <c r="AG1025" s="1148"/>
      <c r="AH1025" s="1120"/>
      <c r="AI1025" s="1120"/>
      <c r="AJ1025" s="1120"/>
    </row>
    <row r="1026" spans="2:36" ht="30" customHeight="1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L1026" s="277"/>
      <c r="M1026" s="5"/>
      <c r="R1026" s="5"/>
      <c r="S1026" s="5"/>
      <c r="T1026" s="1120"/>
      <c r="U1026" s="5"/>
      <c r="V1026" s="5"/>
      <c r="W1026" s="5"/>
      <c r="X1026" s="1120"/>
      <c r="Y1026" s="1120"/>
      <c r="Z1026" s="5"/>
      <c r="AA1026" s="5"/>
      <c r="AB1026" s="1135"/>
      <c r="AC1026" s="5"/>
      <c r="AD1026" s="5"/>
      <c r="AE1026" s="5"/>
      <c r="AF1026" s="1120"/>
      <c r="AG1026" s="1148"/>
      <c r="AH1026" s="1120"/>
      <c r="AI1026" s="1120"/>
      <c r="AJ1026" s="1120"/>
    </row>
    <row r="1027" spans="2:36" ht="30" customHeight="1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L1027" s="277"/>
      <c r="M1027" s="5"/>
      <c r="R1027" s="5"/>
      <c r="S1027" s="5"/>
      <c r="T1027" s="1120"/>
      <c r="U1027" s="5"/>
      <c r="V1027" s="5"/>
      <c r="W1027" s="5"/>
      <c r="X1027" s="1120"/>
      <c r="Y1027" s="1120"/>
      <c r="Z1027" s="5"/>
      <c r="AA1027" s="5"/>
      <c r="AB1027" s="1135"/>
      <c r="AC1027" s="5"/>
      <c r="AD1027" s="5"/>
      <c r="AE1027" s="5"/>
      <c r="AF1027" s="1120"/>
      <c r="AG1027" s="1148"/>
      <c r="AH1027" s="1120"/>
      <c r="AI1027" s="1120"/>
      <c r="AJ1027" s="1120"/>
    </row>
    <row r="1028" spans="2:36" ht="30" customHeight="1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L1028" s="277"/>
      <c r="M1028" s="5"/>
      <c r="R1028" s="5"/>
      <c r="S1028" s="5"/>
      <c r="T1028" s="1120"/>
      <c r="U1028" s="5"/>
      <c r="V1028" s="5"/>
      <c r="W1028" s="5"/>
      <c r="X1028" s="1120"/>
      <c r="Y1028" s="1120"/>
      <c r="Z1028" s="5"/>
      <c r="AA1028" s="5"/>
      <c r="AB1028" s="1135"/>
      <c r="AC1028" s="5"/>
      <c r="AD1028" s="5"/>
      <c r="AE1028" s="5"/>
      <c r="AF1028" s="1120"/>
      <c r="AG1028" s="1148"/>
      <c r="AH1028" s="1120"/>
      <c r="AI1028" s="1120"/>
      <c r="AJ1028" s="1120"/>
    </row>
    <row r="1029" spans="2:36" ht="30" customHeight="1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L1029" s="277"/>
      <c r="M1029" s="5"/>
      <c r="R1029" s="5"/>
      <c r="S1029" s="5"/>
      <c r="T1029" s="1120"/>
      <c r="U1029" s="5"/>
      <c r="V1029" s="5"/>
      <c r="W1029" s="5"/>
      <c r="X1029" s="1120"/>
      <c r="Y1029" s="1120"/>
      <c r="Z1029" s="5"/>
      <c r="AA1029" s="5"/>
      <c r="AB1029" s="1135"/>
      <c r="AC1029" s="5"/>
      <c r="AD1029" s="5"/>
      <c r="AE1029" s="5"/>
      <c r="AF1029" s="1120"/>
      <c r="AG1029" s="1148"/>
      <c r="AH1029" s="1120"/>
      <c r="AI1029" s="1120"/>
      <c r="AJ1029" s="1120"/>
    </row>
    <row r="1030" spans="2:36" ht="30" customHeight="1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L1030" s="277"/>
      <c r="M1030" s="5"/>
      <c r="R1030" s="5"/>
      <c r="S1030" s="5"/>
      <c r="T1030" s="1120"/>
      <c r="U1030" s="5"/>
      <c r="V1030" s="5"/>
      <c r="W1030" s="5"/>
      <c r="X1030" s="1120"/>
      <c r="Y1030" s="1120"/>
      <c r="Z1030" s="5"/>
      <c r="AA1030" s="5"/>
      <c r="AB1030" s="1135"/>
      <c r="AC1030" s="5"/>
      <c r="AD1030" s="5"/>
      <c r="AE1030" s="5"/>
      <c r="AF1030" s="1120"/>
      <c r="AG1030" s="1148"/>
      <c r="AH1030" s="1120"/>
      <c r="AI1030" s="1120"/>
      <c r="AJ1030" s="1120"/>
    </row>
    <row r="1031" spans="2:36" ht="30" customHeight="1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L1031" s="277"/>
      <c r="M1031" s="5"/>
      <c r="R1031" s="5"/>
      <c r="S1031" s="5"/>
      <c r="T1031" s="1120"/>
      <c r="U1031" s="5"/>
      <c r="V1031" s="5"/>
      <c r="W1031" s="5"/>
      <c r="X1031" s="1120"/>
      <c r="Y1031" s="1120"/>
      <c r="Z1031" s="5"/>
      <c r="AA1031" s="5"/>
      <c r="AB1031" s="1135"/>
      <c r="AC1031" s="5"/>
      <c r="AD1031" s="5"/>
      <c r="AE1031" s="5"/>
      <c r="AF1031" s="1120"/>
      <c r="AG1031" s="1148"/>
      <c r="AH1031" s="1120"/>
      <c r="AI1031" s="1120"/>
      <c r="AJ1031" s="1120"/>
    </row>
    <row r="1032" spans="2:36" ht="30" customHeight="1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L1032" s="277"/>
      <c r="M1032" s="5"/>
      <c r="R1032" s="5"/>
      <c r="S1032" s="5"/>
      <c r="T1032" s="1120"/>
      <c r="U1032" s="5"/>
      <c r="V1032" s="5"/>
      <c r="W1032" s="5"/>
      <c r="X1032" s="1120"/>
      <c r="Y1032" s="1120"/>
      <c r="Z1032" s="5"/>
      <c r="AA1032" s="5"/>
      <c r="AB1032" s="1135"/>
      <c r="AC1032" s="5"/>
      <c r="AD1032" s="5"/>
      <c r="AE1032" s="5"/>
      <c r="AF1032" s="1120"/>
      <c r="AG1032" s="1148"/>
      <c r="AH1032" s="1120"/>
      <c r="AI1032" s="1120"/>
      <c r="AJ1032" s="1120"/>
    </row>
    <row r="1033" spans="2:36" ht="30" customHeight="1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L1033" s="277"/>
      <c r="M1033" s="5"/>
      <c r="R1033" s="5"/>
      <c r="S1033" s="5"/>
      <c r="T1033" s="1120"/>
      <c r="U1033" s="5"/>
      <c r="V1033" s="5"/>
      <c r="W1033" s="5"/>
      <c r="X1033" s="1120"/>
      <c r="Y1033" s="1120"/>
      <c r="Z1033" s="5"/>
      <c r="AA1033" s="5"/>
      <c r="AB1033" s="1135"/>
      <c r="AC1033" s="5"/>
      <c r="AD1033" s="5"/>
      <c r="AE1033" s="5"/>
      <c r="AF1033" s="1120"/>
      <c r="AG1033" s="1148"/>
      <c r="AH1033" s="1120"/>
      <c r="AI1033" s="1120"/>
      <c r="AJ1033" s="1120"/>
    </row>
    <row r="1034" spans="2:36" ht="30" customHeight="1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L1034" s="277"/>
      <c r="M1034" s="5"/>
      <c r="R1034" s="5"/>
      <c r="S1034" s="5"/>
      <c r="T1034" s="1120"/>
      <c r="U1034" s="5"/>
      <c r="V1034" s="5"/>
      <c r="W1034" s="5"/>
      <c r="X1034" s="1120"/>
      <c r="Y1034" s="1120"/>
      <c r="Z1034" s="5"/>
      <c r="AA1034" s="5"/>
      <c r="AB1034" s="1135"/>
      <c r="AC1034" s="5"/>
      <c r="AD1034" s="5"/>
      <c r="AE1034" s="5"/>
      <c r="AF1034" s="1120"/>
      <c r="AG1034" s="1148"/>
      <c r="AH1034" s="1120"/>
      <c r="AI1034" s="1120"/>
      <c r="AJ1034" s="1120"/>
    </row>
    <row r="1035" spans="2:36" ht="30" customHeight="1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L1035" s="277"/>
      <c r="M1035" s="5"/>
      <c r="R1035" s="5"/>
      <c r="S1035" s="5"/>
      <c r="T1035" s="1120"/>
      <c r="U1035" s="5"/>
      <c r="V1035" s="5"/>
      <c r="W1035" s="5"/>
      <c r="X1035" s="1120"/>
      <c r="Y1035" s="1120"/>
      <c r="Z1035" s="5"/>
      <c r="AA1035" s="5"/>
      <c r="AB1035" s="1135"/>
      <c r="AC1035" s="5"/>
      <c r="AD1035" s="5"/>
      <c r="AE1035" s="5"/>
      <c r="AF1035" s="1120"/>
      <c r="AG1035" s="1148"/>
      <c r="AH1035" s="1120"/>
      <c r="AI1035" s="1120"/>
      <c r="AJ1035" s="1120"/>
    </row>
    <row r="1036" spans="2:36" ht="30" customHeight="1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L1036" s="277"/>
      <c r="M1036" s="5"/>
      <c r="R1036" s="5"/>
      <c r="S1036" s="5"/>
      <c r="T1036" s="1120"/>
      <c r="U1036" s="5"/>
      <c r="V1036" s="5"/>
      <c r="W1036" s="5"/>
      <c r="X1036" s="1120"/>
      <c r="Y1036" s="1120"/>
      <c r="Z1036" s="5"/>
      <c r="AA1036" s="5"/>
      <c r="AB1036" s="1135"/>
      <c r="AC1036" s="5"/>
      <c r="AD1036" s="5"/>
      <c r="AE1036" s="5"/>
      <c r="AF1036" s="1120"/>
      <c r="AG1036" s="1148"/>
      <c r="AH1036" s="1120"/>
      <c r="AI1036" s="1120"/>
      <c r="AJ1036" s="1120"/>
    </row>
    <row r="1037" spans="2:36" ht="30" customHeight="1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L1037" s="277"/>
      <c r="M1037" s="5"/>
      <c r="R1037" s="5"/>
      <c r="S1037" s="5"/>
      <c r="T1037" s="1120"/>
      <c r="U1037" s="5"/>
      <c r="V1037" s="5"/>
      <c r="W1037" s="5"/>
      <c r="X1037" s="1120"/>
      <c r="Y1037" s="1120"/>
      <c r="Z1037" s="5"/>
      <c r="AA1037" s="5"/>
      <c r="AB1037" s="1135"/>
      <c r="AC1037" s="5"/>
      <c r="AD1037" s="5"/>
      <c r="AE1037" s="5"/>
      <c r="AF1037" s="1120"/>
      <c r="AG1037" s="1148"/>
      <c r="AH1037" s="1120"/>
      <c r="AI1037" s="1120"/>
      <c r="AJ1037" s="1120"/>
    </row>
    <row r="1038" spans="2:36" ht="30" customHeight="1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L1038" s="277"/>
      <c r="M1038" s="5"/>
      <c r="R1038" s="5"/>
      <c r="S1038" s="5"/>
      <c r="T1038" s="1120"/>
      <c r="U1038" s="5"/>
      <c r="V1038" s="5"/>
      <c r="W1038" s="5"/>
      <c r="X1038" s="1120"/>
      <c r="Y1038" s="1120"/>
      <c r="Z1038" s="5"/>
      <c r="AA1038" s="5"/>
      <c r="AB1038" s="1135"/>
      <c r="AC1038" s="5"/>
      <c r="AD1038" s="5"/>
      <c r="AE1038" s="5"/>
      <c r="AF1038" s="1120"/>
      <c r="AG1038" s="1148"/>
      <c r="AH1038" s="1120"/>
      <c r="AI1038" s="1120"/>
      <c r="AJ1038" s="1120"/>
    </row>
    <row r="1039" spans="2:36" ht="30" customHeight="1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L1039" s="277"/>
      <c r="M1039" s="5"/>
      <c r="R1039" s="5"/>
      <c r="S1039" s="5"/>
      <c r="T1039" s="1120"/>
      <c r="U1039" s="5"/>
      <c r="V1039" s="5"/>
      <c r="W1039" s="5"/>
      <c r="X1039" s="1120"/>
      <c r="Y1039" s="1120"/>
      <c r="Z1039" s="5"/>
      <c r="AA1039" s="5"/>
      <c r="AB1039" s="1135"/>
      <c r="AC1039" s="5"/>
      <c r="AD1039" s="5"/>
      <c r="AE1039" s="5"/>
      <c r="AF1039" s="1120"/>
      <c r="AG1039" s="1148"/>
      <c r="AH1039" s="1120"/>
      <c r="AI1039" s="1120"/>
      <c r="AJ1039" s="1120"/>
    </row>
    <row r="1040" spans="2:36" ht="30" customHeight="1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L1040" s="277"/>
      <c r="M1040" s="5"/>
      <c r="R1040" s="5"/>
      <c r="S1040" s="5"/>
      <c r="T1040" s="1120"/>
      <c r="U1040" s="5"/>
      <c r="V1040" s="5"/>
      <c r="W1040" s="5"/>
      <c r="X1040" s="1120"/>
      <c r="Y1040" s="1120"/>
      <c r="Z1040" s="5"/>
      <c r="AA1040" s="5"/>
      <c r="AB1040" s="1135"/>
      <c r="AC1040" s="5"/>
      <c r="AD1040" s="5"/>
      <c r="AE1040" s="5"/>
      <c r="AF1040" s="1120"/>
      <c r="AG1040" s="1148"/>
      <c r="AH1040" s="1120"/>
      <c r="AI1040" s="1120"/>
      <c r="AJ1040" s="1120"/>
    </row>
    <row r="1041" spans="2:36" ht="30" customHeight="1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L1041" s="277"/>
      <c r="M1041" s="5"/>
      <c r="R1041" s="5"/>
      <c r="S1041" s="5"/>
      <c r="T1041" s="1120"/>
      <c r="U1041" s="5"/>
      <c r="V1041" s="5"/>
      <c r="W1041" s="5"/>
      <c r="X1041" s="1120"/>
      <c r="Y1041" s="1120"/>
      <c r="Z1041" s="5"/>
      <c r="AA1041" s="5"/>
      <c r="AB1041" s="1135"/>
      <c r="AC1041" s="5"/>
      <c r="AD1041" s="5"/>
      <c r="AE1041" s="5"/>
      <c r="AF1041" s="1120"/>
      <c r="AG1041" s="1148"/>
      <c r="AH1041" s="1120"/>
      <c r="AI1041" s="1120"/>
      <c r="AJ1041" s="1120"/>
    </row>
    <row r="1042" spans="2:36" ht="30" customHeight="1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L1042" s="277"/>
      <c r="M1042" s="5"/>
      <c r="R1042" s="5"/>
      <c r="S1042" s="5"/>
      <c r="T1042" s="1120"/>
      <c r="U1042" s="5"/>
      <c r="V1042" s="5"/>
      <c r="W1042" s="5"/>
      <c r="X1042" s="1120"/>
      <c r="Y1042" s="1120"/>
      <c r="Z1042" s="5"/>
      <c r="AA1042" s="5"/>
      <c r="AB1042" s="1135"/>
      <c r="AC1042" s="5"/>
      <c r="AD1042" s="5"/>
      <c r="AE1042" s="5"/>
      <c r="AF1042" s="1120"/>
      <c r="AG1042" s="1148"/>
      <c r="AH1042" s="1120"/>
      <c r="AI1042" s="1120"/>
      <c r="AJ1042" s="1120"/>
    </row>
    <row r="1043" spans="2:36" ht="30" customHeight="1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L1043" s="277"/>
      <c r="M1043" s="5"/>
      <c r="R1043" s="5"/>
      <c r="S1043" s="5"/>
      <c r="T1043" s="1120"/>
      <c r="U1043" s="5"/>
      <c r="V1043" s="5"/>
      <c r="W1043" s="5"/>
      <c r="X1043" s="1120"/>
      <c r="Y1043" s="1120"/>
      <c r="Z1043" s="5"/>
      <c r="AA1043" s="5"/>
      <c r="AB1043" s="1135"/>
      <c r="AC1043" s="5"/>
      <c r="AD1043" s="5"/>
      <c r="AE1043" s="5"/>
      <c r="AF1043" s="1120"/>
      <c r="AG1043" s="1148"/>
      <c r="AH1043" s="1120"/>
      <c r="AI1043" s="1120"/>
      <c r="AJ1043" s="1120"/>
    </row>
    <row r="1044" spans="2:36" ht="30" customHeight="1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L1044" s="277"/>
      <c r="M1044" s="5"/>
      <c r="R1044" s="5"/>
      <c r="S1044" s="5"/>
      <c r="T1044" s="1120"/>
      <c r="U1044" s="5"/>
      <c r="V1044" s="5"/>
      <c r="W1044" s="5"/>
      <c r="X1044" s="1120"/>
      <c r="Y1044" s="1120"/>
      <c r="Z1044" s="5"/>
      <c r="AA1044" s="5"/>
      <c r="AB1044" s="1135"/>
      <c r="AC1044" s="5"/>
      <c r="AD1044" s="5"/>
      <c r="AE1044" s="5"/>
      <c r="AF1044" s="1120"/>
      <c r="AG1044" s="1148"/>
      <c r="AH1044" s="1120"/>
      <c r="AI1044" s="1120"/>
      <c r="AJ1044" s="1120"/>
    </row>
    <row r="1045" spans="2:36" ht="30" customHeight="1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L1045" s="277"/>
      <c r="M1045" s="5"/>
      <c r="R1045" s="5"/>
      <c r="S1045" s="5"/>
      <c r="T1045" s="1120"/>
      <c r="U1045" s="5"/>
      <c r="V1045" s="5"/>
      <c r="W1045" s="5"/>
      <c r="X1045" s="1120"/>
      <c r="Y1045" s="1120"/>
      <c r="Z1045" s="5"/>
      <c r="AA1045" s="5"/>
      <c r="AB1045" s="1135"/>
      <c r="AC1045" s="5"/>
      <c r="AD1045" s="5"/>
      <c r="AE1045" s="5"/>
      <c r="AF1045" s="1120"/>
      <c r="AG1045" s="1148"/>
      <c r="AH1045" s="1120"/>
      <c r="AI1045" s="1120"/>
      <c r="AJ1045" s="1120"/>
    </row>
    <row r="1046" spans="2:36" ht="30" customHeight="1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L1046" s="277"/>
      <c r="M1046" s="5"/>
      <c r="R1046" s="5"/>
      <c r="S1046" s="5"/>
      <c r="T1046" s="1120"/>
      <c r="U1046" s="5"/>
      <c r="V1046" s="5"/>
      <c r="W1046" s="5"/>
      <c r="X1046" s="1120"/>
      <c r="Y1046" s="1120"/>
      <c r="Z1046" s="5"/>
      <c r="AA1046" s="5"/>
      <c r="AB1046" s="1135"/>
      <c r="AC1046" s="5"/>
      <c r="AD1046" s="5"/>
      <c r="AE1046" s="5"/>
      <c r="AF1046" s="1120"/>
      <c r="AG1046" s="1148"/>
      <c r="AH1046" s="1120"/>
      <c r="AI1046" s="1120"/>
      <c r="AJ1046" s="1120"/>
    </row>
    <row r="1047" spans="2:36" ht="30" customHeight="1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L1047" s="277"/>
      <c r="M1047" s="5"/>
      <c r="R1047" s="5"/>
      <c r="S1047" s="5"/>
      <c r="T1047" s="1120"/>
      <c r="U1047" s="5"/>
      <c r="V1047" s="5"/>
      <c r="W1047" s="5"/>
      <c r="X1047" s="1120"/>
      <c r="Y1047" s="1120"/>
      <c r="Z1047" s="5"/>
      <c r="AA1047" s="5"/>
      <c r="AB1047" s="1135"/>
      <c r="AC1047" s="5"/>
      <c r="AD1047" s="5"/>
      <c r="AE1047" s="5"/>
      <c r="AF1047" s="1120"/>
      <c r="AG1047" s="1148"/>
      <c r="AH1047" s="1120"/>
      <c r="AI1047" s="1120"/>
      <c r="AJ1047" s="1120"/>
    </row>
    <row r="1048" spans="2:36" ht="30" customHeight="1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L1048" s="277"/>
      <c r="M1048" s="5"/>
      <c r="R1048" s="5"/>
      <c r="S1048" s="5"/>
      <c r="T1048" s="1120"/>
      <c r="U1048" s="5"/>
      <c r="V1048" s="5"/>
      <c r="W1048" s="5"/>
      <c r="X1048" s="1120"/>
      <c r="Y1048" s="1120"/>
      <c r="Z1048" s="5"/>
      <c r="AA1048" s="5"/>
      <c r="AB1048" s="1135"/>
      <c r="AC1048" s="5"/>
      <c r="AD1048" s="5"/>
      <c r="AE1048" s="5"/>
      <c r="AF1048" s="1120"/>
      <c r="AG1048" s="1148"/>
      <c r="AH1048" s="1120"/>
      <c r="AI1048" s="1120"/>
      <c r="AJ1048" s="1120"/>
    </row>
    <row r="1049" spans="2:36" ht="30" customHeight="1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L1049" s="277"/>
      <c r="M1049" s="5"/>
      <c r="R1049" s="5"/>
      <c r="S1049" s="5"/>
      <c r="T1049" s="1120"/>
      <c r="U1049" s="5"/>
      <c r="V1049" s="5"/>
      <c r="W1049" s="5"/>
      <c r="X1049" s="1120"/>
      <c r="Y1049" s="1120"/>
      <c r="Z1049" s="5"/>
      <c r="AA1049" s="5"/>
      <c r="AB1049" s="1135"/>
      <c r="AC1049" s="5"/>
      <c r="AD1049" s="5"/>
      <c r="AE1049" s="5"/>
      <c r="AF1049" s="1120"/>
      <c r="AG1049" s="1148"/>
      <c r="AH1049" s="1120"/>
      <c r="AI1049" s="1120"/>
      <c r="AJ1049" s="1120"/>
    </row>
    <row r="1050" spans="2:36" ht="30" customHeight="1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L1050" s="277"/>
      <c r="M1050" s="5"/>
      <c r="R1050" s="5"/>
      <c r="S1050" s="5"/>
      <c r="T1050" s="1120"/>
      <c r="U1050" s="5"/>
      <c r="V1050" s="5"/>
      <c r="W1050" s="5"/>
      <c r="X1050" s="1120"/>
      <c r="Y1050" s="1120"/>
      <c r="Z1050" s="5"/>
      <c r="AA1050" s="5"/>
      <c r="AB1050" s="1135"/>
      <c r="AC1050" s="5"/>
      <c r="AD1050" s="5"/>
      <c r="AE1050" s="5"/>
      <c r="AF1050" s="1120"/>
      <c r="AG1050" s="1148"/>
      <c r="AH1050" s="1120"/>
      <c r="AI1050" s="1120"/>
      <c r="AJ1050" s="1120"/>
    </row>
    <row r="1051" spans="2:36" ht="30" customHeight="1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L1051" s="277"/>
      <c r="M1051" s="5"/>
      <c r="R1051" s="5"/>
      <c r="S1051" s="5"/>
      <c r="T1051" s="1120"/>
      <c r="U1051" s="5"/>
      <c r="V1051" s="5"/>
      <c r="W1051" s="5"/>
      <c r="X1051" s="1120"/>
      <c r="Y1051" s="1120"/>
      <c r="Z1051" s="5"/>
      <c r="AA1051" s="5"/>
      <c r="AB1051" s="1135"/>
      <c r="AC1051" s="5"/>
      <c r="AD1051" s="5"/>
      <c r="AE1051" s="5"/>
      <c r="AF1051" s="1120"/>
      <c r="AG1051" s="1148"/>
      <c r="AH1051" s="1120"/>
      <c r="AI1051" s="1120"/>
      <c r="AJ1051" s="1120"/>
    </row>
    <row r="1052" spans="2:36" ht="30" customHeight="1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L1052" s="277"/>
      <c r="M1052" s="5"/>
      <c r="R1052" s="5"/>
      <c r="S1052" s="5"/>
      <c r="T1052" s="1120"/>
      <c r="U1052" s="5"/>
      <c r="V1052" s="5"/>
      <c r="W1052" s="5"/>
      <c r="X1052" s="1120"/>
      <c r="Y1052" s="1120"/>
      <c r="Z1052" s="5"/>
      <c r="AA1052" s="5"/>
      <c r="AB1052" s="1135"/>
      <c r="AC1052" s="5"/>
      <c r="AD1052" s="5"/>
      <c r="AE1052" s="5"/>
      <c r="AF1052" s="1120"/>
      <c r="AG1052" s="1148"/>
      <c r="AH1052" s="1120"/>
      <c r="AI1052" s="1120"/>
      <c r="AJ1052" s="1120"/>
    </row>
    <row r="1053" spans="2:36" ht="30" customHeight="1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L1053" s="277"/>
      <c r="M1053" s="5"/>
      <c r="R1053" s="5"/>
      <c r="S1053" s="5"/>
      <c r="T1053" s="1120"/>
      <c r="U1053" s="5"/>
      <c r="V1053" s="5"/>
      <c r="W1053" s="5"/>
      <c r="X1053" s="1120"/>
      <c r="Y1053" s="1120"/>
      <c r="Z1053" s="5"/>
      <c r="AA1053" s="5"/>
      <c r="AB1053" s="1135"/>
      <c r="AC1053" s="5"/>
      <c r="AD1053" s="5"/>
      <c r="AE1053" s="5"/>
      <c r="AF1053" s="1120"/>
      <c r="AG1053" s="1148"/>
      <c r="AH1053" s="1120"/>
      <c r="AI1053" s="1120"/>
      <c r="AJ1053" s="1120"/>
    </row>
    <row r="1054" spans="2:36" ht="30" customHeight="1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L1054" s="277"/>
      <c r="M1054" s="5"/>
      <c r="R1054" s="5"/>
      <c r="S1054" s="5"/>
      <c r="T1054" s="1120"/>
      <c r="U1054" s="5"/>
      <c r="V1054" s="5"/>
      <c r="W1054" s="5"/>
      <c r="X1054" s="1120"/>
      <c r="Y1054" s="1120"/>
      <c r="Z1054" s="5"/>
      <c r="AA1054" s="5"/>
      <c r="AB1054" s="1135"/>
      <c r="AC1054" s="5"/>
      <c r="AD1054" s="5"/>
      <c r="AE1054" s="5"/>
      <c r="AF1054" s="1120"/>
      <c r="AG1054" s="1148"/>
      <c r="AH1054" s="1120"/>
      <c r="AI1054" s="1120"/>
      <c r="AJ1054" s="1120"/>
    </row>
    <row r="1055" spans="2:36" ht="30" customHeight="1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L1055" s="277"/>
      <c r="M1055" s="5"/>
      <c r="R1055" s="5"/>
      <c r="S1055" s="5"/>
      <c r="T1055" s="1120"/>
      <c r="U1055" s="5"/>
      <c r="V1055" s="5"/>
      <c r="W1055" s="5"/>
      <c r="X1055" s="1120"/>
      <c r="Y1055" s="1120"/>
      <c r="Z1055" s="5"/>
      <c r="AA1055" s="5"/>
      <c r="AB1055" s="1135"/>
      <c r="AC1055" s="5"/>
      <c r="AD1055" s="5"/>
      <c r="AE1055" s="5"/>
      <c r="AF1055" s="1120"/>
      <c r="AG1055" s="1148"/>
      <c r="AH1055" s="1120"/>
      <c r="AI1055" s="1120"/>
      <c r="AJ1055" s="1120"/>
    </row>
    <row r="1056" spans="2:36" ht="30" customHeight="1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L1056" s="277"/>
      <c r="M1056" s="5"/>
      <c r="R1056" s="5"/>
      <c r="S1056" s="5"/>
      <c r="T1056" s="1120"/>
      <c r="U1056" s="5"/>
      <c r="V1056" s="5"/>
      <c r="W1056" s="5"/>
      <c r="X1056" s="1120"/>
      <c r="Y1056" s="1120"/>
      <c r="Z1056" s="5"/>
      <c r="AA1056" s="5"/>
      <c r="AB1056" s="1135"/>
      <c r="AC1056" s="5"/>
      <c r="AD1056" s="5"/>
      <c r="AE1056" s="5"/>
      <c r="AF1056" s="1120"/>
      <c r="AG1056" s="1148"/>
      <c r="AH1056" s="1120"/>
      <c r="AI1056" s="1120"/>
      <c r="AJ1056" s="1120"/>
    </row>
    <row r="1057" spans="2:36" ht="30" customHeight="1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L1057" s="277"/>
      <c r="M1057" s="5"/>
      <c r="R1057" s="5"/>
      <c r="S1057" s="5"/>
      <c r="T1057" s="1120"/>
      <c r="U1057" s="5"/>
      <c r="V1057" s="5"/>
      <c r="W1057" s="5"/>
      <c r="X1057" s="1120"/>
      <c r="Y1057" s="1120"/>
      <c r="Z1057" s="5"/>
      <c r="AA1057" s="5"/>
      <c r="AB1057" s="1135"/>
      <c r="AC1057" s="5"/>
      <c r="AD1057" s="5"/>
      <c r="AE1057" s="5"/>
      <c r="AF1057" s="1120"/>
      <c r="AG1057" s="1148"/>
      <c r="AH1057" s="1120"/>
      <c r="AI1057" s="1120"/>
      <c r="AJ1057" s="1120"/>
    </row>
    <row r="1058" spans="2:36" ht="30" customHeight="1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L1058" s="277"/>
      <c r="M1058" s="5"/>
      <c r="R1058" s="5"/>
      <c r="S1058" s="5"/>
      <c r="T1058" s="1120"/>
      <c r="U1058" s="5"/>
      <c r="V1058" s="5"/>
      <c r="W1058" s="5"/>
      <c r="X1058" s="1120"/>
      <c r="Y1058" s="1120"/>
      <c r="Z1058" s="5"/>
      <c r="AA1058" s="5"/>
      <c r="AB1058" s="1135"/>
      <c r="AC1058" s="5"/>
      <c r="AD1058" s="5"/>
      <c r="AE1058" s="5"/>
      <c r="AF1058" s="1120"/>
      <c r="AG1058" s="1148"/>
      <c r="AH1058" s="1120"/>
      <c r="AI1058" s="1120"/>
      <c r="AJ1058" s="1120"/>
    </row>
    <row r="1059" spans="2:36" ht="30" customHeight="1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L1059" s="277"/>
      <c r="M1059" s="5"/>
      <c r="R1059" s="5"/>
      <c r="S1059" s="5"/>
      <c r="T1059" s="1120"/>
      <c r="U1059" s="5"/>
      <c r="V1059" s="5"/>
      <c r="W1059" s="5"/>
      <c r="X1059" s="1120"/>
      <c r="Y1059" s="1120"/>
      <c r="Z1059" s="5"/>
      <c r="AA1059" s="5"/>
      <c r="AB1059" s="1135"/>
      <c r="AC1059" s="5"/>
      <c r="AD1059" s="5"/>
      <c r="AE1059" s="5"/>
      <c r="AF1059" s="1120"/>
      <c r="AG1059" s="1148"/>
      <c r="AH1059" s="1120"/>
      <c r="AI1059" s="1120"/>
      <c r="AJ1059" s="1120"/>
    </row>
    <row r="1060" spans="2:36" ht="30" customHeight="1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L1060" s="277"/>
      <c r="M1060" s="5"/>
      <c r="R1060" s="5"/>
      <c r="S1060" s="5"/>
      <c r="T1060" s="1120"/>
      <c r="U1060" s="5"/>
      <c r="V1060" s="5"/>
      <c r="W1060" s="5"/>
      <c r="X1060" s="1120"/>
      <c r="Y1060" s="1120"/>
      <c r="Z1060" s="5"/>
      <c r="AA1060" s="5"/>
      <c r="AB1060" s="1135"/>
      <c r="AC1060" s="5"/>
      <c r="AD1060" s="5"/>
      <c r="AE1060" s="5"/>
      <c r="AF1060" s="1120"/>
      <c r="AG1060" s="1148"/>
      <c r="AH1060" s="1120"/>
      <c r="AI1060" s="1120"/>
      <c r="AJ1060" s="1120"/>
    </row>
    <row r="1061" spans="2:36" ht="30" customHeight="1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L1061" s="277"/>
      <c r="M1061" s="5"/>
      <c r="R1061" s="5"/>
      <c r="S1061" s="5"/>
      <c r="T1061" s="1120"/>
      <c r="U1061" s="5"/>
      <c r="V1061" s="5"/>
      <c r="W1061" s="5"/>
      <c r="X1061" s="1120"/>
      <c r="Y1061" s="1120"/>
      <c r="Z1061" s="5"/>
      <c r="AA1061" s="5"/>
      <c r="AB1061" s="1135"/>
      <c r="AC1061" s="5"/>
      <c r="AD1061" s="5"/>
      <c r="AE1061" s="5"/>
      <c r="AF1061" s="1120"/>
      <c r="AG1061" s="1148"/>
      <c r="AH1061" s="1120"/>
      <c r="AI1061" s="1120"/>
      <c r="AJ1061" s="1120"/>
    </row>
    <row r="1062" spans="2:36" ht="30" customHeight="1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L1062" s="277"/>
      <c r="M1062" s="5"/>
      <c r="R1062" s="5"/>
      <c r="S1062" s="5"/>
      <c r="T1062" s="1120"/>
      <c r="U1062" s="5"/>
      <c r="V1062" s="5"/>
      <c r="W1062" s="5"/>
      <c r="X1062" s="1120"/>
      <c r="Y1062" s="1120"/>
      <c r="Z1062" s="5"/>
      <c r="AA1062" s="5"/>
      <c r="AB1062" s="1135"/>
      <c r="AC1062" s="5"/>
      <c r="AD1062" s="5"/>
      <c r="AE1062" s="5"/>
      <c r="AF1062" s="1120"/>
      <c r="AG1062" s="1148"/>
      <c r="AH1062" s="1120"/>
      <c r="AI1062" s="1120"/>
      <c r="AJ1062" s="1120"/>
    </row>
    <row r="1063" spans="2:36" ht="30" customHeight="1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L1063" s="277"/>
      <c r="M1063" s="5"/>
      <c r="R1063" s="5"/>
      <c r="S1063" s="5"/>
      <c r="T1063" s="1120"/>
      <c r="U1063" s="5"/>
      <c r="V1063" s="5"/>
      <c r="W1063" s="5"/>
      <c r="X1063" s="1120"/>
      <c r="Y1063" s="1120"/>
      <c r="Z1063" s="5"/>
      <c r="AA1063" s="5"/>
      <c r="AB1063" s="1135"/>
      <c r="AC1063" s="5"/>
      <c r="AD1063" s="5"/>
      <c r="AE1063" s="5"/>
      <c r="AF1063" s="1120"/>
      <c r="AG1063" s="1148"/>
      <c r="AH1063" s="1120"/>
      <c r="AI1063" s="1120"/>
      <c r="AJ1063" s="1120"/>
    </row>
    <row r="1064" spans="2:36" ht="30" customHeight="1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L1064" s="277"/>
      <c r="M1064" s="5"/>
      <c r="R1064" s="5"/>
      <c r="S1064" s="5"/>
      <c r="T1064" s="1120"/>
      <c r="U1064" s="5"/>
      <c r="V1064" s="5"/>
      <c r="W1064" s="5"/>
      <c r="X1064" s="1120"/>
      <c r="Y1064" s="1120"/>
      <c r="Z1064" s="5"/>
      <c r="AA1064" s="5"/>
      <c r="AB1064" s="1135"/>
      <c r="AC1064" s="5"/>
      <c r="AD1064" s="5"/>
      <c r="AE1064" s="5"/>
      <c r="AF1064" s="1120"/>
      <c r="AG1064" s="1148"/>
      <c r="AH1064" s="1120"/>
      <c r="AI1064" s="1120"/>
      <c r="AJ1064" s="1120"/>
    </row>
    <row r="1065" spans="2:36" ht="30" customHeight="1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L1065" s="277"/>
      <c r="M1065" s="5"/>
      <c r="R1065" s="5"/>
      <c r="S1065" s="5"/>
      <c r="T1065" s="1120"/>
      <c r="U1065" s="5"/>
      <c r="V1065" s="5"/>
      <c r="W1065" s="5"/>
      <c r="X1065" s="1120"/>
      <c r="Y1065" s="1120"/>
      <c r="Z1065" s="5"/>
      <c r="AA1065" s="5"/>
      <c r="AB1065" s="1135"/>
      <c r="AC1065" s="5"/>
      <c r="AD1065" s="5"/>
      <c r="AE1065" s="5"/>
      <c r="AF1065" s="1120"/>
      <c r="AG1065" s="1148"/>
      <c r="AH1065" s="1120"/>
      <c r="AI1065" s="1120"/>
      <c r="AJ1065" s="1120"/>
    </row>
    <row r="1066" spans="2:36" ht="30" customHeight="1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L1066" s="277"/>
      <c r="M1066" s="5"/>
      <c r="R1066" s="5"/>
      <c r="S1066" s="5"/>
      <c r="T1066" s="1120"/>
      <c r="U1066" s="5"/>
      <c r="V1066" s="5"/>
      <c r="W1066" s="5"/>
      <c r="X1066" s="1120"/>
      <c r="Y1066" s="1120"/>
      <c r="Z1066" s="5"/>
      <c r="AA1066" s="5"/>
      <c r="AB1066" s="1135"/>
      <c r="AC1066" s="5"/>
      <c r="AD1066" s="5"/>
      <c r="AE1066" s="5"/>
      <c r="AF1066" s="1120"/>
      <c r="AG1066" s="1148"/>
      <c r="AH1066" s="1120"/>
      <c r="AI1066" s="1120"/>
      <c r="AJ1066" s="1120"/>
    </row>
    <row r="1067" spans="2:36" ht="30" customHeight="1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L1067" s="277"/>
      <c r="M1067" s="5"/>
      <c r="R1067" s="5"/>
      <c r="S1067" s="5"/>
      <c r="T1067" s="1120"/>
      <c r="U1067" s="5"/>
      <c r="V1067" s="5"/>
      <c r="W1067" s="5"/>
      <c r="X1067" s="1120"/>
      <c r="Y1067" s="1120"/>
      <c r="Z1067" s="5"/>
      <c r="AA1067" s="5"/>
      <c r="AB1067" s="1135"/>
      <c r="AC1067" s="5"/>
      <c r="AD1067" s="5"/>
      <c r="AE1067" s="5"/>
      <c r="AF1067" s="1120"/>
      <c r="AG1067" s="1148"/>
      <c r="AH1067" s="1120"/>
      <c r="AI1067" s="1120"/>
      <c r="AJ1067" s="1120"/>
    </row>
    <row r="1068" spans="2:36" ht="30" customHeight="1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L1068" s="277"/>
      <c r="M1068" s="5"/>
      <c r="R1068" s="5"/>
      <c r="S1068" s="5"/>
      <c r="T1068" s="1120"/>
      <c r="U1068" s="5"/>
      <c r="V1068" s="5"/>
      <c r="W1068" s="5"/>
      <c r="X1068" s="1120"/>
      <c r="Y1068" s="1120"/>
      <c r="Z1068" s="5"/>
      <c r="AA1068" s="5"/>
      <c r="AB1068" s="1135"/>
      <c r="AC1068" s="5"/>
      <c r="AD1068" s="5"/>
      <c r="AE1068" s="5"/>
      <c r="AF1068" s="1120"/>
      <c r="AG1068" s="1148"/>
      <c r="AH1068" s="1120"/>
      <c r="AI1068" s="1120"/>
      <c r="AJ1068" s="1120"/>
    </row>
    <row r="1069" spans="2:36" ht="30" customHeight="1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L1069" s="277"/>
      <c r="M1069" s="5"/>
      <c r="R1069" s="5"/>
      <c r="S1069" s="5"/>
      <c r="T1069" s="1120"/>
      <c r="U1069" s="5"/>
      <c r="V1069" s="5"/>
      <c r="W1069" s="5"/>
      <c r="X1069" s="1120"/>
      <c r="Y1069" s="1120"/>
      <c r="Z1069" s="5"/>
      <c r="AA1069" s="5"/>
      <c r="AB1069" s="1135"/>
      <c r="AC1069" s="5"/>
      <c r="AD1069" s="5"/>
      <c r="AE1069" s="5"/>
      <c r="AF1069" s="1120"/>
      <c r="AG1069" s="1148"/>
      <c r="AH1069" s="1120"/>
      <c r="AI1069" s="1120"/>
      <c r="AJ1069" s="1120"/>
    </row>
    <row r="1070" spans="2:36" ht="30" customHeight="1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L1070" s="277"/>
      <c r="M1070" s="5"/>
      <c r="R1070" s="5"/>
      <c r="S1070" s="5"/>
      <c r="T1070" s="1120"/>
      <c r="U1070" s="5"/>
      <c r="V1070" s="5"/>
      <c r="W1070" s="5"/>
      <c r="X1070" s="1120"/>
      <c r="Y1070" s="1120"/>
      <c r="Z1070" s="5"/>
      <c r="AA1070" s="5"/>
      <c r="AB1070" s="1135"/>
      <c r="AC1070" s="5"/>
      <c r="AD1070" s="5"/>
      <c r="AE1070" s="5"/>
      <c r="AF1070" s="1120"/>
      <c r="AG1070" s="1148"/>
      <c r="AH1070" s="1120"/>
      <c r="AI1070" s="1120"/>
      <c r="AJ1070" s="1120"/>
    </row>
    <row r="1071" spans="2:36" ht="30" customHeight="1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L1071" s="277"/>
      <c r="M1071" s="5"/>
      <c r="R1071" s="5"/>
      <c r="S1071" s="5"/>
      <c r="T1071" s="1120"/>
      <c r="U1071" s="5"/>
      <c r="V1071" s="5"/>
      <c r="W1071" s="5"/>
      <c r="X1071" s="1120"/>
      <c r="Y1071" s="1120"/>
      <c r="Z1071" s="5"/>
      <c r="AA1071" s="5"/>
      <c r="AB1071" s="1135"/>
      <c r="AC1071" s="5"/>
      <c r="AD1071" s="5"/>
      <c r="AE1071" s="5"/>
      <c r="AF1071" s="1120"/>
      <c r="AG1071" s="1148"/>
      <c r="AH1071" s="1120"/>
      <c r="AI1071" s="1120"/>
      <c r="AJ1071" s="1120"/>
    </row>
    <row r="1072" spans="2:36" ht="30" customHeight="1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L1072" s="277"/>
      <c r="M1072" s="5"/>
      <c r="R1072" s="5"/>
      <c r="S1072" s="5"/>
      <c r="T1072" s="1120"/>
      <c r="U1072" s="5"/>
      <c r="V1072" s="5"/>
      <c r="W1072" s="5"/>
      <c r="X1072" s="1120"/>
      <c r="Y1072" s="1120"/>
      <c r="Z1072" s="5"/>
      <c r="AA1072" s="5"/>
      <c r="AB1072" s="1135"/>
      <c r="AC1072" s="5"/>
      <c r="AD1072" s="5"/>
      <c r="AE1072" s="5"/>
      <c r="AF1072" s="1120"/>
      <c r="AG1072" s="1148"/>
      <c r="AH1072" s="1120"/>
      <c r="AI1072" s="1120"/>
      <c r="AJ1072" s="1120"/>
    </row>
    <row r="1073" spans="2:36" ht="30" customHeight="1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L1073" s="277"/>
      <c r="M1073" s="5"/>
      <c r="R1073" s="5"/>
      <c r="S1073" s="5"/>
      <c r="T1073" s="1120"/>
      <c r="U1073" s="5"/>
      <c r="V1073" s="5"/>
      <c r="W1073" s="5"/>
      <c r="X1073" s="1120"/>
      <c r="Y1073" s="1120"/>
      <c r="Z1073" s="5"/>
      <c r="AA1073" s="5"/>
      <c r="AB1073" s="1135"/>
      <c r="AC1073" s="5"/>
      <c r="AD1073" s="5"/>
      <c r="AE1073" s="5"/>
      <c r="AF1073" s="1120"/>
      <c r="AG1073" s="1148"/>
      <c r="AH1073" s="1120"/>
      <c r="AI1073" s="1120"/>
      <c r="AJ1073" s="1120"/>
    </row>
    <row r="1074" spans="2:36" ht="30" customHeight="1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L1074" s="277"/>
      <c r="M1074" s="5"/>
      <c r="R1074" s="5"/>
      <c r="S1074" s="5"/>
      <c r="T1074" s="1120"/>
      <c r="U1074" s="5"/>
      <c r="V1074" s="5"/>
      <c r="W1074" s="5"/>
      <c r="X1074" s="1120"/>
      <c r="Y1074" s="1120"/>
      <c r="Z1074" s="5"/>
      <c r="AA1074" s="5"/>
      <c r="AB1074" s="1135"/>
      <c r="AC1074" s="5"/>
      <c r="AD1074" s="5"/>
      <c r="AE1074" s="5"/>
      <c r="AF1074" s="1120"/>
      <c r="AG1074" s="1148"/>
      <c r="AH1074" s="1120"/>
      <c r="AI1074" s="1120"/>
      <c r="AJ1074" s="1120"/>
    </row>
    <row r="1075" spans="2:36" ht="30" customHeight="1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L1075" s="277"/>
      <c r="M1075" s="5"/>
      <c r="R1075" s="5"/>
      <c r="S1075" s="5"/>
      <c r="T1075" s="1120"/>
      <c r="U1075" s="5"/>
      <c r="V1075" s="5"/>
      <c r="W1075" s="5"/>
      <c r="X1075" s="1120"/>
      <c r="Y1075" s="1120"/>
      <c r="Z1075" s="5"/>
      <c r="AA1075" s="5"/>
      <c r="AB1075" s="1135"/>
      <c r="AC1075" s="5"/>
      <c r="AD1075" s="5"/>
      <c r="AE1075" s="5"/>
      <c r="AF1075" s="1120"/>
      <c r="AG1075" s="1148"/>
      <c r="AH1075" s="1120"/>
      <c r="AI1075" s="1120"/>
      <c r="AJ1075" s="1120"/>
    </row>
    <row r="1076" spans="2:36" ht="30" customHeight="1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L1076" s="277"/>
      <c r="M1076" s="5"/>
      <c r="R1076" s="5"/>
      <c r="S1076" s="5"/>
      <c r="T1076" s="1120"/>
      <c r="U1076" s="5"/>
      <c r="V1076" s="5"/>
      <c r="W1076" s="5"/>
      <c r="X1076" s="1120"/>
      <c r="Y1076" s="1120"/>
      <c r="Z1076" s="5"/>
      <c r="AA1076" s="5"/>
      <c r="AB1076" s="1135"/>
      <c r="AC1076" s="5"/>
      <c r="AD1076" s="5"/>
      <c r="AE1076" s="5"/>
      <c r="AF1076" s="1120"/>
      <c r="AG1076" s="1148"/>
      <c r="AH1076" s="1120"/>
      <c r="AI1076" s="1120"/>
      <c r="AJ1076" s="1120"/>
    </row>
    <row r="1077" spans="2:36" ht="30" customHeight="1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L1077" s="277"/>
      <c r="M1077" s="5"/>
      <c r="R1077" s="5"/>
      <c r="S1077" s="5"/>
      <c r="T1077" s="1120"/>
      <c r="U1077" s="5"/>
      <c r="V1077" s="5"/>
      <c r="W1077" s="5"/>
      <c r="X1077" s="1120"/>
      <c r="Y1077" s="1120"/>
      <c r="Z1077" s="5"/>
      <c r="AA1077" s="5"/>
      <c r="AB1077" s="1135"/>
      <c r="AC1077" s="5"/>
      <c r="AD1077" s="5"/>
      <c r="AE1077" s="5"/>
      <c r="AF1077" s="1120"/>
      <c r="AG1077" s="1148"/>
      <c r="AH1077" s="1120"/>
      <c r="AI1077" s="1120"/>
      <c r="AJ1077" s="1120"/>
    </row>
    <row r="1078" spans="2:36" ht="30" customHeight="1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L1078" s="277"/>
      <c r="M1078" s="5"/>
      <c r="R1078" s="5"/>
      <c r="S1078" s="5"/>
      <c r="T1078" s="1120"/>
      <c r="U1078" s="5"/>
      <c r="V1078" s="5"/>
      <c r="W1078" s="5"/>
      <c r="X1078" s="1120"/>
      <c r="Y1078" s="1120"/>
      <c r="Z1078" s="5"/>
      <c r="AA1078" s="5"/>
      <c r="AB1078" s="1135"/>
      <c r="AC1078" s="5"/>
      <c r="AD1078" s="5"/>
      <c r="AE1078" s="5"/>
      <c r="AF1078" s="1120"/>
      <c r="AG1078" s="1148"/>
      <c r="AH1078" s="1120"/>
      <c r="AI1078" s="1120"/>
      <c r="AJ1078" s="1120"/>
    </row>
    <row r="1079" spans="2:36" ht="30" customHeight="1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L1079" s="277"/>
      <c r="M1079" s="5"/>
      <c r="R1079" s="5"/>
      <c r="S1079" s="5"/>
      <c r="T1079" s="1120"/>
      <c r="U1079" s="5"/>
      <c r="V1079" s="5"/>
      <c r="W1079" s="5"/>
      <c r="X1079" s="1120"/>
      <c r="Y1079" s="1120"/>
      <c r="Z1079" s="5"/>
      <c r="AA1079" s="5"/>
      <c r="AB1079" s="1135"/>
      <c r="AC1079" s="5"/>
      <c r="AD1079" s="5"/>
      <c r="AE1079" s="5"/>
      <c r="AF1079" s="1120"/>
      <c r="AG1079" s="1148"/>
      <c r="AH1079" s="1120"/>
      <c r="AI1079" s="1120"/>
      <c r="AJ1079" s="1120"/>
    </row>
    <row r="1080" spans="2:36" ht="30" customHeight="1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L1080" s="277"/>
      <c r="M1080" s="5"/>
      <c r="R1080" s="5"/>
      <c r="S1080" s="5"/>
      <c r="T1080" s="1120"/>
      <c r="U1080" s="5"/>
      <c r="V1080" s="5"/>
      <c r="W1080" s="5"/>
      <c r="X1080" s="1120"/>
      <c r="Y1080" s="1120"/>
      <c r="Z1080" s="5"/>
      <c r="AA1080" s="5"/>
      <c r="AB1080" s="1135"/>
      <c r="AC1080" s="5"/>
      <c r="AD1080" s="5"/>
      <c r="AE1080" s="5"/>
      <c r="AF1080" s="1120"/>
      <c r="AG1080" s="1148"/>
      <c r="AH1080" s="1120"/>
      <c r="AI1080" s="1120"/>
      <c r="AJ1080" s="1120"/>
    </row>
    <row r="1081" spans="2:36" ht="30" customHeight="1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L1081" s="277"/>
      <c r="M1081" s="5"/>
      <c r="R1081" s="5"/>
      <c r="S1081" s="5"/>
      <c r="T1081" s="1120"/>
      <c r="U1081" s="5"/>
      <c r="V1081" s="5"/>
      <c r="W1081" s="5"/>
      <c r="X1081" s="1120"/>
      <c r="Y1081" s="1120"/>
      <c r="Z1081" s="5"/>
      <c r="AA1081" s="5"/>
      <c r="AB1081" s="1135"/>
      <c r="AC1081" s="5"/>
      <c r="AD1081" s="5"/>
      <c r="AE1081" s="5"/>
      <c r="AF1081" s="1120"/>
      <c r="AG1081" s="1148"/>
      <c r="AH1081" s="1120"/>
      <c r="AI1081" s="1120"/>
      <c r="AJ1081" s="1120"/>
    </row>
    <row r="1082" spans="2:36" ht="30" customHeight="1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L1082" s="277"/>
      <c r="M1082" s="5"/>
      <c r="R1082" s="5"/>
      <c r="S1082" s="5"/>
      <c r="T1082" s="1120"/>
      <c r="U1082" s="5"/>
      <c r="V1082" s="5"/>
      <c r="W1082" s="5"/>
      <c r="X1082" s="1120"/>
      <c r="Y1082" s="1120"/>
      <c r="Z1082" s="5"/>
      <c r="AA1082" s="5"/>
      <c r="AB1082" s="1135"/>
      <c r="AC1082" s="5"/>
      <c r="AD1082" s="5"/>
      <c r="AE1082" s="5"/>
      <c r="AF1082" s="1120"/>
      <c r="AG1082" s="1148"/>
      <c r="AH1082" s="1120"/>
      <c r="AI1082" s="1120"/>
      <c r="AJ1082" s="1120"/>
    </row>
    <row r="1083" spans="2:36" ht="30" customHeight="1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L1083" s="277"/>
      <c r="M1083" s="5"/>
      <c r="R1083" s="5"/>
      <c r="S1083" s="5"/>
      <c r="T1083" s="1120"/>
      <c r="U1083" s="5"/>
      <c r="V1083" s="5"/>
      <c r="W1083" s="5"/>
      <c r="X1083" s="1120"/>
      <c r="Y1083" s="1120"/>
      <c r="Z1083" s="5"/>
      <c r="AA1083" s="5"/>
      <c r="AB1083" s="1135"/>
      <c r="AC1083" s="5"/>
      <c r="AD1083" s="5"/>
      <c r="AE1083" s="5"/>
      <c r="AF1083" s="1120"/>
      <c r="AG1083" s="1148"/>
      <c r="AH1083" s="1120"/>
      <c r="AI1083" s="1120"/>
      <c r="AJ1083" s="1120"/>
    </row>
    <row r="1084" spans="2:36" ht="30" customHeight="1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L1084" s="277"/>
      <c r="M1084" s="5"/>
      <c r="R1084" s="5"/>
      <c r="S1084" s="5"/>
      <c r="T1084" s="1120"/>
      <c r="U1084" s="5"/>
      <c r="V1084" s="5"/>
      <c r="W1084" s="5"/>
      <c r="X1084" s="1120"/>
      <c r="Y1084" s="1120"/>
      <c r="Z1084" s="5"/>
      <c r="AA1084" s="5"/>
      <c r="AB1084" s="1135"/>
      <c r="AC1084" s="5"/>
      <c r="AD1084" s="5"/>
      <c r="AE1084" s="5"/>
      <c r="AF1084" s="1120"/>
      <c r="AG1084" s="1148"/>
      <c r="AH1084" s="1120"/>
      <c r="AI1084" s="1120"/>
      <c r="AJ1084" s="1120"/>
    </row>
    <row r="1085" spans="2:36" ht="30" customHeight="1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L1085" s="277"/>
      <c r="M1085" s="5"/>
      <c r="R1085" s="5"/>
      <c r="S1085" s="5"/>
      <c r="T1085" s="1120"/>
      <c r="U1085" s="5"/>
      <c r="V1085" s="5"/>
      <c r="W1085" s="5"/>
      <c r="X1085" s="1120"/>
      <c r="Y1085" s="1120"/>
      <c r="Z1085" s="5"/>
      <c r="AA1085" s="5"/>
      <c r="AB1085" s="1135"/>
      <c r="AC1085" s="5"/>
      <c r="AD1085" s="5"/>
      <c r="AE1085" s="5"/>
      <c r="AF1085" s="1120"/>
      <c r="AG1085" s="1148"/>
      <c r="AH1085" s="1120"/>
      <c r="AI1085" s="1120"/>
      <c r="AJ1085" s="1120"/>
    </row>
    <row r="1086" spans="2:36" ht="30" customHeight="1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L1086" s="277"/>
      <c r="M1086" s="5"/>
      <c r="R1086" s="5"/>
      <c r="S1086" s="5"/>
      <c r="T1086" s="1120"/>
      <c r="U1086" s="5"/>
      <c r="V1086" s="5"/>
      <c r="W1086" s="5"/>
      <c r="X1086" s="1120"/>
      <c r="Y1086" s="1120"/>
      <c r="Z1086" s="5"/>
      <c r="AA1086" s="5"/>
      <c r="AB1086" s="1135"/>
      <c r="AC1086" s="5"/>
      <c r="AD1086" s="5"/>
      <c r="AE1086" s="5"/>
      <c r="AF1086" s="1120"/>
      <c r="AG1086" s="1148"/>
      <c r="AH1086" s="1120"/>
      <c r="AI1086" s="1120"/>
      <c r="AJ1086" s="1120"/>
    </row>
    <row r="1087" spans="2:36" ht="30" customHeight="1" x14ac:dyDescent="0.25">
      <c r="B1087" s="5"/>
      <c r="C1087" s="5"/>
      <c r="D1087" s="5"/>
      <c r="E1087" s="5"/>
      <c r="F1087" s="5"/>
      <c r="G1087" s="5"/>
      <c r="H1087" s="5"/>
      <c r="I1087" s="5"/>
      <c r="J1087" s="5"/>
      <c r="L1087" s="277"/>
      <c r="M1087" s="5"/>
      <c r="R1087" s="5"/>
      <c r="S1087" s="5"/>
      <c r="T1087" s="1120"/>
      <c r="U1087" s="5"/>
      <c r="V1087" s="5"/>
      <c r="W1087" s="5"/>
      <c r="X1087" s="1120"/>
      <c r="Y1087" s="1120"/>
      <c r="Z1087" s="5"/>
      <c r="AA1087" s="5"/>
      <c r="AB1087" s="1135"/>
      <c r="AC1087" s="5"/>
      <c r="AD1087" s="5"/>
      <c r="AE1087" s="5"/>
      <c r="AF1087" s="1120"/>
      <c r="AG1087" s="1148"/>
      <c r="AH1087" s="1120"/>
      <c r="AI1087" s="1120"/>
      <c r="AJ1087" s="1120"/>
    </row>
    <row r="1088" spans="2:36" ht="30" customHeight="1" x14ac:dyDescent="0.25">
      <c r="B1088" s="5"/>
      <c r="C1088" s="5"/>
      <c r="D1088" s="5"/>
      <c r="E1088" s="5"/>
      <c r="F1088" s="5"/>
      <c r="G1088" s="5"/>
      <c r="H1088" s="5"/>
      <c r="I1088" s="5"/>
      <c r="J1088" s="5"/>
      <c r="L1088" s="277"/>
      <c r="M1088" s="5"/>
      <c r="R1088" s="5"/>
      <c r="S1088" s="5"/>
      <c r="T1088" s="1120"/>
      <c r="U1088" s="5"/>
      <c r="V1088" s="5"/>
      <c r="W1088" s="5"/>
      <c r="X1088" s="1120"/>
      <c r="Y1088" s="1120"/>
      <c r="Z1088" s="5"/>
      <c r="AA1088" s="5"/>
      <c r="AB1088" s="1135"/>
      <c r="AC1088" s="5"/>
      <c r="AD1088" s="5"/>
      <c r="AE1088" s="5"/>
      <c r="AF1088" s="1120"/>
      <c r="AG1088" s="1148"/>
      <c r="AH1088" s="1120"/>
      <c r="AI1088" s="1120"/>
      <c r="AJ1088" s="1120"/>
    </row>
    <row r="1089" spans="2:36" ht="30" customHeight="1" x14ac:dyDescent="0.25">
      <c r="B1089" s="5"/>
      <c r="C1089" s="5"/>
      <c r="D1089" s="5"/>
      <c r="E1089" s="5"/>
      <c r="F1089" s="5"/>
      <c r="G1089" s="5"/>
      <c r="H1089" s="5"/>
      <c r="I1089" s="5"/>
      <c r="J1089" s="5"/>
      <c r="L1089" s="277"/>
      <c r="M1089" s="5"/>
      <c r="R1089" s="5"/>
      <c r="S1089" s="5"/>
      <c r="T1089" s="1120"/>
      <c r="U1089" s="5"/>
      <c r="V1089" s="5"/>
      <c r="W1089" s="5"/>
      <c r="X1089" s="1120"/>
      <c r="Y1089" s="1120"/>
      <c r="Z1089" s="5"/>
      <c r="AA1089" s="5"/>
      <c r="AB1089" s="1135"/>
      <c r="AC1089" s="5"/>
      <c r="AD1089" s="5"/>
      <c r="AE1089" s="5"/>
      <c r="AF1089" s="1120"/>
      <c r="AG1089" s="1148"/>
      <c r="AH1089" s="1120"/>
      <c r="AI1089" s="1120"/>
      <c r="AJ1089" s="1120"/>
    </row>
    <row r="1090" spans="2:36" ht="30" customHeight="1" x14ac:dyDescent="0.25">
      <c r="B1090" s="5"/>
      <c r="C1090" s="5"/>
      <c r="D1090" s="5"/>
      <c r="E1090" s="5"/>
      <c r="F1090" s="5"/>
      <c r="G1090" s="5"/>
      <c r="H1090" s="5"/>
      <c r="I1090" s="5"/>
      <c r="J1090" s="5"/>
      <c r="L1090" s="277"/>
      <c r="M1090" s="5"/>
      <c r="R1090" s="5"/>
      <c r="S1090" s="5"/>
      <c r="T1090" s="1120"/>
      <c r="U1090" s="5"/>
      <c r="V1090" s="5"/>
      <c r="W1090" s="5"/>
      <c r="X1090" s="1120"/>
      <c r="Y1090" s="1120"/>
      <c r="Z1090" s="5"/>
      <c r="AA1090" s="5"/>
      <c r="AB1090" s="1135"/>
      <c r="AC1090" s="5"/>
      <c r="AD1090" s="5"/>
      <c r="AE1090" s="5"/>
      <c r="AF1090" s="1120"/>
      <c r="AG1090" s="1148"/>
      <c r="AH1090" s="1120"/>
      <c r="AI1090" s="1120"/>
      <c r="AJ1090" s="1120"/>
    </row>
    <row r="1091" spans="2:36" ht="30" customHeight="1" x14ac:dyDescent="0.25">
      <c r="B1091" s="5"/>
      <c r="C1091" s="5"/>
      <c r="D1091" s="5"/>
      <c r="E1091" s="5"/>
      <c r="F1091" s="5"/>
      <c r="G1091" s="5"/>
      <c r="H1091" s="5"/>
      <c r="I1091" s="5"/>
      <c r="J1091" s="5"/>
      <c r="L1091" s="277"/>
      <c r="M1091" s="5"/>
      <c r="R1091" s="5"/>
      <c r="S1091" s="5"/>
      <c r="T1091" s="1120"/>
      <c r="U1091" s="5"/>
      <c r="V1091" s="5"/>
      <c r="W1091" s="5"/>
      <c r="X1091" s="1120"/>
      <c r="Y1091" s="1120"/>
      <c r="Z1091" s="5"/>
      <c r="AA1091" s="5"/>
      <c r="AB1091" s="1135"/>
      <c r="AC1091" s="5"/>
      <c r="AD1091" s="5"/>
      <c r="AE1091" s="5"/>
      <c r="AF1091" s="1120"/>
      <c r="AG1091" s="1148"/>
      <c r="AH1091" s="1120"/>
      <c r="AI1091" s="1120"/>
      <c r="AJ1091" s="1120"/>
    </row>
    <row r="1092" spans="2:36" ht="30" customHeight="1" x14ac:dyDescent="0.25">
      <c r="B1092" s="5"/>
      <c r="C1092" s="5"/>
      <c r="D1092" s="5"/>
      <c r="E1092" s="5"/>
      <c r="F1092" s="5"/>
      <c r="G1092" s="5"/>
      <c r="H1092" s="5"/>
      <c r="I1092" s="5"/>
      <c r="J1092" s="5"/>
      <c r="L1092" s="277"/>
      <c r="M1092" s="5"/>
      <c r="R1092" s="5"/>
      <c r="S1092" s="5"/>
      <c r="T1092" s="1120"/>
      <c r="U1092" s="5"/>
      <c r="V1092" s="5"/>
      <c r="W1092" s="5"/>
      <c r="X1092" s="1120"/>
      <c r="Y1092" s="1120"/>
      <c r="Z1092" s="5"/>
      <c r="AA1092" s="5"/>
      <c r="AB1092" s="1135"/>
      <c r="AC1092" s="5"/>
      <c r="AD1092" s="5"/>
      <c r="AE1092" s="5"/>
      <c r="AF1092" s="1120"/>
      <c r="AG1092" s="1148"/>
      <c r="AH1092" s="1120"/>
      <c r="AI1092" s="1120"/>
      <c r="AJ1092" s="1120"/>
    </row>
    <row r="1093" spans="2:36" ht="30" customHeight="1" x14ac:dyDescent="0.25">
      <c r="B1093" s="5"/>
      <c r="C1093" s="5"/>
      <c r="D1093" s="5"/>
      <c r="E1093" s="5"/>
      <c r="F1093" s="5"/>
      <c r="G1093" s="5"/>
      <c r="H1093" s="5"/>
      <c r="I1093" s="5"/>
      <c r="J1093" s="5"/>
      <c r="L1093" s="277"/>
      <c r="M1093" s="5"/>
      <c r="R1093" s="5"/>
      <c r="S1093" s="5"/>
      <c r="T1093" s="1120"/>
      <c r="U1093" s="5"/>
      <c r="V1093" s="5"/>
      <c r="W1093" s="5"/>
      <c r="X1093" s="1120"/>
      <c r="Y1093" s="1120"/>
      <c r="Z1093" s="5"/>
      <c r="AA1093" s="5"/>
      <c r="AB1093" s="1135"/>
      <c r="AC1093" s="5"/>
      <c r="AD1093" s="5"/>
      <c r="AE1093" s="5"/>
      <c r="AF1093" s="1120"/>
      <c r="AG1093" s="1148"/>
      <c r="AH1093" s="1120"/>
      <c r="AI1093" s="1120"/>
      <c r="AJ1093" s="1120"/>
    </row>
    <row r="1094" spans="2:36" ht="30" customHeight="1" x14ac:dyDescent="0.25">
      <c r="B1094" s="5"/>
      <c r="C1094" s="5"/>
      <c r="D1094" s="5"/>
      <c r="E1094" s="5"/>
      <c r="F1094" s="5"/>
      <c r="G1094" s="5"/>
      <c r="H1094" s="5"/>
      <c r="I1094" s="5"/>
      <c r="J1094" s="5"/>
      <c r="L1094" s="277"/>
      <c r="M1094" s="5"/>
      <c r="R1094" s="5"/>
      <c r="S1094" s="5"/>
      <c r="T1094" s="1120"/>
      <c r="U1094" s="5"/>
      <c r="V1094" s="5"/>
      <c r="W1094" s="5"/>
      <c r="X1094" s="1120"/>
      <c r="Y1094" s="1120"/>
      <c r="Z1094" s="5"/>
      <c r="AA1094" s="5"/>
      <c r="AB1094" s="1135"/>
      <c r="AC1094" s="5"/>
      <c r="AD1094" s="5"/>
      <c r="AE1094" s="5"/>
      <c r="AF1094" s="1120"/>
      <c r="AG1094" s="1148"/>
      <c r="AH1094" s="1120"/>
      <c r="AI1094" s="1120"/>
      <c r="AJ1094" s="1120"/>
    </row>
    <row r="1095" spans="2:36" ht="30" customHeight="1" x14ac:dyDescent="0.25">
      <c r="B1095" s="5"/>
      <c r="C1095" s="5"/>
      <c r="D1095" s="5"/>
      <c r="E1095" s="5"/>
      <c r="F1095" s="5"/>
      <c r="G1095" s="5"/>
      <c r="H1095" s="5"/>
      <c r="I1095" s="5"/>
      <c r="J1095" s="5"/>
      <c r="L1095" s="277"/>
      <c r="M1095" s="5"/>
      <c r="R1095" s="5"/>
      <c r="S1095" s="5"/>
      <c r="T1095" s="1120"/>
      <c r="U1095" s="5"/>
      <c r="V1095" s="5"/>
      <c r="W1095" s="5"/>
      <c r="X1095" s="1120"/>
      <c r="Y1095" s="1120"/>
      <c r="Z1095" s="5"/>
      <c r="AA1095" s="5"/>
      <c r="AB1095" s="1135"/>
      <c r="AC1095" s="5"/>
      <c r="AD1095" s="5"/>
      <c r="AE1095" s="5"/>
      <c r="AF1095" s="1120"/>
      <c r="AG1095" s="1148"/>
      <c r="AH1095" s="1120"/>
      <c r="AI1095" s="1120"/>
      <c r="AJ1095" s="1120"/>
    </row>
    <row r="1096" spans="2:36" ht="30" customHeight="1" x14ac:dyDescent="0.25">
      <c r="B1096" s="5"/>
      <c r="C1096" s="5"/>
      <c r="D1096" s="5"/>
      <c r="E1096" s="5"/>
      <c r="F1096" s="5"/>
      <c r="G1096" s="5"/>
      <c r="H1096" s="5"/>
      <c r="I1096" s="5"/>
      <c r="J1096" s="5"/>
      <c r="L1096" s="277"/>
      <c r="M1096" s="5"/>
      <c r="R1096" s="5"/>
      <c r="S1096" s="5"/>
      <c r="T1096" s="1120"/>
      <c r="U1096" s="5"/>
      <c r="V1096" s="5"/>
      <c r="W1096" s="5"/>
      <c r="X1096" s="1120"/>
      <c r="Y1096" s="1120"/>
      <c r="Z1096" s="5"/>
      <c r="AA1096" s="5"/>
      <c r="AB1096" s="1135"/>
      <c r="AC1096" s="5"/>
      <c r="AD1096" s="5"/>
      <c r="AE1096" s="5"/>
      <c r="AF1096" s="1120"/>
      <c r="AG1096" s="1148"/>
      <c r="AH1096" s="1120"/>
      <c r="AI1096" s="1120"/>
      <c r="AJ1096" s="1120"/>
    </row>
    <row r="1097" spans="2:36" ht="30" customHeight="1" x14ac:dyDescent="0.25">
      <c r="B1097" s="5"/>
      <c r="C1097" s="5"/>
      <c r="D1097" s="5"/>
      <c r="E1097" s="5"/>
      <c r="F1097" s="5"/>
      <c r="G1097" s="5"/>
      <c r="H1097" s="5"/>
      <c r="I1097" s="5"/>
      <c r="J1097" s="5"/>
      <c r="L1097" s="277"/>
      <c r="M1097" s="5"/>
      <c r="R1097" s="5"/>
      <c r="S1097" s="5"/>
      <c r="T1097" s="1120"/>
      <c r="U1097" s="5"/>
      <c r="V1097" s="5"/>
      <c r="W1097" s="5"/>
      <c r="X1097" s="1120"/>
      <c r="Y1097" s="1120"/>
      <c r="Z1097" s="5"/>
      <c r="AA1097" s="5"/>
      <c r="AB1097" s="1135"/>
      <c r="AC1097" s="5"/>
      <c r="AD1097" s="5"/>
      <c r="AE1097" s="5"/>
      <c r="AF1097" s="1120"/>
      <c r="AG1097" s="1148"/>
      <c r="AH1097" s="1120"/>
      <c r="AI1097" s="1120"/>
      <c r="AJ1097" s="1120"/>
    </row>
    <row r="1098" spans="2:36" ht="30" customHeight="1" x14ac:dyDescent="0.25">
      <c r="B1098" s="5"/>
      <c r="C1098" s="5"/>
      <c r="D1098" s="5"/>
      <c r="E1098" s="5"/>
      <c r="F1098" s="5"/>
      <c r="G1098" s="5"/>
      <c r="H1098" s="5"/>
      <c r="I1098" s="5"/>
      <c r="J1098" s="5"/>
      <c r="L1098" s="277"/>
      <c r="M1098" s="5"/>
      <c r="R1098" s="5"/>
      <c r="S1098" s="5"/>
      <c r="T1098" s="1120"/>
      <c r="U1098" s="5"/>
      <c r="V1098" s="5"/>
      <c r="W1098" s="5"/>
      <c r="X1098" s="1120"/>
      <c r="Y1098" s="1120"/>
      <c r="Z1098" s="5"/>
      <c r="AA1098" s="5"/>
      <c r="AB1098" s="1135"/>
      <c r="AC1098" s="5"/>
      <c r="AD1098" s="5"/>
      <c r="AE1098" s="5"/>
      <c r="AF1098" s="1120"/>
      <c r="AG1098" s="1148"/>
      <c r="AH1098" s="1120"/>
      <c r="AI1098" s="1120"/>
      <c r="AJ1098" s="1120"/>
    </row>
    <row r="1099" spans="2:36" ht="30" customHeight="1" x14ac:dyDescent="0.25">
      <c r="B1099" s="5"/>
      <c r="C1099" s="5"/>
      <c r="D1099" s="5"/>
      <c r="E1099" s="5"/>
      <c r="F1099" s="5"/>
      <c r="G1099" s="5"/>
      <c r="H1099" s="5"/>
      <c r="I1099" s="5"/>
      <c r="J1099" s="5"/>
      <c r="L1099" s="277"/>
      <c r="M1099" s="5"/>
      <c r="R1099" s="5"/>
      <c r="S1099" s="5"/>
      <c r="T1099" s="1120"/>
      <c r="U1099" s="5"/>
      <c r="V1099" s="5"/>
      <c r="W1099" s="5"/>
      <c r="X1099" s="1120"/>
      <c r="Y1099" s="1120"/>
      <c r="Z1099" s="5"/>
      <c r="AA1099" s="5"/>
      <c r="AB1099" s="1135"/>
      <c r="AC1099" s="5"/>
      <c r="AD1099" s="5"/>
      <c r="AE1099" s="5"/>
      <c r="AF1099" s="1120"/>
      <c r="AG1099" s="1148"/>
      <c r="AH1099" s="1120"/>
      <c r="AI1099" s="1120"/>
      <c r="AJ1099" s="1120"/>
    </row>
    <row r="1100" spans="2:36" ht="30" customHeight="1" x14ac:dyDescent="0.25">
      <c r="B1100" s="5"/>
      <c r="C1100" s="5"/>
      <c r="D1100" s="5"/>
      <c r="E1100" s="5"/>
      <c r="F1100" s="5"/>
      <c r="G1100" s="5"/>
      <c r="H1100" s="5"/>
      <c r="I1100" s="5"/>
      <c r="J1100" s="5"/>
      <c r="L1100" s="277"/>
      <c r="M1100" s="5"/>
      <c r="R1100" s="5"/>
      <c r="S1100" s="5"/>
      <c r="T1100" s="1120"/>
      <c r="U1100" s="5"/>
      <c r="V1100" s="5"/>
      <c r="W1100" s="5"/>
      <c r="X1100" s="1120"/>
      <c r="Y1100" s="1120"/>
      <c r="Z1100" s="5"/>
      <c r="AA1100" s="5"/>
      <c r="AB1100" s="1135"/>
      <c r="AC1100" s="5"/>
      <c r="AD1100" s="5"/>
      <c r="AE1100" s="5"/>
      <c r="AF1100" s="1120"/>
      <c r="AG1100" s="1148"/>
      <c r="AH1100" s="1120"/>
      <c r="AI1100" s="1120"/>
      <c r="AJ1100" s="1120"/>
    </row>
    <row r="1101" spans="2:36" ht="30" customHeight="1" x14ac:dyDescent="0.25">
      <c r="B1101" s="5"/>
      <c r="C1101" s="5"/>
      <c r="D1101" s="5"/>
      <c r="E1101" s="5"/>
      <c r="F1101" s="5"/>
      <c r="G1101" s="5"/>
      <c r="H1101" s="5"/>
      <c r="I1101" s="5"/>
      <c r="J1101" s="5"/>
      <c r="L1101" s="277"/>
      <c r="M1101" s="5"/>
      <c r="R1101" s="5"/>
      <c r="S1101" s="5"/>
      <c r="T1101" s="1120"/>
      <c r="U1101" s="5"/>
      <c r="V1101" s="5"/>
      <c r="W1101" s="5"/>
      <c r="X1101" s="1120"/>
      <c r="Y1101" s="1120"/>
      <c r="Z1101" s="5"/>
      <c r="AA1101" s="5"/>
      <c r="AB1101" s="1135"/>
      <c r="AC1101" s="5"/>
      <c r="AD1101" s="5"/>
      <c r="AE1101" s="5"/>
      <c r="AF1101" s="1120"/>
      <c r="AG1101" s="1148"/>
      <c r="AH1101" s="1120"/>
      <c r="AI1101" s="1120"/>
      <c r="AJ1101" s="1120"/>
    </row>
    <row r="1102" spans="2:36" ht="30" customHeight="1" x14ac:dyDescent="0.25">
      <c r="B1102" s="5"/>
      <c r="C1102" s="5"/>
      <c r="D1102" s="5"/>
      <c r="E1102" s="5"/>
      <c r="F1102" s="5"/>
      <c r="G1102" s="5"/>
      <c r="H1102" s="5"/>
      <c r="I1102" s="5"/>
      <c r="J1102" s="5"/>
      <c r="L1102" s="277"/>
      <c r="M1102" s="5"/>
      <c r="R1102" s="5"/>
      <c r="S1102" s="5"/>
      <c r="T1102" s="1120"/>
      <c r="U1102" s="5"/>
      <c r="V1102" s="5"/>
      <c r="W1102" s="5"/>
      <c r="X1102" s="1120"/>
      <c r="Y1102" s="1120"/>
      <c r="Z1102" s="5"/>
      <c r="AA1102" s="5"/>
      <c r="AB1102" s="1135"/>
      <c r="AC1102" s="5"/>
      <c r="AD1102" s="5"/>
      <c r="AE1102" s="5"/>
      <c r="AF1102" s="1120"/>
      <c r="AG1102" s="1148"/>
      <c r="AH1102" s="1120"/>
      <c r="AI1102" s="1120"/>
      <c r="AJ1102" s="1120"/>
    </row>
    <row r="1103" spans="2:36" ht="30" customHeight="1" x14ac:dyDescent="0.25">
      <c r="B1103" s="5"/>
      <c r="C1103" s="5"/>
      <c r="D1103" s="5"/>
      <c r="E1103" s="5"/>
      <c r="F1103" s="5"/>
      <c r="G1103" s="5"/>
      <c r="H1103" s="5"/>
      <c r="I1103" s="5"/>
      <c r="J1103" s="5"/>
      <c r="L1103" s="277"/>
      <c r="M1103" s="5"/>
      <c r="R1103" s="5"/>
      <c r="S1103" s="5"/>
      <c r="T1103" s="1120"/>
      <c r="U1103" s="5"/>
      <c r="V1103" s="5"/>
      <c r="W1103" s="5"/>
      <c r="X1103" s="1120"/>
      <c r="Y1103" s="1120"/>
      <c r="Z1103" s="5"/>
      <c r="AA1103" s="5"/>
      <c r="AB1103" s="1135"/>
      <c r="AC1103" s="5"/>
      <c r="AD1103" s="5"/>
      <c r="AE1103" s="5"/>
      <c r="AF1103" s="1120"/>
      <c r="AG1103" s="1148"/>
      <c r="AH1103" s="1120"/>
      <c r="AI1103" s="1120"/>
      <c r="AJ1103" s="1120"/>
    </row>
    <row r="1104" spans="2:36" ht="30" customHeight="1" x14ac:dyDescent="0.25">
      <c r="B1104" s="5"/>
      <c r="C1104" s="5"/>
      <c r="D1104" s="5"/>
      <c r="E1104" s="5"/>
      <c r="F1104" s="5"/>
      <c r="G1104" s="5"/>
      <c r="H1104" s="5"/>
      <c r="I1104" s="5"/>
      <c r="J1104" s="5"/>
      <c r="L1104" s="277"/>
      <c r="M1104" s="5"/>
      <c r="R1104" s="5"/>
      <c r="S1104" s="5"/>
      <c r="T1104" s="1120"/>
      <c r="U1104" s="5"/>
      <c r="V1104" s="5"/>
      <c r="W1104" s="5"/>
      <c r="X1104" s="1120"/>
      <c r="Y1104" s="1120"/>
      <c r="Z1104" s="5"/>
      <c r="AA1104" s="5"/>
      <c r="AB1104" s="1135"/>
      <c r="AC1104" s="5"/>
      <c r="AD1104" s="5"/>
      <c r="AE1104" s="5"/>
      <c r="AF1104" s="1120"/>
      <c r="AG1104" s="1148"/>
      <c r="AH1104" s="1120"/>
      <c r="AI1104" s="1120"/>
      <c r="AJ1104" s="1120"/>
    </row>
    <row r="1105" spans="2:36" ht="30" customHeight="1" x14ac:dyDescent="0.25">
      <c r="B1105" s="5"/>
      <c r="C1105" s="5"/>
      <c r="D1105" s="5"/>
      <c r="E1105" s="5"/>
      <c r="F1105" s="5"/>
      <c r="G1105" s="5"/>
      <c r="H1105" s="5"/>
      <c r="I1105" s="5"/>
      <c r="J1105" s="5"/>
      <c r="L1105" s="277"/>
      <c r="M1105" s="5"/>
      <c r="R1105" s="5"/>
      <c r="S1105" s="5"/>
      <c r="T1105" s="1120"/>
      <c r="U1105" s="5"/>
      <c r="V1105" s="5"/>
      <c r="W1105" s="5"/>
      <c r="X1105" s="1120"/>
      <c r="Y1105" s="1120"/>
      <c r="Z1105" s="5"/>
      <c r="AA1105" s="5"/>
      <c r="AB1105" s="1135"/>
      <c r="AC1105" s="5"/>
      <c r="AD1105" s="5"/>
      <c r="AE1105" s="5"/>
      <c r="AF1105" s="1120"/>
      <c r="AG1105" s="1148"/>
      <c r="AH1105" s="1120"/>
      <c r="AI1105" s="1120"/>
      <c r="AJ1105" s="1120"/>
    </row>
    <row r="1106" spans="2:36" ht="30" customHeight="1" x14ac:dyDescent="0.25">
      <c r="B1106" s="5"/>
      <c r="C1106" s="5"/>
      <c r="D1106" s="5"/>
      <c r="E1106" s="5"/>
      <c r="F1106" s="5"/>
      <c r="G1106" s="5"/>
      <c r="H1106" s="5"/>
      <c r="I1106" s="5"/>
      <c r="J1106" s="5"/>
      <c r="L1106" s="277"/>
      <c r="M1106" s="5"/>
      <c r="R1106" s="5"/>
      <c r="S1106" s="5"/>
      <c r="T1106" s="1120"/>
      <c r="U1106" s="5"/>
      <c r="V1106" s="5"/>
      <c r="W1106" s="5"/>
      <c r="X1106" s="1120"/>
      <c r="Y1106" s="1120"/>
      <c r="Z1106" s="5"/>
      <c r="AA1106" s="5"/>
      <c r="AB1106" s="1135"/>
      <c r="AC1106" s="5"/>
      <c r="AD1106" s="5"/>
      <c r="AE1106" s="5"/>
      <c r="AF1106" s="1120"/>
      <c r="AG1106" s="1148"/>
      <c r="AH1106" s="1120"/>
      <c r="AI1106" s="1120"/>
      <c r="AJ1106" s="1120"/>
    </row>
    <row r="1107" spans="2:36" ht="30" customHeight="1" x14ac:dyDescent="0.25">
      <c r="B1107" s="5"/>
      <c r="C1107" s="5"/>
      <c r="D1107" s="5"/>
      <c r="E1107" s="5"/>
      <c r="F1107" s="5"/>
      <c r="G1107" s="5"/>
      <c r="H1107" s="5"/>
      <c r="I1107" s="5"/>
      <c r="J1107" s="5"/>
      <c r="L1107" s="277"/>
      <c r="M1107" s="5"/>
      <c r="R1107" s="5"/>
      <c r="S1107" s="5"/>
      <c r="T1107" s="1120"/>
      <c r="U1107" s="5"/>
      <c r="V1107" s="5"/>
      <c r="W1107" s="5"/>
      <c r="X1107" s="1120"/>
      <c r="Y1107" s="1120"/>
      <c r="Z1107" s="5"/>
      <c r="AA1107" s="5"/>
      <c r="AB1107" s="1135"/>
      <c r="AC1107" s="5"/>
      <c r="AD1107" s="5"/>
      <c r="AE1107" s="5"/>
      <c r="AF1107" s="1120"/>
      <c r="AG1107" s="1148"/>
      <c r="AH1107" s="1120"/>
      <c r="AI1107" s="1120"/>
      <c r="AJ1107" s="1120"/>
    </row>
    <row r="1108" spans="2:36" ht="30" customHeight="1" x14ac:dyDescent="0.25">
      <c r="B1108" s="5"/>
      <c r="C1108" s="5"/>
      <c r="D1108" s="5"/>
      <c r="E1108" s="5"/>
      <c r="F1108" s="5"/>
      <c r="G1108" s="5"/>
      <c r="H1108" s="5"/>
      <c r="I1108" s="5"/>
      <c r="J1108" s="5"/>
      <c r="L1108" s="277"/>
      <c r="M1108" s="5"/>
      <c r="R1108" s="5"/>
      <c r="S1108" s="5"/>
      <c r="T1108" s="1120"/>
      <c r="U1108" s="5"/>
      <c r="V1108" s="5"/>
      <c r="W1108" s="5"/>
      <c r="X1108" s="1120"/>
      <c r="Y1108" s="1120"/>
      <c r="Z1108" s="5"/>
      <c r="AA1108" s="5"/>
      <c r="AB1108" s="1135"/>
      <c r="AC1108" s="5"/>
      <c r="AD1108" s="5"/>
      <c r="AE1108" s="5"/>
      <c r="AF1108" s="1120"/>
      <c r="AG1108" s="1148"/>
      <c r="AH1108" s="1120"/>
      <c r="AI1108" s="1120"/>
      <c r="AJ1108" s="1120"/>
    </row>
    <row r="1109" spans="2:36" ht="30" customHeight="1" x14ac:dyDescent="0.25">
      <c r="B1109" s="5"/>
      <c r="C1109" s="5"/>
      <c r="D1109" s="5"/>
      <c r="E1109" s="5"/>
      <c r="F1109" s="5"/>
      <c r="G1109" s="5"/>
      <c r="H1109" s="5"/>
      <c r="I1109" s="5"/>
      <c r="J1109" s="5"/>
      <c r="L1109" s="277"/>
      <c r="M1109" s="5"/>
      <c r="R1109" s="5"/>
      <c r="S1109" s="5"/>
      <c r="T1109" s="1120"/>
      <c r="U1109" s="5"/>
      <c r="V1109" s="5"/>
      <c r="W1109" s="5"/>
      <c r="X1109" s="1120"/>
      <c r="Y1109" s="1120"/>
      <c r="Z1109" s="5"/>
      <c r="AA1109" s="5"/>
      <c r="AB1109" s="1135"/>
      <c r="AC1109" s="5"/>
      <c r="AD1109" s="5"/>
      <c r="AE1109" s="5"/>
      <c r="AF1109" s="1120"/>
      <c r="AG1109" s="1148"/>
      <c r="AH1109" s="1120"/>
      <c r="AI1109" s="1120"/>
      <c r="AJ1109" s="1120"/>
    </row>
    <row r="1110" spans="2:36" ht="30" customHeight="1" x14ac:dyDescent="0.25">
      <c r="B1110" s="5"/>
      <c r="C1110" s="5"/>
      <c r="D1110" s="5"/>
      <c r="E1110" s="5"/>
      <c r="F1110" s="5"/>
      <c r="G1110" s="5"/>
      <c r="H1110" s="5"/>
      <c r="I1110" s="5"/>
      <c r="J1110" s="5"/>
      <c r="L1110" s="277"/>
      <c r="M1110" s="5"/>
      <c r="R1110" s="5"/>
      <c r="S1110" s="5"/>
      <c r="T1110" s="1120"/>
      <c r="U1110" s="5"/>
      <c r="V1110" s="5"/>
      <c r="W1110" s="5"/>
      <c r="X1110" s="1120"/>
      <c r="Y1110" s="1120"/>
      <c r="Z1110" s="5"/>
      <c r="AA1110" s="5"/>
      <c r="AB1110" s="1135"/>
      <c r="AC1110" s="5"/>
      <c r="AD1110" s="5"/>
      <c r="AE1110" s="5"/>
      <c r="AF1110" s="1120"/>
      <c r="AG1110" s="1148"/>
      <c r="AH1110" s="1120"/>
      <c r="AI1110" s="1120"/>
      <c r="AJ1110" s="1120"/>
    </row>
    <row r="1111" spans="2:36" ht="30" customHeight="1" x14ac:dyDescent="0.25">
      <c r="B1111" s="5"/>
      <c r="C1111" s="5"/>
      <c r="D1111" s="5"/>
      <c r="E1111" s="5"/>
      <c r="F1111" s="5"/>
      <c r="G1111" s="5"/>
      <c r="H1111" s="5"/>
      <c r="I1111" s="5"/>
      <c r="J1111" s="5"/>
      <c r="L1111" s="277"/>
      <c r="M1111" s="5"/>
      <c r="R1111" s="5"/>
      <c r="S1111" s="5"/>
      <c r="T1111" s="1120"/>
      <c r="U1111" s="5"/>
      <c r="V1111" s="5"/>
      <c r="W1111" s="5"/>
      <c r="X1111" s="1120"/>
      <c r="Y1111" s="1120"/>
      <c r="Z1111" s="5"/>
      <c r="AA1111" s="5"/>
      <c r="AB1111" s="1135"/>
      <c r="AC1111" s="5"/>
      <c r="AD1111" s="5"/>
      <c r="AE1111" s="5"/>
      <c r="AF1111" s="1120"/>
      <c r="AG1111" s="1148"/>
      <c r="AH1111" s="1120"/>
      <c r="AI1111" s="1120"/>
      <c r="AJ1111" s="1120"/>
    </row>
    <row r="1112" spans="2:36" ht="30" customHeight="1" x14ac:dyDescent="0.25">
      <c r="B1112" s="5"/>
      <c r="C1112" s="5"/>
      <c r="D1112" s="5"/>
      <c r="E1112" s="5"/>
      <c r="F1112" s="5"/>
      <c r="G1112" s="5"/>
      <c r="H1112" s="5"/>
      <c r="I1112" s="5"/>
      <c r="J1112" s="5"/>
      <c r="L1112" s="277"/>
      <c r="M1112" s="5"/>
      <c r="R1112" s="5"/>
      <c r="S1112" s="5"/>
      <c r="T1112" s="1120"/>
      <c r="U1112" s="5"/>
      <c r="V1112" s="5"/>
      <c r="W1112" s="5"/>
      <c r="X1112" s="1120"/>
      <c r="Y1112" s="1120"/>
      <c r="Z1112" s="5"/>
      <c r="AA1112" s="5"/>
      <c r="AB1112" s="1135"/>
      <c r="AC1112" s="5"/>
      <c r="AD1112" s="5"/>
      <c r="AE1112" s="5"/>
      <c r="AF1112" s="1120"/>
      <c r="AG1112" s="1148"/>
      <c r="AH1112" s="1120"/>
      <c r="AI1112" s="1120"/>
      <c r="AJ1112" s="1120"/>
    </row>
    <row r="1113" spans="2:36" ht="30" customHeight="1" x14ac:dyDescent="0.25">
      <c r="B1113" s="5"/>
      <c r="C1113" s="5"/>
      <c r="D1113" s="5"/>
      <c r="E1113" s="5"/>
      <c r="F1113" s="5"/>
      <c r="G1113" s="5"/>
      <c r="H1113" s="5"/>
      <c r="I1113" s="5"/>
      <c r="J1113" s="5"/>
      <c r="L1113" s="277"/>
      <c r="M1113" s="5"/>
      <c r="R1113" s="5"/>
      <c r="S1113" s="5"/>
      <c r="T1113" s="1120"/>
      <c r="U1113" s="5"/>
      <c r="V1113" s="5"/>
      <c r="W1113" s="5"/>
      <c r="X1113" s="1120"/>
      <c r="Y1113" s="1120"/>
      <c r="Z1113" s="5"/>
      <c r="AA1113" s="5"/>
      <c r="AB1113" s="1135"/>
      <c r="AC1113" s="5"/>
      <c r="AD1113" s="5"/>
      <c r="AE1113" s="5"/>
      <c r="AF1113" s="1120"/>
      <c r="AG1113" s="1148"/>
      <c r="AH1113" s="1120"/>
      <c r="AI1113" s="1120"/>
      <c r="AJ1113" s="1120"/>
    </row>
    <row r="1114" spans="2:36" ht="30" customHeight="1" x14ac:dyDescent="0.25">
      <c r="B1114" s="5"/>
      <c r="C1114" s="5"/>
      <c r="D1114" s="5"/>
      <c r="E1114" s="5"/>
      <c r="F1114" s="5"/>
      <c r="G1114" s="5"/>
      <c r="H1114" s="5"/>
      <c r="I1114" s="5"/>
      <c r="J1114" s="5"/>
      <c r="L1114" s="277"/>
      <c r="M1114" s="5"/>
      <c r="R1114" s="5"/>
      <c r="S1114" s="5"/>
      <c r="T1114" s="1120"/>
      <c r="U1114" s="5"/>
      <c r="V1114" s="5"/>
      <c r="W1114" s="5"/>
      <c r="X1114" s="1120"/>
      <c r="Y1114" s="1120"/>
      <c r="Z1114" s="5"/>
      <c r="AA1114" s="5"/>
      <c r="AB1114" s="1135"/>
      <c r="AC1114" s="5"/>
      <c r="AD1114" s="5"/>
      <c r="AE1114" s="5"/>
      <c r="AF1114" s="1120"/>
      <c r="AG1114" s="1148"/>
      <c r="AH1114" s="1120"/>
      <c r="AI1114" s="1120"/>
      <c r="AJ1114" s="1120"/>
    </row>
    <row r="1115" spans="2:36" ht="30" customHeight="1" x14ac:dyDescent="0.25">
      <c r="B1115" s="5"/>
      <c r="C1115" s="5"/>
      <c r="D1115" s="5"/>
      <c r="E1115" s="5"/>
      <c r="F1115" s="5"/>
      <c r="G1115" s="5"/>
      <c r="H1115" s="5"/>
      <c r="I1115" s="5"/>
      <c r="J1115" s="5"/>
      <c r="L1115" s="277"/>
      <c r="M1115" s="5"/>
      <c r="R1115" s="5"/>
      <c r="S1115" s="5"/>
      <c r="T1115" s="1120"/>
      <c r="U1115" s="5"/>
      <c r="V1115" s="5"/>
      <c r="W1115" s="5"/>
      <c r="X1115" s="1120"/>
      <c r="Y1115" s="1120"/>
      <c r="Z1115" s="5"/>
      <c r="AA1115" s="5"/>
      <c r="AB1115" s="1135"/>
      <c r="AC1115" s="5"/>
      <c r="AD1115" s="5"/>
      <c r="AE1115" s="5"/>
      <c r="AF1115" s="1120"/>
      <c r="AG1115" s="1148"/>
      <c r="AH1115" s="1120"/>
      <c r="AI1115" s="1120"/>
      <c r="AJ1115" s="1120"/>
    </row>
    <row r="1116" spans="2:36" ht="30" customHeight="1" x14ac:dyDescent="0.25">
      <c r="B1116" s="5"/>
      <c r="C1116" s="5"/>
      <c r="D1116" s="5"/>
      <c r="E1116" s="5"/>
      <c r="F1116" s="5"/>
      <c r="G1116" s="5"/>
      <c r="H1116" s="5"/>
      <c r="I1116" s="5"/>
      <c r="J1116" s="5"/>
      <c r="L1116" s="277"/>
      <c r="M1116" s="5"/>
      <c r="R1116" s="5"/>
      <c r="S1116" s="5"/>
      <c r="T1116" s="1120"/>
      <c r="U1116" s="5"/>
      <c r="V1116" s="5"/>
      <c r="W1116" s="5"/>
      <c r="X1116" s="1120"/>
      <c r="Y1116" s="1120"/>
      <c r="Z1116" s="5"/>
      <c r="AA1116" s="5"/>
      <c r="AB1116" s="1135"/>
      <c r="AC1116" s="5"/>
      <c r="AD1116" s="5"/>
      <c r="AE1116" s="5"/>
      <c r="AF1116" s="1120"/>
      <c r="AG1116" s="1148"/>
      <c r="AH1116" s="1120"/>
      <c r="AI1116" s="1120"/>
      <c r="AJ1116" s="1120"/>
    </row>
    <row r="1117" spans="2:36" ht="30" customHeight="1" x14ac:dyDescent="0.25">
      <c r="B1117" s="5"/>
      <c r="C1117" s="5"/>
      <c r="D1117" s="5"/>
      <c r="E1117" s="5"/>
      <c r="F1117" s="5"/>
      <c r="G1117" s="5"/>
      <c r="H1117" s="5"/>
      <c r="I1117" s="5"/>
      <c r="J1117" s="5"/>
      <c r="L1117" s="277"/>
      <c r="M1117" s="5"/>
      <c r="R1117" s="5"/>
      <c r="S1117" s="5"/>
      <c r="T1117" s="1120"/>
      <c r="U1117" s="5"/>
      <c r="V1117" s="5"/>
      <c r="W1117" s="5"/>
      <c r="X1117" s="1120"/>
      <c r="Y1117" s="1120"/>
      <c r="Z1117" s="5"/>
      <c r="AA1117" s="5"/>
      <c r="AB1117" s="1135"/>
      <c r="AC1117" s="5"/>
      <c r="AD1117" s="5"/>
      <c r="AE1117" s="5"/>
      <c r="AF1117" s="1120"/>
      <c r="AG1117" s="1148"/>
      <c r="AH1117" s="1120"/>
      <c r="AI1117" s="1120"/>
      <c r="AJ1117" s="1120"/>
    </row>
    <row r="1118" spans="2:36" ht="30" customHeight="1" x14ac:dyDescent="0.25">
      <c r="B1118" s="5"/>
      <c r="C1118" s="5"/>
      <c r="D1118" s="5"/>
      <c r="E1118" s="5"/>
      <c r="F1118" s="5"/>
      <c r="G1118" s="5"/>
      <c r="H1118" s="5"/>
      <c r="I1118" s="5"/>
      <c r="J1118" s="5"/>
      <c r="L1118" s="277"/>
      <c r="M1118" s="5"/>
      <c r="R1118" s="5"/>
      <c r="S1118" s="5"/>
      <c r="T1118" s="1120"/>
      <c r="U1118" s="5"/>
      <c r="V1118" s="5"/>
      <c r="W1118" s="5"/>
      <c r="X1118" s="1120"/>
      <c r="Y1118" s="1120"/>
      <c r="Z1118" s="5"/>
      <c r="AA1118" s="5"/>
      <c r="AB1118" s="1135"/>
      <c r="AC1118" s="5"/>
      <c r="AD1118" s="5"/>
      <c r="AE1118" s="5"/>
      <c r="AF1118" s="1120"/>
      <c r="AG1118" s="1148"/>
      <c r="AH1118" s="1120"/>
      <c r="AI1118" s="1120"/>
      <c r="AJ1118" s="1120"/>
    </row>
    <row r="1119" spans="2:36" ht="30" customHeight="1" x14ac:dyDescent="0.25">
      <c r="B1119" s="5"/>
      <c r="C1119" s="5"/>
      <c r="D1119" s="5"/>
      <c r="E1119" s="5"/>
      <c r="F1119" s="5"/>
      <c r="G1119" s="5"/>
      <c r="H1119" s="5"/>
      <c r="I1119" s="5"/>
      <c r="J1119" s="5"/>
      <c r="L1119" s="277"/>
      <c r="M1119" s="5"/>
      <c r="R1119" s="5"/>
      <c r="S1119" s="5"/>
      <c r="T1119" s="1120"/>
      <c r="U1119" s="5"/>
      <c r="V1119" s="5"/>
      <c r="W1119" s="5"/>
      <c r="X1119" s="1120"/>
      <c r="Y1119" s="1120"/>
      <c r="Z1119" s="5"/>
      <c r="AA1119" s="5"/>
      <c r="AB1119" s="1135"/>
      <c r="AC1119" s="5"/>
      <c r="AD1119" s="5"/>
      <c r="AE1119" s="5"/>
      <c r="AF1119" s="1120"/>
      <c r="AG1119" s="1148"/>
      <c r="AH1119" s="1120"/>
      <c r="AI1119" s="1120"/>
      <c r="AJ1119" s="1120"/>
    </row>
    <row r="1120" spans="2:36" ht="30" customHeight="1" x14ac:dyDescent="0.25">
      <c r="B1120" s="5"/>
      <c r="C1120" s="5"/>
      <c r="D1120" s="5"/>
      <c r="E1120" s="5"/>
      <c r="F1120" s="5"/>
      <c r="G1120" s="5"/>
      <c r="H1120" s="5"/>
      <c r="I1120" s="5"/>
      <c r="J1120" s="5"/>
      <c r="L1120" s="277"/>
      <c r="M1120" s="5"/>
      <c r="R1120" s="5"/>
      <c r="S1120" s="5"/>
      <c r="T1120" s="1120"/>
      <c r="U1120" s="5"/>
      <c r="V1120" s="5"/>
      <c r="W1120" s="5"/>
      <c r="X1120" s="1120"/>
      <c r="Y1120" s="1120"/>
      <c r="Z1120" s="5"/>
      <c r="AA1120" s="5"/>
      <c r="AB1120" s="1135"/>
      <c r="AC1120" s="5"/>
      <c r="AD1120" s="5"/>
      <c r="AE1120" s="5"/>
      <c r="AF1120" s="1120"/>
      <c r="AG1120" s="1148"/>
      <c r="AH1120" s="1120"/>
      <c r="AI1120" s="1120"/>
      <c r="AJ1120" s="1120"/>
    </row>
    <row r="1121" spans="2:36" ht="30" customHeight="1" x14ac:dyDescent="0.25">
      <c r="B1121" s="5"/>
      <c r="C1121" s="5"/>
      <c r="D1121" s="5"/>
      <c r="E1121" s="5"/>
      <c r="F1121" s="5"/>
      <c r="G1121" s="5"/>
      <c r="H1121" s="5"/>
      <c r="I1121" s="5"/>
      <c r="J1121" s="5"/>
      <c r="L1121" s="277"/>
      <c r="M1121" s="5"/>
      <c r="R1121" s="5"/>
      <c r="S1121" s="5"/>
      <c r="T1121" s="1120"/>
      <c r="U1121" s="5"/>
      <c r="V1121" s="5"/>
      <c r="W1121" s="5"/>
      <c r="X1121" s="1120"/>
      <c r="Y1121" s="1120"/>
      <c r="Z1121" s="5"/>
      <c r="AA1121" s="5"/>
      <c r="AB1121" s="1135"/>
      <c r="AC1121" s="5"/>
      <c r="AD1121" s="5"/>
      <c r="AE1121" s="5"/>
      <c r="AF1121" s="1120"/>
      <c r="AG1121" s="1148"/>
      <c r="AH1121" s="1120"/>
      <c r="AI1121" s="1120"/>
      <c r="AJ1121" s="1120"/>
    </row>
    <row r="1122" spans="2:36" ht="30" customHeight="1" x14ac:dyDescent="0.25">
      <c r="B1122" s="5"/>
      <c r="C1122" s="5"/>
      <c r="D1122" s="5"/>
      <c r="E1122" s="5"/>
      <c r="F1122" s="5"/>
      <c r="G1122" s="5"/>
      <c r="H1122" s="5"/>
      <c r="I1122" s="5"/>
      <c r="J1122" s="5"/>
      <c r="L1122" s="277"/>
      <c r="M1122" s="5"/>
      <c r="R1122" s="5"/>
      <c r="S1122" s="5"/>
      <c r="T1122" s="1120"/>
      <c r="U1122" s="5"/>
      <c r="V1122" s="5"/>
      <c r="W1122" s="5"/>
      <c r="X1122" s="1120"/>
      <c r="Y1122" s="1120"/>
      <c r="Z1122" s="5"/>
      <c r="AA1122" s="5"/>
      <c r="AB1122" s="1135"/>
      <c r="AC1122" s="5"/>
      <c r="AD1122" s="5"/>
      <c r="AE1122" s="5"/>
      <c r="AF1122" s="1120"/>
      <c r="AG1122" s="1148"/>
      <c r="AH1122" s="1120"/>
      <c r="AI1122" s="1120"/>
      <c r="AJ1122" s="1120"/>
    </row>
    <row r="1123" spans="2:36" ht="30" customHeight="1" x14ac:dyDescent="0.25">
      <c r="B1123" s="5"/>
      <c r="C1123" s="5"/>
      <c r="D1123" s="5"/>
      <c r="E1123" s="5"/>
      <c r="F1123" s="5"/>
      <c r="G1123" s="5"/>
      <c r="H1123" s="5"/>
      <c r="I1123" s="5"/>
      <c r="J1123" s="5"/>
      <c r="L1123" s="277"/>
      <c r="M1123" s="5"/>
      <c r="R1123" s="5"/>
      <c r="S1123" s="5"/>
      <c r="T1123" s="1120"/>
      <c r="U1123" s="5"/>
      <c r="V1123" s="5"/>
      <c r="W1123" s="5"/>
      <c r="X1123" s="1120"/>
      <c r="Y1123" s="1120"/>
      <c r="Z1123" s="5"/>
      <c r="AA1123" s="5"/>
      <c r="AB1123" s="1135"/>
      <c r="AC1123" s="5"/>
      <c r="AD1123" s="5"/>
      <c r="AE1123" s="5"/>
      <c r="AF1123" s="1120"/>
      <c r="AG1123" s="1148"/>
      <c r="AH1123" s="1120"/>
      <c r="AI1123" s="1120"/>
      <c r="AJ1123" s="1120"/>
    </row>
    <row r="1124" spans="2:36" ht="30" customHeight="1" x14ac:dyDescent="0.25">
      <c r="B1124" s="5"/>
      <c r="C1124" s="5"/>
      <c r="D1124" s="5"/>
      <c r="E1124" s="5"/>
      <c r="F1124" s="5"/>
      <c r="G1124" s="5"/>
      <c r="H1124" s="5"/>
      <c r="I1124" s="5"/>
      <c r="J1124" s="5"/>
      <c r="L1124" s="277"/>
      <c r="M1124" s="5"/>
      <c r="R1124" s="5"/>
      <c r="S1124" s="5"/>
      <c r="T1124" s="1120"/>
      <c r="U1124" s="5"/>
      <c r="V1124" s="5"/>
      <c r="W1124" s="5"/>
      <c r="X1124" s="1120"/>
      <c r="Y1124" s="1120"/>
      <c r="Z1124" s="5"/>
      <c r="AA1124" s="5"/>
      <c r="AB1124" s="1135"/>
      <c r="AC1124" s="5"/>
      <c r="AD1124" s="5"/>
      <c r="AE1124" s="5"/>
      <c r="AF1124" s="1120"/>
      <c r="AG1124" s="1148"/>
      <c r="AH1124" s="1120"/>
      <c r="AI1124" s="1120"/>
      <c r="AJ1124" s="1120"/>
    </row>
    <row r="1125" spans="2:36" ht="30" customHeight="1" x14ac:dyDescent="0.25">
      <c r="B1125" s="5"/>
      <c r="C1125" s="5"/>
      <c r="D1125" s="5"/>
      <c r="E1125" s="5"/>
      <c r="F1125" s="5"/>
      <c r="G1125" s="5"/>
      <c r="H1125" s="5"/>
      <c r="I1125" s="5"/>
      <c r="J1125" s="5"/>
      <c r="L1125" s="277"/>
      <c r="M1125" s="5"/>
      <c r="R1125" s="5"/>
      <c r="S1125" s="5"/>
      <c r="T1125" s="1120"/>
      <c r="U1125" s="5"/>
      <c r="V1125" s="5"/>
      <c r="W1125" s="5"/>
      <c r="X1125" s="1120"/>
      <c r="Y1125" s="1120"/>
      <c r="Z1125" s="5"/>
      <c r="AA1125" s="5"/>
      <c r="AB1125" s="1135"/>
      <c r="AC1125" s="5"/>
      <c r="AD1125" s="5"/>
      <c r="AE1125" s="5"/>
      <c r="AF1125" s="1120"/>
      <c r="AG1125" s="1148"/>
      <c r="AH1125" s="1120"/>
      <c r="AI1125" s="1120"/>
      <c r="AJ1125" s="1120"/>
    </row>
    <row r="1126" spans="2:36" ht="30" customHeight="1" x14ac:dyDescent="0.25">
      <c r="B1126" s="5"/>
      <c r="C1126" s="5"/>
      <c r="D1126" s="5"/>
      <c r="E1126" s="5"/>
      <c r="F1126" s="5"/>
      <c r="G1126" s="5"/>
      <c r="H1126" s="5"/>
      <c r="I1126" s="5"/>
      <c r="J1126" s="5"/>
      <c r="L1126" s="277"/>
      <c r="M1126" s="5"/>
      <c r="R1126" s="5"/>
      <c r="S1126" s="5"/>
      <c r="T1126" s="1120"/>
      <c r="U1126" s="5"/>
      <c r="V1126" s="5"/>
      <c r="W1126" s="5"/>
      <c r="X1126" s="1120"/>
      <c r="Y1126" s="1120"/>
      <c r="Z1126" s="5"/>
      <c r="AA1126" s="5"/>
      <c r="AB1126" s="1135"/>
      <c r="AC1126" s="5"/>
      <c r="AD1126" s="5"/>
      <c r="AE1126" s="5"/>
      <c r="AF1126" s="1120"/>
      <c r="AG1126" s="1148"/>
      <c r="AH1126" s="1120"/>
      <c r="AI1126" s="1120"/>
      <c r="AJ1126" s="1120"/>
    </row>
    <row r="1127" spans="2:36" ht="30" customHeight="1" x14ac:dyDescent="0.25">
      <c r="B1127" s="5"/>
      <c r="C1127" s="5"/>
      <c r="D1127" s="5"/>
      <c r="E1127" s="5"/>
      <c r="F1127" s="5"/>
      <c r="G1127" s="5"/>
      <c r="H1127" s="5"/>
      <c r="I1127" s="5"/>
      <c r="J1127" s="5"/>
      <c r="L1127" s="277"/>
      <c r="M1127" s="5"/>
      <c r="R1127" s="5"/>
      <c r="S1127" s="5"/>
      <c r="T1127" s="1120"/>
      <c r="U1127" s="5"/>
      <c r="V1127" s="5"/>
      <c r="W1127" s="5"/>
      <c r="X1127" s="1120"/>
      <c r="Y1127" s="1120"/>
      <c r="Z1127" s="5"/>
      <c r="AA1127" s="5"/>
      <c r="AB1127" s="1135"/>
      <c r="AC1127" s="5"/>
      <c r="AD1127" s="5"/>
      <c r="AE1127" s="5"/>
      <c r="AF1127" s="1120"/>
      <c r="AG1127" s="1148"/>
      <c r="AH1127" s="1120"/>
      <c r="AI1127" s="1120"/>
      <c r="AJ1127" s="1120"/>
    </row>
    <row r="1128" spans="2:36" ht="30" customHeight="1" x14ac:dyDescent="0.25">
      <c r="B1128" s="5"/>
      <c r="C1128" s="5"/>
      <c r="D1128" s="5"/>
      <c r="E1128" s="5"/>
      <c r="F1128" s="5"/>
      <c r="G1128" s="5"/>
      <c r="H1128" s="5"/>
      <c r="I1128" s="5"/>
      <c r="J1128" s="5"/>
      <c r="L1128" s="277"/>
      <c r="M1128" s="5"/>
      <c r="R1128" s="5"/>
      <c r="S1128" s="5"/>
      <c r="T1128" s="1120"/>
      <c r="U1128" s="5"/>
      <c r="V1128" s="5"/>
      <c r="W1128" s="5"/>
      <c r="X1128" s="1120"/>
      <c r="Y1128" s="1120"/>
      <c r="Z1128" s="5"/>
      <c r="AA1128" s="5"/>
      <c r="AB1128" s="1135"/>
      <c r="AC1128" s="5"/>
      <c r="AD1128" s="5"/>
      <c r="AE1128" s="5"/>
      <c r="AF1128" s="1120"/>
      <c r="AG1128" s="1148"/>
      <c r="AH1128" s="1120"/>
      <c r="AI1128" s="1120"/>
      <c r="AJ1128" s="1120"/>
    </row>
    <row r="1129" spans="2:36" ht="30" customHeight="1" x14ac:dyDescent="0.25">
      <c r="B1129" s="5"/>
      <c r="C1129" s="5"/>
      <c r="D1129" s="5"/>
      <c r="E1129" s="5"/>
      <c r="F1129" s="5"/>
      <c r="G1129" s="5"/>
      <c r="H1129" s="5"/>
      <c r="I1129" s="5"/>
      <c r="J1129" s="5"/>
      <c r="L1129" s="277"/>
      <c r="M1129" s="5"/>
      <c r="R1129" s="5"/>
      <c r="S1129" s="5"/>
      <c r="T1129" s="1120"/>
      <c r="U1129" s="5"/>
      <c r="V1129" s="5"/>
      <c r="W1129" s="5"/>
      <c r="X1129" s="1120"/>
      <c r="Y1129" s="1120"/>
      <c r="Z1129" s="5"/>
      <c r="AA1129" s="5"/>
      <c r="AB1129" s="1135"/>
      <c r="AC1129" s="5"/>
      <c r="AD1129" s="5"/>
      <c r="AE1129" s="5"/>
      <c r="AF1129" s="1120"/>
      <c r="AG1129" s="1148"/>
      <c r="AH1129" s="1120"/>
      <c r="AI1129" s="1120"/>
      <c r="AJ1129" s="1120"/>
    </row>
    <row r="1130" spans="2:36" ht="30" customHeight="1" x14ac:dyDescent="0.25">
      <c r="B1130" s="5"/>
      <c r="C1130" s="5"/>
      <c r="D1130" s="5"/>
      <c r="E1130" s="5"/>
      <c r="F1130" s="5"/>
      <c r="G1130" s="5"/>
      <c r="H1130" s="5"/>
      <c r="I1130" s="5"/>
      <c r="J1130" s="5"/>
      <c r="L1130" s="277"/>
      <c r="M1130" s="5"/>
      <c r="R1130" s="5"/>
      <c r="S1130" s="5"/>
      <c r="T1130" s="1120"/>
      <c r="U1130" s="5"/>
      <c r="V1130" s="5"/>
      <c r="W1130" s="5"/>
      <c r="X1130" s="1120"/>
      <c r="Y1130" s="1120"/>
      <c r="Z1130" s="5"/>
      <c r="AA1130" s="5"/>
      <c r="AB1130" s="1135"/>
      <c r="AC1130" s="5"/>
      <c r="AD1130" s="5"/>
      <c r="AE1130" s="5"/>
      <c r="AF1130" s="1120"/>
      <c r="AG1130" s="1148"/>
      <c r="AH1130" s="1120"/>
      <c r="AI1130" s="1120"/>
      <c r="AJ1130" s="1120"/>
    </row>
    <row r="1131" spans="2:36" ht="30" customHeight="1" x14ac:dyDescent="0.25">
      <c r="B1131" s="5"/>
      <c r="C1131" s="5"/>
      <c r="D1131" s="5"/>
      <c r="E1131" s="5"/>
      <c r="F1131" s="5"/>
      <c r="G1131" s="5"/>
      <c r="H1131" s="5"/>
      <c r="I1131" s="5"/>
      <c r="J1131" s="5"/>
      <c r="L1131" s="277"/>
      <c r="M1131" s="5"/>
      <c r="R1131" s="5"/>
      <c r="S1131" s="5"/>
      <c r="T1131" s="1120"/>
      <c r="U1131" s="5"/>
      <c r="V1131" s="5"/>
      <c r="W1131" s="5"/>
      <c r="X1131" s="1120"/>
      <c r="Y1131" s="1120"/>
      <c r="Z1131" s="5"/>
      <c r="AA1131" s="5"/>
      <c r="AB1131" s="1135"/>
      <c r="AC1131" s="5"/>
      <c r="AD1131" s="5"/>
      <c r="AE1131" s="5"/>
      <c r="AF1131" s="1120"/>
      <c r="AG1131" s="1148"/>
      <c r="AH1131" s="1120"/>
      <c r="AI1131" s="1120"/>
      <c r="AJ1131" s="1120"/>
    </row>
    <row r="1132" spans="2:36" ht="30" customHeight="1" x14ac:dyDescent="0.25">
      <c r="B1132" s="5"/>
      <c r="C1132" s="5"/>
      <c r="D1132" s="5"/>
      <c r="E1132" s="5"/>
      <c r="F1132" s="5"/>
      <c r="G1132" s="5"/>
      <c r="H1132" s="5"/>
      <c r="I1132" s="5"/>
      <c r="J1132" s="5"/>
      <c r="L1132" s="277"/>
      <c r="M1132" s="5"/>
      <c r="R1132" s="5"/>
      <c r="S1132" s="5"/>
      <c r="T1132" s="1120"/>
      <c r="U1132" s="5"/>
      <c r="V1132" s="5"/>
      <c r="W1132" s="5"/>
      <c r="X1132" s="1120"/>
      <c r="Y1132" s="1120"/>
      <c r="Z1132" s="5"/>
      <c r="AA1132" s="5"/>
      <c r="AB1132" s="1135"/>
      <c r="AC1132" s="5"/>
      <c r="AD1132" s="5"/>
      <c r="AE1132" s="5"/>
      <c r="AF1132" s="1120"/>
      <c r="AG1132" s="1148"/>
      <c r="AH1132" s="1120"/>
      <c r="AI1132" s="1120"/>
      <c r="AJ1132" s="1120"/>
    </row>
    <row r="1133" spans="2:36" ht="30" customHeight="1" x14ac:dyDescent="0.25">
      <c r="B1133" s="5"/>
      <c r="C1133" s="5"/>
      <c r="D1133" s="5"/>
      <c r="E1133" s="5"/>
      <c r="F1133" s="5"/>
      <c r="G1133" s="5"/>
      <c r="H1133" s="5"/>
      <c r="I1133" s="5"/>
      <c r="J1133" s="5"/>
      <c r="L1133" s="277"/>
      <c r="M1133" s="5"/>
      <c r="R1133" s="5"/>
      <c r="S1133" s="5"/>
      <c r="T1133" s="1120"/>
      <c r="U1133" s="5"/>
      <c r="V1133" s="5"/>
      <c r="W1133" s="5"/>
      <c r="X1133" s="1120"/>
      <c r="Y1133" s="1120"/>
      <c r="Z1133" s="5"/>
      <c r="AA1133" s="5"/>
      <c r="AB1133" s="1135"/>
      <c r="AC1133" s="5"/>
      <c r="AD1133" s="5"/>
      <c r="AE1133" s="5"/>
      <c r="AF1133" s="1120"/>
      <c r="AG1133" s="1148"/>
      <c r="AH1133" s="1120"/>
      <c r="AI1133" s="1120"/>
      <c r="AJ1133" s="1120"/>
    </row>
    <row r="1134" spans="2:36" ht="30" customHeight="1" x14ac:dyDescent="0.25">
      <c r="B1134" s="5"/>
      <c r="C1134" s="5"/>
      <c r="D1134" s="5"/>
      <c r="E1134" s="5"/>
      <c r="F1134" s="5"/>
      <c r="G1134" s="5"/>
      <c r="H1134" s="5"/>
      <c r="I1134" s="5"/>
      <c r="J1134" s="5"/>
      <c r="L1134" s="277"/>
      <c r="M1134" s="5"/>
      <c r="R1134" s="5"/>
      <c r="S1134" s="5"/>
      <c r="T1134" s="1120"/>
      <c r="U1134" s="5"/>
      <c r="V1134" s="5"/>
      <c r="W1134" s="5"/>
      <c r="X1134" s="1120"/>
      <c r="Y1134" s="1120"/>
      <c r="Z1134" s="5"/>
      <c r="AA1134" s="5"/>
      <c r="AB1134" s="1135"/>
      <c r="AC1134" s="5"/>
      <c r="AD1134" s="5"/>
      <c r="AE1134" s="5"/>
      <c r="AF1134" s="1120"/>
      <c r="AG1134" s="1148"/>
      <c r="AH1134" s="1120"/>
      <c r="AI1134" s="1120"/>
      <c r="AJ1134" s="1120"/>
    </row>
    <row r="1135" spans="2:36" ht="30" customHeight="1" x14ac:dyDescent="0.25">
      <c r="B1135" s="5"/>
      <c r="C1135" s="5"/>
      <c r="D1135" s="5"/>
      <c r="E1135" s="5"/>
      <c r="F1135" s="5"/>
      <c r="G1135" s="5"/>
      <c r="H1135" s="5"/>
      <c r="I1135" s="5"/>
      <c r="J1135" s="5"/>
      <c r="L1135" s="277"/>
      <c r="M1135" s="5"/>
      <c r="R1135" s="5"/>
      <c r="S1135" s="5"/>
      <c r="T1135" s="1120"/>
      <c r="U1135" s="5"/>
      <c r="V1135" s="5"/>
      <c r="W1135" s="5"/>
      <c r="X1135" s="1120"/>
      <c r="Y1135" s="1120"/>
      <c r="Z1135" s="5"/>
      <c r="AA1135" s="5"/>
      <c r="AB1135" s="1135"/>
      <c r="AC1135" s="5"/>
      <c r="AD1135" s="5"/>
      <c r="AE1135" s="5"/>
      <c r="AF1135" s="1120"/>
      <c r="AG1135" s="1148"/>
      <c r="AH1135" s="1120"/>
      <c r="AI1135" s="1120"/>
      <c r="AJ1135" s="1120"/>
    </row>
    <row r="1136" spans="2:36" ht="30" customHeight="1" x14ac:dyDescent="0.25">
      <c r="B1136" s="5"/>
      <c r="C1136" s="5"/>
      <c r="D1136" s="5"/>
      <c r="E1136" s="5"/>
      <c r="F1136" s="5"/>
      <c r="G1136" s="5"/>
      <c r="H1136" s="5"/>
      <c r="I1136" s="5"/>
      <c r="J1136" s="5"/>
      <c r="L1136" s="277"/>
      <c r="M1136" s="5"/>
      <c r="R1136" s="5"/>
      <c r="S1136" s="5"/>
      <c r="T1136" s="1120"/>
      <c r="U1136" s="5"/>
      <c r="V1136" s="5"/>
      <c r="W1136" s="5"/>
      <c r="X1136" s="1120"/>
      <c r="Y1136" s="1120"/>
      <c r="Z1136" s="5"/>
      <c r="AA1136" s="5"/>
      <c r="AB1136" s="1135"/>
      <c r="AC1136" s="5"/>
      <c r="AD1136" s="5"/>
      <c r="AE1136" s="5"/>
      <c r="AF1136" s="1120"/>
      <c r="AG1136" s="1148"/>
      <c r="AH1136" s="1120"/>
      <c r="AI1136" s="1120"/>
      <c r="AJ1136" s="1120"/>
    </row>
    <row r="1137" spans="2:36" ht="30" customHeight="1" x14ac:dyDescent="0.25">
      <c r="B1137" s="5"/>
      <c r="C1137" s="5"/>
      <c r="D1137" s="5"/>
      <c r="E1137" s="5"/>
      <c r="F1137" s="5"/>
      <c r="G1137" s="5"/>
      <c r="H1137" s="5"/>
      <c r="I1137" s="5"/>
      <c r="J1137" s="5"/>
      <c r="L1137" s="277"/>
      <c r="M1137" s="5"/>
      <c r="R1137" s="5"/>
      <c r="S1137" s="5"/>
      <c r="T1137" s="1120"/>
      <c r="U1137" s="5"/>
      <c r="V1137" s="5"/>
      <c r="W1137" s="5"/>
      <c r="X1137" s="1120"/>
      <c r="Y1137" s="1120"/>
      <c r="Z1137" s="5"/>
      <c r="AA1137" s="5"/>
      <c r="AB1137" s="1135"/>
      <c r="AC1137" s="5"/>
      <c r="AD1137" s="5"/>
      <c r="AE1137" s="5"/>
      <c r="AF1137" s="1120"/>
      <c r="AG1137" s="1148"/>
      <c r="AH1137" s="1120"/>
      <c r="AI1137" s="1120"/>
      <c r="AJ1137" s="1120"/>
    </row>
    <row r="1138" spans="2:36" ht="30" customHeight="1" x14ac:dyDescent="0.25">
      <c r="B1138" s="5"/>
      <c r="C1138" s="5"/>
      <c r="D1138" s="5"/>
      <c r="E1138" s="5"/>
      <c r="F1138" s="5"/>
      <c r="G1138" s="5"/>
      <c r="H1138" s="5"/>
      <c r="I1138" s="5"/>
      <c r="J1138" s="5"/>
      <c r="L1138" s="277"/>
      <c r="M1138" s="5"/>
      <c r="R1138" s="5"/>
      <c r="S1138" s="5"/>
      <c r="T1138" s="1120"/>
      <c r="U1138" s="5"/>
      <c r="V1138" s="5"/>
      <c r="W1138" s="5"/>
      <c r="X1138" s="1120"/>
      <c r="Y1138" s="1120"/>
      <c r="Z1138" s="5"/>
      <c r="AA1138" s="5"/>
      <c r="AB1138" s="1135"/>
      <c r="AC1138" s="5"/>
      <c r="AD1138" s="5"/>
      <c r="AE1138" s="5"/>
      <c r="AF1138" s="1120"/>
      <c r="AG1138" s="1148"/>
      <c r="AH1138" s="1120"/>
      <c r="AI1138" s="1120"/>
      <c r="AJ1138" s="1120"/>
    </row>
    <row r="1139" spans="2:36" ht="30" customHeight="1" x14ac:dyDescent="0.25">
      <c r="B1139" s="5"/>
      <c r="C1139" s="5"/>
      <c r="D1139" s="5"/>
      <c r="E1139" s="5"/>
      <c r="F1139" s="5"/>
      <c r="G1139" s="5"/>
      <c r="H1139" s="5"/>
      <c r="I1139" s="5"/>
      <c r="J1139" s="5"/>
      <c r="L1139" s="277"/>
      <c r="M1139" s="5"/>
      <c r="R1139" s="5"/>
      <c r="S1139" s="5"/>
      <c r="T1139" s="1120"/>
      <c r="U1139" s="5"/>
      <c r="V1139" s="5"/>
      <c r="W1139" s="5"/>
      <c r="X1139" s="1120"/>
      <c r="Y1139" s="1120"/>
      <c r="Z1139" s="5"/>
      <c r="AA1139" s="5"/>
      <c r="AB1139" s="1135"/>
      <c r="AC1139" s="5"/>
      <c r="AD1139" s="5"/>
      <c r="AE1139" s="5"/>
      <c r="AF1139" s="1120"/>
      <c r="AG1139" s="1148"/>
      <c r="AH1139" s="1120"/>
      <c r="AI1139" s="1120"/>
      <c r="AJ1139" s="1120"/>
    </row>
    <row r="1140" spans="2:36" ht="30" customHeight="1" x14ac:dyDescent="0.25">
      <c r="B1140" s="5"/>
      <c r="C1140" s="5"/>
      <c r="D1140" s="5"/>
      <c r="E1140" s="5"/>
      <c r="F1140" s="5"/>
      <c r="G1140" s="5"/>
      <c r="H1140" s="5"/>
      <c r="I1140" s="5"/>
      <c r="J1140" s="5"/>
      <c r="L1140" s="277"/>
      <c r="M1140" s="5"/>
      <c r="R1140" s="5"/>
      <c r="S1140" s="5"/>
      <c r="T1140" s="1120"/>
      <c r="U1140" s="5"/>
      <c r="V1140" s="5"/>
      <c r="W1140" s="5"/>
      <c r="X1140" s="1120"/>
      <c r="Y1140" s="1120"/>
      <c r="Z1140" s="5"/>
      <c r="AA1140" s="5"/>
      <c r="AB1140" s="1135"/>
      <c r="AC1140" s="5"/>
      <c r="AD1140" s="5"/>
      <c r="AE1140" s="5"/>
      <c r="AF1140" s="1120"/>
      <c r="AG1140" s="1148"/>
      <c r="AH1140" s="1120"/>
      <c r="AI1140" s="1120"/>
      <c r="AJ1140" s="1120"/>
    </row>
    <row r="1141" spans="2:36" ht="30" customHeight="1" x14ac:dyDescent="0.25">
      <c r="B1141" s="5"/>
      <c r="C1141" s="5"/>
      <c r="D1141" s="5"/>
      <c r="E1141" s="5"/>
      <c r="F1141" s="5"/>
      <c r="G1141" s="5"/>
      <c r="H1141" s="5"/>
      <c r="I1141" s="5"/>
      <c r="J1141" s="5"/>
      <c r="L1141" s="277"/>
      <c r="M1141" s="5"/>
      <c r="R1141" s="5"/>
      <c r="S1141" s="5"/>
      <c r="T1141" s="1120"/>
      <c r="U1141" s="5"/>
      <c r="V1141" s="5"/>
      <c r="W1141" s="5"/>
      <c r="X1141" s="1120"/>
      <c r="Y1141" s="1120"/>
      <c r="Z1141" s="5"/>
      <c r="AA1141" s="5"/>
      <c r="AB1141" s="1135"/>
      <c r="AC1141" s="5"/>
      <c r="AD1141" s="5"/>
      <c r="AE1141" s="5"/>
      <c r="AF1141" s="1120"/>
      <c r="AG1141" s="1148"/>
      <c r="AH1141" s="1120"/>
      <c r="AI1141" s="1120"/>
      <c r="AJ1141" s="1120"/>
    </row>
    <row r="1142" spans="2:36" ht="30" customHeight="1" x14ac:dyDescent="0.25">
      <c r="B1142" s="5"/>
      <c r="C1142" s="5"/>
      <c r="D1142" s="5"/>
      <c r="E1142" s="5"/>
      <c r="F1142" s="5"/>
      <c r="G1142" s="5"/>
      <c r="H1142" s="5"/>
      <c r="I1142" s="5"/>
      <c r="J1142" s="5"/>
      <c r="L1142" s="277"/>
      <c r="M1142" s="5"/>
      <c r="R1142" s="5"/>
      <c r="S1142" s="5"/>
      <c r="T1142" s="1120"/>
      <c r="U1142" s="5"/>
      <c r="V1142" s="5"/>
      <c r="W1142" s="5"/>
      <c r="X1142" s="1120"/>
      <c r="Y1142" s="1120"/>
      <c r="Z1142" s="5"/>
      <c r="AA1142" s="5"/>
      <c r="AB1142" s="1135"/>
      <c r="AC1142" s="5"/>
      <c r="AD1142" s="5"/>
      <c r="AE1142" s="5"/>
      <c r="AF1142" s="1120"/>
      <c r="AG1142" s="1148"/>
      <c r="AH1142" s="1120"/>
      <c r="AI1142" s="1120"/>
      <c r="AJ1142" s="1120"/>
    </row>
    <row r="1143" spans="2:36" ht="30" customHeight="1" x14ac:dyDescent="0.25">
      <c r="B1143" s="5"/>
      <c r="C1143" s="5"/>
      <c r="D1143" s="5"/>
      <c r="E1143" s="5"/>
      <c r="F1143" s="5"/>
      <c r="G1143" s="5"/>
      <c r="H1143" s="5"/>
      <c r="I1143" s="5"/>
      <c r="J1143" s="5"/>
      <c r="L1143" s="277"/>
      <c r="M1143" s="5"/>
      <c r="R1143" s="5"/>
      <c r="S1143" s="5"/>
      <c r="T1143" s="1120"/>
      <c r="U1143" s="5"/>
      <c r="V1143" s="5"/>
      <c r="W1143" s="5"/>
      <c r="X1143" s="1120"/>
      <c r="Y1143" s="1120"/>
      <c r="Z1143" s="5"/>
      <c r="AA1143" s="5"/>
      <c r="AB1143" s="1135"/>
      <c r="AC1143" s="5"/>
      <c r="AD1143" s="5"/>
      <c r="AE1143" s="5"/>
      <c r="AF1143" s="1120"/>
      <c r="AG1143" s="1148"/>
      <c r="AH1143" s="1120"/>
      <c r="AI1143" s="1120"/>
      <c r="AJ1143" s="1120"/>
    </row>
    <row r="1144" spans="2:36" ht="30" customHeight="1" x14ac:dyDescent="0.25">
      <c r="B1144" s="5"/>
      <c r="C1144" s="5"/>
      <c r="D1144" s="5"/>
      <c r="E1144" s="5"/>
      <c r="F1144" s="5"/>
      <c r="G1144" s="5"/>
      <c r="H1144" s="5"/>
      <c r="I1144" s="5"/>
      <c r="J1144" s="5"/>
      <c r="L1144" s="277"/>
      <c r="M1144" s="5"/>
      <c r="R1144" s="5"/>
      <c r="S1144" s="5"/>
      <c r="T1144" s="1120"/>
      <c r="U1144" s="5"/>
      <c r="V1144" s="5"/>
      <c r="W1144" s="5"/>
      <c r="X1144" s="1120"/>
      <c r="Y1144" s="1120"/>
      <c r="Z1144" s="5"/>
      <c r="AA1144" s="5"/>
      <c r="AB1144" s="1135"/>
      <c r="AC1144" s="5"/>
      <c r="AD1144" s="5"/>
      <c r="AE1144" s="5"/>
      <c r="AF1144" s="1120"/>
      <c r="AG1144" s="1148"/>
      <c r="AH1144" s="1120"/>
      <c r="AI1144" s="1120"/>
      <c r="AJ1144" s="1120"/>
    </row>
    <row r="1145" spans="2:36" ht="30" customHeight="1" x14ac:dyDescent="0.25">
      <c r="B1145" s="5"/>
      <c r="C1145" s="5"/>
      <c r="D1145" s="5"/>
      <c r="E1145" s="5"/>
      <c r="F1145" s="5"/>
      <c r="G1145" s="5"/>
      <c r="H1145" s="5"/>
      <c r="I1145" s="5"/>
      <c r="J1145" s="5"/>
      <c r="L1145" s="277"/>
      <c r="M1145" s="5"/>
      <c r="R1145" s="5"/>
      <c r="S1145" s="5"/>
      <c r="T1145" s="1120"/>
      <c r="U1145" s="5"/>
      <c r="V1145" s="5"/>
      <c r="W1145" s="5"/>
      <c r="X1145" s="1120"/>
      <c r="Y1145" s="1120"/>
      <c r="Z1145" s="5"/>
      <c r="AA1145" s="5"/>
      <c r="AB1145" s="1135"/>
      <c r="AC1145" s="5"/>
      <c r="AD1145" s="5"/>
      <c r="AE1145" s="5"/>
      <c r="AF1145" s="1120"/>
      <c r="AG1145" s="1148"/>
      <c r="AH1145" s="1120"/>
      <c r="AI1145" s="1120"/>
      <c r="AJ1145" s="1120"/>
    </row>
    <row r="1146" spans="2:36" ht="30" customHeight="1" x14ac:dyDescent="0.25">
      <c r="B1146" s="5"/>
      <c r="C1146" s="5"/>
      <c r="D1146" s="5"/>
      <c r="E1146" s="5"/>
      <c r="F1146" s="5"/>
      <c r="G1146" s="5"/>
      <c r="H1146" s="5"/>
      <c r="I1146" s="5"/>
      <c r="J1146" s="5"/>
      <c r="L1146" s="277"/>
      <c r="M1146" s="5"/>
      <c r="R1146" s="5"/>
      <c r="S1146" s="5"/>
      <c r="T1146" s="1120"/>
      <c r="U1146" s="5"/>
      <c r="V1146" s="5"/>
      <c r="W1146" s="5"/>
      <c r="X1146" s="1120"/>
      <c r="Y1146" s="1120"/>
      <c r="Z1146" s="5"/>
      <c r="AA1146" s="5"/>
      <c r="AB1146" s="1135"/>
      <c r="AC1146" s="5"/>
      <c r="AD1146" s="5"/>
      <c r="AE1146" s="5"/>
      <c r="AF1146" s="1120"/>
      <c r="AG1146" s="1148"/>
      <c r="AH1146" s="1120"/>
      <c r="AI1146" s="1120"/>
      <c r="AJ1146" s="1120"/>
    </row>
    <row r="1147" spans="2:36" ht="30" customHeight="1" x14ac:dyDescent="0.25">
      <c r="B1147" s="5"/>
      <c r="C1147" s="5"/>
      <c r="D1147" s="5"/>
      <c r="E1147" s="5"/>
      <c r="F1147" s="5"/>
      <c r="G1147" s="5"/>
      <c r="H1147" s="5"/>
      <c r="I1147" s="5"/>
      <c r="J1147" s="5"/>
      <c r="L1147" s="277"/>
      <c r="M1147" s="5"/>
      <c r="R1147" s="5"/>
      <c r="S1147" s="5"/>
      <c r="T1147" s="1120"/>
      <c r="U1147" s="5"/>
      <c r="V1147" s="5"/>
      <c r="W1147" s="5"/>
      <c r="X1147" s="1120"/>
      <c r="Y1147" s="1120"/>
      <c r="Z1147" s="5"/>
      <c r="AA1147" s="5"/>
      <c r="AB1147" s="1135"/>
      <c r="AC1147" s="5"/>
      <c r="AD1147" s="5"/>
      <c r="AE1147" s="5"/>
      <c r="AF1147" s="1120"/>
      <c r="AG1147" s="1148"/>
      <c r="AH1147" s="1120"/>
      <c r="AI1147" s="1120"/>
      <c r="AJ1147" s="1120"/>
    </row>
    <row r="1148" spans="2:36" ht="30" customHeight="1" x14ac:dyDescent="0.25">
      <c r="B1148" s="5"/>
      <c r="C1148" s="5"/>
      <c r="D1148" s="5"/>
      <c r="E1148" s="5"/>
      <c r="F1148" s="5"/>
      <c r="G1148" s="5"/>
      <c r="H1148" s="5"/>
      <c r="I1148" s="5"/>
      <c r="J1148" s="5"/>
      <c r="L1148" s="277"/>
      <c r="M1148" s="5"/>
      <c r="R1148" s="5"/>
      <c r="S1148" s="5"/>
      <c r="T1148" s="1120"/>
      <c r="U1148" s="5"/>
      <c r="V1148" s="5"/>
      <c r="W1148" s="5"/>
      <c r="X1148" s="1120"/>
      <c r="Y1148" s="1120"/>
      <c r="Z1148" s="5"/>
      <c r="AA1148" s="5"/>
      <c r="AB1148" s="1135"/>
      <c r="AC1148" s="5"/>
      <c r="AD1148" s="5"/>
      <c r="AE1148" s="5"/>
      <c r="AF1148" s="1120"/>
      <c r="AG1148" s="1148"/>
      <c r="AH1148" s="1120"/>
      <c r="AI1148" s="1120"/>
      <c r="AJ1148" s="1120"/>
    </row>
    <row r="1149" spans="2:36" ht="30" customHeight="1" x14ac:dyDescent="0.25">
      <c r="B1149" s="5"/>
      <c r="C1149" s="5"/>
      <c r="D1149" s="5"/>
      <c r="E1149" s="5"/>
      <c r="F1149" s="5"/>
      <c r="G1149" s="5"/>
      <c r="H1149" s="5"/>
      <c r="I1149" s="5"/>
      <c r="J1149" s="5"/>
      <c r="L1149" s="277"/>
      <c r="M1149" s="5"/>
      <c r="R1149" s="5"/>
      <c r="S1149" s="5"/>
      <c r="T1149" s="1120"/>
      <c r="U1149" s="5"/>
      <c r="V1149" s="5"/>
      <c r="W1149" s="5"/>
      <c r="X1149" s="1120"/>
      <c r="Y1149" s="1120"/>
      <c r="Z1149" s="5"/>
      <c r="AA1149" s="5"/>
      <c r="AB1149" s="1135"/>
      <c r="AC1149" s="5"/>
      <c r="AD1149" s="5"/>
      <c r="AE1149" s="5"/>
      <c r="AF1149" s="1120"/>
      <c r="AG1149" s="1148"/>
      <c r="AH1149" s="1120"/>
      <c r="AI1149" s="1120"/>
      <c r="AJ1149" s="1120"/>
    </row>
    <row r="1150" spans="2:36" ht="30" customHeight="1" x14ac:dyDescent="0.25">
      <c r="B1150" s="5"/>
      <c r="C1150" s="5"/>
      <c r="D1150" s="5"/>
      <c r="E1150" s="5"/>
      <c r="F1150" s="5"/>
      <c r="G1150" s="5"/>
      <c r="H1150" s="5"/>
      <c r="I1150" s="5"/>
      <c r="J1150" s="5"/>
      <c r="L1150" s="277"/>
      <c r="M1150" s="5"/>
      <c r="R1150" s="5"/>
      <c r="S1150" s="5"/>
      <c r="T1150" s="1120"/>
      <c r="U1150" s="5"/>
      <c r="V1150" s="5"/>
      <c r="W1150" s="5"/>
      <c r="X1150" s="1120"/>
      <c r="Y1150" s="1120"/>
      <c r="Z1150" s="5"/>
      <c r="AA1150" s="5"/>
      <c r="AB1150" s="1135"/>
      <c r="AC1150" s="5"/>
      <c r="AD1150" s="5"/>
      <c r="AE1150" s="5"/>
      <c r="AF1150" s="1120"/>
      <c r="AG1150" s="1148"/>
      <c r="AH1150" s="1120"/>
      <c r="AI1150" s="1120"/>
      <c r="AJ1150" s="1120"/>
    </row>
    <row r="1151" spans="2:36" ht="30" customHeight="1" x14ac:dyDescent="0.25">
      <c r="B1151" s="5"/>
      <c r="C1151" s="5"/>
      <c r="D1151" s="5"/>
      <c r="E1151" s="5"/>
      <c r="F1151" s="5"/>
      <c r="G1151" s="5"/>
      <c r="H1151" s="5"/>
      <c r="I1151" s="5"/>
      <c r="J1151" s="5"/>
      <c r="L1151" s="277"/>
      <c r="M1151" s="5"/>
      <c r="R1151" s="5"/>
      <c r="S1151" s="5"/>
      <c r="T1151" s="1120"/>
      <c r="U1151" s="5"/>
      <c r="V1151" s="5"/>
      <c r="W1151" s="5"/>
      <c r="X1151" s="1120"/>
      <c r="Y1151" s="1120"/>
      <c r="Z1151" s="5"/>
      <c r="AA1151" s="5"/>
      <c r="AB1151" s="1135"/>
      <c r="AC1151" s="5"/>
      <c r="AD1151" s="5"/>
      <c r="AE1151" s="5"/>
      <c r="AF1151" s="1120"/>
      <c r="AG1151" s="1148"/>
      <c r="AH1151" s="1120"/>
      <c r="AI1151" s="1120"/>
      <c r="AJ1151" s="1120"/>
    </row>
    <row r="1152" spans="2:36" ht="30" customHeight="1" x14ac:dyDescent="0.25">
      <c r="B1152" s="5"/>
      <c r="C1152" s="5"/>
      <c r="D1152" s="5"/>
      <c r="E1152" s="5"/>
      <c r="F1152" s="5"/>
      <c r="G1152" s="5"/>
      <c r="H1152" s="5"/>
      <c r="I1152" s="5"/>
      <c r="J1152" s="5"/>
      <c r="L1152" s="277"/>
      <c r="M1152" s="5"/>
      <c r="R1152" s="5"/>
      <c r="S1152" s="5"/>
      <c r="T1152" s="1120"/>
      <c r="U1152" s="5"/>
      <c r="V1152" s="5"/>
      <c r="W1152" s="5"/>
      <c r="X1152" s="1120"/>
      <c r="Y1152" s="1120"/>
      <c r="Z1152" s="5"/>
      <c r="AA1152" s="5"/>
      <c r="AB1152" s="1135"/>
      <c r="AC1152" s="5"/>
      <c r="AD1152" s="5"/>
      <c r="AE1152" s="5"/>
      <c r="AF1152" s="1120"/>
      <c r="AG1152" s="1148"/>
      <c r="AH1152" s="1120"/>
      <c r="AI1152" s="1120"/>
      <c r="AJ1152" s="1120"/>
    </row>
    <row r="1153" spans="2:36" ht="30" customHeight="1" x14ac:dyDescent="0.25">
      <c r="B1153" s="5"/>
      <c r="C1153" s="5"/>
      <c r="D1153" s="5"/>
      <c r="E1153" s="5"/>
      <c r="F1153" s="5"/>
      <c r="G1153" s="5"/>
      <c r="H1153" s="5"/>
      <c r="I1153" s="5"/>
      <c r="J1153" s="5"/>
      <c r="L1153" s="277"/>
      <c r="M1153" s="5"/>
      <c r="R1153" s="5"/>
      <c r="S1153" s="5"/>
      <c r="T1153" s="1120"/>
      <c r="U1153" s="5"/>
      <c r="V1153" s="5"/>
      <c r="W1153" s="5"/>
      <c r="X1153" s="1120"/>
      <c r="Y1153" s="1120"/>
      <c r="Z1153" s="5"/>
      <c r="AA1153" s="5"/>
      <c r="AB1153" s="1135"/>
      <c r="AC1153" s="5"/>
      <c r="AD1153" s="5"/>
      <c r="AE1153" s="5"/>
      <c r="AF1153" s="1120"/>
      <c r="AG1153" s="1148"/>
      <c r="AH1153" s="1120"/>
      <c r="AI1153" s="1120"/>
      <c r="AJ1153" s="1120"/>
    </row>
    <row r="1154" spans="2:36" ht="30" customHeight="1" x14ac:dyDescent="0.25">
      <c r="B1154" s="5"/>
      <c r="C1154" s="5"/>
      <c r="D1154" s="5"/>
      <c r="E1154" s="5"/>
      <c r="F1154" s="5"/>
      <c r="G1154" s="5"/>
      <c r="H1154" s="5"/>
      <c r="I1154" s="5"/>
      <c r="J1154" s="5"/>
      <c r="L1154" s="277"/>
      <c r="M1154" s="5"/>
      <c r="R1154" s="5"/>
      <c r="S1154" s="5"/>
      <c r="T1154" s="1120"/>
      <c r="U1154" s="5"/>
      <c r="V1154" s="5"/>
      <c r="W1154" s="5"/>
      <c r="X1154" s="1120"/>
      <c r="Y1154" s="1120"/>
      <c r="Z1154" s="5"/>
      <c r="AA1154" s="5"/>
      <c r="AB1154" s="1135"/>
      <c r="AC1154" s="5"/>
      <c r="AD1154" s="5"/>
      <c r="AE1154" s="5"/>
      <c r="AF1154" s="1120"/>
      <c r="AG1154" s="1148"/>
      <c r="AH1154" s="1120"/>
      <c r="AI1154" s="1120"/>
      <c r="AJ1154" s="1120"/>
    </row>
    <row r="1155" spans="2:36" ht="30" customHeight="1" x14ac:dyDescent="0.25">
      <c r="B1155" s="5"/>
      <c r="C1155" s="5"/>
      <c r="D1155" s="5"/>
      <c r="E1155" s="5"/>
      <c r="F1155" s="5"/>
      <c r="G1155" s="5"/>
      <c r="H1155" s="5"/>
      <c r="I1155" s="5"/>
      <c r="J1155" s="5"/>
      <c r="L1155" s="277"/>
      <c r="M1155" s="5"/>
      <c r="R1155" s="5"/>
      <c r="S1155" s="5"/>
      <c r="T1155" s="1120"/>
      <c r="U1155" s="5"/>
      <c r="V1155" s="5"/>
      <c r="W1155" s="5"/>
      <c r="X1155" s="1120"/>
      <c r="Y1155" s="1120"/>
      <c r="Z1155" s="5"/>
      <c r="AA1155" s="5"/>
      <c r="AB1155" s="1135"/>
      <c r="AC1155" s="5"/>
      <c r="AD1155" s="5"/>
      <c r="AE1155" s="5"/>
      <c r="AF1155" s="1120"/>
      <c r="AG1155" s="1148"/>
      <c r="AH1155" s="1120"/>
      <c r="AI1155" s="1120"/>
      <c r="AJ1155" s="1120"/>
    </row>
    <row r="1156" spans="2:36" ht="30" customHeight="1" x14ac:dyDescent="0.25">
      <c r="B1156" s="5"/>
      <c r="C1156" s="5"/>
      <c r="D1156" s="5"/>
      <c r="E1156" s="5"/>
      <c r="F1156" s="5"/>
      <c r="G1156" s="5"/>
      <c r="H1156" s="5"/>
      <c r="I1156" s="5"/>
      <c r="J1156" s="5"/>
      <c r="L1156" s="277"/>
      <c r="M1156" s="5"/>
      <c r="R1156" s="5"/>
      <c r="S1156" s="5"/>
      <c r="T1156" s="1120"/>
      <c r="U1156" s="5"/>
      <c r="V1156" s="5"/>
      <c r="W1156" s="5"/>
      <c r="X1156" s="1120"/>
      <c r="Y1156" s="1120"/>
      <c r="Z1156" s="5"/>
      <c r="AA1156" s="5"/>
      <c r="AB1156" s="1135"/>
      <c r="AC1156" s="5"/>
      <c r="AD1156" s="5"/>
      <c r="AE1156" s="5"/>
      <c r="AF1156" s="1120"/>
      <c r="AG1156" s="1148"/>
      <c r="AH1156" s="1120"/>
      <c r="AI1156" s="1120"/>
      <c r="AJ1156" s="1120"/>
    </row>
    <row r="1157" spans="2:36" ht="30" customHeight="1" x14ac:dyDescent="0.25">
      <c r="B1157" s="5"/>
      <c r="C1157" s="5"/>
      <c r="D1157" s="5"/>
      <c r="E1157" s="5"/>
      <c r="F1157" s="5"/>
      <c r="G1157" s="5"/>
      <c r="H1157" s="5"/>
      <c r="I1157" s="5"/>
      <c r="J1157" s="5"/>
      <c r="L1157" s="277"/>
      <c r="M1157" s="5"/>
      <c r="R1157" s="5"/>
      <c r="S1157" s="5"/>
      <c r="T1157" s="1120"/>
      <c r="U1157" s="5"/>
      <c r="V1157" s="5"/>
      <c r="W1157" s="5"/>
      <c r="X1157" s="1120"/>
      <c r="Y1157" s="1120"/>
      <c r="Z1157" s="5"/>
      <c r="AA1157" s="5"/>
      <c r="AB1157" s="1135"/>
      <c r="AC1157" s="5"/>
      <c r="AD1157" s="5"/>
      <c r="AE1157" s="5"/>
      <c r="AF1157" s="1120"/>
      <c r="AG1157" s="1148"/>
      <c r="AH1157" s="1120"/>
      <c r="AI1157" s="1120"/>
      <c r="AJ1157" s="1120"/>
    </row>
    <row r="1158" spans="2:36" ht="30" customHeight="1" x14ac:dyDescent="0.25">
      <c r="B1158" s="5"/>
      <c r="C1158" s="5"/>
      <c r="D1158" s="5"/>
      <c r="E1158" s="5"/>
      <c r="F1158" s="5"/>
      <c r="G1158" s="5"/>
      <c r="H1158" s="5"/>
      <c r="I1158" s="5"/>
      <c r="J1158" s="5"/>
      <c r="L1158" s="277"/>
      <c r="M1158" s="5"/>
      <c r="R1158" s="5"/>
      <c r="S1158" s="5"/>
      <c r="T1158" s="1120"/>
      <c r="U1158" s="5"/>
      <c r="V1158" s="5"/>
      <c r="W1158" s="5"/>
      <c r="X1158" s="1120"/>
      <c r="Y1158" s="1120"/>
      <c r="Z1158" s="5"/>
      <c r="AA1158" s="5"/>
      <c r="AB1158" s="1135"/>
      <c r="AC1158" s="5"/>
      <c r="AD1158" s="5"/>
      <c r="AE1158" s="5"/>
      <c r="AF1158" s="1120"/>
      <c r="AG1158" s="1148"/>
      <c r="AH1158" s="1120"/>
      <c r="AI1158" s="1120"/>
      <c r="AJ1158" s="1120"/>
    </row>
    <row r="1159" spans="2:36" ht="30" customHeight="1" x14ac:dyDescent="0.25">
      <c r="B1159" s="5"/>
      <c r="C1159" s="5"/>
      <c r="D1159" s="5"/>
      <c r="E1159" s="5"/>
      <c r="F1159" s="5"/>
      <c r="G1159" s="5"/>
      <c r="H1159" s="5"/>
      <c r="I1159" s="5"/>
      <c r="J1159" s="5"/>
      <c r="L1159" s="277"/>
      <c r="M1159" s="5"/>
      <c r="R1159" s="5"/>
      <c r="S1159" s="5"/>
      <c r="T1159" s="1120"/>
      <c r="U1159" s="5"/>
      <c r="V1159" s="5"/>
      <c r="W1159" s="5"/>
      <c r="X1159" s="1120"/>
      <c r="Y1159" s="1120"/>
      <c r="Z1159" s="5"/>
      <c r="AA1159" s="5"/>
      <c r="AB1159" s="1135"/>
      <c r="AC1159" s="5"/>
      <c r="AD1159" s="5"/>
      <c r="AE1159" s="5"/>
      <c r="AF1159" s="1120"/>
      <c r="AG1159" s="1148"/>
      <c r="AH1159" s="1120"/>
      <c r="AI1159" s="1120"/>
      <c r="AJ1159" s="1120"/>
    </row>
    <row r="1160" spans="2:36" ht="30" customHeight="1" x14ac:dyDescent="0.25">
      <c r="B1160" s="5"/>
      <c r="C1160" s="5"/>
      <c r="D1160" s="5"/>
      <c r="E1160" s="5"/>
      <c r="F1160" s="5"/>
      <c r="G1160" s="5"/>
      <c r="H1160" s="5"/>
      <c r="I1160" s="5"/>
      <c r="J1160" s="5"/>
      <c r="L1160" s="277"/>
      <c r="M1160" s="5"/>
      <c r="R1160" s="5"/>
      <c r="S1160" s="5"/>
      <c r="T1160" s="1120"/>
      <c r="U1160" s="5"/>
      <c r="V1160" s="5"/>
      <c r="W1160" s="5"/>
      <c r="X1160" s="1120"/>
      <c r="Y1160" s="1120"/>
      <c r="Z1160" s="5"/>
      <c r="AA1160" s="5"/>
      <c r="AB1160" s="1135"/>
      <c r="AC1160" s="5"/>
      <c r="AD1160" s="5"/>
      <c r="AE1160" s="5"/>
      <c r="AF1160" s="1120"/>
      <c r="AG1160" s="1148"/>
      <c r="AH1160" s="1120"/>
      <c r="AI1160" s="1120"/>
      <c r="AJ1160" s="1120"/>
    </row>
    <row r="1161" spans="2:36" ht="30" customHeight="1" x14ac:dyDescent="0.25">
      <c r="B1161" s="5"/>
      <c r="C1161" s="5"/>
      <c r="D1161" s="5"/>
      <c r="E1161" s="5"/>
      <c r="F1161" s="5"/>
      <c r="G1161" s="5"/>
      <c r="H1161" s="5"/>
      <c r="I1161" s="5"/>
      <c r="J1161" s="5"/>
      <c r="L1161" s="277"/>
      <c r="M1161" s="5"/>
      <c r="R1161" s="5"/>
      <c r="S1161" s="5"/>
      <c r="T1161" s="1120"/>
      <c r="U1161" s="5"/>
      <c r="V1161" s="5"/>
      <c r="W1161" s="5"/>
      <c r="X1161" s="1120"/>
      <c r="Y1161" s="1120"/>
      <c r="Z1161" s="5"/>
      <c r="AA1161" s="5"/>
      <c r="AB1161" s="1135"/>
      <c r="AC1161" s="5"/>
      <c r="AD1161" s="5"/>
      <c r="AE1161" s="5"/>
      <c r="AF1161" s="1120"/>
      <c r="AG1161" s="1148"/>
      <c r="AH1161" s="1120"/>
      <c r="AI1161" s="1120"/>
      <c r="AJ1161" s="1120"/>
    </row>
    <row r="1162" spans="2:36" ht="30" customHeight="1" x14ac:dyDescent="0.25">
      <c r="B1162" s="5"/>
      <c r="C1162" s="5"/>
      <c r="D1162" s="5"/>
      <c r="E1162" s="5"/>
      <c r="F1162" s="5"/>
      <c r="G1162" s="5"/>
      <c r="H1162" s="5"/>
      <c r="I1162" s="5"/>
      <c r="J1162" s="5"/>
      <c r="L1162" s="277"/>
      <c r="M1162" s="5"/>
      <c r="R1162" s="5"/>
      <c r="S1162" s="5"/>
      <c r="T1162" s="1120"/>
      <c r="U1162" s="5"/>
      <c r="V1162" s="5"/>
      <c r="W1162" s="5"/>
      <c r="X1162" s="1120"/>
      <c r="Y1162" s="1120"/>
      <c r="Z1162" s="5"/>
      <c r="AA1162" s="5"/>
      <c r="AB1162" s="1135"/>
      <c r="AC1162" s="5"/>
      <c r="AD1162" s="5"/>
      <c r="AE1162" s="5"/>
      <c r="AF1162" s="1120"/>
      <c r="AG1162" s="1148"/>
      <c r="AH1162" s="1120"/>
      <c r="AI1162" s="1120"/>
      <c r="AJ1162" s="1120"/>
    </row>
    <row r="1163" spans="2:36" ht="30" customHeight="1" x14ac:dyDescent="0.25">
      <c r="B1163" s="5"/>
      <c r="C1163" s="5"/>
      <c r="D1163" s="5"/>
      <c r="E1163" s="5"/>
      <c r="F1163" s="5"/>
      <c r="G1163" s="5"/>
      <c r="H1163" s="5"/>
      <c r="I1163" s="5"/>
      <c r="J1163" s="5"/>
      <c r="L1163" s="277"/>
      <c r="M1163" s="5"/>
      <c r="R1163" s="5"/>
      <c r="S1163" s="5"/>
      <c r="T1163" s="1120"/>
      <c r="U1163" s="5"/>
      <c r="V1163" s="5"/>
      <c r="W1163" s="5"/>
      <c r="X1163" s="1120"/>
      <c r="Y1163" s="1120"/>
      <c r="Z1163" s="5"/>
      <c r="AA1163" s="5"/>
      <c r="AB1163" s="1135"/>
      <c r="AC1163" s="5"/>
      <c r="AD1163" s="5"/>
      <c r="AE1163" s="5"/>
      <c r="AF1163" s="1120"/>
      <c r="AG1163" s="1148"/>
      <c r="AH1163" s="1120"/>
      <c r="AI1163" s="1120"/>
      <c r="AJ1163" s="1120"/>
    </row>
    <row r="1164" spans="2:36" ht="30" customHeight="1" x14ac:dyDescent="0.25">
      <c r="B1164" s="5"/>
      <c r="C1164" s="5"/>
      <c r="D1164" s="5"/>
      <c r="E1164" s="5"/>
      <c r="F1164" s="5"/>
      <c r="G1164" s="5"/>
      <c r="H1164" s="5"/>
      <c r="I1164" s="5"/>
      <c r="J1164" s="5"/>
      <c r="L1164" s="277"/>
      <c r="M1164" s="5"/>
      <c r="R1164" s="5"/>
      <c r="S1164" s="5"/>
      <c r="T1164" s="1120"/>
      <c r="U1164" s="5"/>
      <c r="V1164" s="5"/>
      <c r="W1164" s="5"/>
      <c r="X1164" s="1120"/>
      <c r="Y1164" s="1120"/>
      <c r="Z1164" s="5"/>
      <c r="AA1164" s="5"/>
      <c r="AB1164" s="1135"/>
      <c r="AC1164" s="5"/>
      <c r="AD1164" s="5"/>
      <c r="AE1164" s="5"/>
      <c r="AF1164" s="1120"/>
      <c r="AG1164" s="1148"/>
      <c r="AH1164" s="1120"/>
      <c r="AI1164" s="1120"/>
      <c r="AJ1164" s="1120"/>
    </row>
    <row r="1165" spans="2:36" ht="30" customHeight="1" x14ac:dyDescent="0.25">
      <c r="B1165" s="5"/>
      <c r="C1165" s="5"/>
      <c r="D1165" s="5"/>
      <c r="E1165" s="5"/>
      <c r="F1165" s="5"/>
      <c r="G1165" s="5"/>
      <c r="H1165" s="5"/>
      <c r="I1165" s="5"/>
      <c r="J1165" s="5"/>
      <c r="L1165" s="277"/>
      <c r="M1165" s="5"/>
      <c r="R1165" s="5"/>
      <c r="S1165" s="5"/>
      <c r="T1165" s="1120"/>
      <c r="U1165" s="5"/>
      <c r="V1165" s="5"/>
      <c r="W1165" s="5"/>
      <c r="X1165" s="1120"/>
      <c r="Y1165" s="1120"/>
      <c r="Z1165" s="5"/>
      <c r="AA1165" s="5"/>
      <c r="AB1165" s="1135"/>
      <c r="AC1165" s="5"/>
      <c r="AD1165" s="5"/>
      <c r="AE1165" s="5"/>
      <c r="AF1165" s="1120"/>
      <c r="AG1165" s="1148"/>
      <c r="AH1165" s="1120"/>
      <c r="AI1165" s="1120"/>
      <c r="AJ1165" s="1120"/>
    </row>
    <row r="1166" spans="2:36" ht="30" customHeight="1" x14ac:dyDescent="0.25">
      <c r="B1166" s="5"/>
      <c r="C1166" s="5"/>
      <c r="D1166" s="5"/>
      <c r="E1166" s="5"/>
      <c r="F1166" s="5"/>
      <c r="G1166" s="5"/>
      <c r="H1166" s="5"/>
      <c r="I1166" s="5"/>
      <c r="J1166" s="5"/>
      <c r="L1166" s="277"/>
      <c r="M1166" s="5"/>
      <c r="R1166" s="5"/>
      <c r="S1166" s="5"/>
      <c r="T1166" s="1120"/>
      <c r="U1166" s="5"/>
      <c r="V1166" s="5"/>
      <c r="W1166" s="5"/>
      <c r="X1166" s="1120"/>
      <c r="Y1166" s="1120"/>
      <c r="Z1166" s="5"/>
      <c r="AA1166" s="5"/>
      <c r="AB1166" s="1135"/>
      <c r="AC1166" s="5"/>
      <c r="AD1166" s="5"/>
      <c r="AE1166" s="5"/>
      <c r="AF1166" s="1120"/>
      <c r="AG1166" s="1148"/>
      <c r="AH1166" s="1120"/>
      <c r="AI1166" s="1120"/>
      <c r="AJ1166" s="1120"/>
    </row>
    <row r="1167" spans="2:36" ht="30" customHeight="1" x14ac:dyDescent="0.25">
      <c r="B1167" s="5"/>
      <c r="C1167" s="5"/>
      <c r="D1167" s="5"/>
      <c r="E1167" s="5"/>
      <c r="F1167" s="5"/>
      <c r="G1167" s="5"/>
      <c r="H1167" s="5"/>
      <c r="I1167" s="5"/>
      <c r="J1167" s="5"/>
      <c r="L1167" s="277"/>
      <c r="M1167" s="5"/>
      <c r="R1167" s="5"/>
      <c r="S1167" s="5"/>
      <c r="T1167" s="1120"/>
      <c r="U1167" s="5"/>
      <c r="V1167" s="5"/>
      <c r="W1167" s="5"/>
      <c r="X1167" s="1120"/>
      <c r="Y1167" s="1120"/>
      <c r="Z1167" s="5"/>
      <c r="AA1167" s="5"/>
      <c r="AB1167" s="1135"/>
      <c r="AC1167" s="5"/>
      <c r="AD1167" s="5"/>
      <c r="AE1167" s="5"/>
      <c r="AF1167" s="1120"/>
      <c r="AG1167" s="1148"/>
      <c r="AH1167" s="1120"/>
      <c r="AI1167" s="1120"/>
      <c r="AJ1167" s="1120"/>
    </row>
    <row r="1168" spans="2:36" ht="30" customHeight="1" x14ac:dyDescent="0.25">
      <c r="B1168" s="5"/>
      <c r="C1168" s="5"/>
      <c r="D1168" s="5"/>
      <c r="E1168" s="5"/>
      <c r="F1168" s="5"/>
      <c r="G1168" s="5"/>
      <c r="H1168" s="5"/>
      <c r="I1168" s="5"/>
      <c r="J1168" s="5"/>
      <c r="L1168" s="277"/>
      <c r="M1168" s="5"/>
      <c r="R1168" s="5"/>
      <c r="S1168" s="5"/>
      <c r="T1168" s="1120"/>
      <c r="U1168" s="5"/>
      <c r="V1168" s="5"/>
      <c r="W1168" s="5"/>
      <c r="X1168" s="1120"/>
      <c r="Y1168" s="1120"/>
      <c r="Z1168" s="5"/>
      <c r="AA1168" s="5"/>
      <c r="AB1168" s="1135"/>
      <c r="AC1168" s="5"/>
      <c r="AD1168" s="5"/>
      <c r="AE1168" s="5"/>
      <c r="AF1168" s="1120"/>
      <c r="AG1168" s="1148"/>
      <c r="AH1168" s="1120"/>
      <c r="AI1168" s="1120"/>
      <c r="AJ1168" s="1120"/>
    </row>
    <row r="1169" spans="2:36" ht="30" customHeight="1" x14ac:dyDescent="0.25">
      <c r="B1169" s="5"/>
      <c r="C1169" s="5"/>
      <c r="D1169" s="5"/>
      <c r="E1169" s="5"/>
      <c r="F1169" s="5"/>
      <c r="G1169" s="5"/>
      <c r="H1169" s="5"/>
      <c r="I1169" s="5"/>
      <c r="J1169" s="5"/>
      <c r="L1169" s="277"/>
      <c r="M1169" s="5"/>
      <c r="R1169" s="5"/>
      <c r="S1169" s="5"/>
      <c r="T1169" s="1120"/>
      <c r="U1169" s="5"/>
      <c r="V1169" s="5"/>
      <c r="W1169" s="5"/>
      <c r="X1169" s="1120"/>
      <c r="Y1169" s="1120"/>
      <c r="Z1169" s="5"/>
      <c r="AA1169" s="5"/>
      <c r="AB1169" s="1135"/>
      <c r="AC1169" s="5"/>
      <c r="AD1169" s="5"/>
      <c r="AE1169" s="5"/>
      <c r="AF1169" s="1120"/>
      <c r="AG1169" s="1148"/>
      <c r="AH1169" s="1120"/>
      <c r="AI1169" s="1120"/>
      <c r="AJ1169" s="1120"/>
    </row>
    <row r="1170" spans="2:36" ht="30" customHeight="1" x14ac:dyDescent="0.25">
      <c r="B1170" s="5"/>
      <c r="C1170" s="5"/>
      <c r="D1170" s="5"/>
      <c r="E1170" s="5"/>
      <c r="F1170" s="5"/>
      <c r="G1170" s="5"/>
      <c r="H1170" s="5"/>
      <c r="I1170" s="5"/>
      <c r="J1170" s="5"/>
      <c r="L1170" s="277"/>
      <c r="M1170" s="5"/>
      <c r="R1170" s="5"/>
      <c r="S1170" s="5"/>
      <c r="T1170" s="1120"/>
      <c r="U1170" s="5"/>
      <c r="V1170" s="5"/>
      <c r="W1170" s="5"/>
      <c r="X1170" s="1120"/>
      <c r="Y1170" s="1120"/>
      <c r="Z1170" s="5"/>
      <c r="AA1170" s="5"/>
      <c r="AB1170" s="1135"/>
      <c r="AC1170" s="5"/>
      <c r="AD1170" s="5"/>
      <c r="AE1170" s="5"/>
      <c r="AF1170" s="1120"/>
      <c r="AG1170" s="1148"/>
      <c r="AH1170" s="1120"/>
      <c r="AI1170" s="1120"/>
      <c r="AJ1170" s="1120"/>
    </row>
    <row r="1171" spans="2:36" ht="30" customHeight="1" x14ac:dyDescent="0.25">
      <c r="B1171" s="5"/>
      <c r="C1171" s="5"/>
      <c r="D1171" s="5"/>
      <c r="E1171" s="5"/>
      <c r="F1171" s="5"/>
      <c r="G1171" s="5"/>
      <c r="H1171" s="5"/>
      <c r="I1171" s="5"/>
      <c r="J1171" s="5"/>
      <c r="L1171" s="277"/>
      <c r="M1171" s="5"/>
      <c r="R1171" s="5"/>
      <c r="S1171" s="5"/>
      <c r="T1171" s="1120"/>
      <c r="U1171" s="5"/>
      <c r="V1171" s="5"/>
      <c r="W1171" s="5"/>
      <c r="X1171" s="1120"/>
      <c r="Y1171" s="1120"/>
      <c r="Z1171" s="5"/>
      <c r="AA1171" s="5"/>
      <c r="AB1171" s="1135"/>
      <c r="AC1171" s="5"/>
      <c r="AD1171" s="5"/>
      <c r="AE1171" s="5"/>
      <c r="AF1171" s="1120"/>
      <c r="AG1171" s="1148"/>
      <c r="AH1171" s="1120"/>
      <c r="AI1171" s="1120"/>
      <c r="AJ1171" s="1120"/>
    </row>
    <row r="1172" spans="2:36" ht="30" customHeight="1" x14ac:dyDescent="0.25">
      <c r="B1172" s="5"/>
      <c r="C1172" s="5"/>
      <c r="D1172" s="5"/>
      <c r="E1172" s="5"/>
      <c r="F1172" s="5"/>
      <c r="G1172" s="5"/>
      <c r="H1172" s="5"/>
      <c r="I1172" s="5"/>
      <c r="J1172" s="5"/>
      <c r="L1172" s="277"/>
      <c r="M1172" s="5"/>
      <c r="R1172" s="5"/>
      <c r="S1172" s="5"/>
      <c r="T1172" s="1120"/>
      <c r="U1172" s="5"/>
      <c r="V1172" s="5"/>
      <c r="W1172" s="5"/>
      <c r="X1172" s="1120"/>
      <c r="Y1172" s="1120"/>
      <c r="Z1172" s="5"/>
      <c r="AA1172" s="5"/>
      <c r="AB1172" s="1135"/>
      <c r="AC1172" s="5"/>
      <c r="AD1172" s="5"/>
      <c r="AE1172" s="5"/>
      <c r="AF1172" s="1120"/>
      <c r="AG1172" s="1148"/>
      <c r="AH1172" s="1120"/>
      <c r="AI1172" s="1120"/>
      <c r="AJ1172" s="1120"/>
    </row>
    <row r="1173" spans="2:36" ht="30" customHeight="1" x14ac:dyDescent="0.25">
      <c r="B1173" s="5"/>
      <c r="C1173" s="5"/>
      <c r="D1173" s="5"/>
      <c r="E1173" s="5"/>
      <c r="F1173" s="5"/>
      <c r="G1173" s="5"/>
      <c r="H1173" s="5"/>
      <c r="I1173" s="5"/>
      <c r="J1173" s="5"/>
      <c r="L1173" s="277"/>
      <c r="M1173" s="5"/>
      <c r="R1173" s="5"/>
      <c r="S1173" s="5"/>
      <c r="T1173" s="1120"/>
      <c r="U1173" s="5"/>
      <c r="V1173" s="5"/>
      <c r="W1173" s="5"/>
      <c r="X1173" s="1120"/>
      <c r="Y1173" s="1120"/>
      <c r="Z1173" s="5"/>
      <c r="AA1173" s="5"/>
      <c r="AB1173" s="1135"/>
      <c r="AC1173" s="5"/>
      <c r="AD1173" s="5"/>
      <c r="AE1173" s="5"/>
      <c r="AF1173" s="1120"/>
      <c r="AG1173" s="1148"/>
      <c r="AH1173" s="1120"/>
      <c r="AI1173" s="1120"/>
      <c r="AJ1173" s="1120"/>
    </row>
    <row r="1174" spans="2:36" ht="30" customHeight="1" x14ac:dyDescent="0.25">
      <c r="B1174" s="5"/>
      <c r="C1174" s="5"/>
      <c r="D1174" s="5"/>
      <c r="E1174" s="5"/>
      <c r="F1174" s="5"/>
      <c r="G1174" s="5"/>
      <c r="H1174" s="5"/>
      <c r="I1174" s="5"/>
      <c r="J1174" s="5"/>
      <c r="L1174" s="277"/>
      <c r="M1174" s="5"/>
      <c r="R1174" s="5"/>
      <c r="S1174" s="5"/>
      <c r="T1174" s="1120"/>
      <c r="U1174" s="5"/>
      <c r="V1174" s="5"/>
      <c r="W1174" s="5"/>
      <c r="X1174" s="1120"/>
      <c r="Y1174" s="1120"/>
      <c r="Z1174" s="5"/>
      <c r="AA1174" s="5"/>
      <c r="AB1174" s="1135"/>
      <c r="AC1174" s="5"/>
      <c r="AD1174" s="5"/>
      <c r="AE1174" s="5"/>
      <c r="AF1174" s="1120"/>
      <c r="AG1174" s="1148"/>
      <c r="AH1174" s="1120"/>
      <c r="AI1174" s="1120"/>
      <c r="AJ1174" s="1120"/>
    </row>
    <row r="1175" spans="2:36" ht="30" customHeight="1" x14ac:dyDescent="0.25">
      <c r="B1175" s="5"/>
      <c r="C1175" s="5"/>
      <c r="D1175" s="5"/>
      <c r="E1175" s="5"/>
      <c r="F1175" s="5"/>
      <c r="G1175" s="5"/>
      <c r="H1175" s="5"/>
      <c r="I1175" s="5"/>
      <c r="J1175" s="5"/>
      <c r="L1175" s="277"/>
      <c r="M1175" s="5"/>
      <c r="R1175" s="5"/>
      <c r="S1175" s="5"/>
      <c r="T1175" s="1120"/>
      <c r="U1175" s="5"/>
      <c r="V1175" s="5"/>
      <c r="W1175" s="5"/>
      <c r="X1175" s="1120"/>
      <c r="Y1175" s="1120"/>
      <c r="Z1175" s="5"/>
      <c r="AA1175" s="5"/>
      <c r="AB1175" s="1135"/>
      <c r="AC1175" s="5"/>
      <c r="AD1175" s="5"/>
      <c r="AE1175" s="5"/>
      <c r="AF1175" s="1120"/>
      <c r="AG1175" s="1148"/>
      <c r="AH1175" s="1120"/>
      <c r="AI1175" s="1120"/>
      <c r="AJ1175" s="1120"/>
    </row>
    <row r="1176" spans="2:36" ht="30" customHeight="1" x14ac:dyDescent="0.25">
      <c r="B1176" s="5"/>
      <c r="C1176" s="5"/>
      <c r="D1176" s="5"/>
      <c r="E1176" s="5"/>
      <c r="F1176" s="5"/>
      <c r="G1176" s="5"/>
      <c r="H1176" s="5"/>
      <c r="I1176" s="5"/>
      <c r="J1176" s="5"/>
      <c r="L1176" s="277"/>
      <c r="M1176" s="5"/>
      <c r="R1176" s="5"/>
      <c r="S1176" s="5"/>
      <c r="T1176" s="1120"/>
      <c r="U1176" s="5"/>
      <c r="V1176" s="5"/>
      <c r="W1176" s="5"/>
      <c r="X1176" s="1120"/>
      <c r="Y1176" s="1120"/>
      <c r="Z1176" s="5"/>
      <c r="AA1176" s="5"/>
      <c r="AB1176" s="1135"/>
      <c r="AC1176" s="5"/>
      <c r="AD1176" s="5"/>
      <c r="AE1176" s="5"/>
      <c r="AF1176" s="1120"/>
      <c r="AG1176" s="1148"/>
      <c r="AH1176" s="1120"/>
      <c r="AI1176" s="1120"/>
      <c r="AJ1176" s="1120"/>
    </row>
    <row r="1177" spans="2:36" ht="30" customHeight="1" x14ac:dyDescent="0.25">
      <c r="B1177" s="5"/>
      <c r="C1177" s="5"/>
      <c r="D1177" s="5"/>
      <c r="E1177" s="5"/>
      <c r="F1177" s="5"/>
      <c r="G1177" s="5"/>
      <c r="H1177" s="5"/>
      <c r="I1177" s="5"/>
      <c r="J1177" s="5"/>
      <c r="L1177" s="277"/>
      <c r="M1177" s="5"/>
      <c r="R1177" s="5"/>
      <c r="S1177" s="5"/>
      <c r="T1177" s="1120"/>
      <c r="U1177" s="5"/>
      <c r="V1177" s="5"/>
      <c r="W1177" s="5"/>
      <c r="X1177" s="1120"/>
      <c r="Y1177" s="1120"/>
      <c r="Z1177" s="5"/>
      <c r="AA1177" s="5"/>
      <c r="AB1177" s="1135"/>
      <c r="AC1177" s="5"/>
      <c r="AD1177" s="5"/>
      <c r="AE1177" s="5"/>
      <c r="AF1177" s="1120"/>
      <c r="AG1177" s="1148"/>
      <c r="AH1177" s="1120"/>
      <c r="AI1177" s="1120"/>
      <c r="AJ1177" s="1120"/>
    </row>
    <row r="1178" spans="2:36" ht="30" customHeight="1" x14ac:dyDescent="0.25">
      <c r="B1178" s="5"/>
      <c r="C1178" s="5"/>
      <c r="D1178" s="5"/>
      <c r="E1178" s="5"/>
      <c r="F1178" s="5"/>
      <c r="G1178" s="5"/>
      <c r="H1178" s="5"/>
      <c r="I1178" s="5"/>
      <c r="J1178" s="5"/>
      <c r="L1178" s="277"/>
      <c r="M1178" s="5"/>
      <c r="R1178" s="5"/>
      <c r="S1178" s="5"/>
      <c r="T1178" s="1120"/>
      <c r="U1178" s="5"/>
      <c r="V1178" s="5"/>
      <c r="W1178" s="5"/>
      <c r="X1178" s="1120"/>
      <c r="Y1178" s="1120"/>
      <c r="Z1178" s="5"/>
      <c r="AA1178" s="5"/>
      <c r="AB1178" s="1135"/>
      <c r="AC1178" s="5"/>
      <c r="AD1178" s="5"/>
      <c r="AE1178" s="5"/>
      <c r="AF1178" s="1120"/>
      <c r="AG1178" s="1148"/>
      <c r="AH1178" s="1120"/>
      <c r="AI1178" s="1120"/>
      <c r="AJ1178" s="1120"/>
    </row>
    <row r="1179" spans="2:36" ht="30" customHeight="1" x14ac:dyDescent="0.25">
      <c r="B1179" s="5"/>
      <c r="C1179" s="5"/>
      <c r="D1179" s="5"/>
      <c r="E1179" s="5"/>
      <c r="F1179" s="5"/>
      <c r="G1179" s="5"/>
      <c r="H1179" s="5"/>
      <c r="I1179" s="5"/>
      <c r="J1179" s="5"/>
      <c r="L1179" s="277"/>
      <c r="M1179" s="5"/>
      <c r="R1179" s="5"/>
      <c r="S1179" s="5"/>
      <c r="T1179" s="1120"/>
      <c r="U1179" s="5"/>
      <c r="V1179" s="5"/>
      <c r="W1179" s="5"/>
      <c r="X1179" s="1120"/>
      <c r="Y1179" s="1120"/>
      <c r="Z1179" s="5"/>
      <c r="AA1179" s="5"/>
      <c r="AB1179" s="1135"/>
      <c r="AC1179" s="5"/>
      <c r="AD1179" s="5"/>
      <c r="AE1179" s="5"/>
      <c r="AF1179" s="1120"/>
      <c r="AG1179" s="1148"/>
      <c r="AH1179" s="1120"/>
      <c r="AI1179" s="1120"/>
      <c r="AJ1179" s="1120"/>
    </row>
    <row r="1180" spans="2:36" ht="30" customHeight="1" x14ac:dyDescent="0.25">
      <c r="B1180" s="5"/>
      <c r="C1180" s="5"/>
      <c r="D1180" s="5"/>
      <c r="E1180" s="5"/>
      <c r="F1180" s="5"/>
      <c r="G1180" s="5"/>
      <c r="H1180" s="5"/>
      <c r="I1180" s="5"/>
      <c r="J1180" s="5"/>
      <c r="L1180" s="277"/>
      <c r="M1180" s="5"/>
      <c r="R1180" s="5"/>
      <c r="S1180" s="5"/>
      <c r="T1180" s="1120"/>
      <c r="U1180" s="5"/>
      <c r="V1180" s="5"/>
      <c r="W1180" s="5"/>
      <c r="X1180" s="1120"/>
      <c r="Y1180" s="1120"/>
      <c r="Z1180" s="5"/>
      <c r="AA1180" s="5"/>
      <c r="AB1180" s="1135"/>
      <c r="AC1180" s="5"/>
      <c r="AD1180" s="5"/>
      <c r="AE1180" s="5"/>
      <c r="AF1180" s="1120"/>
      <c r="AG1180" s="1148"/>
      <c r="AH1180" s="1120"/>
      <c r="AI1180" s="1120"/>
      <c r="AJ1180" s="1120"/>
    </row>
    <row r="1181" spans="2:36" ht="30" customHeight="1" x14ac:dyDescent="0.25">
      <c r="B1181" s="5"/>
      <c r="C1181" s="5"/>
      <c r="D1181" s="5"/>
      <c r="E1181" s="5"/>
      <c r="F1181" s="5"/>
      <c r="G1181" s="5"/>
      <c r="H1181" s="5"/>
      <c r="I1181" s="5"/>
      <c r="J1181" s="5"/>
      <c r="L1181" s="277"/>
      <c r="M1181" s="5"/>
      <c r="R1181" s="5"/>
      <c r="S1181" s="5"/>
      <c r="T1181" s="1120"/>
      <c r="U1181" s="5"/>
      <c r="V1181" s="5"/>
      <c r="W1181" s="5"/>
      <c r="X1181" s="1120"/>
      <c r="Y1181" s="1120"/>
      <c r="Z1181" s="5"/>
      <c r="AA1181" s="5"/>
      <c r="AB1181" s="1135"/>
      <c r="AC1181" s="5"/>
      <c r="AD1181" s="5"/>
      <c r="AE1181" s="5"/>
      <c r="AF1181" s="1120"/>
      <c r="AG1181" s="1148"/>
      <c r="AH1181" s="1120"/>
      <c r="AI1181" s="1120"/>
      <c r="AJ1181" s="1120"/>
    </row>
    <row r="1182" spans="2:36" ht="30" customHeight="1" x14ac:dyDescent="0.25">
      <c r="B1182" s="5"/>
      <c r="C1182" s="5"/>
      <c r="D1182" s="5"/>
      <c r="E1182" s="5"/>
      <c r="F1182" s="5"/>
      <c r="G1182" s="5"/>
      <c r="H1182" s="5"/>
      <c r="I1182" s="5"/>
      <c r="J1182" s="5"/>
      <c r="L1182" s="277"/>
      <c r="M1182" s="5"/>
      <c r="R1182" s="5"/>
      <c r="S1182" s="5"/>
      <c r="T1182" s="1120"/>
      <c r="U1182" s="5"/>
      <c r="V1182" s="5"/>
      <c r="W1182" s="5"/>
      <c r="X1182" s="1120"/>
      <c r="Y1182" s="1120"/>
      <c r="Z1182" s="5"/>
      <c r="AA1182" s="5"/>
      <c r="AB1182" s="1135"/>
      <c r="AC1182" s="5"/>
      <c r="AD1182" s="5"/>
      <c r="AE1182" s="5"/>
      <c r="AF1182" s="1120"/>
      <c r="AG1182" s="1148"/>
      <c r="AH1182" s="1120"/>
      <c r="AI1182" s="1120"/>
      <c r="AJ1182" s="1120"/>
    </row>
    <row r="1183" spans="2:36" ht="30" customHeight="1" x14ac:dyDescent="0.25">
      <c r="B1183" s="5"/>
      <c r="C1183" s="5"/>
      <c r="D1183" s="5"/>
      <c r="E1183" s="5"/>
      <c r="F1183" s="5"/>
      <c r="G1183" s="5"/>
      <c r="H1183" s="5"/>
      <c r="I1183" s="5"/>
      <c r="J1183" s="5"/>
      <c r="L1183" s="277"/>
      <c r="M1183" s="5"/>
      <c r="R1183" s="5"/>
      <c r="S1183" s="5"/>
      <c r="T1183" s="1120"/>
      <c r="U1183" s="5"/>
      <c r="V1183" s="5"/>
      <c r="W1183" s="5"/>
      <c r="X1183" s="1120"/>
      <c r="Y1183" s="1120"/>
      <c r="Z1183" s="5"/>
      <c r="AA1183" s="5"/>
      <c r="AB1183" s="1135"/>
      <c r="AC1183" s="5"/>
      <c r="AD1183" s="5"/>
      <c r="AE1183" s="5"/>
      <c r="AF1183" s="1120"/>
      <c r="AG1183" s="1148"/>
      <c r="AH1183" s="1120"/>
      <c r="AI1183" s="1120"/>
      <c r="AJ1183" s="1120"/>
    </row>
    <row r="1184" spans="2:36" ht="30" customHeight="1" x14ac:dyDescent="0.25">
      <c r="B1184" s="5"/>
      <c r="C1184" s="5"/>
      <c r="D1184" s="5"/>
      <c r="E1184" s="5"/>
      <c r="F1184" s="5"/>
      <c r="G1184" s="5"/>
      <c r="H1184" s="5"/>
      <c r="I1184" s="5"/>
      <c r="J1184" s="5"/>
      <c r="L1184" s="277"/>
      <c r="M1184" s="5"/>
      <c r="R1184" s="5"/>
      <c r="S1184" s="5"/>
      <c r="T1184" s="1120"/>
      <c r="U1184" s="5"/>
      <c r="V1184" s="5"/>
      <c r="W1184" s="5"/>
      <c r="X1184" s="1120"/>
      <c r="Y1184" s="1120"/>
      <c r="Z1184" s="5"/>
      <c r="AA1184" s="5"/>
      <c r="AB1184" s="1135"/>
      <c r="AC1184" s="5"/>
      <c r="AD1184" s="5"/>
      <c r="AE1184" s="5"/>
      <c r="AF1184" s="1120"/>
      <c r="AG1184" s="1148"/>
      <c r="AH1184" s="1120"/>
      <c r="AI1184" s="1120"/>
      <c r="AJ1184" s="1120"/>
    </row>
    <row r="1185" spans="2:36" ht="30" customHeight="1" x14ac:dyDescent="0.25">
      <c r="B1185" s="5"/>
      <c r="C1185" s="5"/>
      <c r="D1185" s="5"/>
      <c r="E1185" s="5"/>
      <c r="F1185" s="5"/>
      <c r="G1185" s="5"/>
      <c r="H1185" s="5"/>
      <c r="I1185" s="5"/>
      <c r="J1185" s="5"/>
      <c r="L1185" s="277"/>
      <c r="M1185" s="5"/>
      <c r="R1185" s="5"/>
      <c r="S1185" s="5"/>
      <c r="T1185" s="1120"/>
      <c r="U1185" s="5"/>
      <c r="V1185" s="5"/>
      <c r="W1185" s="5"/>
      <c r="X1185" s="1120"/>
      <c r="Y1185" s="1120"/>
      <c r="Z1185" s="5"/>
      <c r="AA1185" s="5"/>
      <c r="AB1185" s="1135"/>
      <c r="AC1185" s="5"/>
      <c r="AD1185" s="5"/>
      <c r="AE1185" s="5"/>
      <c r="AF1185" s="1120"/>
      <c r="AG1185" s="1148"/>
      <c r="AH1185" s="1120"/>
      <c r="AI1185" s="1120"/>
      <c r="AJ1185" s="1120"/>
    </row>
    <row r="1186" spans="2:36" ht="30" customHeight="1" x14ac:dyDescent="0.25">
      <c r="B1186" s="5"/>
      <c r="C1186" s="5"/>
      <c r="D1186" s="5"/>
      <c r="E1186" s="5"/>
      <c r="F1186" s="5"/>
      <c r="G1186" s="5"/>
      <c r="H1186" s="5"/>
      <c r="I1186" s="5"/>
      <c r="J1186" s="5"/>
      <c r="L1186" s="277"/>
      <c r="M1186" s="5"/>
      <c r="R1186" s="5"/>
      <c r="S1186" s="5"/>
      <c r="T1186" s="1120"/>
      <c r="U1186" s="5"/>
      <c r="V1186" s="5"/>
      <c r="W1186" s="5"/>
      <c r="X1186" s="1120"/>
      <c r="Y1186" s="1120"/>
      <c r="Z1186" s="5"/>
      <c r="AA1186" s="5"/>
      <c r="AB1186" s="1135"/>
      <c r="AC1186" s="5"/>
      <c r="AD1186" s="5"/>
      <c r="AE1186" s="5"/>
      <c r="AF1186" s="1120"/>
      <c r="AG1186" s="1148"/>
      <c r="AH1186" s="1120"/>
      <c r="AI1186" s="1120"/>
      <c r="AJ1186" s="1120"/>
    </row>
    <row r="1187" spans="2:36" ht="30" customHeight="1" x14ac:dyDescent="0.25">
      <c r="B1187" s="5"/>
      <c r="C1187" s="5"/>
      <c r="D1187" s="5"/>
      <c r="E1187" s="5"/>
      <c r="F1187" s="5"/>
      <c r="G1187" s="5"/>
      <c r="H1187" s="5"/>
      <c r="I1187" s="5"/>
      <c r="J1187" s="5"/>
      <c r="L1187" s="277"/>
      <c r="M1187" s="5"/>
      <c r="R1187" s="5"/>
      <c r="S1187" s="5"/>
      <c r="T1187" s="1120"/>
      <c r="U1187" s="5"/>
      <c r="V1187" s="5"/>
      <c r="W1187" s="5"/>
      <c r="X1187" s="1120"/>
      <c r="Y1187" s="1120"/>
      <c r="Z1187" s="5"/>
      <c r="AA1187" s="5"/>
      <c r="AB1187" s="1135"/>
      <c r="AC1187" s="5"/>
      <c r="AD1187" s="5"/>
      <c r="AE1187" s="5"/>
      <c r="AF1187" s="1120"/>
      <c r="AG1187" s="1148"/>
      <c r="AH1187" s="1120"/>
      <c r="AI1187" s="1120"/>
      <c r="AJ1187" s="1120"/>
    </row>
    <row r="1188" spans="2:36" ht="30" customHeight="1" x14ac:dyDescent="0.25">
      <c r="B1188" s="5"/>
      <c r="C1188" s="5"/>
      <c r="D1188" s="5"/>
      <c r="E1188" s="5"/>
      <c r="F1188" s="5"/>
      <c r="G1188" s="5"/>
      <c r="H1188" s="5"/>
      <c r="I1188" s="5"/>
      <c r="J1188" s="5"/>
      <c r="L1188" s="277"/>
      <c r="M1188" s="5"/>
      <c r="R1188" s="5"/>
      <c r="S1188" s="5"/>
      <c r="T1188" s="1120"/>
      <c r="U1188" s="5"/>
      <c r="V1188" s="5"/>
      <c r="W1188" s="5"/>
      <c r="X1188" s="1120"/>
      <c r="Y1188" s="1120"/>
      <c r="Z1188" s="5"/>
      <c r="AA1188" s="5"/>
      <c r="AB1188" s="1135"/>
      <c r="AC1188" s="5"/>
      <c r="AD1188" s="5"/>
      <c r="AE1188" s="5"/>
      <c r="AF1188" s="1120"/>
      <c r="AG1188" s="1148"/>
      <c r="AH1188" s="1120"/>
      <c r="AI1188" s="1120"/>
      <c r="AJ1188" s="1120"/>
    </row>
    <row r="1189" spans="2:36" ht="30" customHeight="1" x14ac:dyDescent="0.25">
      <c r="B1189" s="5"/>
      <c r="C1189" s="5"/>
      <c r="D1189" s="5"/>
      <c r="E1189" s="5"/>
      <c r="F1189" s="5"/>
      <c r="G1189" s="5"/>
      <c r="H1189" s="5"/>
      <c r="I1189" s="5"/>
      <c r="J1189" s="5"/>
      <c r="L1189" s="277"/>
      <c r="M1189" s="5"/>
      <c r="R1189" s="5"/>
      <c r="S1189" s="5"/>
      <c r="T1189" s="1120"/>
      <c r="U1189" s="5"/>
      <c r="V1189" s="5"/>
      <c r="W1189" s="5"/>
      <c r="X1189" s="1120"/>
      <c r="Y1189" s="1120"/>
      <c r="Z1189" s="5"/>
      <c r="AA1189" s="5"/>
      <c r="AB1189" s="1135"/>
      <c r="AC1189" s="5"/>
      <c r="AD1189" s="5"/>
      <c r="AE1189" s="5"/>
      <c r="AF1189" s="1120"/>
      <c r="AG1189" s="1148"/>
      <c r="AH1189" s="1120"/>
      <c r="AI1189" s="1120"/>
      <c r="AJ1189" s="1120"/>
    </row>
    <row r="1190" spans="2:36" ht="30" customHeight="1" x14ac:dyDescent="0.25">
      <c r="B1190" s="5"/>
      <c r="C1190" s="5"/>
      <c r="D1190" s="5"/>
      <c r="E1190" s="5"/>
      <c r="F1190" s="5"/>
      <c r="G1190" s="5"/>
      <c r="H1190" s="5"/>
      <c r="I1190" s="5"/>
      <c r="J1190" s="5"/>
      <c r="L1190" s="277"/>
      <c r="M1190" s="5"/>
      <c r="R1190" s="5"/>
      <c r="S1190" s="5"/>
      <c r="T1190" s="1120"/>
      <c r="U1190" s="5"/>
      <c r="V1190" s="5"/>
      <c r="W1190" s="5"/>
      <c r="X1190" s="1120"/>
      <c r="Y1190" s="1120"/>
      <c r="Z1190" s="5"/>
      <c r="AA1190" s="5"/>
      <c r="AB1190" s="1135"/>
      <c r="AC1190" s="5"/>
      <c r="AD1190" s="5"/>
      <c r="AE1190" s="5"/>
      <c r="AF1190" s="1120"/>
      <c r="AG1190" s="1148"/>
      <c r="AH1190" s="1120"/>
      <c r="AI1190" s="1120"/>
      <c r="AJ1190" s="1120"/>
    </row>
    <row r="1191" spans="2:36" ht="30" customHeight="1" x14ac:dyDescent="0.25">
      <c r="B1191" s="5"/>
      <c r="C1191" s="5"/>
      <c r="D1191" s="5"/>
      <c r="E1191" s="5"/>
      <c r="F1191" s="5"/>
      <c r="G1191" s="5"/>
      <c r="H1191" s="5"/>
      <c r="I1191" s="5"/>
      <c r="J1191" s="5"/>
      <c r="L1191" s="277"/>
      <c r="M1191" s="5"/>
      <c r="R1191" s="5"/>
      <c r="S1191" s="5"/>
      <c r="T1191" s="1120"/>
      <c r="U1191" s="5"/>
      <c r="V1191" s="5"/>
      <c r="W1191" s="5"/>
      <c r="X1191" s="1120"/>
      <c r="Y1191" s="1120"/>
      <c r="Z1191" s="5"/>
      <c r="AA1191" s="5"/>
      <c r="AB1191" s="1135"/>
      <c r="AC1191" s="5"/>
      <c r="AD1191" s="5"/>
      <c r="AE1191" s="5"/>
      <c r="AF1191" s="1120"/>
      <c r="AG1191" s="1148"/>
      <c r="AH1191" s="1120"/>
      <c r="AI1191" s="1120"/>
      <c r="AJ1191" s="1120"/>
    </row>
    <row r="1192" spans="2:36" ht="30" customHeight="1" x14ac:dyDescent="0.25">
      <c r="B1192" s="5"/>
      <c r="C1192" s="5"/>
      <c r="D1192" s="5"/>
      <c r="E1192" s="5"/>
      <c r="F1192" s="5"/>
      <c r="G1192" s="5"/>
      <c r="H1192" s="5"/>
      <c r="I1192" s="5"/>
      <c r="J1192" s="5"/>
      <c r="L1192" s="277"/>
      <c r="M1192" s="5"/>
      <c r="R1192" s="5"/>
      <c r="S1192" s="5"/>
      <c r="T1192" s="1120"/>
      <c r="U1192" s="5"/>
      <c r="V1192" s="5"/>
      <c r="W1192" s="5"/>
      <c r="X1192" s="1120"/>
      <c r="Y1192" s="1120"/>
      <c r="Z1192" s="5"/>
      <c r="AA1192" s="5"/>
      <c r="AB1192" s="1135"/>
      <c r="AC1192" s="5"/>
      <c r="AD1192" s="5"/>
      <c r="AE1192" s="5"/>
      <c r="AF1192" s="1120"/>
      <c r="AG1192" s="1148"/>
      <c r="AH1192" s="1120"/>
      <c r="AI1192" s="1120"/>
      <c r="AJ1192" s="1120"/>
    </row>
    <row r="1193" spans="2:36" ht="30" customHeight="1" x14ac:dyDescent="0.25">
      <c r="B1193" s="5"/>
      <c r="C1193" s="5"/>
      <c r="D1193" s="5"/>
      <c r="E1193" s="5"/>
      <c r="F1193" s="5"/>
      <c r="G1193" s="5"/>
      <c r="H1193" s="5"/>
      <c r="I1193" s="5"/>
      <c r="J1193" s="5"/>
      <c r="L1193" s="277"/>
      <c r="M1193" s="5"/>
      <c r="R1193" s="5"/>
      <c r="S1193" s="5"/>
      <c r="T1193" s="1120"/>
      <c r="U1193" s="5"/>
      <c r="V1193" s="5"/>
      <c r="W1193" s="5"/>
      <c r="X1193" s="1120"/>
      <c r="Y1193" s="1120"/>
      <c r="Z1193" s="5"/>
      <c r="AA1193" s="5"/>
      <c r="AB1193" s="1135"/>
      <c r="AC1193" s="5"/>
      <c r="AD1193" s="5"/>
      <c r="AE1193" s="5"/>
      <c r="AF1193" s="1120"/>
      <c r="AG1193" s="1148"/>
      <c r="AH1193" s="1120"/>
      <c r="AI1193" s="1120"/>
      <c r="AJ1193" s="1120"/>
    </row>
    <row r="1194" spans="2:36" ht="30" customHeight="1" x14ac:dyDescent="0.25">
      <c r="B1194" s="5"/>
      <c r="C1194" s="5"/>
      <c r="D1194" s="5"/>
      <c r="E1194" s="5"/>
      <c r="F1194" s="5"/>
      <c r="G1194" s="5"/>
      <c r="H1194" s="5"/>
      <c r="I1194" s="5"/>
      <c r="J1194" s="5"/>
      <c r="L1194" s="277"/>
      <c r="M1194" s="5"/>
      <c r="R1194" s="5"/>
      <c r="S1194" s="5"/>
      <c r="T1194" s="1120"/>
      <c r="U1194" s="5"/>
      <c r="V1194" s="5"/>
      <c r="W1194" s="5"/>
      <c r="X1194" s="1120"/>
      <c r="Y1194" s="1120"/>
      <c r="Z1194" s="5"/>
      <c r="AA1194" s="5"/>
      <c r="AB1194" s="1135"/>
      <c r="AC1194" s="5"/>
      <c r="AD1194" s="5"/>
      <c r="AE1194" s="5"/>
      <c r="AF1194" s="1120"/>
      <c r="AG1194" s="1148"/>
      <c r="AH1194" s="1120"/>
      <c r="AI1194" s="1120"/>
      <c r="AJ1194" s="1120"/>
    </row>
    <row r="1195" spans="2:36" ht="30" customHeight="1" x14ac:dyDescent="0.25">
      <c r="B1195" s="5"/>
      <c r="C1195" s="5"/>
      <c r="D1195" s="5"/>
      <c r="E1195" s="5"/>
      <c r="F1195" s="5"/>
      <c r="G1195" s="5"/>
      <c r="H1195" s="5"/>
      <c r="I1195" s="5"/>
      <c r="J1195" s="5"/>
      <c r="L1195" s="277"/>
      <c r="M1195" s="5"/>
      <c r="R1195" s="5"/>
      <c r="S1195" s="5"/>
      <c r="T1195" s="1120"/>
      <c r="U1195" s="5"/>
      <c r="V1195" s="5"/>
      <c r="W1195" s="5"/>
      <c r="X1195" s="1120"/>
      <c r="Y1195" s="1120"/>
      <c r="Z1195" s="5"/>
      <c r="AA1195" s="5"/>
      <c r="AB1195" s="1135"/>
      <c r="AC1195" s="5"/>
      <c r="AD1195" s="5"/>
      <c r="AE1195" s="5"/>
      <c r="AF1195" s="1120"/>
      <c r="AG1195" s="1148"/>
      <c r="AH1195" s="1120"/>
      <c r="AI1195" s="1120"/>
      <c r="AJ1195" s="1120"/>
    </row>
    <row r="1196" spans="2:36" ht="30" customHeight="1" x14ac:dyDescent="0.25">
      <c r="B1196" s="5"/>
      <c r="C1196" s="5"/>
      <c r="D1196" s="5"/>
      <c r="E1196" s="5"/>
      <c r="F1196" s="5"/>
      <c r="G1196" s="5"/>
      <c r="H1196" s="5"/>
      <c r="I1196" s="5"/>
      <c r="J1196" s="5"/>
      <c r="L1196" s="277"/>
      <c r="M1196" s="5"/>
      <c r="R1196" s="5"/>
      <c r="S1196" s="5"/>
      <c r="T1196" s="1120"/>
      <c r="U1196" s="5"/>
      <c r="V1196" s="5"/>
      <c r="W1196" s="5"/>
      <c r="X1196" s="1120"/>
      <c r="Y1196" s="1120"/>
      <c r="Z1196" s="5"/>
      <c r="AA1196" s="5"/>
      <c r="AB1196" s="1135"/>
      <c r="AC1196" s="5"/>
      <c r="AD1196" s="5"/>
      <c r="AE1196" s="5"/>
      <c r="AF1196" s="1120"/>
      <c r="AG1196" s="1148"/>
      <c r="AH1196" s="1120"/>
      <c r="AI1196" s="1120"/>
      <c r="AJ1196" s="1120"/>
    </row>
    <row r="1197" spans="2:36" ht="30" customHeight="1" x14ac:dyDescent="0.25">
      <c r="B1197" s="5"/>
      <c r="C1197" s="5"/>
      <c r="D1197" s="5"/>
      <c r="E1197" s="5"/>
      <c r="F1197" s="5"/>
      <c r="G1197" s="5"/>
      <c r="H1197" s="5"/>
      <c r="I1197" s="5"/>
      <c r="J1197" s="5"/>
      <c r="L1197" s="277"/>
      <c r="M1197" s="5"/>
      <c r="R1197" s="5"/>
      <c r="S1197" s="5"/>
      <c r="T1197" s="1120"/>
      <c r="U1197" s="5"/>
      <c r="V1197" s="5"/>
      <c r="W1197" s="5"/>
      <c r="X1197" s="1120"/>
      <c r="Y1197" s="1120"/>
      <c r="Z1197" s="5"/>
      <c r="AA1197" s="5"/>
      <c r="AB1197" s="1135"/>
      <c r="AC1197" s="5"/>
      <c r="AD1197" s="5"/>
      <c r="AE1197" s="5"/>
      <c r="AF1197" s="1120"/>
      <c r="AG1197" s="1148"/>
      <c r="AH1197" s="1120"/>
      <c r="AI1197" s="1120"/>
      <c r="AJ1197" s="1120"/>
    </row>
    <row r="1198" spans="2:36" ht="30" customHeight="1" x14ac:dyDescent="0.25">
      <c r="B1198" s="5"/>
      <c r="C1198" s="5"/>
      <c r="D1198" s="5"/>
      <c r="E1198" s="5"/>
      <c r="F1198" s="5"/>
      <c r="G1198" s="5"/>
      <c r="H1198" s="5"/>
      <c r="I1198" s="5"/>
      <c r="J1198" s="5"/>
      <c r="L1198" s="277"/>
      <c r="M1198" s="5"/>
      <c r="R1198" s="5"/>
      <c r="S1198" s="5"/>
      <c r="T1198" s="1120"/>
      <c r="U1198" s="5"/>
      <c r="V1198" s="5"/>
      <c r="W1198" s="5"/>
      <c r="X1198" s="1120"/>
      <c r="Y1198" s="1120"/>
      <c r="Z1198" s="5"/>
      <c r="AA1198" s="5"/>
      <c r="AB1198" s="1135"/>
      <c r="AC1198" s="5"/>
      <c r="AD1198" s="5"/>
      <c r="AE1198" s="5"/>
      <c r="AF1198" s="1120"/>
      <c r="AG1198" s="1148"/>
      <c r="AH1198" s="1120"/>
      <c r="AI1198" s="1120"/>
      <c r="AJ1198" s="1120"/>
    </row>
    <row r="1199" spans="2:36" ht="30" customHeight="1" x14ac:dyDescent="0.25">
      <c r="B1199" s="5"/>
      <c r="C1199" s="5"/>
      <c r="D1199" s="5"/>
      <c r="E1199" s="5"/>
      <c r="F1199" s="5"/>
      <c r="G1199" s="5"/>
      <c r="H1199" s="5"/>
      <c r="I1199" s="5"/>
      <c r="J1199" s="5"/>
      <c r="L1199" s="277"/>
      <c r="M1199" s="5"/>
      <c r="R1199" s="5"/>
      <c r="S1199" s="5"/>
      <c r="T1199" s="1120"/>
      <c r="U1199" s="5"/>
      <c r="V1199" s="5"/>
      <c r="W1199" s="5"/>
      <c r="X1199" s="1120"/>
      <c r="Y1199" s="1120"/>
      <c r="Z1199" s="5"/>
      <c r="AA1199" s="5"/>
      <c r="AB1199" s="1135"/>
      <c r="AC1199" s="5"/>
      <c r="AD1199" s="5"/>
      <c r="AE1199" s="5"/>
      <c r="AF1199" s="1120"/>
      <c r="AG1199" s="1148"/>
      <c r="AH1199" s="1120"/>
      <c r="AI1199" s="1120"/>
      <c r="AJ1199" s="1120"/>
    </row>
    <row r="1200" spans="2:36" ht="30" customHeight="1" x14ac:dyDescent="0.25">
      <c r="B1200" s="5"/>
      <c r="C1200" s="5"/>
      <c r="D1200" s="5"/>
      <c r="E1200" s="5"/>
      <c r="F1200" s="5"/>
      <c r="G1200" s="5"/>
      <c r="H1200" s="5"/>
      <c r="I1200" s="5"/>
      <c r="J1200" s="5"/>
      <c r="L1200" s="277"/>
      <c r="M1200" s="5"/>
      <c r="R1200" s="5"/>
      <c r="S1200" s="5"/>
      <c r="T1200" s="1120"/>
      <c r="U1200" s="5"/>
      <c r="V1200" s="5"/>
      <c r="W1200" s="5"/>
      <c r="X1200" s="1120"/>
      <c r="Y1200" s="1120"/>
      <c r="Z1200" s="5"/>
      <c r="AA1200" s="5"/>
      <c r="AB1200" s="1135"/>
      <c r="AC1200" s="5"/>
      <c r="AD1200" s="5"/>
      <c r="AE1200" s="5"/>
      <c r="AF1200" s="1120"/>
      <c r="AG1200" s="1148"/>
      <c r="AH1200" s="1120"/>
      <c r="AI1200" s="1120"/>
      <c r="AJ1200" s="1120"/>
    </row>
    <row r="1201" spans="2:36" ht="30" customHeight="1" x14ac:dyDescent="0.25">
      <c r="B1201" s="5"/>
      <c r="C1201" s="5"/>
      <c r="D1201" s="5"/>
      <c r="E1201" s="5"/>
      <c r="F1201" s="5"/>
      <c r="G1201" s="5"/>
      <c r="H1201" s="5"/>
      <c r="I1201" s="5"/>
      <c r="J1201" s="5"/>
      <c r="L1201" s="277"/>
      <c r="M1201" s="5"/>
      <c r="R1201" s="5"/>
      <c r="S1201" s="5"/>
      <c r="T1201" s="1120"/>
      <c r="U1201" s="5"/>
      <c r="V1201" s="5"/>
      <c r="W1201" s="5"/>
      <c r="X1201" s="1120"/>
      <c r="Y1201" s="1120"/>
      <c r="Z1201" s="5"/>
      <c r="AA1201" s="5"/>
      <c r="AB1201" s="1135"/>
      <c r="AC1201" s="5"/>
      <c r="AD1201" s="5"/>
      <c r="AE1201" s="5"/>
      <c r="AF1201" s="1120"/>
      <c r="AG1201" s="1148"/>
      <c r="AH1201" s="1120"/>
      <c r="AI1201" s="1120"/>
      <c r="AJ1201" s="1120"/>
    </row>
    <row r="1202" spans="2:36" ht="30" customHeight="1" x14ac:dyDescent="0.25">
      <c r="B1202" s="5"/>
      <c r="C1202" s="5"/>
      <c r="D1202" s="5"/>
      <c r="E1202" s="5"/>
      <c r="F1202" s="5"/>
      <c r="G1202" s="5"/>
      <c r="H1202" s="5"/>
      <c r="I1202" s="5"/>
      <c r="J1202" s="5"/>
      <c r="L1202" s="277"/>
      <c r="M1202" s="5"/>
      <c r="R1202" s="5"/>
      <c r="S1202" s="5"/>
      <c r="T1202" s="1120"/>
      <c r="U1202" s="5"/>
      <c r="V1202" s="5"/>
      <c r="W1202" s="5"/>
      <c r="X1202" s="1120"/>
      <c r="Y1202" s="1120"/>
      <c r="Z1202" s="5"/>
      <c r="AA1202" s="5"/>
      <c r="AB1202" s="1135"/>
      <c r="AC1202" s="5"/>
      <c r="AD1202" s="5"/>
      <c r="AE1202" s="5"/>
      <c r="AF1202" s="1120"/>
      <c r="AG1202" s="1148"/>
      <c r="AH1202" s="1120"/>
      <c r="AI1202" s="1120"/>
      <c r="AJ1202" s="1120"/>
    </row>
    <row r="1203" spans="2:36" ht="30" customHeight="1" x14ac:dyDescent="0.25">
      <c r="B1203" s="5"/>
      <c r="C1203" s="5"/>
      <c r="D1203" s="5"/>
      <c r="E1203" s="5"/>
      <c r="F1203" s="5"/>
      <c r="G1203" s="5"/>
      <c r="H1203" s="5"/>
      <c r="I1203" s="5"/>
      <c r="J1203" s="5"/>
      <c r="L1203" s="277"/>
      <c r="M1203" s="5"/>
      <c r="R1203" s="5"/>
      <c r="S1203" s="5"/>
      <c r="T1203" s="1120"/>
      <c r="U1203" s="5"/>
      <c r="V1203" s="5"/>
      <c r="W1203" s="5"/>
      <c r="X1203" s="1120"/>
      <c r="Y1203" s="1120"/>
      <c r="Z1203" s="5"/>
      <c r="AA1203" s="5"/>
      <c r="AB1203" s="1135"/>
      <c r="AC1203" s="5"/>
      <c r="AD1203" s="5"/>
      <c r="AE1203" s="5"/>
      <c r="AF1203" s="1120"/>
      <c r="AG1203" s="1148"/>
      <c r="AH1203" s="1120"/>
      <c r="AI1203" s="1120"/>
      <c r="AJ1203" s="1120"/>
    </row>
    <row r="1204" spans="2:36" ht="30" customHeight="1" x14ac:dyDescent="0.25">
      <c r="B1204" s="5"/>
      <c r="C1204" s="5"/>
      <c r="D1204" s="5"/>
      <c r="E1204" s="5"/>
      <c r="F1204" s="5"/>
      <c r="G1204" s="5"/>
      <c r="H1204" s="5"/>
      <c r="I1204" s="5"/>
      <c r="J1204" s="5"/>
      <c r="L1204" s="277"/>
      <c r="M1204" s="5"/>
      <c r="R1204" s="5"/>
      <c r="S1204" s="5"/>
      <c r="T1204" s="1120"/>
      <c r="U1204" s="5"/>
      <c r="V1204" s="5"/>
      <c r="W1204" s="5"/>
      <c r="X1204" s="1120"/>
      <c r="Y1204" s="1120"/>
      <c r="Z1204" s="5"/>
      <c r="AA1204" s="5"/>
      <c r="AB1204" s="1135"/>
      <c r="AC1204" s="5"/>
      <c r="AD1204" s="5"/>
      <c r="AE1204" s="5"/>
      <c r="AF1204" s="1120"/>
      <c r="AG1204" s="1148"/>
      <c r="AH1204" s="1120"/>
      <c r="AI1204" s="1120"/>
      <c r="AJ1204" s="1120"/>
    </row>
    <row r="1205" spans="2:36" ht="30" customHeight="1" x14ac:dyDescent="0.25">
      <c r="B1205" s="5"/>
      <c r="C1205" s="5"/>
      <c r="D1205" s="5"/>
      <c r="E1205" s="5"/>
      <c r="F1205" s="5"/>
      <c r="G1205" s="5"/>
      <c r="H1205" s="5"/>
      <c r="I1205" s="5"/>
      <c r="J1205" s="5"/>
      <c r="L1205" s="277"/>
      <c r="M1205" s="5"/>
      <c r="R1205" s="5"/>
      <c r="S1205" s="5"/>
      <c r="T1205" s="1120"/>
      <c r="U1205" s="5"/>
      <c r="V1205" s="5"/>
      <c r="W1205" s="5"/>
      <c r="X1205" s="1120"/>
      <c r="Y1205" s="1120"/>
      <c r="Z1205" s="5"/>
      <c r="AA1205" s="5"/>
      <c r="AB1205" s="1135"/>
      <c r="AC1205" s="5"/>
      <c r="AD1205" s="5"/>
      <c r="AE1205" s="5"/>
      <c r="AF1205" s="1120"/>
      <c r="AG1205" s="1148"/>
      <c r="AH1205" s="1120"/>
      <c r="AI1205" s="1120"/>
      <c r="AJ1205" s="1120"/>
    </row>
    <row r="1206" spans="2:36" ht="30" customHeight="1" x14ac:dyDescent="0.25">
      <c r="B1206" s="5"/>
      <c r="C1206" s="5"/>
      <c r="D1206" s="5"/>
      <c r="E1206" s="5"/>
      <c r="F1206" s="5"/>
      <c r="G1206" s="5"/>
      <c r="H1206" s="5"/>
      <c r="I1206" s="5"/>
      <c r="J1206" s="5"/>
      <c r="L1206" s="277"/>
      <c r="M1206" s="5"/>
      <c r="R1206" s="5"/>
      <c r="S1206" s="5"/>
      <c r="T1206" s="1120"/>
      <c r="U1206" s="5"/>
      <c r="V1206" s="5"/>
      <c r="W1206" s="5"/>
      <c r="X1206" s="1120"/>
      <c r="Y1206" s="1120"/>
      <c r="Z1206" s="5"/>
      <c r="AA1206" s="5"/>
      <c r="AB1206" s="1135"/>
      <c r="AC1206" s="5"/>
      <c r="AD1206" s="5"/>
      <c r="AE1206" s="5"/>
      <c r="AF1206" s="1120"/>
      <c r="AG1206" s="1148"/>
      <c r="AH1206" s="1120"/>
      <c r="AI1206" s="1120"/>
      <c r="AJ1206" s="1120"/>
    </row>
    <row r="1207" spans="2:36" ht="30" customHeight="1" x14ac:dyDescent="0.25">
      <c r="B1207" s="5"/>
      <c r="C1207" s="5"/>
      <c r="D1207" s="5"/>
      <c r="E1207" s="5"/>
      <c r="F1207" s="5"/>
      <c r="G1207" s="5"/>
      <c r="H1207" s="5"/>
      <c r="I1207" s="5"/>
      <c r="J1207" s="5"/>
      <c r="L1207" s="277"/>
      <c r="M1207" s="5"/>
      <c r="R1207" s="5"/>
      <c r="S1207" s="5"/>
      <c r="T1207" s="1120"/>
      <c r="U1207" s="5"/>
      <c r="V1207" s="5"/>
      <c r="W1207" s="5"/>
      <c r="X1207" s="1120"/>
      <c r="Y1207" s="1120"/>
      <c r="Z1207" s="5"/>
      <c r="AA1207" s="5"/>
      <c r="AB1207" s="1135"/>
      <c r="AC1207" s="5"/>
      <c r="AD1207" s="5"/>
      <c r="AE1207" s="5"/>
      <c r="AF1207" s="1120"/>
      <c r="AG1207" s="1148"/>
      <c r="AH1207" s="1120"/>
      <c r="AI1207" s="1120"/>
      <c r="AJ1207" s="1120"/>
    </row>
    <row r="1208" spans="2:36" ht="30" customHeight="1" x14ac:dyDescent="0.25">
      <c r="B1208" s="5"/>
      <c r="C1208" s="5"/>
      <c r="D1208" s="5"/>
      <c r="E1208" s="5"/>
      <c r="F1208" s="5"/>
      <c r="G1208" s="5"/>
      <c r="H1208" s="5"/>
      <c r="I1208" s="5"/>
      <c r="J1208" s="5"/>
      <c r="L1208" s="277"/>
      <c r="M1208" s="5"/>
      <c r="R1208" s="5"/>
      <c r="S1208" s="5"/>
      <c r="T1208" s="1120"/>
      <c r="U1208" s="5"/>
      <c r="V1208" s="5"/>
      <c r="W1208" s="5"/>
      <c r="X1208" s="1120"/>
      <c r="Y1208" s="1120"/>
      <c r="Z1208" s="5"/>
      <c r="AA1208" s="5"/>
      <c r="AB1208" s="1135"/>
      <c r="AC1208" s="5"/>
      <c r="AD1208" s="5"/>
      <c r="AE1208" s="5"/>
      <c r="AF1208" s="1120"/>
      <c r="AG1208" s="1148"/>
      <c r="AH1208" s="1120"/>
      <c r="AI1208" s="1120"/>
      <c r="AJ1208" s="1120"/>
    </row>
    <row r="1209" spans="2:36" ht="30" customHeight="1" x14ac:dyDescent="0.25">
      <c r="B1209" s="5"/>
      <c r="C1209" s="5"/>
      <c r="D1209" s="5"/>
      <c r="E1209" s="5"/>
      <c r="F1209" s="5"/>
      <c r="G1209" s="5"/>
      <c r="H1209" s="5"/>
      <c r="I1209" s="5"/>
      <c r="J1209" s="5"/>
      <c r="L1209" s="277"/>
      <c r="M1209" s="5"/>
      <c r="R1209" s="5"/>
      <c r="S1209" s="5"/>
      <c r="T1209" s="1120"/>
      <c r="U1209" s="5"/>
      <c r="V1209" s="5"/>
      <c r="W1209" s="5"/>
      <c r="X1209" s="1120"/>
      <c r="Y1209" s="1120"/>
      <c r="Z1209" s="5"/>
      <c r="AA1209" s="5"/>
      <c r="AB1209" s="1135"/>
      <c r="AC1209" s="5"/>
      <c r="AD1209" s="5"/>
      <c r="AE1209" s="5"/>
      <c r="AF1209" s="1120"/>
      <c r="AG1209" s="1148"/>
      <c r="AH1209" s="1120"/>
      <c r="AI1209" s="1120"/>
      <c r="AJ1209" s="1120"/>
    </row>
    <row r="1210" spans="2:36" ht="30" customHeight="1" x14ac:dyDescent="0.25">
      <c r="B1210" s="5"/>
      <c r="C1210" s="5"/>
      <c r="D1210" s="5"/>
      <c r="E1210" s="5"/>
      <c r="F1210" s="5"/>
      <c r="G1210" s="5"/>
      <c r="H1210" s="5"/>
      <c r="I1210" s="5"/>
      <c r="J1210" s="5"/>
      <c r="L1210" s="277"/>
      <c r="M1210" s="5"/>
      <c r="R1210" s="5"/>
      <c r="S1210" s="5"/>
      <c r="T1210" s="1120"/>
      <c r="U1210" s="5"/>
      <c r="V1210" s="5"/>
      <c r="W1210" s="5"/>
      <c r="X1210" s="1120"/>
      <c r="Y1210" s="1120"/>
      <c r="Z1210" s="5"/>
      <c r="AA1210" s="5"/>
      <c r="AB1210" s="1135"/>
      <c r="AC1210" s="5"/>
      <c r="AD1210" s="5"/>
      <c r="AE1210" s="5"/>
      <c r="AF1210" s="1120"/>
      <c r="AG1210" s="1148"/>
      <c r="AH1210" s="1120"/>
      <c r="AI1210" s="1120"/>
      <c r="AJ1210" s="1120"/>
    </row>
    <row r="1211" spans="2:36" ht="30" customHeight="1" x14ac:dyDescent="0.25">
      <c r="B1211" s="5"/>
      <c r="C1211" s="5"/>
      <c r="D1211" s="5"/>
      <c r="E1211" s="5"/>
      <c r="F1211" s="5"/>
      <c r="G1211" s="5"/>
      <c r="H1211" s="5"/>
      <c r="I1211" s="5"/>
      <c r="J1211" s="5"/>
      <c r="L1211" s="277"/>
      <c r="M1211" s="5"/>
      <c r="R1211" s="5"/>
      <c r="S1211" s="5"/>
      <c r="T1211" s="1120"/>
      <c r="U1211" s="5"/>
      <c r="V1211" s="5"/>
      <c r="W1211" s="5"/>
      <c r="X1211" s="1120"/>
      <c r="Y1211" s="1120"/>
      <c r="Z1211" s="5"/>
      <c r="AA1211" s="5"/>
      <c r="AB1211" s="1135"/>
      <c r="AC1211" s="5"/>
      <c r="AD1211" s="5"/>
      <c r="AE1211" s="5"/>
      <c r="AF1211" s="1120"/>
      <c r="AG1211" s="1148"/>
      <c r="AH1211" s="1120"/>
      <c r="AI1211" s="1120"/>
      <c r="AJ1211" s="1120"/>
    </row>
    <row r="1212" spans="2:36" ht="30" customHeight="1" x14ac:dyDescent="0.25">
      <c r="B1212" s="5"/>
      <c r="C1212" s="5"/>
      <c r="D1212" s="5"/>
      <c r="E1212" s="5"/>
      <c r="F1212" s="5"/>
      <c r="G1212" s="5"/>
      <c r="H1212" s="5"/>
      <c r="I1212" s="5"/>
      <c r="J1212" s="5"/>
      <c r="L1212" s="277"/>
      <c r="M1212" s="5"/>
      <c r="R1212" s="5"/>
      <c r="S1212" s="5"/>
      <c r="T1212" s="1120"/>
      <c r="U1212" s="5"/>
      <c r="V1212" s="5"/>
      <c r="W1212" s="5"/>
      <c r="X1212" s="1120"/>
      <c r="Y1212" s="1120"/>
      <c r="Z1212" s="5"/>
      <c r="AA1212" s="5"/>
      <c r="AB1212" s="1135"/>
      <c r="AC1212" s="5"/>
      <c r="AD1212" s="5"/>
      <c r="AE1212" s="5"/>
      <c r="AF1212" s="1120"/>
      <c r="AG1212" s="1148"/>
      <c r="AH1212" s="1120"/>
      <c r="AI1212" s="1120"/>
      <c r="AJ1212" s="1120"/>
    </row>
    <row r="1213" spans="2:36" ht="30" customHeight="1" x14ac:dyDescent="0.25">
      <c r="B1213" s="5"/>
      <c r="C1213" s="5"/>
      <c r="D1213" s="5"/>
      <c r="E1213" s="5"/>
      <c r="F1213" s="5"/>
      <c r="G1213" s="5"/>
      <c r="H1213" s="5"/>
      <c r="I1213" s="5"/>
      <c r="J1213" s="5"/>
      <c r="L1213" s="277"/>
      <c r="M1213" s="5"/>
      <c r="R1213" s="5"/>
      <c r="S1213" s="5"/>
      <c r="T1213" s="1120"/>
      <c r="U1213" s="5"/>
      <c r="V1213" s="5"/>
      <c r="W1213" s="5"/>
      <c r="X1213" s="1120"/>
      <c r="Y1213" s="1120"/>
      <c r="Z1213" s="5"/>
      <c r="AA1213" s="5"/>
      <c r="AB1213" s="1135"/>
      <c r="AC1213" s="5"/>
      <c r="AD1213" s="5"/>
      <c r="AE1213" s="5"/>
      <c r="AF1213" s="1120"/>
      <c r="AG1213" s="1148"/>
      <c r="AH1213" s="1120"/>
      <c r="AI1213" s="1120"/>
      <c r="AJ1213" s="1120"/>
    </row>
    <row r="1214" spans="2:36" ht="30" customHeight="1" x14ac:dyDescent="0.25">
      <c r="B1214" s="5"/>
      <c r="C1214" s="5"/>
      <c r="D1214" s="5"/>
      <c r="E1214" s="5"/>
      <c r="F1214" s="5"/>
      <c r="G1214" s="5"/>
      <c r="H1214" s="5"/>
      <c r="I1214" s="5"/>
      <c r="J1214" s="5"/>
      <c r="L1214" s="277"/>
      <c r="M1214" s="5"/>
      <c r="R1214" s="5"/>
      <c r="S1214" s="5"/>
      <c r="T1214" s="1120"/>
      <c r="U1214" s="5"/>
      <c r="V1214" s="5"/>
      <c r="W1214" s="5"/>
      <c r="X1214" s="1120"/>
      <c r="Y1214" s="1120"/>
      <c r="Z1214" s="5"/>
      <c r="AA1214" s="5"/>
      <c r="AB1214" s="1135"/>
      <c r="AC1214" s="5"/>
      <c r="AD1214" s="5"/>
      <c r="AE1214" s="5"/>
      <c r="AF1214" s="1120"/>
      <c r="AG1214" s="1148"/>
      <c r="AH1214" s="1120"/>
      <c r="AI1214" s="1120"/>
      <c r="AJ1214" s="1120"/>
    </row>
    <row r="1215" spans="2:36" ht="30" customHeight="1" x14ac:dyDescent="0.25">
      <c r="B1215" s="5"/>
      <c r="C1215" s="5"/>
      <c r="D1215" s="5"/>
      <c r="E1215" s="5"/>
      <c r="F1215" s="5"/>
      <c r="G1215" s="5"/>
      <c r="H1215" s="5"/>
      <c r="I1215" s="5"/>
      <c r="J1215" s="5"/>
      <c r="L1215" s="277"/>
      <c r="M1215" s="5"/>
      <c r="R1215" s="5"/>
      <c r="S1215" s="5"/>
      <c r="T1215" s="1120"/>
      <c r="U1215" s="5"/>
      <c r="V1215" s="5"/>
      <c r="W1215" s="5"/>
      <c r="X1215" s="1120"/>
      <c r="Y1215" s="1120"/>
      <c r="Z1215" s="5"/>
      <c r="AA1215" s="5"/>
      <c r="AB1215" s="1135"/>
      <c r="AC1215" s="5"/>
      <c r="AD1215" s="5"/>
      <c r="AE1215" s="5"/>
      <c r="AF1215" s="1120"/>
      <c r="AG1215" s="1148"/>
      <c r="AH1215" s="1120"/>
      <c r="AI1215" s="1120"/>
      <c r="AJ1215" s="1120"/>
    </row>
    <row r="1216" spans="2:36" ht="30" customHeight="1" x14ac:dyDescent="0.25">
      <c r="B1216" s="5"/>
      <c r="C1216" s="5"/>
      <c r="D1216" s="5"/>
      <c r="E1216" s="5"/>
      <c r="F1216" s="5"/>
      <c r="G1216" s="5"/>
      <c r="H1216" s="5"/>
      <c r="I1216" s="5"/>
      <c r="J1216" s="5"/>
      <c r="L1216" s="277"/>
      <c r="M1216" s="5"/>
      <c r="R1216" s="5"/>
      <c r="S1216" s="5"/>
      <c r="T1216" s="1120"/>
      <c r="U1216" s="5"/>
      <c r="V1216" s="5"/>
      <c r="W1216" s="5"/>
      <c r="X1216" s="1120"/>
      <c r="Y1216" s="1120"/>
      <c r="Z1216" s="5"/>
      <c r="AA1216" s="5"/>
      <c r="AB1216" s="1135"/>
      <c r="AC1216" s="5"/>
      <c r="AD1216" s="5"/>
      <c r="AE1216" s="5"/>
      <c r="AF1216" s="1120"/>
      <c r="AG1216" s="1148"/>
      <c r="AH1216" s="1120"/>
      <c r="AI1216" s="1120"/>
      <c r="AJ1216" s="1120"/>
    </row>
    <row r="1217" spans="2:36" ht="30" customHeight="1" x14ac:dyDescent="0.25">
      <c r="B1217" s="5"/>
      <c r="C1217" s="5"/>
      <c r="D1217" s="5"/>
      <c r="E1217" s="5"/>
      <c r="F1217" s="5"/>
      <c r="G1217" s="5"/>
      <c r="H1217" s="5"/>
      <c r="I1217" s="5"/>
      <c r="J1217" s="5"/>
      <c r="L1217" s="277"/>
      <c r="M1217" s="5"/>
      <c r="R1217" s="5"/>
      <c r="S1217" s="5"/>
      <c r="T1217" s="1120"/>
      <c r="U1217" s="5"/>
      <c r="V1217" s="5"/>
      <c r="W1217" s="5"/>
      <c r="X1217" s="1120"/>
      <c r="Y1217" s="1120"/>
      <c r="Z1217" s="5"/>
      <c r="AA1217" s="5"/>
      <c r="AB1217" s="1135"/>
      <c r="AC1217" s="5"/>
      <c r="AD1217" s="5"/>
      <c r="AE1217" s="5"/>
      <c r="AF1217" s="1120"/>
      <c r="AG1217" s="1148"/>
      <c r="AH1217" s="1120"/>
      <c r="AI1217" s="1120"/>
      <c r="AJ1217" s="1120"/>
    </row>
    <row r="1218" spans="2:36" ht="30" customHeight="1" x14ac:dyDescent="0.25">
      <c r="B1218" s="5"/>
      <c r="C1218" s="5"/>
      <c r="D1218" s="5"/>
      <c r="E1218" s="5"/>
      <c r="F1218" s="5"/>
      <c r="G1218" s="5"/>
      <c r="H1218" s="5"/>
      <c r="I1218" s="5"/>
      <c r="J1218" s="5"/>
      <c r="L1218" s="277"/>
      <c r="M1218" s="5"/>
      <c r="R1218" s="5"/>
      <c r="S1218" s="5"/>
      <c r="T1218" s="1120"/>
      <c r="U1218" s="5"/>
      <c r="V1218" s="5"/>
      <c r="W1218" s="5"/>
      <c r="X1218" s="1120"/>
      <c r="Y1218" s="1120"/>
      <c r="Z1218" s="5"/>
      <c r="AA1218" s="5"/>
      <c r="AB1218" s="1135"/>
      <c r="AC1218" s="5"/>
      <c r="AD1218" s="5"/>
      <c r="AE1218" s="5"/>
      <c r="AF1218" s="1120"/>
      <c r="AG1218" s="1148"/>
      <c r="AH1218" s="1120"/>
      <c r="AI1218" s="1120"/>
      <c r="AJ1218" s="1120"/>
    </row>
    <row r="1219" spans="2:36" ht="30" customHeight="1" x14ac:dyDescent="0.25">
      <c r="B1219" s="5"/>
      <c r="C1219" s="5"/>
      <c r="D1219" s="5"/>
      <c r="E1219" s="5"/>
      <c r="F1219" s="5"/>
      <c r="G1219" s="5"/>
      <c r="H1219" s="5"/>
      <c r="I1219" s="5"/>
      <c r="J1219" s="5"/>
      <c r="L1219" s="277"/>
      <c r="M1219" s="5"/>
      <c r="R1219" s="5"/>
      <c r="S1219" s="5"/>
      <c r="T1219" s="1120"/>
      <c r="U1219" s="5"/>
      <c r="V1219" s="5"/>
      <c r="W1219" s="5"/>
      <c r="X1219" s="1120"/>
      <c r="Y1219" s="1120"/>
      <c r="Z1219" s="5"/>
      <c r="AA1219" s="5"/>
      <c r="AB1219" s="1135"/>
      <c r="AC1219" s="5"/>
      <c r="AD1219" s="5"/>
      <c r="AE1219" s="5"/>
      <c r="AF1219" s="1120"/>
      <c r="AG1219" s="1148"/>
      <c r="AH1219" s="1120"/>
      <c r="AI1219" s="1120"/>
      <c r="AJ1219" s="1120"/>
    </row>
    <row r="1220" spans="2:36" ht="30" customHeight="1" x14ac:dyDescent="0.25">
      <c r="B1220" s="5"/>
      <c r="C1220" s="5"/>
      <c r="D1220" s="5"/>
      <c r="E1220" s="5"/>
      <c r="F1220" s="5"/>
      <c r="G1220" s="5"/>
      <c r="H1220" s="5"/>
      <c r="I1220" s="5"/>
      <c r="J1220" s="5"/>
      <c r="L1220" s="277"/>
      <c r="M1220" s="5"/>
      <c r="R1220" s="5"/>
      <c r="S1220" s="5"/>
      <c r="T1220" s="1120"/>
      <c r="U1220" s="5"/>
      <c r="V1220" s="5"/>
      <c r="W1220" s="5"/>
      <c r="X1220" s="1120"/>
      <c r="Y1220" s="1120"/>
      <c r="Z1220" s="5"/>
      <c r="AA1220" s="5"/>
      <c r="AB1220" s="1135"/>
      <c r="AC1220" s="5"/>
      <c r="AD1220" s="5"/>
      <c r="AE1220" s="5"/>
      <c r="AF1220" s="1120"/>
      <c r="AG1220" s="1148"/>
      <c r="AH1220" s="1120"/>
      <c r="AI1220" s="1120"/>
      <c r="AJ1220" s="1120"/>
    </row>
    <row r="1221" spans="2:36" ht="30" customHeight="1" x14ac:dyDescent="0.25">
      <c r="B1221" s="5"/>
      <c r="C1221" s="5"/>
      <c r="D1221" s="5"/>
      <c r="E1221" s="5"/>
      <c r="F1221" s="5"/>
      <c r="G1221" s="5"/>
      <c r="H1221" s="5"/>
      <c r="I1221" s="5"/>
      <c r="J1221" s="5"/>
      <c r="L1221" s="277"/>
      <c r="M1221" s="5"/>
      <c r="R1221" s="5"/>
      <c r="S1221" s="5"/>
      <c r="T1221" s="1120"/>
      <c r="U1221" s="5"/>
      <c r="V1221" s="5"/>
      <c r="W1221" s="5"/>
      <c r="X1221" s="1120"/>
      <c r="Y1221" s="1120"/>
      <c r="Z1221" s="5"/>
      <c r="AA1221" s="5"/>
      <c r="AB1221" s="1135"/>
      <c r="AC1221" s="5"/>
      <c r="AD1221" s="5"/>
      <c r="AE1221" s="5"/>
      <c r="AF1221" s="1120"/>
      <c r="AG1221" s="1148"/>
      <c r="AH1221" s="1120"/>
      <c r="AI1221" s="1120"/>
      <c r="AJ1221" s="1120"/>
    </row>
    <row r="1222" spans="2:36" ht="30" customHeight="1" x14ac:dyDescent="0.25">
      <c r="B1222" s="5"/>
      <c r="C1222" s="5"/>
      <c r="D1222" s="5"/>
      <c r="E1222" s="5"/>
      <c r="F1222" s="5"/>
      <c r="G1222" s="5"/>
      <c r="H1222" s="5"/>
      <c r="I1222" s="5"/>
      <c r="J1222" s="5"/>
      <c r="L1222" s="277"/>
      <c r="M1222" s="5"/>
      <c r="R1222" s="5"/>
      <c r="S1222" s="5"/>
      <c r="T1222" s="1120"/>
      <c r="U1222" s="5"/>
      <c r="V1222" s="5"/>
      <c r="W1222" s="5"/>
      <c r="X1222" s="1120"/>
      <c r="Y1222" s="1120"/>
      <c r="Z1222" s="5"/>
      <c r="AA1222" s="5"/>
      <c r="AB1222" s="1135"/>
      <c r="AC1222" s="5"/>
      <c r="AD1222" s="5"/>
      <c r="AE1222" s="5"/>
      <c r="AF1222" s="1120"/>
      <c r="AG1222" s="1148"/>
      <c r="AH1222" s="1120"/>
      <c r="AI1222" s="1120"/>
      <c r="AJ1222" s="1120"/>
    </row>
    <row r="1223" spans="2:36" ht="30" customHeight="1" x14ac:dyDescent="0.25">
      <c r="B1223" s="5"/>
      <c r="C1223" s="5"/>
      <c r="D1223" s="5"/>
      <c r="E1223" s="5"/>
      <c r="F1223" s="5"/>
      <c r="G1223" s="5"/>
      <c r="H1223" s="5"/>
      <c r="I1223" s="5"/>
      <c r="J1223" s="5"/>
      <c r="L1223" s="277"/>
      <c r="M1223" s="5"/>
      <c r="R1223" s="5"/>
      <c r="S1223" s="5"/>
      <c r="T1223" s="1120"/>
      <c r="U1223" s="5"/>
      <c r="V1223" s="5"/>
      <c r="W1223" s="5"/>
      <c r="X1223" s="1120"/>
      <c r="Y1223" s="1120"/>
      <c r="Z1223" s="5"/>
      <c r="AA1223" s="5"/>
      <c r="AB1223" s="1135"/>
      <c r="AC1223" s="5"/>
      <c r="AD1223" s="5"/>
      <c r="AE1223" s="5"/>
      <c r="AF1223" s="1120"/>
      <c r="AG1223" s="1148"/>
      <c r="AH1223" s="1120"/>
      <c r="AI1223" s="1120"/>
      <c r="AJ1223" s="1120"/>
    </row>
    <row r="1224" spans="2:36" ht="30" customHeight="1" x14ac:dyDescent="0.25">
      <c r="B1224" s="5"/>
      <c r="C1224" s="5"/>
      <c r="D1224" s="5"/>
      <c r="E1224" s="5"/>
      <c r="F1224" s="5"/>
      <c r="G1224" s="5"/>
      <c r="H1224" s="5"/>
      <c r="I1224" s="5"/>
      <c r="J1224" s="5"/>
      <c r="L1224" s="277"/>
      <c r="M1224" s="5"/>
      <c r="R1224" s="5"/>
      <c r="S1224" s="5"/>
      <c r="T1224" s="1120"/>
      <c r="U1224" s="5"/>
      <c r="V1224" s="5"/>
      <c r="W1224" s="5"/>
      <c r="X1224" s="1120"/>
      <c r="Y1224" s="1120"/>
      <c r="Z1224" s="5"/>
      <c r="AA1224" s="5"/>
      <c r="AB1224" s="1135"/>
      <c r="AC1224" s="5"/>
      <c r="AD1224" s="5"/>
      <c r="AE1224" s="5"/>
      <c r="AF1224" s="1120"/>
      <c r="AG1224" s="1148"/>
      <c r="AH1224" s="1120"/>
      <c r="AI1224" s="1120"/>
      <c r="AJ1224" s="1120"/>
    </row>
    <row r="1225" spans="2:36" ht="30" customHeight="1" x14ac:dyDescent="0.25">
      <c r="B1225" s="5"/>
      <c r="C1225" s="5"/>
      <c r="D1225" s="5"/>
      <c r="E1225" s="5"/>
      <c r="F1225" s="5"/>
      <c r="G1225" s="5"/>
      <c r="H1225" s="5"/>
      <c r="I1225" s="5"/>
      <c r="J1225" s="5"/>
      <c r="L1225" s="277"/>
      <c r="M1225" s="5"/>
      <c r="R1225" s="5"/>
      <c r="S1225" s="5"/>
      <c r="T1225" s="1120"/>
      <c r="U1225" s="5"/>
      <c r="V1225" s="5"/>
      <c r="W1225" s="5"/>
      <c r="X1225" s="1120"/>
      <c r="Y1225" s="1120"/>
      <c r="Z1225" s="5"/>
      <c r="AA1225" s="5"/>
      <c r="AB1225" s="1135"/>
      <c r="AC1225" s="5"/>
      <c r="AD1225" s="5"/>
      <c r="AE1225" s="5"/>
      <c r="AF1225" s="1120"/>
      <c r="AG1225" s="1148"/>
      <c r="AH1225" s="1120"/>
      <c r="AI1225" s="1120"/>
      <c r="AJ1225" s="1120"/>
    </row>
    <row r="1226" spans="2:36" ht="30" customHeight="1" x14ac:dyDescent="0.25">
      <c r="B1226" s="5"/>
      <c r="C1226" s="5"/>
      <c r="D1226" s="5"/>
      <c r="E1226" s="5"/>
      <c r="F1226" s="5"/>
      <c r="G1226" s="5"/>
      <c r="H1226" s="5"/>
      <c r="I1226" s="5"/>
      <c r="J1226" s="5"/>
      <c r="L1226" s="277"/>
      <c r="M1226" s="5"/>
      <c r="R1226" s="5"/>
      <c r="S1226" s="5"/>
      <c r="T1226" s="1120"/>
      <c r="U1226" s="5"/>
      <c r="V1226" s="5"/>
      <c r="W1226" s="5"/>
      <c r="X1226" s="1120"/>
      <c r="Y1226" s="1120"/>
      <c r="Z1226" s="5"/>
      <c r="AA1226" s="5"/>
      <c r="AB1226" s="1135"/>
      <c r="AC1226" s="5"/>
      <c r="AD1226" s="5"/>
      <c r="AE1226" s="5"/>
      <c r="AF1226" s="1120"/>
      <c r="AG1226" s="1148"/>
      <c r="AH1226" s="1120"/>
      <c r="AI1226" s="1120"/>
      <c r="AJ1226" s="1120"/>
    </row>
    <row r="1227" spans="2:36" ht="30" customHeight="1" x14ac:dyDescent="0.25">
      <c r="B1227" s="5"/>
      <c r="C1227" s="5"/>
      <c r="D1227" s="5"/>
      <c r="E1227" s="5"/>
      <c r="F1227" s="5"/>
      <c r="G1227" s="5"/>
      <c r="H1227" s="5"/>
      <c r="I1227" s="5"/>
      <c r="J1227" s="5"/>
      <c r="L1227" s="277"/>
      <c r="M1227" s="5"/>
      <c r="R1227" s="5"/>
      <c r="S1227" s="5"/>
      <c r="T1227" s="1120"/>
      <c r="U1227" s="5"/>
      <c r="V1227" s="5"/>
      <c r="W1227" s="5"/>
      <c r="X1227" s="1120"/>
      <c r="Y1227" s="1120"/>
      <c r="Z1227" s="5"/>
      <c r="AA1227" s="5"/>
      <c r="AB1227" s="1135"/>
      <c r="AC1227" s="5"/>
      <c r="AD1227" s="5"/>
      <c r="AE1227" s="5"/>
      <c r="AF1227" s="1120"/>
      <c r="AG1227" s="1148"/>
      <c r="AH1227" s="1120"/>
      <c r="AI1227" s="1120"/>
      <c r="AJ1227" s="1120"/>
    </row>
    <row r="1228" spans="2:36" ht="30" customHeight="1" x14ac:dyDescent="0.25">
      <c r="B1228" s="5"/>
      <c r="C1228" s="5"/>
      <c r="D1228" s="5"/>
      <c r="E1228" s="5"/>
      <c r="F1228" s="5"/>
      <c r="G1228" s="5"/>
      <c r="H1228" s="5"/>
      <c r="I1228" s="5"/>
      <c r="J1228" s="5"/>
      <c r="L1228" s="277"/>
      <c r="M1228" s="5"/>
      <c r="R1228" s="5"/>
      <c r="S1228" s="5"/>
      <c r="T1228" s="1120"/>
      <c r="U1228" s="5"/>
      <c r="V1228" s="5"/>
      <c r="W1228" s="5"/>
      <c r="X1228" s="1120"/>
      <c r="Y1228" s="1120"/>
      <c r="Z1228" s="5"/>
      <c r="AA1228" s="5"/>
      <c r="AB1228" s="1135"/>
      <c r="AC1228" s="5"/>
      <c r="AD1228" s="5"/>
      <c r="AE1228" s="5"/>
      <c r="AF1228" s="1120"/>
      <c r="AG1228" s="1148"/>
      <c r="AH1228" s="1120"/>
      <c r="AI1228" s="1120"/>
      <c r="AJ1228" s="1120"/>
    </row>
    <row r="1229" spans="2:36" ht="30" customHeight="1" x14ac:dyDescent="0.25">
      <c r="B1229" s="5"/>
      <c r="C1229" s="5"/>
      <c r="D1229" s="5"/>
      <c r="E1229" s="5"/>
      <c r="F1229" s="5"/>
      <c r="G1229" s="5"/>
      <c r="H1229" s="5"/>
      <c r="I1229" s="5"/>
      <c r="J1229" s="5"/>
      <c r="L1229" s="277"/>
      <c r="M1229" s="5"/>
      <c r="R1229" s="5"/>
      <c r="S1229" s="5"/>
      <c r="T1229" s="1120"/>
      <c r="U1229" s="5"/>
      <c r="V1229" s="5"/>
      <c r="W1229" s="5"/>
      <c r="X1229" s="1120"/>
      <c r="Y1229" s="1120"/>
      <c r="Z1229" s="5"/>
      <c r="AA1229" s="5"/>
      <c r="AB1229" s="1135"/>
      <c r="AC1229" s="5"/>
      <c r="AD1229" s="5"/>
      <c r="AE1229" s="5"/>
      <c r="AF1229" s="1120"/>
      <c r="AG1229" s="1148"/>
      <c r="AH1229" s="1120"/>
      <c r="AI1229" s="1120"/>
      <c r="AJ1229" s="1120"/>
    </row>
    <row r="1230" spans="2:36" ht="30" customHeight="1" x14ac:dyDescent="0.25">
      <c r="B1230" s="5"/>
      <c r="C1230" s="5"/>
      <c r="D1230" s="5"/>
      <c r="E1230" s="5"/>
      <c r="F1230" s="5"/>
      <c r="G1230" s="5"/>
      <c r="H1230" s="5"/>
      <c r="I1230" s="5"/>
      <c r="J1230" s="5"/>
      <c r="L1230" s="277"/>
      <c r="M1230" s="5"/>
      <c r="R1230" s="5"/>
      <c r="S1230" s="5"/>
      <c r="T1230" s="1120"/>
      <c r="U1230" s="5"/>
      <c r="V1230" s="5"/>
      <c r="W1230" s="5"/>
      <c r="X1230" s="1120"/>
      <c r="Y1230" s="1120"/>
      <c r="Z1230" s="5"/>
      <c r="AA1230" s="5"/>
      <c r="AB1230" s="1135"/>
      <c r="AC1230" s="5"/>
      <c r="AD1230" s="5"/>
      <c r="AE1230" s="5"/>
      <c r="AF1230" s="1120"/>
      <c r="AG1230" s="1148"/>
      <c r="AH1230" s="1120"/>
      <c r="AI1230" s="1120"/>
      <c r="AJ1230" s="1120"/>
    </row>
    <row r="1231" spans="2:36" ht="30" customHeight="1" x14ac:dyDescent="0.25">
      <c r="B1231" s="5"/>
      <c r="C1231" s="5"/>
      <c r="D1231" s="5"/>
      <c r="E1231" s="5"/>
      <c r="F1231" s="5"/>
      <c r="G1231" s="5"/>
      <c r="H1231" s="5"/>
      <c r="I1231" s="5"/>
      <c r="J1231" s="5"/>
      <c r="L1231" s="277"/>
      <c r="M1231" s="5"/>
      <c r="R1231" s="5"/>
      <c r="S1231" s="5"/>
      <c r="T1231" s="1120"/>
      <c r="U1231" s="5"/>
      <c r="V1231" s="5"/>
      <c r="W1231" s="5"/>
      <c r="X1231" s="1120"/>
      <c r="Y1231" s="1120"/>
      <c r="Z1231" s="5"/>
      <c r="AA1231" s="5"/>
      <c r="AB1231" s="1135"/>
      <c r="AC1231" s="5"/>
      <c r="AD1231" s="5"/>
      <c r="AE1231" s="5"/>
      <c r="AF1231" s="1120"/>
      <c r="AG1231" s="1148"/>
      <c r="AH1231" s="1120"/>
      <c r="AI1231" s="1120"/>
      <c r="AJ1231" s="1120"/>
    </row>
    <row r="1232" spans="2:36" ht="30" customHeight="1" x14ac:dyDescent="0.25">
      <c r="B1232" s="5"/>
      <c r="C1232" s="5"/>
      <c r="D1232" s="5"/>
      <c r="E1232" s="5"/>
      <c r="F1232" s="5"/>
      <c r="G1232" s="5"/>
      <c r="H1232" s="5"/>
      <c r="I1232" s="5"/>
      <c r="J1232" s="5"/>
      <c r="L1232" s="277"/>
      <c r="M1232" s="5"/>
      <c r="R1232" s="5"/>
      <c r="S1232" s="5"/>
      <c r="T1232" s="1120"/>
      <c r="U1232" s="5"/>
      <c r="V1232" s="5"/>
      <c r="W1232" s="5"/>
      <c r="X1232" s="1120"/>
      <c r="Y1232" s="1120"/>
      <c r="Z1232" s="5"/>
      <c r="AA1232" s="5"/>
      <c r="AB1232" s="1135"/>
      <c r="AC1232" s="5"/>
      <c r="AD1232" s="5"/>
      <c r="AE1232" s="5"/>
      <c r="AF1232" s="1120"/>
      <c r="AG1232" s="1148"/>
      <c r="AH1232" s="1120"/>
      <c r="AI1232" s="1120"/>
      <c r="AJ1232" s="1120"/>
    </row>
    <row r="1233" spans="2:36" ht="30" customHeight="1" x14ac:dyDescent="0.25">
      <c r="B1233" s="5"/>
      <c r="C1233" s="5"/>
      <c r="D1233" s="5"/>
      <c r="E1233" s="5"/>
      <c r="F1233" s="5"/>
      <c r="G1233" s="5"/>
      <c r="H1233" s="5"/>
      <c r="I1233" s="5"/>
      <c r="J1233" s="5"/>
      <c r="L1233" s="277"/>
      <c r="M1233" s="5"/>
      <c r="R1233" s="5"/>
      <c r="S1233" s="5"/>
      <c r="T1233" s="1120"/>
      <c r="U1233" s="5"/>
      <c r="V1233" s="5"/>
      <c r="W1233" s="5"/>
      <c r="X1233" s="1120"/>
      <c r="Y1233" s="1120"/>
      <c r="Z1233" s="5"/>
      <c r="AA1233" s="5"/>
      <c r="AB1233" s="1135"/>
      <c r="AC1233" s="5"/>
      <c r="AD1233" s="5"/>
      <c r="AE1233" s="5"/>
      <c r="AF1233" s="1120"/>
      <c r="AG1233" s="1148"/>
      <c r="AH1233" s="1120"/>
      <c r="AI1233" s="1120"/>
      <c r="AJ1233" s="1120"/>
    </row>
    <row r="1234" spans="2:36" ht="30" customHeight="1" x14ac:dyDescent="0.25">
      <c r="B1234" s="5"/>
      <c r="C1234" s="5"/>
      <c r="D1234" s="5"/>
      <c r="E1234" s="5"/>
      <c r="F1234" s="5"/>
      <c r="G1234" s="5"/>
      <c r="H1234" s="5"/>
      <c r="I1234" s="5"/>
      <c r="J1234" s="5"/>
      <c r="L1234" s="277"/>
      <c r="M1234" s="5"/>
      <c r="R1234" s="5"/>
      <c r="S1234" s="5"/>
      <c r="T1234" s="1120"/>
      <c r="U1234" s="5"/>
      <c r="V1234" s="5"/>
      <c r="W1234" s="5"/>
      <c r="X1234" s="1120"/>
      <c r="Y1234" s="1120"/>
      <c r="Z1234" s="5"/>
      <c r="AA1234" s="5"/>
      <c r="AB1234" s="1135"/>
      <c r="AC1234" s="5"/>
      <c r="AD1234" s="5"/>
      <c r="AE1234" s="5"/>
      <c r="AF1234" s="1120"/>
      <c r="AG1234" s="1148"/>
      <c r="AH1234" s="1120"/>
      <c r="AI1234" s="1120"/>
      <c r="AJ1234" s="1120"/>
    </row>
    <row r="1235" spans="2:36" ht="30" customHeight="1" x14ac:dyDescent="0.25">
      <c r="B1235" s="5"/>
      <c r="C1235" s="5"/>
      <c r="D1235" s="5"/>
      <c r="E1235" s="5"/>
      <c r="F1235" s="5"/>
      <c r="G1235" s="5"/>
      <c r="H1235" s="5"/>
      <c r="I1235" s="5"/>
      <c r="J1235" s="5"/>
      <c r="L1235" s="277"/>
      <c r="M1235" s="5"/>
      <c r="R1235" s="5"/>
      <c r="S1235" s="5"/>
      <c r="T1235" s="1120"/>
      <c r="U1235" s="5"/>
      <c r="V1235" s="5"/>
      <c r="W1235" s="5"/>
      <c r="X1235" s="1120"/>
      <c r="Y1235" s="1120"/>
      <c r="Z1235" s="5"/>
      <c r="AA1235" s="5"/>
      <c r="AB1235" s="1135"/>
      <c r="AC1235" s="5"/>
      <c r="AD1235" s="5"/>
      <c r="AE1235" s="5"/>
      <c r="AF1235" s="1120"/>
      <c r="AG1235" s="1148"/>
      <c r="AH1235" s="1120"/>
      <c r="AI1235" s="1120"/>
      <c r="AJ1235" s="1120"/>
    </row>
    <row r="1236" spans="2:36" ht="30" customHeight="1" x14ac:dyDescent="0.25">
      <c r="B1236" s="5"/>
      <c r="C1236" s="5"/>
      <c r="D1236" s="5"/>
      <c r="E1236" s="5"/>
      <c r="F1236" s="5"/>
      <c r="G1236" s="5"/>
      <c r="H1236" s="5"/>
      <c r="I1236" s="5"/>
      <c r="J1236" s="5"/>
      <c r="L1236" s="277"/>
      <c r="M1236" s="5"/>
      <c r="R1236" s="5"/>
      <c r="S1236" s="5"/>
      <c r="T1236" s="1120"/>
      <c r="U1236" s="5"/>
      <c r="V1236" s="5"/>
      <c r="W1236" s="5"/>
      <c r="X1236" s="1120"/>
      <c r="Y1236" s="1120"/>
      <c r="Z1236" s="5"/>
      <c r="AA1236" s="5"/>
      <c r="AB1236" s="1135"/>
      <c r="AC1236" s="5"/>
      <c r="AD1236" s="5"/>
      <c r="AE1236" s="5"/>
      <c r="AF1236" s="1120"/>
      <c r="AG1236" s="1148"/>
      <c r="AH1236" s="1120"/>
      <c r="AI1236" s="1120"/>
      <c r="AJ1236" s="1120"/>
    </row>
    <row r="1237" spans="2:36" ht="30" customHeight="1" x14ac:dyDescent="0.25">
      <c r="B1237" s="5"/>
      <c r="C1237" s="5"/>
      <c r="D1237" s="5"/>
      <c r="E1237" s="5"/>
      <c r="F1237" s="5"/>
      <c r="G1237" s="5"/>
      <c r="H1237" s="5"/>
      <c r="I1237" s="5"/>
      <c r="J1237" s="5"/>
      <c r="L1237" s="277"/>
      <c r="M1237" s="5"/>
      <c r="R1237" s="5"/>
      <c r="S1237" s="5"/>
      <c r="T1237" s="1120"/>
      <c r="U1237" s="5"/>
      <c r="V1237" s="5"/>
      <c r="W1237" s="5"/>
      <c r="X1237" s="1120"/>
      <c r="Y1237" s="1120"/>
      <c r="Z1237" s="5"/>
      <c r="AA1237" s="5"/>
      <c r="AB1237" s="1135"/>
      <c r="AC1237" s="5"/>
      <c r="AD1237" s="5"/>
      <c r="AE1237" s="5"/>
      <c r="AF1237" s="1120"/>
      <c r="AG1237" s="1148"/>
      <c r="AH1237" s="1120"/>
      <c r="AI1237" s="1120"/>
      <c r="AJ1237" s="1120"/>
    </row>
    <row r="1238" spans="2:36" ht="30" customHeight="1" x14ac:dyDescent="0.25">
      <c r="B1238" s="5"/>
      <c r="C1238" s="5"/>
      <c r="D1238" s="5"/>
      <c r="E1238" s="5"/>
      <c r="F1238" s="5"/>
      <c r="G1238" s="5"/>
      <c r="H1238" s="5"/>
      <c r="I1238" s="5"/>
      <c r="J1238" s="5"/>
      <c r="L1238" s="277"/>
      <c r="M1238" s="5"/>
      <c r="R1238" s="5"/>
      <c r="S1238" s="5"/>
      <c r="T1238" s="1120"/>
      <c r="U1238" s="5"/>
      <c r="V1238" s="5"/>
      <c r="W1238" s="5"/>
      <c r="X1238" s="1120"/>
      <c r="Y1238" s="1120"/>
      <c r="Z1238" s="5"/>
      <c r="AA1238" s="5"/>
      <c r="AB1238" s="1135"/>
      <c r="AC1238" s="5"/>
      <c r="AD1238" s="5"/>
      <c r="AE1238" s="5"/>
      <c r="AF1238" s="1120"/>
      <c r="AG1238" s="1148"/>
      <c r="AH1238" s="1120"/>
      <c r="AI1238" s="1120"/>
      <c r="AJ1238" s="1120"/>
    </row>
    <row r="1239" spans="2:36" ht="30" customHeight="1" x14ac:dyDescent="0.25">
      <c r="B1239" s="5"/>
      <c r="C1239" s="5"/>
      <c r="D1239" s="5"/>
      <c r="E1239" s="5"/>
      <c r="F1239" s="5"/>
      <c r="G1239" s="5"/>
      <c r="H1239" s="5"/>
      <c r="I1239" s="5"/>
      <c r="J1239" s="5"/>
      <c r="L1239" s="277"/>
      <c r="M1239" s="5"/>
      <c r="R1239" s="5"/>
      <c r="S1239" s="5"/>
      <c r="T1239" s="1120"/>
      <c r="U1239" s="5"/>
      <c r="V1239" s="5"/>
      <c r="W1239" s="5"/>
      <c r="X1239" s="1120"/>
      <c r="Y1239" s="1120"/>
      <c r="Z1239" s="5"/>
      <c r="AA1239" s="5"/>
      <c r="AB1239" s="1135"/>
      <c r="AC1239" s="5"/>
      <c r="AD1239" s="5"/>
      <c r="AE1239" s="5"/>
      <c r="AF1239" s="1120"/>
      <c r="AG1239" s="1148"/>
      <c r="AH1239" s="1120"/>
      <c r="AI1239" s="1120"/>
      <c r="AJ1239" s="1120"/>
    </row>
    <row r="1240" spans="2:36" ht="30" customHeight="1" x14ac:dyDescent="0.25">
      <c r="B1240" s="5"/>
      <c r="C1240" s="5"/>
      <c r="D1240" s="5"/>
      <c r="E1240" s="5"/>
      <c r="F1240" s="5"/>
      <c r="G1240" s="5"/>
      <c r="H1240" s="5"/>
      <c r="I1240" s="5"/>
      <c r="J1240" s="5"/>
      <c r="L1240" s="277"/>
      <c r="M1240" s="5"/>
      <c r="R1240" s="5"/>
      <c r="S1240" s="5"/>
      <c r="T1240" s="1120"/>
      <c r="U1240" s="5"/>
      <c r="V1240" s="5"/>
      <c r="W1240" s="5"/>
      <c r="X1240" s="1120"/>
      <c r="Y1240" s="1120"/>
      <c r="Z1240" s="5"/>
      <c r="AA1240" s="5"/>
      <c r="AB1240" s="1135"/>
      <c r="AC1240" s="5"/>
      <c r="AD1240" s="5"/>
      <c r="AE1240" s="5"/>
      <c r="AF1240" s="1120"/>
      <c r="AG1240" s="1148"/>
      <c r="AH1240" s="1120"/>
      <c r="AI1240" s="1120"/>
      <c r="AJ1240" s="1120"/>
    </row>
    <row r="1241" spans="2:36" ht="30" customHeight="1" x14ac:dyDescent="0.25">
      <c r="B1241" s="5"/>
      <c r="C1241" s="5"/>
      <c r="D1241" s="5"/>
      <c r="E1241" s="5"/>
      <c r="F1241" s="5"/>
      <c r="G1241" s="5"/>
      <c r="H1241" s="5"/>
      <c r="I1241" s="5"/>
      <c r="J1241" s="5"/>
      <c r="L1241" s="277"/>
      <c r="M1241" s="5"/>
      <c r="R1241" s="5"/>
      <c r="S1241" s="5"/>
      <c r="T1241" s="1120"/>
      <c r="U1241" s="5"/>
      <c r="V1241" s="5"/>
      <c r="W1241" s="5"/>
      <c r="X1241" s="1120"/>
      <c r="Y1241" s="1120"/>
      <c r="Z1241" s="5"/>
      <c r="AA1241" s="5"/>
      <c r="AB1241" s="1135"/>
      <c r="AC1241" s="5"/>
      <c r="AD1241" s="5"/>
      <c r="AE1241" s="5"/>
      <c r="AF1241" s="1120"/>
      <c r="AG1241" s="1148"/>
      <c r="AH1241" s="1120"/>
      <c r="AI1241" s="1120"/>
      <c r="AJ1241" s="1120"/>
    </row>
    <row r="1242" spans="2:36" ht="30" customHeight="1" x14ac:dyDescent="0.25">
      <c r="B1242" s="5"/>
      <c r="C1242" s="5"/>
      <c r="D1242" s="5"/>
      <c r="E1242" s="5"/>
      <c r="F1242" s="5"/>
      <c r="G1242" s="5"/>
      <c r="H1242" s="5"/>
      <c r="I1242" s="5"/>
      <c r="J1242" s="5"/>
      <c r="L1242" s="277"/>
      <c r="M1242" s="5"/>
      <c r="R1242" s="5"/>
      <c r="S1242" s="5"/>
      <c r="T1242" s="1120"/>
      <c r="U1242" s="5"/>
      <c r="V1242" s="5"/>
      <c r="W1242" s="5"/>
      <c r="X1242" s="1120"/>
      <c r="Y1242" s="1120"/>
      <c r="Z1242" s="5"/>
      <c r="AA1242" s="5"/>
      <c r="AB1242" s="1135"/>
      <c r="AC1242" s="5"/>
      <c r="AD1242" s="5"/>
      <c r="AE1242" s="5"/>
      <c r="AF1242" s="1120"/>
      <c r="AG1242" s="1148"/>
      <c r="AH1242" s="1120"/>
      <c r="AI1242" s="1120"/>
      <c r="AJ1242" s="1120"/>
    </row>
    <row r="1243" spans="2:36" ht="30" customHeight="1" x14ac:dyDescent="0.25">
      <c r="B1243" s="5"/>
      <c r="C1243" s="5"/>
      <c r="D1243" s="5"/>
      <c r="E1243" s="5"/>
      <c r="F1243" s="5"/>
      <c r="G1243" s="5"/>
      <c r="H1243" s="5"/>
      <c r="I1243" s="5"/>
      <c r="J1243" s="5"/>
      <c r="L1243" s="277"/>
      <c r="M1243" s="5"/>
      <c r="R1243" s="5"/>
      <c r="S1243" s="5"/>
      <c r="T1243" s="1120"/>
      <c r="U1243" s="5"/>
      <c r="V1243" s="5"/>
      <c r="W1243" s="5"/>
      <c r="X1243" s="1120"/>
      <c r="Y1243" s="1120"/>
      <c r="Z1243" s="5"/>
      <c r="AA1243" s="5"/>
      <c r="AB1243" s="1135"/>
      <c r="AC1243" s="5"/>
      <c r="AD1243" s="5"/>
      <c r="AE1243" s="5"/>
      <c r="AF1243" s="1120"/>
      <c r="AG1243" s="1148"/>
      <c r="AH1243" s="1120"/>
      <c r="AI1243" s="1120"/>
      <c r="AJ1243" s="1120"/>
    </row>
    <row r="1244" spans="2:36" ht="30" customHeight="1" x14ac:dyDescent="0.25">
      <c r="B1244" s="5"/>
      <c r="C1244" s="5"/>
      <c r="D1244" s="5"/>
      <c r="E1244" s="5"/>
      <c r="F1244" s="5"/>
      <c r="G1244" s="5"/>
      <c r="H1244" s="5"/>
      <c r="I1244" s="5"/>
      <c r="J1244" s="5"/>
      <c r="L1244" s="277"/>
      <c r="M1244" s="5"/>
      <c r="R1244" s="5"/>
      <c r="S1244" s="5"/>
      <c r="T1244" s="1120"/>
      <c r="U1244" s="5"/>
      <c r="V1244" s="5"/>
      <c r="W1244" s="5"/>
      <c r="X1244" s="1120"/>
      <c r="Y1244" s="1120"/>
      <c r="Z1244" s="5"/>
      <c r="AA1244" s="5"/>
      <c r="AB1244" s="1135"/>
      <c r="AC1244" s="5"/>
      <c r="AD1244" s="5"/>
      <c r="AE1244" s="5"/>
      <c r="AF1244" s="1120"/>
      <c r="AG1244" s="1148"/>
      <c r="AH1244" s="1120"/>
      <c r="AI1244" s="1120"/>
      <c r="AJ1244" s="1120"/>
    </row>
    <row r="1245" spans="2:36" ht="30" customHeight="1" x14ac:dyDescent="0.25">
      <c r="B1245" s="5"/>
      <c r="C1245" s="5"/>
      <c r="D1245" s="5"/>
      <c r="E1245" s="5"/>
      <c r="F1245" s="5"/>
      <c r="G1245" s="5"/>
      <c r="H1245" s="5"/>
      <c r="I1245" s="5"/>
      <c r="J1245" s="5"/>
      <c r="L1245" s="277"/>
      <c r="M1245" s="5"/>
      <c r="R1245" s="5"/>
      <c r="S1245" s="5"/>
      <c r="T1245" s="1120"/>
      <c r="U1245" s="5"/>
      <c r="V1245" s="5"/>
      <c r="W1245" s="5"/>
      <c r="X1245" s="1120"/>
      <c r="Y1245" s="1120"/>
      <c r="Z1245" s="5"/>
      <c r="AA1245" s="5"/>
      <c r="AB1245" s="1135"/>
      <c r="AC1245" s="5"/>
      <c r="AD1245" s="5"/>
      <c r="AE1245" s="5"/>
      <c r="AF1245" s="1120"/>
      <c r="AG1245" s="1148"/>
      <c r="AH1245" s="1120"/>
      <c r="AI1245" s="1120"/>
      <c r="AJ1245" s="1120"/>
    </row>
    <row r="1246" spans="2:36" ht="30" customHeight="1" x14ac:dyDescent="0.25">
      <c r="B1246" s="5"/>
      <c r="C1246" s="5"/>
      <c r="D1246" s="5"/>
      <c r="E1246" s="5"/>
      <c r="F1246" s="5"/>
      <c r="G1246" s="5"/>
      <c r="H1246" s="5"/>
      <c r="I1246" s="5"/>
      <c r="J1246" s="5"/>
      <c r="L1246" s="277"/>
      <c r="M1246" s="5"/>
      <c r="R1246" s="5"/>
      <c r="S1246" s="5"/>
      <c r="T1246" s="1120"/>
      <c r="U1246" s="5"/>
      <c r="V1246" s="5"/>
      <c r="W1246" s="5"/>
      <c r="X1246" s="1120"/>
      <c r="Y1246" s="1120"/>
      <c r="Z1246" s="5"/>
      <c r="AA1246" s="5"/>
      <c r="AB1246" s="1135"/>
      <c r="AC1246" s="5"/>
      <c r="AD1246" s="5"/>
      <c r="AE1246" s="5"/>
      <c r="AF1246" s="1120"/>
      <c r="AG1246" s="1148"/>
      <c r="AH1246" s="1120"/>
      <c r="AI1246" s="1120"/>
      <c r="AJ1246" s="1120"/>
    </row>
    <row r="1247" spans="2:36" ht="30" customHeight="1" x14ac:dyDescent="0.25">
      <c r="B1247" s="5"/>
      <c r="C1247" s="5"/>
      <c r="D1247" s="5"/>
      <c r="E1247" s="5"/>
      <c r="F1247" s="5"/>
      <c r="G1247" s="5"/>
      <c r="H1247" s="5"/>
      <c r="I1247" s="5"/>
      <c r="J1247" s="5"/>
      <c r="L1247" s="277"/>
      <c r="M1247" s="5"/>
      <c r="R1247" s="5"/>
      <c r="S1247" s="5"/>
      <c r="T1247" s="1120"/>
      <c r="U1247" s="5"/>
      <c r="V1247" s="5"/>
      <c r="W1247" s="5"/>
      <c r="X1247" s="1120"/>
      <c r="Y1247" s="1120"/>
      <c r="Z1247" s="5"/>
      <c r="AA1247" s="5"/>
      <c r="AB1247" s="1135"/>
      <c r="AC1247" s="5"/>
      <c r="AD1247" s="5"/>
      <c r="AE1247" s="5"/>
      <c r="AF1247" s="1120"/>
      <c r="AG1247" s="1148"/>
      <c r="AH1247" s="1120"/>
      <c r="AI1247" s="1120"/>
      <c r="AJ1247" s="1120"/>
    </row>
    <row r="1248" spans="2:36" ht="30" customHeight="1" x14ac:dyDescent="0.25">
      <c r="B1248" s="5"/>
      <c r="C1248" s="5"/>
      <c r="D1248" s="5"/>
      <c r="E1248" s="5"/>
      <c r="F1248" s="5"/>
      <c r="G1248" s="5"/>
      <c r="H1248" s="5"/>
      <c r="I1248" s="5"/>
      <c r="J1248" s="5"/>
      <c r="L1248" s="277"/>
      <c r="M1248" s="5"/>
      <c r="R1248" s="5"/>
      <c r="S1248" s="5"/>
      <c r="T1248" s="1120"/>
      <c r="U1248" s="5"/>
      <c r="V1248" s="5"/>
      <c r="W1248" s="5"/>
      <c r="X1248" s="1120"/>
      <c r="Y1248" s="1120"/>
      <c r="Z1248" s="5"/>
      <c r="AA1248" s="5"/>
      <c r="AB1248" s="1135"/>
      <c r="AC1248" s="5"/>
      <c r="AD1248" s="5"/>
      <c r="AE1248" s="5"/>
      <c r="AF1248" s="1120"/>
      <c r="AG1248" s="1148"/>
      <c r="AH1248" s="1120"/>
      <c r="AI1248" s="1120"/>
      <c r="AJ1248" s="1120"/>
    </row>
    <row r="1249" spans="2:36" ht="30" customHeight="1" x14ac:dyDescent="0.25">
      <c r="B1249" s="5"/>
      <c r="C1249" s="5"/>
      <c r="D1249" s="5"/>
      <c r="E1249" s="5"/>
      <c r="F1249" s="5"/>
      <c r="G1249" s="5"/>
      <c r="H1249" s="5"/>
      <c r="I1249" s="5"/>
      <c r="J1249" s="5"/>
      <c r="L1249" s="277"/>
      <c r="M1249" s="5"/>
      <c r="R1249" s="5"/>
      <c r="S1249" s="5"/>
      <c r="T1249" s="1120"/>
      <c r="U1249" s="5"/>
      <c r="V1249" s="5"/>
      <c r="W1249" s="5"/>
      <c r="X1249" s="1120"/>
      <c r="Y1249" s="1120"/>
      <c r="Z1249" s="5"/>
      <c r="AA1249" s="5"/>
      <c r="AB1249" s="1135"/>
      <c r="AC1249" s="5"/>
      <c r="AD1249" s="5"/>
      <c r="AE1249" s="5"/>
      <c r="AF1249" s="1120"/>
      <c r="AG1249" s="1148"/>
      <c r="AH1249" s="1120"/>
      <c r="AI1249" s="1120"/>
      <c r="AJ1249" s="1120"/>
    </row>
    <row r="1250" spans="2:36" ht="30" customHeight="1" x14ac:dyDescent="0.25">
      <c r="B1250" s="5"/>
      <c r="C1250" s="5"/>
      <c r="D1250" s="5"/>
      <c r="E1250" s="5"/>
      <c r="F1250" s="5"/>
      <c r="G1250" s="5"/>
      <c r="H1250" s="5"/>
      <c r="I1250" s="5"/>
      <c r="J1250" s="5"/>
      <c r="L1250" s="277"/>
      <c r="M1250" s="5"/>
      <c r="R1250" s="5"/>
      <c r="S1250" s="5"/>
      <c r="T1250" s="1120"/>
      <c r="U1250" s="5"/>
      <c r="V1250" s="5"/>
      <c r="W1250" s="5"/>
      <c r="X1250" s="1120"/>
      <c r="Y1250" s="1120"/>
      <c r="Z1250" s="5"/>
      <c r="AA1250" s="5"/>
      <c r="AB1250" s="1135"/>
      <c r="AC1250" s="5"/>
      <c r="AD1250" s="5"/>
      <c r="AE1250" s="5"/>
      <c r="AF1250" s="1120"/>
      <c r="AG1250" s="1148"/>
      <c r="AH1250" s="1120"/>
      <c r="AI1250" s="1120"/>
      <c r="AJ1250" s="1120"/>
    </row>
    <row r="1251" spans="2:36" ht="30" customHeight="1" x14ac:dyDescent="0.25">
      <c r="B1251" s="5"/>
      <c r="C1251" s="5"/>
      <c r="D1251" s="5"/>
      <c r="E1251" s="5"/>
      <c r="F1251" s="5"/>
      <c r="G1251" s="5"/>
      <c r="H1251" s="5"/>
      <c r="I1251" s="5"/>
      <c r="J1251" s="5"/>
      <c r="L1251" s="277"/>
      <c r="M1251" s="5"/>
      <c r="R1251" s="5"/>
      <c r="S1251" s="5"/>
      <c r="T1251" s="1120"/>
      <c r="U1251" s="5"/>
      <c r="V1251" s="5"/>
      <c r="W1251" s="5"/>
      <c r="X1251" s="1120"/>
      <c r="Y1251" s="1120"/>
      <c r="Z1251" s="5"/>
      <c r="AA1251" s="5"/>
      <c r="AB1251" s="1135"/>
      <c r="AC1251" s="5"/>
      <c r="AD1251" s="5"/>
      <c r="AE1251" s="5"/>
      <c r="AF1251" s="1120"/>
      <c r="AG1251" s="1148"/>
      <c r="AH1251" s="1120"/>
      <c r="AI1251" s="1120"/>
      <c r="AJ1251" s="1120"/>
    </row>
    <row r="1252" spans="2:36" ht="30" customHeight="1" x14ac:dyDescent="0.25">
      <c r="B1252" s="5"/>
      <c r="C1252" s="5"/>
      <c r="D1252" s="5"/>
      <c r="E1252" s="5"/>
      <c r="F1252" s="5"/>
      <c r="G1252" s="5"/>
      <c r="H1252" s="5"/>
      <c r="I1252" s="5"/>
      <c r="J1252" s="5"/>
      <c r="L1252" s="277"/>
      <c r="M1252" s="5"/>
      <c r="R1252" s="5"/>
      <c r="S1252" s="5"/>
      <c r="T1252" s="1120"/>
      <c r="U1252" s="5"/>
      <c r="V1252" s="5"/>
      <c r="W1252" s="5"/>
      <c r="X1252" s="1120"/>
      <c r="Y1252" s="1120"/>
      <c r="Z1252" s="5"/>
      <c r="AA1252" s="5"/>
      <c r="AB1252" s="1135"/>
      <c r="AC1252" s="5"/>
      <c r="AD1252" s="5"/>
      <c r="AE1252" s="5"/>
      <c r="AF1252" s="1120"/>
      <c r="AG1252" s="1148"/>
      <c r="AH1252" s="1120"/>
      <c r="AI1252" s="1120"/>
      <c r="AJ1252" s="1120"/>
    </row>
    <row r="1253" spans="2:36" ht="30" customHeight="1" x14ac:dyDescent="0.25">
      <c r="B1253" s="5"/>
      <c r="C1253" s="5"/>
      <c r="D1253" s="5"/>
      <c r="E1253" s="5"/>
      <c r="F1253" s="5"/>
      <c r="G1253" s="5"/>
      <c r="H1253" s="5"/>
      <c r="I1253" s="5"/>
      <c r="J1253" s="5"/>
      <c r="L1253" s="277"/>
      <c r="M1253" s="5"/>
      <c r="R1253" s="5"/>
      <c r="S1253" s="5"/>
      <c r="T1253" s="1120"/>
      <c r="U1253" s="5"/>
      <c r="V1253" s="5"/>
      <c r="W1253" s="5"/>
      <c r="X1253" s="1120"/>
      <c r="Y1253" s="1120"/>
      <c r="Z1253" s="5"/>
      <c r="AA1253" s="5"/>
      <c r="AB1253" s="1135"/>
      <c r="AC1253" s="5"/>
      <c r="AD1253" s="5"/>
      <c r="AE1253" s="5"/>
      <c r="AF1253" s="1120"/>
      <c r="AG1253" s="1148"/>
      <c r="AH1253" s="1120"/>
      <c r="AI1253" s="1120"/>
      <c r="AJ1253" s="1120"/>
    </row>
    <row r="1254" spans="2:36" ht="30" customHeight="1" x14ac:dyDescent="0.25">
      <c r="B1254" s="5"/>
      <c r="C1254" s="5"/>
      <c r="D1254" s="5"/>
      <c r="E1254" s="5"/>
      <c r="F1254" s="5"/>
      <c r="G1254" s="5"/>
      <c r="H1254" s="5"/>
      <c r="I1254" s="5"/>
      <c r="J1254" s="5"/>
      <c r="L1254" s="277"/>
      <c r="M1254" s="5"/>
      <c r="R1254" s="5"/>
      <c r="S1254" s="5"/>
      <c r="T1254" s="1120"/>
      <c r="U1254" s="5"/>
      <c r="V1254" s="5"/>
      <c r="W1254" s="5"/>
      <c r="X1254" s="1120"/>
      <c r="Y1254" s="1120"/>
      <c r="Z1254" s="5"/>
      <c r="AA1254" s="5"/>
      <c r="AB1254" s="1135"/>
      <c r="AC1254" s="5"/>
      <c r="AD1254" s="5"/>
      <c r="AE1254" s="5"/>
      <c r="AF1254" s="1120"/>
      <c r="AG1254" s="1148"/>
      <c r="AH1254" s="1120"/>
      <c r="AI1254" s="1120"/>
      <c r="AJ1254" s="1120"/>
    </row>
    <row r="1255" spans="2:36" ht="30" customHeight="1" x14ac:dyDescent="0.25">
      <c r="B1255" s="5"/>
      <c r="C1255" s="5"/>
      <c r="D1255" s="5"/>
      <c r="E1255" s="5"/>
      <c r="F1255" s="5"/>
      <c r="G1255" s="5"/>
      <c r="H1255" s="5"/>
      <c r="I1255" s="5"/>
      <c r="J1255" s="5"/>
      <c r="L1255" s="277"/>
      <c r="M1255" s="5"/>
      <c r="R1255" s="5"/>
      <c r="S1255" s="5"/>
      <c r="T1255" s="1120"/>
      <c r="U1255" s="5"/>
      <c r="V1255" s="5"/>
      <c r="W1255" s="5"/>
      <c r="X1255" s="1120"/>
      <c r="Y1255" s="1120"/>
      <c r="Z1255" s="5"/>
      <c r="AA1255" s="5"/>
      <c r="AB1255" s="1135"/>
      <c r="AC1255" s="5"/>
      <c r="AD1255" s="5"/>
      <c r="AE1255" s="5"/>
      <c r="AF1255" s="1120"/>
      <c r="AG1255" s="1148"/>
      <c r="AH1255" s="1120"/>
      <c r="AI1255" s="1120"/>
      <c r="AJ1255" s="1120"/>
    </row>
    <row r="1256" spans="2:36" ht="30" customHeight="1" x14ac:dyDescent="0.25">
      <c r="B1256" s="5"/>
      <c r="C1256" s="5"/>
      <c r="D1256" s="5"/>
      <c r="E1256" s="5"/>
      <c r="F1256" s="5"/>
      <c r="G1256" s="5"/>
      <c r="H1256" s="5"/>
      <c r="I1256" s="5"/>
      <c r="J1256" s="5"/>
      <c r="L1256" s="277"/>
      <c r="M1256" s="5"/>
      <c r="R1256" s="5"/>
      <c r="S1256" s="5"/>
      <c r="T1256" s="1120"/>
      <c r="U1256" s="5"/>
      <c r="V1256" s="5"/>
      <c r="W1256" s="5"/>
      <c r="X1256" s="1120"/>
      <c r="Y1256" s="1120"/>
      <c r="Z1256" s="5"/>
      <c r="AA1256" s="5"/>
      <c r="AB1256" s="1135"/>
      <c r="AC1256" s="5"/>
      <c r="AD1256" s="5"/>
      <c r="AE1256" s="5"/>
      <c r="AF1256" s="1120"/>
      <c r="AG1256" s="1148"/>
      <c r="AH1256" s="1120"/>
      <c r="AI1256" s="1120"/>
      <c r="AJ1256" s="1120"/>
    </row>
    <row r="1257" spans="2:36" ht="30" customHeight="1" x14ac:dyDescent="0.25">
      <c r="B1257" s="5"/>
      <c r="C1257" s="5"/>
      <c r="D1257" s="5"/>
      <c r="E1257" s="5"/>
      <c r="F1257" s="5"/>
      <c r="G1257" s="5"/>
      <c r="H1257" s="5"/>
      <c r="I1257" s="5"/>
      <c r="J1257" s="5"/>
      <c r="L1257" s="277"/>
      <c r="M1257" s="5"/>
      <c r="R1257" s="5"/>
      <c r="S1257" s="5"/>
      <c r="T1257" s="1120"/>
      <c r="U1257" s="5"/>
      <c r="V1257" s="5"/>
      <c r="W1257" s="5"/>
      <c r="X1257" s="1120"/>
      <c r="Y1257" s="1120"/>
      <c r="Z1257" s="5"/>
      <c r="AA1257" s="5"/>
      <c r="AB1257" s="1135"/>
      <c r="AC1257" s="5"/>
      <c r="AD1257" s="5"/>
      <c r="AE1257" s="5"/>
      <c r="AF1257" s="1120"/>
      <c r="AG1257" s="1148"/>
      <c r="AH1257" s="1120"/>
      <c r="AI1257" s="1120"/>
      <c r="AJ1257" s="1120"/>
    </row>
    <row r="1258" spans="2:36" ht="30" customHeight="1" x14ac:dyDescent="0.25">
      <c r="B1258" s="5"/>
      <c r="C1258" s="5"/>
      <c r="D1258" s="5"/>
      <c r="E1258" s="5"/>
      <c r="F1258" s="5"/>
      <c r="G1258" s="5"/>
      <c r="H1258" s="5"/>
      <c r="I1258" s="5"/>
      <c r="J1258" s="5"/>
      <c r="L1258" s="277"/>
      <c r="M1258" s="5"/>
      <c r="R1258" s="5"/>
      <c r="S1258" s="5"/>
      <c r="T1258" s="1120"/>
      <c r="U1258" s="5"/>
      <c r="V1258" s="5"/>
      <c r="W1258" s="5"/>
      <c r="X1258" s="1120"/>
      <c r="Y1258" s="1120"/>
      <c r="Z1258" s="5"/>
      <c r="AA1258" s="5"/>
      <c r="AB1258" s="1135"/>
      <c r="AC1258" s="5"/>
      <c r="AD1258" s="5"/>
      <c r="AE1258" s="5"/>
      <c r="AF1258" s="1120"/>
      <c r="AG1258" s="1148"/>
      <c r="AH1258" s="1120"/>
      <c r="AI1258" s="1120"/>
      <c r="AJ1258" s="1120"/>
    </row>
    <row r="1259" spans="2:36" ht="30" customHeight="1" x14ac:dyDescent="0.25">
      <c r="B1259" s="5"/>
      <c r="C1259" s="5"/>
      <c r="D1259" s="5"/>
      <c r="E1259" s="5"/>
      <c r="F1259" s="5"/>
      <c r="G1259" s="5"/>
      <c r="H1259" s="5"/>
      <c r="I1259" s="5"/>
      <c r="J1259" s="5"/>
      <c r="L1259" s="277"/>
      <c r="M1259" s="5"/>
      <c r="R1259" s="5"/>
      <c r="S1259" s="5"/>
      <c r="T1259" s="1120"/>
      <c r="U1259" s="5"/>
      <c r="V1259" s="5"/>
      <c r="W1259" s="5"/>
      <c r="X1259" s="1120"/>
      <c r="Y1259" s="1120"/>
      <c r="Z1259" s="5"/>
      <c r="AA1259" s="5"/>
      <c r="AB1259" s="1135"/>
      <c r="AC1259" s="5"/>
      <c r="AD1259" s="5"/>
      <c r="AE1259" s="5"/>
      <c r="AF1259" s="1120"/>
      <c r="AG1259" s="1148"/>
      <c r="AH1259" s="1120"/>
      <c r="AI1259" s="1120"/>
      <c r="AJ1259" s="1120"/>
    </row>
    <row r="1260" spans="2:36" ht="30" customHeight="1" x14ac:dyDescent="0.25">
      <c r="B1260" s="5"/>
      <c r="C1260" s="5"/>
      <c r="D1260" s="5"/>
      <c r="E1260" s="5"/>
      <c r="F1260" s="5"/>
      <c r="G1260" s="5"/>
      <c r="H1260" s="5"/>
      <c r="I1260" s="5"/>
      <c r="J1260" s="5"/>
      <c r="L1260" s="277"/>
      <c r="M1260" s="5"/>
      <c r="R1260" s="5"/>
      <c r="S1260" s="5"/>
      <c r="T1260" s="1120"/>
      <c r="U1260" s="5"/>
      <c r="V1260" s="5"/>
      <c r="W1260" s="5"/>
      <c r="X1260" s="1120"/>
      <c r="Y1260" s="1120"/>
      <c r="Z1260" s="5"/>
      <c r="AA1260" s="5"/>
      <c r="AB1260" s="1135"/>
      <c r="AC1260" s="5"/>
      <c r="AD1260" s="5"/>
      <c r="AE1260" s="5"/>
      <c r="AF1260" s="1120"/>
      <c r="AG1260" s="1148"/>
      <c r="AH1260" s="1120"/>
      <c r="AI1260" s="1120"/>
      <c r="AJ1260" s="1120"/>
    </row>
    <row r="1261" spans="2:36" ht="30" customHeight="1" x14ac:dyDescent="0.25">
      <c r="B1261" s="5"/>
      <c r="C1261" s="5"/>
      <c r="D1261" s="5"/>
      <c r="E1261" s="5"/>
      <c r="F1261" s="5"/>
      <c r="G1261" s="5"/>
      <c r="H1261" s="5"/>
      <c r="I1261" s="5"/>
      <c r="J1261" s="5"/>
      <c r="L1261" s="277"/>
      <c r="M1261" s="5"/>
      <c r="R1261" s="5"/>
      <c r="S1261" s="5"/>
      <c r="T1261" s="1120"/>
      <c r="U1261" s="5"/>
      <c r="V1261" s="5"/>
      <c r="W1261" s="5"/>
      <c r="X1261" s="1120"/>
      <c r="Y1261" s="1120"/>
      <c r="Z1261" s="5"/>
      <c r="AA1261" s="5"/>
      <c r="AB1261" s="1135"/>
      <c r="AC1261" s="5"/>
      <c r="AD1261" s="5"/>
      <c r="AE1261" s="5"/>
      <c r="AF1261" s="1120"/>
      <c r="AG1261" s="1148"/>
      <c r="AH1261" s="1120"/>
      <c r="AI1261" s="1120"/>
      <c r="AJ1261" s="1120"/>
    </row>
    <row r="1262" spans="2:36" ht="30" customHeight="1" x14ac:dyDescent="0.25">
      <c r="B1262" s="5"/>
      <c r="C1262" s="5"/>
      <c r="D1262" s="5"/>
      <c r="E1262" s="5"/>
      <c r="F1262" s="5"/>
      <c r="G1262" s="5"/>
      <c r="H1262" s="5"/>
      <c r="I1262" s="5"/>
      <c r="J1262" s="5"/>
      <c r="L1262" s="277"/>
      <c r="M1262" s="5"/>
      <c r="R1262" s="5"/>
      <c r="S1262" s="5"/>
      <c r="T1262" s="1120"/>
      <c r="U1262" s="5"/>
      <c r="V1262" s="5"/>
      <c r="W1262" s="5"/>
      <c r="X1262" s="1120"/>
      <c r="Y1262" s="1120"/>
      <c r="Z1262" s="5"/>
      <c r="AA1262" s="5"/>
      <c r="AB1262" s="1135"/>
      <c r="AC1262" s="5"/>
      <c r="AD1262" s="5"/>
      <c r="AE1262" s="5"/>
      <c r="AF1262" s="1120"/>
      <c r="AG1262" s="1148"/>
      <c r="AH1262" s="1120"/>
      <c r="AI1262" s="1120"/>
      <c r="AJ1262" s="1120"/>
    </row>
    <row r="1263" spans="2:36" ht="30" customHeight="1" x14ac:dyDescent="0.25">
      <c r="B1263" s="5"/>
      <c r="C1263" s="5"/>
      <c r="D1263" s="5"/>
      <c r="E1263" s="5"/>
      <c r="F1263" s="5"/>
      <c r="G1263" s="5"/>
      <c r="H1263" s="5"/>
      <c r="I1263" s="5"/>
      <c r="J1263" s="5"/>
      <c r="L1263" s="277"/>
      <c r="M1263" s="5"/>
      <c r="R1263" s="5"/>
      <c r="S1263" s="5"/>
      <c r="T1263" s="1120"/>
      <c r="U1263" s="5"/>
      <c r="V1263" s="5"/>
      <c r="W1263" s="5"/>
      <c r="X1263" s="1120"/>
      <c r="Y1263" s="1120"/>
      <c r="Z1263" s="5"/>
      <c r="AA1263" s="5"/>
      <c r="AB1263" s="1135"/>
      <c r="AC1263" s="5"/>
      <c r="AD1263" s="5"/>
      <c r="AE1263" s="5"/>
      <c r="AF1263" s="1120"/>
      <c r="AG1263" s="1148"/>
      <c r="AH1263" s="1120"/>
      <c r="AI1263" s="1120"/>
      <c r="AJ1263" s="1120"/>
    </row>
    <row r="1264" spans="2:36" ht="30" customHeight="1" x14ac:dyDescent="0.25">
      <c r="B1264" s="5"/>
      <c r="C1264" s="5"/>
      <c r="D1264" s="5"/>
      <c r="E1264" s="5"/>
      <c r="F1264" s="5"/>
      <c r="G1264" s="5"/>
      <c r="H1264" s="5"/>
      <c r="I1264" s="5"/>
      <c r="J1264" s="5"/>
      <c r="L1264" s="277"/>
      <c r="M1264" s="5"/>
      <c r="R1264" s="5"/>
      <c r="S1264" s="5"/>
      <c r="T1264" s="1120"/>
      <c r="U1264" s="5"/>
      <c r="V1264" s="5"/>
      <c r="W1264" s="5"/>
      <c r="X1264" s="1120"/>
      <c r="Y1264" s="1120"/>
      <c r="Z1264" s="5"/>
      <c r="AA1264" s="5"/>
      <c r="AB1264" s="1135"/>
      <c r="AC1264" s="5"/>
      <c r="AD1264" s="5"/>
      <c r="AE1264" s="5"/>
      <c r="AF1264" s="1120"/>
      <c r="AG1264" s="1148"/>
      <c r="AH1264" s="1120"/>
      <c r="AI1264" s="1120"/>
      <c r="AJ1264" s="1120"/>
    </row>
    <row r="1265" spans="2:36" ht="30" customHeight="1" x14ac:dyDescent="0.25">
      <c r="B1265" s="5"/>
      <c r="C1265" s="5"/>
      <c r="D1265" s="5"/>
      <c r="E1265" s="5"/>
      <c r="F1265" s="5"/>
      <c r="G1265" s="5"/>
      <c r="H1265" s="5"/>
      <c r="I1265" s="5"/>
      <c r="J1265" s="5"/>
      <c r="L1265" s="277"/>
      <c r="M1265" s="5"/>
      <c r="R1265" s="5"/>
      <c r="S1265" s="5"/>
      <c r="T1265" s="1120"/>
      <c r="U1265" s="5"/>
      <c r="V1265" s="5"/>
      <c r="W1265" s="5"/>
      <c r="X1265" s="1120"/>
      <c r="Y1265" s="1120"/>
      <c r="Z1265" s="5"/>
      <c r="AA1265" s="5"/>
      <c r="AB1265" s="1135"/>
      <c r="AC1265" s="5"/>
      <c r="AD1265" s="5"/>
      <c r="AE1265" s="5"/>
      <c r="AF1265" s="1120"/>
      <c r="AG1265" s="1148"/>
      <c r="AH1265" s="1120"/>
      <c r="AI1265" s="1120"/>
      <c r="AJ1265" s="1120"/>
    </row>
    <row r="1266" spans="2:36" ht="30" customHeight="1" x14ac:dyDescent="0.25">
      <c r="B1266" s="5"/>
      <c r="C1266" s="5"/>
      <c r="D1266" s="5"/>
      <c r="E1266" s="5"/>
      <c r="F1266" s="5"/>
      <c r="G1266" s="5"/>
      <c r="H1266" s="5"/>
      <c r="I1266" s="5"/>
      <c r="J1266" s="5"/>
      <c r="L1266" s="277"/>
      <c r="M1266" s="5"/>
      <c r="R1266" s="5"/>
      <c r="S1266" s="5"/>
      <c r="T1266" s="1120"/>
      <c r="U1266" s="5"/>
      <c r="V1266" s="5"/>
      <c r="W1266" s="5"/>
      <c r="X1266" s="1120"/>
      <c r="Y1266" s="1120"/>
      <c r="Z1266" s="5"/>
      <c r="AA1266" s="5"/>
      <c r="AB1266" s="1135"/>
      <c r="AC1266" s="5"/>
      <c r="AD1266" s="5"/>
      <c r="AE1266" s="5"/>
      <c r="AF1266" s="1120"/>
      <c r="AG1266" s="1148"/>
      <c r="AH1266" s="1120"/>
      <c r="AI1266" s="1120"/>
      <c r="AJ1266" s="1120"/>
    </row>
    <row r="1267" spans="2:36" ht="30" customHeight="1" x14ac:dyDescent="0.25">
      <c r="B1267" s="5"/>
      <c r="C1267" s="5"/>
      <c r="D1267" s="5"/>
      <c r="E1267" s="5"/>
      <c r="F1267" s="5"/>
      <c r="G1267" s="5"/>
      <c r="H1267" s="5"/>
      <c r="I1267" s="5"/>
      <c r="J1267" s="5"/>
      <c r="L1267" s="277"/>
      <c r="M1267" s="5"/>
      <c r="R1267" s="5"/>
      <c r="S1267" s="5"/>
      <c r="T1267" s="1120"/>
      <c r="U1267" s="5"/>
      <c r="V1267" s="5"/>
      <c r="W1267" s="5"/>
      <c r="X1267" s="1120"/>
      <c r="Y1267" s="1120"/>
      <c r="Z1267" s="5"/>
      <c r="AA1267" s="5"/>
      <c r="AB1267" s="1135"/>
      <c r="AC1267" s="5"/>
      <c r="AD1267" s="5"/>
      <c r="AE1267" s="5"/>
      <c r="AF1267" s="1120"/>
      <c r="AG1267" s="1148"/>
      <c r="AH1267" s="1120"/>
      <c r="AI1267" s="1120"/>
      <c r="AJ1267" s="1120"/>
    </row>
    <row r="1268" spans="2:36" ht="30" customHeight="1" x14ac:dyDescent="0.25">
      <c r="B1268" s="5"/>
      <c r="C1268" s="5"/>
      <c r="D1268" s="5"/>
      <c r="E1268" s="5"/>
      <c r="F1268" s="5"/>
      <c r="G1268" s="5"/>
      <c r="H1268" s="5"/>
      <c r="I1268" s="5"/>
      <c r="J1268" s="5"/>
      <c r="L1268" s="277"/>
      <c r="M1268" s="5"/>
      <c r="R1268" s="5"/>
      <c r="S1268" s="5"/>
      <c r="T1268" s="1120"/>
      <c r="U1268" s="5"/>
      <c r="V1268" s="5"/>
      <c r="W1268" s="5"/>
      <c r="X1268" s="1120"/>
      <c r="Y1268" s="1120"/>
      <c r="Z1268" s="5"/>
      <c r="AA1268" s="5"/>
      <c r="AB1268" s="1135"/>
      <c r="AC1268" s="5"/>
      <c r="AD1268" s="5"/>
      <c r="AE1268" s="5"/>
      <c r="AF1268" s="1120"/>
      <c r="AG1268" s="1148"/>
      <c r="AH1268" s="1120"/>
      <c r="AI1268" s="1120"/>
      <c r="AJ1268" s="1120"/>
    </row>
    <row r="1269" spans="2:36" ht="30" customHeight="1" x14ac:dyDescent="0.25">
      <c r="B1269" s="5"/>
      <c r="C1269" s="5"/>
      <c r="D1269" s="5"/>
      <c r="E1269" s="5"/>
      <c r="F1269" s="5"/>
      <c r="G1269" s="5"/>
      <c r="H1269" s="5"/>
      <c r="I1269" s="5"/>
      <c r="J1269" s="5"/>
      <c r="L1269" s="277"/>
      <c r="M1269" s="5"/>
      <c r="R1269" s="5"/>
      <c r="S1269" s="5"/>
      <c r="T1269" s="1120"/>
      <c r="U1269" s="5"/>
      <c r="V1269" s="5"/>
      <c r="W1269" s="5"/>
      <c r="X1269" s="1120"/>
      <c r="Y1269" s="1120"/>
      <c r="Z1269" s="5"/>
      <c r="AA1269" s="5"/>
      <c r="AB1269" s="1135"/>
      <c r="AC1269" s="5"/>
      <c r="AD1269" s="5"/>
      <c r="AE1269" s="5"/>
      <c r="AF1269" s="1120"/>
      <c r="AG1269" s="1148"/>
      <c r="AH1269" s="1120"/>
      <c r="AI1269" s="1120"/>
      <c r="AJ1269" s="1120"/>
    </row>
    <row r="1270" spans="2:36" ht="30" customHeight="1" x14ac:dyDescent="0.25">
      <c r="B1270" s="5"/>
      <c r="C1270" s="5"/>
      <c r="D1270" s="5"/>
      <c r="E1270" s="5"/>
      <c r="F1270" s="5"/>
      <c r="G1270" s="5"/>
      <c r="H1270" s="5"/>
      <c r="I1270" s="5"/>
      <c r="J1270" s="5"/>
      <c r="L1270" s="277"/>
      <c r="M1270" s="5"/>
      <c r="R1270" s="5"/>
      <c r="S1270" s="5"/>
      <c r="T1270" s="1120"/>
      <c r="U1270" s="5"/>
      <c r="V1270" s="5"/>
      <c r="W1270" s="5"/>
      <c r="X1270" s="1120"/>
      <c r="Y1270" s="1120"/>
      <c r="Z1270" s="5"/>
      <c r="AA1270" s="5"/>
      <c r="AB1270" s="1135"/>
      <c r="AC1270" s="5"/>
      <c r="AD1270" s="5"/>
      <c r="AE1270" s="5"/>
      <c r="AF1270" s="1120"/>
      <c r="AG1270" s="1148"/>
      <c r="AH1270" s="1120"/>
      <c r="AI1270" s="1120"/>
      <c r="AJ1270" s="1120"/>
    </row>
    <row r="1271" spans="2:36" ht="30" customHeight="1" x14ac:dyDescent="0.25">
      <c r="B1271" s="5"/>
      <c r="C1271" s="5"/>
      <c r="D1271" s="5"/>
      <c r="E1271" s="5"/>
      <c r="F1271" s="5"/>
      <c r="G1271" s="5"/>
      <c r="H1271" s="5"/>
      <c r="I1271" s="5"/>
      <c r="J1271" s="5"/>
      <c r="L1271" s="277"/>
      <c r="M1271" s="5"/>
      <c r="R1271" s="5"/>
      <c r="S1271" s="5"/>
      <c r="T1271" s="1120"/>
      <c r="U1271" s="5"/>
      <c r="V1271" s="5"/>
      <c r="W1271" s="5"/>
      <c r="X1271" s="1120"/>
      <c r="Y1271" s="1120"/>
      <c r="Z1271" s="5"/>
      <c r="AA1271" s="5"/>
      <c r="AB1271" s="1135"/>
      <c r="AC1271" s="5"/>
      <c r="AD1271" s="5"/>
      <c r="AE1271" s="5"/>
      <c r="AF1271" s="1120"/>
      <c r="AG1271" s="1148"/>
      <c r="AH1271" s="1120"/>
      <c r="AI1271" s="1120"/>
      <c r="AJ1271" s="1120"/>
    </row>
    <row r="1272" spans="2:36" ht="30" customHeight="1" x14ac:dyDescent="0.25">
      <c r="B1272" s="5"/>
      <c r="C1272" s="5"/>
      <c r="D1272" s="5"/>
      <c r="E1272" s="5"/>
      <c r="F1272" s="5"/>
      <c r="G1272" s="5"/>
      <c r="H1272" s="5"/>
      <c r="I1272" s="5"/>
      <c r="J1272" s="5"/>
      <c r="L1272" s="277"/>
      <c r="M1272" s="5"/>
      <c r="R1272" s="5"/>
      <c r="S1272" s="5"/>
      <c r="T1272" s="1120"/>
      <c r="U1272" s="5"/>
      <c r="V1272" s="5"/>
      <c r="W1272" s="5"/>
      <c r="X1272" s="1120"/>
      <c r="Y1272" s="1120"/>
      <c r="Z1272" s="5"/>
      <c r="AA1272" s="5"/>
      <c r="AB1272" s="1135"/>
      <c r="AC1272" s="5"/>
      <c r="AD1272" s="5"/>
      <c r="AE1272" s="5"/>
      <c r="AF1272" s="1120"/>
      <c r="AG1272" s="1148"/>
      <c r="AH1272" s="1120"/>
      <c r="AI1272" s="1120"/>
      <c r="AJ1272" s="1120"/>
    </row>
    <row r="1273" spans="2:36" ht="30" customHeight="1" x14ac:dyDescent="0.25">
      <c r="B1273" s="5"/>
      <c r="C1273" s="5"/>
      <c r="D1273" s="5"/>
      <c r="E1273" s="5"/>
      <c r="F1273" s="5"/>
      <c r="G1273" s="5"/>
      <c r="H1273" s="5"/>
      <c r="I1273" s="5"/>
      <c r="J1273" s="5"/>
      <c r="L1273" s="277"/>
      <c r="M1273" s="5"/>
      <c r="R1273" s="5"/>
      <c r="S1273" s="5"/>
      <c r="T1273" s="1120"/>
      <c r="U1273" s="5"/>
      <c r="V1273" s="5"/>
      <c r="W1273" s="5"/>
      <c r="X1273" s="1120"/>
      <c r="Y1273" s="1120"/>
      <c r="Z1273" s="5"/>
      <c r="AA1273" s="5"/>
      <c r="AB1273" s="1135"/>
      <c r="AC1273" s="5"/>
      <c r="AD1273" s="5"/>
      <c r="AE1273" s="5"/>
      <c r="AF1273" s="1120"/>
      <c r="AG1273" s="1148"/>
      <c r="AH1273" s="1120"/>
      <c r="AI1273" s="1120"/>
      <c r="AJ1273" s="1120"/>
    </row>
    <row r="1274" spans="2:36" ht="30" customHeight="1" x14ac:dyDescent="0.25">
      <c r="B1274" s="5"/>
      <c r="C1274" s="5"/>
      <c r="D1274" s="5"/>
      <c r="E1274" s="5"/>
      <c r="F1274" s="5"/>
      <c r="G1274" s="5"/>
      <c r="H1274" s="5"/>
      <c r="I1274" s="5"/>
      <c r="J1274" s="5"/>
      <c r="L1274" s="277"/>
      <c r="M1274" s="5"/>
      <c r="R1274" s="5"/>
      <c r="S1274" s="5"/>
      <c r="T1274" s="1120"/>
      <c r="U1274" s="5"/>
      <c r="V1274" s="5"/>
      <c r="W1274" s="5"/>
      <c r="X1274" s="1120"/>
      <c r="Y1274" s="1120"/>
      <c r="Z1274" s="5"/>
      <c r="AA1274" s="5"/>
      <c r="AB1274" s="1135"/>
      <c r="AC1274" s="5"/>
      <c r="AD1274" s="5"/>
      <c r="AE1274" s="5"/>
      <c r="AF1274" s="1120"/>
      <c r="AG1274" s="1148"/>
      <c r="AH1274" s="1120"/>
      <c r="AI1274" s="1120"/>
      <c r="AJ1274" s="1120"/>
    </row>
    <row r="1275" spans="2:36" ht="30" customHeight="1" x14ac:dyDescent="0.25">
      <c r="B1275" s="5"/>
      <c r="C1275" s="5"/>
      <c r="D1275" s="5"/>
      <c r="E1275" s="5"/>
      <c r="F1275" s="5"/>
      <c r="G1275" s="5"/>
      <c r="H1275" s="5"/>
      <c r="I1275" s="5"/>
      <c r="J1275" s="5"/>
      <c r="L1275" s="277"/>
      <c r="M1275" s="5"/>
      <c r="R1275" s="5"/>
      <c r="S1275" s="5"/>
      <c r="T1275" s="1120"/>
      <c r="U1275" s="5"/>
      <c r="V1275" s="5"/>
      <c r="W1275" s="5"/>
      <c r="X1275" s="1120"/>
      <c r="Y1275" s="1120"/>
      <c r="Z1275" s="5"/>
      <c r="AA1275" s="5"/>
      <c r="AB1275" s="1135"/>
      <c r="AC1275" s="5"/>
      <c r="AD1275" s="5"/>
      <c r="AE1275" s="5"/>
      <c r="AF1275" s="1120"/>
      <c r="AG1275" s="1148"/>
      <c r="AH1275" s="1120"/>
      <c r="AI1275" s="1120"/>
      <c r="AJ1275" s="1120"/>
    </row>
    <row r="1276" spans="2:36" ht="30" customHeight="1" x14ac:dyDescent="0.25">
      <c r="B1276" s="5"/>
      <c r="C1276" s="5"/>
      <c r="D1276" s="5"/>
      <c r="E1276" s="5"/>
      <c r="F1276" s="5"/>
      <c r="G1276" s="5"/>
      <c r="H1276" s="5"/>
      <c r="I1276" s="5"/>
      <c r="J1276" s="5"/>
      <c r="L1276" s="277"/>
      <c r="M1276" s="5"/>
      <c r="R1276" s="5"/>
      <c r="S1276" s="5"/>
      <c r="T1276" s="1120"/>
      <c r="U1276" s="5"/>
      <c r="V1276" s="5"/>
      <c r="W1276" s="5"/>
      <c r="X1276" s="1120"/>
      <c r="Y1276" s="1120"/>
      <c r="Z1276" s="5"/>
      <c r="AA1276" s="5"/>
      <c r="AB1276" s="1135"/>
      <c r="AC1276" s="5"/>
      <c r="AD1276" s="5"/>
      <c r="AE1276" s="5"/>
      <c r="AF1276" s="1120"/>
      <c r="AG1276" s="1148"/>
      <c r="AH1276" s="1120"/>
      <c r="AI1276" s="1120"/>
      <c r="AJ1276" s="1120"/>
    </row>
    <row r="1277" spans="2:36" ht="30" customHeight="1" x14ac:dyDescent="0.25">
      <c r="B1277" s="5"/>
      <c r="C1277" s="5"/>
      <c r="D1277" s="5"/>
      <c r="E1277" s="5"/>
      <c r="F1277" s="5"/>
      <c r="G1277" s="5"/>
      <c r="H1277" s="5"/>
      <c r="I1277" s="5"/>
      <c r="J1277" s="5"/>
      <c r="L1277" s="277"/>
      <c r="M1277" s="5"/>
      <c r="R1277" s="5"/>
      <c r="S1277" s="5"/>
      <c r="T1277" s="1120"/>
      <c r="U1277" s="5"/>
      <c r="V1277" s="5"/>
      <c r="W1277" s="5"/>
      <c r="X1277" s="1120"/>
      <c r="Y1277" s="1120"/>
      <c r="Z1277" s="5"/>
      <c r="AA1277" s="5"/>
      <c r="AB1277" s="1135"/>
      <c r="AC1277" s="5"/>
      <c r="AD1277" s="5"/>
      <c r="AE1277" s="5"/>
      <c r="AF1277" s="1120"/>
      <c r="AG1277" s="1148"/>
      <c r="AH1277" s="1120"/>
      <c r="AI1277" s="1120"/>
      <c r="AJ1277" s="1120"/>
    </row>
    <row r="1278" spans="2:36" ht="30" customHeight="1" x14ac:dyDescent="0.25">
      <c r="B1278" s="5"/>
      <c r="C1278" s="5"/>
      <c r="D1278" s="5"/>
      <c r="E1278" s="5"/>
      <c r="F1278" s="5"/>
      <c r="G1278" s="5"/>
      <c r="H1278" s="5"/>
      <c r="I1278" s="5"/>
      <c r="J1278" s="5"/>
      <c r="L1278" s="277"/>
      <c r="M1278" s="5"/>
      <c r="R1278" s="5"/>
      <c r="S1278" s="5"/>
      <c r="T1278" s="1120"/>
      <c r="U1278" s="5"/>
      <c r="V1278" s="5"/>
      <c r="W1278" s="5"/>
      <c r="X1278" s="1120"/>
      <c r="Y1278" s="1120"/>
      <c r="Z1278" s="5"/>
      <c r="AA1278" s="5"/>
      <c r="AB1278" s="1135"/>
      <c r="AC1278" s="5"/>
      <c r="AD1278" s="5"/>
      <c r="AE1278" s="5"/>
      <c r="AF1278" s="1120"/>
      <c r="AG1278" s="1148"/>
      <c r="AH1278" s="1120"/>
      <c r="AI1278" s="1120"/>
      <c r="AJ1278" s="1120"/>
    </row>
    <row r="1279" spans="2:36" ht="30" customHeight="1" x14ac:dyDescent="0.25">
      <c r="B1279" s="5"/>
      <c r="C1279" s="5"/>
      <c r="D1279" s="5"/>
      <c r="E1279" s="5"/>
      <c r="F1279" s="5"/>
      <c r="G1279" s="5"/>
      <c r="H1279" s="5"/>
      <c r="I1279" s="5"/>
      <c r="J1279" s="5"/>
      <c r="L1279" s="277"/>
      <c r="M1279" s="5"/>
      <c r="R1279" s="5"/>
      <c r="S1279" s="5"/>
      <c r="T1279" s="1120"/>
      <c r="U1279" s="5"/>
      <c r="V1279" s="5"/>
      <c r="W1279" s="5"/>
      <c r="X1279" s="1120"/>
      <c r="Y1279" s="1120"/>
      <c r="Z1279" s="5"/>
      <c r="AA1279" s="5"/>
      <c r="AB1279" s="1135"/>
      <c r="AC1279" s="5"/>
      <c r="AD1279" s="5"/>
      <c r="AE1279" s="5"/>
      <c r="AF1279" s="1120"/>
      <c r="AG1279" s="1148"/>
      <c r="AH1279" s="1120"/>
      <c r="AI1279" s="1120"/>
      <c r="AJ1279" s="1120"/>
    </row>
    <row r="1280" spans="2:36" ht="30" customHeight="1" x14ac:dyDescent="0.25">
      <c r="B1280" s="5"/>
      <c r="C1280" s="5"/>
      <c r="D1280" s="5"/>
      <c r="E1280" s="5"/>
      <c r="F1280" s="5"/>
      <c r="G1280" s="5"/>
      <c r="H1280" s="5"/>
      <c r="I1280" s="5"/>
      <c r="J1280" s="5"/>
      <c r="L1280" s="277"/>
      <c r="M1280" s="5"/>
      <c r="R1280" s="5"/>
      <c r="S1280" s="5"/>
      <c r="T1280" s="1120"/>
      <c r="U1280" s="5"/>
      <c r="V1280" s="5"/>
      <c r="W1280" s="5"/>
      <c r="X1280" s="1120"/>
      <c r="Y1280" s="1120"/>
      <c r="Z1280" s="5"/>
      <c r="AA1280" s="5"/>
      <c r="AB1280" s="1135"/>
      <c r="AC1280" s="5"/>
      <c r="AD1280" s="5"/>
      <c r="AE1280" s="5"/>
      <c r="AF1280" s="1120"/>
      <c r="AG1280" s="1148"/>
      <c r="AH1280" s="1120"/>
      <c r="AI1280" s="1120"/>
      <c r="AJ1280" s="1120"/>
    </row>
    <row r="1281" spans="2:36" ht="30" customHeight="1" x14ac:dyDescent="0.25">
      <c r="B1281" s="5"/>
      <c r="C1281" s="5"/>
      <c r="D1281" s="5"/>
      <c r="E1281" s="5"/>
      <c r="F1281" s="5"/>
      <c r="G1281" s="5"/>
      <c r="H1281" s="5"/>
      <c r="I1281" s="5"/>
      <c r="J1281" s="5"/>
      <c r="L1281" s="277"/>
      <c r="M1281" s="5"/>
      <c r="R1281" s="5"/>
      <c r="S1281" s="5"/>
      <c r="T1281" s="1120"/>
      <c r="U1281" s="5"/>
      <c r="V1281" s="5"/>
      <c r="W1281" s="5"/>
      <c r="X1281" s="1120"/>
      <c r="Y1281" s="1120"/>
      <c r="Z1281" s="5"/>
      <c r="AA1281" s="5"/>
      <c r="AB1281" s="1135"/>
      <c r="AC1281" s="5"/>
      <c r="AD1281" s="5"/>
      <c r="AE1281" s="5"/>
      <c r="AF1281" s="1120"/>
      <c r="AG1281" s="1148"/>
      <c r="AH1281" s="1120"/>
      <c r="AI1281" s="1120"/>
      <c r="AJ1281" s="1120"/>
    </row>
    <row r="1282" spans="2:36" ht="30" customHeight="1" x14ac:dyDescent="0.25">
      <c r="B1282" s="5"/>
      <c r="C1282" s="5"/>
      <c r="D1282" s="5"/>
      <c r="E1282" s="5"/>
      <c r="F1282" s="5"/>
      <c r="G1282" s="5"/>
      <c r="H1282" s="5"/>
      <c r="I1282" s="5"/>
      <c r="J1282" s="5"/>
      <c r="L1282" s="277"/>
      <c r="M1282" s="5"/>
      <c r="R1282" s="5"/>
      <c r="S1282" s="5"/>
      <c r="T1282" s="1120"/>
      <c r="U1282" s="5"/>
      <c r="V1282" s="5"/>
      <c r="W1282" s="5"/>
      <c r="X1282" s="1120"/>
      <c r="Y1282" s="1120"/>
      <c r="Z1282" s="5"/>
      <c r="AA1282" s="5"/>
      <c r="AB1282" s="1135"/>
      <c r="AC1282" s="5"/>
      <c r="AD1282" s="5"/>
      <c r="AE1282" s="5"/>
      <c r="AF1282" s="1120"/>
      <c r="AG1282" s="1148"/>
      <c r="AH1282" s="1120"/>
      <c r="AI1282" s="1120"/>
      <c r="AJ1282" s="1120"/>
    </row>
    <row r="1283" spans="2:36" ht="30" customHeight="1" x14ac:dyDescent="0.25">
      <c r="B1283" s="5"/>
      <c r="C1283" s="5"/>
      <c r="D1283" s="5"/>
      <c r="E1283" s="5"/>
      <c r="F1283" s="5"/>
      <c r="G1283" s="5"/>
      <c r="H1283" s="5"/>
      <c r="I1283" s="5"/>
      <c r="J1283" s="5"/>
      <c r="L1283" s="277"/>
      <c r="M1283" s="5"/>
      <c r="R1283" s="5"/>
      <c r="S1283" s="5"/>
      <c r="T1283" s="1120"/>
      <c r="U1283" s="5"/>
      <c r="V1283" s="5"/>
      <c r="W1283" s="5"/>
      <c r="X1283" s="1120"/>
      <c r="Y1283" s="1120"/>
      <c r="Z1283" s="5"/>
      <c r="AA1283" s="5"/>
      <c r="AB1283" s="1135"/>
      <c r="AC1283" s="5"/>
      <c r="AD1283" s="5"/>
      <c r="AE1283" s="5"/>
      <c r="AF1283" s="1120"/>
      <c r="AG1283" s="1148"/>
      <c r="AH1283" s="1120"/>
      <c r="AI1283" s="1120"/>
      <c r="AJ1283" s="1120"/>
    </row>
    <row r="1284" spans="2:36" ht="30" customHeight="1" x14ac:dyDescent="0.25">
      <c r="B1284" s="5"/>
      <c r="C1284" s="5"/>
      <c r="D1284" s="5"/>
      <c r="E1284" s="5"/>
      <c r="F1284" s="5"/>
      <c r="G1284" s="5"/>
      <c r="H1284" s="5"/>
      <c r="I1284" s="5"/>
      <c r="J1284" s="5"/>
      <c r="L1284" s="277"/>
      <c r="M1284" s="5"/>
      <c r="R1284" s="5"/>
      <c r="S1284" s="5"/>
      <c r="T1284" s="1120"/>
      <c r="U1284" s="5"/>
      <c r="V1284" s="5"/>
      <c r="W1284" s="5"/>
      <c r="X1284" s="1120"/>
      <c r="Y1284" s="1120"/>
      <c r="Z1284" s="5"/>
      <c r="AA1284" s="5"/>
      <c r="AB1284" s="1135"/>
      <c r="AC1284" s="5"/>
      <c r="AD1284" s="5"/>
      <c r="AE1284" s="5"/>
      <c r="AF1284" s="1120"/>
      <c r="AG1284" s="1148"/>
      <c r="AH1284" s="1120"/>
      <c r="AI1284" s="1120"/>
      <c r="AJ1284" s="1120"/>
    </row>
    <row r="1285" spans="2:36" ht="30" customHeight="1" x14ac:dyDescent="0.25">
      <c r="B1285" s="5"/>
      <c r="C1285" s="5"/>
      <c r="D1285" s="5"/>
      <c r="E1285" s="5"/>
      <c r="F1285" s="5"/>
      <c r="G1285" s="5"/>
      <c r="H1285" s="5"/>
      <c r="I1285" s="5"/>
      <c r="J1285" s="5"/>
      <c r="L1285" s="277"/>
      <c r="M1285" s="5"/>
      <c r="R1285" s="5"/>
      <c r="S1285" s="5"/>
      <c r="T1285" s="1120"/>
      <c r="U1285" s="5"/>
      <c r="V1285" s="5"/>
      <c r="W1285" s="5"/>
      <c r="X1285" s="1120"/>
      <c r="Y1285" s="1120"/>
      <c r="Z1285" s="5"/>
      <c r="AA1285" s="5"/>
      <c r="AB1285" s="1135"/>
      <c r="AC1285" s="5"/>
      <c r="AD1285" s="5"/>
      <c r="AE1285" s="5"/>
      <c r="AF1285" s="1120"/>
      <c r="AG1285" s="1148"/>
      <c r="AH1285" s="1120"/>
      <c r="AI1285" s="1120"/>
      <c r="AJ1285" s="1120"/>
    </row>
    <row r="1286" spans="2:36" ht="30" customHeight="1" x14ac:dyDescent="0.25">
      <c r="B1286" s="5"/>
      <c r="C1286" s="5"/>
      <c r="D1286" s="5"/>
      <c r="E1286" s="5"/>
      <c r="F1286" s="5"/>
      <c r="G1286" s="5"/>
      <c r="H1286" s="5"/>
      <c r="I1286" s="5"/>
      <c r="J1286" s="5"/>
      <c r="L1286" s="277"/>
      <c r="M1286" s="5"/>
      <c r="R1286" s="5"/>
      <c r="S1286" s="5"/>
      <c r="T1286" s="1120"/>
      <c r="U1286" s="5"/>
      <c r="V1286" s="5"/>
      <c r="W1286" s="5"/>
      <c r="X1286" s="1120"/>
      <c r="Y1286" s="1120"/>
      <c r="Z1286" s="5"/>
      <c r="AA1286" s="5"/>
      <c r="AB1286" s="1135"/>
      <c r="AC1286" s="5"/>
      <c r="AD1286" s="5"/>
      <c r="AE1286" s="5"/>
      <c r="AF1286" s="1120"/>
      <c r="AG1286" s="1148"/>
      <c r="AH1286" s="1120"/>
      <c r="AI1286" s="1120"/>
      <c r="AJ1286" s="1120"/>
    </row>
    <row r="1287" spans="2:36" ht="30" customHeight="1" x14ac:dyDescent="0.25">
      <c r="B1287" s="5"/>
      <c r="C1287" s="5"/>
      <c r="D1287" s="5"/>
      <c r="E1287" s="5"/>
      <c r="F1287" s="5"/>
      <c r="G1287" s="5"/>
      <c r="H1287" s="5"/>
      <c r="I1287" s="5"/>
      <c r="J1287" s="5"/>
      <c r="L1287" s="277"/>
      <c r="M1287" s="5"/>
      <c r="R1287" s="5"/>
      <c r="S1287" s="5"/>
      <c r="T1287" s="1120"/>
      <c r="U1287" s="5"/>
      <c r="V1287" s="5"/>
      <c r="W1287" s="5"/>
      <c r="X1287" s="1120"/>
      <c r="Y1287" s="1120"/>
      <c r="Z1287" s="5"/>
      <c r="AA1287" s="5"/>
      <c r="AB1287" s="1135"/>
      <c r="AC1287" s="5"/>
      <c r="AD1287" s="5"/>
      <c r="AE1287" s="5"/>
      <c r="AF1287" s="1120"/>
      <c r="AG1287" s="1148"/>
      <c r="AH1287" s="1120"/>
      <c r="AI1287" s="1120"/>
      <c r="AJ1287" s="1120"/>
    </row>
    <row r="1288" spans="2:36" ht="30" customHeight="1" x14ac:dyDescent="0.25">
      <c r="B1288" s="5"/>
      <c r="C1288" s="5"/>
      <c r="D1288" s="5"/>
      <c r="E1288" s="5"/>
      <c r="F1288" s="5"/>
      <c r="G1288" s="5"/>
      <c r="H1288" s="5"/>
      <c r="I1288" s="5"/>
      <c r="J1288" s="5"/>
      <c r="L1288" s="277"/>
      <c r="M1288" s="5"/>
      <c r="R1288" s="5"/>
      <c r="S1288" s="5"/>
      <c r="T1288" s="1120"/>
      <c r="U1288" s="5"/>
      <c r="V1288" s="5"/>
      <c r="W1288" s="5"/>
      <c r="X1288" s="1120"/>
      <c r="Y1288" s="1120"/>
      <c r="Z1288" s="5"/>
      <c r="AA1288" s="5"/>
      <c r="AB1288" s="1135"/>
      <c r="AC1288" s="5"/>
      <c r="AD1288" s="5"/>
      <c r="AE1288" s="5"/>
      <c r="AF1288" s="1120"/>
      <c r="AG1288" s="1148"/>
      <c r="AH1288" s="1120"/>
      <c r="AI1288" s="1120"/>
      <c r="AJ1288" s="1120"/>
    </row>
    <row r="1289" spans="2:36" ht="30" customHeight="1" x14ac:dyDescent="0.25">
      <c r="B1289" s="5"/>
      <c r="C1289" s="5"/>
      <c r="D1289" s="5"/>
      <c r="E1289" s="5"/>
      <c r="F1289" s="5"/>
      <c r="G1289" s="5"/>
      <c r="H1289" s="5"/>
      <c r="I1289" s="5"/>
      <c r="J1289" s="5"/>
      <c r="L1289" s="277"/>
      <c r="M1289" s="5"/>
      <c r="R1289" s="5"/>
      <c r="S1289" s="5"/>
      <c r="T1289" s="1120"/>
      <c r="U1289" s="5"/>
      <c r="V1289" s="5"/>
      <c r="W1289" s="5"/>
      <c r="X1289" s="1120"/>
      <c r="Y1289" s="1120"/>
      <c r="Z1289" s="5"/>
      <c r="AA1289" s="5"/>
      <c r="AB1289" s="1135"/>
      <c r="AC1289" s="5"/>
      <c r="AD1289" s="5"/>
      <c r="AE1289" s="5"/>
      <c r="AF1289" s="1120"/>
      <c r="AG1289" s="1148"/>
      <c r="AH1289" s="1120"/>
      <c r="AI1289" s="1120"/>
      <c r="AJ1289" s="1120"/>
    </row>
    <row r="1290" spans="2:36" ht="30" customHeight="1" x14ac:dyDescent="0.25">
      <c r="B1290" s="5"/>
      <c r="C1290" s="5"/>
      <c r="D1290" s="5"/>
      <c r="E1290" s="5"/>
      <c r="F1290" s="5"/>
      <c r="G1290" s="5"/>
      <c r="H1290" s="5"/>
      <c r="I1290" s="5"/>
      <c r="J1290" s="5"/>
      <c r="L1290" s="277"/>
      <c r="M1290" s="5"/>
      <c r="R1290" s="5"/>
      <c r="S1290" s="5"/>
      <c r="T1290" s="1120"/>
      <c r="U1290" s="5"/>
      <c r="V1290" s="5"/>
      <c r="W1290" s="5"/>
      <c r="X1290" s="1120"/>
      <c r="Y1290" s="1120"/>
      <c r="Z1290" s="5"/>
      <c r="AA1290" s="5"/>
      <c r="AB1290" s="1135"/>
      <c r="AC1290" s="5"/>
      <c r="AD1290" s="5"/>
      <c r="AE1290" s="5"/>
      <c r="AF1290" s="1120"/>
      <c r="AG1290" s="1148"/>
      <c r="AH1290" s="1120"/>
      <c r="AI1290" s="1120"/>
      <c r="AJ1290" s="1120"/>
    </row>
    <row r="1291" spans="2:36" ht="30" customHeight="1" x14ac:dyDescent="0.25">
      <c r="B1291" s="5"/>
      <c r="C1291" s="5"/>
      <c r="D1291" s="5"/>
      <c r="E1291" s="5"/>
      <c r="F1291" s="5"/>
      <c r="G1291" s="5"/>
      <c r="H1291" s="5"/>
      <c r="I1291" s="5"/>
      <c r="J1291" s="5"/>
      <c r="L1291" s="277"/>
      <c r="M1291" s="5"/>
      <c r="R1291" s="5"/>
      <c r="S1291" s="5"/>
      <c r="T1291" s="1120"/>
      <c r="U1291" s="5"/>
      <c r="V1291" s="5"/>
      <c r="W1291" s="5"/>
      <c r="X1291" s="1120"/>
      <c r="Y1291" s="1120"/>
      <c r="Z1291" s="5"/>
      <c r="AA1291" s="5"/>
      <c r="AB1291" s="1135"/>
      <c r="AC1291" s="5"/>
      <c r="AD1291" s="5"/>
      <c r="AE1291" s="5"/>
      <c r="AF1291" s="1120"/>
      <c r="AG1291" s="1148"/>
      <c r="AH1291" s="1120"/>
      <c r="AI1291" s="1120"/>
      <c r="AJ1291" s="1120"/>
    </row>
    <row r="1292" spans="2:36" ht="30" customHeight="1" x14ac:dyDescent="0.25">
      <c r="B1292" s="5"/>
      <c r="C1292" s="5"/>
      <c r="D1292" s="5"/>
      <c r="E1292" s="5"/>
      <c r="F1292" s="5"/>
      <c r="G1292" s="5"/>
      <c r="H1292" s="5"/>
      <c r="I1292" s="5"/>
      <c r="J1292" s="5"/>
      <c r="L1292" s="277"/>
      <c r="M1292" s="5"/>
      <c r="R1292" s="5"/>
      <c r="S1292" s="5"/>
      <c r="T1292" s="1120"/>
      <c r="U1292" s="5"/>
      <c r="V1292" s="5"/>
      <c r="W1292" s="5"/>
      <c r="X1292" s="1120"/>
      <c r="Y1292" s="1120"/>
      <c r="Z1292" s="5"/>
      <c r="AA1292" s="5"/>
      <c r="AB1292" s="1135"/>
      <c r="AC1292" s="5"/>
      <c r="AD1292" s="5"/>
      <c r="AE1292" s="5"/>
      <c r="AF1292" s="1120"/>
      <c r="AG1292" s="1148"/>
      <c r="AH1292" s="1120"/>
      <c r="AI1292" s="1120"/>
      <c r="AJ1292" s="1120"/>
    </row>
    <row r="1293" spans="2:36" ht="30" customHeight="1" x14ac:dyDescent="0.25">
      <c r="B1293" s="5"/>
      <c r="C1293" s="5"/>
      <c r="D1293" s="5"/>
      <c r="E1293" s="5"/>
      <c r="F1293" s="5"/>
      <c r="G1293" s="5"/>
      <c r="H1293" s="5"/>
      <c r="I1293" s="5"/>
      <c r="J1293" s="5"/>
      <c r="L1293" s="277"/>
      <c r="M1293" s="5"/>
      <c r="R1293" s="5"/>
      <c r="S1293" s="5"/>
      <c r="T1293" s="1120"/>
      <c r="U1293" s="5"/>
      <c r="V1293" s="5"/>
      <c r="W1293" s="5"/>
      <c r="X1293" s="1120"/>
      <c r="Y1293" s="1120"/>
      <c r="Z1293" s="5"/>
      <c r="AA1293" s="5"/>
      <c r="AB1293" s="1135"/>
      <c r="AC1293" s="5"/>
      <c r="AD1293" s="5"/>
      <c r="AE1293" s="5"/>
      <c r="AF1293" s="1120"/>
      <c r="AG1293" s="1148"/>
      <c r="AH1293" s="1120"/>
      <c r="AI1293" s="1120"/>
      <c r="AJ1293" s="1120"/>
    </row>
    <row r="1294" spans="2:36" ht="30" customHeight="1" x14ac:dyDescent="0.25">
      <c r="B1294" s="5"/>
      <c r="C1294" s="5"/>
      <c r="D1294" s="5"/>
      <c r="E1294" s="5"/>
      <c r="F1294" s="5"/>
      <c r="G1294" s="5"/>
      <c r="H1294" s="5"/>
      <c r="I1294" s="5"/>
      <c r="J1294" s="5"/>
      <c r="L1294" s="277"/>
      <c r="M1294" s="5"/>
      <c r="R1294" s="5"/>
      <c r="S1294" s="5"/>
      <c r="T1294" s="1120"/>
      <c r="U1294" s="5"/>
      <c r="V1294" s="5"/>
      <c r="W1294" s="5"/>
      <c r="X1294" s="1120"/>
      <c r="Y1294" s="1120"/>
      <c r="Z1294" s="5"/>
      <c r="AA1294" s="5"/>
      <c r="AB1294" s="1135"/>
      <c r="AC1294" s="5"/>
      <c r="AD1294" s="5"/>
      <c r="AE1294" s="5"/>
      <c r="AF1294" s="1120"/>
      <c r="AG1294" s="1148"/>
      <c r="AH1294" s="1120"/>
      <c r="AI1294" s="1120"/>
      <c r="AJ1294" s="1120"/>
    </row>
    <row r="1295" spans="2:36" ht="30" customHeight="1" x14ac:dyDescent="0.25">
      <c r="B1295" s="5"/>
      <c r="C1295" s="5"/>
      <c r="D1295" s="5"/>
      <c r="E1295" s="5"/>
      <c r="F1295" s="5"/>
      <c r="G1295" s="5"/>
      <c r="H1295" s="5"/>
      <c r="I1295" s="5"/>
      <c r="J1295" s="5"/>
      <c r="L1295" s="277"/>
      <c r="M1295" s="5"/>
      <c r="R1295" s="5"/>
      <c r="S1295" s="5"/>
      <c r="T1295" s="1120"/>
      <c r="U1295" s="5"/>
      <c r="V1295" s="5"/>
      <c r="W1295" s="5"/>
      <c r="X1295" s="1120"/>
      <c r="Y1295" s="1120"/>
      <c r="Z1295" s="5"/>
      <c r="AA1295" s="5"/>
      <c r="AB1295" s="1135"/>
      <c r="AC1295" s="5"/>
      <c r="AD1295" s="5"/>
      <c r="AE1295" s="5"/>
      <c r="AF1295" s="1120"/>
      <c r="AG1295" s="1148"/>
      <c r="AH1295" s="1120"/>
      <c r="AI1295" s="1120"/>
      <c r="AJ1295" s="1120"/>
    </row>
    <row r="1296" spans="2:36" ht="30" customHeight="1" x14ac:dyDescent="0.25">
      <c r="B1296" s="5"/>
      <c r="C1296" s="5"/>
      <c r="D1296" s="5"/>
      <c r="E1296" s="5"/>
      <c r="F1296" s="5"/>
      <c r="G1296" s="5"/>
      <c r="H1296" s="5"/>
      <c r="I1296" s="5"/>
      <c r="J1296" s="5"/>
      <c r="L1296" s="277"/>
      <c r="M1296" s="5"/>
      <c r="R1296" s="5"/>
      <c r="S1296" s="5"/>
      <c r="T1296" s="1120"/>
      <c r="U1296" s="5"/>
      <c r="V1296" s="5"/>
      <c r="W1296" s="5"/>
      <c r="X1296" s="1120"/>
      <c r="Y1296" s="1120"/>
      <c r="Z1296" s="5"/>
      <c r="AA1296" s="5"/>
      <c r="AB1296" s="1135"/>
      <c r="AC1296" s="5"/>
      <c r="AD1296" s="5"/>
      <c r="AE1296" s="5"/>
      <c r="AF1296" s="1120"/>
      <c r="AG1296" s="1148"/>
      <c r="AH1296" s="1120"/>
      <c r="AI1296" s="1120"/>
      <c r="AJ1296" s="1120"/>
    </row>
    <row r="1297" spans="2:36" ht="30" customHeight="1" x14ac:dyDescent="0.25">
      <c r="B1297" s="5"/>
      <c r="C1297" s="5"/>
      <c r="D1297" s="5"/>
      <c r="E1297" s="5"/>
      <c r="F1297" s="5"/>
      <c r="G1297" s="5"/>
      <c r="H1297" s="5"/>
      <c r="I1297" s="5"/>
      <c r="J1297" s="5"/>
      <c r="L1297" s="277"/>
      <c r="M1297" s="5"/>
      <c r="R1297" s="5"/>
      <c r="S1297" s="5"/>
      <c r="T1297" s="1120"/>
      <c r="U1297" s="5"/>
      <c r="V1297" s="5"/>
      <c r="W1297" s="5"/>
      <c r="X1297" s="1120"/>
      <c r="Y1297" s="1120"/>
      <c r="Z1297" s="5"/>
      <c r="AA1297" s="5"/>
      <c r="AB1297" s="1135"/>
      <c r="AC1297" s="5"/>
      <c r="AD1297" s="5"/>
      <c r="AE1297" s="5"/>
      <c r="AF1297" s="1120"/>
      <c r="AG1297" s="1148"/>
      <c r="AH1297" s="1120"/>
      <c r="AI1297" s="1120"/>
      <c r="AJ1297" s="1120"/>
    </row>
    <row r="1298" spans="2:36" ht="30" customHeight="1" x14ac:dyDescent="0.25">
      <c r="B1298" s="5"/>
      <c r="C1298" s="5"/>
      <c r="D1298" s="5"/>
      <c r="E1298" s="5"/>
      <c r="F1298" s="5"/>
      <c r="G1298" s="5"/>
      <c r="H1298" s="5"/>
      <c r="I1298" s="5"/>
      <c r="J1298" s="5"/>
      <c r="L1298" s="277"/>
      <c r="M1298" s="5"/>
      <c r="R1298" s="5"/>
      <c r="S1298" s="5"/>
      <c r="T1298" s="1120"/>
      <c r="U1298" s="5"/>
      <c r="V1298" s="5"/>
      <c r="W1298" s="5"/>
      <c r="X1298" s="1120"/>
      <c r="Y1298" s="1120"/>
      <c r="Z1298" s="5"/>
      <c r="AA1298" s="5"/>
      <c r="AB1298" s="1135"/>
      <c r="AC1298" s="5"/>
      <c r="AD1298" s="5"/>
      <c r="AE1298" s="5"/>
      <c r="AF1298" s="1120"/>
      <c r="AG1298" s="1148"/>
      <c r="AH1298" s="1120"/>
      <c r="AI1298" s="1120"/>
      <c r="AJ1298" s="1120"/>
    </row>
    <row r="1299" spans="2:36" ht="30" customHeight="1" x14ac:dyDescent="0.25">
      <c r="B1299" s="5"/>
      <c r="C1299" s="5"/>
      <c r="D1299" s="5"/>
      <c r="E1299" s="5"/>
      <c r="F1299" s="5"/>
      <c r="G1299" s="5"/>
      <c r="H1299" s="5"/>
      <c r="I1299" s="5"/>
      <c r="J1299" s="5"/>
      <c r="L1299" s="277"/>
      <c r="M1299" s="5"/>
      <c r="R1299" s="5"/>
      <c r="S1299" s="5"/>
      <c r="T1299" s="1120"/>
      <c r="U1299" s="5"/>
      <c r="V1299" s="5"/>
      <c r="W1299" s="5"/>
      <c r="X1299" s="1120"/>
      <c r="Y1299" s="1120"/>
      <c r="Z1299" s="5"/>
      <c r="AA1299" s="5"/>
      <c r="AB1299" s="1135"/>
      <c r="AC1299" s="5"/>
      <c r="AD1299" s="5"/>
      <c r="AE1299" s="5"/>
      <c r="AF1299" s="1120"/>
      <c r="AG1299" s="1148"/>
      <c r="AH1299" s="1120"/>
      <c r="AI1299" s="1120"/>
      <c r="AJ1299" s="1120"/>
    </row>
    <row r="1300" spans="2:36" ht="30" customHeight="1" x14ac:dyDescent="0.25">
      <c r="B1300" s="5"/>
      <c r="C1300" s="5"/>
      <c r="D1300" s="5"/>
      <c r="E1300" s="5"/>
      <c r="F1300" s="5"/>
      <c r="G1300" s="5"/>
      <c r="H1300" s="5"/>
      <c r="I1300" s="5"/>
      <c r="J1300" s="5"/>
      <c r="L1300" s="277"/>
      <c r="M1300" s="5"/>
      <c r="R1300" s="5"/>
      <c r="S1300" s="5"/>
      <c r="T1300" s="1120"/>
      <c r="U1300" s="5"/>
      <c r="V1300" s="5"/>
      <c r="W1300" s="5"/>
      <c r="X1300" s="1120"/>
      <c r="Y1300" s="1120"/>
      <c r="Z1300" s="5"/>
      <c r="AA1300" s="5"/>
      <c r="AB1300" s="1135"/>
      <c r="AC1300" s="5"/>
      <c r="AD1300" s="5"/>
      <c r="AE1300" s="5"/>
      <c r="AF1300" s="1120"/>
      <c r="AG1300" s="1148"/>
      <c r="AH1300" s="1120"/>
      <c r="AI1300" s="1120"/>
      <c r="AJ1300" s="1120"/>
    </row>
    <row r="1301" spans="2:36" ht="30" customHeight="1" x14ac:dyDescent="0.25">
      <c r="B1301" s="5"/>
      <c r="C1301" s="5"/>
      <c r="D1301" s="5"/>
      <c r="E1301" s="5"/>
      <c r="F1301" s="5"/>
      <c r="G1301" s="5"/>
      <c r="H1301" s="5"/>
      <c r="I1301" s="5"/>
      <c r="J1301" s="5"/>
      <c r="L1301" s="277"/>
      <c r="M1301" s="5"/>
      <c r="R1301" s="5"/>
      <c r="S1301" s="5"/>
      <c r="T1301" s="1120"/>
      <c r="U1301" s="5"/>
      <c r="V1301" s="5"/>
      <c r="W1301" s="5"/>
      <c r="X1301" s="1120"/>
      <c r="Y1301" s="1120"/>
      <c r="Z1301" s="5"/>
      <c r="AA1301" s="5"/>
      <c r="AB1301" s="1135"/>
      <c r="AC1301" s="5"/>
      <c r="AD1301" s="5"/>
      <c r="AE1301" s="5"/>
      <c r="AF1301" s="1120"/>
      <c r="AG1301" s="1148"/>
      <c r="AH1301" s="1120"/>
      <c r="AI1301" s="1120"/>
      <c r="AJ1301" s="1120"/>
    </row>
    <row r="1302" spans="2:36" ht="30" customHeight="1" x14ac:dyDescent="0.25">
      <c r="B1302" s="5"/>
      <c r="C1302" s="5"/>
      <c r="D1302" s="5"/>
      <c r="E1302" s="5"/>
      <c r="F1302" s="5"/>
      <c r="G1302" s="5"/>
      <c r="H1302" s="5"/>
      <c r="I1302" s="5"/>
      <c r="J1302" s="5"/>
      <c r="L1302" s="277"/>
      <c r="M1302" s="5"/>
      <c r="R1302" s="5"/>
      <c r="S1302" s="5"/>
      <c r="T1302" s="1120"/>
      <c r="U1302" s="5"/>
      <c r="V1302" s="5"/>
      <c r="W1302" s="5"/>
      <c r="X1302" s="1120"/>
      <c r="Y1302" s="1120"/>
      <c r="Z1302" s="5"/>
      <c r="AA1302" s="5"/>
      <c r="AB1302" s="1135"/>
      <c r="AC1302" s="5"/>
      <c r="AD1302" s="5"/>
      <c r="AE1302" s="5"/>
      <c r="AF1302" s="1120"/>
      <c r="AG1302" s="1148"/>
      <c r="AH1302" s="1120"/>
      <c r="AI1302" s="1120"/>
      <c r="AJ1302" s="1120"/>
    </row>
    <row r="1303" spans="2:36" ht="30" customHeight="1" x14ac:dyDescent="0.25">
      <c r="B1303" s="5"/>
      <c r="C1303" s="5"/>
      <c r="D1303" s="5"/>
      <c r="E1303" s="5"/>
      <c r="F1303" s="5"/>
      <c r="G1303" s="5"/>
      <c r="H1303" s="5"/>
      <c r="I1303" s="5"/>
      <c r="J1303" s="5"/>
      <c r="L1303" s="277"/>
      <c r="M1303" s="5"/>
      <c r="R1303" s="5"/>
      <c r="S1303" s="5"/>
      <c r="T1303" s="1120"/>
      <c r="U1303" s="5"/>
      <c r="V1303" s="5"/>
      <c r="W1303" s="5"/>
      <c r="X1303" s="1120"/>
      <c r="Y1303" s="1120"/>
      <c r="Z1303" s="5"/>
      <c r="AA1303" s="5"/>
      <c r="AB1303" s="1135"/>
      <c r="AC1303" s="5"/>
      <c r="AD1303" s="5"/>
      <c r="AE1303" s="5"/>
      <c r="AF1303" s="1120"/>
      <c r="AG1303" s="1148"/>
      <c r="AH1303" s="1120"/>
      <c r="AI1303" s="1120"/>
      <c r="AJ1303" s="1120"/>
    </row>
    <row r="1304" spans="2:36" ht="30" customHeight="1" x14ac:dyDescent="0.25">
      <c r="B1304" s="5"/>
      <c r="C1304" s="5"/>
      <c r="D1304" s="5"/>
      <c r="E1304" s="5"/>
      <c r="F1304" s="5"/>
      <c r="G1304" s="5"/>
      <c r="H1304" s="5"/>
      <c r="I1304" s="5"/>
      <c r="J1304" s="5"/>
      <c r="L1304" s="277"/>
      <c r="M1304" s="5"/>
      <c r="R1304" s="5"/>
      <c r="S1304" s="5"/>
      <c r="T1304" s="1120"/>
      <c r="U1304" s="5"/>
      <c r="V1304" s="5"/>
      <c r="W1304" s="5"/>
      <c r="X1304" s="1120"/>
      <c r="Y1304" s="1120"/>
      <c r="Z1304" s="5"/>
      <c r="AA1304" s="5"/>
      <c r="AB1304" s="1135"/>
      <c r="AC1304" s="5"/>
      <c r="AD1304" s="5"/>
      <c r="AE1304" s="5"/>
      <c r="AF1304" s="1120"/>
      <c r="AG1304" s="1148"/>
      <c r="AH1304" s="1120"/>
      <c r="AI1304" s="1120"/>
      <c r="AJ1304" s="1120"/>
    </row>
    <row r="1305" spans="2:36" ht="30" customHeight="1" x14ac:dyDescent="0.25">
      <c r="B1305" s="5"/>
      <c r="C1305" s="5"/>
      <c r="D1305" s="5"/>
      <c r="E1305" s="5"/>
      <c r="F1305" s="5"/>
      <c r="G1305" s="5"/>
      <c r="H1305" s="5"/>
      <c r="I1305" s="5"/>
      <c r="J1305" s="5"/>
      <c r="L1305" s="277"/>
      <c r="M1305" s="5"/>
      <c r="R1305" s="5"/>
      <c r="S1305" s="5"/>
      <c r="T1305" s="1120"/>
      <c r="U1305" s="5"/>
      <c r="V1305" s="5"/>
      <c r="W1305" s="5"/>
      <c r="X1305" s="1120"/>
      <c r="Y1305" s="1120"/>
      <c r="Z1305" s="5"/>
      <c r="AA1305" s="5"/>
      <c r="AB1305" s="1135"/>
      <c r="AC1305" s="5"/>
      <c r="AD1305" s="5"/>
      <c r="AE1305" s="5"/>
      <c r="AF1305" s="1120"/>
      <c r="AG1305" s="1148"/>
      <c r="AH1305" s="1120"/>
      <c r="AI1305" s="1120"/>
      <c r="AJ1305" s="1120"/>
    </row>
    <row r="1306" spans="2:36" ht="30" customHeight="1" x14ac:dyDescent="0.25">
      <c r="B1306" s="5"/>
      <c r="C1306" s="5"/>
      <c r="D1306" s="5"/>
      <c r="E1306" s="5"/>
      <c r="F1306" s="5"/>
      <c r="G1306" s="5"/>
      <c r="H1306" s="5"/>
      <c r="I1306" s="5"/>
      <c r="J1306" s="5"/>
      <c r="L1306" s="277"/>
      <c r="M1306" s="5"/>
      <c r="R1306" s="5"/>
      <c r="S1306" s="5"/>
      <c r="T1306" s="1120"/>
      <c r="U1306" s="5"/>
      <c r="V1306" s="5"/>
      <c r="W1306" s="5"/>
      <c r="X1306" s="1120"/>
      <c r="Y1306" s="1120"/>
      <c r="Z1306" s="5"/>
      <c r="AA1306" s="5"/>
      <c r="AB1306" s="1135"/>
      <c r="AC1306" s="5"/>
      <c r="AD1306" s="5"/>
      <c r="AE1306" s="5"/>
      <c r="AF1306" s="1120"/>
      <c r="AG1306" s="1148"/>
      <c r="AH1306" s="1120"/>
      <c r="AI1306" s="1120"/>
      <c r="AJ1306" s="1120"/>
    </row>
    <row r="1307" spans="2:36" ht="30" customHeight="1" x14ac:dyDescent="0.25">
      <c r="B1307" s="5"/>
      <c r="C1307" s="5"/>
      <c r="D1307" s="5"/>
      <c r="E1307" s="5"/>
      <c r="F1307" s="5"/>
      <c r="G1307" s="5"/>
      <c r="H1307" s="5"/>
      <c r="I1307" s="5"/>
      <c r="J1307" s="5"/>
      <c r="L1307" s="277"/>
      <c r="M1307" s="5"/>
      <c r="R1307" s="5"/>
      <c r="S1307" s="5"/>
      <c r="T1307" s="1120"/>
      <c r="U1307" s="5"/>
      <c r="V1307" s="5"/>
      <c r="W1307" s="5"/>
      <c r="X1307" s="1120"/>
      <c r="Y1307" s="1120"/>
      <c r="Z1307" s="5"/>
      <c r="AA1307" s="5"/>
      <c r="AB1307" s="1135"/>
      <c r="AC1307" s="5"/>
      <c r="AD1307" s="5"/>
      <c r="AE1307" s="5"/>
      <c r="AF1307" s="1120"/>
      <c r="AG1307" s="1148"/>
      <c r="AH1307" s="1120"/>
      <c r="AI1307" s="1120"/>
      <c r="AJ1307" s="1120"/>
    </row>
    <row r="1308" spans="2:36" ht="30" customHeight="1" x14ac:dyDescent="0.25">
      <c r="B1308" s="5"/>
      <c r="C1308" s="5"/>
      <c r="D1308" s="5"/>
      <c r="E1308" s="5"/>
      <c r="F1308" s="5"/>
      <c r="G1308" s="5"/>
      <c r="H1308" s="5"/>
      <c r="I1308" s="5"/>
      <c r="J1308" s="5"/>
      <c r="L1308" s="277"/>
      <c r="M1308" s="5"/>
      <c r="R1308" s="5"/>
      <c r="S1308" s="5"/>
      <c r="T1308" s="1120"/>
      <c r="U1308" s="5"/>
      <c r="V1308" s="5"/>
      <c r="W1308" s="5"/>
      <c r="X1308" s="1120"/>
      <c r="Y1308" s="1120"/>
      <c r="Z1308" s="5"/>
      <c r="AA1308" s="5"/>
      <c r="AB1308" s="1135"/>
      <c r="AC1308" s="5"/>
      <c r="AD1308" s="5"/>
      <c r="AE1308" s="5"/>
      <c r="AF1308" s="1120"/>
      <c r="AG1308" s="1148"/>
      <c r="AH1308" s="1120"/>
      <c r="AI1308" s="1120"/>
      <c r="AJ1308" s="1120"/>
    </row>
    <row r="1309" spans="2:36" ht="30" customHeight="1" x14ac:dyDescent="0.25">
      <c r="B1309" s="5"/>
      <c r="C1309" s="5"/>
      <c r="D1309" s="5"/>
      <c r="E1309" s="5"/>
      <c r="F1309" s="5"/>
      <c r="G1309" s="5"/>
      <c r="H1309" s="5"/>
      <c r="I1309" s="5"/>
      <c r="J1309" s="5"/>
      <c r="L1309" s="277"/>
      <c r="M1309" s="5"/>
      <c r="R1309" s="5"/>
      <c r="S1309" s="5"/>
      <c r="T1309" s="1120"/>
      <c r="U1309" s="5"/>
      <c r="V1309" s="5"/>
      <c r="W1309" s="5"/>
      <c r="X1309" s="1120"/>
      <c r="Y1309" s="1120"/>
      <c r="Z1309" s="5"/>
      <c r="AA1309" s="5"/>
      <c r="AB1309" s="1135"/>
      <c r="AC1309" s="5"/>
      <c r="AD1309" s="5"/>
      <c r="AE1309" s="5"/>
      <c r="AF1309" s="1120"/>
      <c r="AG1309" s="1148"/>
      <c r="AH1309" s="1120"/>
      <c r="AI1309" s="1120"/>
      <c r="AJ1309" s="1120"/>
    </row>
    <row r="1310" spans="2:36" ht="30" customHeight="1" x14ac:dyDescent="0.25">
      <c r="B1310" s="5"/>
      <c r="C1310" s="5"/>
      <c r="D1310" s="5"/>
      <c r="E1310" s="5"/>
      <c r="F1310" s="5"/>
      <c r="G1310" s="5"/>
      <c r="H1310" s="5"/>
      <c r="I1310" s="5"/>
      <c r="J1310" s="5"/>
      <c r="L1310" s="277"/>
      <c r="M1310" s="5"/>
      <c r="R1310" s="5"/>
      <c r="S1310" s="5"/>
      <c r="T1310" s="1120"/>
      <c r="U1310" s="5"/>
      <c r="V1310" s="5"/>
      <c r="W1310" s="5"/>
      <c r="X1310" s="1120"/>
      <c r="Y1310" s="1120"/>
      <c r="Z1310" s="5"/>
      <c r="AA1310" s="5"/>
      <c r="AB1310" s="1135"/>
      <c r="AC1310" s="5"/>
      <c r="AD1310" s="5"/>
      <c r="AE1310" s="5"/>
      <c r="AF1310" s="1120"/>
      <c r="AG1310" s="1148"/>
      <c r="AH1310" s="1120"/>
      <c r="AI1310" s="1120"/>
      <c r="AJ1310" s="1120"/>
    </row>
    <row r="1311" spans="2:36" ht="30" customHeight="1" x14ac:dyDescent="0.25">
      <c r="B1311" s="5"/>
      <c r="C1311" s="5"/>
      <c r="D1311" s="5"/>
      <c r="E1311" s="5"/>
      <c r="F1311" s="5"/>
      <c r="G1311" s="5"/>
      <c r="H1311" s="5"/>
      <c r="I1311" s="5"/>
      <c r="J1311" s="5"/>
      <c r="L1311" s="277"/>
      <c r="M1311" s="5"/>
      <c r="R1311" s="5"/>
      <c r="S1311" s="5"/>
      <c r="T1311" s="1120"/>
      <c r="U1311" s="5"/>
      <c r="V1311" s="5"/>
      <c r="W1311" s="5"/>
      <c r="X1311" s="1120"/>
      <c r="Y1311" s="1120"/>
      <c r="Z1311" s="5"/>
      <c r="AA1311" s="5"/>
      <c r="AB1311" s="1135"/>
      <c r="AC1311" s="5"/>
      <c r="AD1311" s="5"/>
      <c r="AE1311" s="5"/>
      <c r="AF1311" s="1120"/>
      <c r="AG1311" s="1148"/>
      <c r="AH1311" s="1120"/>
      <c r="AI1311" s="1120"/>
      <c r="AJ1311" s="1120"/>
    </row>
    <row r="1312" spans="2:36" ht="30" customHeight="1" x14ac:dyDescent="0.25">
      <c r="B1312" s="5"/>
      <c r="C1312" s="5"/>
      <c r="D1312" s="5"/>
      <c r="E1312" s="5"/>
      <c r="F1312" s="5"/>
      <c r="G1312" s="5"/>
      <c r="H1312" s="5"/>
      <c r="I1312" s="5"/>
      <c r="J1312" s="5"/>
      <c r="L1312" s="277"/>
      <c r="M1312" s="5"/>
      <c r="R1312" s="5"/>
      <c r="S1312" s="5"/>
      <c r="T1312" s="1120"/>
      <c r="U1312" s="5"/>
      <c r="V1312" s="5"/>
      <c r="W1312" s="5"/>
      <c r="X1312" s="1120"/>
      <c r="Y1312" s="1120"/>
      <c r="Z1312" s="5"/>
      <c r="AA1312" s="5"/>
      <c r="AB1312" s="1135"/>
      <c r="AC1312" s="5"/>
      <c r="AD1312" s="5"/>
      <c r="AE1312" s="5"/>
      <c r="AF1312" s="1120"/>
      <c r="AG1312" s="1148"/>
      <c r="AH1312" s="1120"/>
      <c r="AI1312" s="1120"/>
      <c r="AJ1312" s="1120"/>
    </row>
    <row r="1313" spans="2:36" ht="30" customHeight="1" x14ac:dyDescent="0.25">
      <c r="B1313" s="5"/>
      <c r="C1313" s="5"/>
      <c r="D1313" s="5"/>
      <c r="E1313" s="5"/>
      <c r="F1313" s="5"/>
      <c r="G1313" s="5"/>
      <c r="H1313" s="5"/>
      <c r="I1313" s="5"/>
      <c r="J1313" s="5"/>
      <c r="L1313" s="277"/>
      <c r="M1313" s="5"/>
      <c r="R1313" s="5"/>
      <c r="S1313" s="5"/>
      <c r="T1313" s="1120"/>
      <c r="U1313" s="5"/>
      <c r="V1313" s="5"/>
      <c r="W1313" s="5"/>
      <c r="X1313" s="1120"/>
      <c r="Y1313" s="1120"/>
      <c r="Z1313" s="5"/>
      <c r="AA1313" s="5"/>
      <c r="AB1313" s="1135"/>
      <c r="AC1313" s="5"/>
      <c r="AD1313" s="5"/>
      <c r="AE1313" s="5"/>
      <c r="AF1313" s="1120"/>
      <c r="AG1313" s="1148"/>
      <c r="AH1313" s="1120"/>
      <c r="AI1313" s="1120"/>
      <c r="AJ1313" s="1120"/>
    </row>
    <row r="1314" spans="2:36" ht="30" customHeight="1" x14ac:dyDescent="0.25">
      <c r="B1314" s="5"/>
      <c r="C1314" s="5"/>
      <c r="D1314" s="5"/>
      <c r="E1314" s="5"/>
      <c r="F1314" s="5"/>
      <c r="G1314" s="5"/>
      <c r="H1314" s="5"/>
      <c r="I1314" s="5"/>
      <c r="J1314" s="5"/>
      <c r="L1314" s="277"/>
      <c r="M1314" s="5"/>
      <c r="R1314" s="5"/>
      <c r="S1314" s="5"/>
      <c r="T1314" s="1120"/>
      <c r="U1314" s="5"/>
      <c r="V1314" s="5"/>
      <c r="W1314" s="5"/>
      <c r="X1314" s="1120"/>
      <c r="Y1314" s="1120"/>
      <c r="Z1314" s="5"/>
      <c r="AA1314" s="5"/>
      <c r="AB1314" s="1135"/>
      <c r="AC1314" s="5"/>
      <c r="AD1314" s="5"/>
      <c r="AE1314" s="5"/>
      <c r="AF1314" s="1120"/>
      <c r="AG1314" s="1148"/>
      <c r="AH1314" s="1120"/>
      <c r="AI1314" s="1120"/>
      <c r="AJ1314" s="1120"/>
    </row>
    <row r="1315" spans="2:36" ht="30" customHeight="1" x14ac:dyDescent="0.25">
      <c r="B1315" s="5"/>
      <c r="C1315" s="5"/>
      <c r="D1315" s="5"/>
      <c r="E1315" s="5"/>
      <c r="F1315" s="5"/>
      <c r="G1315" s="5"/>
      <c r="H1315" s="5"/>
      <c r="I1315" s="5"/>
      <c r="J1315" s="5"/>
      <c r="L1315" s="277"/>
      <c r="M1315" s="5"/>
      <c r="R1315" s="5"/>
      <c r="S1315" s="5"/>
      <c r="T1315" s="1120"/>
      <c r="U1315" s="5"/>
      <c r="V1315" s="5"/>
      <c r="W1315" s="5"/>
      <c r="X1315" s="1120"/>
      <c r="Y1315" s="1120"/>
      <c r="Z1315" s="5"/>
      <c r="AA1315" s="5"/>
      <c r="AB1315" s="1135"/>
      <c r="AC1315" s="5"/>
      <c r="AD1315" s="5"/>
      <c r="AE1315" s="5"/>
      <c r="AF1315" s="1120"/>
      <c r="AG1315" s="1148"/>
      <c r="AH1315" s="1120"/>
      <c r="AI1315" s="1120"/>
      <c r="AJ1315" s="1120"/>
    </row>
    <row r="1316" spans="2:36" ht="30" customHeight="1" x14ac:dyDescent="0.25">
      <c r="B1316" s="5"/>
      <c r="C1316" s="5"/>
      <c r="D1316" s="5"/>
      <c r="E1316" s="5"/>
      <c r="F1316" s="5"/>
      <c r="G1316" s="5"/>
      <c r="H1316" s="5"/>
      <c r="I1316" s="5"/>
      <c r="J1316" s="5"/>
      <c r="L1316" s="277"/>
      <c r="M1316" s="5"/>
      <c r="R1316" s="5"/>
      <c r="S1316" s="5"/>
      <c r="T1316" s="1120"/>
      <c r="U1316" s="5"/>
      <c r="V1316" s="5"/>
      <c r="W1316" s="5"/>
      <c r="X1316" s="1120"/>
      <c r="Y1316" s="1120"/>
      <c r="Z1316" s="5"/>
      <c r="AA1316" s="5"/>
      <c r="AB1316" s="1135"/>
      <c r="AC1316" s="5"/>
      <c r="AD1316" s="5"/>
      <c r="AE1316" s="5"/>
      <c r="AF1316" s="1120"/>
      <c r="AG1316" s="1148"/>
      <c r="AH1316" s="1120"/>
      <c r="AI1316" s="1120"/>
      <c r="AJ1316" s="1120"/>
    </row>
    <row r="1317" spans="2:36" ht="30" customHeight="1" x14ac:dyDescent="0.25">
      <c r="B1317" s="5"/>
      <c r="C1317" s="5"/>
      <c r="D1317" s="5"/>
      <c r="E1317" s="5"/>
      <c r="F1317" s="5"/>
      <c r="G1317" s="5"/>
      <c r="H1317" s="5"/>
      <c r="I1317" s="5"/>
      <c r="J1317" s="5"/>
      <c r="L1317" s="277"/>
      <c r="M1317" s="5"/>
      <c r="R1317" s="5"/>
      <c r="S1317" s="5"/>
      <c r="T1317" s="1120"/>
      <c r="U1317" s="5"/>
      <c r="V1317" s="5"/>
      <c r="W1317" s="5"/>
      <c r="X1317" s="1120"/>
      <c r="Y1317" s="1120"/>
      <c r="Z1317" s="5"/>
      <c r="AA1317" s="5"/>
      <c r="AB1317" s="1135"/>
      <c r="AC1317" s="5"/>
      <c r="AD1317" s="5"/>
      <c r="AE1317" s="5"/>
      <c r="AF1317" s="1120"/>
      <c r="AG1317" s="1148"/>
      <c r="AH1317" s="1120"/>
      <c r="AI1317" s="1120"/>
      <c r="AJ1317" s="1120"/>
    </row>
    <row r="1318" spans="2:36" ht="30" customHeight="1" x14ac:dyDescent="0.25">
      <c r="B1318" s="5"/>
      <c r="C1318" s="5"/>
      <c r="D1318" s="5"/>
      <c r="E1318" s="5"/>
      <c r="F1318" s="5"/>
      <c r="G1318" s="5"/>
      <c r="H1318" s="5"/>
      <c r="I1318" s="5"/>
      <c r="J1318" s="5"/>
      <c r="L1318" s="277"/>
      <c r="M1318" s="5"/>
      <c r="R1318" s="5"/>
      <c r="S1318" s="5"/>
      <c r="T1318" s="1120"/>
      <c r="U1318" s="5"/>
      <c r="V1318" s="5"/>
      <c r="W1318" s="5"/>
      <c r="X1318" s="1120"/>
      <c r="Y1318" s="1120"/>
      <c r="Z1318" s="5"/>
      <c r="AA1318" s="5"/>
      <c r="AB1318" s="1135"/>
      <c r="AC1318" s="5"/>
      <c r="AD1318" s="5"/>
      <c r="AE1318" s="5"/>
      <c r="AF1318" s="1120"/>
      <c r="AG1318" s="1148"/>
      <c r="AH1318" s="1120"/>
      <c r="AI1318" s="1120"/>
      <c r="AJ1318" s="1120"/>
    </row>
    <row r="1319" spans="2:36" ht="30" customHeight="1" x14ac:dyDescent="0.25">
      <c r="B1319" s="5"/>
      <c r="C1319" s="5"/>
      <c r="D1319" s="5"/>
      <c r="E1319" s="5"/>
      <c r="F1319" s="5"/>
      <c r="G1319" s="5"/>
      <c r="H1319" s="5"/>
      <c r="I1319" s="5"/>
      <c r="J1319" s="5"/>
      <c r="L1319" s="277"/>
      <c r="M1319" s="5"/>
      <c r="R1319" s="5"/>
      <c r="S1319" s="5"/>
      <c r="T1319" s="1120"/>
      <c r="U1319" s="5"/>
      <c r="V1319" s="5"/>
      <c r="W1319" s="5"/>
      <c r="X1319" s="1120"/>
      <c r="Y1319" s="1120"/>
      <c r="Z1319" s="5"/>
      <c r="AA1319" s="5"/>
      <c r="AB1319" s="1135"/>
      <c r="AC1319" s="5"/>
      <c r="AD1319" s="5"/>
      <c r="AE1319" s="5"/>
      <c r="AF1319" s="1120"/>
      <c r="AG1319" s="1148"/>
      <c r="AH1319" s="1120"/>
      <c r="AI1319" s="1120"/>
      <c r="AJ1319" s="1120"/>
    </row>
    <row r="1320" spans="2:36" ht="30" customHeight="1" x14ac:dyDescent="0.25">
      <c r="B1320" s="5"/>
      <c r="C1320" s="5"/>
      <c r="D1320" s="5"/>
      <c r="E1320" s="5"/>
      <c r="F1320" s="5"/>
      <c r="G1320" s="5"/>
      <c r="H1320" s="5"/>
      <c r="I1320" s="5"/>
      <c r="J1320" s="5"/>
      <c r="L1320" s="277"/>
      <c r="M1320" s="5"/>
      <c r="R1320" s="5"/>
      <c r="S1320" s="5"/>
      <c r="T1320" s="1120"/>
      <c r="U1320" s="5"/>
      <c r="V1320" s="5"/>
      <c r="W1320" s="5"/>
      <c r="X1320" s="1120"/>
      <c r="Y1320" s="1120"/>
      <c r="Z1320" s="5"/>
      <c r="AA1320" s="5"/>
      <c r="AB1320" s="1135"/>
      <c r="AC1320" s="5"/>
      <c r="AD1320" s="5"/>
      <c r="AE1320" s="5"/>
      <c r="AF1320" s="1120"/>
      <c r="AG1320" s="1148"/>
      <c r="AH1320" s="1120"/>
      <c r="AI1320" s="1120"/>
      <c r="AJ1320" s="1120"/>
    </row>
    <row r="1321" spans="2:36" ht="30" customHeight="1" x14ac:dyDescent="0.25">
      <c r="B1321" s="5"/>
      <c r="C1321" s="5"/>
      <c r="D1321" s="5"/>
      <c r="E1321" s="5"/>
      <c r="F1321" s="5"/>
      <c r="G1321" s="5"/>
      <c r="H1321" s="5"/>
      <c r="I1321" s="5"/>
      <c r="J1321" s="5"/>
      <c r="L1321" s="277"/>
      <c r="M1321" s="5"/>
      <c r="R1321" s="5"/>
      <c r="S1321" s="5"/>
      <c r="T1321" s="1120"/>
      <c r="U1321" s="5"/>
      <c r="V1321" s="5"/>
      <c r="W1321" s="5"/>
      <c r="X1321" s="1120"/>
      <c r="Y1321" s="1120"/>
      <c r="Z1321" s="5"/>
      <c r="AA1321" s="5"/>
      <c r="AB1321" s="1135"/>
      <c r="AC1321" s="5"/>
      <c r="AD1321" s="5"/>
      <c r="AE1321" s="5"/>
      <c r="AF1321" s="1120"/>
      <c r="AG1321" s="1148"/>
      <c r="AH1321" s="1120"/>
      <c r="AI1321" s="1120"/>
      <c r="AJ1321" s="1120"/>
    </row>
    <row r="1322" spans="2:36" ht="30" customHeight="1" x14ac:dyDescent="0.25">
      <c r="B1322" s="5"/>
      <c r="C1322" s="5"/>
      <c r="D1322" s="5"/>
      <c r="E1322" s="5"/>
      <c r="F1322" s="5"/>
      <c r="G1322" s="5"/>
      <c r="H1322" s="5"/>
      <c r="I1322" s="5"/>
      <c r="J1322" s="5"/>
      <c r="L1322" s="277"/>
      <c r="M1322" s="5"/>
      <c r="R1322" s="5"/>
      <c r="S1322" s="5"/>
      <c r="T1322" s="1120"/>
      <c r="U1322" s="5"/>
      <c r="V1322" s="5"/>
      <c r="W1322" s="5"/>
      <c r="X1322" s="1120"/>
      <c r="Y1322" s="1120"/>
      <c r="Z1322" s="5"/>
      <c r="AA1322" s="5"/>
      <c r="AB1322" s="1135"/>
      <c r="AC1322" s="5"/>
      <c r="AD1322" s="5"/>
      <c r="AE1322" s="5"/>
      <c r="AF1322" s="1120"/>
      <c r="AG1322" s="1148"/>
      <c r="AH1322" s="1120"/>
      <c r="AI1322" s="1120"/>
      <c r="AJ1322" s="1120"/>
    </row>
    <row r="1323" spans="2:36" ht="30" customHeight="1" x14ac:dyDescent="0.25">
      <c r="B1323" s="5"/>
      <c r="C1323" s="5"/>
      <c r="D1323" s="5"/>
      <c r="E1323" s="5"/>
      <c r="F1323" s="5"/>
      <c r="G1323" s="5"/>
      <c r="H1323" s="5"/>
      <c r="I1323" s="5"/>
      <c r="J1323" s="5"/>
      <c r="L1323" s="277"/>
      <c r="M1323" s="5"/>
      <c r="R1323" s="5"/>
      <c r="S1323" s="5"/>
      <c r="T1323" s="1120"/>
      <c r="U1323" s="5"/>
      <c r="V1323" s="5"/>
      <c r="W1323" s="5"/>
      <c r="X1323" s="1120"/>
      <c r="Y1323" s="1120"/>
      <c r="Z1323" s="5"/>
      <c r="AA1323" s="5"/>
      <c r="AB1323" s="1135"/>
      <c r="AC1323" s="5"/>
      <c r="AD1323" s="5"/>
      <c r="AE1323" s="5"/>
      <c r="AF1323" s="1120"/>
      <c r="AG1323" s="1148"/>
      <c r="AH1323" s="1120"/>
      <c r="AI1323" s="1120"/>
      <c r="AJ1323" s="1120"/>
    </row>
    <row r="1324" spans="2:36" ht="30" customHeight="1" x14ac:dyDescent="0.25">
      <c r="B1324" s="5"/>
      <c r="C1324" s="5"/>
      <c r="D1324" s="5"/>
      <c r="E1324" s="5"/>
      <c r="F1324" s="5"/>
      <c r="G1324" s="5"/>
      <c r="H1324" s="5"/>
      <c r="I1324" s="5"/>
      <c r="J1324" s="5"/>
      <c r="L1324" s="277"/>
      <c r="M1324" s="5"/>
      <c r="R1324" s="5"/>
      <c r="S1324" s="5"/>
      <c r="T1324" s="1120"/>
      <c r="U1324" s="5"/>
      <c r="V1324" s="5"/>
      <c r="W1324" s="5"/>
      <c r="X1324" s="1120"/>
      <c r="Y1324" s="1120"/>
      <c r="Z1324" s="5"/>
      <c r="AA1324" s="5"/>
      <c r="AB1324" s="1135"/>
      <c r="AC1324" s="5"/>
      <c r="AD1324" s="5"/>
      <c r="AE1324" s="5"/>
      <c r="AF1324" s="1120"/>
      <c r="AG1324" s="1148"/>
      <c r="AH1324" s="1120"/>
      <c r="AI1324" s="1120"/>
      <c r="AJ1324" s="1120"/>
    </row>
    <row r="1325" spans="2:36" ht="30" customHeight="1" x14ac:dyDescent="0.25">
      <c r="B1325" s="5"/>
      <c r="C1325" s="5"/>
      <c r="D1325" s="5"/>
      <c r="E1325" s="5"/>
      <c r="F1325" s="5"/>
      <c r="G1325" s="5"/>
      <c r="H1325" s="5"/>
      <c r="I1325" s="5"/>
      <c r="J1325" s="5"/>
      <c r="L1325" s="277"/>
      <c r="M1325" s="5"/>
      <c r="R1325" s="5"/>
      <c r="S1325" s="5"/>
      <c r="T1325" s="1120"/>
      <c r="U1325" s="5"/>
      <c r="V1325" s="5"/>
      <c r="W1325" s="5"/>
      <c r="X1325" s="1120"/>
      <c r="Y1325" s="1120"/>
      <c r="Z1325" s="5"/>
      <c r="AA1325" s="5"/>
      <c r="AB1325" s="1135"/>
      <c r="AC1325" s="5"/>
      <c r="AD1325" s="5"/>
      <c r="AE1325" s="5"/>
      <c r="AF1325" s="1120"/>
      <c r="AG1325" s="1148"/>
      <c r="AH1325" s="1120"/>
      <c r="AI1325" s="1120"/>
      <c r="AJ1325" s="1120"/>
    </row>
    <row r="1326" spans="2:36" ht="30" customHeight="1" x14ac:dyDescent="0.25">
      <c r="B1326" s="5"/>
      <c r="C1326" s="5"/>
      <c r="D1326" s="5"/>
      <c r="E1326" s="5"/>
      <c r="F1326" s="5"/>
      <c r="G1326" s="5"/>
      <c r="H1326" s="5"/>
      <c r="I1326" s="5"/>
      <c r="J1326" s="5"/>
      <c r="L1326" s="277"/>
      <c r="M1326" s="5"/>
      <c r="R1326" s="5"/>
      <c r="S1326" s="5"/>
      <c r="T1326" s="1120"/>
      <c r="U1326" s="5"/>
      <c r="V1326" s="5"/>
      <c r="W1326" s="5"/>
      <c r="X1326" s="1120"/>
      <c r="Y1326" s="1120"/>
      <c r="Z1326" s="5"/>
      <c r="AA1326" s="5"/>
      <c r="AB1326" s="1135"/>
      <c r="AC1326" s="5"/>
      <c r="AD1326" s="5"/>
      <c r="AE1326" s="5"/>
      <c r="AF1326" s="1120"/>
      <c r="AG1326" s="1148"/>
      <c r="AH1326" s="1120"/>
      <c r="AI1326" s="1120"/>
      <c r="AJ1326" s="1120"/>
    </row>
    <row r="1327" spans="2:36" ht="30" customHeight="1" x14ac:dyDescent="0.25">
      <c r="B1327" s="5"/>
      <c r="C1327" s="5"/>
      <c r="D1327" s="5"/>
      <c r="E1327" s="5"/>
      <c r="F1327" s="5"/>
      <c r="G1327" s="5"/>
      <c r="H1327" s="5"/>
      <c r="I1327" s="5"/>
      <c r="J1327" s="5"/>
      <c r="L1327" s="277"/>
      <c r="M1327" s="5"/>
      <c r="R1327" s="5"/>
      <c r="S1327" s="5"/>
      <c r="T1327" s="1120"/>
      <c r="U1327" s="5"/>
      <c r="V1327" s="5"/>
      <c r="W1327" s="5"/>
      <c r="X1327" s="1120"/>
      <c r="Y1327" s="1120"/>
      <c r="Z1327" s="5"/>
      <c r="AA1327" s="5"/>
      <c r="AB1327" s="1135"/>
      <c r="AC1327" s="5"/>
      <c r="AD1327" s="5"/>
      <c r="AE1327" s="5"/>
      <c r="AF1327" s="1120"/>
      <c r="AG1327" s="1148"/>
      <c r="AH1327" s="1120"/>
      <c r="AI1327" s="1120"/>
      <c r="AJ1327" s="1120"/>
    </row>
    <row r="1328" spans="2:36" ht="30" customHeight="1" x14ac:dyDescent="0.25">
      <c r="B1328" s="5"/>
      <c r="C1328" s="5"/>
      <c r="D1328" s="5"/>
      <c r="E1328" s="5"/>
      <c r="F1328" s="5"/>
      <c r="G1328" s="5"/>
      <c r="H1328" s="5"/>
      <c r="I1328" s="5"/>
      <c r="J1328" s="5"/>
      <c r="L1328" s="277"/>
      <c r="M1328" s="5"/>
      <c r="R1328" s="5"/>
      <c r="S1328" s="5"/>
      <c r="T1328" s="1120"/>
      <c r="U1328" s="5"/>
      <c r="V1328" s="5"/>
      <c r="W1328" s="5"/>
      <c r="X1328" s="1120"/>
      <c r="Y1328" s="1120"/>
      <c r="Z1328" s="5"/>
      <c r="AA1328" s="5"/>
      <c r="AB1328" s="1135"/>
      <c r="AC1328" s="5"/>
      <c r="AD1328" s="5"/>
      <c r="AE1328" s="5"/>
      <c r="AF1328" s="1120"/>
      <c r="AG1328" s="1148"/>
      <c r="AH1328" s="1120"/>
      <c r="AI1328" s="1120"/>
      <c r="AJ1328" s="1120"/>
    </row>
    <row r="1329" spans="2:36" ht="30" customHeight="1" x14ac:dyDescent="0.25">
      <c r="B1329" s="5"/>
      <c r="C1329" s="5"/>
      <c r="D1329" s="5"/>
      <c r="E1329" s="5"/>
      <c r="F1329" s="5"/>
      <c r="G1329" s="5"/>
      <c r="H1329" s="5"/>
      <c r="I1329" s="5"/>
      <c r="J1329" s="5"/>
      <c r="L1329" s="277"/>
      <c r="M1329" s="5"/>
      <c r="R1329" s="5"/>
      <c r="S1329" s="5"/>
      <c r="T1329" s="1120"/>
      <c r="U1329" s="5"/>
      <c r="V1329" s="5"/>
      <c r="W1329" s="5"/>
      <c r="X1329" s="1120"/>
      <c r="Y1329" s="1120"/>
      <c r="Z1329" s="5"/>
      <c r="AA1329" s="5"/>
      <c r="AB1329" s="1135"/>
      <c r="AC1329" s="5"/>
      <c r="AD1329" s="5"/>
      <c r="AE1329" s="5"/>
      <c r="AF1329" s="1120"/>
      <c r="AG1329" s="1148"/>
      <c r="AH1329" s="1120"/>
      <c r="AI1329" s="1120"/>
      <c r="AJ1329" s="1120"/>
    </row>
    <row r="1330" spans="2:36" ht="30" customHeight="1" x14ac:dyDescent="0.25">
      <c r="B1330" s="5"/>
      <c r="C1330" s="5"/>
      <c r="D1330" s="5"/>
      <c r="E1330" s="5"/>
      <c r="F1330" s="5"/>
      <c r="G1330" s="5"/>
      <c r="H1330" s="5"/>
      <c r="I1330" s="5"/>
      <c r="J1330" s="5"/>
      <c r="L1330" s="277"/>
      <c r="M1330" s="5"/>
      <c r="R1330" s="5"/>
      <c r="S1330" s="5"/>
      <c r="T1330" s="1120"/>
      <c r="U1330" s="5"/>
      <c r="V1330" s="5"/>
      <c r="W1330" s="5"/>
      <c r="X1330" s="1120"/>
      <c r="Y1330" s="1120"/>
      <c r="Z1330" s="5"/>
      <c r="AA1330" s="5"/>
      <c r="AB1330" s="1135"/>
      <c r="AC1330" s="5"/>
      <c r="AD1330" s="5"/>
      <c r="AE1330" s="5"/>
      <c r="AF1330" s="1120"/>
      <c r="AG1330" s="1148"/>
      <c r="AH1330" s="1120"/>
      <c r="AI1330" s="1120"/>
      <c r="AJ1330" s="1120"/>
    </row>
    <row r="1331" spans="2:36" ht="30" customHeight="1" x14ac:dyDescent="0.25">
      <c r="B1331" s="5"/>
      <c r="C1331" s="5"/>
      <c r="D1331" s="5"/>
      <c r="E1331" s="5"/>
      <c r="F1331" s="5"/>
      <c r="G1331" s="5"/>
      <c r="H1331" s="5"/>
      <c r="I1331" s="5"/>
      <c r="J1331" s="5"/>
      <c r="L1331" s="277"/>
      <c r="M1331" s="5"/>
      <c r="R1331" s="5"/>
      <c r="S1331" s="5"/>
      <c r="T1331" s="1120"/>
      <c r="U1331" s="5"/>
      <c r="V1331" s="5"/>
      <c r="W1331" s="5"/>
      <c r="X1331" s="1120"/>
      <c r="Y1331" s="1120"/>
      <c r="Z1331" s="5"/>
      <c r="AA1331" s="5"/>
      <c r="AB1331" s="1135"/>
      <c r="AC1331" s="5"/>
      <c r="AD1331" s="5"/>
      <c r="AE1331" s="5"/>
      <c r="AF1331" s="1120"/>
      <c r="AG1331" s="1148"/>
      <c r="AH1331" s="1120"/>
      <c r="AI1331" s="1120"/>
      <c r="AJ1331" s="1120"/>
    </row>
    <row r="1332" spans="2:36" ht="30" customHeight="1" x14ac:dyDescent="0.25">
      <c r="B1332" s="5"/>
      <c r="C1332" s="5"/>
      <c r="D1332" s="5"/>
      <c r="E1332" s="5"/>
      <c r="F1332" s="5"/>
      <c r="G1332" s="5"/>
      <c r="H1332" s="5"/>
      <c r="I1332" s="5"/>
      <c r="J1332" s="5"/>
      <c r="L1332" s="277"/>
      <c r="M1332" s="5"/>
      <c r="R1332" s="5"/>
      <c r="S1332" s="5"/>
      <c r="T1332" s="1120"/>
      <c r="U1332" s="5"/>
      <c r="V1332" s="5"/>
      <c r="W1332" s="5"/>
      <c r="X1332" s="1120"/>
      <c r="Y1332" s="1120"/>
      <c r="Z1332" s="5"/>
      <c r="AA1332" s="5"/>
      <c r="AB1332" s="1135"/>
      <c r="AC1332" s="5"/>
      <c r="AD1332" s="5"/>
      <c r="AE1332" s="5"/>
      <c r="AF1332" s="1120"/>
      <c r="AG1332" s="1148"/>
      <c r="AH1332" s="1120"/>
      <c r="AI1332" s="1120"/>
      <c r="AJ1332" s="1120"/>
    </row>
    <row r="1333" spans="2:36" ht="30" customHeight="1" x14ac:dyDescent="0.25">
      <c r="B1333" s="5"/>
      <c r="C1333" s="5"/>
      <c r="D1333" s="5"/>
      <c r="E1333" s="5"/>
      <c r="F1333" s="5"/>
      <c r="G1333" s="5"/>
      <c r="H1333" s="5"/>
      <c r="I1333" s="5"/>
      <c r="J1333" s="5"/>
      <c r="L1333" s="277"/>
      <c r="M1333" s="5"/>
      <c r="R1333" s="5"/>
      <c r="S1333" s="5"/>
      <c r="T1333" s="1120"/>
      <c r="U1333" s="5"/>
      <c r="V1333" s="5"/>
      <c r="W1333" s="5"/>
      <c r="X1333" s="1120"/>
      <c r="Y1333" s="1120"/>
      <c r="Z1333" s="5"/>
      <c r="AA1333" s="5"/>
      <c r="AB1333" s="1135"/>
      <c r="AC1333" s="5"/>
      <c r="AD1333" s="5"/>
      <c r="AE1333" s="5"/>
      <c r="AF1333" s="1120"/>
      <c r="AG1333" s="1148"/>
      <c r="AH1333" s="1120"/>
      <c r="AI1333" s="1120"/>
      <c r="AJ1333" s="1120"/>
    </row>
    <row r="1334" spans="2:36" ht="30" customHeight="1" x14ac:dyDescent="0.25">
      <c r="B1334" s="5"/>
      <c r="C1334" s="5"/>
      <c r="D1334" s="5"/>
      <c r="E1334" s="5"/>
      <c r="F1334" s="5"/>
      <c r="G1334" s="5"/>
      <c r="H1334" s="5"/>
      <c r="I1334" s="5"/>
      <c r="J1334" s="5"/>
      <c r="L1334" s="277"/>
      <c r="M1334" s="5"/>
      <c r="R1334" s="5"/>
      <c r="S1334" s="5"/>
      <c r="T1334" s="1120"/>
      <c r="U1334" s="5"/>
      <c r="V1334" s="5"/>
      <c r="W1334" s="5"/>
      <c r="X1334" s="1120"/>
      <c r="Y1334" s="1120"/>
      <c r="Z1334" s="5"/>
      <c r="AA1334" s="5"/>
      <c r="AB1334" s="1135"/>
      <c r="AC1334" s="5"/>
      <c r="AD1334" s="5"/>
      <c r="AE1334" s="5"/>
      <c r="AF1334" s="1120"/>
      <c r="AG1334" s="1148"/>
      <c r="AH1334" s="1120"/>
      <c r="AI1334" s="1120"/>
      <c r="AJ1334" s="1120"/>
    </row>
    <row r="1335" spans="2:36" ht="30" customHeight="1" x14ac:dyDescent="0.25">
      <c r="B1335" s="5"/>
      <c r="C1335" s="5"/>
      <c r="D1335" s="5"/>
      <c r="E1335" s="5"/>
      <c r="F1335" s="5"/>
      <c r="G1335" s="5"/>
      <c r="H1335" s="5"/>
      <c r="I1335" s="5"/>
      <c r="J1335" s="5"/>
      <c r="L1335" s="277"/>
      <c r="M1335" s="5"/>
      <c r="R1335" s="5"/>
      <c r="S1335" s="5"/>
      <c r="T1335" s="1120"/>
      <c r="U1335" s="5"/>
      <c r="V1335" s="5"/>
      <c r="W1335" s="5"/>
      <c r="X1335" s="1120"/>
      <c r="Y1335" s="1120"/>
      <c r="Z1335" s="5"/>
      <c r="AA1335" s="5"/>
      <c r="AB1335" s="1135"/>
      <c r="AC1335" s="5"/>
      <c r="AD1335" s="5"/>
      <c r="AE1335" s="5"/>
      <c r="AF1335" s="1120"/>
      <c r="AG1335" s="1148"/>
      <c r="AH1335" s="1120"/>
      <c r="AI1335" s="1120"/>
      <c r="AJ1335" s="1120"/>
    </row>
    <row r="1336" spans="2:36" ht="30" customHeight="1" x14ac:dyDescent="0.25">
      <c r="B1336" s="5"/>
      <c r="C1336" s="5"/>
      <c r="D1336" s="5"/>
      <c r="E1336" s="5"/>
      <c r="F1336" s="5"/>
      <c r="G1336" s="5"/>
      <c r="H1336" s="5"/>
      <c r="I1336" s="5"/>
      <c r="J1336" s="5"/>
      <c r="L1336" s="277"/>
      <c r="M1336" s="5"/>
      <c r="R1336" s="5"/>
      <c r="S1336" s="5"/>
      <c r="T1336" s="1120"/>
      <c r="U1336" s="5"/>
      <c r="V1336" s="5"/>
      <c r="W1336" s="5"/>
      <c r="X1336" s="1120"/>
      <c r="Y1336" s="1120"/>
      <c r="Z1336" s="5"/>
      <c r="AA1336" s="5"/>
      <c r="AB1336" s="1135"/>
      <c r="AC1336" s="5"/>
      <c r="AD1336" s="5"/>
      <c r="AE1336" s="5"/>
      <c r="AF1336" s="1120"/>
      <c r="AG1336" s="1148"/>
      <c r="AH1336" s="1120"/>
      <c r="AI1336" s="1120"/>
      <c r="AJ1336" s="1120"/>
    </row>
    <row r="1337" spans="2:36" ht="30" customHeight="1" x14ac:dyDescent="0.25">
      <c r="B1337" s="5"/>
      <c r="C1337" s="5"/>
      <c r="D1337" s="5"/>
      <c r="E1337" s="5"/>
      <c r="F1337" s="5"/>
      <c r="G1337" s="5"/>
      <c r="H1337" s="5"/>
      <c r="I1337" s="5"/>
      <c r="J1337" s="5"/>
      <c r="L1337" s="277"/>
      <c r="M1337" s="5"/>
      <c r="R1337" s="5"/>
      <c r="S1337" s="5"/>
      <c r="T1337" s="1120"/>
      <c r="U1337" s="5"/>
      <c r="V1337" s="5"/>
      <c r="W1337" s="5"/>
      <c r="X1337" s="1120"/>
      <c r="Y1337" s="1120"/>
      <c r="Z1337" s="5"/>
      <c r="AA1337" s="5"/>
      <c r="AB1337" s="1135"/>
      <c r="AC1337" s="5"/>
      <c r="AD1337" s="5"/>
      <c r="AE1337" s="5"/>
      <c r="AF1337" s="1120"/>
      <c r="AG1337" s="1148"/>
      <c r="AH1337" s="1120"/>
      <c r="AI1337" s="1120"/>
      <c r="AJ1337" s="1120"/>
    </row>
    <row r="1338" spans="2:36" ht="30" customHeight="1" x14ac:dyDescent="0.25">
      <c r="B1338" s="5"/>
      <c r="C1338" s="5"/>
      <c r="D1338" s="5"/>
      <c r="E1338" s="5"/>
      <c r="F1338" s="5"/>
      <c r="G1338" s="5"/>
      <c r="H1338" s="5"/>
      <c r="I1338" s="5"/>
      <c r="J1338" s="5"/>
      <c r="L1338" s="277"/>
      <c r="M1338" s="5"/>
      <c r="R1338" s="5"/>
      <c r="S1338" s="5"/>
      <c r="T1338" s="1120"/>
      <c r="U1338" s="5"/>
      <c r="V1338" s="5"/>
      <c r="W1338" s="5"/>
      <c r="X1338" s="1120"/>
      <c r="Y1338" s="1120"/>
      <c r="Z1338" s="5"/>
      <c r="AA1338" s="5"/>
      <c r="AB1338" s="1135"/>
      <c r="AC1338" s="5"/>
      <c r="AD1338" s="5"/>
      <c r="AE1338" s="5"/>
      <c r="AF1338" s="1120"/>
      <c r="AG1338" s="1148"/>
      <c r="AH1338" s="1120"/>
      <c r="AI1338" s="1120"/>
      <c r="AJ1338" s="1120"/>
    </row>
    <row r="1339" spans="2:36" ht="30" customHeight="1" x14ac:dyDescent="0.25">
      <c r="B1339" s="5"/>
      <c r="C1339" s="5"/>
      <c r="D1339" s="5"/>
      <c r="E1339" s="5"/>
      <c r="F1339" s="5"/>
      <c r="G1339" s="5"/>
      <c r="H1339" s="5"/>
      <c r="I1339" s="5"/>
      <c r="J1339" s="5"/>
      <c r="L1339" s="277"/>
      <c r="M1339" s="5"/>
      <c r="R1339" s="5"/>
      <c r="S1339" s="5"/>
      <c r="T1339" s="1120"/>
      <c r="U1339" s="5"/>
      <c r="V1339" s="5"/>
      <c r="W1339" s="5"/>
      <c r="X1339" s="1120"/>
      <c r="Y1339" s="1120"/>
      <c r="Z1339" s="5"/>
      <c r="AA1339" s="5"/>
      <c r="AB1339" s="1135"/>
      <c r="AC1339" s="5"/>
      <c r="AD1339" s="5"/>
      <c r="AE1339" s="5"/>
      <c r="AF1339" s="1120"/>
      <c r="AG1339" s="1148"/>
      <c r="AH1339" s="1120"/>
      <c r="AI1339" s="1120"/>
      <c r="AJ1339" s="1120"/>
    </row>
    <row r="1340" spans="2:36" ht="30" customHeight="1" x14ac:dyDescent="0.25">
      <c r="B1340" s="5"/>
      <c r="C1340" s="5"/>
      <c r="D1340" s="5"/>
      <c r="E1340" s="5"/>
      <c r="F1340" s="5"/>
      <c r="G1340" s="5"/>
      <c r="H1340" s="5"/>
      <c r="I1340" s="5"/>
      <c r="J1340" s="5"/>
      <c r="L1340" s="277"/>
      <c r="M1340" s="5"/>
      <c r="R1340" s="5"/>
      <c r="S1340" s="5"/>
      <c r="T1340" s="1120"/>
      <c r="U1340" s="5"/>
      <c r="V1340" s="5"/>
      <c r="W1340" s="5"/>
      <c r="X1340" s="1120"/>
      <c r="Y1340" s="1120"/>
      <c r="Z1340" s="5"/>
      <c r="AA1340" s="5"/>
      <c r="AB1340" s="1135"/>
      <c r="AC1340" s="5"/>
      <c r="AD1340" s="5"/>
      <c r="AE1340" s="5"/>
      <c r="AF1340" s="1120"/>
      <c r="AG1340" s="1148"/>
      <c r="AH1340" s="1120"/>
      <c r="AI1340" s="1120"/>
      <c r="AJ1340" s="1120"/>
    </row>
    <row r="1341" spans="2:36" ht="30" customHeight="1" x14ac:dyDescent="0.25">
      <c r="B1341" s="5"/>
      <c r="C1341" s="5"/>
      <c r="D1341" s="5"/>
      <c r="E1341" s="5"/>
      <c r="F1341" s="5"/>
      <c r="G1341" s="5"/>
      <c r="H1341" s="5"/>
      <c r="I1341" s="5"/>
      <c r="J1341" s="5"/>
      <c r="L1341" s="277"/>
      <c r="M1341" s="5"/>
      <c r="R1341" s="5"/>
      <c r="S1341" s="5"/>
      <c r="T1341" s="1120"/>
      <c r="U1341" s="5"/>
      <c r="V1341" s="5"/>
      <c r="W1341" s="5"/>
      <c r="X1341" s="1120"/>
      <c r="Y1341" s="1120"/>
      <c r="Z1341" s="5"/>
      <c r="AA1341" s="5"/>
      <c r="AB1341" s="1135"/>
      <c r="AC1341" s="5"/>
      <c r="AD1341" s="5"/>
      <c r="AE1341" s="5"/>
      <c r="AF1341" s="1120"/>
      <c r="AG1341" s="1148"/>
      <c r="AH1341" s="1120"/>
      <c r="AI1341" s="1120"/>
      <c r="AJ1341" s="1120"/>
    </row>
    <row r="1342" spans="2:36" ht="30" customHeight="1" x14ac:dyDescent="0.25">
      <c r="B1342" s="5"/>
      <c r="C1342" s="5"/>
      <c r="D1342" s="5"/>
      <c r="E1342" s="5"/>
      <c r="F1342" s="5"/>
      <c r="G1342" s="5"/>
      <c r="H1342" s="5"/>
      <c r="I1342" s="5"/>
      <c r="J1342" s="5"/>
      <c r="L1342" s="277"/>
      <c r="M1342" s="5"/>
      <c r="R1342" s="5"/>
      <c r="S1342" s="5"/>
      <c r="T1342" s="1120"/>
      <c r="U1342" s="5"/>
      <c r="V1342" s="5"/>
      <c r="W1342" s="5"/>
      <c r="X1342" s="1120"/>
      <c r="Y1342" s="1120"/>
      <c r="Z1342" s="5"/>
      <c r="AA1342" s="5"/>
      <c r="AB1342" s="1135"/>
      <c r="AC1342" s="5"/>
      <c r="AD1342" s="5"/>
      <c r="AE1342" s="5"/>
      <c r="AF1342" s="1120"/>
      <c r="AG1342" s="1148"/>
      <c r="AH1342" s="1120"/>
      <c r="AI1342" s="1120"/>
      <c r="AJ1342" s="1120"/>
    </row>
    <row r="1343" spans="2:36" ht="30" customHeight="1" x14ac:dyDescent="0.25">
      <c r="B1343" s="5"/>
      <c r="C1343" s="5"/>
      <c r="D1343" s="5"/>
      <c r="E1343" s="5"/>
      <c r="F1343" s="5"/>
      <c r="G1343" s="5"/>
      <c r="H1343" s="5"/>
      <c r="I1343" s="5"/>
      <c r="J1343" s="5"/>
      <c r="L1343" s="277"/>
      <c r="M1343" s="5"/>
      <c r="R1343" s="5"/>
      <c r="S1343" s="5"/>
      <c r="T1343" s="1120"/>
      <c r="U1343" s="5"/>
      <c r="V1343" s="5"/>
      <c r="W1343" s="5"/>
      <c r="X1343" s="1120"/>
      <c r="Y1343" s="1120"/>
      <c r="Z1343" s="5"/>
      <c r="AA1343" s="5"/>
      <c r="AB1343" s="1135"/>
      <c r="AC1343" s="5"/>
      <c r="AD1343" s="5"/>
      <c r="AE1343" s="5"/>
      <c r="AF1343" s="1120"/>
      <c r="AG1343" s="1148"/>
      <c r="AH1343" s="1120"/>
      <c r="AI1343" s="1120"/>
      <c r="AJ1343" s="1120"/>
    </row>
    <row r="1344" spans="2:36" ht="30" customHeight="1" x14ac:dyDescent="0.25">
      <c r="B1344" s="5"/>
      <c r="C1344" s="5"/>
      <c r="D1344" s="5"/>
      <c r="E1344" s="5"/>
      <c r="F1344" s="5"/>
      <c r="G1344" s="5"/>
      <c r="H1344" s="5"/>
      <c r="I1344" s="5"/>
      <c r="J1344" s="5"/>
      <c r="L1344" s="277"/>
      <c r="M1344" s="5"/>
      <c r="R1344" s="5"/>
      <c r="S1344" s="5"/>
      <c r="T1344" s="1120"/>
      <c r="U1344" s="5"/>
      <c r="V1344" s="5"/>
      <c r="W1344" s="5"/>
      <c r="X1344" s="1120"/>
      <c r="Y1344" s="1120"/>
      <c r="Z1344" s="5"/>
      <c r="AA1344" s="5"/>
      <c r="AB1344" s="1135"/>
      <c r="AC1344" s="5"/>
      <c r="AD1344" s="5"/>
      <c r="AE1344" s="5"/>
      <c r="AF1344" s="1120"/>
      <c r="AG1344" s="1148"/>
      <c r="AH1344" s="1120"/>
      <c r="AI1344" s="1120"/>
      <c r="AJ1344" s="1120"/>
    </row>
    <row r="1345" spans="2:36" ht="30" customHeight="1" x14ac:dyDescent="0.25">
      <c r="B1345" s="5"/>
      <c r="C1345" s="5"/>
      <c r="D1345" s="5"/>
      <c r="E1345" s="5"/>
      <c r="F1345" s="5"/>
      <c r="G1345" s="5"/>
      <c r="H1345" s="5"/>
      <c r="I1345" s="5"/>
      <c r="J1345" s="5"/>
      <c r="L1345" s="277"/>
      <c r="M1345" s="5"/>
      <c r="R1345" s="5"/>
      <c r="S1345" s="5"/>
      <c r="T1345" s="1120"/>
      <c r="U1345" s="5"/>
      <c r="V1345" s="5"/>
      <c r="W1345" s="5"/>
      <c r="X1345" s="1120"/>
      <c r="Y1345" s="1120"/>
      <c r="Z1345" s="5"/>
      <c r="AA1345" s="5"/>
      <c r="AB1345" s="1135"/>
      <c r="AC1345" s="5"/>
      <c r="AD1345" s="5"/>
      <c r="AE1345" s="5"/>
      <c r="AF1345" s="1120"/>
      <c r="AG1345" s="1148"/>
      <c r="AH1345" s="1120"/>
      <c r="AI1345" s="1120"/>
      <c r="AJ1345" s="1120"/>
    </row>
    <row r="1346" spans="2:36" ht="30" customHeight="1" x14ac:dyDescent="0.25">
      <c r="B1346" s="5"/>
      <c r="C1346" s="5"/>
      <c r="D1346" s="5"/>
      <c r="E1346" s="5"/>
      <c r="F1346" s="5"/>
      <c r="G1346" s="5"/>
      <c r="H1346" s="5"/>
      <c r="I1346" s="5"/>
      <c r="J1346" s="5"/>
      <c r="L1346" s="277"/>
      <c r="M1346" s="5"/>
      <c r="R1346" s="5"/>
      <c r="S1346" s="5"/>
      <c r="T1346" s="1120"/>
      <c r="U1346" s="5"/>
      <c r="V1346" s="5"/>
      <c r="W1346" s="5"/>
      <c r="X1346" s="1120"/>
      <c r="Y1346" s="1120"/>
      <c r="Z1346" s="5"/>
      <c r="AA1346" s="5"/>
      <c r="AB1346" s="1135"/>
      <c r="AC1346" s="5"/>
      <c r="AD1346" s="5"/>
      <c r="AE1346" s="5"/>
      <c r="AF1346" s="1120"/>
      <c r="AG1346" s="1148"/>
      <c r="AH1346" s="1120"/>
      <c r="AI1346" s="1120"/>
      <c r="AJ1346" s="1120"/>
    </row>
    <row r="1347" spans="2:36" ht="30" customHeight="1" x14ac:dyDescent="0.25">
      <c r="B1347" s="5"/>
      <c r="C1347" s="5"/>
      <c r="D1347" s="5"/>
      <c r="E1347" s="5"/>
      <c r="F1347" s="5"/>
      <c r="G1347" s="5"/>
      <c r="H1347" s="5"/>
      <c r="I1347" s="5"/>
      <c r="J1347" s="5"/>
      <c r="L1347" s="277"/>
      <c r="M1347" s="5"/>
      <c r="R1347" s="5"/>
      <c r="S1347" s="5"/>
      <c r="T1347" s="1120"/>
      <c r="U1347" s="5"/>
      <c r="V1347" s="5"/>
      <c r="W1347" s="5"/>
      <c r="X1347" s="1120"/>
      <c r="Y1347" s="1120"/>
      <c r="Z1347" s="5"/>
      <c r="AA1347" s="5"/>
      <c r="AB1347" s="1135"/>
      <c r="AC1347" s="5"/>
      <c r="AD1347" s="5"/>
      <c r="AE1347" s="5"/>
      <c r="AF1347" s="1120"/>
      <c r="AG1347" s="1148"/>
      <c r="AH1347" s="1120"/>
      <c r="AI1347" s="1120"/>
      <c r="AJ1347" s="1120"/>
    </row>
    <row r="1348" spans="2:36" ht="30" customHeight="1" x14ac:dyDescent="0.25">
      <c r="B1348" s="5"/>
      <c r="C1348" s="5"/>
      <c r="D1348" s="5"/>
      <c r="E1348" s="5"/>
      <c r="F1348" s="5"/>
      <c r="G1348" s="5"/>
      <c r="H1348" s="5"/>
      <c r="I1348" s="5"/>
      <c r="J1348" s="5"/>
      <c r="L1348" s="277"/>
      <c r="M1348" s="5"/>
      <c r="R1348" s="5"/>
      <c r="S1348" s="5"/>
      <c r="T1348" s="1120"/>
      <c r="U1348" s="5"/>
      <c r="V1348" s="5"/>
      <c r="W1348" s="5"/>
      <c r="X1348" s="1120"/>
      <c r="Y1348" s="1120"/>
      <c r="Z1348" s="5"/>
      <c r="AA1348" s="5"/>
      <c r="AB1348" s="1135"/>
      <c r="AC1348" s="5"/>
      <c r="AD1348" s="5"/>
      <c r="AE1348" s="5"/>
      <c r="AF1348" s="1120"/>
      <c r="AG1348" s="1148"/>
      <c r="AH1348" s="1120"/>
      <c r="AI1348" s="1120"/>
      <c r="AJ1348" s="1120"/>
    </row>
    <row r="1349" spans="2:36" ht="30" customHeight="1" x14ac:dyDescent="0.25">
      <c r="B1349" s="5"/>
      <c r="C1349" s="5"/>
      <c r="D1349" s="5"/>
      <c r="E1349" s="5"/>
      <c r="F1349" s="5"/>
      <c r="G1349" s="5"/>
      <c r="H1349" s="5"/>
      <c r="I1349" s="5"/>
      <c r="J1349" s="5"/>
      <c r="L1349" s="277"/>
      <c r="M1349" s="5"/>
      <c r="R1349" s="5"/>
      <c r="S1349" s="5"/>
      <c r="T1349" s="1120"/>
      <c r="U1349" s="5"/>
      <c r="V1349" s="5"/>
      <c r="W1349" s="5"/>
      <c r="X1349" s="1120"/>
      <c r="Y1349" s="1120"/>
      <c r="Z1349" s="5"/>
      <c r="AA1349" s="5"/>
      <c r="AB1349" s="1135"/>
      <c r="AC1349" s="5"/>
      <c r="AD1349" s="5"/>
      <c r="AE1349" s="5"/>
      <c r="AF1349" s="1120"/>
      <c r="AG1349" s="1148"/>
      <c r="AH1349" s="1120"/>
      <c r="AI1349" s="1120"/>
      <c r="AJ1349" s="1120"/>
    </row>
    <row r="1350" spans="2:36" ht="30" customHeight="1" x14ac:dyDescent="0.25">
      <c r="B1350" s="5"/>
      <c r="C1350" s="5"/>
      <c r="D1350" s="5"/>
      <c r="E1350" s="5"/>
      <c r="F1350" s="5"/>
      <c r="G1350" s="5"/>
      <c r="H1350" s="5"/>
      <c r="I1350" s="5"/>
      <c r="J1350" s="5"/>
      <c r="L1350" s="277"/>
      <c r="M1350" s="5"/>
      <c r="R1350" s="5"/>
      <c r="S1350" s="5"/>
      <c r="T1350" s="1120"/>
      <c r="U1350" s="5"/>
      <c r="V1350" s="5"/>
      <c r="W1350" s="5"/>
      <c r="X1350" s="1120"/>
      <c r="Y1350" s="1120"/>
      <c r="Z1350" s="5"/>
      <c r="AA1350" s="5"/>
      <c r="AB1350" s="1135"/>
      <c r="AC1350" s="5"/>
      <c r="AD1350" s="5"/>
      <c r="AE1350" s="5"/>
      <c r="AF1350" s="1120"/>
      <c r="AG1350" s="1148"/>
      <c r="AH1350" s="1120"/>
      <c r="AI1350" s="1120"/>
      <c r="AJ1350" s="1120"/>
    </row>
    <row r="1351" spans="2:36" ht="30" customHeight="1" x14ac:dyDescent="0.25">
      <c r="B1351" s="5"/>
      <c r="C1351" s="5"/>
      <c r="D1351" s="5"/>
      <c r="E1351" s="5"/>
      <c r="F1351" s="5"/>
      <c r="G1351" s="5"/>
      <c r="H1351" s="5"/>
      <c r="I1351" s="5"/>
      <c r="J1351" s="5"/>
      <c r="L1351" s="277"/>
      <c r="M1351" s="5"/>
      <c r="R1351" s="5"/>
      <c r="S1351" s="5"/>
      <c r="T1351" s="1120"/>
      <c r="U1351" s="5"/>
      <c r="V1351" s="5"/>
      <c r="W1351" s="5"/>
      <c r="X1351" s="1120"/>
      <c r="Y1351" s="1120"/>
      <c r="Z1351" s="5"/>
      <c r="AA1351" s="5"/>
      <c r="AB1351" s="1135"/>
      <c r="AC1351" s="5"/>
      <c r="AD1351" s="5"/>
      <c r="AE1351" s="5"/>
      <c r="AF1351" s="1120"/>
      <c r="AG1351" s="1148"/>
      <c r="AH1351" s="1120"/>
      <c r="AI1351" s="1120"/>
      <c r="AJ1351" s="1120"/>
    </row>
    <row r="1352" spans="2:36" ht="30" customHeight="1" x14ac:dyDescent="0.25">
      <c r="B1352" s="5"/>
      <c r="C1352" s="5"/>
      <c r="D1352" s="5"/>
      <c r="E1352" s="5"/>
      <c r="F1352" s="5"/>
      <c r="G1352" s="5"/>
      <c r="H1352" s="5"/>
      <c r="I1352" s="5"/>
      <c r="J1352" s="5"/>
      <c r="L1352" s="277"/>
      <c r="M1352" s="5"/>
      <c r="R1352" s="5"/>
      <c r="S1352" s="5"/>
      <c r="T1352" s="1120"/>
      <c r="U1352" s="5"/>
      <c r="V1352" s="5"/>
      <c r="W1352" s="5"/>
      <c r="X1352" s="1120"/>
      <c r="Y1352" s="1120"/>
      <c r="Z1352" s="5"/>
      <c r="AA1352" s="5"/>
      <c r="AB1352" s="1135"/>
      <c r="AC1352" s="5"/>
      <c r="AD1352" s="5"/>
      <c r="AE1352" s="5"/>
      <c r="AF1352" s="1120"/>
      <c r="AG1352" s="1148"/>
      <c r="AH1352" s="1120"/>
      <c r="AI1352" s="1120"/>
      <c r="AJ1352" s="1120"/>
    </row>
    <row r="1353" spans="2:36" ht="30" customHeight="1" x14ac:dyDescent="0.25">
      <c r="B1353" s="5"/>
      <c r="C1353" s="5"/>
      <c r="D1353" s="5"/>
      <c r="E1353" s="5"/>
      <c r="F1353" s="5"/>
      <c r="G1353" s="5"/>
      <c r="H1353" s="5"/>
      <c r="I1353" s="5"/>
      <c r="J1353" s="5"/>
      <c r="L1353" s="277"/>
      <c r="M1353" s="5"/>
      <c r="R1353" s="5"/>
      <c r="S1353" s="5"/>
      <c r="T1353" s="1120"/>
      <c r="U1353" s="5"/>
      <c r="V1353" s="5"/>
      <c r="W1353" s="5"/>
      <c r="X1353" s="1120"/>
      <c r="Y1353" s="1120"/>
      <c r="Z1353" s="5"/>
      <c r="AA1353" s="5"/>
      <c r="AB1353" s="1135"/>
      <c r="AC1353" s="5"/>
      <c r="AD1353" s="5"/>
      <c r="AE1353" s="5"/>
      <c r="AF1353" s="1120"/>
      <c r="AG1353" s="1148"/>
      <c r="AH1353" s="1120"/>
      <c r="AI1353" s="1120"/>
      <c r="AJ1353" s="1120"/>
    </row>
    <row r="1354" spans="2:36" ht="30" customHeight="1" x14ac:dyDescent="0.25">
      <c r="B1354" s="5"/>
      <c r="C1354" s="5"/>
      <c r="D1354" s="5"/>
      <c r="E1354" s="5"/>
      <c r="F1354" s="5"/>
      <c r="G1354" s="5"/>
      <c r="H1354" s="5"/>
      <c r="I1354" s="5"/>
      <c r="J1354" s="5"/>
      <c r="L1354" s="277"/>
      <c r="M1354" s="5"/>
      <c r="R1354" s="5"/>
      <c r="S1354" s="5"/>
      <c r="T1354" s="1120"/>
      <c r="U1354" s="5"/>
      <c r="V1354" s="5"/>
      <c r="W1354" s="5"/>
      <c r="X1354" s="1120"/>
      <c r="Y1354" s="1120"/>
      <c r="Z1354" s="5"/>
      <c r="AA1354" s="5"/>
      <c r="AB1354" s="1135"/>
      <c r="AC1354" s="5"/>
      <c r="AD1354" s="5"/>
      <c r="AE1354" s="5"/>
      <c r="AF1354" s="1120"/>
      <c r="AG1354" s="1148"/>
      <c r="AH1354" s="1120"/>
      <c r="AI1354" s="1120"/>
      <c r="AJ1354" s="1120"/>
    </row>
    <row r="1355" spans="2:36" ht="30" customHeight="1" x14ac:dyDescent="0.25">
      <c r="B1355" s="5"/>
      <c r="C1355" s="5"/>
      <c r="D1355" s="5"/>
      <c r="E1355" s="5"/>
      <c r="F1355" s="5"/>
      <c r="G1355" s="5"/>
      <c r="H1355" s="5"/>
      <c r="I1355" s="5"/>
      <c r="J1355" s="5"/>
      <c r="L1355" s="277"/>
      <c r="M1355" s="5"/>
      <c r="R1355" s="5"/>
      <c r="S1355" s="5"/>
      <c r="T1355" s="1120"/>
      <c r="U1355" s="5"/>
      <c r="V1355" s="5"/>
      <c r="W1355" s="5"/>
      <c r="X1355" s="1120"/>
      <c r="Y1355" s="1120"/>
      <c r="Z1355" s="5"/>
      <c r="AA1355" s="5"/>
      <c r="AB1355" s="1135"/>
      <c r="AC1355" s="5"/>
      <c r="AD1355" s="5"/>
      <c r="AE1355" s="5"/>
      <c r="AF1355" s="1120"/>
      <c r="AG1355" s="1148"/>
      <c r="AH1355" s="1120"/>
      <c r="AI1355" s="1120"/>
      <c r="AJ1355" s="1120"/>
    </row>
    <row r="1356" spans="2:36" ht="30" customHeight="1" x14ac:dyDescent="0.25">
      <c r="B1356" s="5"/>
      <c r="C1356" s="5"/>
      <c r="D1356" s="5"/>
      <c r="E1356" s="5"/>
      <c r="F1356" s="5"/>
      <c r="G1356" s="5"/>
      <c r="H1356" s="5"/>
      <c r="I1356" s="5"/>
      <c r="J1356" s="5"/>
      <c r="L1356" s="277"/>
      <c r="M1356" s="5"/>
      <c r="R1356" s="5"/>
      <c r="S1356" s="5"/>
      <c r="T1356" s="1120"/>
      <c r="U1356" s="5"/>
      <c r="V1356" s="5"/>
      <c r="W1356" s="5"/>
      <c r="X1356" s="1120"/>
      <c r="Y1356" s="1120"/>
      <c r="Z1356" s="5"/>
      <c r="AA1356" s="5"/>
      <c r="AB1356" s="1135"/>
      <c r="AC1356" s="5"/>
      <c r="AD1356" s="5"/>
      <c r="AE1356" s="5"/>
      <c r="AF1356" s="1120"/>
      <c r="AG1356" s="1148"/>
      <c r="AH1356" s="1120"/>
      <c r="AI1356" s="1120"/>
      <c r="AJ1356" s="1120"/>
    </row>
    <row r="1357" spans="2:36" ht="30" customHeight="1" x14ac:dyDescent="0.25">
      <c r="B1357" s="5"/>
      <c r="C1357" s="5"/>
      <c r="D1357" s="5"/>
      <c r="E1357" s="5"/>
      <c r="F1357" s="5"/>
      <c r="G1357" s="5"/>
      <c r="H1357" s="5"/>
      <c r="I1357" s="5"/>
      <c r="J1357" s="5"/>
      <c r="L1357" s="277"/>
      <c r="M1357" s="5"/>
      <c r="R1357" s="5"/>
      <c r="S1357" s="5"/>
      <c r="T1357" s="1120"/>
      <c r="U1357" s="5"/>
      <c r="V1357" s="5"/>
      <c r="W1357" s="5"/>
      <c r="X1357" s="1120"/>
      <c r="Y1357" s="1120"/>
      <c r="Z1357" s="5"/>
      <c r="AA1357" s="5"/>
      <c r="AB1357" s="1135"/>
      <c r="AC1357" s="5"/>
      <c r="AD1357" s="5"/>
      <c r="AE1357" s="5"/>
      <c r="AF1357" s="1120"/>
      <c r="AG1357" s="1148"/>
      <c r="AH1357" s="1120"/>
      <c r="AI1357" s="1120"/>
      <c r="AJ1357" s="1120"/>
    </row>
    <row r="1358" spans="2:36" ht="30" customHeight="1" x14ac:dyDescent="0.25">
      <c r="B1358" s="5"/>
      <c r="C1358" s="5"/>
      <c r="D1358" s="5"/>
      <c r="E1358" s="5"/>
      <c r="F1358" s="5"/>
      <c r="G1358" s="5"/>
      <c r="H1358" s="5"/>
      <c r="I1358" s="5"/>
      <c r="J1358" s="5"/>
      <c r="L1358" s="277"/>
      <c r="M1358" s="5"/>
      <c r="R1358" s="5"/>
      <c r="S1358" s="5"/>
      <c r="T1358" s="1120"/>
      <c r="U1358" s="5"/>
      <c r="V1358" s="5"/>
      <c r="W1358" s="5"/>
      <c r="X1358" s="1120"/>
      <c r="Y1358" s="1120"/>
      <c r="Z1358" s="5"/>
      <c r="AA1358" s="5"/>
      <c r="AB1358" s="1135"/>
      <c r="AC1358" s="5"/>
      <c r="AD1358" s="5"/>
      <c r="AE1358" s="5"/>
      <c r="AF1358" s="1120"/>
      <c r="AG1358" s="1148"/>
      <c r="AH1358" s="1120"/>
      <c r="AI1358" s="1120"/>
      <c r="AJ1358" s="1120"/>
    </row>
    <row r="1359" spans="2:36" ht="30" customHeight="1" x14ac:dyDescent="0.25">
      <c r="B1359" s="5"/>
      <c r="C1359" s="5"/>
      <c r="D1359" s="5"/>
      <c r="E1359" s="5"/>
      <c r="F1359" s="5"/>
      <c r="G1359" s="5"/>
      <c r="H1359" s="5"/>
      <c r="I1359" s="5"/>
      <c r="J1359" s="5"/>
      <c r="L1359" s="277"/>
      <c r="M1359" s="5"/>
      <c r="R1359" s="5"/>
      <c r="S1359" s="5"/>
      <c r="T1359" s="1120"/>
      <c r="U1359" s="5"/>
      <c r="V1359" s="5"/>
      <c r="W1359" s="5"/>
      <c r="X1359" s="1120"/>
      <c r="Y1359" s="1120"/>
      <c r="Z1359" s="5"/>
      <c r="AA1359" s="5"/>
      <c r="AB1359" s="1135"/>
      <c r="AC1359" s="5"/>
      <c r="AD1359" s="5"/>
      <c r="AE1359" s="5"/>
      <c r="AF1359" s="1120"/>
      <c r="AG1359" s="1148"/>
      <c r="AH1359" s="1120"/>
      <c r="AI1359" s="1120"/>
      <c r="AJ1359" s="1120"/>
    </row>
    <row r="1360" spans="2:36" ht="30" customHeight="1" x14ac:dyDescent="0.25">
      <c r="B1360" s="5"/>
      <c r="C1360" s="5"/>
      <c r="D1360" s="5"/>
      <c r="E1360" s="5"/>
      <c r="F1360" s="5"/>
      <c r="G1360" s="5"/>
      <c r="H1360" s="5"/>
      <c r="I1360" s="5"/>
      <c r="J1360" s="5"/>
      <c r="L1360" s="277"/>
      <c r="M1360" s="5"/>
      <c r="R1360" s="5"/>
      <c r="S1360" s="5"/>
      <c r="T1360" s="1120"/>
      <c r="U1360" s="5"/>
      <c r="V1360" s="5"/>
      <c r="W1360" s="5"/>
      <c r="X1360" s="1120"/>
      <c r="Y1360" s="1120"/>
      <c r="Z1360" s="5"/>
      <c r="AA1360" s="5"/>
      <c r="AB1360" s="1135"/>
      <c r="AC1360" s="5"/>
      <c r="AD1360" s="5"/>
      <c r="AE1360" s="5"/>
      <c r="AF1360" s="1120"/>
      <c r="AG1360" s="1148"/>
      <c r="AH1360" s="1120"/>
      <c r="AI1360" s="1120"/>
      <c r="AJ1360" s="1120"/>
    </row>
    <row r="1361" spans="2:36" ht="30" customHeight="1" x14ac:dyDescent="0.25">
      <c r="B1361" s="5"/>
      <c r="C1361" s="5"/>
      <c r="D1361" s="5"/>
      <c r="E1361" s="5"/>
      <c r="F1361" s="5"/>
      <c r="G1361" s="5"/>
      <c r="H1361" s="5"/>
      <c r="I1361" s="5"/>
      <c r="J1361" s="5"/>
      <c r="L1361" s="277"/>
      <c r="M1361" s="5"/>
      <c r="R1361" s="5"/>
      <c r="S1361" s="5"/>
      <c r="T1361" s="1120"/>
      <c r="U1361" s="5"/>
      <c r="V1361" s="5"/>
      <c r="W1361" s="5"/>
      <c r="X1361" s="1120"/>
      <c r="Y1361" s="1120"/>
      <c r="Z1361" s="5"/>
      <c r="AA1361" s="5"/>
      <c r="AB1361" s="1135"/>
      <c r="AC1361" s="5"/>
      <c r="AD1361" s="5"/>
      <c r="AE1361" s="5"/>
      <c r="AF1361" s="1120"/>
      <c r="AG1361" s="1148"/>
      <c r="AH1361" s="1120"/>
      <c r="AI1361" s="1120"/>
      <c r="AJ1361" s="1120"/>
    </row>
    <row r="1362" spans="2:36" ht="30" customHeight="1" x14ac:dyDescent="0.25">
      <c r="B1362" s="5"/>
      <c r="C1362" s="5"/>
      <c r="D1362" s="5"/>
      <c r="E1362" s="5"/>
      <c r="F1362" s="5"/>
      <c r="G1362" s="5"/>
      <c r="H1362" s="5"/>
      <c r="I1362" s="5"/>
      <c r="J1362" s="5"/>
      <c r="L1362" s="277"/>
      <c r="M1362" s="5"/>
      <c r="R1362" s="5"/>
      <c r="S1362" s="5"/>
      <c r="T1362" s="1120"/>
      <c r="U1362" s="5"/>
      <c r="V1362" s="5"/>
      <c r="W1362" s="5"/>
      <c r="X1362" s="1120"/>
      <c r="Y1362" s="1120"/>
      <c r="Z1362" s="5"/>
      <c r="AA1362" s="5"/>
      <c r="AB1362" s="1135"/>
      <c r="AC1362" s="5"/>
      <c r="AD1362" s="5"/>
      <c r="AE1362" s="5"/>
      <c r="AF1362" s="1120"/>
      <c r="AG1362" s="1148"/>
      <c r="AH1362" s="1120"/>
      <c r="AI1362" s="1120"/>
      <c r="AJ1362" s="1120"/>
    </row>
    <row r="1363" spans="2:36" ht="30" customHeight="1" x14ac:dyDescent="0.25">
      <c r="B1363" s="5"/>
      <c r="C1363" s="5"/>
      <c r="D1363" s="5"/>
      <c r="E1363" s="5"/>
      <c r="F1363" s="5"/>
      <c r="G1363" s="5"/>
      <c r="H1363" s="5"/>
      <c r="I1363" s="5"/>
      <c r="J1363" s="5"/>
      <c r="L1363" s="277"/>
      <c r="M1363" s="5"/>
      <c r="R1363" s="5"/>
      <c r="S1363" s="5"/>
      <c r="T1363" s="1120"/>
      <c r="U1363" s="5"/>
      <c r="V1363" s="5"/>
      <c r="W1363" s="5"/>
      <c r="X1363" s="1120"/>
      <c r="Y1363" s="1120"/>
      <c r="Z1363" s="5"/>
      <c r="AA1363" s="5"/>
      <c r="AB1363" s="1135"/>
      <c r="AC1363" s="5"/>
      <c r="AD1363" s="5"/>
      <c r="AE1363" s="5"/>
      <c r="AF1363" s="1120"/>
      <c r="AG1363" s="1148"/>
      <c r="AH1363" s="1120"/>
      <c r="AI1363" s="1120"/>
      <c r="AJ1363" s="1120"/>
    </row>
    <row r="1364" spans="2:36" ht="30" customHeight="1" x14ac:dyDescent="0.25">
      <c r="B1364" s="5"/>
      <c r="C1364" s="5"/>
      <c r="D1364" s="5"/>
      <c r="E1364" s="5"/>
      <c r="F1364" s="5"/>
      <c r="G1364" s="5"/>
      <c r="H1364" s="5"/>
      <c r="I1364" s="5"/>
      <c r="J1364" s="5"/>
      <c r="L1364" s="277"/>
      <c r="M1364" s="5"/>
      <c r="R1364" s="5"/>
      <c r="S1364" s="5"/>
      <c r="T1364" s="1120"/>
      <c r="U1364" s="5"/>
      <c r="V1364" s="5"/>
      <c r="W1364" s="5"/>
      <c r="X1364" s="1120"/>
      <c r="Y1364" s="1120"/>
      <c r="Z1364" s="5"/>
      <c r="AA1364" s="5"/>
      <c r="AB1364" s="1135"/>
      <c r="AC1364" s="5"/>
      <c r="AD1364" s="5"/>
      <c r="AE1364" s="5"/>
      <c r="AF1364" s="1120"/>
      <c r="AG1364" s="1148"/>
      <c r="AH1364" s="1120"/>
      <c r="AI1364" s="1120"/>
      <c r="AJ1364" s="1120"/>
    </row>
    <row r="1365" spans="2:36" ht="30" customHeight="1" x14ac:dyDescent="0.25">
      <c r="B1365" s="5"/>
      <c r="C1365" s="5"/>
      <c r="D1365" s="5"/>
      <c r="E1365" s="5"/>
      <c r="F1365" s="5"/>
      <c r="G1365" s="5"/>
      <c r="H1365" s="5"/>
      <c r="I1365" s="5"/>
      <c r="J1365" s="5"/>
      <c r="L1365" s="277"/>
      <c r="M1365" s="5"/>
      <c r="R1365" s="5"/>
      <c r="S1365" s="5"/>
      <c r="T1365" s="1120"/>
      <c r="U1365" s="5"/>
      <c r="V1365" s="5"/>
      <c r="W1365" s="5"/>
      <c r="X1365" s="1120"/>
      <c r="Y1365" s="1120"/>
      <c r="Z1365" s="5"/>
      <c r="AA1365" s="5"/>
      <c r="AB1365" s="1135"/>
      <c r="AC1365" s="5"/>
      <c r="AD1365" s="5"/>
      <c r="AE1365" s="5"/>
      <c r="AF1365" s="1120"/>
      <c r="AG1365" s="1148"/>
      <c r="AH1365" s="1120"/>
      <c r="AI1365" s="1120"/>
      <c r="AJ1365" s="1120"/>
    </row>
    <row r="1366" spans="2:36" ht="30" customHeight="1" x14ac:dyDescent="0.25">
      <c r="B1366" s="5"/>
      <c r="C1366" s="5"/>
      <c r="D1366" s="5"/>
      <c r="E1366" s="5"/>
      <c r="F1366" s="5"/>
      <c r="G1366" s="5"/>
      <c r="H1366" s="5"/>
      <c r="I1366" s="5"/>
      <c r="J1366" s="5"/>
      <c r="L1366" s="277"/>
      <c r="M1366" s="5"/>
      <c r="R1366" s="5"/>
      <c r="S1366" s="5"/>
      <c r="T1366" s="1120"/>
      <c r="U1366" s="5"/>
      <c r="V1366" s="5"/>
      <c r="W1366" s="5"/>
      <c r="X1366" s="1120"/>
      <c r="Y1366" s="1120"/>
      <c r="Z1366" s="5"/>
      <c r="AA1366" s="5"/>
      <c r="AB1366" s="1135"/>
      <c r="AC1366" s="5"/>
      <c r="AD1366" s="5"/>
      <c r="AE1366" s="5"/>
      <c r="AF1366" s="1120"/>
      <c r="AG1366" s="1148"/>
      <c r="AH1366" s="1120"/>
      <c r="AI1366" s="1120"/>
      <c r="AJ1366" s="1120"/>
    </row>
    <row r="1367" spans="2:36" ht="30" customHeight="1" x14ac:dyDescent="0.25">
      <c r="B1367" s="5"/>
      <c r="C1367" s="5"/>
      <c r="D1367" s="5"/>
      <c r="E1367" s="5"/>
      <c r="F1367" s="5"/>
      <c r="G1367" s="5"/>
      <c r="H1367" s="5"/>
      <c r="I1367" s="5"/>
      <c r="J1367" s="5"/>
      <c r="L1367" s="277"/>
      <c r="M1367" s="5"/>
      <c r="R1367" s="5"/>
      <c r="S1367" s="5"/>
      <c r="T1367" s="1120"/>
      <c r="U1367" s="5"/>
      <c r="V1367" s="5"/>
      <c r="W1367" s="5"/>
      <c r="X1367" s="1120"/>
      <c r="Y1367" s="1120"/>
      <c r="Z1367" s="5"/>
      <c r="AA1367" s="5"/>
      <c r="AB1367" s="1135"/>
      <c r="AC1367" s="5"/>
      <c r="AD1367" s="5"/>
      <c r="AE1367" s="5"/>
      <c r="AF1367" s="1120"/>
      <c r="AG1367" s="1148"/>
      <c r="AH1367" s="1120"/>
      <c r="AI1367" s="1120"/>
      <c r="AJ1367" s="1120"/>
    </row>
    <row r="1368" spans="2:36" ht="30" customHeight="1" x14ac:dyDescent="0.25">
      <c r="B1368" s="5"/>
      <c r="C1368" s="5"/>
      <c r="D1368" s="5"/>
      <c r="E1368" s="5"/>
      <c r="F1368" s="5"/>
      <c r="G1368" s="5"/>
      <c r="H1368" s="5"/>
      <c r="I1368" s="5"/>
      <c r="J1368" s="5"/>
      <c r="L1368" s="277"/>
      <c r="M1368" s="5"/>
      <c r="R1368" s="5"/>
      <c r="S1368" s="5"/>
      <c r="T1368" s="1120"/>
      <c r="U1368" s="5"/>
      <c r="V1368" s="5"/>
      <c r="W1368" s="5"/>
      <c r="X1368" s="1120"/>
      <c r="Y1368" s="1120"/>
      <c r="Z1368" s="5"/>
      <c r="AA1368" s="5"/>
      <c r="AB1368" s="1135"/>
      <c r="AC1368" s="5"/>
      <c r="AD1368" s="5"/>
      <c r="AE1368" s="5"/>
      <c r="AF1368" s="1120"/>
      <c r="AG1368" s="1148"/>
      <c r="AH1368" s="1120"/>
      <c r="AI1368" s="1120"/>
      <c r="AJ1368" s="1120"/>
    </row>
    <row r="1369" spans="2:36" ht="30" customHeight="1" x14ac:dyDescent="0.25">
      <c r="B1369" s="5"/>
      <c r="C1369" s="5"/>
      <c r="D1369" s="5"/>
      <c r="E1369" s="5"/>
      <c r="F1369" s="5"/>
      <c r="G1369" s="5"/>
      <c r="H1369" s="5"/>
      <c r="I1369" s="5"/>
      <c r="J1369" s="5"/>
      <c r="L1369" s="277"/>
      <c r="M1369" s="5"/>
      <c r="R1369" s="5"/>
      <c r="S1369" s="5"/>
      <c r="T1369" s="1120"/>
      <c r="U1369" s="5"/>
      <c r="V1369" s="5"/>
      <c r="W1369" s="5"/>
      <c r="X1369" s="1120"/>
      <c r="Y1369" s="1120"/>
      <c r="Z1369" s="5"/>
      <c r="AA1369" s="5"/>
      <c r="AB1369" s="1135"/>
      <c r="AC1369" s="5"/>
      <c r="AD1369" s="5"/>
      <c r="AE1369" s="5"/>
      <c r="AF1369" s="1120"/>
      <c r="AG1369" s="1148"/>
      <c r="AH1369" s="1120"/>
      <c r="AI1369" s="1120"/>
      <c r="AJ1369" s="1120"/>
    </row>
    <row r="1370" spans="2:36" ht="30" customHeight="1" x14ac:dyDescent="0.25">
      <c r="B1370" s="5"/>
      <c r="C1370" s="5"/>
      <c r="D1370" s="5"/>
      <c r="E1370" s="5"/>
      <c r="F1370" s="5"/>
      <c r="G1370" s="5"/>
      <c r="H1370" s="5"/>
      <c r="I1370" s="5"/>
      <c r="J1370" s="5"/>
      <c r="L1370" s="277"/>
      <c r="M1370" s="5"/>
      <c r="R1370" s="5"/>
      <c r="S1370" s="5"/>
      <c r="T1370" s="1120"/>
      <c r="U1370" s="5"/>
      <c r="V1370" s="5"/>
      <c r="W1370" s="5"/>
      <c r="X1370" s="1120"/>
      <c r="Y1370" s="1120"/>
      <c r="Z1370" s="5"/>
      <c r="AA1370" s="5"/>
      <c r="AB1370" s="1135"/>
      <c r="AC1370" s="5"/>
      <c r="AD1370" s="5"/>
      <c r="AE1370" s="5"/>
      <c r="AF1370" s="1120"/>
      <c r="AG1370" s="1148"/>
      <c r="AH1370" s="1120"/>
      <c r="AI1370" s="1120"/>
      <c r="AJ1370" s="1120"/>
    </row>
    <row r="1371" spans="2:36" ht="30" customHeight="1" x14ac:dyDescent="0.25">
      <c r="B1371" s="5"/>
      <c r="C1371" s="5"/>
      <c r="D1371" s="5"/>
      <c r="E1371" s="5"/>
      <c r="F1371" s="5"/>
      <c r="G1371" s="5"/>
      <c r="H1371" s="5"/>
      <c r="I1371" s="5"/>
      <c r="J1371" s="5"/>
      <c r="L1371" s="277"/>
      <c r="M1371" s="5"/>
      <c r="R1371" s="5"/>
      <c r="S1371" s="5"/>
      <c r="T1371" s="1120"/>
      <c r="U1371" s="5"/>
      <c r="V1371" s="5"/>
      <c r="W1371" s="5"/>
      <c r="X1371" s="1120"/>
      <c r="Y1371" s="1120"/>
      <c r="Z1371" s="5"/>
      <c r="AA1371" s="5"/>
      <c r="AB1371" s="1135"/>
      <c r="AC1371" s="5"/>
      <c r="AD1371" s="5"/>
      <c r="AE1371" s="5"/>
      <c r="AF1371" s="1120"/>
      <c r="AG1371" s="1148"/>
      <c r="AH1371" s="1120"/>
      <c r="AI1371" s="1120"/>
      <c r="AJ1371" s="1120"/>
    </row>
    <row r="1372" spans="2:36" ht="30" customHeight="1" x14ac:dyDescent="0.25">
      <c r="B1372" s="5"/>
      <c r="C1372" s="5"/>
      <c r="D1372" s="5"/>
      <c r="E1372" s="5"/>
      <c r="F1372" s="5"/>
      <c r="G1372" s="5"/>
      <c r="H1372" s="5"/>
      <c r="I1372" s="5"/>
      <c r="J1372" s="5"/>
      <c r="L1372" s="277"/>
      <c r="M1372" s="5"/>
      <c r="R1372" s="5"/>
      <c r="S1372" s="5"/>
      <c r="T1372" s="1120"/>
      <c r="U1372" s="5"/>
      <c r="V1372" s="5"/>
      <c r="W1372" s="5"/>
      <c r="X1372" s="1120"/>
      <c r="Y1372" s="1120"/>
      <c r="Z1372" s="5"/>
      <c r="AA1372" s="5"/>
      <c r="AB1372" s="1135"/>
      <c r="AC1372" s="5"/>
      <c r="AD1372" s="5"/>
      <c r="AE1372" s="5"/>
      <c r="AF1372" s="1120"/>
      <c r="AG1372" s="1148"/>
      <c r="AH1372" s="1120"/>
      <c r="AI1372" s="1120"/>
      <c r="AJ1372" s="1120"/>
    </row>
    <row r="1373" spans="2:36" ht="30" customHeight="1" x14ac:dyDescent="0.25">
      <c r="B1373" s="5"/>
      <c r="C1373" s="5"/>
      <c r="D1373" s="5"/>
      <c r="E1373" s="5"/>
      <c r="F1373" s="5"/>
      <c r="G1373" s="5"/>
      <c r="H1373" s="5"/>
      <c r="I1373" s="5"/>
      <c r="J1373" s="5"/>
      <c r="L1373" s="277"/>
      <c r="M1373" s="5"/>
      <c r="R1373" s="5"/>
      <c r="S1373" s="5"/>
      <c r="T1373" s="1120"/>
      <c r="U1373" s="5"/>
      <c r="V1373" s="5"/>
      <c r="W1373" s="5"/>
      <c r="X1373" s="1120"/>
      <c r="Y1373" s="1120"/>
      <c r="Z1373" s="5"/>
      <c r="AA1373" s="5"/>
      <c r="AB1373" s="1135"/>
      <c r="AC1373" s="5"/>
      <c r="AD1373" s="5"/>
      <c r="AE1373" s="5"/>
      <c r="AF1373" s="1120"/>
      <c r="AG1373" s="1148"/>
      <c r="AH1373" s="1120"/>
      <c r="AI1373" s="1120"/>
      <c r="AJ1373" s="1120"/>
    </row>
    <row r="1374" spans="2:36" ht="30" customHeight="1" x14ac:dyDescent="0.25">
      <c r="B1374" s="5"/>
      <c r="C1374" s="5"/>
      <c r="D1374" s="5"/>
      <c r="E1374" s="5"/>
      <c r="F1374" s="5"/>
      <c r="G1374" s="5"/>
      <c r="H1374" s="5"/>
      <c r="I1374" s="5"/>
      <c r="J1374" s="5"/>
      <c r="L1374" s="277"/>
      <c r="M1374" s="5"/>
      <c r="R1374" s="5"/>
      <c r="S1374" s="5"/>
      <c r="T1374" s="1120"/>
      <c r="U1374" s="5"/>
      <c r="V1374" s="5"/>
      <c r="W1374" s="5"/>
      <c r="X1374" s="1120"/>
      <c r="Y1374" s="1120"/>
      <c r="Z1374" s="5"/>
      <c r="AA1374" s="5"/>
      <c r="AB1374" s="1135"/>
      <c r="AC1374" s="5"/>
      <c r="AD1374" s="5"/>
      <c r="AE1374" s="5"/>
      <c r="AF1374" s="1120"/>
      <c r="AG1374" s="1148"/>
      <c r="AH1374" s="1120"/>
      <c r="AI1374" s="1120"/>
      <c r="AJ1374" s="1120"/>
    </row>
    <row r="1375" spans="2:36" ht="30" customHeight="1" x14ac:dyDescent="0.25">
      <c r="B1375" s="5"/>
      <c r="C1375" s="5"/>
      <c r="D1375" s="5"/>
      <c r="E1375" s="5"/>
      <c r="F1375" s="5"/>
      <c r="G1375" s="5"/>
      <c r="H1375" s="5"/>
      <c r="I1375" s="5"/>
      <c r="J1375" s="5"/>
      <c r="L1375" s="277"/>
      <c r="M1375" s="5"/>
      <c r="R1375" s="5"/>
      <c r="S1375" s="5"/>
      <c r="T1375" s="1120"/>
      <c r="U1375" s="5"/>
      <c r="V1375" s="5"/>
      <c r="W1375" s="5"/>
      <c r="X1375" s="1120"/>
      <c r="Y1375" s="1120"/>
      <c r="Z1375" s="5"/>
      <c r="AA1375" s="5"/>
      <c r="AB1375" s="1135"/>
      <c r="AC1375" s="5"/>
      <c r="AD1375" s="5"/>
      <c r="AE1375" s="5"/>
      <c r="AF1375" s="1120"/>
      <c r="AG1375" s="1148"/>
      <c r="AH1375" s="1120"/>
      <c r="AI1375" s="1120"/>
      <c r="AJ1375" s="1120"/>
    </row>
    <row r="1376" spans="2:36" ht="30" customHeight="1" x14ac:dyDescent="0.25">
      <c r="B1376" s="5"/>
      <c r="C1376" s="5"/>
      <c r="D1376" s="5"/>
      <c r="E1376" s="5"/>
      <c r="F1376" s="5"/>
      <c r="G1376" s="5"/>
      <c r="H1376" s="5"/>
      <c r="I1376" s="5"/>
      <c r="J1376" s="5"/>
      <c r="L1376" s="277"/>
      <c r="M1376" s="5"/>
      <c r="R1376" s="5"/>
      <c r="S1376" s="5"/>
      <c r="T1376" s="1120"/>
      <c r="U1376" s="5"/>
      <c r="V1376" s="5"/>
      <c r="W1376" s="5"/>
      <c r="X1376" s="1120"/>
      <c r="Y1376" s="1120"/>
      <c r="Z1376" s="5"/>
      <c r="AA1376" s="5"/>
      <c r="AB1376" s="1135"/>
      <c r="AC1376" s="5"/>
      <c r="AD1376" s="5"/>
      <c r="AE1376" s="5"/>
      <c r="AF1376" s="1120"/>
      <c r="AG1376" s="1148"/>
      <c r="AH1376" s="1120"/>
      <c r="AI1376" s="1120"/>
      <c r="AJ1376" s="1120"/>
    </row>
    <row r="1377" spans="2:36" ht="30" customHeight="1" x14ac:dyDescent="0.25">
      <c r="B1377" s="5"/>
      <c r="C1377" s="5"/>
      <c r="D1377" s="5"/>
      <c r="E1377" s="5"/>
      <c r="F1377" s="5"/>
      <c r="G1377" s="5"/>
      <c r="H1377" s="5"/>
      <c r="I1377" s="5"/>
      <c r="J1377" s="5"/>
      <c r="L1377" s="277"/>
      <c r="M1377" s="5"/>
      <c r="R1377" s="5"/>
      <c r="S1377" s="5"/>
      <c r="T1377" s="1120"/>
      <c r="U1377" s="5"/>
      <c r="V1377" s="5"/>
      <c r="W1377" s="5"/>
      <c r="X1377" s="1120"/>
      <c r="Y1377" s="1120"/>
      <c r="Z1377" s="5"/>
      <c r="AA1377" s="5"/>
      <c r="AB1377" s="1135"/>
      <c r="AC1377" s="5"/>
      <c r="AD1377" s="5"/>
      <c r="AE1377" s="5"/>
      <c r="AF1377" s="1120"/>
      <c r="AG1377" s="1148"/>
      <c r="AH1377" s="1120"/>
      <c r="AI1377" s="1120"/>
      <c r="AJ1377" s="1120"/>
    </row>
    <row r="1378" spans="2:36" ht="30" customHeight="1" x14ac:dyDescent="0.25">
      <c r="B1378" s="5"/>
      <c r="C1378" s="5"/>
      <c r="D1378" s="5"/>
      <c r="E1378" s="5"/>
      <c r="F1378" s="5"/>
      <c r="G1378" s="5"/>
      <c r="H1378" s="5"/>
      <c r="I1378" s="5"/>
      <c r="J1378" s="5"/>
      <c r="L1378" s="277"/>
      <c r="M1378" s="5"/>
      <c r="R1378" s="5"/>
      <c r="S1378" s="5"/>
      <c r="T1378" s="1120"/>
      <c r="U1378" s="5"/>
      <c r="V1378" s="5"/>
      <c r="W1378" s="5"/>
      <c r="X1378" s="1120"/>
      <c r="Y1378" s="1120"/>
      <c r="Z1378" s="5"/>
      <c r="AA1378" s="5"/>
      <c r="AB1378" s="1135"/>
      <c r="AC1378" s="5"/>
      <c r="AD1378" s="5"/>
      <c r="AE1378" s="5"/>
      <c r="AF1378" s="1120"/>
      <c r="AG1378" s="1148"/>
      <c r="AH1378" s="1120"/>
      <c r="AI1378" s="1120"/>
      <c r="AJ1378" s="1120"/>
    </row>
    <row r="1379" spans="2:36" ht="30" customHeight="1" x14ac:dyDescent="0.25">
      <c r="B1379" s="5"/>
      <c r="C1379" s="5"/>
      <c r="D1379" s="5"/>
      <c r="E1379" s="5"/>
      <c r="F1379" s="5"/>
      <c r="G1379" s="5"/>
      <c r="H1379" s="5"/>
      <c r="I1379" s="5"/>
      <c r="J1379" s="5"/>
      <c r="L1379" s="277"/>
      <c r="M1379" s="5"/>
      <c r="R1379" s="5"/>
      <c r="S1379" s="5"/>
      <c r="T1379" s="1120"/>
      <c r="U1379" s="5"/>
      <c r="V1379" s="5"/>
      <c r="W1379" s="5"/>
      <c r="X1379" s="1120"/>
      <c r="Y1379" s="1120"/>
      <c r="Z1379" s="5"/>
      <c r="AA1379" s="5"/>
      <c r="AB1379" s="1135"/>
      <c r="AC1379" s="5"/>
      <c r="AD1379" s="5"/>
      <c r="AE1379" s="5"/>
      <c r="AF1379" s="1120"/>
      <c r="AG1379" s="1148"/>
      <c r="AH1379" s="1120"/>
      <c r="AI1379" s="1120"/>
      <c r="AJ1379" s="1120"/>
    </row>
    <row r="1380" spans="2:36" ht="30" customHeight="1" x14ac:dyDescent="0.25">
      <c r="B1380" s="5"/>
      <c r="C1380" s="5"/>
      <c r="D1380" s="5"/>
      <c r="E1380" s="5"/>
      <c r="F1380" s="5"/>
      <c r="G1380" s="5"/>
      <c r="H1380" s="5"/>
      <c r="I1380" s="5"/>
      <c r="J1380" s="5"/>
      <c r="L1380" s="277"/>
      <c r="M1380" s="5"/>
      <c r="R1380" s="5"/>
      <c r="S1380" s="5"/>
      <c r="T1380" s="1120"/>
      <c r="U1380" s="5"/>
      <c r="V1380" s="5"/>
      <c r="W1380" s="5"/>
      <c r="X1380" s="1120"/>
      <c r="Y1380" s="1120"/>
      <c r="Z1380" s="5"/>
      <c r="AA1380" s="5"/>
      <c r="AB1380" s="1135"/>
      <c r="AC1380" s="5"/>
      <c r="AD1380" s="5"/>
      <c r="AE1380" s="5"/>
      <c r="AF1380" s="1120"/>
      <c r="AG1380" s="1148"/>
      <c r="AH1380" s="1120"/>
      <c r="AI1380" s="1120"/>
      <c r="AJ1380" s="1120"/>
    </row>
    <row r="1381" spans="2:36" ht="30" customHeight="1" x14ac:dyDescent="0.25">
      <c r="B1381" s="5"/>
      <c r="C1381" s="5"/>
      <c r="D1381" s="5"/>
      <c r="E1381" s="5"/>
      <c r="F1381" s="5"/>
      <c r="G1381" s="5"/>
      <c r="H1381" s="5"/>
      <c r="I1381" s="5"/>
      <c r="J1381" s="5"/>
      <c r="L1381" s="277"/>
      <c r="M1381" s="5"/>
      <c r="R1381" s="5"/>
      <c r="S1381" s="5"/>
      <c r="T1381" s="1120"/>
      <c r="U1381" s="5"/>
      <c r="V1381" s="5"/>
      <c r="W1381" s="5"/>
      <c r="X1381" s="1120"/>
      <c r="Y1381" s="1120"/>
      <c r="Z1381" s="5"/>
      <c r="AA1381" s="5"/>
      <c r="AB1381" s="1135"/>
      <c r="AC1381" s="5"/>
      <c r="AD1381" s="5"/>
      <c r="AE1381" s="5"/>
      <c r="AF1381" s="1120"/>
      <c r="AG1381" s="1148"/>
      <c r="AH1381" s="1120"/>
      <c r="AI1381" s="1120"/>
      <c r="AJ1381" s="1120"/>
    </row>
    <row r="1382" spans="2:36" ht="30" customHeight="1" x14ac:dyDescent="0.25">
      <c r="B1382" s="5"/>
      <c r="C1382" s="5"/>
      <c r="D1382" s="5"/>
      <c r="E1382" s="5"/>
      <c r="F1382" s="5"/>
      <c r="G1382" s="5"/>
      <c r="H1382" s="5"/>
      <c r="I1382" s="5"/>
      <c r="J1382" s="5"/>
      <c r="L1382" s="277"/>
      <c r="M1382" s="5"/>
      <c r="R1382" s="5"/>
      <c r="S1382" s="5"/>
      <c r="T1382" s="1120"/>
      <c r="U1382" s="5"/>
      <c r="V1382" s="5"/>
      <c r="W1382" s="5"/>
      <c r="X1382" s="1120"/>
      <c r="Y1382" s="1120"/>
      <c r="Z1382" s="5"/>
      <c r="AA1382" s="5"/>
      <c r="AB1382" s="1135"/>
      <c r="AC1382" s="5"/>
      <c r="AD1382" s="5"/>
      <c r="AE1382" s="5"/>
      <c r="AF1382" s="1120"/>
      <c r="AG1382" s="1148"/>
      <c r="AH1382" s="1120"/>
      <c r="AI1382" s="1120"/>
      <c r="AJ1382" s="1120"/>
    </row>
    <row r="1383" spans="2:36" ht="30" customHeight="1" x14ac:dyDescent="0.25">
      <c r="B1383" s="5"/>
      <c r="C1383" s="5"/>
      <c r="D1383" s="5"/>
      <c r="E1383" s="5"/>
      <c r="F1383" s="5"/>
      <c r="G1383" s="5"/>
      <c r="H1383" s="5"/>
      <c r="I1383" s="5"/>
      <c r="J1383" s="5"/>
      <c r="L1383" s="277"/>
      <c r="M1383" s="5"/>
      <c r="R1383" s="5"/>
      <c r="S1383" s="5"/>
      <c r="T1383" s="1120"/>
      <c r="U1383" s="5"/>
      <c r="V1383" s="5"/>
      <c r="W1383" s="5"/>
      <c r="X1383" s="1120"/>
      <c r="Y1383" s="1120"/>
      <c r="Z1383" s="5"/>
      <c r="AA1383" s="5"/>
      <c r="AB1383" s="1135"/>
      <c r="AC1383" s="5"/>
      <c r="AD1383" s="5"/>
      <c r="AE1383" s="5"/>
      <c r="AF1383" s="1120"/>
      <c r="AG1383" s="1148"/>
      <c r="AH1383" s="1120"/>
      <c r="AI1383" s="1120"/>
      <c r="AJ1383" s="1120"/>
    </row>
    <row r="1384" spans="2:36" ht="30" customHeight="1" x14ac:dyDescent="0.25">
      <c r="B1384" s="5"/>
      <c r="C1384" s="5"/>
      <c r="D1384" s="5"/>
      <c r="E1384" s="5"/>
      <c r="F1384" s="5"/>
      <c r="G1384" s="5"/>
      <c r="H1384" s="5"/>
      <c r="I1384" s="5"/>
      <c r="J1384" s="5"/>
      <c r="L1384" s="277"/>
      <c r="M1384" s="5"/>
      <c r="R1384" s="5"/>
      <c r="S1384" s="5"/>
      <c r="T1384" s="1120"/>
      <c r="U1384" s="5"/>
      <c r="V1384" s="5"/>
      <c r="W1384" s="5"/>
      <c r="X1384" s="1120"/>
      <c r="Y1384" s="1120"/>
      <c r="Z1384" s="5"/>
      <c r="AA1384" s="5"/>
      <c r="AB1384" s="1135"/>
      <c r="AC1384" s="5"/>
      <c r="AD1384" s="5"/>
      <c r="AE1384" s="5"/>
      <c r="AF1384" s="1120"/>
      <c r="AG1384" s="1148"/>
      <c r="AH1384" s="1120"/>
      <c r="AI1384" s="1120"/>
      <c r="AJ1384" s="1120"/>
    </row>
    <row r="1385" spans="2:36" ht="30" customHeight="1" x14ac:dyDescent="0.25">
      <c r="B1385" s="5"/>
      <c r="C1385" s="5"/>
      <c r="D1385" s="5"/>
      <c r="E1385" s="5"/>
      <c r="F1385" s="5"/>
      <c r="G1385" s="5"/>
      <c r="H1385" s="5"/>
      <c r="I1385" s="5"/>
      <c r="J1385" s="5"/>
      <c r="L1385" s="277"/>
      <c r="M1385" s="5"/>
      <c r="R1385" s="5"/>
      <c r="S1385" s="5"/>
      <c r="T1385" s="1120"/>
      <c r="U1385" s="5"/>
      <c r="V1385" s="5"/>
      <c r="W1385" s="5"/>
      <c r="X1385" s="1120"/>
      <c r="Y1385" s="1120"/>
      <c r="Z1385" s="5"/>
      <c r="AA1385" s="5"/>
      <c r="AB1385" s="1135"/>
      <c r="AC1385" s="5"/>
      <c r="AD1385" s="5"/>
      <c r="AE1385" s="5"/>
      <c r="AF1385" s="1120"/>
      <c r="AG1385" s="1148"/>
      <c r="AH1385" s="1120"/>
      <c r="AI1385" s="1120"/>
      <c r="AJ1385" s="1120"/>
    </row>
    <row r="1386" spans="2:36" ht="30" customHeight="1" x14ac:dyDescent="0.25">
      <c r="B1386" s="5"/>
      <c r="C1386" s="5"/>
      <c r="D1386" s="5"/>
      <c r="E1386" s="5"/>
      <c r="F1386" s="5"/>
      <c r="G1386" s="5"/>
      <c r="H1386" s="5"/>
      <c r="I1386" s="5"/>
      <c r="J1386" s="5"/>
      <c r="L1386" s="277"/>
      <c r="M1386" s="5"/>
      <c r="R1386" s="5"/>
      <c r="S1386" s="5"/>
      <c r="T1386" s="1120"/>
      <c r="U1386" s="5"/>
      <c r="V1386" s="5"/>
      <c r="W1386" s="5"/>
      <c r="X1386" s="1120"/>
      <c r="Y1386" s="1120"/>
      <c r="Z1386" s="5"/>
      <c r="AA1386" s="5"/>
      <c r="AB1386" s="1135"/>
      <c r="AC1386" s="5"/>
      <c r="AD1386" s="5"/>
      <c r="AE1386" s="5"/>
      <c r="AF1386" s="1120"/>
      <c r="AG1386" s="1148"/>
      <c r="AH1386" s="1120"/>
      <c r="AI1386" s="1120"/>
      <c r="AJ1386" s="1120"/>
    </row>
    <row r="1387" spans="2:36" ht="30" customHeight="1" x14ac:dyDescent="0.25">
      <c r="B1387" s="5"/>
      <c r="C1387" s="5"/>
      <c r="D1387" s="5"/>
      <c r="E1387" s="5"/>
      <c r="F1387" s="5"/>
      <c r="G1387" s="5"/>
      <c r="H1387" s="5"/>
      <c r="I1387" s="5"/>
      <c r="J1387" s="5"/>
      <c r="L1387" s="277"/>
      <c r="M1387" s="5"/>
      <c r="R1387" s="5"/>
      <c r="S1387" s="5"/>
      <c r="T1387" s="1120"/>
      <c r="U1387" s="5"/>
      <c r="V1387" s="5"/>
      <c r="W1387" s="5"/>
      <c r="X1387" s="1120"/>
      <c r="Y1387" s="1120"/>
      <c r="Z1387" s="5"/>
      <c r="AA1387" s="5"/>
      <c r="AB1387" s="1135"/>
      <c r="AC1387" s="5"/>
      <c r="AD1387" s="5"/>
      <c r="AE1387" s="5"/>
      <c r="AF1387" s="1120"/>
      <c r="AG1387" s="1148"/>
      <c r="AH1387" s="1120"/>
      <c r="AI1387" s="1120"/>
      <c r="AJ1387" s="1120"/>
    </row>
    <row r="1388" spans="2:36" ht="30" customHeight="1" x14ac:dyDescent="0.25">
      <c r="B1388" s="5"/>
      <c r="C1388" s="5"/>
      <c r="D1388" s="5"/>
      <c r="E1388" s="5"/>
      <c r="F1388" s="5"/>
      <c r="G1388" s="5"/>
      <c r="H1388" s="5"/>
      <c r="I1388" s="5"/>
      <c r="J1388" s="5"/>
      <c r="L1388" s="277"/>
      <c r="M1388" s="5"/>
      <c r="R1388" s="5"/>
      <c r="S1388" s="5"/>
      <c r="T1388" s="1120"/>
      <c r="U1388" s="5"/>
      <c r="V1388" s="5"/>
      <c r="W1388" s="5"/>
      <c r="X1388" s="1120"/>
      <c r="Y1388" s="1120"/>
      <c r="Z1388" s="5"/>
      <c r="AA1388" s="5"/>
      <c r="AB1388" s="1135"/>
      <c r="AC1388" s="5"/>
      <c r="AD1388" s="5"/>
      <c r="AE1388" s="5"/>
      <c r="AF1388" s="1120"/>
      <c r="AG1388" s="1148"/>
      <c r="AH1388" s="1120"/>
      <c r="AI1388" s="1120"/>
      <c r="AJ1388" s="1120"/>
    </row>
    <row r="1389" spans="2:36" ht="30" customHeight="1" x14ac:dyDescent="0.25">
      <c r="B1389" s="5"/>
      <c r="C1389" s="5"/>
      <c r="D1389" s="5"/>
      <c r="E1389" s="5"/>
      <c r="F1389" s="5"/>
      <c r="G1389" s="5"/>
      <c r="H1389" s="5"/>
      <c r="I1389" s="5"/>
      <c r="J1389" s="5"/>
      <c r="L1389" s="277"/>
      <c r="M1389" s="5"/>
      <c r="R1389" s="5"/>
      <c r="S1389" s="5"/>
      <c r="T1389" s="1120"/>
      <c r="U1389" s="5"/>
      <c r="V1389" s="5"/>
      <c r="W1389" s="5"/>
      <c r="X1389" s="1120"/>
      <c r="Y1389" s="1120"/>
      <c r="Z1389" s="5"/>
      <c r="AA1389" s="5"/>
      <c r="AB1389" s="1135"/>
      <c r="AC1389" s="5"/>
      <c r="AD1389" s="5"/>
      <c r="AE1389" s="5"/>
      <c r="AF1389" s="1120"/>
      <c r="AG1389" s="1148"/>
      <c r="AH1389" s="1120"/>
      <c r="AI1389" s="1120"/>
      <c r="AJ1389" s="1120"/>
    </row>
    <row r="1390" spans="2:36" ht="30" customHeight="1" x14ac:dyDescent="0.25">
      <c r="B1390" s="5"/>
      <c r="C1390" s="5"/>
      <c r="D1390" s="5"/>
      <c r="E1390" s="5"/>
      <c r="F1390" s="5"/>
      <c r="G1390" s="5"/>
      <c r="H1390" s="5"/>
      <c r="I1390" s="5"/>
      <c r="J1390" s="5"/>
      <c r="L1390" s="277"/>
      <c r="M1390" s="5"/>
      <c r="R1390" s="5"/>
      <c r="S1390" s="5"/>
      <c r="T1390" s="1120"/>
      <c r="U1390" s="5"/>
      <c r="V1390" s="5"/>
      <c r="W1390" s="5"/>
      <c r="X1390" s="1120"/>
      <c r="Y1390" s="1120"/>
      <c r="Z1390" s="5"/>
      <c r="AA1390" s="5"/>
      <c r="AB1390" s="1135"/>
      <c r="AC1390" s="5"/>
      <c r="AD1390" s="5"/>
      <c r="AE1390" s="5"/>
      <c r="AF1390" s="1120"/>
      <c r="AG1390" s="1148"/>
      <c r="AH1390" s="1120"/>
      <c r="AI1390" s="1120"/>
      <c r="AJ1390" s="1120"/>
    </row>
    <row r="1391" spans="2:36" ht="30" customHeight="1" x14ac:dyDescent="0.25">
      <c r="B1391" s="5"/>
      <c r="C1391" s="5"/>
      <c r="D1391" s="5"/>
      <c r="E1391" s="5"/>
      <c r="F1391" s="5"/>
      <c r="G1391" s="5"/>
      <c r="H1391" s="5"/>
      <c r="I1391" s="5"/>
      <c r="J1391" s="5"/>
      <c r="L1391" s="277"/>
      <c r="M1391" s="5"/>
      <c r="R1391" s="5"/>
      <c r="S1391" s="5"/>
      <c r="T1391" s="1120"/>
      <c r="U1391" s="5"/>
      <c r="V1391" s="5"/>
      <c r="W1391" s="5"/>
      <c r="X1391" s="1120"/>
      <c r="Y1391" s="1120"/>
      <c r="Z1391" s="5"/>
      <c r="AA1391" s="5"/>
      <c r="AB1391" s="1135"/>
      <c r="AC1391" s="5"/>
      <c r="AD1391" s="5"/>
      <c r="AE1391" s="5"/>
      <c r="AF1391" s="1120"/>
      <c r="AG1391" s="1148"/>
      <c r="AH1391" s="1120"/>
      <c r="AI1391" s="1120"/>
      <c r="AJ1391" s="1120"/>
    </row>
    <row r="1392" spans="2:36" ht="30" customHeight="1" x14ac:dyDescent="0.25">
      <c r="B1392" s="5"/>
      <c r="C1392" s="5"/>
      <c r="D1392" s="5"/>
      <c r="E1392" s="5"/>
      <c r="F1392" s="5"/>
      <c r="G1392" s="5"/>
      <c r="H1392" s="5"/>
      <c r="I1392" s="5"/>
      <c r="J1392" s="5"/>
      <c r="L1392" s="277"/>
      <c r="M1392" s="5"/>
      <c r="R1392" s="5"/>
      <c r="S1392" s="5"/>
      <c r="T1392" s="1120"/>
      <c r="U1392" s="5"/>
      <c r="V1392" s="5"/>
      <c r="W1392" s="5"/>
      <c r="X1392" s="1120"/>
      <c r="Y1392" s="1120"/>
      <c r="Z1392" s="5"/>
      <c r="AA1392" s="5"/>
      <c r="AB1392" s="1135"/>
      <c r="AC1392" s="5"/>
      <c r="AD1392" s="5"/>
      <c r="AE1392" s="5"/>
      <c r="AF1392" s="1120"/>
      <c r="AG1392" s="1148"/>
      <c r="AH1392" s="1120"/>
      <c r="AI1392" s="1120"/>
      <c r="AJ1392" s="1120"/>
    </row>
    <row r="1393" spans="2:36" ht="30" customHeight="1" x14ac:dyDescent="0.25">
      <c r="B1393" s="5"/>
      <c r="C1393" s="5"/>
      <c r="D1393" s="5"/>
      <c r="E1393" s="5"/>
      <c r="F1393" s="5"/>
      <c r="G1393" s="5"/>
      <c r="H1393" s="5"/>
      <c r="I1393" s="5"/>
      <c r="J1393" s="5"/>
      <c r="L1393" s="277"/>
      <c r="M1393" s="5"/>
      <c r="R1393" s="5"/>
      <c r="S1393" s="5"/>
      <c r="T1393" s="1120"/>
      <c r="U1393" s="5"/>
      <c r="V1393" s="5"/>
      <c r="W1393" s="5"/>
      <c r="X1393" s="1120"/>
      <c r="Y1393" s="1120"/>
      <c r="Z1393" s="5"/>
      <c r="AA1393" s="5"/>
      <c r="AB1393" s="1135"/>
      <c r="AC1393" s="5"/>
      <c r="AD1393" s="5"/>
      <c r="AE1393" s="5"/>
      <c r="AF1393" s="1120"/>
      <c r="AG1393" s="1148"/>
      <c r="AH1393" s="1120"/>
      <c r="AI1393" s="1120"/>
      <c r="AJ1393" s="1120"/>
    </row>
    <row r="1394" spans="2:36" ht="30" customHeight="1" x14ac:dyDescent="0.25">
      <c r="B1394" s="5"/>
      <c r="C1394" s="5"/>
      <c r="D1394" s="5"/>
      <c r="E1394" s="5"/>
      <c r="F1394" s="5"/>
      <c r="G1394" s="5"/>
      <c r="H1394" s="5"/>
      <c r="I1394" s="5"/>
      <c r="J1394" s="5"/>
      <c r="L1394" s="277"/>
      <c r="M1394" s="5"/>
      <c r="R1394" s="5"/>
      <c r="S1394" s="5"/>
      <c r="T1394" s="1120"/>
      <c r="U1394" s="5"/>
      <c r="V1394" s="5"/>
      <c r="W1394" s="5"/>
      <c r="X1394" s="1120"/>
      <c r="Y1394" s="1120"/>
      <c r="Z1394" s="5"/>
      <c r="AA1394" s="5"/>
      <c r="AB1394" s="1135"/>
      <c r="AC1394" s="5"/>
      <c r="AD1394" s="5"/>
      <c r="AE1394" s="5"/>
      <c r="AF1394" s="1120"/>
      <c r="AG1394" s="1148"/>
      <c r="AH1394" s="1120"/>
      <c r="AI1394" s="1120"/>
      <c r="AJ1394" s="1120"/>
    </row>
    <row r="1395" spans="2:36" ht="30" customHeight="1" x14ac:dyDescent="0.25">
      <c r="B1395" s="5"/>
      <c r="C1395" s="5"/>
      <c r="D1395" s="5"/>
      <c r="E1395" s="5"/>
      <c r="F1395" s="5"/>
      <c r="G1395" s="5"/>
      <c r="H1395" s="5"/>
      <c r="I1395" s="5"/>
      <c r="J1395" s="5"/>
      <c r="L1395" s="277"/>
      <c r="M1395" s="5"/>
      <c r="R1395" s="5"/>
      <c r="S1395" s="5"/>
      <c r="T1395" s="1120"/>
      <c r="U1395" s="5"/>
      <c r="V1395" s="5"/>
      <c r="W1395" s="5"/>
      <c r="X1395" s="1120"/>
      <c r="Y1395" s="1120"/>
      <c r="Z1395" s="5"/>
      <c r="AA1395" s="5"/>
      <c r="AB1395" s="1135"/>
      <c r="AC1395" s="5"/>
      <c r="AD1395" s="5"/>
      <c r="AE1395" s="5"/>
      <c r="AF1395" s="1120"/>
      <c r="AG1395" s="1148"/>
      <c r="AH1395" s="1120"/>
      <c r="AI1395" s="1120"/>
      <c r="AJ1395" s="1120"/>
    </row>
    <row r="1396" spans="2:36" ht="30" customHeight="1" x14ac:dyDescent="0.25">
      <c r="B1396" s="5"/>
      <c r="C1396" s="5"/>
      <c r="D1396" s="5"/>
      <c r="E1396" s="5"/>
      <c r="F1396" s="5"/>
      <c r="G1396" s="5"/>
      <c r="H1396" s="5"/>
      <c r="I1396" s="5"/>
      <c r="J1396" s="5"/>
      <c r="L1396" s="277"/>
      <c r="M1396" s="5"/>
      <c r="R1396" s="5"/>
      <c r="S1396" s="5"/>
      <c r="T1396" s="1120"/>
      <c r="U1396" s="5"/>
      <c r="V1396" s="5"/>
      <c r="W1396" s="5"/>
      <c r="X1396" s="1120"/>
      <c r="Y1396" s="1120"/>
      <c r="Z1396" s="5"/>
      <c r="AA1396" s="5"/>
      <c r="AB1396" s="1135"/>
      <c r="AC1396" s="5"/>
      <c r="AD1396" s="5"/>
      <c r="AE1396" s="5"/>
      <c r="AF1396" s="1120"/>
      <c r="AG1396" s="1148"/>
      <c r="AH1396" s="1120"/>
      <c r="AI1396" s="1120"/>
      <c r="AJ1396" s="1120"/>
    </row>
    <row r="1397" spans="2:36" ht="30" customHeight="1" x14ac:dyDescent="0.25">
      <c r="B1397" s="5"/>
      <c r="C1397" s="5"/>
      <c r="D1397" s="5"/>
      <c r="E1397" s="5"/>
      <c r="F1397" s="5"/>
      <c r="G1397" s="5"/>
      <c r="H1397" s="5"/>
      <c r="I1397" s="5"/>
      <c r="J1397" s="5"/>
      <c r="L1397" s="277"/>
      <c r="M1397" s="5"/>
      <c r="R1397" s="5"/>
      <c r="S1397" s="5"/>
      <c r="T1397" s="1120"/>
      <c r="U1397" s="5"/>
      <c r="V1397" s="5"/>
      <c r="W1397" s="5"/>
      <c r="X1397" s="1120"/>
      <c r="Y1397" s="1120"/>
      <c r="Z1397" s="5"/>
      <c r="AA1397" s="5"/>
      <c r="AB1397" s="1135"/>
      <c r="AC1397" s="5"/>
      <c r="AD1397" s="5"/>
      <c r="AE1397" s="5"/>
      <c r="AF1397" s="1120"/>
      <c r="AG1397" s="1148"/>
      <c r="AH1397" s="1120"/>
      <c r="AI1397" s="1120"/>
      <c r="AJ1397" s="1120"/>
    </row>
    <row r="1398" spans="2:36" ht="30" customHeight="1" x14ac:dyDescent="0.25">
      <c r="B1398" s="5"/>
      <c r="C1398" s="5"/>
      <c r="D1398" s="5"/>
      <c r="E1398" s="5"/>
      <c r="F1398" s="5"/>
      <c r="G1398" s="5"/>
      <c r="H1398" s="5"/>
      <c r="I1398" s="5"/>
      <c r="J1398" s="5"/>
      <c r="L1398" s="277"/>
      <c r="M1398" s="5"/>
      <c r="R1398" s="5"/>
      <c r="S1398" s="5"/>
      <c r="T1398" s="1120"/>
      <c r="U1398" s="5"/>
      <c r="V1398" s="5"/>
      <c r="W1398" s="5"/>
      <c r="X1398" s="1120"/>
      <c r="Y1398" s="1120"/>
      <c r="Z1398" s="5"/>
      <c r="AA1398" s="5"/>
      <c r="AB1398" s="1135"/>
      <c r="AC1398" s="5"/>
      <c r="AD1398" s="5"/>
      <c r="AE1398" s="5"/>
      <c r="AF1398" s="1120"/>
      <c r="AG1398" s="1148"/>
      <c r="AH1398" s="1120"/>
      <c r="AI1398" s="1120"/>
      <c r="AJ1398" s="1120"/>
    </row>
    <row r="1399" spans="2:36" ht="30" customHeight="1" x14ac:dyDescent="0.25">
      <c r="B1399" s="5"/>
      <c r="C1399" s="5"/>
      <c r="D1399" s="5"/>
      <c r="E1399" s="5"/>
      <c r="F1399" s="5"/>
      <c r="G1399" s="5"/>
      <c r="H1399" s="5"/>
      <c r="I1399" s="5"/>
      <c r="J1399" s="5"/>
      <c r="L1399" s="277"/>
      <c r="M1399" s="5"/>
      <c r="R1399" s="5"/>
      <c r="S1399" s="5"/>
      <c r="T1399" s="1120"/>
      <c r="U1399" s="5"/>
      <c r="V1399" s="5"/>
      <c r="W1399" s="5"/>
      <c r="X1399" s="1120"/>
      <c r="Y1399" s="1120"/>
      <c r="Z1399" s="5"/>
      <c r="AA1399" s="5"/>
      <c r="AB1399" s="1135"/>
      <c r="AC1399" s="5"/>
      <c r="AD1399" s="5"/>
      <c r="AE1399" s="5"/>
      <c r="AF1399" s="1120"/>
      <c r="AG1399" s="1148"/>
      <c r="AH1399" s="1120"/>
      <c r="AI1399" s="1120"/>
      <c r="AJ1399" s="1120"/>
    </row>
    <row r="1400" spans="2:36" ht="30" customHeight="1" x14ac:dyDescent="0.25">
      <c r="B1400" s="5"/>
      <c r="C1400" s="5"/>
      <c r="D1400" s="5"/>
      <c r="E1400" s="5"/>
      <c r="F1400" s="5"/>
      <c r="G1400" s="5"/>
      <c r="H1400" s="5"/>
      <c r="I1400" s="5"/>
      <c r="J1400" s="5"/>
      <c r="L1400" s="277"/>
      <c r="M1400" s="5"/>
      <c r="R1400" s="5"/>
      <c r="S1400" s="5"/>
      <c r="T1400" s="1120"/>
      <c r="U1400" s="5"/>
      <c r="V1400" s="5"/>
      <c r="W1400" s="5"/>
      <c r="X1400" s="1120"/>
      <c r="Y1400" s="1120"/>
      <c r="Z1400" s="5"/>
      <c r="AA1400" s="5"/>
      <c r="AB1400" s="1135"/>
      <c r="AC1400" s="5"/>
      <c r="AD1400" s="5"/>
      <c r="AE1400" s="5"/>
      <c r="AF1400" s="1120"/>
      <c r="AG1400" s="1148"/>
      <c r="AH1400" s="1120"/>
      <c r="AI1400" s="1120"/>
      <c r="AJ1400" s="1120"/>
    </row>
    <row r="1401" spans="2:36" ht="30" customHeight="1" x14ac:dyDescent="0.25">
      <c r="B1401" s="5"/>
      <c r="C1401" s="5"/>
      <c r="D1401" s="5"/>
      <c r="E1401" s="5"/>
      <c r="F1401" s="5"/>
      <c r="G1401" s="5"/>
      <c r="H1401" s="5"/>
      <c r="I1401" s="5"/>
      <c r="J1401" s="5"/>
      <c r="L1401" s="277"/>
      <c r="M1401" s="5"/>
      <c r="R1401" s="5"/>
      <c r="S1401" s="5"/>
      <c r="T1401" s="1120"/>
      <c r="U1401" s="5"/>
      <c r="V1401" s="5"/>
      <c r="W1401" s="5"/>
      <c r="X1401" s="1120"/>
      <c r="Y1401" s="1120"/>
      <c r="Z1401" s="5"/>
      <c r="AA1401" s="5"/>
      <c r="AB1401" s="1135"/>
      <c r="AC1401" s="5"/>
      <c r="AD1401" s="5"/>
      <c r="AE1401" s="5"/>
      <c r="AF1401" s="1120"/>
      <c r="AG1401" s="1148"/>
      <c r="AH1401" s="1120"/>
      <c r="AI1401" s="1120"/>
      <c r="AJ1401" s="1120"/>
    </row>
    <row r="1402" spans="2:36" ht="30" customHeight="1" x14ac:dyDescent="0.25">
      <c r="B1402" s="5"/>
      <c r="C1402" s="5"/>
      <c r="D1402" s="5"/>
      <c r="E1402" s="5"/>
      <c r="F1402" s="5"/>
      <c r="G1402" s="5"/>
      <c r="H1402" s="5"/>
      <c r="I1402" s="5"/>
      <c r="J1402" s="5"/>
      <c r="L1402" s="277"/>
      <c r="M1402" s="5"/>
      <c r="R1402" s="5"/>
      <c r="S1402" s="5"/>
      <c r="T1402" s="1120"/>
      <c r="U1402" s="5"/>
      <c r="V1402" s="5"/>
      <c r="W1402" s="5"/>
      <c r="X1402" s="1120"/>
      <c r="Y1402" s="1120"/>
      <c r="Z1402" s="5"/>
      <c r="AA1402" s="5"/>
      <c r="AB1402" s="1135"/>
      <c r="AC1402" s="5"/>
      <c r="AD1402" s="5"/>
      <c r="AE1402" s="5"/>
      <c r="AF1402" s="1120"/>
      <c r="AG1402" s="1148"/>
      <c r="AH1402" s="1120"/>
      <c r="AI1402" s="1120"/>
      <c r="AJ1402" s="1120"/>
    </row>
    <row r="1403" spans="2:36" ht="30" customHeight="1" x14ac:dyDescent="0.25">
      <c r="B1403" s="5"/>
      <c r="C1403" s="5"/>
      <c r="D1403" s="5"/>
      <c r="E1403" s="5"/>
      <c r="F1403" s="5"/>
      <c r="G1403" s="5"/>
      <c r="H1403" s="5"/>
      <c r="I1403" s="5"/>
      <c r="J1403" s="5"/>
      <c r="L1403" s="277"/>
      <c r="M1403" s="5"/>
      <c r="R1403" s="5"/>
      <c r="S1403" s="5"/>
      <c r="T1403" s="1120"/>
      <c r="U1403" s="5"/>
      <c r="V1403" s="5"/>
      <c r="W1403" s="5"/>
      <c r="X1403" s="1120"/>
      <c r="Y1403" s="1120"/>
      <c r="Z1403" s="5"/>
      <c r="AA1403" s="5"/>
      <c r="AB1403" s="1135"/>
      <c r="AC1403" s="5"/>
      <c r="AD1403" s="5"/>
      <c r="AE1403" s="5"/>
      <c r="AF1403" s="1120"/>
      <c r="AG1403" s="1148"/>
      <c r="AH1403" s="1120"/>
      <c r="AI1403" s="1120"/>
      <c r="AJ1403" s="1120"/>
    </row>
    <row r="1404" spans="2:36" ht="30" customHeight="1" x14ac:dyDescent="0.25">
      <c r="B1404" s="5"/>
      <c r="C1404" s="5"/>
      <c r="D1404" s="5"/>
      <c r="E1404" s="5"/>
      <c r="F1404" s="5"/>
      <c r="G1404" s="5"/>
      <c r="H1404" s="5"/>
      <c r="I1404" s="5"/>
      <c r="J1404" s="5"/>
      <c r="L1404" s="277"/>
      <c r="M1404" s="5"/>
      <c r="R1404" s="5"/>
      <c r="S1404" s="5"/>
      <c r="T1404" s="1120"/>
      <c r="U1404" s="5"/>
      <c r="V1404" s="5"/>
      <c r="W1404" s="5"/>
      <c r="X1404" s="1120"/>
      <c r="Y1404" s="1120"/>
      <c r="Z1404" s="5"/>
      <c r="AA1404" s="5"/>
      <c r="AB1404" s="1135"/>
      <c r="AC1404" s="5"/>
      <c r="AD1404" s="5"/>
      <c r="AE1404" s="5"/>
      <c r="AF1404" s="1120"/>
      <c r="AG1404" s="1148"/>
      <c r="AH1404" s="1120"/>
      <c r="AI1404" s="1120"/>
      <c r="AJ1404" s="1120"/>
    </row>
    <row r="1405" spans="2:36" ht="30" customHeight="1" x14ac:dyDescent="0.25">
      <c r="B1405" s="5"/>
      <c r="C1405" s="5"/>
      <c r="D1405" s="5"/>
      <c r="E1405" s="5"/>
      <c r="F1405" s="5"/>
      <c r="G1405" s="5"/>
      <c r="H1405" s="5"/>
      <c r="I1405" s="5"/>
      <c r="J1405" s="5"/>
      <c r="L1405" s="277"/>
      <c r="M1405" s="5"/>
      <c r="R1405" s="5"/>
      <c r="S1405" s="5"/>
      <c r="T1405" s="1120"/>
      <c r="U1405" s="5"/>
      <c r="V1405" s="5"/>
      <c r="W1405" s="5"/>
      <c r="X1405" s="1120"/>
      <c r="Y1405" s="1120"/>
      <c r="Z1405" s="5"/>
      <c r="AA1405" s="5"/>
      <c r="AB1405" s="1135"/>
      <c r="AC1405" s="5"/>
      <c r="AD1405" s="5"/>
      <c r="AE1405" s="5"/>
      <c r="AF1405" s="1120"/>
      <c r="AG1405" s="1148"/>
      <c r="AH1405" s="1120"/>
      <c r="AI1405" s="1120"/>
      <c r="AJ1405" s="1120"/>
    </row>
    <row r="1406" spans="2:36" ht="30" customHeight="1" x14ac:dyDescent="0.25">
      <c r="B1406" s="5"/>
      <c r="C1406" s="5"/>
      <c r="D1406" s="5"/>
      <c r="E1406" s="5"/>
      <c r="F1406" s="5"/>
      <c r="G1406" s="5"/>
      <c r="H1406" s="5"/>
      <c r="I1406" s="5"/>
      <c r="J1406" s="5"/>
      <c r="L1406" s="277"/>
      <c r="M1406" s="5"/>
      <c r="R1406" s="5"/>
      <c r="S1406" s="5"/>
      <c r="T1406" s="1120"/>
      <c r="U1406" s="5"/>
      <c r="V1406" s="5"/>
      <c r="W1406" s="5"/>
      <c r="X1406" s="1120"/>
      <c r="Y1406" s="1120"/>
      <c r="Z1406" s="5"/>
      <c r="AA1406" s="5"/>
      <c r="AB1406" s="1135"/>
      <c r="AC1406" s="5"/>
      <c r="AD1406" s="5"/>
      <c r="AE1406" s="5"/>
      <c r="AF1406" s="1120"/>
      <c r="AG1406" s="1148"/>
      <c r="AH1406" s="1120"/>
      <c r="AI1406" s="1120"/>
      <c r="AJ1406" s="1120"/>
    </row>
    <row r="1407" spans="2:36" ht="30" customHeight="1" x14ac:dyDescent="0.25">
      <c r="B1407" s="5"/>
      <c r="C1407" s="5"/>
      <c r="D1407" s="5"/>
      <c r="E1407" s="5"/>
      <c r="F1407" s="5"/>
      <c r="G1407" s="5"/>
      <c r="H1407" s="5"/>
      <c r="I1407" s="5"/>
      <c r="J1407" s="5"/>
      <c r="L1407" s="277"/>
      <c r="M1407" s="5"/>
      <c r="R1407" s="5"/>
      <c r="S1407" s="5"/>
      <c r="T1407" s="1120"/>
      <c r="U1407" s="5"/>
      <c r="V1407" s="5"/>
      <c r="W1407" s="5"/>
      <c r="X1407" s="1120"/>
      <c r="Y1407" s="1120"/>
      <c r="Z1407" s="5"/>
      <c r="AA1407" s="5"/>
      <c r="AB1407" s="1135"/>
      <c r="AC1407" s="5"/>
      <c r="AD1407" s="5"/>
      <c r="AE1407" s="5"/>
      <c r="AF1407" s="1120"/>
      <c r="AG1407" s="1148"/>
      <c r="AH1407" s="1120"/>
      <c r="AI1407" s="1120"/>
      <c r="AJ1407" s="1120"/>
    </row>
    <row r="1408" spans="2:36" ht="30" customHeight="1" x14ac:dyDescent="0.25">
      <c r="B1408" s="5"/>
      <c r="C1408" s="5"/>
      <c r="D1408" s="5"/>
      <c r="E1408" s="5"/>
      <c r="F1408" s="5"/>
      <c r="G1408" s="5"/>
      <c r="H1408" s="5"/>
      <c r="I1408" s="5"/>
      <c r="J1408" s="5"/>
      <c r="L1408" s="277"/>
      <c r="M1408" s="5"/>
      <c r="R1408" s="5"/>
      <c r="S1408" s="5"/>
      <c r="T1408" s="1120"/>
      <c r="U1408" s="5"/>
      <c r="V1408" s="5"/>
      <c r="W1408" s="5"/>
      <c r="X1408" s="1120"/>
      <c r="Y1408" s="1120"/>
      <c r="Z1408" s="5"/>
      <c r="AA1408" s="5"/>
      <c r="AB1408" s="1135"/>
      <c r="AC1408" s="5"/>
      <c r="AD1408" s="5"/>
      <c r="AE1408" s="5"/>
      <c r="AF1408" s="1120"/>
      <c r="AG1408" s="1148"/>
      <c r="AH1408" s="1120"/>
      <c r="AI1408" s="1120"/>
      <c r="AJ1408" s="1120"/>
    </row>
    <row r="1409" spans="2:36" ht="30" customHeight="1" x14ac:dyDescent="0.25">
      <c r="B1409" s="5"/>
      <c r="C1409" s="5"/>
      <c r="D1409" s="5"/>
      <c r="E1409" s="5"/>
      <c r="F1409" s="5"/>
      <c r="G1409" s="5"/>
      <c r="H1409" s="5"/>
      <c r="I1409" s="5"/>
      <c r="J1409" s="5"/>
      <c r="L1409" s="277"/>
      <c r="M1409" s="5"/>
      <c r="R1409" s="5"/>
      <c r="S1409" s="5"/>
      <c r="T1409" s="1120"/>
      <c r="U1409" s="5"/>
      <c r="V1409" s="5"/>
      <c r="W1409" s="5"/>
      <c r="X1409" s="1120"/>
      <c r="Y1409" s="1120"/>
      <c r="Z1409" s="5"/>
      <c r="AA1409" s="5"/>
      <c r="AB1409" s="1135"/>
      <c r="AC1409" s="5"/>
      <c r="AD1409" s="5"/>
      <c r="AE1409" s="5"/>
      <c r="AF1409" s="1120"/>
      <c r="AG1409" s="1148"/>
      <c r="AH1409" s="1120"/>
      <c r="AI1409" s="1120"/>
      <c r="AJ1409" s="1120"/>
    </row>
    <row r="1410" spans="2:36" ht="30" customHeight="1" x14ac:dyDescent="0.25">
      <c r="B1410" s="5"/>
      <c r="C1410" s="5"/>
      <c r="D1410" s="5"/>
      <c r="E1410" s="5"/>
      <c r="F1410" s="5"/>
      <c r="G1410" s="5"/>
      <c r="H1410" s="5"/>
      <c r="I1410" s="5"/>
      <c r="J1410" s="5"/>
      <c r="L1410" s="277"/>
      <c r="M1410" s="5"/>
      <c r="R1410" s="5"/>
      <c r="S1410" s="5"/>
      <c r="T1410" s="1120"/>
      <c r="U1410" s="5"/>
      <c r="V1410" s="5"/>
      <c r="W1410" s="5"/>
      <c r="X1410" s="1120"/>
      <c r="Y1410" s="1120"/>
      <c r="Z1410" s="5"/>
      <c r="AA1410" s="5"/>
      <c r="AB1410" s="1135"/>
      <c r="AC1410" s="5"/>
      <c r="AD1410" s="5"/>
      <c r="AE1410" s="5"/>
      <c r="AF1410" s="1120"/>
      <c r="AG1410" s="1148"/>
      <c r="AH1410" s="1120"/>
      <c r="AI1410" s="1120"/>
      <c r="AJ1410" s="1120"/>
    </row>
    <row r="1411" spans="2:36" ht="30" customHeight="1" x14ac:dyDescent="0.25">
      <c r="B1411" s="5"/>
      <c r="C1411" s="5"/>
      <c r="D1411" s="5"/>
      <c r="E1411" s="5"/>
      <c r="F1411" s="5"/>
      <c r="G1411" s="5"/>
      <c r="H1411" s="5"/>
      <c r="I1411" s="5"/>
      <c r="J1411" s="5"/>
      <c r="L1411" s="277"/>
      <c r="M1411" s="5"/>
      <c r="R1411" s="5"/>
      <c r="S1411" s="5"/>
      <c r="T1411" s="1120"/>
      <c r="U1411" s="5"/>
      <c r="V1411" s="5"/>
      <c r="W1411" s="5"/>
      <c r="X1411" s="1120"/>
      <c r="Y1411" s="1120"/>
      <c r="Z1411" s="5"/>
      <c r="AA1411" s="5"/>
      <c r="AB1411" s="1135"/>
      <c r="AC1411" s="5"/>
      <c r="AD1411" s="5"/>
      <c r="AE1411" s="5"/>
      <c r="AF1411" s="1120"/>
      <c r="AG1411" s="1148"/>
      <c r="AH1411" s="1120"/>
      <c r="AI1411" s="1120"/>
      <c r="AJ1411" s="1120"/>
    </row>
    <row r="1412" spans="2:36" ht="30" customHeight="1" x14ac:dyDescent="0.25">
      <c r="B1412" s="5"/>
      <c r="C1412" s="5"/>
      <c r="D1412" s="5"/>
      <c r="E1412" s="5"/>
      <c r="F1412" s="5"/>
      <c r="G1412" s="5"/>
      <c r="H1412" s="5"/>
      <c r="I1412" s="5"/>
      <c r="J1412" s="5"/>
      <c r="L1412" s="277"/>
      <c r="M1412" s="5"/>
      <c r="R1412" s="5"/>
      <c r="S1412" s="5"/>
      <c r="T1412" s="1120"/>
      <c r="U1412" s="5"/>
      <c r="V1412" s="5"/>
      <c r="W1412" s="5"/>
      <c r="X1412" s="1120"/>
      <c r="Y1412" s="1120"/>
      <c r="Z1412" s="5"/>
      <c r="AA1412" s="5"/>
      <c r="AB1412" s="1135"/>
      <c r="AC1412" s="5"/>
      <c r="AD1412" s="5"/>
      <c r="AE1412" s="5"/>
      <c r="AF1412" s="1120"/>
      <c r="AG1412" s="1148"/>
      <c r="AH1412" s="1120"/>
      <c r="AI1412" s="1120"/>
      <c r="AJ1412" s="1120"/>
    </row>
    <row r="1413" spans="2:36" ht="30" customHeight="1" x14ac:dyDescent="0.25">
      <c r="B1413" s="5"/>
      <c r="C1413" s="5"/>
      <c r="D1413" s="5"/>
      <c r="E1413" s="5"/>
      <c r="F1413" s="5"/>
      <c r="G1413" s="5"/>
      <c r="H1413" s="5"/>
      <c r="I1413" s="5"/>
      <c r="J1413" s="5"/>
      <c r="L1413" s="277"/>
      <c r="M1413" s="5"/>
      <c r="R1413" s="5"/>
      <c r="S1413" s="5"/>
      <c r="T1413" s="1120"/>
      <c r="U1413" s="5"/>
      <c r="V1413" s="5"/>
      <c r="W1413" s="5"/>
      <c r="X1413" s="1120"/>
      <c r="Y1413" s="1120"/>
      <c r="Z1413" s="5"/>
      <c r="AA1413" s="5"/>
      <c r="AB1413" s="1135"/>
      <c r="AC1413" s="5"/>
      <c r="AD1413" s="5"/>
      <c r="AE1413" s="5"/>
      <c r="AF1413" s="1120"/>
      <c r="AG1413" s="1148"/>
      <c r="AH1413" s="1120"/>
      <c r="AI1413" s="1120"/>
      <c r="AJ1413" s="1120"/>
    </row>
    <row r="1414" spans="2:36" ht="30" customHeight="1" x14ac:dyDescent="0.25">
      <c r="B1414" s="5"/>
      <c r="C1414" s="5"/>
      <c r="D1414" s="5"/>
      <c r="E1414" s="5"/>
      <c r="F1414" s="5"/>
      <c r="G1414" s="5"/>
      <c r="H1414" s="5"/>
      <c r="I1414" s="5"/>
      <c r="J1414" s="5"/>
      <c r="L1414" s="277"/>
      <c r="M1414" s="5"/>
      <c r="R1414" s="5"/>
      <c r="S1414" s="5"/>
      <c r="T1414" s="1120"/>
      <c r="U1414" s="5"/>
      <c r="V1414" s="5"/>
      <c r="W1414" s="5"/>
      <c r="X1414" s="1120"/>
      <c r="Y1414" s="1120"/>
      <c r="Z1414" s="5"/>
      <c r="AA1414" s="5"/>
      <c r="AB1414" s="1135"/>
      <c r="AC1414" s="5"/>
      <c r="AD1414" s="5"/>
      <c r="AE1414" s="5"/>
      <c r="AF1414" s="1120"/>
      <c r="AG1414" s="1148"/>
      <c r="AH1414" s="1120"/>
      <c r="AI1414" s="1120"/>
      <c r="AJ1414" s="1120"/>
    </row>
    <row r="1415" spans="2:36" ht="30" customHeight="1" x14ac:dyDescent="0.25">
      <c r="B1415" s="5"/>
      <c r="C1415" s="5"/>
      <c r="D1415" s="5"/>
      <c r="E1415" s="5"/>
      <c r="F1415" s="5"/>
      <c r="G1415" s="5"/>
      <c r="H1415" s="5"/>
      <c r="I1415" s="5"/>
      <c r="J1415" s="5"/>
      <c r="L1415" s="277"/>
      <c r="M1415" s="5"/>
      <c r="R1415" s="5"/>
      <c r="S1415" s="5"/>
      <c r="T1415" s="1120"/>
      <c r="U1415" s="5"/>
      <c r="V1415" s="5"/>
      <c r="W1415" s="5"/>
      <c r="X1415" s="1120"/>
      <c r="Y1415" s="1120"/>
      <c r="Z1415" s="5"/>
      <c r="AA1415" s="5"/>
      <c r="AB1415" s="1135"/>
      <c r="AC1415" s="5"/>
      <c r="AD1415" s="5"/>
      <c r="AE1415" s="5"/>
      <c r="AF1415" s="1120"/>
      <c r="AG1415" s="1148"/>
      <c r="AH1415" s="1120"/>
      <c r="AI1415" s="1120"/>
      <c r="AJ1415" s="1120"/>
    </row>
    <row r="1416" spans="2:36" ht="30" customHeight="1" x14ac:dyDescent="0.25">
      <c r="B1416" s="5"/>
      <c r="C1416" s="5"/>
      <c r="D1416" s="5"/>
      <c r="E1416" s="5"/>
      <c r="F1416" s="5"/>
      <c r="G1416" s="5"/>
      <c r="H1416" s="5"/>
      <c r="I1416" s="5"/>
      <c r="J1416" s="5"/>
      <c r="L1416" s="277"/>
      <c r="M1416" s="5"/>
      <c r="R1416" s="5"/>
      <c r="S1416" s="5"/>
      <c r="T1416" s="1120"/>
      <c r="U1416" s="5"/>
      <c r="V1416" s="5"/>
      <c r="W1416" s="5"/>
      <c r="X1416" s="1120"/>
      <c r="Y1416" s="1120"/>
      <c r="Z1416" s="5"/>
      <c r="AA1416" s="5"/>
      <c r="AB1416" s="1135"/>
      <c r="AC1416" s="5"/>
      <c r="AD1416" s="5"/>
      <c r="AE1416" s="5"/>
      <c r="AF1416" s="1120"/>
      <c r="AG1416" s="1148"/>
      <c r="AH1416" s="1120"/>
      <c r="AI1416" s="1120"/>
      <c r="AJ1416" s="1120"/>
    </row>
    <row r="1417" spans="2:36" ht="30" customHeight="1" x14ac:dyDescent="0.25">
      <c r="B1417" s="5"/>
      <c r="C1417" s="5"/>
      <c r="D1417" s="5"/>
      <c r="E1417" s="5"/>
      <c r="F1417" s="5"/>
      <c r="G1417" s="5"/>
      <c r="H1417" s="5"/>
      <c r="I1417" s="5"/>
      <c r="J1417" s="5"/>
      <c r="L1417" s="277"/>
      <c r="M1417" s="5"/>
      <c r="R1417" s="5"/>
      <c r="S1417" s="5"/>
      <c r="T1417" s="1120"/>
      <c r="U1417" s="5"/>
      <c r="V1417" s="5"/>
      <c r="W1417" s="5"/>
      <c r="X1417" s="1120"/>
      <c r="Y1417" s="1120"/>
      <c r="Z1417" s="5"/>
      <c r="AA1417" s="5"/>
      <c r="AB1417" s="1135"/>
      <c r="AC1417" s="5"/>
      <c r="AD1417" s="5"/>
      <c r="AE1417" s="5"/>
      <c r="AF1417" s="1120"/>
      <c r="AG1417" s="1148"/>
      <c r="AH1417" s="1120"/>
      <c r="AI1417" s="1120"/>
      <c r="AJ1417" s="1120"/>
    </row>
    <row r="1418" spans="2:36" ht="30" customHeight="1" x14ac:dyDescent="0.25">
      <c r="B1418" s="5"/>
      <c r="C1418" s="5"/>
      <c r="D1418" s="5"/>
      <c r="E1418" s="5"/>
      <c r="F1418" s="5"/>
      <c r="G1418" s="5"/>
      <c r="H1418" s="5"/>
      <c r="I1418" s="5"/>
      <c r="J1418" s="5"/>
      <c r="L1418" s="277"/>
      <c r="M1418" s="5"/>
      <c r="R1418" s="5"/>
      <c r="S1418" s="5"/>
      <c r="T1418" s="1120"/>
      <c r="U1418" s="5"/>
      <c r="V1418" s="5"/>
      <c r="W1418" s="5"/>
      <c r="X1418" s="1120"/>
      <c r="Y1418" s="1120"/>
      <c r="Z1418" s="5"/>
      <c r="AA1418" s="5"/>
      <c r="AB1418" s="1135"/>
      <c r="AC1418" s="5"/>
      <c r="AD1418" s="5"/>
      <c r="AE1418" s="5"/>
      <c r="AF1418" s="1120"/>
      <c r="AG1418" s="1148"/>
      <c r="AH1418" s="1120"/>
      <c r="AI1418" s="1120"/>
      <c r="AJ1418" s="1120"/>
    </row>
    <row r="1419" spans="2:36" ht="30" customHeight="1" x14ac:dyDescent="0.25">
      <c r="B1419" s="5"/>
      <c r="C1419" s="5"/>
      <c r="D1419" s="5"/>
      <c r="E1419" s="5"/>
      <c r="F1419" s="5"/>
      <c r="G1419" s="5"/>
      <c r="H1419" s="5"/>
      <c r="I1419" s="5"/>
      <c r="J1419" s="5"/>
      <c r="L1419" s="277"/>
      <c r="M1419" s="5"/>
      <c r="R1419" s="5"/>
      <c r="S1419" s="5"/>
      <c r="T1419" s="1120"/>
      <c r="U1419" s="5"/>
      <c r="V1419" s="5"/>
      <c r="W1419" s="5"/>
      <c r="X1419" s="1120"/>
      <c r="Y1419" s="1120"/>
      <c r="Z1419" s="5"/>
      <c r="AA1419" s="5"/>
      <c r="AB1419" s="1135"/>
      <c r="AC1419" s="5"/>
      <c r="AD1419" s="5"/>
      <c r="AE1419" s="5"/>
      <c r="AF1419" s="1120"/>
      <c r="AG1419" s="1148"/>
      <c r="AH1419" s="1120"/>
      <c r="AI1419" s="1120"/>
      <c r="AJ1419" s="1120"/>
    </row>
    <row r="1420" spans="2:36" ht="30" customHeight="1" x14ac:dyDescent="0.25">
      <c r="B1420" s="5"/>
      <c r="C1420" s="5"/>
      <c r="D1420" s="5"/>
      <c r="E1420" s="5"/>
      <c r="F1420" s="5"/>
      <c r="G1420" s="5"/>
      <c r="H1420" s="5"/>
      <c r="I1420" s="5"/>
      <c r="J1420" s="5"/>
      <c r="L1420" s="277"/>
      <c r="M1420" s="5"/>
      <c r="R1420" s="5"/>
      <c r="S1420" s="5"/>
      <c r="T1420" s="1120"/>
      <c r="U1420" s="5"/>
      <c r="V1420" s="5"/>
      <c r="W1420" s="5"/>
      <c r="X1420" s="1120"/>
      <c r="Y1420" s="1120"/>
      <c r="Z1420" s="5"/>
      <c r="AA1420" s="5"/>
      <c r="AB1420" s="1135"/>
      <c r="AC1420" s="5"/>
      <c r="AD1420" s="5"/>
      <c r="AE1420" s="5"/>
      <c r="AF1420" s="1120"/>
      <c r="AG1420" s="1148"/>
      <c r="AH1420" s="1120"/>
      <c r="AI1420" s="1120"/>
      <c r="AJ1420" s="1120"/>
    </row>
    <row r="1421" spans="2:36" ht="30" customHeight="1" x14ac:dyDescent="0.25">
      <c r="B1421" s="5"/>
      <c r="C1421" s="5"/>
      <c r="D1421" s="5"/>
      <c r="E1421" s="5"/>
      <c r="F1421" s="5"/>
      <c r="G1421" s="5"/>
      <c r="H1421" s="5"/>
      <c r="I1421" s="5"/>
      <c r="J1421" s="5"/>
      <c r="L1421" s="277"/>
      <c r="M1421" s="5"/>
      <c r="R1421" s="5"/>
      <c r="S1421" s="5"/>
      <c r="T1421" s="1120"/>
      <c r="U1421" s="5"/>
      <c r="V1421" s="5"/>
      <c r="W1421" s="5"/>
      <c r="X1421" s="1120"/>
      <c r="Y1421" s="1120"/>
      <c r="Z1421" s="5"/>
      <c r="AA1421" s="5"/>
      <c r="AB1421" s="1135"/>
      <c r="AC1421" s="5"/>
      <c r="AD1421" s="5"/>
      <c r="AE1421" s="5"/>
      <c r="AF1421" s="1120"/>
      <c r="AG1421" s="1148"/>
      <c r="AH1421" s="1120"/>
      <c r="AI1421" s="1120"/>
      <c r="AJ1421" s="1120"/>
    </row>
    <row r="1422" spans="2:36" ht="30" customHeight="1" x14ac:dyDescent="0.25">
      <c r="B1422" s="5"/>
      <c r="C1422" s="5"/>
      <c r="D1422" s="5"/>
      <c r="E1422" s="5"/>
      <c r="F1422" s="5"/>
      <c r="G1422" s="5"/>
      <c r="H1422" s="5"/>
      <c r="I1422" s="5"/>
      <c r="J1422" s="5"/>
      <c r="L1422" s="277"/>
      <c r="M1422" s="5"/>
      <c r="R1422" s="5"/>
      <c r="S1422" s="5"/>
      <c r="T1422" s="1120"/>
      <c r="U1422" s="5"/>
      <c r="V1422" s="5"/>
      <c r="W1422" s="5"/>
      <c r="X1422" s="1120"/>
      <c r="Y1422" s="1120"/>
      <c r="Z1422" s="5"/>
      <c r="AA1422" s="5"/>
      <c r="AB1422" s="1135"/>
      <c r="AC1422" s="5"/>
      <c r="AD1422" s="5"/>
      <c r="AE1422" s="5"/>
      <c r="AF1422" s="1120"/>
      <c r="AG1422" s="1148"/>
      <c r="AH1422" s="1120"/>
      <c r="AI1422" s="1120"/>
      <c r="AJ1422" s="1120"/>
    </row>
    <row r="1423" spans="2:36" ht="30" customHeight="1" x14ac:dyDescent="0.25">
      <c r="B1423" s="5"/>
      <c r="C1423" s="5"/>
      <c r="D1423" s="5"/>
      <c r="E1423" s="5"/>
      <c r="F1423" s="5"/>
      <c r="G1423" s="5"/>
      <c r="H1423" s="5"/>
      <c r="I1423" s="5"/>
      <c r="J1423" s="5"/>
      <c r="L1423" s="277"/>
      <c r="M1423" s="5"/>
      <c r="R1423" s="5"/>
      <c r="S1423" s="5"/>
      <c r="T1423" s="1120"/>
      <c r="U1423" s="5"/>
      <c r="V1423" s="5"/>
      <c r="W1423" s="5"/>
      <c r="X1423" s="1120"/>
      <c r="Y1423" s="1120"/>
      <c r="Z1423" s="5"/>
      <c r="AA1423" s="5"/>
      <c r="AB1423" s="1135"/>
      <c r="AC1423" s="5"/>
      <c r="AD1423" s="5"/>
      <c r="AE1423" s="5"/>
      <c r="AF1423" s="1120"/>
      <c r="AG1423" s="1148"/>
      <c r="AH1423" s="1120"/>
      <c r="AI1423" s="1120"/>
      <c r="AJ1423" s="1120"/>
    </row>
    <row r="1424" spans="2:36" ht="30" customHeight="1" x14ac:dyDescent="0.25">
      <c r="B1424" s="5"/>
      <c r="C1424" s="5"/>
      <c r="D1424" s="5"/>
      <c r="E1424" s="5"/>
      <c r="F1424" s="5"/>
      <c r="G1424" s="5"/>
      <c r="H1424" s="5"/>
      <c r="I1424" s="5"/>
      <c r="J1424" s="5"/>
      <c r="L1424" s="277"/>
      <c r="M1424" s="5"/>
      <c r="R1424" s="5"/>
      <c r="S1424" s="5"/>
      <c r="T1424" s="1120"/>
      <c r="U1424" s="5"/>
      <c r="V1424" s="5"/>
      <c r="W1424" s="5"/>
      <c r="X1424" s="1120"/>
      <c r="Y1424" s="1120"/>
      <c r="Z1424" s="5"/>
      <c r="AA1424" s="5"/>
      <c r="AB1424" s="1135"/>
      <c r="AC1424" s="5"/>
      <c r="AD1424" s="5"/>
      <c r="AE1424" s="5"/>
      <c r="AF1424" s="1120"/>
      <c r="AG1424" s="1148"/>
      <c r="AH1424" s="1120"/>
      <c r="AI1424" s="1120"/>
      <c r="AJ1424" s="1120"/>
    </row>
    <row r="1425" spans="2:36" ht="30" customHeight="1" x14ac:dyDescent="0.25">
      <c r="B1425" s="5"/>
      <c r="C1425" s="5"/>
      <c r="D1425" s="5"/>
      <c r="E1425" s="5"/>
      <c r="F1425" s="5"/>
      <c r="G1425" s="5"/>
      <c r="H1425" s="5"/>
      <c r="I1425" s="5"/>
      <c r="J1425" s="5"/>
      <c r="L1425" s="277"/>
      <c r="M1425" s="5"/>
      <c r="R1425" s="5"/>
      <c r="S1425" s="5"/>
      <c r="T1425" s="1120"/>
      <c r="U1425" s="5"/>
      <c r="V1425" s="5"/>
      <c r="W1425" s="5"/>
      <c r="X1425" s="1120"/>
      <c r="Y1425" s="1120"/>
      <c r="Z1425" s="5"/>
      <c r="AA1425" s="5"/>
      <c r="AB1425" s="1135"/>
      <c r="AC1425" s="5"/>
      <c r="AD1425" s="5"/>
      <c r="AE1425" s="5"/>
      <c r="AF1425" s="1120"/>
      <c r="AG1425" s="1148"/>
      <c r="AH1425" s="1120"/>
      <c r="AI1425" s="1120"/>
      <c r="AJ1425" s="1120"/>
    </row>
    <row r="1426" spans="2:36" ht="30" customHeight="1" x14ac:dyDescent="0.25">
      <c r="B1426" s="5"/>
      <c r="C1426" s="5"/>
      <c r="D1426" s="5"/>
      <c r="E1426" s="5"/>
      <c r="F1426" s="5"/>
      <c r="G1426" s="5"/>
      <c r="H1426" s="5"/>
      <c r="I1426" s="5"/>
      <c r="J1426" s="5"/>
      <c r="L1426" s="277"/>
      <c r="M1426" s="5"/>
      <c r="R1426" s="5"/>
      <c r="S1426" s="5"/>
      <c r="T1426" s="1120"/>
      <c r="U1426" s="5"/>
      <c r="V1426" s="5"/>
      <c r="W1426" s="5"/>
      <c r="X1426" s="1120"/>
      <c r="Y1426" s="1120"/>
      <c r="Z1426" s="5"/>
      <c r="AA1426" s="5"/>
      <c r="AB1426" s="1135"/>
      <c r="AC1426" s="5"/>
      <c r="AD1426" s="5"/>
      <c r="AE1426" s="5"/>
      <c r="AF1426" s="1120"/>
      <c r="AG1426" s="1148"/>
      <c r="AH1426" s="1120"/>
      <c r="AI1426" s="1120"/>
      <c r="AJ1426" s="1120"/>
    </row>
    <row r="1427" spans="2:36" ht="30" customHeight="1" x14ac:dyDescent="0.25">
      <c r="B1427" s="5"/>
      <c r="C1427" s="5"/>
      <c r="D1427" s="5"/>
      <c r="E1427" s="5"/>
      <c r="F1427" s="5"/>
      <c r="G1427" s="5"/>
      <c r="H1427" s="5"/>
      <c r="I1427" s="5"/>
      <c r="J1427" s="5"/>
      <c r="L1427" s="277"/>
      <c r="M1427" s="5"/>
      <c r="R1427" s="5"/>
      <c r="S1427" s="5"/>
      <c r="T1427" s="1120"/>
      <c r="U1427" s="5"/>
      <c r="V1427" s="5"/>
      <c r="W1427" s="5"/>
      <c r="X1427" s="1120"/>
      <c r="Y1427" s="1120"/>
      <c r="Z1427" s="5"/>
      <c r="AA1427" s="5"/>
      <c r="AB1427" s="1135"/>
      <c r="AC1427" s="5"/>
      <c r="AD1427" s="5"/>
      <c r="AE1427" s="5"/>
      <c r="AF1427" s="1120"/>
      <c r="AG1427" s="1148"/>
      <c r="AH1427" s="1120"/>
      <c r="AI1427" s="1120"/>
      <c r="AJ1427" s="1120"/>
    </row>
    <row r="1428" spans="2:36" ht="30" customHeight="1" x14ac:dyDescent="0.25">
      <c r="B1428" s="5"/>
      <c r="C1428" s="5"/>
      <c r="D1428" s="5"/>
      <c r="E1428" s="5"/>
      <c r="F1428" s="5"/>
      <c r="G1428" s="5"/>
      <c r="H1428" s="5"/>
      <c r="I1428" s="5"/>
      <c r="J1428" s="5"/>
      <c r="L1428" s="277"/>
      <c r="M1428" s="5"/>
      <c r="R1428" s="5"/>
      <c r="S1428" s="5"/>
      <c r="T1428" s="1120"/>
      <c r="U1428" s="5"/>
      <c r="V1428" s="5"/>
      <c r="W1428" s="5"/>
      <c r="X1428" s="1120"/>
      <c r="Y1428" s="1120"/>
      <c r="Z1428" s="5"/>
      <c r="AA1428" s="5"/>
      <c r="AB1428" s="1135"/>
      <c r="AC1428" s="5"/>
      <c r="AD1428" s="5"/>
      <c r="AE1428" s="5"/>
      <c r="AF1428" s="1120"/>
      <c r="AG1428" s="1148"/>
      <c r="AH1428" s="1120"/>
      <c r="AI1428" s="1120"/>
      <c r="AJ1428" s="1120"/>
    </row>
    <row r="1429" spans="2:36" ht="30" customHeight="1" x14ac:dyDescent="0.25">
      <c r="B1429" s="5"/>
      <c r="C1429" s="5"/>
      <c r="D1429" s="5"/>
      <c r="E1429" s="5"/>
      <c r="F1429" s="5"/>
      <c r="G1429" s="5"/>
      <c r="H1429" s="5"/>
      <c r="I1429" s="5"/>
      <c r="J1429" s="5"/>
      <c r="L1429" s="277"/>
      <c r="M1429" s="5"/>
      <c r="R1429" s="5"/>
      <c r="S1429" s="5"/>
      <c r="T1429" s="1120"/>
      <c r="U1429" s="5"/>
      <c r="V1429" s="5"/>
      <c r="W1429" s="5"/>
      <c r="X1429" s="1120"/>
      <c r="Y1429" s="1120"/>
      <c r="Z1429" s="5"/>
      <c r="AA1429" s="5"/>
      <c r="AB1429" s="1135"/>
      <c r="AC1429" s="5"/>
      <c r="AD1429" s="5"/>
      <c r="AE1429" s="5"/>
      <c r="AF1429" s="1120"/>
      <c r="AG1429" s="1148"/>
      <c r="AH1429" s="1120"/>
      <c r="AI1429" s="1120"/>
      <c r="AJ1429" s="1120"/>
    </row>
    <row r="1430" spans="2:36" ht="30" customHeight="1" x14ac:dyDescent="0.25">
      <c r="B1430" s="5"/>
      <c r="C1430" s="5"/>
      <c r="D1430" s="5"/>
      <c r="E1430" s="5"/>
      <c r="F1430" s="5"/>
      <c r="G1430" s="5"/>
      <c r="H1430" s="5"/>
      <c r="I1430" s="5"/>
      <c r="J1430" s="5"/>
      <c r="L1430" s="277"/>
      <c r="M1430" s="5"/>
      <c r="R1430" s="5"/>
      <c r="S1430" s="5"/>
      <c r="T1430" s="1120"/>
      <c r="U1430" s="5"/>
      <c r="V1430" s="5"/>
      <c r="W1430" s="5"/>
      <c r="X1430" s="1120"/>
      <c r="Y1430" s="1120"/>
      <c r="Z1430" s="5"/>
      <c r="AA1430" s="5"/>
      <c r="AB1430" s="1135"/>
      <c r="AC1430" s="5"/>
      <c r="AD1430" s="5"/>
      <c r="AE1430" s="5"/>
      <c r="AF1430" s="1120"/>
      <c r="AG1430" s="1148"/>
      <c r="AH1430" s="1120"/>
      <c r="AI1430" s="1120"/>
      <c r="AJ1430" s="1120"/>
    </row>
    <row r="1431" spans="2:36" ht="30" customHeight="1" x14ac:dyDescent="0.25">
      <c r="B1431" s="5"/>
      <c r="C1431" s="5"/>
      <c r="D1431" s="5"/>
      <c r="E1431" s="5"/>
      <c r="F1431" s="5"/>
      <c r="G1431" s="5"/>
      <c r="H1431" s="5"/>
      <c r="I1431" s="5"/>
      <c r="J1431" s="5"/>
      <c r="L1431" s="277"/>
      <c r="M1431" s="5"/>
      <c r="R1431" s="5"/>
      <c r="S1431" s="5"/>
      <c r="T1431" s="1120"/>
      <c r="U1431" s="5"/>
      <c r="V1431" s="5"/>
      <c r="W1431" s="5"/>
      <c r="X1431" s="1120"/>
      <c r="Y1431" s="1120"/>
      <c r="Z1431" s="5"/>
      <c r="AA1431" s="5"/>
      <c r="AB1431" s="1135"/>
      <c r="AC1431" s="5"/>
      <c r="AD1431" s="5"/>
      <c r="AE1431" s="5"/>
      <c r="AF1431" s="1120"/>
      <c r="AG1431" s="1148"/>
      <c r="AH1431" s="1120"/>
      <c r="AI1431" s="1120"/>
      <c r="AJ1431" s="1120"/>
    </row>
    <row r="1432" spans="2:36" ht="30" customHeight="1" x14ac:dyDescent="0.25">
      <c r="B1432" s="5"/>
      <c r="C1432" s="5"/>
      <c r="D1432" s="5"/>
      <c r="E1432" s="5"/>
      <c r="F1432" s="5"/>
      <c r="G1432" s="5"/>
      <c r="H1432" s="5"/>
      <c r="I1432" s="5"/>
      <c r="J1432" s="5"/>
      <c r="L1432" s="277"/>
      <c r="M1432" s="5"/>
      <c r="R1432" s="5"/>
      <c r="S1432" s="5"/>
      <c r="T1432" s="1120"/>
      <c r="U1432" s="5"/>
      <c r="V1432" s="5"/>
      <c r="W1432" s="5"/>
      <c r="X1432" s="1120"/>
      <c r="Y1432" s="1120"/>
      <c r="Z1432" s="5"/>
      <c r="AA1432" s="5"/>
      <c r="AB1432" s="1135"/>
      <c r="AC1432" s="5"/>
      <c r="AD1432" s="5"/>
      <c r="AE1432" s="5"/>
      <c r="AF1432" s="1120"/>
      <c r="AG1432" s="1148"/>
      <c r="AH1432" s="1120"/>
      <c r="AI1432" s="1120"/>
      <c r="AJ1432" s="1120"/>
    </row>
    <row r="1433" spans="2:36" ht="30" customHeight="1" x14ac:dyDescent="0.25">
      <c r="B1433" s="5"/>
      <c r="C1433" s="5"/>
      <c r="D1433" s="5"/>
      <c r="E1433" s="5"/>
      <c r="F1433" s="5"/>
      <c r="G1433" s="5"/>
      <c r="H1433" s="5"/>
      <c r="I1433" s="5"/>
      <c r="J1433" s="5"/>
      <c r="L1433" s="277"/>
      <c r="M1433" s="5"/>
      <c r="R1433" s="5"/>
      <c r="S1433" s="5"/>
      <c r="T1433" s="1120"/>
      <c r="U1433" s="5"/>
      <c r="V1433" s="5"/>
      <c r="W1433" s="5"/>
      <c r="X1433" s="1120"/>
      <c r="Y1433" s="1120"/>
      <c r="Z1433" s="5"/>
      <c r="AA1433" s="5"/>
      <c r="AB1433" s="1135"/>
      <c r="AC1433" s="5"/>
      <c r="AD1433" s="5"/>
      <c r="AE1433" s="5"/>
      <c r="AF1433" s="1120"/>
      <c r="AG1433" s="1148"/>
      <c r="AH1433" s="1120"/>
      <c r="AI1433" s="1120"/>
      <c r="AJ1433" s="1120"/>
    </row>
    <row r="1434" spans="2:36" ht="30" customHeight="1" x14ac:dyDescent="0.25">
      <c r="B1434" s="5"/>
      <c r="C1434" s="5"/>
      <c r="D1434" s="5"/>
      <c r="E1434" s="5"/>
      <c r="F1434" s="5"/>
      <c r="G1434" s="5"/>
      <c r="H1434" s="5"/>
      <c r="I1434" s="5"/>
      <c r="J1434" s="5"/>
      <c r="L1434" s="277"/>
      <c r="M1434" s="5"/>
      <c r="R1434" s="5"/>
      <c r="S1434" s="5"/>
      <c r="T1434" s="1120"/>
      <c r="U1434" s="5"/>
      <c r="V1434" s="5"/>
      <c r="W1434" s="5"/>
      <c r="X1434" s="1120"/>
      <c r="Y1434" s="1120"/>
      <c r="Z1434" s="5"/>
      <c r="AA1434" s="5"/>
      <c r="AB1434" s="1135"/>
      <c r="AC1434" s="5"/>
      <c r="AD1434" s="5"/>
      <c r="AE1434" s="5"/>
      <c r="AF1434" s="1120"/>
      <c r="AG1434" s="1148"/>
      <c r="AH1434" s="1120"/>
      <c r="AI1434" s="1120"/>
      <c r="AJ1434" s="1120"/>
    </row>
    <row r="1435" spans="2:36" ht="30" customHeight="1" x14ac:dyDescent="0.25">
      <c r="B1435" s="5"/>
      <c r="C1435" s="5"/>
      <c r="D1435" s="5"/>
      <c r="E1435" s="5"/>
      <c r="F1435" s="5"/>
      <c r="G1435" s="5"/>
      <c r="H1435" s="5"/>
      <c r="I1435" s="5"/>
      <c r="J1435" s="5"/>
      <c r="L1435" s="277"/>
      <c r="M1435" s="5"/>
      <c r="R1435" s="5"/>
      <c r="S1435" s="5"/>
      <c r="T1435" s="1120"/>
      <c r="U1435" s="5"/>
      <c r="V1435" s="5"/>
      <c r="W1435" s="5"/>
      <c r="X1435" s="1120"/>
      <c r="Y1435" s="1120"/>
      <c r="Z1435" s="5"/>
      <c r="AA1435" s="5"/>
      <c r="AB1435" s="1135"/>
      <c r="AC1435" s="5"/>
      <c r="AD1435" s="5"/>
      <c r="AE1435" s="5"/>
      <c r="AF1435" s="1120"/>
      <c r="AG1435" s="1148"/>
      <c r="AH1435" s="1120"/>
      <c r="AI1435" s="1120"/>
      <c r="AJ1435" s="1120"/>
    </row>
    <row r="1436" spans="2:36" ht="30" customHeight="1" x14ac:dyDescent="0.25">
      <c r="B1436" s="5"/>
      <c r="C1436" s="5"/>
      <c r="D1436" s="5"/>
      <c r="E1436" s="5"/>
      <c r="F1436" s="5"/>
      <c r="G1436" s="5"/>
      <c r="H1436" s="5"/>
      <c r="I1436" s="5"/>
      <c r="J1436" s="5"/>
      <c r="L1436" s="277"/>
      <c r="M1436" s="5"/>
      <c r="R1436" s="5"/>
      <c r="S1436" s="5"/>
      <c r="T1436" s="1120"/>
      <c r="U1436" s="5"/>
      <c r="V1436" s="5"/>
      <c r="W1436" s="5"/>
      <c r="X1436" s="1120"/>
      <c r="Y1436" s="1120"/>
      <c r="Z1436" s="5"/>
      <c r="AA1436" s="5"/>
      <c r="AB1436" s="1135"/>
      <c r="AC1436" s="5"/>
      <c r="AD1436" s="5"/>
      <c r="AE1436" s="5"/>
      <c r="AF1436" s="1120"/>
      <c r="AG1436" s="1148"/>
      <c r="AH1436" s="1120"/>
      <c r="AI1436" s="1120"/>
      <c r="AJ1436" s="1120"/>
    </row>
    <row r="1437" spans="2:36" ht="30" customHeight="1" x14ac:dyDescent="0.25">
      <c r="B1437" s="5"/>
      <c r="C1437" s="5"/>
      <c r="D1437" s="5"/>
      <c r="E1437" s="5"/>
      <c r="F1437" s="5"/>
      <c r="G1437" s="5"/>
      <c r="H1437" s="5"/>
      <c r="I1437" s="5"/>
      <c r="J1437" s="5"/>
      <c r="L1437" s="277"/>
      <c r="M1437" s="5"/>
      <c r="R1437" s="5"/>
      <c r="S1437" s="5"/>
      <c r="T1437" s="1120"/>
      <c r="U1437" s="5"/>
      <c r="V1437" s="5"/>
      <c r="W1437" s="5"/>
      <c r="X1437" s="1120"/>
      <c r="Y1437" s="1120"/>
      <c r="Z1437" s="5"/>
      <c r="AA1437" s="5"/>
      <c r="AB1437" s="1135"/>
      <c r="AC1437" s="5"/>
      <c r="AD1437" s="5"/>
      <c r="AE1437" s="5"/>
      <c r="AF1437" s="1120"/>
      <c r="AG1437" s="1148"/>
      <c r="AH1437" s="1120"/>
      <c r="AI1437" s="1120"/>
      <c r="AJ1437" s="1120"/>
    </row>
    <row r="1438" spans="2:36" ht="30" customHeight="1" x14ac:dyDescent="0.25">
      <c r="B1438" s="5"/>
      <c r="C1438" s="5"/>
      <c r="D1438" s="5"/>
      <c r="E1438" s="5"/>
      <c r="F1438" s="5"/>
      <c r="G1438" s="5"/>
      <c r="H1438" s="5"/>
      <c r="I1438" s="5"/>
      <c r="J1438" s="5"/>
      <c r="L1438" s="277"/>
      <c r="M1438" s="5"/>
      <c r="R1438" s="5"/>
      <c r="S1438" s="5"/>
      <c r="T1438" s="1120"/>
      <c r="U1438" s="5"/>
      <c r="V1438" s="5"/>
      <c r="W1438" s="5"/>
      <c r="X1438" s="1120"/>
      <c r="Y1438" s="1120"/>
      <c r="Z1438" s="5"/>
      <c r="AA1438" s="5"/>
      <c r="AB1438" s="1135"/>
      <c r="AC1438" s="5"/>
      <c r="AD1438" s="5"/>
      <c r="AE1438" s="5"/>
      <c r="AF1438" s="1120"/>
      <c r="AG1438" s="1148"/>
      <c r="AH1438" s="1120"/>
      <c r="AI1438" s="1120"/>
      <c r="AJ1438" s="1120"/>
    </row>
    <row r="1439" spans="2:36" ht="30" customHeight="1" x14ac:dyDescent="0.25">
      <c r="B1439" s="5"/>
      <c r="C1439" s="5"/>
      <c r="D1439" s="5"/>
      <c r="E1439" s="5"/>
      <c r="F1439" s="5"/>
      <c r="G1439" s="5"/>
      <c r="H1439" s="5"/>
      <c r="I1439" s="5"/>
      <c r="J1439" s="5"/>
      <c r="L1439" s="277"/>
      <c r="M1439" s="5"/>
      <c r="R1439" s="5"/>
      <c r="S1439" s="5"/>
      <c r="T1439" s="1120"/>
      <c r="U1439" s="5"/>
      <c r="V1439" s="5"/>
      <c r="W1439" s="5"/>
      <c r="X1439" s="1120"/>
      <c r="Y1439" s="1120"/>
      <c r="Z1439" s="5"/>
      <c r="AA1439" s="5"/>
      <c r="AB1439" s="1135"/>
      <c r="AC1439" s="5"/>
      <c r="AD1439" s="5"/>
      <c r="AE1439" s="5"/>
      <c r="AF1439" s="1120"/>
      <c r="AG1439" s="1148"/>
      <c r="AH1439" s="1120"/>
      <c r="AI1439" s="1120"/>
      <c r="AJ1439" s="1120"/>
    </row>
    <row r="1440" spans="2:36" ht="30" customHeight="1" x14ac:dyDescent="0.25">
      <c r="B1440" s="5"/>
      <c r="C1440" s="5"/>
      <c r="D1440" s="5"/>
      <c r="E1440" s="5"/>
      <c r="F1440" s="5"/>
      <c r="G1440" s="5"/>
      <c r="H1440" s="5"/>
      <c r="I1440" s="5"/>
      <c r="J1440" s="5"/>
      <c r="L1440" s="277"/>
      <c r="M1440" s="5"/>
      <c r="R1440" s="5"/>
      <c r="S1440" s="5"/>
      <c r="T1440" s="1120"/>
      <c r="U1440" s="5"/>
      <c r="V1440" s="5"/>
      <c r="W1440" s="5"/>
      <c r="X1440" s="1120"/>
      <c r="Y1440" s="1120"/>
      <c r="Z1440" s="5"/>
      <c r="AA1440" s="5"/>
      <c r="AB1440" s="1135"/>
      <c r="AC1440" s="5"/>
      <c r="AD1440" s="5"/>
      <c r="AE1440" s="5"/>
      <c r="AF1440" s="1120"/>
      <c r="AG1440" s="1148"/>
      <c r="AH1440" s="1120"/>
      <c r="AI1440" s="1120"/>
      <c r="AJ1440" s="1120"/>
    </row>
    <row r="1441" spans="2:36" ht="30" customHeight="1" x14ac:dyDescent="0.25">
      <c r="B1441" s="5"/>
      <c r="C1441" s="5"/>
      <c r="D1441" s="5"/>
      <c r="E1441" s="5"/>
      <c r="F1441" s="5"/>
      <c r="G1441" s="5"/>
      <c r="H1441" s="5"/>
      <c r="I1441" s="5"/>
      <c r="J1441" s="5"/>
      <c r="L1441" s="277"/>
      <c r="M1441" s="5"/>
      <c r="R1441" s="5"/>
      <c r="S1441" s="5"/>
      <c r="T1441" s="1120"/>
      <c r="U1441" s="5"/>
      <c r="V1441" s="5"/>
      <c r="W1441" s="5"/>
      <c r="X1441" s="1120"/>
      <c r="Y1441" s="1120"/>
      <c r="Z1441" s="5"/>
      <c r="AA1441" s="5"/>
      <c r="AB1441" s="1135"/>
      <c r="AC1441" s="5"/>
      <c r="AD1441" s="5"/>
      <c r="AE1441" s="5"/>
      <c r="AF1441" s="1120"/>
      <c r="AG1441" s="1148"/>
      <c r="AH1441" s="1120"/>
      <c r="AI1441" s="1120"/>
      <c r="AJ1441" s="1120"/>
    </row>
    <row r="1442" spans="2:36" ht="30" customHeight="1" x14ac:dyDescent="0.25">
      <c r="B1442" s="5"/>
      <c r="C1442" s="5"/>
      <c r="D1442" s="5"/>
      <c r="E1442" s="5"/>
      <c r="F1442" s="5"/>
      <c r="G1442" s="5"/>
      <c r="H1442" s="5"/>
      <c r="I1442" s="5"/>
      <c r="J1442" s="5"/>
      <c r="L1442" s="277"/>
      <c r="M1442" s="5"/>
      <c r="R1442" s="5"/>
      <c r="S1442" s="5"/>
      <c r="T1442" s="1120"/>
      <c r="U1442" s="5"/>
      <c r="V1442" s="5"/>
      <c r="W1442" s="5"/>
      <c r="X1442" s="1120"/>
      <c r="Y1442" s="1120"/>
      <c r="Z1442" s="5"/>
      <c r="AA1442" s="5"/>
      <c r="AB1442" s="1135"/>
      <c r="AC1442" s="5"/>
      <c r="AD1442" s="5"/>
      <c r="AE1442" s="5"/>
      <c r="AF1442" s="1120"/>
      <c r="AG1442" s="1148"/>
      <c r="AH1442" s="1120"/>
      <c r="AI1442" s="1120"/>
      <c r="AJ1442" s="1120"/>
    </row>
    <row r="1443" spans="2:36" ht="30" customHeight="1" x14ac:dyDescent="0.25">
      <c r="B1443" s="5"/>
      <c r="C1443" s="5"/>
      <c r="D1443" s="5"/>
      <c r="E1443" s="5"/>
      <c r="F1443" s="5"/>
      <c r="G1443" s="5"/>
      <c r="H1443" s="5"/>
      <c r="I1443" s="5"/>
      <c r="J1443" s="5"/>
      <c r="L1443" s="277"/>
      <c r="M1443" s="5"/>
      <c r="R1443" s="5"/>
      <c r="S1443" s="5"/>
      <c r="T1443" s="1120"/>
      <c r="U1443" s="5"/>
      <c r="V1443" s="5"/>
      <c r="W1443" s="5"/>
      <c r="X1443" s="1120"/>
      <c r="Y1443" s="1120"/>
      <c r="Z1443" s="5"/>
      <c r="AA1443" s="5"/>
      <c r="AB1443" s="1135"/>
      <c r="AC1443" s="5"/>
      <c r="AD1443" s="5"/>
      <c r="AE1443" s="5"/>
      <c r="AF1443" s="1120"/>
      <c r="AG1443" s="1148"/>
      <c r="AH1443" s="1120"/>
      <c r="AI1443" s="1120"/>
      <c r="AJ1443" s="1120"/>
    </row>
    <row r="1444" spans="2:36" ht="30" customHeight="1" x14ac:dyDescent="0.25">
      <c r="B1444" s="5"/>
      <c r="C1444" s="5"/>
      <c r="D1444" s="5"/>
      <c r="E1444" s="5"/>
      <c r="F1444" s="5"/>
      <c r="G1444" s="5"/>
      <c r="H1444" s="5"/>
      <c r="I1444" s="5"/>
      <c r="J1444" s="5"/>
      <c r="L1444" s="277"/>
      <c r="M1444" s="5"/>
      <c r="R1444" s="5"/>
      <c r="S1444" s="5"/>
      <c r="T1444" s="1120"/>
      <c r="U1444" s="5"/>
      <c r="V1444" s="5"/>
      <c r="W1444" s="5"/>
      <c r="X1444" s="1120"/>
      <c r="Y1444" s="1120"/>
      <c r="Z1444" s="5"/>
      <c r="AA1444" s="5"/>
      <c r="AB1444" s="1135"/>
      <c r="AC1444" s="5"/>
      <c r="AD1444" s="5"/>
      <c r="AE1444" s="5"/>
      <c r="AF1444" s="1120"/>
      <c r="AG1444" s="1148"/>
      <c r="AH1444" s="1120"/>
      <c r="AI1444" s="1120"/>
      <c r="AJ1444" s="1120"/>
    </row>
    <row r="1445" spans="2:36" ht="30" customHeight="1" x14ac:dyDescent="0.25">
      <c r="B1445" s="5"/>
      <c r="C1445" s="5"/>
      <c r="D1445" s="5"/>
      <c r="E1445" s="5"/>
      <c r="F1445" s="5"/>
      <c r="G1445" s="5"/>
      <c r="H1445" s="5"/>
      <c r="I1445" s="5"/>
      <c r="J1445" s="5"/>
      <c r="L1445" s="277"/>
      <c r="M1445" s="5"/>
      <c r="R1445" s="5"/>
      <c r="S1445" s="5"/>
      <c r="T1445" s="1120"/>
      <c r="U1445" s="5"/>
      <c r="V1445" s="5"/>
      <c r="W1445" s="5"/>
      <c r="X1445" s="1120"/>
      <c r="Y1445" s="1120"/>
      <c r="Z1445" s="5"/>
      <c r="AA1445" s="5"/>
      <c r="AB1445" s="1135"/>
      <c r="AC1445" s="5"/>
      <c r="AD1445" s="5"/>
      <c r="AE1445" s="5"/>
      <c r="AF1445" s="1120"/>
      <c r="AG1445" s="1148"/>
      <c r="AH1445" s="1120"/>
      <c r="AI1445" s="1120"/>
      <c r="AJ1445" s="1120"/>
    </row>
    <row r="1446" spans="2:36" ht="30" customHeight="1" x14ac:dyDescent="0.25">
      <c r="B1446" s="5"/>
      <c r="C1446" s="5"/>
      <c r="D1446" s="5"/>
      <c r="E1446" s="5"/>
      <c r="F1446" s="5"/>
      <c r="G1446" s="5"/>
      <c r="H1446" s="5"/>
      <c r="I1446" s="5"/>
      <c r="J1446" s="5"/>
      <c r="L1446" s="277"/>
      <c r="M1446" s="5"/>
      <c r="R1446" s="5"/>
      <c r="S1446" s="5"/>
      <c r="T1446" s="1120"/>
      <c r="U1446" s="5"/>
      <c r="V1446" s="5"/>
      <c r="W1446" s="5"/>
      <c r="X1446" s="1120"/>
      <c r="Y1446" s="1120"/>
      <c r="Z1446" s="5"/>
      <c r="AA1446" s="5"/>
      <c r="AB1446" s="1135"/>
      <c r="AC1446" s="5"/>
      <c r="AD1446" s="5"/>
      <c r="AE1446" s="5"/>
      <c r="AF1446" s="1120"/>
      <c r="AG1446" s="1148"/>
      <c r="AH1446" s="1120"/>
      <c r="AI1446" s="1120"/>
      <c r="AJ1446" s="1120"/>
    </row>
    <row r="1447" spans="2:36" ht="30" customHeight="1" x14ac:dyDescent="0.25">
      <c r="B1447" s="5"/>
      <c r="C1447" s="5"/>
      <c r="D1447" s="5"/>
      <c r="E1447" s="5"/>
      <c r="F1447" s="5"/>
      <c r="G1447" s="5"/>
      <c r="H1447" s="5"/>
      <c r="I1447" s="5"/>
      <c r="J1447" s="5"/>
      <c r="L1447" s="277"/>
      <c r="M1447" s="5"/>
      <c r="R1447" s="5"/>
      <c r="S1447" s="5"/>
      <c r="T1447" s="1120"/>
      <c r="U1447" s="5"/>
      <c r="V1447" s="5"/>
      <c r="W1447" s="5"/>
      <c r="X1447" s="1120"/>
      <c r="Y1447" s="1120"/>
      <c r="Z1447" s="5"/>
      <c r="AA1447" s="5"/>
      <c r="AB1447" s="1135"/>
      <c r="AC1447" s="5"/>
      <c r="AD1447" s="5"/>
      <c r="AE1447" s="5"/>
      <c r="AF1447" s="1120"/>
      <c r="AG1447" s="1148"/>
      <c r="AH1447" s="1120"/>
      <c r="AI1447" s="1120"/>
      <c r="AJ1447" s="1120"/>
    </row>
    <row r="1448" spans="2:36" ht="30" customHeight="1" x14ac:dyDescent="0.25">
      <c r="B1448" s="5"/>
      <c r="C1448" s="5"/>
      <c r="D1448" s="5"/>
      <c r="E1448" s="5"/>
      <c r="F1448" s="5"/>
      <c r="G1448" s="5"/>
      <c r="H1448" s="5"/>
      <c r="I1448" s="5"/>
      <c r="J1448" s="5"/>
      <c r="L1448" s="277"/>
      <c r="M1448" s="5"/>
      <c r="R1448" s="5"/>
      <c r="S1448" s="5"/>
      <c r="T1448" s="1120"/>
      <c r="U1448" s="5"/>
      <c r="V1448" s="5"/>
      <c r="W1448" s="5"/>
      <c r="X1448" s="1120"/>
      <c r="Y1448" s="1120"/>
      <c r="Z1448" s="5"/>
      <c r="AA1448" s="5"/>
      <c r="AB1448" s="1135"/>
      <c r="AC1448" s="5"/>
      <c r="AD1448" s="5"/>
      <c r="AE1448" s="5"/>
      <c r="AF1448" s="1120"/>
      <c r="AG1448" s="1148"/>
      <c r="AH1448" s="1120"/>
      <c r="AI1448" s="1120"/>
      <c r="AJ1448" s="1120"/>
    </row>
    <row r="1449" spans="2:36" ht="30" customHeight="1" x14ac:dyDescent="0.25">
      <c r="B1449" s="5"/>
      <c r="C1449" s="5"/>
      <c r="D1449" s="5"/>
      <c r="E1449" s="5"/>
      <c r="F1449" s="5"/>
      <c r="G1449" s="5"/>
      <c r="H1449" s="5"/>
      <c r="I1449" s="5"/>
      <c r="J1449" s="5"/>
      <c r="L1449" s="277"/>
      <c r="M1449" s="5"/>
      <c r="R1449" s="5"/>
      <c r="S1449" s="5"/>
      <c r="T1449" s="1120"/>
      <c r="U1449" s="5"/>
      <c r="V1449" s="5"/>
      <c r="W1449" s="5"/>
      <c r="X1449" s="1120"/>
      <c r="Y1449" s="1120"/>
      <c r="Z1449" s="5"/>
      <c r="AA1449" s="5"/>
      <c r="AB1449" s="1135"/>
      <c r="AC1449" s="5"/>
      <c r="AD1449" s="5"/>
      <c r="AE1449" s="5"/>
      <c r="AF1449" s="1120"/>
      <c r="AG1449" s="1148"/>
      <c r="AH1449" s="1120"/>
      <c r="AI1449" s="1120"/>
      <c r="AJ1449" s="1120"/>
    </row>
    <row r="1450" spans="2:36" ht="30" customHeight="1" x14ac:dyDescent="0.25">
      <c r="B1450" s="5"/>
      <c r="C1450" s="5"/>
      <c r="D1450" s="5"/>
      <c r="E1450" s="5"/>
      <c r="F1450" s="5"/>
      <c r="G1450" s="5"/>
      <c r="H1450" s="5"/>
      <c r="I1450" s="5"/>
      <c r="J1450" s="5"/>
      <c r="L1450" s="277"/>
      <c r="M1450" s="5"/>
      <c r="R1450" s="5"/>
      <c r="S1450" s="5"/>
      <c r="T1450" s="1120"/>
      <c r="U1450" s="5"/>
      <c r="V1450" s="5"/>
      <c r="W1450" s="5"/>
      <c r="X1450" s="1120"/>
      <c r="Y1450" s="1120"/>
      <c r="Z1450" s="5"/>
      <c r="AA1450" s="5"/>
      <c r="AB1450" s="1135"/>
      <c r="AC1450" s="5"/>
      <c r="AD1450" s="5"/>
      <c r="AE1450" s="5"/>
      <c r="AF1450" s="1120"/>
      <c r="AG1450" s="1148"/>
      <c r="AH1450" s="1120"/>
      <c r="AI1450" s="1120"/>
      <c r="AJ1450" s="1120"/>
    </row>
    <row r="1451" spans="2:36" ht="30" customHeight="1" x14ac:dyDescent="0.25">
      <c r="B1451" s="5"/>
      <c r="C1451" s="5"/>
      <c r="D1451" s="5"/>
      <c r="E1451" s="5"/>
      <c r="F1451" s="5"/>
      <c r="G1451" s="5"/>
      <c r="H1451" s="5"/>
      <c r="I1451" s="5"/>
      <c r="J1451" s="5"/>
      <c r="L1451" s="277"/>
      <c r="M1451" s="5"/>
      <c r="R1451" s="5"/>
      <c r="S1451" s="5"/>
      <c r="T1451" s="1120"/>
      <c r="U1451" s="5"/>
      <c r="V1451" s="5"/>
      <c r="W1451" s="5"/>
      <c r="X1451" s="1120"/>
      <c r="Y1451" s="1120"/>
      <c r="Z1451" s="5"/>
      <c r="AA1451" s="5"/>
      <c r="AB1451" s="1135"/>
      <c r="AC1451" s="5"/>
      <c r="AD1451" s="5"/>
      <c r="AE1451" s="5"/>
      <c r="AF1451" s="1120"/>
      <c r="AG1451" s="1148"/>
      <c r="AH1451" s="1120"/>
      <c r="AI1451" s="1120"/>
      <c r="AJ1451" s="1120"/>
    </row>
    <row r="1452" spans="2:36" ht="30" customHeight="1" x14ac:dyDescent="0.25">
      <c r="B1452" s="5"/>
      <c r="C1452" s="5"/>
      <c r="D1452" s="5"/>
      <c r="E1452" s="5"/>
      <c r="F1452" s="5"/>
      <c r="G1452" s="5"/>
      <c r="H1452" s="5"/>
      <c r="I1452" s="5"/>
      <c r="J1452" s="5"/>
      <c r="L1452" s="277"/>
      <c r="M1452" s="5"/>
      <c r="R1452" s="5"/>
      <c r="S1452" s="5"/>
      <c r="T1452" s="1120"/>
      <c r="U1452" s="5"/>
      <c r="V1452" s="5"/>
      <c r="W1452" s="5"/>
      <c r="X1452" s="1120"/>
      <c r="Y1452" s="1120"/>
      <c r="Z1452" s="5"/>
      <c r="AA1452" s="5"/>
      <c r="AB1452" s="1135"/>
      <c r="AC1452" s="5"/>
      <c r="AD1452" s="5"/>
      <c r="AE1452" s="5"/>
      <c r="AF1452" s="1120"/>
      <c r="AG1452" s="1148"/>
      <c r="AH1452" s="1120"/>
      <c r="AI1452" s="1120"/>
      <c r="AJ1452" s="1120"/>
    </row>
    <row r="1453" spans="2:36" ht="30" customHeight="1" x14ac:dyDescent="0.25">
      <c r="B1453" s="5"/>
      <c r="C1453" s="5"/>
      <c r="D1453" s="5"/>
      <c r="E1453" s="5"/>
      <c r="F1453" s="5"/>
      <c r="G1453" s="5"/>
      <c r="H1453" s="5"/>
      <c r="I1453" s="5"/>
      <c r="J1453" s="5"/>
      <c r="L1453" s="277"/>
      <c r="M1453" s="5"/>
      <c r="R1453" s="5"/>
      <c r="S1453" s="5"/>
      <c r="T1453" s="1120"/>
      <c r="U1453" s="5"/>
      <c r="V1453" s="5"/>
      <c r="W1453" s="5"/>
      <c r="X1453" s="1120"/>
      <c r="Y1453" s="1120"/>
      <c r="Z1453" s="5"/>
      <c r="AA1453" s="5"/>
      <c r="AB1453" s="1135"/>
      <c r="AC1453" s="5"/>
      <c r="AD1453" s="5"/>
      <c r="AE1453" s="5"/>
      <c r="AF1453" s="1120"/>
      <c r="AG1453" s="1148"/>
      <c r="AH1453" s="1120"/>
      <c r="AI1453" s="1120"/>
      <c r="AJ1453" s="1120"/>
    </row>
    <row r="1454" spans="2:36" ht="30" customHeight="1" x14ac:dyDescent="0.25">
      <c r="B1454" s="5"/>
      <c r="C1454" s="5"/>
      <c r="D1454" s="5"/>
      <c r="E1454" s="5"/>
      <c r="F1454" s="5"/>
      <c r="G1454" s="5"/>
      <c r="H1454" s="5"/>
      <c r="I1454" s="5"/>
      <c r="J1454" s="5"/>
      <c r="L1454" s="277"/>
      <c r="M1454" s="5"/>
      <c r="R1454" s="5"/>
      <c r="S1454" s="5"/>
      <c r="T1454" s="1120"/>
      <c r="U1454" s="5"/>
      <c r="V1454" s="5"/>
      <c r="W1454" s="5"/>
      <c r="X1454" s="1120"/>
      <c r="Y1454" s="1120"/>
      <c r="Z1454" s="5"/>
      <c r="AA1454" s="5"/>
      <c r="AB1454" s="1135"/>
      <c r="AC1454" s="5"/>
      <c r="AD1454" s="5"/>
      <c r="AE1454" s="5"/>
      <c r="AF1454" s="1120"/>
      <c r="AG1454" s="1148"/>
      <c r="AH1454" s="1120"/>
      <c r="AI1454" s="1120"/>
      <c r="AJ1454" s="1120"/>
    </row>
    <row r="1455" spans="2:36" ht="30" customHeight="1" x14ac:dyDescent="0.25">
      <c r="B1455" s="5"/>
      <c r="C1455" s="5"/>
      <c r="D1455" s="5"/>
      <c r="E1455" s="5"/>
      <c r="F1455" s="5"/>
      <c r="G1455" s="5"/>
      <c r="H1455" s="5"/>
      <c r="I1455" s="5"/>
      <c r="J1455" s="5"/>
      <c r="L1455" s="277"/>
      <c r="M1455" s="5"/>
      <c r="R1455" s="5"/>
      <c r="S1455" s="5"/>
      <c r="T1455" s="1120"/>
      <c r="U1455" s="5"/>
      <c r="V1455" s="5"/>
      <c r="W1455" s="5"/>
      <c r="X1455" s="1120"/>
      <c r="Y1455" s="1120"/>
      <c r="Z1455" s="5"/>
      <c r="AA1455" s="5"/>
      <c r="AB1455" s="1135"/>
      <c r="AC1455" s="5"/>
      <c r="AD1455" s="5"/>
      <c r="AE1455" s="5"/>
      <c r="AF1455" s="1120"/>
      <c r="AG1455" s="1148"/>
      <c r="AH1455" s="1120"/>
      <c r="AI1455" s="1120"/>
      <c r="AJ1455" s="1120"/>
    </row>
    <row r="1456" spans="2:36" ht="30" customHeight="1" x14ac:dyDescent="0.25">
      <c r="B1456" s="5"/>
      <c r="C1456" s="5"/>
      <c r="D1456" s="5"/>
      <c r="E1456" s="5"/>
      <c r="F1456" s="5"/>
      <c r="G1456" s="5"/>
      <c r="H1456" s="5"/>
      <c r="I1456" s="5"/>
      <c r="J1456" s="5"/>
      <c r="L1456" s="277"/>
      <c r="M1456" s="5"/>
      <c r="R1456" s="5"/>
      <c r="S1456" s="5"/>
      <c r="T1456" s="1120"/>
      <c r="U1456" s="5"/>
      <c r="V1456" s="5"/>
      <c r="W1456" s="5"/>
      <c r="X1456" s="1120"/>
      <c r="Y1456" s="1120"/>
      <c r="Z1456" s="5"/>
      <c r="AA1456" s="5"/>
      <c r="AB1456" s="1135"/>
      <c r="AC1456" s="5"/>
      <c r="AD1456" s="5"/>
      <c r="AE1456" s="5"/>
      <c r="AF1456" s="1120"/>
      <c r="AG1456" s="1148"/>
      <c r="AH1456" s="1120"/>
      <c r="AI1456" s="1120"/>
      <c r="AJ1456" s="1120"/>
    </row>
    <row r="1457" spans="2:36" ht="30" customHeight="1" x14ac:dyDescent="0.25">
      <c r="B1457" s="5"/>
      <c r="C1457" s="5"/>
      <c r="D1457" s="5"/>
      <c r="E1457" s="5"/>
      <c r="F1457" s="5"/>
      <c r="G1457" s="5"/>
      <c r="H1457" s="5"/>
      <c r="I1457" s="5"/>
      <c r="J1457" s="5"/>
      <c r="L1457" s="277"/>
      <c r="M1457" s="5"/>
      <c r="R1457" s="5"/>
      <c r="S1457" s="5"/>
      <c r="T1457" s="1120"/>
      <c r="U1457" s="5"/>
      <c r="V1457" s="5"/>
      <c r="W1457" s="5"/>
      <c r="X1457" s="1120"/>
      <c r="Y1457" s="1120"/>
      <c r="Z1457" s="5"/>
      <c r="AA1457" s="5"/>
      <c r="AB1457" s="1135"/>
      <c r="AC1457" s="5"/>
      <c r="AD1457" s="5"/>
      <c r="AE1457" s="5"/>
      <c r="AF1457" s="1120"/>
      <c r="AG1457" s="1148"/>
      <c r="AH1457" s="1120"/>
      <c r="AI1457" s="1120"/>
      <c r="AJ1457" s="1120"/>
    </row>
    <row r="1458" spans="2:36" ht="30" customHeight="1" x14ac:dyDescent="0.25">
      <c r="B1458" s="5"/>
      <c r="C1458" s="5"/>
      <c r="D1458" s="5"/>
      <c r="E1458" s="5"/>
      <c r="F1458" s="5"/>
      <c r="G1458" s="5"/>
      <c r="H1458" s="5"/>
      <c r="I1458" s="5"/>
      <c r="J1458" s="5"/>
      <c r="L1458" s="277"/>
      <c r="M1458" s="5"/>
      <c r="R1458" s="5"/>
      <c r="S1458" s="5"/>
      <c r="T1458" s="1120"/>
      <c r="U1458" s="5"/>
      <c r="V1458" s="5"/>
      <c r="W1458" s="5"/>
      <c r="X1458" s="1120"/>
      <c r="Y1458" s="1120"/>
      <c r="Z1458" s="5"/>
      <c r="AA1458" s="5"/>
      <c r="AB1458" s="1135"/>
      <c r="AC1458" s="5"/>
      <c r="AD1458" s="5"/>
      <c r="AE1458" s="5"/>
      <c r="AF1458" s="1120"/>
      <c r="AG1458" s="1148"/>
      <c r="AH1458" s="1120"/>
      <c r="AI1458" s="1120"/>
      <c r="AJ1458" s="1120"/>
    </row>
    <row r="1459" spans="2:36" ht="30" customHeight="1" x14ac:dyDescent="0.25">
      <c r="B1459" s="5"/>
      <c r="C1459" s="5"/>
      <c r="D1459" s="5"/>
      <c r="E1459" s="5"/>
      <c r="F1459" s="5"/>
      <c r="G1459" s="5"/>
      <c r="H1459" s="5"/>
      <c r="I1459" s="5"/>
      <c r="J1459" s="5"/>
      <c r="L1459" s="277"/>
      <c r="M1459" s="5"/>
      <c r="R1459" s="5"/>
      <c r="S1459" s="5"/>
      <c r="T1459" s="1120"/>
      <c r="U1459" s="5"/>
      <c r="V1459" s="5"/>
      <c r="W1459" s="5"/>
      <c r="X1459" s="1120"/>
      <c r="Y1459" s="1120"/>
      <c r="Z1459" s="5"/>
      <c r="AA1459" s="5"/>
      <c r="AB1459" s="1135"/>
      <c r="AC1459" s="5"/>
      <c r="AD1459" s="5"/>
      <c r="AE1459" s="5"/>
      <c r="AF1459" s="1120"/>
      <c r="AG1459" s="1148"/>
      <c r="AH1459" s="1120"/>
      <c r="AI1459" s="1120"/>
      <c r="AJ1459" s="1120"/>
    </row>
    <row r="1460" spans="2:36" ht="30" customHeight="1" x14ac:dyDescent="0.25">
      <c r="B1460" s="5"/>
      <c r="C1460" s="5"/>
      <c r="D1460" s="5"/>
      <c r="E1460" s="5"/>
      <c r="F1460" s="5"/>
      <c r="G1460" s="5"/>
      <c r="H1460" s="5"/>
      <c r="I1460" s="5"/>
      <c r="J1460" s="5"/>
      <c r="L1460" s="277"/>
      <c r="M1460" s="5"/>
      <c r="R1460" s="5"/>
      <c r="S1460" s="5"/>
      <c r="T1460" s="1120"/>
      <c r="U1460" s="5"/>
      <c r="V1460" s="5"/>
      <c r="W1460" s="5"/>
      <c r="X1460" s="1120"/>
      <c r="Y1460" s="1120"/>
      <c r="Z1460" s="5"/>
      <c r="AA1460" s="5"/>
      <c r="AB1460" s="1135"/>
      <c r="AC1460" s="5"/>
      <c r="AD1460" s="5"/>
      <c r="AE1460" s="5"/>
      <c r="AF1460" s="1120"/>
      <c r="AG1460" s="1148"/>
      <c r="AH1460" s="1120"/>
      <c r="AI1460" s="1120"/>
      <c r="AJ1460" s="1120"/>
    </row>
    <row r="1461" spans="2:36" ht="30" customHeight="1" x14ac:dyDescent="0.25">
      <c r="B1461" s="5"/>
      <c r="C1461" s="5"/>
      <c r="D1461" s="5"/>
      <c r="E1461" s="5"/>
      <c r="F1461" s="5"/>
      <c r="G1461" s="5"/>
      <c r="H1461" s="5"/>
      <c r="I1461" s="5"/>
      <c r="J1461" s="5"/>
      <c r="L1461" s="277"/>
      <c r="M1461" s="5"/>
      <c r="R1461" s="5"/>
      <c r="S1461" s="5"/>
      <c r="T1461" s="1120"/>
      <c r="U1461" s="5"/>
      <c r="V1461" s="5"/>
      <c r="W1461" s="5"/>
      <c r="X1461" s="1120"/>
      <c r="Y1461" s="1120"/>
      <c r="Z1461" s="5"/>
      <c r="AA1461" s="5"/>
      <c r="AB1461" s="1135"/>
      <c r="AC1461" s="5"/>
      <c r="AD1461" s="5"/>
      <c r="AE1461" s="5"/>
      <c r="AF1461" s="1120"/>
      <c r="AG1461" s="1148"/>
      <c r="AH1461" s="1120"/>
      <c r="AI1461" s="1120"/>
      <c r="AJ1461" s="1120"/>
    </row>
    <row r="1462" spans="2:36" ht="30" customHeight="1" x14ac:dyDescent="0.25">
      <c r="B1462" s="5"/>
      <c r="C1462" s="5"/>
      <c r="D1462" s="5"/>
      <c r="E1462" s="5"/>
      <c r="F1462" s="5"/>
      <c r="G1462" s="5"/>
      <c r="H1462" s="5"/>
      <c r="I1462" s="5"/>
      <c r="J1462" s="5"/>
      <c r="L1462" s="277"/>
      <c r="M1462" s="5"/>
      <c r="R1462" s="5"/>
      <c r="S1462" s="5"/>
      <c r="T1462" s="1120"/>
      <c r="U1462" s="5"/>
      <c r="V1462" s="5"/>
      <c r="W1462" s="5"/>
      <c r="X1462" s="1120"/>
      <c r="Y1462" s="1120"/>
      <c r="Z1462" s="5"/>
      <c r="AA1462" s="5"/>
      <c r="AB1462" s="1135"/>
      <c r="AC1462" s="5"/>
      <c r="AD1462" s="5"/>
      <c r="AE1462" s="5"/>
      <c r="AF1462" s="1120"/>
      <c r="AG1462" s="1148"/>
      <c r="AH1462" s="1120"/>
      <c r="AI1462" s="1120"/>
      <c r="AJ1462" s="1120"/>
    </row>
    <row r="1463" spans="2:36" ht="30" customHeight="1" x14ac:dyDescent="0.25">
      <c r="B1463" s="5"/>
      <c r="C1463" s="5"/>
      <c r="D1463" s="5"/>
      <c r="E1463" s="5"/>
      <c r="F1463" s="5"/>
      <c r="G1463" s="5"/>
      <c r="H1463" s="5"/>
      <c r="I1463" s="5"/>
      <c r="J1463" s="5"/>
      <c r="L1463" s="277"/>
      <c r="M1463" s="5"/>
      <c r="R1463" s="5"/>
      <c r="S1463" s="5"/>
      <c r="T1463" s="1120"/>
      <c r="U1463" s="5"/>
      <c r="V1463" s="5"/>
      <c r="W1463" s="5"/>
      <c r="X1463" s="1120"/>
      <c r="Y1463" s="1120"/>
      <c r="Z1463" s="5"/>
      <c r="AA1463" s="5"/>
      <c r="AB1463" s="1135"/>
      <c r="AC1463" s="5"/>
      <c r="AD1463" s="5"/>
      <c r="AE1463" s="5"/>
      <c r="AF1463" s="1120"/>
      <c r="AG1463" s="1148"/>
      <c r="AH1463" s="1120"/>
      <c r="AI1463" s="1120"/>
      <c r="AJ1463" s="1120"/>
    </row>
    <row r="1464" spans="2:36" ht="30" customHeight="1" x14ac:dyDescent="0.25">
      <c r="B1464" s="5"/>
      <c r="C1464" s="5"/>
      <c r="D1464" s="5"/>
      <c r="E1464" s="5"/>
      <c r="F1464" s="5"/>
      <c r="G1464" s="5"/>
      <c r="H1464" s="5"/>
      <c r="I1464" s="5"/>
      <c r="J1464" s="5"/>
      <c r="L1464" s="277"/>
      <c r="M1464" s="5"/>
      <c r="R1464" s="5"/>
      <c r="S1464" s="5"/>
      <c r="T1464" s="1120"/>
      <c r="U1464" s="5"/>
      <c r="V1464" s="5"/>
      <c r="W1464" s="5"/>
      <c r="X1464" s="1120"/>
      <c r="Y1464" s="1120"/>
      <c r="Z1464" s="5"/>
      <c r="AA1464" s="5"/>
      <c r="AB1464" s="1135"/>
      <c r="AC1464" s="5"/>
      <c r="AD1464" s="5"/>
      <c r="AE1464" s="5"/>
      <c r="AF1464" s="1120"/>
      <c r="AG1464" s="1148"/>
      <c r="AH1464" s="1120"/>
      <c r="AI1464" s="1120"/>
      <c r="AJ1464" s="1120"/>
    </row>
    <row r="1465" spans="2:36" ht="30" customHeight="1" x14ac:dyDescent="0.25">
      <c r="B1465" s="5"/>
      <c r="C1465" s="5"/>
      <c r="D1465" s="5"/>
      <c r="E1465" s="5"/>
      <c r="F1465" s="5"/>
      <c r="G1465" s="5"/>
      <c r="H1465" s="5"/>
      <c r="I1465" s="5"/>
      <c r="J1465" s="5"/>
      <c r="L1465" s="277"/>
      <c r="M1465" s="5"/>
      <c r="R1465" s="5"/>
      <c r="S1465" s="5"/>
      <c r="T1465" s="1120"/>
      <c r="U1465" s="5"/>
      <c r="V1465" s="5"/>
      <c r="W1465" s="5"/>
      <c r="X1465" s="1120"/>
      <c r="Y1465" s="1120"/>
      <c r="Z1465" s="5"/>
      <c r="AA1465" s="5"/>
      <c r="AB1465" s="1135"/>
      <c r="AC1465" s="5"/>
      <c r="AD1465" s="5"/>
      <c r="AE1465" s="5"/>
      <c r="AF1465" s="1120"/>
      <c r="AG1465" s="1148"/>
      <c r="AH1465" s="1120"/>
      <c r="AI1465" s="1120"/>
      <c r="AJ1465" s="1120"/>
    </row>
    <row r="1466" spans="2:36" ht="30" customHeight="1" x14ac:dyDescent="0.25">
      <c r="B1466" s="5"/>
      <c r="C1466" s="5"/>
      <c r="D1466" s="5"/>
      <c r="E1466" s="5"/>
      <c r="F1466" s="5"/>
      <c r="G1466" s="5"/>
      <c r="H1466" s="5"/>
      <c r="I1466" s="5"/>
      <c r="J1466" s="5"/>
      <c r="L1466" s="277"/>
      <c r="M1466" s="5"/>
      <c r="R1466" s="5"/>
      <c r="S1466" s="5"/>
      <c r="T1466" s="1120"/>
      <c r="U1466" s="5"/>
      <c r="V1466" s="5"/>
      <c r="W1466" s="5"/>
      <c r="X1466" s="1120"/>
      <c r="Y1466" s="1120"/>
      <c r="Z1466" s="5"/>
      <c r="AA1466" s="5"/>
      <c r="AB1466" s="1135"/>
      <c r="AC1466" s="5"/>
      <c r="AD1466" s="5"/>
      <c r="AE1466" s="5"/>
      <c r="AF1466" s="1120"/>
      <c r="AG1466" s="1148"/>
      <c r="AH1466" s="1120"/>
      <c r="AI1466" s="1120"/>
      <c r="AJ1466" s="1120"/>
    </row>
    <row r="1467" spans="2:36" ht="30" customHeight="1" x14ac:dyDescent="0.25">
      <c r="B1467" s="5"/>
      <c r="C1467" s="5"/>
      <c r="D1467" s="5"/>
      <c r="E1467" s="5"/>
      <c r="F1467" s="5"/>
      <c r="G1467" s="5"/>
      <c r="H1467" s="5"/>
      <c r="I1467" s="5"/>
      <c r="J1467" s="5"/>
      <c r="L1467" s="277"/>
      <c r="M1467" s="5"/>
      <c r="R1467" s="5"/>
      <c r="S1467" s="5"/>
      <c r="T1467" s="1120"/>
      <c r="U1467" s="5"/>
      <c r="V1467" s="5"/>
      <c r="W1467" s="5"/>
      <c r="X1467" s="1120"/>
      <c r="Y1467" s="1120"/>
      <c r="Z1467" s="5"/>
      <c r="AA1467" s="5"/>
      <c r="AB1467" s="1135"/>
      <c r="AC1467" s="5"/>
      <c r="AD1467" s="5"/>
      <c r="AE1467" s="5"/>
      <c r="AF1467" s="1120"/>
      <c r="AG1467" s="1148"/>
      <c r="AH1467" s="1120"/>
      <c r="AI1467" s="1120"/>
      <c r="AJ1467" s="1120"/>
    </row>
    <row r="1468" spans="2:36" ht="30" customHeight="1" x14ac:dyDescent="0.25">
      <c r="B1468" s="5"/>
      <c r="C1468" s="5"/>
      <c r="D1468" s="5"/>
      <c r="E1468" s="5"/>
      <c r="F1468" s="5"/>
      <c r="G1468" s="5"/>
      <c r="H1468" s="5"/>
      <c r="I1468" s="5"/>
      <c r="J1468" s="5"/>
      <c r="L1468" s="277"/>
      <c r="M1468" s="5"/>
      <c r="R1468" s="5"/>
      <c r="S1468" s="5"/>
      <c r="T1468" s="1120"/>
      <c r="U1468" s="5"/>
      <c r="V1468" s="5"/>
      <c r="W1468" s="5"/>
      <c r="X1468" s="1120"/>
      <c r="Y1468" s="1120"/>
      <c r="Z1468" s="5"/>
      <c r="AA1468" s="5"/>
      <c r="AB1468" s="1135"/>
      <c r="AC1468" s="5"/>
      <c r="AD1468" s="5"/>
      <c r="AE1468" s="5"/>
      <c r="AF1468" s="1120"/>
      <c r="AG1468" s="1148"/>
      <c r="AH1468" s="1120"/>
      <c r="AI1468" s="1120"/>
      <c r="AJ1468" s="1120"/>
    </row>
    <row r="1469" spans="2:36" ht="30" customHeight="1" x14ac:dyDescent="0.25">
      <c r="B1469" s="5"/>
      <c r="C1469" s="5"/>
      <c r="D1469" s="5"/>
      <c r="E1469" s="5"/>
      <c r="F1469" s="5"/>
      <c r="G1469" s="5"/>
      <c r="H1469" s="5"/>
      <c r="I1469" s="5"/>
      <c r="J1469" s="5"/>
      <c r="L1469" s="277"/>
      <c r="M1469" s="5"/>
      <c r="R1469" s="5"/>
      <c r="S1469" s="5"/>
      <c r="T1469" s="1120"/>
      <c r="U1469" s="5"/>
      <c r="V1469" s="5"/>
      <c r="W1469" s="5"/>
      <c r="X1469" s="1120"/>
      <c r="Y1469" s="1120"/>
      <c r="Z1469" s="5"/>
      <c r="AA1469" s="5"/>
      <c r="AB1469" s="1135"/>
      <c r="AC1469" s="5"/>
      <c r="AD1469" s="5"/>
      <c r="AE1469" s="5"/>
      <c r="AF1469" s="1120"/>
      <c r="AG1469" s="1148"/>
      <c r="AH1469" s="1120"/>
      <c r="AI1469" s="1120"/>
      <c r="AJ1469" s="1120"/>
    </row>
    <row r="1470" spans="2:36" ht="30" customHeight="1" x14ac:dyDescent="0.25">
      <c r="B1470" s="5"/>
      <c r="C1470" s="5"/>
      <c r="D1470" s="5"/>
      <c r="E1470" s="5"/>
      <c r="F1470" s="5"/>
      <c r="G1470" s="5"/>
      <c r="H1470" s="5"/>
      <c r="I1470" s="5"/>
      <c r="J1470" s="5"/>
      <c r="L1470" s="277"/>
      <c r="M1470" s="5"/>
      <c r="R1470" s="5"/>
      <c r="S1470" s="5"/>
      <c r="T1470" s="1120"/>
      <c r="U1470" s="5"/>
      <c r="V1470" s="5"/>
      <c r="W1470" s="5"/>
      <c r="X1470" s="1120"/>
      <c r="Y1470" s="1120"/>
      <c r="Z1470" s="5"/>
      <c r="AA1470" s="5"/>
      <c r="AB1470" s="1135"/>
      <c r="AC1470" s="5"/>
      <c r="AD1470" s="5"/>
      <c r="AE1470" s="5"/>
      <c r="AF1470" s="1120"/>
      <c r="AG1470" s="1148"/>
      <c r="AH1470" s="1120"/>
      <c r="AI1470" s="1120"/>
      <c r="AJ1470" s="1120"/>
    </row>
    <row r="1471" spans="2:36" ht="30" customHeight="1" x14ac:dyDescent="0.25">
      <c r="B1471" s="5"/>
      <c r="C1471" s="5"/>
      <c r="D1471" s="5"/>
      <c r="E1471" s="5"/>
      <c r="F1471" s="5"/>
      <c r="G1471" s="5"/>
      <c r="H1471" s="5"/>
      <c r="I1471" s="5"/>
      <c r="J1471" s="5"/>
      <c r="L1471" s="277"/>
      <c r="M1471" s="5"/>
      <c r="R1471" s="5"/>
      <c r="S1471" s="5"/>
      <c r="T1471" s="1120"/>
      <c r="U1471" s="5"/>
      <c r="V1471" s="5"/>
      <c r="W1471" s="5"/>
      <c r="X1471" s="1120"/>
      <c r="Y1471" s="1120"/>
      <c r="Z1471" s="5"/>
      <c r="AA1471" s="5"/>
      <c r="AB1471" s="1135"/>
      <c r="AC1471" s="5"/>
      <c r="AD1471" s="5"/>
      <c r="AE1471" s="5"/>
      <c r="AF1471" s="1120"/>
      <c r="AG1471" s="1148"/>
      <c r="AH1471" s="1120"/>
      <c r="AI1471" s="1120"/>
      <c r="AJ1471" s="1120"/>
    </row>
    <row r="1472" spans="2:36" ht="30" customHeight="1" x14ac:dyDescent="0.25">
      <c r="B1472" s="5"/>
      <c r="C1472" s="5"/>
      <c r="D1472" s="5"/>
      <c r="E1472" s="5"/>
      <c r="F1472" s="5"/>
      <c r="G1472" s="5"/>
      <c r="H1472" s="5"/>
      <c r="I1472" s="5"/>
      <c r="J1472" s="5"/>
      <c r="L1472" s="277"/>
      <c r="M1472" s="5"/>
      <c r="R1472" s="5"/>
      <c r="S1472" s="5"/>
      <c r="T1472" s="1120"/>
      <c r="U1472" s="5"/>
      <c r="V1472" s="5"/>
      <c r="W1472" s="5"/>
      <c r="X1472" s="1120"/>
      <c r="Y1472" s="1120"/>
      <c r="Z1472" s="5"/>
      <c r="AA1472" s="5"/>
      <c r="AB1472" s="1135"/>
      <c r="AC1472" s="5"/>
      <c r="AD1472" s="5"/>
      <c r="AE1472" s="5"/>
      <c r="AF1472" s="1120"/>
      <c r="AG1472" s="1148"/>
      <c r="AH1472" s="1120"/>
      <c r="AI1472" s="1120"/>
      <c r="AJ1472" s="1120"/>
    </row>
    <row r="1473" spans="2:36" ht="30" customHeight="1" x14ac:dyDescent="0.25">
      <c r="B1473" s="5"/>
      <c r="C1473" s="5"/>
      <c r="D1473" s="5"/>
      <c r="E1473" s="5"/>
      <c r="F1473" s="5"/>
      <c r="G1473" s="5"/>
      <c r="H1473" s="5"/>
      <c r="I1473" s="5"/>
      <c r="J1473" s="5"/>
      <c r="L1473" s="277"/>
      <c r="M1473" s="5"/>
      <c r="R1473" s="5"/>
      <c r="S1473" s="5"/>
      <c r="T1473" s="1120"/>
      <c r="U1473" s="5"/>
      <c r="V1473" s="5"/>
      <c r="W1473" s="5"/>
      <c r="X1473" s="1120"/>
      <c r="Y1473" s="1120"/>
      <c r="Z1473" s="5"/>
      <c r="AA1473" s="5"/>
      <c r="AB1473" s="1135"/>
      <c r="AC1473" s="5"/>
      <c r="AD1473" s="5"/>
      <c r="AE1473" s="5"/>
      <c r="AF1473" s="1120"/>
      <c r="AG1473" s="1148"/>
      <c r="AH1473" s="1120"/>
      <c r="AI1473" s="1120"/>
      <c r="AJ1473" s="1120"/>
    </row>
    <row r="1474" spans="2:36" ht="30" customHeight="1" x14ac:dyDescent="0.25">
      <c r="B1474" s="5"/>
      <c r="C1474" s="5"/>
      <c r="D1474" s="5"/>
      <c r="E1474" s="5"/>
      <c r="F1474" s="5"/>
      <c r="G1474" s="5"/>
      <c r="H1474" s="5"/>
      <c r="I1474" s="5"/>
      <c r="J1474" s="5"/>
      <c r="L1474" s="277"/>
      <c r="M1474" s="5"/>
      <c r="R1474" s="5"/>
      <c r="S1474" s="5"/>
      <c r="T1474" s="1120"/>
      <c r="U1474" s="5"/>
      <c r="V1474" s="5"/>
      <c r="W1474" s="5"/>
      <c r="X1474" s="1120"/>
      <c r="Y1474" s="1120"/>
      <c r="Z1474" s="5"/>
      <c r="AA1474" s="5"/>
      <c r="AB1474" s="1135"/>
      <c r="AC1474" s="5"/>
      <c r="AD1474" s="5"/>
      <c r="AE1474" s="5"/>
      <c r="AF1474" s="1120"/>
      <c r="AG1474" s="1148"/>
      <c r="AH1474" s="1120"/>
      <c r="AI1474" s="1120"/>
      <c r="AJ1474" s="1120"/>
    </row>
    <row r="1475" spans="2:36" ht="30" customHeight="1" x14ac:dyDescent="0.25">
      <c r="B1475" s="5"/>
      <c r="C1475" s="5"/>
      <c r="D1475" s="5"/>
      <c r="E1475" s="5"/>
      <c r="F1475" s="5"/>
      <c r="G1475" s="5"/>
      <c r="H1475" s="5"/>
      <c r="I1475" s="5"/>
      <c r="J1475" s="5"/>
      <c r="L1475" s="277"/>
      <c r="M1475" s="5"/>
      <c r="R1475" s="5"/>
      <c r="S1475" s="5"/>
      <c r="T1475" s="1120"/>
      <c r="U1475" s="5"/>
      <c r="V1475" s="5"/>
      <c r="W1475" s="5"/>
      <c r="X1475" s="1120"/>
      <c r="Y1475" s="1120"/>
      <c r="Z1475" s="5"/>
      <c r="AA1475" s="5"/>
      <c r="AB1475" s="1135"/>
      <c r="AC1475" s="5"/>
      <c r="AD1475" s="5"/>
      <c r="AE1475" s="5"/>
      <c r="AF1475" s="1120"/>
      <c r="AG1475" s="1148"/>
      <c r="AH1475" s="1120"/>
      <c r="AI1475" s="1120"/>
      <c r="AJ1475" s="1120"/>
    </row>
    <row r="1476" spans="2:36" ht="30" customHeight="1" x14ac:dyDescent="0.25">
      <c r="B1476" s="5"/>
      <c r="C1476" s="5"/>
      <c r="D1476" s="5"/>
      <c r="E1476" s="5"/>
      <c r="F1476" s="5"/>
      <c r="G1476" s="5"/>
      <c r="H1476" s="5"/>
      <c r="I1476" s="5"/>
      <c r="J1476" s="5"/>
      <c r="L1476" s="277"/>
      <c r="M1476" s="5"/>
      <c r="R1476" s="5"/>
      <c r="S1476" s="5"/>
      <c r="T1476" s="1120"/>
      <c r="U1476" s="5"/>
      <c r="V1476" s="5"/>
      <c r="W1476" s="5"/>
      <c r="X1476" s="1120"/>
      <c r="Y1476" s="1120"/>
      <c r="Z1476" s="5"/>
      <c r="AA1476" s="5"/>
      <c r="AB1476" s="1135"/>
      <c r="AC1476" s="5"/>
      <c r="AD1476" s="5"/>
      <c r="AE1476" s="5"/>
      <c r="AF1476" s="1120"/>
      <c r="AG1476" s="1148"/>
      <c r="AH1476" s="1120"/>
      <c r="AI1476" s="1120"/>
      <c r="AJ1476" s="1120"/>
    </row>
    <row r="1477" spans="2:36" ht="30" customHeight="1" x14ac:dyDescent="0.25">
      <c r="B1477" s="5"/>
      <c r="C1477" s="5"/>
      <c r="D1477" s="5"/>
      <c r="E1477" s="5"/>
      <c r="F1477" s="5"/>
      <c r="G1477" s="5"/>
      <c r="H1477" s="5"/>
      <c r="I1477" s="5"/>
      <c r="J1477" s="5"/>
      <c r="L1477" s="277"/>
      <c r="M1477" s="5"/>
      <c r="R1477" s="5"/>
      <c r="S1477" s="5"/>
      <c r="T1477" s="1120"/>
      <c r="U1477" s="5"/>
      <c r="V1477" s="5"/>
      <c r="W1477" s="5"/>
      <c r="X1477" s="1120"/>
      <c r="Y1477" s="1120"/>
      <c r="Z1477" s="5"/>
      <c r="AA1477" s="5"/>
      <c r="AB1477" s="1135"/>
      <c r="AC1477" s="5"/>
      <c r="AD1477" s="5"/>
      <c r="AE1477" s="5"/>
      <c r="AF1477" s="1120"/>
      <c r="AG1477" s="1148"/>
      <c r="AH1477" s="1120"/>
      <c r="AI1477" s="1120"/>
      <c r="AJ1477" s="1120"/>
    </row>
    <row r="1478" spans="2:36" ht="30" customHeight="1" x14ac:dyDescent="0.25">
      <c r="B1478" s="5"/>
      <c r="C1478" s="5"/>
      <c r="D1478" s="5"/>
      <c r="E1478" s="5"/>
      <c r="F1478" s="5"/>
      <c r="G1478" s="5"/>
      <c r="H1478" s="5"/>
      <c r="I1478" s="5"/>
      <c r="J1478" s="5"/>
      <c r="L1478" s="277"/>
      <c r="M1478" s="5"/>
      <c r="R1478" s="5"/>
      <c r="S1478" s="5"/>
      <c r="T1478" s="1120"/>
      <c r="U1478" s="5"/>
      <c r="V1478" s="5"/>
      <c r="W1478" s="5"/>
      <c r="X1478" s="1120"/>
      <c r="Y1478" s="1120"/>
      <c r="Z1478" s="5"/>
      <c r="AA1478" s="5"/>
      <c r="AB1478" s="1135"/>
      <c r="AC1478" s="5"/>
      <c r="AD1478" s="5"/>
      <c r="AE1478" s="5"/>
      <c r="AF1478" s="1120"/>
      <c r="AG1478" s="1148"/>
      <c r="AH1478" s="1120"/>
      <c r="AI1478" s="1120"/>
      <c r="AJ1478" s="1120"/>
    </row>
    <row r="1479" spans="2:36" ht="30" customHeight="1" x14ac:dyDescent="0.25">
      <c r="B1479" s="5"/>
      <c r="C1479" s="5"/>
      <c r="D1479" s="5"/>
      <c r="E1479" s="5"/>
      <c r="F1479" s="5"/>
      <c r="G1479" s="5"/>
      <c r="H1479" s="5"/>
      <c r="I1479" s="5"/>
      <c r="J1479" s="5"/>
      <c r="L1479" s="277"/>
      <c r="M1479" s="5"/>
      <c r="R1479" s="5"/>
      <c r="S1479" s="5"/>
      <c r="T1479" s="1120"/>
      <c r="U1479" s="5"/>
      <c r="V1479" s="5"/>
      <c r="W1479" s="5"/>
      <c r="X1479" s="1120"/>
      <c r="Y1479" s="1120"/>
      <c r="Z1479" s="5"/>
      <c r="AA1479" s="5"/>
      <c r="AB1479" s="1135"/>
      <c r="AC1479" s="5"/>
      <c r="AD1479" s="5"/>
      <c r="AE1479" s="5"/>
      <c r="AF1479" s="1120"/>
      <c r="AG1479" s="1148"/>
      <c r="AH1479" s="1120"/>
      <c r="AI1479" s="1120"/>
      <c r="AJ1479" s="1120"/>
    </row>
    <row r="1480" spans="2:36" ht="30" customHeight="1" x14ac:dyDescent="0.25">
      <c r="B1480" s="5"/>
      <c r="C1480" s="5"/>
      <c r="D1480" s="5"/>
      <c r="E1480" s="5"/>
      <c r="F1480" s="5"/>
      <c r="G1480" s="5"/>
      <c r="H1480" s="5"/>
      <c r="I1480" s="5"/>
      <c r="J1480" s="5"/>
      <c r="L1480" s="277"/>
      <c r="M1480" s="5"/>
      <c r="R1480" s="5"/>
      <c r="S1480" s="5"/>
      <c r="T1480" s="1120"/>
      <c r="U1480" s="5"/>
      <c r="V1480" s="5"/>
      <c r="W1480" s="5"/>
      <c r="X1480" s="1120"/>
      <c r="Y1480" s="1120"/>
      <c r="Z1480" s="5"/>
      <c r="AA1480" s="5"/>
      <c r="AB1480" s="1135"/>
      <c r="AC1480" s="5"/>
      <c r="AD1480" s="5"/>
      <c r="AE1480" s="5"/>
      <c r="AF1480" s="1120"/>
      <c r="AG1480" s="1148"/>
      <c r="AH1480" s="1120"/>
      <c r="AI1480" s="1120"/>
      <c r="AJ1480" s="1120"/>
    </row>
    <row r="1481" spans="2:36" ht="30" customHeight="1" x14ac:dyDescent="0.25">
      <c r="B1481" s="5"/>
      <c r="C1481" s="5"/>
      <c r="D1481" s="5"/>
      <c r="E1481" s="5"/>
      <c r="F1481" s="5"/>
      <c r="G1481" s="5"/>
      <c r="H1481" s="5"/>
      <c r="I1481" s="5"/>
      <c r="J1481" s="5"/>
      <c r="L1481" s="277"/>
      <c r="M1481" s="5"/>
      <c r="R1481" s="5"/>
      <c r="S1481" s="5"/>
      <c r="T1481" s="1120"/>
      <c r="U1481" s="5"/>
      <c r="V1481" s="5"/>
      <c r="W1481" s="5"/>
      <c r="X1481" s="1120"/>
      <c r="Y1481" s="1120"/>
      <c r="Z1481" s="5"/>
      <c r="AA1481" s="5"/>
      <c r="AB1481" s="1135"/>
      <c r="AC1481" s="5"/>
      <c r="AD1481" s="5"/>
      <c r="AE1481" s="5"/>
      <c r="AF1481" s="1120"/>
      <c r="AG1481" s="1148"/>
      <c r="AH1481" s="1120"/>
      <c r="AI1481" s="1120"/>
      <c r="AJ1481" s="1120"/>
    </row>
    <row r="1482" spans="2:36" ht="30" customHeight="1" x14ac:dyDescent="0.25">
      <c r="B1482" s="5"/>
      <c r="C1482" s="5"/>
      <c r="D1482" s="5"/>
      <c r="E1482" s="5"/>
      <c r="F1482" s="5"/>
      <c r="G1482" s="5"/>
      <c r="H1482" s="5"/>
      <c r="I1482" s="5"/>
      <c r="J1482" s="5"/>
      <c r="L1482" s="277"/>
      <c r="M1482" s="5"/>
      <c r="R1482" s="5"/>
      <c r="S1482" s="5"/>
      <c r="T1482" s="1120"/>
      <c r="U1482" s="5"/>
      <c r="V1482" s="5"/>
      <c r="W1482" s="5"/>
      <c r="X1482" s="1120"/>
      <c r="Y1482" s="1120"/>
      <c r="Z1482" s="5"/>
      <c r="AA1482" s="5"/>
      <c r="AB1482" s="1135"/>
      <c r="AC1482" s="5"/>
      <c r="AD1482" s="5"/>
      <c r="AE1482" s="5"/>
      <c r="AF1482" s="1120"/>
      <c r="AG1482" s="1148"/>
      <c r="AH1482" s="1120"/>
      <c r="AI1482" s="1120"/>
      <c r="AJ1482" s="1120"/>
    </row>
    <row r="1483" spans="2:36" ht="30" customHeight="1" x14ac:dyDescent="0.25">
      <c r="B1483" s="5"/>
      <c r="C1483" s="5"/>
      <c r="D1483" s="5"/>
      <c r="E1483" s="5"/>
      <c r="F1483" s="5"/>
      <c r="G1483" s="5"/>
      <c r="H1483" s="5"/>
      <c r="I1483" s="5"/>
      <c r="J1483" s="5"/>
      <c r="L1483" s="277"/>
      <c r="M1483" s="5"/>
      <c r="R1483" s="5"/>
      <c r="S1483" s="5"/>
      <c r="T1483" s="1120"/>
      <c r="U1483" s="5"/>
      <c r="V1483" s="5"/>
      <c r="W1483" s="5"/>
      <c r="X1483" s="1120"/>
      <c r="Y1483" s="1120"/>
      <c r="Z1483" s="5"/>
      <c r="AA1483" s="5"/>
      <c r="AB1483" s="1135"/>
      <c r="AC1483" s="5"/>
      <c r="AD1483" s="5"/>
      <c r="AE1483" s="5"/>
      <c r="AF1483" s="1120"/>
      <c r="AG1483" s="1148"/>
      <c r="AH1483" s="1120"/>
      <c r="AI1483" s="1120"/>
      <c r="AJ1483" s="1120"/>
    </row>
    <row r="1484" spans="2:36" ht="30" customHeight="1" x14ac:dyDescent="0.25">
      <c r="B1484" s="5"/>
      <c r="C1484" s="5"/>
      <c r="D1484" s="5"/>
      <c r="E1484" s="5"/>
      <c r="F1484" s="5"/>
      <c r="G1484" s="5"/>
      <c r="H1484" s="5"/>
      <c r="I1484" s="5"/>
      <c r="J1484" s="5"/>
      <c r="L1484" s="277"/>
      <c r="M1484" s="5"/>
      <c r="R1484" s="5"/>
      <c r="S1484" s="5"/>
      <c r="T1484" s="1120"/>
      <c r="U1484" s="5"/>
      <c r="V1484" s="5"/>
      <c r="W1484" s="5"/>
      <c r="X1484" s="1120"/>
      <c r="Y1484" s="1120"/>
      <c r="Z1484" s="5"/>
      <c r="AA1484" s="5"/>
      <c r="AB1484" s="1135"/>
      <c r="AC1484" s="5"/>
      <c r="AD1484" s="5"/>
      <c r="AE1484" s="5"/>
      <c r="AF1484" s="1120"/>
      <c r="AG1484" s="1148"/>
      <c r="AH1484" s="1120"/>
      <c r="AI1484" s="1120"/>
      <c r="AJ1484" s="1120"/>
    </row>
    <row r="1485" spans="2:36" ht="30" customHeight="1" x14ac:dyDescent="0.25">
      <c r="B1485" s="5"/>
      <c r="C1485" s="5"/>
      <c r="D1485" s="5"/>
      <c r="E1485" s="5"/>
      <c r="F1485" s="5"/>
      <c r="G1485" s="5"/>
      <c r="H1485" s="5"/>
      <c r="I1485" s="5"/>
      <c r="J1485" s="5"/>
      <c r="L1485" s="277"/>
      <c r="M1485" s="5"/>
      <c r="R1485" s="5"/>
      <c r="S1485" s="5"/>
      <c r="T1485" s="1120"/>
      <c r="U1485" s="5"/>
      <c r="V1485" s="5"/>
      <c r="W1485" s="5"/>
      <c r="X1485" s="1120"/>
      <c r="Y1485" s="1120"/>
      <c r="Z1485" s="5"/>
      <c r="AA1485" s="5"/>
      <c r="AB1485" s="1135"/>
      <c r="AC1485" s="5"/>
      <c r="AD1485" s="5"/>
      <c r="AE1485" s="5"/>
      <c r="AF1485" s="1120"/>
      <c r="AG1485" s="1148"/>
      <c r="AH1485" s="1120"/>
      <c r="AI1485" s="1120"/>
      <c r="AJ1485" s="1120"/>
    </row>
    <row r="1486" spans="2:36" ht="30" customHeight="1" x14ac:dyDescent="0.25">
      <c r="B1486" s="5"/>
      <c r="C1486" s="5"/>
      <c r="D1486" s="5"/>
      <c r="E1486" s="5"/>
      <c r="F1486" s="5"/>
      <c r="G1486" s="5"/>
      <c r="H1486" s="5"/>
      <c r="I1486" s="5"/>
      <c r="J1486" s="5"/>
      <c r="L1486" s="277"/>
      <c r="M1486" s="5"/>
      <c r="R1486" s="5"/>
      <c r="S1486" s="5"/>
      <c r="T1486" s="1120"/>
      <c r="U1486" s="5"/>
      <c r="V1486" s="5"/>
      <c r="W1486" s="5"/>
      <c r="X1486" s="1120"/>
      <c r="Y1486" s="1120"/>
      <c r="Z1486" s="5"/>
      <c r="AA1486" s="5"/>
      <c r="AB1486" s="1135"/>
      <c r="AC1486" s="5"/>
      <c r="AD1486" s="5"/>
      <c r="AE1486" s="5"/>
      <c r="AF1486" s="1120"/>
      <c r="AG1486" s="1148"/>
      <c r="AH1486" s="1120"/>
      <c r="AI1486" s="1120"/>
      <c r="AJ1486" s="1120"/>
    </row>
    <row r="1487" spans="2:36" ht="30" customHeight="1" x14ac:dyDescent="0.25">
      <c r="B1487" s="5"/>
      <c r="C1487" s="5"/>
      <c r="D1487" s="5"/>
      <c r="E1487" s="5"/>
      <c r="F1487" s="5"/>
      <c r="G1487" s="5"/>
      <c r="H1487" s="5"/>
      <c r="I1487" s="5"/>
      <c r="J1487" s="5"/>
      <c r="L1487" s="277"/>
      <c r="M1487" s="5"/>
      <c r="R1487" s="5"/>
      <c r="S1487" s="5"/>
      <c r="T1487" s="1120"/>
      <c r="U1487" s="5"/>
      <c r="V1487" s="5"/>
      <c r="W1487" s="5"/>
      <c r="X1487" s="1120"/>
      <c r="Y1487" s="1120"/>
      <c r="Z1487" s="5"/>
      <c r="AA1487" s="5"/>
      <c r="AB1487" s="1135"/>
      <c r="AC1487" s="5"/>
      <c r="AD1487" s="5"/>
      <c r="AE1487" s="5"/>
      <c r="AF1487" s="1120"/>
      <c r="AG1487" s="1148"/>
      <c r="AH1487" s="1120"/>
      <c r="AI1487" s="1120"/>
      <c r="AJ1487" s="1120"/>
    </row>
    <row r="1488" spans="2:36" ht="30" customHeight="1" x14ac:dyDescent="0.25">
      <c r="B1488" s="5"/>
      <c r="C1488" s="5"/>
      <c r="D1488" s="5"/>
      <c r="E1488" s="5"/>
      <c r="F1488" s="5"/>
      <c r="G1488" s="5"/>
      <c r="H1488" s="5"/>
      <c r="I1488" s="5"/>
      <c r="J1488" s="5"/>
      <c r="L1488" s="277"/>
      <c r="M1488" s="5"/>
      <c r="R1488" s="5"/>
      <c r="S1488" s="5"/>
      <c r="T1488" s="1120"/>
      <c r="U1488" s="5"/>
      <c r="V1488" s="5"/>
      <c r="W1488" s="5"/>
      <c r="X1488" s="1120"/>
      <c r="Y1488" s="1120"/>
      <c r="Z1488" s="5"/>
      <c r="AA1488" s="5"/>
      <c r="AB1488" s="1135"/>
      <c r="AC1488" s="5"/>
      <c r="AD1488" s="5"/>
      <c r="AE1488" s="5"/>
      <c r="AF1488" s="1120"/>
      <c r="AG1488" s="1148"/>
      <c r="AH1488" s="1120"/>
      <c r="AI1488" s="1120"/>
      <c r="AJ1488" s="1120"/>
    </row>
    <row r="1489" spans="2:36" ht="30" customHeight="1" x14ac:dyDescent="0.25">
      <c r="B1489" s="5"/>
      <c r="C1489" s="5"/>
      <c r="D1489" s="5"/>
      <c r="E1489" s="5"/>
      <c r="F1489" s="5"/>
      <c r="G1489" s="5"/>
      <c r="H1489" s="5"/>
      <c r="I1489" s="5"/>
      <c r="J1489" s="5"/>
      <c r="L1489" s="277"/>
      <c r="M1489" s="5"/>
      <c r="R1489" s="5"/>
      <c r="S1489" s="5"/>
      <c r="T1489" s="1120"/>
      <c r="U1489" s="5"/>
      <c r="V1489" s="5"/>
      <c r="W1489" s="5"/>
      <c r="X1489" s="1120"/>
      <c r="Y1489" s="1120"/>
      <c r="Z1489" s="5"/>
      <c r="AA1489" s="5"/>
      <c r="AB1489" s="1135"/>
      <c r="AC1489" s="5"/>
      <c r="AD1489" s="5"/>
      <c r="AE1489" s="5"/>
      <c r="AF1489" s="1120"/>
      <c r="AG1489" s="1148"/>
      <c r="AH1489" s="1120"/>
      <c r="AI1489" s="1120"/>
      <c r="AJ1489" s="1120"/>
    </row>
    <row r="1490" spans="2:36" ht="30" customHeight="1" x14ac:dyDescent="0.25">
      <c r="B1490" s="5"/>
      <c r="C1490" s="5"/>
      <c r="D1490" s="5"/>
      <c r="E1490" s="5"/>
      <c r="F1490" s="5"/>
      <c r="G1490" s="5"/>
      <c r="H1490" s="5"/>
      <c r="I1490" s="5"/>
      <c r="J1490" s="5"/>
      <c r="L1490" s="277"/>
      <c r="M1490" s="5"/>
      <c r="R1490" s="5"/>
      <c r="S1490" s="5"/>
      <c r="T1490" s="1120"/>
      <c r="U1490" s="5"/>
      <c r="V1490" s="5"/>
      <c r="W1490" s="5"/>
      <c r="X1490" s="1120"/>
      <c r="Y1490" s="1120"/>
      <c r="Z1490" s="5"/>
      <c r="AA1490" s="5"/>
      <c r="AB1490" s="1135"/>
      <c r="AC1490" s="5"/>
      <c r="AD1490" s="5"/>
      <c r="AE1490" s="5"/>
      <c r="AF1490" s="1120"/>
      <c r="AG1490" s="1148"/>
      <c r="AH1490" s="1120"/>
      <c r="AI1490" s="1120"/>
      <c r="AJ1490" s="1120"/>
    </row>
    <row r="1491" spans="2:36" ht="30" customHeight="1" x14ac:dyDescent="0.25">
      <c r="B1491" s="5"/>
      <c r="C1491" s="5"/>
      <c r="D1491" s="5"/>
      <c r="E1491" s="5"/>
      <c r="F1491" s="5"/>
      <c r="G1491" s="5"/>
      <c r="H1491" s="5"/>
      <c r="I1491" s="5"/>
      <c r="J1491" s="5"/>
      <c r="L1491" s="277"/>
      <c r="M1491" s="5"/>
      <c r="R1491" s="5"/>
      <c r="S1491" s="5"/>
      <c r="T1491" s="1120"/>
      <c r="U1491" s="5"/>
      <c r="V1491" s="5"/>
      <c r="W1491" s="5"/>
      <c r="X1491" s="1120"/>
      <c r="Y1491" s="1120"/>
      <c r="Z1491" s="5"/>
      <c r="AA1491" s="5"/>
      <c r="AB1491" s="1135"/>
      <c r="AC1491" s="5"/>
      <c r="AD1491" s="5"/>
      <c r="AE1491" s="5"/>
      <c r="AF1491" s="1120"/>
      <c r="AG1491" s="1148"/>
      <c r="AH1491" s="1120"/>
      <c r="AI1491" s="1120"/>
      <c r="AJ1491" s="1120"/>
    </row>
    <row r="1492" spans="2:36" ht="30" customHeight="1" x14ac:dyDescent="0.25">
      <c r="B1492" s="5"/>
      <c r="C1492" s="5"/>
      <c r="D1492" s="5"/>
      <c r="E1492" s="5"/>
      <c r="F1492" s="5"/>
      <c r="G1492" s="5"/>
      <c r="H1492" s="5"/>
      <c r="I1492" s="5"/>
      <c r="J1492" s="5"/>
      <c r="L1492" s="277"/>
      <c r="M1492" s="5"/>
      <c r="R1492" s="5"/>
      <c r="S1492" s="5"/>
      <c r="T1492" s="1120"/>
      <c r="U1492" s="5"/>
      <c r="V1492" s="5"/>
      <c r="W1492" s="5"/>
      <c r="X1492" s="1120"/>
      <c r="Y1492" s="1120"/>
      <c r="Z1492" s="5"/>
      <c r="AA1492" s="5"/>
      <c r="AB1492" s="1135"/>
      <c r="AC1492" s="5"/>
      <c r="AD1492" s="5"/>
      <c r="AE1492" s="5"/>
      <c r="AF1492" s="1120"/>
      <c r="AG1492" s="1148"/>
      <c r="AH1492" s="1120"/>
      <c r="AI1492" s="1120"/>
      <c r="AJ1492" s="1120"/>
    </row>
    <row r="1493" spans="2:36" ht="30" customHeight="1" x14ac:dyDescent="0.25">
      <c r="B1493" s="5"/>
      <c r="C1493" s="5"/>
      <c r="D1493" s="5"/>
      <c r="E1493" s="5"/>
      <c r="F1493" s="5"/>
      <c r="G1493" s="5"/>
      <c r="H1493" s="5"/>
      <c r="I1493" s="5"/>
      <c r="J1493" s="5"/>
      <c r="L1493" s="277"/>
      <c r="M1493" s="5"/>
      <c r="R1493" s="5"/>
      <c r="S1493" s="5"/>
      <c r="T1493" s="1120"/>
      <c r="U1493" s="5"/>
      <c r="V1493" s="5"/>
      <c r="W1493" s="5"/>
      <c r="X1493" s="1120"/>
      <c r="Y1493" s="1120"/>
      <c r="Z1493" s="5"/>
      <c r="AA1493" s="5"/>
      <c r="AB1493" s="1135"/>
      <c r="AC1493" s="5"/>
      <c r="AD1493" s="5"/>
      <c r="AE1493" s="5"/>
      <c r="AF1493" s="1120"/>
      <c r="AG1493" s="1148"/>
      <c r="AH1493" s="1120"/>
      <c r="AI1493" s="1120"/>
      <c r="AJ1493" s="1120"/>
    </row>
    <row r="1494" spans="2:36" ht="30" customHeight="1" x14ac:dyDescent="0.25">
      <c r="B1494" s="5"/>
      <c r="C1494" s="5"/>
      <c r="D1494" s="5"/>
      <c r="E1494" s="5"/>
      <c r="F1494" s="5"/>
      <c r="G1494" s="5"/>
      <c r="H1494" s="5"/>
      <c r="I1494" s="5"/>
      <c r="J1494" s="5"/>
      <c r="L1494" s="277"/>
      <c r="M1494" s="5"/>
      <c r="R1494" s="5"/>
      <c r="S1494" s="5"/>
      <c r="T1494" s="1120"/>
      <c r="U1494" s="5"/>
      <c r="V1494" s="5"/>
      <c r="W1494" s="5"/>
      <c r="X1494" s="1120"/>
      <c r="Y1494" s="1120"/>
      <c r="Z1494" s="5"/>
      <c r="AA1494" s="5"/>
      <c r="AB1494" s="1135"/>
      <c r="AC1494" s="5"/>
      <c r="AD1494" s="5"/>
      <c r="AE1494" s="5"/>
      <c r="AF1494" s="1120"/>
      <c r="AG1494" s="1148"/>
      <c r="AH1494" s="1120"/>
      <c r="AI1494" s="1120"/>
      <c r="AJ1494" s="1120"/>
    </row>
    <row r="1495" spans="2:36" ht="30" customHeight="1" x14ac:dyDescent="0.25">
      <c r="B1495" s="5"/>
      <c r="C1495" s="5"/>
      <c r="D1495" s="5"/>
      <c r="E1495" s="5"/>
      <c r="F1495" s="5"/>
      <c r="G1495" s="5"/>
      <c r="H1495" s="5"/>
      <c r="I1495" s="5"/>
      <c r="J1495" s="5"/>
      <c r="L1495" s="277"/>
      <c r="M1495" s="5"/>
      <c r="R1495" s="5"/>
      <c r="S1495" s="5"/>
      <c r="T1495" s="1120"/>
      <c r="U1495" s="5"/>
      <c r="V1495" s="5"/>
      <c r="W1495" s="5"/>
      <c r="X1495" s="1120"/>
      <c r="Y1495" s="1120"/>
      <c r="Z1495" s="5"/>
      <c r="AA1495" s="5"/>
      <c r="AB1495" s="1135"/>
      <c r="AC1495" s="5"/>
      <c r="AD1495" s="5"/>
      <c r="AE1495" s="5"/>
      <c r="AF1495" s="1120"/>
      <c r="AG1495" s="1148"/>
      <c r="AH1495" s="1120"/>
      <c r="AI1495" s="1120"/>
      <c r="AJ1495" s="1120"/>
    </row>
    <row r="1496" spans="2:36" ht="30" customHeight="1" x14ac:dyDescent="0.25">
      <c r="B1496" s="5"/>
      <c r="C1496" s="5"/>
      <c r="D1496" s="5"/>
      <c r="E1496" s="5"/>
      <c r="F1496" s="5"/>
      <c r="G1496" s="5"/>
      <c r="H1496" s="5"/>
      <c r="I1496" s="5"/>
      <c r="J1496" s="5"/>
      <c r="L1496" s="277"/>
      <c r="M1496" s="5"/>
      <c r="R1496" s="5"/>
      <c r="S1496" s="5"/>
      <c r="T1496" s="1120"/>
      <c r="U1496" s="5"/>
      <c r="V1496" s="5"/>
      <c r="W1496" s="5"/>
      <c r="X1496" s="1120"/>
      <c r="Y1496" s="1120"/>
      <c r="Z1496" s="5"/>
      <c r="AA1496" s="5"/>
      <c r="AB1496" s="1135"/>
      <c r="AC1496" s="5"/>
      <c r="AD1496" s="5"/>
      <c r="AE1496" s="5"/>
      <c r="AF1496" s="1120"/>
      <c r="AG1496" s="1148"/>
      <c r="AH1496" s="1120"/>
      <c r="AI1496" s="1120"/>
      <c r="AJ1496" s="1120"/>
    </row>
    <row r="1497" spans="2:36" ht="30" customHeight="1" x14ac:dyDescent="0.25">
      <c r="B1497" s="5"/>
      <c r="C1497" s="5"/>
      <c r="D1497" s="5"/>
      <c r="E1497" s="5"/>
      <c r="F1497" s="5"/>
      <c r="G1497" s="5"/>
      <c r="H1497" s="5"/>
      <c r="I1497" s="5"/>
      <c r="J1497" s="5"/>
      <c r="L1497" s="277"/>
      <c r="M1497" s="5"/>
      <c r="R1497" s="5"/>
      <c r="S1497" s="5"/>
      <c r="T1497" s="1120"/>
      <c r="U1497" s="5"/>
      <c r="V1497" s="5"/>
      <c r="W1497" s="5"/>
      <c r="X1497" s="1120"/>
      <c r="Y1497" s="1120"/>
      <c r="Z1497" s="5"/>
      <c r="AA1497" s="5"/>
      <c r="AB1497" s="1135"/>
      <c r="AC1497" s="5"/>
      <c r="AD1497" s="5"/>
      <c r="AE1497" s="5"/>
      <c r="AF1497" s="1120"/>
      <c r="AG1497" s="1148"/>
      <c r="AH1497" s="1120"/>
      <c r="AI1497" s="1120"/>
      <c r="AJ1497" s="1120"/>
    </row>
    <row r="1498" spans="2:36" ht="30" customHeight="1" x14ac:dyDescent="0.25">
      <c r="B1498" s="5"/>
      <c r="C1498" s="5"/>
      <c r="D1498" s="5"/>
      <c r="E1498" s="5"/>
      <c r="F1498" s="5"/>
      <c r="G1498" s="5"/>
      <c r="H1498" s="5"/>
      <c r="I1498" s="5"/>
      <c r="J1498" s="5"/>
      <c r="L1498" s="277"/>
      <c r="M1498" s="5"/>
      <c r="R1498" s="5"/>
      <c r="S1498" s="5"/>
      <c r="T1498" s="1120"/>
      <c r="U1498" s="5"/>
      <c r="V1498" s="5"/>
      <c r="W1498" s="5"/>
      <c r="X1498" s="1120"/>
      <c r="Y1498" s="1120"/>
      <c r="Z1498" s="5"/>
      <c r="AA1498" s="5"/>
      <c r="AB1498" s="1135"/>
      <c r="AC1498" s="5"/>
      <c r="AD1498" s="5"/>
      <c r="AE1498" s="5"/>
      <c r="AF1498" s="1120"/>
      <c r="AG1498" s="1148"/>
      <c r="AH1498" s="1120"/>
      <c r="AI1498" s="1120"/>
      <c r="AJ1498" s="1120"/>
    </row>
    <row r="1499" spans="2:36" ht="30" customHeight="1" x14ac:dyDescent="0.25">
      <c r="B1499" s="5"/>
      <c r="C1499" s="5"/>
      <c r="D1499" s="5"/>
      <c r="E1499" s="5"/>
      <c r="F1499" s="5"/>
      <c r="G1499" s="5"/>
      <c r="H1499" s="5"/>
      <c r="I1499" s="5"/>
      <c r="J1499" s="5"/>
      <c r="L1499" s="277"/>
      <c r="M1499" s="5"/>
      <c r="R1499" s="5"/>
      <c r="S1499" s="5"/>
      <c r="T1499" s="1120"/>
      <c r="U1499" s="5"/>
      <c r="V1499" s="5"/>
      <c r="W1499" s="5"/>
      <c r="X1499" s="1120"/>
      <c r="Y1499" s="1120"/>
      <c r="Z1499" s="5"/>
      <c r="AA1499" s="5"/>
      <c r="AB1499" s="1135"/>
      <c r="AC1499" s="5"/>
      <c r="AD1499" s="5"/>
      <c r="AE1499" s="5"/>
      <c r="AF1499" s="1120"/>
      <c r="AG1499" s="1148"/>
      <c r="AH1499" s="1120"/>
      <c r="AI1499" s="1120"/>
      <c r="AJ1499" s="1120"/>
    </row>
    <row r="1500" spans="2:36" ht="30" customHeight="1" x14ac:dyDescent="0.25">
      <c r="B1500" s="5"/>
      <c r="C1500" s="5"/>
      <c r="D1500" s="5"/>
      <c r="E1500" s="5"/>
      <c r="F1500" s="5"/>
      <c r="G1500" s="5"/>
      <c r="H1500" s="5"/>
      <c r="I1500" s="5"/>
      <c r="J1500" s="5"/>
      <c r="L1500" s="277"/>
      <c r="M1500" s="5"/>
      <c r="R1500" s="5"/>
      <c r="S1500" s="5"/>
      <c r="T1500" s="1120"/>
      <c r="U1500" s="5"/>
      <c r="V1500" s="5"/>
      <c r="W1500" s="5"/>
      <c r="X1500" s="1120"/>
      <c r="Y1500" s="1120"/>
      <c r="Z1500" s="5"/>
      <c r="AA1500" s="5"/>
      <c r="AB1500" s="1135"/>
      <c r="AC1500" s="5"/>
      <c r="AD1500" s="5"/>
      <c r="AE1500" s="5"/>
      <c r="AF1500" s="1120"/>
      <c r="AG1500" s="1148"/>
      <c r="AH1500" s="1120"/>
      <c r="AI1500" s="1120"/>
      <c r="AJ1500" s="1120"/>
    </row>
    <row r="1501" spans="2:36" ht="30" customHeight="1" x14ac:dyDescent="0.25">
      <c r="B1501" s="5"/>
      <c r="C1501" s="5"/>
      <c r="D1501" s="5"/>
      <c r="E1501" s="5"/>
      <c r="F1501" s="5"/>
      <c r="G1501" s="5"/>
      <c r="H1501" s="5"/>
      <c r="I1501" s="5"/>
      <c r="J1501" s="5"/>
      <c r="L1501" s="277"/>
      <c r="M1501" s="5"/>
      <c r="R1501" s="5"/>
      <c r="S1501" s="5"/>
      <c r="T1501" s="1120"/>
      <c r="U1501" s="5"/>
      <c r="V1501" s="5"/>
      <c r="W1501" s="5"/>
      <c r="X1501" s="1120"/>
      <c r="Y1501" s="1120"/>
      <c r="Z1501" s="5"/>
      <c r="AA1501" s="5"/>
      <c r="AB1501" s="1135"/>
      <c r="AC1501" s="5"/>
      <c r="AD1501" s="5"/>
      <c r="AE1501" s="5"/>
      <c r="AF1501" s="1120"/>
      <c r="AG1501" s="1148"/>
      <c r="AH1501" s="1120"/>
      <c r="AI1501" s="1120"/>
      <c r="AJ1501" s="1120"/>
    </row>
    <row r="1502" spans="2:36" ht="30" customHeight="1" x14ac:dyDescent="0.25">
      <c r="B1502" s="5"/>
      <c r="C1502" s="5"/>
      <c r="D1502" s="5"/>
      <c r="E1502" s="5"/>
      <c r="F1502" s="5"/>
      <c r="G1502" s="5"/>
      <c r="H1502" s="5"/>
      <c r="I1502" s="5"/>
      <c r="J1502" s="5"/>
      <c r="L1502" s="277"/>
      <c r="M1502" s="5"/>
      <c r="R1502" s="5"/>
      <c r="S1502" s="5"/>
      <c r="T1502" s="1120"/>
      <c r="U1502" s="5"/>
      <c r="V1502" s="5"/>
      <c r="W1502" s="5"/>
      <c r="X1502" s="1120"/>
      <c r="Y1502" s="1120"/>
      <c r="Z1502" s="5"/>
      <c r="AA1502" s="5"/>
      <c r="AB1502" s="1135"/>
      <c r="AC1502" s="5"/>
      <c r="AD1502" s="5"/>
      <c r="AE1502" s="5"/>
      <c r="AF1502" s="1120"/>
      <c r="AG1502" s="1148"/>
      <c r="AH1502" s="1120"/>
      <c r="AI1502" s="1120"/>
      <c r="AJ1502" s="1120"/>
    </row>
    <row r="1503" spans="2:36" ht="30" customHeight="1" x14ac:dyDescent="0.25">
      <c r="B1503" s="5"/>
      <c r="C1503" s="5"/>
      <c r="D1503" s="5"/>
      <c r="E1503" s="5"/>
      <c r="F1503" s="5"/>
      <c r="G1503" s="5"/>
      <c r="H1503" s="5"/>
      <c r="I1503" s="5"/>
      <c r="J1503" s="5"/>
      <c r="L1503" s="277"/>
      <c r="M1503" s="5"/>
      <c r="R1503" s="5"/>
      <c r="S1503" s="5"/>
      <c r="T1503" s="1120"/>
      <c r="U1503" s="5"/>
      <c r="V1503" s="5"/>
      <c r="W1503" s="5"/>
      <c r="X1503" s="1120"/>
      <c r="Y1503" s="1120"/>
      <c r="Z1503" s="5"/>
      <c r="AA1503" s="5"/>
      <c r="AB1503" s="1135"/>
      <c r="AC1503" s="5"/>
      <c r="AD1503" s="5"/>
      <c r="AE1503" s="5"/>
      <c r="AF1503" s="1120"/>
      <c r="AG1503" s="1148"/>
      <c r="AH1503" s="1120"/>
      <c r="AI1503" s="1120"/>
      <c r="AJ1503" s="1120"/>
    </row>
    <row r="1504" spans="2:36" ht="30" customHeight="1" x14ac:dyDescent="0.25">
      <c r="B1504" s="5"/>
      <c r="C1504" s="5"/>
      <c r="D1504" s="5"/>
      <c r="E1504" s="5"/>
      <c r="F1504" s="5"/>
      <c r="G1504" s="5"/>
      <c r="H1504" s="5"/>
      <c r="I1504" s="5"/>
      <c r="J1504" s="5"/>
      <c r="L1504" s="277"/>
      <c r="M1504" s="5"/>
      <c r="R1504" s="5"/>
      <c r="S1504" s="5"/>
      <c r="T1504" s="1120"/>
      <c r="U1504" s="5"/>
      <c r="V1504" s="5"/>
      <c r="W1504" s="5"/>
      <c r="X1504" s="1120"/>
      <c r="Y1504" s="1120"/>
      <c r="Z1504" s="5"/>
      <c r="AA1504" s="5"/>
      <c r="AB1504" s="1135"/>
      <c r="AC1504" s="5"/>
      <c r="AD1504" s="5"/>
      <c r="AE1504" s="5"/>
      <c r="AF1504" s="1120"/>
      <c r="AG1504" s="1148"/>
      <c r="AH1504" s="1120"/>
      <c r="AI1504" s="1120"/>
      <c r="AJ1504" s="1120"/>
    </row>
    <row r="1505" spans="2:36" ht="30" customHeight="1" x14ac:dyDescent="0.25">
      <c r="B1505" s="5"/>
      <c r="C1505" s="5"/>
      <c r="D1505" s="5"/>
      <c r="E1505" s="5"/>
      <c r="F1505" s="5"/>
      <c r="G1505" s="5"/>
      <c r="H1505" s="5"/>
      <c r="I1505" s="5"/>
      <c r="J1505" s="5"/>
      <c r="L1505" s="277"/>
      <c r="M1505" s="5"/>
      <c r="R1505" s="5"/>
      <c r="S1505" s="5"/>
      <c r="T1505" s="1120"/>
      <c r="U1505" s="5"/>
      <c r="V1505" s="5"/>
      <c r="W1505" s="5"/>
      <c r="X1505" s="1120"/>
      <c r="Y1505" s="1120"/>
      <c r="Z1505" s="5"/>
      <c r="AA1505" s="5"/>
      <c r="AB1505" s="1135"/>
      <c r="AC1505" s="5"/>
      <c r="AD1505" s="5"/>
      <c r="AE1505" s="5"/>
      <c r="AF1505" s="1120"/>
      <c r="AG1505" s="1148"/>
      <c r="AH1505" s="1120"/>
      <c r="AI1505" s="1120"/>
      <c r="AJ1505" s="1120"/>
    </row>
    <row r="1506" spans="2:36" ht="30" customHeight="1" x14ac:dyDescent="0.25">
      <c r="B1506" s="5"/>
      <c r="C1506" s="5"/>
      <c r="D1506" s="5"/>
      <c r="E1506" s="5"/>
      <c r="F1506" s="5"/>
      <c r="G1506" s="5"/>
      <c r="H1506" s="5"/>
      <c r="I1506" s="5"/>
      <c r="J1506" s="5"/>
      <c r="L1506" s="277"/>
      <c r="M1506" s="5"/>
      <c r="R1506" s="5"/>
      <c r="S1506" s="5"/>
      <c r="T1506" s="1120"/>
      <c r="U1506" s="5"/>
      <c r="V1506" s="5"/>
      <c r="W1506" s="5"/>
      <c r="X1506" s="1120"/>
      <c r="Y1506" s="1120"/>
      <c r="Z1506" s="5"/>
      <c r="AA1506" s="5"/>
      <c r="AB1506" s="1135"/>
      <c r="AC1506" s="5"/>
      <c r="AD1506" s="5"/>
      <c r="AE1506" s="5"/>
      <c r="AF1506" s="1120"/>
      <c r="AG1506" s="1148"/>
      <c r="AH1506" s="1120"/>
      <c r="AI1506" s="1120"/>
      <c r="AJ1506" s="1120"/>
    </row>
    <row r="1507" spans="2:36" ht="30" customHeight="1" x14ac:dyDescent="0.25">
      <c r="B1507" s="5"/>
      <c r="C1507" s="5"/>
      <c r="D1507" s="5"/>
      <c r="E1507" s="5"/>
      <c r="F1507" s="5"/>
      <c r="G1507" s="5"/>
      <c r="H1507" s="5"/>
      <c r="I1507" s="5"/>
      <c r="J1507" s="5"/>
      <c r="L1507" s="277"/>
      <c r="M1507" s="5"/>
      <c r="R1507" s="5"/>
      <c r="S1507" s="5"/>
      <c r="T1507" s="1120"/>
      <c r="U1507" s="5"/>
      <c r="V1507" s="5"/>
      <c r="W1507" s="5"/>
      <c r="X1507" s="1120"/>
      <c r="Y1507" s="1120"/>
      <c r="Z1507" s="5"/>
      <c r="AA1507" s="5"/>
      <c r="AB1507" s="1135"/>
      <c r="AC1507" s="5"/>
      <c r="AD1507" s="5"/>
      <c r="AE1507" s="5"/>
      <c r="AF1507" s="1120"/>
      <c r="AG1507" s="1148"/>
      <c r="AH1507" s="1120"/>
      <c r="AI1507" s="1120"/>
      <c r="AJ1507" s="1120"/>
    </row>
    <row r="1508" spans="2:36" ht="30" customHeight="1" x14ac:dyDescent="0.25">
      <c r="B1508" s="5"/>
      <c r="C1508" s="5"/>
      <c r="D1508" s="5"/>
      <c r="E1508" s="5"/>
      <c r="F1508" s="5"/>
      <c r="G1508" s="5"/>
      <c r="H1508" s="5"/>
      <c r="I1508" s="5"/>
      <c r="J1508" s="5"/>
      <c r="L1508" s="277"/>
      <c r="M1508" s="5"/>
      <c r="R1508" s="5"/>
      <c r="S1508" s="5"/>
      <c r="T1508" s="1120"/>
      <c r="U1508" s="5"/>
      <c r="V1508" s="5"/>
      <c r="W1508" s="5"/>
      <c r="X1508" s="1120"/>
      <c r="Y1508" s="1120"/>
      <c r="Z1508" s="5"/>
      <c r="AA1508" s="5"/>
      <c r="AB1508" s="1135"/>
      <c r="AC1508" s="5"/>
      <c r="AD1508" s="5"/>
      <c r="AE1508" s="5"/>
      <c r="AF1508" s="1120"/>
      <c r="AG1508" s="1148"/>
      <c r="AH1508" s="1120"/>
      <c r="AI1508" s="1120"/>
      <c r="AJ1508" s="1120"/>
    </row>
    <row r="1509" spans="2:36" ht="30" customHeight="1" x14ac:dyDescent="0.25">
      <c r="B1509" s="5"/>
      <c r="C1509" s="5"/>
      <c r="D1509" s="5"/>
      <c r="E1509" s="5"/>
      <c r="F1509" s="5"/>
      <c r="G1509" s="5"/>
      <c r="H1509" s="5"/>
      <c r="I1509" s="5"/>
      <c r="J1509" s="5"/>
      <c r="L1509" s="277"/>
      <c r="M1509" s="5"/>
      <c r="R1509" s="5"/>
      <c r="S1509" s="5"/>
      <c r="T1509" s="1120"/>
      <c r="U1509" s="5"/>
      <c r="V1509" s="5"/>
      <c r="W1509" s="5"/>
      <c r="X1509" s="1120"/>
      <c r="Y1509" s="1120"/>
      <c r="Z1509" s="5"/>
      <c r="AA1509" s="5"/>
      <c r="AB1509" s="1135"/>
      <c r="AC1509" s="5"/>
      <c r="AD1509" s="5"/>
      <c r="AE1509" s="5"/>
      <c r="AF1509" s="1120"/>
      <c r="AG1509" s="1148"/>
      <c r="AH1509" s="1120"/>
      <c r="AI1509" s="1120"/>
      <c r="AJ1509" s="1120"/>
    </row>
    <row r="1510" spans="2:36" ht="30" customHeight="1" x14ac:dyDescent="0.25">
      <c r="B1510" s="5"/>
      <c r="C1510" s="5"/>
      <c r="D1510" s="5"/>
      <c r="E1510" s="5"/>
      <c r="F1510" s="5"/>
      <c r="G1510" s="5"/>
      <c r="H1510" s="5"/>
      <c r="I1510" s="5"/>
      <c r="J1510" s="5"/>
      <c r="L1510" s="277"/>
      <c r="M1510" s="5"/>
      <c r="R1510" s="5"/>
      <c r="S1510" s="5"/>
      <c r="T1510" s="1120"/>
      <c r="U1510" s="5"/>
      <c r="V1510" s="5"/>
      <c r="W1510" s="5"/>
      <c r="X1510" s="1120"/>
      <c r="Y1510" s="1120"/>
      <c r="Z1510" s="5"/>
      <c r="AA1510" s="5"/>
      <c r="AB1510" s="1135"/>
      <c r="AC1510" s="5"/>
      <c r="AD1510" s="5"/>
      <c r="AE1510" s="5"/>
      <c r="AF1510" s="1120"/>
      <c r="AG1510" s="1148"/>
      <c r="AH1510" s="1120"/>
      <c r="AI1510" s="1120"/>
      <c r="AJ1510" s="1120"/>
    </row>
    <row r="1511" spans="2:36" ht="30" customHeight="1" x14ac:dyDescent="0.25">
      <c r="B1511" s="5"/>
      <c r="C1511" s="5"/>
      <c r="D1511" s="5"/>
      <c r="E1511" s="5"/>
      <c r="F1511" s="5"/>
      <c r="G1511" s="5"/>
      <c r="H1511" s="5"/>
      <c r="I1511" s="5"/>
      <c r="J1511" s="5"/>
      <c r="L1511" s="277"/>
      <c r="M1511" s="5"/>
      <c r="R1511" s="5"/>
      <c r="S1511" s="5"/>
      <c r="T1511" s="1120"/>
      <c r="U1511" s="5"/>
      <c r="V1511" s="5"/>
      <c r="W1511" s="5"/>
      <c r="X1511" s="1120"/>
      <c r="Y1511" s="1120"/>
      <c r="Z1511" s="5"/>
      <c r="AA1511" s="5"/>
      <c r="AB1511" s="1135"/>
      <c r="AC1511" s="5"/>
      <c r="AD1511" s="5"/>
      <c r="AE1511" s="5"/>
      <c r="AF1511" s="1120"/>
      <c r="AG1511" s="1148"/>
      <c r="AH1511" s="1120"/>
      <c r="AI1511" s="1120"/>
      <c r="AJ1511" s="1120"/>
    </row>
    <row r="1512" spans="2:36" ht="30" customHeight="1" x14ac:dyDescent="0.25">
      <c r="B1512" s="5"/>
      <c r="C1512" s="5"/>
      <c r="D1512" s="5"/>
      <c r="E1512" s="5"/>
      <c r="F1512" s="5"/>
      <c r="G1512" s="5"/>
      <c r="H1512" s="5"/>
      <c r="I1512" s="5"/>
      <c r="J1512" s="5"/>
      <c r="L1512" s="277"/>
      <c r="M1512" s="5"/>
      <c r="R1512" s="5"/>
      <c r="S1512" s="5"/>
      <c r="T1512" s="1120"/>
      <c r="U1512" s="5"/>
      <c r="V1512" s="5"/>
      <c r="W1512" s="5"/>
      <c r="X1512" s="1120"/>
      <c r="Y1512" s="1120"/>
      <c r="Z1512" s="5"/>
      <c r="AA1512" s="5"/>
      <c r="AB1512" s="1135"/>
      <c r="AC1512" s="5"/>
      <c r="AD1512" s="5"/>
      <c r="AE1512" s="5"/>
      <c r="AF1512" s="1120"/>
      <c r="AG1512" s="1148"/>
      <c r="AH1512" s="1120"/>
      <c r="AI1512" s="1120"/>
      <c r="AJ1512" s="1120"/>
    </row>
    <row r="1513" spans="2:36" ht="30" customHeight="1" x14ac:dyDescent="0.25">
      <c r="B1513" s="5"/>
      <c r="C1513" s="5"/>
      <c r="D1513" s="5"/>
      <c r="E1513" s="5"/>
      <c r="F1513" s="5"/>
      <c r="G1513" s="5"/>
      <c r="H1513" s="5"/>
      <c r="I1513" s="5"/>
      <c r="J1513" s="5"/>
      <c r="L1513" s="277"/>
      <c r="M1513" s="5"/>
      <c r="R1513" s="5"/>
      <c r="S1513" s="5"/>
      <c r="T1513" s="1120"/>
      <c r="U1513" s="5"/>
      <c r="V1513" s="5"/>
      <c r="W1513" s="5"/>
      <c r="X1513" s="1120"/>
      <c r="Y1513" s="1120"/>
      <c r="Z1513" s="5"/>
      <c r="AA1513" s="5"/>
      <c r="AB1513" s="1135"/>
      <c r="AC1513" s="5"/>
      <c r="AD1513" s="5"/>
      <c r="AE1513" s="5"/>
      <c r="AF1513" s="1120"/>
      <c r="AG1513" s="1148"/>
      <c r="AH1513" s="1120"/>
      <c r="AI1513" s="1120"/>
      <c r="AJ1513" s="1120"/>
    </row>
    <row r="1514" spans="2:36" ht="30" customHeight="1" x14ac:dyDescent="0.25">
      <c r="B1514" s="5"/>
      <c r="C1514" s="5"/>
      <c r="D1514" s="5"/>
      <c r="E1514" s="5"/>
      <c r="F1514" s="5"/>
      <c r="G1514" s="5"/>
      <c r="H1514" s="5"/>
      <c r="I1514" s="5"/>
      <c r="J1514" s="5"/>
      <c r="L1514" s="277"/>
      <c r="M1514" s="5"/>
      <c r="R1514" s="5"/>
      <c r="S1514" s="5"/>
      <c r="T1514" s="1120"/>
      <c r="U1514" s="5"/>
      <c r="V1514" s="5"/>
      <c r="W1514" s="5"/>
      <c r="X1514" s="1120"/>
      <c r="Y1514" s="1120"/>
      <c r="Z1514" s="5"/>
      <c r="AA1514" s="5"/>
      <c r="AB1514" s="1135"/>
      <c r="AC1514" s="5"/>
      <c r="AD1514" s="5"/>
      <c r="AE1514" s="5"/>
      <c r="AF1514" s="1120"/>
      <c r="AG1514" s="1148"/>
      <c r="AH1514" s="1120"/>
      <c r="AI1514" s="1120"/>
      <c r="AJ1514" s="1120"/>
    </row>
    <row r="1515" spans="2:36" ht="30" customHeight="1" x14ac:dyDescent="0.25">
      <c r="B1515" s="5"/>
      <c r="C1515" s="5"/>
      <c r="D1515" s="5"/>
      <c r="E1515" s="5"/>
      <c r="F1515" s="5"/>
      <c r="G1515" s="5"/>
      <c r="H1515" s="5"/>
      <c r="I1515" s="5"/>
      <c r="J1515" s="5"/>
      <c r="L1515" s="277"/>
      <c r="M1515" s="5"/>
      <c r="R1515" s="5"/>
      <c r="S1515" s="5"/>
      <c r="T1515" s="1120"/>
      <c r="U1515" s="5"/>
      <c r="V1515" s="5"/>
      <c r="W1515" s="5"/>
      <c r="X1515" s="1120"/>
      <c r="Y1515" s="1120"/>
      <c r="Z1515" s="5"/>
      <c r="AA1515" s="5"/>
      <c r="AB1515" s="1135"/>
      <c r="AC1515" s="5"/>
      <c r="AD1515" s="5"/>
      <c r="AE1515" s="5"/>
      <c r="AF1515" s="1120"/>
      <c r="AG1515" s="1148"/>
      <c r="AH1515" s="1120"/>
      <c r="AI1515" s="1120"/>
      <c r="AJ1515" s="1120"/>
    </row>
    <row r="1516" spans="2:36" ht="30" customHeight="1" x14ac:dyDescent="0.25">
      <c r="B1516" s="5"/>
      <c r="C1516" s="5"/>
      <c r="D1516" s="5"/>
      <c r="E1516" s="5"/>
      <c r="F1516" s="5"/>
      <c r="G1516" s="5"/>
      <c r="H1516" s="5"/>
      <c r="I1516" s="5"/>
      <c r="J1516" s="5"/>
      <c r="L1516" s="277"/>
      <c r="M1516" s="5"/>
      <c r="R1516" s="5"/>
      <c r="S1516" s="5"/>
      <c r="T1516" s="1120"/>
      <c r="U1516" s="5"/>
      <c r="V1516" s="5"/>
      <c r="W1516" s="5"/>
      <c r="X1516" s="1120"/>
      <c r="Y1516" s="1120"/>
      <c r="Z1516" s="5"/>
      <c r="AA1516" s="5"/>
      <c r="AB1516" s="1135"/>
      <c r="AC1516" s="5"/>
      <c r="AD1516" s="5"/>
      <c r="AE1516" s="5"/>
      <c r="AF1516" s="1120"/>
      <c r="AG1516" s="1148"/>
      <c r="AH1516" s="1120"/>
      <c r="AI1516" s="1120"/>
      <c r="AJ1516" s="1120"/>
    </row>
    <row r="1517" spans="2:36" ht="30" customHeight="1" x14ac:dyDescent="0.25">
      <c r="B1517" s="5"/>
      <c r="C1517" s="5"/>
      <c r="D1517" s="5"/>
      <c r="E1517" s="5"/>
      <c r="F1517" s="5"/>
      <c r="G1517" s="5"/>
      <c r="H1517" s="5"/>
      <c r="I1517" s="5"/>
      <c r="J1517" s="5"/>
      <c r="L1517" s="277"/>
      <c r="M1517" s="5"/>
      <c r="R1517" s="5"/>
      <c r="S1517" s="5"/>
      <c r="T1517" s="1120"/>
      <c r="U1517" s="5"/>
      <c r="V1517" s="5"/>
      <c r="W1517" s="5"/>
      <c r="X1517" s="1120"/>
      <c r="Y1517" s="1120"/>
      <c r="Z1517" s="5"/>
      <c r="AA1517" s="5"/>
      <c r="AB1517" s="1135"/>
      <c r="AC1517" s="5"/>
      <c r="AD1517" s="5"/>
      <c r="AE1517" s="5"/>
      <c r="AF1517" s="1120"/>
      <c r="AG1517" s="1148"/>
      <c r="AH1517" s="1120"/>
      <c r="AI1517" s="1120"/>
      <c r="AJ1517" s="1120"/>
    </row>
    <row r="1518" spans="2:36" ht="30" customHeight="1" x14ac:dyDescent="0.25">
      <c r="B1518" s="5"/>
      <c r="C1518" s="5"/>
      <c r="D1518" s="5"/>
      <c r="E1518" s="5"/>
      <c r="F1518" s="5"/>
      <c r="G1518" s="5"/>
      <c r="H1518" s="5"/>
      <c r="I1518" s="5"/>
      <c r="J1518" s="5"/>
      <c r="L1518" s="277"/>
      <c r="M1518" s="5"/>
      <c r="R1518" s="5"/>
      <c r="S1518" s="5"/>
      <c r="T1518" s="1120"/>
      <c r="U1518" s="5"/>
      <c r="V1518" s="5"/>
      <c r="W1518" s="5"/>
      <c r="X1518" s="1120"/>
      <c r="Y1518" s="1120"/>
      <c r="Z1518" s="5"/>
      <c r="AA1518" s="5"/>
      <c r="AB1518" s="1135"/>
      <c r="AC1518" s="5"/>
      <c r="AD1518" s="5"/>
      <c r="AE1518" s="5"/>
      <c r="AF1518" s="1120"/>
      <c r="AG1518" s="1148"/>
      <c r="AH1518" s="1120"/>
      <c r="AI1518" s="1120"/>
      <c r="AJ1518" s="1120"/>
    </row>
    <row r="1519" spans="2:36" ht="30" customHeight="1" x14ac:dyDescent="0.25">
      <c r="B1519" s="5"/>
      <c r="C1519" s="5"/>
      <c r="D1519" s="5"/>
      <c r="E1519" s="5"/>
      <c r="F1519" s="5"/>
      <c r="G1519" s="5"/>
      <c r="H1519" s="5"/>
      <c r="I1519" s="5"/>
      <c r="J1519" s="5"/>
      <c r="L1519" s="277"/>
      <c r="M1519" s="5"/>
      <c r="R1519" s="5"/>
      <c r="S1519" s="5"/>
      <c r="T1519" s="1120"/>
      <c r="U1519" s="5"/>
      <c r="V1519" s="5"/>
      <c r="W1519" s="5"/>
      <c r="X1519" s="1120"/>
      <c r="Y1519" s="1120"/>
      <c r="Z1519" s="5"/>
      <c r="AA1519" s="5"/>
      <c r="AB1519" s="1135"/>
      <c r="AC1519" s="5"/>
      <c r="AD1519" s="5"/>
      <c r="AE1519" s="5"/>
      <c r="AF1519" s="1120"/>
      <c r="AG1519" s="1148"/>
      <c r="AH1519" s="1120"/>
      <c r="AI1519" s="1120"/>
      <c r="AJ1519" s="1120"/>
    </row>
    <row r="1520" spans="2:36" ht="30" customHeight="1" x14ac:dyDescent="0.25">
      <c r="B1520" s="5"/>
      <c r="C1520" s="5"/>
      <c r="D1520" s="5"/>
      <c r="E1520" s="5"/>
      <c r="F1520" s="5"/>
      <c r="G1520" s="5"/>
      <c r="H1520" s="5"/>
      <c r="I1520" s="5"/>
      <c r="J1520" s="5"/>
      <c r="L1520" s="277"/>
      <c r="M1520" s="5"/>
      <c r="R1520" s="5"/>
      <c r="S1520" s="5"/>
      <c r="T1520" s="1120"/>
      <c r="U1520" s="5"/>
      <c r="V1520" s="5"/>
      <c r="W1520" s="5"/>
      <c r="X1520" s="1120"/>
      <c r="Y1520" s="1120"/>
      <c r="Z1520" s="5"/>
      <c r="AA1520" s="5"/>
      <c r="AB1520" s="1135"/>
      <c r="AC1520" s="5"/>
      <c r="AD1520" s="5"/>
      <c r="AE1520" s="5"/>
      <c r="AF1520" s="1120"/>
      <c r="AG1520" s="1148"/>
      <c r="AH1520" s="1120"/>
      <c r="AI1520" s="1120"/>
      <c r="AJ1520" s="1120"/>
    </row>
    <row r="1521" spans="2:36" ht="30" customHeight="1" x14ac:dyDescent="0.25">
      <c r="B1521" s="5"/>
      <c r="C1521" s="5"/>
      <c r="D1521" s="5"/>
      <c r="E1521" s="5"/>
      <c r="F1521" s="5"/>
      <c r="G1521" s="5"/>
      <c r="H1521" s="5"/>
      <c r="I1521" s="5"/>
      <c r="J1521" s="5"/>
      <c r="L1521" s="277"/>
      <c r="M1521" s="5"/>
      <c r="R1521" s="5"/>
      <c r="S1521" s="5"/>
      <c r="T1521" s="1120"/>
      <c r="U1521" s="5"/>
      <c r="V1521" s="5"/>
      <c r="W1521" s="5"/>
      <c r="X1521" s="1120"/>
      <c r="Y1521" s="1120"/>
      <c r="Z1521" s="5"/>
      <c r="AA1521" s="5"/>
      <c r="AB1521" s="1135"/>
      <c r="AC1521" s="5"/>
      <c r="AD1521" s="5"/>
      <c r="AE1521" s="5"/>
      <c r="AF1521" s="1120"/>
      <c r="AG1521" s="1148"/>
      <c r="AH1521" s="1120"/>
      <c r="AI1521" s="1120"/>
      <c r="AJ1521" s="1120"/>
    </row>
    <row r="1522" spans="2:36" ht="30" customHeight="1" x14ac:dyDescent="0.25">
      <c r="B1522" s="5"/>
      <c r="C1522" s="5"/>
      <c r="D1522" s="5"/>
      <c r="E1522" s="5"/>
      <c r="F1522" s="5"/>
      <c r="G1522" s="5"/>
      <c r="H1522" s="5"/>
      <c r="I1522" s="5"/>
      <c r="J1522" s="5"/>
      <c r="L1522" s="277"/>
      <c r="M1522" s="5"/>
      <c r="R1522" s="5"/>
      <c r="S1522" s="5"/>
      <c r="T1522" s="1120"/>
      <c r="U1522" s="5"/>
      <c r="V1522" s="5"/>
      <c r="W1522" s="5"/>
      <c r="X1522" s="1120"/>
      <c r="Y1522" s="1120"/>
      <c r="Z1522" s="5"/>
      <c r="AA1522" s="5"/>
      <c r="AB1522" s="1135"/>
      <c r="AC1522" s="5"/>
      <c r="AD1522" s="5"/>
      <c r="AE1522" s="5"/>
      <c r="AF1522" s="1120"/>
      <c r="AG1522" s="1148"/>
      <c r="AH1522" s="1120"/>
      <c r="AI1522" s="1120"/>
      <c r="AJ1522" s="1120"/>
    </row>
    <row r="1523" spans="2:36" ht="30" customHeight="1" x14ac:dyDescent="0.25">
      <c r="B1523" s="5"/>
      <c r="C1523" s="5"/>
      <c r="D1523" s="5"/>
      <c r="E1523" s="5"/>
      <c r="F1523" s="5"/>
      <c r="G1523" s="5"/>
      <c r="H1523" s="5"/>
      <c r="I1523" s="5"/>
      <c r="J1523" s="5"/>
      <c r="L1523" s="277"/>
      <c r="M1523" s="5"/>
      <c r="R1523" s="5"/>
      <c r="S1523" s="5"/>
      <c r="T1523" s="1120"/>
      <c r="U1523" s="5"/>
      <c r="V1523" s="5"/>
      <c r="W1523" s="5"/>
      <c r="X1523" s="1120"/>
      <c r="Y1523" s="1120"/>
      <c r="Z1523" s="5"/>
      <c r="AA1523" s="5"/>
      <c r="AB1523" s="1135"/>
      <c r="AC1523" s="5"/>
      <c r="AD1523" s="5"/>
      <c r="AE1523" s="5"/>
      <c r="AF1523" s="1120"/>
      <c r="AG1523" s="1148"/>
      <c r="AH1523" s="1120"/>
      <c r="AI1523" s="1120"/>
      <c r="AJ1523" s="1120"/>
    </row>
    <row r="1524" spans="2:36" ht="30" customHeight="1" x14ac:dyDescent="0.25">
      <c r="B1524" s="5"/>
      <c r="C1524" s="5"/>
      <c r="D1524" s="5"/>
      <c r="E1524" s="5"/>
      <c r="F1524" s="5"/>
      <c r="G1524" s="5"/>
      <c r="H1524" s="5"/>
      <c r="I1524" s="5"/>
      <c r="J1524" s="5"/>
      <c r="L1524" s="277"/>
      <c r="M1524" s="5"/>
      <c r="R1524" s="5"/>
      <c r="S1524" s="5"/>
      <c r="T1524" s="1120"/>
      <c r="U1524" s="5"/>
      <c r="V1524" s="5"/>
      <c r="W1524" s="5"/>
      <c r="X1524" s="1120"/>
      <c r="Y1524" s="1120"/>
      <c r="Z1524" s="5"/>
      <c r="AA1524" s="5"/>
      <c r="AB1524" s="1135"/>
      <c r="AC1524" s="5"/>
      <c r="AD1524" s="5"/>
      <c r="AE1524" s="5"/>
      <c r="AF1524" s="1120"/>
      <c r="AG1524" s="1148"/>
      <c r="AH1524" s="1120"/>
      <c r="AI1524" s="1120"/>
      <c r="AJ1524" s="1120"/>
    </row>
    <row r="1525" spans="2:36" ht="30" customHeight="1" x14ac:dyDescent="0.25">
      <c r="B1525" s="5"/>
      <c r="C1525" s="5"/>
      <c r="D1525" s="5"/>
      <c r="E1525" s="5"/>
      <c r="F1525" s="5"/>
      <c r="G1525" s="5"/>
      <c r="H1525" s="5"/>
      <c r="I1525" s="5"/>
      <c r="J1525" s="5"/>
      <c r="L1525" s="277"/>
      <c r="M1525" s="5"/>
      <c r="R1525" s="5"/>
      <c r="S1525" s="5"/>
      <c r="T1525" s="1120"/>
      <c r="U1525" s="5"/>
      <c r="V1525" s="5"/>
      <c r="W1525" s="5"/>
      <c r="X1525" s="1120"/>
      <c r="Y1525" s="1120"/>
      <c r="Z1525" s="5"/>
      <c r="AA1525" s="5"/>
      <c r="AB1525" s="1135"/>
      <c r="AC1525" s="5"/>
      <c r="AD1525" s="5"/>
      <c r="AE1525" s="5"/>
      <c r="AF1525" s="1120"/>
      <c r="AG1525" s="1148"/>
      <c r="AH1525" s="1120"/>
      <c r="AI1525" s="1120"/>
      <c r="AJ1525" s="1120"/>
    </row>
    <row r="1526" spans="2:36" ht="30" customHeight="1" x14ac:dyDescent="0.25">
      <c r="B1526" s="5"/>
      <c r="C1526" s="5"/>
      <c r="D1526" s="5"/>
      <c r="E1526" s="5"/>
      <c r="F1526" s="5"/>
      <c r="G1526" s="5"/>
      <c r="H1526" s="5"/>
      <c r="I1526" s="5"/>
      <c r="J1526" s="5"/>
      <c r="L1526" s="277"/>
      <c r="M1526" s="5"/>
      <c r="R1526" s="5"/>
      <c r="S1526" s="5"/>
      <c r="T1526" s="1120"/>
      <c r="U1526" s="5"/>
      <c r="V1526" s="5"/>
      <c r="W1526" s="5"/>
      <c r="X1526" s="1120"/>
      <c r="Y1526" s="1120"/>
      <c r="Z1526" s="5"/>
      <c r="AA1526" s="5"/>
      <c r="AB1526" s="1135"/>
      <c r="AC1526" s="5"/>
      <c r="AD1526" s="5"/>
      <c r="AE1526" s="5"/>
      <c r="AF1526" s="1120"/>
      <c r="AG1526" s="1148"/>
      <c r="AH1526" s="1120"/>
      <c r="AI1526" s="1120"/>
      <c r="AJ1526" s="1120"/>
    </row>
    <row r="1527" spans="2:36" ht="30" customHeight="1" x14ac:dyDescent="0.25">
      <c r="B1527" s="5"/>
      <c r="C1527" s="5"/>
      <c r="D1527" s="5"/>
      <c r="E1527" s="5"/>
      <c r="F1527" s="5"/>
      <c r="G1527" s="5"/>
      <c r="H1527" s="5"/>
      <c r="I1527" s="5"/>
      <c r="J1527" s="5"/>
      <c r="L1527" s="277"/>
      <c r="M1527" s="5"/>
      <c r="R1527" s="5"/>
      <c r="S1527" s="5"/>
      <c r="T1527" s="1120"/>
      <c r="U1527" s="5"/>
      <c r="V1527" s="5"/>
      <c r="W1527" s="5"/>
      <c r="X1527" s="1120"/>
      <c r="Y1527" s="1120"/>
      <c r="Z1527" s="5"/>
      <c r="AA1527" s="5"/>
      <c r="AB1527" s="1135"/>
      <c r="AC1527" s="5"/>
      <c r="AD1527" s="5"/>
      <c r="AE1527" s="5"/>
      <c r="AF1527" s="1120"/>
      <c r="AG1527" s="1148"/>
      <c r="AH1527" s="1120"/>
      <c r="AI1527" s="1120"/>
      <c r="AJ1527" s="1120"/>
    </row>
    <row r="1528" spans="2:36" ht="30" customHeight="1" x14ac:dyDescent="0.25">
      <c r="B1528" s="5"/>
      <c r="C1528" s="5"/>
      <c r="D1528" s="5"/>
      <c r="E1528" s="5"/>
      <c r="F1528" s="5"/>
      <c r="G1528" s="5"/>
      <c r="H1528" s="5"/>
      <c r="I1528" s="5"/>
      <c r="J1528" s="5"/>
      <c r="L1528" s="277"/>
      <c r="M1528" s="5"/>
      <c r="R1528" s="5"/>
      <c r="S1528" s="5"/>
      <c r="T1528" s="1120"/>
      <c r="U1528" s="5"/>
      <c r="V1528" s="5"/>
      <c r="W1528" s="5"/>
      <c r="X1528" s="1120"/>
      <c r="Y1528" s="1120"/>
      <c r="Z1528" s="5"/>
      <c r="AA1528" s="5"/>
      <c r="AB1528" s="1135"/>
      <c r="AC1528" s="5"/>
      <c r="AD1528" s="5"/>
      <c r="AE1528" s="5"/>
      <c r="AF1528" s="1120"/>
      <c r="AG1528" s="1148"/>
      <c r="AH1528" s="1120"/>
      <c r="AI1528" s="1120"/>
      <c r="AJ1528" s="1120"/>
    </row>
    <row r="1529" spans="2:36" ht="30" customHeight="1" x14ac:dyDescent="0.25">
      <c r="B1529" s="5"/>
      <c r="C1529" s="5"/>
      <c r="D1529" s="5"/>
      <c r="E1529" s="5"/>
      <c r="F1529" s="5"/>
      <c r="G1529" s="5"/>
      <c r="H1529" s="5"/>
      <c r="I1529" s="5"/>
      <c r="J1529" s="5"/>
      <c r="L1529" s="277"/>
      <c r="M1529" s="5"/>
      <c r="R1529" s="5"/>
      <c r="S1529" s="5"/>
      <c r="T1529" s="1120"/>
      <c r="U1529" s="5"/>
      <c r="V1529" s="5"/>
      <c r="W1529" s="5"/>
      <c r="X1529" s="1120"/>
      <c r="Y1529" s="1120"/>
      <c r="Z1529" s="5"/>
      <c r="AA1529" s="5"/>
      <c r="AB1529" s="1135"/>
      <c r="AC1529" s="5"/>
      <c r="AD1529" s="5"/>
      <c r="AE1529" s="5"/>
      <c r="AF1529" s="1120"/>
      <c r="AG1529" s="1148"/>
      <c r="AH1529" s="1120"/>
      <c r="AI1529" s="1120"/>
      <c r="AJ1529" s="1120"/>
    </row>
    <row r="1530" spans="2:36" ht="30" customHeight="1" x14ac:dyDescent="0.25">
      <c r="B1530" s="5"/>
      <c r="C1530" s="5"/>
      <c r="D1530" s="5"/>
      <c r="E1530" s="5"/>
      <c r="F1530" s="5"/>
      <c r="G1530" s="5"/>
      <c r="H1530" s="5"/>
      <c r="I1530" s="5"/>
      <c r="J1530" s="5"/>
      <c r="L1530" s="277"/>
      <c r="M1530" s="5"/>
      <c r="R1530" s="5"/>
      <c r="S1530" s="5"/>
      <c r="T1530" s="1120"/>
      <c r="U1530" s="5"/>
      <c r="V1530" s="5"/>
      <c r="W1530" s="5"/>
      <c r="X1530" s="1120"/>
      <c r="Y1530" s="1120"/>
      <c r="Z1530" s="5"/>
      <c r="AA1530" s="5"/>
      <c r="AB1530" s="1135"/>
      <c r="AC1530" s="5"/>
      <c r="AD1530" s="5"/>
      <c r="AE1530" s="5"/>
      <c r="AF1530" s="1120"/>
      <c r="AG1530" s="1148"/>
      <c r="AH1530" s="1120"/>
      <c r="AI1530" s="1120"/>
      <c r="AJ1530" s="1120"/>
    </row>
    <row r="1531" spans="2:36" ht="30" customHeight="1" x14ac:dyDescent="0.25">
      <c r="B1531" s="5"/>
      <c r="C1531" s="5"/>
      <c r="D1531" s="5"/>
      <c r="E1531" s="5"/>
      <c r="F1531" s="5"/>
      <c r="G1531" s="5"/>
      <c r="H1531" s="5"/>
      <c r="I1531" s="5"/>
      <c r="J1531" s="5"/>
      <c r="L1531" s="277"/>
      <c r="M1531" s="5"/>
      <c r="R1531" s="5"/>
      <c r="S1531" s="5"/>
      <c r="T1531" s="1120"/>
      <c r="U1531" s="5"/>
      <c r="V1531" s="5"/>
      <c r="W1531" s="5"/>
      <c r="X1531" s="1120"/>
      <c r="Y1531" s="1120"/>
      <c r="Z1531" s="5"/>
      <c r="AA1531" s="5"/>
      <c r="AB1531" s="1135"/>
      <c r="AC1531" s="5"/>
      <c r="AD1531" s="5"/>
      <c r="AE1531" s="5"/>
      <c r="AF1531" s="1120"/>
      <c r="AG1531" s="1148"/>
      <c r="AH1531" s="1120"/>
      <c r="AI1531" s="1120"/>
      <c r="AJ1531" s="1120"/>
    </row>
    <row r="1532" spans="2:36" ht="30" customHeight="1" x14ac:dyDescent="0.25">
      <c r="B1532" s="5"/>
      <c r="C1532" s="5"/>
      <c r="D1532" s="5"/>
      <c r="E1532" s="5"/>
      <c r="F1532" s="5"/>
      <c r="G1532" s="5"/>
      <c r="H1532" s="5"/>
      <c r="I1532" s="5"/>
      <c r="J1532" s="5"/>
      <c r="L1532" s="277"/>
      <c r="M1532" s="5"/>
      <c r="R1532" s="5"/>
      <c r="S1532" s="5"/>
      <c r="T1532" s="1120"/>
      <c r="U1532" s="5"/>
      <c r="V1532" s="5"/>
      <c r="W1532" s="5"/>
      <c r="X1532" s="1120"/>
      <c r="Y1532" s="1120"/>
      <c r="Z1532" s="5"/>
      <c r="AA1532" s="5"/>
      <c r="AB1532" s="1135"/>
      <c r="AC1532" s="5"/>
      <c r="AD1532" s="5"/>
      <c r="AE1532" s="5"/>
      <c r="AF1532" s="1120"/>
      <c r="AG1532" s="1148"/>
      <c r="AH1532" s="1120"/>
      <c r="AI1532" s="1120"/>
      <c r="AJ1532" s="1120"/>
    </row>
    <row r="1533" spans="2:36" ht="30" customHeight="1" x14ac:dyDescent="0.25">
      <c r="B1533" s="5"/>
      <c r="C1533" s="5"/>
      <c r="D1533" s="5"/>
      <c r="E1533" s="5"/>
      <c r="F1533" s="5"/>
      <c r="G1533" s="5"/>
      <c r="H1533" s="5"/>
      <c r="I1533" s="5"/>
      <c r="J1533" s="5"/>
      <c r="L1533" s="277"/>
      <c r="M1533" s="5"/>
      <c r="R1533" s="5"/>
      <c r="S1533" s="5"/>
      <c r="T1533" s="1120"/>
      <c r="U1533" s="5"/>
      <c r="V1533" s="5"/>
      <c r="W1533" s="5"/>
      <c r="X1533" s="1120"/>
      <c r="Y1533" s="1120"/>
      <c r="Z1533" s="5"/>
      <c r="AA1533" s="5"/>
      <c r="AB1533" s="1135"/>
      <c r="AC1533" s="5"/>
      <c r="AD1533" s="5"/>
      <c r="AE1533" s="5"/>
      <c r="AF1533" s="1120"/>
      <c r="AG1533" s="1148"/>
      <c r="AH1533" s="1120"/>
      <c r="AI1533" s="1120"/>
      <c r="AJ1533" s="1120"/>
    </row>
    <row r="1534" spans="2:36" ht="30" customHeight="1" x14ac:dyDescent="0.25">
      <c r="B1534" s="5"/>
      <c r="C1534" s="5"/>
      <c r="D1534" s="5"/>
      <c r="E1534" s="5"/>
      <c r="F1534" s="5"/>
      <c r="G1534" s="5"/>
      <c r="H1534" s="5"/>
      <c r="I1534" s="5"/>
      <c r="J1534" s="5"/>
      <c r="L1534" s="277"/>
      <c r="M1534" s="5"/>
      <c r="R1534" s="5"/>
      <c r="S1534" s="5"/>
      <c r="T1534" s="1120"/>
      <c r="U1534" s="5"/>
      <c r="V1534" s="5"/>
      <c r="W1534" s="5"/>
      <c r="X1534" s="1120"/>
      <c r="Y1534" s="1120"/>
      <c r="Z1534" s="5"/>
      <c r="AA1534" s="5"/>
      <c r="AB1534" s="1135"/>
      <c r="AC1534" s="5"/>
      <c r="AD1534" s="5"/>
      <c r="AE1534" s="5"/>
      <c r="AF1534" s="1120"/>
      <c r="AG1534" s="1148"/>
      <c r="AH1534" s="1120"/>
      <c r="AI1534" s="1120"/>
      <c r="AJ1534" s="1120"/>
    </row>
    <row r="1535" spans="2:36" ht="30" customHeight="1" x14ac:dyDescent="0.25">
      <c r="B1535" s="5"/>
      <c r="C1535" s="5"/>
      <c r="D1535" s="5"/>
      <c r="E1535" s="5"/>
      <c r="F1535" s="5"/>
      <c r="G1535" s="5"/>
      <c r="H1535" s="5"/>
      <c r="I1535" s="5"/>
      <c r="J1535" s="5"/>
      <c r="L1535" s="277"/>
      <c r="M1535" s="5"/>
      <c r="R1535" s="5"/>
      <c r="S1535" s="5"/>
      <c r="T1535" s="1120"/>
      <c r="U1535" s="5"/>
      <c r="V1535" s="5"/>
      <c r="W1535" s="5"/>
      <c r="X1535" s="1120"/>
      <c r="Y1535" s="1120"/>
      <c r="Z1535" s="5"/>
      <c r="AA1535" s="5"/>
      <c r="AB1535" s="1135"/>
      <c r="AC1535" s="5"/>
      <c r="AD1535" s="5"/>
      <c r="AE1535" s="5"/>
      <c r="AF1535" s="1120"/>
      <c r="AG1535" s="1148"/>
      <c r="AH1535" s="1120"/>
      <c r="AI1535" s="1120"/>
      <c r="AJ1535" s="1120"/>
    </row>
    <row r="1536" spans="2:36" ht="30" customHeight="1" x14ac:dyDescent="0.25">
      <c r="B1536" s="5"/>
      <c r="C1536" s="5"/>
      <c r="D1536" s="5"/>
      <c r="E1536" s="5"/>
      <c r="F1536" s="5"/>
      <c r="G1536" s="5"/>
      <c r="H1536" s="5"/>
      <c r="I1536" s="5"/>
      <c r="J1536" s="5"/>
      <c r="L1536" s="277"/>
      <c r="M1536" s="5"/>
      <c r="R1536" s="5"/>
      <c r="S1536" s="5"/>
      <c r="T1536" s="1120"/>
      <c r="U1536" s="5"/>
      <c r="V1536" s="5"/>
      <c r="W1536" s="5"/>
      <c r="X1536" s="1120"/>
      <c r="Y1536" s="1120"/>
      <c r="Z1536" s="5"/>
      <c r="AA1536" s="5"/>
      <c r="AB1536" s="1135"/>
      <c r="AC1536" s="5"/>
      <c r="AD1536" s="5"/>
      <c r="AE1536" s="5"/>
      <c r="AF1536" s="1120"/>
      <c r="AG1536" s="1148"/>
      <c r="AH1536" s="1120"/>
      <c r="AI1536" s="1120"/>
      <c r="AJ1536" s="1120"/>
    </row>
    <row r="1537" spans="2:36" ht="30" customHeight="1" x14ac:dyDescent="0.25">
      <c r="B1537" s="5"/>
      <c r="C1537" s="5"/>
      <c r="D1537" s="5"/>
      <c r="E1537" s="5"/>
      <c r="F1537" s="5"/>
      <c r="G1537" s="5"/>
      <c r="H1537" s="5"/>
      <c r="I1537" s="5"/>
      <c r="J1537" s="5"/>
      <c r="L1537" s="277"/>
      <c r="M1537" s="5"/>
      <c r="R1537" s="5"/>
      <c r="S1537" s="5"/>
      <c r="T1537" s="1120"/>
      <c r="U1537" s="5"/>
      <c r="V1537" s="5"/>
      <c r="W1537" s="5"/>
      <c r="X1537" s="1120"/>
      <c r="Y1537" s="1120"/>
      <c r="Z1537" s="5"/>
      <c r="AA1537" s="5"/>
      <c r="AB1537" s="1135"/>
      <c r="AC1537" s="5"/>
      <c r="AD1537" s="5"/>
      <c r="AE1537" s="5"/>
      <c r="AF1537" s="1120"/>
      <c r="AG1537" s="1148"/>
      <c r="AH1537" s="1120"/>
      <c r="AI1537" s="1120"/>
      <c r="AJ1537" s="1120"/>
    </row>
    <row r="1538" spans="2:36" ht="30" customHeight="1" x14ac:dyDescent="0.25">
      <c r="B1538" s="5"/>
      <c r="C1538" s="5"/>
      <c r="D1538" s="5"/>
      <c r="E1538" s="5"/>
      <c r="F1538" s="5"/>
      <c r="G1538" s="5"/>
      <c r="H1538" s="5"/>
      <c r="I1538" s="5"/>
      <c r="J1538" s="5"/>
      <c r="L1538" s="277"/>
      <c r="M1538" s="5"/>
      <c r="R1538" s="5"/>
      <c r="S1538" s="5"/>
      <c r="T1538" s="1120"/>
      <c r="U1538" s="5"/>
      <c r="V1538" s="5"/>
      <c r="W1538" s="5"/>
      <c r="X1538" s="1120"/>
      <c r="Y1538" s="1120"/>
      <c r="Z1538" s="5"/>
      <c r="AA1538" s="5"/>
      <c r="AB1538" s="1135"/>
      <c r="AC1538" s="5"/>
      <c r="AD1538" s="5"/>
      <c r="AE1538" s="5"/>
      <c r="AF1538" s="1120"/>
      <c r="AG1538" s="1148"/>
      <c r="AH1538" s="1120"/>
      <c r="AI1538" s="1120"/>
      <c r="AJ1538" s="1120"/>
    </row>
    <row r="1539" spans="2:36" ht="30" customHeight="1" x14ac:dyDescent="0.25">
      <c r="B1539" s="5"/>
      <c r="C1539" s="5"/>
      <c r="D1539" s="5"/>
      <c r="E1539" s="5"/>
      <c r="F1539" s="5"/>
      <c r="G1539" s="5"/>
      <c r="H1539" s="5"/>
      <c r="I1539" s="5"/>
      <c r="J1539" s="5"/>
      <c r="L1539" s="277"/>
      <c r="M1539" s="5"/>
      <c r="R1539" s="5"/>
      <c r="S1539" s="5"/>
      <c r="T1539" s="1120"/>
      <c r="U1539" s="5"/>
      <c r="V1539" s="5"/>
      <c r="W1539" s="5"/>
      <c r="X1539" s="1120"/>
      <c r="Y1539" s="1120"/>
      <c r="Z1539" s="5"/>
      <c r="AA1539" s="5"/>
      <c r="AB1539" s="1135"/>
      <c r="AC1539" s="5"/>
      <c r="AD1539" s="5"/>
      <c r="AE1539" s="5"/>
      <c r="AF1539" s="1120"/>
      <c r="AG1539" s="1148"/>
      <c r="AH1539" s="1120"/>
      <c r="AI1539" s="1120"/>
      <c r="AJ1539" s="1120"/>
    </row>
    <row r="1540" spans="2:36" ht="30" customHeight="1" x14ac:dyDescent="0.25">
      <c r="B1540" s="5"/>
      <c r="C1540" s="5"/>
      <c r="D1540" s="5"/>
      <c r="E1540" s="5"/>
      <c r="F1540" s="5"/>
      <c r="G1540" s="5"/>
      <c r="H1540" s="5"/>
      <c r="I1540" s="5"/>
      <c r="J1540" s="5"/>
      <c r="L1540" s="277"/>
      <c r="M1540" s="5"/>
      <c r="R1540" s="5"/>
      <c r="S1540" s="5"/>
      <c r="T1540" s="1120"/>
      <c r="U1540" s="5"/>
      <c r="V1540" s="5"/>
      <c r="W1540" s="5"/>
      <c r="X1540" s="1120"/>
      <c r="Y1540" s="1120"/>
      <c r="Z1540" s="5"/>
      <c r="AA1540" s="5"/>
      <c r="AB1540" s="1135"/>
      <c r="AC1540" s="5"/>
      <c r="AD1540" s="5"/>
      <c r="AE1540" s="5"/>
      <c r="AF1540" s="1120"/>
      <c r="AG1540" s="1148"/>
      <c r="AH1540" s="1120"/>
      <c r="AI1540" s="1120"/>
      <c r="AJ1540" s="1120"/>
    </row>
    <row r="1541" spans="2:36" ht="30" customHeight="1" x14ac:dyDescent="0.25">
      <c r="B1541" s="5"/>
      <c r="C1541" s="5"/>
      <c r="D1541" s="5"/>
      <c r="E1541" s="5"/>
      <c r="F1541" s="5"/>
      <c r="G1541" s="5"/>
      <c r="H1541" s="5"/>
      <c r="I1541" s="5"/>
      <c r="J1541" s="5"/>
      <c r="L1541" s="277"/>
      <c r="M1541" s="5"/>
      <c r="R1541" s="5"/>
      <c r="S1541" s="5"/>
      <c r="T1541" s="1120"/>
      <c r="U1541" s="5"/>
      <c r="V1541" s="5"/>
      <c r="W1541" s="5"/>
      <c r="X1541" s="1120"/>
      <c r="Y1541" s="1120"/>
      <c r="Z1541" s="5"/>
      <c r="AA1541" s="5"/>
      <c r="AB1541" s="1135"/>
      <c r="AC1541" s="5"/>
      <c r="AD1541" s="5"/>
      <c r="AE1541" s="5"/>
      <c r="AF1541" s="1120"/>
      <c r="AG1541" s="1148"/>
      <c r="AH1541" s="1120"/>
      <c r="AI1541" s="1120"/>
      <c r="AJ1541" s="1120"/>
    </row>
    <row r="1542" spans="2:36" ht="30" customHeight="1" x14ac:dyDescent="0.25">
      <c r="B1542" s="5"/>
      <c r="C1542" s="5"/>
      <c r="D1542" s="5"/>
      <c r="E1542" s="5"/>
      <c r="F1542" s="5"/>
      <c r="G1542" s="5"/>
      <c r="H1542" s="5"/>
      <c r="I1542" s="5"/>
      <c r="J1542" s="5"/>
      <c r="L1542" s="277"/>
      <c r="M1542" s="5"/>
      <c r="R1542" s="5"/>
      <c r="S1542" s="5"/>
      <c r="T1542" s="1120"/>
      <c r="U1542" s="5"/>
      <c r="V1542" s="5"/>
      <c r="W1542" s="5"/>
      <c r="X1542" s="1120"/>
      <c r="Y1542" s="1120"/>
      <c r="Z1542" s="5"/>
      <c r="AA1542" s="5"/>
      <c r="AB1542" s="1135"/>
      <c r="AC1542" s="5"/>
      <c r="AD1542" s="5"/>
      <c r="AE1542" s="5"/>
      <c r="AF1542" s="1120"/>
      <c r="AG1542" s="1148"/>
      <c r="AH1542" s="1120"/>
      <c r="AI1542" s="1120"/>
      <c r="AJ1542" s="1120"/>
    </row>
    <row r="1543" spans="2:36" ht="30" customHeight="1" x14ac:dyDescent="0.25">
      <c r="B1543" s="5"/>
      <c r="C1543" s="5"/>
      <c r="D1543" s="5"/>
      <c r="E1543" s="5"/>
      <c r="F1543" s="5"/>
      <c r="G1543" s="5"/>
      <c r="H1543" s="5"/>
      <c r="I1543" s="5"/>
      <c r="J1543" s="5"/>
      <c r="L1543" s="277"/>
      <c r="M1543" s="5"/>
      <c r="R1543" s="5"/>
      <c r="S1543" s="5"/>
      <c r="T1543" s="1120"/>
      <c r="U1543" s="5"/>
      <c r="V1543" s="5"/>
      <c r="W1543" s="5"/>
      <c r="X1543" s="1120"/>
      <c r="Y1543" s="1120"/>
      <c r="Z1543" s="5"/>
      <c r="AA1543" s="5"/>
      <c r="AB1543" s="1135"/>
      <c r="AC1543" s="5"/>
      <c r="AD1543" s="5"/>
      <c r="AE1543" s="5"/>
      <c r="AF1543" s="1120"/>
      <c r="AG1543" s="1148"/>
      <c r="AH1543" s="1120"/>
      <c r="AI1543" s="1120"/>
      <c r="AJ1543" s="1120"/>
    </row>
    <row r="1544" spans="2:36" ht="30" customHeight="1" x14ac:dyDescent="0.25">
      <c r="B1544" s="5"/>
      <c r="C1544" s="5"/>
      <c r="D1544" s="5"/>
      <c r="E1544" s="5"/>
      <c r="F1544" s="5"/>
      <c r="G1544" s="5"/>
      <c r="H1544" s="5"/>
      <c r="I1544" s="5"/>
      <c r="J1544" s="5"/>
      <c r="L1544" s="277"/>
      <c r="M1544" s="5"/>
      <c r="R1544" s="5"/>
      <c r="S1544" s="5"/>
      <c r="T1544" s="1120"/>
      <c r="U1544" s="5"/>
      <c r="V1544" s="5"/>
      <c r="W1544" s="5"/>
      <c r="X1544" s="1120"/>
      <c r="Y1544" s="1120"/>
      <c r="Z1544" s="5"/>
      <c r="AA1544" s="5"/>
      <c r="AB1544" s="1135"/>
      <c r="AC1544" s="5"/>
      <c r="AD1544" s="5"/>
      <c r="AE1544" s="5"/>
      <c r="AF1544" s="1120"/>
      <c r="AG1544" s="1148"/>
      <c r="AH1544" s="1120"/>
      <c r="AI1544" s="1120"/>
      <c r="AJ1544" s="1120"/>
    </row>
    <row r="1545" spans="2:36" ht="30" customHeight="1" x14ac:dyDescent="0.25">
      <c r="B1545" s="5"/>
      <c r="C1545" s="5"/>
      <c r="D1545" s="5"/>
      <c r="E1545" s="5"/>
      <c r="F1545" s="5"/>
      <c r="G1545" s="5"/>
      <c r="H1545" s="5"/>
      <c r="I1545" s="5"/>
      <c r="J1545" s="5"/>
      <c r="L1545" s="277"/>
      <c r="M1545" s="5"/>
      <c r="R1545" s="5"/>
      <c r="S1545" s="5"/>
      <c r="T1545" s="1120"/>
      <c r="U1545" s="5"/>
      <c r="V1545" s="5"/>
      <c r="W1545" s="5"/>
      <c r="X1545" s="1120"/>
      <c r="Y1545" s="1120"/>
      <c r="Z1545" s="5"/>
      <c r="AA1545" s="5"/>
      <c r="AB1545" s="1135"/>
      <c r="AC1545" s="5"/>
      <c r="AD1545" s="5"/>
      <c r="AE1545" s="5"/>
      <c r="AF1545" s="1120"/>
      <c r="AG1545" s="1148"/>
      <c r="AH1545" s="1120"/>
      <c r="AI1545" s="1120"/>
      <c r="AJ1545" s="1120"/>
    </row>
    <row r="1546" spans="2:36" ht="30" customHeight="1" x14ac:dyDescent="0.25">
      <c r="B1546" s="5"/>
      <c r="C1546" s="5"/>
      <c r="D1546" s="5"/>
      <c r="E1546" s="5"/>
      <c r="F1546" s="5"/>
      <c r="G1546" s="5"/>
      <c r="H1546" s="5"/>
      <c r="I1546" s="5"/>
      <c r="J1546" s="5"/>
      <c r="L1546" s="277"/>
      <c r="M1546" s="5"/>
      <c r="R1546" s="5"/>
      <c r="S1546" s="5"/>
      <c r="T1546" s="1120"/>
      <c r="U1546" s="5"/>
      <c r="V1546" s="5"/>
      <c r="W1546" s="5"/>
      <c r="X1546" s="1120"/>
      <c r="Y1546" s="1120"/>
      <c r="Z1546" s="5"/>
      <c r="AA1546" s="5"/>
      <c r="AB1546" s="1135"/>
      <c r="AC1546" s="5"/>
      <c r="AD1546" s="5"/>
      <c r="AE1546" s="5"/>
      <c r="AF1546" s="1120"/>
      <c r="AG1546" s="1148"/>
      <c r="AH1546" s="1120"/>
      <c r="AI1546" s="1120"/>
      <c r="AJ1546" s="1120"/>
    </row>
    <row r="1547" spans="2:36" ht="30" customHeight="1" x14ac:dyDescent="0.25">
      <c r="B1547" s="5"/>
      <c r="C1547" s="5"/>
      <c r="D1547" s="5"/>
      <c r="E1547" s="5"/>
      <c r="F1547" s="5"/>
      <c r="G1547" s="5"/>
      <c r="H1547" s="5"/>
      <c r="I1547" s="5"/>
      <c r="J1547" s="5"/>
      <c r="L1547" s="277"/>
      <c r="M1547" s="5"/>
      <c r="R1547" s="5"/>
      <c r="S1547" s="5"/>
      <c r="T1547" s="1120"/>
      <c r="U1547" s="5"/>
      <c r="V1547" s="5"/>
      <c r="W1547" s="5"/>
      <c r="X1547" s="1120"/>
      <c r="Y1547" s="1120"/>
      <c r="Z1547" s="5"/>
      <c r="AA1547" s="5"/>
      <c r="AB1547" s="1135"/>
      <c r="AC1547" s="5"/>
      <c r="AD1547" s="5"/>
      <c r="AE1547" s="5"/>
      <c r="AF1547" s="1120"/>
      <c r="AG1547" s="1148"/>
      <c r="AH1547" s="1120"/>
      <c r="AI1547" s="1120"/>
      <c r="AJ1547" s="1120"/>
    </row>
    <row r="1548" spans="2:36" ht="30" customHeight="1" x14ac:dyDescent="0.25">
      <c r="B1548" s="5"/>
      <c r="C1548" s="5"/>
      <c r="D1548" s="5"/>
      <c r="E1548" s="5"/>
      <c r="F1548" s="5"/>
      <c r="G1548" s="5"/>
      <c r="H1548" s="5"/>
      <c r="I1548" s="5"/>
      <c r="J1548" s="5"/>
      <c r="L1548" s="277"/>
      <c r="M1548" s="5"/>
      <c r="R1548" s="5"/>
      <c r="S1548" s="5"/>
      <c r="T1548" s="1120"/>
      <c r="U1548" s="5"/>
      <c r="V1548" s="5"/>
      <c r="W1548" s="5"/>
      <c r="X1548" s="1120"/>
      <c r="Y1548" s="1120"/>
      <c r="Z1548" s="5"/>
      <c r="AA1548" s="5"/>
      <c r="AB1548" s="1135"/>
      <c r="AC1548" s="5"/>
      <c r="AD1548" s="5"/>
      <c r="AE1548" s="5"/>
      <c r="AF1548" s="1120"/>
      <c r="AG1548" s="1148"/>
      <c r="AH1548" s="1120"/>
      <c r="AI1548" s="1120"/>
      <c r="AJ1548" s="1120"/>
    </row>
    <row r="1549" spans="2:36" ht="30" customHeight="1" x14ac:dyDescent="0.25">
      <c r="B1549" s="5"/>
      <c r="C1549" s="5"/>
      <c r="D1549" s="5"/>
      <c r="E1549" s="5"/>
      <c r="F1549" s="5"/>
      <c r="G1549" s="5"/>
      <c r="H1549" s="5"/>
      <c r="I1549" s="5"/>
      <c r="J1549" s="5"/>
      <c r="L1549" s="277"/>
      <c r="M1549" s="5"/>
      <c r="R1549" s="5"/>
      <c r="S1549" s="5"/>
      <c r="T1549" s="1120"/>
      <c r="U1549" s="5"/>
      <c r="V1549" s="5"/>
      <c r="W1549" s="5"/>
      <c r="X1549" s="1120"/>
      <c r="Y1549" s="1120"/>
      <c r="Z1549" s="5"/>
      <c r="AA1549" s="5"/>
      <c r="AB1549" s="1135"/>
      <c r="AC1549" s="5"/>
      <c r="AD1549" s="5"/>
      <c r="AE1549" s="5"/>
      <c r="AF1549" s="1120"/>
      <c r="AG1549" s="1148"/>
      <c r="AH1549" s="1120"/>
      <c r="AI1549" s="1120"/>
      <c r="AJ1549" s="1120"/>
    </row>
    <row r="1550" spans="2:36" ht="30" customHeight="1" x14ac:dyDescent="0.25">
      <c r="B1550" s="5"/>
      <c r="C1550" s="5"/>
      <c r="D1550" s="5"/>
      <c r="E1550" s="5"/>
      <c r="F1550" s="5"/>
      <c r="G1550" s="5"/>
      <c r="H1550" s="5"/>
      <c r="I1550" s="5"/>
      <c r="J1550" s="5"/>
      <c r="L1550" s="277"/>
      <c r="M1550" s="5"/>
      <c r="R1550" s="5"/>
      <c r="S1550" s="5"/>
      <c r="T1550" s="1120"/>
      <c r="U1550" s="5"/>
      <c r="V1550" s="5"/>
      <c r="W1550" s="5"/>
      <c r="X1550" s="1120"/>
      <c r="Y1550" s="1120"/>
      <c r="Z1550" s="5"/>
      <c r="AA1550" s="5"/>
      <c r="AB1550" s="1135"/>
      <c r="AC1550" s="5"/>
      <c r="AD1550" s="5"/>
      <c r="AE1550" s="5"/>
      <c r="AF1550" s="1120"/>
      <c r="AG1550" s="1148"/>
      <c r="AH1550" s="1120"/>
      <c r="AI1550" s="1120"/>
      <c r="AJ1550" s="1120"/>
    </row>
    <row r="1551" spans="2:36" ht="30" customHeight="1" x14ac:dyDescent="0.25">
      <c r="B1551" s="5"/>
      <c r="C1551" s="5"/>
      <c r="D1551" s="5"/>
      <c r="E1551" s="5"/>
      <c r="F1551" s="5"/>
      <c r="G1551" s="5"/>
      <c r="H1551" s="5"/>
      <c r="I1551" s="5"/>
      <c r="J1551" s="5"/>
      <c r="L1551" s="277"/>
      <c r="M1551" s="5"/>
      <c r="R1551" s="5"/>
      <c r="S1551" s="5"/>
      <c r="T1551" s="1120"/>
      <c r="U1551" s="5"/>
      <c r="V1551" s="5"/>
      <c r="W1551" s="5"/>
      <c r="X1551" s="1120"/>
      <c r="Y1551" s="1120"/>
      <c r="Z1551" s="5"/>
      <c r="AA1551" s="5"/>
      <c r="AB1551" s="1135"/>
      <c r="AC1551" s="5"/>
      <c r="AD1551" s="5"/>
      <c r="AE1551" s="5"/>
      <c r="AF1551" s="1120"/>
      <c r="AG1551" s="1148"/>
      <c r="AH1551" s="1120"/>
      <c r="AI1551" s="1120"/>
      <c r="AJ1551" s="1120"/>
    </row>
    <row r="1552" spans="2:36" ht="30" customHeight="1" x14ac:dyDescent="0.25">
      <c r="B1552" s="5"/>
      <c r="C1552" s="5"/>
      <c r="D1552" s="5"/>
      <c r="E1552" s="5"/>
      <c r="F1552" s="5"/>
      <c r="G1552" s="5"/>
      <c r="H1552" s="5"/>
      <c r="I1552" s="5"/>
      <c r="J1552" s="5"/>
      <c r="L1552" s="277"/>
      <c r="M1552" s="5"/>
      <c r="R1552" s="5"/>
      <c r="S1552" s="5"/>
      <c r="T1552" s="1120"/>
      <c r="U1552" s="5"/>
      <c r="V1552" s="5"/>
      <c r="W1552" s="5"/>
      <c r="X1552" s="1120"/>
      <c r="Y1552" s="1120"/>
      <c r="Z1552" s="5"/>
      <c r="AA1552" s="5"/>
      <c r="AB1552" s="1135"/>
      <c r="AC1552" s="5"/>
      <c r="AD1552" s="5"/>
      <c r="AE1552" s="5"/>
      <c r="AF1552" s="1120"/>
      <c r="AG1552" s="1148"/>
      <c r="AH1552" s="1120"/>
      <c r="AI1552" s="1120"/>
      <c r="AJ1552" s="1120"/>
    </row>
    <row r="1553" spans="2:36" ht="30" customHeight="1" x14ac:dyDescent="0.25">
      <c r="B1553" s="5"/>
      <c r="C1553" s="5"/>
      <c r="D1553" s="5"/>
      <c r="E1553" s="5"/>
      <c r="F1553" s="5"/>
      <c r="G1553" s="5"/>
      <c r="H1553" s="5"/>
      <c r="I1553" s="5"/>
      <c r="J1553" s="5"/>
      <c r="L1553" s="277"/>
      <c r="M1553" s="5"/>
      <c r="R1553" s="5"/>
      <c r="S1553" s="5"/>
      <c r="T1553" s="1120"/>
      <c r="U1553" s="5"/>
      <c r="V1553" s="5"/>
      <c r="W1553" s="5"/>
      <c r="X1553" s="1120"/>
      <c r="Y1553" s="1120"/>
      <c r="Z1553" s="5"/>
      <c r="AA1553" s="5"/>
      <c r="AB1553" s="1135"/>
      <c r="AC1553" s="5"/>
      <c r="AD1553" s="5"/>
      <c r="AE1553" s="5"/>
      <c r="AF1553" s="1120"/>
      <c r="AG1553" s="1148"/>
      <c r="AH1553" s="1120"/>
      <c r="AI1553" s="1120"/>
      <c r="AJ1553" s="1120"/>
    </row>
    <row r="1554" spans="2:36" ht="30" customHeight="1" x14ac:dyDescent="0.25">
      <c r="B1554" s="5"/>
      <c r="C1554" s="5"/>
      <c r="D1554" s="5"/>
      <c r="E1554" s="5"/>
      <c r="F1554" s="5"/>
      <c r="G1554" s="5"/>
      <c r="H1554" s="5"/>
      <c r="I1554" s="5"/>
      <c r="J1554" s="5"/>
      <c r="L1554" s="277"/>
      <c r="M1554" s="5"/>
      <c r="R1554" s="5"/>
      <c r="S1554" s="5"/>
      <c r="T1554" s="1120"/>
      <c r="U1554" s="5"/>
      <c r="V1554" s="5"/>
      <c r="W1554" s="5"/>
      <c r="X1554" s="1120"/>
      <c r="Y1554" s="1120"/>
      <c r="Z1554" s="5"/>
      <c r="AA1554" s="5"/>
      <c r="AB1554" s="1135"/>
      <c r="AC1554" s="5"/>
      <c r="AD1554" s="5"/>
      <c r="AE1554" s="5"/>
      <c r="AF1554" s="1120"/>
      <c r="AG1554" s="1148"/>
      <c r="AH1554" s="1120"/>
      <c r="AI1554" s="1120"/>
      <c r="AJ1554" s="1120"/>
    </row>
    <row r="1555" spans="2:36" ht="30" customHeight="1" x14ac:dyDescent="0.25">
      <c r="B1555" s="5"/>
      <c r="C1555" s="5"/>
      <c r="D1555" s="5"/>
      <c r="E1555" s="5"/>
      <c r="F1555" s="5"/>
      <c r="G1555" s="5"/>
      <c r="H1555" s="5"/>
      <c r="I1555" s="5"/>
      <c r="J1555" s="5"/>
      <c r="L1555" s="277"/>
      <c r="M1555" s="5"/>
      <c r="R1555" s="5"/>
      <c r="S1555" s="5"/>
      <c r="T1555" s="1120"/>
      <c r="U1555" s="5"/>
      <c r="V1555" s="5"/>
      <c r="W1555" s="5"/>
      <c r="X1555" s="1120"/>
      <c r="Y1555" s="1120"/>
      <c r="Z1555" s="5"/>
      <c r="AA1555" s="5"/>
      <c r="AB1555" s="1135"/>
      <c r="AC1555" s="5"/>
      <c r="AD1555" s="5"/>
      <c r="AE1555" s="5"/>
      <c r="AF1555" s="1120"/>
      <c r="AG1555" s="1148"/>
      <c r="AH1555" s="1120"/>
      <c r="AI1555" s="1120"/>
      <c r="AJ1555" s="1120"/>
    </row>
    <row r="1556" spans="2:36" ht="30" customHeight="1" x14ac:dyDescent="0.25">
      <c r="B1556" s="5"/>
      <c r="C1556" s="5"/>
      <c r="D1556" s="5"/>
      <c r="E1556" s="5"/>
      <c r="F1556" s="5"/>
      <c r="G1556" s="5"/>
      <c r="H1556" s="5"/>
      <c r="I1556" s="5"/>
      <c r="J1556" s="5"/>
      <c r="L1556" s="277"/>
      <c r="M1556" s="5"/>
      <c r="R1556" s="5"/>
      <c r="S1556" s="5"/>
      <c r="T1556" s="1120"/>
      <c r="U1556" s="5"/>
      <c r="V1556" s="5"/>
      <c r="W1556" s="5"/>
      <c r="X1556" s="1120"/>
      <c r="Y1556" s="1120"/>
      <c r="Z1556" s="5"/>
      <c r="AA1556" s="5"/>
      <c r="AB1556" s="1135"/>
      <c r="AC1556" s="5"/>
      <c r="AD1556" s="5"/>
      <c r="AE1556" s="5"/>
      <c r="AF1556" s="1120"/>
      <c r="AG1556" s="1148"/>
      <c r="AH1556" s="1120"/>
      <c r="AI1556" s="1120"/>
      <c r="AJ1556" s="1120"/>
    </row>
    <row r="1557" spans="2:36" ht="30" customHeight="1" x14ac:dyDescent="0.25">
      <c r="B1557" s="5"/>
      <c r="C1557" s="5"/>
      <c r="D1557" s="5"/>
      <c r="E1557" s="5"/>
      <c r="F1557" s="5"/>
      <c r="G1557" s="5"/>
      <c r="H1557" s="5"/>
      <c r="I1557" s="5"/>
      <c r="J1557" s="5"/>
      <c r="L1557" s="277"/>
      <c r="M1557" s="5"/>
      <c r="R1557" s="5"/>
      <c r="S1557" s="5"/>
      <c r="T1557" s="1120"/>
      <c r="U1557" s="5"/>
      <c r="V1557" s="5"/>
      <c r="W1557" s="5"/>
      <c r="X1557" s="1120"/>
      <c r="Y1557" s="1120"/>
      <c r="Z1557" s="5"/>
      <c r="AA1557" s="5"/>
      <c r="AB1557" s="1135"/>
      <c r="AC1557" s="5"/>
      <c r="AD1557" s="5"/>
      <c r="AE1557" s="5"/>
      <c r="AF1557" s="1120"/>
      <c r="AG1557" s="1148"/>
      <c r="AH1557" s="1120"/>
      <c r="AI1557" s="1120"/>
      <c r="AJ1557" s="1120"/>
    </row>
    <row r="1558" spans="2:36" ht="30" customHeight="1" x14ac:dyDescent="0.25">
      <c r="B1558" s="5"/>
      <c r="C1558" s="5"/>
      <c r="D1558" s="5"/>
      <c r="E1558" s="5"/>
      <c r="F1558" s="5"/>
      <c r="G1558" s="5"/>
      <c r="H1558" s="5"/>
      <c r="I1558" s="5"/>
      <c r="J1558" s="5"/>
      <c r="L1558" s="277"/>
      <c r="M1558" s="5"/>
      <c r="R1558" s="5"/>
      <c r="S1558" s="5"/>
      <c r="T1558" s="1120"/>
      <c r="U1558" s="5"/>
      <c r="V1558" s="5"/>
      <c r="W1558" s="5"/>
      <c r="X1558" s="1120"/>
      <c r="Y1558" s="1120"/>
      <c r="Z1558" s="5"/>
      <c r="AA1558" s="5"/>
      <c r="AB1558" s="1135"/>
      <c r="AC1558" s="5"/>
      <c r="AD1558" s="5"/>
      <c r="AE1558" s="5"/>
      <c r="AF1558" s="1120"/>
      <c r="AG1558" s="1148"/>
      <c r="AH1558" s="1120"/>
      <c r="AI1558" s="1120"/>
      <c r="AJ1558" s="1120"/>
    </row>
    <row r="1559" spans="2:36" ht="30" customHeight="1" x14ac:dyDescent="0.25">
      <c r="B1559" s="5"/>
      <c r="C1559" s="5"/>
      <c r="D1559" s="5"/>
      <c r="E1559" s="5"/>
      <c r="F1559" s="5"/>
      <c r="G1559" s="5"/>
      <c r="H1559" s="5"/>
      <c r="I1559" s="5"/>
      <c r="J1559" s="5"/>
      <c r="L1559" s="277"/>
      <c r="M1559" s="5"/>
      <c r="R1559" s="5"/>
      <c r="S1559" s="5"/>
      <c r="T1559" s="1120"/>
      <c r="U1559" s="5"/>
      <c r="V1559" s="5"/>
      <c r="W1559" s="5"/>
      <c r="X1559" s="1120"/>
      <c r="Y1559" s="1120"/>
      <c r="Z1559" s="5"/>
      <c r="AA1559" s="5"/>
      <c r="AB1559" s="1135"/>
      <c r="AC1559" s="5"/>
      <c r="AD1559" s="5"/>
      <c r="AE1559" s="5"/>
      <c r="AF1559" s="1120"/>
      <c r="AG1559" s="1148"/>
      <c r="AH1559" s="1120"/>
      <c r="AI1559" s="1120"/>
      <c r="AJ1559" s="1120"/>
    </row>
    <row r="1560" spans="2:36" ht="30" customHeight="1" x14ac:dyDescent="0.25">
      <c r="B1560" s="5"/>
      <c r="C1560" s="5"/>
      <c r="D1560" s="5"/>
      <c r="E1560" s="5"/>
      <c r="F1560" s="5"/>
      <c r="G1560" s="5"/>
      <c r="H1560" s="5"/>
      <c r="I1560" s="5"/>
      <c r="J1560" s="5"/>
      <c r="L1560" s="277"/>
      <c r="M1560" s="5"/>
      <c r="R1560" s="5"/>
      <c r="S1560" s="5"/>
      <c r="T1560" s="1120"/>
      <c r="U1560" s="5"/>
      <c r="V1560" s="5"/>
      <c r="W1560" s="5"/>
      <c r="X1560" s="1120"/>
      <c r="Y1560" s="1120"/>
      <c r="Z1560" s="5"/>
      <c r="AA1560" s="5"/>
      <c r="AB1560" s="1135"/>
      <c r="AC1560" s="5"/>
      <c r="AD1560" s="5"/>
      <c r="AE1560" s="5"/>
      <c r="AF1560" s="1120"/>
      <c r="AG1560" s="1148"/>
      <c r="AH1560" s="1120"/>
      <c r="AI1560" s="1120"/>
      <c r="AJ1560" s="1120"/>
    </row>
    <row r="1561" spans="2:36" ht="30" customHeight="1" x14ac:dyDescent="0.25">
      <c r="B1561" s="5"/>
      <c r="C1561" s="5"/>
      <c r="D1561" s="5"/>
      <c r="E1561" s="5"/>
      <c r="F1561" s="5"/>
      <c r="G1561" s="5"/>
      <c r="H1561" s="5"/>
      <c r="I1561" s="5"/>
      <c r="J1561" s="5"/>
      <c r="L1561" s="277"/>
      <c r="M1561" s="5"/>
      <c r="R1561" s="5"/>
      <c r="S1561" s="5"/>
      <c r="T1561" s="1120"/>
      <c r="U1561" s="5"/>
      <c r="V1561" s="5"/>
      <c r="W1561" s="5"/>
      <c r="X1561" s="1120"/>
      <c r="Y1561" s="1120"/>
      <c r="Z1561" s="5"/>
      <c r="AA1561" s="5"/>
      <c r="AB1561" s="1135"/>
      <c r="AC1561" s="5"/>
      <c r="AD1561" s="5"/>
      <c r="AE1561" s="5"/>
      <c r="AF1561" s="1120"/>
      <c r="AG1561" s="1148"/>
      <c r="AH1561" s="1120"/>
      <c r="AI1561" s="1120"/>
      <c r="AJ1561" s="1120"/>
    </row>
    <row r="1562" spans="2:36" ht="30" customHeight="1" x14ac:dyDescent="0.25">
      <c r="B1562" s="5"/>
      <c r="C1562" s="5"/>
      <c r="D1562" s="5"/>
      <c r="E1562" s="5"/>
      <c r="F1562" s="5"/>
      <c r="G1562" s="5"/>
      <c r="H1562" s="5"/>
      <c r="I1562" s="5"/>
      <c r="J1562" s="5"/>
      <c r="L1562" s="277"/>
      <c r="M1562" s="5"/>
      <c r="R1562" s="5"/>
      <c r="S1562" s="5"/>
      <c r="T1562" s="1120"/>
      <c r="U1562" s="5"/>
      <c r="V1562" s="5"/>
      <c r="W1562" s="5"/>
      <c r="X1562" s="1120"/>
      <c r="Y1562" s="1120"/>
      <c r="Z1562" s="5"/>
      <c r="AA1562" s="5"/>
      <c r="AB1562" s="1135"/>
      <c r="AC1562" s="5"/>
      <c r="AD1562" s="5"/>
      <c r="AE1562" s="5"/>
      <c r="AF1562" s="1120"/>
      <c r="AG1562" s="1148"/>
      <c r="AH1562" s="1120"/>
      <c r="AI1562" s="1120"/>
      <c r="AJ1562" s="1120"/>
    </row>
    <row r="1563" spans="2:36" ht="30" customHeight="1" x14ac:dyDescent="0.25">
      <c r="B1563" s="5"/>
      <c r="C1563" s="5"/>
      <c r="D1563" s="5"/>
      <c r="E1563" s="5"/>
      <c r="F1563" s="5"/>
      <c r="G1563" s="5"/>
      <c r="H1563" s="5"/>
      <c r="I1563" s="5"/>
      <c r="J1563" s="5"/>
      <c r="L1563" s="277"/>
      <c r="M1563" s="5"/>
      <c r="R1563" s="5"/>
      <c r="S1563" s="5"/>
      <c r="T1563" s="1120"/>
      <c r="U1563" s="5"/>
      <c r="V1563" s="5"/>
      <c r="W1563" s="5"/>
      <c r="X1563" s="1120"/>
      <c r="Y1563" s="1120"/>
      <c r="Z1563" s="5"/>
      <c r="AA1563" s="5"/>
      <c r="AB1563" s="1135"/>
      <c r="AC1563" s="5"/>
      <c r="AD1563" s="5"/>
      <c r="AE1563" s="5"/>
      <c r="AF1563" s="1120"/>
      <c r="AG1563" s="1148"/>
      <c r="AH1563" s="1120"/>
      <c r="AI1563" s="1120"/>
      <c r="AJ1563" s="1120"/>
    </row>
    <row r="1564" spans="2:36" ht="30" customHeight="1" x14ac:dyDescent="0.25">
      <c r="B1564" s="5"/>
      <c r="C1564" s="5"/>
      <c r="D1564" s="5"/>
      <c r="E1564" s="5"/>
      <c r="F1564" s="5"/>
      <c r="G1564" s="5"/>
      <c r="H1564" s="5"/>
      <c r="I1564" s="5"/>
      <c r="J1564" s="5"/>
      <c r="L1564" s="277"/>
      <c r="M1564" s="5"/>
      <c r="R1564" s="5"/>
      <c r="S1564" s="5"/>
      <c r="T1564" s="1120"/>
      <c r="U1564" s="5"/>
      <c r="V1564" s="5"/>
      <c r="W1564" s="5"/>
      <c r="X1564" s="1120"/>
      <c r="Y1564" s="1120"/>
      <c r="Z1564" s="5"/>
      <c r="AA1564" s="5"/>
      <c r="AB1564" s="1135"/>
      <c r="AC1564" s="5"/>
      <c r="AD1564" s="5"/>
      <c r="AE1564" s="5"/>
      <c r="AF1564" s="1120"/>
      <c r="AG1564" s="1148"/>
      <c r="AH1564" s="1120"/>
      <c r="AI1564" s="1120"/>
      <c r="AJ1564" s="1120"/>
    </row>
    <row r="1565" spans="2:36" ht="30" customHeight="1" x14ac:dyDescent="0.25">
      <c r="B1565" s="5"/>
      <c r="C1565" s="5"/>
      <c r="D1565" s="5"/>
      <c r="E1565" s="5"/>
      <c r="F1565" s="5"/>
      <c r="G1565" s="5"/>
      <c r="H1565" s="5"/>
      <c r="I1565" s="5"/>
      <c r="J1565" s="5"/>
      <c r="L1565" s="277"/>
      <c r="M1565" s="5"/>
      <c r="R1565" s="5"/>
      <c r="S1565" s="5"/>
      <c r="T1565" s="1120"/>
      <c r="U1565" s="5"/>
      <c r="V1565" s="5"/>
      <c r="W1565" s="5"/>
      <c r="X1565" s="1120"/>
      <c r="Y1565" s="1120"/>
      <c r="Z1565" s="5"/>
      <c r="AA1565" s="5"/>
      <c r="AB1565" s="1135"/>
      <c r="AC1565" s="5"/>
      <c r="AD1565" s="5"/>
      <c r="AE1565" s="5"/>
      <c r="AF1565" s="1120"/>
      <c r="AG1565" s="1148"/>
      <c r="AH1565" s="1120"/>
      <c r="AI1565" s="1120"/>
      <c r="AJ1565" s="1120"/>
    </row>
    <row r="1566" spans="2:36" ht="30" customHeight="1" x14ac:dyDescent="0.25">
      <c r="B1566" s="5"/>
      <c r="C1566" s="5"/>
      <c r="D1566" s="5"/>
      <c r="E1566" s="5"/>
      <c r="F1566" s="5"/>
      <c r="G1566" s="5"/>
      <c r="H1566" s="5"/>
      <c r="I1566" s="5"/>
      <c r="J1566" s="5"/>
      <c r="L1566" s="277"/>
      <c r="M1566" s="5"/>
      <c r="R1566" s="5"/>
      <c r="S1566" s="5"/>
      <c r="T1566" s="1120"/>
      <c r="U1566" s="5"/>
      <c r="V1566" s="5"/>
      <c r="W1566" s="5"/>
      <c r="X1566" s="1120"/>
      <c r="Y1566" s="1120"/>
      <c r="Z1566" s="5"/>
      <c r="AA1566" s="5"/>
      <c r="AB1566" s="1135"/>
      <c r="AC1566" s="5"/>
      <c r="AD1566" s="5"/>
      <c r="AE1566" s="5"/>
      <c r="AF1566" s="1120"/>
      <c r="AG1566" s="1148"/>
      <c r="AH1566" s="1120"/>
      <c r="AI1566" s="1120"/>
      <c r="AJ1566" s="1120"/>
    </row>
    <row r="1567" spans="2:36" ht="30" customHeight="1" x14ac:dyDescent="0.25">
      <c r="B1567" s="5"/>
      <c r="C1567" s="5"/>
      <c r="D1567" s="5"/>
      <c r="E1567" s="5"/>
      <c r="F1567" s="5"/>
      <c r="G1567" s="5"/>
      <c r="H1567" s="5"/>
      <c r="I1567" s="5"/>
      <c r="J1567" s="5"/>
      <c r="L1567" s="277"/>
      <c r="M1567" s="5"/>
      <c r="R1567" s="5"/>
      <c r="S1567" s="5"/>
      <c r="T1567" s="1120"/>
      <c r="U1567" s="5"/>
      <c r="V1567" s="5"/>
      <c r="W1567" s="5"/>
      <c r="X1567" s="1120"/>
      <c r="Y1567" s="1120"/>
      <c r="Z1567" s="5"/>
      <c r="AA1567" s="5"/>
      <c r="AB1567" s="1135"/>
      <c r="AC1567" s="5"/>
      <c r="AD1567" s="5"/>
      <c r="AE1567" s="5"/>
      <c r="AF1567" s="1120"/>
      <c r="AG1567" s="1148"/>
      <c r="AH1567" s="1120"/>
      <c r="AI1567" s="1120"/>
      <c r="AJ1567" s="1120"/>
    </row>
    <row r="1568" spans="2:36" ht="30" customHeight="1" x14ac:dyDescent="0.25">
      <c r="B1568" s="5"/>
      <c r="C1568" s="5"/>
      <c r="D1568" s="5"/>
      <c r="E1568" s="5"/>
      <c r="F1568" s="5"/>
      <c r="G1568" s="5"/>
      <c r="H1568" s="5"/>
      <c r="I1568" s="5"/>
      <c r="J1568" s="5"/>
      <c r="L1568" s="277"/>
      <c r="M1568" s="5"/>
      <c r="R1568" s="5"/>
      <c r="S1568" s="5"/>
      <c r="T1568" s="1120"/>
      <c r="U1568" s="5"/>
      <c r="V1568" s="5"/>
      <c r="W1568" s="5"/>
      <c r="X1568" s="1120"/>
      <c r="Y1568" s="1120"/>
      <c r="Z1568" s="5"/>
      <c r="AA1568" s="5"/>
      <c r="AB1568" s="1135"/>
      <c r="AC1568" s="5"/>
      <c r="AD1568" s="5"/>
      <c r="AE1568" s="5"/>
      <c r="AF1568" s="1120"/>
      <c r="AG1568" s="1148"/>
      <c r="AH1568" s="1120"/>
      <c r="AI1568" s="1120"/>
      <c r="AJ1568" s="1120"/>
    </row>
    <row r="1569" spans="2:36" ht="30" customHeight="1" x14ac:dyDescent="0.25">
      <c r="B1569" s="5"/>
      <c r="C1569" s="5"/>
      <c r="D1569" s="5"/>
      <c r="E1569" s="5"/>
      <c r="F1569" s="5"/>
      <c r="G1569" s="5"/>
      <c r="H1569" s="5"/>
      <c r="I1569" s="5"/>
      <c r="J1569" s="5"/>
      <c r="L1569" s="277"/>
      <c r="M1569" s="5"/>
      <c r="R1569" s="5"/>
      <c r="S1569" s="5"/>
      <c r="T1569" s="1120"/>
      <c r="U1569" s="5"/>
      <c r="V1569" s="5"/>
      <c r="W1569" s="5"/>
      <c r="X1569" s="1120"/>
      <c r="Y1569" s="1120"/>
      <c r="Z1569" s="5"/>
      <c r="AA1569" s="5"/>
      <c r="AB1569" s="1135"/>
      <c r="AC1569" s="5"/>
      <c r="AD1569" s="5"/>
      <c r="AE1569" s="5"/>
      <c r="AF1569" s="1120"/>
      <c r="AG1569" s="1148"/>
      <c r="AH1569" s="1120"/>
      <c r="AI1569" s="1120"/>
      <c r="AJ1569" s="1120"/>
    </row>
    <row r="1570" spans="2:36" ht="30" customHeight="1" x14ac:dyDescent="0.25">
      <c r="B1570" s="5"/>
      <c r="C1570" s="5"/>
      <c r="D1570" s="5"/>
      <c r="E1570" s="5"/>
      <c r="F1570" s="5"/>
      <c r="G1570" s="5"/>
      <c r="H1570" s="5"/>
      <c r="I1570" s="5"/>
      <c r="J1570" s="5"/>
      <c r="L1570" s="277"/>
      <c r="M1570" s="5"/>
      <c r="R1570" s="5"/>
      <c r="S1570" s="5"/>
      <c r="T1570" s="1120"/>
      <c r="U1570" s="5"/>
      <c r="V1570" s="5"/>
      <c r="W1570" s="5"/>
      <c r="X1570" s="1120"/>
      <c r="Y1570" s="1120"/>
      <c r="Z1570" s="5"/>
      <c r="AA1570" s="5"/>
      <c r="AB1570" s="1135"/>
      <c r="AC1570" s="5"/>
      <c r="AD1570" s="5"/>
      <c r="AE1570" s="5"/>
      <c r="AF1570" s="1120"/>
      <c r="AG1570" s="1148"/>
      <c r="AH1570" s="1120"/>
      <c r="AI1570" s="1120"/>
      <c r="AJ1570" s="1120"/>
    </row>
    <row r="1571" spans="2:36" ht="30" customHeight="1" x14ac:dyDescent="0.25">
      <c r="B1571" s="5"/>
      <c r="C1571" s="5"/>
      <c r="D1571" s="5"/>
      <c r="E1571" s="5"/>
      <c r="F1571" s="5"/>
      <c r="G1571" s="5"/>
      <c r="H1571" s="5"/>
      <c r="I1571" s="5"/>
      <c r="J1571" s="5"/>
      <c r="L1571" s="277"/>
      <c r="M1571" s="5"/>
      <c r="R1571" s="5"/>
      <c r="S1571" s="5"/>
      <c r="T1571" s="1120"/>
      <c r="U1571" s="5"/>
      <c r="V1571" s="5"/>
      <c r="W1571" s="5"/>
      <c r="X1571" s="1120"/>
      <c r="Y1571" s="1120"/>
      <c r="Z1571" s="5"/>
      <c r="AA1571" s="5"/>
      <c r="AB1571" s="1135"/>
      <c r="AC1571" s="5"/>
      <c r="AD1571" s="5"/>
      <c r="AE1571" s="5"/>
      <c r="AF1571" s="1120"/>
      <c r="AG1571" s="1148"/>
      <c r="AH1571" s="1120"/>
      <c r="AI1571" s="1120"/>
      <c r="AJ1571" s="1120"/>
    </row>
    <row r="1572" spans="2:36" ht="30" customHeight="1" x14ac:dyDescent="0.25">
      <c r="B1572" s="5"/>
      <c r="C1572" s="5"/>
      <c r="D1572" s="5"/>
      <c r="E1572" s="5"/>
      <c r="F1572" s="5"/>
      <c r="G1572" s="5"/>
      <c r="H1572" s="5"/>
      <c r="I1572" s="5"/>
      <c r="J1572" s="5"/>
      <c r="L1572" s="277"/>
      <c r="M1572" s="5"/>
      <c r="R1572" s="5"/>
      <c r="S1572" s="5"/>
      <c r="T1572" s="1120"/>
      <c r="U1572" s="5"/>
      <c r="V1572" s="5"/>
      <c r="W1572" s="5"/>
      <c r="X1572" s="1120"/>
      <c r="Y1572" s="1120"/>
      <c r="Z1572" s="5"/>
      <c r="AA1572" s="5"/>
      <c r="AB1572" s="1135"/>
      <c r="AC1572" s="5"/>
      <c r="AD1572" s="5"/>
      <c r="AE1572" s="5"/>
      <c r="AF1572" s="1120"/>
      <c r="AG1572" s="1148"/>
      <c r="AH1572" s="1120"/>
      <c r="AI1572" s="1120"/>
      <c r="AJ1572" s="1120"/>
    </row>
    <row r="1573" spans="2:36" ht="30" customHeight="1" x14ac:dyDescent="0.25">
      <c r="B1573" s="5"/>
      <c r="C1573" s="5"/>
      <c r="D1573" s="5"/>
      <c r="E1573" s="5"/>
      <c r="F1573" s="5"/>
      <c r="G1573" s="5"/>
      <c r="H1573" s="5"/>
      <c r="I1573" s="5"/>
      <c r="J1573" s="5"/>
      <c r="L1573" s="277"/>
      <c r="M1573" s="5"/>
      <c r="R1573" s="5"/>
      <c r="S1573" s="5"/>
      <c r="T1573" s="1120"/>
      <c r="U1573" s="5"/>
      <c r="V1573" s="5"/>
      <c r="W1573" s="5"/>
      <c r="X1573" s="1120"/>
      <c r="Y1573" s="1120"/>
      <c r="Z1573" s="5"/>
      <c r="AA1573" s="5"/>
      <c r="AB1573" s="1135"/>
      <c r="AC1573" s="5"/>
      <c r="AD1573" s="5"/>
      <c r="AE1573" s="5"/>
      <c r="AF1573" s="1120"/>
      <c r="AG1573" s="1148"/>
      <c r="AH1573" s="1120"/>
      <c r="AI1573" s="1120"/>
      <c r="AJ1573" s="1120"/>
    </row>
    <row r="1574" spans="2:36" ht="30" customHeight="1" x14ac:dyDescent="0.25">
      <c r="B1574" s="5"/>
      <c r="C1574" s="5"/>
      <c r="D1574" s="5"/>
      <c r="E1574" s="5"/>
      <c r="F1574" s="5"/>
      <c r="G1574" s="5"/>
      <c r="H1574" s="5"/>
      <c r="I1574" s="5"/>
      <c r="J1574" s="5"/>
      <c r="L1574" s="277"/>
      <c r="M1574" s="5"/>
      <c r="R1574" s="5"/>
      <c r="S1574" s="5"/>
      <c r="T1574" s="1120"/>
      <c r="U1574" s="5"/>
      <c r="V1574" s="5"/>
      <c r="W1574" s="5"/>
      <c r="X1574" s="1120"/>
      <c r="Y1574" s="1120"/>
      <c r="Z1574" s="5"/>
      <c r="AA1574" s="5"/>
      <c r="AB1574" s="1135"/>
      <c r="AC1574" s="5"/>
      <c r="AD1574" s="5"/>
      <c r="AE1574" s="5"/>
      <c r="AF1574" s="1120"/>
      <c r="AG1574" s="1148"/>
      <c r="AH1574" s="1120"/>
      <c r="AI1574" s="1120"/>
      <c r="AJ1574" s="1120"/>
    </row>
    <row r="1575" spans="2:36" ht="30" customHeight="1" x14ac:dyDescent="0.25">
      <c r="B1575" s="5"/>
      <c r="C1575" s="5"/>
      <c r="D1575" s="5"/>
      <c r="E1575" s="5"/>
      <c r="F1575" s="5"/>
      <c r="G1575" s="5"/>
      <c r="H1575" s="5"/>
      <c r="I1575" s="5"/>
      <c r="J1575" s="5"/>
      <c r="L1575" s="277"/>
      <c r="M1575" s="5"/>
      <c r="R1575" s="5"/>
      <c r="S1575" s="5"/>
      <c r="T1575" s="1120"/>
      <c r="U1575" s="5"/>
      <c r="V1575" s="5"/>
      <c r="W1575" s="5"/>
      <c r="X1575" s="1120"/>
      <c r="Y1575" s="1120"/>
      <c r="Z1575" s="5"/>
      <c r="AA1575" s="5"/>
      <c r="AB1575" s="1135"/>
      <c r="AC1575" s="5"/>
      <c r="AD1575" s="5"/>
      <c r="AE1575" s="5"/>
      <c r="AF1575" s="1120"/>
      <c r="AG1575" s="1148"/>
      <c r="AH1575" s="1120"/>
      <c r="AI1575" s="1120"/>
      <c r="AJ1575" s="1120"/>
    </row>
    <row r="1576" spans="2:36" ht="30" customHeight="1" x14ac:dyDescent="0.25">
      <c r="B1576" s="5"/>
      <c r="C1576" s="5"/>
      <c r="D1576" s="5"/>
      <c r="E1576" s="5"/>
      <c r="F1576" s="5"/>
      <c r="G1576" s="5"/>
      <c r="H1576" s="5"/>
      <c r="I1576" s="5"/>
      <c r="J1576" s="5"/>
      <c r="L1576" s="277"/>
      <c r="M1576" s="5"/>
      <c r="R1576" s="5"/>
      <c r="S1576" s="5"/>
      <c r="T1576" s="1120"/>
      <c r="U1576" s="5"/>
      <c r="V1576" s="5"/>
      <c r="W1576" s="5"/>
      <c r="X1576" s="1120"/>
      <c r="Y1576" s="1120"/>
      <c r="Z1576" s="5"/>
      <c r="AA1576" s="5"/>
      <c r="AB1576" s="1135"/>
      <c r="AC1576" s="5"/>
      <c r="AD1576" s="5"/>
      <c r="AE1576" s="5"/>
      <c r="AF1576" s="1120"/>
      <c r="AG1576" s="1148"/>
      <c r="AH1576" s="1120"/>
      <c r="AI1576" s="1120"/>
      <c r="AJ1576" s="1120"/>
    </row>
    <row r="1577" spans="2:36" ht="30" customHeight="1" x14ac:dyDescent="0.25">
      <c r="B1577" s="5"/>
      <c r="C1577" s="5"/>
      <c r="D1577" s="5"/>
      <c r="E1577" s="5"/>
      <c r="F1577" s="5"/>
      <c r="G1577" s="5"/>
      <c r="H1577" s="5"/>
      <c r="I1577" s="5"/>
      <c r="J1577" s="5"/>
      <c r="L1577" s="277"/>
      <c r="M1577" s="5"/>
      <c r="R1577" s="5"/>
      <c r="S1577" s="5"/>
      <c r="T1577" s="1120"/>
      <c r="U1577" s="5"/>
      <c r="V1577" s="5"/>
      <c r="W1577" s="5"/>
      <c r="X1577" s="1120"/>
      <c r="Y1577" s="1120"/>
      <c r="Z1577" s="5"/>
      <c r="AA1577" s="5"/>
      <c r="AB1577" s="1135"/>
      <c r="AC1577" s="5"/>
      <c r="AD1577" s="5"/>
      <c r="AE1577" s="5"/>
      <c r="AF1577" s="1120"/>
      <c r="AG1577" s="1148"/>
      <c r="AH1577" s="1120"/>
      <c r="AI1577" s="1120"/>
      <c r="AJ1577" s="1120"/>
    </row>
    <row r="1578" spans="2:36" ht="30" customHeight="1" x14ac:dyDescent="0.25">
      <c r="B1578" s="5"/>
      <c r="C1578" s="5"/>
      <c r="D1578" s="5"/>
      <c r="E1578" s="5"/>
      <c r="F1578" s="5"/>
      <c r="G1578" s="5"/>
      <c r="H1578" s="5"/>
      <c r="I1578" s="5"/>
      <c r="J1578" s="5"/>
      <c r="L1578" s="277"/>
      <c r="M1578" s="5"/>
      <c r="R1578" s="5"/>
      <c r="S1578" s="5"/>
      <c r="T1578" s="1120"/>
      <c r="U1578" s="5"/>
      <c r="V1578" s="5"/>
      <c r="W1578" s="5"/>
      <c r="X1578" s="1120"/>
      <c r="Y1578" s="1120"/>
      <c r="Z1578" s="5"/>
      <c r="AA1578" s="5"/>
      <c r="AB1578" s="1135"/>
      <c r="AC1578" s="5"/>
      <c r="AD1578" s="5"/>
      <c r="AE1578" s="5"/>
      <c r="AF1578" s="1120"/>
      <c r="AG1578" s="1148"/>
      <c r="AH1578" s="1120"/>
      <c r="AI1578" s="1120"/>
      <c r="AJ1578" s="1120"/>
    </row>
    <row r="1579" spans="2:36" ht="30" customHeight="1" x14ac:dyDescent="0.25">
      <c r="B1579" s="5"/>
      <c r="C1579" s="5"/>
      <c r="D1579" s="5"/>
      <c r="E1579" s="5"/>
      <c r="F1579" s="5"/>
      <c r="G1579" s="5"/>
      <c r="H1579" s="5"/>
      <c r="I1579" s="5"/>
      <c r="J1579" s="5"/>
      <c r="L1579" s="277"/>
      <c r="M1579" s="5"/>
      <c r="R1579" s="5"/>
      <c r="S1579" s="5"/>
      <c r="T1579" s="1120"/>
      <c r="U1579" s="5"/>
      <c r="V1579" s="5"/>
      <c r="W1579" s="5"/>
      <c r="X1579" s="1120"/>
      <c r="Y1579" s="1120"/>
      <c r="Z1579" s="5"/>
      <c r="AA1579" s="5"/>
      <c r="AB1579" s="1135"/>
      <c r="AC1579" s="5"/>
      <c r="AD1579" s="5"/>
      <c r="AE1579" s="5"/>
      <c r="AF1579" s="1120"/>
      <c r="AG1579" s="1148"/>
      <c r="AH1579" s="1120"/>
      <c r="AI1579" s="1120"/>
      <c r="AJ1579" s="1120"/>
    </row>
    <row r="1580" spans="2:36" ht="30" customHeight="1" x14ac:dyDescent="0.25">
      <c r="B1580" s="5"/>
      <c r="C1580" s="5"/>
      <c r="D1580" s="5"/>
      <c r="E1580" s="5"/>
      <c r="F1580" s="5"/>
      <c r="G1580" s="5"/>
      <c r="H1580" s="5"/>
      <c r="I1580" s="5"/>
      <c r="J1580" s="5"/>
      <c r="L1580" s="277"/>
      <c r="M1580" s="5"/>
      <c r="R1580" s="5"/>
      <c r="S1580" s="5"/>
      <c r="T1580" s="1120"/>
      <c r="U1580" s="5"/>
      <c r="V1580" s="5"/>
      <c r="W1580" s="5"/>
      <c r="X1580" s="1120"/>
      <c r="Y1580" s="1120"/>
      <c r="Z1580" s="5"/>
      <c r="AA1580" s="5"/>
      <c r="AB1580" s="1135"/>
      <c r="AC1580" s="5"/>
      <c r="AD1580" s="5"/>
      <c r="AE1580" s="5"/>
      <c r="AF1580" s="1120"/>
      <c r="AG1580" s="1148"/>
      <c r="AH1580" s="1120"/>
      <c r="AI1580" s="1120"/>
      <c r="AJ1580" s="1120"/>
    </row>
    <row r="1581" spans="2:36" ht="30" customHeight="1" x14ac:dyDescent="0.25">
      <c r="B1581" s="5"/>
      <c r="C1581" s="5"/>
      <c r="D1581" s="5"/>
      <c r="E1581" s="5"/>
      <c r="F1581" s="5"/>
      <c r="G1581" s="5"/>
      <c r="H1581" s="5"/>
      <c r="I1581" s="5"/>
      <c r="J1581" s="5"/>
      <c r="L1581" s="277"/>
      <c r="M1581" s="5"/>
      <c r="R1581" s="5"/>
      <c r="S1581" s="5"/>
      <c r="T1581" s="1120"/>
      <c r="U1581" s="5"/>
      <c r="V1581" s="5"/>
      <c r="W1581" s="5"/>
      <c r="X1581" s="1120"/>
      <c r="Y1581" s="1120"/>
      <c r="Z1581" s="5"/>
      <c r="AA1581" s="5"/>
      <c r="AB1581" s="1135"/>
      <c r="AC1581" s="5"/>
      <c r="AD1581" s="5"/>
      <c r="AE1581" s="5"/>
      <c r="AF1581" s="1120"/>
      <c r="AG1581" s="1148"/>
      <c r="AH1581" s="1120"/>
      <c r="AI1581" s="1120"/>
      <c r="AJ1581" s="1120"/>
    </row>
    <row r="1582" spans="2:36" ht="30" customHeight="1" x14ac:dyDescent="0.25">
      <c r="B1582" s="5"/>
      <c r="C1582" s="5"/>
      <c r="D1582" s="5"/>
      <c r="E1582" s="5"/>
      <c r="F1582" s="5"/>
      <c r="G1582" s="5"/>
      <c r="H1582" s="5"/>
      <c r="I1582" s="5"/>
      <c r="J1582" s="5"/>
      <c r="L1582" s="277"/>
      <c r="M1582" s="5"/>
      <c r="R1582" s="5"/>
      <c r="S1582" s="5"/>
      <c r="T1582" s="1120"/>
      <c r="U1582" s="5"/>
      <c r="V1582" s="5"/>
      <c r="W1582" s="5"/>
      <c r="X1582" s="1120"/>
      <c r="Y1582" s="1120"/>
      <c r="Z1582" s="5"/>
      <c r="AA1582" s="5"/>
      <c r="AB1582" s="1135"/>
      <c r="AC1582" s="5"/>
      <c r="AD1582" s="5"/>
      <c r="AE1582" s="5"/>
      <c r="AF1582" s="1120"/>
      <c r="AG1582" s="1148"/>
      <c r="AH1582" s="1120"/>
      <c r="AI1582" s="1120"/>
      <c r="AJ1582" s="1120"/>
    </row>
    <row r="1583" spans="2:36" ht="30" customHeight="1" x14ac:dyDescent="0.25">
      <c r="B1583" s="5"/>
      <c r="C1583" s="5"/>
      <c r="D1583" s="5"/>
      <c r="E1583" s="5"/>
      <c r="F1583" s="5"/>
      <c r="G1583" s="5"/>
      <c r="H1583" s="5"/>
      <c r="I1583" s="5"/>
      <c r="J1583" s="5"/>
      <c r="L1583" s="277"/>
      <c r="M1583" s="5"/>
      <c r="R1583" s="5"/>
      <c r="S1583" s="5"/>
      <c r="T1583" s="1120"/>
      <c r="U1583" s="5"/>
      <c r="V1583" s="5"/>
      <c r="W1583" s="5"/>
      <c r="X1583" s="1120"/>
      <c r="Y1583" s="1120"/>
      <c r="Z1583" s="5"/>
      <c r="AA1583" s="5"/>
      <c r="AB1583" s="1135"/>
      <c r="AC1583" s="5"/>
      <c r="AD1583" s="5"/>
      <c r="AE1583" s="5"/>
      <c r="AF1583" s="1120"/>
      <c r="AG1583" s="1148"/>
      <c r="AH1583" s="1120"/>
      <c r="AI1583" s="1120"/>
      <c r="AJ1583" s="1120"/>
    </row>
    <row r="1584" spans="2:36" ht="30" customHeight="1" x14ac:dyDescent="0.25">
      <c r="B1584" s="5"/>
      <c r="C1584" s="5"/>
      <c r="D1584" s="5"/>
      <c r="E1584" s="5"/>
      <c r="F1584" s="5"/>
      <c r="G1584" s="5"/>
      <c r="H1584" s="5"/>
      <c r="I1584" s="5"/>
      <c r="J1584" s="5"/>
      <c r="L1584" s="277"/>
      <c r="M1584" s="5"/>
      <c r="R1584" s="5"/>
      <c r="S1584" s="5"/>
      <c r="T1584" s="1120"/>
      <c r="U1584" s="5"/>
      <c r="V1584" s="5"/>
      <c r="W1584" s="5"/>
      <c r="X1584" s="1120"/>
      <c r="Y1584" s="1120"/>
      <c r="Z1584" s="5"/>
      <c r="AA1584" s="5"/>
      <c r="AB1584" s="1135"/>
      <c r="AC1584" s="5"/>
      <c r="AD1584" s="5"/>
      <c r="AE1584" s="5"/>
      <c r="AF1584" s="1120"/>
      <c r="AG1584" s="1148"/>
      <c r="AH1584" s="1120"/>
      <c r="AI1584" s="1120"/>
      <c r="AJ1584" s="1120"/>
    </row>
    <row r="1585" spans="2:36" ht="30" customHeight="1" x14ac:dyDescent="0.25">
      <c r="B1585" s="5"/>
      <c r="C1585" s="5"/>
      <c r="D1585" s="5"/>
      <c r="E1585" s="5"/>
      <c r="F1585" s="5"/>
      <c r="G1585" s="5"/>
      <c r="H1585" s="5"/>
      <c r="I1585" s="5"/>
      <c r="J1585" s="5"/>
      <c r="L1585" s="277"/>
      <c r="M1585" s="5"/>
      <c r="R1585" s="5"/>
      <c r="S1585" s="5"/>
      <c r="T1585" s="1120"/>
      <c r="U1585" s="5"/>
      <c r="V1585" s="5"/>
      <c r="W1585" s="5"/>
      <c r="X1585" s="1120"/>
      <c r="Y1585" s="1120"/>
      <c r="Z1585" s="5"/>
      <c r="AA1585" s="5"/>
      <c r="AB1585" s="1135"/>
      <c r="AC1585" s="5"/>
      <c r="AD1585" s="5"/>
      <c r="AE1585" s="5"/>
      <c r="AF1585" s="1120"/>
      <c r="AG1585" s="1148"/>
      <c r="AH1585" s="1120"/>
      <c r="AI1585" s="1120"/>
      <c r="AJ1585" s="1120"/>
    </row>
    <row r="1586" spans="2:36" ht="30" customHeight="1" x14ac:dyDescent="0.25">
      <c r="B1586" s="5"/>
      <c r="C1586" s="5"/>
      <c r="D1586" s="5"/>
      <c r="E1586" s="5"/>
      <c r="F1586" s="5"/>
      <c r="G1586" s="5"/>
      <c r="H1586" s="5"/>
      <c r="I1586" s="5"/>
      <c r="J1586" s="5"/>
      <c r="L1586" s="277"/>
      <c r="M1586" s="5"/>
      <c r="R1586" s="5"/>
      <c r="S1586" s="5"/>
      <c r="T1586" s="1120"/>
      <c r="U1586" s="5"/>
      <c r="V1586" s="5"/>
      <c r="W1586" s="5"/>
      <c r="X1586" s="1120"/>
      <c r="Y1586" s="1120"/>
      <c r="Z1586" s="5"/>
      <c r="AA1586" s="5"/>
      <c r="AB1586" s="1135"/>
      <c r="AC1586" s="5"/>
      <c r="AD1586" s="5"/>
      <c r="AE1586" s="5"/>
      <c r="AF1586" s="1120"/>
      <c r="AG1586" s="1148"/>
      <c r="AH1586" s="1120"/>
      <c r="AI1586" s="1120"/>
      <c r="AJ1586" s="1120"/>
    </row>
    <row r="1587" spans="2:36" ht="30" customHeight="1" x14ac:dyDescent="0.25">
      <c r="B1587" s="5"/>
      <c r="C1587" s="5"/>
      <c r="D1587" s="5"/>
      <c r="E1587" s="5"/>
      <c r="F1587" s="5"/>
      <c r="G1587" s="5"/>
      <c r="H1587" s="5"/>
      <c r="I1587" s="5"/>
      <c r="J1587" s="5"/>
      <c r="L1587" s="277"/>
      <c r="M1587" s="5"/>
      <c r="R1587" s="5"/>
      <c r="S1587" s="5"/>
      <c r="T1587" s="1120"/>
      <c r="U1587" s="5"/>
      <c r="V1587" s="5"/>
      <c r="W1587" s="5"/>
      <c r="X1587" s="1120"/>
      <c r="Y1587" s="1120"/>
      <c r="Z1587" s="5"/>
      <c r="AA1587" s="5"/>
      <c r="AB1587" s="1135"/>
      <c r="AC1587" s="5"/>
      <c r="AD1587" s="5"/>
      <c r="AE1587" s="5"/>
      <c r="AF1587" s="1120"/>
      <c r="AG1587" s="1148"/>
      <c r="AH1587" s="1120"/>
      <c r="AI1587" s="1120"/>
      <c r="AJ1587" s="1120"/>
    </row>
    <row r="1588" spans="2:36" ht="30" customHeight="1" x14ac:dyDescent="0.25">
      <c r="B1588" s="5"/>
      <c r="C1588" s="5"/>
      <c r="D1588" s="5"/>
      <c r="E1588" s="5"/>
      <c r="F1588" s="5"/>
      <c r="G1588" s="5"/>
      <c r="H1588" s="5"/>
      <c r="I1588" s="5"/>
      <c r="J1588" s="5"/>
      <c r="L1588" s="277"/>
      <c r="M1588" s="5"/>
      <c r="R1588" s="5"/>
      <c r="S1588" s="5"/>
      <c r="T1588" s="1120"/>
      <c r="U1588" s="5"/>
      <c r="V1588" s="5"/>
      <c r="W1588" s="5"/>
      <c r="X1588" s="1120"/>
      <c r="Y1588" s="1120"/>
      <c r="Z1588" s="5"/>
      <c r="AA1588" s="5"/>
      <c r="AB1588" s="1135"/>
      <c r="AC1588" s="5"/>
      <c r="AD1588" s="5"/>
      <c r="AE1588" s="5"/>
      <c r="AF1588" s="1120"/>
      <c r="AG1588" s="1148"/>
      <c r="AH1588" s="1120"/>
      <c r="AI1588" s="1120"/>
      <c r="AJ1588" s="1120"/>
    </row>
    <row r="1589" spans="2:36" ht="30" customHeight="1" x14ac:dyDescent="0.25">
      <c r="B1589" s="5"/>
      <c r="C1589" s="5"/>
      <c r="D1589" s="5"/>
      <c r="E1589" s="5"/>
      <c r="F1589" s="5"/>
      <c r="G1589" s="5"/>
      <c r="H1589" s="5"/>
      <c r="I1589" s="5"/>
      <c r="J1589" s="5"/>
      <c r="L1589" s="277"/>
      <c r="M1589" s="5"/>
      <c r="R1589" s="5"/>
      <c r="S1589" s="5"/>
      <c r="T1589" s="1120"/>
      <c r="U1589" s="5"/>
      <c r="V1589" s="5"/>
      <c r="W1589" s="5"/>
      <c r="X1589" s="1120"/>
      <c r="Y1589" s="1120"/>
      <c r="Z1589" s="5"/>
      <c r="AA1589" s="5"/>
      <c r="AB1589" s="1135"/>
      <c r="AC1589" s="5"/>
      <c r="AD1589" s="5"/>
      <c r="AE1589" s="5"/>
      <c r="AF1589" s="1120"/>
      <c r="AG1589" s="1148"/>
      <c r="AH1589" s="1120"/>
      <c r="AI1589" s="1120"/>
      <c r="AJ1589" s="1120"/>
    </row>
    <row r="1590" spans="2:36" ht="30" customHeight="1" x14ac:dyDescent="0.25">
      <c r="B1590" s="5"/>
      <c r="C1590" s="5"/>
      <c r="D1590" s="5"/>
      <c r="E1590" s="5"/>
      <c r="F1590" s="5"/>
      <c r="G1590" s="5"/>
      <c r="H1590" s="5"/>
      <c r="I1590" s="5"/>
      <c r="J1590" s="5"/>
      <c r="L1590" s="277"/>
      <c r="M1590" s="5"/>
      <c r="R1590" s="5"/>
      <c r="S1590" s="5"/>
      <c r="T1590" s="1120"/>
      <c r="U1590" s="5"/>
      <c r="V1590" s="5"/>
      <c r="W1590" s="5"/>
      <c r="X1590" s="1120"/>
      <c r="Y1590" s="1120"/>
      <c r="Z1590" s="5"/>
      <c r="AA1590" s="5"/>
      <c r="AB1590" s="1135"/>
      <c r="AC1590" s="5"/>
      <c r="AD1590" s="5"/>
      <c r="AE1590" s="5"/>
      <c r="AF1590" s="1120"/>
      <c r="AG1590" s="1148"/>
      <c r="AH1590" s="1120"/>
      <c r="AI1590" s="1120"/>
      <c r="AJ1590" s="1120"/>
    </row>
    <row r="1591" spans="2:36" ht="30" customHeight="1" x14ac:dyDescent="0.25">
      <c r="B1591" s="5"/>
      <c r="C1591" s="5"/>
      <c r="D1591" s="5"/>
      <c r="E1591" s="5"/>
      <c r="F1591" s="5"/>
      <c r="G1591" s="5"/>
      <c r="H1591" s="5"/>
      <c r="I1591" s="5"/>
      <c r="J1591" s="5"/>
      <c r="L1591" s="277"/>
      <c r="M1591" s="5"/>
      <c r="R1591" s="5"/>
      <c r="S1591" s="5"/>
      <c r="T1591" s="1120"/>
      <c r="U1591" s="5"/>
      <c r="V1591" s="5"/>
      <c r="W1591" s="5"/>
      <c r="X1591" s="1120"/>
      <c r="Y1591" s="1120"/>
      <c r="Z1591" s="5"/>
      <c r="AA1591" s="5"/>
      <c r="AB1591" s="1135"/>
      <c r="AC1591" s="5"/>
      <c r="AD1591" s="5"/>
      <c r="AE1591" s="5"/>
      <c r="AF1591" s="1120"/>
      <c r="AG1591" s="1148"/>
      <c r="AH1591" s="1120"/>
      <c r="AI1591" s="1120"/>
      <c r="AJ1591" s="1120"/>
    </row>
    <row r="1592" spans="2:36" ht="30" customHeight="1" x14ac:dyDescent="0.25">
      <c r="B1592" s="5"/>
      <c r="C1592" s="5"/>
      <c r="D1592" s="5"/>
      <c r="E1592" s="5"/>
      <c r="F1592" s="5"/>
      <c r="G1592" s="5"/>
      <c r="H1592" s="5"/>
      <c r="I1592" s="5"/>
      <c r="J1592" s="5"/>
      <c r="L1592" s="277"/>
      <c r="M1592" s="5"/>
      <c r="R1592" s="5"/>
      <c r="S1592" s="5"/>
      <c r="T1592" s="1120"/>
      <c r="U1592" s="5"/>
      <c r="V1592" s="5"/>
      <c r="W1592" s="5"/>
      <c r="X1592" s="1120"/>
      <c r="Y1592" s="1120"/>
      <c r="Z1592" s="5"/>
      <c r="AA1592" s="5"/>
      <c r="AB1592" s="1135"/>
      <c r="AC1592" s="5"/>
      <c r="AD1592" s="5"/>
      <c r="AE1592" s="5"/>
      <c r="AF1592" s="1120"/>
      <c r="AG1592" s="1148"/>
      <c r="AH1592" s="1120"/>
      <c r="AI1592" s="1120"/>
      <c r="AJ1592" s="1120"/>
    </row>
    <row r="1593" spans="2:36" ht="30" customHeight="1" x14ac:dyDescent="0.25">
      <c r="B1593" s="5"/>
      <c r="C1593" s="5"/>
      <c r="D1593" s="5"/>
      <c r="E1593" s="5"/>
      <c r="F1593" s="5"/>
      <c r="G1593" s="5"/>
      <c r="H1593" s="5"/>
      <c r="I1593" s="5"/>
      <c r="J1593" s="5"/>
      <c r="L1593" s="277"/>
      <c r="M1593" s="5"/>
      <c r="R1593" s="5"/>
      <c r="S1593" s="5"/>
      <c r="T1593" s="1120"/>
      <c r="U1593" s="5"/>
      <c r="V1593" s="5"/>
      <c r="W1593" s="5"/>
      <c r="X1593" s="1120"/>
      <c r="Y1593" s="1120"/>
      <c r="Z1593" s="5"/>
      <c r="AA1593" s="5"/>
      <c r="AB1593" s="1135"/>
      <c r="AC1593" s="5"/>
      <c r="AD1593" s="5"/>
      <c r="AE1593" s="5"/>
      <c r="AF1593" s="1120"/>
      <c r="AG1593" s="1148"/>
      <c r="AH1593" s="1120"/>
      <c r="AI1593" s="1120"/>
      <c r="AJ1593" s="1120"/>
    </row>
    <row r="1594" spans="2:36" ht="30" customHeight="1" x14ac:dyDescent="0.25">
      <c r="B1594" s="5"/>
      <c r="C1594" s="5"/>
      <c r="D1594" s="5"/>
      <c r="E1594" s="5"/>
      <c r="F1594" s="5"/>
      <c r="G1594" s="5"/>
      <c r="H1594" s="5"/>
      <c r="I1594" s="5"/>
      <c r="J1594" s="5"/>
      <c r="L1594" s="277"/>
      <c r="M1594" s="5"/>
      <c r="R1594" s="5"/>
      <c r="S1594" s="5"/>
      <c r="T1594" s="1120"/>
      <c r="U1594" s="5"/>
      <c r="V1594" s="5"/>
      <c r="W1594" s="5"/>
      <c r="X1594" s="1120"/>
      <c r="Y1594" s="1120"/>
      <c r="Z1594" s="5"/>
      <c r="AA1594" s="5"/>
      <c r="AB1594" s="1135"/>
      <c r="AC1594" s="5"/>
      <c r="AD1594" s="5"/>
      <c r="AE1594" s="5"/>
      <c r="AF1594" s="1120"/>
      <c r="AG1594" s="1148"/>
      <c r="AH1594" s="1120"/>
      <c r="AI1594" s="1120"/>
      <c r="AJ1594" s="1120"/>
    </row>
    <row r="1595" spans="2:36" ht="30" customHeight="1" x14ac:dyDescent="0.25">
      <c r="B1595" s="5"/>
      <c r="C1595" s="5"/>
      <c r="D1595" s="5"/>
      <c r="E1595" s="5"/>
      <c r="F1595" s="5"/>
      <c r="G1595" s="5"/>
      <c r="H1595" s="5"/>
      <c r="I1595" s="5"/>
      <c r="J1595" s="5"/>
      <c r="L1595" s="277"/>
      <c r="M1595" s="5"/>
      <c r="R1595" s="5"/>
      <c r="S1595" s="5"/>
      <c r="T1595" s="1120"/>
      <c r="U1595" s="5"/>
      <c r="V1595" s="5"/>
      <c r="W1595" s="5"/>
      <c r="X1595" s="1120"/>
      <c r="Y1595" s="1120"/>
      <c r="Z1595" s="5"/>
      <c r="AA1595" s="5"/>
      <c r="AB1595" s="1135"/>
      <c r="AC1595" s="5"/>
      <c r="AD1595" s="5"/>
      <c r="AE1595" s="5"/>
      <c r="AF1595" s="1120"/>
      <c r="AG1595" s="1148"/>
      <c r="AH1595" s="1120"/>
      <c r="AI1595" s="1120"/>
      <c r="AJ1595" s="1120"/>
    </row>
    <row r="1596" spans="2:36" ht="30" customHeight="1" x14ac:dyDescent="0.25">
      <c r="B1596" s="5"/>
      <c r="C1596" s="5"/>
      <c r="D1596" s="5"/>
      <c r="E1596" s="5"/>
      <c r="F1596" s="5"/>
      <c r="G1596" s="5"/>
      <c r="H1596" s="5"/>
      <c r="I1596" s="5"/>
      <c r="J1596" s="5"/>
      <c r="L1596" s="277"/>
      <c r="M1596" s="5"/>
      <c r="R1596" s="5"/>
      <c r="S1596" s="5"/>
      <c r="T1596" s="1120"/>
      <c r="U1596" s="5"/>
      <c r="V1596" s="5"/>
      <c r="W1596" s="5"/>
      <c r="X1596" s="1120"/>
      <c r="Y1596" s="1120"/>
      <c r="Z1596" s="5"/>
      <c r="AA1596" s="5"/>
      <c r="AB1596" s="1135"/>
      <c r="AC1596" s="5"/>
      <c r="AD1596" s="5"/>
      <c r="AE1596" s="5"/>
      <c r="AF1596" s="1120"/>
      <c r="AG1596" s="1148"/>
      <c r="AH1596" s="1120"/>
      <c r="AI1596" s="1120"/>
      <c r="AJ1596" s="1120"/>
    </row>
    <row r="1597" spans="2:36" ht="30" customHeight="1" x14ac:dyDescent="0.25">
      <c r="B1597" s="5"/>
      <c r="C1597" s="5"/>
      <c r="D1597" s="5"/>
      <c r="E1597" s="5"/>
      <c r="F1597" s="5"/>
      <c r="G1597" s="5"/>
      <c r="H1597" s="5"/>
      <c r="I1597" s="5"/>
      <c r="J1597" s="5"/>
      <c r="L1597" s="277"/>
      <c r="M1597" s="5"/>
      <c r="R1597" s="5"/>
      <c r="S1597" s="5"/>
      <c r="T1597" s="1120"/>
      <c r="U1597" s="5"/>
      <c r="V1597" s="5"/>
      <c r="W1597" s="5"/>
      <c r="X1597" s="1120"/>
      <c r="Y1597" s="1120"/>
      <c r="Z1597" s="5"/>
      <c r="AA1597" s="5"/>
      <c r="AB1597" s="1135"/>
      <c r="AC1597" s="5"/>
      <c r="AD1597" s="5"/>
      <c r="AE1597" s="5"/>
      <c r="AF1597" s="1120"/>
      <c r="AG1597" s="1148"/>
      <c r="AH1597" s="1120"/>
      <c r="AI1597" s="1120"/>
      <c r="AJ1597" s="1120"/>
    </row>
    <row r="1598" spans="2:36" ht="30" customHeight="1" x14ac:dyDescent="0.25">
      <c r="B1598" s="5"/>
      <c r="C1598" s="5"/>
      <c r="D1598" s="5"/>
      <c r="E1598" s="5"/>
      <c r="F1598" s="5"/>
      <c r="G1598" s="5"/>
      <c r="H1598" s="5"/>
      <c r="I1598" s="5"/>
      <c r="J1598" s="5"/>
      <c r="L1598" s="277"/>
      <c r="M1598" s="5"/>
      <c r="R1598" s="5"/>
      <c r="S1598" s="5"/>
      <c r="T1598" s="1120"/>
      <c r="U1598" s="5"/>
      <c r="V1598" s="5"/>
      <c r="W1598" s="5"/>
      <c r="X1598" s="1120"/>
      <c r="Y1598" s="1120"/>
      <c r="Z1598" s="5"/>
      <c r="AA1598" s="5"/>
      <c r="AB1598" s="1135"/>
      <c r="AC1598" s="5"/>
      <c r="AD1598" s="5"/>
      <c r="AE1598" s="5"/>
      <c r="AF1598" s="1120"/>
      <c r="AG1598" s="1148"/>
      <c r="AH1598" s="1120"/>
      <c r="AI1598" s="1120"/>
      <c r="AJ1598" s="1120"/>
    </row>
    <row r="1599" spans="2:36" ht="30" customHeight="1" x14ac:dyDescent="0.25">
      <c r="B1599" s="5"/>
      <c r="C1599" s="5"/>
      <c r="D1599" s="5"/>
      <c r="E1599" s="5"/>
      <c r="F1599" s="5"/>
      <c r="G1599" s="5"/>
      <c r="H1599" s="5"/>
      <c r="I1599" s="5"/>
      <c r="J1599" s="5"/>
      <c r="L1599" s="277"/>
      <c r="M1599" s="5"/>
      <c r="R1599" s="5"/>
      <c r="S1599" s="5"/>
      <c r="T1599" s="1120"/>
      <c r="U1599" s="5"/>
      <c r="V1599" s="5"/>
      <c r="W1599" s="5"/>
      <c r="X1599" s="1120"/>
      <c r="Y1599" s="1120"/>
      <c r="Z1599" s="5"/>
      <c r="AA1599" s="5"/>
      <c r="AB1599" s="1135"/>
      <c r="AC1599" s="5"/>
      <c r="AD1599" s="5"/>
      <c r="AE1599" s="5"/>
      <c r="AF1599" s="1120"/>
      <c r="AG1599" s="1148"/>
      <c r="AH1599" s="1120"/>
      <c r="AI1599" s="1120"/>
      <c r="AJ1599" s="1120"/>
    </row>
    <row r="1600" spans="2:36" ht="30" customHeight="1" x14ac:dyDescent="0.25">
      <c r="B1600" s="5"/>
      <c r="C1600" s="5"/>
      <c r="D1600" s="5"/>
      <c r="E1600" s="5"/>
      <c r="F1600" s="5"/>
      <c r="G1600" s="5"/>
      <c r="H1600" s="5"/>
      <c r="I1600" s="5"/>
      <c r="J1600" s="5"/>
      <c r="L1600" s="277"/>
      <c r="M1600" s="5"/>
      <c r="R1600" s="5"/>
      <c r="S1600" s="5"/>
      <c r="T1600" s="1120"/>
      <c r="U1600" s="5"/>
      <c r="V1600" s="5"/>
      <c r="W1600" s="5"/>
      <c r="X1600" s="1120"/>
      <c r="Y1600" s="1120"/>
      <c r="Z1600" s="5"/>
      <c r="AA1600" s="5"/>
      <c r="AB1600" s="1135"/>
      <c r="AC1600" s="5"/>
      <c r="AD1600" s="5"/>
      <c r="AE1600" s="5"/>
      <c r="AF1600" s="1120"/>
      <c r="AG1600" s="1148"/>
      <c r="AH1600" s="1120"/>
      <c r="AI1600" s="1120"/>
      <c r="AJ1600" s="1120"/>
    </row>
    <row r="1601" spans="2:36" ht="30" customHeight="1" x14ac:dyDescent="0.25">
      <c r="B1601" s="5"/>
      <c r="C1601" s="5"/>
      <c r="D1601" s="5"/>
      <c r="E1601" s="5"/>
      <c r="F1601" s="5"/>
      <c r="G1601" s="5"/>
      <c r="H1601" s="5"/>
      <c r="I1601" s="5"/>
      <c r="J1601" s="5"/>
      <c r="L1601" s="277"/>
      <c r="M1601" s="5"/>
      <c r="R1601" s="5"/>
      <c r="S1601" s="5"/>
      <c r="T1601" s="1120"/>
      <c r="U1601" s="5"/>
      <c r="V1601" s="5"/>
      <c r="W1601" s="5"/>
      <c r="X1601" s="1120"/>
      <c r="Y1601" s="1120"/>
      <c r="Z1601" s="5"/>
      <c r="AA1601" s="5"/>
      <c r="AB1601" s="1135"/>
      <c r="AC1601" s="5"/>
      <c r="AD1601" s="5"/>
      <c r="AE1601" s="5"/>
      <c r="AF1601" s="1120"/>
      <c r="AG1601" s="1148"/>
      <c r="AH1601" s="1120"/>
      <c r="AI1601" s="1120"/>
      <c r="AJ1601" s="1120"/>
    </row>
    <row r="1602" spans="2:36" ht="30" customHeight="1" x14ac:dyDescent="0.25">
      <c r="B1602" s="5"/>
      <c r="C1602" s="5"/>
      <c r="D1602" s="5"/>
      <c r="E1602" s="5"/>
      <c r="F1602" s="5"/>
      <c r="G1602" s="5"/>
      <c r="H1602" s="5"/>
      <c r="I1602" s="5"/>
      <c r="J1602" s="5"/>
      <c r="L1602" s="277"/>
      <c r="M1602" s="5"/>
      <c r="R1602" s="5"/>
      <c r="S1602" s="5"/>
      <c r="T1602" s="1120"/>
      <c r="U1602" s="5"/>
      <c r="V1602" s="5"/>
      <c r="W1602" s="5"/>
      <c r="X1602" s="1120"/>
      <c r="Y1602" s="1120"/>
      <c r="Z1602" s="5"/>
      <c r="AA1602" s="5"/>
      <c r="AB1602" s="1135"/>
      <c r="AC1602" s="5"/>
      <c r="AD1602" s="5"/>
      <c r="AE1602" s="5"/>
      <c r="AF1602" s="1120"/>
      <c r="AG1602" s="1148"/>
      <c r="AH1602" s="1120"/>
      <c r="AI1602" s="1120"/>
      <c r="AJ1602" s="1120"/>
    </row>
    <row r="1603" spans="2:36" ht="30" customHeight="1" x14ac:dyDescent="0.25">
      <c r="B1603" s="5"/>
      <c r="C1603" s="5"/>
      <c r="D1603" s="5"/>
      <c r="E1603" s="5"/>
      <c r="F1603" s="5"/>
      <c r="G1603" s="5"/>
      <c r="H1603" s="5"/>
      <c r="I1603" s="5"/>
      <c r="J1603" s="5"/>
      <c r="L1603" s="277"/>
      <c r="M1603" s="5"/>
      <c r="R1603" s="5"/>
      <c r="S1603" s="5"/>
      <c r="T1603" s="1120"/>
      <c r="U1603" s="5"/>
      <c r="V1603" s="5"/>
      <c r="W1603" s="5"/>
      <c r="X1603" s="1120"/>
      <c r="Y1603" s="1120"/>
      <c r="Z1603" s="5"/>
      <c r="AA1603" s="5"/>
      <c r="AB1603" s="1135"/>
      <c r="AC1603" s="5"/>
      <c r="AD1603" s="5"/>
      <c r="AE1603" s="5"/>
      <c r="AF1603" s="1120"/>
      <c r="AG1603" s="1148"/>
      <c r="AH1603" s="1120"/>
      <c r="AI1603" s="1120"/>
      <c r="AJ1603" s="1120"/>
    </row>
    <row r="1604" spans="2:36" ht="30" customHeight="1" x14ac:dyDescent="0.25">
      <c r="B1604" s="5"/>
      <c r="C1604" s="5"/>
      <c r="D1604" s="5"/>
      <c r="E1604" s="5"/>
      <c r="F1604" s="5"/>
      <c r="G1604" s="5"/>
      <c r="H1604" s="5"/>
      <c r="I1604" s="5"/>
      <c r="J1604" s="5"/>
      <c r="L1604" s="277"/>
      <c r="M1604" s="5"/>
      <c r="R1604" s="5"/>
      <c r="S1604" s="5"/>
      <c r="T1604" s="1120"/>
      <c r="U1604" s="5"/>
      <c r="V1604" s="5"/>
      <c r="W1604" s="5"/>
      <c r="X1604" s="1120"/>
      <c r="Y1604" s="1120"/>
      <c r="Z1604" s="5"/>
      <c r="AA1604" s="5"/>
      <c r="AB1604" s="1135"/>
      <c r="AC1604" s="5"/>
      <c r="AD1604" s="5"/>
      <c r="AE1604" s="5"/>
      <c r="AF1604" s="1120"/>
      <c r="AG1604" s="1148"/>
      <c r="AH1604" s="1120"/>
      <c r="AI1604" s="1120"/>
      <c r="AJ1604" s="1120"/>
    </row>
    <row r="1605" spans="2:36" ht="30" customHeight="1" x14ac:dyDescent="0.25">
      <c r="B1605" s="5"/>
      <c r="C1605" s="5"/>
      <c r="D1605" s="5"/>
      <c r="E1605" s="5"/>
      <c r="F1605" s="5"/>
      <c r="G1605" s="5"/>
      <c r="H1605" s="5"/>
      <c r="I1605" s="5"/>
      <c r="J1605" s="5"/>
      <c r="L1605" s="277"/>
      <c r="M1605" s="5"/>
      <c r="R1605" s="5"/>
      <c r="S1605" s="5"/>
      <c r="T1605" s="1120"/>
      <c r="U1605" s="5"/>
      <c r="V1605" s="5"/>
      <c r="W1605" s="5"/>
      <c r="X1605" s="1120"/>
      <c r="Y1605" s="1120"/>
      <c r="Z1605" s="5"/>
      <c r="AA1605" s="5"/>
      <c r="AB1605" s="1135"/>
      <c r="AC1605" s="5"/>
      <c r="AD1605" s="5"/>
      <c r="AE1605" s="5"/>
      <c r="AF1605" s="1120"/>
      <c r="AG1605" s="1148"/>
      <c r="AH1605" s="1120"/>
      <c r="AI1605" s="1120"/>
      <c r="AJ1605" s="1120"/>
    </row>
    <row r="1606" spans="2:36" ht="30" customHeight="1" x14ac:dyDescent="0.25">
      <c r="B1606" s="5"/>
      <c r="C1606" s="5"/>
      <c r="D1606" s="5"/>
      <c r="E1606" s="5"/>
      <c r="F1606" s="5"/>
      <c r="G1606" s="5"/>
      <c r="H1606" s="5"/>
      <c r="I1606" s="5"/>
      <c r="J1606" s="5"/>
      <c r="L1606" s="277"/>
      <c r="M1606" s="5"/>
      <c r="R1606" s="5"/>
      <c r="S1606" s="5"/>
      <c r="T1606" s="1120"/>
      <c r="U1606" s="5"/>
      <c r="V1606" s="5"/>
      <c r="W1606" s="5"/>
      <c r="X1606" s="1120"/>
      <c r="Y1606" s="1120"/>
      <c r="Z1606" s="5"/>
      <c r="AA1606" s="5"/>
      <c r="AB1606" s="1135"/>
      <c r="AC1606" s="5"/>
      <c r="AD1606" s="5"/>
      <c r="AE1606" s="5"/>
      <c r="AF1606" s="1120"/>
      <c r="AG1606" s="1148"/>
      <c r="AH1606" s="1120"/>
      <c r="AI1606" s="1120"/>
      <c r="AJ1606" s="1120"/>
    </row>
    <row r="1607" spans="2:36" ht="30" customHeight="1" x14ac:dyDescent="0.25">
      <c r="B1607" s="5"/>
      <c r="C1607" s="5"/>
      <c r="D1607" s="5"/>
      <c r="E1607" s="5"/>
      <c r="F1607" s="5"/>
      <c r="G1607" s="5"/>
      <c r="H1607" s="5"/>
      <c r="I1607" s="5"/>
      <c r="J1607" s="5"/>
      <c r="L1607" s="277"/>
      <c r="M1607" s="5"/>
      <c r="R1607" s="5"/>
      <c r="S1607" s="5"/>
      <c r="T1607" s="1120"/>
      <c r="U1607" s="5"/>
      <c r="V1607" s="5"/>
      <c r="W1607" s="5"/>
      <c r="X1607" s="1120"/>
      <c r="Y1607" s="1120"/>
      <c r="Z1607" s="5"/>
      <c r="AA1607" s="5"/>
      <c r="AB1607" s="1135"/>
      <c r="AC1607" s="5"/>
      <c r="AD1607" s="5"/>
      <c r="AE1607" s="5"/>
      <c r="AF1607" s="1120"/>
      <c r="AG1607" s="1148"/>
      <c r="AH1607" s="1120"/>
      <c r="AI1607" s="1120"/>
      <c r="AJ1607" s="1120"/>
    </row>
    <row r="1608" spans="2:36" ht="30" customHeight="1" x14ac:dyDescent="0.25">
      <c r="B1608" s="5"/>
      <c r="C1608" s="5"/>
      <c r="D1608" s="5"/>
      <c r="E1608" s="5"/>
      <c r="F1608" s="5"/>
      <c r="G1608" s="5"/>
      <c r="H1608" s="5"/>
      <c r="I1608" s="5"/>
      <c r="J1608" s="5"/>
      <c r="L1608" s="277"/>
      <c r="M1608" s="5"/>
      <c r="R1608" s="5"/>
      <c r="S1608" s="5"/>
      <c r="T1608" s="1120"/>
      <c r="U1608" s="5"/>
      <c r="V1608" s="5"/>
      <c r="W1608" s="5"/>
      <c r="X1608" s="1120"/>
      <c r="Y1608" s="1120"/>
      <c r="Z1608" s="5"/>
      <c r="AA1608" s="5"/>
      <c r="AB1608" s="1135"/>
      <c r="AC1608" s="5"/>
      <c r="AD1608" s="5"/>
      <c r="AE1608" s="5"/>
      <c r="AF1608" s="1120"/>
      <c r="AG1608" s="1148"/>
      <c r="AH1608" s="1120"/>
      <c r="AI1608" s="1120"/>
      <c r="AJ1608" s="1120"/>
    </row>
    <row r="1609" spans="2:36" ht="30" customHeight="1" x14ac:dyDescent="0.25">
      <c r="B1609" s="5"/>
      <c r="C1609" s="5"/>
      <c r="D1609" s="5"/>
      <c r="E1609" s="5"/>
      <c r="F1609" s="5"/>
      <c r="G1609" s="5"/>
      <c r="H1609" s="5"/>
      <c r="I1609" s="5"/>
      <c r="J1609" s="5"/>
      <c r="L1609" s="277"/>
      <c r="M1609" s="5"/>
      <c r="R1609" s="5"/>
      <c r="S1609" s="5"/>
      <c r="T1609" s="1120"/>
      <c r="U1609" s="5"/>
      <c r="V1609" s="5"/>
      <c r="W1609" s="5"/>
      <c r="X1609" s="1120"/>
      <c r="Y1609" s="1120"/>
      <c r="Z1609" s="5"/>
      <c r="AA1609" s="5"/>
      <c r="AB1609" s="1135"/>
      <c r="AC1609" s="5"/>
      <c r="AD1609" s="5"/>
      <c r="AE1609" s="5"/>
      <c r="AF1609" s="1120"/>
      <c r="AG1609" s="1148"/>
      <c r="AH1609" s="1120"/>
      <c r="AI1609" s="1120"/>
      <c r="AJ1609" s="1120"/>
    </row>
    <row r="1610" spans="2:36" ht="30" customHeight="1" x14ac:dyDescent="0.25">
      <c r="B1610" s="5"/>
      <c r="C1610" s="5"/>
      <c r="D1610" s="5"/>
      <c r="E1610" s="5"/>
      <c r="F1610" s="5"/>
      <c r="G1610" s="5"/>
      <c r="H1610" s="5"/>
      <c r="I1610" s="5"/>
      <c r="J1610" s="5"/>
      <c r="L1610" s="277"/>
      <c r="M1610" s="5"/>
      <c r="R1610" s="5"/>
      <c r="S1610" s="5"/>
      <c r="T1610" s="1120"/>
      <c r="U1610" s="5"/>
      <c r="V1610" s="5"/>
      <c r="W1610" s="5"/>
      <c r="X1610" s="1120"/>
      <c r="Y1610" s="1120"/>
      <c r="Z1610" s="5"/>
      <c r="AA1610" s="5"/>
      <c r="AB1610" s="1135"/>
      <c r="AC1610" s="5"/>
      <c r="AD1610" s="5"/>
      <c r="AE1610" s="5"/>
      <c r="AF1610" s="1120"/>
      <c r="AG1610" s="1148"/>
      <c r="AH1610" s="1120"/>
      <c r="AI1610" s="1120"/>
      <c r="AJ1610" s="1120"/>
    </row>
    <row r="1611" spans="2:36" ht="30" customHeight="1" x14ac:dyDescent="0.25">
      <c r="B1611" s="5"/>
      <c r="C1611" s="5"/>
      <c r="D1611" s="5"/>
      <c r="E1611" s="5"/>
      <c r="F1611" s="5"/>
      <c r="G1611" s="5"/>
      <c r="H1611" s="5"/>
      <c r="I1611" s="5"/>
      <c r="J1611" s="5"/>
      <c r="L1611" s="277"/>
      <c r="M1611" s="5"/>
      <c r="R1611" s="5"/>
      <c r="S1611" s="5"/>
      <c r="T1611" s="1120"/>
      <c r="U1611" s="5"/>
      <c r="V1611" s="5"/>
      <c r="W1611" s="5"/>
      <c r="X1611" s="1120"/>
      <c r="Y1611" s="1120"/>
      <c r="Z1611" s="5"/>
      <c r="AA1611" s="5"/>
      <c r="AB1611" s="1135"/>
      <c r="AC1611" s="5"/>
      <c r="AD1611" s="5"/>
      <c r="AE1611" s="5"/>
      <c r="AF1611" s="1120"/>
      <c r="AG1611" s="1148"/>
      <c r="AH1611" s="1120"/>
      <c r="AI1611" s="1120"/>
      <c r="AJ1611" s="1120"/>
    </row>
    <row r="1612" spans="2:36" ht="30" customHeight="1" x14ac:dyDescent="0.25">
      <c r="B1612" s="5"/>
      <c r="C1612" s="5"/>
      <c r="D1612" s="5"/>
      <c r="E1612" s="5"/>
      <c r="F1612" s="5"/>
      <c r="G1612" s="5"/>
      <c r="H1612" s="5"/>
      <c r="I1612" s="5"/>
      <c r="J1612" s="5"/>
      <c r="L1612" s="277"/>
      <c r="M1612" s="5"/>
      <c r="R1612" s="5"/>
      <c r="S1612" s="5"/>
      <c r="T1612" s="1120"/>
      <c r="U1612" s="5"/>
      <c r="V1612" s="5"/>
      <c r="W1612" s="5"/>
      <c r="X1612" s="1120"/>
      <c r="Y1612" s="1120"/>
      <c r="Z1612" s="5"/>
      <c r="AA1612" s="5"/>
      <c r="AB1612" s="1135"/>
      <c r="AC1612" s="5"/>
      <c r="AD1612" s="5"/>
      <c r="AE1612" s="5"/>
      <c r="AF1612" s="1120"/>
      <c r="AG1612" s="1148"/>
      <c r="AH1612" s="1120"/>
      <c r="AI1612" s="1120"/>
      <c r="AJ1612" s="1120"/>
    </row>
    <row r="1613" spans="2:36" ht="30" customHeight="1" x14ac:dyDescent="0.25">
      <c r="B1613" s="5"/>
      <c r="C1613" s="5"/>
      <c r="D1613" s="5"/>
      <c r="E1613" s="5"/>
      <c r="F1613" s="5"/>
      <c r="G1613" s="5"/>
      <c r="H1613" s="5"/>
      <c r="I1613" s="5"/>
      <c r="J1613" s="5"/>
      <c r="L1613" s="277"/>
      <c r="M1613" s="5"/>
      <c r="R1613" s="5"/>
      <c r="S1613" s="5"/>
      <c r="T1613" s="1120"/>
      <c r="U1613" s="5"/>
      <c r="V1613" s="5"/>
      <c r="W1613" s="5"/>
      <c r="X1613" s="1120"/>
      <c r="Y1613" s="1120"/>
      <c r="Z1613" s="5"/>
      <c r="AA1613" s="5"/>
      <c r="AB1613" s="1135"/>
      <c r="AC1613" s="5"/>
      <c r="AD1613" s="5"/>
      <c r="AE1613" s="5"/>
      <c r="AF1613" s="1120"/>
      <c r="AG1613" s="1148"/>
      <c r="AH1613" s="1120"/>
      <c r="AI1613" s="1120"/>
      <c r="AJ1613" s="1120"/>
    </row>
    <row r="1614" spans="2:36" ht="30" customHeight="1" x14ac:dyDescent="0.25">
      <c r="B1614" s="5"/>
      <c r="C1614" s="5"/>
      <c r="D1614" s="5"/>
      <c r="E1614" s="5"/>
      <c r="F1614" s="5"/>
      <c r="G1614" s="5"/>
      <c r="H1614" s="5"/>
      <c r="I1614" s="5"/>
      <c r="J1614" s="5"/>
      <c r="L1614" s="277"/>
      <c r="M1614" s="5"/>
      <c r="R1614" s="5"/>
      <c r="S1614" s="5"/>
      <c r="T1614" s="1120"/>
      <c r="U1614" s="5"/>
      <c r="V1614" s="5"/>
      <c r="W1614" s="5"/>
      <c r="X1614" s="1120"/>
      <c r="Y1614" s="1120"/>
      <c r="Z1614" s="5"/>
      <c r="AA1614" s="5"/>
      <c r="AB1614" s="1135"/>
      <c r="AC1614" s="5"/>
      <c r="AD1614" s="5"/>
      <c r="AE1614" s="5"/>
      <c r="AF1614" s="1120"/>
      <c r="AG1614" s="1148"/>
      <c r="AH1614" s="1120"/>
      <c r="AI1614" s="1120"/>
      <c r="AJ1614" s="1120"/>
    </row>
    <row r="1615" spans="2:36" ht="30" customHeight="1" x14ac:dyDescent="0.25">
      <c r="B1615" s="5"/>
      <c r="C1615" s="5"/>
      <c r="D1615" s="5"/>
      <c r="E1615" s="5"/>
      <c r="F1615" s="5"/>
      <c r="G1615" s="5"/>
      <c r="H1615" s="5"/>
      <c r="I1615" s="5"/>
      <c r="J1615" s="5"/>
      <c r="L1615" s="277"/>
      <c r="M1615" s="5"/>
      <c r="R1615" s="5"/>
      <c r="S1615" s="5"/>
      <c r="T1615" s="1120"/>
      <c r="U1615" s="5"/>
      <c r="V1615" s="5"/>
      <c r="W1615" s="5"/>
      <c r="X1615" s="1120"/>
      <c r="Y1615" s="1120"/>
      <c r="Z1615" s="5"/>
      <c r="AA1615" s="5"/>
      <c r="AB1615" s="1135"/>
      <c r="AC1615" s="5"/>
      <c r="AD1615" s="5"/>
      <c r="AE1615" s="5"/>
      <c r="AF1615" s="1120"/>
      <c r="AG1615" s="1148"/>
      <c r="AH1615" s="1120"/>
      <c r="AI1615" s="1120"/>
      <c r="AJ1615" s="1120"/>
    </row>
    <row r="1616" spans="2:36" ht="30" customHeight="1" x14ac:dyDescent="0.25">
      <c r="B1616" s="5"/>
      <c r="C1616" s="5"/>
      <c r="D1616" s="5"/>
      <c r="E1616" s="5"/>
      <c r="F1616" s="5"/>
      <c r="G1616" s="5"/>
      <c r="H1616" s="5"/>
      <c r="I1616" s="5"/>
      <c r="J1616" s="5"/>
      <c r="L1616" s="277"/>
      <c r="M1616" s="5"/>
      <c r="R1616" s="5"/>
      <c r="S1616" s="5"/>
      <c r="T1616" s="1120"/>
      <c r="U1616" s="5"/>
      <c r="V1616" s="5"/>
      <c r="W1616" s="5"/>
      <c r="X1616" s="1120"/>
      <c r="Y1616" s="1120"/>
      <c r="Z1616" s="5"/>
      <c r="AA1616" s="5"/>
      <c r="AB1616" s="1135"/>
      <c r="AC1616" s="5"/>
      <c r="AD1616" s="5"/>
      <c r="AE1616" s="5"/>
      <c r="AF1616" s="1120"/>
      <c r="AG1616" s="1148"/>
      <c r="AH1616" s="1120"/>
      <c r="AI1616" s="1120"/>
      <c r="AJ1616" s="1120"/>
    </row>
    <row r="1617" spans="2:36" ht="30" customHeight="1" x14ac:dyDescent="0.25">
      <c r="B1617" s="5"/>
      <c r="C1617" s="5"/>
      <c r="D1617" s="5"/>
      <c r="E1617" s="5"/>
      <c r="F1617" s="5"/>
      <c r="G1617" s="5"/>
      <c r="H1617" s="5"/>
      <c r="I1617" s="5"/>
      <c r="J1617" s="5"/>
      <c r="L1617" s="277"/>
      <c r="M1617" s="5"/>
      <c r="R1617" s="5"/>
      <c r="S1617" s="5"/>
      <c r="T1617" s="1120"/>
      <c r="U1617" s="5"/>
      <c r="V1617" s="5"/>
      <c r="W1617" s="5"/>
      <c r="X1617" s="1120"/>
      <c r="Y1617" s="1120"/>
      <c r="Z1617" s="5"/>
      <c r="AA1617" s="5"/>
      <c r="AB1617" s="1135"/>
      <c r="AC1617" s="5"/>
      <c r="AD1617" s="5"/>
      <c r="AE1617" s="5"/>
      <c r="AF1617" s="1120"/>
      <c r="AG1617" s="1148"/>
      <c r="AH1617" s="1120"/>
      <c r="AI1617" s="1120"/>
      <c r="AJ1617" s="1120"/>
    </row>
    <row r="1618" spans="2:36" ht="30" customHeight="1" x14ac:dyDescent="0.25">
      <c r="B1618" s="5"/>
      <c r="C1618" s="5"/>
      <c r="D1618" s="5"/>
      <c r="E1618" s="5"/>
      <c r="F1618" s="5"/>
      <c r="G1618" s="5"/>
      <c r="H1618" s="5"/>
      <c r="I1618" s="5"/>
      <c r="J1618" s="5"/>
      <c r="L1618" s="277"/>
      <c r="M1618" s="5"/>
      <c r="R1618" s="5"/>
      <c r="S1618" s="5"/>
      <c r="T1618" s="1120"/>
      <c r="U1618" s="5"/>
      <c r="V1618" s="5"/>
      <c r="W1618" s="5"/>
      <c r="X1618" s="1120"/>
      <c r="Y1618" s="1120"/>
      <c r="Z1618" s="5"/>
      <c r="AA1618" s="5"/>
      <c r="AB1618" s="1135"/>
      <c r="AC1618" s="5"/>
      <c r="AD1618" s="5"/>
      <c r="AE1618" s="5"/>
      <c r="AF1618" s="1120"/>
      <c r="AG1618" s="1148"/>
      <c r="AH1618" s="1120"/>
      <c r="AI1618" s="1120"/>
      <c r="AJ1618" s="1120"/>
    </row>
    <row r="1619" spans="2:36" ht="30" customHeight="1" x14ac:dyDescent="0.25">
      <c r="B1619" s="5"/>
      <c r="C1619" s="5"/>
      <c r="D1619" s="5"/>
      <c r="E1619" s="5"/>
      <c r="F1619" s="5"/>
      <c r="G1619" s="5"/>
      <c r="H1619" s="5"/>
      <c r="I1619" s="5"/>
      <c r="J1619" s="5"/>
      <c r="L1619" s="277"/>
      <c r="M1619" s="5"/>
      <c r="R1619" s="5"/>
      <c r="S1619" s="5"/>
      <c r="T1619" s="1120"/>
      <c r="U1619" s="5"/>
      <c r="V1619" s="5"/>
      <c r="W1619" s="5"/>
      <c r="X1619" s="1120"/>
      <c r="Y1619" s="1120"/>
      <c r="Z1619" s="5"/>
      <c r="AA1619" s="5"/>
      <c r="AB1619" s="1135"/>
      <c r="AC1619" s="5"/>
      <c r="AD1619" s="5"/>
      <c r="AE1619" s="5"/>
      <c r="AF1619" s="1120"/>
      <c r="AG1619" s="1148"/>
      <c r="AH1619" s="1120"/>
      <c r="AI1619" s="1120"/>
      <c r="AJ1619" s="1120"/>
    </row>
    <row r="1620" spans="2:36" ht="30" customHeight="1" x14ac:dyDescent="0.25">
      <c r="B1620" s="5"/>
      <c r="C1620" s="5"/>
      <c r="D1620" s="5"/>
      <c r="E1620" s="5"/>
      <c r="F1620" s="5"/>
      <c r="G1620" s="5"/>
      <c r="H1620" s="5"/>
      <c r="I1620" s="5"/>
      <c r="J1620" s="5"/>
      <c r="L1620" s="277"/>
      <c r="M1620" s="5"/>
      <c r="R1620" s="5"/>
      <c r="S1620" s="5"/>
      <c r="T1620" s="1120"/>
      <c r="U1620" s="5"/>
      <c r="V1620" s="5"/>
      <c r="W1620" s="5"/>
      <c r="X1620" s="1120"/>
      <c r="Y1620" s="1120"/>
      <c r="Z1620" s="5"/>
      <c r="AA1620" s="5"/>
      <c r="AB1620" s="1135"/>
      <c r="AC1620" s="5"/>
      <c r="AD1620" s="5"/>
      <c r="AE1620" s="5"/>
      <c r="AF1620" s="1120"/>
      <c r="AG1620" s="1148"/>
      <c r="AH1620" s="1120"/>
      <c r="AI1620" s="1120"/>
      <c r="AJ1620" s="1120"/>
    </row>
    <row r="1621" spans="2:36" ht="30" customHeight="1" x14ac:dyDescent="0.25">
      <c r="B1621" s="5"/>
      <c r="C1621" s="5"/>
      <c r="D1621" s="5"/>
      <c r="E1621" s="5"/>
      <c r="F1621" s="5"/>
      <c r="G1621" s="5"/>
      <c r="H1621" s="5"/>
      <c r="I1621" s="5"/>
      <c r="J1621" s="5"/>
      <c r="L1621" s="277"/>
      <c r="M1621" s="5"/>
      <c r="R1621" s="5"/>
      <c r="S1621" s="5"/>
      <c r="T1621" s="1120"/>
      <c r="U1621" s="5"/>
      <c r="V1621" s="5"/>
      <c r="W1621" s="5"/>
      <c r="X1621" s="1120"/>
      <c r="Y1621" s="1120"/>
      <c r="Z1621" s="5"/>
      <c r="AA1621" s="5"/>
      <c r="AB1621" s="1135"/>
      <c r="AC1621" s="5"/>
      <c r="AD1621" s="5"/>
      <c r="AE1621" s="5"/>
      <c r="AF1621" s="1120"/>
      <c r="AG1621" s="1148"/>
      <c r="AH1621" s="1120"/>
      <c r="AI1621" s="1120"/>
      <c r="AJ1621" s="1120"/>
    </row>
    <row r="1622" spans="2:36" ht="30" customHeight="1" x14ac:dyDescent="0.25">
      <c r="B1622" s="5"/>
      <c r="C1622" s="5"/>
      <c r="D1622" s="5"/>
      <c r="E1622" s="5"/>
      <c r="F1622" s="5"/>
      <c r="G1622" s="5"/>
      <c r="H1622" s="5"/>
      <c r="I1622" s="5"/>
      <c r="J1622" s="5"/>
      <c r="L1622" s="277"/>
      <c r="M1622" s="5"/>
      <c r="R1622" s="5"/>
      <c r="S1622" s="5"/>
      <c r="T1622" s="1120"/>
      <c r="U1622" s="5"/>
      <c r="V1622" s="5"/>
      <c r="W1622" s="5"/>
      <c r="X1622" s="1120"/>
      <c r="Y1622" s="1120"/>
      <c r="Z1622" s="5"/>
      <c r="AA1622" s="5"/>
      <c r="AB1622" s="1135"/>
      <c r="AC1622" s="5"/>
      <c r="AD1622" s="5"/>
      <c r="AE1622" s="5"/>
      <c r="AF1622" s="1120"/>
      <c r="AG1622" s="1148"/>
      <c r="AH1622" s="1120"/>
      <c r="AI1622" s="1120"/>
      <c r="AJ1622" s="1120"/>
    </row>
    <row r="1623" spans="2:36" ht="30" customHeight="1" x14ac:dyDescent="0.25">
      <c r="B1623" s="5"/>
      <c r="C1623" s="5"/>
      <c r="D1623" s="5"/>
      <c r="E1623" s="5"/>
      <c r="F1623" s="5"/>
      <c r="G1623" s="5"/>
      <c r="H1623" s="5"/>
      <c r="I1623" s="5"/>
      <c r="J1623" s="5"/>
      <c r="L1623" s="277"/>
      <c r="M1623" s="5"/>
      <c r="R1623" s="5"/>
      <c r="S1623" s="5"/>
      <c r="T1623" s="1120"/>
      <c r="U1623" s="5"/>
      <c r="V1623" s="5"/>
      <c r="W1623" s="5"/>
      <c r="X1623" s="1120"/>
      <c r="Y1623" s="1120"/>
      <c r="Z1623" s="5"/>
      <c r="AA1623" s="5"/>
      <c r="AB1623" s="1135"/>
      <c r="AC1623" s="5"/>
      <c r="AD1623" s="5"/>
      <c r="AE1623" s="5"/>
      <c r="AF1623" s="1120"/>
      <c r="AG1623" s="1148"/>
      <c r="AH1623" s="1120"/>
      <c r="AI1623" s="1120"/>
      <c r="AJ1623" s="1120"/>
    </row>
    <row r="1624" spans="2:36" ht="30" customHeight="1" x14ac:dyDescent="0.25">
      <c r="B1624" s="5"/>
      <c r="C1624" s="5"/>
      <c r="D1624" s="5"/>
      <c r="E1624" s="5"/>
      <c r="F1624" s="5"/>
      <c r="G1624" s="5"/>
      <c r="H1624" s="5"/>
      <c r="I1624" s="5"/>
      <c r="J1624" s="5"/>
      <c r="L1624" s="277"/>
      <c r="M1624" s="5"/>
      <c r="R1624" s="5"/>
      <c r="S1624" s="5"/>
      <c r="T1624" s="1120"/>
      <c r="U1624" s="5"/>
      <c r="V1624" s="5"/>
      <c r="W1624" s="5"/>
      <c r="X1624" s="1120"/>
      <c r="Y1624" s="1120"/>
      <c r="Z1624" s="5"/>
      <c r="AA1624" s="5"/>
      <c r="AB1624" s="1135"/>
      <c r="AC1624" s="5"/>
      <c r="AD1624" s="5"/>
      <c r="AE1624" s="5"/>
      <c r="AF1624" s="1120"/>
      <c r="AG1624" s="1148"/>
      <c r="AH1624" s="1120"/>
      <c r="AI1624" s="1120"/>
      <c r="AJ1624" s="1120"/>
    </row>
    <row r="1625" spans="2:36" ht="30" customHeight="1" x14ac:dyDescent="0.25">
      <c r="B1625" s="5"/>
      <c r="C1625" s="5"/>
      <c r="D1625" s="5"/>
      <c r="E1625" s="5"/>
      <c r="F1625" s="5"/>
      <c r="G1625" s="5"/>
      <c r="H1625" s="5"/>
      <c r="I1625" s="5"/>
      <c r="J1625" s="5"/>
      <c r="L1625" s="277"/>
      <c r="M1625" s="5"/>
      <c r="R1625" s="5"/>
      <c r="S1625" s="5"/>
      <c r="T1625" s="1120"/>
      <c r="U1625" s="5"/>
      <c r="V1625" s="5"/>
      <c r="W1625" s="5"/>
      <c r="X1625" s="1120"/>
      <c r="Y1625" s="1120"/>
      <c r="Z1625" s="5"/>
      <c r="AA1625" s="5"/>
      <c r="AB1625" s="1135"/>
      <c r="AC1625" s="5"/>
      <c r="AD1625" s="5"/>
      <c r="AE1625" s="5"/>
      <c r="AF1625" s="1120"/>
      <c r="AG1625" s="1148"/>
      <c r="AH1625" s="1120"/>
      <c r="AI1625" s="1120"/>
      <c r="AJ1625" s="1120"/>
    </row>
    <row r="1626" spans="2:36" ht="30" customHeight="1" x14ac:dyDescent="0.25">
      <c r="B1626" s="5"/>
      <c r="C1626" s="5"/>
      <c r="D1626" s="5"/>
      <c r="E1626" s="5"/>
      <c r="F1626" s="5"/>
      <c r="G1626" s="5"/>
      <c r="H1626" s="5"/>
      <c r="I1626" s="5"/>
      <c r="J1626" s="5"/>
      <c r="L1626" s="277"/>
      <c r="M1626" s="5"/>
      <c r="R1626" s="5"/>
      <c r="S1626" s="5"/>
      <c r="T1626" s="1120"/>
      <c r="U1626" s="5"/>
      <c r="V1626" s="5"/>
      <c r="W1626" s="5"/>
      <c r="X1626" s="1120"/>
      <c r="Y1626" s="1120"/>
      <c r="Z1626" s="5"/>
      <c r="AA1626" s="5"/>
      <c r="AB1626" s="1135"/>
      <c r="AC1626" s="5"/>
      <c r="AD1626" s="5"/>
      <c r="AE1626" s="5"/>
      <c r="AF1626" s="1120"/>
      <c r="AG1626" s="1148"/>
      <c r="AH1626" s="1120"/>
      <c r="AI1626" s="1120"/>
      <c r="AJ1626" s="1120"/>
    </row>
    <row r="1627" spans="2:36" ht="30" customHeight="1" x14ac:dyDescent="0.25">
      <c r="B1627" s="5"/>
      <c r="C1627" s="5"/>
      <c r="D1627" s="5"/>
      <c r="E1627" s="5"/>
      <c r="F1627" s="5"/>
      <c r="G1627" s="5"/>
      <c r="H1627" s="5"/>
      <c r="I1627" s="5"/>
      <c r="J1627" s="5"/>
      <c r="L1627" s="277"/>
      <c r="M1627" s="5"/>
      <c r="R1627" s="5"/>
      <c r="S1627" s="5"/>
      <c r="T1627" s="1120"/>
      <c r="U1627" s="5"/>
      <c r="V1627" s="5"/>
      <c r="W1627" s="5"/>
      <c r="X1627" s="1120"/>
      <c r="Y1627" s="1120"/>
      <c r="Z1627" s="5"/>
      <c r="AA1627" s="5"/>
      <c r="AB1627" s="1135"/>
      <c r="AC1627" s="5"/>
      <c r="AD1627" s="5"/>
      <c r="AE1627" s="5"/>
      <c r="AF1627" s="1120"/>
      <c r="AG1627" s="1148"/>
      <c r="AH1627" s="1120"/>
      <c r="AI1627" s="1120"/>
      <c r="AJ1627" s="1120"/>
    </row>
    <row r="1628" spans="2:36" ht="30" customHeight="1" x14ac:dyDescent="0.25">
      <c r="B1628" s="5"/>
      <c r="C1628" s="5"/>
      <c r="D1628" s="5"/>
      <c r="E1628" s="5"/>
      <c r="F1628" s="5"/>
      <c r="G1628" s="5"/>
      <c r="H1628" s="5"/>
      <c r="I1628" s="5"/>
      <c r="J1628" s="5"/>
      <c r="L1628" s="277"/>
      <c r="M1628" s="5"/>
      <c r="R1628" s="5"/>
      <c r="S1628" s="5"/>
      <c r="T1628" s="1120"/>
      <c r="U1628" s="5"/>
      <c r="V1628" s="5"/>
      <c r="W1628" s="5"/>
      <c r="X1628" s="1120"/>
      <c r="Y1628" s="1120"/>
      <c r="Z1628" s="5"/>
      <c r="AA1628" s="5"/>
      <c r="AB1628" s="1135"/>
      <c r="AC1628" s="5"/>
      <c r="AD1628" s="5"/>
      <c r="AE1628" s="5"/>
      <c r="AF1628" s="1120"/>
      <c r="AG1628" s="1148"/>
      <c r="AH1628" s="1120"/>
      <c r="AI1628" s="1120"/>
      <c r="AJ1628" s="1120"/>
    </row>
    <row r="1629" spans="2:36" ht="30" customHeight="1" x14ac:dyDescent="0.25">
      <c r="B1629" s="5"/>
      <c r="C1629" s="5"/>
      <c r="D1629" s="5"/>
      <c r="E1629" s="5"/>
      <c r="F1629" s="5"/>
      <c r="G1629" s="5"/>
      <c r="H1629" s="5"/>
      <c r="I1629" s="5"/>
      <c r="J1629" s="5"/>
      <c r="L1629" s="277"/>
      <c r="M1629" s="5"/>
      <c r="R1629" s="5"/>
      <c r="S1629" s="5"/>
      <c r="T1629" s="1120"/>
      <c r="U1629" s="5"/>
      <c r="V1629" s="5"/>
      <c r="W1629" s="5"/>
      <c r="X1629" s="1120"/>
      <c r="Y1629" s="1120"/>
      <c r="Z1629" s="5"/>
      <c r="AA1629" s="5"/>
      <c r="AB1629" s="1135"/>
      <c r="AC1629" s="5"/>
      <c r="AD1629" s="5"/>
      <c r="AE1629" s="5"/>
      <c r="AF1629" s="1120"/>
      <c r="AG1629" s="1148"/>
      <c r="AH1629" s="1120"/>
      <c r="AI1629" s="1120"/>
      <c r="AJ1629" s="1120"/>
    </row>
    <row r="1630" spans="2:36" ht="30" customHeight="1" x14ac:dyDescent="0.25">
      <c r="B1630" s="5"/>
      <c r="C1630" s="5"/>
      <c r="D1630" s="5"/>
      <c r="E1630" s="5"/>
      <c r="F1630" s="5"/>
      <c r="G1630" s="5"/>
      <c r="H1630" s="5"/>
      <c r="I1630" s="5"/>
      <c r="J1630" s="5"/>
      <c r="L1630" s="277"/>
      <c r="M1630" s="5"/>
      <c r="R1630" s="5"/>
      <c r="S1630" s="5"/>
      <c r="T1630" s="1120"/>
      <c r="U1630" s="5"/>
      <c r="V1630" s="5"/>
      <c r="W1630" s="5"/>
      <c r="X1630" s="1120"/>
      <c r="Y1630" s="1120"/>
      <c r="Z1630" s="5"/>
      <c r="AA1630" s="5"/>
      <c r="AB1630" s="1135"/>
      <c r="AC1630" s="5"/>
      <c r="AD1630" s="5"/>
      <c r="AE1630" s="5"/>
      <c r="AF1630" s="1120"/>
      <c r="AG1630" s="1148"/>
      <c r="AH1630" s="1120"/>
      <c r="AI1630" s="1120"/>
      <c r="AJ1630" s="1120"/>
    </row>
    <row r="1631" spans="2:36" ht="30" customHeight="1" x14ac:dyDescent="0.25">
      <c r="B1631" s="5"/>
      <c r="C1631" s="5"/>
      <c r="D1631" s="5"/>
      <c r="E1631" s="5"/>
      <c r="F1631" s="5"/>
      <c r="G1631" s="5"/>
      <c r="H1631" s="5"/>
      <c r="I1631" s="5"/>
      <c r="J1631" s="5"/>
      <c r="L1631" s="277"/>
      <c r="M1631" s="5"/>
      <c r="R1631" s="5"/>
      <c r="S1631" s="5"/>
      <c r="T1631" s="1120"/>
      <c r="U1631" s="5"/>
      <c r="V1631" s="5"/>
      <c r="W1631" s="5"/>
      <c r="X1631" s="1120"/>
      <c r="Y1631" s="1120"/>
      <c r="Z1631" s="5"/>
      <c r="AA1631" s="5"/>
      <c r="AB1631" s="1135"/>
      <c r="AC1631" s="5"/>
      <c r="AD1631" s="5"/>
      <c r="AE1631" s="5"/>
      <c r="AF1631" s="1120"/>
      <c r="AG1631" s="1148"/>
      <c r="AH1631" s="1120"/>
      <c r="AI1631" s="1120"/>
      <c r="AJ1631" s="1120"/>
    </row>
    <row r="1632" spans="2:36" ht="30" customHeight="1" x14ac:dyDescent="0.25">
      <c r="B1632" s="5"/>
      <c r="C1632" s="5"/>
      <c r="D1632" s="5"/>
      <c r="E1632" s="5"/>
      <c r="F1632" s="5"/>
      <c r="G1632" s="5"/>
      <c r="H1632" s="5"/>
      <c r="I1632" s="5"/>
      <c r="J1632" s="5"/>
      <c r="L1632" s="277"/>
      <c r="M1632" s="5"/>
      <c r="R1632" s="5"/>
      <c r="S1632" s="5"/>
      <c r="T1632" s="1120"/>
      <c r="U1632" s="5"/>
      <c r="V1632" s="5"/>
      <c r="W1632" s="5"/>
      <c r="X1632" s="1120"/>
      <c r="Y1632" s="1120"/>
      <c r="Z1632" s="5"/>
      <c r="AA1632" s="5"/>
      <c r="AB1632" s="1135"/>
      <c r="AC1632" s="5"/>
      <c r="AD1632" s="5"/>
      <c r="AE1632" s="5"/>
      <c r="AF1632" s="1120"/>
      <c r="AG1632" s="1148"/>
      <c r="AH1632" s="1120"/>
      <c r="AI1632" s="1120"/>
      <c r="AJ1632" s="1120"/>
    </row>
    <row r="1633" spans="2:36" ht="30" customHeight="1" x14ac:dyDescent="0.25">
      <c r="B1633" s="5"/>
      <c r="C1633" s="5"/>
      <c r="D1633" s="5"/>
      <c r="E1633" s="5"/>
      <c r="F1633" s="5"/>
      <c r="G1633" s="5"/>
      <c r="H1633" s="5"/>
      <c r="I1633" s="5"/>
      <c r="J1633" s="5"/>
      <c r="L1633" s="277"/>
      <c r="M1633" s="5"/>
      <c r="R1633" s="5"/>
      <c r="S1633" s="5"/>
      <c r="T1633" s="1120"/>
      <c r="U1633" s="5"/>
      <c r="V1633" s="5"/>
      <c r="W1633" s="5"/>
      <c r="X1633" s="1120"/>
      <c r="Y1633" s="1120"/>
      <c r="Z1633" s="5"/>
      <c r="AA1633" s="5"/>
      <c r="AB1633" s="1135"/>
      <c r="AC1633" s="5"/>
      <c r="AD1633" s="5"/>
      <c r="AE1633" s="5"/>
      <c r="AF1633" s="1120"/>
      <c r="AG1633" s="1148"/>
      <c r="AH1633" s="1120"/>
      <c r="AI1633" s="1120"/>
      <c r="AJ1633" s="1120"/>
    </row>
    <row r="1634" spans="2:36" ht="30" customHeight="1" x14ac:dyDescent="0.25">
      <c r="B1634" s="5"/>
      <c r="C1634" s="5"/>
      <c r="D1634" s="5"/>
      <c r="E1634" s="5"/>
      <c r="F1634" s="5"/>
      <c r="G1634" s="5"/>
      <c r="H1634" s="5"/>
      <c r="I1634" s="5"/>
      <c r="J1634" s="5"/>
      <c r="L1634" s="277"/>
      <c r="M1634" s="5"/>
      <c r="R1634" s="5"/>
      <c r="S1634" s="5"/>
      <c r="T1634" s="1120"/>
      <c r="U1634" s="5"/>
      <c r="V1634" s="5"/>
      <c r="W1634" s="5"/>
      <c r="X1634" s="1120"/>
      <c r="Y1634" s="1120"/>
      <c r="Z1634" s="5"/>
      <c r="AA1634" s="5"/>
      <c r="AB1634" s="1135"/>
      <c r="AC1634" s="5"/>
      <c r="AD1634" s="5"/>
      <c r="AE1634" s="5"/>
      <c r="AF1634" s="1120"/>
      <c r="AG1634" s="1148"/>
      <c r="AH1634" s="1120"/>
      <c r="AI1634" s="1120"/>
      <c r="AJ1634" s="1120"/>
    </row>
    <row r="1635" spans="2:36" ht="30" customHeight="1" x14ac:dyDescent="0.25">
      <c r="B1635" s="5"/>
      <c r="C1635" s="5"/>
      <c r="D1635" s="5"/>
      <c r="E1635" s="5"/>
      <c r="F1635" s="5"/>
      <c r="G1635" s="5"/>
      <c r="H1635" s="5"/>
      <c r="I1635" s="5"/>
      <c r="J1635" s="5"/>
      <c r="L1635" s="277"/>
      <c r="M1635" s="5"/>
      <c r="R1635" s="5"/>
      <c r="S1635" s="5"/>
      <c r="T1635" s="1120"/>
      <c r="U1635" s="5"/>
      <c r="V1635" s="5"/>
      <c r="W1635" s="5"/>
      <c r="X1635" s="1120"/>
      <c r="Y1635" s="1120"/>
      <c r="Z1635" s="5"/>
      <c r="AA1635" s="5"/>
      <c r="AB1635" s="1135"/>
      <c r="AC1635" s="5"/>
      <c r="AD1635" s="5"/>
      <c r="AE1635" s="5"/>
      <c r="AF1635" s="1120"/>
      <c r="AG1635" s="1148"/>
      <c r="AH1635" s="1120"/>
      <c r="AI1635" s="1120"/>
      <c r="AJ1635" s="1120"/>
    </row>
    <row r="1636" spans="2:36" ht="30" customHeight="1" x14ac:dyDescent="0.25">
      <c r="B1636" s="5"/>
      <c r="C1636" s="5"/>
      <c r="D1636" s="5"/>
      <c r="E1636" s="5"/>
      <c r="F1636" s="5"/>
      <c r="G1636" s="5"/>
      <c r="H1636" s="5"/>
      <c r="I1636" s="5"/>
      <c r="J1636" s="5"/>
      <c r="L1636" s="277"/>
      <c r="M1636" s="5"/>
      <c r="R1636" s="5"/>
      <c r="S1636" s="5"/>
      <c r="T1636" s="1120"/>
      <c r="U1636" s="5"/>
      <c r="V1636" s="5"/>
      <c r="W1636" s="5"/>
      <c r="X1636" s="1120"/>
      <c r="Y1636" s="1120"/>
      <c r="Z1636" s="5"/>
      <c r="AA1636" s="5"/>
      <c r="AB1636" s="1135"/>
      <c r="AC1636" s="5"/>
      <c r="AD1636" s="5"/>
      <c r="AE1636" s="5"/>
      <c r="AF1636" s="1120"/>
      <c r="AG1636" s="1148"/>
      <c r="AH1636" s="1120"/>
      <c r="AI1636" s="1120"/>
      <c r="AJ1636" s="1120"/>
    </row>
    <row r="1637" spans="2:36" ht="30" customHeight="1" x14ac:dyDescent="0.25">
      <c r="B1637" s="5"/>
      <c r="C1637" s="5"/>
      <c r="D1637" s="5"/>
      <c r="E1637" s="5"/>
      <c r="F1637" s="5"/>
      <c r="G1637" s="5"/>
      <c r="H1637" s="5"/>
      <c r="I1637" s="5"/>
      <c r="J1637" s="5"/>
      <c r="L1637" s="277"/>
      <c r="M1637" s="5"/>
      <c r="R1637" s="5"/>
      <c r="S1637" s="5"/>
      <c r="T1637" s="1120"/>
      <c r="U1637" s="5"/>
      <c r="V1637" s="5"/>
      <c r="W1637" s="5"/>
      <c r="X1637" s="1120"/>
      <c r="Y1637" s="1120"/>
      <c r="Z1637" s="5"/>
      <c r="AA1637" s="5"/>
      <c r="AB1637" s="1135"/>
      <c r="AC1637" s="5"/>
      <c r="AD1637" s="5"/>
      <c r="AE1637" s="5"/>
      <c r="AF1637" s="1120"/>
      <c r="AG1637" s="1148"/>
      <c r="AH1637" s="1120"/>
      <c r="AI1637" s="1120"/>
      <c r="AJ1637" s="1120"/>
    </row>
    <row r="1638" spans="2:36" ht="30" customHeight="1" x14ac:dyDescent="0.25">
      <c r="B1638" s="5"/>
      <c r="C1638" s="5"/>
      <c r="D1638" s="5"/>
      <c r="E1638" s="5"/>
      <c r="F1638" s="5"/>
      <c r="G1638" s="5"/>
      <c r="H1638" s="5"/>
      <c r="I1638" s="5"/>
      <c r="J1638" s="5"/>
      <c r="L1638" s="277"/>
      <c r="M1638" s="5"/>
      <c r="R1638" s="5"/>
      <c r="S1638" s="5"/>
      <c r="T1638" s="1120"/>
      <c r="U1638" s="5"/>
      <c r="V1638" s="5"/>
      <c r="W1638" s="5"/>
      <c r="X1638" s="1120"/>
      <c r="Y1638" s="1120"/>
      <c r="Z1638" s="5"/>
      <c r="AA1638" s="5"/>
      <c r="AB1638" s="1135"/>
      <c r="AC1638" s="5"/>
      <c r="AD1638" s="5"/>
      <c r="AE1638" s="5"/>
      <c r="AF1638" s="1120"/>
      <c r="AG1638" s="1148"/>
      <c r="AH1638" s="1120"/>
      <c r="AI1638" s="1120"/>
      <c r="AJ1638" s="1120"/>
    </row>
    <row r="1639" spans="2:36" ht="30" customHeight="1" x14ac:dyDescent="0.25">
      <c r="B1639" s="5"/>
      <c r="C1639" s="5"/>
      <c r="D1639" s="5"/>
      <c r="E1639" s="5"/>
      <c r="F1639" s="5"/>
      <c r="G1639" s="5"/>
      <c r="H1639" s="5"/>
      <c r="I1639" s="5"/>
      <c r="J1639" s="5"/>
      <c r="L1639" s="277"/>
      <c r="M1639" s="5"/>
      <c r="R1639" s="5"/>
      <c r="S1639" s="5"/>
      <c r="T1639" s="1120"/>
      <c r="U1639" s="5"/>
      <c r="V1639" s="5"/>
      <c r="W1639" s="5"/>
      <c r="X1639" s="1120"/>
      <c r="Y1639" s="1120"/>
      <c r="Z1639" s="5"/>
      <c r="AA1639" s="5"/>
      <c r="AB1639" s="1135"/>
      <c r="AC1639" s="5"/>
      <c r="AD1639" s="5"/>
      <c r="AE1639" s="5"/>
      <c r="AF1639" s="1120"/>
      <c r="AG1639" s="1148"/>
      <c r="AH1639" s="1120"/>
      <c r="AI1639" s="1120"/>
      <c r="AJ1639" s="1120"/>
    </row>
    <row r="1640" spans="2:36" ht="30" customHeight="1" x14ac:dyDescent="0.25">
      <c r="B1640" s="5"/>
      <c r="C1640" s="5"/>
      <c r="D1640" s="5"/>
      <c r="E1640" s="5"/>
      <c r="F1640" s="5"/>
      <c r="G1640" s="5"/>
      <c r="H1640" s="5"/>
      <c r="I1640" s="5"/>
      <c r="J1640" s="5"/>
      <c r="L1640" s="277"/>
      <c r="M1640" s="5"/>
      <c r="R1640" s="5"/>
      <c r="S1640" s="5"/>
      <c r="T1640" s="1120"/>
      <c r="U1640" s="5"/>
      <c r="V1640" s="5"/>
      <c r="W1640" s="5"/>
      <c r="X1640" s="1120"/>
      <c r="Y1640" s="1120"/>
      <c r="Z1640" s="5"/>
      <c r="AA1640" s="5"/>
      <c r="AB1640" s="1135"/>
      <c r="AC1640" s="5"/>
      <c r="AD1640" s="5"/>
      <c r="AE1640" s="5"/>
      <c r="AF1640" s="1120"/>
      <c r="AG1640" s="1148"/>
      <c r="AH1640" s="1120"/>
      <c r="AI1640" s="1120"/>
      <c r="AJ1640" s="1120"/>
    </row>
    <row r="1641" spans="2:36" ht="30" customHeight="1" x14ac:dyDescent="0.25">
      <c r="B1641" s="5"/>
      <c r="C1641" s="5"/>
      <c r="D1641" s="5"/>
      <c r="E1641" s="5"/>
      <c r="F1641" s="5"/>
      <c r="G1641" s="5"/>
      <c r="H1641" s="5"/>
      <c r="I1641" s="5"/>
      <c r="J1641" s="5"/>
      <c r="L1641" s="277"/>
      <c r="M1641" s="5"/>
      <c r="R1641" s="5"/>
      <c r="S1641" s="5"/>
      <c r="T1641" s="1120"/>
      <c r="U1641" s="5"/>
      <c r="V1641" s="5"/>
      <c r="W1641" s="5"/>
      <c r="X1641" s="1120"/>
      <c r="Y1641" s="1120"/>
      <c r="Z1641" s="5"/>
      <c r="AA1641" s="5"/>
      <c r="AB1641" s="1135"/>
      <c r="AC1641" s="5"/>
      <c r="AD1641" s="5"/>
      <c r="AE1641" s="5"/>
      <c r="AF1641" s="1120"/>
      <c r="AG1641" s="1148"/>
      <c r="AH1641" s="1120"/>
      <c r="AI1641" s="1120"/>
      <c r="AJ1641" s="1120"/>
    </row>
    <row r="1642" spans="2:36" ht="30" customHeight="1" x14ac:dyDescent="0.25">
      <c r="B1642" s="5"/>
      <c r="C1642" s="5"/>
      <c r="D1642" s="5"/>
      <c r="E1642" s="5"/>
      <c r="F1642" s="5"/>
      <c r="G1642" s="5"/>
      <c r="H1642" s="5"/>
      <c r="I1642" s="5"/>
      <c r="J1642" s="5"/>
      <c r="L1642" s="277"/>
      <c r="M1642" s="5"/>
      <c r="R1642" s="5"/>
      <c r="S1642" s="5"/>
      <c r="T1642" s="1120"/>
      <c r="U1642" s="5"/>
      <c r="V1642" s="5"/>
      <c r="W1642" s="5"/>
      <c r="X1642" s="1120"/>
      <c r="Y1642" s="1120"/>
      <c r="Z1642" s="5"/>
      <c r="AA1642" s="5"/>
      <c r="AB1642" s="1135"/>
      <c r="AC1642" s="5"/>
      <c r="AD1642" s="5"/>
      <c r="AE1642" s="5"/>
      <c r="AF1642" s="1120"/>
      <c r="AG1642" s="1148"/>
      <c r="AH1642" s="1120"/>
      <c r="AI1642" s="1120"/>
      <c r="AJ1642" s="1120"/>
    </row>
    <row r="1643" spans="2:36" ht="30" customHeight="1" x14ac:dyDescent="0.25">
      <c r="B1643" s="5"/>
      <c r="C1643" s="5"/>
      <c r="D1643" s="5"/>
      <c r="E1643" s="5"/>
      <c r="F1643" s="5"/>
      <c r="G1643" s="5"/>
      <c r="H1643" s="5"/>
      <c r="I1643" s="5"/>
      <c r="J1643" s="5"/>
      <c r="L1643" s="277"/>
      <c r="M1643" s="5"/>
      <c r="R1643" s="5"/>
      <c r="S1643" s="5"/>
      <c r="T1643" s="1120"/>
      <c r="U1643" s="5"/>
      <c r="V1643" s="5"/>
      <c r="W1643" s="5"/>
      <c r="X1643" s="1120"/>
      <c r="Y1643" s="1120"/>
      <c r="Z1643" s="5"/>
      <c r="AA1643" s="5"/>
      <c r="AB1643" s="1135"/>
      <c r="AC1643" s="5"/>
      <c r="AD1643" s="5"/>
      <c r="AE1643" s="5"/>
      <c r="AF1643" s="1120"/>
      <c r="AG1643" s="1148"/>
      <c r="AH1643" s="1120"/>
      <c r="AI1643" s="1120"/>
      <c r="AJ1643" s="1120"/>
    </row>
    <row r="1644" spans="2:36" ht="30" customHeight="1" x14ac:dyDescent="0.25">
      <c r="B1644" s="5"/>
      <c r="C1644" s="5"/>
      <c r="D1644" s="5"/>
      <c r="E1644" s="5"/>
      <c r="F1644" s="5"/>
      <c r="G1644" s="5"/>
      <c r="H1644" s="5"/>
      <c r="I1644" s="5"/>
      <c r="J1644" s="5"/>
      <c r="L1644" s="277"/>
      <c r="M1644" s="5"/>
      <c r="R1644" s="5"/>
      <c r="S1644" s="5"/>
      <c r="T1644" s="1120"/>
      <c r="U1644" s="5"/>
      <c r="V1644" s="5"/>
      <c r="W1644" s="5"/>
      <c r="X1644" s="1120"/>
      <c r="Y1644" s="1120"/>
      <c r="Z1644" s="5"/>
      <c r="AA1644" s="5"/>
      <c r="AB1644" s="1135"/>
      <c r="AC1644" s="5"/>
      <c r="AD1644" s="5"/>
      <c r="AE1644" s="5"/>
      <c r="AF1644" s="1120"/>
      <c r="AG1644" s="1148"/>
      <c r="AH1644" s="1120"/>
      <c r="AI1644" s="1120"/>
      <c r="AJ1644" s="1120"/>
    </row>
    <row r="1645" spans="2:36" ht="30" customHeight="1" x14ac:dyDescent="0.25">
      <c r="B1645" s="5"/>
      <c r="C1645" s="5"/>
      <c r="D1645" s="5"/>
      <c r="E1645" s="5"/>
      <c r="F1645" s="5"/>
      <c r="G1645" s="5"/>
      <c r="H1645" s="5"/>
      <c r="I1645" s="5"/>
      <c r="J1645" s="5"/>
      <c r="L1645" s="277"/>
      <c r="M1645" s="5"/>
      <c r="R1645" s="5"/>
      <c r="S1645" s="5"/>
      <c r="T1645" s="1120"/>
      <c r="U1645" s="5"/>
      <c r="V1645" s="5"/>
      <c r="W1645" s="5"/>
      <c r="X1645" s="1120"/>
      <c r="Y1645" s="1120"/>
      <c r="Z1645" s="5"/>
      <c r="AA1645" s="5"/>
      <c r="AB1645" s="1135"/>
      <c r="AC1645" s="5"/>
      <c r="AD1645" s="5"/>
      <c r="AE1645" s="5"/>
      <c r="AF1645" s="1120"/>
      <c r="AG1645" s="1148"/>
      <c r="AH1645" s="1120"/>
      <c r="AI1645" s="1120"/>
      <c r="AJ1645" s="1120"/>
    </row>
    <row r="1646" spans="2:36" ht="30" customHeight="1" x14ac:dyDescent="0.25">
      <c r="B1646" s="5"/>
      <c r="C1646" s="5"/>
      <c r="D1646" s="5"/>
      <c r="E1646" s="5"/>
      <c r="F1646" s="5"/>
      <c r="G1646" s="5"/>
      <c r="H1646" s="5"/>
      <c r="I1646" s="5"/>
      <c r="J1646" s="5"/>
      <c r="L1646" s="277"/>
      <c r="M1646" s="5"/>
      <c r="R1646" s="5"/>
      <c r="S1646" s="5"/>
      <c r="T1646" s="1120"/>
      <c r="U1646" s="5"/>
      <c r="V1646" s="5"/>
      <c r="W1646" s="5"/>
      <c r="X1646" s="1120"/>
      <c r="Y1646" s="1120"/>
      <c r="Z1646" s="5"/>
      <c r="AA1646" s="5"/>
      <c r="AB1646" s="1135"/>
      <c r="AC1646" s="5"/>
      <c r="AD1646" s="5"/>
      <c r="AE1646" s="5"/>
      <c r="AF1646" s="1120"/>
      <c r="AG1646" s="1148"/>
      <c r="AH1646" s="1120"/>
      <c r="AI1646" s="1120"/>
      <c r="AJ1646" s="1120"/>
    </row>
    <row r="1647" spans="2:36" ht="30" customHeight="1" x14ac:dyDescent="0.25">
      <c r="B1647" s="5"/>
      <c r="C1647" s="5"/>
      <c r="D1647" s="5"/>
      <c r="E1647" s="5"/>
      <c r="F1647" s="5"/>
      <c r="G1647" s="5"/>
      <c r="H1647" s="5"/>
      <c r="I1647" s="5"/>
      <c r="J1647" s="5"/>
      <c r="L1647" s="277"/>
      <c r="M1647" s="5"/>
      <c r="R1647" s="5"/>
      <c r="S1647" s="5"/>
      <c r="T1647" s="1120"/>
      <c r="U1647" s="5"/>
      <c r="V1647" s="5"/>
      <c r="W1647" s="5"/>
      <c r="X1647" s="1120"/>
      <c r="Y1647" s="1120"/>
      <c r="Z1647" s="5"/>
      <c r="AA1647" s="5"/>
      <c r="AB1647" s="1135"/>
      <c r="AC1647" s="5"/>
      <c r="AD1647" s="5"/>
      <c r="AE1647" s="5"/>
      <c r="AF1647" s="1120"/>
      <c r="AG1647" s="1148"/>
      <c r="AH1647" s="1120"/>
      <c r="AI1647" s="1120"/>
      <c r="AJ1647" s="1120"/>
    </row>
    <row r="1648" spans="2:36" ht="30" customHeight="1" x14ac:dyDescent="0.25">
      <c r="B1648" s="5"/>
      <c r="C1648" s="5"/>
      <c r="D1648" s="5"/>
      <c r="E1648" s="5"/>
      <c r="F1648" s="5"/>
      <c r="G1648" s="5"/>
      <c r="H1648" s="5"/>
      <c r="I1648" s="5"/>
      <c r="J1648" s="5"/>
      <c r="L1648" s="277"/>
      <c r="M1648" s="5"/>
      <c r="R1648" s="5"/>
      <c r="S1648" s="5"/>
      <c r="T1648" s="1120"/>
      <c r="U1648" s="5"/>
      <c r="V1648" s="5"/>
      <c r="W1648" s="5"/>
      <c r="X1648" s="1120"/>
      <c r="Y1648" s="1120"/>
      <c r="Z1648" s="5"/>
      <c r="AA1648" s="5"/>
      <c r="AB1648" s="1135"/>
      <c r="AC1648" s="5"/>
      <c r="AD1648" s="5"/>
      <c r="AE1648" s="5"/>
      <c r="AF1648" s="1120"/>
      <c r="AG1648" s="1148"/>
      <c r="AH1648" s="1120"/>
      <c r="AI1648" s="1120"/>
      <c r="AJ1648" s="1120"/>
    </row>
    <row r="1649" spans="2:36" ht="30" customHeight="1" x14ac:dyDescent="0.25">
      <c r="B1649" s="5"/>
      <c r="C1649" s="5"/>
      <c r="D1649" s="5"/>
      <c r="E1649" s="5"/>
      <c r="F1649" s="5"/>
      <c r="G1649" s="5"/>
      <c r="H1649" s="5"/>
      <c r="I1649" s="5"/>
      <c r="J1649" s="5"/>
      <c r="L1649" s="277"/>
      <c r="M1649" s="5"/>
      <c r="R1649" s="5"/>
      <c r="S1649" s="5"/>
      <c r="T1649" s="1120"/>
      <c r="U1649" s="5"/>
      <c r="V1649" s="5"/>
      <c r="W1649" s="5"/>
      <c r="X1649" s="1120"/>
      <c r="Y1649" s="1120"/>
      <c r="Z1649" s="5"/>
      <c r="AA1649" s="5"/>
      <c r="AB1649" s="1135"/>
      <c r="AC1649" s="5"/>
      <c r="AD1649" s="5"/>
      <c r="AE1649" s="5"/>
      <c r="AF1649" s="1120"/>
      <c r="AG1649" s="1148"/>
      <c r="AH1649" s="1120"/>
      <c r="AI1649" s="1120"/>
      <c r="AJ1649" s="1120"/>
    </row>
    <row r="1650" spans="2:36" ht="30" customHeight="1" x14ac:dyDescent="0.25">
      <c r="B1650" s="5"/>
      <c r="C1650" s="5"/>
      <c r="D1650" s="5"/>
      <c r="E1650" s="5"/>
      <c r="F1650" s="5"/>
      <c r="G1650" s="5"/>
      <c r="H1650" s="5"/>
      <c r="I1650" s="5"/>
      <c r="J1650" s="5"/>
      <c r="L1650" s="277"/>
      <c r="M1650" s="5"/>
      <c r="R1650" s="5"/>
      <c r="S1650" s="5"/>
      <c r="T1650" s="1120"/>
      <c r="U1650" s="5"/>
      <c r="V1650" s="5"/>
      <c r="W1650" s="5"/>
      <c r="X1650" s="1120"/>
      <c r="Y1650" s="1120"/>
      <c r="Z1650" s="5"/>
      <c r="AA1650" s="5"/>
      <c r="AB1650" s="1135"/>
      <c r="AC1650" s="5"/>
      <c r="AD1650" s="5"/>
      <c r="AE1650" s="5"/>
      <c r="AF1650" s="1120"/>
      <c r="AG1650" s="1148"/>
      <c r="AH1650" s="1120"/>
      <c r="AI1650" s="1120"/>
      <c r="AJ1650" s="1120"/>
    </row>
    <row r="1651" spans="2:36" ht="30" customHeight="1" x14ac:dyDescent="0.25">
      <c r="B1651" s="5"/>
      <c r="C1651" s="5"/>
      <c r="D1651" s="5"/>
      <c r="E1651" s="5"/>
      <c r="F1651" s="5"/>
      <c r="G1651" s="5"/>
      <c r="H1651" s="5"/>
      <c r="I1651" s="5"/>
      <c r="J1651" s="5"/>
      <c r="L1651" s="277"/>
      <c r="M1651" s="5"/>
      <c r="R1651" s="5"/>
      <c r="S1651" s="5"/>
      <c r="T1651" s="1120"/>
      <c r="U1651" s="5"/>
      <c r="V1651" s="5"/>
      <c r="W1651" s="5"/>
      <c r="X1651" s="1120"/>
      <c r="Y1651" s="1120"/>
      <c r="Z1651" s="5"/>
      <c r="AA1651" s="5"/>
      <c r="AB1651" s="1135"/>
      <c r="AC1651" s="5"/>
      <c r="AD1651" s="5"/>
      <c r="AE1651" s="5"/>
      <c r="AF1651" s="1120"/>
      <c r="AG1651" s="1148"/>
      <c r="AH1651" s="1120"/>
      <c r="AI1651" s="1120"/>
      <c r="AJ1651" s="1120"/>
    </row>
    <row r="1652" spans="2:36" ht="30" customHeight="1" x14ac:dyDescent="0.25">
      <c r="B1652" s="5"/>
      <c r="C1652" s="5"/>
      <c r="D1652" s="5"/>
      <c r="E1652" s="5"/>
      <c r="F1652" s="5"/>
      <c r="G1652" s="5"/>
      <c r="H1652" s="5"/>
      <c r="I1652" s="5"/>
      <c r="J1652" s="5"/>
      <c r="L1652" s="277"/>
      <c r="M1652" s="5"/>
      <c r="R1652" s="5"/>
      <c r="S1652" s="5"/>
      <c r="T1652" s="1120"/>
      <c r="U1652" s="5"/>
      <c r="V1652" s="5"/>
      <c r="W1652" s="5"/>
      <c r="X1652" s="1120"/>
      <c r="Y1652" s="1120"/>
      <c r="Z1652" s="5"/>
      <c r="AA1652" s="5"/>
      <c r="AB1652" s="1135"/>
      <c r="AC1652" s="5"/>
      <c r="AD1652" s="5"/>
      <c r="AE1652" s="5"/>
      <c r="AF1652" s="1120"/>
      <c r="AG1652" s="1148"/>
      <c r="AH1652" s="1120"/>
      <c r="AI1652" s="1120"/>
      <c r="AJ1652" s="1120"/>
    </row>
    <row r="1653" spans="2:36" ht="30" customHeight="1" x14ac:dyDescent="0.25">
      <c r="B1653" s="5"/>
      <c r="C1653" s="5"/>
      <c r="D1653" s="5"/>
      <c r="E1653" s="5"/>
      <c r="F1653" s="5"/>
      <c r="G1653" s="5"/>
      <c r="H1653" s="5"/>
      <c r="I1653" s="5"/>
      <c r="J1653" s="5"/>
      <c r="L1653" s="277"/>
      <c r="M1653" s="5"/>
      <c r="R1653" s="5"/>
      <c r="S1653" s="5"/>
      <c r="T1653" s="1120"/>
      <c r="U1653" s="5"/>
      <c r="V1653" s="5"/>
      <c r="W1653" s="5"/>
      <c r="X1653" s="1120"/>
      <c r="Y1653" s="1120"/>
      <c r="Z1653" s="5"/>
      <c r="AA1653" s="5"/>
      <c r="AB1653" s="1135"/>
      <c r="AC1653" s="5"/>
      <c r="AD1653" s="5"/>
      <c r="AE1653" s="5"/>
      <c r="AF1653" s="1120"/>
      <c r="AG1653" s="1148"/>
      <c r="AH1653" s="1120"/>
      <c r="AI1653" s="1120"/>
      <c r="AJ1653" s="1120"/>
    </row>
    <row r="1654" spans="2:36" ht="30" customHeight="1" x14ac:dyDescent="0.25">
      <c r="B1654" s="5"/>
      <c r="C1654" s="5"/>
      <c r="D1654" s="5"/>
      <c r="E1654" s="5"/>
      <c r="F1654" s="5"/>
      <c r="G1654" s="5"/>
      <c r="H1654" s="5"/>
      <c r="I1654" s="5"/>
      <c r="J1654" s="5"/>
      <c r="L1654" s="277"/>
      <c r="M1654" s="5"/>
      <c r="R1654" s="5"/>
      <c r="S1654" s="5"/>
      <c r="T1654" s="1120"/>
      <c r="U1654" s="5"/>
      <c r="V1654" s="5"/>
      <c r="W1654" s="5"/>
      <c r="X1654" s="1120"/>
      <c r="Y1654" s="1120"/>
      <c r="Z1654" s="5"/>
      <c r="AA1654" s="5"/>
      <c r="AB1654" s="1135"/>
      <c r="AC1654" s="5"/>
      <c r="AD1654" s="5"/>
      <c r="AE1654" s="5"/>
      <c r="AF1654" s="1120"/>
      <c r="AG1654" s="1148"/>
      <c r="AH1654" s="1120"/>
      <c r="AI1654" s="1120"/>
      <c r="AJ1654" s="1120"/>
    </row>
    <row r="1655" spans="2:36" ht="30" customHeight="1" x14ac:dyDescent="0.25">
      <c r="B1655" s="5"/>
      <c r="C1655" s="5"/>
      <c r="D1655" s="5"/>
      <c r="E1655" s="5"/>
      <c r="F1655" s="5"/>
      <c r="G1655" s="5"/>
      <c r="H1655" s="5"/>
      <c r="I1655" s="5"/>
      <c r="J1655" s="5"/>
      <c r="L1655" s="277"/>
      <c r="M1655" s="5"/>
      <c r="R1655" s="5"/>
      <c r="S1655" s="5"/>
      <c r="T1655" s="1120"/>
      <c r="U1655" s="5"/>
      <c r="V1655" s="5"/>
      <c r="W1655" s="5"/>
      <c r="X1655" s="1120"/>
      <c r="Y1655" s="1120"/>
      <c r="Z1655" s="5"/>
      <c r="AA1655" s="5"/>
      <c r="AB1655" s="1135"/>
      <c r="AC1655" s="5"/>
      <c r="AD1655" s="5"/>
      <c r="AE1655" s="5"/>
      <c r="AF1655" s="1120"/>
      <c r="AG1655" s="1148"/>
      <c r="AH1655" s="1120"/>
      <c r="AI1655" s="1120"/>
      <c r="AJ1655" s="1120"/>
    </row>
    <row r="1656" spans="2:36" ht="30" customHeight="1" x14ac:dyDescent="0.25">
      <c r="B1656" s="5"/>
      <c r="C1656" s="5"/>
      <c r="D1656" s="5"/>
      <c r="E1656" s="5"/>
      <c r="F1656" s="5"/>
      <c r="G1656" s="5"/>
      <c r="H1656" s="5"/>
      <c r="I1656" s="5"/>
      <c r="J1656" s="5"/>
      <c r="L1656" s="277"/>
      <c r="M1656" s="5"/>
      <c r="R1656" s="5"/>
      <c r="S1656" s="5"/>
      <c r="T1656" s="1120"/>
      <c r="U1656" s="5"/>
      <c r="V1656" s="5"/>
      <c r="W1656" s="5"/>
      <c r="X1656" s="1120"/>
      <c r="Y1656" s="1120"/>
      <c r="Z1656" s="5"/>
      <c r="AA1656" s="5"/>
      <c r="AB1656" s="1135"/>
      <c r="AC1656" s="5"/>
      <c r="AD1656" s="5"/>
      <c r="AE1656" s="5"/>
      <c r="AF1656" s="1120"/>
      <c r="AG1656" s="1148"/>
      <c r="AH1656" s="1120"/>
      <c r="AI1656" s="1120"/>
      <c r="AJ1656" s="1120"/>
    </row>
    <row r="1657" spans="2:36" ht="30" customHeight="1" x14ac:dyDescent="0.25">
      <c r="B1657" s="5"/>
      <c r="C1657" s="5"/>
      <c r="D1657" s="5"/>
      <c r="E1657" s="5"/>
      <c r="F1657" s="5"/>
      <c r="G1657" s="5"/>
      <c r="H1657" s="5"/>
      <c r="I1657" s="5"/>
      <c r="J1657" s="5"/>
      <c r="L1657" s="277"/>
      <c r="M1657" s="5"/>
      <c r="R1657" s="5"/>
      <c r="S1657" s="5"/>
      <c r="T1657" s="1120"/>
      <c r="U1657" s="5"/>
      <c r="V1657" s="5"/>
      <c r="W1657" s="5"/>
      <c r="X1657" s="1120"/>
      <c r="Y1657" s="1120"/>
      <c r="Z1657" s="5"/>
      <c r="AA1657" s="5"/>
      <c r="AB1657" s="1135"/>
      <c r="AC1657" s="5"/>
      <c r="AD1657" s="5"/>
      <c r="AE1657" s="5"/>
      <c r="AF1657" s="1120"/>
      <c r="AG1657" s="1148"/>
      <c r="AH1657" s="1120"/>
      <c r="AI1657" s="1120"/>
      <c r="AJ1657" s="1120"/>
    </row>
    <row r="1658" spans="2:36" ht="30" customHeight="1" x14ac:dyDescent="0.25">
      <c r="B1658" s="5"/>
      <c r="C1658" s="5"/>
      <c r="D1658" s="5"/>
      <c r="E1658" s="5"/>
      <c r="F1658" s="5"/>
      <c r="G1658" s="5"/>
      <c r="H1658" s="5"/>
      <c r="I1658" s="5"/>
      <c r="J1658" s="5"/>
      <c r="L1658" s="277"/>
      <c r="M1658" s="5"/>
      <c r="R1658" s="5"/>
      <c r="S1658" s="5"/>
      <c r="T1658" s="1120"/>
      <c r="U1658" s="5"/>
      <c r="V1658" s="5"/>
      <c r="W1658" s="5"/>
      <c r="X1658" s="1120"/>
      <c r="Y1658" s="1120"/>
      <c r="Z1658" s="5"/>
      <c r="AA1658" s="5"/>
      <c r="AB1658" s="1135"/>
      <c r="AC1658" s="5"/>
      <c r="AD1658" s="5"/>
      <c r="AE1658" s="5"/>
      <c r="AF1658" s="1120"/>
      <c r="AG1658" s="1148"/>
      <c r="AH1658" s="1120"/>
      <c r="AI1658" s="1120"/>
      <c r="AJ1658" s="1120"/>
    </row>
    <row r="1659" spans="2:36" ht="30" customHeight="1" x14ac:dyDescent="0.25">
      <c r="B1659" s="5"/>
      <c r="C1659" s="5"/>
      <c r="D1659" s="5"/>
      <c r="E1659" s="5"/>
      <c r="F1659" s="5"/>
      <c r="G1659" s="5"/>
      <c r="H1659" s="5"/>
      <c r="I1659" s="5"/>
      <c r="J1659" s="5"/>
      <c r="L1659" s="277"/>
      <c r="M1659" s="5"/>
      <c r="R1659" s="5"/>
      <c r="S1659" s="5"/>
      <c r="T1659" s="1120"/>
      <c r="U1659" s="5"/>
      <c r="V1659" s="5"/>
      <c r="W1659" s="5"/>
      <c r="X1659" s="1120"/>
      <c r="Y1659" s="1120"/>
      <c r="Z1659" s="5"/>
      <c r="AA1659" s="5"/>
      <c r="AB1659" s="1135"/>
      <c r="AC1659" s="5"/>
      <c r="AD1659" s="5"/>
      <c r="AE1659" s="5"/>
      <c r="AF1659" s="1120"/>
      <c r="AG1659" s="1148"/>
      <c r="AH1659" s="1120"/>
      <c r="AI1659" s="1120"/>
      <c r="AJ1659" s="1120"/>
    </row>
    <row r="1660" spans="2:36" ht="30" customHeight="1" x14ac:dyDescent="0.25">
      <c r="B1660" s="5"/>
      <c r="C1660" s="5"/>
      <c r="D1660" s="5"/>
      <c r="E1660" s="5"/>
      <c r="F1660" s="5"/>
      <c r="G1660" s="5"/>
      <c r="H1660" s="5"/>
      <c r="I1660" s="5"/>
      <c r="J1660" s="5"/>
      <c r="L1660" s="277"/>
      <c r="M1660" s="5"/>
      <c r="R1660" s="5"/>
      <c r="S1660" s="5"/>
      <c r="T1660" s="1120"/>
      <c r="U1660" s="5"/>
      <c r="V1660" s="5"/>
      <c r="W1660" s="5"/>
      <c r="X1660" s="1120"/>
      <c r="Y1660" s="1120"/>
      <c r="Z1660" s="5"/>
      <c r="AA1660" s="5"/>
      <c r="AB1660" s="1135"/>
      <c r="AC1660" s="5"/>
      <c r="AD1660" s="5"/>
      <c r="AE1660" s="5"/>
      <c r="AF1660" s="1120"/>
      <c r="AG1660" s="1148"/>
      <c r="AH1660" s="1120"/>
      <c r="AI1660" s="1120"/>
      <c r="AJ1660" s="1120"/>
    </row>
    <row r="1661" spans="2:36" ht="30" customHeight="1" x14ac:dyDescent="0.25">
      <c r="B1661" s="5"/>
      <c r="C1661" s="5"/>
      <c r="D1661" s="5"/>
      <c r="E1661" s="5"/>
      <c r="F1661" s="5"/>
      <c r="G1661" s="5"/>
      <c r="H1661" s="5"/>
      <c r="I1661" s="5"/>
      <c r="J1661" s="5"/>
      <c r="L1661" s="277"/>
      <c r="M1661" s="5"/>
      <c r="R1661" s="5"/>
      <c r="S1661" s="5"/>
      <c r="T1661" s="1120"/>
      <c r="U1661" s="5"/>
      <c r="V1661" s="5"/>
      <c r="W1661" s="5"/>
      <c r="X1661" s="1120"/>
      <c r="Y1661" s="1120"/>
      <c r="Z1661" s="5"/>
      <c r="AA1661" s="5"/>
      <c r="AB1661" s="1135"/>
      <c r="AC1661" s="5"/>
      <c r="AD1661" s="5"/>
      <c r="AE1661" s="5"/>
      <c r="AF1661" s="1120"/>
      <c r="AG1661" s="1148"/>
      <c r="AH1661" s="1120"/>
      <c r="AI1661" s="1120"/>
      <c r="AJ1661" s="1120"/>
    </row>
    <row r="1662" spans="2:36" ht="30" customHeight="1" x14ac:dyDescent="0.25">
      <c r="B1662" s="5"/>
      <c r="C1662" s="5"/>
      <c r="D1662" s="5"/>
      <c r="E1662" s="5"/>
      <c r="F1662" s="5"/>
      <c r="G1662" s="5"/>
      <c r="H1662" s="5"/>
      <c r="I1662" s="5"/>
      <c r="J1662" s="5"/>
      <c r="L1662" s="277"/>
      <c r="M1662" s="5"/>
      <c r="R1662" s="5"/>
      <c r="S1662" s="5"/>
      <c r="T1662" s="1120"/>
      <c r="U1662" s="5"/>
      <c r="V1662" s="5"/>
      <c r="W1662" s="5"/>
      <c r="X1662" s="1120"/>
      <c r="Y1662" s="1120"/>
      <c r="Z1662" s="5"/>
      <c r="AA1662" s="5"/>
      <c r="AB1662" s="1135"/>
      <c r="AC1662" s="5"/>
      <c r="AD1662" s="5"/>
      <c r="AE1662" s="5"/>
      <c r="AF1662" s="1120"/>
      <c r="AG1662" s="1148"/>
      <c r="AH1662" s="1120"/>
      <c r="AI1662" s="1120"/>
      <c r="AJ1662" s="1120"/>
    </row>
    <row r="1663" spans="2:36" ht="30" customHeight="1" x14ac:dyDescent="0.25">
      <c r="B1663" s="5"/>
      <c r="C1663" s="5"/>
      <c r="D1663" s="5"/>
      <c r="E1663" s="5"/>
      <c r="F1663" s="5"/>
      <c r="G1663" s="5"/>
      <c r="H1663" s="5"/>
      <c r="I1663" s="5"/>
      <c r="J1663" s="5"/>
      <c r="L1663" s="277"/>
      <c r="M1663" s="5"/>
      <c r="R1663" s="5"/>
      <c r="S1663" s="5"/>
      <c r="T1663" s="1120"/>
      <c r="U1663" s="5"/>
      <c r="V1663" s="5"/>
      <c r="W1663" s="5"/>
      <c r="X1663" s="1120"/>
      <c r="Y1663" s="1120"/>
      <c r="Z1663" s="5"/>
      <c r="AA1663" s="5"/>
      <c r="AB1663" s="1135"/>
      <c r="AC1663" s="5"/>
      <c r="AD1663" s="5"/>
      <c r="AE1663" s="5"/>
      <c r="AF1663" s="1120"/>
      <c r="AG1663" s="1148"/>
      <c r="AH1663" s="1120"/>
      <c r="AI1663" s="1120"/>
      <c r="AJ1663" s="1120"/>
    </row>
    <row r="1664" spans="2:36" ht="30" customHeight="1" x14ac:dyDescent="0.25">
      <c r="B1664" s="5"/>
      <c r="C1664" s="5"/>
      <c r="D1664" s="5"/>
      <c r="E1664" s="5"/>
      <c r="F1664" s="5"/>
      <c r="G1664" s="5"/>
      <c r="H1664" s="5"/>
      <c r="I1664" s="5"/>
      <c r="J1664" s="5"/>
      <c r="L1664" s="277"/>
      <c r="M1664" s="5"/>
      <c r="R1664" s="5"/>
      <c r="S1664" s="5"/>
      <c r="T1664" s="1120"/>
      <c r="U1664" s="5"/>
      <c r="V1664" s="5"/>
      <c r="W1664" s="5"/>
      <c r="X1664" s="1120"/>
      <c r="Y1664" s="1120"/>
      <c r="Z1664" s="5"/>
      <c r="AA1664" s="5"/>
      <c r="AB1664" s="1135"/>
      <c r="AC1664" s="5"/>
      <c r="AD1664" s="5"/>
      <c r="AE1664" s="5"/>
      <c r="AF1664" s="1120"/>
      <c r="AG1664" s="1148"/>
      <c r="AH1664" s="1120"/>
      <c r="AI1664" s="1120"/>
      <c r="AJ1664" s="1120"/>
    </row>
    <row r="1665" spans="2:36" ht="30" customHeight="1" x14ac:dyDescent="0.25">
      <c r="B1665" s="5"/>
      <c r="C1665" s="5"/>
      <c r="D1665" s="5"/>
      <c r="E1665" s="5"/>
      <c r="F1665" s="5"/>
      <c r="G1665" s="5"/>
      <c r="H1665" s="5"/>
      <c r="I1665" s="5"/>
      <c r="J1665" s="5"/>
      <c r="L1665" s="277"/>
      <c r="M1665" s="5"/>
      <c r="R1665" s="5"/>
      <c r="S1665" s="5"/>
      <c r="T1665" s="1120"/>
      <c r="U1665" s="5"/>
      <c r="V1665" s="5"/>
      <c r="W1665" s="5"/>
      <c r="X1665" s="1120"/>
      <c r="Y1665" s="1120"/>
      <c r="Z1665" s="5"/>
      <c r="AA1665" s="5"/>
      <c r="AB1665" s="1135"/>
      <c r="AC1665" s="5"/>
      <c r="AD1665" s="5"/>
      <c r="AE1665" s="5"/>
      <c r="AF1665" s="1120"/>
      <c r="AG1665" s="1148"/>
      <c r="AH1665" s="1120"/>
      <c r="AI1665" s="1120"/>
      <c r="AJ1665" s="1120"/>
    </row>
    <row r="1666" spans="2:36" ht="30" customHeight="1" x14ac:dyDescent="0.25">
      <c r="B1666" s="5"/>
      <c r="C1666" s="5"/>
      <c r="D1666" s="5"/>
      <c r="E1666" s="5"/>
      <c r="F1666" s="5"/>
      <c r="G1666" s="5"/>
      <c r="H1666" s="5"/>
      <c r="I1666" s="5"/>
      <c r="J1666" s="5"/>
      <c r="L1666" s="277"/>
      <c r="M1666" s="5"/>
      <c r="R1666" s="5"/>
      <c r="S1666" s="5"/>
      <c r="T1666" s="1120"/>
      <c r="U1666" s="5"/>
      <c r="V1666" s="5"/>
      <c r="W1666" s="5"/>
      <c r="X1666" s="1120"/>
      <c r="Y1666" s="1120"/>
      <c r="Z1666" s="5"/>
      <c r="AA1666" s="5"/>
      <c r="AB1666" s="1135"/>
      <c r="AC1666" s="5"/>
      <c r="AD1666" s="5"/>
      <c r="AE1666" s="5"/>
      <c r="AF1666" s="1120"/>
      <c r="AG1666" s="1148"/>
      <c r="AH1666" s="1120"/>
      <c r="AI1666" s="1120"/>
      <c r="AJ1666" s="1120"/>
    </row>
    <row r="1667" spans="2:36" ht="30" customHeight="1" x14ac:dyDescent="0.25">
      <c r="B1667" s="5"/>
      <c r="C1667" s="5"/>
      <c r="D1667" s="5"/>
      <c r="E1667" s="5"/>
      <c r="F1667" s="5"/>
      <c r="G1667" s="5"/>
      <c r="H1667" s="5"/>
      <c r="I1667" s="5"/>
      <c r="J1667" s="5"/>
      <c r="L1667" s="277"/>
      <c r="M1667" s="5"/>
      <c r="R1667" s="5"/>
      <c r="S1667" s="5"/>
      <c r="T1667" s="1120"/>
      <c r="U1667" s="5"/>
      <c r="V1667" s="5"/>
      <c r="W1667" s="5"/>
      <c r="X1667" s="1120"/>
      <c r="Y1667" s="1120"/>
      <c r="Z1667" s="5"/>
      <c r="AA1667" s="5"/>
      <c r="AB1667" s="1135"/>
      <c r="AC1667" s="5"/>
      <c r="AD1667" s="5"/>
      <c r="AE1667" s="5"/>
      <c r="AF1667" s="1120"/>
      <c r="AG1667" s="1148"/>
      <c r="AH1667" s="1120"/>
      <c r="AI1667" s="1120"/>
      <c r="AJ1667" s="1120"/>
    </row>
    <row r="1668" spans="2:36" ht="30" customHeight="1" x14ac:dyDescent="0.25">
      <c r="B1668" s="5"/>
      <c r="C1668" s="5"/>
      <c r="D1668" s="5"/>
      <c r="E1668" s="5"/>
      <c r="F1668" s="5"/>
      <c r="G1668" s="5"/>
      <c r="H1668" s="5"/>
      <c r="I1668" s="5"/>
      <c r="J1668" s="5"/>
      <c r="L1668" s="277"/>
      <c r="M1668" s="5"/>
      <c r="R1668" s="5"/>
      <c r="S1668" s="5"/>
      <c r="T1668" s="1120"/>
      <c r="U1668" s="5"/>
      <c r="V1668" s="5"/>
      <c r="W1668" s="5"/>
      <c r="X1668" s="1120"/>
      <c r="Y1668" s="1120"/>
      <c r="Z1668" s="5"/>
      <c r="AA1668" s="5"/>
      <c r="AB1668" s="1135"/>
      <c r="AC1668" s="5"/>
      <c r="AD1668" s="5"/>
      <c r="AE1668" s="5"/>
      <c r="AF1668" s="1120"/>
      <c r="AG1668" s="1148"/>
      <c r="AH1668" s="1120"/>
      <c r="AI1668" s="1120"/>
      <c r="AJ1668" s="1120"/>
    </row>
    <row r="1669" spans="2:36" ht="30" customHeight="1" x14ac:dyDescent="0.25">
      <c r="B1669" s="5"/>
      <c r="C1669" s="5"/>
      <c r="D1669" s="5"/>
      <c r="E1669" s="5"/>
      <c r="F1669" s="5"/>
      <c r="G1669" s="5"/>
      <c r="H1669" s="5"/>
      <c r="I1669" s="5"/>
      <c r="J1669" s="5"/>
      <c r="L1669" s="277"/>
      <c r="M1669" s="5"/>
      <c r="R1669" s="5"/>
      <c r="S1669" s="5"/>
      <c r="T1669" s="1120"/>
      <c r="U1669" s="5"/>
      <c r="V1669" s="5"/>
      <c r="W1669" s="5"/>
      <c r="X1669" s="1120"/>
      <c r="Y1669" s="1120"/>
      <c r="Z1669" s="5"/>
      <c r="AA1669" s="5"/>
      <c r="AB1669" s="1135"/>
      <c r="AC1669" s="5"/>
      <c r="AD1669" s="5"/>
      <c r="AE1669" s="5"/>
      <c r="AF1669" s="1120"/>
      <c r="AG1669" s="1148"/>
      <c r="AH1669" s="1120"/>
      <c r="AI1669" s="1120"/>
      <c r="AJ1669" s="1120"/>
    </row>
    <row r="1670" spans="2:36" ht="30" customHeight="1" x14ac:dyDescent="0.25">
      <c r="B1670" s="5"/>
      <c r="C1670" s="5"/>
      <c r="D1670" s="5"/>
      <c r="E1670" s="5"/>
      <c r="F1670" s="5"/>
      <c r="G1670" s="5"/>
      <c r="H1670" s="5"/>
      <c r="I1670" s="5"/>
      <c r="J1670" s="5"/>
      <c r="L1670" s="277"/>
      <c r="M1670" s="5"/>
      <c r="R1670" s="5"/>
      <c r="S1670" s="5"/>
      <c r="T1670" s="1120"/>
      <c r="U1670" s="5"/>
      <c r="V1670" s="5"/>
      <c r="W1670" s="5"/>
      <c r="X1670" s="1120"/>
      <c r="Y1670" s="1120"/>
      <c r="Z1670" s="5"/>
      <c r="AA1670" s="5"/>
      <c r="AB1670" s="1135"/>
      <c r="AC1670" s="5"/>
      <c r="AD1670" s="5"/>
      <c r="AE1670" s="5"/>
      <c r="AF1670" s="1120"/>
      <c r="AG1670" s="1148"/>
      <c r="AH1670" s="1120"/>
      <c r="AI1670" s="1120"/>
      <c r="AJ1670" s="1120"/>
    </row>
    <row r="1671" spans="2:36" ht="30" customHeight="1" x14ac:dyDescent="0.25">
      <c r="B1671" s="5"/>
      <c r="C1671" s="5"/>
      <c r="D1671" s="5"/>
      <c r="E1671" s="5"/>
      <c r="F1671" s="5"/>
      <c r="G1671" s="5"/>
      <c r="H1671" s="5"/>
      <c r="I1671" s="5"/>
      <c r="J1671" s="5"/>
      <c r="L1671" s="277"/>
      <c r="M1671" s="5"/>
      <c r="R1671" s="5"/>
      <c r="S1671" s="5"/>
      <c r="T1671" s="1120"/>
      <c r="U1671" s="5"/>
      <c r="V1671" s="5"/>
      <c r="W1671" s="5"/>
      <c r="X1671" s="1120"/>
      <c r="Y1671" s="1120"/>
      <c r="Z1671" s="5"/>
      <c r="AA1671" s="5"/>
      <c r="AB1671" s="1135"/>
      <c r="AC1671" s="5"/>
      <c r="AD1671" s="5"/>
      <c r="AE1671" s="5"/>
      <c r="AF1671" s="1120"/>
      <c r="AG1671" s="1148"/>
      <c r="AH1671" s="1120"/>
      <c r="AI1671" s="1120"/>
      <c r="AJ1671" s="1120"/>
    </row>
    <row r="1672" spans="2:36" ht="30" customHeight="1" x14ac:dyDescent="0.25">
      <c r="B1672" s="5"/>
      <c r="C1672" s="5"/>
      <c r="D1672" s="5"/>
      <c r="E1672" s="5"/>
      <c r="F1672" s="5"/>
      <c r="G1672" s="5"/>
      <c r="H1672" s="5"/>
      <c r="I1672" s="5"/>
      <c r="J1672" s="5"/>
      <c r="L1672" s="277"/>
      <c r="M1672" s="5"/>
      <c r="R1672" s="5"/>
      <c r="S1672" s="5"/>
      <c r="T1672" s="1120"/>
      <c r="U1672" s="5"/>
      <c r="V1672" s="5"/>
      <c r="W1672" s="5"/>
      <c r="X1672" s="1120"/>
      <c r="Y1672" s="1120"/>
      <c r="Z1672" s="5"/>
      <c r="AA1672" s="5"/>
      <c r="AB1672" s="1135"/>
      <c r="AC1672" s="5"/>
      <c r="AD1672" s="5"/>
      <c r="AE1672" s="5"/>
      <c r="AF1672" s="1120"/>
      <c r="AG1672" s="1148"/>
      <c r="AH1672" s="1120"/>
      <c r="AI1672" s="1120"/>
      <c r="AJ1672" s="1120"/>
    </row>
    <row r="1673" spans="2:36" ht="30" customHeight="1" x14ac:dyDescent="0.25">
      <c r="B1673" s="5"/>
      <c r="C1673" s="5"/>
      <c r="D1673" s="5"/>
      <c r="E1673" s="5"/>
      <c r="F1673" s="5"/>
      <c r="G1673" s="5"/>
      <c r="H1673" s="5"/>
      <c r="I1673" s="5"/>
      <c r="J1673" s="5"/>
      <c r="L1673" s="277"/>
      <c r="M1673" s="5"/>
      <c r="R1673" s="5"/>
      <c r="S1673" s="5"/>
      <c r="T1673" s="1120"/>
      <c r="U1673" s="5"/>
      <c r="V1673" s="5"/>
      <c r="W1673" s="5"/>
      <c r="X1673" s="1120"/>
      <c r="Y1673" s="1120"/>
      <c r="Z1673" s="5"/>
      <c r="AA1673" s="5"/>
      <c r="AB1673" s="1135"/>
      <c r="AC1673" s="5"/>
      <c r="AD1673" s="5"/>
      <c r="AE1673" s="5"/>
      <c r="AF1673" s="1120"/>
      <c r="AG1673" s="1148"/>
      <c r="AH1673" s="1120"/>
      <c r="AI1673" s="1120"/>
      <c r="AJ1673" s="1120"/>
    </row>
    <row r="1674" spans="2:36" ht="30" customHeight="1" x14ac:dyDescent="0.25">
      <c r="B1674" s="5"/>
      <c r="C1674" s="5"/>
      <c r="D1674" s="5"/>
      <c r="E1674" s="5"/>
      <c r="F1674" s="5"/>
      <c r="G1674" s="5"/>
      <c r="H1674" s="5"/>
      <c r="I1674" s="5"/>
      <c r="J1674" s="5"/>
      <c r="L1674" s="277"/>
      <c r="M1674" s="5"/>
      <c r="R1674" s="5"/>
      <c r="S1674" s="5"/>
      <c r="T1674" s="1120"/>
      <c r="U1674" s="5"/>
      <c r="V1674" s="5"/>
      <c r="W1674" s="5"/>
      <c r="X1674" s="1120"/>
      <c r="Y1674" s="1120"/>
      <c r="Z1674" s="5"/>
      <c r="AA1674" s="5"/>
      <c r="AB1674" s="1135"/>
      <c r="AC1674" s="5"/>
      <c r="AD1674" s="5"/>
      <c r="AE1674" s="5"/>
      <c r="AF1674" s="1120"/>
      <c r="AG1674" s="1148"/>
      <c r="AH1674" s="1120"/>
      <c r="AI1674" s="1120"/>
      <c r="AJ1674" s="1120"/>
    </row>
    <row r="1675" spans="2:36" ht="30" customHeight="1" x14ac:dyDescent="0.25">
      <c r="B1675" s="5"/>
      <c r="C1675" s="5"/>
      <c r="D1675" s="5"/>
      <c r="E1675" s="5"/>
      <c r="F1675" s="5"/>
      <c r="G1675" s="5"/>
      <c r="H1675" s="5"/>
      <c r="I1675" s="5"/>
      <c r="J1675" s="5"/>
      <c r="L1675" s="277"/>
      <c r="M1675" s="5"/>
      <c r="R1675" s="5"/>
      <c r="S1675" s="5"/>
      <c r="T1675" s="1120"/>
      <c r="U1675" s="5"/>
      <c r="V1675" s="5"/>
      <c r="W1675" s="5"/>
      <c r="X1675" s="1120"/>
      <c r="Y1675" s="1120"/>
      <c r="Z1675" s="5"/>
      <c r="AA1675" s="5"/>
      <c r="AB1675" s="1135"/>
      <c r="AC1675" s="5"/>
      <c r="AD1675" s="5"/>
      <c r="AE1675" s="5"/>
      <c r="AF1675" s="1120"/>
      <c r="AG1675" s="1148"/>
      <c r="AH1675" s="1120"/>
      <c r="AI1675" s="1120"/>
      <c r="AJ1675" s="1120"/>
    </row>
    <row r="1676" spans="2:36" ht="30" customHeight="1" x14ac:dyDescent="0.25">
      <c r="B1676" s="5"/>
      <c r="C1676" s="5"/>
      <c r="D1676" s="5"/>
      <c r="E1676" s="5"/>
      <c r="F1676" s="5"/>
      <c r="G1676" s="5"/>
      <c r="H1676" s="5"/>
      <c r="I1676" s="5"/>
      <c r="J1676" s="5"/>
      <c r="L1676" s="277"/>
      <c r="M1676" s="5"/>
      <c r="R1676" s="5"/>
      <c r="S1676" s="5"/>
      <c r="T1676" s="1120"/>
      <c r="U1676" s="5"/>
      <c r="V1676" s="5"/>
      <c r="W1676" s="5"/>
      <c r="X1676" s="1120"/>
      <c r="Y1676" s="1120"/>
      <c r="Z1676" s="5"/>
      <c r="AA1676" s="5"/>
      <c r="AB1676" s="1135"/>
      <c r="AC1676" s="5"/>
      <c r="AD1676" s="5"/>
      <c r="AE1676" s="5"/>
      <c r="AF1676" s="1120"/>
      <c r="AG1676" s="1148"/>
      <c r="AH1676" s="1120"/>
      <c r="AI1676" s="1120"/>
      <c r="AJ1676" s="1120"/>
    </row>
    <row r="1677" spans="2:36" ht="30" customHeight="1" x14ac:dyDescent="0.25">
      <c r="B1677" s="5"/>
      <c r="C1677" s="5"/>
      <c r="D1677" s="5"/>
      <c r="E1677" s="5"/>
      <c r="F1677" s="5"/>
      <c r="G1677" s="5"/>
      <c r="H1677" s="5"/>
      <c r="I1677" s="5"/>
      <c r="J1677" s="5"/>
      <c r="L1677" s="277"/>
      <c r="M1677" s="5"/>
      <c r="R1677" s="5"/>
      <c r="S1677" s="5"/>
      <c r="T1677" s="1120"/>
      <c r="U1677" s="5"/>
      <c r="V1677" s="5"/>
      <c r="W1677" s="5"/>
      <c r="X1677" s="1120"/>
      <c r="Y1677" s="1120"/>
      <c r="Z1677" s="5"/>
      <c r="AA1677" s="5"/>
      <c r="AB1677" s="1135"/>
      <c r="AC1677" s="5"/>
      <c r="AD1677" s="5"/>
      <c r="AE1677" s="5"/>
      <c r="AF1677" s="1120"/>
      <c r="AG1677" s="1148"/>
      <c r="AH1677" s="1120"/>
      <c r="AI1677" s="1120"/>
      <c r="AJ1677" s="1120"/>
    </row>
    <row r="1678" spans="2:36" ht="30" customHeight="1" x14ac:dyDescent="0.25">
      <c r="B1678" s="5"/>
      <c r="C1678" s="5"/>
      <c r="D1678" s="5"/>
      <c r="E1678" s="5"/>
      <c r="F1678" s="5"/>
      <c r="G1678" s="5"/>
      <c r="H1678" s="5"/>
      <c r="I1678" s="5"/>
      <c r="J1678" s="5"/>
      <c r="L1678" s="277"/>
      <c r="M1678" s="5"/>
      <c r="R1678" s="5"/>
      <c r="S1678" s="5"/>
      <c r="T1678" s="1120"/>
      <c r="U1678" s="5"/>
      <c r="V1678" s="5"/>
      <c r="W1678" s="5"/>
      <c r="X1678" s="1120"/>
      <c r="Y1678" s="1120"/>
      <c r="Z1678" s="5"/>
      <c r="AA1678" s="5"/>
      <c r="AB1678" s="1135"/>
      <c r="AC1678" s="5"/>
      <c r="AD1678" s="5"/>
      <c r="AE1678" s="5"/>
      <c r="AF1678" s="1120"/>
      <c r="AG1678" s="1148"/>
      <c r="AH1678" s="1120"/>
      <c r="AI1678" s="1120"/>
      <c r="AJ1678" s="1120"/>
    </row>
    <row r="1679" spans="2:36" ht="30" customHeight="1" x14ac:dyDescent="0.25">
      <c r="B1679" s="5"/>
      <c r="C1679" s="5"/>
      <c r="D1679" s="5"/>
      <c r="E1679" s="5"/>
      <c r="F1679" s="5"/>
      <c r="G1679" s="5"/>
      <c r="H1679" s="5"/>
      <c r="I1679" s="5"/>
      <c r="J1679" s="5"/>
      <c r="L1679" s="277"/>
      <c r="M1679" s="5"/>
      <c r="R1679" s="5"/>
      <c r="S1679" s="5"/>
      <c r="T1679" s="1120"/>
      <c r="U1679" s="5"/>
      <c r="V1679" s="5"/>
      <c r="W1679" s="5"/>
      <c r="X1679" s="1120"/>
      <c r="Y1679" s="1120"/>
      <c r="Z1679" s="5"/>
      <c r="AA1679" s="5"/>
      <c r="AB1679" s="1135"/>
      <c r="AC1679" s="5"/>
      <c r="AD1679" s="5"/>
      <c r="AE1679" s="5"/>
      <c r="AF1679" s="1120"/>
      <c r="AG1679" s="1148"/>
      <c r="AH1679" s="1120"/>
      <c r="AI1679" s="1120"/>
      <c r="AJ1679" s="1120"/>
    </row>
    <row r="1680" spans="2:36" ht="30" customHeight="1" x14ac:dyDescent="0.25">
      <c r="B1680" s="5"/>
      <c r="C1680" s="5"/>
      <c r="D1680" s="5"/>
      <c r="E1680" s="5"/>
      <c r="F1680" s="5"/>
      <c r="G1680" s="5"/>
      <c r="H1680" s="5"/>
      <c r="I1680" s="5"/>
      <c r="J1680" s="5"/>
      <c r="L1680" s="277"/>
      <c r="M1680" s="5"/>
      <c r="R1680" s="5"/>
      <c r="S1680" s="5"/>
      <c r="T1680" s="1120"/>
      <c r="U1680" s="5"/>
      <c r="V1680" s="5"/>
      <c r="W1680" s="5"/>
      <c r="X1680" s="1120"/>
      <c r="Y1680" s="1120"/>
      <c r="Z1680" s="5"/>
      <c r="AA1680" s="5"/>
      <c r="AB1680" s="1135"/>
      <c r="AC1680" s="5"/>
      <c r="AD1680" s="5"/>
      <c r="AE1680" s="5"/>
      <c r="AF1680" s="1120"/>
      <c r="AG1680" s="1148"/>
      <c r="AH1680" s="1120"/>
      <c r="AI1680" s="1120"/>
      <c r="AJ1680" s="1120"/>
    </row>
    <row r="1681" spans="2:36" ht="30" customHeight="1" x14ac:dyDescent="0.25">
      <c r="B1681" s="5"/>
      <c r="C1681" s="5"/>
      <c r="D1681" s="5"/>
      <c r="E1681" s="5"/>
      <c r="F1681" s="5"/>
      <c r="G1681" s="5"/>
      <c r="H1681" s="5"/>
      <c r="I1681" s="5"/>
      <c r="J1681" s="5"/>
      <c r="L1681" s="277"/>
      <c r="M1681" s="5"/>
      <c r="R1681" s="5"/>
      <c r="S1681" s="5"/>
      <c r="T1681" s="1120"/>
      <c r="U1681" s="5"/>
      <c r="V1681" s="5"/>
      <c r="W1681" s="5"/>
      <c r="X1681" s="1120"/>
      <c r="Y1681" s="1120"/>
      <c r="Z1681" s="5"/>
      <c r="AA1681" s="5"/>
      <c r="AB1681" s="1135"/>
      <c r="AC1681" s="5"/>
      <c r="AD1681" s="5"/>
      <c r="AE1681" s="5"/>
      <c r="AF1681" s="1120"/>
      <c r="AG1681" s="1148"/>
      <c r="AH1681" s="1120"/>
      <c r="AI1681" s="1120"/>
      <c r="AJ1681" s="1120"/>
    </row>
    <row r="1682" spans="2:36" ht="30" customHeight="1" x14ac:dyDescent="0.25">
      <c r="B1682" s="5"/>
      <c r="C1682" s="5"/>
      <c r="D1682" s="5"/>
      <c r="E1682" s="5"/>
      <c r="F1682" s="5"/>
      <c r="G1682" s="5"/>
      <c r="H1682" s="5"/>
      <c r="I1682" s="5"/>
      <c r="J1682" s="5"/>
      <c r="L1682" s="277"/>
      <c r="M1682" s="5"/>
      <c r="R1682" s="5"/>
      <c r="S1682" s="5"/>
      <c r="T1682" s="1120"/>
      <c r="U1682" s="5"/>
      <c r="V1682" s="5"/>
      <c r="W1682" s="5"/>
      <c r="X1682" s="1120"/>
      <c r="Y1682" s="1120"/>
      <c r="Z1682" s="5"/>
      <c r="AA1682" s="5"/>
      <c r="AB1682" s="1135"/>
      <c r="AC1682" s="5"/>
      <c r="AD1682" s="5"/>
      <c r="AE1682" s="5"/>
      <c r="AF1682" s="1120"/>
      <c r="AG1682" s="1148"/>
      <c r="AH1682" s="1120"/>
      <c r="AI1682" s="1120"/>
      <c r="AJ1682" s="1120"/>
    </row>
    <row r="1683" spans="2:36" ht="30" customHeight="1" x14ac:dyDescent="0.25">
      <c r="B1683" s="5"/>
      <c r="C1683" s="5"/>
      <c r="D1683" s="5"/>
      <c r="E1683" s="5"/>
      <c r="F1683" s="5"/>
      <c r="G1683" s="5"/>
      <c r="H1683" s="5"/>
      <c r="I1683" s="5"/>
      <c r="J1683" s="5"/>
      <c r="L1683" s="277"/>
      <c r="M1683" s="5"/>
      <c r="R1683" s="5"/>
      <c r="S1683" s="5"/>
      <c r="T1683" s="1120"/>
      <c r="U1683" s="5"/>
      <c r="V1683" s="5"/>
      <c r="W1683" s="5"/>
      <c r="X1683" s="1120"/>
      <c r="Y1683" s="1120"/>
      <c r="Z1683" s="5"/>
      <c r="AA1683" s="5"/>
      <c r="AB1683" s="1135"/>
      <c r="AC1683" s="5"/>
      <c r="AD1683" s="5"/>
      <c r="AE1683" s="5"/>
      <c r="AF1683" s="1120"/>
      <c r="AG1683" s="1148"/>
      <c r="AH1683" s="1120"/>
      <c r="AI1683" s="1120"/>
      <c r="AJ1683" s="1120"/>
    </row>
    <row r="1684" spans="2:36" ht="30" customHeight="1" x14ac:dyDescent="0.25">
      <c r="B1684" s="5"/>
      <c r="C1684" s="5"/>
      <c r="D1684" s="5"/>
      <c r="E1684" s="5"/>
      <c r="F1684" s="5"/>
      <c r="G1684" s="5"/>
      <c r="H1684" s="5"/>
      <c r="I1684" s="5"/>
      <c r="J1684" s="5"/>
      <c r="L1684" s="277"/>
      <c r="M1684" s="5"/>
      <c r="R1684" s="5"/>
      <c r="S1684" s="5"/>
      <c r="T1684" s="1120"/>
      <c r="U1684" s="5"/>
      <c r="V1684" s="5"/>
      <c r="W1684" s="5"/>
      <c r="X1684" s="1120"/>
      <c r="Y1684" s="1120"/>
      <c r="Z1684" s="5"/>
      <c r="AA1684" s="5"/>
      <c r="AB1684" s="1135"/>
      <c r="AC1684" s="5"/>
      <c r="AD1684" s="5"/>
      <c r="AE1684" s="5"/>
      <c r="AF1684" s="1120"/>
      <c r="AG1684" s="1148"/>
      <c r="AH1684" s="1120"/>
      <c r="AI1684" s="1120"/>
      <c r="AJ1684" s="1120"/>
    </row>
    <row r="1685" spans="2:36" ht="30" customHeight="1" x14ac:dyDescent="0.25">
      <c r="B1685" s="5"/>
      <c r="C1685" s="5"/>
      <c r="D1685" s="5"/>
      <c r="E1685" s="5"/>
      <c r="F1685" s="5"/>
      <c r="G1685" s="5"/>
      <c r="H1685" s="5"/>
      <c r="I1685" s="5"/>
      <c r="J1685" s="5"/>
      <c r="L1685" s="277"/>
      <c r="M1685" s="5"/>
      <c r="R1685" s="5"/>
      <c r="S1685" s="5"/>
      <c r="T1685" s="1120"/>
      <c r="U1685" s="5"/>
      <c r="V1685" s="5"/>
      <c r="W1685" s="5"/>
      <c r="X1685" s="1120"/>
      <c r="Y1685" s="1120"/>
      <c r="Z1685" s="5"/>
      <c r="AA1685" s="5"/>
      <c r="AB1685" s="1135"/>
      <c r="AC1685" s="5"/>
      <c r="AD1685" s="5"/>
      <c r="AE1685" s="5"/>
      <c r="AF1685" s="1120"/>
      <c r="AG1685" s="1148"/>
      <c r="AH1685" s="1120"/>
      <c r="AI1685" s="1120"/>
      <c r="AJ1685" s="1120"/>
    </row>
    <row r="1686" spans="2:36" ht="30" customHeight="1" x14ac:dyDescent="0.25">
      <c r="B1686" s="5"/>
      <c r="C1686" s="5"/>
      <c r="D1686" s="5"/>
      <c r="E1686" s="5"/>
      <c r="F1686" s="5"/>
      <c r="G1686" s="5"/>
      <c r="H1686" s="5"/>
      <c r="I1686" s="5"/>
      <c r="J1686" s="5"/>
      <c r="L1686" s="277"/>
      <c r="M1686" s="5"/>
      <c r="R1686" s="5"/>
      <c r="S1686" s="5"/>
      <c r="T1686" s="1120"/>
      <c r="U1686" s="5"/>
      <c r="V1686" s="5"/>
      <c r="W1686" s="5"/>
      <c r="X1686" s="1120"/>
      <c r="Y1686" s="1120"/>
      <c r="Z1686" s="5"/>
      <c r="AA1686" s="5"/>
      <c r="AB1686" s="1135"/>
      <c r="AC1686" s="5"/>
      <c r="AD1686" s="5"/>
      <c r="AE1686" s="5"/>
      <c r="AF1686" s="1120"/>
      <c r="AG1686" s="1148"/>
      <c r="AH1686" s="1120"/>
      <c r="AI1686" s="1120"/>
      <c r="AJ1686" s="1120"/>
    </row>
    <row r="1687" spans="2:36" ht="30" customHeight="1" x14ac:dyDescent="0.25">
      <c r="B1687" s="5"/>
      <c r="C1687" s="5"/>
      <c r="D1687" s="5"/>
      <c r="E1687" s="5"/>
      <c r="F1687" s="5"/>
      <c r="G1687" s="5"/>
      <c r="H1687" s="5"/>
      <c r="I1687" s="5"/>
      <c r="J1687" s="5"/>
      <c r="L1687" s="277"/>
      <c r="M1687" s="5"/>
      <c r="R1687" s="5"/>
      <c r="S1687" s="5"/>
      <c r="T1687" s="1120"/>
      <c r="U1687" s="5"/>
      <c r="V1687" s="5"/>
      <c r="W1687" s="5"/>
      <c r="X1687" s="1120"/>
      <c r="Y1687" s="1120"/>
      <c r="Z1687" s="5"/>
      <c r="AA1687" s="5"/>
      <c r="AB1687" s="1135"/>
      <c r="AC1687" s="5"/>
      <c r="AD1687" s="5"/>
      <c r="AE1687" s="5"/>
      <c r="AF1687" s="1120"/>
      <c r="AG1687" s="1148"/>
      <c r="AH1687" s="1120"/>
      <c r="AI1687" s="1120"/>
      <c r="AJ1687" s="1120"/>
    </row>
    <row r="1688" spans="2:36" ht="30" customHeight="1" x14ac:dyDescent="0.25">
      <c r="B1688" s="5"/>
      <c r="C1688" s="5"/>
      <c r="D1688" s="5"/>
      <c r="E1688" s="5"/>
      <c r="F1688" s="5"/>
      <c r="G1688" s="5"/>
      <c r="H1688" s="5"/>
      <c r="I1688" s="5"/>
      <c r="J1688" s="5"/>
      <c r="L1688" s="277"/>
      <c r="M1688" s="5"/>
      <c r="R1688" s="5"/>
      <c r="S1688" s="5"/>
      <c r="T1688" s="1120"/>
      <c r="U1688" s="5"/>
      <c r="V1688" s="5"/>
      <c r="W1688" s="5"/>
      <c r="X1688" s="1120"/>
      <c r="Y1688" s="1120"/>
      <c r="Z1688" s="5"/>
      <c r="AA1688" s="5"/>
      <c r="AB1688" s="1135"/>
      <c r="AC1688" s="5"/>
      <c r="AD1688" s="5"/>
      <c r="AE1688" s="5"/>
      <c r="AF1688" s="1120"/>
      <c r="AG1688" s="1148"/>
      <c r="AH1688" s="1120"/>
      <c r="AI1688" s="1120"/>
      <c r="AJ1688" s="1120"/>
    </row>
    <row r="1689" spans="2:36" ht="30" customHeight="1" x14ac:dyDescent="0.25">
      <c r="B1689" s="5"/>
      <c r="C1689" s="5"/>
      <c r="D1689" s="5"/>
      <c r="E1689" s="5"/>
      <c r="F1689" s="5"/>
      <c r="G1689" s="5"/>
      <c r="H1689" s="5"/>
      <c r="I1689" s="5"/>
      <c r="J1689" s="5"/>
      <c r="L1689" s="277"/>
      <c r="M1689" s="5"/>
      <c r="R1689" s="5"/>
      <c r="S1689" s="5"/>
      <c r="T1689" s="1120"/>
      <c r="U1689" s="5"/>
      <c r="V1689" s="5"/>
      <c r="W1689" s="5"/>
      <c r="X1689" s="1120"/>
      <c r="Y1689" s="1120"/>
      <c r="Z1689" s="5"/>
      <c r="AA1689" s="5"/>
      <c r="AB1689" s="1135"/>
      <c r="AC1689" s="5"/>
      <c r="AD1689" s="5"/>
      <c r="AE1689" s="5"/>
      <c r="AF1689" s="1120"/>
      <c r="AG1689" s="1148"/>
      <c r="AH1689" s="1120"/>
      <c r="AI1689" s="1120"/>
      <c r="AJ1689" s="1120"/>
    </row>
    <row r="1690" spans="2:36" ht="30" customHeight="1" x14ac:dyDescent="0.25">
      <c r="B1690" s="5"/>
      <c r="C1690" s="5"/>
      <c r="D1690" s="5"/>
      <c r="E1690" s="5"/>
      <c r="F1690" s="5"/>
      <c r="G1690" s="5"/>
      <c r="H1690" s="5"/>
      <c r="I1690" s="5"/>
      <c r="J1690" s="5"/>
      <c r="L1690" s="277"/>
      <c r="M1690" s="5"/>
      <c r="R1690" s="5"/>
      <c r="S1690" s="5"/>
      <c r="T1690" s="1120"/>
      <c r="U1690" s="5"/>
      <c r="V1690" s="5"/>
      <c r="W1690" s="5"/>
      <c r="X1690" s="1120"/>
      <c r="Y1690" s="1120"/>
      <c r="Z1690" s="5"/>
      <c r="AA1690" s="5"/>
      <c r="AB1690" s="1135"/>
      <c r="AC1690" s="5"/>
      <c r="AD1690" s="5"/>
      <c r="AE1690" s="5"/>
      <c r="AF1690" s="1120"/>
      <c r="AG1690" s="1148"/>
      <c r="AH1690" s="1120"/>
      <c r="AI1690" s="1120"/>
      <c r="AJ1690" s="1120"/>
    </row>
    <row r="1691" spans="2:36" ht="30" customHeight="1" x14ac:dyDescent="0.25">
      <c r="B1691" s="5"/>
      <c r="C1691" s="5"/>
      <c r="D1691" s="5"/>
      <c r="E1691" s="5"/>
      <c r="F1691" s="5"/>
      <c r="G1691" s="5"/>
      <c r="H1691" s="5"/>
      <c r="I1691" s="5"/>
      <c r="J1691" s="5"/>
      <c r="L1691" s="277"/>
      <c r="M1691" s="5"/>
      <c r="R1691" s="5"/>
      <c r="S1691" s="5"/>
      <c r="T1691" s="1120"/>
      <c r="U1691" s="5"/>
      <c r="V1691" s="5"/>
      <c r="W1691" s="5"/>
      <c r="X1691" s="1120"/>
      <c r="Y1691" s="1120"/>
      <c r="Z1691" s="5"/>
      <c r="AA1691" s="5"/>
      <c r="AB1691" s="1135"/>
      <c r="AC1691" s="5"/>
      <c r="AD1691" s="5"/>
      <c r="AE1691" s="5"/>
      <c r="AF1691" s="1120"/>
      <c r="AG1691" s="1148"/>
      <c r="AH1691" s="1120"/>
      <c r="AI1691" s="1120"/>
      <c r="AJ1691" s="1120"/>
    </row>
    <row r="1692" spans="2:36" ht="30" customHeight="1" x14ac:dyDescent="0.25">
      <c r="B1692" s="5"/>
      <c r="C1692" s="5"/>
      <c r="D1692" s="5"/>
      <c r="E1692" s="5"/>
      <c r="F1692" s="5"/>
      <c r="G1692" s="5"/>
      <c r="H1692" s="5"/>
      <c r="I1692" s="5"/>
      <c r="J1692" s="5"/>
      <c r="L1692" s="277"/>
      <c r="M1692" s="5"/>
      <c r="R1692" s="5"/>
      <c r="S1692" s="5"/>
      <c r="T1692" s="1120"/>
      <c r="U1692" s="5"/>
      <c r="V1692" s="5"/>
      <c r="W1692" s="5"/>
      <c r="X1692" s="1120"/>
      <c r="Y1692" s="1120"/>
      <c r="Z1692" s="5"/>
      <c r="AA1692" s="5"/>
      <c r="AB1692" s="1135"/>
      <c r="AC1692" s="5"/>
      <c r="AD1692" s="5"/>
      <c r="AE1692" s="5"/>
      <c r="AF1692" s="1120"/>
      <c r="AG1692" s="1148"/>
      <c r="AH1692" s="1120"/>
      <c r="AI1692" s="1120"/>
      <c r="AJ1692" s="1120"/>
    </row>
    <row r="1693" spans="2:36" ht="30" customHeight="1" x14ac:dyDescent="0.25">
      <c r="B1693" s="5"/>
      <c r="C1693" s="5"/>
      <c r="D1693" s="5"/>
      <c r="E1693" s="5"/>
      <c r="F1693" s="5"/>
      <c r="G1693" s="5"/>
      <c r="H1693" s="5"/>
      <c r="I1693" s="5"/>
      <c r="J1693" s="5"/>
      <c r="L1693" s="277"/>
      <c r="M1693" s="5"/>
      <c r="R1693" s="5"/>
      <c r="S1693" s="5"/>
      <c r="T1693" s="1120"/>
      <c r="U1693" s="5"/>
      <c r="V1693" s="5"/>
      <c r="W1693" s="5"/>
      <c r="X1693" s="1120"/>
      <c r="Y1693" s="1120"/>
      <c r="Z1693" s="5"/>
      <c r="AA1693" s="5"/>
      <c r="AB1693" s="1135"/>
      <c r="AC1693" s="5"/>
      <c r="AD1693" s="5"/>
      <c r="AE1693" s="5"/>
      <c r="AF1693" s="1120"/>
      <c r="AG1693" s="1148"/>
      <c r="AH1693" s="1120"/>
      <c r="AI1693" s="1120"/>
      <c r="AJ1693" s="1120"/>
    </row>
    <row r="1694" spans="2:36" ht="30" customHeight="1" x14ac:dyDescent="0.25">
      <c r="B1694" s="5"/>
      <c r="C1694" s="5"/>
      <c r="D1694" s="5"/>
      <c r="E1694" s="5"/>
      <c r="F1694" s="5"/>
      <c r="G1694" s="5"/>
      <c r="H1694" s="5"/>
      <c r="I1694" s="5"/>
      <c r="J1694" s="5"/>
      <c r="L1694" s="277"/>
      <c r="M1694" s="5"/>
      <c r="R1694" s="5"/>
      <c r="S1694" s="5"/>
      <c r="T1694" s="1120"/>
      <c r="U1694" s="5"/>
      <c r="V1694" s="5"/>
      <c r="W1694" s="5"/>
      <c r="X1694" s="1120"/>
      <c r="Y1694" s="1120"/>
      <c r="Z1694" s="5"/>
      <c r="AA1694" s="5"/>
      <c r="AB1694" s="1135"/>
      <c r="AC1694" s="5"/>
      <c r="AD1694" s="5"/>
      <c r="AE1694" s="5"/>
      <c r="AF1694" s="1120"/>
      <c r="AG1694" s="1148"/>
      <c r="AH1694" s="1120"/>
      <c r="AI1694" s="1120"/>
      <c r="AJ1694" s="1120"/>
    </row>
    <row r="1695" spans="2:36" ht="30" customHeight="1" x14ac:dyDescent="0.25">
      <c r="B1695" s="5"/>
      <c r="C1695" s="5"/>
      <c r="D1695" s="5"/>
      <c r="E1695" s="5"/>
      <c r="F1695" s="5"/>
      <c r="G1695" s="5"/>
      <c r="H1695" s="5"/>
      <c r="I1695" s="5"/>
      <c r="J1695" s="5"/>
      <c r="L1695" s="277"/>
      <c r="M1695" s="5"/>
      <c r="R1695" s="5"/>
      <c r="S1695" s="5"/>
      <c r="T1695" s="1120"/>
      <c r="U1695" s="5"/>
      <c r="V1695" s="5"/>
      <c r="W1695" s="5"/>
      <c r="X1695" s="1120"/>
      <c r="Y1695" s="1120"/>
      <c r="Z1695" s="5"/>
      <c r="AA1695" s="5"/>
      <c r="AB1695" s="1135"/>
      <c r="AC1695" s="5"/>
      <c r="AD1695" s="5"/>
      <c r="AE1695" s="5"/>
      <c r="AF1695" s="1120"/>
      <c r="AG1695" s="1148"/>
      <c r="AH1695" s="1120"/>
      <c r="AI1695" s="1120"/>
      <c r="AJ1695" s="1120"/>
    </row>
    <row r="1696" spans="2:36" ht="30" customHeight="1" x14ac:dyDescent="0.25">
      <c r="B1696" s="5"/>
      <c r="C1696" s="5"/>
      <c r="D1696" s="5"/>
      <c r="E1696" s="5"/>
      <c r="F1696" s="5"/>
      <c r="G1696" s="5"/>
      <c r="H1696" s="5"/>
      <c r="I1696" s="5"/>
      <c r="J1696" s="5"/>
      <c r="L1696" s="277"/>
      <c r="M1696" s="5"/>
      <c r="R1696" s="5"/>
      <c r="S1696" s="5"/>
      <c r="T1696" s="1120"/>
      <c r="U1696" s="5"/>
      <c r="V1696" s="5"/>
      <c r="W1696" s="5"/>
      <c r="X1696" s="1120"/>
      <c r="Y1696" s="1120"/>
      <c r="Z1696" s="5"/>
      <c r="AA1696" s="5"/>
      <c r="AB1696" s="1135"/>
      <c r="AC1696" s="5"/>
      <c r="AD1696" s="5"/>
      <c r="AE1696" s="5"/>
      <c r="AF1696" s="1120"/>
      <c r="AG1696" s="1148"/>
      <c r="AH1696" s="1120"/>
      <c r="AI1696" s="1120"/>
      <c r="AJ1696" s="1120"/>
    </row>
    <row r="1697" spans="2:36" ht="30" customHeight="1" x14ac:dyDescent="0.25">
      <c r="B1697" s="5"/>
      <c r="C1697" s="5"/>
      <c r="D1697" s="5"/>
      <c r="E1697" s="5"/>
      <c r="F1697" s="5"/>
      <c r="G1697" s="5"/>
      <c r="H1697" s="5"/>
      <c r="I1697" s="5"/>
      <c r="J1697" s="5"/>
      <c r="L1697" s="277"/>
      <c r="M1697" s="5"/>
      <c r="R1697" s="5"/>
      <c r="S1697" s="5"/>
      <c r="T1697" s="1120"/>
      <c r="U1697" s="5"/>
      <c r="V1697" s="5"/>
      <c r="W1697" s="5"/>
      <c r="X1697" s="1120"/>
      <c r="Y1697" s="1120"/>
      <c r="Z1697" s="5"/>
      <c r="AA1697" s="5"/>
      <c r="AB1697" s="1135"/>
      <c r="AC1697" s="5"/>
      <c r="AD1697" s="5"/>
      <c r="AE1697" s="5"/>
      <c r="AF1697" s="1120"/>
      <c r="AG1697" s="1148"/>
      <c r="AH1697" s="1120"/>
      <c r="AI1697" s="1120"/>
      <c r="AJ1697" s="1120"/>
    </row>
    <row r="1698" spans="2:36" ht="30" customHeight="1" x14ac:dyDescent="0.25">
      <c r="B1698" s="5"/>
      <c r="C1698" s="5"/>
      <c r="D1698" s="5"/>
      <c r="E1698" s="5"/>
      <c r="F1698" s="5"/>
      <c r="G1698" s="5"/>
      <c r="H1698" s="5"/>
      <c r="I1698" s="5"/>
      <c r="J1698" s="5"/>
      <c r="L1698" s="277"/>
      <c r="M1698" s="5"/>
      <c r="R1698" s="5"/>
      <c r="S1698" s="5"/>
      <c r="T1698" s="1120"/>
      <c r="U1698" s="5"/>
      <c r="V1698" s="5"/>
      <c r="W1698" s="5"/>
      <c r="X1698" s="1120"/>
      <c r="Y1698" s="1120"/>
      <c r="Z1698" s="5"/>
      <c r="AA1698" s="5"/>
      <c r="AB1698" s="1135"/>
      <c r="AC1698" s="5"/>
      <c r="AD1698" s="5"/>
      <c r="AE1698" s="5"/>
      <c r="AF1698" s="1120"/>
      <c r="AG1698" s="1148"/>
      <c r="AH1698" s="1120"/>
      <c r="AI1698" s="1120"/>
      <c r="AJ1698" s="1120"/>
    </row>
    <row r="1699" spans="2:36" ht="30" customHeight="1" x14ac:dyDescent="0.25">
      <c r="B1699" s="5"/>
      <c r="C1699" s="5"/>
      <c r="D1699" s="5"/>
      <c r="E1699" s="5"/>
      <c r="F1699" s="5"/>
      <c r="G1699" s="5"/>
      <c r="H1699" s="5"/>
      <c r="I1699" s="5"/>
      <c r="J1699" s="5"/>
      <c r="L1699" s="277"/>
      <c r="M1699" s="5"/>
      <c r="R1699" s="5"/>
      <c r="S1699" s="5"/>
      <c r="T1699" s="1120"/>
      <c r="U1699" s="5"/>
      <c r="V1699" s="5"/>
      <c r="W1699" s="5"/>
      <c r="X1699" s="1120"/>
      <c r="Y1699" s="1120"/>
      <c r="Z1699" s="5"/>
      <c r="AA1699" s="5"/>
      <c r="AB1699" s="1135"/>
      <c r="AC1699" s="5"/>
      <c r="AD1699" s="5"/>
      <c r="AE1699" s="5"/>
      <c r="AF1699" s="1120"/>
      <c r="AG1699" s="1148"/>
      <c r="AH1699" s="1120"/>
      <c r="AI1699" s="1120"/>
      <c r="AJ1699" s="1120"/>
    </row>
    <row r="1700" spans="2:36" ht="30" customHeight="1" x14ac:dyDescent="0.25">
      <c r="B1700" s="5"/>
      <c r="C1700" s="5"/>
      <c r="D1700" s="5"/>
      <c r="E1700" s="5"/>
      <c r="F1700" s="5"/>
      <c r="G1700" s="5"/>
      <c r="H1700" s="5"/>
      <c r="I1700" s="5"/>
      <c r="J1700" s="5"/>
      <c r="L1700" s="277"/>
      <c r="M1700" s="5"/>
      <c r="R1700" s="5"/>
      <c r="S1700" s="5"/>
      <c r="T1700" s="1120"/>
      <c r="U1700" s="5"/>
      <c r="V1700" s="5"/>
      <c r="W1700" s="5"/>
      <c r="X1700" s="1120"/>
      <c r="Y1700" s="1120"/>
      <c r="Z1700" s="5"/>
      <c r="AA1700" s="5"/>
      <c r="AB1700" s="1135"/>
      <c r="AC1700" s="5"/>
      <c r="AD1700" s="5"/>
      <c r="AE1700" s="5"/>
      <c r="AF1700" s="1120"/>
      <c r="AG1700" s="1148"/>
      <c r="AH1700" s="1120"/>
      <c r="AI1700" s="1120"/>
      <c r="AJ1700" s="1120"/>
    </row>
    <row r="1701" spans="2:36" ht="30" customHeight="1" x14ac:dyDescent="0.25">
      <c r="B1701" s="5"/>
      <c r="C1701" s="5"/>
      <c r="D1701" s="5"/>
      <c r="E1701" s="5"/>
      <c r="F1701" s="5"/>
      <c r="G1701" s="5"/>
      <c r="H1701" s="5"/>
      <c r="I1701" s="5"/>
      <c r="J1701" s="5"/>
      <c r="L1701" s="277"/>
      <c r="M1701" s="5"/>
      <c r="R1701" s="5"/>
      <c r="S1701" s="5"/>
      <c r="T1701" s="1120"/>
      <c r="U1701" s="5"/>
      <c r="V1701" s="5"/>
      <c r="W1701" s="5"/>
      <c r="X1701" s="1120"/>
      <c r="Y1701" s="1120"/>
      <c r="Z1701" s="5"/>
      <c r="AA1701" s="5"/>
      <c r="AB1701" s="1135"/>
      <c r="AC1701" s="5"/>
      <c r="AD1701" s="5"/>
      <c r="AE1701" s="5"/>
      <c r="AF1701" s="1120"/>
      <c r="AG1701" s="1148"/>
      <c r="AH1701" s="1120"/>
      <c r="AI1701" s="1120"/>
      <c r="AJ1701" s="1120"/>
    </row>
    <row r="1702" spans="2:36" ht="30" customHeight="1" x14ac:dyDescent="0.25">
      <c r="B1702" s="5"/>
      <c r="C1702" s="5"/>
      <c r="D1702" s="5"/>
      <c r="E1702" s="5"/>
      <c r="F1702" s="5"/>
      <c r="G1702" s="5"/>
      <c r="H1702" s="5"/>
      <c r="I1702" s="5"/>
      <c r="J1702" s="5"/>
      <c r="L1702" s="277"/>
      <c r="M1702" s="5"/>
      <c r="R1702" s="5"/>
      <c r="S1702" s="5"/>
      <c r="T1702" s="1120"/>
      <c r="U1702" s="5"/>
      <c r="V1702" s="5"/>
      <c r="W1702" s="5"/>
      <c r="X1702" s="1120"/>
      <c r="Y1702" s="1120"/>
      <c r="Z1702" s="5"/>
      <c r="AA1702" s="5"/>
      <c r="AB1702" s="1135"/>
      <c r="AC1702" s="5"/>
      <c r="AD1702" s="5"/>
      <c r="AE1702" s="5"/>
      <c r="AF1702" s="1120"/>
      <c r="AG1702" s="1148"/>
      <c r="AH1702" s="1120"/>
      <c r="AI1702" s="1120"/>
      <c r="AJ1702" s="1120"/>
    </row>
    <row r="1703" spans="2:36" ht="30" customHeight="1" x14ac:dyDescent="0.25">
      <c r="B1703" s="5"/>
      <c r="C1703" s="5"/>
      <c r="D1703" s="5"/>
      <c r="E1703" s="5"/>
      <c r="F1703" s="5"/>
      <c r="G1703" s="5"/>
      <c r="H1703" s="5"/>
      <c r="I1703" s="5"/>
      <c r="J1703" s="5"/>
      <c r="L1703" s="277"/>
      <c r="M1703" s="5"/>
      <c r="R1703" s="5"/>
      <c r="S1703" s="5"/>
      <c r="T1703" s="1120"/>
      <c r="U1703" s="5"/>
      <c r="V1703" s="5"/>
      <c r="W1703" s="5"/>
      <c r="X1703" s="1120"/>
      <c r="Y1703" s="1120"/>
      <c r="Z1703" s="5"/>
      <c r="AA1703" s="5"/>
      <c r="AB1703" s="1135"/>
      <c r="AC1703" s="5"/>
      <c r="AD1703" s="5"/>
      <c r="AE1703" s="5"/>
      <c r="AF1703" s="1120"/>
      <c r="AG1703" s="1148"/>
      <c r="AH1703" s="1120"/>
      <c r="AI1703" s="1120"/>
      <c r="AJ1703" s="1120"/>
    </row>
    <row r="1704" spans="2:36" ht="30" customHeight="1" x14ac:dyDescent="0.25">
      <c r="B1704" s="5"/>
      <c r="C1704" s="5"/>
      <c r="D1704" s="5"/>
      <c r="E1704" s="5"/>
      <c r="F1704" s="5"/>
      <c r="G1704" s="5"/>
      <c r="H1704" s="5"/>
      <c r="I1704" s="5"/>
      <c r="J1704" s="5"/>
      <c r="L1704" s="277"/>
      <c r="M1704" s="5"/>
      <c r="R1704" s="5"/>
      <c r="S1704" s="5"/>
      <c r="T1704" s="1120"/>
      <c r="U1704" s="5"/>
      <c r="V1704" s="5"/>
      <c r="W1704" s="5"/>
      <c r="X1704" s="1120"/>
      <c r="Y1704" s="1120"/>
      <c r="Z1704" s="5"/>
      <c r="AA1704" s="5"/>
      <c r="AB1704" s="1135"/>
      <c r="AC1704" s="5"/>
      <c r="AD1704" s="5"/>
      <c r="AE1704" s="5"/>
      <c r="AF1704" s="1120"/>
      <c r="AG1704" s="1148"/>
      <c r="AH1704" s="1120"/>
      <c r="AI1704" s="1120"/>
      <c r="AJ1704" s="1120"/>
    </row>
    <row r="1705" spans="2:36" ht="30" customHeight="1" x14ac:dyDescent="0.25">
      <c r="B1705" s="5"/>
      <c r="C1705" s="5"/>
      <c r="D1705" s="5"/>
      <c r="E1705" s="5"/>
      <c r="F1705" s="5"/>
      <c r="G1705" s="5"/>
      <c r="H1705" s="5"/>
      <c r="I1705" s="5"/>
      <c r="J1705" s="5"/>
      <c r="L1705" s="277"/>
      <c r="M1705" s="5"/>
      <c r="R1705" s="5"/>
      <c r="S1705" s="5"/>
      <c r="T1705" s="1120"/>
      <c r="U1705" s="5"/>
      <c r="V1705" s="5"/>
      <c r="W1705" s="5"/>
      <c r="X1705" s="1120"/>
      <c r="Y1705" s="1120"/>
      <c r="Z1705" s="5"/>
      <c r="AA1705" s="5"/>
      <c r="AB1705" s="1135"/>
      <c r="AC1705" s="5"/>
      <c r="AD1705" s="5"/>
      <c r="AE1705" s="5"/>
      <c r="AF1705" s="1120"/>
      <c r="AG1705" s="1148"/>
      <c r="AH1705" s="1120"/>
      <c r="AI1705" s="1120"/>
      <c r="AJ1705" s="1120"/>
    </row>
    <row r="1706" spans="2:36" ht="30" customHeight="1" x14ac:dyDescent="0.25">
      <c r="B1706" s="5"/>
      <c r="C1706" s="5"/>
      <c r="D1706" s="5"/>
      <c r="E1706" s="5"/>
      <c r="F1706" s="5"/>
      <c r="G1706" s="5"/>
      <c r="H1706" s="5"/>
      <c r="I1706" s="5"/>
      <c r="J1706" s="5"/>
      <c r="L1706" s="277"/>
      <c r="M1706" s="5"/>
      <c r="R1706" s="5"/>
      <c r="S1706" s="5"/>
      <c r="T1706" s="1120"/>
      <c r="U1706" s="5"/>
      <c r="V1706" s="5"/>
      <c r="W1706" s="5"/>
      <c r="X1706" s="1120"/>
      <c r="Y1706" s="1120"/>
      <c r="Z1706" s="5"/>
      <c r="AA1706" s="5"/>
      <c r="AB1706" s="1135"/>
      <c r="AC1706" s="5"/>
      <c r="AD1706" s="5"/>
      <c r="AE1706" s="5"/>
      <c r="AF1706" s="1120"/>
      <c r="AG1706" s="1148"/>
      <c r="AH1706" s="1120"/>
      <c r="AI1706" s="1120"/>
      <c r="AJ1706" s="1120"/>
    </row>
    <row r="1707" spans="2:36" ht="30" customHeight="1" x14ac:dyDescent="0.25">
      <c r="B1707" s="5"/>
      <c r="C1707" s="5"/>
      <c r="D1707" s="5"/>
      <c r="E1707" s="5"/>
      <c r="F1707" s="5"/>
      <c r="G1707" s="5"/>
      <c r="H1707" s="5"/>
      <c r="I1707" s="5"/>
      <c r="J1707" s="5"/>
      <c r="L1707" s="277"/>
      <c r="M1707" s="5"/>
      <c r="R1707" s="5"/>
      <c r="S1707" s="5"/>
      <c r="T1707" s="1120"/>
      <c r="U1707" s="5"/>
      <c r="V1707" s="5"/>
      <c r="W1707" s="5"/>
      <c r="X1707" s="1120"/>
      <c r="Y1707" s="1120"/>
      <c r="Z1707" s="5"/>
      <c r="AA1707" s="5"/>
      <c r="AB1707" s="1135"/>
      <c r="AC1707" s="5"/>
      <c r="AD1707" s="5"/>
      <c r="AE1707" s="5"/>
      <c r="AF1707" s="1120"/>
      <c r="AG1707" s="1148"/>
      <c r="AH1707" s="1120"/>
      <c r="AI1707" s="1120"/>
      <c r="AJ1707" s="1120"/>
    </row>
    <row r="1708" spans="2:36" ht="30" customHeight="1" x14ac:dyDescent="0.25">
      <c r="B1708" s="5"/>
      <c r="C1708" s="5"/>
      <c r="D1708" s="5"/>
      <c r="E1708" s="5"/>
      <c r="F1708" s="5"/>
      <c r="G1708" s="5"/>
      <c r="H1708" s="5"/>
      <c r="I1708" s="5"/>
      <c r="J1708" s="5"/>
      <c r="L1708" s="277"/>
      <c r="M1708" s="5"/>
      <c r="R1708" s="5"/>
      <c r="S1708" s="5"/>
      <c r="T1708" s="1120"/>
      <c r="U1708" s="5"/>
      <c r="V1708" s="5"/>
      <c r="W1708" s="5"/>
      <c r="X1708" s="1120"/>
      <c r="Y1708" s="1120"/>
      <c r="Z1708" s="5"/>
      <c r="AA1708" s="5"/>
      <c r="AB1708" s="1135"/>
      <c r="AC1708" s="5"/>
      <c r="AD1708" s="5"/>
      <c r="AE1708" s="5"/>
      <c r="AF1708" s="1120"/>
      <c r="AG1708" s="1148"/>
      <c r="AH1708" s="1120"/>
      <c r="AI1708" s="1120"/>
      <c r="AJ1708" s="1120"/>
    </row>
    <row r="1709" spans="2:36" ht="30" customHeight="1" x14ac:dyDescent="0.25">
      <c r="B1709" s="5"/>
      <c r="C1709" s="5"/>
      <c r="D1709" s="5"/>
      <c r="E1709" s="5"/>
      <c r="F1709" s="5"/>
      <c r="G1709" s="5"/>
      <c r="H1709" s="5"/>
      <c r="I1709" s="5"/>
      <c r="J1709" s="5"/>
      <c r="L1709" s="277"/>
      <c r="M1709" s="5"/>
      <c r="R1709" s="5"/>
      <c r="S1709" s="5"/>
      <c r="T1709" s="1120"/>
      <c r="U1709" s="5"/>
      <c r="V1709" s="5"/>
      <c r="W1709" s="5"/>
      <c r="X1709" s="1120"/>
      <c r="Y1709" s="1120"/>
      <c r="Z1709" s="5"/>
      <c r="AA1709" s="5"/>
      <c r="AB1709" s="1135"/>
      <c r="AC1709" s="5"/>
      <c r="AD1709" s="5"/>
      <c r="AE1709" s="5"/>
      <c r="AF1709" s="1120"/>
      <c r="AG1709" s="1148"/>
      <c r="AH1709" s="1120"/>
      <c r="AI1709" s="1120"/>
      <c r="AJ1709" s="1120"/>
    </row>
    <row r="1710" spans="2:36" ht="30" customHeight="1" x14ac:dyDescent="0.25">
      <c r="B1710" s="5"/>
      <c r="C1710" s="5"/>
      <c r="D1710" s="5"/>
      <c r="E1710" s="5"/>
      <c r="F1710" s="5"/>
      <c r="G1710" s="5"/>
      <c r="H1710" s="5"/>
      <c r="I1710" s="5"/>
      <c r="J1710" s="5"/>
      <c r="L1710" s="277"/>
      <c r="M1710" s="5"/>
      <c r="R1710" s="5"/>
      <c r="S1710" s="5"/>
      <c r="T1710" s="1120"/>
      <c r="U1710" s="5"/>
      <c r="V1710" s="5"/>
      <c r="W1710" s="5"/>
      <c r="X1710" s="1120"/>
      <c r="Y1710" s="1120"/>
      <c r="Z1710" s="5"/>
      <c r="AA1710" s="5"/>
      <c r="AB1710" s="1135"/>
      <c r="AC1710" s="5"/>
      <c r="AD1710" s="5"/>
      <c r="AE1710" s="5"/>
      <c r="AF1710" s="1120"/>
      <c r="AG1710" s="1148"/>
      <c r="AH1710" s="1120"/>
      <c r="AI1710" s="1120"/>
      <c r="AJ1710" s="1120"/>
    </row>
    <row r="1711" spans="2:36" ht="30" customHeight="1" x14ac:dyDescent="0.25">
      <c r="B1711" s="5"/>
      <c r="C1711" s="5"/>
      <c r="D1711" s="5"/>
      <c r="E1711" s="5"/>
      <c r="F1711" s="5"/>
      <c r="G1711" s="5"/>
      <c r="H1711" s="5"/>
      <c r="I1711" s="5"/>
      <c r="J1711" s="5"/>
      <c r="L1711" s="277"/>
      <c r="M1711" s="5"/>
      <c r="R1711" s="5"/>
      <c r="S1711" s="5"/>
      <c r="T1711" s="1120"/>
      <c r="U1711" s="5"/>
      <c r="V1711" s="5"/>
      <c r="W1711" s="5"/>
      <c r="X1711" s="1120"/>
      <c r="Y1711" s="1120"/>
      <c r="Z1711" s="5"/>
      <c r="AA1711" s="5"/>
      <c r="AB1711" s="1135"/>
      <c r="AC1711" s="5"/>
      <c r="AD1711" s="5"/>
      <c r="AE1711" s="5"/>
      <c r="AF1711" s="1120"/>
      <c r="AG1711" s="1148"/>
      <c r="AH1711" s="1120"/>
      <c r="AI1711" s="1120"/>
      <c r="AJ1711" s="1120"/>
    </row>
    <row r="1712" spans="2:36" ht="30" customHeight="1" x14ac:dyDescent="0.25">
      <c r="B1712" s="5"/>
      <c r="C1712" s="5"/>
      <c r="D1712" s="5"/>
      <c r="E1712" s="5"/>
      <c r="F1712" s="5"/>
      <c r="G1712" s="5"/>
      <c r="H1712" s="5"/>
      <c r="I1712" s="5"/>
      <c r="J1712" s="5"/>
      <c r="L1712" s="277"/>
      <c r="M1712" s="5"/>
      <c r="R1712" s="5"/>
      <c r="S1712" s="5"/>
      <c r="T1712" s="1120"/>
      <c r="U1712" s="5"/>
      <c r="V1712" s="5"/>
      <c r="W1712" s="5"/>
      <c r="X1712" s="1120"/>
      <c r="Y1712" s="1120"/>
      <c r="Z1712" s="5"/>
      <c r="AA1712" s="5"/>
      <c r="AB1712" s="1135"/>
      <c r="AC1712" s="5"/>
      <c r="AD1712" s="5"/>
      <c r="AE1712" s="5"/>
      <c r="AF1712" s="1120"/>
      <c r="AG1712" s="1148"/>
      <c r="AH1712" s="1120"/>
      <c r="AI1712" s="1120"/>
      <c r="AJ1712" s="1120"/>
    </row>
    <row r="1713" spans="2:36" ht="30" customHeight="1" x14ac:dyDescent="0.25">
      <c r="B1713" s="5"/>
      <c r="C1713" s="5"/>
      <c r="D1713" s="5"/>
      <c r="E1713" s="5"/>
      <c r="F1713" s="5"/>
      <c r="G1713" s="5"/>
      <c r="H1713" s="5"/>
      <c r="I1713" s="5"/>
      <c r="J1713" s="5"/>
      <c r="L1713" s="277"/>
      <c r="M1713" s="5"/>
      <c r="R1713" s="5"/>
      <c r="S1713" s="5"/>
      <c r="T1713" s="1120"/>
      <c r="U1713" s="5"/>
      <c r="V1713" s="5"/>
      <c r="W1713" s="5"/>
      <c r="X1713" s="1120"/>
      <c r="Y1713" s="1120"/>
      <c r="Z1713" s="5"/>
      <c r="AA1713" s="5"/>
      <c r="AB1713" s="1135"/>
      <c r="AC1713" s="5"/>
      <c r="AD1713" s="5"/>
      <c r="AE1713" s="5"/>
      <c r="AF1713" s="1120"/>
      <c r="AG1713" s="1148"/>
      <c r="AH1713" s="1120"/>
      <c r="AI1713" s="1120"/>
      <c r="AJ1713" s="1120"/>
    </row>
    <row r="1714" spans="2:36" ht="30" customHeight="1" x14ac:dyDescent="0.25">
      <c r="B1714" s="5"/>
      <c r="C1714" s="5"/>
      <c r="D1714" s="5"/>
      <c r="E1714" s="5"/>
      <c r="F1714" s="5"/>
      <c r="G1714" s="5"/>
      <c r="H1714" s="5"/>
      <c r="I1714" s="5"/>
      <c r="J1714" s="5"/>
      <c r="L1714" s="277"/>
      <c r="M1714" s="5"/>
      <c r="R1714" s="5"/>
      <c r="S1714" s="5"/>
      <c r="T1714" s="1120"/>
      <c r="U1714" s="5"/>
      <c r="V1714" s="5"/>
      <c r="W1714" s="5"/>
      <c r="X1714" s="1120"/>
      <c r="Y1714" s="1120"/>
      <c r="Z1714" s="5"/>
      <c r="AA1714" s="5"/>
      <c r="AB1714" s="1135"/>
      <c r="AC1714" s="5"/>
      <c r="AD1714" s="5"/>
      <c r="AE1714" s="5"/>
      <c r="AF1714" s="1120"/>
      <c r="AG1714" s="1148"/>
      <c r="AH1714" s="1120"/>
      <c r="AI1714" s="1120"/>
      <c r="AJ1714" s="1120"/>
    </row>
    <row r="1715" spans="2:36" ht="30" customHeight="1" x14ac:dyDescent="0.25">
      <c r="B1715" s="5"/>
      <c r="C1715" s="5"/>
      <c r="D1715" s="5"/>
      <c r="E1715" s="5"/>
      <c r="F1715" s="5"/>
      <c r="G1715" s="5"/>
      <c r="H1715" s="5"/>
      <c r="I1715" s="5"/>
      <c r="J1715" s="5"/>
      <c r="L1715" s="277"/>
      <c r="M1715" s="5"/>
      <c r="R1715" s="5"/>
      <c r="S1715" s="5"/>
      <c r="T1715" s="1120"/>
      <c r="U1715" s="5"/>
      <c r="V1715" s="5"/>
      <c r="W1715" s="5"/>
      <c r="X1715" s="1120"/>
      <c r="Y1715" s="1120"/>
      <c r="Z1715" s="5"/>
      <c r="AA1715" s="5"/>
      <c r="AB1715" s="1135"/>
      <c r="AC1715" s="5"/>
      <c r="AD1715" s="5"/>
      <c r="AE1715" s="5"/>
      <c r="AF1715" s="1120"/>
      <c r="AG1715" s="1148"/>
      <c r="AH1715" s="1120"/>
      <c r="AI1715" s="1120"/>
      <c r="AJ1715" s="1120"/>
    </row>
    <row r="1716" spans="2:36" ht="30" customHeight="1" x14ac:dyDescent="0.25">
      <c r="B1716" s="5"/>
      <c r="C1716" s="5"/>
      <c r="D1716" s="5"/>
      <c r="E1716" s="5"/>
      <c r="F1716" s="5"/>
      <c r="G1716" s="5"/>
      <c r="H1716" s="5"/>
      <c r="I1716" s="5"/>
      <c r="J1716" s="5"/>
      <c r="L1716" s="277"/>
      <c r="M1716" s="5"/>
      <c r="R1716" s="5"/>
      <c r="S1716" s="5"/>
      <c r="T1716" s="1120"/>
      <c r="U1716" s="5"/>
      <c r="V1716" s="5"/>
      <c r="W1716" s="5"/>
      <c r="X1716" s="1120"/>
      <c r="Y1716" s="1120"/>
      <c r="Z1716" s="5"/>
      <c r="AA1716" s="5"/>
      <c r="AB1716" s="1135"/>
      <c r="AC1716" s="5"/>
      <c r="AD1716" s="5"/>
      <c r="AE1716" s="5"/>
      <c r="AF1716" s="1120"/>
      <c r="AG1716" s="1148"/>
      <c r="AH1716" s="1120"/>
      <c r="AI1716" s="1120"/>
      <c r="AJ1716" s="1120"/>
    </row>
    <row r="1717" spans="2:36" ht="30" customHeight="1" x14ac:dyDescent="0.25">
      <c r="B1717" s="5"/>
      <c r="C1717" s="5"/>
      <c r="D1717" s="5"/>
      <c r="E1717" s="5"/>
      <c r="F1717" s="5"/>
      <c r="G1717" s="5"/>
      <c r="H1717" s="5"/>
      <c r="I1717" s="5"/>
      <c r="J1717" s="5"/>
      <c r="L1717" s="277"/>
      <c r="M1717" s="5"/>
      <c r="R1717" s="5"/>
      <c r="S1717" s="5"/>
      <c r="T1717" s="1120"/>
      <c r="U1717" s="5"/>
      <c r="V1717" s="5"/>
      <c r="W1717" s="5"/>
      <c r="X1717" s="1120"/>
      <c r="Y1717" s="1120"/>
      <c r="Z1717" s="5"/>
      <c r="AA1717" s="5"/>
      <c r="AB1717" s="1135"/>
      <c r="AC1717" s="5"/>
      <c r="AD1717" s="5"/>
      <c r="AE1717" s="5"/>
      <c r="AF1717" s="1120"/>
      <c r="AG1717" s="1148"/>
      <c r="AH1717" s="1120"/>
      <c r="AI1717" s="1120"/>
      <c r="AJ1717" s="1120"/>
    </row>
    <row r="1718" spans="2:36" ht="30" customHeight="1" x14ac:dyDescent="0.25">
      <c r="B1718" s="5"/>
      <c r="C1718" s="5"/>
      <c r="D1718" s="5"/>
      <c r="E1718" s="5"/>
      <c r="F1718" s="5"/>
      <c r="G1718" s="5"/>
      <c r="H1718" s="5"/>
      <c r="I1718" s="5"/>
      <c r="J1718" s="5"/>
      <c r="L1718" s="277"/>
      <c r="M1718" s="5"/>
      <c r="R1718" s="5"/>
      <c r="S1718" s="5"/>
      <c r="T1718" s="1120"/>
      <c r="U1718" s="5"/>
      <c r="V1718" s="5"/>
      <c r="W1718" s="5"/>
      <c r="X1718" s="1120"/>
      <c r="Y1718" s="1120"/>
      <c r="Z1718" s="5"/>
      <c r="AA1718" s="5"/>
      <c r="AB1718" s="1135"/>
      <c r="AC1718" s="5"/>
      <c r="AD1718" s="5"/>
      <c r="AE1718" s="5"/>
      <c r="AF1718" s="1120"/>
      <c r="AG1718" s="1148"/>
      <c r="AH1718" s="1120"/>
      <c r="AI1718" s="1120"/>
      <c r="AJ1718" s="1120"/>
    </row>
    <row r="1719" spans="2:36" ht="30" customHeight="1" x14ac:dyDescent="0.25">
      <c r="B1719" s="5"/>
      <c r="C1719" s="5"/>
      <c r="D1719" s="5"/>
      <c r="E1719" s="5"/>
      <c r="F1719" s="5"/>
      <c r="G1719" s="5"/>
      <c r="H1719" s="5"/>
      <c r="I1719" s="5"/>
      <c r="J1719" s="5"/>
      <c r="L1719" s="277"/>
      <c r="M1719" s="5"/>
      <c r="R1719" s="5"/>
      <c r="S1719" s="5"/>
      <c r="T1719" s="1120"/>
      <c r="U1719" s="5"/>
      <c r="V1719" s="5"/>
      <c r="W1719" s="5"/>
      <c r="X1719" s="1120"/>
      <c r="Y1719" s="1120"/>
      <c r="Z1719" s="5"/>
      <c r="AA1719" s="5"/>
      <c r="AB1719" s="1135"/>
      <c r="AC1719" s="5"/>
      <c r="AD1719" s="5"/>
      <c r="AE1719" s="5"/>
      <c r="AF1719" s="1120"/>
      <c r="AG1719" s="1148"/>
      <c r="AH1719" s="1120"/>
      <c r="AI1719" s="1120"/>
      <c r="AJ1719" s="1120"/>
    </row>
    <row r="1720" spans="2:36" ht="30" customHeight="1" x14ac:dyDescent="0.25">
      <c r="B1720" s="5"/>
      <c r="C1720" s="5"/>
      <c r="D1720" s="5"/>
      <c r="E1720" s="5"/>
      <c r="F1720" s="5"/>
      <c r="G1720" s="5"/>
      <c r="H1720" s="5"/>
      <c r="I1720" s="5"/>
      <c r="J1720" s="5"/>
      <c r="L1720" s="277"/>
      <c r="M1720" s="5"/>
      <c r="R1720" s="5"/>
      <c r="S1720" s="5"/>
      <c r="T1720" s="1120"/>
      <c r="U1720" s="5"/>
      <c r="V1720" s="5"/>
      <c r="W1720" s="5"/>
      <c r="X1720" s="1120"/>
      <c r="Y1720" s="1120"/>
      <c r="Z1720" s="5"/>
      <c r="AA1720" s="5"/>
      <c r="AB1720" s="1135"/>
      <c r="AC1720" s="5"/>
      <c r="AD1720" s="5"/>
      <c r="AE1720" s="5"/>
      <c r="AF1720" s="1120"/>
      <c r="AG1720" s="1148"/>
      <c r="AH1720" s="1120"/>
      <c r="AI1720" s="1120"/>
      <c r="AJ1720" s="1120"/>
    </row>
    <row r="1721" spans="2:36" ht="30" customHeight="1" x14ac:dyDescent="0.25">
      <c r="B1721" s="5"/>
      <c r="C1721" s="5"/>
      <c r="D1721" s="5"/>
      <c r="E1721" s="5"/>
      <c r="F1721" s="5"/>
      <c r="G1721" s="5"/>
      <c r="H1721" s="5"/>
      <c r="I1721" s="5"/>
      <c r="J1721" s="5"/>
      <c r="L1721" s="277"/>
      <c r="M1721" s="5"/>
      <c r="R1721" s="5"/>
      <c r="S1721" s="5"/>
      <c r="T1721" s="1120"/>
      <c r="U1721" s="5"/>
      <c r="V1721" s="5"/>
      <c r="W1721" s="5"/>
      <c r="X1721" s="1120"/>
      <c r="Y1721" s="1120"/>
      <c r="Z1721" s="5"/>
      <c r="AA1721" s="5"/>
      <c r="AB1721" s="1135"/>
      <c r="AC1721" s="5"/>
      <c r="AD1721" s="5"/>
      <c r="AE1721" s="5"/>
      <c r="AF1721" s="1120"/>
      <c r="AG1721" s="1148"/>
      <c r="AH1721" s="1120"/>
      <c r="AI1721" s="1120"/>
      <c r="AJ1721" s="1120"/>
    </row>
    <row r="1722" spans="2:36" ht="30" customHeight="1" x14ac:dyDescent="0.25">
      <c r="B1722" s="5"/>
      <c r="C1722" s="5"/>
      <c r="D1722" s="5"/>
      <c r="E1722" s="5"/>
      <c r="F1722" s="5"/>
      <c r="G1722" s="5"/>
      <c r="H1722" s="5"/>
      <c r="I1722" s="5"/>
      <c r="J1722" s="5"/>
      <c r="L1722" s="277"/>
      <c r="M1722" s="5"/>
      <c r="R1722" s="5"/>
      <c r="S1722" s="5"/>
      <c r="T1722" s="1120"/>
      <c r="U1722" s="5"/>
      <c r="V1722" s="5"/>
      <c r="W1722" s="5"/>
      <c r="X1722" s="1120"/>
      <c r="Y1722" s="1120"/>
      <c r="Z1722" s="5"/>
      <c r="AA1722" s="5"/>
      <c r="AB1722" s="1135"/>
      <c r="AC1722" s="5"/>
      <c r="AD1722" s="5"/>
      <c r="AE1722" s="5"/>
      <c r="AF1722" s="1120"/>
      <c r="AG1722" s="1148"/>
      <c r="AH1722" s="1120"/>
      <c r="AI1722" s="1120"/>
      <c r="AJ1722" s="1120"/>
    </row>
    <row r="1723" spans="2:36" ht="30" customHeight="1" x14ac:dyDescent="0.25">
      <c r="B1723" s="5"/>
      <c r="C1723" s="5"/>
      <c r="D1723" s="5"/>
      <c r="E1723" s="5"/>
      <c r="F1723" s="5"/>
      <c r="G1723" s="5"/>
      <c r="H1723" s="5"/>
      <c r="I1723" s="5"/>
      <c r="J1723" s="5"/>
      <c r="L1723" s="277"/>
      <c r="M1723" s="5"/>
      <c r="R1723" s="5"/>
      <c r="S1723" s="5"/>
      <c r="T1723" s="1120"/>
      <c r="U1723" s="5"/>
      <c r="V1723" s="5"/>
      <c r="W1723" s="5"/>
      <c r="X1723" s="1120"/>
      <c r="Y1723" s="1120"/>
      <c r="Z1723" s="5"/>
      <c r="AA1723" s="5"/>
      <c r="AB1723" s="1135"/>
      <c r="AC1723" s="5"/>
      <c r="AD1723" s="5"/>
      <c r="AE1723" s="5"/>
      <c r="AF1723" s="1120"/>
      <c r="AG1723" s="1148"/>
      <c r="AH1723" s="1120"/>
      <c r="AI1723" s="1120"/>
      <c r="AJ1723" s="1120"/>
    </row>
    <row r="1724" spans="2:36" ht="30" customHeight="1" x14ac:dyDescent="0.25">
      <c r="B1724" s="5"/>
      <c r="C1724" s="5"/>
      <c r="D1724" s="5"/>
      <c r="E1724" s="5"/>
      <c r="F1724" s="5"/>
      <c r="G1724" s="5"/>
      <c r="H1724" s="5"/>
      <c r="I1724" s="5"/>
      <c r="J1724" s="5"/>
      <c r="L1724" s="277"/>
      <c r="M1724" s="5"/>
      <c r="R1724" s="5"/>
      <c r="S1724" s="5"/>
      <c r="T1724" s="1120"/>
      <c r="U1724" s="5"/>
      <c r="V1724" s="5"/>
      <c r="W1724" s="5"/>
      <c r="X1724" s="1120"/>
      <c r="Y1724" s="1120"/>
      <c r="Z1724" s="5"/>
      <c r="AA1724" s="5"/>
      <c r="AB1724" s="1135"/>
      <c r="AC1724" s="5"/>
      <c r="AD1724" s="5"/>
      <c r="AE1724" s="5"/>
      <c r="AF1724" s="1120"/>
      <c r="AG1724" s="1148"/>
      <c r="AH1724" s="1120"/>
      <c r="AI1724" s="1120"/>
      <c r="AJ1724" s="1120"/>
    </row>
    <row r="1725" spans="2:36" ht="30" customHeight="1" x14ac:dyDescent="0.25">
      <c r="B1725" s="5"/>
      <c r="C1725" s="5"/>
      <c r="D1725" s="5"/>
      <c r="E1725" s="5"/>
      <c r="F1725" s="5"/>
      <c r="G1725" s="5"/>
      <c r="H1725" s="5"/>
      <c r="I1725" s="5"/>
      <c r="J1725" s="5"/>
      <c r="L1725" s="277"/>
      <c r="M1725" s="5"/>
      <c r="R1725" s="5"/>
      <c r="S1725" s="5"/>
      <c r="T1725" s="1120"/>
      <c r="U1725" s="5"/>
      <c r="V1725" s="5"/>
      <c r="W1725" s="5"/>
      <c r="X1725" s="1120"/>
      <c r="Y1725" s="1120"/>
      <c r="Z1725" s="5"/>
      <c r="AA1725" s="5"/>
      <c r="AB1725" s="1135"/>
      <c r="AC1725" s="5"/>
      <c r="AD1725" s="5"/>
      <c r="AE1725" s="5"/>
      <c r="AF1725" s="1120"/>
      <c r="AG1725" s="1148"/>
      <c r="AH1725" s="1120"/>
      <c r="AI1725" s="1120"/>
      <c r="AJ1725" s="1120"/>
    </row>
    <row r="1726" spans="2:36" ht="30" customHeight="1" x14ac:dyDescent="0.25">
      <c r="B1726" s="5"/>
      <c r="C1726" s="5"/>
      <c r="D1726" s="5"/>
      <c r="E1726" s="5"/>
      <c r="F1726" s="5"/>
      <c r="G1726" s="5"/>
      <c r="H1726" s="5"/>
      <c r="I1726" s="5"/>
      <c r="J1726" s="5"/>
      <c r="L1726" s="277"/>
      <c r="M1726" s="5"/>
      <c r="R1726" s="5"/>
      <c r="S1726" s="5"/>
      <c r="T1726" s="1120"/>
      <c r="U1726" s="5"/>
      <c r="V1726" s="5"/>
      <c r="W1726" s="5"/>
      <c r="X1726" s="1120"/>
      <c r="Y1726" s="1120"/>
      <c r="Z1726" s="5"/>
      <c r="AA1726" s="5"/>
      <c r="AB1726" s="1135"/>
      <c r="AC1726" s="5"/>
      <c r="AD1726" s="5"/>
      <c r="AE1726" s="5"/>
      <c r="AF1726" s="1120"/>
      <c r="AG1726" s="1148"/>
      <c r="AH1726" s="1120"/>
      <c r="AI1726" s="1120"/>
      <c r="AJ1726" s="1120"/>
    </row>
    <row r="1727" spans="2:36" ht="30" customHeight="1" x14ac:dyDescent="0.25">
      <c r="B1727" s="5"/>
      <c r="C1727" s="5"/>
      <c r="D1727" s="5"/>
      <c r="E1727" s="5"/>
      <c r="F1727" s="5"/>
      <c r="G1727" s="5"/>
      <c r="H1727" s="5"/>
      <c r="I1727" s="5"/>
      <c r="J1727" s="5"/>
      <c r="L1727" s="277"/>
      <c r="M1727" s="5"/>
      <c r="R1727" s="5"/>
      <c r="S1727" s="5"/>
      <c r="T1727" s="1120"/>
      <c r="U1727" s="5"/>
      <c r="V1727" s="5"/>
      <c r="W1727" s="5"/>
      <c r="X1727" s="1120"/>
      <c r="Y1727" s="1120"/>
      <c r="Z1727" s="5"/>
      <c r="AA1727" s="5"/>
      <c r="AB1727" s="1135"/>
      <c r="AC1727" s="5"/>
      <c r="AD1727" s="5"/>
      <c r="AE1727" s="5"/>
      <c r="AF1727" s="1120"/>
      <c r="AG1727" s="1148"/>
      <c r="AH1727" s="1120"/>
      <c r="AI1727" s="1120"/>
      <c r="AJ1727" s="1120"/>
    </row>
    <row r="1728" spans="2:36" ht="30" customHeight="1" x14ac:dyDescent="0.25">
      <c r="B1728" s="5"/>
      <c r="C1728" s="5"/>
      <c r="D1728" s="5"/>
      <c r="E1728" s="5"/>
      <c r="F1728" s="5"/>
      <c r="G1728" s="5"/>
      <c r="H1728" s="5"/>
      <c r="I1728" s="5"/>
      <c r="J1728" s="5"/>
      <c r="L1728" s="277"/>
      <c r="M1728" s="5"/>
      <c r="R1728" s="5"/>
      <c r="S1728" s="5"/>
      <c r="T1728" s="1120"/>
      <c r="U1728" s="5"/>
      <c r="V1728" s="5"/>
      <c r="W1728" s="5"/>
      <c r="X1728" s="1120"/>
      <c r="Y1728" s="1120"/>
      <c r="Z1728" s="5"/>
      <c r="AA1728" s="5"/>
      <c r="AB1728" s="1135"/>
      <c r="AC1728" s="5"/>
      <c r="AD1728" s="5"/>
      <c r="AE1728" s="5"/>
      <c r="AF1728" s="1120"/>
      <c r="AG1728" s="1148"/>
      <c r="AH1728" s="1120"/>
      <c r="AI1728" s="1120"/>
      <c r="AJ1728" s="1120"/>
    </row>
    <row r="1729" spans="2:36" ht="30" customHeight="1" x14ac:dyDescent="0.25">
      <c r="B1729" s="5"/>
      <c r="C1729" s="5"/>
      <c r="D1729" s="5"/>
      <c r="E1729" s="5"/>
      <c r="F1729" s="5"/>
      <c r="G1729" s="5"/>
      <c r="H1729" s="5"/>
      <c r="I1729" s="5"/>
      <c r="J1729" s="5"/>
      <c r="L1729" s="277"/>
      <c r="M1729" s="5"/>
      <c r="R1729" s="5"/>
      <c r="S1729" s="5"/>
      <c r="T1729" s="1120"/>
      <c r="U1729" s="5"/>
      <c r="V1729" s="5"/>
      <c r="W1729" s="5"/>
      <c r="X1729" s="1120"/>
      <c r="Y1729" s="1120"/>
      <c r="Z1729" s="5"/>
      <c r="AA1729" s="5"/>
      <c r="AB1729" s="1135"/>
      <c r="AC1729" s="5"/>
      <c r="AD1729" s="5"/>
      <c r="AE1729" s="5"/>
      <c r="AF1729" s="1120"/>
      <c r="AG1729" s="1148"/>
      <c r="AH1729" s="1120"/>
      <c r="AI1729" s="1120"/>
      <c r="AJ1729" s="1120"/>
    </row>
    <row r="1730" spans="2:36" ht="30" customHeight="1" x14ac:dyDescent="0.25">
      <c r="B1730" s="5"/>
      <c r="C1730" s="5"/>
      <c r="D1730" s="5"/>
      <c r="E1730" s="5"/>
      <c r="F1730" s="5"/>
      <c r="G1730" s="5"/>
      <c r="H1730" s="5"/>
      <c r="I1730" s="5"/>
      <c r="J1730" s="5"/>
      <c r="L1730" s="277"/>
      <c r="M1730" s="5"/>
      <c r="R1730" s="5"/>
      <c r="S1730" s="5"/>
      <c r="T1730" s="1120"/>
      <c r="U1730" s="5"/>
      <c r="V1730" s="5"/>
      <c r="W1730" s="5"/>
      <c r="X1730" s="1120"/>
      <c r="Y1730" s="1120"/>
      <c r="Z1730" s="5"/>
      <c r="AA1730" s="5"/>
      <c r="AB1730" s="1135"/>
      <c r="AC1730" s="5"/>
      <c r="AD1730" s="5"/>
      <c r="AE1730" s="5"/>
      <c r="AF1730" s="1120"/>
      <c r="AG1730" s="1148"/>
      <c r="AH1730" s="1120"/>
      <c r="AI1730" s="1120"/>
      <c r="AJ1730" s="1120"/>
    </row>
    <row r="1731" spans="2:36" ht="30" customHeight="1" x14ac:dyDescent="0.25">
      <c r="B1731" s="5"/>
      <c r="C1731" s="5"/>
      <c r="D1731" s="5"/>
      <c r="E1731" s="5"/>
      <c r="F1731" s="5"/>
      <c r="G1731" s="5"/>
      <c r="H1731" s="5"/>
      <c r="I1731" s="5"/>
      <c r="J1731" s="5"/>
      <c r="L1731" s="277"/>
      <c r="M1731" s="5"/>
      <c r="R1731" s="5"/>
      <c r="S1731" s="5"/>
      <c r="T1731" s="1120"/>
      <c r="U1731" s="5"/>
      <c r="V1731" s="5"/>
      <c r="W1731" s="5"/>
      <c r="X1731" s="1120"/>
      <c r="Y1731" s="1120"/>
      <c r="Z1731" s="5"/>
      <c r="AA1731" s="5"/>
      <c r="AB1731" s="1135"/>
      <c r="AC1731" s="5"/>
      <c r="AD1731" s="5"/>
      <c r="AE1731" s="5"/>
      <c r="AF1731" s="1120"/>
      <c r="AG1731" s="1148"/>
      <c r="AH1731" s="1120"/>
      <c r="AI1731" s="1120"/>
      <c r="AJ1731" s="1120"/>
    </row>
    <row r="1732" spans="2:36" ht="30" customHeight="1" x14ac:dyDescent="0.25">
      <c r="B1732" s="5"/>
      <c r="C1732" s="5"/>
      <c r="D1732" s="5"/>
      <c r="E1732" s="5"/>
      <c r="F1732" s="5"/>
      <c r="G1732" s="5"/>
      <c r="H1732" s="5"/>
      <c r="I1732" s="5"/>
      <c r="J1732" s="5"/>
      <c r="L1732" s="277"/>
      <c r="M1732" s="5"/>
      <c r="R1732" s="5"/>
      <c r="S1732" s="5"/>
      <c r="T1732" s="1120"/>
      <c r="U1732" s="5"/>
      <c r="V1732" s="5"/>
      <c r="W1732" s="5"/>
      <c r="X1732" s="1120"/>
      <c r="Y1732" s="1120"/>
      <c r="Z1732" s="5"/>
      <c r="AA1732" s="5"/>
      <c r="AB1732" s="1135"/>
      <c r="AC1732" s="5"/>
      <c r="AD1732" s="5"/>
      <c r="AE1732" s="5"/>
      <c r="AF1732" s="1120"/>
      <c r="AG1732" s="1148"/>
      <c r="AH1732" s="1120"/>
      <c r="AI1732" s="1120"/>
      <c r="AJ1732" s="1120"/>
    </row>
    <row r="1733" spans="2:36" ht="30" customHeight="1" x14ac:dyDescent="0.25">
      <c r="B1733" s="5"/>
      <c r="C1733" s="5"/>
      <c r="D1733" s="5"/>
      <c r="E1733" s="5"/>
      <c r="F1733" s="5"/>
      <c r="G1733" s="5"/>
      <c r="H1733" s="5"/>
      <c r="I1733" s="5"/>
      <c r="J1733" s="5"/>
      <c r="L1733" s="277"/>
      <c r="M1733" s="5"/>
      <c r="R1733" s="5"/>
      <c r="S1733" s="5"/>
      <c r="T1733" s="1120"/>
      <c r="U1733" s="5"/>
      <c r="V1733" s="5"/>
      <c r="W1733" s="5"/>
      <c r="X1733" s="1120"/>
      <c r="Y1733" s="1120"/>
      <c r="Z1733" s="5"/>
      <c r="AA1733" s="5"/>
      <c r="AB1733" s="1135"/>
      <c r="AC1733" s="5"/>
      <c r="AD1733" s="5"/>
      <c r="AE1733" s="5"/>
      <c r="AF1733" s="1120"/>
      <c r="AG1733" s="1148"/>
      <c r="AH1733" s="1120"/>
      <c r="AI1733" s="1120"/>
      <c r="AJ1733" s="1120"/>
    </row>
    <row r="1734" spans="2:36" ht="30" customHeight="1" x14ac:dyDescent="0.25">
      <c r="B1734" s="5"/>
      <c r="C1734" s="5"/>
      <c r="D1734" s="5"/>
      <c r="E1734" s="5"/>
      <c r="F1734" s="5"/>
      <c r="G1734" s="5"/>
      <c r="H1734" s="5"/>
      <c r="I1734" s="5"/>
      <c r="J1734" s="5"/>
      <c r="L1734" s="277"/>
      <c r="M1734" s="5"/>
      <c r="R1734" s="5"/>
      <c r="S1734" s="5"/>
      <c r="T1734" s="1120"/>
      <c r="U1734" s="5"/>
      <c r="V1734" s="5"/>
      <c r="W1734" s="5"/>
      <c r="X1734" s="1120"/>
      <c r="Y1734" s="1120"/>
      <c r="Z1734" s="5"/>
      <c r="AA1734" s="5"/>
      <c r="AB1734" s="1135"/>
      <c r="AC1734" s="5"/>
      <c r="AD1734" s="5"/>
      <c r="AE1734" s="5"/>
      <c r="AF1734" s="1120"/>
      <c r="AG1734" s="1148"/>
      <c r="AH1734" s="1120"/>
      <c r="AI1734" s="1120"/>
      <c r="AJ1734" s="1120"/>
    </row>
    <row r="1735" spans="2:36" ht="30" customHeight="1" x14ac:dyDescent="0.25">
      <c r="B1735" s="5"/>
      <c r="C1735" s="5"/>
      <c r="D1735" s="5"/>
      <c r="E1735" s="5"/>
      <c r="F1735" s="5"/>
      <c r="G1735" s="5"/>
      <c r="H1735" s="5"/>
      <c r="I1735" s="5"/>
      <c r="J1735" s="5"/>
      <c r="L1735" s="277"/>
      <c r="M1735" s="5"/>
      <c r="R1735" s="5"/>
      <c r="S1735" s="5"/>
      <c r="T1735" s="1120"/>
      <c r="U1735" s="5"/>
      <c r="V1735" s="5"/>
      <c r="W1735" s="5"/>
      <c r="X1735" s="1120"/>
      <c r="Y1735" s="1120"/>
      <c r="Z1735" s="5"/>
      <c r="AA1735" s="5"/>
      <c r="AB1735" s="1135"/>
      <c r="AC1735" s="5"/>
      <c r="AD1735" s="5"/>
      <c r="AE1735" s="5"/>
      <c r="AF1735" s="1120"/>
      <c r="AG1735" s="1148"/>
      <c r="AH1735" s="1120"/>
      <c r="AI1735" s="1120"/>
      <c r="AJ1735" s="1120"/>
    </row>
    <row r="1736" spans="2:36" ht="30" customHeight="1" x14ac:dyDescent="0.25">
      <c r="B1736" s="5"/>
      <c r="C1736" s="5"/>
      <c r="D1736" s="5"/>
      <c r="E1736" s="5"/>
      <c r="F1736" s="5"/>
      <c r="G1736" s="5"/>
      <c r="H1736" s="5"/>
      <c r="I1736" s="5"/>
      <c r="J1736" s="5"/>
      <c r="L1736" s="277"/>
      <c r="M1736" s="5"/>
      <c r="R1736" s="5"/>
      <c r="S1736" s="5"/>
      <c r="T1736" s="1120"/>
      <c r="U1736" s="5"/>
      <c r="V1736" s="5"/>
      <c r="W1736" s="5"/>
      <c r="X1736" s="1120"/>
      <c r="Y1736" s="1120"/>
      <c r="Z1736" s="5"/>
      <c r="AA1736" s="5"/>
      <c r="AB1736" s="1135"/>
      <c r="AC1736" s="5"/>
      <c r="AD1736" s="5"/>
      <c r="AE1736" s="5"/>
      <c r="AF1736" s="1120"/>
      <c r="AG1736" s="1148"/>
      <c r="AH1736" s="1120"/>
      <c r="AI1736" s="1120"/>
      <c r="AJ1736" s="1120"/>
    </row>
    <row r="1737" spans="2:36" ht="30" customHeight="1" x14ac:dyDescent="0.25">
      <c r="B1737" s="5"/>
      <c r="C1737" s="5"/>
      <c r="D1737" s="5"/>
      <c r="E1737" s="5"/>
      <c r="F1737" s="5"/>
      <c r="G1737" s="5"/>
      <c r="H1737" s="5"/>
      <c r="I1737" s="5"/>
      <c r="J1737" s="5"/>
      <c r="L1737" s="277"/>
      <c r="M1737" s="5"/>
      <c r="R1737" s="5"/>
      <c r="S1737" s="5"/>
      <c r="T1737" s="1120"/>
      <c r="U1737" s="5"/>
      <c r="V1737" s="5"/>
      <c r="W1737" s="5"/>
      <c r="X1737" s="1120"/>
      <c r="Y1737" s="1120"/>
      <c r="Z1737" s="5"/>
      <c r="AA1737" s="5"/>
      <c r="AB1737" s="1135"/>
      <c r="AC1737" s="5"/>
      <c r="AD1737" s="5"/>
      <c r="AE1737" s="5"/>
      <c r="AF1737" s="1120"/>
      <c r="AG1737" s="1148"/>
      <c r="AH1737" s="1120"/>
      <c r="AI1737" s="1120"/>
      <c r="AJ1737" s="1120"/>
    </row>
    <row r="1738" spans="2:36" ht="30" customHeight="1" x14ac:dyDescent="0.25">
      <c r="B1738" s="5"/>
      <c r="C1738" s="5"/>
      <c r="D1738" s="5"/>
      <c r="E1738" s="5"/>
      <c r="F1738" s="5"/>
      <c r="G1738" s="5"/>
      <c r="H1738" s="5"/>
      <c r="I1738" s="5"/>
      <c r="J1738" s="5"/>
      <c r="L1738" s="277"/>
      <c r="M1738" s="5"/>
      <c r="R1738" s="5"/>
      <c r="S1738" s="5"/>
      <c r="T1738" s="1120"/>
      <c r="U1738" s="5"/>
      <c r="V1738" s="5"/>
      <c r="W1738" s="5"/>
      <c r="X1738" s="1120"/>
      <c r="Y1738" s="1120"/>
      <c r="Z1738" s="5"/>
      <c r="AA1738" s="5"/>
      <c r="AB1738" s="1135"/>
      <c r="AC1738" s="5"/>
      <c r="AD1738" s="5"/>
      <c r="AE1738" s="5"/>
      <c r="AF1738" s="1120"/>
      <c r="AG1738" s="1148"/>
      <c r="AH1738" s="1120"/>
      <c r="AI1738" s="1120"/>
      <c r="AJ1738" s="1120"/>
    </row>
    <row r="1739" spans="2:36" ht="30" customHeight="1" x14ac:dyDescent="0.25">
      <c r="B1739" s="5"/>
      <c r="C1739" s="5"/>
      <c r="D1739" s="5"/>
      <c r="E1739" s="5"/>
      <c r="F1739" s="5"/>
      <c r="G1739" s="5"/>
      <c r="H1739" s="5"/>
      <c r="I1739" s="5"/>
      <c r="J1739" s="5"/>
      <c r="L1739" s="277"/>
      <c r="M1739" s="5"/>
      <c r="R1739" s="5"/>
      <c r="S1739" s="5"/>
      <c r="T1739" s="1120"/>
      <c r="U1739" s="5"/>
      <c r="V1739" s="5"/>
      <c r="W1739" s="5"/>
      <c r="X1739" s="1120"/>
      <c r="Y1739" s="1120"/>
      <c r="Z1739" s="5"/>
      <c r="AA1739" s="5"/>
      <c r="AB1739" s="1135"/>
      <c r="AC1739" s="5"/>
      <c r="AD1739" s="5"/>
      <c r="AE1739" s="5"/>
      <c r="AF1739" s="1120"/>
      <c r="AG1739" s="1148"/>
      <c r="AH1739" s="1120"/>
      <c r="AI1739" s="1120"/>
      <c r="AJ1739" s="1120"/>
    </row>
    <row r="1740" spans="2:36" ht="30" customHeight="1" x14ac:dyDescent="0.25">
      <c r="B1740" s="5"/>
      <c r="C1740" s="5"/>
      <c r="D1740" s="5"/>
      <c r="E1740" s="5"/>
      <c r="F1740" s="5"/>
      <c r="G1740" s="5"/>
      <c r="H1740" s="5"/>
      <c r="I1740" s="5"/>
      <c r="J1740" s="5"/>
      <c r="L1740" s="277"/>
      <c r="M1740" s="5"/>
      <c r="R1740" s="5"/>
      <c r="S1740" s="5"/>
      <c r="T1740" s="1120"/>
      <c r="U1740" s="5"/>
      <c r="V1740" s="5"/>
      <c r="W1740" s="5"/>
      <c r="X1740" s="1120"/>
      <c r="Y1740" s="1120"/>
      <c r="Z1740" s="5"/>
      <c r="AA1740" s="5"/>
      <c r="AB1740" s="1135"/>
      <c r="AC1740" s="5"/>
      <c r="AD1740" s="5"/>
      <c r="AE1740" s="5"/>
      <c r="AF1740" s="1120"/>
      <c r="AG1740" s="1148"/>
      <c r="AH1740" s="1120"/>
      <c r="AI1740" s="1120"/>
      <c r="AJ1740" s="1120"/>
    </row>
    <row r="1741" spans="2:36" ht="30" customHeight="1" x14ac:dyDescent="0.25">
      <c r="B1741" s="5"/>
      <c r="C1741" s="5"/>
      <c r="D1741" s="5"/>
      <c r="E1741" s="5"/>
      <c r="F1741" s="5"/>
      <c r="G1741" s="5"/>
      <c r="H1741" s="5"/>
      <c r="I1741" s="5"/>
      <c r="J1741" s="5"/>
      <c r="L1741" s="277"/>
      <c r="M1741" s="5"/>
      <c r="R1741" s="5"/>
      <c r="S1741" s="5"/>
      <c r="T1741" s="1120"/>
      <c r="U1741" s="5"/>
      <c r="V1741" s="5"/>
      <c r="W1741" s="5"/>
      <c r="X1741" s="1120"/>
      <c r="Y1741" s="1120"/>
      <c r="Z1741" s="5"/>
      <c r="AA1741" s="5"/>
      <c r="AB1741" s="1135"/>
      <c r="AC1741" s="5"/>
      <c r="AD1741" s="5"/>
      <c r="AE1741" s="5"/>
      <c r="AF1741" s="1120"/>
      <c r="AG1741" s="1148"/>
      <c r="AH1741" s="1120"/>
      <c r="AI1741" s="1120"/>
      <c r="AJ1741" s="1120"/>
    </row>
    <row r="1742" spans="2:36" ht="30" customHeight="1" x14ac:dyDescent="0.25">
      <c r="B1742" s="5"/>
      <c r="C1742" s="5"/>
      <c r="D1742" s="5"/>
      <c r="E1742" s="5"/>
      <c r="F1742" s="5"/>
      <c r="G1742" s="5"/>
      <c r="H1742" s="5"/>
      <c r="I1742" s="5"/>
      <c r="J1742" s="5"/>
      <c r="L1742" s="277"/>
      <c r="M1742" s="5"/>
      <c r="R1742" s="5"/>
      <c r="S1742" s="5"/>
      <c r="T1742" s="1120"/>
      <c r="U1742" s="5"/>
      <c r="V1742" s="5"/>
      <c r="W1742" s="5"/>
      <c r="X1742" s="1120"/>
      <c r="Y1742" s="1120"/>
      <c r="Z1742" s="5"/>
      <c r="AA1742" s="5"/>
      <c r="AB1742" s="1135"/>
      <c r="AC1742" s="5"/>
      <c r="AD1742" s="5"/>
      <c r="AE1742" s="5"/>
      <c r="AF1742" s="1120"/>
      <c r="AG1742" s="1148"/>
      <c r="AH1742" s="1120"/>
      <c r="AI1742" s="1120"/>
      <c r="AJ1742" s="1120"/>
    </row>
    <row r="1743" spans="2:36" ht="30" customHeight="1" x14ac:dyDescent="0.25">
      <c r="B1743" s="5"/>
      <c r="C1743" s="5"/>
      <c r="D1743" s="5"/>
      <c r="E1743" s="5"/>
      <c r="F1743" s="5"/>
      <c r="G1743" s="5"/>
      <c r="H1743" s="5"/>
      <c r="I1743" s="5"/>
      <c r="J1743" s="5"/>
      <c r="L1743" s="277"/>
      <c r="M1743" s="5"/>
      <c r="R1743" s="5"/>
      <c r="S1743" s="5"/>
      <c r="T1743" s="1120"/>
      <c r="U1743" s="5"/>
      <c r="V1743" s="5"/>
      <c r="W1743" s="5"/>
      <c r="X1743" s="1120"/>
      <c r="Y1743" s="1120"/>
      <c r="Z1743" s="5"/>
      <c r="AA1743" s="5"/>
      <c r="AB1743" s="1135"/>
      <c r="AC1743" s="5"/>
      <c r="AD1743" s="5"/>
      <c r="AE1743" s="5"/>
      <c r="AF1743" s="1120"/>
      <c r="AG1743" s="1148"/>
      <c r="AH1743" s="1120"/>
      <c r="AI1743" s="1120"/>
      <c r="AJ1743" s="1120"/>
    </row>
    <row r="1744" spans="2:36" ht="30" customHeight="1" x14ac:dyDescent="0.25">
      <c r="B1744" s="5"/>
      <c r="C1744" s="5"/>
      <c r="D1744" s="5"/>
      <c r="E1744" s="5"/>
      <c r="F1744" s="5"/>
      <c r="G1744" s="5"/>
      <c r="H1744" s="5"/>
      <c r="I1744" s="5"/>
      <c r="J1744" s="5"/>
      <c r="L1744" s="277"/>
      <c r="M1744" s="5"/>
      <c r="R1744" s="5"/>
      <c r="S1744" s="5"/>
      <c r="T1744" s="1120"/>
      <c r="U1744" s="5"/>
      <c r="V1744" s="5"/>
      <c r="W1744" s="5"/>
      <c r="X1744" s="1120"/>
      <c r="Y1744" s="1120"/>
      <c r="Z1744" s="5"/>
      <c r="AA1744" s="5"/>
      <c r="AB1744" s="1135"/>
      <c r="AC1744" s="5"/>
      <c r="AD1744" s="5"/>
      <c r="AE1744" s="5"/>
      <c r="AF1744" s="1120"/>
      <c r="AG1744" s="1148"/>
      <c r="AH1744" s="1120"/>
      <c r="AI1744" s="1120"/>
      <c r="AJ1744" s="1120"/>
    </row>
    <row r="1745" spans="2:36" ht="30" customHeight="1" x14ac:dyDescent="0.25">
      <c r="B1745" s="5"/>
      <c r="C1745" s="5"/>
      <c r="D1745" s="5"/>
      <c r="E1745" s="5"/>
      <c r="F1745" s="5"/>
      <c r="G1745" s="5"/>
      <c r="H1745" s="5"/>
      <c r="I1745" s="5"/>
      <c r="J1745" s="5"/>
      <c r="L1745" s="277"/>
      <c r="M1745" s="5"/>
      <c r="R1745" s="5"/>
      <c r="S1745" s="5"/>
      <c r="T1745" s="1120"/>
      <c r="U1745" s="5"/>
      <c r="V1745" s="5"/>
      <c r="W1745" s="5"/>
      <c r="X1745" s="1120"/>
      <c r="Y1745" s="1120"/>
      <c r="Z1745" s="5"/>
      <c r="AA1745" s="5"/>
      <c r="AB1745" s="1135"/>
      <c r="AC1745" s="5"/>
      <c r="AD1745" s="5"/>
      <c r="AE1745" s="5"/>
      <c r="AF1745" s="1120"/>
      <c r="AG1745" s="1148"/>
      <c r="AH1745" s="1120"/>
      <c r="AI1745" s="1120"/>
      <c r="AJ1745" s="1120"/>
    </row>
    <row r="1746" spans="2:36" ht="30" customHeight="1" x14ac:dyDescent="0.25">
      <c r="B1746" s="5"/>
      <c r="C1746" s="5"/>
      <c r="D1746" s="5"/>
      <c r="E1746" s="5"/>
      <c r="F1746" s="5"/>
      <c r="G1746" s="5"/>
      <c r="H1746" s="5"/>
      <c r="I1746" s="5"/>
      <c r="J1746" s="5"/>
      <c r="L1746" s="277"/>
      <c r="M1746" s="5"/>
      <c r="R1746" s="5"/>
      <c r="S1746" s="5"/>
      <c r="T1746" s="1120"/>
      <c r="U1746" s="5"/>
      <c r="V1746" s="5"/>
      <c r="W1746" s="5"/>
      <c r="X1746" s="1120"/>
      <c r="Y1746" s="1120"/>
      <c r="Z1746" s="5"/>
      <c r="AA1746" s="5"/>
      <c r="AB1746" s="1135"/>
      <c r="AC1746" s="5"/>
      <c r="AD1746" s="5"/>
      <c r="AE1746" s="5"/>
      <c r="AF1746" s="1120"/>
      <c r="AG1746" s="1148"/>
      <c r="AH1746" s="1120"/>
      <c r="AI1746" s="1120"/>
      <c r="AJ1746" s="1120"/>
    </row>
    <row r="1747" spans="2:36" ht="30" customHeight="1" x14ac:dyDescent="0.25">
      <c r="B1747" s="5"/>
      <c r="C1747" s="5"/>
      <c r="D1747" s="5"/>
      <c r="E1747" s="5"/>
      <c r="F1747" s="5"/>
      <c r="G1747" s="5"/>
      <c r="H1747" s="5"/>
      <c r="I1747" s="5"/>
      <c r="J1747" s="5"/>
      <c r="L1747" s="277"/>
      <c r="M1747" s="5"/>
      <c r="R1747" s="5"/>
      <c r="S1747" s="5"/>
      <c r="T1747" s="1120"/>
      <c r="U1747" s="5"/>
      <c r="V1747" s="5"/>
      <c r="W1747" s="5"/>
      <c r="X1747" s="1120"/>
      <c r="Y1747" s="1120"/>
      <c r="Z1747" s="5"/>
      <c r="AA1747" s="5"/>
      <c r="AB1747" s="1135"/>
      <c r="AC1747" s="5"/>
      <c r="AD1747" s="5"/>
      <c r="AE1747" s="5"/>
      <c r="AF1747" s="1120"/>
      <c r="AG1747" s="1148"/>
      <c r="AH1747" s="1120"/>
      <c r="AI1747" s="1120"/>
      <c r="AJ1747" s="1120"/>
    </row>
    <row r="1748" spans="2:36" ht="30" customHeight="1" x14ac:dyDescent="0.25">
      <c r="B1748" s="5"/>
      <c r="C1748" s="5"/>
      <c r="D1748" s="5"/>
      <c r="E1748" s="5"/>
      <c r="F1748" s="5"/>
      <c r="G1748" s="5"/>
      <c r="H1748" s="5"/>
      <c r="I1748" s="5"/>
      <c r="J1748" s="5"/>
      <c r="L1748" s="277"/>
      <c r="M1748" s="5"/>
      <c r="R1748" s="5"/>
      <c r="S1748" s="5"/>
      <c r="T1748" s="1120"/>
      <c r="U1748" s="5"/>
      <c r="V1748" s="5"/>
      <c r="W1748" s="5"/>
      <c r="X1748" s="1120"/>
      <c r="Y1748" s="1120"/>
      <c r="Z1748" s="5"/>
      <c r="AA1748" s="5"/>
      <c r="AB1748" s="1135"/>
      <c r="AC1748" s="5"/>
      <c r="AD1748" s="5"/>
      <c r="AE1748" s="5"/>
      <c r="AF1748" s="1120"/>
      <c r="AG1748" s="1148"/>
      <c r="AH1748" s="1120"/>
      <c r="AI1748" s="1120"/>
      <c r="AJ1748" s="1120"/>
    </row>
    <row r="1749" spans="2:36" ht="30" customHeight="1" x14ac:dyDescent="0.25">
      <c r="B1749" s="5"/>
      <c r="C1749" s="5"/>
      <c r="D1749" s="5"/>
      <c r="E1749" s="5"/>
      <c r="F1749" s="5"/>
      <c r="G1749" s="5"/>
      <c r="H1749" s="5"/>
      <c r="I1749" s="5"/>
      <c r="J1749" s="5"/>
      <c r="L1749" s="277"/>
      <c r="M1749" s="5"/>
      <c r="R1749" s="5"/>
      <c r="S1749" s="5"/>
      <c r="T1749" s="1120"/>
      <c r="U1749" s="5"/>
      <c r="V1749" s="5"/>
      <c r="W1749" s="5"/>
      <c r="X1749" s="1120"/>
      <c r="Y1749" s="1120"/>
      <c r="Z1749" s="5"/>
      <c r="AA1749" s="5"/>
      <c r="AB1749" s="1135"/>
      <c r="AC1749" s="5"/>
      <c r="AD1749" s="5"/>
      <c r="AE1749" s="5"/>
      <c r="AF1749" s="1120"/>
      <c r="AG1749" s="1148"/>
      <c r="AH1749" s="1120"/>
      <c r="AI1749" s="1120"/>
      <c r="AJ1749" s="1120"/>
    </row>
    <row r="1750" spans="2:36" ht="30" customHeight="1" x14ac:dyDescent="0.25">
      <c r="B1750" s="5"/>
      <c r="C1750" s="5"/>
      <c r="D1750" s="5"/>
      <c r="E1750" s="5"/>
      <c r="F1750" s="5"/>
      <c r="G1750" s="5"/>
      <c r="H1750" s="5"/>
      <c r="I1750" s="5"/>
      <c r="J1750" s="5"/>
      <c r="L1750" s="277"/>
      <c r="M1750" s="5"/>
      <c r="R1750" s="5"/>
      <c r="S1750" s="5"/>
      <c r="T1750" s="1120"/>
      <c r="U1750" s="5"/>
      <c r="V1750" s="5"/>
      <c r="W1750" s="5"/>
      <c r="X1750" s="1120"/>
      <c r="Y1750" s="1120"/>
      <c r="Z1750" s="5"/>
      <c r="AA1750" s="5"/>
      <c r="AB1750" s="1135"/>
      <c r="AC1750" s="5"/>
      <c r="AD1750" s="5"/>
      <c r="AE1750" s="5"/>
      <c r="AF1750" s="1120"/>
      <c r="AG1750" s="1148"/>
      <c r="AH1750" s="1120"/>
      <c r="AI1750" s="1120"/>
      <c r="AJ1750" s="1120"/>
    </row>
    <row r="1751" spans="2:36" ht="30" customHeight="1" x14ac:dyDescent="0.25">
      <c r="B1751" s="5"/>
      <c r="C1751" s="5"/>
      <c r="D1751" s="5"/>
      <c r="E1751" s="5"/>
      <c r="F1751" s="5"/>
      <c r="G1751" s="5"/>
      <c r="H1751" s="5"/>
      <c r="I1751" s="5"/>
      <c r="J1751" s="5"/>
      <c r="L1751" s="277"/>
      <c r="M1751" s="5"/>
      <c r="R1751" s="5"/>
      <c r="S1751" s="5"/>
      <c r="T1751" s="1120"/>
      <c r="U1751" s="5"/>
      <c r="V1751" s="5"/>
      <c r="W1751" s="5"/>
      <c r="X1751" s="1120"/>
      <c r="Y1751" s="1120"/>
      <c r="Z1751" s="5"/>
      <c r="AA1751" s="5"/>
      <c r="AB1751" s="1135"/>
      <c r="AC1751" s="5"/>
      <c r="AD1751" s="5"/>
      <c r="AE1751" s="5"/>
      <c r="AF1751" s="1120"/>
      <c r="AG1751" s="1148"/>
      <c r="AH1751" s="1120"/>
      <c r="AI1751" s="1120"/>
      <c r="AJ1751" s="1120"/>
    </row>
    <row r="1752" spans="2:36" ht="30" customHeight="1" x14ac:dyDescent="0.25">
      <c r="B1752" s="5"/>
      <c r="C1752" s="5"/>
      <c r="D1752" s="5"/>
      <c r="E1752" s="5"/>
      <c r="F1752" s="5"/>
      <c r="G1752" s="5"/>
      <c r="H1752" s="5"/>
      <c r="I1752" s="5"/>
      <c r="J1752" s="5"/>
      <c r="L1752" s="277"/>
      <c r="M1752" s="5"/>
      <c r="R1752" s="5"/>
      <c r="S1752" s="5"/>
      <c r="T1752" s="1120"/>
      <c r="U1752" s="5"/>
      <c r="V1752" s="5"/>
      <c r="W1752" s="5"/>
      <c r="X1752" s="1120"/>
      <c r="Y1752" s="1120"/>
      <c r="Z1752" s="5"/>
      <c r="AA1752" s="5"/>
      <c r="AB1752" s="1135"/>
      <c r="AC1752" s="5"/>
      <c r="AD1752" s="5"/>
      <c r="AE1752" s="5"/>
      <c r="AF1752" s="1120"/>
      <c r="AG1752" s="1148"/>
      <c r="AH1752" s="1120"/>
      <c r="AI1752" s="1120"/>
      <c r="AJ1752" s="1120"/>
    </row>
    <row r="1753" spans="2:36" ht="30" customHeight="1" x14ac:dyDescent="0.25">
      <c r="B1753" s="5"/>
      <c r="C1753" s="5"/>
      <c r="D1753" s="5"/>
      <c r="E1753" s="5"/>
      <c r="F1753" s="5"/>
      <c r="G1753" s="5"/>
      <c r="H1753" s="5"/>
      <c r="I1753" s="5"/>
      <c r="J1753" s="5"/>
      <c r="L1753" s="277"/>
      <c r="M1753" s="5"/>
      <c r="R1753" s="5"/>
      <c r="S1753" s="5"/>
      <c r="T1753" s="1120"/>
      <c r="U1753" s="5"/>
      <c r="V1753" s="5"/>
      <c r="W1753" s="5"/>
      <c r="X1753" s="1120"/>
      <c r="Y1753" s="1120"/>
      <c r="Z1753" s="5"/>
      <c r="AA1753" s="5"/>
      <c r="AB1753" s="1135"/>
      <c r="AC1753" s="5"/>
      <c r="AD1753" s="5"/>
      <c r="AE1753" s="5"/>
      <c r="AF1753" s="1120"/>
      <c r="AG1753" s="1148"/>
      <c r="AH1753" s="1120"/>
      <c r="AI1753" s="1120"/>
      <c r="AJ1753" s="1120"/>
    </row>
    <row r="1754" spans="2:36" ht="30" customHeight="1" x14ac:dyDescent="0.25">
      <c r="B1754" s="5"/>
      <c r="C1754" s="5"/>
      <c r="D1754" s="5"/>
      <c r="E1754" s="5"/>
      <c r="F1754" s="5"/>
      <c r="G1754" s="5"/>
      <c r="H1754" s="5"/>
      <c r="I1754" s="5"/>
      <c r="J1754" s="5"/>
      <c r="L1754" s="277"/>
      <c r="M1754" s="5"/>
      <c r="R1754" s="5"/>
      <c r="S1754" s="5"/>
      <c r="T1754" s="1120"/>
      <c r="U1754" s="5"/>
      <c r="V1754" s="5"/>
      <c r="W1754" s="5"/>
      <c r="X1754" s="1120"/>
      <c r="Y1754" s="1120"/>
      <c r="Z1754" s="5"/>
      <c r="AA1754" s="5"/>
      <c r="AB1754" s="1135"/>
      <c r="AC1754" s="5"/>
      <c r="AD1754" s="5"/>
      <c r="AE1754" s="5"/>
      <c r="AF1754" s="1120"/>
      <c r="AG1754" s="1148"/>
      <c r="AH1754" s="1120"/>
      <c r="AI1754" s="1120"/>
      <c r="AJ1754" s="1120"/>
    </row>
    <row r="1755" spans="2:36" ht="30" customHeight="1" x14ac:dyDescent="0.25">
      <c r="B1755" s="5"/>
      <c r="C1755" s="5"/>
      <c r="D1755" s="5"/>
      <c r="E1755" s="5"/>
      <c r="F1755" s="5"/>
      <c r="G1755" s="5"/>
      <c r="H1755" s="5"/>
      <c r="I1755" s="5"/>
      <c r="J1755" s="5"/>
      <c r="L1755" s="277"/>
      <c r="M1755" s="5"/>
      <c r="R1755" s="5"/>
      <c r="S1755" s="5"/>
      <c r="T1755" s="1120"/>
      <c r="U1755" s="5"/>
      <c r="V1755" s="5"/>
      <c r="W1755" s="5"/>
      <c r="X1755" s="1120"/>
      <c r="Y1755" s="1120"/>
      <c r="Z1755" s="5"/>
      <c r="AA1755" s="5"/>
      <c r="AB1755" s="1135"/>
      <c r="AC1755" s="5"/>
      <c r="AD1755" s="5"/>
      <c r="AE1755" s="5"/>
      <c r="AF1755" s="1120"/>
      <c r="AG1755" s="1148"/>
      <c r="AH1755" s="1120"/>
      <c r="AI1755" s="1120"/>
      <c r="AJ1755" s="1120"/>
    </row>
    <row r="1756" spans="2:36" ht="30" customHeight="1" x14ac:dyDescent="0.25">
      <c r="B1756" s="5"/>
      <c r="C1756" s="5"/>
      <c r="D1756" s="5"/>
      <c r="E1756" s="5"/>
      <c r="F1756" s="5"/>
      <c r="G1756" s="5"/>
      <c r="H1756" s="5"/>
      <c r="I1756" s="5"/>
      <c r="J1756" s="5"/>
      <c r="L1756" s="277"/>
      <c r="M1756" s="5"/>
      <c r="R1756" s="5"/>
      <c r="S1756" s="5"/>
      <c r="T1756" s="1120"/>
      <c r="U1756" s="5"/>
      <c r="V1756" s="5"/>
      <c r="W1756" s="5"/>
      <c r="X1756" s="1120"/>
      <c r="Y1756" s="1120"/>
      <c r="Z1756" s="5"/>
      <c r="AA1756" s="5"/>
      <c r="AB1756" s="1135"/>
      <c r="AC1756" s="5"/>
      <c r="AD1756" s="5"/>
      <c r="AE1756" s="5"/>
      <c r="AF1756" s="1120"/>
      <c r="AG1756" s="1148"/>
      <c r="AH1756" s="1120"/>
      <c r="AI1756" s="1120"/>
      <c r="AJ1756" s="1120"/>
    </row>
    <row r="1757" spans="2:36" ht="30" customHeight="1" x14ac:dyDescent="0.25">
      <c r="B1757" s="5"/>
      <c r="C1757" s="5"/>
      <c r="D1757" s="5"/>
      <c r="E1757" s="5"/>
      <c r="F1757" s="5"/>
      <c r="G1757" s="5"/>
      <c r="H1757" s="5"/>
      <c r="I1757" s="5"/>
      <c r="J1757" s="5"/>
      <c r="L1757" s="277"/>
      <c r="M1757" s="5"/>
      <c r="R1757" s="5"/>
      <c r="S1757" s="5"/>
      <c r="T1757" s="1120"/>
      <c r="U1757" s="5"/>
      <c r="V1757" s="5"/>
      <c r="W1757" s="5"/>
      <c r="X1757" s="1120"/>
      <c r="Y1757" s="1120"/>
      <c r="Z1757" s="5"/>
      <c r="AA1757" s="5"/>
      <c r="AB1757" s="1135"/>
      <c r="AC1757" s="5"/>
      <c r="AD1757" s="5"/>
      <c r="AE1757" s="5"/>
      <c r="AF1757" s="1120"/>
      <c r="AG1757" s="1148"/>
      <c r="AH1757" s="1120"/>
      <c r="AI1757" s="1120"/>
      <c r="AJ1757" s="1120"/>
    </row>
    <row r="1758" spans="2:36" ht="30" customHeight="1" x14ac:dyDescent="0.25">
      <c r="B1758" s="5"/>
      <c r="C1758" s="5"/>
      <c r="D1758" s="5"/>
      <c r="E1758" s="5"/>
      <c r="F1758" s="5"/>
      <c r="G1758" s="5"/>
      <c r="H1758" s="5"/>
      <c r="I1758" s="5"/>
      <c r="J1758" s="5"/>
      <c r="L1758" s="277"/>
      <c r="M1758" s="5"/>
      <c r="R1758" s="5"/>
      <c r="S1758" s="5"/>
      <c r="T1758" s="1120"/>
      <c r="U1758" s="5"/>
      <c r="V1758" s="5"/>
      <c r="W1758" s="5"/>
      <c r="X1758" s="1120"/>
      <c r="Y1758" s="1120"/>
      <c r="Z1758" s="5"/>
      <c r="AA1758" s="5"/>
      <c r="AB1758" s="1135"/>
      <c r="AC1758" s="5"/>
      <c r="AD1758" s="5"/>
      <c r="AE1758" s="5"/>
      <c r="AF1758" s="1120"/>
      <c r="AG1758" s="1148"/>
      <c r="AH1758" s="1120"/>
      <c r="AI1758" s="1120"/>
      <c r="AJ1758" s="1120"/>
    </row>
    <row r="1759" spans="2:36" ht="30" customHeight="1" x14ac:dyDescent="0.25">
      <c r="B1759" s="5"/>
      <c r="C1759" s="5"/>
      <c r="D1759" s="5"/>
      <c r="E1759" s="5"/>
      <c r="F1759" s="5"/>
      <c r="G1759" s="5"/>
      <c r="H1759" s="5"/>
      <c r="I1759" s="5"/>
      <c r="J1759" s="5"/>
      <c r="L1759" s="277"/>
      <c r="M1759" s="5"/>
      <c r="R1759" s="5"/>
      <c r="S1759" s="5"/>
      <c r="T1759" s="1120"/>
      <c r="U1759" s="5"/>
      <c r="V1759" s="5"/>
      <c r="W1759" s="5"/>
      <c r="X1759" s="1120"/>
      <c r="Y1759" s="1120"/>
      <c r="Z1759" s="5"/>
      <c r="AA1759" s="5"/>
      <c r="AB1759" s="1135"/>
      <c r="AC1759" s="5"/>
      <c r="AD1759" s="5"/>
      <c r="AE1759" s="5"/>
      <c r="AF1759" s="1120"/>
      <c r="AG1759" s="1148"/>
      <c r="AH1759" s="1120"/>
      <c r="AI1759" s="1120"/>
      <c r="AJ1759" s="1120"/>
    </row>
    <row r="1760" spans="2:36" ht="30" customHeight="1" x14ac:dyDescent="0.25">
      <c r="B1760" s="5"/>
      <c r="C1760" s="5"/>
      <c r="D1760" s="5"/>
      <c r="E1760" s="5"/>
      <c r="F1760" s="5"/>
      <c r="G1760" s="5"/>
      <c r="H1760" s="5"/>
      <c r="I1760" s="5"/>
      <c r="J1760" s="5"/>
      <c r="L1760" s="277"/>
      <c r="M1760" s="5"/>
      <c r="R1760" s="5"/>
      <c r="S1760" s="5"/>
      <c r="T1760" s="1120"/>
      <c r="U1760" s="5"/>
      <c r="V1760" s="5"/>
      <c r="W1760" s="5"/>
      <c r="X1760" s="1120"/>
      <c r="Y1760" s="1120"/>
      <c r="Z1760" s="5"/>
      <c r="AA1760" s="5"/>
      <c r="AB1760" s="1135"/>
      <c r="AC1760" s="5"/>
      <c r="AD1760" s="5"/>
      <c r="AE1760" s="5"/>
      <c r="AF1760" s="1120"/>
      <c r="AG1760" s="1148"/>
      <c r="AH1760" s="1120"/>
      <c r="AI1760" s="1120"/>
      <c r="AJ1760" s="1120"/>
    </row>
    <row r="1761" spans="2:36" ht="30" customHeight="1" x14ac:dyDescent="0.25">
      <c r="B1761" s="5"/>
      <c r="C1761" s="5"/>
      <c r="D1761" s="5"/>
      <c r="E1761" s="5"/>
      <c r="F1761" s="5"/>
      <c r="G1761" s="5"/>
      <c r="H1761" s="5"/>
      <c r="I1761" s="5"/>
      <c r="J1761" s="5"/>
      <c r="L1761" s="277"/>
      <c r="M1761" s="5"/>
      <c r="R1761" s="5"/>
      <c r="S1761" s="5"/>
      <c r="T1761" s="1120"/>
      <c r="U1761" s="5"/>
      <c r="V1761" s="5"/>
      <c r="W1761" s="5"/>
      <c r="X1761" s="1120"/>
      <c r="Y1761" s="1120"/>
      <c r="Z1761" s="5"/>
      <c r="AA1761" s="5"/>
      <c r="AB1761" s="1135"/>
      <c r="AC1761" s="5"/>
      <c r="AD1761" s="5"/>
      <c r="AE1761" s="5"/>
      <c r="AF1761" s="1120"/>
      <c r="AG1761" s="1148"/>
      <c r="AH1761" s="1120"/>
      <c r="AI1761" s="1120"/>
      <c r="AJ1761" s="1120"/>
    </row>
    <row r="1762" spans="2:36" ht="30" customHeight="1" x14ac:dyDescent="0.25">
      <c r="B1762" s="5"/>
      <c r="C1762" s="5"/>
      <c r="D1762" s="5"/>
      <c r="E1762" s="5"/>
      <c r="F1762" s="5"/>
      <c r="G1762" s="5"/>
      <c r="H1762" s="5"/>
      <c r="I1762" s="5"/>
      <c r="J1762" s="5"/>
      <c r="L1762" s="277"/>
      <c r="M1762" s="5"/>
      <c r="R1762" s="5"/>
      <c r="S1762" s="5"/>
      <c r="T1762" s="1120"/>
      <c r="U1762" s="5"/>
      <c r="V1762" s="5"/>
      <c r="W1762" s="5"/>
      <c r="X1762" s="1120"/>
      <c r="Y1762" s="1120"/>
      <c r="Z1762" s="5"/>
      <c r="AA1762" s="5"/>
      <c r="AB1762" s="1135"/>
      <c r="AC1762" s="5"/>
      <c r="AD1762" s="5"/>
      <c r="AE1762" s="5"/>
      <c r="AF1762" s="1120"/>
      <c r="AG1762" s="1148"/>
      <c r="AH1762" s="1120"/>
      <c r="AI1762" s="1120"/>
      <c r="AJ1762" s="1120"/>
    </row>
    <row r="1763" spans="2:36" ht="30" customHeight="1" x14ac:dyDescent="0.25">
      <c r="B1763" s="5"/>
      <c r="C1763" s="5"/>
      <c r="D1763" s="5"/>
      <c r="E1763" s="5"/>
      <c r="F1763" s="5"/>
      <c r="G1763" s="5"/>
      <c r="H1763" s="5"/>
      <c r="I1763" s="5"/>
      <c r="J1763" s="5"/>
      <c r="L1763" s="277"/>
      <c r="M1763" s="5"/>
      <c r="R1763" s="5"/>
      <c r="S1763" s="5"/>
      <c r="T1763" s="1120"/>
      <c r="U1763" s="5"/>
      <c r="V1763" s="5"/>
      <c r="W1763" s="5"/>
      <c r="X1763" s="1120"/>
      <c r="Y1763" s="1120"/>
      <c r="Z1763" s="5"/>
      <c r="AA1763" s="5"/>
      <c r="AB1763" s="1135"/>
      <c r="AC1763" s="5"/>
      <c r="AD1763" s="5"/>
      <c r="AE1763" s="5"/>
      <c r="AF1763" s="1120"/>
      <c r="AG1763" s="1148"/>
      <c r="AH1763" s="1120"/>
      <c r="AI1763" s="1120"/>
      <c r="AJ1763" s="1120"/>
    </row>
    <row r="1764" spans="2:36" ht="30" customHeight="1" x14ac:dyDescent="0.25">
      <c r="B1764" s="5"/>
      <c r="C1764" s="5"/>
      <c r="D1764" s="5"/>
      <c r="E1764" s="5"/>
      <c r="F1764" s="5"/>
      <c r="G1764" s="5"/>
      <c r="H1764" s="5"/>
      <c r="I1764" s="5"/>
      <c r="J1764" s="5"/>
      <c r="L1764" s="277"/>
      <c r="M1764" s="5"/>
      <c r="R1764" s="5"/>
      <c r="S1764" s="5"/>
      <c r="T1764" s="1120"/>
      <c r="U1764" s="5"/>
      <c r="V1764" s="5"/>
      <c r="W1764" s="5"/>
      <c r="X1764" s="1120"/>
      <c r="Y1764" s="1120"/>
      <c r="Z1764" s="5"/>
      <c r="AA1764" s="5"/>
      <c r="AB1764" s="1135"/>
      <c r="AC1764" s="5"/>
      <c r="AD1764" s="5"/>
      <c r="AE1764" s="5"/>
      <c r="AF1764" s="1120"/>
      <c r="AG1764" s="1148"/>
      <c r="AH1764" s="1120"/>
      <c r="AI1764" s="1120"/>
      <c r="AJ1764" s="1120"/>
    </row>
    <row r="1765" spans="2:36" ht="30" customHeight="1" x14ac:dyDescent="0.25">
      <c r="B1765" s="5"/>
      <c r="C1765" s="5"/>
      <c r="D1765" s="5"/>
      <c r="E1765" s="5"/>
      <c r="F1765" s="5"/>
      <c r="G1765" s="5"/>
      <c r="H1765" s="5"/>
      <c r="I1765" s="5"/>
      <c r="J1765" s="5"/>
      <c r="L1765" s="277"/>
      <c r="M1765" s="5"/>
      <c r="R1765" s="5"/>
      <c r="S1765" s="5"/>
      <c r="T1765" s="1120"/>
      <c r="U1765" s="5"/>
      <c r="V1765" s="5"/>
      <c r="W1765" s="5"/>
      <c r="X1765" s="1120"/>
      <c r="Y1765" s="1120"/>
      <c r="Z1765" s="5"/>
      <c r="AA1765" s="5"/>
      <c r="AB1765" s="1135"/>
      <c r="AC1765" s="5"/>
      <c r="AD1765" s="5"/>
      <c r="AE1765" s="5"/>
      <c r="AF1765" s="1120"/>
      <c r="AG1765" s="1148"/>
      <c r="AH1765" s="1120"/>
      <c r="AI1765" s="1120"/>
      <c r="AJ1765" s="1120"/>
    </row>
    <row r="1766" spans="2:36" ht="30" customHeight="1" x14ac:dyDescent="0.25">
      <c r="B1766" s="5"/>
      <c r="C1766" s="5"/>
      <c r="D1766" s="5"/>
      <c r="E1766" s="5"/>
      <c r="F1766" s="5"/>
      <c r="G1766" s="5"/>
      <c r="H1766" s="5"/>
      <c r="I1766" s="5"/>
      <c r="J1766" s="5"/>
      <c r="L1766" s="277"/>
      <c r="M1766" s="5"/>
      <c r="R1766" s="5"/>
      <c r="S1766" s="5"/>
      <c r="T1766" s="1120"/>
      <c r="U1766" s="5"/>
      <c r="V1766" s="5"/>
      <c r="W1766" s="5"/>
      <c r="X1766" s="1120"/>
      <c r="Y1766" s="1120"/>
      <c r="Z1766" s="5"/>
      <c r="AA1766" s="5"/>
      <c r="AB1766" s="1135"/>
      <c r="AC1766" s="5"/>
      <c r="AD1766" s="5"/>
      <c r="AE1766" s="5"/>
      <c r="AF1766" s="1120"/>
      <c r="AG1766" s="1148"/>
      <c r="AH1766" s="1120"/>
      <c r="AI1766" s="1120"/>
      <c r="AJ1766" s="1120"/>
    </row>
    <row r="1767" spans="2:36" ht="30" customHeight="1" x14ac:dyDescent="0.25">
      <c r="B1767" s="5"/>
      <c r="C1767" s="5"/>
      <c r="D1767" s="5"/>
      <c r="E1767" s="5"/>
      <c r="F1767" s="5"/>
      <c r="G1767" s="5"/>
      <c r="H1767" s="5"/>
      <c r="I1767" s="5"/>
      <c r="J1767" s="5"/>
      <c r="L1767" s="277"/>
      <c r="M1767" s="5"/>
      <c r="R1767" s="5"/>
      <c r="S1767" s="5"/>
      <c r="T1767" s="1120"/>
      <c r="U1767" s="5"/>
      <c r="V1767" s="5"/>
      <c r="W1767" s="5"/>
      <c r="X1767" s="1120"/>
      <c r="Y1767" s="1120"/>
      <c r="Z1767" s="5"/>
      <c r="AA1767" s="5"/>
      <c r="AB1767" s="1135"/>
      <c r="AC1767" s="5"/>
      <c r="AD1767" s="5"/>
      <c r="AE1767" s="5"/>
      <c r="AF1767" s="1120"/>
      <c r="AG1767" s="1148"/>
      <c r="AH1767" s="1120"/>
      <c r="AI1767" s="1120"/>
      <c r="AJ1767" s="1120"/>
    </row>
    <row r="1768" spans="2:36" ht="30" customHeight="1" x14ac:dyDescent="0.25">
      <c r="B1768" s="5"/>
      <c r="C1768" s="5"/>
      <c r="D1768" s="5"/>
      <c r="E1768" s="5"/>
      <c r="F1768" s="5"/>
      <c r="G1768" s="5"/>
      <c r="H1768" s="5"/>
      <c r="I1768" s="5"/>
      <c r="J1768" s="5"/>
      <c r="L1768" s="277"/>
      <c r="M1768" s="5"/>
      <c r="R1768" s="5"/>
      <c r="S1768" s="5"/>
      <c r="T1768" s="1120"/>
      <c r="U1768" s="5"/>
      <c r="V1768" s="5"/>
      <c r="W1768" s="5"/>
      <c r="X1768" s="1120"/>
      <c r="Y1768" s="1120"/>
      <c r="Z1768" s="5"/>
      <c r="AA1768" s="5"/>
      <c r="AB1768" s="1135"/>
      <c r="AC1768" s="5"/>
      <c r="AD1768" s="5"/>
      <c r="AE1768" s="5"/>
      <c r="AF1768" s="1120"/>
      <c r="AG1768" s="1148"/>
      <c r="AH1768" s="1120"/>
      <c r="AI1768" s="1120"/>
      <c r="AJ1768" s="1120"/>
    </row>
    <row r="1769" spans="2:36" ht="30" customHeight="1" x14ac:dyDescent="0.25">
      <c r="B1769" s="5"/>
      <c r="C1769" s="5"/>
      <c r="D1769" s="5"/>
      <c r="E1769" s="5"/>
      <c r="F1769" s="5"/>
      <c r="G1769" s="5"/>
      <c r="H1769" s="5"/>
      <c r="I1769" s="5"/>
      <c r="J1769" s="5"/>
      <c r="L1769" s="277"/>
      <c r="M1769" s="5"/>
      <c r="R1769" s="5"/>
      <c r="S1769" s="5"/>
      <c r="T1769" s="1120"/>
      <c r="U1769" s="5"/>
      <c r="V1769" s="5"/>
      <c r="W1769" s="5"/>
      <c r="X1769" s="1120"/>
      <c r="Y1769" s="1120"/>
      <c r="Z1769" s="5"/>
      <c r="AA1769" s="5"/>
      <c r="AB1769" s="1135"/>
      <c r="AC1769" s="5"/>
      <c r="AD1769" s="5"/>
      <c r="AE1769" s="5"/>
      <c r="AF1769" s="1120"/>
      <c r="AG1769" s="1148"/>
      <c r="AH1769" s="1120"/>
      <c r="AI1769" s="1120"/>
      <c r="AJ1769" s="1120"/>
    </row>
    <row r="1770" spans="2:36" ht="30" customHeight="1" x14ac:dyDescent="0.25">
      <c r="B1770" s="5"/>
      <c r="C1770" s="5"/>
      <c r="D1770" s="5"/>
      <c r="E1770" s="5"/>
      <c r="F1770" s="5"/>
      <c r="G1770" s="5"/>
      <c r="H1770" s="5"/>
      <c r="I1770" s="5"/>
      <c r="J1770" s="5"/>
      <c r="L1770" s="277"/>
      <c r="M1770" s="5"/>
      <c r="R1770" s="5"/>
      <c r="S1770" s="5"/>
      <c r="T1770" s="1120"/>
      <c r="U1770" s="5"/>
      <c r="V1770" s="5"/>
      <c r="W1770" s="5"/>
      <c r="X1770" s="1120"/>
      <c r="Y1770" s="1120"/>
      <c r="Z1770" s="5"/>
      <c r="AA1770" s="5"/>
      <c r="AB1770" s="1135"/>
      <c r="AC1770" s="5"/>
      <c r="AD1770" s="5"/>
      <c r="AE1770" s="5"/>
      <c r="AF1770" s="1120"/>
      <c r="AG1770" s="1148"/>
      <c r="AH1770" s="1120"/>
      <c r="AI1770" s="1120"/>
      <c r="AJ1770" s="1120"/>
    </row>
    <row r="1771" spans="2:36" ht="30" customHeight="1" x14ac:dyDescent="0.25">
      <c r="B1771" s="5"/>
      <c r="C1771" s="5"/>
      <c r="D1771" s="5"/>
      <c r="E1771" s="5"/>
      <c r="F1771" s="5"/>
      <c r="G1771" s="5"/>
      <c r="H1771" s="5"/>
      <c r="I1771" s="5"/>
      <c r="J1771" s="5"/>
      <c r="L1771" s="277"/>
      <c r="M1771" s="5"/>
      <c r="R1771" s="5"/>
      <c r="S1771" s="5"/>
      <c r="T1771" s="1120"/>
      <c r="U1771" s="5"/>
      <c r="V1771" s="5"/>
      <c r="W1771" s="5"/>
      <c r="X1771" s="1120"/>
      <c r="Y1771" s="1120"/>
      <c r="Z1771" s="5"/>
      <c r="AA1771" s="5"/>
      <c r="AB1771" s="1135"/>
      <c r="AC1771" s="5"/>
      <c r="AD1771" s="5"/>
      <c r="AE1771" s="5"/>
      <c r="AF1771" s="1120"/>
      <c r="AG1771" s="1148"/>
      <c r="AH1771" s="1120"/>
      <c r="AI1771" s="1120"/>
      <c r="AJ1771" s="1120"/>
    </row>
    <row r="1772" spans="2:36" ht="30" customHeight="1" x14ac:dyDescent="0.25">
      <c r="B1772" s="5"/>
      <c r="C1772" s="5"/>
      <c r="D1772" s="5"/>
      <c r="E1772" s="5"/>
      <c r="F1772" s="5"/>
      <c r="G1772" s="5"/>
      <c r="H1772" s="5"/>
      <c r="I1772" s="5"/>
      <c r="J1772" s="5"/>
      <c r="L1772" s="277"/>
      <c r="M1772" s="5"/>
      <c r="R1772" s="5"/>
      <c r="S1772" s="5"/>
      <c r="T1772" s="1120"/>
      <c r="U1772" s="5"/>
      <c r="V1772" s="5"/>
      <c r="W1772" s="5"/>
      <c r="X1772" s="1120"/>
      <c r="Y1772" s="1120"/>
      <c r="Z1772" s="5"/>
      <c r="AA1772" s="5"/>
      <c r="AB1772" s="1135"/>
      <c r="AC1772" s="5"/>
      <c r="AD1772" s="5"/>
      <c r="AE1772" s="5"/>
      <c r="AF1772" s="1120"/>
      <c r="AG1772" s="1148"/>
      <c r="AH1772" s="1120"/>
      <c r="AI1772" s="1120"/>
      <c r="AJ1772" s="1120"/>
    </row>
    <row r="1773" spans="2:36" ht="30" customHeight="1" x14ac:dyDescent="0.25">
      <c r="B1773" s="5"/>
      <c r="C1773" s="5"/>
      <c r="D1773" s="5"/>
      <c r="E1773" s="5"/>
      <c r="F1773" s="5"/>
      <c r="G1773" s="5"/>
      <c r="H1773" s="5"/>
      <c r="I1773" s="5"/>
      <c r="J1773" s="5"/>
      <c r="L1773" s="277"/>
      <c r="M1773" s="5"/>
      <c r="R1773" s="5"/>
      <c r="S1773" s="5"/>
      <c r="T1773" s="1120"/>
      <c r="U1773" s="5"/>
      <c r="V1773" s="5"/>
      <c r="W1773" s="5"/>
      <c r="X1773" s="1120"/>
      <c r="Y1773" s="1120"/>
      <c r="Z1773" s="5"/>
      <c r="AA1773" s="5"/>
      <c r="AB1773" s="1135"/>
      <c r="AC1773" s="5"/>
      <c r="AD1773" s="5"/>
      <c r="AE1773" s="5"/>
      <c r="AF1773" s="1120"/>
      <c r="AG1773" s="1148"/>
      <c r="AH1773" s="1120"/>
      <c r="AI1773" s="1120"/>
      <c r="AJ1773" s="1120"/>
    </row>
    <row r="1774" spans="2:36" ht="30" customHeight="1" x14ac:dyDescent="0.25">
      <c r="B1774" s="5"/>
      <c r="C1774" s="5"/>
      <c r="D1774" s="5"/>
      <c r="E1774" s="5"/>
      <c r="F1774" s="5"/>
      <c r="G1774" s="5"/>
      <c r="H1774" s="5"/>
      <c r="I1774" s="5"/>
      <c r="J1774" s="5"/>
      <c r="L1774" s="277"/>
      <c r="M1774" s="5"/>
      <c r="R1774" s="5"/>
      <c r="S1774" s="5"/>
      <c r="T1774" s="1120"/>
      <c r="U1774" s="5"/>
      <c r="V1774" s="5"/>
      <c r="W1774" s="5"/>
      <c r="X1774" s="1120"/>
      <c r="Y1774" s="1120"/>
      <c r="Z1774" s="5"/>
      <c r="AA1774" s="5"/>
      <c r="AB1774" s="1135"/>
      <c r="AC1774" s="5"/>
      <c r="AD1774" s="5"/>
      <c r="AE1774" s="5"/>
      <c r="AF1774" s="1120"/>
      <c r="AG1774" s="1148"/>
      <c r="AH1774" s="1120"/>
      <c r="AI1774" s="1120"/>
      <c r="AJ1774" s="1120"/>
    </row>
    <row r="1775" spans="2:36" ht="30" customHeight="1" x14ac:dyDescent="0.25">
      <c r="B1775" s="5"/>
      <c r="C1775" s="5"/>
      <c r="D1775" s="5"/>
      <c r="E1775" s="5"/>
      <c r="F1775" s="5"/>
      <c r="G1775" s="5"/>
      <c r="H1775" s="5"/>
      <c r="I1775" s="5"/>
      <c r="J1775" s="5"/>
      <c r="L1775" s="277"/>
      <c r="M1775" s="5"/>
      <c r="R1775" s="5"/>
      <c r="S1775" s="5"/>
      <c r="T1775" s="1120"/>
      <c r="U1775" s="5"/>
      <c r="V1775" s="5"/>
      <c r="W1775" s="5"/>
      <c r="X1775" s="1120"/>
      <c r="Y1775" s="1120"/>
      <c r="Z1775" s="5"/>
      <c r="AA1775" s="5"/>
      <c r="AB1775" s="1135"/>
      <c r="AC1775" s="5"/>
      <c r="AD1775" s="5"/>
      <c r="AE1775" s="5"/>
      <c r="AF1775" s="1120"/>
      <c r="AG1775" s="1148"/>
      <c r="AH1775" s="1120"/>
      <c r="AI1775" s="1120"/>
      <c r="AJ1775" s="1120"/>
    </row>
    <row r="1776" spans="2:36" ht="30" customHeight="1" x14ac:dyDescent="0.25">
      <c r="B1776" s="5"/>
      <c r="C1776" s="5"/>
      <c r="D1776" s="5"/>
      <c r="E1776" s="5"/>
      <c r="F1776" s="5"/>
      <c r="G1776" s="5"/>
      <c r="H1776" s="5"/>
      <c r="I1776" s="5"/>
      <c r="J1776" s="5"/>
      <c r="L1776" s="277"/>
      <c r="M1776" s="5"/>
      <c r="R1776" s="5"/>
      <c r="S1776" s="5"/>
      <c r="T1776" s="1120"/>
      <c r="U1776" s="5"/>
      <c r="V1776" s="5"/>
      <c r="W1776" s="5"/>
      <c r="X1776" s="1120"/>
      <c r="Y1776" s="1120"/>
      <c r="Z1776" s="5"/>
      <c r="AA1776" s="5"/>
      <c r="AB1776" s="1135"/>
      <c r="AC1776" s="5"/>
      <c r="AD1776" s="5"/>
      <c r="AE1776" s="5"/>
      <c r="AF1776" s="1120"/>
      <c r="AG1776" s="1148"/>
      <c r="AH1776" s="1120"/>
      <c r="AI1776" s="1120"/>
      <c r="AJ1776" s="1120"/>
    </row>
    <row r="1777" spans="2:36" ht="30" customHeight="1" x14ac:dyDescent="0.25">
      <c r="B1777" s="5"/>
      <c r="C1777" s="5"/>
      <c r="D1777" s="5"/>
      <c r="E1777" s="5"/>
      <c r="F1777" s="5"/>
      <c r="G1777" s="5"/>
      <c r="H1777" s="5"/>
      <c r="I1777" s="5"/>
      <c r="J1777" s="5"/>
      <c r="L1777" s="277"/>
      <c r="M1777" s="5"/>
      <c r="R1777" s="5"/>
      <c r="S1777" s="5"/>
      <c r="T1777" s="1120"/>
      <c r="U1777" s="5"/>
      <c r="V1777" s="5"/>
      <c r="W1777" s="5"/>
      <c r="X1777" s="1120"/>
      <c r="Y1777" s="1120"/>
      <c r="Z1777" s="5"/>
      <c r="AA1777" s="5"/>
      <c r="AB1777" s="1135"/>
      <c r="AC1777" s="5"/>
      <c r="AD1777" s="5"/>
      <c r="AE1777" s="5"/>
      <c r="AF1777" s="1120"/>
      <c r="AG1777" s="1148"/>
      <c r="AH1777" s="1120"/>
      <c r="AI1777" s="1120"/>
      <c r="AJ1777" s="1120"/>
    </row>
    <row r="1778" spans="2:36" ht="30" customHeight="1" x14ac:dyDescent="0.25">
      <c r="B1778" s="5"/>
      <c r="C1778" s="5"/>
      <c r="D1778" s="5"/>
      <c r="E1778" s="5"/>
      <c r="F1778" s="5"/>
      <c r="G1778" s="5"/>
      <c r="H1778" s="5"/>
      <c r="I1778" s="5"/>
      <c r="J1778" s="5"/>
      <c r="L1778" s="277"/>
      <c r="M1778" s="5"/>
      <c r="R1778" s="5"/>
      <c r="S1778" s="5"/>
      <c r="T1778" s="1120"/>
      <c r="U1778" s="5"/>
      <c r="V1778" s="5"/>
      <c r="W1778" s="5"/>
      <c r="X1778" s="1120"/>
      <c r="Y1778" s="1120"/>
      <c r="Z1778" s="5"/>
      <c r="AA1778" s="5"/>
      <c r="AB1778" s="1135"/>
      <c r="AC1778" s="5"/>
      <c r="AD1778" s="5"/>
      <c r="AE1778" s="5"/>
      <c r="AF1778" s="1120"/>
      <c r="AG1778" s="1148"/>
      <c r="AH1778" s="1120"/>
      <c r="AI1778" s="1120"/>
      <c r="AJ1778" s="1120"/>
    </row>
    <row r="1779" spans="2:36" ht="30" customHeight="1" x14ac:dyDescent="0.25">
      <c r="B1779" s="5"/>
      <c r="C1779" s="5"/>
      <c r="D1779" s="5"/>
      <c r="E1779" s="5"/>
      <c r="F1779" s="5"/>
      <c r="G1779" s="5"/>
      <c r="H1779" s="5"/>
      <c r="I1779" s="5"/>
      <c r="J1779" s="5"/>
      <c r="L1779" s="277"/>
      <c r="M1779" s="5"/>
      <c r="R1779" s="5"/>
      <c r="S1779" s="5"/>
      <c r="T1779" s="1120"/>
      <c r="U1779" s="5"/>
      <c r="V1779" s="5"/>
      <c r="W1779" s="5"/>
      <c r="X1779" s="1120"/>
      <c r="Y1779" s="1120"/>
      <c r="Z1779" s="5"/>
      <c r="AA1779" s="5"/>
      <c r="AB1779" s="1135"/>
      <c r="AC1779" s="5"/>
      <c r="AD1779" s="5"/>
      <c r="AE1779" s="5"/>
      <c r="AF1779" s="1120"/>
      <c r="AG1779" s="1148"/>
      <c r="AH1779" s="1120"/>
      <c r="AI1779" s="1120"/>
      <c r="AJ1779" s="1120"/>
    </row>
    <row r="1780" spans="2:36" ht="30" customHeight="1" x14ac:dyDescent="0.25">
      <c r="B1780" s="5"/>
      <c r="C1780" s="5"/>
      <c r="D1780" s="5"/>
      <c r="E1780" s="5"/>
      <c r="F1780" s="5"/>
      <c r="G1780" s="5"/>
      <c r="H1780" s="5"/>
      <c r="I1780" s="5"/>
      <c r="J1780" s="5"/>
      <c r="L1780" s="277"/>
      <c r="M1780" s="5"/>
      <c r="R1780" s="5"/>
      <c r="S1780" s="5"/>
      <c r="T1780" s="1120"/>
      <c r="U1780" s="5"/>
      <c r="V1780" s="5"/>
      <c r="W1780" s="5"/>
      <c r="X1780" s="1120"/>
      <c r="Y1780" s="1120"/>
      <c r="Z1780" s="5"/>
      <c r="AA1780" s="5"/>
      <c r="AB1780" s="1135"/>
      <c r="AC1780" s="5"/>
      <c r="AD1780" s="5"/>
      <c r="AE1780" s="5"/>
      <c r="AF1780" s="1120"/>
      <c r="AG1780" s="1148"/>
      <c r="AH1780" s="1120"/>
      <c r="AI1780" s="1120"/>
      <c r="AJ1780" s="1120"/>
    </row>
    <row r="1781" spans="2:36" ht="30" customHeight="1" x14ac:dyDescent="0.25">
      <c r="B1781" s="5"/>
      <c r="C1781" s="5"/>
      <c r="D1781" s="5"/>
      <c r="E1781" s="5"/>
      <c r="F1781" s="5"/>
      <c r="G1781" s="5"/>
      <c r="H1781" s="5"/>
      <c r="I1781" s="5"/>
      <c r="J1781" s="5"/>
      <c r="L1781" s="277"/>
      <c r="M1781" s="5"/>
      <c r="R1781" s="5"/>
      <c r="S1781" s="5"/>
      <c r="T1781" s="1120"/>
      <c r="U1781" s="5"/>
      <c r="V1781" s="5"/>
      <c r="W1781" s="5"/>
      <c r="X1781" s="1120"/>
      <c r="Y1781" s="1120"/>
      <c r="Z1781" s="5"/>
      <c r="AA1781" s="5"/>
      <c r="AB1781" s="1135"/>
      <c r="AC1781" s="5"/>
      <c r="AD1781" s="5"/>
      <c r="AE1781" s="5"/>
      <c r="AF1781" s="1120"/>
      <c r="AG1781" s="1148"/>
      <c r="AH1781" s="1120"/>
      <c r="AI1781" s="1120"/>
      <c r="AJ1781" s="1120"/>
    </row>
    <row r="1782" spans="2:36" ht="30" customHeight="1" x14ac:dyDescent="0.25">
      <c r="B1782" s="5"/>
      <c r="C1782" s="5"/>
      <c r="D1782" s="5"/>
      <c r="E1782" s="5"/>
      <c r="F1782" s="5"/>
      <c r="G1782" s="5"/>
      <c r="H1782" s="5"/>
      <c r="I1782" s="5"/>
      <c r="J1782" s="5"/>
      <c r="L1782" s="277"/>
      <c r="M1782" s="5"/>
      <c r="R1782" s="5"/>
      <c r="S1782" s="5"/>
      <c r="T1782" s="1120"/>
      <c r="U1782" s="5"/>
      <c r="V1782" s="5"/>
      <c r="W1782" s="5"/>
      <c r="X1782" s="1120"/>
      <c r="Y1782" s="1120"/>
      <c r="Z1782" s="5"/>
      <c r="AA1782" s="5"/>
      <c r="AB1782" s="1135"/>
      <c r="AC1782" s="5"/>
      <c r="AD1782" s="5"/>
      <c r="AE1782" s="5"/>
      <c r="AF1782" s="1120"/>
      <c r="AG1782" s="1148"/>
      <c r="AH1782" s="1120"/>
      <c r="AI1782" s="1120"/>
      <c r="AJ1782" s="1120"/>
    </row>
    <row r="1783" spans="2:36" ht="30" customHeight="1" x14ac:dyDescent="0.25">
      <c r="B1783" s="5"/>
      <c r="C1783" s="5"/>
      <c r="D1783" s="5"/>
      <c r="E1783" s="5"/>
      <c r="F1783" s="5"/>
      <c r="G1783" s="5"/>
      <c r="H1783" s="5"/>
      <c r="I1783" s="5"/>
      <c r="J1783" s="5"/>
      <c r="L1783" s="277"/>
      <c r="M1783" s="5"/>
      <c r="R1783" s="5"/>
      <c r="S1783" s="5"/>
      <c r="T1783" s="1120"/>
      <c r="U1783" s="5"/>
      <c r="V1783" s="5"/>
      <c r="W1783" s="5"/>
      <c r="X1783" s="1120"/>
      <c r="Y1783" s="1120"/>
      <c r="Z1783" s="5"/>
      <c r="AA1783" s="5"/>
      <c r="AB1783" s="1135"/>
      <c r="AC1783" s="5"/>
      <c r="AD1783" s="5"/>
      <c r="AE1783" s="5"/>
      <c r="AF1783" s="1120"/>
      <c r="AG1783" s="1148"/>
      <c r="AH1783" s="1120"/>
      <c r="AI1783" s="1120"/>
      <c r="AJ1783" s="1120"/>
    </row>
    <row r="1784" spans="2:36" ht="30" customHeight="1" x14ac:dyDescent="0.25">
      <c r="B1784" s="5"/>
      <c r="C1784" s="5"/>
      <c r="D1784" s="5"/>
      <c r="E1784" s="5"/>
      <c r="F1784" s="5"/>
      <c r="G1784" s="5"/>
      <c r="H1784" s="5"/>
      <c r="I1784" s="5"/>
      <c r="J1784" s="5"/>
      <c r="L1784" s="277"/>
      <c r="M1784" s="5"/>
      <c r="R1784" s="5"/>
      <c r="S1784" s="5"/>
      <c r="T1784" s="1120"/>
      <c r="U1784" s="5"/>
      <c r="V1784" s="5"/>
      <c r="W1784" s="5"/>
      <c r="X1784" s="1120"/>
      <c r="Y1784" s="1120"/>
      <c r="Z1784" s="5"/>
      <c r="AA1784" s="5"/>
      <c r="AB1784" s="1135"/>
      <c r="AC1784" s="5"/>
      <c r="AD1784" s="5"/>
      <c r="AE1784" s="5"/>
      <c r="AF1784" s="1120"/>
      <c r="AG1784" s="1148"/>
      <c r="AH1784" s="1120"/>
      <c r="AI1784" s="1120"/>
      <c r="AJ1784" s="1120"/>
    </row>
    <row r="1785" spans="2:36" ht="30" customHeight="1" x14ac:dyDescent="0.25">
      <c r="B1785" s="5"/>
      <c r="C1785" s="5"/>
      <c r="D1785" s="5"/>
      <c r="E1785" s="5"/>
      <c r="F1785" s="5"/>
      <c r="G1785" s="5"/>
      <c r="H1785" s="5"/>
      <c r="I1785" s="5"/>
      <c r="J1785" s="5"/>
      <c r="L1785" s="277"/>
      <c r="M1785" s="5"/>
      <c r="R1785" s="5"/>
      <c r="S1785" s="5"/>
      <c r="T1785" s="1120"/>
      <c r="U1785" s="5"/>
      <c r="V1785" s="5"/>
      <c r="W1785" s="5"/>
      <c r="X1785" s="1120"/>
      <c r="Y1785" s="1120"/>
      <c r="Z1785" s="5"/>
      <c r="AA1785" s="5"/>
      <c r="AB1785" s="1135"/>
      <c r="AC1785" s="5"/>
      <c r="AD1785" s="5"/>
      <c r="AE1785" s="5"/>
      <c r="AF1785" s="1120"/>
      <c r="AG1785" s="1148"/>
      <c r="AH1785" s="1120"/>
      <c r="AI1785" s="1120"/>
      <c r="AJ1785" s="1120"/>
    </row>
    <row r="1786" spans="2:36" ht="30" customHeight="1" x14ac:dyDescent="0.25">
      <c r="B1786" s="5"/>
      <c r="C1786" s="5"/>
      <c r="D1786" s="5"/>
      <c r="E1786" s="5"/>
      <c r="F1786" s="5"/>
      <c r="G1786" s="5"/>
      <c r="H1786" s="5"/>
      <c r="I1786" s="5"/>
      <c r="J1786" s="5"/>
      <c r="L1786" s="277"/>
      <c r="M1786" s="5"/>
      <c r="R1786" s="5"/>
      <c r="S1786" s="5"/>
      <c r="T1786" s="1120"/>
      <c r="U1786" s="5"/>
      <c r="V1786" s="5"/>
      <c r="W1786" s="5"/>
      <c r="X1786" s="1120"/>
      <c r="Y1786" s="1120"/>
      <c r="Z1786" s="5"/>
      <c r="AA1786" s="5"/>
      <c r="AB1786" s="1135"/>
      <c r="AC1786" s="5"/>
      <c r="AD1786" s="5"/>
      <c r="AE1786" s="5"/>
      <c r="AF1786" s="1120"/>
      <c r="AG1786" s="1148"/>
      <c r="AH1786" s="1120"/>
      <c r="AI1786" s="1120"/>
      <c r="AJ1786" s="1120"/>
    </row>
    <row r="1787" spans="2:36" ht="30" customHeight="1" x14ac:dyDescent="0.25">
      <c r="B1787" s="5"/>
      <c r="C1787" s="5"/>
      <c r="D1787" s="5"/>
      <c r="E1787" s="5"/>
      <c r="F1787" s="5"/>
      <c r="G1787" s="5"/>
      <c r="H1787" s="5"/>
      <c r="I1787" s="5"/>
      <c r="J1787" s="5"/>
      <c r="L1787" s="277"/>
      <c r="M1787" s="5"/>
      <c r="R1787" s="5"/>
      <c r="S1787" s="5"/>
      <c r="T1787" s="1120"/>
      <c r="U1787" s="5"/>
      <c r="V1787" s="5"/>
      <c r="W1787" s="5"/>
      <c r="X1787" s="1120"/>
      <c r="Y1787" s="1120"/>
      <c r="Z1787" s="5"/>
      <c r="AA1787" s="5"/>
      <c r="AB1787" s="1135"/>
      <c r="AC1787" s="5"/>
      <c r="AD1787" s="5"/>
      <c r="AE1787" s="5"/>
      <c r="AF1787" s="1120"/>
      <c r="AG1787" s="1148"/>
      <c r="AH1787" s="1120"/>
      <c r="AI1787" s="1120"/>
      <c r="AJ1787" s="1120"/>
    </row>
    <row r="1788" spans="2:36" ht="30" customHeight="1" x14ac:dyDescent="0.25">
      <c r="B1788" s="5"/>
      <c r="C1788" s="5"/>
      <c r="D1788" s="5"/>
      <c r="E1788" s="5"/>
      <c r="F1788" s="5"/>
      <c r="G1788" s="5"/>
      <c r="H1788" s="5"/>
      <c r="I1788" s="5"/>
      <c r="J1788" s="5"/>
      <c r="L1788" s="277"/>
      <c r="M1788" s="5"/>
      <c r="R1788" s="5"/>
      <c r="S1788" s="5"/>
      <c r="T1788" s="1120"/>
      <c r="U1788" s="5"/>
      <c r="V1788" s="5"/>
      <c r="W1788" s="5"/>
      <c r="X1788" s="1120"/>
      <c r="Y1788" s="1120"/>
      <c r="Z1788" s="5"/>
      <c r="AA1788" s="5"/>
      <c r="AB1788" s="1135"/>
      <c r="AC1788" s="5"/>
      <c r="AD1788" s="5"/>
      <c r="AE1788" s="5"/>
      <c r="AF1788" s="1120"/>
      <c r="AG1788" s="1148"/>
      <c r="AH1788" s="1120"/>
      <c r="AI1788" s="1120"/>
      <c r="AJ1788" s="1120"/>
    </row>
    <row r="1789" spans="2:36" ht="30" customHeight="1" x14ac:dyDescent="0.25">
      <c r="B1789" s="5"/>
      <c r="C1789" s="5"/>
      <c r="D1789" s="5"/>
      <c r="E1789" s="5"/>
      <c r="F1789" s="5"/>
      <c r="G1789" s="5"/>
      <c r="H1789" s="5"/>
      <c r="I1789" s="5"/>
      <c r="J1789" s="5"/>
      <c r="L1789" s="277"/>
      <c r="M1789" s="5"/>
      <c r="R1789" s="5"/>
      <c r="S1789" s="5"/>
      <c r="T1789" s="1120"/>
      <c r="U1789" s="5"/>
      <c r="V1789" s="5"/>
      <c r="W1789" s="5"/>
      <c r="X1789" s="1120"/>
      <c r="Y1789" s="1120"/>
      <c r="Z1789" s="5"/>
      <c r="AA1789" s="5"/>
      <c r="AB1789" s="1135"/>
      <c r="AC1789" s="5"/>
      <c r="AD1789" s="5"/>
      <c r="AE1789" s="5"/>
      <c r="AF1789" s="1120"/>
      <c r="AG1789" s="1148"/>
      <c r="AH1789" s="1120"/>
      <c r="AI1789" s="1120"/>
      <c r="AJ1789" s="1120"/>
    </row>
    <row r="1790" spans="2:36" ht="30" customHeight="1" x14ac:dyDescent="0.25">
      <c r="B1790" s="5"/>
      <c r="C1790" s="5"/>
      <c r="D1790" s="5"/>
      <c r="E1790" s="5"/>
      <c r="F1790" s="5"/>
      <c r="G1790" s="5"/>
      <c r="H1790" s="5"/>
      <c r="I1790" s="5"/>
      <c r="J1790" s="5"/>
      <c r="L1790" s="277"/>
      <c r="M1790" s="5"/>
      <c r="R1790" s="5"/>
      <c r="S1790" s="5"/>
      <c r="T1790" s="1120"/>
      <c r="U1790" s="5"/>
      <c r="V1790" s="5"/>
      <c r="W1790" s="5"/>
      <c r="X1790" s="1120"/>
      <c r="Y1790" s="1120"/>
      <c r="Z1790" s="5"/>
      <c r="AA1790" s="5"/>
      <c r="AB1790" s="1135"/>
      <c r="AC1790" s="5"/>
      <c r="AD1790" s="5"/>
      <c r="AE1790" s="5"/>
      <c r="AF1790" s="1120"/>
      <c r="AG1790" s="1148"/>
      <c r="AH1790" s="1120"/>
      <c r="AI1790" s="1120"/>
      <c r="AJ1790" s="1120"/>
    </row>
    <row r="1791" spans="2:36" ht="30" customHeight="1" x14ac:dyDescent="0.25">
      <c r="B1791" s="5"/>
      <c r="C1791" s="5"/>
      <c r="D1791" s="5"/>
      <c r="E1791" s="5"/>
      <c r="F1791" s="5"/>
      <c r="G1791" s="5"/>
      <c r="H1791" s="5"/>
      <c r="I1791" s="5"/>
      <c r="J1791" s="5"/>
      <c r="L1791" s="277"/>
      <c r="M1791" s="5"/>
      <c r="R1791" s="5"/>
      <c r="S1791" s="5"/>
      <c r="T1791" s="1120"/>
      <c r="U1791" s="5"/>
      <c r="V1791" s="5"/>
      <c r="W1791" s="5"/>
      <c r="X1791" s="1120"/>
      <c r="Y1791" s="1120"/>
      <c r="Z1791" s="5"/>
      <c r="AA1791" s="5"/>
      <c r="AB1791" s="1135"/>
      <c r="AC1791" s="5"/>
      <c r="AD1791" s="5"/>
      <c r="AE1791" s="5"/>
      <c r="AF1791" s="1120"/>
      <c r="AG1791" s="1148"/>
      <c r="AH1791" s="1120"/>
      <c r="AI1791" s="1120"/>
      <c r="AJ1791" s="1120"/>
    </row>
    <row r="1792" spans="2:36" ht="30" customHeight="1" x14ac:dyDescent="0.25">
      <c r="B1792" s="5"/>
      <c r="C1792" s="5"/>
      <c r="D1792" s="5"/>
      <c r="E1792" s="5"/>
      <c r="F1792" s="5"/>
      <c r="G1792" s="5"/>
      <c r="H1792" s="5"/>
      <c r="I1792" s="5"/>
      <c r="J1792" s="5"/>
      <c r="L1792" s="277"/>
      <c r="M1792" s="5"/>
      <c r="R1792" s="5"/>
      <c r="S1792" s="5"/>
      <c r="T1792" s="1120"/>
      <c r="U1792" s="5"/>
      <c r="V1792" s="5"/>
      <c r="W1792" s="5"/>
      <c r="X1792" s="1120"/>
      <c r="Y1792" s="1120"/>
      <c r="Z1792" s="5"/>
      <c r="AA1792" s="5"/>
      <c r="AB1792" s="1135"/>
      <c r="AC1792" s="5"/>
      <c r="AD1792" s="5"/>
      <c r="AE1792" s="5"/>
      <c r="AF1792" s="1120"/>
      <c r="AG1792" s="1148"/>
      <c r="AH1792" s="1120"/>
      <c r="AI1792" s="1120"/>
      <c r="AJ1792" s="1120"/>
    </row>
    <row r="1793" spans="2:36" ht="30" customHeight="1" x14ac:dyDescent="0.25">
      <c r="B1793" s="5"/>
      <c r="C1793" s="5"/>
      <c r="D1793" s="5"/>
      <c r="E1793" s="5"/>
      <c r="F1793" s="5"/>
      <c r="G1793" s="5"/>
      <c r="H1793" s="5"/>
      <c r="I1793" s="5"/>
      <c r="J1793" s="5"/>
      <c r="L1793" s="277"/>
      <c r="M1793" s="5"/>
      <c r="R1793" s="5"/>
      <c r="S1793" s="5"/>
      <c r="T1793" s="1120"/>
      <c r="U1793" s="5"/>
      <c r="V1793" s="5"/>
      <c r="W1793" s="5"/>
      <c r="X1793" s="1120"/>
      <c r="Y1793" s="1120"/>
      <c r="Z1793" s="5"/>
      <c r="AA1793" s="5"/>
      <c r="AB1793" s="1135"/>
      <c r="AC1793" s="5"/>
      <c r="AD1793" s="5"/>
      <c r="AE1793" s="5"/>
      <c r="AF1793" s="1120"/>
      <c r="AG1793" s="1148"/>
      <c r="AH1793" s="1120"/>
      <c r="AI1793" s="1120"/>
      <c r="AJ1793" s="1120"/>
    </row>
    <row r="1794" spans="2:36" ht="30" customHeight="1" x14ac:dyDescent="0.25">
      <c r="B1794" s="5"/>
      <c r="C1794" s="5"/>
      <c r="D1794" s="5"/>
      <c r="E1794" s="5"/>
      <c r="F1794" s="5"/>
      <c r="G1794" s="5"/>
      <c r="H1794" s="5"/>
      <c r="I1794" s="5"/>
      <c r="J1794" s="5"/>
      <c r="L1794" s="277"/>
      <c r="M1794" s="5"/>
      <c r="R1794" s="5"/>
      <c r="S1794" s="5"/>
      <c r="T1794" s="1120"/>
      <c r="U1794" s="5"/>
      <c r="V1794" s="5"/>
      <c r="W1794" s="5"/>
      <c r="X1794" s="1120"/>
      <c r="Y1794" s="1120"/>
      <c r="Z1794" s="5"/>
      <c r="AA1794" s="5"/>
      <c r="AB1794" s="1135"/>
      <c r="AC1794" s="5"/>
      <c r="AD1794" s="5"/>
      <c r="AE1794" s="5"/>
      <c r="AF1794" s="1120"/>
      <c r="AG1794" s="1148"/>
      <c r="AH1794" s="1120"/>
      <c r="AI1794" s="1120"/>
      <c r="AJ1794" s="1120"/>
    </row>
    <row r="1795" spans="2:36" ht="30" customHeight="1" x14ac:dyDescent="0.25">
      <c r="B1795" s="5"/>
      <c r="C1795" s="5"/>
      <c r="D1795" s="5"/>
      <c r="E1795" s="5"/>
      <c r="F1795" s="5"/>
      <c r="G1795" s="5"/>
      <c r="H1795" s="5"/>
      <c r="I1795" s="5"/>
      <c r="J1795" s="5"/>
      <c r="L1795" s="277"/>
      <c r="M1795" s="5"/>
      <c r="R1795" s="5"/>
      <c r="S1795" s="5"/>
      <c r="T1795" s="1120"/>
      <c r="U1795" s="5"/>
      <c r="V1795" s="5"/>
      <c r="W1795" s="5"/>
      <c r="X1795" s="1120"/>
      <c r="Y1795" s="1120"/>
      <c r="Z1795" s="5"/>
      <c r="AA1795" s="5"/>
      <c r="AB1795" s="1135"/>
      <c r="AC1795" s="5"/>
      <c r="AD1795" s="5"/>
      <c r="AE1795" s="5"/>
      <c r="AF1795" s="1120"/>
      <c r="AG1795" s="1148"/>
      <c r="AH1795" s="1120"/>
      <c r="AI1795" s="1120"/>
      <c r="AJ1795" s="1120"/>
    </row>
    <row r="1796" spans="2:36" ht="30" customHeight="1" x14ac:dyDescent="0.25">
      <c r="B1796" s="5"/>
      <c r="C1796" s="5"/>
      <c r="D1796" s="5"/>
      <c r="E1796" s="5"/>
      <c r="F1796" s="5"/>
      <c r="G1796" s="5"/>
      <c r="H1796" s="5"/>
      <c r="I1796" s="5"/>
      <c r="J1796" s="5"/>
      <c r="L1796" s="277"/>
      <c r="M1796" s="5"/>
      <c r="R1796" s="5"/>
      <c r="S1796" s="5"/>
      <c r="T1796" s="1120"/>
      <c r="U1796" s="5"/>
      <c r="V1796" s="5"/>
      <c r="W1796" s="5"/>
      <c r="X1796" s="1120"/>
      <c r="Y1796" s="1120"/>
      <c r="Z1796" s="5"/>
      <c r="AA1796" s="5"/>
      <c r="AB1796" s="1135"/>
      <c r="AC1796" s="5"/>
      <c r="AD1796" s="5"/>
      <c r="AE1796" s="5"/>
      <c r="AF1796" s="1120"/>
      <c r="AG1796" s="1148"/>
      <c r="AH1796" s="1120"/>
      <c r="AI1796" s="1120"/>
      <c r="AJ1796" s="1120"/>
    </row>
    <row r="1797" spans="2:36" ht="30" customHeight="1" x14ac:dyDescent="0.25">
      <c r="B1797" s="5"/>
      <c r="C1797" s="5"/>
      <c r="D1797" s="5"/>
      <c r="E1797" s="5"/>
      <c r="F1797" s="5"/>
      <c r="G1797" s="5"/>
      <c r="H1797" s="5"/>
      <c r="I1797" s="5"/>
      <c r="J1797" s="5"/>
      <c r="L1797" s="277"/>
      <c r="M1797" s="5"/>
      <c r="R1797" s="5"/>
      <c r="S1797" s="5"/>
      <c r="T1797" s="1120"/>
      <c r="U1797" s="5"/>
      <c r="V1797" s="5"/>
      <c r="W1797" s="5"/>
      <c r="X1797" s="1120"/>
      <c r="Y1797" s="1120"/>
      <c r="Z1797" s="5"/>
      <c r="AA1797" s="5"/>
      <c r="AB1797" s="1135"/>
      <c r="AC1797" s="5"/>
      <c r="AD1797" s="5"/>
      <c r="AE1797" s="5"/>
      <c r="AF1797" s="1120"/>
      <c r="AG1797" s="1148"/>
      <c r="AH1797" s="1120"/>
      <c r="AI1797" s="1120"/>
      <c r="AJ1797" s="1120"/>
    </row>
    <row r="1798" spans="2:36" ht="30" customHeight="1" x14ac:dyDescent="0.25">
      <c r="B1798" s="5"/>
      <c r="C1798" s="5"/>
      <c r="D1798" s="5"/>
      <c r="E1798" s="5"/>
      <c r="F1798" s="5"/>
      <c r="G1798" s="5"/>
      <c r="H1798" s="5"/>
      <c r="I1798" s="5"/>
      <c r="J1798" s="5"/>
      <c r="L1798" s="277"/>
      <c r="M1798" s="5"/>
      <c r="R1798" s="5"/>
      <c r="S1798" s="5"/>
      <c r="T1798" s="1120"/>
      <c r="U1798" s="5"/>
      <c r="V1798" s="5"/>
      <c r="W1798" s="5"/>
      <c r="X1798" s="1120"/>
      <c r="Y1798" s="1120"/>
      <c r="Z1798" s="5"/>
      <c r="AA1798" s="5"/>
      <c r="AB1798" s="1135"/>
      <c r="AC1798" s="5"/>
      <c r="AD1798" s="5"/>
      <c r="AE1798" s="5"/>
      <c r="AF1798" s="1120"/>
      <c r="AG1798" s="1148"/>
      <c r="AH1798" s="1120"/>
      <c r="AI1798" s="1120"/>
      <c r="AJ1798" s="1120"/>
    </row>
    <row r="1799" spans="2:36" ht="30" customHeight="1" x14ac:dyDescent="0.25">
      <c r="B1799" s="5"/>
      <c r="C1799" s="5"/>
      <c r="D1799" s="5"/>
      <c r="E1799" s="5"/>
      <c r="F1799" s="5"/>
      <c r="G1799" s="5"/>
      <c r="H1799" s="5"/>
      <c r="I1799" s="5"/>
      <c r="J1799" s="5"/>
      <c r="L1799" s="277"/>
      <c r="M1799" s="5"/>
      <c r="R1799" s="5"/>
      <c r="S1799" s="5"/>
      <c r="T1799" s="1120"/>
      <c r="U1799" s="5"/>
      <c r="V1799" s="5"/>
      <c r="W1799" s="5"/>
      <c r="X1799" s="1120"/>
      <c r="Y1799" s="1120"/>
      <c r="Z1799" s="5"/>
      <c r="AA1799" s="5"/>
      <c r="AB1799" s="1135"/>
      <c r="AC1799" s="5"/>
      <c r="AD1799" s="5"/>
      <c r="AE1799" s="5"/>
      <c r="AF1799" s="1120"/>
      <c r="AG1799" s="1148"/>
      <c r="AH1799" s="1120"/>
      <c r="AI1799" s="1120"/>
      <c r="AJ1799" s="1120"/>
    </row>
    <row r="1800" spans="2:36" ht="30" customHeight="1" x14ac:dyDescent="0.25">
      <c r="B1800" s="5"/>
      <c r="C1800" s="5"/>
      <c r="D1800" s="5"/>
      <c r="E1800" s="5"/>
      <c r="F1800" s="5"/>
      <c r="G1800" s="5"/>
      <c r="H1800" s="5"/>
      <c r="I1800" s="5"/>
      <c r="J1800" s="5"/>
      <c r="L1800" s="277"/>
      <c r="M1800" s="5"/>
      <c r="R1800" s="5"/>
      <c r="S1800" s="5"/>
      <c r="T1800" s="1120"/>
      <c r="U1800" s="5"/>
      <c r="V1800" s="5"/>
      <c r="W1800" s="5"/>
      <c r="X1800" s="1120"/>
      <c r="Y1800" s="1120"/>
      <c r="Z1800" s="5"/>
      <c r="AA1800" s="5"/>
      <c r="AB1800" s="1135"/>
      <c r="AC1800" s="5"/>
      <c r="AD1800" s="5"/>
      <c r="AE1800" s="5"/>
      <c r="AF1800" s="1120"/>
      <c r="AG1800" s="1148"/>
      <c r="AH1800" s="1120"/>
      <c r="AI1800" s="1120"/>
      <c r="AJ1800" s="1120"/>
    </row>
    <row r="1801" spans="2:36" ht="30" customHeight="1" x14ac:dyDescent="0.25">
      <c r="B1801" s="5"/>
      <c r="C1801" s="5"/>
      <c r="D1801" s="5"/>
      <c r="E1801" s="5"/>
      <c r="F1801" s="5"/>
      <c r="G1801" s="5"/>
      <c r="H1801" s="5"/>
      <c r="I1801" s="5"/>
      <c r="J1801" s="5"/>
      <c r="L1801" s="277"/>
      <c r="M1801" s="5"/>
      <c r="R1801" s="5"/>
      <c r="S1801" s="5"/>
      <c r="T1801" s="1120"/>
      <c r="U1801" s="5"/>
      <c r="V1801" s="5"/>
      <c r="W1801" s="5"/>
      <c r="X1801" s="1120"/>
      <c r="Y1801" s="1120"/>
      <c r="Z1801" s="5"/>
      <c r="AA1801" s="5"/>
      <c r="AB1801" s="1135"/>
      <c r="AC1801" s="5"/>
      <c r="AD1801" s="5"/>
      <c r="AE1801" s="5"/>
      <c r="AF1801" s="1120"/>
      <c r="AG1801" s="1148"/>
      <c r="AH1801" s="1120"/>
      <c r="AI1801" s="1120"/>
      <c r="AJ1801" s="1120"/>
    </row>
    <row r="1802" spans="2:36" ht="30" customHeight="1" x14ac:dyDescent="0.25">
      <c r="B1802" s="5"/>
      <c r="C1802" s="5"/>
      <c r="D1802" s="5"/>
      <c r="E1802" s="5"/>
      <c r="F1802" s="5"/>
      <c r="G1802" s="5"/>
      <c r="H1802" s="5"/>
      <c r="I1802" s="5"/>
      <c r="J1802" s="5"/>
      <c r="L1802" s="277"/>
      <c r="M1802" s="5"/>
      <c r="R1802" s="5"/>
      <c r="S1802" s="5"/>
      <c r="T1802" s="1120"/>
      <c r="U1802" s="5"/>
      <c r="V1802" s="5"/>
      <c r="W1802" s="5"/>
      <c r="X1802" s="1120"/>
      <c r="Y1802" s="1120"/>
      <c r="Z1802" s="5"/>
      <c r="AA1802" s="5"/>
      <c r="AB1802" s="1135"/>
      <c r="AC1802" s="5"/>
      <c r="AD1802" s="5"/>
      <c r="AE1802" s="5"/>
      <c r="AF1802" s="1120"/>
      <c r="AG1802" s="1148"/>
      <c r="AH1802" s="1120"/>
      <c r="AI1802" s="1120"/>
      <c r="AJ1802" s="1120"/>
    </row>
    <row r="1803" spans="2:36" ht="30" customHeight="1" x14ac:dyDescent="0.25">
      <c r="B1803" s="5"/>
      <c r="C1803" s="5"/>
      <c r="D1803" s="5"/>
      <c r="E1803" s="5"/>
      <c r="F1803" s="5"/>
      <c r="G1803" s="5"/>
      <c r="H1803" s="5"/>
      <c r="I1803" s="5"/>
      <c r="J1803" s="5"/>
      <c r="L1803" s="277"/>
      <c r="M1803" s="5"/>
      <c r="R1803" s="5"/>
      <c r="S1803" s="5"/>
      <c r="T1803" s="1120"/>
      <c r="U1803" s="5"/>
      <c r="V1803" s="5"/>
      <c r="W1803" s="5"/>
      <c r="X1803" s="1120"/>
      <c r="Y1803" s="1120"/>
      <c r="Z1803" s="5"/>
      <c r="AA1803" s="5"/>
      <c r="AB1803" s="1135"/>
      <c r="AC1803" s="5"/>
      <c r="AD1803" s="5"/>
      <c r="AE1803" s="5"/>
      <c r="AF1803" s="1120"/>
      <c r="AG1803" s="1148"/>
      <c r="AH1803" s="1120"/>
      <c r="AI1803" s="1120"/>
      <c r="AJ1803" s="1120"/>
    </row>
    <row r="1804" spans="2:36" ht="30" customHeight="1" x14ac:dyDescent="0.25">
      <c r="B1804" s="5"/>
      <c r="C1804" s="5"/>
      <c r="D1804" s="5"/>
      <c r="E1804" s="5"/>
      <c r="F1804" s="5"/>
      <c r="G1804" s="5"/>
      <c r="H1804" s="5"/>
      <c r="I1804" s="5"/>
      <c r="J1804" s="5"/>
      <c r="L1804" s="277"/>
      <c r="M1804" s="5"/>
      <c r="R1804" s="5"/>
      <c r="S1804" s="5"/>
      <c r="T1804" s="1120"/>
      <c r="U1804" s="5"/>
      <c r="V1804" s="5"/>
      <c r="W1804" s="5"/>
      <c r="X1804" s="1120"/>
      <c r="Y1804" s="1120"/>
      <c r="Z1804" s="5"/>
      <c r="AA1804" s="5"/>
      <c r="AB1804" s="1135"/>
      <c r="AC1804" s="5"/>
      <c r="AD1804" s="5"/>
      <c r="AE1804" s="5"/>
      <c r="AF1804" s="1120"/>
      <c r="AG1804" s="1148"/>
      <c r="AH1804" s="1120"/>
      <c r="AI1804" s="1120"/>
      <c r="AJ1804" s="1120"/>
    </row>
    <row r="1805" spans="2:36" ht="30" customHeight="1" x14ac:dyDescent="0.25">
      <c r="B1805" s="5"/>
      <c r="C1805" s="5"/>
      <c r="D1805" s="5"/>
      <c r="E1805" s="5"/>
      <c r="F1805" s="5"/>
      <c r="G1805" s="5"/>
      <c r="H1805" s="5"/>
      <c r="I1805" s="5"/>
      <c r="J1805" s="5"/>
      <c r="L1805" s="277"/>
      <c r="M1805" s="5"/>
      <c r="R1805" s="5"/>
      <c r="S1805" s="5"/>
      <c r="T1805" s="1120"/>
      <c r="U1805" s="5"/>
      <c r="V1805" s="5"/>
      <c r="W1805" s="5"/>
      <c r="X1805" s="1120"/>
      <c r="Y1805" s="1120"/>
      <c r="Z1805" s="5"/>
      <c r="AA1805" s="5"/>
      <c r="AB1805" s="1135"/>
      <c r="AC1805" s="5"/>
      <c r="AD1805" s="5"/>
      <c r="AE1805" s="5"/>
      <c r="AF1805" s="1120"/>
      <c r="AG1805" s="1148"/>
      <c r="AH1805" s="1120"/>
      <c r="AI1805" s="1120"/>
      <c r="AJ1805" s="1120"/>
    </row>
    <row r="1806" spans="2:36" ht="30" customHeight="1" x14ac:dyDescent="0.25">
      <c r="B1806" s="5"/>
      <c r="C1806" s="5"/>
      <c r="D1806" s="5"/>
      <c r="E1806" s="5"/>
      <c r="F1806" s="5"/>
      <c r="G1806" s="5"/>
      <c r="H1806" s="5"/>
      <c r="I1806" s="5"/>
      <c r="J1806" s="5"/>
      <c r="L1806" s="277"/>
      <c r="M1806" s="5"/>
      <c r="R1806" s="5"/>
      <c r="S1806" s="5"/>
      <c r="T1806" s="1120"/>
      <c r="U1806" s="5"/>
      <c r="V1806" s="5"/>
      <c r="W1806" s="5"/>
      <c r="X1806" s="1120"/>
      <c r="Y1806" s="1120"/>
      <c r="Z1806" s="5"/>
      <c r="AA1806" s="5"/>
      <c r="AB1806" s="1135"/>
      <c r="AC1806" s="5"/>
      <c r="AD1806" s="5"/>
      <c r="AE1806" s="5"/>
      <c r="AF1806" s="1120"/>
      <c r="AG1806" s="1148"/>
      <c r="AH1806" s="1120"/>
      <c r="AI1806" s="1120"/>
      <c r="AJ1806" s="1120"/>
    </row>
    <row r="1807" spans="2:36" ht="30" customHeight="1" x14ac:dyDescent="0.25">
      <c r="B1807" s="5"/>
      <c r="C1807" s="5"/>
      <c r="D1807" s="5"/>
      <c r="E1807" s="5"/>
      <c r="F1807" s="5"/>
      <c r="G1807" s="5"/>
      <c r="H1807" s="5"/>
      <c r="I1807" s="5"/>
      <c r="J1807" s="5"/>
      <c r="L1807" s="277"/>
      <c r="M1807" s="5"/>
      <c r="R1807" s="5"/>
      <c r="S1807" s="5"/>
      <c r="T1807" s="1120"/>
      <c r="U1807" s="5"/>
      <c r="V1807" s="5"/>
      <c r="W1807" s="5"/>
      <c r="X1807" s="1120"/>
      <c r="Y1807" s="1120"/>
      <c r="Z1807" s="5"/>
      <c r="AA1807" s="5"/>
      <c r="AB1807" s="1135"/>
      <c r="AC1807" s="5"/>
      <c r="AD1807" s="5"/>
      <c r="AE1807" s="5"/>
      <c r="AF1807" s="1120"/>
      <c r="AG1807" s="1148"/>
      <c r="AH1807" s="1120"/>
      <c r="AI1807" s="1120"/>
      <c r="AJ1807" s="1120"/>
    </row>
    <row r="1808" spans="2:36" ht="30" customHeight="1" x14ac:dyDescent="0.25">
      <c r="B1808" s="5"/>
      <c r="C1808" s="5"/>
      <c r="D1808" s="5"/>
      <c r="E1808" s="5"/>
      <c r="F1808" s="5"/>
      <c r="G1808" s="5"/>
      <c r="H1808" s="5"/>
      <c r="I1808" s="5"/>
      <c r="J1808" s="5"/>
      <c r="L1808" s="277"/>
      <c r="M1808" s="5"/>
      <c r="R1808" s="5"/>
      <c r="S1808" s="5"/>
      <c r="T1808" s="1120"/>
      <c r="U1808" s="5"/>
      <c r="V1808" s="5"/>
      <c r="W1808" s="5"/>
      <c r="X1808" s="1120"/>
      <c r="Y1808" s="1120"/>
      <c r="Z1808" s="5"/>
      <c r="AA1808" s="5"/>
      <c r="AB1808" s="1135"/>
      <c r="AC1808" s="5"/>
      <c r="AD1808" s="5"/>
      <c r="AE1808" s="5"/>
      <c r="AF1808" s="1120"/>
      <c r="AG1808" s="1148"/>
      <c r="AH1808" s="1120"/>
      <c r="AI1808" s="1120"/>
      <c r="AJ1808" s="1120"/>
    </row>
    <row r="1809" spans="2:36" ht="30" customHeight="1" x14ac:dyDescent="0.25">
      <c r="B1809" s="5"/>
      <c r="C1809" s="5"/>
      <c r="D1809" s="5"/>
      <c r="E1809" s="5"/>
      <c r="F1809" s="5"/>
      <c r="G1809" s="5"/>
      <c r="H1809" s="5"/>
      <c r="I1809" s="5"/>
      <c r="J1809" s="5"/>
      <c r="L1809" s="277"/>
      <c r="M1809" s="5"/>
      <c r="R1809" s="5"/>
      <c r="S1809" s="5"/>
      <c r="T1809" s="1120"/>
      <c r="U1809" s="5"/>
      <c r="V1809" s="5"/>
      <c r="W1809" s="5"/>
      <c r="X1809" s="1120"/>
      <c r="Y1809" s="1120"/>
      <c r="Z1809" s="5"/>
      <c r="AA1809" s="5"/>
      <c r="AB1809" s="1135"/>
      <c r="AC1809" s="5"/>
      <c r="AD1809" s="5"/>
      <c r="AE1809" s="5"/>
      <c r="AF1809" s="1120"/>
      <c r="AG1809" s="1148"/>
      <c r="AH1809" s="1120"/>
      <c r="AI1809" s="1120"/>
      <c r="AJ1809" s="1120"/>
    </row>
    <row r="1810" spans="2:36" ht="30" customHeight="1" x14ac:dyDescent="0.25">
      <c r="B1810" s="5"/>
      <c r="C1810" s="5"/>
      <c r="D1810" s="5"/>
      <c r="E1810" s="5"/>
      <c r="F1810" s="5"/>
      <c r="G1810" s="5"/>
      <c r="H1810" s="5"/>
      <c r="I1810" s="5"/>
      <c r="J1810" s="5"/>
      <c r="L1810" s="277"/>
      <c r="M1810" s="5"/>
      <c r="R1810" s="5"/>
      <c r="S1810" s="5"/>
      <c r="T1810" s="1120"/>
      <c r="U1810" s="5"/>
      <c r="V1810" s="5"/>
      <c r="W1810" s="5"/>
      <c r="X1810" s="1120"/>
      <c r="Y1810" s="1120"/>
      <c r="Z1810" s="5"/>
      <c r="AA1810" s="5"/>
      <c r="AB1810" s="1135"/>
      <c r="AC1810" s="5"/>
      <c r="AD1810" s="5"/>
      <c r="AE1810" s="5"/>
      <c r="AF1810" s="1120"/>
      <c r="AG1810" s="1148"/>
      <c r="AH1810" s="1120"/>
      <c r="AI1810" s="1120"/>
      <c r="AJ1810" s="1120"/>
    </row>
    <row r="1811" spans="2:36" ht="30" customHeight="1" x14ac:dyDescent="0.25">
      <c r="B1811" s="5"/>
      <c r="C1811" s="5"/>
      <c r="D1811" s="5"/>
      <c r="E1811" s="5"/>
      <c r="F1811" s="5"/>
      <c r="G1811" s="5"/>
      <c r="H1811" s="5"/>
      <c r="I1811" s="5"/>
      <c r="J1811" s="5"/>
      <c r="L1811" s="277"/>
      <c r="M1811" s="5"/>
      <c r="R1811" s="5"/>
      <c r="S1811" s="5"/>
      <c r="T1811" s="1120"/>
      <c r="U1811" s="5"/>
      <c r="V1811" s="5"/>
      <c r="W1811" s="5"/>
      <c r="X1811" s="1120"/>
      <c r="Y1811" s="1120"/>
      <c r="Z1811" s="5"/>
      <c r="AA1811" s="5"/>
      <c r="AB1811" s="1135"/>
      <c r="AC1811" s="5"/>
      <c r="AD1811" s="5"/>
      <c r="AE1811" s="5"/>
      <c r="AF1811" s="1120"/>
      <c r="AG1811" s="1148"/>
      <c r="AH1811" s="1120"/>
      <c r="AI1811" s="1120"/>
      <c r="AJ1811" s="1120"/>
    </row>
    <row r="1812" spans="2:36" ht="30" customHeight="1" x14ac:dyDescent="0.25">
      <c r="B1812" s="5"/>
      <c r="C1812" s="5"/>
      <c r="D1812" s="5"/>
      <c r="E1812" s="5"/>
      <c r="F1812" s="5"/>
      <c r="G1812" s="5"/>
      <c r="H1812" s="5"/>
      <c r="I1812" s="5"/>
      <c r="J1812" s="5"/>
      <c r="L1812" s="277"/>
      <c r="M1812" s="5"/>
      <c r="R1812" s="5"/>
      <c r="S1812" s="5"/>
      <c r="T1812" s="1120"/>
      <c r="U1812" s="5"/>
      <c r="V1812" s="5"/>
      <c r="W1812" s="5"/>
      <c r="X1812" s="1120"/>
      <c r="Y1812" s="1120"/>
      <c r="Z1812" s="5"/>
      <c r="AA1812" s="5"/>
      <c r="AB1812" s="1135"/>
      <c r="AC1812" s="5"/>
      <c r="AD1812" s="5"/>
      <c r="AE1812" s="5"/>
      <c r="AF1812" s="1120"/>
      <c r="AG1812" s="1148"/>
      <c r="AH1812" s="1120"/>
      <c r="AI1812" s="1120"/>
      <c r="AJ1812" s="1120"/>
    </row>
    <row r="1813" spans="2:36" ht="30" customHeight="1" x14ac:dyDescent="0.25">
      <c r="B1813" s="5"/>
      <c r="C1813" s="5"/>
      <c r="D1813" s="5"/>
      <c r="E1813" s="5"/>
      <c r="F1813" s="5"/>
      <c r="G1813" s="5"/>
      <c r="H1813" s="5"/>
      <c r="I1813" s="5"/>
      <c r="J1813" s="5"/>
      <c r="L1813" s="277"/>
      <c r="M1813" s="5"/>
      <c r="R1813" s="5"/>
      <c r="S1813" s="5"/>
      <c r="T1813" s="1120"/>
      <c r="U1813" s="5"/>
      <c r="V1813" s="5"/>
      <c r="W1813" s="5"/>
      <c r="X1813" s="1120"/>
      <c r="Y1813" s="1120"/>
      <c r="Z1813" s="5"/>
      <c r="AA1813" s="5"/>
      <c r="AB1813" s="1135"/>
      <c r="AC1813" s="5"/>
      <c r="AD1813" s="5"/>
      <c r="AE1813" s="5"/>
      <c r="AF1813" s="1120"/>
      <c r="AG1813" s="1148"/>
      <c r="AH1813" s="1120"/>
      <c r="AI1813" s="1120"/>
      <c r="AJ1813" s="1120"/>
    </row>
    <row r="1814" spans="2:36" ht="30" customHeight="1" x14ac:dyDescent="0.25">
      <c r="B1814" s="5"/>
      <c r="C1814" s="5"/>
      <c r="D1814" s="5"/>
      <c r="E1814" s="5"/>
      <c r="F1814" s="5"/>
      <c r="G1814" s="5"/>
      <c r="H1814" s="5"/>
      <c r="I1814" s="5"/>
      <c r="J1814" s="5"/>
      <c r="L1814" s="277"/>
      <c r="M1814" s="5"/>
      <c r="R1814" s="5"/>
      <c r="S1814" s="5"/>
      <c r="T1814" s="1120"/>
      <c r="U1814" s="5"/>
      <c r="V1814" s="5"/>
      <c r="W1814" s="5"/>
      <c r="X1814" s="1120"/>
      <c r="Y1814" s="1120"/>
      <c r="Z1814" s="5"/>
      <c r="AA1814" s="5"/>
      <c r="AB1814" s="1135"/>
      <c r="AC1814" s="5"/>
      <c r="AD1814" s="5"/>
      <c r="AE1814" s="5"/>
      <c r="AF1814" s="1120"/>
      <c r="AG1814" s="1148"/>
      <c r="AH1814" s="1120"/>
      <c r="AI1814" s="1120"/>
      <c r="AJ1814" s="1120"/>
    </row>
    <row r="1815" spans="2:36" ht="30" customHeight="1" x14ac:dyDescent="0.25">
      <c r="B1815" s="5"/>
      <c r="C1815" s="5"/>
      <c r="D1815" s="5"/>
      <c r="E1815" s="5"/>
      <c r="F1815" s="5"/>
      <c r="G1815" s="5"/>
      <c r="H1815" s="5"/>
      <c r="I1815" s="5"/>
      <c r="J1815" s="5"/>
      <c r="L1815" s="277"/>
      <c r="M1815" s="5"/>
      <c r="R1815" s="5"/>
      <c r="S1815" s="5"/>
      <c r="T1815" s="1120"/>
      <c r="U1815" s="5"/>
      <c r="V1815" s="5"/>
      <c r="W1815" s="5"/>
      <c r="X1815" s="1120"/>
      <c r="Y1815" s="1120"/>
      <c r="Z1815" s="5"/>
      <c r="AA1815" s="5"/>
      <c r="AB1815" s="1135"/>
      <c r="AC1815" s="5"/>
      <c r="AD1815" s="5"/>
      <c r="AE1815" s="5"/>
      <c r="AF1815" s="1120"/>
      <c r="AG1815" s="1148"/>
      <c r="AH1815" s="1120"/>
      <c r="AI1815" s="1120"/>
      <c r="AJ1815" s="1120"/>
    </row>
    <row r="1816" spans="2:36" ht="30" customHeight="1" x14ac:dyDescent="0.25">
      <c r="B1816" s="5"/>
      <c r="C1816" s="5"/>
      <c r="D1816" s="5"/>
      <c r="E1816" s="5"/>
      <c r="F1816" s="5"/>
      <c r="G1816" s="5"/>
      <c r="H1816" s="5"/>
      <c r="I1816" s="5"/>
      <c r="J1816" s="5"/>
      <c r="L1816" s="277"/>
      <c r="M1816" s="5"/>
      <c r="R1816" s="5"/>
      <c r="S1816" s="5"/>
      <c r="T1816" s="1120"/>
      <c r="U1816" s="5"/>
      <c r="V1816" s="5"/>
      <c r="W1816" s="5"/>
      <c r="X1816" s="1120"/>
      <c r="Y1816" s="1120"/>
      <c r="Z1816" s="5"/>
      <c r="AA1816" s="5"/>
      <c r="AB1816" s="1135"/>
      <c r="AC1816" s="5"/>
      <c r="AD1816" s="5"/>
      <c r="AE1816" s="5"/>
      <c r="AF1816" s="1120"/>
      <c r="AG1816" s="1148"/>
      <c r="AH1816" s="1120"/>
      <c r="AI1816" s="1120"/>
      <c r="AJ1816" s="1120"/>
    </row>
    <row r="1817" spans="2:36" ht="30" customHeight="1" x14ac:dyDescent="0.25">
      <c r="B1817" s="5"/>
      <c r="C1817" s="5"/>
      <c r="D1817" s="5"/>
      <c r="E1817" s="5"/>
      <c r="F1817" s="5"/>
      <c r="G1817" s="5"/>
      <c r="H1817" s="5"/>
      <c r="I1817" s="5"/>
      <c r="J1817" s="5"/>
      <c r="L1817" s="277"/>
      <c r="M1817" s="5"/>
      <c r="R1817" s="5"/>
      <c r="S1817" s="5"/>
      <c r="T1817" s="1120"/>
      <c r="U1817" s="5"/>
      <c r="V1817" s="5"/>
      <c r="W1817" s="5"/>
      <c r="X1817" s="1120"/>
      <c r="Y1817" s="1120"/>
      <c r="Z1817" s="5"/>
      <c r="AA1817" s="5"/>
      <c r="AB1817" s="1135"/>
      <c r="AC1817" s="5"/>
      <c r="AD1817" s="5"/>
      <c r="AE1817" s="5"/>
      <c r="AF1817" s="1120"/>
      <c r="AG1817" s="1148"/>
      <c r="AH1817" s="1120"/>
      <c r="AI1817" s="1120"/>
      <c r="AJ1817" s="1120"/>
    </row>
    <row r="1818" spans="2:36" ht="30" customHeight="1" x14ac:dyDescent="0.25">
      <c r="B1818" s="5"/>
      <c r="C1818" s="5"/>
      <c r="D1818" s="5"/>
      <c r="E1818" s="5"/>
      <c r="F1818" s="5"/>
      <c r="G1818" s="5"/>
      <c r="H1818" s="5"/>
      <c r="I1818" s="5"/>
      <c r="J1818" s="5"/>
      <c r="L1818" s="277"/>
      <c r="M1818" s="5"/>
      <c r="R1818" s="5"/>
      <c r="S1818" s="5"/>
      <c r="T1818" s="1120"/>
      <c r="U1818" s="5"/>
      <c r="V1818" s="5"/>
      <c r="W1818" s="5"/>
      <c r="X1818" s="1120"/>
      <c r="Y1818" s="1120"/>
      <c r="Z1818" s="5"/>
      <c r="AA1818" s="5"/>
      <c r="AB1818" s="1135"/>
      <c r="AC1818" s="5"/>
      <c r="AD1818" s="5"/>
      <c r="AE1818" s="5"/>
      <c r="AF1818" s="1120"/>
      <c r="AG1818" s="1148"/>
      <c r="AH1818" s="1120"/>
      <c r="AI1818" s="1120"/>
      <c r="AJ1818" s="1120"/>
    </row>
    <row r="1819" spans="2:36" ht="30" customHeight="1" x14ac:dyDescent="0.25">
      <c r="B1819" s="5"/>
      <c r="C1819" s="5"/>
      <c r="D1819" s="5"/>
      <c r="E1819" s="5"/>
      <c r="F1819" s="5"/>
      <c r="G1819" s="5"/>
      <c r="H1819" s="5"/>
      <c r="I1819" s="5"/>
      <c r="J1819" s="5"/>
      <c r="L1819" s="277"/>
      <c r="M1819" s="5"/>
      <c r="R1819" s="5"/>
      <c r="S1819" s="5"/>
      <c r="T1819" s="1120"/>
      <c r="U1819" s="5"/>
      <c r="V1819" s="5"/>
      <c r="W1819" s="5"/>
      <c r="X1819" s="1120"/>
      <c r="Y1819" s="1120"/>
      <c r="Z1819" s="5"/>
      <c r="AA1819" s="5"/>
      <c r="AB1819" s="1135"/>
      <c r="AC1819" s="5"/>
      <c r="AD1819" s="5"/>
      <c r="AE1819" s="5"/>
      <c r="AF1819" s="1120"/>
      <c r="AG1819" s="1148"/>
      <c r="AH1819" s="1120"/>
      <c r="AI1819" s="1120"/>
      <c r="AJ1819" s="1120"/>
    </row>
    <row r="1820" spans="2:36" ht="30" customHeight="1" x14ac:dyDescent="0.25">
      <c r="B1820" s="5"/>
      <c r="C1820" s="5"/>
      <c r="D1820" s="5"/>
      <c r="E1820" s="5"/>
      <c r="F1820" s="5"/>
      <c r="G1820" s="5"/>
      <c r="H1820" s="5"/>
      <c r="I1820" s="5"/>
      <c r="J1820" s="5"/>
      <c r="L1820" s="277"/>
      <c r="M1820" s="5"/>
      <c r="R1820" s="5"/>
      <c r="S1820" s="5"/>
      <c r="T1820" s="1120"/>
      <c r="U1820" s="5"/>
      <c r="V1820" s="5"/>
      <c r="W1820" s="5"/>
      <c r="X1820" s="1120"/>
      <c r="Y1820" s="1120"/>
      <c r="Z1820" s="5"/>
      <c r="AA1820" s="5"/>
      <c r="AB1820" s="1135"/>
      <c r="AC1820" s="5"/>
      <c r="AD1820" s="5"/>
      <c r="AE1820" s="5"/>
      <c r="AF1820" s="1120"/>
      <c r="AG1820" s="1148"/>
      <c r="AH1820" s="1120"/>
      <c r="AI1820" s="1120"/>
      <c r="AJ1820" s="1120"/>
    </row>
    <row r="1821" spans="2:36" ht="30" customHeight="1" x14ac:dyDescent="0.25">
      <c r="B1821" s="5"/>
      <c r="C1821" s="5"/>
      <c r="D1821" s="5"/>
      <c r="E1821" s="5"/>
      <c r="F1821" s="5"/>
      <c r="G1821" s="5"/>
      <c r="H1821" s="5"/>
      <c r="I1821" s="5"/>
      <c r="J1821" s="5"/>
      <c r="L1821" s="277"/>
      <c r="M1821" s="5"/>
      <c r="R1821" s="5"/>
      <c r="S1821" s="5"/>
      <c r="T1821" s="1120"/>
      <c r="U1821" s="5"/>
      <c r="V1821" s="5"/>
      <c r="W1821" s="5"/>
      <c r="X1821" s="1120"/>
      <c r="Y1821" s="1120"/>
      <c r="Z1821" s="5"/>
      <c r="AA1821" s="5"/>
      <c r="AB1821" s="1135"/>
      <c r="AC1821" s="5"/>
      <c r="AD1821" s="5"/>
      <c r="AE1821" s="5"/>
      <c r="AF1821" s="1120"/>
      <c r="AG1821" s="1148"/>
      <c r="AH1821" s="1120"/>
      <c r="AI1821" s="1120"/>
      <c r="AJ1821" s="1120"/>
    </row>
    <row r="1822" spans="2:36" ht="30" customHeight="1" x14ac:dyDescent="0.25">
      <c r="B1822" s="5"/>
      <c r="C1822" s="5"/>
      <c r="D1822" s="5"/>
      <c r="E1822" s="5"/>
      <c r="F1822" s="5"/>
      <c r="G1822" s="5"/>
      <c r="H1822" s="5"/>
      <c r="I1822" s="5"/>
      <c r="J1822" s="5"/>
      <c r="L1822" s="277"/>
      <c r="M1822" s="5"/>
      <c r="R1822" s="5"/>
      <c r="S1822" s="5"/>
      <c r="T1822" s="1120"/>
      <c r="U1822" s="5"/>
      <c r="V1822" s="5"/>
      <c r="W1822" s="5"/>
      <c r="X1822" s="1120"/>
      <c r="Y1822" s="1120"/>
      <c r="Z1822" s="5"/>
      <c r="AA1822" s="5"/>
      <c r="AB1822" s="1135"/>
      <c r="AC1822" s="5"/>
      <c r="AD1822" s="5"/>
      <c r="AE1822" s="5"/>
      <c r="AF1822" s="1120"/>
      <c r="AG1822" s="1148"/>
      <c r="AH1822" s="1120"/>
      <c r="AI1822" s="1120"/>
      <c r="AJ1822" s="1120"/>
    </row>
    <row r="1823" spans="2:36" ht="30" customHeight="1" x14ac:dyDescent="0.25">
      <c r="B1823" s="5"/>
      <c r="C1823" s="5"/>
      <c r="D1823" s="5"/>
      <c r="E1823" s="5"/>
      <c r="F1823" s="5"/>
      <c r="G1823" s="5"/>
      <c r="H1823" s="5"/>
      <c r="I1823" s="5"/>
      <c r="J1823" s="5"/>
      <c r="L1823" s="277"/>
      <c r="M1823" s="5"/>
      <c r="R1823" s="5"/>
      <c r="S1823" s="5"/>
      <c r="T1823" s="1120"/>
      <c r="U1823" s="5"/>
      <c r="V1823" s="5"/>
      <c r="W1823" s="5"/>
      <c r="X1823" s="1120"/>
      <c r="Y1823" s="1120"/>
      <c r="Z1823" s="5"/>
      <c r="AA1823" s="5"/>
      <c r="AB1823" s="1135"/>
      <c r="AC1823" s="5"/>
      <c r="AD1823" s="5"/>
      <c r="AE1823" s="5"/>
      <c r="AF1823" s="1120"/>
      <c r="AG1823" s="1148"/>
      <c r="AH1823" s="1120"/>
      <c r="AI1823" s="1120"/>
      <c r="AJ1823" s="1120"/>
    </row>
    <row r="1824" spans="2:36" ht="30" customHeight="1" x14ac:dyDescent="0.25">
      <c r="B1824" s="5"/>
      <c r="C1824" s="5"/>
      <c r="D1824" s="5"/>
      <c r="E1824" s="5"/>
      <c r="F1824" s="5"/>
      <c r="G1824" s="5"/>
      <c r="H1824" s="5"/>
      <c r="I1824" s="5"/>
      <c r="J1824" s="5"/>
      <c r="L1824" s="277"/>
      <c r="M1824" s="5"/>
      <c r="R1824" s="5"/>
      <c r="S1824" s="5"/>
      <c r="T1824" s="1120"/>
      <c r="U1824" s="5"/>
      <c r="V1824" s="5"/>
      <c r="W1824" s="5"/>
      <c r="X1824" s="1120"/>
      <c r="Y1824" s="1120"/>
      <c r="Z1824" s="5"/>
      <c r="AA1824" s="5"/>
      <c r="AB1824" s="1135"/>
      <c r="AC1824" s="5"/>
      <c r="AD1824" s="5"/>
      <c r="AE1824" s="5"/>
      <c r="AF1824" s="1120"/>
      <c r="AG1824" s="1148"/>
      <c r="AH1824" s="1120"/>
      <c r="AI1824" s="1120"/>
      <c r="AJ1824" s="1120"/>
    </row>
    <row r="1825" spans="2:36" ht="30" customHeight="1" x14ac:dyDescent="0.25">
      <c r="B1825" s="5"/>
      <c r="C1825" s="5"/>
      <c r="D1825" s="5"/>
      <c r="E1825" s="5"/>
      <c r="F1825" s="5"/>
      <c r="G1825" s="5"/>
      <c r="H1825" s="5"/>
      <c r="I1825" s="5"/>
      <c r="J1825" s="5"/>
      <c r="L1825" s="277"/>
      <c r="M1825" s="5"/>
      <c r="R1825" s="5"/>
      <c r="S1825" s="5"/>
      <c r="T1825" s="1120"/>
      <c r="U1825" s="5"/>
      <c r="V1825" s="5"/>
      <c r="W1825" s="5"/>
      <c r="X1825" s="1120"/>
      <c r="Y1825" s="1120"/>
      <c r="Z1825" s="5"/>
      <c r="AA1825" s="5"/>
      <c r="AB1825" s="1135"/>
      <c r="AC1825" s="5"/>
      <c r="AD1825" s="5"/>
      <c r="AE1825" s="5"/>
      <c r="AF1825" s="1120"/>
      <c r="AG1825" s="1148"/>
      <c r="AH1825" s="1120"/>
      <c r="AI1825" s="1120"/>
      <c r="AJ1825" s="1120"/>
    </row>
    <row r="1826" spans="2:36" ht="30" customHeight="1" x14ac:dyDescent="0.25">
      <c r="B1826" s="5"/>
      <c r="C1826" s="5"/>
      <c r="D1826" s="5"/>
      <c r="E1826" s="5"/>
      <c r="F1826" s="5"/>
      <c r="G1826" s="5"/>
      <c r="H1826" s="5"/>
      <c r="I1826" s="5"/>
      <c r="J1826" s="5"/>
      <c r="L1826" s="277"/>
      <c r="M1826" s="5"/>
      <c r="R1826" s="5"/>
      <c r="S1826" s="5"/>
      <c r="T1826" s="1120"/>
      <c r="U1826" s="5"/>
      <c r="V1826" s="5"/>
      <c r="W1826" s="5"/>
      <c r="X1826" s="1120"/>
      <c r="Y1826" s="1120"/>
      <c r="Z1826" s="5"/>
      <c r="AA1826" s="5"/>
      <c r="AB1826" s="1135"/>
      <c r="AC1826" s="5"/>
      <c r="AD1826" s="5"/>
      <c r="AE1826" s="5"/>
      <c r="AF1826" s="1120"/>
      <c r="AG1826" s="1148"/>
      <c r="AH1826" s="1120"/>
      <c r="AI1826" s="1120"/>
      <c r="AJ1826" s="1120"/>
    </row>
    <row r="1827" spans="2:36" ht="30" customHeight="1" x14ac:dyDescent="0.25">
      <c r="B1827" s="5"/>
      <c r="C1827" s="5"/>
      <c r="D1827" s="5"/>
      <c r="E1827" s="5"/>
      <c r="F1827" s="5"/>
      <c r="G1827" s="5"/>
      <c r="H1827" s="5"/>
      <c r="I1827" s="5"/>
      <c r="J1827" s="5"/>
      <c r="L1827" s="277"/>
      <c r="M1827" s="5"/>
      <c r="R1827" s="5"/>
      <c r="S1827" s="5"/>
      <c r="T1827" s="1120"/>
      <c r="U1827" s="5"/>
      <c r="V1827" s="5"/>
      <c r="W1827" s="5"/>
      <c r="X1827" s="1120"/>
      <c r="Y1827" s="1120"/>
      <c r="Z1827" s="5"/>
      <c r="AA1827" s="5"/>
      <c r="AB1827" s="1135"/>
      <c r="AC1827" s="5"/>
      <c r="AD1827" s="5"/>
      <c r="AE1827" s="5"/>
      <c r="AF1827" s="1120"/>
      <c r="AG1827" s="1148"/>
      <c r="AH1827" s="1120"/>
      <c r="AI1827" s="1120"/>
      <c r="AJ1827" s="1120"/>
    </row>
    <row r="1828" spans="2:36" ht="30" customHeight="1" x14ac:dyDescent="0.25">
      <c r="B1828" s="5"/>
      <c r="C1828" s="5"/>
      <c r="D1828" s="5"/>
      <c r="E1828" s="5"/>
      <c r="F1828" s="5"/>
      <c r="G1828" s="5"/>
      <c r="H1828" s="5"/>
      <c r="I1828" s="5"/>
      <c r="J1828" s="5"/>
      <c r="L1828" s="277"/>
      <c r="M1828" s="5"/>
      <c r="R1828" s="5"/>
      <c r="S1828" s="5"/>
      <c r="T1828" s="1120"/>
      <c r="U1828" s="5"/>
      <c r="V1828" s="5"/>
      <c r="W1828" s="5"/>
      <c r="X1828" s="1120"/>
      <c r="Y1828" s="1120"/>
      <c r="Z1828" s="5"/>
      <c r="AA1828" s="5"/>
      <c r="AB1828" s="1135"/>
      <c r="AC1828" s="5"/>
      <c r="AD1828" s="5"/>
      <c r="AE1828" s="5"/>
      <c r="AF1828" s="1120"/>
      <c r="AG1828" s="1148"/>
      <c r="AH1828" s="1120"/>
      <c r="AI1828" s="1120"/>
      <c r="AJ1828" s="1120"/>
    </row>
    <row r="1829" spans="2:36" ht="30" customHeight="1" x14ac:dyDescent="0.25">
      <c r="B1829" s="5"/>
      <c r="C1829" s="5"/>
      <c r="D1829" s="5"/>
      <c r="E1829" s="5"/>
      <c r="F1829" s="5"/>
      <c r="G1829" s="5"/>
      <c r="H1829" s="5"/>
      <c r="I1829" s="5"/>
      <c r="J1829" s="5"/>
      <c r="L1829" s="277"/>
      <c r="M1829" s="5"/>
      <c r="R1829" s="5"/>
      <c r="S1829" s="5"/>
      <c r="T1829" s="1120"/>
      <c r="U1829" s="5"/>
      <c r="V1829" s="5"/>
      <c r="W1829" s="5"/>
      <c r="X1829" s="1120"/>
      <c r="Y1829" s="1120"/>
      <c r="Z1829" s="5"/>
      <c r="AA1829" s="5"/>
      <c r="AB1829" s="1135"/>
      <c r="AC1829" s="5"/>
      <c r="AD1829" s="5"/>
      <c r="AE1829" s="5"/>
      <c r="AF1829" s="1120"/>
      <c r="AG1829" s="1148"/>
      <c r="AH1829" s="1120"/>
      <c r="AI1829" s="1120"/>
      <c r="AJ1829" s="1120"/>
    </row>
    <row r="1830" spans="2:36" ht="30" customHeight="1" x14ac:dyDescent="0.25">
      <c r="B1830" s="5"/>
      <c r="C1830" s="5"/>
      <c r="D1830" s="5"/>
      <c r="E1830" s="5"/>
      <c r="F1830" s="5"/>
      <c r="G1830" s="5"/>
      <c r="H1830" s="5"/>
      <c r="I1830" s="5"/>
      <c r="J1830" s="5"/>
      <c r="L1830" s="277"/>
      <c r="M1830" s="5"/>
      <c r="R1830" s="5"/>
      <c r="S1830" s="5"/>
      <c r="T1830" s="1120"/>
      <c r="U1830" s="5"/>
      <c r="V1830" s="5"/>
      <c r="W1830" s="5"/>
      <c r="X1830" s="1120"/>
      <c r="Y1830" s="1120"/>
      <c r="Z1830" s="5"/>
      <c r="AA1830" s="5"/>
      <c r="AB1830" s="1135"/>
      <c r="AC1830" s="5"/>
      <c r="AD1830" s="5"/>
      <c r="AE1830" s="5"/>
      <c r="AF1830" s="1120"/>
      <c r="AG1830" s="1148"/>
      <c r="AH1830" s="1120"/>
      <c r="AI1830" s="1120"/>
      <c r="AJ1830" s="1120"/>
    </row>
    <row r="1831" spans="2:36" ht="30" customHeight="1" x14ac:dyDescent="0.25">
      <c r="B1831" s="5"/>
      <c r="C1831" s="5"/>
      <c r="D1831" s="5"/>
      <c r="E1831" s="5"/>
      <c r="F1831" s="5"/>
      <c r="G1831" s="5"/>
      <c r="H1831" s="5"/>
      <c r="I1831" s="5"/>
      <c r="J1831" s="5"/>
      <c r="L1831" s="277"/>
      <c r="M1831" s="5"/>
      <c r="R1831" s="5"/>
      <c r="S1831" s="5"/>
      <c r="T1831" s="1120"/>
      <c r="U1831" s="5"/>
      <c r="V1831" s="5"/>
      <c r="W1831" s="5"/>
      <c r="X1831" s="1120"/>
      <c r="Y1831" s="1120"/>
      <c r="Z1831" s="5"/>
      <c r="AA1831" s="5"/>
      <c r="AB1831" s="1135"/>
      <c r="AC1831" s="5"/>
      <c r="AD1831" s="5"/>
      <c r="AE1831" s="5"/>
      <c r="AF1831" s="1120"/>
      <c r="AG1831" s="1148"/>
      <c r="AH1831" s="1120"/>
      <c r="AI1831" s="1120"/>
      <c r="AJ1831" s="1120"/>
    </row>
    <row r="1832" spans="2:36" ht="30" customHeight="1" x14ac:dyDescent="0.25">
      <c r="B1832" s="5"/>
      <c r="C1832" s="5"/>
      <c r="D1832" s="5"/>
      <c r="E1832" s="5"/>
      <c r="F1832" s="5"/>
      <c r="G1832" s="5"/>
      <c r="H1832" s="5"/>
      <c r="I1832" s="5"/>
      <c r="J1832" s="5"/>
      <c r="L1832" s="277"/>
      <c r="M1832" s="5"/>
      <c r="R1832" s="5"/>
      <c r="S1832" s="5"/>
      <c r="T1832" s="1120"/>
      <c r="U1832" s="5"/>
      <c r="V1832" s="5"/>
      <c r="W1832" s="5"/>
      <c r="X1832" s="1120"/>
      <c r="Y1832" s="1120"/>
      <c r="Z1832" s="5"/>
      <c r="AA1832" s="5"/>
      <c r="AB1832" s="1135"/>
      <c r="AC1832" s="5"/>
      <c r="AD1832" s="5"/>
      <c r="AE1832" s="5"/>
      <c r="AF1832" s="1120"/>
      <c r="AG1832" s="1148"/>
      <c r="AH1832" s="1120"/>
      <c r="AI1832" s="1120"/>
      <c r="AJ1832" s="1120"/>
    </row>
    <row r="1833" spans="2:36" ht="30" customHeight="1" x14ac:dyDescent="0.25">
      <c r="B1833" s="5"/>
      <c r="C1833" s="5"/>
      <c r="D1833" s="5"/>
      <c r="E1833" s="5"/>
      <c r="F1833" s="5"/>
      <c r="G1833" s="5"/>
      <c r="H1833" s="5"/>
      <c r="I1833" s="5"/>
      <c r="J1833" s="5"/>
      <c r="L1833" s="277"/>
      <c r="M1833" s="5"/>
      <c r="R1833" s="5"/>
      <c r="S1833" s="5"/>
      <c r="T1833" s="1120"/>
      <c r="U1833" s="5"/>
      <c r="V1833" s="5"/>
      <c r="W1833" s="5"/>
      <c r="X1833" s="1120"/>
      <c r="Y1833" s="1120"/>
      <c r="Z1833" s="5"/>
      <c r="AA1833" s="5"/>
      <c r="AB1833" s="1135"/>
      <c r="AC1833" s="5"/>
      <c r="AD1833" s="5"/>
      <c r="AE1833" s="5"/>
      <c r="AF1833" s="1120"/>
      <c r="AG1833" s="1148"/>
      <c r="AH1833" s="1120"/>
      <c r="AI1833" s="1120"/>
      <c r="AJ1833" s="1120"/>
    </row>
    <row r="1834" spans="2:36" ht="30" customHeight="1" x14ac:dyDescent="0.25">
      <c r="B1834" s="5"/>
      <c r="C1834" s="5"/>
      <c r="D1834" s="5"/>
      <c r="E1834" s="5"/>
      <c r="F1834" s="5"/>
      <c r="G1834" s="5"/>
      <c r="H1834" s="5"/>
      <c r="I1834" s="5"/>
      <c r="J1834" s="5"/>
      <c r="L1834" s="277"/>
      <c r="M1834" s="5"/>
      <c r="R1834" s="5"/>
      <c r="S1834" s="5"/>
      <c r="T1834" s="1120"/>
      <c r="U1834" s="5"/>
      <c r="V1834" s="5"/>
      <c r="W1834" s="5"/>
      <c r="X1834" s="1120"/>
      <c r="Y1834" s="1120"/>
      <c r="Z1834" s="5"/>
      <c r="AA1834" s="5"/>
      <c r="AB1834" s="1135"/>
      <c r="AC1834" s="5"/>
      <c r="AD1834" s="5"/>
      <c r="AE1834" s="5"/>
      <c r="AF1834" s="1120"/>
      <c r="AG1834" s="1148"/>
      <c r="AH1834" s="1120"/>
      <c r="AI1834" s="1120"/>
      <c r="AJ1834" s="1120"/>
    </row>
    <row r="1835" spans="2:36" ht="30" customHeight="1" x14ac:dyDescent="0.25">
      <c r="B1835" s="5"/>
      <c r="C1835" s="5"/>
      <c r="D1835" s="5"/>
      <c r="E1835" s="5"/>
      <c r="F1835" s="5"/>
      <c r="G1835" s="5"/>
      <c r="H1835" s="5"/>
      <c r="I1835" s="5"/>
      <c r="J1835" s="5"/>
      <c r="L1835" s="277"/>
      <c r="M1835" s="5"/>
      <c r="R1835" s="5"/>
      <c r="S1835" s="5"/>
      <c r="T1835" s="1120"/>
      <c r="U1835" s="5"/>
      <c r="V1835" s="5"/>
      <c r="W1835" s="5"/>
      <c r="X1835" s="1120"/>
      <c r="Y1835" s="1120"/>
      <c r="Z1835" s="5"/>
      <c r="AA1835" s="5"/>
      <c r="AB1835" s="1135"/>
      <c r="AC1835" s="5"/>
      <c r="AD1835" s="5"/>
      <c r="AE1835" s="5"/>
      <c r="AF1835" s="1120"/>
      <c r="AG1835" s="1148"/>
      <c r="AH1835" s="1120"/>
      <c r="AI1835" s="1120"/>
      <c r="AJ1835" s="1120"/>
    </row>
    <row r="1836" spans="2:36" ht="30" customHeight="1" x14ac:dyDescent="0.25">
      <c r="B1836" s="5"/>
      <c r="C1836" s="5"/>
      <c r="D1836" s="5"/>
      <c r="E1836" s="5"/>
      <c r="F1836" s="5"/>
      <c r="G1836" s="5"/>
      <c r="H1836" s="5"/>
      <c r="I1836" s="5"/>
      <c r="J1836" s="5"/>
      <c r="L1836" s="277"/>
      <c r="M1836" s="5"/>
      <c r="R1836" s="5"/>
      <c r="S1836" s="5"/>
      <c r="T1836" s="1120"/>
      <c r="U1836" s="5"/>
      <c r="V1836" s="5"/>
      <c r="W1836" s="5"/>
      <c r="X1836" s="1120"/>
      <c r="Y1836" s="1120"/>
      <c r="Z1836" s="5"/>
      <c r="AA1836" s="5"/>
      <c r="AB1836" s="1135"/>
      <c r="AC1836" s="5"/>
      <c r="AD1836" s="5"/>
      <c r="AE1836" s="5"/>
      <c r="AF1836" s="1120"/>
      <c r="AG1836" s="1148"/>
      <c r="AH1836" s="1120"/>
      <c r="AI1836" s="1120"/>
      <c r="AJ1836" s="1120"/>
    </row>
    <row r="1837" spans="2:36" ht="30" customHeight="1" x14ac:dyDescent="0.25">
      <c r="B1837" s="5"/>
      <c r="C1837" s="5"/>
      <c r="D1837" s="5"/>
      <c r="E1837" s="5"/>
      <c r="F1837" s="5"/>
      <c r="G1837" s="5"/>
      <c r="H1837" s="5"/>
      <c r="I1837" s="5"/>
      <c r="J1837" s="5"/>
      <c r="L1837" s="277"/>
      <c r="M1837" s="5"/>
      <c r="R1837" s="5"/>
      <c r="S1837" s="5"/>
      <c r="T1837" s="1120"/>
      <c r="U1837" s="5"/>
      <c r="V1837" s="5"/>
      <c r="W1837" s="5"/>
      <c r="X1837" s="1120"/>
      <c r="Y1837" s="1120"/>
      <c r="Z1837" s="5"/>
      <c r="AA1837" s="5"/>
      <c r="AB1837" s="1135"/>
      <c r="AC1837" s="5"/>
      <c r="AD1837" s="5"/>
      <c r="AE1837" s="5"/>
      <c r="AF1837" s="1120"/>
      <c r="AG1837" s="1148"/>
      <c r="AH1837" s="1120"/>
      <c r="AI1837" s="1120"/>
      <c r="AJ1837" s="1120"/>
    </row>
    <row r="1838" spans="2:36" ht="30" customHeight="1" x14ac:dyDescent="0.25">
      <c r="B1838" s="5"/>
      <c r="C1838" s="5"/>
      <c r="D1838" s="5"/>
      <c r="E1838" s="5"/>
      <c r="F1838" s="5"/>
      <c r="G1838" s="5"/>
      <c r="H1838" s="5"/>
      <c r="I1838" s="5"/>
      <c r="J1838" s="5"/>
      <c r="L1838" s="277"/>
      <c r="M1838" s="5"/>
      <c r="R1838" s="5"/>
      <c r="S1838" s="5"/>
      <c r="T1838" s="1120"/>
      <c r="U1838" s="5"/>
      <c r="V1838" s="5"/>
      <c r="W1838" s="5"/>
      <c r="X1838" s="1120"/>
      <c r="Y1838" s="1120"/>
      <c r="Z1838" s="5"/>
      <c r="AA1838" s="5"/>
      <c r="AB1838" s="1135"/>
      <c r="AC1838" s="5"/>
      <c r="AD1838" s="5"/>
      <c r="AE1838" s="5"/>
      <c r="AF1838" s="1120"/>
      <c r="AG1838" s="1148"/>
      <c r="AH1838" s="1120"/>
      <c r="AI1838" s="1120"/>
      <c r="AJ1838" s="1120"/>
    </row>
    <row r="1839" spans="2:36" ht="30" customHeight="1" x14ac:dyDescent="0.25">
      <c r="B1839" s="5"/>
      <c r="C1839" s="5"/>
      <c r="D1839" s="5"/>
      <c r="E1839" s="5"/>
      <c r="F1839" s="5"/>
      <c r="G1839" s="5"/>
      <c r="H1839" s="5"/>
      <c r="I1839" s="5"/>
      <c r="J1839" s="5"/>
      <c r="L1839" s="277"/>
      <c r="M1839" s="5"/>
      <c r="R1839" s="5"/>
      <c r="S1839" s="5"/>
      <c r="T1839" s="1120"/>
      <c r="U1839" s="5"/>
      <c r="V1839" s="5"/>
      <c r="W1839" s="5"/>
      <c r="X1839" s="1120"/>
      <c r="Y1839" s="1120"/>
      <c r="Z1839" s="5"/>
      <c r="AA1839" s="5"/>
      <c r="AB1839" s="1135"/>
      <c r="AC1839" s="5"/>
      <c r="AD1839" s="5"/>
      <c r="AE1839" s="5"/>
      <c r="AF1839" s="1120"/>
      <c r="AG1839" s="1148"/>
      <c r="AH1839" s="1120"/>
      <c r="AI1839" s="1120"/>
      <c r="AJ1839" s="1120"/>
    </row>
    <row r="1840" spans="2:36" ht="30" customHeight="1" x14ac:dyDescent="0.25">
      <c r="B1840" s="5"/>
      <c r="C1840" s="5"/>
      <c r="D1840" s="5"/>
      <c r="E1840" s="5"/>
      <c r="F1840" s="5"/>
      <c r="G1840" s="5"/>
      <c r="H1840" s="5"/>
      <c r="I1840" s="5"/>
      <c r="J1840" s="5"/>
      <c r="L1840" s="277"/>
      <c r="M1840" s="5"/>
      <c r="R1840" s="5"/>
      <c r="S1840" s="5"/>
      <c r="T1840" s="1120"/>
      <c r="U1840" s="5"/>
      <c r="V1840" s="5"/>
      <c r="W1840" s="5"/>
      <c r="X1840" s="1120"/>
      <c r="Y1840" s="1120"/>
      <c r="Z1840" s="5"/>
      <c r="AA1840" s="5"/>
      <c r="AB1840" s="1135"/>
      <c r="AC1840" s="5"/>
      <c r="AD1840" s="5"/>
      <c r="AE1840" s="5"/>
      <c r="AF1840" s="1120"/>
      <c r="AG1840" s="1148"/>
      <c r="AH1840" s="1120"/>
      <c r="AI1840" s="1120"/>
      <c r="AJ1840" s="1120"/>
    </row>
    <row r="1841" spans="2:36" ht="30" customHeight="1" x14ac:dyDescent="0.25">
      <c r="B1841" s="5"/>
      <c r="C1841" s="5"/>
      <c r="D1841" s="5"/>
      <c r="E1841" s="5"/>
      <c r="F1841" s="5"/>
      <c r="G1841" s="5"/>
      <c r="H1841" s="5"/>
      <c r="I1841" s="5"/>
      <c r="J1841" s="5"/>
      <c r="L1841" s="277"/>
      <c r="M1841" s="5"/>
      <c r="R1841" s="5"/>
      <c r="S1841" s="5"/>
      <c r="T1841" s="1120"/>
      <c r="U1841" s="5"/>
      <c r="V1841" s="5"/>
      <c r="W1841" s="5"/>
      <c r="X1841" s="1120"/>
      <c r="Y1841" s="1120"/>
      <c r="Z1841" s="5"/>
      <c r="AA1841" s="5"/>
      <c r="AB1841" s="1135"/>
      <c r="AC1841" s="5"/>
      <c r="AD1841" s="5"/>
      <c r="AE1841" s="5"/>
      <c r="AF1841" s="1120"/>
      <c r="AG1841" s="1148"/>
      <c r="AH1841" s="1120"/>
      <c r="AI1841" s="1120"/>
      <c r="AJ1841" s="1120"/>
    </row>
    <row r="1842" spans="2:36" ht="30" customHeight="1" x14ac:dyDescent="0.25">
      <c r="B1842" s="5"/>
      <c r="C1842" s="5"/>
      <c r="D1842" s="5"/>
      <c r="E1842" s="5"/>
      <c r="F1842" s="5"/>
      <c r="G1842" s="5"/>
      <c r="H1842" s="5"/>
      <c r="I1842" s="5"/>
      <c r="J1842" s="5"/>
      <c r="L1842" s="277"/>
      <c r="M1842" s="5"/>
      <c r="R1842" s="5"/>
      <c r="S1842" s="5"/>
      <c r="T1842" s="1120"/>
      <c r="U1842" s="5"/>
      <c r="V1842" s="5"/>
      <c r="W1842" s="5"/>
      <c r="X1842" s="1120"/>
      <c r="Y1842" s="1120"/>
      <c r="Z1842" s="5"/>
      <c r="AA1842" s="5"/>
      <c r="AB1842" s="1135"/>
      <c r="AC1842" s="5"/>
      <c r="AD1842" s="5"/>
      <c r="AE1842" s="5"/>
      <c r="AF1842" s="1120"/>
      <c r="AG1842" s="1148"/>
      <c r="AH1842" s="1120"/>
      <c r="AI1842" s="1120"/>
      <c r="AJ1842" s="1120"/>
    </row>
    <row r="1843" spans="2:36" ht="30" customHeight="1" x14ac:dyDescent="0.25">
      <c r="B1843" s="5"/>
      <c r="C1843" s="5"/>
      <c r="D1843" s="5"/>
      <c r="E1843" s="5"/>
      <c r="F1843" s="5"/>
      <c r="G1843" s="5"/>
      <c r="H1843" s="5"/>
      <c r="I1843" s="5"/>
      <c r="J1843" s="5"/>
      <c r="L1843" s="277"/>
      <c r="M1843" s="5"/>
      <c r="R1843" s="5"/>
      <c r="S1843" s="5"/>
      <c r="T1843" s="1120"/>
      <c r="U1843" s="5"/>
      <c r="V1843" s="5"/>
      <c r="W1843" s="5"/>
      <c r="X1843" s="1120"/>
      <c r="Y1843" s="1120"/>
      <c r="Z1843" s="5"/>
      <c r="AA1843" s="5"/>
      <c r="AB1843" s="1135"/>
      <c r="AC1843" s="5"/>
      <c r="AD1843" s="5"/>
      <c r="AE1843" s="5"/>
      <c r="AF1843" s="1120"/>
      <c r="AG1843" s="1148"/>
      <c r="AH1843" s="1120"/>
      <c r="AI1843" s="1120"/>
      <c r="AJ1843" s="1120"/>
    </row>
    <row r="1844" spans="2:36" ht="30" customHeight="1" x14ac:dyDescent="0.25">
      <c r="B1844" s="5"/>
      <c r="C1844" s="5"/>
      <c r="D1844" s="5"/>
      <c r="E1844" s="5"/>
      <c r="F1844" s="5"/>
      <c r="G1844" s="5"/>
      <c r="H1844" s="5"/>
      <c r="I1844" s="5"/>
      <c r="J1844" s="5"/>
      <c r="L1844" s="277"/>
      <c r="M1844" s="5"/>
      <c r="R1844" s="5"/>
      <c r="S1844" s="5"/>
      <c r="T1844" s="1120"/>
      <c r="U1844" s="5"/>
      <c r="V1844" s="5"/>
      <c r="W1844" s="5"/>
      <c r="X1844" s="1120"/>
      <c r="Y1844" s="1120"/>
      <c r="Z1844" s="5"/>
      <c r="AA1844" s="5"/>
      <c r="AB1844" s="1135"/>
      <c r="AC1844" s="5"/>
      <c r="AD1844" s="5"/>
      <c r="AE1844" s="5"/>
      <c r="AF1844" s="1120"/>
      <c r="AG1844" s="1148"/>
      <c r="AH1844" s="1120"/>
      <c r="AI1844" s="1120"/>
      <c r="AJ1844" s="1120"/>
    </row>
    <row r="1845" spans="2:36" ht="30" customHeight="1" x14ac:dyDescent="0.25">
      <c r="B1845" s="5"/>
      <c r="C1845" s="5"/>
      <c r="D1845" s="5"/>
      <c r="E1845" s="5"/>
      <c r="F1845" s="5"/>
      <c r="G1845" s="5"/>
      <c r="H1845" s="5"/>
      <c r="I1845" s="5"/>
      <c r="J1845" s="5"/>
      <c r="L1845" s="277"/>
      <c r="M1845" s="5"/>
      <c r="R1845" s="5"/>
      <c r="S1845" s="5"/>
      <c r="T1845" s="1120"/>
      <c r="U1845" s="5"/>
      <c r="V1845" s="5"/>
      <c r="W1845" s="5"/>
      <c r="X1845" s="1120"/>
      <c r="Y1845" s="1120"/>
      <c r="Z1845" s="5"/>
      <c r="AA1845" s="5"/>
      <c r="AB1845" s="1135"/>
      <c r="AC1845" s="5"/>
      <c r="AD1845" s="5"/>
      <c r="AE1845" s="5"/>
      <c r="AF1845" s="1120"/>
      <c r="AG1845" s="1148"/>
      <c r="AH1845" s="1120"/>
      <c r="AI1845" s="1120"/>
      <c r="AJ1845" s="1120"/>
    </row>
    <row r="1846" spans="2:36" ht="30" customHeight="1" x14ac:dyDescent="0.25">
      <c r="B1846" s="5"/>
      <c r="C1846" s="5"/>
      <c r="D1846" s="5"/>
      <c r="E1846" s="5"/>
      <c r="F1846" s="5"/>
      <c r="G1846" s="5"/>
      <c r="H1846" s="5"/>
      <c r="I1846" s="5"/>
      <c r="J1846" s="5"/>
      <c r="L1846" s="277"/>
      <c r="M1846" s="5"/>
      <c r="R1846" s="5"/>
      <c r="S1846" s="5"/>
      <c r="T1846" s="1120"/>
      <c r="U1846" s="5"/>
      <c r="V1846" s="5"/>
      <c r="W1846" s="5"/>
      <c r="X1846" s="1120"/>
      <c r="Y1846" s="1120"/>
      <c r="Z1846" s="5"/>
      <c r="AA1846" s="5"/>
      <c r="AB1846" s="1135"/>
      <c r="AC1846" s="5"/>
      <c r="AD1846" s="5"/>
      <c r="AE1846" s="5"/>
      <c r="AF1846" s="1120"/>
      <c r="AG1846" s="1148"/>
      <c r="AH1846" s="1120"/>
      <c r="AI1846" s="1120"/>
      <c r="AJ1846" s="1120"/>
    </row>
    <row r="1847" spans="2:36" ht="30" customHeight="1" x14ac:dyDescent="0.25">
      <c r="B1847" s="5"/>
      <c r="C1847" s="5"/>
      <c r="D1847" s="5"/>
      <c r="E1847" s="5"/>
      <c r="F1847" s="5"/>
      <c r="G1847" s="5"/>
      <c r="H1847" s="5"/>
      <c r="I1847" s="5"/>
      <c r="J1847" s="5"/>
      <c r="L1847" s="277"/>
      <c r="M1847" s="5"/>
      <c r="R1847" s="5"/>
      <c r="S1847" s="5"/>
      <c r="T1847" s="1120"/>
      <c r="U1847" s="5"/>
      <c r="V1847" s="5"/>
      <c r="W1847" s="5"/>
      <c r="X1847" s="1120"/>
      <c r="Y1847" s="1120"/>
      <c r="Z1847" s="5"/>
      <c r="AA1847" s="5"/>
      <c r="AB1847" s="1135"/>
      <c r="AC1847" s="5"/>
      <c r="AD1847" s="5"/>
      <c r="AE1847" s="5"/>
      <c r="AF1847" s="1120"/>
      <c r="AG1847" s="1148"/>
      <c r="AH1847" s="1120"/>
      <c r="AI1847" s="1120"/>
      <c r="AJ1847" s="1120"/>
    </row>
    <row r="1848" spans="2:36" ht="30" customHeight="1" x14ac:dyDescent="0.25">
      <c r="B1848" s="5"/>
      <c r="C1848" s="5"/>
      <c r="D1848" s="5"/>
      <c r="E1848" s="5"/>
      <c r="F1848" s="5"/>
      <c r="G1848" s="5"/>
      <c r="H1848" s="5"/>
      <c r="I1848" s="5"/>
      <c r="J1848" s="5"/>
      <c r="L1848" s="277"/>
      <c r="M1848" s="5"/>
      <c r="R1848" s="5"/>
      <c r="S1848" s="5"/>
      <c r="T1848" s="1120"/>
      <c r="U1848" s="5"/>
      <c r="V1848" s="5"/>
      <c r="W1848" s="5"/>
      <c r="X1848" s="1120"/>
      <c r="Y1848" s="1120"/>
      <c r="Z1848" s="5"/>
      <c r="AA1848" s="5"/>
      <c r="AB1848" s="1135"/>
      <c r="AC1848" s="5"/>
      <c r="AD1848" s="5"/>
      <c r="AE1848" s="5"/>
      <c r="AF1848" s="1120"/>
      <c r="AG1848" s="1148"/>
      <c r="AH1848" s="1120"/>
      <c r="AI1848" s="1120"/>
      <c r="AJ1848" s="1120"/>
    </row>
    <row r="1849" spans="2:36" ht="30" customHeight="1" x14ac:dyDescent="0.25">
      <c r="B1849" s="5"/>
      <c r="C1849" s="5"/>
      <c r="D1849" s="5"/>
      <c r="E1849" s="5"/>
      <c r="F1849" s="5"/>
      <c r="G1849" s="5"/>
      <c r="H1849" s="5"/>
      <c r="I1849" s="5"/>
      <c r="J1849" s="5"/>
      <c r="L1849" s="277"/>
      <c r="M1849" s="5"/>
      <c r="R1849" s="5"/>
      <c r="S1849" s="5"/>
      <c r="T1849" s="1120"/>
      <c r="U1849" s="5"/>
      <c r="V1849" s="5"/>
      <c r="W1849" s="5"/>
      <c r="X1849" s="1120"/>
      <c r="Y1849" s="1120"/>
      <c r="Z1849" s="5"/>
      <c r="AA1849" s="5"/>
      <c r="AB1849" s="1135"/>
      <c r="AC1849" s="5"/>
      <c r="AD1849" s="5"/>
      <c r="AE1849" s="5"/>
      <c r="AF1849" s="1120"/>
      <c r="AG1849" s="1148"/>
      <c r="AH1849" s="1120"/>
      <c r="AI1849" s="1120"/>
      <c r="AJ1849" s="1120"/>
    </row>
    <row r="1850" spans="2:36" ht="30" customHeight="1" x14ac:dyDescent="0.25">
      <c r="B1850" s="5"/>
      <c r="C1850" s="5"/>
      <c r="D1850" s="5"/>
      <c r="E1850" s="5"/>
      <c r="F1850" s="5"/>
      <c r="G1850" s="5"/>
      <c r="H1850" s="5"/>
      <c r="I1850" s="5"/>
      <c r="J1850" s="5"/>
      <c r="L1850" s="277"/>
      <c r="M1850" s="5"/>
      <c r="R1850" s="5"/>
      <c r="S1850" s="5"/>
      <c r="T1850" s="1120"/>
      <c r="U1850" s="5"/>
      <c r="V1850" s="5"/>
      <c r="W1850" s="5"/>
      <c r="X1850" s="1120"/>
      <c r="Y1850" s="1120"/>
      <c r="Z1850" s="5"/>
      <c r="AA1850" s="5"/>
      <c r="AB1850" s="1135"/>
      <c r="AC1850" s="5"/>
      <c r="AD1850" s="5"/>
      <c r="AE1850" s="5"/>
      <c r="AF1850" s="1120"/>
      <c r="AG1850" s="1148"/>
      <c r="AH1850" s="1120"/>
      <c r="AI1850" s="1120"/>
      <c r="AJ1850" s="1120"/>
    </row>
    <row r="1851" spans="2:36" ht="30" customHeight="1" x14ac:dyDescent="0.25">
      <c r="B1851" s="5"/>
      <c r="C1851" s="5"/>
      <c r="D1851" s="5"/>
      <c r="E1851" s="5"/>
      <c r="F1851" s="5"/>
      <c r="G1851" s="5"/>
      <c r="H1851" s="5"/>
      <c r="I1851" s="5"/>
      <c r="J1851" s="5"/>
      <c r="L1851" s="277"/>
      <c r="M1851" s="5"/>
      <c r="R1851" s="5"/>
      <c r="S1851" s="5"/>
      <c r="T1851" s="1120"/>
      <c r="U1851" s="5"/>
      <c r="V1851" s="5"/>
      <c r="W1851" s="5"/>
      <c r="X1851" s="1120"/>
      <c r="Y1851" s="1120"/>
      <c r="Z1851" s="5"/>
      <c r="AA1851" s="5"/>
      <c r="AB1851" s="1135"/>
      <c r="AC1851" s="5"/>
      <c r="AD1851" s="5"/>
      <c r="AE1851" s="5"/>
      <c r="AF1851" s="1120"/>
      <c r="AG1851" s="1148"/>
      <c r="AH1851" s="1120"/>
      <c r="AI1851" s="1120"/>
      <c r="AJ1851" s="1120"/>
    </row>
    <row r="1852" spans="2:36" ht="30" customHeight="1" x14ac:dyDescent="0.25">
      <c r="B1852" s="5"/>
      <c r="C1852" s="5"/>
      <c r="D1852" s="5"/>
      <c r="E1852" s="5"/>
      <c r="F1852" s="5"/>
      <c r="G1852" s="5"/>
      <c r="H1852" s="5"/>
      <c r="I1852" s="5"/>
      <c r="J1852" s="5"/>
      <c r="L1852" s="277"/>
      <c r="M1852" s="5"/>
      <c r="R1852" s="5"/>
      <c r="S1852" s="5"/>
      <c r="T1852" s="1120"/>
      <c r="U1852" s="5"/>
      <c r="V1852" s="5"/>
      <c r="W1852" s="5"/>
      <c r="X1852" s="1120"/>
      <c r="Y1852" s="1120"/>
      <c r="Z1852" s="5"/>
      <c r="AA1852" s="5"/>
      <c r="AB1852" s="1135"/>
      <c r="AC1852" s="5"/>
      <c r="AD1852" s="5"/>
      <c r="AE1852" s="5"/>
      <c r="AF1852" s="1120"/>
      <c r="AG1852" s="1148"/>
      <c r="AH1852" s="1120"/>
      <c r="AI1852" s="1120"/>
      <c r="AJ1852" s="1120"/>
    </row>
    <row r="1853" spans="2:36" ht="30" customHeight="1" x14ac:dyDescent="0.25">
      <c r="B1853" s="5"/>
      <c r="C1853" s="5"/>
      <c r="D1853" s="5"/>
      <c r="E1853" s="5"/>
      <c r="F1853" s="5"/>
      <c r="G1853" s="5"/>
      <c r="H1853" s="5"/>
      <c r="I1853" s="5"/>
      <c r="J1853" s="5"/>
      <c r="L1853" s="277"/>
      <c r="M1853" s="5"/>
      <c r="R1853" s="5"/>
      <c r="S1853" s="5"/>
      <c r="T1853" s="1120"/>
      <c r="U1853" s="5"/>
      <c r="V1853" s="5"/>
      <c r="W1853" s="5"/>
      <c r="X1853" s="1120"/>
      <c r="Y1853" s="1120"/>
      <c r="Z1853" s="5"/>
      <c r="AA1853" s="5"/>
      <c r="AB1853" s="1135"/>
      <c r="AC1853" s="5"/>
      <c r="AD1853" s="5"/>
      <c r="AE1853" s="5"/>
      <c r="AF1853" s="1120"/>
      <c r="AG1853" s="1148"/>
      <c r="AH1853" s="1120"/>
      <c r="AI1853" s="1120"/>
      <c r="AJ1853" s="1120"/>
    </row>
    <row r="1854" spans="2:36" ht="30" customHeight="1" x14ac:dyDescent="0.25">
      <c r="B1854" s="5"/>
      <c r="C1854" s="5"/>
      <c r="D1854" s="5"/>
      <c r="E1854" s="5"/>
      <c r="F1854" s="5"/>
      <c r="G1854" s="5"/>
      <c r="H1854" s="5"/>
      <c r="I1854" s="5"/>
      <c r="J1854" s="5"/>
      <c r="L1854" s="277"/>
      <c r="M1854" s="5"/>
      <c r="R1854" s="5"/>
      <c r="S1854" s="5"/>
      <c r="T1854" s="1120"/>
      <c r="U1854" s="5"/>
      <c r="V1854" s="5"/>
      <c r="W1854" s="5"/>
      <c r="X1854" s="1120"/>
      <c r="Y1854" s="1120"/>
      <c r="Z1854" s="5"/>
      <c r="AA1854" s="5"/>
      <c r="AB1854" s="1135"/>
      <c r="AC1854" s="5"/>
      <c r="AD1854" s="5"/>
      <c r="AE1854" s="5"/>
      <c r="AF1854" s="1120"/>
      <c r="AG1854" s="1148"/>
      <c r="AH1854" s="1120"/>
      <c r="AI1854" s="1120"/>
      <c r="AJ1854" s="1120"/>
    </row>
    <row r="1855" spans="2:36" ht="30" customHeight="1" x14ac:dyDescent="0.25">
      <c r="B1855" s="5"/>
      <c r="C1855" s="5"/>
      <c r="D1855" s="5"/>
      <c r="E1855" s="5"/>
      <c r="F1855" s="5"/>
      <c r="G1855" s="5"/>
      <c r="H1855" s="5"/>
      <c r="I1855" s="5"/>
      <c r="J1855" s="5"/>
      <c r="L1855" s="277"/>
      <c r="M1855" s="5"/>
      <c r="R1855" s="5"/>
      <c r="S1855" s="5"/>
      <c r="T1855" s="1120"/>
      <c r="U1855" s="5"/>
      <c r="V1855" s="5"/>
      <c r="W1855" s="5"/>
      <c r="X1855" s="1120"/>
      <c r="Y1855" s="1120"/>
      <c r="Z1855" s="5"/>
      <c r="AA1855" s="5"/>
      <c r="AB1855" s="1135"/>
      <c r="AC1855" s="5"/>
      <c r="AD1855" s="5"/>
      <c r="AE1855" s="5"/>
      <c r="AF1855" s="1120"/>
      <c r="AG1855" s="1148"/>
      <c r="AH1855" s="1120"/>
      <c r="AI1855" s="1120"/>
      <c r="AJ1855" s="1120"/>
    </row>
    <row r="1856" spans="2:36" ht="30" customHeight="1" x14ac:dyDescent="0.25">
      <c r="B1856" s="5"/>
      <c r="C1856" s="5"/>
      <c r="D1856" s="5"/>
      <c r="E1856" s="5"/>
      <c r="F1856" s="5"/>
      <c r="G1856" s="5"/>
      <c r="H1856" s="5"/>
      <c r="I1856" s="5"/>
      <c r="J1856" s="5"/>
      <c r="L1856" s="277"/>
      <c r="M1856" s="5"/>
      <c r="R1856" s="5"/>
      <c r="S1856" s="5"/>
      <c r="T1856" s="1120"/>
      <c r="U1856" s="5"/>
      <c r="V1856" s="5"/>
      <c r="W1856" s="5"/>
      <c r="X1856" s="1120"/>
      <c r="Y1856" s="1120"/>
      <c r="Z1856" s="5"/>
      <c r="AA1856" s="5"/>
      <c r="AB1856" s="1135"/>
      <c r="AC1856" s="5"/>
      <c r="AD1856" s="5"/>
      <c r="AE1856" s="5"/>
      <c r="AF1856" s="1120"/>
      <c r="AG1856" s="1148"/>
      <c r="AH1856" s="1120"/>
      <c r="AI1856" s="1120"/>
      <c r="AJ1856" s="1120"/>
    </row>
    <row r="1857" spans="2:36" ht="30" customHeight="1" x14ac:dyDescent="0.25">
      <c r="B1857" s="5"/>
      <c r="C1857" s="5"/>
      <c r="D1857" s="5"/>
      <c r="E1857" s="5"/>
      <c r="F1857" s="5"/>
      <c r="G1857" s="5"/>
      <c r="H1857" s="5"/>
      <c r="I1857" s="5"/>
      <c r="J1857" s="5"/>
      <c r="L1857" s="277"/>
      <c r="M1857" s="5"/>
      <c r="R1857" s="5"/>
      <c r="S1857" s="5"/>
      <c r="T1857" s="1120"/>
      <c r="U1857" s="5"/>
      <c r="V1857" s="5"/>
      <c r="W1857" s="5"/>
      <c r="X1857" s="1120"/>
      <c r="Y1857" s="1120"/>
      <c r="Z1857" s="5"/>
      <c r="AA1857" s="5"/>
      <c r="AB1857" s="1135"/>
      <c r="AC1857" s="5"/>
      <c r="AD1857" s="5"/>
      <c r="AE1857" s="5"/>
      <c r="AF1857" s="1120"/>
      <c r="AG1857" s="1148"/>
      <c r="AH1857" s="1120"/>
      <c r="AI1857" s="1120"/>
      <c r="AJ1857" s="1120"/>
    </row>
    <row r="1858" spans="2:36" ht="30" customHeight="1" x14ac:dyDescent="0.25">
      <c r="B1858" s="5"/>
      <c r="C1858" s="5"/>
      <c r="D1858" s="5"/>
      <c r="E1858" s="5"/>
      <c r="F1858" s="5"/>
      <c r="G1858" s="5"/>
      <c r="H1858" s="5"/>
      <c r="I1858" s="5"/>
      <c r="J1858" s="5"/>
      <c r="L1858" s="277"/>
      <c r="M1858" s="5"/>
      <c r="R1858" s="5"/>
      <c r="S1858" s="5"/>
      <c r="T1858" s="1120"/>
      <c r="U1858" s="5"/>
      <c r="V1858" s="5"/>
      <c r="W1858" s="5"/>
      <c r="X1858" s="1120"/>
      <c r="Y1858" s="1120"/>
      <c r="Z1858" s="5"/>
      <c r="AA1858" s="5"/>
      <c r="AB1858" s="1135"/>
      <c r="AC1858" s="5"/>
      <c r="AD1858" s="5"/>
      <c r="AE1858" s="5"/>
      <c r="AF1858" s="1120"/>
      <c r="AG1858" s="1148"/>
      <c r="AH1858" s="1120"/>
      <c r="AI1858" s="1120"/>
      <c r="AJ1858" s="1120"/>
    </row>
    <row r="1859" spans="2:36" ht="30" customHeight="1" x14ac:dyDescent="0.25">
      <c r="B1859" s="5"/>
      <c r="C1859" s="5"/>
      <c r="D1859" s="5"/>
      <c r="E1859" s="5"/>
      <c r="F1859" s="5"/>
      <c r="G1859" s="5"/>
      <c r="H1859" s="5"/>
      <c r="I1859" s="5"/>
      <c r="J1859" s="5"/>
      <c r="L1859" s="277"/>
      <c r="M1859" s="5"/>
      <c r="R1859" s="5"/>
      <c r="S1859" s="5"/>
      <c r="T1859" s="1120"/>
      <c r="U1859" s="5"/>
      <c r="V1859" s="5"/>
      <c r="W1859" s="5"/>
      <c r="X1859" s="1120"/>
      <c r="Y1859" s="1120"/>
      <c r="Z1859" s="5"/>
      <c r="AA1859" s="5"/>
      <c r="AB1859" s="1135"/>
      <c r="AC1859" s="5"/>
      <c r="AD1859" s="5"/>
      <c r="AE1859" s="5"/>
      <c r="AF1859" s="1120"/>
      <c r="AG1859" s="1148"/>
      <c r="AH1859" s="1120"/>
      <c r="AI1859" s="1120"/>
      <c r="AJ1859" s="1120"/>
    </row>
    <row r="1860" spans="2:36" ht="30" customHeight="1" x14ac:dyDescent="0.25">
      <c r="B1860" s="5"/>
      <c r="C1860" s="5"/>
      <c r="D1860" s="5"/>
      <c r="E1860" s="5"/>
      <c r="F1860" s="5"/>
      <c r="G1860" s="5"/>
      <c r="H1860" s="5"/>
      <c r="I1860" s="5"/>
      <c r="J1860" s="5"/>
      <c r="L1860" s="277"/>
      <c r="M1860" s="5"/>
      <c r="R1860" s="5"/>
      <c r="S1860" s="5"/>
      <c r="T1860" s="1120"/>
      <c r="U1860" s="5"/>
      <c r="V1860" s="5"/>
      <c r="W1860" s="5"/>
      <c r="X1860" s="1120"/>
      <c r="Y1860" s="1120"/>
      <c r="Z1860" s="5"/>
      <c r="AA1860" s="5"/>
      <c r="AB1860" s="1135"/>
      <c r="AC1860" s="5"/>
      <c r="AD1860" s="5"/>
      <c r="AE1860" s="5"/>
      <c r="AF1860" s="1120"/>
      <c r="AG1860" s="1148"/>
      <c r="AH1860" s="1120"/>
      <c r="AI1860" s="1120"/>
      <c r="AJ1860" s="1120"/>
    </row>
    <row r="1861" spans="2:36" ht="30" customHeight="1" x14ac:dyDescent="0.25">
      <c r="B1861" s="5"/>
      <c r="C1861" s="5"/>
      <c r="D1861" s="5"/>
      <c r="E1861" s="5"/>
      <c r="F1861" s="5"/>
      <c r="G1861" s="5"/>
      <c r="H1861" s="5"/>
      <c r="I1861" s="5"/>
      <c r="J1861" s="5"/>
      <c r="L1861" s="277"/>
      <c r="M1861" s="5"/>
      <c r="R1861" s="5"/>
      <c r="S1861" s="5"/>
      <c r="T1861" s="1120"/>
      <c r="U1861" s="5"/>
      <c r="V1861" s="5"/>
      <c r="W1861" s="5"/>
      <c r="X1861" s="1120"/>
      <c r="Y1861" s="1120"/>
      <c r="Z1861" s="5"/>
      <c r="AA1861" s="5"/>
      <c r="AB1861" s="1135"/>
      <c r="AC1861" s="5"/>
      <c r="AD1861" s="5"/>
      <c r="AE1861" s="5"/>
      <c r="AF1861" s="1120"/>
      <c r="AG1861" s="1148"/>
      <c r="AH1861" s="1120"/>
      <c r="AI1861" s="1120"/>
      <c r="AJ1861" s="1120"/>
    </row>
    <row r="1862" spans="2:36" ht="30" customHeight="1" x14ac:dyDescent="0.25">
      <c r="B1862" s="5"/>
      <c r="C1862" s="5"/>
      <c r="D1862" s="5"/>
      <c r="E1862" s="5"/>
      <c r="F1862" s="5"/>
      <c r="G1862" s="5"/>
      <c r="H1862" s="5"/>
      <c r="I1862" s="5"/>
      <c r="J1862" s="5"/>
      <c r="L1862" s="277"/>
      <c r="M1862" s="5"/>
      <c r="R1862" s="5"/>
      <c r="S1862" s="5"/>
      <c r="T1862" s="1120"/>
      <c r="U1862" s="5"/>
      <c r="V1862" s="5"/>
      <c r="W1862" s="5"/>
      <c r="X1862" s="1120"/>
      <c r="Y1862" s="1120"/>
      <c r="Z1862" s="5"/>
      <c r="AA1862" s="5"/>
      <c r="AB1862" s="1135"/>
      <c r="AC1862" s="5"/>
      <c r="AD1862" s="5"/>
      <c r="AE1862" s="5"/>
      <c r="AF1862" s="1120"/>
      <c r="AG1862" s="1148"/>
      <c r="AH1862" s="1120"/>
      <c r="AI1862" s="1120"/>
      <c r="AJ1862" s="1120"/>
    </row>
    <row r="1863" spans="2:36" ht="30" customHeight="1" x14ac:dyDescent="0.25">
      <c r="B1863" s="5"/>
      <c r="C1863" s="5"/>
      <c r="D1863" s="5"/>
      <c r="E1863" s="5"/>
      <c r="F1863" s="5"/>
      <c r="G1863" s="5"/>
      <c r="H1863" s="5"/>
      <c r="I1863" s="5"/>
      <c r="J1863" s="5"/>
      <c r="L1863" s="277"/>
      <c r="M1863" s="5"/>
      <c r="R1863" s="5"/>
      <c r="S1863" s="5"/>
      <c r="T1863" s="1120"/>
      <c r="U1863" s="5"/>
      <c r="V1863" s="5"/>
      <c r="W1863" s="5"/>
      <c r="X1863" s="1120"/>
      <c r="Y1863" s="1120"/>
      <c r="Z1863" s="5"/>
      <c r="AA1863" s="5"/>
      <c r="AB1863" s="1135"/>
      <c r="AC1863" s="5"/>
      <c r="AD1863" s="5"/>
      <c r="AE1863" s="5"/>
      <c r="AF1863" s="1120"/>
      <c r="AG1863" s="1148"/>
      <c r="AH1863" s="1120"/>
      <c r="AI1863" s="1120"/>
      <c r="AJ1863" s="1120"/>
    </row>
    <row r="1864" spans="2:36" ht="30" customHeight="1" x14ac:dyDescent="0.25">
      <c r="B1864" s="5"/>
      <c r="C1864" s="5"/>
      <c r="D1864" s="5"/>
      <c r="E1864" s="5"/>
      <c r="F1864" s="5"/>
      <c r="G1864" s="5"/>
      <c r="H1864" s="5"/>
      <c r="I1864" s="5"/>
      <c r="J1864" s="5"/>
      <c r="L1864" s="277"/>
      <c r="M1864" s="5"/>
      <c r="R1864" s="5"/>
      <c r="S1864" s="5"/>
      <c r="T1864" s="1120"/>
      <c r="U1864" s="5"/>
      <c r="V1864" s="5"/>
      <c r="W1864" s="5"/>
      <c r="X1864" s="1120"/>
      <c r="Y1864" s="1120"/>
      <c r="Z1864" s="5"/>
      <c r="AA1864" s="5"/>
      <c r="AB1864" s="1135"/>
      <c r="AC1864" s="5"/>
      <c r="AD1864" s="5"/>
      <c r="AE1864" s="5"/>
      <c r="AF1864" s="1120"/>
      <c r="AG1864" s="1148"/>
      <c r="AH1864" s="1120"/>
      <c r="AI1864" s="1120"/>
      <c r="AJ1864" s="1120"/>
    </row>
    <row r="1865" spans="2:36" ht="30" customHeight="1" x14ac:dyDescent="0.25">
      <c r="B1865" s="5"/>
      <c r="C1865" s="5"/>
      <c r="D1865" s="5"/>
      <c r="E1865" s="5"/>
      <c r="F1865" s="5"/>
      <c r="G1865" s="5"/>
      <c r="H1865" s="5"/>
      <c r="I1865" s="5"/>
      <c r="J1865" s="5"/>
      <c r="L1865" s="277"/>
      <c r="M1865" s="5"/>
      <c r="R1865" s="5"/>
      <c r="S1865" s="5"/>
      <c r="T1865" s="1120"/>
      <c r="U1865" s="5"/>
      <c r="V1865" s="5"/>
      <c r="W1865" s="5"/>
      <c r="X1865" s="1120"/>
      <c r="Y1865" s="1120"/>
      <c r="Z1865" s="5"/>
      <c r="AA1865" s="5"/>
      <c r="AB1865" s="1135"/>
      <c r="AC1865" s="5"/>
      <c r="AD1865" s="5"/>
      <c r="AE1865" s="5"/>
      <c r="AF1865" s="1120"/>
      <c r="AG1865" s="1148"/>
      <c r="AH1865" s="1120"/>
      <c r="AI1865" s="1120"/>
      <c r="AJ1865" s="1120"/>
    </row>
    <row r="1866" spans="2:36" ht="30" customHeight="1" x14ac:dyDescent="0.25">
      <c r="B1866" s="5"/>
      <c r="C1866" s="5"/>
      <c r="D1866" s="5"/>
      <c r="E1866" s="5"/>
      <c r="F1866" s="5"/>
      <c r="G1866" s="5"/>
      <c r="H1866" s="5"/>
      <c r="I1866" s="5"/>
      <c r="J1866" s="5"/>
      <c r="L1866" s="277"/>
      <c r="M1866" s="5"/>
      <c r="R1866" s="5"/>
      <c r="S1866" s="5"/>
      <c r="T1866" s="1120"/>
      <c r="U1866" s="5"/>
      <c r="V1866" s="5"/>
      <c r="W1866" s="5"/>
      <c r="X1866" s="1120"/>
      <c r="Y1866" s="1120"/>
      <c r="Z1866" s="5"/>
      <c r="AA1866" s="5"/>
      <c r="AB1866" s="1135"/>
      <c r="AC1866" s="5"/>
      <c r="AD1866" s="5"/>
      <c r="AE1866" s="5"/>
      <c r="AF1866" s="1120"/>
      <c r="AG1866" s="1148"/>
      <c r="AH1866" s="1120"/>
      <c r="AI1866" s="1120"/>
      <c r="AJ1866" s="1120"/>
    </row>
    <row r="1867" spans="2:36" ht="30" customHeight="1" x14ac:dyDescent="0.25">
      <c r="B1867" s="5"/>
      <c r="C1867" s="5"/>
      <c r="D1867" s="5"/>
      <c r="E1867" s="5"/>
      <c r="F1867" s="5"/>
      <c r="G1867" s="5"/>
      <c r="H1867" s="5"/>
      <c r="I1867" s="5"/>
      <c r="J1867" s="5"/>
      <c r="L1867" s="277"/>
      <c r="M1867" s="5"/>
      <c r="R1867" s="5"/>
      <c r="S1867" s="5"/>
      <c r="T1867" s="1120"/>
      <c r="U1867" s="5"/>
      <c r="V1867" s="5"/>
      <c r="W1867" s="5"/>
      <c r="X1867" s="1120"/>
      <c r="Y1867" s="1120"/>
      <c r="Z1867" s="5"/>
      <c r="AA1867" s="5"/>
      <c r="AB1867" s="1135"/>
      <c r="AC1867" s="5"/>
      <c r="AD1867" s="5"/>
      <c r="AE1867" s="5"/>
      <c r="AF1867" s="1120"/>
      <c r="AG1867" s="1148"/>
      <c r="AH1867" s="1120"/>
      <c r="AI1867" s="1120"/>
      <c r="AJ1867" s="1120"/>
    </row>
    <row r="1868" spans="2:36" ht="30" customHeight="1" x14ac:dyDescent="0.25">
      <c r="B1868" s="5"/>
      <c r="C1868" s="5"/>
      <c r="D1868" s="5"/>
      <c r="E1868" s="5"/>
      <c r="F1868" s="5"/>
      <c r="G1868" s="5"/>
      <c r="H1868" s="5"/>
      <c r="I1868" s="5"/>
      <c r="J1868" s="5"/>
      <c r="L1868" s="277"/>
      <c r="M1868" s="5"/>
      <c r="R1868" s="5"/>
      <c r="S1868" s="5"/>
      <c r="T1868" s="1120"/>
      <c r="U1868" s="5"/>
      <c r="V1868" s="5"/>
      <c r="W1868" s="5"/>
      <c r="X1868" s="1120"/>
      <c r="Y1868" s="1120"/>
      <c r="Z1868" s="5"/>
      <c r="AA1868" s="5"/>
      <c r="AB1868" s="1135"/>
      <c r="AC1868" s="5"/>
      <c r="AD1868" s="5"/>
      <c r="AE1868" s="5"/>
      <c r="AF1868" s="1120"/>
      <c r="AG1868" s="1148"/>
      <c r="AH1868" s="1120"/>
      <c r="AI1868" s="1120"/>
      <c r="AJ1868" s="1120"/>
    </row>
    <row r="1869" spans="2:36" ht="30" customHeight="1" x14ac:dyDescent="0.25">
      <c r="B1869" s="5"/>
      <c r="C1869" s="5"/>
      <c r="D1869" s="5"/>
      <c r="E1869" s="5"/>
      <c r="F1869" s="5"/>
      <c r="G1869" s="5"/>
      <c r="H1869" s="5"/>
      <c r="I1869" s="5"/>
      <c r="J1869" s="5"/>
      <c r="L1869" s="277"/>
      <c r="M1869" s="5"/>
      <c r="R1869" s="5"/>
      <c r="S1869" s="5"/>
      <c r="T1869" s="1120"/>
      <c r="U1869" s="5"/>
      <c r="V1869" s="5"/>
      <c r="W1869" s="5"/>
      <c r="X1869" s="1120"/>
      <c r="Y1869" s="1120"/>
      <c r="Z1869" s="5"/>
      <c r="AA1869" s="5"/>
      <c r="AB1869" s="1135"/>
      <c r="AC1869" s="5"/>
      <c r="AD1869" s="5"/>
      <c r="AE1869" s="5"/>
      <c r="AF1869" s="1120"/>
      <c r="AG1869" s="1148"/>
      <c r="AH1869" s="1120"/>
      <c r="AI1869" s="1120"/>
      <c r="AJ1869" s="1120"/>
    </row>
    <row r="1870" spans="2:36" ht="30" customHeight="1" x14ac:dyDescent="0.25">
      <c r="B1870" s="5"/>
      <c r="C1870" s="5"/>
      <c r="D1870" s="5"/>
      <c r="E1870" s="5"/>
      <c r="F1870" s="5"/>
      <c r="G1870" s="5"/>
      <c r="H1870" s="5"/>
      <c r="I1870" s="5"/>
      <c r="J1870" s="5"/>
      <c r="L1870" s="277"/>
      <c r="M1870" s="5"/>
      <c r="R1870" s="5"/>
      <c r="S1870" s="5"/>
      <c r="T1870" s="1120"/>
      <c r="U1870" s="5"/>
      <c r="V1870" s="5"/>
      <c r="W1870" s="5"/>
      <c r="X1870" s="1120"/>
      <c r="Y1870" s="1120"/>
      <c r="Z1870" s="5"/>
      <c r="AA1870" s="5"/>
      <c r="AB1870" s="1135"/>
      <c r="AC1870" s="5"/>
      <c r="AD1870" s="5"/>
      <c r="AE1870" s="5"/>
      <c r="AF1870" s="1120"/>
      <c r="AG1870" s="1148"/>
      <c r="AH1870" s="1120"/>
      <c r="AI1870" s="1120"/>
      <c r="AJ1870" s="1120"/>
    </row>
    <row r="1871" spans="2:36" ht="30" customHeight="1" x14ac:dyDescent="0.25">
      <c r="B1871" s="5"/>
      <c r="C1871" s="5"/>
      <c r="D1871" s="5"/>
      <c r="E1871" s="5"/>
      <c r="F1871" s="5"/>
      <c r="G1871" s="5"/>
      <c r="H1871" s="5"/>
      <c r="I1871" s="5"/>
      <c r="J1871" s="5"/>
      <c r="L1871" s="277"/>
      <c r="M1871" s="5"/>
      <c r="R1871" s="5"/>
      <c r="S1871" s="5"/>
      <c r="T1871" s="1120"/>
      <c r="U1871" s="5"/>
      <c r="V1871" s="5"/>
      <c r="W1871" s="5"/>
      <c r="X1871" s="1120"/>
      <c r="Y1871" s="1120"/>
      <c r="Z1871" s="5"/>
      <c r="AA1871" s="5"/>
      <c r="AB1871" s="1135"/>
      <c r="AC1871" s="5"/>
      <c r="AD1871" s="5"/>
      <c r="AE1871" s="5"/>
      <c r="AF1871" s="1120"/>
      <c r="AG1871" s="1148"/>
      <c r="AH1871" s="1120"/>
      <c r="AI1871" s="1120"/>
      <c r="AJ1871" s="1120"/>
    </row>
    <row r="1872" spans="2:36" ht="30" customHeight="1" x14ac:dyDescent="0.25">
      <c r="B1872" s="5"/>
      <c r="C1872" s="5"/>
      <c r="D1872" s="5"/>
      <c r="E1872" s="5"/>
      <c r="F1872" s="5"/>
      <c r="G1872" s="5"/>
      <c r="H1872" s="5"/>
      <c r="I1872" s="5"/>
      <c r="J1872" s="5"/>
      <c r="L1872" s="277"/>
      <c r="M1872" s="5"/>
      <c r="R1872" s="5"/>
      <c r="S1872" s="5"/>
      <c r="T1872" s="1120"/>
      <c r="U1872" s="5"/>
      <c r="V1872" s="5"/>
      <c r="W1872" s="5"/>
      <c r="X1872" s="1120"/>
      <c r="Y1872" s="1120"/>
      <c r="Z1872" s="5"/>
      <c r="AA1872" s="5"/>
      <c r="AB1872" s="1135"/>
      <c r="AC1872" s="5"/>
      <c r="AD1872" s="5"/>
      <c r="AE1872" s="5"/>
      <c r="AF1872" s="1120"/>
      <c r="AG1872" s="1148"/>
      <c r="AH1872" s="1120"/>
      <c r="AI1872" s="1120"/>
      <c r="AJ1872" s="1120"/>
    </row>
    <row r="1873" spans="2:36" ht="30" customHeight="1" x14ac:dyDescent="0.25">
      <c r="B1873" s="5"/>
      <c r="C1873" s="5"/>
      <c r="D1873" s="5"/>
      <c r="E1873" s="5"/>
      <c r="F1873" s="5"/>
      <c r="G1873" s="5"/>
      <c r="H1873" s="5"/>
      <c r="I1873" s="5"/>
      <c r="J1873" s="5"/>
      <c r="L1873" s="277"/>
      <c r="M1873" s="5"/>
      <c r="R1873" s="5"/>
      <c r="S1873" s="5"/>
      <c r="T1873" s="1120"/>
      <c r="U1873" s="5"/>
      <c r="V1873" s="5"/>
      <c r="W1873" s="5"/>
      <c r="X1873" s="1120"/>
      <c r="Y1873" s="1120"/>
      <c r="Z1873" s="5"/>
      <c r="AA1873" s="5"/>
      <c r="AB1873" s="1135"/>
      <c r="AC1873" s="5"/>
      <c r="AD1873" s="5"/>
      <c r="AE1873" s="5"/>
      <c r="AF1873" s="1120"/>
      <c r="AG1873" s="1148"/>
      <c r="AH1873" s="1120"/>
      <c r="AI1873" s="1120"/>
      <c r="AJ1873" s="1120"/>
    </row>
    <row r="1874" spans="2:36" ht="30" customHeight="1" x14ac:dyDescent="0.25">
      <c r="B1874" s="5"/>
      <c r="C1874" s="5"/>
      <c r="D1874" s="5"/>
      <c r="E1874" s="5"/>
      <c r="F1874" s="5"/>
      <c r="G1874" s="5"/>
      <c r="H1874" s="5"/>
      <c r="I1874" s="5"/>
      <c r="J1874" s="5"/>
      <c r="L1874" s="277"/>
      <c r="M1874" s="5"/>
      <c r="R1874" s="5"/>
      <c r="S1874" s="5"/>
      <c r="T1874" s="1120"/>
      <c r="U1874" s="5"/>
      <c r="V1874" s="5"/>
      <c r="W1874" s="5"/>
      <c r="X1874" s="1120"/>
      <c r="Y1874" s="1120"/>
      <c r="Z1874" s="5"/>
      <c r="AA1874" s="5"/>
      <c r="AB1874" s="1135"/>
      <c r="AC1874" s="5"/>
      <c r="AD1874" s="5"/>
      <c r="AE1874" s="5"/>
      <c r="AF1874" s="1120"/>
      <c r="AG1874" s="1148"/>
      <c r="AH1874" s="1120"/>
      <c r="AI1874" s="1120"/>
      <c r="AJ1874" s="1120"/>
    </row>
    <row r="1875" spans="2:36" ht="30" customHeight="1" x14ac:dyDescent="0.25">
      <c r="B1875" s="5"/>
      <c r="C1875" s="5"/>
      <c r="D1875" s="5"/>
      <c r="E1875" s="5"/>
      <c r="F1875" s="5"/>
      <c r="G1875" s="5"/>
      <c r="H1875" s="5"/>
      <c r="I1875" s="5"/>
      <c r="J1875" s="5"/>
      <c r="L1875" s="277"/>
      <c r="M1875" s="5"/>
      <c r="R1875" s="5"/>
      <c r="S1875" s="5"/>
      <c r="T1875" s="1120"/>
      <c r="U1875" s="5"/>
      <c r="V1875" s="5"/>
      <c r="W1875" s="5"/>
      <c r="X1875" s="1120"/>
      <c r="Y1875" s="1120"/>
      <c r="Z1875" s="5"/>
      <c r="AA1875" s="5"/>
      <c r="AB1875" s="1135"/>
      <c r="AC1875" s="5"/>
      <c r="AD1875" s="5"/>
      <c r="AE1875" s="5"/>
      <c r="AF1875" s="1120"/>
      <c r="AG1875" s="1148"/>
      <c r="AH1875" s="1120"/>
      <c r="AI1875" s="1120"/>
      <c r="AJ1875" s="1120"/>
    </row>
    <row r="1876" spans="2:36" ht="30" customHeight="1" x14ac:dyDescent="0.25">
      <c r="B1876" s="5"/>
      <c r="C1876" s="5"/>
      <c r="D1876" s="5"/>
      <c r="E1876" s="5"/>
      <c r="F1876" s="5"/>
      <c r="G1876" s="5"/>
      <c r="H1876" s="5"/>
      <c r="I1876" s="5"/>
      <c r="J1876" s="5"/>
      <c r="L1876" s="277"/>
      <c r="M1876" s="5"/>
      <c r="R1876" s="5"/>
      <c r="S1876" s="5"/>
      <c r="T1876" s="1120"/>
      <c r="U1876" s="5"/>
      <c r="V1876" s="5"/>
      <c r="W1876" s="5"/>
      <c r="X1876" s="1120"/>
      <c r="Y1876" s="1120"/>
      <c r="Z1876" s="5"/>
      <c r="AA1876" s="5"/>
      <c r="AB1876" s="1135"/>
      <c r="AC1876" s="5"/>
      <c r="AD1876" s="5"/>
      <c r="AE1876" s="5"/>
      <c r="AF1876" s="1120"/>
      <c r="AG1876" s="1148"/>
      <c r="AH1876" s="1120"/>
      <c r="AI1876" s="1120"/>
      <c r="AJ1876" s="1120"/>
    </row>
    <row r="1877" spans="2:36" ht="30" customHeight="1" x14ac:dyDescent="0.25">
      <c r="B1877" s="5"/>
      <c r="C1877" s="5"/>
      <c r="D1877" s="5"/>
      <c r="E1877" s="5"/>
      <c r="F1877" s="5"/>
      <c r="G1877" s="5"/>
      <c r="H1877" s="5"/>
      <c r="I1877" s="5"/>
      <c r="J1877" s="5"/>
      <c r="L1877" s="277"/>
      <c r="M1877" s="5"/>
      <c r="R1877" s="5"/>
      <c r="S1877" s="5"/>
      <c r="T1877" s="1120"/>
      <c r="U1877" s="5"/>
      <c r="V1877" s="5"/>
      <c r="W1877" s="5"/>
      <c r="X1877" s="1120"/>
      <c r="Y1877" s="1120"/>
      <c r="Z1877" s="5"/>
      <c r="AA1877" s="5"/>
      <c r="AB1877" s="1135"/>
      <c r="AC1877" s="5"/>
      <c r="AD1877" s="5"/>
      <c r="AE1877" s="5"/>
      <c r="AF1877" s="1120"/>
      <c r="AG1877" s="1148"/>
      <c r="AH1877" s="1120"/>
      <c r="AI1877" s="1120"/>
      <c r="AJ1877" s="1120"/>
    </row>
    <row r="1878" spans="2:36" ht="30" customHeight="1" x14ac:dyDescent="0.25">
      <c r="B1878" s="5"/>
      <c r="C1878" s="5"/>
      <c r="D1878" s="5"/>
      <c r="E1878" s="5"/>
      <c r="F1878" s="5"/>
      <c r="G1878" s="5"/>
      <c r="H1878" s="5"/>
      <c r="I1878" s="5"/>
      <c r="J1878" s="5"/>
      <c r="L1878" s="277"/>
      <c r="M1878" s="5"/>
      <c r="R1878" s="5"/>
      <c r="S1878" s="5"/>
      <c r="T1878" s="1120"/>
      <c r="U1878" s="5"/>
      <c r="V1878" s="5"/>
      <c r="W1878" s="5"/>
      <c r="X1878" s="1120"/>
      <c r="Y1878" s="1120"/>
      <c r="Z1878" s="5"/>
      <c r="AA1878" s="5"/>
      <c r="AB1878" s="1135"/>
      <c r="AC1878" s="5"/>
      <c r="AD1878" s="5"/>
      <c r="AE1878" s="5"/>
      <c r="AF1878" s="1120"/>
      <c r="AG1878" s="1148"/>
      <c r="AH1878" s="1120"/>
      <c r="AI1878" s="1120"/>
      <c r="AJ1878" s="1120"/>
    </row>
    <row r="1879" spans="2:36" ht="30" customHeight="1" x14ac:dyDescent="0.25">
      <c r="B1879" s="5"/>
      <c r="C1879" s="5"/>
      <c r="D1879" s="5"/>
      <c r="E1879" s="5"/>
      <c r="F1879" s="5"/>
      <c r="G1879" s="5"/>
      <c r="H1879" s="5"/>
      <c r="I1879" s="5"/>
      <c r="J1879" s="5"/>
      <c r="L1879" s="277"/>
      <c r="M1879" s="5"/>
      <c r="R1879" s="5"/>
      <c r="S1879" s="5"/>
      <c r="T1879" s="1120"/>
      <c r="U1879" s="5"/>
      <c r="V1879" s="5"/>
      <c r="W1879" s="5"/>
      <c r="X1879" s="1120"/>
      <c r="Y1879" s="1120"/>
      <c r="Z1879" s="5"/>
      <c r="AA1879" s="5"/>
      <c r="AB1879" s="1135"/>
      <c r="AC1879" s="5"/>
      <c r="AD1879" s="5"/>
      <c r="AE1879" s="5"/>
      <c r="AF1879" s="1120"/>
      <c r="AG1879" s="1148"/>
      <c r="AH1879" s="1120"/>
      <c r="AI1879" s="1120"/>
      <c r="AJ1879" s="1120"/>
    </row>
    <row r="1880" spans="2:36" ht="30" customHeight="1" x14ac:dyDescent="0.25">
      <c r="B1880" s="5"/>
      <c r="C1880" s="5"/>
      <c r="D1880" s="5"/>
      <c r="E1880" s="5"/>
      <c r="F1880" s="5"/>
      <c r="G1880" s="5"/>
      <c r="H1880" s="5"/>
      <c r="I1880" s="5"/>
      <c r="J1880" s="5"/>
      <c r="L1880" s="277"/>
      <c r="M1880" s="5"/>
      <c r="R1880" s="5"/>
      <c r="S1880" s="5"/>
      <c r="T1880" s="1120"/>
      <c r="U1880" s="5"/>
      <c r="V1880" s="5"/>
      <c r="W1880" s="5"/>
      <c r="X1880" s="1120"/>
      <c r="Y1880" s="1120"/>
      <c r="Z1880" s="5"/>
      <c r="AA1880" s="5"/>
      <c r="AB1880" s="1135"/>
      <c r="AC1880" s="5"/>
      <c r="AD1880" s="5"/>
      <c r="AE1880" s="5"/>
      <c r="AF1880" s="1120"/>
      <c r="AG1880" s="1148"/>
      <c r="AH1880" s="1120"/>
      <c r="AI1880" s="1120"/>
      <c r="AJ1880" s="1120"/>
    </row>
    <row r="1881" spans="2:36" ht="30" customHeight="1" x14ac:dyDescent="0.25">
      <c r="B1881" s="5"/>
      <c r="C1881" s="5"/>
      <c r="D1881" s="5"/>
      <c r="E1881" s="5"/>
      <c r="F1881" s="5"/>
      <c r="G1881" s="5"/>
      <c r="H1881" s="5"/>
      <c r="I1881" s="5"/>
      <c r="J1881" s="5"/>
      <c r="L1881" s="277"/>
      <c r="M1881" s="5"/>
      <c r="R1881" s="5"/>
      <c r="S1881" s="5"/>
      <c r="T1881" s="1120"/>
      <c r="U1881" s="5"/>
      <c r="V1881" s="5"/>
      <c r="W1881" s="5"/>
      <c r="X1881" s="1120"/>
      <c r="Y1881" s="1120"/>
      <c r="Z1881" s="5"/>
      <c r="AA1881" s="5"/>
      <c r="AB1881" s="1135"/>
      <c r="AC1881" s="5"/>
      <c r="AD1881" s="5"/>
      <c r="AE1881" s="5"/>
      <c r="AF1881" s="1120"/>
      <c r="AG1881" s="1148"/>
      <c r="AH1881" s="1120"/>
      <c r="AI1881" s="1120"/>
      <c r="AJ1881" s="1120"/>
    </row>
    <row r="1882" spans="2:36" ht="30" customHeight="1" x14ac:dyDescent="0.25">
      <c r="B1882" s="5"/>
      <c r="C1882" s="5"/>
      <c r="D1882" s="5"/>
      <c r="E1882" s="5"/>
      <c r="F1882" s="5"/>
      <c r="G1882" s="5"/>
      <c r="H1882" s="5"/>
      <c r="I1882" s="5"/>
      <c r="J1882" s="5"/>
      <c r="L1882" s="277"/>
      <c r="M1882" s="5"/>
      <c r="R1882" s="5"/>
      <c r="S1882" s="5"/>
      <c r="T1882" s="1120"/>
      <c r="U1882" s="5"/>
      <c r="V1882" s="5"/>
      <c r="W1882" s="5"/>
      <c r="X1882" s="1120"/>
      <c r="Y1882" s="1120"/>
      <c r="Z1882" s="5"/>
      <c r="AA1882" s="5"/>
      <c r="AB1882" s="1135"/>
      <c r="AC1882" s="5"/>
      <c r="AD1882" s="5"/>
      <c r="AE1882" s="5"/>
      <c r="AF1882" s="1120"/>
      <c r="AG1882" s="1148"/>
      <c r="AH1882" s="1120"/>
      <c r="AI1882" s="1120"/>
      <c r="AJ1882" s="1120"/>
    </row>
    <row r="1883" spans="2:36" ht="30" customHeight="1" x14ac:dyDescent="0.25">
      <c r="B1883" s="5"/>
      <c r="C1883" s="5"/>
      <c r="D1883" s="5"/>
      <c r="E1883" s="5"/>
      <c r="F1883" s="5"/>
      <c r="G1883" s="5"/>
      <c r="H1883" s="5"/>
      <c r="I1883" s="5"/>
      <c r="J1883" s="5"/>
      <c r="L1883" s="277"/>
      <c r="M1883" s="5"/>
      <c r="R1883" s="5"/>
      <c r="S1883" s="5"/>
      <c r="T1883" s="1120"/>
      <c r="U1883" s="5"/>
      <c r="V1883" s="5"/>
      <c r="W1883" s="5"/>
      <c r="X1883" s="1120"/>
      <c r="Y1883" s="1120"/>
      <c r="Z1883" s="5"/>
      <c r="AA1883" s="5"/>
      <c r="AB1883" s="1135"/>
      <c r="AC1883" s="5"/>
      <c r="AD1883" s="5"/>
      <c r="AE1883" s="5"/>
      <c r="AF1883" s="1120"/>
      <c r="AG1883" s="1148"/>
      <c r="AH1883" s="1120"/>
      <c r="AI1883" s="1120"/>
      <c r="AJ1883" s="1120"/>
    </row>
    <row r="1884" spans="2:36" ht="30" customHeight="1" x14ac:dyDescent="0.25">
      <c r="B1884" s="5"/>
      <c r="C1884" s="5"/>
      <c r="D1884" s="5"/>
      <c r="E1884" s="5"/>
      <c r="F1884" s="5"/>
      <c r="G1884" s="5"/>
      <c r="H1884" s="5"/>
      <c r="I1884" s="5"/>
      <c r="J1884" s="5"/>
      <c r="L1884" s="277"/>
      <c r="M1884" s="5"/>
      <c r="R1884" s="5"/>
      <c r="S1884" s="5"/>
      <c r="T1884" s="1120"/>
      <c r="U1884" s="5"/>
      <c r="V1884" s="5"/>
      <c r="W1884" s="5"/>
      <c r="X1884" s="1120"/>
      <c r="Y1884" s="1120"/>
      <c r="Z1884" s="5"/>
      <c r="AA1884" s="5"/>
      <c r="AB1884" s="1135"/>
      <c r="AC1884" s="5"/>
      <c r="AD1884" s="5"/>
      <c r="AE1884" s="5"/>
      <c r="AF1884" s="1120"/>
      <c r="AG1884" s="1148"/>
      <c r="AH1884" s="1120"/>
      <c r="AI1884" s="1120"/>
      <c r="AJ1884" s="1120"/>
    </row>
    <row r="1885" spans="2:36" ht="30" customHeight="1" x14ac:dyDescent="0.25">
      <c r="B1885" s="5"/>
      <c r="C1885" s="5"/>
      <c r="D1885" s="5"/>
      <c r="E1885" s="5"/>
      <c r="F1885" s="5"/>
      <c r="G1885" s="5"/>
      <c r="H1885" s="5"/>
      <c r="I1885" s="5"/>
      <c r="J1885" s="5"/>
      <c r="L1885" s="277"/>
      <c r="M1885" s="5"/>
      <c r="R1885" s="5"/>
      <c r="S1885" s="5"/>
      <c r="T1885" s="1120"/>
      <c r="U1885" s="5"/>
      <c r="V1885" s="5"/>
      <c r="W1885" s="5"/>
      <c r="X1885" s="1120"/>
      <c r="Y1885" s="1120"/>
      <c r="Z1885" s="5"/>
      <c r="AA1885" s="5"/>
      <c r="AB1885" s="1135"/>
      <c r="AC1885" s="5"/>
      <c r="AD1885" s="5"/>
      <c r="AE1885" s="5"/>
      <c r="AF1885" s="1120"/>
      <c r="AG1885" s="1148"/>
      <c r="AH1885" s="1120"/>
      <c r="AI1885" s="1120"/>
      <c r="AJ1885" s="1120"/>
    </row>
    <row r="1886" spans="2:36" ht="30" customHeight="1" x14ac:dyDescent="0.25">
      <c r="B1886" s="5"/>
      <c r="C1886" s="5"/>
      <c r="D1886" s="5"/>
      <c r="E1886" s="5"/>
      <c r="F1886" s="5"/>
      <c r="G1886" s="5"/>
      <c r="H1886" s="5"/>
      <c r="I1886" s="5"/>
      <c r="J1886" s="5"/>
      <c r="L1886" s="277"/>
      <c r="M1886" s="5"/>
      <c r="R1886" s="5"/>
      <c r="S1886" s="5"/>
      <c r="T1886" s="1120"/>
      <c r="U1886" s="5"/>
      <c r="V1886" s="5"/>
      <c r="W1886" s="5"/>
      <c r="X1886" s="1120"/>
      <c r="Y1886" s="1120"/>
      <c r="Z1886" s="5"/>
      <c r="AA1886" s="5"/>
      <c r="AB1886" s="1135"/>
      <c r="AC1886" s="5"/>
      <c r="AD1886" s="5"/>
      <c r="AE1886" s="5"/>
      <c r="AF1886" s="1120"/>
      <c r="AG1886" s="1148"/>
      <c r="AH1886" s="1120"/>
      <c r="AI1886" s="1120"/>
      <c r="AJ1886" s="1120"/>
    </row>
    <row r="1887" spans="2:36" ht="30" customHeight="1" x14ac:dyDescent="0.25">
      <c r="B1887" s="5"/>
      <c r="C1887" s="5"/>
      <c r="D1887" s="5"/>
      <c r="E1887" s="5"/>
      <c r="F1887" s="5"/>
      <c r="G1887" s="5"/>
      <c r="H1887" s="5"/>
      <c r="I1887" s="5"/>
      <c r="J1887" s="5"/>
      <c r="L1887" s="277"/>
      <c r="M1887" s="5"/>
      <c r="R1887" s="5"/>
      <c r="S1887" s="5"/>
      <c r="T1887" s="1120"/>
      <c r="U1887" s="5"/>
      <c r="V1887" s="5"/>
      <c r="W1887" s="5"/>
      <c r="X1887" s="1120"/>
      <c r="Y1887" s="1120"/>
      <c r="Z1887" s="5"/>
      <c r="AA1887" s="5"/>
      <c r="AB1887" s="1135"/>
      <c r="AC1887" s="5"/>
      <c r="AD1887" s="5"/>
      <c r="AE1887" s="5"/>
      <c r="AF1887" s="1120"/>
      <c r="AG1887" s="1148"/>
      <c r="AH1887" s="1120"/>
      <c r="AI1887" s="1120"/>
      <c r="AJ1887" s="1120"/>
    </row>
    <row r="1888" spans="2:36" ht="30" customHeight="1" x14ac:dyDescent="0.25">
      <c r="B1888" s="5"/>
      <c r="C1888" s="5"/>
      <c r="D1888" s="5"/>
      <c r="E1888" s="5"/>
      <c r="F1888" s="5"/>
      <c r="G1888" s="5"/>
      <c r="H1888" s="5"/>
      <c r="I1888" s="5"/>
      <c r="J1888" s="5"/>
      <c r="L1888" s="277"/>
      <c r="M1888" s="5"/>
      <c r="R1888" s="5"/>
      <c r="S1888" s="5"/>
      <c r="T1888" s="1120"/>
      <c r="U1888" s="5"/>
      <c r="V1888" s="5"/>
      <c r="W1888" s="5"/>
      <c r="X1888" s="1120"/>
      <c r="Y1888" s="1120"/>
      <c r="Z1888" s="5"/>
      <c r="AA1888" s="5"/>
      <c r="AB1888" s="1135"/>
      <c r="AC1888" s="5"/>
      <c r="AD1888" s="5"/>
      <c r="AE1888" s="5"/>
      <c r="AF1888" s="1120"/>
      <c r="AG1888" s="1148"/>
      <c r="AH1888" s="1120"/>
      <c r="AI1888" s="1120"/>
      <c r="AJ1888" s="1120"/>
    </row>
    <row r="1889" spans="2:36" ht="30" customHeight="1" x14ac:dyDescent="0.25">
      <c r="B1889" s="5"/>
      <c r="C1889" s="5"/>
      <c r="D1889" s="5"/>
      <c r="E1889" s="5"/>
      <c r="F1889" s="5"/>
      <c r="G1889" s="5"/>
      <c r="H1889" s="5"/>
      <c r="I1889" s="5"/>
      <c r="J1889" s="5"/>
      <c r="L1889" s="277"/>
      <c r="M1889" s="5"/>
      <c r="R1889" s="5"/>
      <c r="S1889" s="5"/>
      <c r="T1889" s="1120"/>
      <c r="U1889" s="5"/>
      <c r="V1889" s="5"/>
      <c r="W1889" s="5"/>
      <c r="X1889" s="1120"/>
      <c r="Y1889" s="1120"/>
      <c r="Z1889" s="5"/>
      <c r="AA1889" s="5"/>
      <c r="AB1889" s="1135"/>
      <c r="AC1889" s="5"/>
      <c r="AD1889" s="5"/>
      <c r="AE1889" s="5"/>
      <c r="AF1889" s="1120"/>
      <c r="AG1889" s="1148"/>
      <c r="AH1889" s="1120"/>
      <c r="AI1889" s="1120"/>
      <c r="AJ1889" s="1120"/>
    </row>
    <row r="1890" spans="2:36" ht="30" customHeight="1" x14ac:dyDescent="0.25">
      <c r="B1890" s="5"/>
      <c r="C1890" s="5"/>
      <c r="D1890" s="5"/>
      <c r="E1890" s="5"/>
      <c r="F1890" s="5"/>
      <c r="G1890" s="5"/>
      <c r="H1890" s="5"/>
      <c r="I1890" s="5"/>
      <c r="J1890" s="5"/>
      <c r="L1890" s="277"/>
      <c r="M1890" s="5"/>
      <c r="R1890" s="5"/>
      <c r="S1890" s="5"/>
      <c r="T1890" s="1120"/>
      <c r="U1890" s="5"/>
      <c r="V1890" s="5"/>
      <c r="W1890" s="5"/>
      <c r="X1890" s="1120"/>
      <c r="Y1890" s="1120"/>
      <c r="Z1890" s="5"/>
      <c r="AA1890" s="5"/>
      <c r="AB1890" s="1135"/>
      <c r="AC1890" s="5"/>
      <c r="AD1890" s="5"/>
      <c r="AE1890" s="5"/>
      <c r="AF1890" s="1120"/>
      <c r="AG1890" s="1148"/>
      <c r="AH1890" s="1120"/>
      <c r="AI1890" s="1120"/>
      <c r="AJ1890" s="1120"/>
    </row>
    <row r="1891" spans="2:36" ht="30" customHeight="1" x14ac:dyDescent="0.25">
      <c r="B1891" s="5"/>
      <c r="C1891" s="5"/>
      <c r="D1891" s="5"/>
      <c r="E1891" s="5"/>
      <c r="F1891" s="5"/>
      <c r="G1891" s="5"/>
      <c r="H1891" s="5"/>
      <c r="I1891" s="5"/>
      <c r="J1891" s="5"/>
      <c r="L1891" s="277"/>
      <c r="M1891" s="5"/>
      <c r="R1891" s="5"/>
      <c r="S1891" s="5"/>
      <c r="T1891" s="1120"/>
      <c r="U1891" s="5"/>
      <c r="V1891" s="5"/>
      <c r="W1891" s="5"/>
      <c r="X1891" s="1120"/>
      <c r="Y1891" s="1120"/>
      <c r="Z1891" s="5"/>
      <c r="AA1891" s="5"/>
      <c r="AB1891" s="1135"/>
      <c r="AC1891" s="5"/>
      <c r="AD1891" s="5"/>
      <c r="AE1891" s="5"/>
      <c r="AF1891" s="1120"/>
      <c r="AG1891" s="1148"/>
      <c r="AH1891" s="1120"/>
      <c r="AI1891" s="1120"/>
      <c r="AJ1891" s="1120"/>
    </row>
    <row r="1892" spans="2:36" ht="30" customHeight="1" x14ac:dyDescent="0.25">
      <c r="B1892" s="5"/>
      <c r="C1892" s="5"/>
      <c r="D1892" s="5"/>
      <c r="E1892" s="5"/>
      <c r="F1892" s="5"/>
      <c r="G1892" s="5"/>
      <c r="H1892" s="5"/>
      <c r="I1892" s="5"/>
      <c r="J1892" s="5"/>
      <c r="L1892" s="277"/>
      <c r="M1892" s="5"/>
      <c r="R1892" s="5"/>
      <c r="S1892" s="5"/>
      <c r="T1892" s="1120"/>
      <c r="U1892" s="5"/>
      <c r="V1892" s="5"/>
      <c r="W1892" s="5"/>
      <c r="X1892" s="1120"/>
      <c r="Y1892" s="1120"/>
      <c r="Z1892" s="5"/>
      <c r="AA1892" s="5"/>
      <c r="AB1892" s="1135"/>
      <c r="AC1892" s="5"/>
      <c r="AD1892" s="5"/>
      <c r="AE1892" s="5"/>
      <c r="AF1892" s="1120"/>
      <c r="AG1892" s="1148"/>
      <c r="AH1892" s="1120"/>
      <c r="AI1892" s="1120"/>
      <c r="AJ1892" s="1120"/>
    </row>
    <row r="1893" spans="2:36" ht="30" customHeight="1" x14ac:dyDescent="0.25">
      <c r="B1893" s="5"/>
      <c r="C1893" s="5"/>
      <c r="D1893" s="5"/>
      <c r="E1893" s="5"/>
      <c r="F1893" s="5"/>
      <c r="G1893" s="5"/>
      <c r="H1893" s="5"/>
      <c r="I1893" s="5"/>
      <c r="J1893" s="5"/>
      <c r="L1893" s="277"/>
      <c r="M1893" s="5"/>
      <c r="R1893" s="5"/>
      <c r="S1893" s="5"/>
      <c r="T1893" s="1120"/>
      <c r="U1893" s="5"/>
      <c r="V1893" s="5"/>
      <c r="W1893" s="5"/>
      <c r="X1893" s="1120"/>
      <c r="Y1893" s="1120"/>
      <c r="Z1893" s="5"/>
      <c r="AA1893" s="5"/>
      <c r="AB1893" s="1135"/>
      <c r="AC1893" s="5"/>
      <c r="AD1893" s="5"/>
      <c r="AE1893" s="5"/>
      <c r="AF1893" s="1120"/>
      <c r="AG1893" s="1148"/>
      <c r="AH1893" s="1120"/>
      <c r="AI1893" s="1120"/>
      <c r="AJ1893" s="1120"/>
    </row>
    <row r="1894" spans="2:36" ht="30" customHeight="1" x14ac:dyDescent="0.25">
      <c r="B1894" s="5"/>
      <c r="C1894" s="5"/>
      <c r="D1894" s="5"/>
      <c r="E1894" s="5"/>
      <c r="F1894" s="5"/>
      <c r="G1894" s="5"/>
      <c r="H1894" s="5"/>
      <c r="I1894" s="5"/>
      <c r="J1894" s="5"/>
      <c r="L1894" s="277"/>
      <c r="M1894" s="5"/>
      <c r="R1894" s="5"/>
      <c r="S1894" s="5"/>
      <c r="T1894" s="1120"/>
      <c r="U1894" s="5"/>
      <c r="V1894" s="5"/>
      <c r="W1894" s="5"/>
      <c r="X1894" s="1120"/>
      <c r="Y1894" s="1120"/>
      <c r="Z1894" s="5"/>
      <c r="AA1894" s="5"/>
      <c r="AB1894" s="1135"/>
      <c r="AC1894" s="5"/>
      <c r="AD1894" s="5"/>
      <c r="AE1894" s="5"/>
      <c r="AF1894" s="1120"/>
      <c r="AG1894" s="1148"/>
      <c r="AH1894" s="1120"/>
      <c r="AI1894" s="1120"/>
      <c r="AJ1894" s="1120"/>
    </row>
    <row r="1895" spans="2:36" ht="30" customHeight="1" x14ac:dyDescent="0.25">
      <c r="B1895" s="5"/>
      <c r="C1895" s="5"/>
      <c r="D1895" s="5"/>
      <c r="E1895" s="5"/>
      <c r="F1895" s="5"/>
      <c r="G1895" s="5"/>
      <c r="H1895" s="5"/>
      <c r="I1895" s="5"/>
      <c r="J1895" s="5"/>
      <c r="L1895" s="277"/>
      <c r="M1895" s="5"/>
      <c r="R1895" s="5"/>
      <c r="S1895" s="5"/>
      <c r="T1895" s="1120"/>
      <c r="U1895" s="5"/>
      <c r="V1895" s="5"/>
      <c r="W1895" s="5"/>
      <c r="X1895" s="1120"/>
      <c r="Y1895" s="1120"/>
      <c r="Z1895" s="5"/>
      <c r="AA1895" s="5"/>
      <c r="AB1895" s="1135"/>
      <c r="AC1895" s="5"/>
      <c r="AD1895" s="5"/>
      <c r="AE1895" s="5"/>
      <c r="AF1895" s="1120"/>
      <c r="AG1895" s="1148"/>
      <c r="AH1895" s="1120"/>
      <c r="AI1895" s="1120"/>
      <c r="AJ1895" s="1120"/>
    </row>
    <row r="1896" spans="2:36" ht="30" customHeight="1" x14ac:dyDescent="0.25">
      <c r="B1896" s="5"/>
      <c r="C1896" s="5"/>
      <c r="D1896" s="5"/>
      <c r="E1896" s="5"/>
      <c r="F1896" s="5"/>
      <c r="G1896" s="5"/>
      <c r="H1896" s="5"/>
      <c r="I1896" s="5"/>
      <c r="J1896" s="5"/>
      <c r="L1896" s="277"/>
      <c r="M1896" s="5"/>
      <c r="R1896" s="5"/>
      <c r="S1896" s="5"/>
      <c r="T1896" s="1120"/>
      <c r="U1896" s="5"/>
      <c r="V1896" s="5"/>
      <c r="W1896" s="5"/>
      <c r="X1896" s="1120"/>
      <c r="Y1896" s="1120"/>
      <c r="Z1896" s="5"/>
      <c r="AA1896" s="5"/>
      <c r="AB1896" s="1135"/>
      <c r="AC1896" s="5"/>
      <c r="AD1896" s="5"/>
      <c r="AE1896" s="5"/>
      <c r="AF1896" s="1120"/>
      <c r="AG1896" s="1148"/>
      <c r="AH1896" s="1120"/>
      <c r="AI1896" s="1120"/>
      <c r="AJ1896" s="1120"/>
    </row>
    <row r="1897" spans="2:36" ht="30" customHeight="1" x14ac:dyDescent="0.25">
      <c r="B1897" s="5"/>
      <c r="C1897" s="5"/>
      <c r="D1897" s="5"/>
      <c r="E1897" s="5"/>
      <c r="F1897" s="5"/>
      <c r="G1897" s="5"/>
      <c r="H1897" s="5"/>
      <c r="I1897" s="5"/>
      <c r="J1897" s="5"/>
      <c r="L1897" s="277"/>
      <c r="M1897" s="5"/>
      <c r="R1897" s="5"/>
      <c r="S1897" s="5"/>
      <c r="T1897" s="1120"/>
      <c r="U1897" s="5"/>
      <c r="V1897" s="5"/>
      <c r="W1897" s="5"/>
      <c r="X1897" s="1120"/>
      <c r="Y1897" s="1120"/>
      <c r="Z1897" s="5"/>
      <c r="AA1897" s="5"/>
      <c r="AB1897" s="1135"/>
      <c r="AC1897" s="5"/>
      <c r="AD1897" s="5"/>
      <c r="AE1897" s="5"/>
      <c r="AF1897" s="1120"/>
      <c r="AG1897" s="1148"/>
      <c r="AH1897" s="1120"/>
      <c r="AI1897" s="1120"/>
      <c r="AJ1897" s="1120"/>
    </row>
    <row r="1898" spans="2:36" ht="30" customHeight="1" x14ac:dyDescent="0.25">
      <c r="B1898" s="5"/>
      <c r="C1898" s="5"/>
      <c r="D1898" s="5"/>
      <c r="E1898" s="5"/>
      <c r="F1898" s="5"/>
      <c r="G1898" s="5"/>
      <c r="H1898" s="5"/>
      <c r="I1898" s="5"/>
      <c r="J1898" s="5"/>
      <c r="L1898" s="277"/>
      <c r="M1898" s="5"/>
      <c r="R1898" s="5"/>
      <c r="S1898" s="5"/>
      <c r="T1898" s="1120"/>
      <c r="U1898" s="5"/>
      <c r="V1898" s="5"/>
      <c r="W1898" s="5"/>
      <c r="X1898" s="1120"/>
      <c r="Y1898" s="1120"/>
      <c r="Z1898" s="5"/>
      <c r="AA1898" s="5"/>
      <c r="AB1898" s="1135"/>
      <c r="AC1898" s="5"/>
      <c r="AD1898" s="5"/>
      <c r="AE1898" s="5"/>
      <c r="AF1898" s="1120"/>
      <c r="AG1898" s="1148"/>
      <c r="AH1898" s="1120"/>
      <c r="AI1898" s="1120"/>
      <c r="AJ1898" s="1120"/>
    </row>
    <row r="1899" spans="2:36" ht="30" customHeight="1" x14ac:dyDescent="0.25">
      <c r="B1899" s="5"/>
      <c r="C1899" s="5"/>
      <c r="D1899" s="5"/>
      <c r="E1899" s="5"/>
      <c r="F1899" s="5"/>
      <c r="G1899" s="5"/>
      <c r="H1899" s="5"/>
      <c r="I1899" s="5"/>
      <c r="J1899" s="5"/>
      <c r="L1899" s="277"/>
      <c r="M1899" s="5"/>
      <c r="R1899" s="5"/>
      <c r="S1899" s="5"/>
      <c r="T1899" s="1120"/>
      <c r="U1899" s="5"/>
      <c r="V1899" s="5"/>
      <c r="W1899" s="5"/>
      <c r="X1899" s="1120"/>
      <c r="Y1899" s="1120"/>
      <c r="Z1899" s="5"/>
      <c r="AA1899" s="5"/>
      <c r="AB1899" s="1135"/>
      <c r="AC1899" s="5"/>
      <c r="AD1899" s="5"/>
      <c r="AE1899" s="5"/>
      <c r="AF1899" s="1120"/>
      <c r="AG1899" s="1148"/>
      <c r="AH1899" s="1120"/>
      <c r="AI1899" s="1120"/>
      <c r="AJ1899" s="1120"/>
    </row>
    <row r="1900" spans="2:36" ht="30" customHeight="1" x14ac:dyDescent="0.25">
      <c r="B1900" s="5"/>
      <c r="C1900" s="5"/>
      <c r="D1900" s="5"/>
      <c r="E1900" s="5"/>
      <c r="F1900" s="5"/>
      <c r="G1900" s="5"/>
      <c r="H1900" s="5"/>
      <c r="I1900" s="5"/>
      <c r="J1900" s="5"/>
      <c r="L1900" s="277"/>
      <c r="M1900" s="5"/>
      <c r="R1900" s="5"/>
      <c r="S1900" s="5"/>
      <c r="T1900" s="1120"/>
      <c r="U1900" s="5"/>
      <c r="V1900" s="5"/>
      <c r="W1900" s="5"/>
      <c r="X1900" s="1120"/>
      <c r="Y1900" s="1120"/>
      <c r="Z1900" s="5"/>
      <c r="AA1900" s="5"/>
      <c r="AB1900" s="1135"/>
      <c r="AC1900" s="5"/>
      <c r="AD1900" s="5"/>
      <c r="AE1900" s="5"/>
      <c r="AF1900" s="1120"/>
      <c r="AG1900" s="1148"/>
      <c r="AH1900" s="1120"/>
      <c r="AI1900" s="1120"/>
      <c r="AJ1900" s="1120"/>
    </row>
    <row r="1901" spans="2:36" ht="30" customHeight="1" x14ac:dyDescent="0.25">
      <c r="B1901" s="5"/>
      <c r="C1901" s="5"/>
      <c r="D1901" s="5"/>
      <c r="E1901" s="5"/>
      <c r="F1901" s="5"/>
      <c r="G1901" s="5"/>
      <c r="H1901" s="5"/>
      <c r="I1901" s="5"/>
      <c r="J1901" s="5"/>
      <c r="L1901" s="277"/>
      <c r="M1901" s="5"/>
      <c r="R1901" s="5"/>
      <c r="S1901" s="5"/>
      <c r="T1901" s="1120"/>
      <c r="U1901" s="5"/>
      <c r="V1901" s="5"/>
      <c r="W1901" s="5"/>
      <c r="X1901" s="1120"/>
      <c r="Y1901" s="1120"/>
      <c r="Z1901" s="5"/>
      <c r="AA1901" s="5"/>
      <c r="AB1901" s="1135"/>
      <c r="AC1901" s="5"/>
      <c r="AD1901" s="5"/>
      <c r="AE1901" s="5"/>
      <c r="AF1901" s="1120"/>
      <c r="AG1901" s="1148"/>
      <c r="AH1901" s="1120"/>
      <c r="AI1901" s="1120"/>
      <c r="AJ1901" s="1120"/>
    </row>
    <row r="1902" spans="2:36" ht="30" customHeight="1" x14ac:dyDescent="0.25">
      <c r="B1902" s="5"/>
      <c r="C1902" s="5"/>
      <c r="D1902" s="5"/>
      <c r="E1902" s="5"/>
      <c r="F1902" s="5"/>
      <c r="G1902" s="5"/>
      <c r="H1902" s="5"/>
      <c r="I1902" s="5"/>
      <c r="J1902" s="5"/>
      <c r="L1902" s="277"/>
      <c r="M1902" s="5"/>
      <c r="R1902" s="5"/>
      <c r="S1902" s="5"/>
      <c r="T1902" s="1120"/>
      <c r="U1902" s="5"/>
      <c r="V1902" s="5"/>
      <c r="W1902" s="5"/>
      <c r="X1902" s="1120"/>
      <c r="Y1902" s="1120"/>
      <c r="Z1902" s="5"/>
      <c r="AA1902" s="5"/>
      <c r="AB1902" s="1135"/>
      <c r="AC1902" s="5"/>
      <c r="AD1902" s="5"/>
      <c r="AE1902" s="5"/>
      <c r="AF1902" s="1120"/>
      <c r="AG1902" s="1148"/>
      <c r="AH1902" s="1120"/>
      <c r="AI1902" s="1120"/>
      <c r="AJ1902" s="1120"/>
    </row>
    <row r="1903" spans="2:36" ht="30" customHeight="1" x14ac:dyDescent="0.25">
      <c r="B1903" s="5"/>
      <c r="C1903" s="5"/>
      <c r="D1903" s="5"/>
      <c r="E1903" s="5"/>
      <c r="F1903" s="5"/>
      <c r="G1903" s="5"/>
      <c r="H1903" s="5"/>
      <c r="I1903" s="5"/>
      <c r="J1903" s="5"/>
      <c r="L1903" s="277"/>
      <c r="M1903" s="5"/>
      <c r="R1903" s="5"/>
      <c r="S1903" s="5"/>
      <c r="T1903" s="1120"/>
      <c r="U1903" s="5"/>
      <c r="V1903" s="5"/>
      <c r="W1903" s="5"/>
      <c r="X1903" s="1120"/>
      <c r="Y1903" s="1120"/>
      <c r="Z1903" s="5"/>
      <c r="AA1903" s="5"/>
      <c r="AB1903" s="1135"/>
      <c r="AC1903" s="5"/>
      <c r="AD1903" s="5"/>
      <c r="AE1903" s="5"/>
      <c r="AF1903" s="1120"/>
      <c r="AG1903" s="1148"/>
      <c r="AH1903" s="1120"/>
      <c r="AI1903" s="1120"/>
      <c r="AJ1903" s="1120"/>
    </row>
    <row r="1904" spans="2:36" ht="30" customHeight="1" x14ac:dyDescent="0.25">
      <c r="B1904" s="5"/>
      <c r="C1904" s="5"/>
      <c r="D1904" s="5"/>
      <c r="E1904" s="5"/>
      <c r="F1904" s="5"/>
      <c r="G1904" s="5"/>
      <c r="H1904" s="5"/>
      <c r="I1904" s="5"/>
      <c r="J1904" s="5"/>
      <c r="L1904" s="277"/>
      <c r="M1904" s="5"/>
      <c r="R1904" s="5"/>
      <c r="S1904" s="5"/>
      <c r="T1904" s="1120"/>
      <c r="U1904" s="5"/>
      <c r="V1904" s="5"/>
      <c r="W1904" s="5"/>
      <c r="X1904" s="1120"/>
      <c r="Y1904" s="1120"/>
      <c r="Z1904" s="5"/>
      <c r="AA1904" s="5"/>
      <c r="AB1904" s="1135"/>
      <c r="AC1904" s="5"/>
      <c r="AD1904" s="5"/>
      <c r="AE1904" s="5"/>
      <c r="AF1904" s="1120"/>
      <c r="AG1904" s="1148"/>
      <c r="AH1904" s="1120"/>
      <c r="AI1904" s="1120"/>
      <c r="AJ1904" s="1120"/>
    </row>
    <row r="1905" spans="2:36" ht="30" customHeight="1" x14ac:dyDescent="0.25">
      <c r="B1905" s="5"/>
      <c r="C1905" s="5"/>
      <c r="D1905" s="5"/>
      <c r="E1905" s="5"/>
      <c r="F1905" s="5"/>
      <c r="G1905" s="5"/>
      <c r="H1905" s="5"/>
      <c r="I1905" s="5"/>
      <c r="J1905" s="5"/>
      <c r="L1905" s="277"/>
      <c r="M1905" s="5"/>
      <c r="R1905" s="5"/>
      <c r="S1905" s="5"/>
      <c r="T1905" s="1120"/>
      <c r="U1905" s="5"/>
      <c r="V1905" s="5"/>
      <c r="W1905" s="5"/>
      <c r="X1905" s="1120"/>
      <c r="Y1905" s="1120"/>
      <c r="Z1905" s="5"/>
      <c r="AA1905" s="5"/>
      <c r="AB1905" s="1135"/>
      <c r="AC1905" s="5"/>
      <c r="AD1905" s="5"/>
      <c r="AE1905" s="5"/>
      <c r="AF1905" s="1120"/>
      <c r="AG1905" s="1148"/>
      <c r="AH1905" s="1120"/>
      <c r="AI1905" s="1120"/>
      <c r="AJ1905" s="1120"/>
    </row>
    <row r="1906" spans="2:36" ht="30" customHeight="1" x14ac:dyDescent="0.25">
      <c r="B1906" s="5"/>
      <c r="C1906" s="5"/>
      <c r="D1906" s="5"/>
      <c r="E1906" s="5"/>
      <c r="F1906" s="5"/>
      <c r="G1906" s="5"/>
      <c r="H1906" s="5"/>
      <c r="I1906" s="5"/>
      <c r="J1906" s="5"/>
      <c r="L1906" s="277"/>
      <c r="M1906" s="5"/>
      <c r="R1906" s="5"/>
      <c r="S1906" s="5"/>
      <c r="T1906" s="1120"/>
      <c r="U1906" s="5"/>
      <c r="V1906" s="5"/>
      <c r="W1906" s="5"/>
      <c r="X1906" s="1120"/>
      <c r="Y1906" s="1120"/>
      <c r="Z1906" s="5"/>
      <c r="AA1906" s="5"/>
      <c r="AB1906" s="1135"/>
      <c r="AC1906" s="5"/>
      <c r="AD1906" s="5"/>
      <c r="AE1906" s="5"/>
      <c r="AF1906" s="1120"/>
      <c r="AG1906" s="1148"/>
      <c r="AH1906" s="1120"/>
      <c r="AI1906" s="1120"/>
      <c r="AJ1906" s="1120"/>
    </row>
    <row r="1907" spans="2:36" ht="30" customHeight="1" x14ac:dyDescent="0.25">
      <c r="B1907" s="5"/>
      <c r="C1907" s="5"/>
      <c r="D1907" s="5"/>
      <c r="E1907" s="5"/>
      <c r="F1907" s="5"/>
      <c r="G1907" s="5"/>
      <c r="H1907" s="5"/>
      <c r="I1907" s="5"/>
      <c r="J1907" s="5"/>
      <c r="L1907" s="277"/>
      <c r="M1907" s="5"/>
      <c r="R1907" s="5"/>
      <c r="S1907" s="5"/>
      <c r="T1907" s="1120"/>
      <c r="U1907" s="5"/>
      <c r="V1907" s="5"/>
      <c r="W1907" s="5"/>
      <c r="X1907" s="1120"/>
      <c r="Y1907" s="1120"/>
      <c r="Z1907" s="5"/>
      <c r="AA1907" s="5"/>
      <c r="AB1907" s="1135"/>
      <c r="AC1907" s="5"/>
      <c r="AD1907" s="5"/>
      <c r="AE1907" s="5"/>
      <c r="AF1907" s="1120"/>
      <c r="AG1907" s="1148"/>
      <c r="AH1907" s="1120"/>
      <c r="AI1907" s="1120"/>
      <c r="AJ1907" s="1120"/>
    </row>
    <row r="1908" spans="2:36" ht="30" customHeight="1" x14ac:dyDescent="0.25">
      <c r="B1908" s="5"/>
      <c r="C1908" s="5"/>
      <c r="D1908" s="5"/>
      <c r="E1908" s="5"/>
      <c r="F1908" s="5"/>
      <c r="G1908" s="5"/>
      <c r="H1908" s="5"/>
      <c r="I1908" s="5"/>
      <c r="J1908" s="5"/>
      <c r="L1908" s="277"/>
      <c r="M1908" s="5"/>
      <c r="R1908" s="5"/>
      <c r="S1908" s="5"/>
      <c r="T1908" s="1120"/>
      <c r="U1908" s="5"/>
      <c r="V1908" s="5"/>
      <c r="W1908" s="5"/>
      <c r="X1908" s="1120"/>
      <c r="Y1908" s="1120"/>
      <c r="Z1908" s="5"/>
      <c r="AA1908" s="5"/>
      <c r="AB1908" s="1135"/>
      <c r="AC1908" s="5"/>
      <c r="AD1908" s="5"/>
      <c r="AE1908" s="5"/>
      <c r="AF1908" s="1120"/>
      <c r="AG1908" s="1148"/>
      <c r="AH1908" s="1120"/>
      <c r="AI1908" s="1120"/>
      <c r="AJ1908" s="1120"/>
    </row>
    <row r="1909" spans="2:36" ht="30" customHeight="1" x14ac:dyDescent="0.25">
      <c r="B1909" s="5"/>
      <c r="C1909" s="5"/>
      <c r="D1909" s="5"/>
      <c r="E1909" s="5"/>
      <c r="F1909" s="5"/>
      <c r="G1909" s="5"/>
      <c r="H1909" s="5"/>
      <c r="I1909" s="5"/>
      <c r="J1909" s="5"/>
      <c r="L1909" s="277"/>
      <c r="M1909" s="5"/>
      <c r="R1909" s="5"/>
      <c r="S1909" s="5"/>
      <c r="T1909" s="1120"/>
      <c r="U1909" s="5"/>
      <c r="V1909" s="5"/>
      <c r="W1909" s="5"/>
      <c r="X1909" s="1120"/>
      <c r="Y1909" s="1120"/>
      <c r="Z1909" s="5"/>
      <c r="AA1909" s="5"/>
      <c r="AB1909" s="1135"/>
      <c r="AC1909" s="5"/>
      <c r="AD1909" s="5"/>
      <c r="AE1909" s="5"/>
      <c r="AF1909" s="1120"/>
      <c r="AG1909" s="1148"/>
      <c r="AH1909" s="1120"/>
      <c r="AI1909" s="1120"/>
      <c r="AJ1909" s="1120"/>
    </row>
    <row r="1910" spans="2:36" ht="30" customHeight="1" x14ac:dyDescent="0.25">
      <c r="B1910" s="5"/>
      <c r="C1910" s="5"/>
      <c r="D1910" s="5"/>
      <c r="E1910" s="5"/>
      <c r="F1910" s="5"/>
      <c r="G1910" s="5"/>
      <c r="H1910" s="5"/>
      <c r="I1910" s="5"/>
      <c r="J1910" s="5"/>
      <c r="L1910" s="277"/>
      <c r="M1910" s="5"/>
      <c r="R1910" s="5"/>
      <c r="S1910" s="5"/>
      <c r="T1910" s="1120"/>
      <c r="U1910" s="5"/>
      <c r="V1910" s="5"/>
      <c r="W1910" s="5"/>
      <c r="X1910" s="1120"/>
      <c r="Y1910" s="1120"/>
      <c r="Z1910" s="5"/>
      <c r="AA1910" s="5"/>
      <c r="AB1910" s="1135"/>
      <c r="AC1910" s="5"/>
      <c r="AD1910" s="5"/>
      <c r="AE1910" s="5"/>
      <c r="AF1910" s="1120"/>
      <c r="AG1910" s="1148"/>
      <c r="AH1910" s="1120"/>
      <c r="AI1910" s="1120"/>
      <c r="AJ1910" s="1120"/>
    </row>
    <row r="1911" spans="2:36" ht="30" customHeight="1" x14ac:dyDescent="0.25">
      <c r="B1911" s="5"/>
      <c r="C1911" s="5"/>
      <c r="D1911" s="5"/>
      <c r="E1911" s="5"/>
      <c r="F1911" s="5"/>
      <c r="G1911" s="5"/>
      <c r="H1911" s="5"/>
      <c r="I1911" s="5"/>
      <c r="J1911" s="5"/>
      <c r="L1911" s="277"/>
      <c r="M1911" s="5"/>
      <c r="R1911" s="5"/>
      <c r="S1911" s="5"/>
      <c r="T1911" s="1120"/>
      <c r="U1911" s="5"/>
      <c r="V1911" s="5"/>
      <c r="W1911" s="5"/>
      <c r="X1911" s="1120"/>
      <c r="Y1911" s="1120"/>
      <c r="Z1911" s="5"/>
      <c r="AA1911" s="5"/>
      <c r="AB1911" s="1135"/>
      <c r="AC1911" s="5"/>
      <c r="AD1911" s="5"/>
      <c r="AE1911" s="5"/>
      <c r="AF1911" s="1120"/>
      <c r="AG1911" s="1148"/>
      <c r="AH1911" s="1120"/>
      <c r="AI1911" s="1120"/>
      <c r="AJ1911" s="1120"/>
    </row>
    <row r="1912" spans="2:36" ht="30" customHeight="1" x14ac:dyDescent="0.25">
      <c r="B1912" s="5"/>
      <c r="C1912" s="5"/>
      <c r="D1912" s="5"/>
      <c r="E1912" s="5"/>
      <c r="F1912" s="5"/>
      <c r="G1912" s="5"/>
      <c r="H1912" s="5"/>
      <c r="I1912" s="5"/>
      <c r="J1912" s="5"/>
      <c r="L1912" s="277"/>
      <c r="M1912" s="5"/>
      <c r="R1912" s="5"/>
      <c r="S1912" s="5"/>
      <c r="T1912" s="1120"/>
      <c r="U1912" s="5"/>
      <c r="V1912" s="5"/>
      <c r="W1912" s="5"/>
      <c r="X1912" s="1120"/>
      <c r="Y1912" s="1120"/>
      <c r="Z1912" s="5"/>
      <c r="AA1912" s="5"/>
      <c r="AB1912" s="1135"/>
      <c r="AC1912" s="5"/>
      <c r="AD1912" s="5"/>
      <c r="AE1912" s="5"/>
      <c r="AF1912" s="1120"/>
      <c r="AG1912" s="1148"/>
      <c r="AH1912" s="1120"/>
      <c r="AI1912" s="1120"/>
      <c r="AJ1912" s="1120"/>
    </row>
    <row r="1913" spans="2:36" ht="30" customHeight="1" x14ac:dyDescent="0.25">
      <c r="B1913" s="5"/>
      <c r="C1913" s="5"/>
      <c r="D1913" s="5"/>
      <c r="E1913" s="5"/>
      <c r="F1913" s="5"/>
      <c r="G1913" s="5"/>
      <c r="H1913" s="5"/>
      <c r="I1913" s="5"/>
      <c r="J1913" s="5"/>
      <c r="L1913" s="277"/>
      <c r="M1913" s="5"/>
      <c r="R1913" s="5"/>
      <c r="S1913" s="5"/>
      <c r="T1913" s="1120"/>
      <c r="U1913" s="5"/>
      <c r="V1913" s="5"/>
      <c r="W1913" s="5"/>
      <c r="X1913" s="1120"/>
      <c r="Y1913" s="1120"/>
      <c r="Z1913" s="5"/>
      <c r="AA1913" s="5"/>
      <c r="AB1913" s="1135"/>
      <c r="AC1913" s="5"/>
      <c r="AD1913" s="5"/>
      <c r="AE1913" s="5"/>
      <c r="AF1913" s="1120"/>
      <c r="AG1913" s="1148"/>
      <c r="AH1913" s="1120"/>
      <c r="AI1913" s="1120"/>
      <c r="AJ1913" s="1120"/>
    </row>
    <row r="1914" spans="2:36" ht="30" customHeight="1" x14ac:dyDescent="0.25">
      <c r="B1914" s="5"/>
      <c r="C1914" s="5"/>
      <c r="D1914" s="5"/>
      <c r="E1914" s="5"/>
      <c r="F1914" s="5"/>
      <c r="G1914" s="5"/>
      <c r="H1914" s="5"/>
      <c r="I1914" s="5"/>
      <c r="J1914" s="5"/>
      <c r="L1914" s="277"/>
      <c r="M1914" s="5"/>
      <c r="R1914" s="5"/>
      <c r="S1914" s="5"/>
      <c r="T1914" s="1120"/>
      <c r="U1914" s="5"/>
      <c r="V1914" s="5"/>
      <c r="W1914" s="5"/>
      <c r="X1914" s="1120"/>
      <c r="Y1914" s="1120"/>
      <c r="Z1914" s="5"/>
      <c r="AA1914" s="5"/>
      <c r="AB1914" s="1135"/>
      <c r="AC1914" s="5"/>
      <c r="AD1914" s="5"/>
      <c r="AE1914" s="5"/>
      <c r="AF1914" s="1120"/>
      <c r="AG1914" s="1148"/>
      <c r="AH1914" s="1120"/>
      <c r="AI1914" s="1120"/>
      <c r="AJ1914" s="1120"/>
    </row>
    <row r="1915" spans="2:36" ht="30" customHeight="1" x14ac:dyDescent="0.25">
      <c r="B1915" s="5"/>
      <c r="C1915" s="5"/>
      <c r="D1915" s="5"/>
      <c r="E1915" s="5"/>
      <c r="F1915" s="5"/>
      <c r="G1915" s="5"/>
      <c r="H1915" s="5"/>
      <c r="I1915" s="5"/>
      <c r="J1915" s="5"/>
      <c r="L1915" s="277"/>
      <c r="M1915" s="5"/>
      <c r="R1915" s="5"/>
      <c r="S1915" s="5"/>
      <c r="T1915" s="1120"/>
      <c r="U1915" s="5"/>
      <c r="V1915" s="5"/>
      <c r="W1915" s="5"/>
      <c r="X1915" s="1120"/>
      <c r="Y1915" s="1120"/>
      <c r="Z1915" s="5"/>
      <c r="AA1915" s="5"/>
      <c r="AB1915" s="1135"/>
      <c r="AC1915" s="5"/>
      <c r="AD1915" s="5"/>
      <c r="AE1915" s="5"/>
      <c r="AF1915" s="1120"/>
      <c r="AG1915" s="1148"/>
      <c r="AH1915" s="1120"/>
      <c r="AI1915" s="1120"/>
      <c r="AJ1915" s="1120"/>
    </row>
    <row r="1916" spans="2:36" ht="30" customHeight="1" x14ac:dyDescent="0.25">
      <c r="B1916" s="5"/>
      <c r="C1916" s="5"/>
      <c r="D1916" s="5"/>
      <c r="E1916" s="5"/>
      <c r="F1916" s="5"/>
      <c r="G1916" s="5"/>
      <c r="H1916" s="5"/>
      <c r="I1916" s="5"/>
      <c r="J1916" s="5"/>
      <c r="L1916" s="277"/>
      <c r="M1916" s="5"/>
      <c r="R1916" s="5"/>
      <c r="S1916" s="5"/>
      <c r="T1916" s="1120"/>
      <c r="U1916" s="5"/>
      <c r="V1916" s="5"/>
      <c r="W1916" s="5"/>
      <c r="X1916" s="1120"/>
      <c r="Y1916" s="1120"/>
      <c r="Z1916" s="5"/>
      <c r="AA1916" s="5"/>
      <c r="AB1916" s="1135"/>
      <c r="AC1916" s="5"/>
      <c r="AD1916" s="5"/>
      <c r="AE1916" s="5"/>
      <c r="AF1916" s="1120"/>
      <c r="AG1916" s="1148"/>
      <c r="AH1916" s="1120"/>
      <c r="AI1916" s="1120"/>
      <c r="AJ1916" s="1120"/>
    </row>
    <row r="1917" spans="2:36" ht="30" customHeight="1" x14ac:dyDescent="0.25">
      <c r="B1917" s="5"/>
      <c r="C1917" s="5"/>
      <c r="D1917" s="5"/>
      <c r="E1917" s="5"/>
      <c r="F1917" s="5"/>
      <c r="G1917" s="5"/>
      <c r="H1917" s="5"/>
      <c r="I1917" s="5"/>
      <c r="J1917" s="5"/>
      <c r="L1917" s="277"/>
      <c r="M1917" s="5"/>
      <c r="R1917" s="5"/>
      <c r="S1917" s="5"/>
      <c r="T1917" s="1120"/>
      <c r="U1917" s="5"/>
      <c r="V1917" s="5"/>
      <c r="W1917" s="5"/>
      <c r="X1917" s="1120"/>
      <c r="Y1917" s="1120"/>
      <c r="Z1917" s="5"/>
      <c r="AA1917" s="5"/>
      <c r="AB1917" s="1135"/>
      <c r="AC1917" s="5"/>
      <c r="AD1917" s="5"/>
      <c r="AE1917" s="5"/>
      <c r="AF1917" s="1120"/>
      <c r="AG1917" s="1148"/>
      <c r="AH1917" s="1120"/>
      <c r="AI1917" s="1120"/>
      <c r="AJ1917" s="1120"/>
    </row>
    <row r="1918" spans="2:36" ht="30" customHeight="1" x14ac:dyDescent="0.25">
      <c r="B1918" s="5"/>
      <c r="C1918" s="5"/>
      <c r="D1918" s="5"/>
      <c r="E1918" s="5"/>
      <c r="F1918" s="5"/>
      <c r="G1918" s="5"/>
      <c r="H1918" s="5"/>
      <c r="I1918" s="5"/>
      <c r="J1918" s="5"/>
      <c r="L1918" s="277"/>
      <c r="M1918" s="5"/>
      <c r="R1918" s="5"/>
      <c r="S1918" s="5"/>
      <c r="T1918" s="1120"/>
      <c r="U1918" s="5"/>
      <c r="V1918" s="5"/>
      <c r="W1918" s="5"/>
      <c r="X1918" s="1120"/>
      <c r="Y1918" s="1120"/>
      <c r="Z1918" s="5"/>
      <c r="AA1918" s="5"/>
      <c r="AB1918" s="1135"/>
      <c r="AC1918" s="5"/>
      <c r="AD1918" s="5"/>
      <c r="AE1918" s="5"/>
      <c r="AF1918" s="1120"/>
      <c r="AG1918" s="1148"/>
      <c r="AH1918" s="1120"/>
      <c r="AI1918" s="1120"/>
      <c r="AJ1918" s="1120"/>
    </row>
    <row r="1919" spans="2:36" ht="30" customHeight="1" x14ac:dyDescent="0.25">
      <c r="B1919" s="5"/>
      <c r="C1919" s="5"/>
      <c r="D1919" s="5"/>
      <c r="E1919" s="5"/>
      <c r="F1919" s="5"/>
      <c r="G1919" s="5"/>
      <c r="H1919" s="5"/>
      <c r="I1919" s="5"/>
      <c r="J1919" s="5"/>
      <c r="L1919" s="277"/>
      <c r="M1919" s="5"/>
      <c r="R1919" s="5"/>
      <c r="S1919" s="5"/>
      <c r="T1919" s="1120"/>
      <c r="U1919" s="5"/>
      <c r="V1919" s="5"/>
      <c r="W1919" s="5"/>
      <c r="X1919" s="1120"/>
      <c r="Y1919" s="1120"/>
      <c r="Z1919" s="5"/>
      <c r="AA1919" s="5"/>
      <c r="AB1919" s="1135"/>
      <c r="AC1919" s="5"/>
      <c r="AD1919" s="5"/>
      <c r="AE1919" s="5"/>
      <c r="AF1919" s="1120"/>
      <c r="AG1919" s="1148"/>
      <c r="AH1919" s="1120"/>
      <c r="AI1919" s="1120"/>
      <c r="AJ1919" s="1120"/>
    </row>
    <row r="1920" spans="2:36" ht="30" customHeight="1" x14ac:dyDescent="0.25">
      <c r="B1920" s="5"/>
      <c r="C1920" s="5"/>
      <c r="D1920" s="5"/>
      <c r="E1920" s="5"/>
      <c r="F1920" s="5"/>
      <c r="G1920" s="5"/>
      <c r="H1920" s="5"/>
      <c r="I1920" s="5"/>
      <c r="J1920" s="5"/>
      <c r="L1920" s="277"/>
      <c r="M1920" s="5"/>
      <c r="R1920" s="5"/>
      <c r="S1920" s="5"/>
      <c r="T1920" s="1120"/>
      <c r="U1920" s="5"/>
      <c r="V1920" s="5"/>
      <c r="W1920" s="5"/>
      <c r="X1920" s="1120"/>
      <c r="Y1920" s="1120"/>
      <c r="Z1920" s="5"/>
      <c r="AA1920" s="5"/>
      <c r="AB1920" s="1135"/>
      <c r="AC1920" s="5"/>
      <c r="AD1920" s="5"/>
      <c r="AE1920" s="5"/>
      <c r="AF1920" s="1120"/>
      <c r="AG1920" s="1148"/>
      <c r="AH1920" s="1120"/>
      <c r="AI1920" s="1120"/>
      <c r="AJ1920" s="1120"/>
    </row>
    <row r="1921" spans="2:36" ht="30" customHeight="1" x14ac:dyDescent="0.25">
      <c r="B1921" s="5"/>
      <c r="C1921" s="5"/>
      <c r="D1921" s="5"/>
      <c r="E1921" s="5"/>
      <c r="F1921" s="5"/>
      <c r="G1921" s="5"/>
      <c r="H1921" s="5"/>
      <c r="I1921" s="5"/>
      <c r="J1921" s="5"/>
      <c r="L1921" s="277"/>
      <c r="M1921" s="5"/>
      <c r="R1921" s="5"/>
      <c r="S1921" s="5"/>
      <c r="T1921" s="1120"/>
      <c r="U1921" s="5"/>
      <c r="V1921" s="5"/>
      <c r="W1921" s="5"/>
      <c r="X1921" s="1120"/>
      <c r="Y1921" s="1120"/>
      <c r="Z1921" s="5"/>
      <c r="AA1921" s="5"/>
      <c r="AB1921" s="1135"/>
      <c r="AC1921" s="5"/>
      <c r="AD1921" s="5"/>
      <c r="AE1921" s="5"/>
      <c r="AF1921" s="1120"/>
      <c r="AG1921" s="1148"/>
      <c r="AH1921" s="1120"/>
      <c r="AI1921" s="1120"/>
      <c r="AJ1921" s="1120"/>
    </row>
    <row r="1922" spans="2:36" ht="30" customHeight="1" x14ac:dyDescent="0.25">
      <c r="B1922" s="5"/>
      <c r="C1922" s="5"/>
      <c r="D1922" s="5"/>
      <c r="E1922" s="5"/>
      <c r="F1922" s="5"/>
      <c r="G1922" s="5"/>
      <c r="H1922" s="5"/>
      <c r="I1922" s="5"/>
      <c r="J1922" s="5"/>
      <c r="L1922" s="277"/>
      <c r="M1922" s="5"/>
      <c r="R1922" s="5"/>
      <c r="S1922" s="5"/>
      <c r="T1922" s="1120"/>
      <c r="U1922" s="5"/>
      <c r="V1922" s="5"/>
      <c r="W1922" s="5"/>
      <c r="X1922" s="1120"/>
      <c r="Y1922" s="1120"/>
      <c r="Z1922" s="5"/>
      <c r="AA1922" s="5"/>
      <c r="AB1922" s="1135"/>
      <c r="AC1922" s="5"/>
      <c r="AD1922" s="5"/>
      <c r="AE1922" s="5"/>
      <c r="AF1922" s="1120"/>
      <c r="AG1922" s="1148"/>
      <c r="AH1922" s="1120"/>
      <c r="AI1922" s="1120"/>
      <c r="AJ1922" s="1120"/>
    </row>
    <row r="1923" spans="2:36" ht="30" customHeight="1" x14ac:dyDescent="0.25">
      <c r="B1923" s="5"/>
      <c r="C1923" s="5"/>
      <c r="D1923" s="5"/>
      <c r="E1923" s="5"/>
      <c r="F1923" s="5"/>
      <c r="G1923" s="5"/>
      <c r="H1923" s="5"/>
      <c r="I1923" s="5"/>
      <c r="J1923" s="5"/>
      <c r="L1923" s="277"/>
      <c r="M1923" s="5"/>
      <c r="R1923" s="5"/>
      <c r="S1923" s="5"/>
      <c r="T1923" s="1120"/>
      <c r="U1923" s="5"/>
      <c r="V1923" s="5"/>
      <c r="W1923" s="5"/>
      <c r="X1923" s="1120"/>
      <c r="Y1923" s="1120"/>
      <c r="Z1923" s="5"/>
      <c r="AA1923" s="5"/>
      <c r="AB1923" s="1135"/>
      <c r="AC1923" s="5"/>
      <c r="AD1923" s="5"/>
      <c r="AE1923" s="5"/>
      <c r="AF1923" s="1120"/>
      <c r="AG1923" s="1148"/>
      <c r="AH1923" s="1120"/>
      <c r="AI1923" s="1120"/>
      <c r="AJ1923" s="1120"/>
    </row>
    <row r="1924" spans="2:36" ht="30" customHeight="1" x14ac:dyDescent="0.25">
      <c r="B1924" s="5"/>
      <c r="C1924" s="5"/>
      <c r="D1924" s="5"/>
      <c r="E1924" s="5"/>
      <c r="F1924" s="5"/>
      <c r="G1924" s="5"/>
      <c r="H1924" s="5"/>
      <c r="I1924" s="5"/>
      <c r="J1924" s="5"/>
      <c r="L1924" s="277"/>
      <c r="M1924" s="5"/>
      <c r="R1924" s="5"/>
      <c r="S1924" s="5"/>
      <c r="T1924" s="1120"/>
      <c r="U1924" s="5"/>
      <c r="V1924" s="5"/>
      <c r="W1924" s="5"/>
      <c r="X1924" s="1120"/>
      <c r="Y1924" s="1120"/>
      <c r="Z1924" s="5"/>
      <c r="AA1924" s="5"/>
      <c r="AB1924" s="1135"/>
      <c r="AC1924" s="5"/>
      <c r="AD1924" s="5"/>
      <c r="AE1924" s="5"/>
      <c r="AF1924" s="1120"/>
      <c r="AG1924" s="1148"/>
      <c r="AH1924" s="1120"/>
      <c r="AI1924" s="1120"/>
      <c r="AJ1924" s="1120"/>
    </row>
    <row r="1925" spans="2:36" ht="30" customHeight="1" x14ac:dyDescent="0.25">
      <c r="B1925" s="5"/>
      <c r="C1925" s="5"/>
      <c r="D1925" s="5"/>
      <c r="E1925" s="5"/>
      <c r="F1925" s="5"/>
      <c r="G1925" s="5"/>
      <c r="H1925" s="5"/>
      <c r="I1925" s="5"/>
      <c r="J1925" s="5"/>
      <c r="L1925" s="277"/>
      <c r="M1925" s="5"/>
      <c r="R1925" s="5"/>
      <c r="S1925" s="5"/>
      <c r="T1925" s="1120"/>
      <c r="U1925" s="5"/>
      <c r="V1925" s="5"/>
      <c r="W1925" s="5"/>
      <c r="X1925" s="1120"/>
      <c r="Y1925" s="1120"/>
      <c r="Z1925" s="5"/>
      <c r="AA1925" s="5"/>
      <c r="AB1925" s="1135"/>
      <c r="AC1925" s="5"/>
      <c r="AD1925" s="5"/>
      <c r="AE1925" s="5"/>
      <c r="AF1925" s="1120"/>
      <c r="AG1925" s="1148"/>
      <c r="AH1925" s="1120"/>
      <c r="AI1925" s="1120"/>
      <c r="AJ1925" s="1120"/>
    </row>
    <row r="1926" spans="2:36" ht="30" customHeight="1" x14ac:dyDescent="0.25">
      <c r="B1926" s="5"/>
      <c r="C1926" s="5"/>
      <c r="D1926" s="5"/>
      <c r="E1926" s="5"/>
      <c r="F1926" s="5"/>
      <c r="G1926" s="5"/>
      <c r="H1926" s="5"/>
      <c r="I1926" s="5"/>
      <c r="J1926" s="5"/>
      <c r="L1926" s="277"/>
      <c r="M1926" s="5"/>
      <c r="R1926" s="5"/>
      <c r="S1926" s="5"/>
      <c r="T1926" s="1120"/>
      <c r="U1926" s="5"/>
      <c r="V1926" s="5"/>
      <c r="W1926" s="5"/>
      <c r="X1926" s="1120"/>
      <c r="Y1926" s="1120"/>
      <c r="Z1926" s="5"/>
      <c r="AA1926" s="5"/>
      <c r="AB1926" s="1135"/>
      <c r="AC1926" s="5"/>
      <c r="AD1926" s="5"/>
      <c r="AE1926" s="5"/>
      <c r="AF1926" s="1120"/>
      <c r="AG1926" s="1148"/>
      <c r="AH1926" s="1120"/>
      <c r="AI1926" s="1120"/>
      <c r="AJ1926" s="1120"/>
    </row>
    <row r="1927" spans="2:36" ht="30" customHeight="1" x14ac:dyDescent="0.25">
      <c r="B1927" s="5"/>
      <c r="C1927" s="5"/>
      <c r="D1927" s="5"/>
      <c r="E1927" s="5"/>
      <c r="F1927" s="5"/>
      <c r="G1927" s="5"/>
      <c r="H1927" s="5"/>
      <c r="I1927" s="5"/>
      <c r="J1927" s="5"/>
      <c r="L1927" s="277"/>
      <c r="M1927" s="5"/>
      <c r="R1927" s="5"/>
      <c r="S1927" s="5"/>
      <c r="T1927" s="1120"/>
      <c r="U1927" s="5"/>
      <c r="V1927" s="5"/>
      <c r="W1927" s="5"/>
      <c r="X1927" s="1120"/>
      <c r="Y1927" s="1120"/>
      <c r="Z1927" s="5"/>
      <c r="AA1927" s="5"/>
      <c r="AB1927" s="1135"/>
      <c r="AC1927" s="5"/>
      <c r="AD1927" s="5"/>
      <c r="AE1927" s="5"/>
      <c r="AF1927" s="1120"/>
      <c r="AG1927" s="1148"/>
      <c r="AH1927" s="1120"/>
      <c r="AI1927" s="1120"/>
      <c r="AJ1927" s="1120"/>
    </row>
    <row r="1928" spans="2:36" ht="30" customHeight="1" x14ac:dyDescent="0.25">
      <c r="B1928" s="5"/>
      <c r="C1928" s="5"/>
      <c r="D1928" s="5"/>
      <c r="E1928" s="5"/>
      <c r="F1928" s="5"/>
      <c r="G1928" s="5"/>
      <c r="H1928" s="5"/>
      <c r="I1928" s="5"/>
      <c r="J1928" s="5"/>
      <c r="L1928" s="277"/>
      <c r="M1928" s="5"/>
      <c r="R1928" s="5"/>
      <c r="S1928" s="5"/>
      <c r="T1928" s="1120"/>
      <c r="U1928" s="5"/>
      <c r="V1928" s="5"/>
      <c r="W1928" s="5"/>
      <c r="X1928" s="1120"/>
      <c r="Y1928" s="1120"/>
      <c r="Z1928" s="5"/>
      <c r="AA1928" s="5"/>
      <c r="AB1928" s="1135"/>
      <c r="AC1928" s="5"/>
      <c r="AD1928" s="5"/>
      <c r="AE1928" s="5"/>
      <c r="AF1928" s="1120"/>
      <c r="AG1928" s="1148"/>
      <c r="AH1928" s="1120"/>
      <c r="AI1928" s="1120"/>
      <c r="AJ1928" s="1120"/>
    </row>
    <row r="1929" spans="2:36" ht="30" customHeight="1" x14ac:dyDescent="0.25">
      <c r="B1929" s="5"/>
      <c r="C1929" s="5"/>
      <c r="D1929" s="5"/>
      <c r="E1929" s="5"/>
      <c r="F1929" s="5"/>
      <c r="G1929" s="5"/>
      <c r="H1929" s="5"/>
      <c r="I1929" s="5"/>
      <c r="J1929" s="5"/>
      <c r="L1929" s="277"/>
      <c r="M1929" s="5"/>
      <c r="R1929" s="5"/>
      <c r="S1929" s="5"/>
      <c r="T1929" s="1120"/>
      <c r="U1929" s="5"/>
      <c r="V1929" s="5"/>
      <c r="W1929" s="5"/>
      <c r="X1929" s="1120"/>
      <c r="Y1929" s="1120"/>
      <c r="Z1929" s="5"/>
      <c r="AA1929" s="5"/>
      <c r="AB1929" s="1135"/>
      <c r="AC1929" s="5"/>
      <c r="AD1929" s="5"/>
      <c r="AE1929" s="5"/>
      <c r="AF1929" s="1120"/>
      <c r="AG1929" s="1148"/>
      <c r="AH1929" s="1120"/>
      <c r="AI1929" s="1120"/>
      <c r="AJ1929" s="1120"/>
    </row>
    <row r="1930" spans="2:36" ht="30" customHeight="1" x14ac:dyDescent="0.25">
      <c r="B1930" s="5"/>
      <c r="C1930" s="5"/>
      <c r="D1930" s="5"/>
      <c r="E1930" s="5"/>
      <c r="F1930" s="5"/>
      <c r="G1930" s="5"/>
      <c r="H1930" s="5"/>
      <c r="I1930" s="5"/>
      <c r="J1930" s="5"/>
      <c r="L1930" s="277"/>
      <c r="M1930" s="5"/>
      <c r="R1930" s="5"/>
      <c r="S1930" s="5"/>
      <c r="T1930" s="1120"/>
      <c r="U1930" s="5"/>
      <c r="V1930" s="5"/>
      <c r="W1930" s="5"/>
      <c r="X1930" s="1120"/>
      <c r="Y1930" s="1120"/>
      <c r="Z1930" s="5"/>
      <c r="AA1930" s="5"/>
      <c r="AB1930" s="1135"/>
      <c r="AC1930" s="5"/>
      <c r="AD1930" s="5"/>
      <c r="AE1930" s="5"/>
      <c r="AF1930" s="1120"/>
      <c r="AG1930" s="1148"/>
      <c r="AH1930" s="1120"/>
      <c r="AI1930" s="1120"/>
      <c r="AJ1930" s="1120"/>
    </row>
    <row r="1931" spans="2:36" ht="30" customHeight="1" x14ac:dyDescent="0.25">
      <c r="B1931" s="5"/>
      <c r="C1931" s="5"/>
      <c r="D1931" s="5"/>
      <c r="E1931" s="5"/>
      <c r="F1931" s="5"/>
      <c r="G1931" s="5"/>
      <c r="H1931" s="5"/>
      <c r="I1931" s="5"/>
      <c r="J1931" s="5"/>
      <c r="L1931" s="277"/>
      <c r="M1931" s="5"/>
      <c r="R1931" s="5"/>
      <c r="S1931" s="5"/>
      <c r="T1931" s="1120"/>
      <c r="U1931" s="5"/>
      <c r="V1931" s="5"/>
      <c r="W1931" s="5"/>
      <c r="X1931" s="1120"/>
      <c r="Y1931" s="1120"/>
      <c r="Z1931" s="5"/>
      <c r="AA1931" s="5"/>
      <c r="AB1931" s="1135"/>
      <c r="AC1931" s="5"/>
      <c r="AD1931" s="5"/>
      <c r="AE1931" s="5"/>
      <c r="AF1931" s="1120"/>
      <c r="AG1931" s="1148"/>
      <c r="AH1931" s="1120"/>
      <c r="AI1931" s="1120"/>
      <c r="AJ1931" s="1120"/>
    </row>
    <row r="1932" spans="2:36" ht="30" customHeight="1" x14ac:dyDescent="0.25">
      <c r="B1932" s="5"/>
      <c r="C1932" s="5"/>
      <c r="D1932" s="5"/>
      <c r="E1932" s="5"/>
      <c r="F1932" s="5"/>
      <c r="G1932" s="5"/>
      <c r="H1932" s="5"/>
      <c r="I1932" s="5"/>
      <c r="J1932" s="5"/>
      <c r="L1932" s="277"/>
      <c r="M1932" s="5"/>
      <c r="R1932" s="5"/>
      <c r="S1932" s="5"/>
      <c r="T1932" s="1120"/>
      <c r="U1932" s="5"/>
      <c r="V1932" s="5"/>
      <c r="W1932" s="5"/>
      <c r="X1932" s="1120"/>
      <c r="Y1932" s="1120"/>
      <c r="Z1932" s="5"/>
      <c r="AA1932" s="5"/>
      <c r="AB1932" s="1135"/>
      <c r="AC1932" s="5"/>
      <c r="AD1932" s="5"/>
      <c r="AE1932" s="5"/>
      <c r="AF1932" s="1120"/>
      <c r="AG1932" s="1148"/>
      <c r="AH1932" s="1120"/>
      <c r="AI1932" s="1120"/>
      <c r="AJ1932" s="1120"/>
    </row>
    <row r="1933" spans="2:36" ht="30" customHeight="1" x14ac:dyDescent="0.25">
      <c r="B1933" s="5"/>
      <c r="C1933" s="5"/>
      <c r="D1933" s="5"/>
      <c r="E1933" s="5"/>
      <c r="F1933" s="5"/>
      <c r="G1933" s="5"/>
      <c r="H1933" s="5"/>
      <c r="I1933" s="5"/>
      <c r="J1933" s="5"/>
      <c r="L1933" s="277"/>
      <c r="M1933" s="5"/>
      <c r="R1933" s="5"/>
      <c r="S1933" s="5"/>
      <c r="T1933" s="1120"/>
      <c r="U1933" s="5"/>
      <c r="V1933" s="5"/>
      <c r="W1933" s="5"/>
      <c r="X1933" s="1120"/>
      <c r="Y1933" s="1120"/>
      <c r="Z1933" s="5"/>
      <c r="AA1933" s="5"/>
      <c r="AB1933" s="1135"/>
      <c r="AC1933" s="5"/>
      <c r="AD1933" s="5"/>
      <c r="AE1933" s="5"/>
      <c r="AF1933" s="1120"/>
      <c r="AG1933" s="1148"/>
      <c r="AH1933" s="1120"/>
      <c r="AI1933" s="1120"/>
      <c r="AJ1933" s="1120"/>
    </row>
    <row r="1934" spans="2:36" ht="30" customHeight="1" x14ac:dyDescent="0.25">
      <c r="B1934" s="5"/>
      <c r="C1934" s="5"/>
      <c r="D1934" s="5"/>
      <c r="E1934" s="5"/>
      <c r="F1934" s="5"/>
      <c r="G1934" s="5"/>
      <c r="H1934" s="5"/>
      <c r="I1934" s="5"/>
      <c r="J1934" s="5"/>
      <c r="L1934" s="277"/>
      <c r="M1934" s="5"/>
      <c r="R1934" s="5"/>
      <c r="S1934" s="5"/>
      <c r="T1934" s="1120"/>
      <c r="U1934" s="5"/>
      <c r="V1934" s="5"/>
      <c r="W1934" s="5"/>
      <c r="X1934" s="1120"/>
      <c r="Y1934" s="1120"/>
      <c r="Z1934" s="5"/>
      <c r="AA1934" s="5"/>
      <c r="AB1934" s="1135"/>
      <c r="AC1934" s="5"/>
      <c r="AD1934" s="5"/>
      <c r="AE1934" s="5"/>
      <c r="AF1934" s="1120"/>
      <c r="AG1934" s="1148"/>
      <c r="AH1934" s="1120"/>
      <c r="AI1934" s="1120"/>
      <c r="AJ1934" s="1120"/>
    </row>
    <row r="1935" spans="2:36" ht="30" customHeight="1" x14ac:dyDescent="0.25">
      <c r="B1935" s="5"/>
      <c r="C1935" s="5"/>
      <c r="D1935" s="5"/>
      <c r="E1935" s="5"/>
      <c r="F1935" s="5"/>
      <c r="G1935" s="5"/>
      <c r="H1935" s="5"/>
      <c r="I1935" s="5"/>
      <c r="J1935" s="5"/>
      <c r="L1935" s="277"/>
      <c r="M1935" s="5"/>
      <c r="R1935" s="5"/>
      <c r="S1935" s="5"/>
      <c r="T1935" s="1120"/>
      <c r="U1935" s="5"/>
      <c r="V1935" s="5"/>
      <c r="W1935" s="5"/>
      <c r="X1935" s="1120"/>
      <c r="Y1935" s="1120"/>
      <c r="Z1935" s="5"/>
      <c r="AA1935" s="5"/>
      <c r="AB1935" s="1135"/>
      <c r="AC1935" s="5"/>
      <c r="AD1935" s="5"/>
      <c r="AE1935" s="5"/>
      <c r="AF1935" s="1120"/>
      <c r="AG1935" s="1148"/>
      <c r="AH1935" s="1120"/>
      <c r="AI1935" s="1120"/>
      <c r="AJ1935" s="1120"/>
    </row>
    <row r="1936" spans="2:36" ht="30" customHeight="1" x14ac:dyDescent="0.25">
      <c r="B1936" s="5"/>
      <c r="C1936" s="5"/>
      <c r="D1936" s="5"/>
      <c r="E1936" s="5"/>
      <c r="F1936" s="5"/>
      <c r="G1936" s="5"/>
      <c r="H1936" s="5"/>
      <c r="I1936" s="5"/>
      <c r="J1936" s="5"/>
      <c r="L1936" s="277"/>
      <c r="M1936" s="5"/>
      <c r="R1936" s="5"/>
      <c r="S1936" s="5"/>
      <c r="T1936" s="1120"/>
      <c r="U1936" s="5"/>
      <c r="V1936" s="5"/>
      <c r="W1936" s="5"/>
      <c r="X1936" s="1120"/>
      <c r="Y1936" s="1120"/>
      <c r="Z1936" s="5"/>
      <c r="AA1936" s="5"/>
      <c r="AB1936" s="1135"/>
      <c r="AC1936" s="5"/>
      <c r="AD1936" s="5"/>
      <c r="AE1936" s="5"/>
      <c r="AF1936" s="1120"/>
      <c r="AG1936" s="1148"/>
      <c r="AH1936" s="1120"/>
      <c r="AI1936" s="1120"/>
      <c r="AJ1936" s="1120"/>
    </row>
    <row r="1937" spans="2:36" ht="30" customHeight="1" x14ac:dyDescent="0.25">
      <c r="B1937" s="5"/>
      <c r="C1937" s="5"/>
      <c r="D1937" s="5"/>
      <c r="E1937" s="5"/>
      <c r="F1937" s="5"/>
      <c r="G1937" s="5"/>
      <c r="H1937" s="5"/>
      <c r="I1937" s="5"/>
      <c r="J1937" s="5"/>
      <c r="L1937" s="277"/>
      <c r="M1937" s="5"/>
      <c r="R1937" s="5"/>
      <c r="S1937" s="5"/>
      <c r="T1937" s="1120"/>
      <c r="U1937" s="5"/>
      <c r="V1937" s="5"/>
      <c r="W1937" s="5"/>
      <c r="X1937" s="1120"/>
      <c r="Y1937" s="1120"/>
      <c r="Z1937" s="5"/>
      <c r="AA1937" s="5"/>
      <c r="AB1937" s="1135"/>
      <c r="AC1937" s="5"/>
      <c r="AD1937" s="5"/>
      <c r="AE1937" s="5"/>
      <c r="AF1937" s="1120"/>
      <c r="AG1937" s="1148"/>
      <c r="AH1937" s="1120"/>
      <c r="AI1937" s="1120"/>
      <c r="AJ1937" s="1120"/>
    </row>
    <row r="1938" spans="2:36" ht="30" customHeight="1" x14ac:dyDescent="0.25">
      <c r="B1938" s="5"/>
      <c r="C1938" s="5"/>
      <c r="D1938" s="5"/>
      <c r="E1938" s="5"/>
      <c r="F1938" s="5"/>
      <c r="G1938" s="5"/>
      <c r="H1938" s="5"/>
      <c r="I1938" s="5"/>
      <c r="J1938" s="5"/>
      <c r="L1938" s="277"/>
      <c r="M1938" s="5"/>
      <c r="R1938" s="5"/>
      <c r="S1938" s="5"/>
      <c r="T1938" s="1120"/>
      <c r="U1938" s="5"/>
      <c r="V1938" s="5"/>
      <c r="W1938" s="5"/>
      <c r="X1938" s="1120"/>
      <c r="Y1938" s="1120"/>
      <c r="Z1938" s="5"/>
      <c r="AA1938" s="5"/>
      <c r="AB1938" s="1135"/>
      <c r="AC1938" s="5"/>
      <c r="AD1938" s="5"/>
      <c r="AE1938" s="5"/>
      <c r="AF1938" s="1120"/>
      <c r="AG1938" s="1148"/>
      <c r="AH1938" s="1120"/>
      <c r="AI1938" s="1120"/>
      <c r="AJ1938" s="1120"/>
    </row>
    <row r="1939" spans="2:36" ht="30" customHeight="1" x14ac:dyDescent="0.25">
      <c r="B1939" s="5"/>
      <c r="C1939" s="5"/>
      <c r="D1939" s="5"/>
      <c r="E1939" s="5"/>
      <c r="F1939" s="5"/>
      <c r="G1939" s="5"/>
      <c r="H1939" s="5"/>
      <c r="I1939" s="5"/>
      <c r="J1939" s="5"/>
      <c r="L1939" s="277"/>
      <c r="M1939" s="5"/>
      <c r="R1939" s="5"/>
      <c r="S1939" s="5"/>
      <c r="T1939" s="1120"/>
      <c r="U1939" s="5"/>
      <c r="V1939" s="5"/>
      <c r="W1939" s="5"/>
      <c r="X1939" s="1120"/>
      <c r="Y1939" s="1120"/>
      <c r="Z1939" s="5"/>
      <c r="AA1939" s="5"/>
      <c r="AB1939" s="1135"/>
      <c r="AC1939" s="5"/>
      <c r="AD1939" s="5"/>
      <c r="AE1939" s="5"/>
      <c r="AF1939" s="1120"/>
      <c r="AG1939" s="1148"/>
      <c r="AH1939" s="1120"/>
      <c r="AI1939" s="1120"/>
      <c r="AJ1939" s="1120"/>
    </row>
    <row r="1940" spans="2:36" ht="30" customHeight="1" x14ac:dyDescent="0.25">
      <c r="B1940" s="5"/>
      <c r="C1940" s="5"/>
      <c r="D1940" s="5"/>
      <c r="E1940" s="5"/>
      <c r="F1940" s="5"/>
      <c r="G1940" s="5"/>
      <c r="H1940" s="5"/>
      <c r="I1940" s="5"/>
      <c r="J1940" s="5"/>
      <c r="L1940" s="277"/>
      <c r="M1940" s="5"/>
      <c r="R1940" s="5"/>
      <c r="S1940" s="5"/>
      <c r="T1940" s="1120"/>
      <c r="U1940" s="5"/>
      <c r="V1940" s="5"/>
      <c r="W1940" s="5"/>
      <c r="X1940" s="1120"/>
      <c r="Y1940" s="1120"/>
      <c r="Z1940" s="5"/>
      <c r="AA1940" s="5"/>
      <c r="AB1940" s="1135"/>
      <c r="AC1940" s="5"/>
      <c r="AD1940" s="5"/>
      <c r="AE1940" s="5"/>
      <c r="AF1940" s="1120"/>
      <c r="AG1940" s="1148"/>
      <c r="AH1940" s="1120"/>
      <c r="AI1940" s="1120"/>
      <c r="AJ1940" s="1120"/>
    </row>
    <row r="1941" spans="2:36" ht="30" customHeight="1" x14ac:dyDescent="0.25">
      <c r="B1941" s="5"/>
      <c r="C1941" s="5"/>
      <c r="D1941" s="5"/>
      <c r="E1941" s="5"/>
      <c r="F1941" s="5"/>
      <c r="G1941" s="5"/>
      <c r="H1941" s="5"/>
      <c r="I1941" s="5"/>
      <c r="J1941" s="5"/>
      <c r="L1941" s="277"/>
      <c r="M1941" s="5"/>
      <c r="R1941" s="5"/>
      <c r="S1941" s="5"/>
      <c r="T1941" s="1120"/>
      <c r="U1941" s="5"/>
      <c r="V1941" s="5"/>
      <c r="W1941" s="5"/>
      <c r="X1941" s="1120"/>
      <c r="Y1941" s="1120"/>
      <c r="Z1941" s="5"/>
      <c r="AA1941" s="5"/>
      <c r="AB1941" s="1135"/>
      <c r="AC1941" s="5"/>
      <c r="AD1941" s="5"/>
      <c r="AE1941" s="5"/>
      <c r="AF1941" s="1120"/>
      <c r="AG1941" s="1148"/>
      <c r="AH1941" s="1120"/>
      <c r="AI1941" s="1120"/>
      <c r="AJ1941" s="1120"/>
    </row>
    <row r="1942" spans="2:36" ht="30" customHeight="1" x14ac:dyDescent="0.25">
      <c r="B1942" s="5"/>
      <c r="C1942" s="5"/>
      <c r="D1942" s="5"/>
      <c r="E1942" s="5"/>
      <c r="F1942" s="5"/>
      <c r="G1942" s="5"/>
      <c r="H1942" s="5"/>
      <c r="I1942" s="5"/>
      <c r="J1942" s="5"/>
      <c r="L1942" s="277"/>
      <c r="M1942" s="5"/>
      <c r="R1942" s="5"/>
      <c r="S1942" s="5"/>
      <c r="T1942" s="1120"/>
      <c r="U1942" s="5"/>
      <c r="V1942" s="5"/>
      <c r="W1942" s="5"/>
      <c r="X1942" s="1120"/>
      <c r="Y1942" s="1120"/>
      <c r="Z1942" s="5"/>
      <c r="AA1942" s="5"/>
      <c r="AB1942" s="1135"/>
      <c r="AC1942" s="5"/>
      <c r="AD1942" s="5"/>
      <c r="AE1942" s="5"/>
      <c r="AF1942" s="1120"/>
      <c r="AG1942" s="1148"/>
      <c r="AH1942" s="1120"/>
      <c r="AI1942" s="1120"/>
      <c r="AJ1942" s="1120"/>
    </row>
    <row r="1943" spans="2:36" ht="30" customHeight="1" x14ac:dyDescent="0.25">
      <c r="B1943" s="5"/>
      <c r="C1943" s="5"/>
      <c r="D1943" s="5"/>
      <c r="E1943" s="5"/>
      <c r="F1943" s="5"/>
      <c r="G1943" s="5"/>
      <c r="H1943" s="5"/>
      <c r="I1943" s="5"/>
      <c r="J1943" s="5"/>
      <c r="L1943" s="277"/>
      <c r="M1943" s="5"/>
      <c r="R1943" s="5"/>
      <c r="S1943" s="5"/>
      <c r="T1943" s="1120"/>
      <c r="U1943" s="5"/>
      <c r="V1943" s="5"/>
      <c r="W1943" s="5"/>
      <c r="X1943" s="1120"/>
      <c r="Y1943" s="1120"/>
      <c r="Z1943" s="5"/>
      <c r="AA1943" s="5"/>
      <c r="AB1943" s="1135"/>
      <c r="AC1943" s="5"/>
      <c r="AD1943" s="5"/>
      <c r="AE1943" s="5"/>
      <c r="AF1943" s="1120"/>
      <c r="AG1943" s="1148"/>
      <c r="AH1943" s="1120"/>
      <c r="AI1943" s="1120"/>
      <c r="AJ1943" s="1120"/>
    </row>
    <row r="1944" spans="2:36" ht="30" customHeight="1" x14ac:dyDescent="0.25">
      <c r="B1944" s="5"/>
      <c r="C1944" s="5"/>
      <c r="D1944" s="5"/>
      <c r="E1944" s="5"/>
      <c r="F1944" s="5"/>
      <c r="G1944" s="5"/>
      <c r="H1944" s="5"/>
      <c r="I1944" s="5"/>
      <c r="J1944" s="5"/>
      <c r="L1944" s="277"/>
      <c r="M1944" s="5"/>
      <c r="R1944" s="5"/>
      <c r="S1944" s="5"/>
      <c r="T1944" s="1120"/>
      <c r="U1944" s="5"/>
      <c r="V1944" s="5"/>
      <c r="W1944" s="5"/>
      <c r="X1944" s="1120"/>
      <c r="Y1944" s="1120"/>
      <c r="Z1944" s="5"/>
      <c r="AA1944" s="5"/>
      <c r="AB1944" s="1135"/>
      <c r="AC1944" s="5"/>
      <c r="AD1944" s="5"/>
      <c r="AE1944" s="5"/>
      <c r="AF1944" s="1120"/>
      <c r="AG1944" s="1148"/>
      <c r="AH1944" s="1120"/>
      <c r="AI1944" s="1120"/>
      <c r="AJ1944" s="1120"/>
    </row>
    <row r="1945" spans="2:36" ht="30" customHeight="1" x14ac:dyDescent="0.25">
      <c r="B1945" s="5"/>
      <c r="C1945" s="5"/>
      <c r="D1945" s="5"/>
      <c r="E1945" s="5"/>
      <c r="F1945" s="5"/>
      <c r="G1945" s="5"/>
      <c r="H1945" s="5"/>
      <c r="I1945" s="5"/>
      <c r="J1945" s="5"/>
      <c r="L1945" s="277"/>
      <c r="M1945" s="5"/>
      <c r="R1945" s="5"/>
      <c r="S1945" s="5"/>
      <c r="T1945" s="1120"/>
      <c r="U1945" s="5"/>
      <c r="V1945" s="5"/>
      <c r="W1945" s="5"/>
      <c r="X1945" s="1120"/>
      <c r="Y1945" s="1120"/>
      <c r="Z1945" s="5"/>
      <c r="AA1945" s="5"/>
      <c r="AB1945" s="1135"/>
      <c r="AC1945" s="5"/>
      <c r="AD1945" s="5"/>
      <c r="AE1945" s="5"/>
      <c r="AF1945" s="1120"/>
      <c r="AG1945" s="1148"/>
      <c r="AH1945" s="1120"/>
      <c r="AI1945" s="1120"/>
      <c r="AJ1945" s="1120"/>
    </row>
    <row r="1946" spans="2:36" ht="30" customHeight="1" x14ac:dyDescent="0.25">
      <c r="B1946" s="5"/>
      <c r="C1946" s="5"/>
      <c r="D1946" s="5"/>
      <c r="E1946" s="5"/>
      <c r="F1946" s="5"/>
      <c r="G1946" s="5"/>
      <c r="H1946" s="5"/>
      <c r="I1946" s="5"/>
      <c r="J1946" s="5"/>
      <c r="L1946" s="277"/>
      <c r="M1946" s="5"/>
      <c r="R1946" s="5"/>
      <c r="S1946" s="5"/>
      <c r="T1946" s="1120"/>
      <c r="U1946" s="5"/>
      <c r="V1946" s="5"/>
      <c r="W1946" s="5"/>
      <c r="X1946" s="1120"/>
      <c r="Y1946" s="1120"/>
      <c r="Z1946" s="5"/>
      <c r="AA1946" s="5"/>
      <c r="AB1946" s="1135"/>
      <c r="AC1946" s="5"/>
      <c r="AD1946" s="5"/>
      <c r="AE1946" s="5"/>
      <c r="AF1946" s="1120"/>
      <c r="AG1946" s="1148"/>
      <c r="AH1946" s="1120"/>
      <c r="AI1946" s="1120"/>
      <c r="AJ1946" s="1120"/>
    </row>
    <row r="1947" spans="2:36" ht="30" customHeight="1" x14ac:dyDescent="0.25">
      <c r="B1947" s="5"/>
      <c r="C1947" s="5"/>
      <c r="D1947" s="5"/>
      <c r="E1947" s="5"/>
      <c r="F1947" s="5"/>
      <c r="G1947" s="5"/>
      <c r="H1947" s="5"/>
      <c r="I1947" s="5"/>
      <c r="J1947" s="5"/>
      <c r="L1947" s="277"/>
      <c r="M1947" s="5"/>
      <c r="R1947" s="5"/>
      <c r="S1947" s="5"/>
      <c r="T1947" s="1120"/>
      <c r="U1947" s="5"/>
      <c r="V1947" s="5"/>
      <c r="W1947" s="5"/>
      <c r="X1947" s="1120"/>
      <c r="Y1947" s="1120"/>
      <c r="Z1947" s="5"/>
      <c r="AA1947" s="5"/>
      <c r="AB1947" s="1135"/>
      <c r="AC1947" s="5"/>
      <c r="AD1947" s="5"/>
      <c r="AE1947" s="5"/>
      <c r="AF1947" s="1120"/>
      <c r="AG1947" s="1148"/>
      <c r="AH1947" s="1120"/>
      <c r="AI1947" s="1120"/>
      <c r="AJ1947" s="1120"/>
    </row>
    <row r="1948" spans="2:36" ht="30" customHeight="1" x14ac:dyDescent="0.25">
      <c r="B1948" s="5"/>
      <c r="C1948" s="5"/>
      <c r="D1948" s="5"/>
      <c r="E1948" s="5"/>
      <c r="F1948" s="5"/>
      <c r="G1948" s="5"/>
      <c r="H1948" s="5"/>
      <c r="I1948" s="5"/>
      <c r="J1948" s="5"/>
      <c r="L1948" s="277"/>
      <c r="M1948" s="5"/>
      <c r="R1948" s="5"/>
      <c r="S1948" s="5"/>
      <c r="T1948" s="1120"/>
      <c r="U1948" s="5"/>
      <c r="V1948" s="5"/>
      <c r="W1948" s="5"/>
      <c r="X1948" s="1120"/>
      <c r="Y1948" s="1120"/>
      <c r="Z1948" s="5"/>
      <c r="AA1948" s="5"/>
      <c r="AB1948" s="1135"/>
      <c r="AC1948" s="5"/>
      <c r="AD1948" s="5"/>
      <c r="AE1948" s="5"/>
      <c r="AF1948" s="1120"/>
      <c r="AG1948" s="1148"/>
      <c r="AH1948" s="1120"/>
      <c r="AI1948" s="1120"/>
      <c r="AJ1948" s="1120"/>
    </row>
    <row r="1949" spans="2:36" ht="30" customHeight="1" x14ac:dyDescent="0.25">
      <c r="B1949" s="5"/>
      <c r="C1949" s="5"/>
      <c r="D1949" s="5"/>
      <c r="E1949" s="5"/>
      <c r="F1949" s="5"/>
      <c r="G1949" s="5"/>
      <c r="H1949" s="5"/>
      <c r="I1949" s="5"/>
      <c r="J1949" s="5"/>
      <c r="L1949" s="277"/>
      <c r="M1949" s="5"/>
      <c r="R1949" s="5"/>
      <c r="S1949" s="5"/>
      <c r="T1949" s="1120"/>
      <c r="U1949" s="5"/>
      <c r="V1949" s="5"/>
      <c r="W1949" s="5"/>
      <c r="X1949" s="1120"/>
      <c r="Y1949" s="1120"/>
      <c r="Z1949" s="5"/>
      <c r="AA1949" s="5"/>
      <c r="AB1949" s="1135"/>
      <c r="AC1949" s="5"/>
      <c r="AD1949" s="5"/>
      <c r="AE1949" s="5"/>
      <c r="AF1949" s="1120"/>
      <c r="AG1949" s="1148"/>
      <c r="AH1949" s="1120"/>
      <c r="AI1949" s="1120"/>
      <c r="AJ1949" s="1120"/>
    </row>
    <row r="1950" spans="2:36" ht="30" customHeight="1" x14ac:dyDescent="0.25">
      <c r="B1950" s="5"/>
      <c r="C1950" s="5"/>
      <c r="D1950" s="5"/>
      <c r="E1950" s="5"/>
      <c r="F1950" s="5"/>
      <c r="G1950" s="5"/>
      <c r="H1950" s="5"/>
      <c r="I1950" s="5"/>
      <c r="J1950" s="5"/>
      <c r="L1950" s="277"/>
      <c r="M1950" s="5"/>
      <c r="R1950" s="5"/>
      <c r="S1950" s="5"/>
      <c r="T1950" s="1120"/>
      <c r="U1950" s="5"/>
      <c r="V1950" s="5"/>
      <c r="W1950" s="5"/>
      <c r="X1950" s="1120"/>
      <c r="Y1950" s="1120"/>
      <c r="Z1950" s="5"/>
      <c r="AA1950" s="5"/>
      <c r="AB1950" s="1135"/>
      <c r="AC1950" s="5"/>
      <c r="AD1950" s="5"/>
      <c r="AE1950" s="5"/>
      <c r="AF1950" s="1120"/>
      <c r="AG1950" s="1148"/>
      <c r="AH1950" s="1120"/>
      <c r="AI1950" s="1120"/>
      <c r="AJ1950" s="1120"/>
    </row>
    <row r="1951" spans="2:36" ht="30" customHeight="1" x14ac:dyDescent="0.25">
      <c r="B1951" s="5"/>
      <c r="C1951" s="5"/>
      <c r="D1951" s="5"/>
      <c r="E1951" s="5"/>
      <c r="F1951" s="5"/>
      <c r="G1951" s="5"/>
      <c r="H1951" s="5"/>
      <c r="I1951" s="5"/>
      <c r="J1951" s="5"/>
      <c r="L1951" s="277"/>
      <c r="M1951" s="5"/>
      <c r="R1951" s="5"/>
      <c r="S1951" s="5"/>
      <c r="T1951" s="1120"/>
      <c r="U1951" s="5"/>
      <c r="V1951" s="5"/>
      <c r="W1951" s="5"/>
      <c r="X1951" s="1120"/>
      <c r="Y1951" s="1120"/>
      <c r="Z1951" s="5"/>
      <c r="AA1951" s="5"/>
      <c r="AB1951" s="1135"/>
      <c r="AC1951" s="5"/>
      <c r="AD1951" s="5"/>
      <c r="AE1951" s="5"/>
      <c r="AF1951" s="1120"/>
      <c r="AG1951" s="1148"/>
      <c r="AH1951" s="1120"/>
      <c r="AI1951" s="1120"/>
      <c r="AJ1951" s="1120"/>
    </row>
    <row r="1952" spans="2:36" ht="30" customHeight="1" x14ac:dyDescent="0.25">
      <c r="B1952" s="5"/>
      <c r="C1952" s="5"/>
      <c r="D1952" s="5"/>
      <c r="E1952" s="5"/>
      <c r="F1952" s="5"/>
      <c r="G1952" s="5"/>
      <c r="H1952" s="5"/>
      <c r="I1952" s="5"/>
      <c r="J1952" s="5"/>
      <c r="L1952" s="277"/>
      <c r="M1952" s="5"/>
      <c r="R1952" s="5"/>
      <c r="S1952" s="5"/>
      <c r="T1952" s="1120"/>
      <c r="U1952" s="5"/>
      <c r="V1952" s="5"/>
      <c r="W1952" s="5"/>
      <c r="X1952" s="1120"/>
      <c r="Y1952" s="1120"/>
      <c r="Z1952" s="5"/>
      <c r="AA1952" s="5"/>
      <c r="AB1952" s="1135"/>
      <c r="AC1952" s="5"/>
      <c r="AD1952" s="5"/>
      <c r="AE1952" s="5"/>
      <c r="AF1952" s="1120"/>
      <c r="AG1952" s="1148"/>
      <c r="AH1952" s="1120"/>
      <c r="AI1952" s="1120"/>
      <c r="AJ1952" s="1120"/>
    </row>
    <row r="1953" spans="2:36" ht="30" customHeight="1" x14ac:dyDescent="0.25">
      <c r="B1953" s="5"/>
      <c r="C1953" s="5"/>
      <c r="D1953" s="5"/>
      <c r="E1953" s="5"/>
      <c r="F1953" s="5"/>
      <c r="G1953" s="5"/>
      <c r="H1953" s="5"/>
      <c r="I1953" s="5"/>
      <c r="J1953" s="5"/>
      <c r="L1953" s="277"/>
      <c r="M1953" s="5"/>
      <c r="R1953" s="5"/>
      <c r="S1953" s="5"/>
      <c r="T1953" s="1120"/>
      <c r="U1953" s="5"/>
      <c r="V1953" s="5"/>
      <c r="W1953" s="5"/>
      <c r="X1953" s="1120"/>
      <c r="Y1953" s="1120"/>
      <c r="Z1953" s="5"/>
      <c r="AA1953" s="5"/>
      <c r="AB1953" s="1135"/>
      <c r="AC1953" s="5"/>
      <c r="AD1953" s="5"/>
      <c r="AE1953" s="5"/>
      <c r="AF1953" s="1120"/>
      <c r="AG1953" s="1148"/>
      <c r="AH1953" s="1120"/>
      <c r="AI1953" s="1120"/>
      <c r="AJ1953" s="1120"/>
    </row>
    <row r="1954" spans="2:36" ht="30" customHeight="1" x14ac:dyDescent="0.25">
      <c r="B1954" s="5"/>
      <c r="C1954" s="5"/>
      <c r="D1954" s="5"/>
      <c r="E1954" s="5"/>
      <c r="F1954" s="5"/>
      <c r="G1954" s="5"/>
      <c r="H1954" s="5"/>
      <c r="I1954" s="5"/>
      <c r="J1954" s="5"/>
      <c r="L1954" s="277"/>
      <c r="M1954" s="5"/>
      <c r="R1954" s="5"/>
      <c r="S1954" s="5"/>
      <c r="T1954" s="1120"/>
      <c r="U1954" s="5"/>
      <c r="V1954" s="5"/>
      <c r="W1954" s="5"/>
      <c r="X1954" s="1120"/>
      <c r="Y1954" s="1120"/>
      <c r="Z1954" s="5"/>
      <c r="AA1954" s="5"/>
      <c r="AB1954" s="1135"/>
      <c r="AC1954" s="5"/>
      <c r="AD1954" s="5"/>
      <c r="AE1954" s="5"/>
      <c r="AF1954" s="1120"/>
      <c r="AG1954" s="1148"/>
      <c r="AH1954" s="1120"/>
      <c r="AI1954" s="1120"/>
      <c r="AJ1954" s="1120"/>
    </row>
    <row r="1955" spans="2:36" ht="30" customHeight="1" x14ac:dyDescent="0.25">
      <c r="B1955" s="5"/>
      <c r="C1955" s="5"/>
      <c r="D1955" s="5"/>
      <c r="E1955" s="5"/>
      <c r="F1955" s="5"/>
      <c r="G1955" s="5"/>
      <c r="H1955" s="5"/>
      <c r="I1955" s="5"/>
      <c r="J1955" s="5"/>
      <c r="L1955" s="277"/>
      <c r="M1955" s="5"/>
      <c r="R1955" s="5"/>
      <c r="S1955" s="5"/>
      <c r="T1955" s="1120"/>
      <c r="U1955" s="5"/>
      <c r="V1955" s="5"/>
      <c r="W1955" s="5"/>
      <c r="X1955" s="1120"/>
      <c r="Y1955" s="1120"/>
      <c r="Z1955" s="5"/>
      <c r="AA1955" s="5"/>
      <c r="AB1955" s="1135"/>
      <c r="AC1955" s="5"/>
      <c r="AD1955" s="5"/>
      <c r="AE1955" s="5"/>
      <c r="AF1955" s="1120"/>
      <c r="AG1955" s="1148"/>
      <c r="AH1955" s="1120"/>
      <c r="AI1955" s="1120"/>
      <c r="AJ1955" s="1120"/>
    </row>
    <row r="1956" spans="2:36" ht="30" customHeight="1" x14ac:dyDescent="0.25">
      <c r="B1956" s="5"/>
      <c r="C1956" s="5"/>
      <c r="D1956" s="5"/>
      <c r="E1956" s="5"/>
      <c r="F1956" s="5"/>
      <c r="G1956" s="5"/>
      <c r="H1956" s="5"/>
      <c r="I1956" s="5"/>
      <c r="J1956" s="5"/>
      <c r="L1956" s="277"/>
      <c r="M1956" s="5"/>
      <c r="R1956" s="5"/>
      <c r="S1956" s="5"/>
      <c r="T1956" s="1120"/>
      <c r="U1956" s="5"/>
      <c r="V1956" s="5"/>
      <c r="W1956" s="5"/>
      <c r="X1956" s="1120"/>
      <c r="Y1956" s="1120"/>
      <c r="Z1956" s="5"/>
      <c r="AA1956" s="5"/>
      <c r="AB1956" s="1135"/>
      <c r="AC1956" s="5"/>
      <c r="AD1956" s="5"/>
      <c r="AE1956" s="5"/>
      <c r="AF1956" s="1120"/>
      <c r="AG1956" s="1148"/>
      <c r="AH1956" s="1120"/>
      <c r="AI1956" s="1120"/>
      <c r="AJ1956" s="1120"/>
    </row>
    <row r="1957" spans="2:36" ht="30" customHeight="1" x14ac:dyDescent="0.25">
      <c r="B1957" s="5"/>
      <c r="C1957" s="5"/>
      <c r="D1957" s="5"/>
      <c r="E1957" s="5"/>
      <c r="F1957" s="5"/>
      <c r="G1957" s="5"/>
      <c r="H1957" s="5"/>
      <c r="I1957" s="5"/>
      <c r="J1957" s="5"/>
      <c r="L1957" s="277"/>
      <c r="M1957" s="5"/>
      <c r="R1957" s="5"/>
      <c r="S1957" s="5"/>
      <c r="T1957" s="1120"/>
      <c r="U1957" s="5"/>
      <c r="V1957" s="5"/>
      <c r="W1957" s="5"/>
      <c r="X1957" s="1120"/>
      <c r="Y1957" s="1120"/>
      <c r="Z1957" s="5"/>
      <c r="AA1957" s="5"/>
      <c r="AB1957" s="1135"/>
      <c r="AC1957" s="5"/>
      <c r="AD1957" s="5"/>
      <c r="AE1957" s="5"/>
      <c r="AF1957" s="1120"/>
      <c r="AG1957" s="1148"/>
      <c r="AH1957" s="1120"/>
      <c r="AI1957" s="1120"/>
      <c r="AJ1957" s="1120"/>
    </row>
    <row r="1958" spans="2:36" ht="30" customHeight="1" x14ac:dyDescent="0.25">
      <c r="B1958" s="5"/>
      <c r="C1958" s="5"/>
      <c r="D1958" s="5"/>
      <c r="E1958" s="5"/>
      <c r="F1958" s="5"/>
      <c r="G1958" s="5"/>
      <c r="H1958" s="5"/>
      <c r="I1958" s="5"/>
      <c r="J1958" s="5"/>
      <c r="L1958" s="277"/>
      <c r="M1958" s="5"/>
      <c r="R1958" s="5"/>
      <c r="S1958" s="5"/>
      <c r="T1958" s="1120"/>
      <c r="U1958" s="5"/>
      <c r="V1958" s="5"/>
      <c r="W1958" s="5"/>
      <c r="X1958" s="1120"/>
      <c r="Y1958" s="1120"/>
      <c r="Z1958" s="5"/>
      <c r="AA1958" s="5"/>
      <c r="AB1958" s="1135"/>
      <c r="AC1958" s="5"/>
      <c r="AD1958" s="5"/>
      <c r="AE1958" s="5"/>
      <c r="AF1958" s="1120"/>
      <c r="AG1958" s="1148"/>
      <c r="AH1958" s="1120"/>
      <c r="AI1958" s="1120"/>
      <c r="AJ1958" s="1120"/>
    </row>
    <row r="1959" spans="2:36" ht="30" customHeight="1" x14ac:dyDescent="0.25">
      <c r="B1959" s="5"/>
      <c r="C1959" s="5"/>
      <c r="D1959" s="5"/>
      <c r="E1959" s="5"/>
      <c r="F1959" s="5"/>
      <c r="G1959" s="5"/>
      <c r="H1959" s="5"/>
      <c r="I1959" s="5"/>
      <c r="J1959" s="5"/>
      <c r="L1959" s="277"/>
      <c r="M1959" s="5"/>
      <c r="R1959" s="5"/>
      <c r="S1959" s="5"/>
      <c r="T1959" s="1120"/>
      <c r="U1959" s="5"/>
      <c r="V1959" s="5"/>
      <c r="W1959" s="5"/>
      <c r="X1959" s="1120"/>
      <c r="Y1959" s="1120"/>
      <c r="Z1959" s="5"/>
      <c r="AA1959" s="5"/>
      <c r="AB1959" s="1135"/>
      <c r="AC1959" s="5"/>
      <c r="AD1959" s="5"/>
      <c r="AE1959" s="5"/>
      <c r="AF1959" s="1120"/>
      <c r="AG1959" s="1148"/>
      <c r="AH1959" s="1120"/>
      <c r="AI1959" s="1120"/>
      <c r="AJ1959" s="1120"/>
    </row>
    <row r="1960" spans="2:36" ht="30" customHeight="1" x14ac:dyDescent="0.25">
      <c r="B1960" s="5"/>
      <c r="C1960" s="5"/>
      <c r="D1960" s="5"/>
      <c r="E1960" s="5"/>
      <c r="F1960" s="5"/>
      <c r="G1960" s="5"/>
      <c r="H1960" s="5"/>
      <c r="I1960" s="5"/>
      <c r="J1960" s="5"/>
      <c r="L1960" s="277"/>
      <c r="M1960" s="5"/>
      <c r="R1960" s="5"/>
      <c r="S1960" s="5"/>
      <c r="T1960" s="1120"/>
      <c r="U1960" s="5"/>
      <c r="V1960" s="5"/>
      <c r="W1960" s="5"/>
      <c r="X1960" s="1120"/>
      <c r="Y1960" s="1120"/>
      <c r="Z1960" s="5"/>
      <c r="AA1960" s="5"/>
      <c r="AB1960" s="1135"/>
      <c r="AC1960" s="5"/>
      <c r="AD1960" s="5"/>
      <c r="AE1960" s="5"/>
      <c r="AF1960" s="1120"/>
      <c r="AG1960" s="1148"/>
      <c r="AH1960" s="1120"/>
      <c r="AI1960" s="1120"/>
      <c r="AJ1960" s="1120"/>
    </row>
    <row r="1961" spans="2:36" ht="30" customHeight="1" x14ac:dyDescent="0.25">
      <c r="B1961" s="5"/>
      <c r="C1961" s="5"/>
      <c r="D1961" s="5"/>
      <c r="E1961" s="5"/>
      <c r="F1961" s="5"/>
      <c r="G1961" s="5"/>
      <c r="H1961" s="5"/>
      <c r="I1961" s="5"/>
      <c r="J1961" s="5"/>
      <c r="L1961" s="277"/>
      <c r="M1961" s="5"/>
      <c r="R1961" s="5"/>
      <c r="S1961" s="5"/>
      <c r="T1961" s="1120"/>
      <c r="U1961" s="5"/>
      <c r="V1961" s="5"/>
      <c r="W1961" s="5"/>
      <c r="X1961" s="1120"/>
      <c r="Y1961" s="1120"/>
      <c r="Z1961" s="5"/>
      <c r="AA1961" s="5"/>
      <c r="AB1961" s="1135"/>
      <c r="AC1961" s="5"/>
      <c r="AD1961" s="5"/>
      <c r="AE1961" s="5"/>
      <c r="AF1961" s="1120"/>
      <c r="AG1961" s="1148"/>
      <c r="AH1961" s="1120"/>
      <c r="AI1961" s="1120"/>
      <c r="AJ1961" s="1120"/>
    </row>
    <row r="1962" spans="2:36" ht="30" customHeight="1" x14ac:dyDescent="0.25">
      <c r="B1962" s="5"/>
      <c r="C1962" s="5"/>
      <c r="D1962" s="5"/>
      <c r="E1962" s="5"/>
      <c r="F1962" s="5"/>
      <c r="G1962" s="5"/>
      <c r="H1962" s="5"/>
      <c r="I1962" s="5"/>
      <c r="J1962" s="5"/>
      <c r="L1962" s="277"/>
      <c r="M1962" s="5"/>
      <c r="R1962" s="5"/>
      <c r="S1962" s="5"/>
      <c r="T1962" s="1120"/>
      <c r="U1962" s="5"/>
      <c r="V1962" s="5"/>
      <c r="W1962" s="5"/>
      <c r="X1962" s="1120"/>
      <c r="Y1962" s="1120"/>
      <c r="Z1962" s="5"/>
      <c r="AA1962" s="5"/>
      <c r="AB1962" s="1135"/>
      <c r="AC1962" s="5"/>
      <c r="AD1962" s="5"/>
      <c r="AE1962" s="5"/>
      <c r="AF1962" s="1120"/>
      <c r="AG1962" s="1148"/>
      <c r="AH1962" s="1120"/>
      <c r="AI1962" s="1120"/>
      <c r="AJ1962" s="1120"/>
    </row>
    <row r="1963" spans="2:36" ht="30" customHeight="1" x14ac:dyDescent="0.25">
      <c r="B1963" s="5"/>
      <c r="C1963" s="5"/>
      <c r="D1963" s="5"/>
      <c r="E1963" s="5"/>
      <c r="F1963" s="5"/>
      <c r="G1963" s="5"/>
      <c r="H1963" s="5"/>
      <c r="I1963" s="5"/>
      <c r="J1963" s="5"/>
      <c r="L1963" s="277"/>
      <c r="M1963" s="5"/>
      <c r="R1963" s="5"/>
      <c r="S1963" s="5"/>
      <c r="T1963" s="1120"/>
      <c r="U1963" s="5"/>
      <c r="V1963" s="5"/>
      <c r="W1963" s="5"/>
      <c r="X1963" s="1120"/>
      <c r="Y1963" s="1120"/>
      <c r="Z1963" s="5"/>
      <c r="AA1963" s="5"/>
      <c r="AB1963" s="1135"/>
      <c r="AC1963" s="5"/>
      <c r="AD1963" s="5"/>
      <c r="AE1963" s="5"/>
      <c r="AF1963" s="1120"/>
      <c r="AG1963" s="1148"/>
      <c r="AH1963" s="1120"/>
      <c r="AI1963" s="1120"/>
      <c r="AJ1963" s="1120"/>
    </row>
    <row r="1964" spans="2:36" ht="30" customHeight="1" x14ac:dyDescent="0.25">
      <c r="B1964" s="5"/>
      <c r="C1964" s="5"/>
      <c r="D1964" s="5"/>
      <c r="E1964" s="5"/>
      <c r="F1964" s="5"/>
      <c r="G1964" s="5"/>
      <c r="H1964" s="5"/>
      <c r="I1964" s="5"/>
      <c r="J1964" s="5"/>
      <c r="L1964" s="277"/>
      <c r="M1964" s="5"/>
      <c r="R1964" s="5"/>
      <c r="S1964" s="5"/>
      <c r="T1964" s="1120"/>
      <c r="U1964" s="5"/>
      <c r="V1964" s="5"/>
      <c r="W1964" s="5"/>
      <c r="X1964" s="1120"/>
      <c r="Y1964" s="1120"/>
      <c r="Z1964" s="5"/>
      <c r="AA1964" s="5"/>
      <c r="AB1964" s="1135"/>
      <c r="AC1964" s="5"/>
      <c r="AD1964" s="5"/>
      <c r="AE1964" s="5"/>
      <c r="AF1964" s="1120"/>
      <c r="AG1964" s="1148"/>
      <c r="AH1964" s="1120"/>
      <c r="AI1964" s="1120"/>
      <c r="AJ1964" s="1120"/>
    </row>
    <row r="1965" spans="2:36" ht="30" customHeight="1" x14ac:dyDescent="0.25">
      <c r="B1965" s="5"/>
      <c r="C1965" s="5"/>
      <c r="D1965" s="5"/>
      <c r="E1965" s="5"/>
      <c r="F1965" s="5"/>
      <c r="G1965" s="5"/>
      <c r="H1965" s="5"/>
      <c r="I1965" s="5"/>
      <c r="J1965" s="5"/>
      <c r="L1965" s="277"/>
      <c r="M1965" s="5"/>
      <c r="R1965" s="5"/>
      <c r="S1965" s="5"/>
      <c r="T1965" s="1120"/>
      <c r="U1965" s="5"/>
      <c r="V1965" s="5"/>
      <c r="W1965" s="5"/>
      <c r="X1965" s="1120"/>
      <c r="Y1965" s="1120"/>
      <c r="Z1965" s="5"/>
      <c r="AA1965" s="5"/>
      <c r="AB1965" s="1135"/>
      <c r="AC1965" s="5"/>
      <c r="AD1965" s="5"/>
      <c r="AE1965" s="5"/>
      <c r="AF1965" s="1120"/>
      <c r="AG1965" s="1148"/>
      <c r="AH1965" s="1120"/>
      <c r="AI1965" s="1120"/>
      <c r="AJ1965" s="1120"/>
    </row>
    <row r="1966" spans="2:36" ht="30" customHeight="1" x14ac:dyDescent="0.25">
      <c r="B1966" s="5"/>
      <c r="C1966" s="5"/>
      <c r="D1966" s="5"/>
      <c r="E1966" s="5"/>
      <c r="F1966" s="5"/>
      <c r="G1966" s="5"/>
      <c r="H1966" s="5"/>
      <c r="I1966" s="5"/>
      <c r="J1966" s="5"/>
      <c r="L1966" s="277"/>
      <c r="M1966" s="5"/>
      <c r="R1966" s="5"/>
      <c r="S1966" s="5"/>
      <c r="T1966" s="1120"/>
      <c r="U1966" s="5"/>
      <c r="V1966" s="5"/>
      <c r="W1966" s="5"/>
      <c r="X1966" s="1120"/>
      <c r="Y1966" s="1120"/>
      <c r="Z1966" s="5"/>
      <c r="AA1966" s="5"/>
      <c r="AB1966" s="1135"/>
      <c r="AC1966" s="5"/>
      <c r="AD1966" s="5"/>
      <c r="AE1966" s="5"/>
      <c r="AF1966" s="1120"/>
      <c r="AG1966" s="1148"/>
      <c r="AH1966" s="1120"/>
      <c r="AI1966" s="1120"/>
      <c r="AJ1966" s="1120"/>
    </row>
    <row r="1967" spans="2:36" ht="30" customHeight="1" x14ac:dyDescent="0.25">
      <c r="B1967" s="5"/>
      <c r="C1967" s="5"/>
      <c r="D1967" s="5"/>
      <c r="E1967" s="5"/>
      <c r="F1967" s="5"/>
      <c r="G1967" s="5"/>
      <c r="H1967" s="5"/>
      <c r="I1967" s="5"/>
      <c r="J1967" s="5"/>
      <c r="L1967" s="277"/>
      <c r="M1967" s="5"/>
      <c r="R1967" s="5"/>
      <c r="S1967" s="5"/>
      <c r="T1967" s="1120"/>
      <c r="U1967" s="5"/>
      <c r="V1967" s="5"/>
      <c r="W1967" s="5"/>
      <c r="X1967" s="1120"/>
      <c r="Y1967" s="1120"/>
      <c r="Z1967" s="5"/>
      <c r="AA1967" s="5"/>
      <c r="AB1967" s="1135"/>
      <c r="AC1967" s="5"/>
      <c r="AD1967" s="5"/>
      <c r="AE1967" s="5"/>
      <c r="AF1967" s="1120"/>
      <c r="AG1967" s="1148"/>
      <c r="AH1967" s="1120"/>
      <c r="AI1967" s="1120"/>
      <c r="AJ1967" s="1120"/>
    </row>
    <row r="1968" spans="2:36" ht="30" customHeight="1" x14ac:dyDescent="0.25">
      <c r="B1968" s="5"/>
      <c r="C1968" s="5"/>
      <c r="D1968" s="5"/>
      <c r="E1968" s="5"/>
      <c r="F1968" s="5"/>
      <c r="G1968" s="5"/>
      <c r="H1968" s="5"/>
      <c r="I1968" s="5"/>
      <c r="J1968" s="5"/>
      <c r="L1968" s="277"/>
      <c r="M1968" s="5"/>
      <c r="R1968" s="5"/>
      <c r="S1968" s="5"/>
      <c r="T1968" s="1120"/>
      <c r="U1968" s="5"/>
      <c r="V1968" s="5"/>
      <c r="W1968" s="5"/>
      <c r="X1968" s="1120"/>
      <c r="Y1968" s="1120"/>
      <c r="Z1968" s="5"/>
      <c r="AA1968" s="5"/>
      <c r="AB1968" s="1135"/>
      <c r="AC1968" s="5"/>
      <c r="AD1968" s="5"/>
      <c r="AE1968" s="5"/>
      <c r="AF1968" s="1120"/>
      <c r="AG1968" s="1148"/>
      <c r="AH1968" s="1120"/>
      <c r="AI1968" s="1120"/>
      <c r="AJ1968" s="1120"/>
    </row>
    <row r="1969" spans="2:36" ht="30" customHeight="1" x14ac:dyDescent="0.25">
      <c r="B1969" s="5"/>
      <c r="C1969" s="5"/>
      <c r="D1969" s="5"/>
      <c r="E1969" s="5"/>
      <c r="F1969" s="5"/>
      <c r="G1969" s="5"/>
      <c r="H1969" s="5"/>
      <c r="I1969" s="5"/>
      <c r="J1969" s="5"/>
      <c r="L1969" s="277"/>
      <c r="M1969" s="5"/>
      <c r="R1969" s="5"/>
      <c r="S1969" s="5"/>
      <c r="T1969" s="1120"/>
      <c r="U1969" s="5"/>
      <c r="V1969" s="5"/>
      <c r="W1969" s="5"/>
      <c r="X1969" s="1120"/>
      <c r="Y1969" s="1120"/>
      <c r="Z1969" s="5"/>
      <c r="AA1969" s="5"/>
      <c r="AB1969" s="1135"/>
      <c r="AC1969" s="5"/>
      <c r="AD1969" s="5"/>
      <c r="AE1969" s="5"/>
      <c r="AF1969" s="1120"/>
      <c r="AG1969" s="1148"/>
      <c r="AH1969" s="1120"/>
      <c r="AI1969" s="1120"/>
      <c r="AJ1969" s="1120"/>
    </row>
    <row r="1970" spans="2:36" ht="30" customHeight="1" x14ac:dyDescent="0.25">
      <c r="B1970" s="5"/>
      <c r="C1970" s="5"/>
      <c r="D1970" s="5"/>
      <c r="E1970" s="5"/>
      <c r="F1970" s="5"/>
      <c r="G1970" s="5"/>
      <c r="H1970" s="5"/>
      <c r="I1970" s="5"/>
      <c r="J1970" s="5"/>
      <c r="L1970" s="277"/>
      <c r="M1970" s="5"/>
      <c r="R1970" s="5"/>
      <c r="S1970" s="5"/>
      <c r="T1970" s="1120"/>
      <c r="U1970" s="5"/>
      <c r="V1970" s="5"/>
      <c r="W1970" s="5"/>
      <c r="X1970" s="1120"/>
      <c r="Y1970" s="1120"/>
      <c r="Z1970" s="5"/>
      <c r="AA1970" s="5"/>
      <c r="AB1970" s="1135"/>
      <c r="AC1970" s="5"/>
      <c r="AD1970" s="5"/>
      <c r="AE1970" s="5"/>
      <c r="AF1970" s="1120"/>
      <c r="AG1970" s="1148"/>
      <c r="AH1970" s="1120"/>
      <c r="AI1970" s="1120"/>
      <c r="AJ1970" s="1120"/>
    </row>
    <row r="1971" spans="2:36" ht="30" customHeight="1" x14ac:dyDescent="0.25">
      <c r="B1971" s="5"/>
      <c r="C1971" s="5"/>
      <c r="D1971" s="5"/>
      <c r="E1971" s="5"/>
      <c r="F1971" s="5"/>
      <c r="G1971" s="5"/>
      <c r="H1971" s="5"/>
      <c r="I1971" s="5"/>
      <c r="J1971" s="5"/>
      <c r="L1971" s="277"/>
      <c r="M1971" s="5"/>
      <c r="R1971" s="5"/>
      <c r="S1971" s="5"/>
      <c r="T1971" s="1120"/>
      <c r="U1971" s="5"/>
      <c r="V1971" s="5"/>
      <c r="W1971" s="5"/>
      <c r="X1971" s="1120"/>
      <c r="Y1971" s="1120"/>
      <c r="Z1971" s="5"/>
      <c r="AA1971" s="5"/>
      <c r="AB1971" s="1135"/>
      <c r="AC1971" s="5"/>
      <c r="AD1971" s="5"/>
      <c r="AE1971" s="5"/>
      <c r="AF1971" s="1120"/>
      <c r="AG1971" s="1148"/>
      <c r="AH1971" s="1120"/>
      <c r="AI1971" s="1120"/>
      <c r="AJ1971" s="1120"/>
    </row>
    <row r="1972" spans="2:36" ht="30" customHeight="1" x14ac:dyDescent="0.25">
      <c r="B1972" s="5"/>
      <c r="C1972" s="5"/>
      <c r="D1972" s="5"/>
      <c r="E1972" s="5"/>
      <c r="F1972" s="5"/>
      <c r="G1972" s="5"/>
      <c r="H1972" s="5"/>
      <c r="I1972" s="5"/>
      <c r="J1972" s="5"/>
      <c r="L1972" s="277"/>
      <c r="M1972" s="5"/>
      <c r="R1972" s="5"/>
      <c r="S1972" s="5"/>
      <c r="T1972" s="1120"/>
      <c r="U1972" s="5"/>
      <c r="V1972" s="5"/>
      <c r="W1972" s="5"/>
      <c r="X1972" s="1120"/>
      <c r="Y1972" s="1120"/>
      <c r="Z1972" s="5"/>
      <c r="AA1972" s="5"/>
      <c r="AB1972" s="1135"/>
      <c r="AC1972" s="5"/>
      <c r="AD1972" s="5"/>
      <c r="AE1972" s="5"/>
      <c r="AF1972" s="1120"/>
      <c r="AG1972" s="1148"/>
      <c r="AH1972" s="1120"/>
      <c r="AI1972" s="1120"/>
      <c r="AJ1972" s="1120"/>
    </row>
    <row r="1973" spans="2:36" ht="30" customHeight="1" x14ac:dyDescent="0.25">
      <c r="B1973" s="5"/>
      <c r="C1973" s="5"/>
      <c r="D1973" s="5"/>
      <c r="E1973" s="5"/>
      <c r="F1973" s="5"/>
      <c r="G1973" s="5"/>
      <c r="H1973" s="5"/>
      <c r="I1973" s="5"/>
      <c r="J1973" s="5"/>
      <c r="L1973" s="277"/>
      <c r="M1973" s="5"/>
      <c r="R1973" s="5"/>
      <c r="S1973" s="5"/>
      <c r="T1973" s="1120"/>
      <c r="U1973" s="5"/>
      <c r="V1973" s="5"/>
      <c r="W1973" s="5"/>
      <c r="X1973" s="1120"/>
      <c r="Y1973" s="1120"/>
      <c r="Z1973" s="5"/>
      <c r="AA1973" s="5"/>
      <c r="AB1973" s="1135"/>
      <c r="AC1973" s="5"/>
      <c r="AD1973" s="5"/>
      <c r="AE1973" s="5"/>
      <c r="AF1973" s="1120"/>
      <c r="AG1973" s="1148"/>
      <c r="AH1973" s="1120"/>
      <c r="AI1973" s="1120"/>
      <c r="AJ1973" s="1120"/>
    </row>
    <row r="1974" spans="2:36" ht="30" customHeight="1" x14ac:dyDescent="0.25">
      <c r="B1974" s="5"/>
      <c r="C1974" s="5"/>
      <c r="D1974" s="5"/>
      <c r="E1974" s="5"/>
      <c r="F1974" s="5"/>
      <c r="G1974" s="5"/>
      <c r="H1974" s="5"/>
      <c r="I1974" s="5"/>
      <c r="J1974" s="5"/>
      <c r="L1974" s="277"/>
      <c r="M1974" s="5"/>
      <c r="R1974" s="5"/>
      <c r="S1974" s="5"/>
      <c r="T1974" s="1120"/>
      <c r="U1974" s="5"/>
      <c r="V1974" s="5"/>
      <c r="W1974" s="5"/>
      <c r="X1974" s="1120"/>
      <c r="Y1974" s="1120"/>
      <c r="Z1974" s="5"/>
      <c r="AA1974" s="5"/>
      <c r="AB1974" s="1135"/>
      <c r="AC1974" s="5"/>
      <c r="AD1974" s="5"/>
      <c r="AE1974" s="5"/>
      <c r="AF1974" s="1120"/>
      <c r="AG1974" s="1148"/>
      <c r="AH1974" s="1120"/>
      <c r="AI1974" s="1120"/>
      <c r="AJ1974" s="1120"/>
    </row>
    <row r="1975" spans="2:36" ht="30" customHeight="1" x14ac:dyDescent="0.25">
      <c r="B1975" s="5"/>
      <c r="C1975" s="5"/>
      <c r="D1975" s="5"/>
      <c r="E1975" s="5"/>
      <c r="F1975" s="5"/>
      <c r="G1975" s="5"/>
      <c r="H1975" s="5"/>
      <c r="I1975" s="5"/>
      <c r="J1975" s="5"/>
      <c r="L1975" s="277"/>
      <c r="M1975" s="5"/>
      <c r="R1975" s="5"/>
      <c r="S1975" s="5"/>
      <c r="T1975" s="1120"/>
      <c r="U1975" s="5"/>
      <c r="V1975" s="5"/>
      <c r="W1975" s="5"/>
      <c r="X1975" s="1120"/>
      <c r="Y1975" s="1120"/>
      <c r="Z1975" s="5"/>
      <c r="AA1975" s="5"/>
      <c r="AB1975" s="1135"/>
      <c r="AC1975" s="5"/>
      <c r="AD1975" s="5"/>
      <c r="AE1975" s="5"/>
      <c r="AF1975" s="1120"/>
      <c r="AG1975" s="1148"/>
      <c r="AH1975" s="1120"/>
      <c r="AI1975" s="1120"/>
      <c r="AJ1975" s="1120"/>
    </row>
    <row r="1976" spans="2:36" ht="30" customHeight="1" x14ac:dyDescent="0.25">
      <c r="B1976" s="5"/>
      <c r="C1976" s="5"/>
      <c r="D1976" s="5"/>
      <c r="E1976" s="5"/>
      <c r="F1976" s="5"/>
      <c r="G1976" s="5"/>
      <c r="H1976" s="5"/>
      <c r="I1976" s="5"/>
      <c r="J1976" s="5"/>
      <c r="L1976" s="277"/>
      <c r="M1976" s="5"/>
      <c r="R1976" s="5"/>
      <c r="S1976" s="5"/>
      <c r="T1976" s="1120"/>
      <c r="U1976" s="5"/>
      <c r="V1976" s="5"/>
      <c r="W1976" s="5"/>
      <c r="X1976" s="1120"/>
      <c r="Y1976" s="1120"/>
      <c r="Z1976" s="5"/>
      <c r="AA1976" s="5"/>
      <c r="AB1976" s="1135"/>
      <c r="AC1976" s="5"/>
      <c r="AD1976" s="5"/>
      <c r="AE1976" s="5"/>
      <c r="AF1976" s="1120"/>
      <c r="AG1976" s="1148"/>
      <c r="AH1976" s="1120"/>
      <c r="AI1976" s="1120"/>
      <c r="AJ1976" s="1120"/>
    </row>
    <row r="1977" spans="2:36" ht="30" customHeight="1" x14ac:dyDescent="0.25">
      <c r="B1977" s="5"/>
      <c r="C1977" s="5"/>
      <c r="D1977" s="5"/>
      <c r="E1977" s="5"/>
      <c r="F1977" s="5"/>
      <c r="G1977" s="5"/>
      <c r="H1977" s="5"/>
      <c r="I1977" s="5"/>
      <c r="J1977" s="5"/>
      <c r="L1977" s="277"/>
      <c r="M1977" s="5"/>
      <c r="R1977" s="5"/>
      <c r="S1977" s="5"/>
      <c r="T1977" s="1120"/>
      <c r="U1977" s="5"/>
      <c r="V1977" s="5"/>
      <c r="W1977" s="5"/>
      <c r="X1977" s="1120"/>
      <c r="Y1977" s="1120"/>
      <c r="Z1977" s="5"/>
      <c r="AA1977" s="5"/>
      <c r="AB1977" s="1135"/>
      <c r="AC1977" s="5"/>
      <c r="AD1977" s="5"/>
      <c r="AE1977" s="5"/>
      <c r="AF1977" s="1120"/>
      <c r="AG1977" s="1148"/>
      <c r="AH1977" s="1120"/>
      <c r="AI1977" s="1120"/>
      <c r="AJ1977" s="1120"/>
    </row>
    <row r="1978" spans="2:36" ht="30" customHeight="1" x14ac:dyDescent="0.25">
      <c r="B1978" s="5"/>
      <c r="C1978" s="5"/>
      <c r="D1978" s="5"/>
      <c r="E1978" s="5"/>
      <c r="F1978" s="5"/>
      <c r="G1978" s="5"/>
      <c r="H1978" s="5"/>
      <c r="I1978" s="5"/>
      <c r="J1978" s="5"/>
      <c r="L1978" s="277"/>
      <c r="M1978" s="5"/>
      <c r="R1978" s="5"/>
      <c r="S1978" s="5"/>
      <c r="T1978" s="1120"/>
      <c r="U1978" s="5"/>
      <c r="V1978" s="5"/>
      <c r="W1978" s="5"/>
      <c r="X1978" s="1120"/>
      <c r="Y1978" s="1120"/>
      <c r="Z1978" s="5"/>
      <c r="AA1978" s="5"/>
      <c r="AB1978" s="1135"/>
      <c r="AC1978" s="5"/>
      <c r="AD1978" s="5"/>
      <c r="AE1978" s="5"/>
      <c r="AF1978" s="1120"/>
      <c r="AG1978" s="1148"/>
      <c r="AH1978" s="1120"/>
      <c r="AI1978" s="1120"/>
      <c r="AJ1978" s="1120"/>
    </row>
    <row r="1979" spans="2:36" ht="30" customHeight="1" x14ac:dyDescent="0.25">
      <c r="B1979" s="5"/>
      <c r="C1979" s="5"/>
      <c r="D1979" s="5"/>
      <c r="E1979" s="5"/>
      <c r="F1979" s="5"/>
      <c r="G1979" s="5"/>
      <c r="H1979" s="5"/>
      <c r="I1979" s="5"/>
      <c r="J1979" s="5"/>
      <c r="L1979" s="277"/>
      <c r="M1979" s="5"/>
      <c r="R1979" s="5"/>
      <c r="S1979" s="5"/>
      <c r="T1979" s="1120"/>
      <c r="U1979" s="5"/>
      <c r="V1979" s="5"/>
      <c r="W1979" s="5"/>
      <c r="X1979" s="1120"/>
      <c r="Y1979" s="1120"/>
      <c r="Z1979" s="5"/>
      <c r="AA1979" s="5"/>
      <c r="AB1979" s="1135"/>
      <c r="AC1979" s="5"/>
      <c r="AD1979" s="5"/>
      <c r="AE1979" s="5"/>
      <c r="AF1979" s="1120"/>
      <c r="AG1979" s="1148"/>
      <c r="AH1979" s="1120"/>
      <c r="AI1979" s="1120"/>
      <c r="AJ1979" s="1120"/>
    </row>
    <row r="1980" spans="2:36" ht="30" customHeight="1" x14ac:dyDescent="0.25">
      <c r="B1980" s="5"/>
      <c r="C1980" s="5"/>
      <c r="D1980" s="5"/>
      <c r="E1980" s="5"/>
      <c r="F1980" s="5"/>
      <c r="G1980" s="5"/>
      <c r="H1980" s="5"/>
      <c r="I1980" s="5"/>
      <c r="J1980" s="5"/>
      <c r="L1980" s="277"/>
      <c r="M1980" s="5"/>
      <c r="R1980" s="5"/>
      <c r="S1980" s="5"/>
      <c r="T1980" s="1120"/>
      <c r="U1980" s="5"/>
      <c r="V1980" s="5"/>
      <c r="W1980" s="5"/>
      <c r="X1980" s="1120"/>
      <c r="Y1980" s="1120"/>
      <c r="Z1980" s="5"/>
      <c r="AA1980" s="5"/>
      <c r="AB1980" s="1135"/>
      <c r="AC1980" s="5"/>
      <c r="AD1980" s="5"/>
      <c r="AE1980" s="5"/>
      <c r="AF1980" s="1120"/>
      <c r="AG1980" s="1148"/>
      <c r="AH1980" s="1120"/>
      <c r="AI1980" s="1120"/>
      <c r="AJ1980" s="1120"/>
    </row>
    <row r="1981" spans="2:36" ht="30" customHeight="1" x14ac:dyDescent="0.25">
      <c r="B1981" s="5"/>
      <c r="C1981" s="5"/>
      <c r="D1981" s="5"/>
      <c r="E1981" s="5"/>
      <c r="F1981" s="5"/>
      <c r="G1981" s="5"/>
      <c r="H1981" s="5"/>
      <c r="I1981" s="5"/>
      <c r="J1981" s="5"/>
      <c r="L1981" s="277"/>
      <c r="M1981" s="5"/>
      <c r="R1981" s="5"/>
      <c r="S1981" s="5"/>
      <c r="T1981" s="1120"/>
      <c r="U1981" s="5"/>
      <c r="V1981" s="5"/>
      <c r="W1981" s="5"/>
      <c r="X1981" s="1120"/>
      <c r="Y1981" s="1120"/>
      <c r="Z1981" s="5"/>
      <c r="AA1981" s="5"/>
      <c r="AB1981" s="1135"/>
      <c r="AC1981" s="5"/>
      <c r="AD1981" s="5"/>
      <c r="AE1981" s="5"/>
      <c r="AF1981" s="1120"/>
      <c r="AG1981" s="1148"/>
      <c r="AH1981" s="1120"/>
      <c r="AI1981" s="1120"/>
      <c r="AJ1981" s="1120"/>
    </row>
    <row r="1982" spans="2:36" ht="30" customHeight="1" x14ac:dyDescent="0.25">
      <c r="B1982" s="5"/>
      <c r="C1982" s="5"/>
      <c r="D1982" s="5"/>
      <c r="E1982" s="5"/>
      <c r="F1982" s="5"/>
      <c r="G1982" s="5"/>
      <c r="H1982" s="5"/>
      <c r="I1982" s="5"/>
      <c r="J1982" s="5"/>
      <c r="L1982" s="277"/>
      <c r="M1982" s="5"/>
      <c r="R1982" s="5"/>
      <c r="S1982" s="5"/>
      <c r="T1982" s="1120"/>
      <c r="U1982" s="5"/>
      <c r="V1982" s="5"/>
      <c r="W1982" s="5"/>
      <c r="X1982" s="1120"/>
      <c r="Y1982" s="1120"/>
      <c r="Z1982" s="5"/>
      <c r="AA1982" s="5"/>
      <c r="AB1982" s="1135"/>
      <c r="AC1982" s="5"/>
      <c r="AD1982" s="5"/>
      <c r="AE1982" s="5"/>
      <c r="AF1982" s="1120"/>
      <c r="AG1982" s="1148"/>
      <c r="AH1982" s="1120"/>
      <c r="AI1982" s="1120"/>
      <c r="AJ1982" s="1120"/>
    </row>
    <row r="1983" spans="2:36" ht="30" customHeight="1" x14ac:dyDescent="0.25">
      <c r="B1983" s="5"/>
      <c r="C1983" s="5"/>
      <c r="D1983" s="5"/>
      <c r="E1983" s="5"/>
      <c r="F1983" s="5"/>
      <c r="G1983" s="5"/>
      <c r="H1983" s="5"/>
      <c r="I1983" s="5"/>
      <c r="J1983" s="5"/>
      <c r="L1983" s="277"/>
      <c r="M1983" s="5"/>
      <c r="R1983" s="5"/>
      <c r="S1983" s="5"/>
      <c r="T1983" s="1120"/>
      <c r="U1983" s="5"/>
      <c r="V1983" s="5"/>
      <c r="W1983" s="5"/>
      <c r="X1983" s="1120"/>
      <c r="Y1983" s="1120"/>
      <c r="Z1983" s="5"/>
      <c r="AA1983" s="5"/>
      <c r="AB1983" s="1135"/>
      <c r="AC1983" s="5"/>
      <c r="AD1983" s="5"/>
      <c r="AE1983" s="5"/>
      <c r="AF1983" s="1120"/>
      <c r="AG1983" s="1148"/>
      <c r="AH1983" s="1120"/>
      <c r="AI1983" s="1120"/>
      <c r="AJ1983" s="1120"/>
    </row>
    <row r="1984" spans="2:36" ht="30" customHeight="1" x14ac:dyDescent="0.25">
      <c r="B1984" s="5"/>
      <c r="C1984" s="5"/>
      <c r="D1984" s="5"/>
      <c r="E1984" s="5"/>
      <c r="F1984" s="5"/>
      <c r="G1984" s="5"/>
      <c r="H1984" s="5"/>
      <c r="I1984" s="5"/>
      <c r="J1984" s="5"/>
      <c r="L1984" s="277"/>
      <c r="M1984" s="5"/>
      <c r="R1984" s="5"/>
      <c r="S1984" s="5"/>
      <c r="T1984" s="1120"/>
      <c r="U1984" s="5"/>
      <c r="V1984" s="5"/>
      <c r="W1984" s="5"/>
      <c r="X1984" s="1120"/>
      <c r="Y1984" s="1120"/>
      <c r="Z1984" s="5"/>
      <c r="AA1984" s="5"/>
      <c r="AB1984" s="1135"/>
      <c r="AC1984" s="5"/>
      <c r="AD1984" s="5"/>
      <c r="AE1984" s="5"/>
      <c r="AF1984" s="1120"/>
      <c r="AG1984" s="1148"/>
      <c r="AH1984" s="1120"/>
      <c r="AI1984" s="1120"/>
      <c r="AJ1984" s="1120"/>
    </row>
    <row r="1985" spans="2:36" ht="30" customHeight="1" x14ac:dyDescent="0.25">
      <c r="B1985" s="5"/>
      <c r="C1985" s="5"/>
      <c r="D1985" s="5"/>
      <c r="E1985" s="5"/>
      <c r="F1985" s="5"/>
      <c r="G1985" s="5"/>
      <c r="H1985" s="5"/>
      <c r="I1985" s="5"/>
      <c r="J1985" s="5"/>
      <c r="L1985" s="277"/>
      <c r="M1985" s="5"/>
      <c r="R1985" s="5"/>
      <c r="S1985" s="5"/>
      <c r="T1985" s="1120"/>
      <c r="U1985" s="5"/>
      <c r="V1985" s="5"/>
      <c r="W1985" s="5"/>
      <c r="X1985" s="1120"/>
      <c r="Y1985" s="1120"/>
      <c r="Z1985" s="5"/>
      <c r="AA1985" s="5"/>
      <c r="AB1985" s="1135"/>
      <c r="AC1985" s="5"/>
      <c r="AD1985" s="5"/>
      <c r="AE1985" s="5"/>
      <c r="AF1985" s="1120"/>
      <c r="AG1985" s="1148"/>
      <c r="AH1985" s="1120"/>
      <c r="AI1985" s="1120"/>
      <c r="AJ1985" s="1120"/>
    </row>
    <row r="1986" spans="2:36" ht="30" customHeight="1" x14ac:dyDescent="0.25">
      <c r="B1986" s="5"/>
      <c r="C1986" s="5"/>
      <c r="D1986" s="5"/>
      <c r="E1986" s="5"/>
      <c r="F1986" s="5"/>
      <c r="G1986" s="5"/>
      <c r="H1986" s="5"/>
      <c r="I1986" s="5"/>
      <c r="J1986" s="5"/>
      <c r="L1986" s="277"/>
      <c r="M1986" s="5"/>
      <c r="R1986" s="5"/>
      <c r="S1986" s="5"/>
      <c r="T1986" s="1120"/>
      <c r="U1986" s="5"/>
      <c r="V1986" s="5"/>
      <c r="W1986" s="5"/>
      <c r="X1986" s="1120"/>
      <c r="Y1986" s="1120"/>
      <c r="Z1986" s="5"/>
      <c r="AA1986" s="5"/>
      <c r="AB1986" s="1135"/>
      <c r="AC1986" s="5"/>
      <c r="AD1986" s="5"/>
      <c r="AE1986" s="5"/>
      <c r="AF1986" s="1120"/>
      <c r="AG1986" s="1148"/>
      <c r="AH1986" s="1120"/>
      <c r="AI1986" s="1120"/>
      <c r="AJ1986" s="1120"/>
    </row>
    <row r="1987" spans="2:36" ht="30" customHeight="1" x14ac:dyDescent="0.25">
      <c r="B1987" s="5"/>
      <c r="C1987" s="5"/>
      <c r="D1987" s="5"/>
      <c r="E1987" s="5"/>
      <c r="F1987" s="5"/>
      <c r="G1987" s="5"/>
      <c r="H1987" s="5"/>
      <c r="I1987" s="5"/>
      <c r="J1987" s="5"/>
      <c r="L1987" s="277"/>
      <c r="M1987" s="5"/>
      <c r="R1987" s="5"/>
      <c r="S1987" s="5"/>
      <c r="T1987" s="1120"/>
      <c r="U1987" s="5"/>
      <c r="V1987" s="5"/>
      <c r="W1987" s="5"/>
      <c r="X1987" s="1120"/>
      <c r="Y1987" s="1120"/>
      <c r="Z1987" s="5"/>
      <c r="AA1987" s="5"/>
      <c r="AB1987" s="1135"/>
      <c r="AC1987" s="5"/>
      <c r="AD1987" s="5"/>
      <c r="AE1987" s="5"/>
      <c r="AF1987" s="1120"/>
      <c r="AG1987" s="1148"/>
      <c r="AH1987" s="1120"/>
      <c r="AI1987" s="1120"/>
      <c r="AJ1987" s="1120"/>
    </row>
    <row r="1988" spans="2:36" ht="30" customHeight="1" x14ac:dyDescent="0.25">
      <c r="B1988" s="5"/>
      <c r="C1988" s="5"/>
      <c r="D1988" s="5"/>
      <c r="E1988" s="5"/>
      <c r="F1988" s="5"/>
      <c r="G1988" s="5"/>
      <c r="H1988" s="5"/>
      <c r="I1988" s="5"/>
      <c r="J1988" s="5"/>
      <c r="L1988" s="277"/>
      <c r="M1988" s="5"/>
      <c r="R1988" s="5"/>
      <c r="S1988" s="5"/>
      <c r="T1988" s="1120"/>
      <c r="U1988" s="5"/>
      <c r="V1988" s="5"/>
      <c r="W1988" s="5"/>
      <c r="X1988" s="1120"/>
      <c r="Y1988" s="1120"/>
      <c r="Z1988" s="5"/>
      <c r="AA1988" s="5"/>
      <c r="AB1988" s="1135"/>
      <c r="AC1988" s="5"/>
      <c r="AD1988" s="5"/>
      <c r="AE1988" s="5"/>
      <c r="AF1988" s="1120"/>
      <c r="AG1988" s="1148"/>
      <c r="AH1988" s="1120"/>
      <c r="AI1988" s="1120"/>
      <c r="AJ1988" s="1120"/>
    </row>
    <row r="1989" spans="2:36" ht="30" customHeight="1" x14ac:dyDescent="0.25">
      <c r="B1989" s="5"/>
      <c r="C1989" s="5"/>
      <c r="D1989" s="5"/>
      <c r="E1989" s="5"/>
      <c r="F1989" s="5"/>
      <c r="G1989" s="5"/>
      <c r="H1989" s="5"/>
      <c r="I1989" s="5"/>
      <c r="J1989" s="5"/>
      <c r="L1989" s="277"/>
      <c r="M1989" s="5"/>
      <c r="R1989" s="5"/>
      <c r="S1989" s="5"/>
      <c r="T1989" s="1120"/>
      <c r="U1989" s="5"/>
      <c r="V1989" s="5"/>
      <c r="W1989" s="5"/>
      <c r="X1989" s="1120"/>
      <c r="Y1989" s="1120"/>
      <c r="Z1989" s="5"/>
      <c r="AA1989" s="5"/>
      <c r="AB1989" s="1135"/>
      <c r="AC1989" s="5"/>
      <c r="AD1989" s="5"/>
      <c r="AE1989" s="5"/>
      <c r="AF1989" s="1120"/>
      <c r="AG1989" s="1148"/>
      <c r="AH1989" s="1120"/>
      <c r="AI1989" s="1120"/>
      <c r="AJ1989" s="1120"/>
    </row>
    <row r="1990" spans="2:36" ht="30" customHeight="1" x14ac:dyDescent="0.25">
      <c r="B1990" s="5"/>
      <c r="C1990" s="5"/>
      <c r="D1990" s="5"/>
      <c r="E1990" s="5"/>
      <c r="F1990" s="5"/>
      <c r="G1990" s="5"/>
      <c r="H1990" s="5"/>
      <c r="I1990" s="5"/>
      <c r="J1990" s="5"/>
      <c r="L1990" s="277"/>
      <c r="M1990" s="5"/>
      <c r="R1990" s="5"/>
      <c r="S1990" s="5"/>
      <c r="T1990" s="1120"/>
      <c r="U1990" s="5"/>
      <c r="V1990" s="5"/>
      <c r="W1990" s="5"/>
      <c r="X1990" s="1120"/>
      <c r="Y1990" s="1120"/>
      <c r="Z1990" s="5"/>
      <c r="AA1990" s="5"/>
      <c r="AB1990" s="1135"/>
      <c r="AC1990" s="5"/>
      <c r="AD1990" s="5"/>
      <c r="AE1990" s="5"/>
      <c r="AF1990" s="1120"/>
      <c r="AG1990" s="1148"/>
      <c r="AH1990" s="1120"/>
      <c r="AI1990" s="1120"/>
      <c r="AJ1990" s="1120"/>
    </row>
    <row r="1991" spans="2:36" ht="30" customHeight="1" x14ac:dyDescent="0.25">
      <c r="B1991" s="5"/>
      <c r="C1991" s="5"/>
      <c r="D1991" s="5"/>
      <c r="E1991" s="5"/>
      <c r="F1991" s="5"/>
      <c r="G1991" s="5"/>
      <c r="H1991" s="5"/>
      <c r="I1991" s="5"/>
      <c r="J1991" s="5"/>
      <c r="L1991" s="277"/>
      <c r="M1991" s="5"/>
      <c r="R1991" s="5"/>
      <c r="S1991" s="5"/>
      <c r="T1991" s="1120"/>
      <c r="U1991" s="5"/>
      <c r="V1991" s="5"/>
      <c r="W1991" s="5"/>
      <c r="X1991" s="1120"/>
      <c r="Y1991" s="1120"/>
      <c r="Z1991" s="5"/>
      <c r="AA1991" s="5"/>
      <c r="AB1991" s="1135"/>
      <c r="AC1991" s="5"/>
      <c r="AD1991" s="5"/>
      <c r="AE1991" s="5"/>
      <c r="AF1991" s="1120"/>
      <c r="AG1991" s="1148"/>
      <c r="AH1991" s="1120"/>
      <c r="AI1991" s="1120"/>
      <c r="AJ1991" s="1120"/>
    </row>
    <row r="1992" spans="2:36" ht="30" customHeight="1" x14ac:dyDescent="0.25">
      <c r="B1992" s="5"/>
      <c r="C1992" s="5"/>
      <c r="D1992" s="5"/>
      <c r="E1992" s="5"/>
      <c r="F1992" s="5"/>
      <c r="G1992" s="5"/>
      <c r="H1992" s="5"/>
      <c r="I1992" s="5"/>
      <c r="J1992" s="5"/>
      <c r="L1992" s="277"/>
      <c r="M1992" s="5"/>
      <c r="R1992" s="5"/>
      <c r="S1992" s="5"/>
      <c r="T1992" s="1120"/>
      <c r="U1992" s="5"/>
      <c r="V1992" s="5"/>
      <c r="W1992" s="5"/>
      <c r="X1992" s="1120"/>
      <c r="Y1992" s="1120"/>
      <c r="Z1992" s="5"/>
      <c r="AA1992" s="5"/>
      <c r="AB1992" s="1135"/>
      <c r="AC1992" s="5"/>
      <c r="AD1992" s="5"/>
      <c r="AE1992" s="5"/>
      <c r="AF1992" s="1120"/>
      <c r="AG1992" s="1148"/>
      <c r="AH1992" s="1120"/>
      <c r="AI1992" s="1120"/>
      <c r="AJ1992" s="1120"/>
    </row>
    <row r="1993" spans="2:36" ht="30" customHeight="1" x14ac:dyDescent="0.25">
      <c r="B1993" s="5"/>
      <c r="C1993" s="5"/>
      <c r="D1993" s="5"/>
      <c r="E1993" s="5"/>
      <c r="F1993" s="5"/>
      <c r="G1993" s="5"/>
      <c r="H1993" s="5"/>
      <c r="I1993" s="5"/>
      <c r="J1993" s="5"/>
      <c r="L1993" s="277"/>
      <c r="M1993" s="5"/>
      <c r="R1993" s="5"/>
      <c r="S1993" s="5"/>
      <c r="T1993" s="1120"/>
      <c r="U1993" s="5"/>
      <c r="V1993" s="5"/>
      <c r="W1993" s="5"/>
      <c r="X1993" s="1120"/>
      <c r="Y1993" s="1120"/>
      <c r="Z1993" s="5"/>
      <c r="AA1993" s="5"/>
      <c r="AB1993" s="1135"/>
      <c r="AC1993" s="5"/>
      <c r="AD1993" s="5"/>
      <c r="AE1993" s="5"/>
      <c r="AF1993" s="1120"/>
      <c r="AG1993" s="1148"/>
      <c r="AH1993" s="1120"/>
      <c r="AI1993" s="1120"/>
      <c r="AJ1993" s="1120"/>
    </row>
    <row r="1994" spans="2:36" ht="30" customHeight="1" x14ac:dyDescent="0.25">
      <c r="B1994" s="5"/>
      <c r="C1994" s="5"/>
      <c r="D1994" s="5"/>
      <c r="E1994" s="5"/>
      <c r="F1994" s="5"/>
      <c r="G1994" s="5"/>
      <c r="H1994" s="5"/>
      <c r="I1994" s="5"/>
      <c r="J1994" s="5"/>
      <c r="L1994" s="277"/>
      <c r="M1994" s="5"/>
      <c r="R1994" s="5"/>
      <c r="S1994" s="5"/>
      <c r="T1994" s="1120"/>
      <c r="U1994" s="5"/>
      <c r="V1994" s="5"/>
      <c r="W1994" s="5"/>
      <c r="X1994" s="1120"/>
      <c r="Y1994" s="1120"/>
      <c r="Z1994" s="5"/>
      <c r="AA1994" s="5"/>
      <c r="AB1994" s="1135"/>
      <c r="AC1994" s="5"/>
      <c r="AD1994" s="5"/>
      <c r="AE1994" s="5"/>
      <c r="AF1994" s="1120"/>
      <c r="AG1994" s="1148"/>
      <c r="AH1994" s="1120"/>
      <c r="AI1994" s="1120"/>
      <c r="AJ1994" s="1120"/>
    </row>
    <row r="1995" spans="2:36" ht="30" customHeight="1" x14ac:dyDescent="0.25">
      <c r="B1995" s="5"/>
      <c r="C1995" s="5"/>
      <c r="D1995" s="5"/>
      <c r="E1995" s="5"/>
      <c r="F1995" s="5"/>
      <c r="G1995" s="5"/>
      <c r="H1995" s="5"/>
      <c r="I1995" s="5"/>
      <c r="J1995" s="5"/>
      <c r="L1995" s="277"/>
      <c r="M1995" s="5"/>
      <c r="R1995" s="5"/>
      <c r="S1995" s="5"/>
      <c r="T1995" s="1120"/>
      <c r="U1995" s="5"/>
      <c r="V1995" s="5"/>
      <c r="W1995" s="5"/>
      <c r="X1995" s="1120"/>
      <c r="Y1995" s="1120"/>
      <c r="Z1995" s="5"/>
      <c r="AA1995" s="5"/>
      <c r="AB1995" s="1135"/>
      <c r="AC1995" s="5"/>
      <c r="AD1995" s="5"/>
      <c r="AE1995" s="5"/>
      <c r="AF1995" s="1120"/>
      <c r="AG1995" s="1148"/>
      <c r="AH1995" s="1120"/>
      <c r="AI1995" s="1120"/>
      <c r="AJ1995" s="1120"/>
    </row>
    <row r="1996" spans="2:36" ht="30" customHeight="1" x14ac:dyDescent="0.25">
      <c r="B1996" s="5"/>
      <c r="C1996" s="5"/>
      <c r="D1996" s="5"/>
      <c r="E1996" s="5"/>
      <c r="F1996" s="5"/>
      <c r="G1996" s="5"/>
      <c r="H1996" s="5"/>
      <c r="I1996" s="5"/>
      <c r="J1996" s="5"/>
      <c r="L1996" s="277"/>
      <c r="M1996" s="5"/>
      <c r="R1996" s="5"/>
      <c r="S1996" s="5"/>
      <c r="T1996" s="1120"/>
      <c r="U1996" s="5"/>
      <c r="V1996" s="5"/>
      <c r="W1996" s="5"/>
      <c r="X1996" s="1120"/>
      <c r="Y1996" s="1120"/>
      <c r="Z1996" s="5"/>
      <c r="AA1996" s="5"/>
      <c r="AB1996" s="1135"/>
      <c r="AC1996" s="5"/>
      <c r="AD1996" s="5"/>
      <c r="AE1996" s="5"/>
      <c r="AF1996" s="1120"/>
      <c r="AG1996" s="1148"/>
      <c r="AH1996" s="1120"/>
      <c r="AI1996" s="1120"/>
      <c r="AJ1996" s="1120"/>
    </row>
    <row r="1997" spans="2:36" ht="30" customHeight="1" x14ac:dyDescent="0.25">
      <c r="B1997" s="5"/>
      <c r="C1997" s="5"/>
      <c r="D1997" s="5"/>
      <c r="E1997" s="5"/>
      <c r="F1997" s="5"/>
      <c r="G1997" s="5"/>
      <c r="H1997" s="5"/>
      <c r="I1997" s="5"/>
      <c r="J1997" s="5"/>
      <c r="L1997" s="277"/>
      <c r="M1997" s="5"/>
      <c r="R1997" s="5"/>
      <c r="S1997" s="5"/>
      <c r="T1997" s="1120"/>
      <c r="U1997" s="5"/>
      <c r="V1997" s="5"/>
      <c r="W1997" s="5"/>
      <c r="X1997" s="1120"/>
      <c r="Y1997" s="1120"/>
      <c r="Z1997" s="5"/>
      <c r="AA1997" s="5"/>
      <c r="AB1997" s="1135"/>
      <c r="AC1997" s="5"/>
      <c r="AD1997" s="5"/>
      <c r="AE1997" s="5"/>
      <c r="AF1997" s="1120"/>
      <c r="AG1997" s="1148"/>
      <c r="AH1997" s="1120"/>
      <c r="AI1997" s="1120"/>
      <c r="AJ1997" s="1120"/>
    </row>
    <row r="1998" spans="2:36" ht="30" customHeight="1" x14ac:dyDescent="0.25">
      <c r="B1998" s="5"/>
      <c r="C1998" s="5"/>
      <c r="D1998" s="5"/>
      <c r="E1998" s="5"/>
      <c r="F1998" s="5"/>
      <c r="G1998" s="5"/>
      <c r="H1998" s="5"/>
      <c r="I1998" s="5"/>
      <c r="J1998" s="5"/>
      <c r="L1998" s="277"/>
      <c r="M1998" s="5"/>
      <c r="R1998" s="5"/>
      <c r="S1998" s="5"/>
      <c r="T1998" s="1120"/>
      <c r="U1998" s="5"/>
      <c r="V1998" s="5"/>
      <c r="W1998" s="5"/>
      <c r="X1998" s="1120"/>
      <c r="Y1998" s="1120"/>
      <c r="Z1998" s="5"/>
      <c r="AA1998" s="5"/>
      <c r="AB1998" s="1135"/>
      <c r="AC1998" s="5"/>
      <c r="AD1998" s="5"/>
      <c r="AE1998" s="5"/>
      <c r="AF1998" s="1120"/>
      <c r="AG1998" s="1148"/>
      <c r="AH1998" s="1120"/>
      <c r="AI1998" s="1120"/>
      <c r="AJ1998" s="1120"/>
    </row>
    <row r="1999" spans="2:36" ht="30" customHeight="1" x14ac:dyDescent="0.25">
      <c r="B1999" s="5"/>
      <c r="C1999" s="5"/>
      <c r="D1999" s="5"/>
      <c r="E1999" s="5"/>
      <c r="F1999" s="5"/>
      <c r="G1999" s="5"/>
      <c r="H1999" s="5"/>
      <c r="I1999" s="5"/>
      <c r="J1999" s="5"/>
      <c r="L1999" s="277"/>
      <c r="M1999" s="5"/>
      <c r="R1999" s="5"/>
      <c r="S1999" s="5"/>
      <c r="T1999" s="1120"/>
      <c r="U1999" s="5"/>
      <c r="V1999" s="5"/>
      <c r="W1999" s="5"/>
      <c r="X1999" s="1120"/>
      <c r="Y1999" s="1120"/>
      <c r="Z1999" s="5"/>
      <c r="AA1999" s="5"/>
      <c r="AB1999" s="1135"/>
      <c r="AC1999" s="5"/>
      <c r="AD1999" s="5"/>
      <c r="AE1999" s="5"/>
      <c r="AF1999" s="1120"/>
      <c r="AG1999" s="1148"/>
      <c r="AH1999" s="1120"/>
      <c r="AI1999" s="1120"/>
      <c r="AJ1999" s="1120"/>
    </row>
    <row r="2000" spans="2:36" ht="30" customHeight="1" x14ac:dyDescent="0.25">
      <c r="B2000" s="5"/>
      <c r="C2000" s="5"/>
      <c r="D2000" s="5"/>
      <c r="E2000" s="5"/>
      <c r="F2000" s="5"/>
      <c r="G2000" s="5"/>
      <c r="H2000" s="5"/>
      <c r="I2000" s="5"/>
      <c r="J2000" s="5"/>
      <c r="L2000" s="277"/>
      <c r="M2000" s="5"/>
      <c r="R2000" s="5"/>
      <c r="S2000" s="5"/>
      <c r="T2000" s="1120"/>
      <c r="U2000" s="5"/>
      <c r="V2000" s="5"/>
      <c r="W2000" s="5"/>
      <c r="X2000" s="1120"/>
      <c r="Y2000" s="1120"/>
      <c r="Z2000" s="5"/>
      <c r="AA2000" s="5"/>
      <c r="AB2000" s="1135"/>
      <c r="AC2000" s="5"/>
      <c r="AD2000" s="5"/>
      <c r="AE2000" s="5"/>
      <c r="AF2000" s="1120"/>
      <c r="AG2000" s="1148"/>
      <c r="AH2000" s="1120"/>
      <c r="AI2000" s="1120"/>
      <c r="AJ2000" s="1120"/>
    </row>
    <row r="2001" spans="2:36" ht="30" customHeight="1" x14ac:dyDescent="0.25">
      <c r="B2001" s="5"/>
      <c r="C2001" s="5"/>
      <c r="D2001" s="5"/>
      <c r="E2001" s="5"/>
      <c r="F2001" s="5"/>
      <c r="G2001" s="5"/>
      <c r="H2001" s="5"/>
      <c r="I2001" s="5"/>
      <c r="J2001" s="5"/>
      <c r="L2001" s="277"/>
      <c r="M2001" s="5"/>
      <c r="R2001" s="5"/>
      <c r="S2001" s="5"/>
      <c r="T2001" s="1120"/>
      <c r="U2001" s="5"/>
      <c r="V2001" s="5"/>
      <c r="W2001" s="5"/>
      <c r="X2001" s="1120"/>
      <c r="Y2001" s="1120"/>
      <c r="Z2001" s="5"/>
      <c r="AA2001" s="5"/>
      <c r="AB2001" s="1135"/>
      <c r="AC2001" s="5"/>
      <c r="AD2001" s="5"/>
      <c r="AE2001" s="5"/>
      <c r="AF2001" s="1120"/>
      <c r="AG2001" s="1148"/>
      <c r="AH2001" s="1120"/>
      <c r="AI2001" s="1120"/>
      <c r="AJ2001" s="1120"/>
    </row>
    <row r="2002" spans="2:36" ht="30" customHeight="1" x14ac:dyDescent="0.25">
      <c r="B2002" s="5"/>
      <c r="C2002" s="5"/>
      <c r="D2002" s="5"/>
      <c r="E2002" s="5"/>
      <c r="F2002" s="5"/>
      <c r="G2002" s="5"/>
      <c r="H2002" s="5"/>
      <c r="I2002" s="5"/>
      <c r="J2002" s="5"/>
      <c r="L2002" s="277"/>
      <c r="M2002" s="5"/>
      <c r="R2002" s="5"/>
      <c r="S2002" s="5"/>
      <c r="T2002" s="1120"/>
      <c r="U2002" s="5"/>
      <c r="V2002" s="5"/>
      <c r="W2002" s="5"/>
      <c r="X2002" s="1120"/>
      <c r="Y2002" s="1120"/>
      <c r="Z2002" s="5"/>
      <c r="AA2002" s="5"/>
      <c r="AB2002" s="1135"/>
      <c r="AC2002" s="5"/>
      <c r="AD2002" s="5"/>
      <c r="AE2002" s="5"/>
      <c r="AF2002" s="1120"/>
      <c r="AG2002" s="1148"/>
      <c r="AH2002" s="1120"/>
      <c r="AI2002" s="1120"/>
      <c r="AJ2002" s="1120"/>
    </row>
    <row r="2003" spans="2:36" ht="30" customHeight="1" x14ac:dyDescent="0.25">
      <c r="B2003" s="5"/>
      <c r="C2003" s="5"/>
      <c r="D2003" s="5"/>
      <c r="E2003" s="5"/>
      <c r="F2003" s="5"/>
      <c r="G2003" s="5"/>
      <c r="H2003" s="5"/>
      <c r="I2003" s="5"/>
      <c r="J2003" s="5"/>
      <c r="L2003" s="277"/>
      <c r="M2003" s="5"/>
      <c r="R2003" s="5"/>
      <c r="S2003" s="5"/>
      <c r="T2003" s="1120"/>
      <c r="U2003" s="5"/>
      <c r="V2003" s="5"/>
      <c r="W2003" s="5"/>
      <c r="X2003" s="1120"/>
      <c r="Y2003" s="1120"/>
      <c r="Z2003" s="5"/>
      <c r="AA2003" s="5"/>
      <c r="AB2003" s="1135"/>
      <c r="AC2003" s="5"/>
      <c r="AD2003" s="5"/>
      <c r="AE2003" s="5"/>
      <c r="AF2003" s="1120"/>
      <c r="AG2003" s="1148"/>
      <c r="AH2003" s="1120"/>
      <c r="AI2003" s="1120"/>
      <c r="AJ2003" s="1120"/>
    </row>
    <row r="2004" spans="2:36" ht="30" customHeight="1" x14ac:dyDescent="0.25">
      <c r="B2004" s="5"/>
      <c r="C2004" s="5"/>
      <c r="D2004" s="5"/>
      <c r="E2004" s="5"/>
      <c r="F2004" s="5"/>
      <c r="G2004" s="5"/>
      <c r="H2004" s="5"/>
      <c r="I2004" s="5"/>
      <c r="J2004" s="5"/>
      <c r="L2004" s="277"/>
      <c r="M2004" s="5"/>
      <c r="R2004" s="5"/>
      <c r="S2004" s="5"/>
      <c r="T2004" s="1120"/>
      <c r="U2004" s="5"/>
      <c r="V2004" s="5"/>
      <c r="W2004" s="5"/>
      <c r="X2004" s="1120"/>
      <c r="Y2004" s="1120"/>
      <c r="Z2004" s="5"/>
      <c r="AA2004" s="5"/>
      <c r="AB2004" s="1135"/>
      <c r="AC2004" s="5"/>
      <c r="AD2004" s="5"/>
      <c r="AE2004" s="5"/>
      <c r="AF2004" s="1120"/>
      <c r="AG2004" s="1148"/>
      <c r="AH2004" s="1120"/>
      <c r="AI2004" s="1120"/>
      <c r="AJ2004" s="1120"/>
    </row>
    <row r="2005" spans="2:36" ht="30" customHeight="1" x14ac:dyDescent="0.25">
      <c r="B2005" s="5"/>
      <c r="C2005" s="5"/>
      <c r="D2005" s="5"/>
      <c r="E2005" s="5"/>
      <c r="F2005" s="5"/>
      <c r="G2005" s="5"/>
      <c r="H2005" s="5"/>
      <c r="I2005" s="5"/>
      <c r="J2005" s="5"/>
      <c r="L2005" s="277"/>
      <c r="M2005" s="5"/>
      <c r="R2005" s="5"/>
      <c r="S2005" s="5"/>
      <c r="T2005" s="1120"/>
      <c r="U2005" s="5"/>
      <c r="V2005" s="5"/>
      <c r="W2005" s="5"/>
      <c r="X2005" s="1120"/>
      <c r="Y2005" s="1120"/>
      <c r="Z2005" s="5"/>
      <c r="AA2005" s="5"/>
      <c r="AB2005" s="1135"/>
      <c r="AC2005" s="5"/>
      <c r="AD2005" s="5"/>
      <c r="AE2005" s="5"/>
      <c r="AF2005" s="1120"/>
      <c r="AG2005" s="1148"/>
      <c r="AH2005" s="1120"/>
      <c r="AI2005" s="1120"/>
      <c r="AJ2005" s="1120"/>
    </row>
    <row r="2006" spans="2:36" ht="30" customHeight="1" x14ac:dyDescent="0.25">
      <c r="B2006" s="5"/>
      <c r="C2006" s="5"/>
      <c r="D2006" s="5"/>
      <c r="E2006" s="5"/>
      <c r="F2006" s="5"/>
      <c r="G2006" s="5"/>
      <c r="H2006" s="5"/>
      <c r="I2006" s="5"/>
      <c r="J2006" s="5"/>
      <c r="L2006" s="277"/>
      <c r="M2006" s="5"/>
      <c r="R2006" s="5"/>
      <c r="S2006" s="5"/>
      <c r="T2006" s="1120"/>
      <c r="U2006" s="5"/>
      <c r="V2006" s="5"/>
      <c r="W2006" s="5"/>
      <c r="X2006" s="1120"/>
      <c r="Y2006" s="1120"/>
      <c r="Z2006" s="5"/>
      <c r="AA2006" s="5"/>
      <c r="AB2006" s="1135"/>
      <c r="AC2006" s="5"/>
      <c r="AD2006" s="5"/>
      <c r="AE2006" s="5"/>
      <c r="AF2006" s="1120"/>
      <c r="AG2006" s="1148"/>
      <c r="AH2006" s="1120"/>
      <c r="AI2006" s="1120"/>
      <c r="AJ2006" s="1120"/>
    </row>
    <row r="2007" spans="2:36" ht="30" customHeight="1" x14ac:dyDescent="0.25">
      <c r="B2007" s="5"/>
      <c r="C2007" s="5"/>
      <c r="D2007" s="5"/>
      <c r="E2007" s="5"/>
      <c r="F2007" s="5"/>
      <c r="G2007" s="5"/>
      <c r="H2007" s="5"/>
      <c r="I2007" s="5"/>
      <c r="J2007" s="5"/>
      <c r="L2007" s="277"/>
      <c r="M2007" s="5"/>
      <c r="R2007" s="5"/>
      <c r="S2007" s="5"/>
      <c r="T2007" s="1120"/>
      <c r="U2007" s="5"/>
      <c r="V2007" s="5"/>
      <c r="W2007" s="5"/>
      <c r="X2007" s="1120"/>
      <c r="Y2007" s="1120"/>
      <c r="Z2007" s="5"/>
      <c r="AA2007" s="5"/>
      <c r="AB2007" s="1135"/>
      <c r="AC2007" s="5"/>
      <c r="AD2007" s="5"/>
      <c r="AE2007" s="5"/>
      <c r="AF2007" s="1120"/>
      <c r="AG2007" s="1148"/>
      <c r="AH2007" s="1120"/>
      <c r="AI2007" s="1120"/>
      <c r="AJ2007" s="1120"/>
    </row>
    <row r="2008" spans="2:36" ht="30" customHeight="1" x14ac:dyDescent="0.25">
      <c r="B2008" s="5"/>
      <c r="C2008" s="5"/>
      <c r="D2008" s="5"/>
      <c r="E2008" s="5"/>
      <c r="F2008" s="5"/>
      <c r="G2008" s="5"/>
      <c r="H2008" s="5"/>
      <c r="I2008" s="5"/>
      <c r="J2008" s="5"/>
      <c r="L2008" s="277"/>
      <c r="M2008" s="5"/>
      <c r="R2008" s="5"/>
      <c r="S2008" s="5"/>
      <c r="T2008" s="1120"/>
      <c r="U2008" s="5"/>
      <c r="V2008" s="5"/>
      <c r="W2008" s="5"/>
      <c r="X2008" s="1120"/>
      <c r="Y2008" s="1120"/>
      <c r="Z2008" s="5"/>
      <c r="AA2008" s="5"/>
      <c r="AB2008" s="1135"/>
      <c r="AC2008" s="5"/>
      <c r="AD2008" s="5"/>
      <c r="AE2008" s="5"/>
      <c r="AF2008" s="1120"/>
      <c r="AG2008" s="1148"/>
      <c r="AH2008" s="1120"/>
      <c r="AI2008" s="1120"/>
      <c r="AJ2008" s="1120"/>
    </row>
    <row r="2009" spans="2:36" ht="30" customHeight="1" x14ac:dyDescent="0.25">
      <c r="B2009" s="5"/>
      <c r="C2009" s="5"/>
      <c r="D2009" s="5"/>
      <c r="E2009" s="5"/>
      <c r="F2009" s="5"/>
      <c r="G2009" s="5"/>
      <c r="H2009" s="5"/>
      <c r="I2009" s="5"/>
      <c r="J2009" s="5"/>
      <c r="L2009" s="277"/>
      <c r="M2009" s="5"/>
      <c r="R2009" s="5"/>
      <c r="S2009" s="5"/>
      <c r="T2009" s="1120"/>
      <c r="U2009" s="5"/>
      <c r="V2009" s="5"/>
      <c r="W2009" s="5"/>
      <c r="X2009" s="1120"/>
      <c r="Y2009" s="1120"/>
      <c r="Z2009" s="5"/>
      <c r="AA2009" s="5"/>
      <c r="AB2009" s="1135"/>
      <c r="AC2009" s="5"/>
      <c r="AD2009" s="5"/>
      <c r="AE2009" s="5"/>
      <c r="AF2009" s="1120"/>
      <c r="AG2009" s="1148"/>
      <c r="AH2009" s="1120"/>
      <c r="AI2009" s="1120"/>
      <c r="AJ2009" s="1120"/>
    </row>
    <row r="2010" spans="2:36" ht="30" customHeight="1" x14ac:dyDescent="0.25">
      <c r="B2010" s="5"/>
      <c r="C2010" s="5"/>
      <c r="D2010" s="5"/>
      <c r="E2010" s="5"/>
      <c r="F2010" s="5"/>
      <c r="G2010" s="5"/>
      <c r="H2010" s="5"/>
      <c r="I2010" s="5"/>
      <c r="J2010" s="5"/>
      <c r="L2010" s="277"/>
      <c r="M2010" s="5"/>
      <c r="R2010" s="5"/>
      <c r="S2010" s="5"/>
      <c r="T2010" s="1120"/>
      <c r="U2010" s="5"/>
      <c r="V2010" s="5"/>
      <c r="W2010" s="5"/>
      <c r="X2010" s="1120"/>
      <c r="Y2010" s="1120"/>
      <c r="Z2010" s="5"/>
      <c r="AA2010" s="5"/>
      <c r="AB2010" s="1135"/>
      <c r="AC2010" s="5"/>
      <c r="AD2010" s="5"/>
      <c r="AE2010" s="5"/>
      <c r="AF2010" s="1120"/>
      <c r="AG2010" s="1148"/>
      <c r="AH2010" s="1120"/>
      <c r="AI2010" s="1120"/>
      <c r="AJ2010" s="1120"/>
    </row>
    <row r="2011" spans="2:36" ht="30" customHeight="1" x14ac:dyDescent="0.25">
      <c r="B2011" s="5"/>
      <c r="C2011" s="5"/>
      <c r="D2011" s="5"/>
      <c r="E2011" s="5"/>
      <c r="F2011" s="5"/>
      <c r="G2011" s="5"/>
      <c r="H2011" s="5"/>
      <c r="I2011" s="5"/>
      <c r="J2011" s="5"/>
      <c r="L2011" s="277"/>
      <c r="M2011" s="5"/>
      <c r="R2011" s="5"/>
      <c r="S2011" s="5"/>
      <c r="T2011" s="1120"/>
      <c r="U2011" s="5"/>
      <c r="V2011" s="5"/>
      <c r="W2011" s="5"/>
      <c r="X2011" s="1120"/>
      <c r="Y2011" s="1120"/>
      <c r="Z2011" s="5"/>
      <c r="AA2011" s="5"/>
      <c r="AB2011" s="1135"/>
      <c r="AC2011" s="5"/>
      <c r="AD2011" s="5"/>
      <c r="AE2011" s="5"/>
      <c r="AF2011" s="1120"/>
      <c r="AG2011" s="1148"/>
      <c r="AH2011" s="1120"/>
      <c r="AI2011" s="1120"/>
      <c r="AJ2011" s="1120"/>
    </row>
    <row r="2012" spans="2:36" ht="30" customHeight="1" x14ac:dyDescent="0.25">
      <c r="B2012" s="5"/>
      <c r="C2012" s="5"/>
      <c r="D2012" s="5"/>
      <c r="E2012" s="5"/>
      <c r="F2012" s="5"/>
      <c r="G2012" s="5"/>
      <c r="H2012" s="5"/>
      <c r="I2012" s="5"/>
      <c r="J2012" s="5"/>
      <c r="L2012" s="277"/>
      <c r="M2012" s="5"/>
      <c r="R2012" s="5"/>
      <c r="S2012" s="5"/>
      <c r="T2012" s="1120"/>
      <c r="U2012" s="5"/>
      <c r="V2012" s="5"/>
      <c r="W2012" s="5"/>
      <c r="X2012" s="1120"/>
      <c r="Y2012" s="1120"/>
      <c r="Z2012" s="5"/>
      <c r="AA2012" s="5"/>
      <c r="AB2012" s="1135"/>
      <c r="AC2012" s="5"/>
      <c r="AD2012" s="5"/>
      <c r="AE2012" s="5"/>
      <c r="AF2012" s="1120"/>
      <c r="AG2012" s="1148"/>
      <c r="AH2012" s="1120"/>
      <c r="AI2012" s="1120"/>
      <c r="AJ2012" s="1120"/>
    </row>
    <row r="2013" spans="2:36" ht="30" customHeight="1" x14ac:dyDescent="0.25">
      <c r="B2013" s="5"/>
      <c r="C2013" s="5"/>
      <c r="D2013" s="5"/>
      <c r="E2013" s="5"/>
      <c r="F2013" s="5"/>
      <c r="G2013" s="5"/>
      <c r="H2013" s="5"/>
      <c r="I2013" s="5"/>
      <c r="J2013" s="5"/>
      <c r="L2013" s="277"/>
      <c r="M2013" s="5"/>
      <c r="R2013" s="5"/>
      <c r="S2013" s="5"/>
      <c r="T2013" s="1120"/>
      <c r="U2013" s="5"/>
      <c r="V2013" s="5"/>
      <c r="W2013" s="5"/>
      <c r="X2013" s="1120"/>
      <c r="Y2013" s="1120"/>
      <c r="Z2013" s="5"/>
      <c r="AA2013" s="5"/>
      <c r="AB2013" s="1135"/>
      <c r="AC2013" s="5"/>
      <c r="AD2013" s="5"/>
      <c r="AE2013" s="5"/>
      <c r="AF2013" s="1120"/>
      <c r="AG2013" s="1148"/>
      <c r="AH2013" s="1120"/>
      <c r="AI2013" s="1120"/>
      <c r="AJ2013" s="1120"/>
    </row>
    <row r="2014" spans="2:36" ht="30" customHeight="1" x14ac:dyDescent="0.25">
      <c r="B2014" s="5"/>
      <c r="C2014" s="5"/>
      <c r="D2014" s="5"/>
      <c r="E2014" s="5"/>
      <c r="F2014" s="5"/>
      <c r="G2014" s="5"/>
      <c r="H2014" s="5"/>
      <c r="I2014" s="5"/>
      <c r="J2014" s="5"/>
      <c r="L2014" s="277"/>
      <c r="M2014" s="5"/>
      <c r="R2014" s="5"/>
      <c r="S2014" s="5"/>
      <c r="T2014" s="1120"/>
      <c r="U2014" s="5"/>
      <c r="V2014" s="5"/>
      <c r="W2014" s="5"/>
      <c r="X2014" s="1120"/>
      <c r="Y2014" s="1120"/>
      <c r="Z2014" s="5"/>
      <c r="AA2014" s="5"/>
      <c r="AB2014" s="1135"/>
      <c r="AC2014" s="5"/>
      <c r="AD2014" s="5"/>
      <c r="AE2014" s="5"/>
      <c r="AF2014" s="1120"/>
      <c r="AG2014" s="1148"/>
      <c r="AH2014" s="1120"/>
      <c r="AI2014" s="1120"/>
      <c r="AJ2014" s="1120"/>
    </row>
    <row r="2015" spans="2:36" ht="30" customHeight="1" x14ac:dyDescent="0.25">
      <c r="B2015" s="5"/>
      <c r="C2015" s="5"/>
      <c r="D2015" s="5"/>
      <c r="E2015" s="5"/>
      <c r="F2015" s="5"/>
      <c r="G2015" s="5"/>
      <c r="H2015" s="5"/>
      <c r="I2015" s="5"/>
      <c r="J2015" s="5"/>
      <c r="L2015" s="277"/>
      <c r="M2015" s="5"/>
      <c r="R2015" s="5"/>
      <c r="S2015" s="5"/>
      <c r="T2015" s="1120"/>
      <c r="U2015" s="5"/>
      <c r="V2015" s="5"/>
      <c r="W2015" s="5"/>
      <c r="X2015" s="1120"/>
      <c r="Y2015" s="1120"/>
      <c r="Z2015" s="5"/>
      <c r="AA2015" s="5"/>
      <c r="AB2015" s="1135"/>
      <c r="AC2015" s="5"/>
      <c r="AD2015" s="5"/>
      <c r="AE2015" s="5"/>
      <c r="AF2015" s="1120"/>
      <c r="AG2015" s="1148"/>
      <c r="AH2015" s="1120"/>
      <c r="AI2015" s="1120"/>
      <c r="AJ2015" s="1120"/>
    </row>
    <row r="2016" spans="2:36" ht="30" customHeight="1" x14ac:dyDescent="0.25">
      <c r="B2016" s="5"/>
      <c r="C2016" s="5"/>
      <c r="D2016" s="5"/>
      <c r="E2016" s="5"/>
      <c r="F2016" s="5"/>
      <c r="G2016" s="5"/>
      <c r="H2016" s="5"/>
      <c r="I2016" s="5"/>
      <c r="J2016" s="5"/>
      <c r="L2016" s="277"/>
      <c r="M2016" s="5"/>
      <c r="R2016" s="5"/>
      <c r="S2016" s="5"/>
      <c r="T2016" s="1120"/>
      <c r="U2016" s="5"/>
      <c r="V2016" s="5"/>
      <c r="W2016" s="5"/>
      <c r="X2016" s="1120"/>
      <c r="Y2016" s="1120"/>
      <c r="Z2016" s="5"/>
      <c r="AA2016" s="5"/>
      <c r="AB2016" s="1135"/>
      <c r="AC2016" s="5"/>
      <c r="AD2016" s="5"/>
      <c r="AE2016" s="5"/>
      <c r="AF2016" s="1120"/>
      <c r="AG2016" s="1148"/>
      <c r="AH2016" s="1120"/>
      <c r="AI2016" s="1120"/>
      <c r="AJ2016" s="1120"/>
    </row>
    <row r="2017" spans="2:36" ht="30" customHeight="1" x14ac:dyDescent="0.25">
      <c r="B2017" s="5"/>
      <c r="C2017" s="5"/>
      <c r="D2017" s="5"/>
      <c r="E2017" s="5"/>
      <c r="F2017" s="5"/>
      <c r="G2017" s="5"/>
      <c r="H2017" s="5"/>
      <c r="I2017" s="5"/>
      <c r="J2017" s="5"/>
      <c r="L2017" s="277"/>
      <c r="M2017" s="5"/>
      <c r="R2017" s="5"/>
      <c r="S2017" s="5"/>
      <c r="T2017" s="1120"/>
      <c r="U2017" s="5"/>
      <c r="V2017" s="5"/>
      <c r="W2017" s="5"/>
      <c r="X2017" s="1120"/>
      <c r="Y2017" s="1120"/>
      <c r="Z2017" s="5"/>
      <c r="AA2017" s="5"/>
      <c r="AB2017" s="1135"/>
      <c r="AC2017" s="5"/>
      <c r="AD2017" s="5"/>
      <c r="AE2017" s="5"/>
      <c r="AF2017" s="1120"/>
      <c r="AG2017" s="1148"/>
      <c r="AH2017" s="1120"/>
      <c r="AI2017" s="1120"/>
      <c r="AJ2017" s="1120"/>
    </row>
    <row r="2018" spans="2:36" ht="30" customHeight="1" x14ac:dyDescent="0.25">
      <c r="B2018" s="5"/>
      <c r="C2018" s="5"/>
      <c r="D2018" s="5"/>
      <c r="E2018" s="5"/>
      <c r="F2018" s="5"/>
      <c r="G2018" s="5"/>
      <c r="H2018" s="5"/>
      <c r="I2018" s="5"/>
      <c r="J2018" s="5"/>
      <c r="L2018" s="277"/>
      <c r="M2018" s="5"/>
      <c r="R2018" s="5"/>
      <c r="S2018" s="5"/>
      <c r="T2018" s="1120"/>
      <c r="U2018" s="5"/>
      <c r="V2018" s="5"/>
      <c r="W2018" s="5"/>
      <c r="X2018" s="1120"/>
      <c r="Y2018" s="1120"/>
      <c r="Z2018" s="5"/>
      <c r="AA2018" s="5"/>
      <c r="AB2018" s="1135"/>
      <c r="AC2018" s="5"/>
      <c r="AD2018" s="5"/>
      <c r="AE2018" s="5"/>
      <c r="AF2018" s="1120"/>
      <c r="AG2018" s="1148"/>
      <c r="AH2018" s="1120"/>
      <c r="AI2018" s="1120"/>
      <c r="AJ2018" s="1120"/>
    </row>
    <row r="2019" spans="2:36" ht="30" customHeight="1" x14ac:dyDescent="0.25">
      <c r="B2019" s="5"/>
      <c r="C2019" s="5"/>
      <c r="D2019" s="5"/>
      <c r="E2019" s="5"/>
      <c r="F2019" s="5"/>
      <c r="G2019" s="5"/>
      <c r="H2019" s="5"/>
      <c r="I2019" s="5"/>
      <c r="J2019" s="5"/>
      <c r="L2019" s="277"/>
      <c r="M2019" s="5"/>
      <c r="R2019" s="5"/>
      <c r="S2019" s="5"/>
      <c r="T2019" s="1120"/>
      <c r="U2019" s="5"/>
      <c r="V2019" s="5"/>
      <c r="W2019" s="5"/>
      <c r="X2019" s="1120"/>
      <c r="Y2019" s="1120"/>
      <c r="Z2019" s="5"/>
      <c r="AA2019" s="5"/>
      <c r="AB2019" s="1135"/>
      <c r="AC2019" s="5"/>
      <c r="AD2019" s="5"/>
      <c r="AE2019" s="5"/>
      <c r="AF2019" s="1120"/>
      <c r="AG2019" s="1148"/>
      <c r="AH2019" s="1120"/>
      <c r="AI2019" s="1120"/>
      <c r="AJ2019" s="1120"/>
    </row>
    <row r="2020" spans="2:36" ht="30" customHeight="1" x14ac:dyDescent="0.25">
      <c r="B2020" s="5"/>
      <c r="C2020" s="5"/>
      <c r="D2020" s="5"/>
      <c r="E2020" s="5"/>
      <c r="F2020" s="5"/>
      <c r="G2020" s="5"/>
      <c r="H2020" s="5"/>
      <c r="I2020" s="5"/>
      <c r="J2020" s="5"/>
      <c r="L2020" s="277"/>
      <c r="M2020" s="5"/>
      <c r="R2020" s="5"/>
      <c r="S2020" s="5"/>
      <c r="T2020" s="1120"/>
      <c r="U2020" s="5"/>
      <c r="V2020" s="5"/>
      <c r="W2020" s="5"/>
      <c r="X2020" s="1120"/>
      <c r="Y2020" s="1120"/>
      <c r="Z2020" s="5"/>
      <c r="AA2020" s="5"/>
      <c r="AB2020" s="1135"/>
      <c r="AC2020" s="5"/>
      <c r="AD2020" s="5"/>
      <c r="AE2020" s="5"/>
      <c r="AF2020" s="1120"/>
      <c r="AG2020" s="1148"/>
      <c r="AH2020" s="1120"/>
      <c r="AI2020" s="1120"/>
      <c r="AJ2020" s="1120"/>
    </row>
    <row r="2021" spans="2:36" ht="30" customHeight="1" x14ac:dyDescent="0.25">
      <c r="B2021" s="5"/>
      <c r="C2021" s="5"/>
      <c r="D2021" s="5"/>
      <c r="E2021" s="5"/>
      <c r="F2021" s="5"/>
      <c r="G2021" s="5"/>
      <c r="H2021" s="5"/>
      <c r="I2021" s="5"/>
      <c r="J2021" s="5"/>
      <c r="L2021" s="277"/>
      <c r="M2021" s="5"/>
      <c r="R2021" s="5"/>
      <c r="S2021" s="5"/>
      <c r="T2021" s="1120"/>
      <c r="U2021" s="5"/>
      <c r="V2021" s="5"/>
      <c r="W2021" s="5"/>
      <c r="X2021" s="1120"/>
      <c r="Y2021" s="1120"/>
      <c r="Z2021" s="5"/>
      <c r="AA2021" s="5"/>
      <c r="AB2021" s="1135"/>
      <c r="AC2021" s="5"/>
      <c r="AD2021" s="5"/>
      <c r="AE2021" s="5"/>
      <c r="AF2021" s="1120"/>
      <c r="AG2021" s="1148"/>
      <c r="AH2021" s="1120"/>
      <c r="AI2021" s="1120"/>
      <c r="AJ2021" s="1120"/>
    </row>
    <row r="2022" spans="2:36" ht="30" customHeight="1" x14ac:dyDescent="0.25">
      <c r="B2022" s="5"/>
      <c r="C2022" s="5"/>
      <c r="D2022" s="5"/>
      <c r="E2022" s="5"/>
      <c r="F2022" s="5"/>
      <c r="G2022" s="5"/>
      <c r="H2022" s="5"/>
      <c r="I2022" s="5"/>
      <c r="J2022" s="5"/>
      <c r="L2022" s="277"/>
      <c r="M2022" s="5"/>
      <c r="R2022" s="5"/>
      <c r="S2022" s="5"/>
      <c r="T2022" s="1120"/>
      <c r="U2022" s="5"/>
      <c r="V2022" s="5"/>
      <c r="W2022" s="5"/>
      <c r="X2022" s="1120"/>
      <c r="Y2022" s="1120"/>
      <c r="Z2022" s="5"/>
      <c r="AA2022" s="5"/>
      <c r="AB2022" s="1135"/>
      <c r="AC2022" s="5"/>
      <c r="AD2022" s="5"/>
      <c r="AE2022" s="5"/>
      <c r="AF2022" s="1120"/>
      <c r="AG2022" s="1148"/>
      <c r="AH2022" s="1120"/>
      <c r="AI2022" s="1120"/>
      <c r="AJ2022" s="1120"/>
    </row>
    <row r="2023" spans="2:36" ht="30" customHeight="1" x14ac:dyDescent="0.25">
      <c r="B2023" s="5"/>
      <c r="C2023" s="5"/>
      <c r="D2023" s="5"/>
      <c r="E2023" s="5"/>
      <c r="F2023" s="5"/>
      <c r="G2023" s="5"/>
      <c r="H2023" s="5"/>
      <c r="I2023" s="5"/>
      <c r="J2023" s="5"/>
      <c r="L2023" s="277"/>
      <c r="M2023" s="5"/>
      <c r="R2023" s="5"/>
      <c r="S2023" s="5"/>
      <c r="T2023" s="1120"/>
      <c r="U2023" s="5"/>
      <c r="V2023" s="5"/>
      <c r="W2023" s="5"/>
      <c r="X2023" s="1120"/>
      <c r="Y2023" s="1120"/>
      <c r="Z2023" s="5"/>
      <c r="AA2023" s="5"/>
      <c r="AB2023" s="1135"/>
      <c r="AC2023" s="5"/>
      <c r="AD2023" s="5"/>
      <c r="AE2023" s="5"/>
      <c r="AF2023" s="1120"/>
      <c r="AG2023" s="1148"/>
      <c r="AH2023" s="1120"/>
      <c r="AI2023" s="1120"/>
      <c r="AJ2023" s="1120"/>
    </row>
    <row r="2024" spans="2:36" ht="30" customHeight="1" x14ac:dyDescent="0.25">
      <c r="B2024" s="5"/>
      <c r="C2024" s="5"/>
      <c r="D2024" s="5"/>
      <c r="E2024" s="5"/>
      <c r="F2024" s="5"/>
      <c r="G2024" s="5"/>
      <c r="H2024" s="5"/>
      <c r="I2024" s="5"/>
      <c r="J2024" s="5"/>
      <c r="L2024" s="277"/>
      <c r="M2024" s="5"/>
      <c r="R2024" s="5"/>
      <c r="S2024" s="5"/>
      <c r="T2024" s="1120"/>
      <c r="U2024" s="5"/>
      <c r="V2024" s="5"/>
      <c r="W2024" s="5"/>
      <c r="X2024" s="1120"/>
      <c r="Y2024" s="1120"/>
      <c r="Z2024" s="5"/>
      <c r="AA2024" s="5"/>
      <c r="AB2024" s="1135"/>
      <c r="AC2024" s="5"/>
      <c r="AD2024" s="5"/>
      <c r="AE2024" s="5"/>
      <c r="AF2024" s="1120"/>
      <c r="AG2024" s="1148"/>
      <c r="AH2024" s="1120"/>
      <c r="AI2024" s="1120"/>
      <c r="AJ2024" s="1120"/>
    </row>
    <row r="2025" spans="2:36" ht="30" customHeight="1" x14ac:dyDescent="0.25">
      <c r="B2025" s="5"/>
      <c r="C2025" s="5"/>
      <c r="D2025" s="5"/>
      <c r="E2025" s="5"/>
      <c r="F2025" s="5"/>
      <c r="G2025" s="5"/>
      <c r="H2025" s="5"/>
      <c r="I2025" s="5"/>
      <c r="J2025" s="5"/>
      <c r="L2025" s="277"/>
      <c r="M2025" s="5"/>
      <c r="R2025" s="5"/>
      <c r="S2025" s="5"/>
      <c r="T2025" s="1120"/>
      <c r="U2025" s="5"/>
      <c r="V2025" s="5"/>
      <c r="W2025" s="5"/>
      <c r="X2025" s="1120"/>
      <c r="Y2025" s="1120"/>
      <c r="Z2025" s="5"/>
      <c r="AA2025" s="5"/>
      <c r="AB2025" s="1135"/>
      <c r="AC2025" s="5"/>
      <c r="AD2025" s="5"/>
      <c r="AE2025" s="5"/>
      <c r="AF2025" s="1120"/>
      <c r="AG2025" s="1148"/>
      <c r="AH2025" s="1120"/>
      <c r="AI2025" s="1120"/>
      <c r="AJ2025" s="1120"/>
    </row>
    <row r="2026" spans="2:36" ht="30" customHeight="1" x14ac:dyDescent="0.25">
      <c r="B2026" s="5"/>
      <c r="C2026" s="5"/>
      <c r="D2026" s="5"/>
      <c r="E2026" s="5"/>
      <c r="F2026" s="5"/>
      <c r="G2026" s="5"/>
      <c r="H2026" s="5"/>
      <c r="I2026" s="5"/>
      <c r="J2026" s="5"/>
      <c r="L2026" s="277"/>
      <c r="M2026" s="5"/>
      <c r="R2026" s="5"/>
      <c r="S2026" s="5"/>
      <c r="T2026" s="1120"/>
      <c r="U2026" s="5"/>
      <c r="V2026" s="5"/>
      <c r="W2026" s="5"/>
      <c r="X2026" s="1120"/>
      <c r="Y2026" s="1120"/>
      <c r="Z2026" s="5"/>
      <c r="AA2026" s="5"/>
      <c r="AB2026" s="1135"/>
      <c r="AC2026" s="5"/>
      <c r="AD2026" s="5"/>
      <c r="AE2026" s="5"/>
      <c r="AF2026" s="1120"/>
      <c r="AG2026" s="1148"/>
      <c r="AH2026" s="1120"/>
      <c r="AI2026" s="1120"/>
      <c r="AJ2026" s="1120"/>
    </row>
    <row r="2027" spans="2:36" ht="30" customHeight="1" x14ac:dyDescent="0.25">
      <c r="B2027" s="5"/>
      <c r="C2027" s="5"/>
      <c r="D2027" s="5"/>
      <c r="E2027" s="5"/>
      <c r="F2027" s="5"/>
      <c r="G2027" s="5"/>
      <c r="H2027" s="5"/>
      <c r="I2027" s="5"/>
      <c r="J2027" s="5"/>
      <c r="L2027" s="277"/>
      <c r="M2027" s="5"/>
      <c r="R2027" s="5"/>
      <c r="S2027" s="5"/>
      <c r="T2027" s="1120"/>
      <c r="U2027" s="5"/>
      <c r="V2027" s="5"/>
      <c r="W2027" s="5"/>
      <c r="X2027" s="1120"/>
      <c r="Y2027" s="1120"/>
      <c r="Z2027" s="5"/>
      <c r="AA2027" s="5"/>
      <c r="AB2027" s="1135"/>
      <c r="AC2027" s="5"/>
      <c r="AD2027" s="5"/>
      <c r="AE2027" s="5"/>
      <c r="AF2027" s="1120"/>
      <c r="AG2027" s="1148"/>
      <c r="AH2027" s="1120"/>
      <c r="AI2027" s="1120"/>
      <c r="AJ2027" s="1120"/>
    </row>
    <row r="2028" spans="2:36" ht="30" customHeight="1" x14ac:dyDescent="0.25">
      <c r="B2028" s="5"/>
      <c r="C2028" s="5"/>
      <c r="D2028" s="5"/>
      <c r="E2028" s="5"/>
      <c r="F2028" s="5"/>
      <c r="G2028" s="5"/>
      <c r="H2028" s="5"/>
      <c r="I2028" s="5"/>
      <c r="J2028" s="5"/>
      <c r="L2028" s="277"/>
      <c r="M2028" s="5"/>
      <c r="R2028" s="5"/>
      <c r="S2028" s="5"/>
      <c r="T2028" s="1120"/>
      <c r="U2028" s="5"/>
      <c r="V2028" s="5"/>
      <c r="W2028" s="5"/>
      <c r="X2028" s="1120"/>
      <c r="Y2028" s="1120"/>
      <c r="Z2028" s="5"/>
      <c r="AA2028" s="5"/>
      <c r="AB2028" s="1135"/>
      <c r="AC2028" s="5"/>
      <c r="AD2028" s="5"/>
      <c r="AE2028" s="5"/>
      <c r="AF2028" s="1120"/>
      <c r="AG2028" s="1148"/>
      <c r="AH2028" s="1120"/>
      <c r="AI2028" s="1120"/>
      <c r="AJ2028" s="1120"/>
    </row>
    <row r="2029" spans="2:36" ht="30" customHeight="1" x14ac:dyDescent="0.25">
      <c r="B2029" s="5"/>
      <c r="C2029" s="5"/>
      <c r="D2029" s="5"/>
      <c r="E2029" s="5"/>
      <c r="F2029" s="5"/>
      <c r="G2029" s="5"/>
      <c r="H2029" s="5"/>
      <c r="I2029" s="5"/>
      <c r="J2029" s="5"/>
      <c r="L2029" s="277"/>
      <c r="M2029" s="5"/>
      <c r="R2029" s="5"/>
      <c r="S2029" s="5"/>
      <c r="T2029" s="1120"/>
      <c r="U2029" s="5"/>
      <c r="V2029" s="5"/>
      <c r="W2029" s="5"/>
      <c r="X2029" s="1120"/>
      <c r="Y2029" s="1120"/>
      <c r="Z2029" s="5"/>
      <c r="AA2029" s="5"/>
      <c r="AB2029" s="1135"/>
      <c r="AC2029" s="5"/>
      <c r="AD2029" s="5"/>
      <c r="AE2029" s="5"/>
      <c r="AF2029" s="1120"/>
      <c r="AG2029" s="1148"/>
      <c r="AH2029" s="1120"/>
      <c r="AI2029" s="1120"/>
      <c r="AJ2029" s="1120"/>
    </row>
    <row r="2030" spans="2:36" ht="30" customHeight="1" x14ac:dyDescent="0.25">
      <c r="B2030" s="5"/>
      <c r="C2030" s="5"/>
      <c r="D2030" s="5"/>
      <c r="E2030" s="5"/>
      <c r="F2030" s="5"/>
      <c r="G2030" s="5"/>
      <c r="H2030" s="5"/>
      <c r="I2030" s="5"/>
      <c r="J2030" s="5"/>
      <c r="L2030" s="277"/>
      <c r="M2030" s="5"/>
      <c r="R2030" s="5"/>
      <c r="S2030" s="5"/>
      <c r="T2030" s="1120"/>
      <c r="U2030" s="5"/>
      <c r="V2030" s="5"/>
      <c r="W2030" s="5"/>
      <c r="X2030" s="1120"/>
      <c r="Y2030" s="1120"/>
      <c r="Z2030" s="5"/>
      <c r="AA2030" s="5"/>
      <c r="AB2030" s="1135"/>
      <c r="AC2030" s="5"/>
      <c r="AD2030" s="5"/>
      <c r="AE2030" s="5"/>
      <c r="AF2030" s="1120"/>
      <c r="AG2030" s="1148"/>
      <c r="AH2030" s="1120"/>
      <c r="AI2030" s="1120"/>
      <c r="AJ2030" s="1120"/>
    </row>
    <row r="2031" spans="2:36" ht="30" customHeight="1" x14ac:dyDescent="0.25">
      <c r="B2031" s="5"/>
      <c r="C2031" s="5"/>
      <c r="D2031" s="5"/>
      <c r="E2031" s="5"/>
      <c r="F2031" s="5"/>
      <c r="G2031" s="5"/>
      <c r="H2031" s="5"/>
      <c r="I2031" s="5"/>
      <c r="J2031" s="5"/>
      <c r="L2031" s="277"/>
      <c r="M2031" s="5"/>
      <c r="R2031" s="5"/>
      <c r="S2031" s="5"/>
      <c r="T2031" s="1120"/>
      <c r="U2031" s="5"/>
      <c r="V2031" s="5"/>
      <c r="W2031" s="5"/>
      <c r="X2031" s="1120"/>
      <c r="Y2031" s="1120"/>
      <c r="Z2031" s="5"/>
      <c r="AA2031" s="5"/>
      <c r="AB2031" s="1135"/>
      <c r="AC2031" s="5"/>
      <c r="AD2031" s="5"/>
      <c r="AE2031" s="5"/>
      <c r="AF2031" s="1120"/>
      <c r="AG2031" s="1148"/>
      <c r="AH2031" s="1120"/>
      <c r="AI2031" s="1120"/>
      <c r="AJ2031" s="1120"/>
    </row>
    <row r="2032" spans="2:36" ht="30" customHeight="1" x14ac:dyDescent="0.25">
      <c r="B2032" s="5"/>
      <c r="C2032" s="5"/>
      <c r="D2032" s="5"/>
      <c r="E2032" s="5"/>
      <c r="F2032" s="5"/>
      <c r="G2032" s="5"/>
      <c r="H2032" s="5"/>
      <c r="I2032" s="5"/>
      <c r="J2032" s="5"/>
      <c r="L2032" s="277"/>
      <c r="M2032" s="5"/>
      <c r="R2032" s="5"/>
      <c r="S2032" s="5"/>
      <c r="T2032" s="1120"/>
      <c r="U2032" s="5"/>
      <c r="V2032" s="5"/>
      <c r="W2032" s="5"/>
      <c r="X2032" s="1120"/>
      <c r="Y2032" s="1120"/>
      <c r="Z2032" s="5"/>
      <c r="AA2032" s="5"/>
      <c r="AB2032" s="1135"/>
      <c r="AC2032" s="5"/>
      <c r="AD2032" s="5"/>
      <c r="AE2032" s="5"/>
      <c r="AF2032" s="1120"/>
      <c r="AG2032" s="1148"/>
      <c r="AH2032" s="1120"/>
      <c r="AI2032" s="1120"/>
      <c r="AJ2032" s="1120"/>
    </row>
    <row r="2033" spans="2:36" ht="30" customHeight="1" x14ac:dyDescent="0.25">
      <c r="B2033" s="5"/>
      <c r="C2033" s="5"/>
      <c r="D2033" s="5"/>
      <c r="E2033" s="5"/>
      <c r="F2033" s="5"/>
      <c r="G2033" s="5"/>
      <c r="H2033" s="5"/>
      <c r="I2033" s="5"/>
      <c r="J2033" s="5"/>
      <c r="L2033" s="277"/>
      <c r="M2033" s="5"/>
      <c r="R2033" s="5"/>
      <c r="S2033" s="5"/>
      <c r="T2033" s="1120"/>
      <c r="U2033" s="5"/>
      <c r="V2033" s="5"/>
      <c r="W2033" s="5"/>
      <c r="X2033" s="1120"/>
      <c r="Y2033" s="1120"/>
      <c r="Z2033" s="5"/>
      <c r="AA2033" s="5"/>
      <c r="AB2033" s="1135"/>
      <c r="AC2033" s="5"/>
      <c r="AD2033" s="5"/>
      <c r="AE2033" s="5"/>
      <c r="AF2033" s="1120"/>
      <c r="AG2033" s="1148"/>
      <c r="AH2033" s="1120"/>
      <c r="AI2033" s="1120"/>
      <c r="AJ2033" s="1120"/>
    </row>
    <row r="2034" spans="2:36" ht="30" customHeight="1" x14ac:dyDescent="0.25">
      <c r="B2034" s="5"/>
      <c r="C2034" s="5"/>
      <c r="D2034" s="5"/>
      <c r="E2034" s="5"/>
      <c r="F2034" s="5"/>
      <c r="G2034" s="5"/>
      <c r="H2034" s="5"/>
      <c r="I2034" s="5"/>
      <c r="J2034" s="5"/>
      <c r="L2034" s="277"/>
      <c r="M2034" s="5"/>
      <c r="R2034" s="5"/>
      <c r="S2034" s="5"/>
      <c r="T2034" s="1120"/>
      <c r="U2034" s="5"/>
      <c r="V2034" s="5"/>
      <c r="W2034" s="5"/>
      <c r="X2034" s="1120"/>
      <c r="Y2034" s="1120"/>
      <c r="Z2034" s="5"/>
      <c r="AA2034" s="5"/>
      <c r="AB2034" s="1135"/>
      <c r="AC2034" s="5"/>
      <c r="AD2034" s="5"/>
      <c r="AE2034" s="5"/>
      <c r="AF2034" s="1120"/>
      <c r="AG2034" s="1148"/>
      <c r="AH2034" s="1120"/>
      <c r="AI2034" s="1120"/>
      <c r="AJ2034" s="1120"/>
    </row>
    <row r="2035" spans="2:36" ht="30" customHeight="1" x14ac:dyDescent="0.25">
      <c r="B2035" s="5"/>
      <c r="C2035" s="5"/>
      <c r="D2035" s="5"/>
      <c r="E2035" s="5"/>
      <c r="F2035" s="5"/>
      <c r="G2035" s="5"/>
      <c r="H2035" s="5"/>
      <c r="I2035" s="5"/>
      <c r="J2035" s="5"/>
      <c r="L2035" s="277"/>
      <c r="M2035" s="5"/>
      <c r="R2035" s="5"/>
      <c r="S2035" s="5"/>
      <c r="T2035" s="1120"/>
      <c r="U2035" s="5"/>
      <c r="V2035" s="5"/>
      <c r="W2035" s="5"/>
      <c r="X2035" s="1120"/>
      <c r="Y2035" s="1120"/>
      <c r="Z2035" s="5"/>
      <c r="AA2035" s="5"/>
      <c r="AB2035" s="1135"/>
      <c r="AC2035" s="5"/>
      <c r="AD2035" s="5"/>
      <c r="AE2035" s="5"/>
      <c r="AF2035" s="1120"/>
      <c r="AG2035" s="1148"/>
      <c r="AH2035" s="1120"/>
      <c r="AI2035" s="1120"/>
      <c r="AJ2035" s="1120"/>
    </row>
    <row r="2036" spans="2:36" ht="30" customHeight="1" x14ac:dyDescent="0.25">
      <c r="B2036" s="5"/>
      <c r="C2036" s="5"/>
      <c r="D2036" s="5"/>
      <c r="E2036" s="5"/>
      <c r="F2036" s="5"/>
      <c r="G2036" s="5"/>
      <c r="H2036" s="5"/>
      <c r="I2036" s="5"/>
      <c r="J2036" s="5"/>
      <c r="L2036" s="277"/>
      <c r="M2036" s="5"/>
      <c r="R2036" s="5"/>
      <c r="S2036" s="5"/>
      <c r="T2036" s="1120"/>
      <c r="U2036" s="5"/>
      <c r="V2036" s="5"/>
      <c r="W2036" s="5"/>
      <c r="X2036" s="1120"/>
      <c r="Y2036" s="1120"/>
      <c r="Z2036" s="5"/>
      <c r="AA2036" s="5"/>
      <c r="AB2036" s="1135"/>
      <c r="AC2036" s="5"/>
      <c r="AD2036" s="5"/>
      <c r="AE2036" s="5"/>
      <c r="AF2036" s="1120"/>
      <c r="AG2036" s="1148"/>
      <c r="AH2036" s="1120"/>
      <c r="AI2036" s="1120"/>
      <c r="AJ2036" s="1120"/>
    </row>
    <row r="2037" spans="2:36" ht="30" customHeight="1" x14ac:dyDescent="0.25">
      <c r="B2037" s="5"/>
      <c r="C2037" s="5"/>
      <c r="D2037" s="5"/>
      <c r="E2037" s="5"/>
      <c r="F2037" s="5"/>
      <c r="G2037" s="5"/>
      <c r="H2037" s="5"/>
      <c r="I2037" s="5"/>
      <c r="J2037" s="5"/>
      <c r="L2037" s="277"/>
      <c r="M2037" s="5"/>
      <c r="R2037" s="5"/>
      <c r="S2037" s="5"/>
      <c r="T2037" s="1120"/>
      <c r="U2037" s="5"/>
      <c r="V2037" s="5"/>
      <c r="W2037" s="5"/>
      <c r="X2037" s="1120"/>
      <c r="Y2037" s="1120"/>
      <c r="Z2037" s="5"/>
      <c r="AA2037" s="5"/>
      <c r="AB2037" s="1135"/>
      <c r="AC2037" s="5"/>
      <c r="AD2037" s="5"/>
      <c r="AE2037" s="5"/>
      <c r="AF2037" s="1120"/>
      <c r="AG2037" s="1148"/>
      <c r="AH2037" s="1120"/>
      <c r="AI2037" s="1120"/>
      <c r="AJ2037" s="1120"/>
    </row>
    <row r="2038" spans="2:36" ht="30" customHeight="1" x14ac:dyDescent="0.25">
      <c r="B2038" s="5"/>
      <c r="C2038" s="5"/>
      <c r="D2038" s="5"/>
      <c r="E2038" s="5"/>
      <c r="F2038" s="5"/>
      <c r="G2038" s="5"/>
      <c r="H2038" s="5"/>
      <c r="I2038" s="5"/>
      <c r="J2038" s="5"/>
      <c r="L2038" s="277"/>
      <c r="M2038" s="5"/>
      <c r="R2038" s="5"/>
      <c r="S2038" s="5"/>
      <c r="T2038" s="1120"/>
      <c r="U2038" s="5"/>
      <c r="V2038" s="5"/>
      <c r="W2038" s="5"/>
      <c r="X2038" s="1120"/>
      <c r="Y2038" s="1120"/>
      <c r="Z2038" s="5"/>
      <c r="AA2038" s="5"/>
      <c r="AB2038" s="1135"/>
      <c r="AC2038" s="5"/>
      <c r="AD2038" s="5"/>
      <c r="AE2038" s="5"/>
      <c r="AF2038" s="1120"/>
      <c r="AG2038" s="1148"/>
      <c r="AH2038" s="1120"/>
      <c r="AI2038" s="1120"/>
      <c r="AJ2038" s="1120"/>
    </row>
    <row r="2039" spans="2:36" ht="30" customHeight="1" x14ac:dyDescent="0.25">
      <c r="B2039" s="5"/>
      <c r="C2039" s="5"/>
      <c r="D2039" s="5"/>
      <c r="E2039" s="5"/>
      <c r="F2039" s="5"/>
      <c r="G2039" s="5"/>
      <c r="H2039" s="5"/>
      <c r="I2039" s="5"/>
      <c r="J2039" s="5"/>
      <c r="L2039" s="277"/>
      <c r="M2039" s="5"/>
      <c r="R2039" s="5"/>
      <c r="S2039" s="5"/>
      <c r="T2039" s="1120"/>
      <c r="U2039" s="5"/>
      <c r="V2039" s="5"/>
      <c r="W2039" s="5"/>
      <c r="X2039" s="1120"/>
      <c r="Y2039" s="1120"/>
      <c r="Z2039" s="5"/>
      <c r="AA2039" s="5"/>
      <c r="AB2039" s="1135"/>
      <c r="AC2039" s="5"/>
      <c r="AD2039" s="5"/>
      <c r="AE2039" s="5"/>
      <c r="AF2039" s="1120"/>
      <c r="AG2039" s="1148"/>
      <c r="AH2039" s="1120"/>
      <c r="AI2039" s="1120"/>
      <c r="AJ2039" s="1120"/>
    </row>
    <row r="2040" spans="2:36" ht="30" customHeight="1" x14ac:dyDescent="0.25">
      <c r="B2040" s="5"/>
      <c r="C2040" s="5"/>
      <c r="D2040" s="5"/>
      <c r="E2040" s="5"/>
      <c r="F2040" s="5"/>
      <c r="G2040" s="5"/>
      <c r="H2040" s="5"/>
      <c r="I2040" s="5"/>
      <c r="J2040" s="5"/>
      <c r="L2040" s="277"/>
      <c r="M2040" s="5"/>
      <c r="R2040" s="5"/>
      <c r="S2040" s="5"/>
      <c r="T2040" s="1120"/>
      <c r="U2040" s="5"/>
      <c r="V2040" s="5"/>
      <c r="W2040" s="5"/>
      <c r="X2040" s="1120"/>
      <c r="Y2040" s="1120"/>
      <c r="Z2040" s="5"/>
      <c r="AA2040" s="5"/>
      <c r="AB2040" s="1135"/>
      <c r="AC2040" s="5"/>
      <c r="AD2040" s="5"/>
      <c r="AE2040" s="5"/>
      <c r="AF2040" s="1120"/>
      <c r="AG2040" s="1148"/>
      <c r="AH2040" s="1120"/>
      <c r="AI2040" s="1120"/>
      <c r="AJ2040" s="1120"/>
    </row>
    <row r="2041" spans="2:36" ht="30" customHeight="1" x14ac:dyDescent="0.25">
      <c r="B2041" s="5"/>
      <c r="C2041" s="5"/>
      <c r="D2041" s="5"/>
      <c r="E2041" s="5"/>
      <c r="F2041" s="5"/>
      <c r="G2041" s="5"/>
      <c r="H2041" s="5"/>
      <c r="I2041" s="5"/>
      <c r="J2041" s="5"/>
      <c r="L2041" s="277"/>
      <c r="M2041" s="5"/>
      <c r="R2041" s="5"/>
      <c r="S2041" s="5"/>
      <c r="T2041" s="1120"/>
      <c r="U2041" s="5"/>
      <c r="V2041" s="5"/>
      <c r="W2041" s="5"/>
      <c r="X2041" s="1120"/>
      <c r="Y2041" s="1120"/>
      <c r="Z2041" s="5"/>
      <c r="AA2041" s="5"/>
      <c r="AB2041" s="1135"/>
      <c r="AC2041" s="5"/>
      <c r="AD2041" s="5"/>
      <c r="AE2041" s="5"/>
      <c r="AF2041" s="1120"/>
      <c r="AG2041" s="1148"/>
      <c r="AH2041" s="1120"/>
      <c r="AI2041" s="1120"/>
      <c r="AJ2041" s="1120"/>
    </row>
    <row r="2042" spans="2:36" ht="30" customHeight="1" x14ac:dyDescent="0.25">
      <c r="B2042" s="5"/>
      <c r="C2042" s="5"/>
      <c r="D2042" s="5"/>
      <c r="E2042" s="5"/>
      <c r="F2042" s="5"/>
      <c r="G2042" s="5"/>
      <c r="H2042" s="5"/>
      <c r="I2042" s="5"/>
      <c r="J2042" s="5"/>
      <c r="L2042" s="277"/>
      <c r="M2042" s="5"/>
      <c r="R2042" s="5"/>
      <c r="S2042" s="5"/>
      <c r="T2042" s="1120"/>
      <c r="U2042" s="5"/>
      <c r="V2042" s="5"/>
      <c r="W2042" s="5"/>
      <c r="X2042" s="1120"/>
      <c r="Y2042" s="1120"/>
      <c r="Z2042" s="5"/>
      <c r="AA2042" s="5"/>
      <c r="AB2042" s="1135"/>
      <c r="AC2042" s="5"/>
      <c r="AD2042" s="5"/>
      <c r="AE2042" s="5"/>
      <c r="AF2042" s="1120"/>
      <c r="AG2042" s="1148"/>
      <c r="AH2042" s="1120"/>
      <c r="AI2042" s="1120"/>
      <c r="AJ2042" s="1120"/>
    </row>
    <row r="2043" spans="2:36" ht="30" customHeight="1" x14ac:dyDescent="0.25">
      <c r="B2043" s="5"/>
      <c r="C2043" s="5"/>
      <c r="D2043" s="5"/>
      <c r="E2043" s="5"/>
      <c r="F2043" s="5"/>
      <c r="G2043" s="5"/>
      <c r="H2043" s="5"/>
      <c r="I2043" s="5"/>
      <c r="J2043" s="5"/>
      <c r="L2043" s="277"/>
      <c r="M2043" s="5"/>
      <c r="R2043" s="5"/>
      <c r="S2043" s="5"/>
      <c r="T2043" s="1120"/>
      <c r="U2043" s="5"/>
      <c r="V2043" s="5"/>
      <c r="W2043" s="5"/>
      <c r="X2043" s="1120"/>
      <c r="Y2043" s="1120"/>
      <c r="Z2043" s="5"/>
      <c r="AA2043" s="5"/>
      <c r="AB2043" s="1135"/>
      <c r="AC2043" s="5"/>
      <c r="AD2043" s="5"/>
      <c r="AE2043" s="5"/>
      <c r="AF2043" s="1120"/>
      <c r="AG2043" s="1148"/>
      <c r="AH2043" s="1120"/>
      <c r="AI2043" s="1120"/>
      <c r="AJ2043" s="1120"/>
    </row>
    <row r="2044" spans="2:36" ht="30" customHeight="1" x14ac:dyDescent="0.25">
      <c r="B2044" s="5"/>
      <c r="C2044" s="5"/>
      <c r="D2044" s="5"/>
      <c r="E2044" s="5"/>
      <c r="F2044" s="5"/>
      <c r="G2044" s="5"/>
      <c r="H2044" s="5"/>
      <c r="I2044" s="5"/>
      <c r="J2044" s="5"/>
      <c r="L2044" s="277"/>
      <c r="M2044" s="5"/>
      <c r="R2044" s="5"/>
      <c r="S2044" s="5"/>
      <c r="T2044" s="1120"/>
      <c r="U2044" s="5"/>
      <c r="V2044" s="5"/>
      <c r="W2044" s="5"/>
      <c r="X2044" s="1120"/>
      <c r="Y2044" s="1120"/>
      <c r="Z2044" s="5"/>
      <c r="AA2044" s="5"/>
      <c r="AB2044" s="1135"/>
      <c r="AC2044" s="5"/>
      <c r="AD2044" s="5"/>
      <c r="AE2044" s="5"/>
      <c r="AF2044" s="1120"/>
      <c r="AG2044" s="1148"/>
      <c r="AH2044" s="1120"/>
      <c r="AI2044" s="1120"/>
      <c r="AJ2044" s="1120"/>
    </row>
    <row r="2045" spans="2:36" ht="30" customHeight="1" x14ac:dyDescent="0.25">
      <c r="B2045" s="5"/>
      <c r="C2045" s="5"/>
      <c r="D2045" s="5"/>
      <c r="E2045" s="5"/>
      <c r="F2045" s="5"/>
      <c r="G2045" s="5"/>
      <c r="H2045" s="5"/>
      <c r="I2045" s="5"/>
      <c r="J2045" s="5"/>
      <c r="L2045" s="277"/>
      <c r="M2045" s="5"/>
      <c r="R2045" s="5"/>
      <c r="S2045" s="5"/>
      <c r="T2045" s="1120"/>
      <c r="U2045" s="5"/>
      <c r="V2045" s="5"/>
      <c r="W2045" s="5"/>
      <c r="X2045" s="1120"/>
      <c r="Y2045" s="1120"/>
      <c r="Z2045" s="5"/>
      <c r="AA2045" s="5"/>
      <c r="AB2045" s="1135"/>
      <c r="AC2045" s="5"/>
      <c r="AD2045" s="5"/>
      <c r="AE2045" s="5"/>
      <c r="AF2045" s="1120"/>
      <c r="AG2045" s="1148"/>
      <c r="AH2045" s="1120"/>
      <c r="AI2045" s="1120"/>
      <c r="AJ2045" s="1120"/>
    </row>
    <row r="2046" spans="2:36" ht="30" customHeight="1" x14ac:dyDescent="0.25">
      <c r="B2046" s="5"/>
      <c r="C2046" s="5"/>
      <c r="D2046" s="5"/>
      <c r="E2046" s="5"/>
      <c r="F2046" s="5"/>
      <c r="G2046" s="5"/>
      <c r="H2046" s="5"/>
      <c r="I2046" s="5"/>
      <c r="J2046" s="5"/>
      <c r="L2046" s="277"/>
      <c r="M2046" s="5"/>
      <c r="R2046" s="5"/>
      <c r="S2046" s="5"/>
      <c r="T2046" s="1120"/>
      <c r="U2046" s="5"/>
      <c r="V2046" s="5"/>
      <c r="W2046" s="5"/>
      <c r="X2046" s="1120"/>
      <c r="Y2046" s="1120"/>
      <c r="Z2046" s="5"/>
      <c r="AA2046" s="5"/>
      <c r="AB2046" s="1135"/>
      <c r="AC2046" s="5"/>
      <c r="AD2046" s="5"/>
      <c r="AE2046" s="5"/>
      <c r="AF2046" s="1120"/>
      <c r="AG2046" s="1148"/>
      <c r="AH2046" s="1120"/>
      <c r="AI2046" s="1120"/>
      <c r="AJ2046" s="1120"/>
    </row>
    <row r="2047" spans="2:36" ht="30" customHeight="1" x14ac:dyDescent="0.25">
      <c r="B2047" s="5"/>
      <c r="C2047" s="5"/>
      <c r="D2047" s="5"/>
      <c r="E2047" s="5"/>
      <c r="F2047" s="5"/>
      <c r="G2047" s="5"/>
      <c r="H2047" s="5"/>
      <c r="I2047" s="5"/>
      <c r="J2047" s="5"/>
      <c r="L2047" s="277"/>
      <c r="M2047" s="5"/>
      <c r="R2047" s="5"/>
      <c r="S2047" s="5"/>
      <c r="T2047" s="1120"/>
      <c r="U2047" s="5"/>
      <c r="V2047" s="5"/>
      <c r="W2047" s="5"/>
      <c r="X2047" s="1120"/>
      <c r="Y2047" s="1120"/>
      <c r="Z2047" s="5"/>
      <c r="AA2047" s="5"/>
      <c r="AB2047" s="1135"/>
      <c r="AC2047" s="5"/>
      <c r="AD2047" s="5"/>
      <c r="AE2047" s="5"/>
      <c r="AF2047" s="1120"/>
      <c r="AG2047" s="1148"/>
      <c r="AH2047" s="1120"/>
      <c r="AI2047" s="1120"/>
      <c r="AJ2047" s="1120"/>
    </row>
    <row r="2048" spans="2:36" ht="30" customHeight="1" x14ac:dyDescent="0.25">
      <c r="B2048" s="5"/>
      <c r="C2048" s="5"/>
      <c r="D2048" s="5"/>
      <c r="E2048" s="5"/>
      <c r="F2048" s="5"/>
      <c r="G2048" s="5"/>
      <c r="H2048" s="5"/>
      <c r="I2048" s="5"/>
      <c r="J2048" s="5"/>
      <c r="L2048" s="277"/>
      <c r="M2048" s="5"/>
      <c r="R2048" s="5"/>
      <c r="S2048" s="5"/>
      <c r="T2048" s="1120"/>
      <c r="U2048" s="5"/>
      <c r="V2048" s="5"/>
      <c r="W2048" s="5"/>
      <c r="X2048" s="1120"/>
      <c r="Y2048" s="1120"/>
      <c r="Z2048" s="5"/>
      <c r="AA2048" s="5"/>
      <c r="AB2048" s="1135"/>
      <c r="AC2048" s="5"/>
      <c r="AD2048" s="5"/>
      <c r="AE2048" s="5"/>
      <c r="AF2048" s="1120"/>
      <c r="AG2048" s="1148"/>
      <c r="AH2048" s="1120"/>
      <c r="AI2048" s="1120"/>
      <c r="AJ2048" s="1120"/>
    </row>
    <row r="2049" spans="2:36" ht="30" customHeight="1" x14ac:dyDescent="0.25">
      <c r="B2049" s="5"/>
      <c r="C2049" s="5"/>
      <c r="D2049" s="5"/>
      <c r="E2049" s="5"/>
      <c r="F2049" s="5"/>
      <c r="G2049" s="5"/>
      <c r="H2049" s="5"/>
      <c r="I2049" s="5"/>
      <c r="J2049" s="5"/>
      <c r="L2049" s="277"/>
      <c r="M2049" s="5"/>
      <c r="R2049" s="5"/>
      <c r="S2049" s="5"/>
      <c r="T2049" s="1120"/>
      <c r="U2049" s="5"/>
      <c r="V2049" s="5"/>
      <c r="W2049" s="5"/>
      <c r="X2049" s="1120"/>
      <c r="Y2049" s="1120"/>
      <c r="Z2049" s="5"/>
      <c r="AA2049" s="5"/>
      <c r="AB2049" s="1135"/>
      <c r="AC2049" s="5"/>
      <c r="AD2049" s="5"/>
      <c r="AE2049" s="5"/>
      <c r="AF2049" s="1120"/>
      <c r="AG2049" s="1148"/>
      <c r="AH2049" s="1120"/>
      <c r="AI2049" s="1120"/>
      <c r="AJ2049" s="1120"/>
    </row>
    <row r="2050" spans="2:36" ht="30" customHeight="1" x14ac:dyDescent="0.25">
      <c r="B2050" s="5"/>
      <c r="C2050" s="5"/>
      <c r="D2050" s="5"/>
      <c r="E2050" s="5"/>
      <c r="F2050" s="5"/>
      <c r="G2050" s="5"/>
      <c r="H2050" s="5"/>
      <c r="I2050" s="5"/>
      <c r="J2050" s="5"/>
      <c r="L2050" s="277"/>
      <c r="M2050" s="5"/>
      <c r="R2050" s="5"/>
      <c r="S2050" s="5"/>
      <c r="T2050" s="1120"/>
      <c r="U2050" s="5"/>
      <c r="V2050" s="5"/>
      <c r="W2050" s="5"/>
      <c r="X2050" s="1120"/>
      <c r="Y2050" s="1120"/>
      <c r="Z2050" s="5"/>
      <c r="AA2050" s="5"/>
      <c r="AB2050" s="1135"/>
      <c r="AC2050" s="5"/>
      <c r="AD2050" s="5"/>
      <c r="AE2050" s="5"/>
      <c r="AF2050" s="1120"/>
      <c r="AG2050" s="1148"/>
      <c r="AH2050" s="1120"/>
      <c r="AI2050" s="1120"/>
      <c r="AJ2050" s="1120"/>
    </row>
    <row r="2051" spans="2:36" ht="30" customHeight="1" x14ac:dyDescent="0.25">
      <c r="B2051" s="5"/>
      <c r="C2051" s="5"/>
      <c r="D2051" s="5"/>
      <c r="E2051" s="5"/>
      <c r="F2051" s="5"/>
      <c r="G2051" s="5"/>
      <c r="H2051" s="5"/>
      <c r="I2051" s="5"/>
      <c r="J2051" s="5"/>
      <c r="L2051" s="277"/>
      <c r="M2051" s="5"/>
      <c r="R2051" s="5"/>
      <c r="S2051" s="5"/>
      <c r="T2051" s="1120"/>
      <c r="U2051" s="5"/>
      <c r="V2051" s="5"/>
      <c r="W2051" s="5"/>
      <c r="X2051" s="1120"/>
      <c r="Y2051" s="1120"/>
      <c r="Z2051" s="5"/>
      <c r="AA2051" s="5"/>
      <c r="AB2051" s="1135"/>
      <c r="AC2051" s="5"/>
      <c r="AD2051" s="5"/>
      <c r="AE2051" s="5"/>
      <c r="AF2051" s="1120"/>
      <c r="AG2051" s="1148"/>
      <c r="AH2051" s="1120"/>
      <c r="AI2051" s="1120"/>
      <c r="AJ2051" s="1120"/>
    </row>
    <row r="2052" spans="2:36" ht="30" customHeight="1" x14ac:dyDescent="0.25">
      <c r="B2052" s="5"/>
      <c r="C2052" s="5"/>
      <c r="D2052" s="5"/>
      <c r="E2052" s="5"/>
      <c r="F2052" s="5"/>
      <c r="G2052" s="5"/>
      <c r="H2052" s="5"/>
      <c r="I2052" s="5"/>
      <c r="J2052" s="5"/>
      <c r="L2052" s="277"/>
      <c r="M2052" s="5"/>
      <c r="R2052" s="5"/>
      <c r="S2052" s="5"/>
      <c r="T2052" s="1120"/>
      <c r="U2052" s="5"/>
      <c r="V2052" s="5"/>
      <c r="W2052" s="5"/>
      <c r="X2052" s="1120"/>
      <c r="Y2052" s="1120"/>
      <c r="Z2052" s="5"/>
      <c r="AA2052" s="5"/>
      <c r="AB2052" s="1135"/>
      <c r="AC2052" s="5"/>
      <c r="AD2052" s="5"/>
      <c r="AE2052" s="5"/>
      <c r="AF2052" s="1120"/>
      <c r="AG2052" s="1148"/>
      <c r="AH2052" s="1120"/>
      <c r="AI2052" s="1120"/>
      <c r="AJ2052" s="1120"/>
    </row>
    <row r="2053" spans="2:36" ht="30" customHeight="1" x14ac:dyDescent="0.25">
      <c r="B2053" s="5"/>
      <c r="C2053" s="5"/>
      <c r="D2053" s="5"/>
      <c r="E2053" s="5"/>
      <c r="F2053" s="5"/>
      <c r="G2053" s="5"/>
      <c r="H2053" s="5"/>
      <c r="I2053" s="5"/>
      <c r="J2053" s="5"/>
      <c r="L2053" s="277"/>
      <c r="M2053" s="5"/>
      <c r="R2053" s="5"/>
      <c r="S2053" s="5"/>
      <c r="T2053" s="1120"/>
      <c r="U2053" s="5"/>
      <c r="V2053" s="5"/>
      <c r="W2053" s="5"/>
      <c r="X2053" s="1120"/>
      <c r="Y2053" s="1120"/>
      <c r="Z2053" s="5"/>
      <c r="AA2053" s="5"/>
      <c r="AB2053" s="1135"/>
      <c r="AC2053" s="5"/>
      <c r="AD2053" s="5"/>
      <c r="AE2053" s="5"/>
      <c r="AF2053" s="1120"/>
      <c r="AG2053" s="1148"/>
      <c r="AH2053" s="1120"/>
      <c r="AI2053" s="1120"/>
      <c r="AJ2053" s="1120"/>
    </row>
    <row r="2054" spans="2:36" ht="30" customHeight="1" x14ac:dyDescent="0.25">
      <c r="B2054" s="5"/>
      <c r="C2054" s="5"/>
      <c r="D2054" s="5"/>
      <c r="E2054" s="5"/>
      <c r="F2054" s="5"/>
      <c r="G2054" s="5"/>
      <c r="H2054" s="5"/>
      <c r="I2054" s="5"/>
      <c r="J2054" s="5"/>
      <c r="L2054" s="277"/>
      <c r="M2054" s="5"/>
      <c r="R2054" s="5"/>
      <c r="S2054" s="5"/>
      <c r="T2054" s="1120"/>
      <c r="U2054" s="5"/>
      <c r="V2054" s="5"/>
      <c r="W2054" s="5"/>
      <c r="X2054" s="1120"/>
      <c r="Y2054" s="1120"/>
      <c r="Z2054" s="5"/>
      <c r="AA2054" s="5"/>
      <c r="AB2054" s="1135"/>
      <c r="AC2054" s="5"/>
      <c r="AD2054" s="5"/>
      <c r="AE2054" s="5"/>
      <c r="AF2054" s="1120"/>
      <c r="AG2054" s="1148"/>
      <c r="AH2054" s="1120"/>
      <c r="AI2054" s="1120"/>
      <c r="AJ2054" s="1120"/>
    </row>
    <row r="2055" spans="2:36" ht="30" customHeight="1" x14ac:dyDescent="0.25">
      <c r="B2055" s="5"/>
      <c r="C2055" s="5"/>
      <c r="D2055" s="5"/>
      <c r="E2055" s="5"/>
      <c r="F2055" s="5"/>
      <c r="G2055" s="5"/>
      <c r="H2055" s="5"/>
      <c r="I2055" s="5"/>
      <c r="J2055" s="5"/>
      <c r="L2055" s="277"/>
      <c r="M2055" s="5"/>
      <c r="R2055" s="5"/>
      <c r="S2055" s="5"/>
      <c r="T2055" s="1120"/>
      <c r="U2055" s="5"/>
      <c r="V2055" s="5"/>
      <c r="W2055" s="5"/>
      <c r="X2055" s="1120"/>
      <c r="Y2055" s="1120"/>
      <c r="Z2055" s="5"/>
      <c r="AA2055" s="5"/>
      <c r="AB2055" s="1135"/>
      <c r="AC2055" s="5"/>
      <c r="AD2055" s="5"/>
      <c r="AE2055" s="5"/>
      <c r="AF2055" s="1120"/>
      <c r="AG2055" s="1148"/>
      <c r="AH2055" s="1120"/>
      <c r="AI2055" s="1120"/>
      <c r="AJ2055" s="1120"/>
    </row>
    <row r="2056" spans="2:36" ht="30" customHeight="1" x14ac:dyDescent="0.25">
      <c r="B2056" s="5"/>
      <c r="C2056" s="5"/>
      <c r="D2056" s="5"/>
      <c r="E2056" s="5"/>
      <c r="F2056" s="5"/>
      <c r="G2056" s="5"/>
      <c r="H2056" s="5"/>
      <c r="I2056" s="5"/>
      <c r="J2056" s="5"/>
      <c r="L2056" s="277"/>
      <c r="M2056" s="5"/>
      <c r="R2056" s="5"/>
      <c r="S2056" s="5"/>
      <c r="T2056" s="1120"/>
      <c r="U2056" s="5"/>
      <c r="V2056" s="5"/>
      <c r="W2056" s="5"/>
      <c r="X2056" s="1120"/>
      <c r="Y2056" s="1120"/>
      <c r="Z2056" s="5"/>
      <c r="AA2056" s="5"/>
      <c r="AB2056" s="1135"/>
      <c r="AC2056" s="5"/>
      <c r="AD2056" s="5"/>
      <c r="AE2056" s="5"/>
      <c r="AF2056" s="1120"/>
      <c r="AG2056" s="1148"/>
      <c r="AH2056" s="1120"/>
      <c r="AI2056" s="1120"/>
      <c r="AJ2056" s="1120"/>
    </row>
    <row r="2057" spans="2:36" ht="30" customHeight="1" x14ac:dyDescent="0.25">
      <c r="B2057" s="5"/>
      <c r="C2057" s="5"/>
      <c r="D2057" s="5"/>
      <c r="E2057" s="5"/>
      <c r="F2057" s="5"/>
      <c r="G2057" s="5"/>
      <c r="H2057" s="5"/>
      <c r="I2057" s="5"/>
      <c r="J2057" s="5"/>
      <c r="L2057" s="277"/>
      <c r="M2057" s="5"/>
      <c r="R2057" s="5"/>
      <c r="S2057" s="5"/>
      <c r="T2057" s="1120"/>
      <c r="U2057" s="5"/>
      <c r="V2057" s="5"/>
      <c r="W2057" s="5"/>
      <c r="X2057" s="1120"/>
      <c r="Y2057" s="1120"/>
      <c r="Z2057" s="5"/>
      <c r="AA2057" s="5"/>
      <c r="AB2057" s="1135"/>
      <c r="AC2057" s="5"/>
      <c r="AD2057" s="5"/>
      <c r="AE2057" s="5"/>
      <c r="AF2057" s="1120"/>
      <c r="AG2057" s="1148"/>
      <c r="AH2057" s="1120"/>
      <c r="AI2057" s="1120"/>
      <c r="AJ2057" s="1120"/>
    </row>
    <row r="2058" spans="2:36" ht="30" customHeight="1" x14ac:dyDescent="0.25">
      <c r="B2058" s="5"/>
      <c r="C2058" s="5"/>
      <c r="D2058" s="5"/>
      <c r="E2058" s="5"/>
      <c r="F2058" s="5"/>
      <c r="G2058" s="5"/>
      <c r="H2058" s="5"/>
      <c r="I2058" s="5"/>
      <c r="J2058" s="5"/>
      <c r="L2058" s="277"/>
      <c r="M2058" s="5"/>
      <c r="R2058" s="5"/>
      <c r="S2058" s="5"/>
      <c r="T2058" s="1120"/>
      <c r="U2058" s="5"/>
      <c r="V2058" s="5"/>
      <c r="W2058" s="5"/>
      <c r="X2058" s="1120"/>
      <c r="Y2058" s="1120"/>
      <c r="Z2058" s="5"/>
      <c r="AA2058" s="5"/>
      <c r="AB2058" s="1135"/>
      <c r="AC2058" s="5"/>
      <c r="AD2058" s="5"/>
      <c r="AE2058" s="5"/>
      <c r="AF2058" s="1120"/>
      <c r="AG2058" s="1148"/>
      <c r="AH2058" s="1120"/>
      <c r="AI2058" s="1120"/>
      <c r="AJ2058" s="1120"/>
    </row>
    <row r="2059" spans="2:36" ht="30" customHeight="1" x14ac:dyDescent="0.25">
      <c r="B2059" s="5"/>
      <c r="C2059" s="5"/>
      <c r="D2059" s="5"/>
      <c r="E2059" s="5"/>
      <c r="F2059" s="5"/>
      <c r="G2059" s="5"/>
      <c r="H2059" s="5"/>
      <c r="I2059" s="5"/>
      <c r="J2059" s="5"/>
      <c r="L2059" s="277"/>
      <c r="M2059" s="5"/>
      <c r="R2059" s="5"/>
      <c r="S2059" s="5"/>
      <c r="T2059" s="1120"/>
      <c r="U2059" s="5"/>
      <c r="V2059" s="5"/>
      <c r="W2059" s="5"/>
      <c r="X2059" s="1120"/>
      <c r="Y2059" s="1120"/>
      <c r="Z2059" s="5"/>
      <c r="AA2059" s="5"/>
      <c r="AB2059" s="1135"/>
      <c r="AC2059" s="5"/>
      <c r="AD2059" s="5"/>
      <c r="AE2059" s="5"/>
      <c r="AF2059" s="1120"/>
      <c r="AG2059" s="1148"/>
      <c r="AH2059" s="1120"/>
      <c r="AI2059" s="1120"/>
      <c r="AJ2059" s="1120"/>
    </row>
    <row r="2060" spans="2:36" ht="30" customHeight="1" x14ac:dyDescent="0.25">
      <c r="B2060" s="5"/>
      <c r="C2060" s="5"/>
      <c r="D2060" s="5"/>
      <c r="E2060" s="5"/>
      <c r="F2060" s="5"/>
      <c r="G2060" s="5"/>
      <c r="H2060" s="5"/>
      <c r="I2060" s="5"/>
      <c r="J2060" s="5"/>
      <c r="L2060" s="277"/>
      <c r="M2060" s="5"/>
      <c r="R2060" s="5"/>
      <c r="S2060" s="5"/>
      <c r="T2060" s="1120"/>
      <c r="U2060" s="5"/>
      <c r="V2060" s="5"/>
      <c r="W2060" s="5"/>
      <c r="X2060" s="1120"/>
      <c r="Y2060" s="1120"/>
      <c r="Z2060" s="5"/>
      <c r="AA2060" s="5"/>
      <c r="AB2060" s="1135"/>
      <c r="AC2060" s="5"/>
      <c r="AD2060" s="5"/>
      <c r="AE2060" s="5"/>
      <c r="AF2060" s="1120"/>
      <c r="AG2060" s="1148"/>
      <c r="AH2060" s="1120"/>
      <c r="AI2060" s="1120"/>
      <c r="AJ2060" s="1120"/>
    </row>
    <row r="2061" spans="2:36" ht="30" customHeight="1" x14ac:dyDescent="0.25">
      <c r="B2061" s="5"/>
      <c r="C2061" s="5"/>
      <c r="D2061" s="5"/>
      <c r="E2061" s="5"/>
      <c r="F2061" s="5"/>
      <c r="G2061" s="5"/>
      <c r="H2061" s="5"/>
      <c r="I2061" s="5"/>
      <c r="J2061" s="5"/>
      <c r="L2061" s="277"/>
      <c r="M2061" s="5"/>
      <c r="R2061" s="5"/>
      <c r="S2061" s="5"/>
      <c r="T2061" s="1120"/>
      <c r="U2061" s="5"/>
      <c r="V2061" s="5"/>
      <c r="W2061" s="5"/>
      <c r="X2061" s="1120"/>
      <c r="Y2061" s="1120"/>
      <c r="Z2061" s="5"/>
      <c r="AA2061" s="5"/>
      <c r="AB2061" s="1135"/>
      <c r="AC2061" s="5"/>
      <c r="AD2061" s="5"/>
      <c r="AE2061" s="5"/>
      <c r="AF2061" s="1120"/>
      <c r="AG2061" s="1148"/>
      <c r="AH2061" s="1120"/>
      <c r="AI2061" s="1120"/>
      <c r="AJ2061" s="1120"/>
    </row>
    <row r="2062" spans="2:36" ht="30" customHeight="1" x14ac:dyDescent="0.25">
      <c r="B2062" s="5"/>
      <c r="C2062" s="5"/>
      <c r="D2062" s="5"/>
      <c r="E2062" s="5"/>
      <c r="F2062" s="5"/>
      <c r="G2062" s="5"/>
      <c r="H2062" s="5"/>
      <c r="I2062" s="5"/>
      <c r="J2062" s="5"/>
      <c r="L2062" s="277"/>
      <c r="M2062" s="5"/>
      <c r="R2062" s="5"/>
      <c r="S2062" s="5"/>
      <c r="T2062" s="1120"/>
      <c r="U2062" s="5"/>
      <c r="V2062" s="5"/>
      <c r="W2062" s="5"/>
      <c r="X2062" s="1120"/>
      <c r="Y2062" s="1120"/>
      <c r="Z2062" s="5"/>
      <c r="AA2062" s="5"/>
      <c r="AB2062" s="1135"/>
      <c r="AC2062" s="5"/>
      <c r="AD2062" s="5"/>
      <c r="AE2062" s="5"/>
      <c r="AF2062" s="1120"/>
      <c r="AG2062" s="1148"/>
      <c r="AH2062" s="1120"/>
      <c r="AI2062" s="1120"/>
      <c r="AJ2062" s="1120"/>
    </row>
    <row r="2063" spans="2:36" ht="30" customHeight="1" x14ac:dyDescent="0.25">
      <c r="B2063" s="5"/>
      <c r="C2063" s="5"/>
      <c r="D2063" s="5"/>
      <c r="E2063" s="5"/>
      <c r="F2063" s="5"/>
      <c r="G2063" s="5"/>
      <c r="H2063" s="5"/>
      <c r="I2063" s="5"/>
      <c r="J2063" s="5"/>
      <c r="L2063" s="277"/>
      <c r="M2063" s="5"/>
      <c r="R2063" s="5"/>
      <c r="S2063" s="5"/>
      <c r="T2063" s="1120"/>
      <c r="U2063" s="5"/>
      <c r="V2063" s="5"/>
      <c r="W2063" s="5"/>
      <c r="X2063" s="1120"/>
      <c r="Y2063" s="1120"/>
      <c r="Z2063" s="5"/>
      <c r="AA2063" s="5"/>
      <c r="AB2063" s="1135"/>
      <c r="AC2063" s="5"/>
      <c r="AD2063" s="5"/>
      <c r="AE2063" s="5"/>
      <c r="AF2063" s="1120"/>
      <c r="AG2063" s="1148"/>
      <c r="AH2063" s="1120"/>
      <c r="AI2063" s="1120"/>
      <c r="AJ2063" s="1120"/>
    </row>
    <row r="2064" spans="2:36" ht="30" customHeight="1" x14ac:dyDescent="0.25">
      <c r="B2064" s="5"/>
      <c r="C2064" s="5"/>
      <c r="D2064" s="5"/>
      <c r="E2064" s="5"/>
      <c r="F2064" s="5"/>
      <c r="G2064" s="5"/>
      <c r="H2064" s="5"/>
      <c r="I2064" s="5"/>
      <c r="J2064" s="5"/>
      <c r="L2064" s="277"/>
      <c r="M2064" s="5"/>
      <c r="R2064" s="5"/>
      <c r="S2064" s="5"/>
      <c r="T2064" s="1120"/>
      <c r="U2064" s="5"/>
      <c r="V2064" s="5"/>
      <c r="W2064" s="5"/>
      <c r="X2064" s="1120"/>
      <c r="Y2064" s="1120"/>
      <c r="Z2064" s="5"/>
      <c r="AA2064" s="5"/>
      <c r="AB2064" s="1135"/>
      <c r="AC2064" s="5"/>
      <c r="AD2064" s="5"/>
      <c r="AE2064" s="5"/>
      <c r="AF2064" s="1120"/>
      <c r="AG2064" s="1148"/>
      <c r="AH2064" s="1120"/>
      <c r="AI2064" s="1120"/>
      <c r="AJ2064" s="1120"/>
    </row>
    <row r="2065" spans="2:36" ht="30" customHeight="1" x14ac:dyDescent="0.25">
      <c r="B2065" s="5"/>
      <c r="C2065" s="5"/>
      <c r="D2065" s="5"/>
      <c r="E2065" s="5"/>
      <c r="F2065" s="5"/>
      <c r="G2065" s="5"/>
      <c r="H2065" s="5"/>
      <c r="I2065" s="5"/>
      <c r="J2065" s="5"/>
      <c r="L2065" s="277"/>
      <c r="M2065" s="5"/>
      <c r="R2065" s="5"/>
      <c r="S2065" s="5"/>
      <c r="T2065" s="1120"/>
      <c r="U2065" s="5"/>
      <c r="V2065" s="5"/>
      <c r="W2065" s="5"/>
      <c r="X2065" s="1120"/>
      <c r="Y2065" s="1120"/>
      <c r="Z2065" s="5"/>
      <c r="AA2065" s="5"/>
      <c r="AB2065" s="1135"/>
      <c r="AC2065" s="5"/>
      <c r="AD2065" s="5"/>
      <c r="AE2065" s="5"/>
      <c r="AF2065" s="1120"/>
      <c r="AG2065" s="1148"/>
      <c r="AH2065" s="1120"/>
      <c r="AI2065" s="1120"/>
      <c r="AJ2065" s="1120"/>
    </row>
    <row r="2066" spans="2:36" ht="30" customHeight="1" x14ac:dyDescent="0.25">
      <c r="B2066" s="5"/>
      <c r="C2066" s="5"/>
      <c r="D2066" s="5"/>
      <c r="E2066" s="5"/>
      <c r="F2066" s="5"/>
      <c r="G2066" s="5"/>
      <c r="H2066" s="5"/>
      <c r="I2066" s="5"/>
      <c r="J2066" s="5"/>
      <c r="L2066" s="277"/>
      <c r="M2066" s="5"/>
      <c r="R2066" s="5"/>
      <c r="S2066" s="5"/>
      <c r="T2066" s="1120"/>
      <c r="U2066" s="5"/>
      <c r="V2066" s="5"/>
      <c r="W2066" s="5"/>
      <c r="X2066" s="1120"/>
      <c r="Y2066" s="1120"/>
      <c r="Z2066" s="5"/>
      <c r="AA2066" s="5"/>
      <c r="AB2066" s="1135"/>
      <c r="AC2066" s="5"/>
      <c r="AD2066" s="5"/>
      <c r="AE2066" s="5"/>
      <c r="AF2066" s="1120"/>
      <c r="AG2066" s="1148"/>
      <c r="AH2066" s="1120"/>
      <c r="AI2066" s="1120"/>
      <c r="AJ2066" s="1120"/>
    </row>
    <row r="2067" spans="2:36" ht="30" customHeight="1" x14ac:dyDescent="0.25">
      <c r="B2067" s="5"/>
      <c r="C2067" s="5"/>
      <c r="D2067" s="5"/>
      <c r="E2067" s="5"/>
      <c r="F2067" s="5"/>
      <c r="G2067" s="5"/>
      <c r="H2067" s="5"/>
      <c r="I2067" s="5"/>
      <c r="J2067" s="5"/>
      <c r="L2067" s="277"/>
      <c r="M2067" s="5"/>
      <c r="R2067" s="5"/>
      <c r="S2067" s="5"/>
      <c r="T2067" s="1120"/>
      <c r="U2067" s="5"/>
      <c r="V2067" s="5"/>
      <c r="W2067" s="5"/>
      <c r="X2067" s="1120"/>
      <c r="Y2067" s="1120"/>
      <c r="Z2067" s="5"/>
      <c r="AA2067" s="5"/>
      <c r="AB2067" s="1135"/>
      <c r="AC2067" s="5"/>
      <c r="AD2067" s="5"/>
      <c r="AE2067" s="5"/>
      <c r="AF2067" s="1120"/>
      <c r="AG2067" s="1148"/>
      <c r="AH2067" s="1120"/>
      <c r="AI2067" s="1120"/>
      <c r="AJ2067" s="1120"/>
    </row>
    <row r="2068" spans="2:36" ht="30" customHeight="1" x14ac:dyDescent="0.25">
      <c r="B2068" s="5"/>
      <c r="C2068" s="5"/>
      <c r="D2068" s="5"/>
      <c r="E2068" s="5"/>
      <c r="F2068" s="5"/>
      <c r="G2068" s="5"/>
      <c r="H2068" s="5"/>
      <c r="I2068" s="5"/>
      <c r="J2068" s="5"/>
      <c r="L2068" s="277"/>
      <c r="M2068" s="5"/>
      <c r="R2068" s="5"/>
      <c r="S2068" s="5"/>
      <c r="T2068" s="1120"/>
      <c r="U2068" s="5"/>
      <c r="V2068" s="5"/>
      <c r="W2068" s="5"/>
      <c r="X2068" s="1120"/>
      <c r="Y2068" s="1120"/>
      <c r="Z2068" s="5"/>
      <c r="AA2068" s="5"/>
      <c r="AB2068" s="1135"/>
      <c r="AC2068" s="5"/>
      <c r="AD2068" s="5"/>
      <c r="AE2068" s="5"/>
      <c r="AF2068" s="1120"/>
      <c r="AG2068" s="1148"/>
      <c r="AH2068" s="1120"/>
      <c r="AI2068" s="1120"/>
      <c r="AJ2068" s="1120"/>
    </row>
    <row r="2069" spans="2:36" ht="30" customHeight="1" x14ac:dyDescent="0.25">
      <c r="B2069" s="5"/>
      <c r="C2069" s="5"/>
      <c r="D2069" s="5"/>
      <c r="E2069" s="5"/>
      <c r="F2069" s="5"/>
      <c r="G2069" s="5"/>
      <c r="H2069" s="5"/>
      <c r="I2069" s="5"/>
      <c r="J2069" s="5"/>
      <c r="L2069" s="277"/>
      <c r="M2069" s="5"/>
      <c r="R2069" s="5"/>
      <c r="S2069" s="5"/>
      <c r="T2069" s="1120"/>
      <c r="U2069" s="5"/>
      <c r="V2069" s="5"/>
      <c r="W2069" s="5"/>
      <c r="X2069" s="1120"/>
      <c r="Y2069" s="1120"/>
      <c r="Z2069" s="5"/>
      <c r="AA2069" s="5"/>
      <c r="AB2069" s="1135"/>
      <c r="AC2069" s="5"/>
      <c r="AD2069" s="5"/>
      <c r="AE2069" s="5"/>
      <c r="AF2069" s="1120"/>
      <c r="AG2069" s="1148"/>
      <c r="AH2069" s="1120"/>
      <c r="AI2069" s="1120"/>
      <c r="AJ2069" s="1120"/>
    </row>
    <row r="2070" spans="2:36" ht="30" customHeight="1" x14ac:dyDescent="0.25">
      <c r="B2070" s="5"/>
      <c r="C2070" s="5"/>
      <c r="D2070" s="5"/>
      <c r="E2070" s="5"/>
      <c r="F2070" s="5"/>
      <c r="G2070" s="5"/>
      <c r="H2070" s="5"/>
      <c r="I2070" s="5"/>
      <c r="J2070" s="5"/>
      <c r="L2070" s="277"/>
      <c r="M2070" s="5"/>
      <c r="R2070" s="5"/>
      <c r="S2070" s="5"/>
      <c r="T2070" s="1120"/>
      <c r="U2070" s="5"/>
      <c r="V2070" s="5"/>
      <c r="W2070" s="5"/>
      <c r="X2070" s="1120"/>
      <c r="Y2070" s="1120"/>
      <c r="Z2070" s="5"/>
      <c r="AA2070" s="5"/>
      <c r="AB2070" s="1135"/>
      <c r="AC2070" s="5"/>
      <c r="AD2070" s="5"/>
      <c r="AE2070" s="5"/>
      <c r="AF2070" s="1120"/>
      <c r="AG2070" s="1148"/>
      <c r="AH2070" s="1120"/>
      <c r="AI2070" s="1120"/>
      <c r="AJ2070" s="1120"/>
    </row>
    <row r="2071" spans="2:36" ht="30" customHeight="1" x14ac:dyDescent="0.25">
      <c r="B2071" s="5"/>
      <c r="C2071" s="5"/>
      <c r="D2071" s="5"/>
      <c r="E2071" s="5"/>
      <c r="F2071" s="5"/>
      <c r="G2071" s="5"/>
      <c r="H2071" s="5"/>
      <c r="I2071" s="5"/>
      <c r="J2071" s="5"/>
      <c r="L2071" s="277"/>
      <c r="M2071" s="5"/>
      <c r="R2071" s="5"/>
      <c r="S2071" s="5"/>
      <c r="T2071" s="1120"/>
      <c r="U2071" s="5"/>
      <c r="V2071" s="5"/>
      <c r="W2071" s="5"/>
      <c r="X2071" s="1120"/>
      <c r="Y2071" s="1120"/>
      <c r="Z2071" s="5"/>
      <c r="AA2071" s="5"/>
      <c r="AB2071" s="1135"/>
      <c r="AC2071" s="5"/>
      <c r="AD2071" s="5"/>
      <c r="AE2071" s="5"/>
      <c r="AF2071" s="1120"/>
      <c r="AG2071" s="1148"/>
      <c r="AH2071" s="1120"/>
      <c r="AI2071" s="1120"/>
      <c r="AJ2071" s="1120"/>
    </row>
    <row r="2072" spans="2:36" ht="30" customHeight="1" x14ac:dyDescent="0.25">
      <c r="B2072" s="5"/>
      <c r="C2072" s="5"/>
      <c r="D2072" s="5"/>
      <c r="E2072" s="5"/>
      <c r="F2072" s="5"/>
      <c r="G2072" s="5"/>
      <c r="H2072" s="5"/>
      <c r="I2072" s="5"/>
      <c r="J2072" s="5"/>
      <c r="L2072" s="277"/>
      <c r="M2072" s="5"/>
      <c r="R2072" s="5"/>
      <c r="S2072" s="5"/>
      <c r="T2072" s="1120"/>
      <c r="U2072" s="5"/>
      <c r="V2072" s="5"/>
      <c r="W2072" s="5"/>
      <c r="X2072" s="1120"/>
      <c r="Y2072" s="1120"/>
      <c r="Z2072" s="5"/>
      <c r="AA2072" s="5"/>
      <c r="AB2072" s="1135"/>
      <c r="AC2072" s="5"/>
      <c r="AD2072" s="5"/>
      <c r="AE2072" s="5"/>
      <c r="AF2072" s="1120"/>
      <c r="AG2072" s="1148"/>
      <c r="AH2072" s="1120"/>
      <c r="AI2072" s="1120"/>
      <c r="AJ2072" s="1120"/>
    </row>
    <row r="2073" spans="2:36" ht="30" customHeight="1" x14ac:dyDescent="0.25">
      <c r="B2073" s="5"/>
      <c r="C2073" s="5"/>
      <c r="D2073" s="5"/>
      <c r="E2073" s="5"/>
      <c r="F2073" s="5"/>
      <c r="G2073" s="5"/>
      <c r="H2073" s="5"/>
      <c r="I2073" s="5"/>
      <c r="J2073" s="5"/>
      <c r="L2073" s="277"/>
      <c r="M2073" s="5"/>
      <c r="R2073" s="5"/>
      <c r="S2073" s="5"/>
      <c r="T2073" s="1120"/>
      <c r="U2073" s="5"/>
      <c r="V2073" s="5"/>
      <c r="W2073" s="5"/>
      <c r="X2073" s="1120"/>
      <c r="Y2073" s="1120"/>
      <c r="Z2073" s="5"/>
      <c r="AA2073" s="5"/>
      <c r="AB2073" s="1135"/>
      <c r="AC2073" s="5"/>
      <c r="AD2073" s="5"/>
      <c r="AE2073" s="5"/>
      <c r="AF2073" s="1120"/>
      <c r="AG2073" s="1148"/>
      <c r="AH2073" s="1120"/>
      <c r="AI2073" s="1120"/>
      <c r="AJ2073" s="1120"/>
    </row>
    <row r="2074" spans="2:36" ht="30" customHeight="1" x14ac:dyDescent="0.25">
      <c r="B2074" s="5"/>
      <c r="C2074" s="5"/>
      <c r="D2074" s="5"/>
      <c r="E2074" s="5"/>
      <c r="F2074" s="5"/>
      <c r="G2074" s="5"/>
      <c r="H2074" s="5"/>
      <c r="I2074" s="5"/>
      <c r="J2074" s="5"/>
      <c r="L2074" s="277"/>
      <c r="M2074" s="5"/>
      <c r="R2074" s="5"/>
      <c r="S2074" s="5"/>
      <c r="T2074" s="1120"/>
      <c r="U2074" s="5"/>
      <c r="V2074" s="5"/>
      <c r="W2074" s="5"/>
      <c r="X2074" s="1120"/>
      <c r="Y2074" s="1120"/>
      <c r="Z2074" s="5"/>
      <c r="AA2074" s="5"/>
      <c r="AB2074" s="1135"/>
      <c r="AC2074" s="5"/>
      <c r="AD2074" s="5"/>
      <c r="AE2074" s="5"/>
      <c r="AF2074" s="1120"/>
      <c r="AG2074" s="1148"/>
      <c r="AH2074" s="1120"/>
      <c r="AI2074" s="1120"/>
      <c r="AJ2074" s="1120"/>
    </row>
    <row r="2075" spans="2:36" ht="30" customHeight="1" x14ac:dyDescent="0.25">
      <c r="B2075" s="5"/>
      <c r="C2075" s="5"/>
      <c r="D2075" s="5"/>
      <c r="E2075" s="5"/>
      <c r="F2075" s="5"/>
      <c r="G2075" s="5"/>
      <c r="H2075" s="5"/>
      <c r="I2075" s="5"/>
      <c r="J2075" s="5"/>
      <c r="L2075" s="277"/>
      <c r="M2075" s="5"/>
      <c r="R2075" s="5"/>
      <c r="S2075" s="5"/>
      <c r="T2075" s="1120"/>
      <c r="U2075" s="5"/>
      <c r="V2075" s="5"/>
      <c r="W2075" s="5"/>
      <c r="X2075" s="1120"/>
      <c r="Y2075" s="1120"/>
      <c r="Z2075" s="5"/>
      <c r="AA2075" s="5"/>
      <c r="AB2075" s="1135"/>
      <c r="AC2075" s="5"/>
      <c r="AD2075" s="5"/>
      <c r="AE2075" s="5"/>
      <c r="AF2075" s="1120"/>
      <c r="AG2075" s="1148"/>
      <c r="AH2075" s="1120"/>
      <c r="AI2075" s="1120"/>
      <c r="AJ2075" s="1120"/>
    </row>
    <row r="2076" spans="2:36" ht="30" customHeight="1" x14ac:dyDescent="0.25">
      <c r="B2076" s="5"/>
      <c r="C2076" s="5"/>
      <c r="D2076" s="5"/>
      <c r="E2076" s="5"/>
      <c r="F2076" s="5"/>
      <c r="G2076" s="5"/>
      <c r="H2076" s="5"/>
      <c r="I2076" s="5"/>
      <c r="J2076" s="5"/>
      <c r="L2076" s="277"/>
      <c r="M2076" s="5"/>
      <c r="R2076" s="5"/>
      <c r="S2076" s="5"/>
      <c r="T2076" s="1120"/>
      <c r="U2076" s="5"/>
      <c r="V2076" s="5"/>
      <c r="W2076" s="5"/>
      <c r="X2076" s="1120"/>
      <c r="Y2076" s="1120"/>
      <c r="Z2076" s="5"/>
      <c r="AA2076" s="5"/>
      <c r="AB2076" s="1135"/>
      <c r="AC2076" s="5"/>
      <c r="AD2076" s="5"/>
      <c r="AE2076" s="5"/>
      <c r="AF2076" s="1120"/>
      <c r="AG2076" s="1148"/>
      <c r="AH2076" s="1120"/>
      <c r="AI2076" s="1120"/>
      <c r="AJ2076" s="1120"/>
    </row>
    <row r="2077" spans="2:36" ht="30" customHeight="1" x14ac:dyDescent="0.25">
      <c r="B2077" s="5"/>
      <c r="C2077" s="5"/>
      <c r="D2077" s="5"/>
      <c r="E2077" s="5"/>
      <c r="F2077" s="5"/>
      <c r="G2077" s="5"/>
      <c r="H2077" s="5"/>
      <c r="I2077" s="5"/>
      <c r="J2077" s="5"/>
      <c r="L2077" s="277"/>
      <c r="M2077" s="5"/>
      <c r="R2077" s="5"/>
      <c r="S2077" s="5"/>
      <c r="T2077" s="1120"/>
      <c r="U2077" s="5"/>
      <c r="V2077" s="5"/>
      <c r="W2077" s="5"/>
      <c r="X2077" s="1120"/>
      <c r="Y2077" s="1120"/>
      <c r="Z2077" s="5"/>
      <c r="AA2077" s="5"/>
      <c r="AB2077" s="1135"/>
      <c r="AC2077" s="5"/>
      <c r="AD2077" s="5"/>
      <c r="AE2077" s="5"/>
      <c r="AF2077" s="1120"/>
      <c r="AG2077" s="1148"/>
      <c r="AH2077" s="1120"/>
      <c r="AI2077" s="1120"/>
      <c r="AJ2077" s="1120"/>
    </row>
    <row r="2078" spans="2:36" ht="30" customHeight="1" x14ac:dyDescent="0.25">
      <c r="B2078" s="5"/>
      <c r="C2078" s="5"/>
      <c r="D2078" s="5"/>
      <c r="E2078" s="5"/>
      <c r="F2078" s="5"/>
      <c r="G2078" s="5"/>
      <c r="H2078" s="5"/>
      <c r="I2078" s="5"/>
      <c r="J2078" s="5"/>
      <c r="L2078" s="277"/>
      <c r="M2078" s="5"/>
      <c r="R2078" s="5"/>
      <c r="S2078" s="5"/>
      <c r="T2078" s="1120"/>
      <c r="U2078" s="5"/>
      <c r="V2078" s="5"/>
      <c r="W2078" s="5"/>
      <c r="X2078" s="1120"/>
      <c r="Y2078" s="1120"/>
      <c r="Z2078" s="5"/>
      <c r="AA2078" s="5"/>
      <c r="AB2078" s="1135"/>
      <c r="AC2078" s="5"/>
      <c r="AD2078" s="5"/>
      <c r="AE2078" s="5"/>
      <c r="AF2078" s="1120"/>
      <c r="AG2078" s="1148"/>
      <c r="AH2078" s="1120"/>
      <c r="AI2078" s="1120"/>
      <c r="AJ2078" s="1120"/>
    </row>
    <row r="2079" spans="2:36" ht="30" customHeight="1" x14ac:dyDescent="0.25">
      <c r="B2079" s="5"/>
      <c r="C2079" s="5"/>
      <c r="D2079" s="5"/>
      <c r="E2079" s="5"/>
      <c r="F2079" s="5"/>
      <c r="G2079" s="5"/>
      <c r="H2079" s="5"/>
      <c r="I2079" s="5"/>
      <c r="J2079" s="5"/>
      <c r="L2079" s="277"/>
      <c r="M2079" s="5"/>
      <c r="R2079" s="5"/>
      <c r="S2079" s="5"/>
      <c r="T2079" s="1120"/>
      <c r="U2079" s="5"/>
      <c r="V2079" s="5"/>
      <c r="W2079" s="5"/>
      <c r="X2079" s="1120"/>
      <c r="Y2079" s="1120"/>
      <c r="Z2079" s="5"/>
      <c r="AA2079" s="5"/>
      <c r="AB2079" s="1135"/>
      <c r="AC2079" s="5"/>
      <c r="AD2079" s="5"/>
      <c r="AE2079" s="5"/>
      <c r="AF2079" s="1120"/>
      <c r="AG2079" s="1148"/>
      <c r="AH2079" s="1120"/>
      <c r="AI2079" s="1120"/>
      <c r="AJ2079" s="1120"/>
    </row>
    <row r="2080" spans="2:36" ht="30" customHeight="1" x14ac:dyDescent="0.25">
      <c r="B2080" s="5"/>
      <c r="C2080" s="5"/>
      <c r="D2080" s="5"/>
      <c r="E2080" s="5"/>
      <c r="F2080" s="5"/>
      <c r="G2080" s="5"/>
      <c r="H2080" s="5"/>
      <c r="I2080" s="5"/>
      <c r="J2080" s="5"/>
      <c r="L2080" s="277"/>
      <c r="M2080" s="5"/>
      <c r="R2080" s="5"/>
      <c r="S2080" s="5"/>
      <c r="T2080" s="1120"/>
      <c r="U2080" s="5"/>
      <c r="V2080" s="5"/>
      <c r="W2080" s="5"/>
      <c r="X2080" s="1120"/>
      <c r="Y2080" s="1120"/>
      <c r="Z2080" s="5"/>
      <c r="AA2080" s="5"/>
      <c r="AB2080" s="1135"/>
      <c r="AC2080" s="5"/>
      <c r="AD2080" s="5"/>
      <c r="AE2080" s="5"/>
      <c r="AF2080" s="1120"/>
      <c r="AG2080" s="1148"/>
      <c r="AH2080" s="1120"/>
      <c r="AI2080" s="1120"/>
      <c r="AJ2080" s="1120"/>
    </row>
    <row r="2081" spans="2:36" ht="30" customHeight="1" x14ac:dyDescent="0.25">
      <c r="B2081" s="5"/>
      <c r="C2081" s="5"/>
      <c r="D2081" s="5"/>
      <c r="E2081" s="5"/>
      <c r="F2081" s="5"/>
      <c r="G2081" s="5"/>
      <c r="H2081" s="5"/>
      <c r="I2081" s="5"/>
      <c r="J2081" s="5"/>
      <c r="L2081" s="277"/>
      <c r="M2081" s="5"/>
      <c r="R2081" s="5"/>
      <c r="S2081" s="5"/>
      <c r="T2081" s="1120"/>
      <c r="U2081" s="5"/>
      <c r="V2081" s="5"/>
      <c r="W2081" s="5"/>
      <c r="X2081" s="1120"/>
      <c r="Y2081" s="1120"/>
      <c r="Z2081" s="5"/>
      <c r="AA2081" s="5"/>
      <c r="AB2081" s="1135"/>
      <c r="AC2081" s="5"/>
      <c r="AD2081" s="5"/>
      <c r="AE2081" s="5"/>
      <c r="AF2081" s="1120"/>
      <c r="AG2081" s="1148"/>
      <c r="AH2081" s="1120"/>
      <c r="AI2081" s="1120"/>
      <c r="AJ2081" s="1120"/>
    </row>
    <row r="2082" spans="2:36" ht="30" customHeight="1" x14ac:dyDescent="0.25">
      <c r="B2082" s="5"/>
      <c r="C2082" s="5"/>
      <c r="D2082" s="5"/>
      <c r="E2082" s="5"/>
      <c r="F2082" s="5"/>
      <c r="G2082" s="5"/>
      <c r="H2082" s="5"/>
      <c r="I2082" s="5"/>
      <c r="J2082" s="5"/>
      <c r="L2082" s="277"/>
      <c r="M2082" s="5"/>
      <c r="R2082" s="5"/>
      <c r="S2082" s="5"/>
      <c r="T2082" s="1120"/>
      <c r="U2082" s="5"/>
      <c r="V2082" s="5"/>
      <c r="W2082" s="5"/>
      <c r="X2082" s="1120"/>
      <c r="Y2082" s="1120"/>
      <c r="Z2082" s="5"/>
      <c r="AA2082" s="5"/>
      <c r="AB2082" s="1135"/>
      <c r="AC2082" s="5"/>
      <c r="AD2082" s="5"/>
      <c r="AE2082" s="5"/>
      <c r="AF2082" s="1120"/>
      <c r="AG2082" s="1148"/>
      <c r="AH2082" s="1120"/>
      <c r="AI2082" s="1120"/>
      <c r="AJ2082" s="1120"/>
    </row>
    <row r="2083" spans="2:36" ht="30" customHeight="1" x14ac:dyDescent="0.25">
      <c r="B2083" s="5"/>
      <c r="C2083" s="5"/>
      <c r="D2083" s="5"/>
      <c r="E2083" s="5"/>
      <c r="F2083" s="5"/>
      <c r="G2083" s="5"/>
      <c r="H2083" s="5"/>
      <c r="I2083" s="5"/>
      <c r="J2083" s="5"/>
      <c r="L2083" s="277"/>
      <c r="M2083" s="5"/>
      <c r="R2083" s="5"/>
      <c r="S2083" s="5"/>
      <c r="T2083" s="1120"/>
      <c r="U2083" s="5"/>
      <c r="V2083" s="5"/>
      <c r="W2083" s="5"/>
      <c r="X2083" s="1120"/>
      <c r="Y2083" s="1120"/>
      <c r="Z2083" s="5"/>
      <c r="AA2083" s="5"/>
      <c r="AB2083" s="1135"/>
      <c r="AC2083" s="5"/>
      <c r="AD2083" s="5"/>
      <c r="AE2083" s="5"/>
      <c r="AF2083" s="1120"/>
      <c r="AG2083" s="1148"/>
      <c r="AH2083" s="1120"/>
      <c r="AI2083" s="1120"/>
      <c r="AJ2083" s="1120"/>
    </row>
    <row r="2084" spans="2:36" ht="30" customHeight="1" x14ac:dyDescent="0.25">
      <c r="B2084" s="5"/>
      <c r="C2084" s="5"/>
      <c r="D2084" s="5"/>
      <c r="E2084" s="5"/>
      <c r="F2084" s="5"/>
      <c r="G2084" s="5"/>
      <c r="H2084" s="5"/>
      <c r="I2084" s="5"/>
      <c r="J2084" s="5"/>
      <c r="L2084" s="277"/>
      <c r="M2084" s="5"/>
      <c r="R2084" s="5"/>
      <c r="S2084" s="5"/>
      <c r="T2084" s="1120"/>
      <c r="U2084" s="5"/>
      <c r="V2084" s="5"/>
      <c r="W2084" s="5"/>
      <c r="X2084" s="1120"/>
      <c r="Y2084" s="1120"/>
      <c r="Z2084" s="5"/>
      <c r="AA2084" s="5"/>
      <c r="AB2084" s="1135"/>
      <c r="AC2084" s="5"/>
      <c r="AD2084" s="5"/>
      <c r="AE2084" s="5"/>
      <c r="AF2084" s="1120"/>
      <c r="AG2084" s="1148"/>
      <c r="AH2084" s="1120"/>
      <c r="AI2084" s="1120"/>
      <c r="AJ2084" s="1120"/>
    </row>
    <row r="2085" spans="2:36" ht="30" customHeight="1" x14ac:dyDescent="0.25">
      <c r="B2085" s="5"/>
      <c r="C2085" s="5"/>
      <c r="D2085" s="5"/>
      <c r="E2085" s="5"/>
      <c r="F2085" s="5"/>
      <c r="G2085" s="5"/>
      <c r="H2085" s="5"/>
      <c r="I2085" s="5"/>
      <c r="J2085" s="5"/>
      <c r="L2085" s="277"/>
      <c r="M2085" s="5"/>
      <c r="R2085" s="5"/>
      <c r="S2085" s="5"/>
      <c r="T2085" s="1120"/>
      <c r="U2085" s="5"/>
      <c r="V2085" s="5"/>
      <c r="W2085" s="5"/>
      <c r="X2085" s="1120"/>
      <c r="Y2085" s="1120"/>
      <c r="Z2085" s="5"/>
      <c r="AA2085" s="5"/>
      <c r="AB2085" s="1135"/>
      <c r="AC2085" s="5"/>
      <c r="AD2085" s="5"/>
      <c r="AE2085" s="5"/>
      <c r="AF2085" s="1120"/>
      <c r="AG2085" s="1148"/>
      <c r="AH2085" s="1120"/>
      <c r="AI2085" s="1120"/>
      <c r="AJ2085" s="1120"/>
    </row>
    <row r="2086" spans="2:36" ht="30" customHeight="1" x14ac:dyDescent="0.25">
      <c r="B2086" s="5"/>
      <c r="C2086" s="5"/>
      <c r="D2086" s="5"/>
      <c r="E2086" s="5"/>
      <c r="F2086" s="5"/>
      <c r="G2086" s="5"/>
      <c r="H2086" s="5"/>
      <c r="I2086" s="5"/>
      <c r="J2086" s="5"/>
      <c r="L2086" s="277"/>
      <c r="M2086" s="5"/>
      <c r="R2086" s="5"/>
      <c r="S2086" s="5"/>
      <c r="T2086" s="1120"/>
      <c r="U2086" s="5"/>
      <c r="V2086" s="5"/>
      <c r="W2086" s="5"/>
      <c r="X2086" s="1120"/>
      <c r="Y2086" s="1120"/>
      <c r="Z2086" s="5"/>
      <c r="AA2086" s="5"/>
      <c r="AB2086" s="1135"/>
      <c r="AC2086" s="5"/>
      <c r="AD2086" s="5"/>
      <c r="AE2086" s="5"/>
      <c r="AF2086" s="1120"/>
      <c r="AG2086" s="1148"/>
      <c r="AH2086" s="1120"/>
      <c r="AI2086" s="1120"/>
      <c r="AJ2086" s="1120"/>
    </row>
    <row r="2087" spans="2:36" ht="30" customHeight="1" x14ac:dyDescent="0.25">
      <c r="B2087" s="5"/>
      <c r="C2087" s="5"/>
      <c r="D2087" s="5"/>
      <c r="E2087" s="5"/>
      <c r="F2087" s="5"/>
      <c r="G2087" s="5"/>
      <c r="H2087" s="5"/>
      <c r="I2087" s="5"/>
      <c r="J2087" s="5"/>
      <c r="L2087" s="277"/>
      <c r="M2087" s="5"/>
      <c r="R2087" s="5"/>
      <c r="S2087" s="5"/>
      <c r="T2087" s="1120"/>
      <c r="U2087" s="5"/>
      <c r="V2087" s="5"/>
      <c r="W2087" s="5"/>
      <c r="X2087" s="1120"/>
      <c r="Y2087" s="1120"/>
      <c r="Z2087" s="5"/>
      <c r="AA2087" s="5"/>
      <c r="AB2087" s="1135"/>
      <c r="AC2087" s="5"/>
      <c r="AD2087" s="5"/>
      <c r="AE2087" s="5"/>
      <c r="AF2087" s="1120"/>
      <c r="AG2087" s="1148"/>
      <c r="AH2087" s="1120"/>
      <c r="AI2087" s="1120"/>
      <c r="AJ2087" s="1120"/>
    </row>
    <row r="2088" spans="2:36" ht="30" customHeight="1" x14ac:dyDescent="0.25">
      <c r="B2088" s="5"/>
      <c r="C2088" s="5"/>
      <c r="D2088" s="5"/>
      <c r="E2088" s="5"/>
      <c r="F2088" s="5"/>
      <c r="G2088" s="5"/>
      <c r="H2088" s="5"/>
      <c r="I2088" s="5"/>
      <c r="J2088" s="5"/>
      <c r="L2088" s="277"/>
      <c r="M2088" s="5"/>
      <c r="R2088" s="5"/>
      <c r="S2088" s="5"/>
      <c r="T2088" s="1120"/>
      <c r="U2088" s="5"/>
      <c r="V2088" s="5"/>
      <c r="W2088" s="5"/>
      <c r="X2088" s="1120"/>
      <c r="Y2088" s="1120"/>
      <c r="Z2088" s="5"/>
      <c r="AA2088" s="5"/>
      <c r="AB2088" s="1135"/>
      <c r="AC2088" s="5"/>
      <c r="AD2088" s="5"/>
      <c r="AE2088" s="5"/>
      <c r="AF2088" s="1120"/>
      <c r="AG2088" s="1148"/>
      <c r="AH2088" s="1120"/>
      <c r="AI2088" s="1120"/>
      <c r="AJ2088" s="1120"/>
    </row>
    <row r="2089" spans="2:36" ht="30" customHeight="1" x14ac:dyDescent="0.25">
      <c r="B2089" s="5"/>
      <c r="C2089" s="5"/>
      <c r="D2089" s="5"/>
      <c r="E2089" s="5"/>
      <c r="F2089" s="5"/>
      <c r="G2089" s="5"/>
      <c r="H2089" s="5"/>
      <c r="I2089" s="5"/>
      <c r="J2089" s="5"/>
      <c r="L2089" s="277"/>
      <c r="M2089" s="5"/>
      <c r="R2089" s="5"/>
      <c r="S2089" s="5"/>
      <c r="T2089" s="1120"/>
      <c r="U2089" s="5"/>
      <c r="V2089" s="5"/>
      <c r="W2089" s="5"/>
      <c r="X2089" s="1120"/>
      <c r="Y2089" s="1120"/>
      <c r="Z2089" s="5"/>
      <c r="AA2089" s="5"/>
      <c r="AB2089" s="1135"/>
      <c r="AC2089" s="5"/>
      <c r="AD2089" s="5"/>
      <c r="AE2089" s="5"/>
      <c r="AF2089" s="1120"/>
      <c r="AG2089" s="1148"/>
      <c r="AH2089" s="1120"/>
      <c r="AI2089" s="1120"/>
      <c r="AJ2089" s="1120"/>
    </row>
    <row r="2090" spans="2:36" ht="30" customHeight="1" x14ac:dyDescent="0.25">
      <c r="B2090" s="5"/>
      <c r="C2090" s="5"/>
      <c r="D2090" s="5"/>
      <c r="E2090" s="5"/>
      <c r="F2090" s="5"/>
      <c r="G2090" s="5"/>
      <c r="H2090" s="5"/>
      <c r="I2090" s="5"/>
      <c r="J2090" s="5"/>
      <c r="L2090" s="277"/>
      <c r="M2090" s="5"/>
      <c r="R2090" s="5"/>
      <c r="S2090" s="5"/>
      <c r="T2090" s="1120"/>
      <c r="U2090" s="5"/>
      <c r="V2090" s="5"/>
      <c r="W2090" s="5"/>
      <c r="X2090" s="1120"/>
      <c r="Y2090" s="1120"/>
      <c r="Z2090" s="5"/>
      <c r="AA2090" s="5"/>
      <c r="AB2090" s="1135"/>
      <c r="AC2090" s="5"/>
      <c r="AD2090" s="5"/>
      <c r="AE2090" s="5"/>
      <c r="AF2090" s="1120"/>
      <c r="AG2090" s="1148"/>
      <c r="AH2090" s="1120"/>
      <c r="AI2090" s="1120"/>
      <c r="AJ2090" s="1120"/>
    </row>
    <row r="2091" spans="2:36" ht="30" customHeight="1" x14ac:dyDescent="0.25">
      <c r="B2091" s="5"/>
      <c r="C2091" s="5"/>
      <c r="D2091" s="5"/>
      <c r="E2091" s="5"/>
      <c r="F2091" s="5"/>
      <c r="G2091" s="5"/>
      <c r="H2091" s="5"/>
      <c r="I2091" s="5"/>
      <c r="J2091" s="5"/>
      <c r="L2091" s="277"/>
      <c r="M2091" s="5"/>
      <c r="R2091" s="5"/>
      <c r="S2091" s="5"/>
      <c r="T2091" s="1120"/>
      <c r="U2091" s="5"/>
      <c r="V2091" s="5"/>
      <c r="W2091" s="5"/>
      <c r="X2091" s="1120"/>
      <c r="Y2091" s="1120"/>
      <c r="Z2091" s="5"/>
      <c r="AA2091" s="5"/>
      <c r="AB2091" s="1135"/>
      <c r="AC2091" s="5"/>
      <c r="AD2091" s="5"/>
      <c r="AE2091" s="5"/>
      <c r="AF2091" s="1120"/>
      <c r="AG2091" s="1148"/>
      <c r="AH2091" s="1120"/>
      <c r="AI2091" s="1120"/>
      <c r="AJ2091" s="1120"/>
    </row>
    <row r="2092" spans="2:36" ht="30" customHeight="1" x14ac:dyDescent="0.25">
      <c r="B2092" s="5"/>
      <c r="C2092" s="5"/>
      <c r="D2092" s="5"/>
      <c r="E2092" s="5"/>
      <c r="F2092" s="5"/>
      <c r="G2092" s="5"/>
      <c r="H2092" s="5"/>
      <c r="I2092" s="5"/>
      <c r="J2092" s="5"/>
      <c r="L2092" s="277"/>
      <c r="M2092" s="5"/>
      <c r="R2092" s="5"/>
      <c r="S2092" s="5"/>
      <c r="T2092" s="1120"/>
      <c r="U2092" s="5"/>
      <c r="V2092" s="5"/>
      <c r="W2092" s="5"/>
      <c r="X2092" s="1120"/>
      <c r="Y2092" s="1120"/>
      <c r="Z2092" s="5"/>
      <c r="AA2092" s="5"/>
      <c r="AB2092" s="1135"/>
      <c r="AC2092" s="5"/>
      <c r="AD2092" s="5"/>
      <c r="AE2092" s="5"/>
      <c r="AF2092" s="1120"/>
      <c r="AG2092" s="1148"/>
      <c r="AH2092" s="1120"/>
      <c r="AI2092" s="1120"/>
      <c r="AJ2092" s="1120"/>
    </row>
    <row r="2093" spans="2:36" ht="30" customHeight="1" x14ac:dyDescent="0.25">
      <c r="B2093" s="5"/>
      <c r="C2093" s="5"/>
      <c r="D2093" s="5"/>
      <c r="E2093" s="5"/>
      <c r="F2093" s="5"/>
      <c r="G2093" s="5"/>
      <c r="H2093" s="5"/>
      <c r="I2093" s="5"/>
      <c r="J2093" s="5"/>
      <c r="L2093" s="277"/>
      <c r="M2093" s="5"/>
      <c r="R2093" s="5"/>
      <c r="S2093" s="5"/>
      <c r="T2093" s="1120"/>
      <c r="U2093" s="5"/>
      <c r="V2093" s="5"/>
      <c r="W2093" s="5"/>
      <c r="X2093" s="1120"/>
      <c r="Y2093" s="1120"/>
      <c r="Z2093" s="5"/>
      <c r="AA2093" s="5"/>
      <c r="AB2093" s="1135"/>
      <c r="AC2093" s="5"/>
      <c r="AD2093" s="5"/>
      <c r="AE2093" s="5"/>
      <c r="AF2093" s="1120"/>
      <c r="AG2093" s="1148"/>
      <c r="AH2093" s="1120"/>
      <c r="AI2093" s="1120"/>
      <c r="AJ2093" s="1120"/>
    </row>
    <row r="2094" spans="2:36" ht="30" customHeight="1" x14ac:dyDescent="0.25">
      <c r="B2094" s="5"/>
      <c r="C2094" s="5"/>
      <c r="D2094" s="5"/>
      <c r="E2094" s="5"/>
      <c r="F2094" s="5"/>
      <c r="G2094" s="5"/>
      <c r="H2094" s="5"/>
      <c r="I2094" s="5"/>
      <c r="J2094" s="5"/>
      <c r="L2094" s="277"/>
      <c r="M2094" s="5"/>
      <c r="R2094" s="5"/>
      <c r="S2094" s="5"/>
      <c r="T2094" s="1120"/>
      <c r="U2094" s="5"/>
      <c r="V2094" s="5"/>
      <c r="W2094" s="5"/>
      <c r="X2094" s="1120"/>
      <c r="Y2094" s="1120"/>
      <c r="Z2094" s="5"/>
      <c r="AA2094" s="5"/>
      <c r="AB2094" s="1135"/>
      <c r="AC2094" s="5"/>
      <c r="AD2094" s="5"/>
      <c r="AE2094" s="5"/>
      <c r="AF2094" s="1120"/>
      <c r="AG2094" s="1148"/>
      <c r="AH2094" s="1120"/>
      <c r="AI2094" s="1120"/>
      <c r="AJ2094" s="1120"/>
    </row>
    <row r="2095" spans="2:36" ht="30" customHeight="1" x14ac:dyDescent="0.25">
      <c r="B2095" s="5"/>
      <c r="C2095" s="5"/>
      <c r="D2095" s="5"/>
      <c r="E2095" s="5"/>
      <c r="F2095" s="5"/>
      <c r="G2095" s="5"/>
      <c r="H2095" s="5"/>
      <c r="I2095" s="5"/>
      <c r="J2095" s="5"/>
      <c r="L2095" s="277"/>
      <c r="M2095" s="5"/>
      <c r="R2095" s="5"/>
      <c r="S2095" s="5"/>
      <c r="T2095" s="1120"/>
      <c r="U2095" s="5"/>
      <c r="V2095" s="5"/>
      <c r="W2095" s="5"/>
      <c r="X2095" s="1120"/>
      <c r="Y2095" s="1120"/>
      <c r="Z2095" s="5"/>
      <c r="AA2095" s="5"/>
      <c r="AB2095" s="1135"/>
      <c r="AC2095" s="5"/>
      <c r="AD2095" s="5"/>
      <c r="AE2095" s="5"/>
      <c r="AF2095" s="1120"/>
      <c r="AG2095" s="1148"/>
      <c r="AH2095" s="1120"/>
      <c r="AI2095" s="1120"/>
      <c r="AJ2095" s="1120"/>
    </row>
    <row r="2096" spans="2:36" ht="30" customHeight="1" x14ac:dyDescent="0.25">
      <c r="B2096" s="5"/>
      <c r="C2096" s="5"/>
      <c r="D2096" s="5"/>
      <c r="E2096" s="5"/>
      <c r="F2096" s="5"/>
      <c r="G2096" s="5"/>
      <c r="H2096" s="5"/>
      <c r="I2096" s="5"/>
      <c r="J2096" s="5"/>
      <c r="L2096" s="277"/>
      <c r="M2096" s="5"/>
      <c r="R2096" s="5"/>
      <c r="S2096" s="5"/>
      <c r="T2096" s="1120"/>
      <c r="U2096" s="5"/>
      <c r="V2096" s="5"/>
      <c r="W2096" s="5"/>
      <c r="X2096" s="1120"/>
      <c r="Y2096" s="1120"/>
      <c r="Z2096" s="5"/>
      <c r="AA2096" s="5"/>
      <c r="AB2096" s="1135"/>
      <c r="AC2096" s="5"/>
      <c r="AD2096" s="5"/>
      <c r="AE2096" s="5"/>
      <c r="AF2096" s="1120"/>
      <c r="AG2096" s="1148"/>
      <c r="AH2096" s="1120"/>
      <c r="AI2096" s="1120"/>
      <c r="AJ2096" s="1120"/>
    </row>
    <row r="2097" spans="2:36" ht="30" customHeight="1" x14ac:dyDescent="0.25">
      <c r="B2097" s="5"/>
      <c r="C2097" s="5"/>
      <c r="D2097" s="5"/>
      <c r="E2097" s="5"/>
      <c r="F2097" s="5"/>
      <c r="G2097" s="5"/>
      <c r="H2097" s="5"/>
      <c r="I2097" s="5"/>
      <c r="J2097" s="5"/>
      <c r="L2097" s="277"/>
      <c r="M2097" s="5"/>
      <c r="R2097" s="5"/>
      <c r="S2097" s="5"/>
      <c r="T2097" s="1120"/>
      <c r="U2097" s="5"/>
      <c r="V2097" s="5"/>
      <c r="W2097" s="5"/>
      <c r="X2097" s="1120"/>
      <c r="Y2097" s="1120"/>
      <c r="Z2097" s="5"/>
      <c r="AA2097" s="5"/>
      <c r="AB2097" s="1135"/>
      <c r="AC2097" s="5"/>
      <c r="AD2097" s="5"/>
      <c r="AE2097" s="5"/>
      <c r="AF2097" s="1120"/>
      <c r="AG2097" s="1148"/>
      <c r="AH2097" s="1120"/>
      <c r="AI2097" s="1120"/>
      <c r="AJ2097" s="1120"/>
    </row>
    <row r="2098" spans="2:36" ht="30" customHeight="1" x14ac:dyDescent="0.25">
      <c r="B2098" s="5"/>
      <c r="C2098" s="5"/>
      <c r="D2098" s="5"/>
      <c r="E2098" s="5"/>
      <c r="F2098" s="5"/>
      <c r="G2098" s="5"/>
      <c r="H2098" s="5"/>
      <c r="I2098" s="5"/>
      <c r="J2098" s="5"/>
      <c r="L2098" s="277"/>
      <c r="M2098" s="5"/>
      <c r="R2098" s="5"/>
      <c r="S2098" s="5"/>
      <c r="T2098" s="1120"/>
      <c r="U2098" s="5"/>
      <c r="V2098" s="5"/>
      <c r="W2098" s="5"/>
      <c r="X2098" s="1120"/>
      <c r="Y2098" s="1120"/>
      <c r="Z2098" s="5"/>
      <c r="AA2098" s="5"/>
      <c r="AB2098" s="1135"/>
      <c r="AC2098" s="5"/>
      <c r="AD2098" s="5"/>
      <c r="AE2098" s="5"/>
      <c r="AF2098" s="1120"/>
      <c r="AG2098" s="1148"/>
      <c r="AH2098" s="1120"/>
      <c r="AI2098" s="1120"/>
      <c r="AJ2098" s="1120"/>
    </row>
    <row r="2099" spans="2:36" ht="30" customHeight="1" x14ac:dyDescent="0.25">
      <c r="B2099" s="5"/>
      <c r="C2099" s="5"/>
      <c r="D2099" s="5"/>
      <c r="E2099" s="5"/>
      <c r="F2099" s="5"/>
      <c r="G2099" s="5"/>
      <c r="H2099" s="5"/>
      <c r="I2099" s="5"/>
      <c r="J2099" s="5"/>
      <c r="L2099" s="277"/>
      <c r="M2099" s="5"/>
      <c r="R2099" s="5"/>
      <c r="S2099" s="5"/>
      <c r="T2099" s="1120"/>
      <c r="U2099" s="5"/>
      <c r="V2099" s="5"/>
      <c r="W2099" s="5"/>
      <c r="X2099" s="1120"/>
      <c r="Y2099" s="1120"/>
      <c r="Z2099" s="5"/>
      <c r="AA2099" s="5"/>
      <c r="AB2099" s="1135"/>
      <c r="AC2099" s="5"/>
      <c r="AD2099" s="5"/>
      <c r="AE2099" s="5"/>
      <c r="AF2099" s="1120"/>
      <c r="AG2099" s="1148"/>
      <c r="AH2099" s="1120"/>
      <c r="AI2099" s="1120"/>
      <c r="AJ2099" s="1120"/>
    </row>
    <row r="2100" spans="2:36" ht="30" customHeight="1" x14ac:dyDescent="0.25">
      <c r="B2100" s="5"/>
      <c r="C2100" s="5"/>
      <c r="D2100" s="5"/>
      <c r="E2100" s="5"/>
      <c r="F2100" s="5"/>
      <c r="G2100" s="5"/>
      <c r="H2100" s="5"/>
      <c r="I2100" s="5"/>
      <c r="J2100" s="5"/>
      <c r="L2100" s="277"/>
      <c r="M2100" s="5"/>
      <c r="R2100" s="5"/>
      <c r="S2100" s="5"/>
      <c r="T2100" s="1120"/>
      <c r="U2100" s="5"/>
      <c r="V2100" s="5"/>
      <c r="W2100" s="5"/>
      <c r="X2100" s="1120"/>
      <c r="Y2100" s="1120"/>
      <c r="Z2100" s="5"/>
      <c r="AA2100" s="5"/>
      <c r="AB2100" s="1135"/>
      <c r="AC2100" s="5"/>
      <c r="AD2100" s="5"/>
      <c r="AE2100" s="5"/>
      <c r="AF2100" s="1120"/>
      <c r="AG2100" s="1148"/>
      <c r="AH2100" s="1120"/>
      <c r="AI2100" s="1120"/>
      <c r="AJ2100" s="1120"/>
    </row>
    <row r="2101" spans="2:36" ht="30" customHeight="1" x14ac:dyDescent="0.25">
      <c r="B2101" s="5"/>
      <c r="C2101" s="5"/>
      <c r="D2101" s="5"/>
      <c r="E2101" s="5"/>
      <c r="F2101" s="5"/>
      <c r="G2101" s="5"/>
      <c r="H2101" s="5"/>
      <c r="I2101" s="5"/>
      <c r="J2101" s="5"/>
      <c r="L2101" s="277"/>
      <c r="M2101" s="5"/>
      <c r="R2101" s="5"/>
      <c r="S2101" s="5"/>
      <c r="T2101" s="1120"/>
      <c r="U2101" s="5"/>
      <c r="V2101" s="5"/>
      <c r="W2101" s="5"/>
      <c r="X2101" s="1120"/>
      <c r="Y2101" s="1120"/>
      <c r="Z2101" s="5"/>
      <c r="AA2101" s="5"/>
      <c r="AB2101" s="1135"/>
      <c r="AC2101" s="5"/>
      <c r="AD2101" s="5"/>
      <c r="AE2101" s="5"/>
      <c r="AF2101" s="1120"/>
      <c r="AG2101" s="1148"/>
      <c r="AH2101" s="1120"/>
      <c r="AI2101" s="1120"/>
      <c r="AJ2101" s="1120"/>
    </row>
    <row r="2102" spans="2:36" ht="30" customHeight="1" x14ac:dyDescent="0.25">
      <c r="B2102" s="5"/>
      <c r="C2102" s="5"/>
      <c r="D2102" s="5"/>
      <c r="E2102" s="5"/>
      <c r="F2102" s="5"/>
      <c r="G2102" s="5"/>
      <c r="H2102" s="5"/>
      <c r="I2102" s="5"/>
      <c r="J2102" s="5"/>
      <c r="L2102" s="277"/>
      <c r="M2102" s="5"/>
      <c r="R2102" s="5"/>
      <c r="S2102" s="5"/>
      <c r="T2102" s="1120"/>
      <c r="U2102" s="5"/>
      <c r="V2102" s="5"/>
      <c r="W2102" s="5"/>
      <c r="X2102" s="1120"/>
      <c r="Y2102" s="1120"/>
      <c r="Z2102" s="5"/>
      <c r="AA2102" s="5"/>
      <c r="AB2102" s="1135"/>
      <c r="AC2102" s="5"/>
      <c r="AD2102" s="5"/>
      <c r="AE2102" s="5"/>
      <c r="AF2102" s="1120"/>
      <c r="AG2102" s="1148"/>
      <c r="AH2102" s="1120"/>
      <c r="AI2102" s="1120"/>
      <c r="AJ2102" s="1120"/>
    </row>
    <row r="2103" spans="2:36" ht="30" customHeight="1" x14ac:dyDescent="0.25">
      <c r="B2103" s="5"/>
      <c r="C2103" s="5"/>
      <c r="D2103" s="5"/>
      <c r="E2103" s="5"/>
      <c r="F2103" s="5"/>
      <c r="G2103" s="5"/>
      <c r="H2103" s="5"/>
      <c r="I2103" s="5"/>
      <c r="J2103" s="5"/>
      <c r="L2103" s="277"/>
      <c r="M2103" s="5"/>
      <c r="R2103" s="5"/>
      <c r="S2103" s="5"/>
      <c r="T2103" s="1120"/>
      <c r="U2103" s="5"/>
      <c r="V2103" s="5"/>
      <c r="W2103" s="5"/>
      <c r="X2103" s="1120"/>
      <c r="Y2103" s="1120"/>
      <c r="Z2103" s="5"/>
      <c r="AA2103" s="5"/>
      <c r="AB2103" s="1135"/>
      <c r="AC2103" s="5"/>
      <c r="AD2103" s="5"/>
      <c r="AE2103" s="5"/>
      <c r="AF2103" s="1120"/>
      <c r="AG2103" s="1148"/>
      <c r="AH2103" s="1120"/>
      <c r="AI2103" s="1120"/>
      <c r="AJ2103" s="1120"/>
    </row>
    <row r="2104" spans="2:36" ht="30" customHeight="1" x14ac:dyDescent="0.25">
      <c r="B2104" s="5"/>
      <c r="C2104" s="5"/>
      <c r="D2104" s="5"/>
      <c r="E2104" s="5"/>
      <c r="F2104" s="5"/>
      <c r="G2104" s="5"/>
      <c r="H2104" s="5"/>
      <c r="I2104" s="5"/>
      <c r="J2104" s="5"/>
      <c r="L2104" s="277"/>
      <c r="M2104" s="5"/>
      <c r="R2104" s="5"/>
      <c r="S2104" s="5"/>
      <c r="T2104" s="1120"/>
      <c r="U2104" s="5"/>
      <c r="V2104" s="5"/>
      <c r="W2104" s="5"/>
      <c r="X2104" s="1120"/>
      <c r="Y2104" s="1120"/>
      <c r="Z2104" s="5"/>
      <c r="AA2104" s="5"/>
      <c r="AB2104" s="1135"/>
      <c r="AC2104" s="5"/>
      <c r="AD2104" s="5"/>
      <c r="AE2104" s="5"/>
      <c r="AF2104" s="1120"/>
      <c r="AG2104" s="1148"/>
      <c r="AH2104" s="1120"/>
      <c r="AI2104" s="1120"/>
      <c r="AJ2104" s="1120"/>
    </row>
    <row r="2105" spans="2:36" ht="30" customHeight="1" x14ac:dyDescent="0.25">
      <c r="B2105" s="5"/>
      <c r="C2105" s="5"/>
      <c r="D2105" s="5"/>
      <c r="E2105" s="5"/>
      <c r="F2105" s="5"/>
      <c r="G2105" s="5"/>
      <c r="H2105" s="5"/>
      <c r="I2105" s="5"/>
      <c r="J2105" s="5"/>
      <c r="L2105" s="277"/>
      <c r="M2105" s="5"/>
      <c r="R2105" s="5"/>
      <c r="S2105" s="5"/>
      <c r="T2105" s="1120"/>
      <c r="U2105" s="5"/>
      <c r="V2105" s="5"/>
      <c r="W2105" s="5"/>
      <c r="X2105" s="1120"/>
      <c r="Y2105" s="1120"/>
      <c r="Z2105" s="5"/>
      <c r="AA2105" s="5"/>
      <c r="AB2105" s="1135"/>
      <c r="AC2105" s="5"/>
      <c r="AD2105" s="5"/>
      <c r="AE2105" s="5"/>
      <c r="AF2105" s="1120"/>
      <c r="AG2105" s="1148"/>
      <c r="AH2105" s="1120"/>
      <c r="AI2105" s="1120"/>
      <c r="AJ2105" s="1120"/>
    </row>
    <row r="2106" spans="2:36" ht="30" customHeight="1" x14ac:dyDescent="0.25">
      <c r="B2106" s="5"/>
      <c r="C2106" s="5"/>
      <c r="D2106" s="5"/>
      <c r="E2106" s="5"/>
      <c r="F2106" s="5"/>
      <c r="G2106" s="5"/>
      <c r="H2106" s="5"/>
      <c r="I2106" s="5"/>
      <c r="J2106" s="5"/>
      <c r="L2106" s="277"/>
      <c r="M2106" s="5"/>
      <c r="R2106" s="5"/>
      <c r="S2106" s="5"/>
      <c r="T2106" s="1120"/>
      <c r="U2106" s="5"/>
      <c r="V2106" s="5"/>
      <c r="W2106" s="5"/>
      <c r="X2106" s="1120"/>
      <c r="Y2106" s="1120"/>
      <c r="Z2106" s="5"/>
      <c r="AA2106" s="5"/>
      <c r="AB2106" s="1135"/>
      <c r="AC2106" s="5"/>
      <c r="AD2106" s="5"/>
      <c r="AE2106" s="5"/>
      <c r="AF2106" s="1120"/>
      <c r="AG2106" s="1148"/>
      <c r="AH2106" s="1120"/>
      <c r="AI2106" s="1120"/>
      <c r="AJ2106" s="1120"/>
    </row>
    <row r="2107" spans="2:36" ht="30" customHeight="1" x14ac:dyDescent="0.25">
      <c r="B2107" s="5"/>
      <c r="C2107" s="5"/>
      <c r="D2107" s="5"/>
      <c r="E2107" s="5"/>
      <c r="F2107" s="5"/>
      <c r="G2107" s="5"/>
      <c r="H2107" s="5"/>
      <c r="I2107" s="5"/>
      <c r="J2107" s="5"/>
      <c r="L2107" s="277"/>
      <c r="M2107" s="5"/>
      <c r="R2107" s="5"/>
      <c r="S2107" s="5"/>
      <c r="T2107" s="1120"/>
      <c r="U2107" s="5"/>
      <c r="V2107" s="5"/>
      <c r="W2107" s="5"/>
      <c r="X2107" s="1120"/>
      <c r="Y2107" s="1120"/>
      <c r="Z2107" s="5"/>
      <c r="AA2107" s="5"/>
      <c r="AB2107" s="1135"/>
      <c r="AC2107" s="5"/>
      <c r="AD2107" s="5"/>
      <c r="AE2107" s="5"/>
      <c r="AF2107" s="1120"/>
      <c r="AG2107" s="1148"/>
      <c r="AH2107" s="1120"/>
      <c r="AI2107" s="1120"/>
      <c r="AJ2107" s="1120"/>
    </row>
    <row r="2108" spans="2:36" ht="30" customHeight="1" x14ac:dyDescent="0.25">
      <c r="B2108" s="5"/>
      <c r="C2108" s="5"/>
      <c r="D2108" s="5"/>
      <c r="E2108" s="5"/>
      <c r="F2108" s="5"/>
      <c r="G2108" s="5"/>
      <c r="H2108" s="5"/>
      <c r="I2108" s="5"/>
      <c r="J2108" s="5"/>
      <c r="L2108" s="277"/>
      <c r="M2108" s="5"/>
      <c r="R2108" s="5"/>
      <c r="S2108" s="5"/>
      <c r="T2108" s="1120"/>
      <c r="U2108" s="5"/>
      <c r="V2108" s="5"/>
      <c r="W2108" s="5"/>
      <c r="X2108" s="1120"/>
      <c r="Y2108" s="1120"/>
      <c r="Z2108" s="5"/>
      <c r="AA2108" s="5"/>
      <c r="AB2108" s="1135"/>
      <c r="AC2108" s="5"/>
      <c r="AD2108" s="5"/>
      <c r="AE2108" s="5"/>
      <c r="AF2108" s="1120"/>
      <c r="AG2108" s="1148"/>
      <c r="AH2108" s="1120"/>
      <c r="AI2108" s="1120"/>
      <c r="AJ2108" s="1120"/>
    </row>
    <row r="2109" spans="2:36" ht="30" customHeight="1" x14ac:dyDescent="0.25">
      <c r="B2109" s="5"/>
      <c r="C2109" s="5"/>
      <c r="D2109" s="5"/>
      <c r="E2109" s="5"/>
      <c r="F2109" s="5"/>
      <c r="G2109" s="5"/>
      <c r="H2109" s="5"/>
      <c r="I2109" s="5"/>
      <c r="J2109" s="5"/>
      <c r="L2109" s="277"/>
      <c r="M2109" s="5"/>
      <c r="R2109" s="5"/>
      <c r="S2109" s="5"/>
      <c r="T2109" s="1120"/>
      <c r="U2109" s="5"/>
      <c r="V2109" s="5"/>
      <c r="W2109" s="5"/>
      <c r="X2109" s="1120"/>
      <c r="Y2109" s="1120"/>
      <c r="Z2109" s="5"/>
      <c r="AA2109" s="5"/>
      <c r="AB2109" s="1135"/>
      <c r="AC2109" s="5"/>
      <c r="AD2109" s="5"/>
      <c r="AE2109" s="5"/>
      <c r="AF2109" s="1120"/>
      <c r="AG2109" s="1148"/>
      <c r="AH2109" s="1120"/>
      <c r="AI2109" s="1120"/>
      <c r="AJ2109" s="1120"/>
    </row>
    <row r="2110" spans="2:36" ht="30" customHeight="1" x14ac:dyDescent="0.25">
      <c r="B2110" s="5"/>
      <c r="C2110" s="5"/>
      <c r="D2110" s="5"/>
      <c r="E2110" s="5"/>
      <c r="F2110" s="5"/>
      <c r="G2110" s="5"/>
      <c r="H2110" s="5"/>
      <c r="I2110" s="5"/>
      <c r="J2110" s="5"/>
      <c r="L2110" s="277"/>
      <c r="M2110" s="5"/>
      <c r="R2110" s="5"/>
      <c r="S2110" s="5"/>
      <c r="T2110" s="1120"/>
      <c r="U2110" s="5"/>
      <c r="V2110" s="5"/>
      <c r="W2110" s="5"/>
      <c r="X2110" s="1120"/>
      <c r="Y2110" s="1120"/>
      <c r="Z2110" s="5"/>
      <c r="AA2110" s="5"/>
      <c r="AB2110" s="1135"/>
      <c r="AC2110" s="5"/>
      <c r="AD2110" s="5"/>
      <c r="AE2110" s="5"/>
      <c r="AF2110" s="1120"/>
      <c r="AG2110" s="1148"/>
      <c r="AH2110" s="1120"/>
      <c r="AI2110" s="1120"/>
      <c r="AJ2110" s="1120"/>
    </row>
    <row r="2111" spans="2:36" ht="30" customHeight="1" x14ac:dyDescent="0.25">
      <c r="B2111" s="5"/>
      <c r="C2111" s="5"/>
      <c r="D2111" s="5"/>
      <c r="E2111" s="5"/>
      <c r="F2111" s="5"/>
      <c r="G2111" s="5"/>
      <c r="H2111" s="5"/>
      <c r="I2111" s="5"/>
      <c r="J2111" s="5"/>
      <c r="L2111" s="277"/>
      <c r="M2111" s="5"/>
      <c r="R2111" s="5"/>
      <c r="S2111" s="5"/>
      <c r="T2111" s="1120"/>
      <c r="U2111" s="5"/>
      <c r="V2111" s="5"/>
      <c r="W2111" s="5"/>
      <c r="X2111" s="1120"/>
      <c r="Y2111" s="1120"/>
      <c r="Z2111" s="5"/>
      <c r="AA2111" s="5"/>
      <c r="AB2111" s="1135"/>
      <c r="AC2111" s="5"/>
      <c r="AD2111" s="5"/>
      <c r="AE2111" s="5"/>
      <c r="AF2111" s="1120"/>
      <c r="AG2111" s="1148"/>
      <c r="AH2111" s="1120"/>
      <c r="AI2111" s="1120"/>
      <c r="AJ2111" s="1120"/>
    </row>
    <row r="2112" spans="2:36" ht="30" customHeight="1" x14ac:dyDescent="0.25">
      <c r="B2112" s="5"/>
      <c r="C2112" s="5"/>
      <c r="D2112" s="5"/>
      <c r="E2112" s="5"/>
      <c r="F2112" s="5"/>
      <c r="G2112" s="5"/>
      <c r="H2112" s="5"/>
      <c r="I2112" s="5"/>
      <c r="J2112" s="5"/>
      <c r="L2112" s="277"/>
      <c r="M2112" s="5"/>
      <c r="R2112" s="5"/>
      <c r="S2112" s="5"/>
      <c r="T2112" s="1120"/>
      <c r="U2112" s="5"/>
      <c r="V2112" s="5"/>
      <c r="W2112" s="5"/>
      <c r="X2112" s="1120"/>
      <c r="Y2112" s="1120"/>
      <c r="Z2112" s="5"/>
      <c r="AA2112" s="5"/>
      <c r="AB2112" s="1135"/>
      <c r="AC2112" s="5"/>
      <c r="AD2112" s="5"/>
      <c r="AE2112" s="5"/>
      <c r="AF2112" s="1120"/>
      <c r="AG2112" s="1148"/>
      <c r="AH2112" s="1120"/>
      <c r="AI2112" s="1120"/>
      <c r="AJ2112" s="1120"/>
    </row>
    <row r="2113" spans="2:36" ht="30" customHeight="1" x14ac:dyDescent="0.25">
      <c r="B2113" s="5"/>
      <c r="C2113" s="5"/>
      <c r="D2113" s="5"/>
      <c r="E2113" s="5"/>
      <c r="F2113" s="5"/>
      <c r="G2113" s="5"/>
      <c r="H2113" s="5"/>
      <c r="I2113" s="5"/>
      <c r="J2113" s="5"/>
      <c r="L2113" s="277"/>
      <c r="M2113" s="5"/>
      <c r="R2113" s="5"/>
      <c r="S2113" s="5"/>
      <c r="T2113" s="1120"/>
      <c r="U2113" s="5"/>
      <c r="V2113" s="5"/>
      <c r="W2113" s="5"/>
      <c r="X2113" s="1120"/>
      <c r="Y2113" s="1120"/>
      <c r="Z2113" s="5"/>
      <c r="AA2113" s="5"/>
      <c r="AB2113" s="1135"/>
      <c r="AC2113" s="5"/>
      <c r="AD2113" s="5"/>
      <c r="AE2113" s="5"/>
      <c r="AF2113" s="1120"/>
      <c r="AG2113" s="1148"/>
      <c r="AH2113" s="1120"/>
      <c r="AI2113" s="1120"/>
      <c r="AJ2113" s="1120"/>
    </row>
    <row r="2114" spans="2:36" ht="30" customHeight="1" x14ac:dyDescent="0.25">
      <c r="B2114" s="5"/>
      <c r="C2114" s="5"/>
      <c r="D2114" s="5"/>
      <c r="E2114" s="5"/>
      <c r="F2114" s="5"/>
      <c r="G2114" s="5"/>
      <c r="H2114" s="5"/>
      <c r="I2114" s="5"/>
      <c r="J2114" s="5"/>
      <c r="L2114" s="277"/>
      <c r="M2114" s="5"/>
      <c r="R2114" s="5"/>
      <c r="S2114" s="5"/>
      <c r="T2114" s="1120"/>
      <c r="U2114" s="5"/>
      <c r="V2114" s="5"/>
      <c r="W2114" s="5"/>
      <c r="X2114" s="1120"/>
      <c r="Y2114" s="1120"/>
      <c r="Z2114" s="5"/>
      <c r="AA2114" s="5"/>
      <c r="AB2114" s="1135"/>
      <c r="AC2114" s="5"/>
      <c r="AD2114" s="5"/>
      <c r="AE2114" s="5"/>
      <c r="AF2114" s="1120"/>
      <c r="AG2114" s="1148"/>
      <c r="AH2114" s="1120"/>
      <c r="AI2114" s="1120"/>
      <c r="AJ2114" s="1120"/>
    </row>
    <row r="2115" spans="2:36" ht="30" customHeight="1" x14ac:dyDescent="0.25">
      <c r="B2115" s="5"/>
      <c r="C2115" s="5"/>
      <c r="D2115" s="5"/>
      <c r="E2115" s="5"/>
      <c r="F2115" s="5"/>
      <c r="G2115" s="5"/>
      <c r="H2115" s="5"/>
      <c r="I2115" s="5"/>
      <c r="J2115" s="5"/>
      <c r="L2115" s="277"/>
      <c r="M2115" s="5"/>
      <c r="R2115" s="5"/>
      <c r="S2115" s="5"/>
      <c r="T2115" s="1120"/>
      <c r="U2115" s="5"/>
      <c r="V2115" s="5"/>
      <c r="W2115" s="5"/>
      <c r="X2115" s="1120"/>
      <c r="Y2115" s="1120"/>
      <c r="Z2115" s="5"/>
      <c r="AA2115" s="5"/>
      <c r="AB2115" s="1135"/>
      <c r="AC2115" s="5"/>
      <c r="AD2115" s="5"/>
      <c r="AE2115" s="5"/>
      <c r="AF2115" s="1120"/>
      <c r="AG2115" s="1148"/>
      <c r="AH2115" s="1120"/>
      <c r="AI2115" s="1120"/>
      <c r="AJ2115" s="1120"/>
    </row>
    <row r="2116" spans="2:36" ht="30" customHeight="1" x14ac:dyDescent="0.25">
      <c r="B2116" s="5"/>
      <c r="C2116" s="5"/>
      <c r="D2116" s="5"/>
      <c r="E2116" s="5"/>
      <c r="F2116" s="5"/>
      <c r="G2116" s="5"/>
      <c r="H2116" s="5"/>
      <c r="I2116" s="5"/>
      <c r="J2116" s="5"/>
      <c r="L2116" s="277"/>
      <c r="M2116" s="5"/>
      <c r="R2116" s="5"/>
      <c r="S2116" s="5"/>
      <c r="T2116" s="1120"/>
      <c r="U2116" s="5"/>
      <c r="V2116" s="5"/>
      <c r="W2116" s="5"/>
      <c r="X2116" s="1120"/>
      <c r="Y2116" s="1120"/>
      <c r="Z2116" s="5"/>
      <c r="AA2116" s="5"/>
      <c r="AB2116" s="1135"/>
      <c r="AC2116" s="5"/>
      <c r="AD2116" s="5"/>
      <c r="AE2116" s="5"/>
      <c r="AF2116" s="1120"/>
      <c r="AG2116" s="1148"/>
      <c r="AH2116" s="1120"/>
      <c r="AI2116" s="1120"/>
      <c r="AJ2116" s="1120"/>
    </row>
    <row r="2117" spans="2:36" ht="30" customHeight="1" x14ac:dyDescent="0.25">
      <c r="B2117" s="5"/>
      <c r="C2117" s="5"/>
      <c r="D2117" s="5"/>
      <c r="E2117" s="5"/>
      <c r="F2117" s="5"/>
      <c r="G2117" s="5"/>
      <c r="H2117" s="5"/>
      <c r="I2117" s="5"/>
      <c r="J2117" s="5"/>
      <c r="L2117" s="277"/>
      <c r="M2117" s="5"/>
      <c r="R2117" s="5"/>
      <c r="S2117" s="5"/>
      <c r="T2117" s="1120"/>
      <c r="U2117" s="5"/>
      <c r="V2117" s="5"/>
      <c r="W2117" s="5"/>
      <c r="X2117" s="1120"/>
      <c r="Y2117" s="1120"/>
      <c r="Z2117" s="5"/>
      <c r="AA2117" s="5"/>
      <c r="AB2117" s="1135"/>
      <c r="AC2117" s="5"/>
      <c r="AD2117" s="5"/>
      <c r="AE2117" s="5"/>
      <c r="AF2117" s="1120"/>
      <c r="AG2117" s="1148"/>
      <c r="AH2117" s="1120"/>
      <c r="AI2117" s="1120"/>
      <c r="AJ2117" s="1120"/>
    </row>
    <row r="2118" spans="2:36" ht="30" customHeight="1" x14ac:dyDescent="0.25">
      <c r="B2118" s="5"/>
      <c r="C2118" s="5"/>
      <c r="D2118" s="5"/>
      <c r="E2118" s="5"/>
      <c r="F2118" s="5"/>
      <c r="G2118" s="5"/>
      <c r="H2118" s="5"/>
      <c r="I2118" s="5"/>
      <c r="J2118" s="5"/>
      <c r="L2118" s="277"/>
      <c r="M2118" s="5"/>
      <c r="R2118" s="5"/>
      <c r="S2118" s="5"/>
      <c r="T2118" s="1120"/>
      <c r="U2118" s="5"/>
      <c r="V2118" s="5"/>
      <c r="W2118" s="5"/>
      <c r="X2118" s="1120"/>
      <c r="Y2118" s="1120"/>
      <c r="Z2118" s="5"/>
      <c r="AA2118" s="5"/>
      <c r="AB2118" s="1135"/>
      <c r="AC2118" s="5"/>
      <c r="AD2118" s="5"/>
      <c r="AE2118" s="5"/>
      <c r="AF2118" s="1120"/>
      <c r="AG2118" s="1148"/>
      <c r="AH2118" s="1120"/>
      <c r="AI2118" s="1120"/>
      <c r="AJ2118" s="1120"/>
    </row>
    <row r="2119" spans="2:36" ht="30" customHeight="1" x14ac:dyDescent="0.25">
      <c r="B2119" s="5"/>
      <c r="C2119" s="5"/>
      <c r="D2119" s="5"/>
      <c r="E2119" s="5"/>
      <c r="F2119" s="5"/>
      <c r="G2119" s="5"/>
      <c r="H2119" s="5"/>
      <c r="I2119" s="5"/>
      <c r="J2119" s="5"/>
      <c r="L2119" s="277"/>
      <c r="M2119" s="5"/>
      <c r="R2119" s="5"/>
      <c r="S2119" s="5"/>
      <c r="T2119" s="1120"/>
      <c r="U2119" s="5"/>
      <c r="V2119" s="5"/>
      <c r="W2119" s="5"/>
      <c r="X2119" s="1120"/>
      <c r="Y2119" s="1120"/>
      <c r="Z2119" s="5"/>
      <c r="AA2119" s="5"/>
      <c r="AB2119" s="1135"/>
      <c r="AC2119" s="5"/>
      <c r="AD2119" s="5"/>
      <c r="AE2119" s="5"/>
      <c r="AF2119" s="1120"/>
      <c r="AG2119" s="1148"/>
      <c r="AH2119" s="1120"/>
      <c r="AI2119" s="1120"/>
      <c r="AJ2119" s="1120"/>
    </row>
    <row r="2120" spans="2:36" ht="30" customHeight="1" x14ac:dyDescent="0.25">
      <c r="B2120" s="5"/>
      <c r="C2120" s="5"/>
      <c r="D2120" s="5"/>
      <c r="E2120" s="5"/>
      <c r="F2120" s="5"/>
      <c r="G2120" s="5"/>
      <c r="H2120" s="5"/>
      <c r="I2120" s="5"/>
      <c r="J2120" s="5"/>
      <c r="L2120" s="277"/>
      <c r="M2120" s="5"/>
      <c r="R2120" s="5"/>
      <c r="S2120" s="5"/>
      <c r="T2120" s="1120"/>
      <c r="U2120" s="5"/>
      <c r="V2120" s="5"/>
      <c r="W2120" s="5"/>
      <c r="X2120" s="1120"/>
      <c r="Y2120" s="1120"/>
      <c r="Z2120" s="5"/>
      <c r="AA2120" s="5"/>
      <c r="AB2120" s="1135"/>
      <c r="AC2120" s="5"/>
      <c r="AD2120" s="5"/>
      <c r="AE2120" s="5"/>
      <c r="AF2120" s="1120"/>
      <c r="AG2120" s="1148"/>
      <c r="AH2120" s="1120"/>
      <c r="AI2120" s="1120"/>
      <c r="AJ2120" s="1120"/>
    </row>
    <row r="2121" spans="2:36" ht="30" customHeight="1" x14ac:dyDescent="0.25">
      <c r="B2121" s="5"/>
      <c r="C2121" s="5"/>
      <c r="D2121" s="5"/>
      <c r="E2121" s="5"/>
      <c r="F2121" s="5"/>
      <c r="G2121" s="5"/>
      <c r="H2121" s="5"/>
      <c r="I2121" s="5"/>
      <c r="J2121" s="5"/>
      <c r="L2121" s="277"/>
      <c r="M2121" s="5"/>
      <c r="R2121" s="5"/>
      <c r="S2121" s="5"/>
      <c r="T2121" s="1120"/>
      <c r="U2121" s="5"/>
      <c r="V2121" s="5"/>
      <c r="W2121" s="5"/>
      <c r="X2121" s="1120"/>
      <c r="Y2121" s="1120"/>
      <c r="Z2121" s="5"/>
      <c r="AA2121" s="5"/>
      <c r="AB2121" s="1135"/>
      <c r="AC2121" s="5"/>
      <c r="AD2121" s="5"/>
      <c r="AE2121" s="5"/>
      <c r="AF2121" s="1120"/>
      <c r="AG2121" s="1148"/>
      <c r="AH2121" s="1120"/>
      <c r="AI2121" s="1120"/>
      <c r="AJ2121" s="1120"/>
    </row>
    <row r="2122" spans="2:36" ht="30" customHeight="1" x14ac:dyDescent="0.25">
      <c r="B2122" s="5"/>
      <c r="C2122" s="5"/>
      <c r="D2122" s="5"/>
      <c r="E2122" s="5"/>
      <c r="F2122" s="5"/>
      <c r="G2122" s="5"/>
      <c r="H2122" s="5"/>
      <c r="I2122" s="5"/>
      <c r="J2122" s="5"/>
      <c r="L2122" s="277"/>
      <c r="M2122" s="5"/>
      <c r="R2122" s="5"/>
      <c r="S2122" s="5"/>
      <c r="T2122" s="1120"/>
      <c r="U2122" s="5"/>
      <c r="V2122" s="5"/>
      <c r="W2122" s="5"/>
      <c r="X2122" s="1120"/>
      <c r="Y2122" s="1120"/>
      <c r="Z2122" s="5"/>
      <c r="AA2122" s="5"/>
      <c r="AB2122" s="1135"/>
      <c r="AC2122" s="5"/>
      <c r="AD2122" s="5"/>
      <c r="AE2122" s="5"/>
      <c r="AF2122" s="1120"/>
      <c r="AG2122" s="1148"/>
      <c r="AH2122" s="1120"/>
      <c r="AI2122" s="1120"/>
      <c r="AJ2122" s="1120"/>
    </row>
    <row r="2123" spans="2:36" ht="30" customHeight="1" x14ac:dyDescent="0.25">
      <c r="B2123" s="5"/>
      <c r="C2123" s="5"/>
      <c r="D2123" s="5"/>
      <c r="E2123" s="5"/>
      <c r="F2123" s="5"/>
      <c r="G2123" s="5"/>
      <c r="H2123" s="5"/>
      <c r="I2123" s="5"/>
      <c r="J2123" s="5"/>
      <c r="L2123" s="277"/>
      <c r="M2123" s="5"/>
      <c r="R2123" s="5"/>
      <c r="S2123" s="5"/>
      <c r="T2123" s="1120"/>
      <c r="U2123" s="5"/>
      <c r="V2123" s="5"/>
      <c r="W2123" s="5"/>
      <c r="X2123" s="1120"/>
      <c r="Y2123" s="1120"/>
      <c r="Z2123" s="5"/>
      <c r="AA2123" s="5"/>
      <c r="AB2123" s="1135"/>
      <c r="AC2123" s="5"/>
      <c r="AD2123" s="5"/>
      <c r="AE2123" s="5"/>
      <c r="AF2123" s="1120"/>
      <c r="AG2123" s="1148"/>
      <c r="AH2123" s="1120"/>
      <c r="AI2123" s="1120"/>
      <c r="AJ2123" s="1120"/>
    </row>
    <row r="2124" spans="2:36" ht="30" customHeight="1" x14ac:dyDescent="0.25">
      <c r="B2124" s="5"/>
      <c r="C2124" s="5"/>
      <c r="D2124" s="5"/>
      <c r="E2124" s="5"/>
      <c r="F2124" s="5"/>
      <c r="G2124" s="5"/>
      <c r="H2124" s="5"/>
      <c r="I2124" s="5"/>
      <c r="J2124" s="5"/>
      <c r="L2124" s="277"/>
      <c r="M2124" s="5"/>
      <c r="R2124" s="5"/>
      <c r="S2124" s="5"/>
      <c r="T2124" s="1120"/>
      <c r="U2124" s="5"/>
      <c r="V2124" s="5"/>
      <c r="W2124" s="5"/>
      <c r="X2124" s="1120"/>
      <c r="Y2124" s="1120"/>
      <c r="Z2124" s="5"/>
      <c r="AA2124" s="5"/>
      <c r="AB2124" s="1135"/>
      <c r="AC2124" s="5"/>
      <c r="AD2124" s="5"/>
      <c r="AE2124" s="5"/>
      <c r="AF2124" s="1120"/>
      <c r="AG2124" s="1148"/>
      <c r="AH2124" s="1120"/>
      <c r="AI2124" s="1120"/>
      <c r="AJ2124" s="1120"/>
    </row>
    <row r="2125" spans="2:36" ht="30" customHeight="1" x14ac:dyDescent="0.25">
      <c r="B2125" s="5"/>
      <c r="C2125" s="5"/>
      <c r="D2125" s="5"/>
      <c r="E2125" s="5"/>
      <c r="F2125" s="5"/>
      <c r="G2125" s="5"/>
      <c r="H2125" s="5"/>
      <c r="I2125" s="5"/>
      <c r="J2125" s="5"/>
      <c r="L2125" s="277"/>
      <c r="M2125" s="5"/>
      <c r="R2125" s="5"/>
      <c r="S2125" s="5"/>
      <c r="T2125" s="1120"/>
      <c r="U2125" s="5"/>
      <c r="V2125" s="5"/>
      <c r="W2125" s="5"/>
      <c r="X2125" s="1120"/>
      <c r="Y2125" s="1120"/>
      <c r="Z2125" s="5"/>
      <c r="AA2125" s="5"/>
      <c r="AB2125" s="1135"/>
      <c r="AC2125" s="5"/>
      <c r="AD2125" s="5"/>
      <c r="AE2125" s="5"/>
      <c r="AF2125" s="1120"/>
      <c r="AG2125" s="1148"/>
      <c r="AH2125" s="1120"/>
      <c r="AI2125" s="1120"/>
      <c r="AJ2125" s="1120"/>
    </row>
    <row r="2126" spans="2:36" ht="30" customHeight="1" x14ac:dyDescent="0.25">
      <c r="B2126" s="5"/>
      <c r="C2126" s="5"/>
      <c r="D2126" s="5"/>
      <c r="E2126" s="5"/>
      <c r="F2126" s="5"/>
      <c r="G2126" s="5"/>
      <c r="H2126" s="5"/>
      <c r="I2126" s="5"/>
      <c r="J2126" s="5"/>
      <c r="L2126" s="277"/>
      <c r="M2126" s="5"/>
      <c r="R2126" s="5"/>
      <c r="S2126" s="5"/>
      <c r="T2126" s="1120"/>
      <c r="U2126" s="5"/>
      <c r="V2126" s="5"/>
      <c r="W2126" s="5"/>
      <c r="X2126" s="1120"/>
      <c r="Y2126" s="1120"/>
      <c r="Z2126" s="5"/>
      <c r="AA2126" s="5"/>
      <c r="AB2126" s="1135"/>
      <c r="AC2126" s="5"/>
      <c r="AD2126" s="5"/>
      <c r="AE2126" s="5"/>
      <c r="AF2126" s="1120"/>
      <c r="AG2126" s="1148"/>
      <c r="AH2126" s="1120"/>
      <c r="AI2126" s="1120"/>
      <c r="AJ2126" s="1120"/>
    </row>
    <row r="2127" spans="2:36" ht="30" customHeight="1" x14ac:dyDescent="0.25">
      <c r="B2127" s="5"/>
      <c r="C2127" s="5"/>
      <c r="D2127" s="5"/>
      <c r="E2127" s="5"/>
      <c r="F2127" s="5"/>
      <c r="G2127" s="5"/>
      <c r="H2127" s="5"/>
      <c r="I2127" s="5"/>
      <c r="J2127" s="5"/>
      <c r="L2127" s="277"/>
      <c r="M2127" s="5"/>
      <c r="R2127" s="5"/>
      <c r="S2127" s="5"/>
      <c r="T2127" s="1120"/>
      <c r="U2127" s="5"/>
      <c r="V2127" s="5"/>
      <c r="W2127" s="5"/>
      <c r="X2127" s="1120"/>
      <c r="Y2127" s="1120"/>
      <c r="Z2127" s="5"/>
      <c r="AA2127" s="5"/>
      <c r="AB2127" s="1135"/>
      <c r="AC2127" s="5"/>
      <c r="AD2127" s="5"/>
      <c r="AE2127" s="5"/>
      <c r="AF2127" s="1120"/>
      <c r="AG2127" s="1148"/>
      <c r="AH2127" s="1120"/>
      <c r="AI2127" s="1120"/>
      <c r="AJ2127" s="1120"/>
    </row>
    <row r="2128" spans="2:36" ht="30" customHeight="1" x14ac:dyDescent="0.25">
      <c r="B2128" s="5"/>
      <c r="C2128" s="5"/>
      <c r="D2128" s="5"/>
      <c r="E2128" s="5"/>
      <c r="F2128" s="5"/>
      <c r="G2128" s="5"/>
      <c r="H2128" s="5"/>
      <c r="I2128" s="5"/>
      <c r="J2128" s="5"/>
      <c r="L2128" s="277"/>
      <c r="M2128" s="5"/>
      <c r="R2128" s="5"/>
      <c r="S2128" s="5"/>
      <c r="T2128" s="1120"/>
      <c r="U2128" s="5"/>
      <c r="V2128" s="5"/>
      <c r="W2128" s="5"/>
      <c r="X2128" s="1120"/>
      <c r="Y2128" s="1120"/>
      <c r="Z2128" s="5"/>
      <c r="AA2128" s="5"/>
      <c r="AB2128" s="1135"/>
      <c r="AC2128" s="5"/>
      <c r="AD2128" s="5"/>
      <c r="AE2128" s="5"/>
      <c r="AF2128" s="1120"/>
      <c r="AG2128" s="1148"/>
      <c r="AH2128" s="1120"/>
      <c r="AI2128" s="1120"/>
      <c r="AJ2128" s="1120"/>
    </row>
    <row r="2129" spans="2:36" ht="30" customHeight="1" x14ac:dyDescent="0.25">
      <c r="B2129" s="5"/>
      <c r="C2129" s="5"/>
      <c r="D2129" s="5"/>
      <c r="E2129" s="5"/>
      <c r="F2129" s="5"/>
      <c r="G2129" s="5"/>
      <c r="H2129" s="5"/>
      <c r="I2129" s="5"/>
      <c r="J2129" s="5"/>
      <c r="L2129" s="277"/>
      <c r="M2129" s="5"/>
      <c r="R2129" s="5"/>
      <c r="S2129" s="5"/>
      <c r="T2129" s="1120"/>
      <c r="U2129" s="5"/>
      <c r="V2129" s="5"/>
      <c r="W2129" s="5"/>
      <c r="X2129" s="1120"/>
      <c r="Y2129" s="1120"/>
      <c r="Z2129" s="5"/>
      <c r="AA2129" s="5"/>
      <c r="AB2129" s="1135"/>
      <c r="AC2129" s="5"/>
      <c r="AD2129" s="5"/>
      <c r="AE2129" s="5"/>
      <c r="AF2129" s="1120"/>
      <c r="AG2129" s="1148"/>
      <c r="AH2129" s="1120"/>
      <c r="AI2129" s="1120"/>
      <c r="AJ2129" s="1120"/>
    </row>
    <row r="2130" spans="2:36" ht="30" customHeight="1" x14ac:dyDescent="0.25">
      <c r="B2130" s="5"/>
      <c r="C2130" s="5"/>
      <c r="D2130" s="5"/>
      <c r="E2130" s="5"/>
      <c r="F2130" s="5"/>
      <c r="G2130" s="5"/>
      <c r="H2130" s="5"/>
      <c r="I2130" s="5"/>
      <c r="J2130" s="5"/>
      <c r="L2130" s="277"/>
      <c r="M2130" s="5"/>
      <c r="R2130" s="5"/>
      <c r="S2130" s="5"/>
      <c r="T2130" s="1120"/>
      <c r="U2130" s="5"/>
      <c r="V2130" s="5"/>
      <c r="W2130" s="5"/>
      <c r="X2130" s="1120"/>
      <c r="Y2130" s="1120"/>
      <c r="Z2130" s="5"/>
      <c r="AA2130" s="5"/>
      <c r="AB2130" s="1135"/>
      <c r="AC2130" s="5"/>
      <c r="AD2130" s="5"/>
      <c r="AE2130" s="5"/>
      <c r="AF2130" s="1120"/>
      <c r="AG2130" s="1148"/>
      <c r="AH2130" s="1120"/>
      <c r="AI2130" s="1120"/>
      <c r="AJ2130" s="1120"/>
    </row>
    <row r="2131" spans="2:36" ht="30" customHeight="1" x14ac:dyDescent="0.25">
      <c r="B2131" s="5"/>
      <c r="C2131" s="5"/>
      <c r="D2131" s="5"/>
      <c r="E2131" s="5"/>
      <c r="F2131" s="5"/>
      <c r="G2131" s="5"/>
      <c r="H2131" s="5"/>
      <c r="I2131" s="5"/>
      <c r="J2131" s="5"/>
      <c r="L2131" s="277"/>
      <c r="M2131" s="5"/>
      <c r="R2131" s="5"/>
      <c r="S2131" s="5"/>
      <c r="T2131" s="1120"/>
      <c r="U2131" s="5"/>
      <c r="V2131" s="5"/>
      <c r="W2131" s="5"/>
      <c r="X2131" s="1120"/>
      <c r="Y2131" s="1120"/>
      <c r="Z2131" s="5"/>
      <c r="AA2131" s="5"/>
      <c r="AB2131" s="1135"/>
      <c r="AC2131" s="5"/>
      <c r="AD2131" s="5"/>
      <c r="AE2131" s="5"/>
      <c r="AF2131" s="1120"/>
      <c r="AG2131" s="1148"/>
      <c r="AH2131" s="1120"/>
      <c r="AI2131" s="1120"/>
      <c r="AJ2131" s="1120"/>
    </row>
    <row r="2132" spans="2:36" ht="30" customHeight="1" x14ac:dyDescent="0.25">
      <c r="B2132" s="5"/>
      <c r="C2132" s="5"/>
      <c r="D2132" s="5"/>
      <c r="E2132" s="5"/>
      <c r="F2132" s="5"/>
      <c r="G2132" s="5"/>
      <c r="H2132" s="5"/>
      <c r="I2132" s="5"/>
      <c r="J2132" s="5"/>
      <c r="L2132" s="277"/>
      <c r="M2132" s="5"/>
      <c r="R2132" s="5"/>
      <c r="S2132" s="5"/>
      <c r="T2132" s="1120"/>
      <c r="U2132" s="5"/>
      <c r="V2132" s="5"/>
      <c r="W2132" s="5"/>
      <c r="X2132" s="1120"/>
      <c r="Y2132" s="1120"/>
      <c r="Z2132" s="5"/>
      <c r="AA2132" s="5"/>
      <c r="AB2132" s="1135"/>
      <c r="AC2132" s="5"/>
      <c r="AD2132" s="5"/>
      <c r="AE2132" s="5"/>
      <c r="AF2132" s="1120"/>
      <c r="AG2132" s="1148"/>
      <c r="AH2132" s="1120"/>
      <c r="AI2132" s="1120"/>
      <c r="AJ2132" s="1120"/>
    </row>
    <row r="2133" spans="2:36" ht="30" customHeight="1" x14ac:dyDescent="0.25">
      <c r="B2133" s="5"/>
      <c r="C2133" s="5"/>
      <c r="D2133" s="5"/>
      <c r="E2133" s="5"/>
      <c r="F2133" s="5"/>
      <c r="G2133" s="5"/>
      <c r="H2133" s="5"/>
      <c r="I2133" s="5"/>
      <c r="J2133" s="5"/>
      <c r="L2133" s="277"/>
      <c r="M2133" s="5"/>
      <c r="R2133" s="5"/>
      <c r="S2133" s="5"/>
      <c r="T2133" s="1120"/>
      <c r="U2133" s="5"/>
      <c r="V2133" s="5"/>
      <c r="W2133" s="5"/>
      <c r="X2133" s="1120"/>
      <c r="Y2133" s="1120"/>
      <c r="Z2133" s="5"/>
      <c r="AA2133" s="5"/>
      <c r="AB2133" s="1135"/>
      <c r="AC2133" s="5"/>
      <c r="AD2133" s="5"/>
      <c r="AE2133" s="5"/>
      <c r="AF2133" s="1120"/>
      <c r="AG2133" s="1148"/>
      <c r="AH2133" s="1120"/>
      <c r="AI2133" s="1120"/>
      <c r="AJ2133" s="1120"/>
    </row>
    <row r="2134" spans="2:36" ht="30" customHeight="1" x14ac:dyDescent="0.25">
      <c r="B2134" s="5"/>
      <c r="C2134" s="5"/>
      <c r="D2134" s="5"/>
      <c r="E2134" s="5"/>
      <c r="F2134" s="5"/>
      <c r="G2134" s="5"/>
      <c r="H2134" s="5"/>
      <c r="I2134" s="5"/>
      <c r="J2134" s="5"/>
      <c r="L2134" s="277"/>
      <c r="M2134" s="5"/>
      <c r="R2134" s="5"/>
      <c r="S2134" s="5"/>
      <c r="T2134" s="1120"/>
      <c r="U2134" s="5"/>
      <c r="V2134" s="5"/>
      <c r="W2134" s="5"/>
      <c r="X2134" s="1120"/>
      <c r="Y2134" s="1120"/>
      <c r="Z2134" s="5"/>
      <c r="AA2134" s="5"/>
      <c r="AB2134" s="1135"/>
      <c r="AC2134" s="5"/>
      <c r="AD2134" s="5"/>
      <c r="AE2134" s="5"/>
      <c r="AF2134" s="1120"/>
      <c r="AG2134" s="1148"/>
      <c r="AH2134" s="1120"/>
      <c r="AI2134" s="1120"/>
      <c r="AJ2134" s="1120"/>
    </row>
    <row r="2135" spans="2:36" ht="30" customHeight="1" x14ac:dyDescent="0.25">
      <c r="B2135" s="5"/>
      <c r="C2135" s="5"/>
      <c r="D2135" s="5"/>
      <c r="E2135" s="5"/>
      <c r="F2135" s="5"/>
      <c r="G2135" s="5"/>
      <c r="H2135" s="5"/>
      <c r="I2135" s="5"/>
      <c r="J2135" s="5"/>
      <c r="L2135" s="277"/>
      <c r="M2135" s="5"/>
      <c r="R2135" s="5"/>
      <c r="S2135" s="5"/>
      <c r="T2135" s="1120"/>
      <c r="U2135" s="5"/>
      <c r="V2135" s="5"/>
      <c r="W2135" s="5"/>
      <c r="X2135" s="1120"/>
      <c r="Y2135" s="1120"/>
      <c r="Z2135" s="5"/>
      <c r="AA2135" s="5"/>
      <c r="AB2135" s="1135"/>
      <c r="AC2135" s="5"/>
      <c r="AD2135" s="5"/>
      <c r="AE2135" s="5"/>
      <c r="AF2135" s="1120"/>
      <c r="AG2135" s="1148"/>
      <c r="AH2135" s="1120"/>
      <c r="AI2135" s="1120"/>
      <c r="AJ2135" s="1120"/>
    </row>
    <row r="2136" spans="2:36" ht="30" customHeight="1" x14ac:dyDescent="0.25">
      <c r="B2136" s="5"/>
      <c r="C2136" s="5"/>
      <c r="D2136" s="5"/>
      <c r="E2136" s="5"/>
      <c r="F2136" s="5"/>
      <c r="G2136" s="5"/>
      <c r="H2136" s="5"/>
      <c r="I2136" s="5"/>
      <c r="J2136" s="5"/>
      <c r="L2136" s="277"/>
      <c r="M2136" s="5"/>
      <c r="R2136" s="5"/>
      <c r="S2136" s="5"/>
      <c r="T2136" s="1120"/>
      <c r="U2136" s="5"/>
      <c r="V2136" s="5"/>
      <c r="W2136" s="5"/>
      <c r="X2136" s="1120"/>
      <c r="Y2136" s="1120"/>
      <c r="Z2136" s="5"/>
      <c r="AA2136" s="5"/>
      <c r="AB2136" s="1135"/>
      <c r="AC2136" s="5"/>
      <c r="AD2136" s="5"/>
      <c r="AE2136" s="5"/>
      <c r="AF2136" s="1120"/>
      <c r="AG2136" s="1148"/>
      <c r="AH2136" s="1120"/>
      <c r="AI2136" s="1120"/>
      <c r="AJ2136" s="1120"/>
    </row>
    <row r="2137" spans="2:36" ht="30" customHeight="1" x14ac:dyDescent="0.25">
      <c r="B2137" s="5"/>
      <c r="C2137" s="5"/>
      <c r="D2137" s="5"/>
      <c r="E2137" s="5"/>
      <c r="F2137" s="5"/>
      <c r="G2137" s="5"/>
      <c r="H2137" s="5"/>
      <c r="I2137" s="5"/>
      <c r="J2137" s="5"/>
      <c r="L2137" s="277"/>
      <c r="M2137" s="5"/>
      <c r="R2137" s="5"/>
      <c r="S2137" s="5"/>
      <c r="T2137" s="1120"/>
      <c r="U2137" s="5"/>
      <c r="V2137" s="5"/>
      <c r="W2137" s="5"/>
      <c r="X2137" s="1120"/>
      <c r="Y2137" s="1120"/>
      <c r="Z2137" s="5"/>
      <c r="AA2137" s="5"/>
      <c r="AB2137" s="1135"/>
      <c r="AC2137" s="5"/>
      <c r="AD2137" s="5"/>
      <c r="AE2137" s="5"/>
      <c r="AF2137" s="1120"/>
      <c r="AG2137" s="1148"/>
      <c r="AH2137" s="1120"/>
      <c r="AI2137" s="1120"/>
      <c r="AJ2137" s="1120"/>
    </row>
    <row r="2138" spans="2:36" ht="30" customHeight="1" x14ac:dyDescent="0.25">
      <c r="B2138" s="5"/>
      <c r="C2138" s="5"/>
      <c r="D2138" s="5"/>
      <c r="E2138" s="5"/>
      <c r="F2138" s="5"/>
      <c r="G2138" s="5"/>
      <c r="H2138" s="5"/>
      <c r="I2138" s="5"/>
      <c r="J2138" s="5"/>
      <c r="L2138" s="277"/>
      <c r="M2138" s="5"/>
      <c r="R2138" s="5"/>
      <c r="S2138" s="5"/>
      <c r="T2138" s="1120"/>
      <c r="U2138" s="5"/>
      <c r="V2138" s="5"/>
      <c r="W2138" s="5"/>
      <c r="X2138" s="1120"/>
      <c r="Y2138" s="1120"/>
      <c r="Z2138" s="5"/>
      <c r="AA2138" s="5"/>
      <c r="AB2138" s="1135"/>
      <c r="AC2138" s="5"/>
      <c r="AD2138" s="5"/>
      <c r="AE2138" s="5"/>
      <c r="AF2138" s="1120"/>
      <c r="AG2138" s="1148"/>
      <c r="AH2138" s="1120"/>
      <c r="AI2138" s="1120"/>
      <c r="AJ2138" s="1120"/>
    </row>
    <row r="2139" spans="2:36" ht="30" customHeight="1" x14ac:dyDescent="0.25">
      <c r="B2139" s="5"/>
      <c r="C2139" s="5"/>
      <c r="D2139" s="5"/>
      <c r="E2139" s="5"/>
      <c r="F2139" s="5"/>
      <c r="G2139" s="5"/>
      <c r="H2139" s="5"/>
      <c r="I2139" s="5"/>
      <c r="J2139" s="5"/>
      <c r="L2139" s="277"/>
      <c r="M2139" s="5"/>
      <c r="R2139" s="5"/>
      <c r="S2139" s="5"/>
      <c r="T2139" s="1120"/>
      <c r="U2139" s="5"/>
      <c r="V2139" s="5"/>
      <c r="W2139" s="5"/>
      <c r="X2139" s="1120"/>
      <c r="Y2139" s="1120"/>
      <c r="Z2139" s="5"/>
      <c r="AA2139" s="5"/>
      <c r="AB2139" s="1135"/>
      <c r="AC2139" s="5"/>
      <c r="AD2139" s="5"/>
      <c r="AE2139" s="5"/>
      <c r="AF2139" s="1120"/>
      <c r="AG2139" s="1148"/>
      <c r="AH2139" s="1120"/>
      <c r="AI2139" s="1120"/>
      <c r="AJ2139" s="1120"/>
    </row>
    <row r="2140" spans="2:36" ht="30" customHeight="1" x14ac:dyDescent="0.25">
      <c r="B2140" s="5"/>
      <c r="C2140" s="5"/>
      <c r="D2140" s="5"/>
      <c r="E2140" s="5"/>
      <c r="F2140" s="5"/>
      <c r="G2140" s="5"/>
      <c r="H2140" s="5"/>
      <c r="I2140" s="5"/>
      <c r="J2140" s="5"/>
      <c r="L2140" s="277"/>
      <c r="M2140" s="5"/>
      <c r="R2140" s="5"/>
      <c r="S2140" s="5"/>
      <c r="T2140" s="1120"/>
      <c r="U2140" s="5"/>
      <c r="V2140" s="5"/>
      <c r="W2140" s="5"/>
      <c r="X2140" s="1120"/>
      <c r="Y2140" s="1120"/>
      <c r="Z2140" s="5"/>
      <c r="AA2140" s="5"/>
      <c r="AB2140" s="1135"/>
      <c r="AC2140" s="5"/>
      <c r="AD2140" s="5"/>
      <c r="AE2140" s="5"/>
      <c r="AF2140" s="1120"/>
      <c r="AG2140" s="1148"/>
      <c r="AH2140" s="1120"/>
      <c r="AI2140" s="1120"/>
      <c r="AJ2140" s="1120"/>
    </row>
    <row r="2141" spans="2:36" ht="30" customHeight="1" x14ac:dyDescent="0.25">
      <c r="B2141" s="5"/>
      <c r="C2141" s="5"/>
      <c r="D2141" s="5"/>
      <c r="E2141" s="5"/>
      <c r="F2141" s="5"/>
      <c r="G2141" s="5"/>
      <c r="H2141" s="5"/>
      <c r="I2141" s="5"/>
      <c r="J2141" s="5"/>
      <c r="L2141" s="277"/>
      <c r="M2141" s="5"/>
      <c r="R2141" s="5"/>
      <c r="S2141" s="5"/>
      <c r="T2141" s="1120"/>
      <c r="U2141" s="5"/>
      <c r="V2141" s="5"/>
      <c r="W2141" s="5"/>
      <c r="X2141" s="1120"/>
      <c r="Y2141" s="1120"/>
      <c r="Z2141" s="5"/>
      <c r="AA2141" s="5"/>
      <c r="AB2141" s="1135"/>
      <c r="AC2141" s="5"/>
      <c r="AD2141" s="5"/>
      <c r="AE2141" s="5"/>
      <c r="AF2141" s="1120"/>
      <c r="AG2141" s="1148"/>
      <c r="AH2141" s="1120"/>
      <c r="AI2141" s="1120"/>
      <c r="AJ2141" s="1120"/>
    </row>
    <row r="2142" spans="2:36" ht="30" customHeight="1" x14ac:dyDescent="0.25">
      <c r="B2142" s="5"/>
      <c r="C2142" s="5"/>
      <c r="D2142" s="5"/>
      <c r="E2142" s="5"/>
      <c r="F2142" s="5"/>
      <c r="G2142" s="5"/>
      <c r="H2142" s="5"/>
      <c r="I2142" s="5"/>
      <c r="J2142" s="5"/>
      <c r="L2142" s="277"/>
      <c r="M2142" s="5"/>
      <c r="R2142" s="5"/>
      <c r="S2142" s="5"/>
      <c r="T2142" s="1120"/>
      <c r="U2142" s="5"/>
      <c r="V2142" s="5"/>
      <c r="W2142" s="5"/>
      <c r="X2142" s="1120"/>
      <c r="Y2142" s="1120"/>
      <c r="Z2142" s="5"/>
      <c r="AA2142" s="5"/>
      <c r="AB2142" s="1135"/>
      <c r="AC2142" s="5"/>
      <c r="AD2142" s="5"/>
      <c r="AE2142" s="5"/>
      <c r="AF2142" s="1120"/>
      <c r="AG2142" s="1148"/>
      <c r="AH2142" s="1120"/>
      <c r="AI2142" s="1120"/>
      <c r="AJ2142" s="1120"/>
    </row>
    <row r="2143" spans="2:36" ht="30" customHeight="1" x14ac:dyDescent="0.25">
      <c r="B2143" s="5"/>
      <c r="C2143" s="5"/>
      <c r="D2143" s="5"/>
      <c r="E2143" s="5"/>
      <c r="F2143" s="5"/>
      <c r="G2143" s="5"/>
      <c r="H2143" s="5"/>
      <c r="I2143" s="5"/>
      <c r="J2143" s="5"/>
      <c r="L2143" s="277"/>
      <c r="M2143" s="5"/>
      <c r="R2143" s="5"/>
      <c r="S2143" s="5"/>
      <c r="T2143" s="1120"/>
      <c r="U2143" s="5"/>
      <c r="V2143" s="5"/>
      <c r="W2143" s="5"/>
      <c r="X2143" s="1120"/>
      <c r="Y2143" s="1120"/>
      <c r="Z2143" s="5"/>
      <c r="AA2143" s="5"/>
      <c r="AB2143" s="1135"/>
      <c r="AC2143" s="5"/>
      <c r="AD2143" s="5"/>
      <c r="AE2143" s="5"/>
      <c r="AF2143" s="1120"/>
      <c r="AG2143" s="1148"/>
      <c r="AH2143" s="1120"/>
      <c r="AI2143" s="1120"/>
      <c r="AJ2143" s="1120"/>
    </row>
    <row r="2144" spans="2:36" ht="30" customHeight="1" x14ac:dyDescent="0.25">
      <c r="B2144" s="5"/>
      <c r="C2144" s="5"/>
      <c r="D2144" s="5"/>
      <c r="E2144" s="5"/>
      <c r="F2144" s="5"/>
      <c r="G2144" s="5"/>
      <c r="H2144" s="5"/>
      <c r="I2144" s="5"/>
      <c r="J2144" s="5"/>
      <c r="L2144" s="277"/>
      <c r="M2144" s="5"/>
      <c r="R2144" s="5"/>
      <c r="S2144" s="5"/>
      <c r="T2144" s="1120"/>
      <c r="U2144" s="5"/>
      <c r="V2144" s="5"/>
      <c r="W2144" s="5"/>
      <c r="X2144" s="1120"/>
      <c r="Y2144" s="1120"/>
      <c r="Z2144" s="5"/>
      <c r="AA2144" s="5"/>
      <c r="AB2144" s="1135"/>
      <c r="AC2144" s="5"/>
      <c r="AD2144" s="5"/>
      <c r="AE2144" s="5"/>
      <c r="AF2144" s="1120"/>
      <c r="AG2144" s="1148"/>
      <c r="AH2144" s="1120"/>
      <c r="AI2144" s="1120"/>
      <c r="AJ2144" s="1120"/>
    </row>
    <row r="2145" spans="2:36" ht="30" customHeight="1" x14ac:dyDescent="0.25">
      <c r="B2145" s="5"/>
      <c r="C2145" s="5"/>
      <c r="D2145" s="5"/>
      <c r="E2145" s="5"/>
      <c r="F2145" s="5"/>
      <c r="G2145" s="5"/>
      <c r="H2145" s="5"/>
      <c r="I2145" s="5"/>
      <c r="J2145" s="5"/>
      <c r="L2145" s="277"/>
      <c r="M2145" s="5"/>
      <c r="R2145" s="5"/>
      <c r="S2145" s="5"/>
      <c r="T2145" s="1120"/>
      <c r="U2145" s="5"/>
      <c r="V2145" s="5"/>
      <c r="W2145" s="5"/>
      <c r="X2145" s="1120"/>
      <c r="Y2145" s="1120"/>
      <c r="Z2145" s="5"/>
      <c r="AA2145" s="5"/>
      <c r="AB2145" s="1135"/>
      <c r="AC2145" s="5"/>
      <c r="AD2145" s="5"/>
      <c r="AE2145" s="5"/>
      <c r="AF2145" s="1120"/>
      <c r="AG2145" s="1148"/>
      <c r="AH2145" s="1120"/>
      <c r="AI2145" s="1120"/>
      <c r="AJ2145" s="1120"/>
    </row>
    <row r="2146" spans="2:36" ht="30" customHeight="1" x14ac:dyDescent="0.25">
      <c r="B2146" s="5"/>
      <c r="C2146" s="5"/>
      <c r="D2146" s="5"/>
      <c r="E2146" s="5"/>
      <c r="F2146" s="5"/>
      <c r="G2146" s="5"/>
      <c r="H2146" s="5"/>
      <c r="I2146" s="5"/>
      <c r="J2146" s="5"/>
      <c r="L2146" s="277"/>
      <c r="M2146" s="5"/>
      <c r="R2146" s="5"/>
      <c r="S2146" s="5"/>
      <c r="T2146" s="1120"/>
      <c r="U2146" s="5"/>
      <c r="V2146" s="5"/>
      <c r="W2146" s="5"/>
      <c r="X2146" s="1120"/>
      <c r="Y2146" s="1120"/>
      <c r="Z2146" s="5"/>
      <c r="AA2146" s="5"/>
      <c r="AB2146" s="1135"/>
      <c r="AC2146" s="5"/>
      <c r="AD2146" s="5"/>
      <c r="AE2146" s="5"/>
      <c r="AF2146" s="1120"/>
      <c r="AG2146" s="1148"/>
      <c r="AH2146" s="1120"/>
      <c r="AI2146" s="1120"/>
      <c r="AJ2146" s="1120"/>
    </row>
    <row r="2147" spans="2:36" ht="30" customHeight="1" x14ac:dyDescent="0.25">
      <c r="B2147" s="5"/>
      <c r="C2147" s="5"/>
      <c r="D2147" s="5"/>
      <c r="E2147" s="5"/>
      <c r="F2147" s="5"/>
      <c r="G2147" s="5"/>
      <c r="H2147" s="5"/>
      <c r="I2147" s="5"/>
      <c r="J2147" s="5"/>
      <c r="L2147" s="277"/>
      <c r="M2147" s="5"/>
      <c r="R2147" s="5"/>
      <c r="S2147" s="5"/>
      <c r="T2147" s="1120"/>
      <c r="U2147" s="5"/>
      <c r="V2147" s="5"/>
      <c r="W2147" s="5"/>
      <c r="X2147" s="1120"/>
      <c r="Y2147" s="1120"/>
      <c r="Z2147" s="5"/>
      <c r="AA2147" s="5"/>
      <c r="AB2147" s="1135"/>
      <c r="AC2147" s="5"/>
      <c r="AD2147" s="5"/>
      <c r="AE2147" s="5"/>
      <c r="AF2147" s="1120"/>
      <c r="AG2147" s="1148"/>
      <c r="AH2147" s="1120"/>
      <c r="AI2147" s="1120"/>
      <c r="AJ2147" s="1120"/>
    </row>
    <row r="2148" spans="2:36" ht="30" customHeight="1" x14ac:dyDescent="0.25">
      <c r="B2148" s="5"/>
      <c r="C2148" s="5"/>
      <c r="D2148" s="5"/>
      <c r="E2148" s="5"/>
      <c r="F2148" s="5"/>
      <c r="G2148" s="5"/>
      <c r="H2148" s="5"/>
      <c r="I2148" s="5"/>
      <c r="J2148" s="5"/>
      <c r="L2148" s="277"/>
      <c r="M2148" s="5"/>
      <c r="R2148" s="5"/>
      <c r="S2148" s="5"/>
      <c r="T2148" s="1120"/>
      <c r="U2148" s="5"/>
      <c r="V2148" s="5"/>
      <c r="W2148" s="5"/>
      <c r="X2148" s="1120"/>
      <c r="Y2148" s="1120"/>
      <c r="Z2148" s="5"/>
      <c r="AA2148" s="5"/>
      <c r="AB2148" s="1135"/>
      <c r="AC2148" s="5"/>
      <c r="AD2148" s="5"/>
      <c r="AE2148" s="5"/>
      <c r="AF2148" s="1120"/>
      <c r="AG2148" s="1148"/>
      <c r="AH2148" s="1120"/>
      <c r="AI2148" s="1120"/>
      <c r="AJ2148" s="1120"/>
    </row>
    <row r="2149" spans="2:36" ht="30" customHeight="1" x14ac:dyDescent="0.25">
      <c r="B2149" s="5"/>
      <c r="C2149" s="5"/>
      <c r="D2149" s="5"/>
      <c r="E2149" s="5"/>
      <c r="F2149" s="5"/>
      <c r="G2149" s="5"/>
      <c r="H2149" s="5"/>
      <c r="I2149" s="5"/>
      <c r="J2149" s="5"/>
      <c r="L2149" s="277"/>
      <c r="M2149" s="5"/>
      <c r="R2149" s="5"/>
      <c r="S2149" s="5"/>
      <c r="T2149" s="1120"/>
      <c r="U2149" s="5"/>
      <c r="V2149" s="5"/>
      <c r="W2149" s="5"/>
      <c r="X2149" s="1120"/>
      <c r="Y2149" s="1120"/>
      <c r="Z2149" s="5"/>
      <c r="AA2149" s="5"/>
      <c r="AB2149" s="1135"/>
      <c r="AC2149" s="5"/>
      <c r="AD2149" s="5"/>
      <c r="AE2149" s="5"/>
      <c r="AF2149" s="1120"/>
      <c r="AG2149" s="1148"/>
      <c r="AH2149" s="1120"/>
      <c r="AI2149" s="1120"/>
      <c r="AJ2149" s="1120"/>
    </row>
    <row r="2150" spans="2:36" ht="30" customHeight="1" x14ac:dyDescent="0.25">
      <c r="B2150" s="5"/>
      <c r="C2150" s="5"/>
      <c r="D2150" s="5"/>
      <c r="E2150" s="5"/>
      <c r="F2150" s="5"/>
      <c r="G2150" s="5"/>
      <c r="H2150" s="5"/>
      <c r="I2150" s="5"/>
      <c r="J2150" s="5"/>
      <c r="L2150" s="277"/>
      <c r="M2150" s="5"/>
      <c r="R2150" s="5"/>
      <c r="S2150" s="5"/>
      <c r="T2150" s="1120"/>
      <c r="U2150" s="5"/>
      <c r="V2150" s="5"/>
      <c r="W2150" s="5"/>
      <c r="X2150" s="1120"/>
      <c r="Y2150" s="1120"/>
      <c r="Z2150" s="5"/>
      <c r="AA2150" s="5"/>
      <c r="AB2150" s="1135"/>
      <c r="AC2150" s="5"/>
      <c r="AD2150" s="5"/>
      <c r="AE2150" s="5"/>
      <c r="AF2150" s="1120"/>
      <c r="AG2150" s="1148"/>
      <c r="AH2150" s="1120"/>
      <c r="AI2150" s="1120"/>
      <c r="AJ2150" s="1120"/>
    </row>
    <row r="2151" spans="2:36" ht="30" customHeight="1" x14ac:dyDescent="0.25">
      <c r="B2151" s="5"/>
      <c r="C2151" s="5"/>
      <c r="D2151" s="5"/>
      <c r="E2151" s="5"/>
      <c r="F2151" s="5"/>
      <c r="G2151" s="5"/>
      <c r="H2151" s="5"/>
      <c r="I2151" s="5"/>
      <c r="J2151" s="5"/>
      <c r="L2151" s="277"/>
      <c r="M2151" s="5"/>
      <c r="R2151" s="5"/>
      <c r="S2151" s="5"/>
      <c r="T2151" s="1120"/>
      <c r="U2151" s="5"/>
      <c r="V2151" s="5"/>
      <c r="W2151" s="5"/>
      <c r="X2151" s="1120"/>
      <c r="Y2151" s="1120"/>
      <c r="Z2151" s="5"/>
      <c r="AA2151" s="5"/>
      <c r="AB2151" s="1135"/>
      <c r="AC2151" s="5"/>
      <c r="AD2151" s="5"/>
      <c r="AE2151" s="5"/>
      <c r="AF2151" s="1120"/>
      <c r="AG2151" s="1148"/>
      <c r="AH2151" s="1120"/>
      <c r="AI2151" s="1120"/>
      <c r="AJ2151" s="1120"/>
    </row>
    <row r="2152" spans="2:36" ht="30" customHeight="1" x14ac:dyDescent="0.25">
      <c r="B2152" s="5"/>
      <c r="C2152" s="5"/>
      <c r="D2152" s="5"/>
      <c r="E2152" s="5"/>
      <c r="F2152" s="5"/>
      <c r="G2152" s="5"/>
      <c r="H2152" s="5"/>
      <c r="I2152" s="5"/>
      <c r="J2152" s="5"/>
      <c r="L2152" s="277"/>
      <c r="M2152" s="5"/>
      <c r="R2152" s="5"/>
      <c r="S2152" s="5"/>
      <c r="T2152" s="1120"/>
      <c r="U2152" s="5"/>
      <c r="V2152" s="5"/>
      <c r="W2152" s="5"/>
      <c r="X2152" s="1120"/>
      <c r="Y2152" s="1120"/>
      <c r="Z2152" s="5"/>
      <c r="AA2152" s="5"/>
      <c r="AB2152" s="1135"/>
      <c r="AC2152" s="5"/>
      <c r="AD2152" s="5"/>
      <c r="AE2152" s="5"/>
      <c r="AF2152" s="1120"/>
      <c r="AG2152" s="1148"/>
      <c r="AH2152" s="1120"/>
      <c r="AI2152" s="1120"/>
      <c r="AJ2152" s="1120"/>
    </row>
    <row r="2153" spans="2:36" ht="30" customHeight="1" x14ac:dyDescent="0.25">
      <c r="B2153" s="5"/>
      <c r="C2153" s="5"/>
      <c r="D2153" s="5"/>
      <c r="E2153" s="5"/>
      <c r="F2153" s="5"/>
      <c r="G2153" s="5"/>
      <c r="H2153" s="5"/>
      <c r="I2153" s="5"/>
      <c r="J2153" s="5"/>
      <c r="L2153" s="277"/>
      <c r="M2153" s="5"/>
      <c r="R2153" s="5"/>
      <c r="S2153" s="5"/>
      <c r="T2153" s="1120"/>
      <c r="U2153" s="5"/>
      <c r="V2153" s="5"/>
      <c r="W2153" s="5"/>
      <c r="X2153" s="1120"/>
      <c r="Y2153" s="1120"/>
      <c r="Z2153" s="5"/>
      <c r="AA2153" s="5"/>
      <c r="AB2153" s="1135"/>
      <c r="AC2153" s="5"/>
      <c r="AD2153" s="5"/>
      <c r="AE2153" s="5"/>
      <c r="AF2153" s="1120"/>
      <c r="AG2153" s="1148"/>
      <c r="AH2153" s="1120"/>
      <c r="AI2153" s="1120"/>
      <c r="AJ2153" s="1120"/>
    </row>
    <row r="2154" spans="2:36" ht="30" customHeight="1" x14ac:dyDescent="0.25">
      <c r="B2154" s="5"/>
      <c r="C2154" s="5"/>
      <c r="D2154" s="5"/>
      <c r="E2154" s="5"/>
      <c r="F2154" s="5"/>
      <c r="G2154" s="5"/>
      <c r="H2154" s="5"/>
      <c r="I2154" s="5"/>
      <c r="J2154" s="5"/>
      <c r="L2154" s="277"/>
      <c r="M2154" s="5"/>
      <c r="R2154" s="5"/>
      <c r="S2154" s="5"/>
      <c r="T2154" s="1120"/>
      <c r="U2154" s="5"/>
      <c r="V2154" s="5"/>
      <c r="W2154" s="5"/>
      <c r="X2154" s="1120"/>
      <c r="Y2154" s="1120"/>
      <c r="Z2154" s="5"/>
      <c r="AA2154" s="5"/>
      <c r="AB2154" s="1135"/>
      <c r="AC2154" s="5"/>
      <c r="AD2154" s="5"/>
      <c r="AE2154" s="5"/>
      <c r="AF2154" s="1120"/>
      <c r="AG2154" s="1148"/>
      <c r="AH2154" s="1120"/>
      <c r="AI2154" s="1120"/>
      <c r="AJ2154" s="1120"/>
    </row>
    <row r="2155" spans="2:36" ht="30" customHeight="1" x14ac:dyDescent="0.25">
      <c r="B2155" s="5"/>
      <c r="C2155" s="5"/>
      <c r="D2155" s="5"/>
      <c r="E2155" s="5"/>
      <c r="F2155" s="5"/>
      <c r="G2155" s="5"/>
      <c r="H2155" s="5"/>
      <c r="I2155" s="5"/>
      <c r="J2155" s="5"/>
      <c r="L2155" s="277"/>
      <c r="M2155" s="5"/>
      <c r="R2155" s="5"/>
      <c r="S2155" s="5"/>
      <c r="T2155" s="1120"/>
      <c r="U2155" s="5"/>
      <c r="V2155" s="5"/>
      <c r="W2155" s="5"/>
      <c r="X2155" s="1120"/>
      <c r="Y2155" s="1120"/>
      <c r="Z2155" s="5"/>
      <c r="AA2155" s="5"/>
      <c r="AB2155" s="1135"/>
      <c r="AC2155" s="5"/>
      <c r="AD2155" s="5"/>
      <c r="AE2155" s="5"/>
      <c r="AF2155" s="1120"/>
      <c r="AG2155" s="1148"/>
      <c r="AH2155" s="1120"/>
      <c r="AI2155" s="1120"/>
      <c r="AJ2155" s="1120"/>
    </row>
    <row r="2156" spans="2:36" ht="30" customHeight="1" x14ac:dyDescent="0.25">
      <c r="B2156" s="5"/>
      <c r="C2156" s="5"/>
      <c r="D2156" s="5"/>
      <c r="E2156" s="5"/>
      <c r="F2156" s="5"/>
      <c r="G2156" s="5"/>
      <c r="H2156" s="5"/>
      <c r="I2156" s="5"/>
      <c r="J2156" s="5"/>
      <c r="L2156" s="277"/>
      <c r="M2156" s="5"/>
      <c r="R2156" s="5"/>
      <c r="S2156" s="5"/>
      <c r="T2156" s="1120"/>
      <c r="U2156" s="5"/>
      <c r="V2156" s="5"/>
      <c r="W2156" s="5"/>
      <c r="X2156" s="1120"/>
      <c r="Y2156" s="1120"/>
      <c r="Z2156" s="5"/>
      <c r="AA2156" s="5"/>
      <c r="AB2156" s="1135"/>
      <c r="AC2156" s="5"/>
      <c r="AD2156" s="5"/>
      <c r="AE2156" s="5"/>
      <c r="AF2156" s="1120"/>
      <c r="AG2156" s="1148"/>
      <c r="AH2156" s="1120"/>
      <c r="AI2156" s="1120"/>
      <c r="AJ2156" s="1120"/>
    </row>
    <row r="2157" spans="2:36" ht="30" customHeight="1" x14ac:dyDescent="0.25">
      <c r="B2157" s="5"/>
      <c r="C2157" s="5"/>
      <c r="D2157" s="5"/>
      <c r="E2157" s="5"/>
      <c r="F2157" s="5"/>
      <c r="G2157" s="5"/>
      <c r="H2157" s="5"/>
      <c r="I2157" s="5"/>
      <c r="J2157" s="5"/>
      <c r="L2157" s="277"/>
      <c r="M2157" s="5"/>
      <c r="R2157" s="5"/>
      <c r="S2157" s="5"/>
      <c r="T2157" s="1120"/>
      <c r="U2157" s="5"/>
      <c r="V2157" s="5"/>
      <c r="W2157" s="5"/>
      <c r="X2157" s="1120"/>
      <c r="Y2157" s="1120"/>
      <c r="Z2157" s="5"/>
      <c r="AA2157" s="5"/>
      <c r="AB2157" s="1135"/>
      <c r="AC2157" s="5"/>
      <c r="AD2157" s="5"/>
      <c r="AE2157" s="5"/>
      <c r="AF2157" s="1120"/>
      <c r="AG2157" s="1148"/>
      <c r="AH2157" s="1120"/>
      <c r="AI2157" s="1120"/>
      <c r="AJ2157" s="1120"/>
    </row>
    <row r="2158" spans="2:36" ht="30" customHeight="1" x14ac:dyDescent="0.25">
      <c r="B2158" s="5"/>
      <c r="C2158" s="5"/>
      <c r="D2158" s="5"/>
      <c r="E2158" s="5"/>
      <c r="F2158" s="5"/>
      <c r="G2158" s="5"/>
      <c r="H2158" s="5"/>
      <c r="I2158" s="5"/>
      <c r="J2158" s="5"/>
      <c r="L2158" s="277"/>
      <c r="M2158" s="5"/>
      <c r="R2158" s="5"/>
      <c r="S2158" s="5"/>
      <c r="T2158" s="1120"/>
      <c r="U2158" s="5"/>
      <c r="V2158" s="5"/>
      <c r="W2158" s="5"/>
      <c r="X2158" s="1120"/>
      <c r="Y2158" s="1120"/>
      <c r="Z2158" s="5"/>
      <c r="AA2158" s="5"/>
      <c r="AB2158" s="1135"/>
      <c r="AC2158" s="5"/>
      <c r="AD2158" s="5"/>
      <c r="AE2158" s="5"/>
      <c r="AF2158" s="1120"/>
      <c r="AG2158" s="1148"/>
      <c r="AH2158" s="1120"/>
      <c r="AI2158" s="1120"/>
      <c r="AJ2158" s="1120"/>
    </row>
    <row r="2159" spans="2:36" ht="30" customHeight="1" x14ac:dyDescent="0.25">
      <c r="B2159" s="5"/>
      <c r="C2159" s="5"/>
      <c r="D2159" s="5"/>
      <c r="E2159" s="5"/>
      <c r="F2159" s="5"/>
      <c r="G2159" s="5"/>
      <c r="H2159" s="5"/>
      <c r="I2159" s="5"/>
      <c r="J2159" s="5"/>
      <c r="L2159" s="277"/>
      <c r="M2159" s="5"/>
      <c r="R2159" s="5"/>
      <c r="S2159" s="5"/>
      <c r="T2159" s="1120"/>
      <c r="U2159" s="5"/>
      <c r="V2159" s="5"/>
      <c r="W2159" s="5"/>
      <c r="X2159" s="1120"/>
      <c r="Y2159" s="1120"/>
      <c r="Z2159" s="5"/>
      <c r="AA2159" s="5"/>
      <c r="AB2159" s="1135"/>
      <c r="AC2159" s="5"/>
      <c r="AD2159" s="5"/>
      <c r="AE2159" s="5"/>
      <c r="AF2159" s="1120"/>
      <c r="AG2159" s="1148"/>
      <c r="AH2159" s="1120"/>
      <c r="AI2159" s="1120"/>
      <c r="AJ2159" s="1120"/>
    </row>
    <row r="2160" spans="2:36" ht="30" customHeight="1" x14ac:dyDescent="0.25">
      <c r="B2160" s="5"/>
      <c r="C2160" s="5"/>
      <c r="D2160" s="5"/>
      <c r="E2160" s="5"/>
      <c r="F2160" s="5"/>
      <c r="G2160" s="5"/>
      <c r="H2160" s="5"/>
      <c r="I2160" s="5"/>
      <c r="J2160" s="5"/>
      <c r="L2160" s="277"/>
      <c r="M2160" s="5"/>
      <c r="R2160" s="5"/>
      <c r="S2160" s="5"/>
      <c r="T2160" s="1120"/>
      <c r="U2160" s="5"/>
      <c r="V2160" s="5"/>
      <c r="W2160" s="5"/>
      <c r="X2160" s="1120"/>
      <c r="Y2160" s="1120"/>
      <c r="Z2160" s="5"/>
      <c r="AA2160" s="5"/>
      <c r="AB2160" s="1135"/>
      <c r="AC2160" s="5"/>
      <c r="AD2160" s="5"/>
      <c r="AE2160" s="5"/>
      <c r="AF2160" s="1120"/>
      <c r="AG2160" s="1148"/>
      <c r="AH2160" s="1120"/>
      <c r="AI2160" s="1120"/>
      <c r="AJ2160" s="1120"/>
    </row>
    <row r="2161" spans="2:36" ht="30" customHeight="1" x14ac:dyDescent="0.25">
      <c r="B2161" s="5"/>
      <c r="C2161" s="5"/>
      <c r="D2161" s="5"/>
      <c r="E2161" s="5"/>
      <c r="F2161" s="5"/>
      <c r="G2161" s="5"/>
      <c r="H2161" s="5"/>
      <c r="I2161" s="5"/>
      <c r="J2161" s="5"/>
      <c r="L2161" s="277"/>
      <c r="M2161" s="5"/>
      <c r="R2161" s="5"/>
      <c r="S2161" s="5"/>
      <c r="T2161" s="1120"/>
      <c r="U2161" s="5"/>
      <c r="V2161" s="5"/>
      <c r="W2161" s="5"/>
      <c r="X2161" s="1120"/>
      <c r="Y2161" s="1120"/>
      <c r="Z2161" s="5"/>
      <c r="AA2161" s="5"/>
      <c r="AB2161" s="1135"/>
      <c r="AC2161" s="5"/>
      <c r="AD2161" s="5"/>
      <c r="AE2161" s="5"/>
      <c r="AF2161" s="1120"/>
      <c r="AG2161" s="1148"/>
      <c r="AH2161" s="1120"/>
      <c r="AI2161" s="1120"/>
      <c r="AJ2161" s="1120"/>
    </row>
    <row r="2162" spans="2:36" ht="30" customHeight="1" x14ac:dyDescent="0.25">
      <c r="B2162" s="5"/>
      <c r="C2162" s="5"/>
      <c r="D2162" s="5"/>
      <c r="E2162" s="5"/>
      <c r="F2162" s="5"/>
      <c r="G2162" s="5"/>
      <c r="H2162" s="5"/>
      <c r="I2162" s="5"/>
      <c r="J2162" s="5"/>
      <c r="L2162" s="277"/>
      <c r="M2162" s="5"/>
      <c r="R2162" s="5"/>
      <c r="S2162" s="5"/>
      <c r="T2162" s="1120"/>
      <c r="U2162" s="5"/>
      <c r="V2162" s="5"/>
      <c r="W2162" s="5"/>
      <c r="X2162" s="1120"/>
      <c r="Y2162" s="1120"/>
      <c r="Z2162" s="5"/>
      <c r="AA2162" s="5"/>
      <c r="AB2162" s="1135"/>
      <c r="AC2162" s="5"/>
      <c r="AD2162" s="5"/>
      <c r="AE2162" s="5"/>
      <c r="AF2162" s="1120"/>
      <c r="AG2162" s="1148"/>
      <c r="AH2162" s="1120"/>
      <c r="AI2162" s="1120"/>
      <c r="AJ2162" s="1120"/>
    </row>
    <row r="2163" spans="2:36" ht="30" customHeight="1" x14ac:dyDescent="0.25">
      <c r="B2163" s="5"/>
      <c r="C2163" s="5"/>
      <c r="D2163" s="5"/>
      <c r="E2163" s="5"/>
      <c r="F2163" s="5"/>
      <c r="G2163" s="5"/>
      <c r="H2163" s="5"/>
      <c r="I2163" s="5"/>
      <c r="J2163" s="5"/>
      <c r="L2163" s="277"/>
      <c r="M2163" s="5"/>
      <c r="R2163" s="5"/>
      <c r="S2163" s="5"/>
      <c r="T2163" s="1120"/>
      <c r="U2163" s="5"/>
      <c r="V2163" s="5"/>
      <c r="W2163" s="5"/>
      <c r="X2163" s="1120"/>
      <c r="Y2163" s="1120"/>
      <c r="Z2163" s="5"/>
      <c r="AA2163" s="5"/>
      <c r="AB2163" s="1135"/>
      <c r="AC2163" s="5"/>
      <c r="AD2163" s="5"/>
      <c r="AE2163" s="5"/>
      <c r="AF2163" s="1120"/>
      <c r="AG2163" s="1148"/>
      <c r="AH2163" s="1120"/>
      <c r="AI2163" s="1120"/>
      <c r="AJ2163" s="1120"/>
    </row>
    <row r="2164" spans="2:36" ht="30" customHeight="1" x14ac:dyDescent="0.25">
      <c r="B2164" s="5"/>
      <c r="C2164" s="5"/>
      <c r="D2164" s="5"/>
      <c r="E2164" s="5"/>
      <c r="F2164" s="5"/>
      <c r="G2164" s="5"/>
      <c r="H2164" s="5"/>
      <c r="I2164" s="5"/>
      <c r="J2164" s="5"/>
      <c r="L2164" s="277"/>
      <c r="M2164" s="5"/>
      <c r="R2164" s="5"/>
      <c r="S2164" s="5"/>
      <c r="T2164" s="1120"/>
      <c r="U2164" s="5"/>
      <c r="V2164" s="5"/>
      <c r="W2164" s="5"/>
      <c r="X2164" s="1120"/>
      <c r="Y2164" s="1120"/>
      <c r="Z2164" s="5"/>
      <c r="AA2164" s="5"/>
      <c r="AB2164" s="1135"/>
      <c r="AC2164" s="5"/>
      <c r="AD2164" s="5"/>
      <c r="AE2164" s="5"/>
      <c r="AF2164" s="1120"/>
      <c r="AG2164" s="1148"/>
      <c r="AH2164" s="1120"/>
      <c r="AI2164" s="1120"/>
      <c r="AJ2164" s="1120"/>
    </row>
    <row r="2165" spans="2:36" ht="30" customHeight="1" x14ac:dyDescent="0.25">
      <c r="B2165" s="5"/>
      <c r="C2165" s="5"/>
      <c r="D2165" s="5"/>
      <c r="E2165" s="5"/>
      <c r="F2165" s="5"/>
      <c r="G2165" s="5"/>
      <c r="H2165" s="5"/>
      <c r="I2165" s="5"/>
      <c r="J2165" s="5"/>
      <c r="L2165" s="277"/>
      <c r="M2165" s="5"/>
      <c r="R2165" s="5"/>
      <c r="S2165" s="5"/>
      <c r="T2165" s="1120"/>
      <c r="U2165" s="5"/>
      <c r="V2165" s="5"/>
      <c r="W2165" s="5"/>
      <c r="X2165" s="1120"/>
      <c r="Y2165" s="1120"/>
      <c r="Z2165" s="5"/>
      <c r="AA2165" s="5"/>
      <c r="AB2165" s="1135"/>
      <c r="AC2165" s="5"/>
      <c r="AD2165" s="5"/>
      <c r="AE2165" s="5"/>
      <c r="AF2165" s="1120"/>
      <c r="AG2165" s="1148"/>
      <c r="AH2165" s="1120"/>
      <c r="AI2165" s="1120"/>
      <c r="AJ2165" s="1120"/>
    </row>
    <row r="2166" spans="2:36" ht="30" customHeight="1" x14ac:dyDescent="0.25">
      <c r="B2166" s="5"/>
      <c r="C2166" s="5"/>
      <c r="D2166" s="5"/>
      <c r="E2166" s="5"/>
      <c r="F2166" s="5"/>
      <c r="G2166" s="5"/>
      <c r="H2166" s="5"/>
      <c r="I2166" s="5"/>
      <c r="J2166" s="5"/>
      <c r="L2166" s="277"/>
      <c r="M2166" s="5"/>
      <c r="R2166" s="5"/>
      <c r="S2166" s="5"/>
      <c r="T2166" s="1120"/>
      <c r="U2166" s="5"/>
      <c r="V2166" s="5"/>
      <c r="W2166" s="5"/>
      <c r="X2166" s="1120"/>
      <c r="Y2166" s="1120"/>
      <c r="Z2166" s="5"/>
      <c r="AA2166" s="5"/>
      <c r="AB2166" s="1135"/>
      <c r="AC2166" s="5"/>
      <c r="AD2166" s="5"/>
      <c r="AE2166" s="5"/>
      <c r="AF2166" s="1120"/>
      <c r="AG2166" s="1148"/>
      <c r="AH2166" s="1120"/>
      <c r="AI2166" s="1120"/>
      <c r="AJ2166" s="1120"/>
    </row>
    <row r="2167" spans="2:36" ht="30" customHeight="1" x14ac:dyDescent="0.25">
      <c r="B2167" s="5"/>
      <c r="C2167" s="5"/>
      <c r="D2167" s="5"/>
      <c r="E2167" s="5"/>
      <c r="F2167" s="5"/>
      <c r="G2167" s="5"/>
      <c r="H2167" s="5"/>
      <c r="I2167" s="5"/>
      <c r="J2167" s="5"/>
      <c r="L2167" s="277"/>
      <c r="M2167" s="5"/>
      <c r="R2167" s="5"/>
      <c r="S2167" s="5"/>
      <c r="T2167" s="1120"/>
      <c r="U2167" s="5"/>
      <c r="V2167" s="5"/>
      <c r="W2167" s="5"/>
      <c r="X2167" s="1120"/>
      <c r="Y2167" s="1120"/>
      <c r="Z2167" s="5"/>
      <c r="AA2167" s="5"/>
      <c r="AB2167" s="1135"/>
      <c r="AC2167" s="5"/>
      <c r="AD2167" s="5"/>
      <c r="AE2167" s="5"/>
      <c r="AF2167" s="1120"/>
      <c r="AG2167" s="1148"/>
      <c r="AH2167" s="1120"/>
      <c r="AI2167" s="1120"/>
      <c r="AJ2167" s="1120"/>
    </row>
    <row r="2168" spans="2:36" ht="30" customHeight="1" x14ac:dyDescent="0.25">
      <c r="B2168" s="5"/>
      <c r="C2168" s="5"/>
      <c r="D2168" s="5"/>
      <c r="E2168" s="5"/>
      <c r="F2168" s="5"/>
      <c r="G2168" s="5"/>
      <c r="H2168" s="5"/>
      <c r="I2168" s="5"/>
      <c r="J2168" s="5"/>
      <c r="L2168" s="277"/>
      <c r="M2168" s="5"/>
      <c r="R2168" s="5"/>
      <c r="S2168" s="5"/>
      <c r="T2168" s="1120"/>
      <c r="U2168" s="5"/>
      <c r="V2168" s="5"/>
      <c r="W2168" s="5"/>
      <c r="X2168" s="1120"/>
      <c r="Y2168" s="1120"/>
      <c r="Z2168" s="5"/>
      <c r="AA2168" s="5"/>
      <c r="AB2168" s="1135"/>
      <c r="AC2168" s="5"/>
      <c r="AD2168" s="5"/>
      <c r="AE2168" s="5"/>
      <c r="AF2168" s="1120"/>
      <c r="AG2168" s="1148"/>
      <c r="AH2168" s="1120"/>
      <c r="AI2168" s="1120"/>
      <c r="AJ2168" s="1120"/>
    </row>
    <row r="2169" spans="2:36" ht="30" customHeight="1" x14ac:dyDescent="0.25">
      <c r="B2169" s="5"/>
      <c r="C2169" s="5"/>
      <c r="D2169" s="5"/>
      <c r="E2169" s="5"/>
      <c r="F2169" s="5"/>
      <c r="G2169" s="5"/>
      <c r="H2169" s="5"/>
      <c r="I2169" s="5"/>
      <c r="J2169" s="5"/>
      <c r="L2169" s="277"/>
      <c r="M2169" s="5"/>
      <c r="R2169" s="5"/>
      <c r="S2169" s="5"/>
      <c r="T2169" s="1120"/>
      <c r="U2169" s="5"/>
      <c r="V2169" s="5"/>
      <c r="W2169" s="5"/>
      <c r="X2169" s="1120"/>
      <c r="Y2169" s="1120"/>
      <c r="Z2169" s="5"/>
      <c r="AA2169" s="5"/>
      <c r="AB2169" s="1135"/>
      <c r="AC2169" s="5"/>
      <c r="AD2169" s="5"/>
      <c r="AE2169" s="5"/>
      <c r="AF2169" s="1120"/>
      <c r="AG2169" s="1148"/>
      <c r="AH2169" s="1120"/>
      <c r="AI2169" s="1120"/>
      <c r="AJ2169" s="1120"/>
    </row>
    <row r="2170" spans="2:36" ht="30" customHeight="1" x14ac:dyDescent="0.25">
      <c r="B2170" s="5"/>
      <c r="C2170" s="5"/>
      <c r="D2170" s="5"/>
      <c r="E2170" s="5"/>
      <c r="F2170" s="5"/>
      <c r="G2170" s="5"/>
      <c r="H2170" s="5"/>
      <c r="I2170" s="5"/>
      <c r="J2170" s="5"/>
      <c r="L2170" s="277"/>
      <c r="M2170" s="5"/>
      <c r="R2170" s="5"/>
      <c r="S2170" s="5"/>
      <c r="T2170" s="1120"/>
      <c r="U2170" s="5"/>
      <c r="V2170" s="5"/>
      <c r="W2170" s="5"/>
      <c r="X2170" s="1120"/>
      <c r="Y2170" s="1120"/>
      <c r="Z2170" s="5"/>
      <c r="AA2170" s="5"/>
      <c r="AB2170" s="1135"/>
      <c r="AC2170" s="5"/>
      <c r="AD2170" s="5"/>
      <c r="AE2170" s="5"/>
      <c r="AF2170" s="1120"/>
      <c r="AG2170" s="1148"/>
      <c r="AH2170" s="1120"/>
      <c r="AI2170" s="1120"/>
      <c r="AJ2170" s="1120"/>
    </row>
    <row r="2171" spans="2:36" ht="30" customHeight="1" x14ac:dyDescent="0.25">
      <c r="B2171" s="5"/>
      <c r="C2171" s="5"/>
      <c r="D2171" s="5"/>
      <c r="E2171" s="5"/>
      <c r="F2171" s="5"/>
      <c r="G2171" s="5"/>
      <c r="H2171" s="5"/>
      <c r="I2171" s="5"/>
      <c r="J2171" s="5"/>
      <c r="L2171" s="277"/>
      <c r="M2171" s="5"/>
      <c r="R2171" s="5"/>
      <c r="S2171" s="5"/>
      <c r="T2171" s="1120"/>
      <c r="U2171" s="5"/>
      <c r="V2171" s="5"/>
      <c r="W2171" s="5"/>
      <c r="X2171" s="1120"/>
      <c r="Y2171" s="1120"/>
      <c r="Z2171" s="5"/>
      <c r="AA2171" s="5"/>
      <c r="AB2171" s="1135"/>
      <c r="AC2171" s="5"/>
      <c r="AD2171" s="5"/>
      <c r="AE2171" s="5"/>
      <c r="AF2171" s="1120"/>
      <c r="AG2171" s="1148"/>
      <c r="AH2171" s="1120"/>
      <c r="AI2171" s="1120"/>
      <c r="AJ2171" s="1120"/>
    </row>
    <row r="2172" spans="2:36" ht="30" customHeight="1" x14ac:dyDescent="0.25">
      <c r="B2172" s="5"/>
      <c r="C2172" s="5"/>
      <c r="D2172" s="5"/>
      <c r="E2172" s="5"/>
      <c r="F2172" s="5"/>
      <c r="G2172" s="5"/>
      <c r="H2172" s="5"/>
      <c r="I2172" s="5"/>
      <c r="J2172" s="5"/>
      <c r="L2172" s="277"/>
      <c r="M2172" s="5"/>
      <c r="R2172" s="5"/>
      <c r="S2172" s="5"/>
      <c r="T2172" s="1120"/>
      <c r="U2172" s="5"/>
      <c r="V2172" s="5"/>
      <c r="W2172" s="5"/>
      <c r="X2172" s="1120"/>
      <c r="Y2172" s="1120"/>
      <c r="Z2172" s="5"/>
      <c r="AA2172" s="5"/>
      <c r="AB2172" s="1135"/>
      <c r="AC2172" s="5"/>
      <c r="AD2172" s="5"/>
      <c r="AE2172" s="5"/>
      <c r="AF2172" s="1120"/>
      <c r="AG2172" s="1148"/>
      <c r="AH2172" s="1120"/>
      <c r="AI2172" s="1120"/>
      <c r="AJ2172" s="1120"/>
    </row>
    <row r="2173" spans="2:36" ht="30" customHeight="1" x14ac:dyDescent="0.25">
      <c r="B2173" s="5"/>
      <c r="C2173" s="5"/>
      <c r="D2173" s="5"/>
      <c r="E2173" s="5"/>
      <c r="F2173" s="5"/>
      <c r="G2173" s="5"/>
      <c r="H2173" s="5"/>
      <c r="I2173" s="5"/>
      <c r="J2173" s="5"/>
      <c r="L2173" s="277"/>
      <c r="M2173" s="5"/>
      <c r="R2173" s="5"/>
      <c r="S2173" s="5"/>
      <c r="T2173" s="1120"/>
      <c r="U2173" s="5"/>
      <c r="V2173" s="5"/>
      <c r="W2173" s="5"/>
      <c r="X2173" s="1120"/>
      <c r="Y2173" s="1120"/>
      <c r="Z2173" s="5"/>
      <c r="AA2173" s="5"/>
      <c r="AB2173" s="1135"/>
      <c r="AC2173" s="5"/>
      <c r="AD2173" s="5"/>
      <c r="AE2173" s="5"/>
      <c r="AF2173" s="1120"/>
      <c r="AG2173" s="1148"/>
      <c r="AH2173" s="1120"/>
      <c r="AI2173" s="1120"/>
      <c r="AJ2173" s="1120"/>
    </row>
    <row r="2174" spans="2:36" ht="30" customHeight="1" x14ac:dyDescent="0.25">
      <c r="B2174" s="5"/>
      <c r="C2174" s="5"/>
      <c r="D2174" s="5"/>
      <c r="E2174" s="5"/>
      <c r="F2174" s="5"/>
      <c r="G2174" s="5"/>
      <c r="H2174" s="5"/>
      <c r="I2174" s="5"/>
      <c r="J2174" s="5"/>
      <c r="L2174" s="277"/>
      <c r="M2174" s="5"/>
      <c r="R2174" s="5"/>
      <c r="S2174" s="5"/>
      <c r="T2174" s="1120"/>
      <c r="U2174" s="5"/>
      <c r="V2174" s="5"/>
      <c r="W2174" s="5"/>
      <c r="X2174" s="1120"/>
      <c r="Y2174" s="1120"/>
      <c r="Z2174" s="5"/>
      <c r="AA2174" s="5"/>
      <c r="AB2174" s="1135"/>
      <c r="AC2174" s="5"/>
      <c r="AD2174" s="5"/>
      <c r="AE2174" s="5"/>
      <c r="AF2174" s="1120"/>
      <c r="AG2174" s="1148"/>
      <c r="AH2174" s="1120"/>
      <c r="AI2174" s="1120"/>
      <c r="AJ2174" s="1120"/>
    </row>
    <row r="2175" spans="2:36" ht="30" customHeight="1" x14ac:dyDescent="0.25">
      <c r="B2175" s="5"/>
      <c r="C2175" s="5"/>
      <c r="D2175" s="5"/>
      <c r="E2175" s="5"/>
      <c r="F2175" s="5"/>
      <c r="G2175" s="5"/>
      <c r="H2175" s="5"/>
      <c r="I2175" s="5"/>
      <c r="J2175" s="5"/>
      <c r="L2175" s="277"/>
      <c r="M2175" s="5"/>
      <c r="R2175" s="5"/>
      <c r="S2175" s="5"/>
      <c r="T2175" s="1120"/>
      <c r="U2175" s="5"/>
      <c r="V2175" s="5"/>
      <c r="W2175" s="5"/>
      <c r="X2175" s="1120"/>
      <c r="Y2175" s="1120"/>
      <c r="Z2175" s="5"/>
      <c r="AA2175" s="5"/>
      <c r="AB2175" s="1135"/>
      <c r="AC2175" s="5"/>
      <c r="AD2175" s="5"/>
      <c r="AE2175" s="5"/>
      <c r="AF2175" s="1120"/>
      <c r="AG2175" s="1148"/>
      <c r="AH2175" s="1120"/>
      <c r="AI2175" s="1120"/>
      <c r="AJ2175" s="1120"/>
    </row>
    <row r="2176" spans="2:36" ht="30" customHeight="1" x14ac:dyDescent="0.25">
      <c r="B2176" s="5"/>
      <c r="C2176" s="5"/>
      <c r="D2176" s="5"/>
      <c r="E2176" s="5"/>
      <c r="F2176" s="5"/>
      <c r="G2176" s="5"/>
      <c r="H2176" s="5"/>
      <c r="I2176" s="5"/>
      <c r="J2176" s="5"/>
      <c r="L2176" s="277"/>
      <c r="M2176" s="5"/>
      <c r="R2176" s="5"/>
      <c r="S2176" s="5"/>
      <c r="T2176" s="1120"/>
      <c r="U2176" s="5"/>
      <c r="V2176" s="5"/>
      <c r="W2176" s="5"/>
      <c r="X2176" s="1120"/>
      <c r="Y2176" s="1120"/>
      <c r="Z2176" s="5"/>
      <c r="AA2176" s="5"/>
      <c r="AB2176" s="1135"/>
      <c r="AC2176" s="5"/>
      <c r="AD2176" s="5"/>
      <c r="AE2176" s="5"/>
      <c r="AF2176" s="1120"/>
      <c r="AG2176" s="1148"/>
      <c r="AH2176" s="1120"/>
      <c r="AI2176" s="1120"/>
      <c r="AJ2176" s="1120"/>
    </row>
    <row r="2177" spans="2:36" ht="30" customHeight="1" x14ac:dyDescent="0.25">
      <c r="B2177" s="5"/>
      <c r="C2177" s="5"/>
      <c r="D2177" s="5"/>
      <c r="E2177" s="5"/>
      <c r="F2177" s="5"/>
      <c r="G2177" s="5"/>
      <c r="H2177" s="5"/>
      <c r="I2177" s="5"/>
      <c r="J2177" s="5"/>
      <c r="L2177" s="277"/>
      <c r="M2177" s="5"/>
      <c r="R2177" s="5"/>
      <c r="S2177" s="5"/>
      <c r="T2177" s="1120"/>
      <c r="U2177" s="5"/>
      <c r="V2177" s="5"/>
      <c r="W2177" s="5"/>
      <c r="X2177" s="1120"/>
      <c r="Y2177" s="1120"/>
      <c r="Z2177" s="5"/>
      <c r="AA2177" s="5"/>
      <c r="AB2177" s="1135"/>
      <c r="AC2177" s="5"/>
      <c r="AD2177" s="5"/>
      <c r="AE2177" s="5"/>
      <c r="AF2177" s="1120"/>
      <c r="AG2177" s="1148"/>
      <c r="AH2177" s="1120"/>
      <c r="AI2177" s="1120"/>
      <c r="AJ2177" s="1120"/>
    </row>
    <row r="2178" spans="2:36" ht="30" customHeight="1" x14ac:dyDescent="0.25">
      <c r="B2178" s="5"/>
      <c r="C2178" s="5"/>
      <c r="D2178" s="5"/>
      <c r="E2178" s="5"/>
      <c r="F2178" s="5"/>
      <c r="G2178" s="5"/>
      <c r="H2178" s="5"/>
      <c r="I2178" s="5"/>
      <c r="J2178" s="5"/>
      <c r="L2178" s="277"/>
      <c r="M2178" s="5"/>
      <c r="R2178" s="5"/>
      <c r="S2178" s="5"/>
      <c r="T2178" s="1120"/>
      <c r="U2178" s="5"/>
      <c r="V2178" s="5"/>
      <c r="W2178" s="5"/>
      <c r="X2178" s="1120"/>
      <c r="Y2178" s="1120"/>
      <c r="Z2178" s="5"/>
      <c r="AA2178" s="5"/>
      <c r="AB2178" s="1135"/>
      <c r="AC2178" s="5"/>
      <c r="AD2178" s="5"/>
      <c r="AE2178" s="5"/>
      <c r="AF2178" s="1120"/>
      <c r="AG2178" s="1148"/>
      <c r="AH2178" s="1120"/>
      <c r="AI2178" s="1120"/>
      <c r="AJ2178" s="1120"/>
    </row>
    <row r="2179" spans="2:36" ht="30" customHeight="1" x14ac:dyDescent="0.25">
      <c r="B2179" s="5"/>
      <c r="C2179" s="5"/>
      <c r="D2179" s="5"/>
      <c r="E2179" s="5"/>
      <c r="F2179" s="5"/>
      <c r="G2179" s="5"/>
      <c r="H2179" s="5"/>
      <c r="I2179" s="5"/>
      <c r="J2179" s="5"/>
      <c r="L2179" s="277"/>
      <c r="M2179" s="5"/>
      <c r="R2179" s="5"/>
      <c r="S2179" s="5"/>
      <c r="T2179" s="1120"/>
      <c r="U2179" s="5"/>
      <c r="V2179" s="5"/>
      <c r="W2179" s="5"/>
      <c r="X2179" s="1120"/>
      <c r="Y2179" s="1120"/>
      <c r="Z2179" s="5"/>
      <c r="AA2179" s="5"/>
      <c r="AB2179" s="1135"/>
      <c r="AC2179" s="5"/>
      <c r="AD2179" s="5"/>
      <c r="AE2179" s="5"/>
      <c r="AF2179" s="1120"/>
      <c r="AG2179" s="1148"/>
      <c r="AH2179" s="1120"/>
      <c r="AI2179" s="1120"/>
      <c r="AJ2179" s="1120"/>
    </row>
    <row r="2180" spans="2:36" ht="30" customHeight="1" x14ac:dyDescent="0.25">
      <c r="B2180" s="5"/>
      <c r="C2180" s="5"/>
      <c r="D2180" s="5"/>
      <c r="E2180" s="5"/>
      <c r="F2180" s="5"/>
      <c r="G2180" s="5"/>
      <c r="H2180" s="5"/>
      <c r="I2180" s="5"/>
      <c r="J2180" s="5"/>
      <c r="L2180" s="277"/>
      <c r="M2180" s="5"/>
      <c r="R2180" s="5"/>
      <c r="S2180" s="5"/>
      <c r="T2180" s="1120"/>
      <c r="U2180" s="5"/>
      <c r="V2180" s="5"/>
      <c r="W2180" s="5"/>
      <c r="X2180" s="1120"/>
      <c r="Y2180" s="1120"/>
      <c r="Z2180" s="5"/>
      <c r="AA2180" s="5"/>
      <c r="AB2180" s="1135"/>
      <c r="AC2180" s="5"/>
      <c r="AD2180" s="5"/>
      <c r="AE2180" s="5"/>
      <c r="AF2180" s="1120"/>
      <c r="AG2180" s="1148"/>
      <c r="AH2180" s="1120"/>
      <c r="AI2180" s="1120"/>
      <c r="AJ2180" s="1120"/>
    </row>
    <row r="2181" spans="2:36" ht="30" customHeight="1" x14ac:dyDescent="0.25">
      <c r="B2181" s="5"/>
      <c r="C2181" s="5"/>
      <c r="D2181" s="5"/>
      <c r="E2181" s="5"/>
      <c r="F2181" s="5"/>
      <c r="G2181" s="5"/>
      <c r="H2181" s="5"/>
      <c r="I2181" s="5"/>
      <c r="J2181" s="5"/>
      <c r="L2181" s="277"/>
      <c r="M2181" s="5"/>
      <c r="R2181" s="5"/>
      <c r="S2181" s="5"/>
      <c r="T2181" s="1120"/>
      <c r="U2181" s="5"/>
      <c r="V2181" s="5"/>
      <c r="W2181" s="5"/>
      <c r="X2181" s="1120"/>
      <c r="Y2181" s="1120"/>
      <c r="Z2181" s="5"/>
      <c r="AA2181" s="5"/>
      <c r="AB2181" s="1135"/>
      <c r="AC2181" s="5"/>
      <c r="AD2181" s="5"/>
      <c r="AE2181" s="5"/>
      <c r="AF2181" s="1120"/>
      <c r="AG2181" s="1148"/>
      <c r="AH2181" s="1120"/>
      <c r="AI2181" s="1120"/>
      <c r="AJ2181" s="1120"/>
    </row>
    <row r="2182" spans="2:36" ht="30" customHeight="1" x14ac:dyDescent="0.25">
      <c r="B2182" s="5"/>
      <c r="C2182" s="5"/>
      <c r="D2182" s="5"/>
      <c r="E2182" s="5"/>
      <c r="F2182" s="5"/>
      <c r="G2182" s="5"/>
      <c r="H2182" s="5"/>
      <c r="I2182" s="5"/>
      <c r="J2182" s="5"/>
      <c r="L2182" s="277"/>
      <c r="M2182" s="5"/>
      <c r="R2182" s="5"/>
      <c r="S2182" s="5"/>
      <c r="T2182" s="1120"/>
      <c r="U2182" s="5"/>
      <c r="V2182" s="5"/>
      <c r="W2182" s="5"/>
      <c r="X2182" s="1120"/>
      <c r="Y2182" s="1120"/>
      <c r="Z2182" s="5"/>
      <c r="AA2182" s="5"/>
      <c r="AB2182" s="1135"/>
      <c r="AC2182" s="5"/>
      <c r="AD2182" s="5"/>
      <c r="AE2182" s="5"/>
      <c r="AF2182" s="1120"/>
      <c r="AG2182" s="1148"/>
      <c r="AH2182" s="1120"/>
      <c r="AI2182" s="1120"/>
      <c r="AJ2182" s="1120"/>
    </row>
    <row r="2183" spans="2:36" ht="30" customHeight="1" x14ac:dyDescent="0.25">
      <c r="B2183" s="5"/>
      <c r="C2183" s="5"/>
      <c r="D2183" s="5"/>
      <c r="E2183" s="5"/>
      <c r="F2183" s="5"/>
      <c r="G2183" s="5"/>
      <c r="H2183" s="5"/>
      <c r="I2183" s="5"/>
      <c r="J2183" s="5"/>
      <c r="L2183" s="277"/>
      <c r="M2183" s="5"/>
      <c r="R2183" s="5"/>
      <c r="S2183" s="5"/>
      <c r="T2183" s="1120"/>
      <c r="U2183" s="5"/>
      <c r="V2183" s="5"/>
      <c r="W2183" s="5"/>
      <c r="X2183" s="1120"/>
      <c r="Y2183" s="1120"/>
      <c r="Z2183" s="5"/>
      <c r="AA2183" s="5"/>
      <c r="AB2183" s="1135"/>
      <c r="AC2183" s="5"/>
      <c r="AD2183" s="5"/>
      <c r="AE2183" s="5"/>
      <c r="AF2183" s="1120"/>
      <c r="AG2183" s="1148"/>
      <c r="AH2183" s="1120"/>
      <c r="AI2183" s="1120"/>
      <c r="AJ2183" s="1120"/>
    </row>
    <row r="2184" spans="2:36" ht="30" customHeight="1" x14ac:dyDescent="0.25">
      <c r="B2184" s="5"/>
      <c r="C2184" s="5"/>
      <c r="D2184" s="5"/>
      <c r="E2184" s="5"/>
      <c r="F2184" s="5"/>
      <c r="G2184" s="5"/>
      <c r="H2184" s="5"/>
      <c r="I2184" s="5"/>
      <c r="J2184" s="5"/>
      <c r="L2184" s="277"/>
      <c r="M2184" s="5"/>
      <c r="R2184" s="5"/>
      <c r="S2184" s="5"/>
      <c r="T2184" s="1120"/>
      <c r="U2184" s="5"/>
      <c r="V2184" s="5"/>
      <c r="W2184" s="5"/>
      <c r="X2184" s="1120"/>
      <c r="Y2184" s="1120"/>
      <c r="Z2184" s="5"/>
      <c r="AA2184" s="5"/>
      <c r="AB2184" s="1135"/>
      <c r="AC2184" s="5"/>
      <c r="AD2184" s="5"/>
      <c r="AE2184" s="5"/>
      <c r="AF2184" s="1120"/>
      <c r="AG2184" s="1148"/>
      <c r="AH2184" s="1120"/>
      <c r="AI2184" s="1120"/>
      <c r="AJ2184" s="1120"/>
    </row>
    <row r="2185" spans="2:36" ht="30" customHeight="1" x14ac:dyDescent="0.25">
      <c r="B2185" s="5"/>
      <c r="C2185" s="5"/>
      <c r="D2185" s="5"/>
      <c r="E2185" s="5"/>
      <c r="F2185" s="5"/>
      <c r="G2185" s="5"/>
      <c r="H2185" s="5"/>
      <c r="I2185" s="5"/>
      <c r="J2185" s="5"/>
      <c r="L2185" s="277"/>
      <c r="M2185" s="5"/>
      <c r="R2185" s="5"/>
      <c r="S2185" s="5"/>
      <c r="T2185" s="1120"/>
      <c r="U2185" s="5"/>
      <c r="V2185" s="5"/>
      <c r="W2185" s="5"/>
      <c r="X2185" s="1120"/>
      <c r="Y2185" s="1120"/>
      <c r="Z2185" s="5"/>
      <c r="AA2185" s="5"/>
      <c r="AB2185" s="1135"/>
      <c r="AC2185" s="5"/>
      <c r="AD2185" s="5"/>
      <c r="AE2185" s="5"/>
      <c r="AF2185" s="1120"/>
      <c r="AG2185" s="1148"/>
      <c r="AH2185" s="1120"/>
      <c r="AI2185" s="1120"/>
      <c r="AJ2185" s="1120"/>
    </row>
    <row r="2186" spans="2:36" ht="30" customHeight="1" x14ac:dyDescent="0.25">
      <c r="B2186" s="5"/>
      <c r="C2186" s="5"/>
      <c r="D2186" s="5"/>
      <c r="E2186" s="5"/>
      <c r="F2186" s="5"/>
      <c r="G2186" s="5"/>
      <c r="H2186" s="5"/>
      <c r="I2186" s="5"/>
      <c r="J2186" s="5"/>
      <c r="L2186" s="277"/>
      <c r="M2186" s="5"/>
      <c r="R2186" s="5"/>
      <c r="S2186" s="5"/>
      <c r="T2186" s="1120"/>
      <c r="U2186" s="5"/>
      <c r="V2186" s="5"/>
      <c r="W2186" s="5"/>
      <c r="X2186" s="1120"/>
      <c r="Y2186" s="1120"/>
      <c r="Z2186" s="5"/>
      <c r="AA2186" s="5"/>
      <c r="AB2186" s="1135"/>
      <c r="AC2186" s="5"/>
      <c r="AD2186" s="5"/>
      <c r="AE2186" s="5"/>
      <c r="AF2186" s="1120"/>
      <c r="AG2186" s="1148"/>
      <c r="AH2186" s="1120"/>
      <c r="AI2186" s="1120"/>
      <c r="AJ2186" s="1120"/>
    </row>
    <row r="2187" spans="2:36" ht="30" customHeight="1" x14ac:dyDescent="0.25">
      <c r="B2187" s="5"/>
      <c r="C2187" s="5"/>
      <c r="D2187" s="5"/>
      <c r="E2187" s="5"/>
      <c r="F2187" s="5"/>
      <c r="G2187" s="5"/>
      <c r="H2187" s="5"/>
      <c r="I2187" s="5"/>
      <c r="J2187" s="5"/>
      <c r="L2187" s="277"/>
      <c r="M2187" s="5"/>
      <c r="R2187" s="5"/>
      <c r="S2187" s="5"/>
      <c r="T2187" s="1120"/>
      <c r="U2187" s="5"/>
      <c r="V2187" s="5"/>
      <c r="W2187" s="5"/>
      <c r="X2187" s="1120"/>
      <c r="Y2187" s="1120"/>
      <c r="Z2187" s="5"/>
      <c r="AA2187" s="5"/>
      <c r="AB2187" s="1135"/>
      <c r="AC2187" s="5"/>
      <c r="AD2187" s="5"/>
      <c r="AE2187" s="5"/>
      <c r="AF2187" s="1120"/>
      <c r="AG2187" s="1148"/>
      <c r="AH2187" s="1120"/>
      <c r="AI2187" s="1120"/>
      <c r="AJ2187" s="1120"/>
    </row>
    <row r="2188" spans="2:36" ht="30" customHeight="1" x14ac:dyDescent="0.25">
      <c r="B2188" s="5"/>
      <c r="C2188" s="5"/>
      <c r="D2188" s="5"/>
      <c r="E2188" s="5"/>
      <c r="F2188" s="5"/>
      <c r="G2188" s="5"/>
      <c r="H2188" s="5"/>
      <c r="I2188" s="5"/>
      <c r="J2188" s="5"/>
      <c r="L2188" s="277"/>
      <c r="M2188" s="5"/>
      <c r="R2188" s="5"/>
      <c r="S2188" s="5"/>
      <c r="T2188" s="1120"/>
      <c r="U2188" s="5"/>
      <c r="V2188" s="5"/>
      <c r="W2188" s="5"/>
      <c r="X2188" s="1120"/>
      <c r="Y2188" s="1120"/>
      <c r="Z2188" s="5"/>
      <c r="AA2188" s="5"/>
      <c r="AB2188" s="1135"/>
      <c r="AC2188" s="5"/>
      <c r="AD2188" s="5"/>
      <c r="AE2188" s="5"/>
      <c r="AF2188" s="1120"/>
      <c r="AG2188" s="1148"/>
      <c r="AH2188" s="1120"/>
      <c r="AI2188" s="1120"/>
      <c r="AJ2188" s="1120"/>
    </row>
    <row r="2189" spans="2:36" ht="30" customHeight="1" x14ac:dyDescent="0.25">
      <c r="B2189" s="5"/>
      <c r="C2189" s="5"/>
      <c r="D2189" s="5"/>
      <c r="E2189" s="5"/>
      <c r="F2189" s="5"/>
      <c r="G2189" s="5"/>
      <c r="H2189" s="5"/>
      <c r="I2189" s="5"/>
      <c r="J2189" s="5"/>
      <c r="L2189" s="277"/>
      <c r="M2189" s="5"/>
      <c r="R2189" s="5"/>
      <c r="S2189" s="5"/>
      <c r="T2189" s="1120"/>
      <c r="U2189" s="5"/>
      <c r="V2189" s="5"/>
      <c r="W2189" s="5"/>
      <c r="X2189" s="1120"/>
      <c r="Y2189" s="1120"/>
      <c r="Z2189" s="5"/>
      <c r="AA2189" s="5"/>
      <c r="AB2189" s="1135"/>
      <c r="AC2189" s="5"/>
      <c r="AD2189" s="5"/>
      <c r="AE2189" s="5"/>
      <c r="AF2189" s="1120"/>
      <c r="AG2189" s="1148"/>
      <c r="AH2189" s="1120"/>
      <c r="AI2189" s="1120"/>
      <c r="AJ2189" s="1120"/>
    </row>
    <row r="2190" spans="2:36" ht="30" customHeight="1" x14ac:dyDescent="0.25">
      <c r="B2190" s="5"/>
      <c r="C2190" s="5"/>
      <c r="D2190" s="5"/>
      <c r="E2190" s="5"/>
      <c r="F2190" s="5"/>
      <c r="G2190" s="5"/>
      <c r="H2190" s="5"/>
      <c r="I2190" s="5"/>
      <c r="J2190" s="5"/>
      <c r="L2190" s="277"/>
      <c r="M2190" s="5"/>
      <c r="R2190" s="5"/>
      <c r="S2190" s="5"/>
      <c r="T2190" s="1120"/>
      <c r="U2190" s="5"/>
      <c r="V2190" s="5"/>
      <c r="W2190" s="5"/>
      <c r="X2190" s="1120"/>
      <c r="Y2190" s="1120"/>
      <c r="Z2190" s="5"/>
      <c r="AA2190" s="5"/>
      <c r="AB2190" s="1135"/>
      <c r="AC2190" s="5"/>
      <c r="AD2190" s="5"/>
      <c r="AE2190" s="5"/>
      <c r="AF2190" s="1120"/>
      <c r="AG2190" s="1148"/>
      <c r="AH2190" s="1120"/>
      <c r="AI2190" s="1120"/>
      <c r="AJ2190" s="1120"/>
    </row>
    <row r="2191" spans="2:36" ht="30" customHeight="1" x14ac:dyDescent="0.25">
      <c r="B2191" s="5"/>
      <c r="C2191" s="5"/>
      <c r="D2191" s="5"/>
      <c r="E2191" s="5"/>
      <c r="F2191" s="5"/>
      <c r="G2191" s="5"/>
      <c r="H2191" s="5"/>
      <c r="I2191" s="5"/>
      <c r="J2191" s="5"/>
      <c r="L2191" s="277"/>
      <c r="M2191" s="5"/>
      <c r="R2191" s="5"/>
      <c r="S2191" s="5"/>
      <c r="T2191" s="1120"/>
      <c r="U2191" s="5"/>
      <c r="V2191" s="5"/>
      <c r="W2191" s="5"/>
      <c r="X2191" s="1120"/>
      <c r="Y2191" s="1120"/>
      <c r="Z2191" s="5"/>
      <c r="AA2191" s="5"/>
      <c r="AB2191" s="1135"/>
      <c r="AC2191" s="5"/>
      <c r="AD2191" s="5"/>
      <c r="AE2191" s="5"/>
      <c r="AF2191" s="1120"/>
      <c r="AG2191" s="1148"/>
      <c r="AH2191" s="1120"/>
      <c r="AI2191" s="1120"/>
      <c r="AJ2191" s="1120"/>
    </row>
    <row r="2192" spans="2:36" ht="30" customHeight="1" x14ac:dyDescent="0.25">
      <c r="B2192" s="5"/>
      <c r="C2192" s="5"/>
      <c r="D2192" s="5"/>
      <c r="E2192" s="5"/>
      <c r="F2192" s="5"/>
      <c r="G2192" s="5"/>
      <c r="H2192" s="5"/>
      <c r="I2192" s="5"/>
      <c r="J2192" s="5"/>
      <c r="L2192" s="277"/>
      <c r="M2192" s="5"/>
      <c r="R2192" s="5"/>
      <c r="S2192" s="5"/>
      <c r="T2192" s="1120"/>
      <c r="U2192" s="5"/>
      <c r="V2192" s="5"/>
      <c r="W2192" s="5"/>
      <c r="X2192" s="1120"/>
      <c r="Y2192" s="1120"/>
      <c r="Z2192" s="5"/>
      <c r="AA2192" s="5"/>
      <c r="AB2192" s="1135"/>
      <c r="AC2192" s="5"/>
      <c r="AD2192" s="5"/>
      <c r="AE2192" s="5"/>
      <c r="AF2192" s="1120"/>
      <c r="AG2192" s="1148"/>
      <c r="AH2192" s="1120"/>
      <c r="AI2192" s="1120"/>
      <c r="AJ2192" s="1120"/>
    </row>
  </sheetData>
  <mergeCells count="4">
    <mergeCell ref="B1:P1"/>
    <mergeCell ref="B3:P3"/>
    <mergeCell ref="B5:P5"/>
    <mergeCell ref="B7:P7"/>
  </mergeCells>
  <pageMargins left="0.51181102362204722" right="0.31496062992125984" top="0.78740157480314965" bottom="0.78740157480314965" header="0.31496062992125984" footer="0.31496062992125984"/>
  <pageSetup paperSize="9" scale="50" orientation="landscape" horizontalDpi="0" verticalDpi="0" r:id="rId1"/>
  <tableParts count="2">
    <tablePart r:id="rId2"/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912"/>
  <sheetViews>
    <sheetView topLeftCell="A245" zoomScale="80" zoomScaleNormal="80" workbookViewId="0">
      <selection activeCell="K265" sqref="K265"/>
    </sheetView>
  </sheetViews>
  <sheetFormatPr defaultRowHeight="15" x14ac:dyDescent="0.25"/>
  <cols>
    <col min="1" max="1" width="2" style="294" customWidth="1"/>
    <col min="2" max="2" width="16.140625" style="291" customWidth="1"/>
    <col min="3" max="3" width="43.28515625" style="292" customWidth="1"/>
    <col min="4" max="4" width="29.85546875" style="292" customWidth="1"/>
    <col min="5" max="5" width="16.140625" style="292" customWidth="1"/>
    <col min="6" max="6" width="18.28515625" style="292" customWidth="1"/>
    <col min="7" max="7" width="50" style="293" customWidth="1"/>
    <col min="8" max="8" width="19" style="291" customWidth="1"/>
    <col min="9" max="9" width="14.42578125" style="291" customWidth="1"/>
    <col min="10" max="10" width="12.5703125" style="291" customWidth="1"/>
    <col min="11" max="11" width="13.7109375" style="294" customWidth="1"/>
    <col min="12" max="12" width="13.7109375" style="327" customWidth="1"/>
    <col min="13" max="13" width="13.7109375" style="291" customWidth="1"/>
    <col min="14" max="14" width="18" style="294" customWidth="1"/>
    <col min="15" max="15" width="19.140625" style="294" customWidth="1"/>
    <col min="16" max="16" width="17.28515625" style="294" customWidth="1"/>
    <col min="17" max="17" width="19" style="294" customWidth="1"/>
    <col min="18" max="18" width="13.7109375" style="296" customWidth="1"/>
    <col min="19" max="19" width="15.42578125" style="297" bestFit="1" customWidth="1"/>
    <col min="20" max="20" width="15.42578125" style="298" customWidth="1"/>
    <col min="21" max="23" width="13.7109375" style="298" customWidth="1"/>
    <col min="24" max="24" width="13.7109375" style="1172" customWidth="1"/>
    <col min="25" max="25" width="15.42578125" style="1172" bestFit="1" customWidth="1"/>
    <col min="26" max="26" width="13.7109375" style="1160" customWidth="1"/>
    <col min="27" max="27" width="15.42578125" style="1160" bestFit="1" customWidth="1"/>
    <col min="28" max="28" width="13.7109375" style="1172" customWidth="1"/>
    <col min="29" max="36" width="13.7109375" style="298" customWidth="1"/>
    <col min="37" max="37" width="21.140625" style="294" customWidth="1"/>
    <col min="38" max="38" width="16.42578125" style="294" customWidth="1"/>
    <col min="39" max="39" width="16.7109375" style="294" bestFit="1" customWidth="1"/>
    <col min="40" max="40" width="16.42578125" style="294" customWidth="1"/>
    <col min="41" max="16384" width="9.140625" style="294"/>
  </cols>
  <sheetData>
    <row r="1" spans="2:58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1167"/>
      <c r="Y1" s="1167"/>
      <c r="Z1" s="1123"/>
      <c r="AA1" s="1123"/>
      <c r="AB1" s="1167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</row>
    <row r="2" spans="2:58" s="410" customFormat="1" ht="12.75" customHeight="1" x14ac:dyDescent="0.35">
      <c r="C2" s="412"/>
      <c r="D2" s="411"/>
      <c r="G2" s="412"/>
      <c r="R2" s="412"/>
      <c r="S2" s="411"/>
      <c r="V2" s="412"/>
      <c r="X2" s="1168"/>
      <c r="Y2" s="1168"/>
      <c r="Z2" s="1124"/>
      <c r="AA2" s="1124"/>
      <c r="AB2" s="1168"/>
      <c r="AM2" s="412"/>
      <c r="AN2" s="411"/>
      <c r="AQ2" s="412"/>
    </row>
    <row r="3" spans="2:58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1167"/>
      <c r="Y3" s="1167"/>
      <c r="Z3" s="1123"/>
      <c r="AA3" s="1123"/>
      <c r="AB3" s="1167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</row>
    <row r="4" spans="2:58" s="410" customFormat="1" ht="10.5" customHeight="1" x14ac:dyDescent="0.35">
      <c r="C4" s="412"/>
      <c r="D4" s="411"/>
      <c r="G4" s="412"/>
      <c r="R4" s="412"/>
      <c r="S4" s="411"/>
      <c r="V4" s="412"/>
      <c r="X4" s="1168"/>
      <c r="Y4" s="1168"/>
      <c r="Z4" s="1124"/>
      <c r="AA4" s="1124"/>
      <c r="AB4" s="1168"/>
      <c r="AM4" s="412"/>
      <c r="AN4" s="411"/>
      <c r="AQ4" s="412"/>
    </row>
    <row r="5" spans="2:58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1169"/>
      <c r="Y5" s="1169"/>
      <c r="Z5" s="1125"/>
      <c r="AA5" s="1125"/>
      <c r="AB5" s="1169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</row>
    <row r="6" spans="2:58" s="5" customFormat="1" ht="30" customHeight="1" x14ac:dyDescent="0.25">
      <c r="B6" s="287"/>
      <c r="C6" s="270"/>
      <c r="D6" s="270"/>
      <c r="E6" s="270"/>
      <c r="F6" s="270"/>
      <c r="G6" s="284"/>
      <c r="H6" s="287"/>
      <c r="I6" s="287"/>
      <c r="J6" s="287"/>
      <c r="L6" s="277"/>
      <c r="M6" s="287"/>
      <c r="N6" s="354"/>
      <c r="R6" s="270"/>
      <c r="S6" s="270"/>
      <c r="T6" s="270"/>
      <c r="U6" s="270"/>
      <c r="V6" s="352"/>
      <c r="W6" s="354"/>
      <c r="X6" s="1170"/>
      <c r="Y6" s="1170"/>
      <c r="Z6" s="1135"/>
      <c r="AA6" s="1159"/>
      <c r="AB6" s="1170"/>
      <c r="AD6" s="354"/>
      <c r="AF6" s="272"/>
      <c r="AG6" s="272"/>
      <c r="AH6" s="272"/>
      <c r="AI6" s="272"/>
      <c r="AJ6" s="272"/>
      <c r="AM6" s="270"/>
      <c r="AN6" s="270"/>
      <c r="AO6" s="270"/>
      <c r="AP6" s="270"/>
      <c r="AQ6" s="352"/>
      <c r="AR6" s="354"/>
      <c r="AS6" s="354"/>
      <c r="AT6" s="354"/>
      <c r="AV6" s="277"/>
      <c r="AW6" s="354"/>
      <c r="BA6" s="272"/>
      <c r="BB6" s="272"/>
      <c r="BC6" s="272"/>
      <c r="BD6" s="272"/>
      <c r="BE6" s="272"/>
    </row>
    <row r="7" spans="2:58" s="5" customFormat="1" ht="30" customHeight="1" x14ac:dyDescent="0.25">
      <c r="B7" s="1543" t="s">
        <v>7191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526"/>
      <c r="O7" s="526"/>
      <c r="P7" s="526"/>
      <c r="Q7" s="526"/>
      <c r="R7" s="526"/>
      <c r="S7" s="526"/>
      <c r="T7" s="526"/>
      <c r="U7" s="526"/>
      <c r="V7" s="526"/>
      <c r="W7" s="526"/>
      <c r="X7" s="1171"/>
      <c r="Y7" s="1171"/>
      <c r="Z7" s="1127"/>
      <c r="AA7" s="1127"/>
      <c r="AB7" s="1171"/>
      <c r="AC7" s="526"/>
      <c r="AD7" s="526"/>
      <c r="AE7" s="526"/>
      <c r="AF7" s="526"/>
      <c r="AG7" s="526"/>
      <c r="AH7" s="526"/>
      <c r="AI7" s="526"/>
      <c r="AJ7" s="526"/>
      <c r="AK7" s="526"/>
      <c r="AL7" s="526"/>
      <c r="AM7" s="526"/>
      <c r="AN7" s="526"/>
      <c r="AO7" s="526"/>
      <c r="AP7" s="526"/>
      <c r="AQ7" s="526"/>
      <c r="AR7" s="526"/>
      <c r="AS7" s="526"/>
      <c r="AT7" s="526"/>
      <c r="AU7" s="526"/>
      <c r="AV7" s="526"/>
      <c r="AW7" s="526"/>
      <c r="AX7" s="526"/>
      <c r="AY7" s="526"/>
      <c r="AZ7" s="526"/>
      <c r="BA7" s="526"/>
      <c r="BB7" s="526"/>
      <c r="BC7" s="526"/>
      <c r="BD7" s="526"/>
      <c r="BE7" s="526"/>
      <c r="BF7" s="526"/>
    </row>
    <row r="8" spans="2:58" x14ac:dyDescent="0.25">
      <c r="L8" s="295"/>
    </row>
    <row r="9" spans="2:58" ht="28.5" customHeight="1" x14ac:dyDescent="0.25">
      <c r="B9" s="1066" t="s">
        <v>7136</v>
      </c>
      <c r="C9" s="1069" t="s">
        <v>7137</v>
      </c>
      <c r="D9" s="1069" t="s">
        <v>7138</v>
      </c>
      <c r="E9" s="1069" t="s">
        <v>7139</v>
      </c>
      <c r="F9" s="1069" t="s">
        <v>7140</v>
      </c>
      <c r="G9" s="1069" t="s">
        <v>7141</v>
      </c>
      <c r="H9" s="1069" t="s">
        <v>7142</v>
      </c>
      <c r="I9" s="1069" t="s">
        <v>7143</v>
      </c>
      <c r="J9" s="1069" t="s">
        <v>7144</v>
      </c>
      <c r="K9" s="1069" t="s">
        <v>7145</v>
      </c>
      <c r="L9" s="1069" t="s">
        <v>7146</v>
      </c>
      <c r="M9" s="1069" t="s">
        <v>7147</v>
      </c>
      <c r="N9" s="1069" t="s">
        <v>7148</v>
      </c>
      <c r="O9" s="1069" t="s">
        <v>7149</v>
      </c>
      <c r="P9" s="1069" t="s">
        <v>7150</v>
      </c>
      <c r="Q9" s="1069" t="s">
        <v>7151</v>
      </c>
      <c r="R9" s="1069" t="s">
        <v>7152</v>
      </c>
      <c r="S9" s="1069" t="s">
        <v>7153</v>
      </c>
      <c r="T9" s="1069" t="s">
        <v>7154</v>
      </c>
      <c r="U9" s="1069" t="s">
        <v>7155</v>
      </c>
      <c r="V9" s="1069" t="s">
        <v>7156</v>
      </c>
      <c r="W9" s="1069" t="s">
        <v>7157</v>
      </c>
      <c r="X9" s="1173" t="s">
        <v>7158</v>
      </c>
      <c r="Y9" s="1173" t="s">
        <v>7159</v>
      </c>
      <c r="Z9" s="1161" t="s">
        <v>7160</v>
      </c>
      <c r="AA9" s="1161" t="s">
        <v>7161</v>
      </c>
      <c r="AB9" s="1173" t="s">
        <v>7162</v>
      </c>
      <c r="AC9" s="1069" t="s">
        <v>7163</v>
      </c>
      <c r="AD9" s="1069" t="s">
        <v>7164</v>
      </c>
      <c r="AE9" s="1069" t="s">
        <v>7165</v>
      </c>
      <c r="AF9" s="1069" t="s">
        <v>7166</v>
      </c>
      <c r="AG9" s="1069" t="s">
        <v>7167</v>
      </c>
      <c r="AH9" s="1069" t="s">
        <v>7168</v>
      </c>
      <c r="AI9" s="1069" t="s">
        <v>7169</v>
      </c>
      <c r="AJ9" s="1069" t="s">
        <v>7170</v>
      </c>
      <c r="AK9" s="1069" t="s">
        <v>7171</v>
      </c>
      <c r="AL9" s="1069" t="s">
        <v>7172</v>
      </c>
      <c r="AM9" s="1069" t="s">
        <v>7173</v>
      </c>
      <c r="AN9" s="1072" t="s">
        <v>7174</v>
      </c>
    </row>
    <row r="10" spans="2:58" ht="26.25" customHeight="1" x14ac:dyDescent="0.25">
      <c r="B10" s="1066" t="s">
        <v>2719</v>
      </c>
      <c r="C10" s="1069" t="s">
        <v>2622</v>
      </c>
      <c r="D10" s="1069"/>
      <c r="E10" s="1069"/>
      <c r="F10" s="1069"/>
      <c r="G10" s="1069"/>
      <c r="H10" s="1069"/>
      <c r="I10" s="1069"/>
      <c r="J10" s="1069"/>
      <c r="K10" s="1069"/>
      <c r="L10" s="1069"/>
      <c r="M10" s="1069"/>
      <c r="N10" s="1069"/>
      <c r="O10" s="1069"/>
      <c r="P10" s="1069"/>
      <c r="Q10" s="1069"/>
      <c r="R10" s="1069"/>
      <c r="S10" s="1069"/>
      <c r="T10" s="1069"/>
      <c r="U10" s="1069"/>
      <c r="V10" s="1069"/>
      <c r="W10" s="1069"/>
      <c r="X10" s="1173"/>
      <c r="Y10" s="1173"/>
      <c r="Z10" s="1161"/>
      <c r="AA10" s="1161"/>
      <c r="AB10" s="1173"/>
      <c r="AC10" s="1069"/>
      <c r="AD10" s="1069"/>
      <c r="AE10" s="1069"/>
      <c r="AF10" s="1069"/>
      <c r="AG10" s="1069"/>
      <c r="AH10" s="1069"/>
      <c r="AI10" s="1069"/>
      <c r="AJ10" s="1069"/>
      <c r="AK10" s="1069"/>
      <c r="AL10" s="1069"/>
      <c r="AM10" s="1069"/>
      <c r="AN10" s="1072">
        <v>639.66999999999996</v>
      </c>
    </row>
    <row r="11" spans="2:58" s="299" customFormat="1" ht="15" customHeight="1" x14ac:dyDescent="0.25">
      <c r="B11" s="1066"/>
      <c r="C11" s="1069"/>
      <c r="D11" s="1069"/>
      <c r="E11" s="1069"/>
      <c r="F11" s="1069"/>
      <c r="G11" s="1069"/>
      <c r="H11" s="1069"/>
      <c r="I11" s="1069"/>
      <c r="J11" s="1069"/>
      <c r="K11" s="1069"/>
      <c r="L11" s="1069"/>
      <c r="M11" s="1069"/>
      <c r="N11" s="1069"/>
      <c r="O11" s="1069"/>
      <c r="P11" s="1069"/>
      <c r="Q11" s="1069"/>
      <c r="R11" s="1069"/>
      <c r="S11" s="1069"/>
      <c r="T11" s="1069"/>
      <c r="U11" s="1069"/>
      <c r="V11" s="1069"/>
      <c r="W11" s="1069"/>
      <c r="X11" s="1173"/>
      <c r="Y11" s="1173"/>
      <c r="Z11" s="1161"/>
      <c r="AA11" s="1161"/>
      <c r="AB11" s="1173"/>
      <c r="AC11" s="1069"/>
      <c r="AD11" s="1069"/>
      <c r="AE11" s="1069"/>
      <c r="AF11" s="1069"/>
      <c r="AG11" s="1069"/>
      <c r="AH11" s="1069"/>
      <c r="AI11" s="1069"/>
      <c r="AJ11" s="1069"/>
      <c r="AK11" s="1069"/>
      <c r="AL11" s="1069"/>
      <c r="AM11" s="1069"/>
      <c r="AN11" s="1072"/>
    </row>
    <row r="12" spans="2:58" s="299" customFormat="1" ht="48.75" customHeight="1" x14ac:dyDescent="0.25">
      <c r="B12" s="1066"/>
      <c r="C12" s="1065" t="s">
        <v>2623</v>
      </c>
      <c r="D12" s="1065" t="s">
        <v>2624</v>
      </c>
      <c r="E12" s="1065" t="s">
        <v>2722</v>
      </c>
      <c r="F12" s="1065" t="s">
        <v>2593</v>
      </c>
      <c r="G12" s="1073" t="s">
        <v>2765</v>
      </c>
      <c r="H12" s="1074" t="s">
        <v>2729</v>
      </c>
      <c r="I12" s="1065" t="s">
        <v>2625</v>
      </c>
      <c r="J12" s="1066" t="s">
        <v>2738</v>
      </c>
      <c r="K12" s="1066" t="s">
        <v>2626</v>
      </c>
      <c r="L12" s="1065" t="s">
        <v>2627</v>
      </c>
      <c r="M12" s="1067" t="s">
        <v>2629</v>
      </c>
      <c r="N12" s="1067"/>
      <c r="O12" s="1067"/>
      <c r="P12" s="1067"/>
      <c r="Q12" s="1067"/>
      <c r="R12" s="1075" t="s">
        <v>2630</v>
      </c>
      <c r="S12" s="1075"/>
      <c r="T12" s="1064" t="s">
        <v>2740</v>
      </c>
      <c r="U12" s="1064" t="s">
        <v>2814</v>
      </c>
      <c r="V12" s="1064" t="s">
        <v>2751</v>
      </c>
      <c r="W12" s="1064"/>
      <c r="X12" s="1174" t="s">
        <v>2741</v>
      </c>
      <c r="Y12" s="1174"/>
      <c r="Z12" s="1162" t="s">
        <v>2789</v>
      </c>
      <c r="AA12" s="1162"/>
      <c r="AB12" s="1174" t="s">
        <v>2761</v>
      </c>
      <c r="AC12" s="1064" t="s">
        <v>2760</v>
      </c>
      <c r="AD12" s="1064" t="s">
        <v>2783</v>
      </c>
      <c r="AE12" s="1064" t="s">
        <v>2782</v>
      </c>
      <c r="AF12" s="1064" t="s">
        <v>2743</v>
      </c>
      <c r="AG12" s="1064" t="s">
        <v>2744</v>
      </c>
      <c r="AH12" s="1064" t="s">
        <v>2745</v>
      </c>
      <c r="AI12" s="1064" t="s">
        <v>2750</v>
      </c>
      <c r="AJ12" s="1064" t="s">
        <v>2742</v>
      </c>
      <c r="AK12" s="1070" t="s">
        <v>2734</v>
      </c>
      <c r="AL12" s="1070" t="s">
        <v>2735</v>
      </c>
      <c r="AM12" s="1071" t="s">
        <v>2736</v>
      </c>
      <c r="AN12" s="1070" t="s">
        <v>2737</v>
      </c>
    </row>
    <row r="13" spans="2:58" s="299" customFormat="1" ht="45" x14ac:dyDescent="0.25">
      <c r="B13" s="1066"/>
      <c r="C13" s="1065"/>
      <c r="D13" s="1065"/>
      <c r="E13" s="1065"/>
      <c r="F13" s="1065"/>
      <c r="G13" s="1073"/>
      <c r="H13" s="1074"/>
      <c r="I13" s="1065"/>
      <c r="J13" s="1066"/>
      <c r="K13" s="1066"/>
      <c r="L13" s="1065"/>
      <c r="M13" s="1065" t="s">
        <v>2628</v>
      </c>
      <c r="N13" s="1067" t="s">
        <v>2480</v>
      </c>
      <c r="O13" s="1067"/>
      <c r="P13" s="1076" t="s">
        <v>2826</v>
      </c>
      <c r="Q13" s="1076"/>
      <c r="R13" s="1075" t="s">
        <v>97</v>
      </c>
      <c r="S13" s="1075" t="s">
        <v>2480</v>
      </c>
      <c r="T13" s="1064"/>
      <c r="U13" s="1064"/>
      <c r="V13" s="1064" t="s">
        <v>97</v>
      </c>
      <c r="W13" s="1064" t="s">
        <v>2480</v>
      </c>
      <c r="X13" s="1174" t="s">
        <v>97</v>
      </c>
      <c r="Y13" s="1174" t="s">
        <v>2480</v>
      </c>
      <c r="Z13" s="1162" t="s">
        <v>97</v>
      </c>
      <c r="AA13" s="1162" t="s">
        <v>2480</v>
      </c>
      <c r="AB13" s="1174"/>
      <c r="AC13" s="1064"/>
      <c r="AD13" s="1064"/>
      <c r="AE13" s="1064"/>
      <c r="AF13" s="1064"/>
      <c r="AG13" s="1064"/>
      <c r="AH13" s="1064"/>
      <c r="AI13" s="1064"/>
      <c r="AJ13" s="1064"/>
      <c r="AK13" s="1070"/>
      <c r="AL13" s="1070"/>
      <c r="AM13" s="1071"/>
      <c r="AN13" s="1070"/>
    </row>
    <row r="14" spans="2:58" x14ac:dyDescent="0.25">
      <c r="B14" s="1066"/>
      <c r="C14" s="1065"/>
      <c r="D14" s="1065"/>
      <c r="E14" s="1065"/>
      <c r="F14" s="1065"/>
      <c r="G14" s="1073"/>
      <c r="H14" s="1074"/>
      <c r="I14" s="1065"/>
      <c r="J14" s="1066"/>
      <c r="K14" s="1066"/>
      <c r="L14" s="1065"/>
      <c r="M14" s="1065"/>
      <c r="N14" s="1067"/>
      <c r="O14" s="1088" t="s">
        <v>2828</v>
      </c>
      <c r="P14" s="1088" t="s">
        <v>2829</v>
      </c>
      <c r="Q14" s="1076" t="s">
        <v>2827</v>
      </c>
      <c r="R14" s="1075"/>
      <c r="S14" s="1075"/>
      <c r="T14" s="1064"/>
      <c r="U14" s="1064"/>
      <c r="V14" s="1064"/>
      <c r="W14" s="1064"/>
      <c r="X14" s="1174"/>
      <c r="Y14" s="1174"/>
      <c r="Z14" s="1162"/>
      <c r="AA14" s="1162"/>
      <c r="AB14" s="1174"/>
      <c r="AC14" s="1064"/>
      <c r="AD14" s="1064"/>
      <c r="AE14" s="1064"/>
      <c r="AF14" s="1064"/>
      <c r="AG14" s="1064"/>
      <c r="AH14" s="1064"/>
      <c r="AI14" s="1064"/>
      <c r="AJ14" s="1064"/>
      <c r="AK14" s="1070"/>
      <c r="AL14" s="1070"/>
      <c r="AM14" s="1071"/>
      <c r="AN14" s="1070"/>
    </row>
    <row r="15" spans="2:58" ht="15.75" x14ac:dyDescent="0.25">
      <c r="B15" s="295">
        <v>246</v>
      </c>
      <c r="C15" s="304" t="s">
        <v>2639</v>
      </c>
      <c r="D15" s="304" t="s">
        <v>2632</v>
      </c>
      <c r="E15" s="304" t="s">
        <v>2739</v>
      </c>
      <c r="F15" s="304" t="s">
        <v>2787</v>
      </c>
      <c r="G15" s="304" t="s">
        <v>2798</v>
      </c>
      <c r="H15" s="305">
        <v>20</v>
      </c>
      <c r="I15" s="295">
        <v>44</v>
      </c>
      <c r="J15" s="295" t="s">
        <v>2638</v>
      </c>
      <c r="K15" s="295">
        <v>0</v>
      </c>
      <c r="L15" s="306">
        <v>36221</v>
      </c>
      <c r="M15" s="295">
        <v>2.2000000000000002</v>
      </c>
      <c r="N15" s="307">
        <f>M15*AN10</f>
        <v>1407.2740000000001</v>
      </c>
      <c r="O15" s="308">
        <v>0</v>
      </c>
      <c r="P15" s="308">
        <v>0</v>
      </c>
      <c r="Q15" s="308">
        <v>0</v>
      </c>
      <c r="R15" s="309">
        <v>0.21</v>
      </c>
      <c r="S15" s="310">
        <f t="shared" ref="S15:S22" si="0">N15*R15</f>
        <v>295.52753999999999</v>
      </c>
      <c r="T15" s="311">
        <v>0</v>
      </c>
      <c r="U15" s="311">
        <v>0</v>
      </c>
      <c r="V15" s="312">
        <v>0</v>
      </c>
      <c r="W15" s="311">
        <f t="shared" ref="W15:W22" si="1">N15*V15</f>
        <v>0</v>
      </c>
      <c r="X15" s="1175">
        <f>127.94/N15</f>
        <v>9.0913354471126445E-2</v>
      </c>
      <c r="Y15" s="1176">
        <f t="shared" ref="Y15:Y22" si="2">N15*X15</f>
        <v>127.94000000000001</v>
      </c>
      <c r="Z15" s="701">
        <v>0</v>
      </c>
      <c r="AA15" s="700">
        <f t="shared" ref="AA15:AA22" si="3">N15*Z15</f>
        <v>0</v>
      </c>
      <c r="AB15" s="1176">
        <f t="shared" ref="AB15:AB22" si="4">N15*(0)</f>
        <v>0</v>
      </c>
      <c r="AC15" s="311">
        <f>AN10*(0%)</f>
        <v>0</v>
      </c>
      <c r="AD15" s="311">
        <f>AO$9*(0%)</f>
        <v>0</v>
      </c>
      <c r="AE15" s="311">
        <v>0</v>
      </c>
      <c r="AF15" s="311">
        <v>0</v>
      </c>
      <c r="AG15" s="311">
        <v>0</v>
      </c>
      <c r="AH15" s="298">
        <v>0</v>
      </c>
      <c r="AI15" s="298">
        <v>0</v>
      </c>
      <c r="AJ15" s="311">
        <v>0</v>
      </c>
      <c r="AK15" s="313">
        <f t="shared" ref="AK15:AK22" si="5">(N15+T15+U15)/3</f>
        <v>469.09133333333335</v>
      </c>
      <c r="AL15" s="313">
        <f t="shared" ref="AL15:AL22" si="6">AK15*R15</f>
        <v>98.509180000000001</v>
      </c>
      <c r="AM15" s="313">
        <f t="shared" ref="AM15:AM22" si="7">N15</f>
        <v>1407.2740000000001</v>
      </c>
      <c r="AN15" s="313">
        <f t="shared" ref="AN15:AN22" si="8">AM15*R15</f>
        <v>295.52753999999999</v>
      </c>
    </row>
    <row r="16" spans="2:58" ht="15.75" x14ac:dyDescent="0.25">
      <c r="B16" s="295">
        <v>733</v>
      </c>
      <c r="C16" s="304" t="str">
        <f>PROPER("LENI EBEL THUROW")</f>
        <v>Leni Ebel Thurow</v>
      </c>
      <c r="D16" s="304" t="s">
        <v>2643</v>
      </c>
      <c r="E16" s="304" t="s">
        <v>2739</v>
      </c>
      <c r="F16" s="304" t="s">
        <v>2787</v>
      </c>
      <c r="G16" s="304" t="s">
        <v>2798</v>
      </c>
      <c r="H16" s="305">
        <v>20</v>
      </c>
      <c r="I16" s="295">
        <v>44</v>
      </c>
      <c r="J16" s="295" t="s">
        <v>2638</v>
      </c>
      <c r="K16" s="295">
        <v>0</v>
      </c>
      <c r="L16" s="306">
        <v>38111</v>
      </c>
      <c r="M16" s="295">
        <v>2.11</v>
      </c>
      <c r="N16" s="307">
        <f>M16*AN10</f>
        <v>1349.7036999999998</v>
      </c>
      <c r="O16" s="308">
        <v>0</v>
      </c>
      <c r="P16" s="308">
        <v>0</v>
      </c>
      <c r="Q16" s="308">
        <v>0</v>
      </c>
      <c r="R16" s="309">
        <v>0.16</v>
      </c>
      <c r="S16" s="310">
        <f t="shared" si="0"/>
        <v>215.95259199999998</v>
      </c>
      <c r="T16" s="311">
        <v>0</v>
      </c>
      <c r="U16" s="311">
        <v>0</v>
      </c>
      <c r="V16" s="312">
        <v>0</v>
      </c>
      <c r="W16" s="311">
        <f t="shared" si="1"/>
        <v>0</v>
      </c>
      <c r="X16" s="1175">
        <f>127.94/N16</f>
        <v>9.4791175277951764E-2</v>
      </c>
      <c r="Y16" s="1176">
        <f t="shared" si="2"/>
        <v>127.94000000000001</v>
      </c>
      <c r="Z16" s="701">
        <v>0</v>
      </c>
      <c r="AA16" s="700">
        <f t="shared" si="3"/>
        <v>0</v>
      </c>
      <c r="AB16" s="1176">
        <f t="shared" si="4"/>
        <v>0</v>
      </c>
      <c r="AC16" s="311">
        <f>AN10*(0%)</f>
        <v>0</v>
      </c>
      <c r="AD16" s="311">
        <f>AO$9*(0%)</f>
        <v>0</v>
      </c>
      <c r="AE16" s="311">
        <v>0</v>
      </c>
      <c r="AF16" s="311">
        <v>0</v>
      </c>
      <c r="AG16" s="311">
        <v>0</v>
      </c>
      <c r="AH16" s="298">
        <v>0</v>
      </c>
      <c r="AI16" s="298">
        <v>0</v>
      </c>
      <c r="AJ16" s="311">
        <v>0</v>
      </c>
      <c r="AK16" s="313">
        <f t="shared" si="5"/>
        <v>449.90123333333327</v>
      </c>
      <c r="AL16" s="313">
        <f t="shared" si="6"/>
        <v>71.984197333333327</v>
      </c>
      <c r="AM16" s="313">
        <f t="shared" si="7"/>
        <v>1349.7036999999998</v>
      </c>
      <c r="AN16" s="313">
        <f t="shared" si="8"/>
        <v>215.95259199999998</v>
      </c>
    </row>
    <row r="17" spans="2:40" ht="15.75" x14ac:dyDescent="0.25">
      <c r="B17" s="295">
        <v>2288</v>
      </c>
      <c r="C17" s="304" t="str">
        <f>PROPER("LUIZ CARLOS SOARES CENTENO")</f>
        <v>Luiz Carlos Soares Centeno</v>
      </c>
      <c r="D17" s="304" t="s">
        <v>2788</v>
      </c>
      <c r="E17" s="304" t="s">
        <v>2739</v>
      </c>
      <c r="F17" s="304" t="s">
        <v>2787</v>
      </c>
      <c r="G17" s="304" t="s">
        <v>2798</v>
      </c>
      <c r="H17" s="305">
        <v>20</v>
      </c>
      <c r="I17" s="295">
        <v>44</v>
      </c>
      <c r="J17" s="295" t="s">
        <v>2636</v>
      </c>
      <c r="K17" s="295">
        <v>0</v>
      </c>
      <c r="L17" s="306">
        <v>43361</v>
      </c>
      <c r="M17" s="295">
        <v>1.95</v>
      </c>
      <c r="N17" s="307">
        <f>M17*AN10</f>
        <v>1247.3564999999999</v>
      </c>
      <c r="O17" s="308">
        <v>0</v>
      </c>
      <c r="P17" s="308">
        <v>0</v>
      </c>
      <c r="Q17" s="308">
        <v>0</v>
      </c>
      <c r="R17" s="309">
        <v>0.02</v>
      </c>
      <c r="S17" s="310">
        <f t="shared" si="0"/>
        <v>24.947129999999998</v>
      </c>
      <c r="T17" s="311">
        <v>0</v>
      </c>
      <c r="U17" s="311">
        <v>0</v>
      </c>
      <c r="V17" s="312">
        <v>0</v>
      </c>
      <c r="W17" s="311">
        <f t="shared" si="1"/>
        <v>0</v>
      </c>
      <c r="X17" s="1175">
        <f>127.94/N17</f>
        <v>0.10256891273665548</v>
      </c>
      <c r="Y17" s="1176">
        <f t="shared" si="2"/>
        <v>127.94</v>
      </c>
      <c r="Z17" s="701">
        <v>0</v>
      </c>
      <c r="AA17" s="700">
        <f t="shared" si="3"/>
        <v>0</v>
      </c>
      <c r="AB17" s="1176">
        <f t="shared" si="4"/>
        <v>0</v>
      </c>
      <c r="AC17" s="311">
        <f>AN10*(0%)</f>
        <v>0</v>
      </c>
      <c r="AD17" s="311">
        <f>AO$9*(0%)</f>
        <v>0</v>
      </c>
      <c r="AE17" s="311">
        <v>0</v>
      </c>
      <c r="AF17" s="311">
        <v>0</v>
      </c>
      <c r="AG17" s="311">
        <v>0</v>
      </c>
      <c r="AH17" s="298">
        <v>0</v>
      </c>
      <c r="AI17" s="298">
        <v>0</v>
      </c>
      <c r="AJ17" s="311">
        <v>0</v>
      </c>
      <c r="AK17" s="313">
        <f t="shared" si="5"/>
        <v>415.78549999999996</v>
      </c>
      <c r="AL17" s="313">
        <f t="shared" si="6"/>
        <v>8.3157099999999993</v>
      </c>
      <c r="AM17" s="313">
        <f t="shared" si="7"/>
        <v>1247.3564999999999</v>
      </c>
      <c r="AN17" s="313">
        <f t="shared" si="8"/>
        <v>24.947129999999998</v>
      </c>
    </row>
    <row r="18" spans="2:40" s="299" customFormat="1" ht="15.75" x14ac:dyDescent="0.25">
      <c r="B18" s="295">
        <v>2192</v>
      </c>
      <c r="C18" s="304" t="str">
        <f>PROPER("RENATA ERIGSON PACHECO MAINES")</f>
        <v>Renata Erigson Pacheco Maines</v>
      </c>
      <c r="D18" s="304" t="s">
        <v>2682</v>
      </c>
      <c r="E18" s="304" t="s">
        <v>2739</v>
      </c>
      <c r="F18" s="304" t="s">
        <v>2787</v>
      </c>
      <c r="G18" s="304" t="s">
        <v>2798</v>
      </c>
      <c r="H18" s="305">
        <v>20</v>
      </c>
      <c r="I18" s="295">
        <v>40</v>
      </c>
      <c r="J18" s="295" t="s">
        <v>2636</v>
      </c>
      <c r="K18" s="295">
        <v>0</v>
      </c>
      <c r="L18" s="306">
        <v>42984</v>
      </c>
      <c r="M18" s="295">
        <v>3</v>
      </c>
      <c r="N18" s="307">
        <f>M18*AN10</f>
        <v>1919.0099999999998</v>
      </c>
      <c r="O18" s="308">
        <v>0</v>
      </c>
      <c r="P18" s="308">
        <v>0</v>
      </c>
      <c r="Q18" s="308">
        <v>0</v>
      </c>
      <c r="R18" s="309">
        <v>0.02</v>
      </c>
      <c r="S18" s="310">
        <f t="shared" si="0"/>
        <v>38.380199999999995</v>
      </c>
      <c r="T18" s="311">
        <v>0</v>
      </c>
      <c r="U18" s="311">
        <v>0</v>
      </c>
      <c r="V18" s="312">
        <v>0</v>
      </c>
      <c r="W18" s="311">
        <f t="shared" si="1"/>
        <v>0</v>
      </c>
      <c r="X18" s="1175">
        <f>51.18/N18</f>
        <v>2.6670001719636689E-2</v>
      </c>
      <c r="Y18" s="1176">
        <f t="shared" si="2"/>
        <v>51.18</v>
      </c>
      <c r="Z18" s="701">
        <f>307.04/N18</f>
        <v>0.15999916623675753</v>
      </c>
      <c r="AA18" s="700">
        <f t="shared" si="3"/>
        <v>307.04000000000002</v>
      </c>
      <c r="AB18" s="1176">
        <f t="shared" si="4"/>
        <v>0</v>
      </c>
      <c r="AC18" s="311">
        <f>AN10*(0%)</f>
        <v>0</v>
      </c>
      <c r="AD18" s="311">
        <f>AO$9*(0%)</f>
        <v>0</v>
      </c>
      <c r="AE18" s="311">
        <v>0</v>
      </c>
      <c r="AF18" s="311">
        <v>0</v>
      </c>
      <c r="AG18" s="311">
        <v>0</v>
      </c>
      <c r="AH18" s="298">
        <v>0</v>
      </c>
      <c r="AI18" s="298">
        <v>0</v>
      </c>
      <c r="AJ18" s="311">
        <v>0</v>
      </c>
      <c r="AK18" s="313">
        <f t="shared" si="5"/>
        <v>639.66999999999996</v>
      </c>
      <c r="AL18" s="313">
        <f t="shared" si="6"/>
        <v>12.7934</v>
      </c>
      <c r="AM18" s="313">
        <f t="shared" si="7"/>
        <v>1919.0099999999998</v>
      </c>
      <c r="AN18" s="313">
        <f t="shared" si="8"/>
        <v>38.380199999999995</v>
      </c>
    </row>
    <row r="19" spans="2:40" s="5" customFormat="1" ht="30" customHeight="1" x14ac:dyDescent="0.25">
      <c r="B19" s="295">
        <v>880</v>
      </c>
      <c r="C19" s="314" t="str">
        <f>PROPER("ROSANE DA SILVA REINKE")</f>
        <v>Rosane Da Silva Reinke</v>
      </c>
      <c r="D19" s="304" t="s">
        <v>2643</v>
      </c>
      <c r="E19" s="304" t="s">
        <v>2739</v>
      </c>
      <c r="F19" s="304" t="s">
        <v>2787</v>
      </c>
      <c r="G19" s="304" t="s">
        <v>2798</v>
      </c>
      <c r="H19" s="305">
        <v>20</v>
      </c>
      <c r="I19" s="295">
        <v>44</v>
      </c>
      <c r="J19" s="295" t="s">
        <v>2648</v>
      </c>
      <c r="K19" s="295">
        <v>0</v>
      </c>
      <c r="L19" s="306">
        <v>38666</v>
      </c>
      <c r="M19" s="295">
        <v>2.0299999999999998</v>
      </c>
      <c r="N19" s="307">
        <f>M19*AN10</f>
        <v>1298.5300999999997</v>
      </c>
      <c r="O19" s="308">
        <v>0</v>
      </c>
      <c r="P19" s="308">
        <v>0</v>
      </c>
      <c r="Q19" s="308">
        <v>0</v>
      </c>
      <c r="R19" s="309">
        <v>0.15</v>
      </c>
      <c r="S19" s="310">
        <f t="shared" si="0"/>
        <v>194.77951499999995</v>
      </c>
      <c r="T19" s="311">
        <v>0</v>
      </c>
      <c r="U19" s="311">
        <v>0</v>
      </c>
      <c r="V19" s="312">
        <v>0</v>
      </c>
      <c r="W19" s="311">
        <f t="shared" si="1"/>
        <v>0</v>
      </c>
      <c r="X19" s="1175">
        <f>127.94/N19</f>
        <v>9.8526788096787304E-2</v>
      </c>
      <c r="Y19" s="1176">
        <f t="shared" si="2"/>
        <v>127.94</v>
      </c>
      <c r="Z19" s="701">
        <f>0/N19</f>
        <v>0</v>
      </c>
      <c r="AA19" s="700">
        <f t="shared" si="3"/>
        <v>0</v>
      </c>
      <c r="AB19" s="1176">
        <f t="shared" si="4"/>
        <v>0</v>
      </c>
      <c r="AC19" s="311">
        <f>AN10*(0%)</f>
        <v>0</v>
      </c>
      <c r="AD19" s="311">
        <f>AO$9*(0%)</f>
        <v>0</v>
      </c>
      <c r="AE19" s="311">
        <v>0</v>
      </c>
      <c r="AF19" s="311">
        <v>0</v>
      </c>
      <c r="AG19" s="311">
        <v>0</v>
      </c>
      <c r="AH19" s="298">
        <v>0</v>
      </c>
      <c r="AI19" s="298">
        <v>0</v>
      </c>
      <c r="AJ19" s="311">
        <v>0</v>
      </c>
      <c r="AK19" s="313">
        <f t="shared" si="5"/>
        <v>432.84336666666655</v>
      </c>
      <c r="AL19" s="313">
        <f t="shared" si="6"/>
        <v>64.926504999999977</v>
      </c>
      <c r="AM19" s="313">
        <f t="shared" si="7"/>
        <v>1298.5300999999997</v>
      </c>
      <c r="AN19" s="313">
        <f t="shared" si="8"/>
        <v>194.77951499999995</v>
      </c>
    </row>
    <row r="20" spans="2:40" ht="31.5" x14ac:dyDescent="0.25">
      <c r="B20" s="257">
        <v>0</v>
      </c>
      <c r="C20" s="259" t="s">
        <v>2935</v>
      </c>
      <c r="D20" s="259" t="s">
        <v>2684</v>
      </c>
      <c r="E20" s="259" t="s">
        <v>2739</v>
      </c>
      <c r="F20" s="259" t="s">
        <v>2787</v>
      </c>
      <c r="G20" s="304" t="s">
        <v>2798</v>
      </c>
      <c r="H20" s="266">
        <v>20</v>
      </c>
      <c r="I20" s="257">
        <v>40</v>
      </c>
      <c r="J20" s="257" t="s">
        <v>2636</v>
      </c>
      <c r="K20" s="257">
        <v>0</v>
      </c>
      <c r="L20" s="261" t="s">
        <v>2753</v>
      </c>
      <c r="M20" s="257">
        <v>3</v>
      </c>
      <c r="N20" s="262">
        <f>M20*AN10</f>
        <v>1919.0099999999998</v>
      </c>
      <c r="O20" s="280">
        <v>0</v>
      </c>
      <c r="P20" s="280">
        <v>0</v>
      </c>
      <c r="Q20" s="280">
        <v>0</v>
      </c>
      <c r="R20" s="263">
        <v>0</v>
      </c>
      <c r="S20" s="264">
        <f t="shared" si="0"/>
        <v>0</v>
      </c>
      <c r="T20" s="264">
        <v>0</v>
      </c>
      <c r="U20" s="264">
        <v>0</v>
      </c>
      <c r="V20" s="265">
        <v>0</v>
      </c>
      <c r="W20" s="264">
        <f t="shared" si="1"/>
        <v>0</v>
      </c>
      <c r="X20" s="1177">
        <f>0/N20</f>
        <v>0</v>
      </c>
      <c r="Y20" s="1178">
        <f t="shared" si="2"/>
        <v>0</v>
      </c>
      <c r="Z20" s="1163">
        <v>0</v>
      </c>
      <c r="AA20" s="1130">
        <f t="shared" si="3"/>
        <v>0</v>
      </c>
      <c r="AB20" s="1178">
        <v>0</v>
      </c>
      <c r="AC20" s="264">
        <v>0</v>
      </c>
      <c r="AD20" s="264">
        <v>0</v>
      </c>
      <c r="AE20" s="264">
        <v>0</v>
      </c>
      <c r="AF20" s="264">
        <v>0</v>
      </c>
      <c r="AG20" s="264">
        <v>0</v>
      </c>
      <c r="AH20" s="264">
        <v>0</v>
      </c>
      <c r="AI20" s="264">
        <v>0</v>
      </c>
      <c r="AJ20" s="264">
        <v>0</v>
      </c>
      <c r="AK20" s="273">
        <f t="shared" si="5"/>
        <v>639.66999999999996</v>
      </c>
      <c r="AL20" s="273">
        <f t="shared" si="6"/>
        <v>0</v>
      </c>
      <c r="AM20" s="273">
        <f t="shared" si="7"/>
        <v>1919.0099999999998</v>
      </c>
      <c r="AN20" s="273">
        <f t="shared" si="8"/>
        <v>0</v>
      </c>
    </row>
    <row r="21" spans="2:40" s="299" customFormat="1" ht="15.75" x14ac:dyDescent="0.25">
      <c r="B21" s="295">
        <v>1622</v>
      </c>
      <c r="C21" s="304" t="str">
        <f>PROPER("SONIA EURIDISE DA SILVA ROCHA")</f>
        <v>Sonia Euridise Da Silva Rocha</v>
      </c>
      <c r="D21" s="304" t="s">
        <v>2673</v>
      </c>
      <c r="E21" s="304" t="s">
        <v>2739</v>
      </c>
      <c r="F21" s="304" t="s">
        <v>2787</v>
      </c>
      <c r="G21" s="304" t="s">
        <v>2798</v>
      </c>
      <c r="H21" s="305">
        <v>20</v>
      </c>
      <c r="I21" s="295">
        <v>40</v>
      </c>
      <c r="J21" s="295" t="s">
        <v>2634</v>
      </c>
      <c r="K21" s="295">
        <v>0</v>
      </c>
      <c r="L21" s="306">
        <v>41033</v>
      </c>
      <c r="M21" s="295">
        <v>2.06</v>
      </c>
      <c r="N21" s="307">
        <f>M21*AN10</f>
        <v>1317.7202</v>
      </c>
      <c r="O21" s="308">
        <v>0</v>
      </c>
      <c r="P21" s="308">
        <v>0</v>
      </c>
      <c r="Q21" s="308">
        <v>0</v>
      </c>
      <c r="R21" s="309">
        <v>0.18</v>
      </c>
      <c r="S21" s="310">
        <f t="shared" si="0"/>
        <v>237.18963599999998</v>
      </c>
      <c r="T21" s="311">
        <v>0</v>
      </c>
      <c r="U21" s="311">
        <v>0</v>
      </c>
      <c r="V21" s="312">
        <v>0</v>
      </c>
      <c r="W21" s="311">
        <f t="shared" si="1"/>
        <v>0</v>
      </c>
      <c r="X21" s="1175">
        <f>127.94/N21</f>
        <v>9.7091931959455424E-2</v>
      </c>
      <c r="Y21" s="1176">
        <f t="shared" si="2"/>
        <v>127.94</v>
      </c>
      <c r="Z21" s="701">
        <f>0/N21</f>
        <v>0</v>
      </c>
      <c r="AA21" s="700">
        <f t="shared" si="3"/>
        <v>0</v>
      </c>
      <c r="AB21" s="1176">
        <f t="shared" si="4"/>
        <v>0</v>
      </c>
      <c r="AC21" s="311">
        <f>AN10*(0%)</f>
        <v>0</v>
      </c>
      <c r="AD21" s="311">
        <f>AO$9*(0%)</f>
        <v>0</v>
      </c>
      <c r="AE21" s="311">
        <v>0</v>
      </c>
      <c r="AF21" s="311">
        <v>0</v>
      </c>
      <c r="AG21" s="311">
        <v>0</v>
      </c>
      <c r="AH21" s="298">
        <f>AN10</f>
        <v>639.66999999999996</v>
      </c>
      <c r="AI21" s="298">
        <v>0</v>
      </c>
      <c r="AJ21" s="311">
        <v>0</v>
      </c>
      <c r="AK21" s="313">
        <f t="shared" si="5"/>
        <v>439.24006666666668</v>
      </c>
      <c r="AL21" s="313">
        <f t="shared" si="6"/>
        <v>79.063211999999993</v>
      </c>
      <c r="AM21" s="313">
        <f t="shared" si="7"/>
        <v>1317.7202</v>
      </c>
      <c r="AN21" s="313">
        <f t="shared" si="8"/>
        <v>237.18963599999998</v>
      </c>
    </row>
    <row r="22" spans="2:40" s="299" customFormat="1" ht="15.75" x14ac:dyDescent="0.25">
      <c r="B22" s="295">
        <v>883</v>
      </c>
      <c r="C22" s="314" t="str">
        <f>PROPER("ZENI FERREIRA DA CUNHA")</f>
        <v>Zeni Ferreira Da Cunha</v>
      </c>
      <c r="D22" s="304" t="s">
        <v>2643</v>
      </c>
      <c r="E22" s="304" t="s">
        <v>2739</v>
      </c>
      <c r="F22" s="304" t="s">
        <v>2787</v>
      </c>
      <c r="G22" s="304" t="s">
        <v>2798</v>
      </c>
      <c r="H22" s="305">
        <v>20</v>
      </c>
      <c r="I22" s="295">
        <v>44</v>
      </c>
      <c r="J22" s="295" t="s">
        <v>2638</v>
      </c>
      <c r="K22" s="295">
        <v>0</v>
      </c>
      <c r="L22" s="306">
        <v>38736</v>
      </c>
      <c r="M22" s="295">
        <v>2.11</v>
      </c>
      <c r="N22" s="307">
        <f>M22*AN10</f>
        <v>1349.7036999999998</v>
      </c>
      <c r="O22" s="308">
        <v>0</v>
      </c>
      <c r="P22" s="308">
        <v>0</v>
      </c>
      <c r="Q22" s="308">
        <v>0</v>
      </c>
      <c r="R22" s="309">
        <v>0.14000000000000001</v>
      </c>
      <c r="S22" s="310">
        <f t="shared" si="0"/>
        <v>188.958518</v>
      </c>
      <c r="T22" s="311">
        <v>0</v>
      </c>
      <c r="U22" s="311">
        <v>0</v>
      </c>
      <c r="V22" s="312">
        <v>0</v>
      </c>
      <c r="W22" s="311">
        <f t="shared" si="1"/>
        <v>0</v>
      </c>
      <c r="X22" s="1175">
        <f>119.86/N22</f>
        <v>8.8804676167072827E-2</v>
      </c>
      <c r="Y22" s="1176">
        <f t="shared" si="2"/>
        <v>119.86</v>
      </c>
      <c r="Z22" s="701">
        <f>0/N22</f>
        <v>0</v>
      </c>
      <c r="AA22" s="700">
        <f t="shared" si="3"/>
        <v>0</v>
      </c>
      <c r="AB22" s="1176">
        <f t="shared" si="4"/>
        <v>0</v>
      </c>
      <c r="AC22" s="311">
        <f>AN10*(0%)</f>
        <v>0</v>
      </c>
      <c r="AD22" s="311">
        <f>AO$9*(0%)</f>
        <v>0</v>
      </c>
      <c r="AE22" s="311">
        <v>0</v>
      </c>
      <c r="AF22" s="311">
        <v>0</v>
      </c>
      <c r="AG22" s="311">
        <v>0</v>
      </c>
      <c r="AH22" s="298">
        <v>0</v>
      </c>
      <c r="AI22" s="298">
        <v>0</v>
      </c>
      <c r="AJ22" s="311">
        <v>0</v>
      </c>
      <c r="AK22" s="313">
        <f t="shared" si="5"/>
        <v>449.90123333333327</v>
      </c>
      <c r="AL22" s="313">
        <f t="shared" si="6"/>
        <v>62.986172666666661</v>
      </c>
      <c r="AM22" s="313">
        <f t="shared" si="7"/>
        <v>1349.7036999999998</v>
      </c>
      <c r="AN22" s="313">
        <f t="shared" si="8"/>
        <v>188.958518</v>
      </c>
    </row>
    <row r="23" spans="2:40" x14ac:dyDescent="0.25">
      <c r="B23" s="1065" t="s">
        <v>2747</v>
      </c>
      <c r="C23" s="1065"/>
      <c r="D23" s="1065"/>
      <c r="E23" s="1065"/>
      <c r="F23" s="1065"/>
      <c r="G23" s="1065"/>
      <c r="H23" s="1065"/>
      <c r="I23" s="1065"/>
      <c r="J23" s="1065"/>
      <c r="K23" s="1065"/>
      <c r="L23" s="1065"/>
      <c r="M23" s="1065"/>
      <c r="N23" s="1088">
        <f>SUM(N15:N22)</f>
        <v>11808.308199999999</v>
      </c>
      <c r="O23" s="1088">
        <f>SUM(O15:O22)</f>
        <v>0</v>
      </c>
      <c r="P23" s="1088">
        <f>SUM(P15:P22)</f>
        <v>0</v>
      </c>
      <c r="Q23" s="1088">
        <f>SUM(Q15:Q22)</f>
        <v>0</v>
      </c>
      <c r="R23" s="1075"/>
      <c r="S23" s="1089">
        <f>SUM(S15:S22)</f>
        <v>1195.7351309999997</v>
      </c>
      <c r="T23" s="1088">
        <f>SUM(T15:T22)</f>
        <v>0</v>
      </c>
      <c r="U23" s="1088">
        <f>SUM(U15:U22)</f>
        <v>0</v>
      </c>
      <c r="V23" s="315"/>
      <c r="W23" s="1088">
        <f t="shared" ref="W23:Y23" si="9">SUM(W15:W22)</f>
        <v>0</v>
      </c>
      <c r="X23" s="1179"/>
      <c r="Y23" s="1179">
        <f t="shared" si="9"/>
        <v>810.74000000000012</v>
      </c>
      <c r="Z23" s="699"/>
      <c r="AA23" s="699">
        <f>SUM(AA15:AA22)</f>
        <v>307.04000000000002</v>
      </c>
      <c r="AB23" s="1179">
        <f t="shared" ref="AB23:AG23" si="10">SUM(AB15:AB22)</f>
        <v>0</v>
      </c>
      <c r="AC23" s="1088">
        <f t="shared" si="10"/>
        <v>0</v>
      </c>
      <c r="AD23" s="1088">
        <f t="shared" si="10"/>
        <v>0</v>
      </c>
      <c r="AE23" s="1088">
        <f t="shared" si="10"/>
        <v>0</v>
      </c>
      <c r="AF23" s="1088">
        <f t="shared" si="10"/>
        <v>0</v>
      </c>
      <c r="AG23" s="1088">
        <f t="shared" si="10"/>
        <v>0</v>
      </c>
      <c r="AH23" s="1088">
        <f>SUM(AH15:AH22)</f>
        <v>639.66999999999996</v>
      </c>
      <c r="AI23" s="1088">
        <f t="shared" ref="AI23:AN23" si="11">SUM(AI15:AI22)</f>
        <v>0</v>
      </c>
      <c r="AJ23" s="1088">
        <f t="shared" si="11"/>
        <v>0</v>
      </c>
      <c r="AK23" s="1088">
        <f t="shared" si="11"/>
        <v>3936.1027333333332</v>
      </c>
      <c r="AL23" s="1088">
        <f t="shared" si="11"/>
        <v>398.57837699999993</v>
      </c>
      <c r="AM23" s="1088">
        <f t="shared" si="11"/>
        <v>11808.308199999999</v>
      </c>
      <c r="AN23" s="1088">
        <f t="shared" si="11"/>
        <v>1195.7351309999997</v>
      </c>
    </row>
    <row r="24" spans="2:40" x14ac:dyDescent="0.25">
      <c r="B24" s="1065"/>
      <c r="C24" s="1065"/>
      <c r="D24" s="1065"/>
      <c r="E24" s="1065"/>
      <c r="F24" s="1065"/>
      <c r="G24" s="1065"/>
      <c r="H24" s="1065"/>
      <c r="I24" s="1065"/>
      <c r="J24" s="1065"/>
      <c r="K24" s="1065"/>
      <c r="L24" s="1065"/>
      <c r="M24" s="1065"/>
      <c r="N24" s="1088"/>
      <c r="O24" s="1088"/>
      <c r="P24" s="1088"/>
      <c r="Q24" s="1088"/>
      <c r="R24" s="1075"/>
      <c r="S24" s="1089"/>
      <c r="T24" s="1088"/>
      <c r="U24" s="1088"/>
      <c r="V24" s="315"/>
      <c r="W24" s="1088"/>
      <c r="X24" s="1179"/>
      <c r="Y24" s="1179"/>
      <c r="Z24" s="699"/>
      <c r="AA24" s="699"/>
      <c r="AB24" s="1179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</row>
    <row r="25" spans="2:40" s="299" customFormat="1" ht="15.75" x14ac:dyDescent="0.25">
      <c r="B25" s="295" t="s">
        <v>7201</v>
      </c>
      <c r="C25" s="304" t="s">
        <v>7119</v>
      </c>
      <c r="D25" s="304" t="s">
        <v>2654</v>
      </c>
      <c r="E25" s="304" t="s">
        <v>2739</v>
      </c>
      <c r="F25" s="304" t="s">
        <v>2787</v>
      </c>
      <c r="G25" s="304" t="s">
        <v>2798</v>
      </c>
      <c r="H25" s="305">
        <v>20</v>
      </c>
      <c r="I25" s="295">
        <v>44</v>
      </c>
      <c r="J25" s="295" t="s">
        <v>2636</v>
      </c>
      <c r="K25" s="295">
        <v>0</v>
      </c>
      <c r="L25" s="306" t="s">
        <v>7201</v>
      </c>
      <c r="M25" s="295">
        <v>2</v>
      </c>
      <c r="N25" s="307">
        <f>M25*AN10+0.01</f>
        <v>1279.3499999999999</v>
      </c>
      <c r="O25" s="308">
        <v>0</v>
      </c>
      <c r="P25" s="308">
        <v>0</v>
      </c>
      <c r="Q25" s="308">
        <v>0</v>
      </c>
      <c r="R25" s="309">
        <v>0</v>
      </c>
      <c r="S25" s="310">
        <f>N25*R25</f>
        <v>0</v>
      </c>
      <c r="T25" s="311">
        <v>0</v>
      </c>
      <c r="U25" s="311">
        <v>0</v>
      </c>
      <c r="V25" s="312">
        <v>0</v>
      </c>
      <c r="W25" s="311">
        <f>N25*V25</f>
        <v>0</v>
      </c>
      <c r="X25" s="1175">
        <v>0</v>
      </c>
      <c r="Y25" s="1176">
        <f>N25*X25</f>
        <v>0</v>
      </c>
      <c r="Z25" s="701">
        <v>0</v>
      </c>
      <c r="AA25" s="700">
        <f>N25*Z25</f>
        <v>0</v>
      </c>
      <c r="AB25" s="1176">
        <f>N25*(0.546%)</f>
        <v>6.9852509999999999</v>
      </c>
      <c r="AC25" s="311">
        <v>0</v>
      </c>
      <c r="AD25" s="311">
        <v>0</v>
      </c>
      <c r="AE25" s="311">
        <v>0</v>
      </c>
      <c r="AF25" s="311">
        <v>0</v>
      </c>
      <c r="AG25" s="311">
        <v>0</v>
      </c>
      <c r="AH25" s="298">
        <v>0</v>
      </c>
      <c r="AI25" s="298">
        <v>0</v>
      </c>
      <c r="AJ25" s="311">
        <v>0</v>
      </c>
      <c r="AK25" s="313">
        <f>(N25+T25+U25)/3</f>
        <v>426.45</v>
      </c>
      <c r="AL25" s="313">
        <f>AK25*R25</f>
        <v>0</v>
      </c>
      <c r="AM25" s="313">
        <f>N25</f>
        <v>1279.3499999999999</v>
      </c>
      <c r="AN25" s="313">
        <f>AM25*R25</f>
        <v>0</v>
      </c>
    </row>
    <row r="26" spans="2:40" x14ac:dyDescent="0.25">
      <c r="B26" s="1065" t="s">
        <v>2759</v>
      </c>
      <c r="C26" s="1065"/>
      <c r="D26" s="1065"/>
      <c r="E26" s="1065"/>
      <c r="F26" s="1065"/>
      <c r="G26" s="1065"/>
      <c r="H26" s="1065"/>
      <c r="I26" s="1065"/>
      <c r="J26" s="1065"/>
      <c r="K26" s="1065"/>
      <c r="L26" s="1065"/>
      <c r="M26" s="1065"/>
      <c r="N26" s="1088">
        <f>SUM(N25:N25)</f>
        <v>1279.3499999999999</v>
      </c>
      <c r="O26" s="1088">
        <f>SUM(O25:O25)</f>
        <v>0</v>
      </c>
      <c r="P26" s="1088">
        <f>SUM(P25:P25)</f>
        <v>0</v>
      </c>
      <c r="Q26" s="1088">
        <f>SUM(Q25:Q25)</f>
        <v>0</v>
      </c>
      <c r="R26" s="1075"/>
      <c r="S26" s="1089">
        <f>SUM(S25:S25)</f>
        <v>0</v>
      </c>
      <c r="T26" s="1088">
        <f>SUM(T25:T25)</f>
        <v>0</v>
      </c>
      <c r="U26" s="1088">
        <f>SUM(U25:U25)</f>
        <v>0</v>
      </c>
      <c r="V26" s="315"/>
      <c r="W26" s="1088">
        <f>SUM(W25:W25)</f>
        <v>0</v>
      </c>
      <c r="X26" s="1180"/>
      <c r="Y26" s="1179">
        <f>SUM(Y25:Y25)</f>
        <v>0</v>
      </c>
      <c r="Z26" s="1164"/>
      <c r="AA26" s="699">
        <f t="shared" ref="AA26:AN26" si="12">SUM(AA25:AA25)</f>
        <v>0</v>
      </c>
      <c r="AB26" s="1179">
        <f t="shared" si="12"/>
        <v>6.9852509999999999</v>
      </c>
      <c r="AC26" s="1088">
        <f t="shared" si="12"/>
        <v>0</v>
      </c>
      <c r="AD26" s="1088">
        <f t="shared" si="12"/>
        <v>0</v>
      </c>
      <c r="AE26" s="1088">
        <f t="shared" si="12"/>
        <v>0</v>
      </c>
      <c r="AF26" s="1088">
        <f t="shared" si="12"/>
        <v>0</v>
      </c>
      <c r="AG26" s="1088">
        <f t="shared" si="12"/>
        <v>0</v>
      </c>
      <c r="AH26" s="1088">
        <f t="shared" si="12"/>
        <v>0</v>
      </c>
      <c r="AI26" s="1088">
        <f t="shared" si="12"/>
        <v>0</v>
      </c>
      <c r="AJ26" s="1088">
        <f t="shared" si="12"/>
        <v>0</v>
      </c>
      <c r="AK26" s="1088">
        <f t="shared" si="12"/>
        <v>426.45</v>
      </c>
      <c r="AL26" s="1088">
        <f t="shared" si="12"/>
        <v>0</v>
      </c>
      <c r="AM26" s="1088">
        <f t="shared" si="12"/>
        <v>1279.3499999999999</v>
      </c>
      <c r="AN26" s="1088">
        <f t="shared" si="12"/>
        <v>0</v>
      </c>
    </row>
    <row r="27" spans="2:40" x14ac:dyDescent="0.25">
      <c r="B27" s="1065"/>
      <c r="C27" s="1065"/>
      <c r="D27" s="1065"/>
      <c r="E27" s="1065"/>
      <c r="F27" s="1065"/>
      <c r="G27" s="1065"/>
      <c r="H27" s="1065"/>
      <c r="I27" s="1065"/>
      <c r="J27" s="1065"/>
      <c r="K27" s="1065"/>
      <c r="L27" s="1065"/>
      <c r="M27" s="1065"/>
      <c r="N27" s="1088"/>
      <c r="O27" s="1088"/>
      <c r="P27" s="1088"/>
      <c r="Q27" s="1088"/>
      <c r="R27" s="1075"/>
      <c r="S27" s="1089"/>
      <c r="T27" s="1088"/>
      <c r="U27" s="1088"/>
      <c r="V27" s="315"/>
      <c r="W27" s="1088"/>
      <c r="X27" s="1180"/>
      <c r="Y27" s="1179"/>
      <c r="Z27" s="1164"/>
      <c r="AA27" s="699"/>
      <c r="AB27" s="1179"/>
      <c r="AC27" s="1088"/>
      <c r="AD27" s="1088"/>
      <c r="AE27" s="1088"/>
      <c r="AF27" s="1088"/>
      <c r="AG27" s="1088"/>
      <c r="AH27" s="1088"/>
      <c r="AI27" s="1088"/>
      <c r="AJ27" s="1088"/>
      <c r="AK27" s="1088"/>
      <c r="AL27" s="1088"/>
      <c r="AM27" s="1088"/>
      <c r="AN27" s="1088"/>
    </row>
    <row r="28" spans="2:40" ht="15.75" x14ac:dyDescent="0.25">
      <c r="B28" s="295" t="s">
        <v>7201</v>
      </c>
      <c r="C28" s="314" t="s">
        <v>7119</v>
      </c>
      <c r="D28" s="314" t="s">
        <v>2790</v>
      </c>
      <c r="E28" s="314" t="s">
        <v>2723</v>
      </c>
      <c r="F28" s="304" t="s">
        <v>2787</v>
      </c>
      <c r="G28" s="304" t="s">
        <v>2798</v>
      </c>
      <c r="H28" s="295">
        <v>20</v>
      </c>
      <c r="I28" s="295">
        <v>40</v>
      </c>
      <c r="J28" s="295">
        <v>0</v>
      </c>
      <c r="K28" s="295">
        <v>0</v>
      </c>
      <c r="L28" s="306" t="s">
        <v>7201</v>
      </c>
      <c r="M28" s="316">
        <v>4.5</v>
      </c>
      <c r="N28" s="308">
        <f>AN10*M28</f>
        <v>2878.5149999999999</v>
      </c>
      <c r="O28" s="308">
        <v>0</v>
      </c>
      <c r="P28" s="308">
        <v>0</v>
      </c>
      <c r="Q28" s="308">
        <v>0</v>
      </c>
      <c r="R28" s="317">
        <v>0</v>
      </c>
      <c r="S28" s="310">
        <f>N28*R28</f>
        <v>0</v>
      </c>
      <c r="T28" s="311">
        <v>0</v>
      </c>
      <c r="U28" s="311">
        <v>0</v>
      </c>
      <c r="V28" s="312">
        <v>0</v>
      </c>
      <c r="W28" s="311">
        <f>N28*V28</f>
        <v>0</v>
      </c>
      <c r="X28" s="1175">
        <v>0</v>
      </c>
      <c r="Y28" s="1176">
        <v>0</v>
      </c>
      <c r="Z28" s="701">
        <v>0</v>
      </c>
      <c r="AA28" s="700">
        <v>0</v>
      </c>
      <c r="AB28" s="1176">
        <v>0</v>
      </c>
      <c r="AC28" s="311">
        <v>0</v>
      </c>
      <c r="AD28" s="311">
        <v>0</v>
      </c>
      <c r="AE28" s="311">
        <v>0</v>
      </c>
      <c r="AF28" s="311">
        <v>0</v>
      </c>
      <c r="AG28" s="311">
        <v>0</v>
      </c>
      <c r="AH28" s="311">
        <v>0</v>
      </c>
      <c r="AI28" s="311">
        <v>0</v>
      </c>
      <c r="AJ28" s="311">
        <v>0</v>
      </c>
      <c r="AK28" s="313">
        <f>(N28+T28+U28)/3</f>
        <v>959.505</v>
      </c>
      <c r="AL28" s="313">
        <f>AK28*R28</f>
        <v>0</v>
      </c>
      <c r="AM28" s="313">
        <f>N28</f>
        <v>2878.5149999999999</v>
      </c>
      <c r="AN28" s="313">
        <f>AM28*R28</f>
        <v>0</v>
      </c>
    </row>
    <row r="29" spans="2:40" ht="15.75" x14ac:dyDescent="0.25">
      <c r="B29" s="295">
        <v>2222</v>
      </c>
      <c r="C29" s="314" t="str">
        <f>PROPER("JUCIMARA MORAIS DE SOUZA")</f>
        <v>Jucimara Morais De Souza</v>
      </c>
      <c r="D29" s="314" t="s">
        <v>2792</v>
      </c>
      <c r="E29" s="314" t="s">
        <v>2723</v>
      </c>
      <c r="F29" s="304" t="s">
        <v>2787</v>
      </c>
      <c r="G29" s="304" t="s">
        <v>2798</v>
      </c>
      <c r="H29" s="295">
        <v>20</v>
      </c>
      <c r="I29" s="295">
        <v>40</v>
      </c>
      <c r="J29" s="295">
        <v>0</v>
      </c>
      <c r="K29" s="295">
        <v>0</v>
      </c>
      <c r="L29" s="306">
        <v>43587</v>
      </c>
      <c r="M29" s="316">
        <v>5.6</v>
      </c>
      <c r="N29" s="308">
        <f>AN10*M29</f>
        <v>3582.1519999999996</v>
      </c>
      <c r="O29" s="308">
        <v>0</v>
      </c>
      <c r="P29" s="308">
        <v>0</v>
      </c>
      <c r="Q29" s="308">
        <v>0</v>
      </c>
      <c r="R29" s="317">
        <v>0</v>
      </c>
      <c r="S29" s="310">
        <f>N29*R29</f>
        <v>0</v>
      </c>
      <c r="T29" s="311">
        <v>0</v>
      </c>
      <c r="U29" s="311">
        <v>0</v>
      </c>
      <c r="V29" s="312">
        <v>0</v>
      </c>
      <c r="W29" s="311">
        <f>N29*V29</f>
        <v>0</v>
      </c>
      <c r="X29" s="1175">
        <v>0</v>
      </c>
      <c r="Y29" s="1176">
        <v>0</v>
      </c>
      <c r="Z29" s="701">
        <v>0</v>
      </c>
      <c r="AA29" s="700">
        <v>0</v>
      </c>
      <c r="AB29" s="1176">
        <v>0</v>
      </c>
      <c r="AC29" s="311">
        <v>0</v>
      </c>
      <c r="AD29" s="311">
        <v>0</v>
      </c>
      <c r="AE29" s="311">
        <v>0</v>
      </c>
      <c r="AF29" s="311">
        <v>0</v>
      </c>
      <c r="AG29" s="311">
        <v>0</v>
      </c>
      <c r="AH29" s="311">
        <v>0</v>
      </c>
      <c r="AI29" s="311">
        <v>0</v>
      </c>
      <c r="AJ29" s="311">
        <v>0</v>
      </c>
      <c r="AK29" s="313">
        <f>(N29+T29+U29)/3</f>
        <v>1194.0506666666665</v>
      </c>
      <c r="AL29" s="313">
        <f>AK29*R29</f>
        <v>0</v>
      </c>
      <c r="AM29" s="313">
        <f>N29</f>
        <v>3582.1519999999996</v>
      </c>
      <c r="AN29" s="313">
        <f>AM29*R29</f>
        <v>0</v>
      </c>
    </row>
    <row r="30" spans="2:40" ht="15.75" x14ac:dyDescent="0.25">
      <c r="B30" s="295">
        <v>2210</v>
      </c>
      <c r="C30" s="314" t="str">
        <f>PROPER("LUCIA DE MOURA TYSKA")</f>
        <v>Lucia De Moura Tyska</v>
      </c>
      <c r="D30" s="314" t="s">
        <v>2793</v>
      </c>
      <c r="E30" s="314" t="s">
        <v>2723</v>
      </c>
      <c r="F30" s="304" t="s">
        <v>2787</v>
      </c>
      <c r="G30" s="304" t="s">
        <v>2798</v>
      </c>
      <c r="H30" s="295">
        <v>20</v>
      </c>
      <c r="I30" s="295">
        <v>40</v>
      </c>
      <c r="J30" s="295">
        <v>0</v>
      </c>
      <c r="K30" s="295">
        <v>0</v>
      </c>
      <c r="L30" s="306">
        <v>43102</v>
      </c>
      <c r="M30" s="316">
        <f>2046.95/639.67</f>
        <v>3.2000093798364784</v>
      </c>
      <c r="N30" s="308">
        <f>AN10*M30</f>
        <v>2046.95</v>
      </c>
      <c r="O30" s="308">
        <v>0</v>
      </c>
      <c r="P30" s="308">
        <v>0</v>
      </c>
      <c r="Q30" s="308">
        <v>0</v>
      </c>
      <c r="R30" s="317">
        <v>0</v>
      </c>
      <c r="S30" s="310">
        <f>N30*R30</f>
        <v>0</v>
      </c>
      <c r="T30" s="311">
        <v>0</v>
      </c>
      <c r="U30" s="311">
        <v>0</v>
      </c>
      <c r="V30" s="312">
        <v>0</v>
      </c>
      <c r="W30" s="311">
        <f>N30*V30</f>
        <v>0</v>
      </c>
      <c r="X30" s="1175">
        <v>0</v>
      </c>
      <c r="Y30" s="1176">
        <v>0</v>
      </c>
      <c r="Z30" s="701">
        <v>0</v>
      </c>
      <c r="AA30" s="700">
        <v>0</v>
      </c>
      <c r="AB30" s="1176">
        <v>0</v>
      </c>
      <c r="AC30" s="311">
        <v>0</v>
      </c>
      <c r="AD30" s="311">
        <v>0</v>
      </c>
      <c r="AE30" s="311">
        <v>0</v>
      </c>
      <c r="AF30" s="311">
        <v>0</v>
      </c>
      <c r="AG30" s="311">
        <v>0</v>
      </c>
      <c r="AH30" s="311">
        <v>0</v>
      </c>
      <c r="AI30" s="311">
        <v>0</v>
      </c>
      <c r="AJ30" s="311">
        <v>0</v>
      </c>
      <c r="AK30" s="313">
        <f>(N30+T30+U30)/3</f>
        <v>682.31666666666672</v>
      </c>
      <c r="AL30" s="313">
        <f>AK30*R30</f>
        <v>0</v>
      </c>
      <c r="AM30" s="313">
        <f>N30</f>
        <v>2046.95</v>
      </c>
      <c r="AN30" s="313">
        <f>AM30*R30</f>
        <v>0</v>
      </c>
    </row>
    <row r="31" spans="2:40" x14ac:dyDescent="0.25">
      <c r="B31" s="1065" t="s">
        <v>2755</v>
      </c>
      <c r="C31" s="1065"/>
      <c r="D31" s="1065"/>
      <c r="E31" s="1065"/>
      <c r="F31" s="1065"/>
      <c r="G31" s="1065"/>
      <c r="H31" s="1065"/>
      <c r="I31" s="1065"/>
      <c r="J31" s="1065"/>
      <c r="K31" s="1065"/>
      <c r="L31" s="1065"/>
      <c r="M31" s="1065"/>
      <c r="N31" s="1088">
        <f>SUM(N28:N30)</f>
        <v>8507.6170000000002</v>
      </c>
      <c r="O31" s="1088">
        <f>SUM(O28:O30)</f>
        <v>0</v>
      </c>
      <c r="P31" s="1088">
        <f>SUM(P28:P30)</f>
        <v>0</v>
      </c>
      <c r="Q31" s="1088">
        <f>SUM(Q28:Q30)</f>
        <v>0</v>
      </c>
      <c r="R31" s="1075"/>
      <c r="S31" s="1089">
        <f>SUM(S28:S30)</f>
        <v>0</v>
      </c>
      <c r="T31" s="1088">
        <f>SUM(T28:T30)</f>
        <v>0</v>
      </c>
      <c r="U31" s="1088">
        <f>SUM(U28:U30)</f>
        <v>0</v>
      </c>
      <c r="V31" s="315"/>
      <c r="W31" s="1088">
        <f>SUM(W28:W30)</f>
        <v>0</v>
      </c>
      <c r="X31" s="1180"/>
      <c r="Y31" s="1179">
        <f>SUM(Y28:Y30)</f>
        <v>0</v>
      </c>
      <c r="Z31" s="1164"/>
      <c r="AA31" s="699">
        <f t="shared" ref="AA31:AN31" si="13">SUM(AA28:AA30)</f>
        <v>0</v>
      </c>
      <c r="AB31" s="1179">
        <f t="shared" si="13"/>
        <v>0</v>
      </c>
      <c r="AC31" s="1088">
        <f t="shared" si="13"/>
        <v>0</v>
      </c>
      <c r="AD31" s="1088">
        <f t="shared" si="13"/>
        <v>0</v>
      </c>
      <c r="AE31" s="1088">
        <f t="shared" si="13"/>
        <v>0</v>
      </c>
      <c r="AF31" s="1088">
        <f t="shared" si="13"/>
        <v>0</v>
      </c>
      <c r="AG31" s="1088">
        <f t="shared" si="13"/>
        <v>0</v>
      </c>
      <c r="AH31" s="1088">
        <f t="shared" si="13"/>
        <v>0</v>
      </c>
      <c r="AI31" s="1088">
        <f t="shared" si="13"/>
        <v>0</v>
      </c>
      <c r="AJ31" s="1088">
        <f t="shared" si="13"/>
        <v>0</v>
      </c>
      <c r="AK31" s="1088">
        <f t="shared" si="13"/>
        <v>2835.8723333333332</v>
      </c>
      <c r="AL31" s="1088">
        <f t="shared" si="13"/>
        <v>0</v>
      </c>
      <c r="AM31" s="1088">
        <f t="shared" si="13"/>
        <v>8507.6170000000002</v>
      </c>
      <c r="AN31" s="1088">
        <f t="shared" si="13"/>
        <v>0</v>
      </c>
    </row>
    <row r="32" spans="2:40" x14ac:dyDescent="0.25">
      <c r="B32" s="1065"/>
      <c r="C32" s="1065"/>
      <c r="D32" s="1065"/>
      <c r="E32" s="1065"/>
      <c r="F32" s="1065"/>
      <c r="G32" s="1065"/>
      <c r="H32" s="1065"/>
      <c r="I32" s="1065"/>
      <c r="J32" s="1065"/>
      <c r="K32" s="1065"/>
      <c r="L32" s="1065"/>
      <c r="M32" s="1065"/>
      <c r="N32" s="1088"/>
      <c r="O32" s="1088"/>
      <c r="P32" s="1088"/>
      <c r="Q32" s="1088"/>
      <c r="R32" s="1075"/>
      <c r="S32" s="1089"/>
      <c r="T32" s="1088"/>
      <c r="U32" s="1088"/>
      <c r="V32" s="315"/>
      <c r="W32" s="1088"/>
      <c r="X32" s="1180"/>
      <c r="Y32" s="1179"/>
      <c r="Z32" s="1164"/>
      <c r="AA32" s="699"/>
      <c r="AB32" s="1179"/>
      <c r="AC32" s="1088"/>
      <c r="AD32" s="1088"/>
      <c r="AE32" s="1088"/>
      <c r="AF32" s="1088"/>
      <c r="AG32" s="1088"/>
      <c r="AH32" s="1088"/>
      <c r="AI32" s="1088"/>
      <c r="AJ32" s="1088"/>
      <c r="AK32" s="1088"/>
      <c r="AL32" s="1088"/>
      <c r="AM32" s="1088"/>
      <c r="AN32" s="1088"/>
    </row>
    <row r="33" spans="2:40" s="299" customFormat="1" ht="15.75" x14ac:dyDescent="0.25">
      <c r="B33" s="295">
        <v>861</v>
      </c>
      <c r="C33" s="314" t="s">
        <v>2869</v>
      </c>
      <c r="D33" s="314" t="s">
        <v>2795</v>
      </c>
      <c r="E33" s="314" t="s">
        <v>2725</v>
      </c>
      <c r="F33" s="304" t="s">
        <v>2787</v>
      </c>
      <c r="G33" s="304" t="s">
        <v>2798</v>
      </c>
      <c r="H33" s="295">
        <v>20</v>
      </c>
      <c r="I33" s="295">
        <v>40</v>
      </c>
      <c r="J33" s="295">
        <v>0</v>
      </c>
      <c r="K33" s="295">
        <v>0</v>
      </c>
      <c r="L33" s="306">
        <v>43328</v>
      </c>
      <c r="M33" s="316">
        <f>4760.1/639.67</f>
        <v>7.441493269967328</v>
      </c>
      <c r="N33" s="308">
        <f>AN10*M33</f>
        <v>4760.1000000000004</v>
      </c>
      <c r="O33" s="308">
        <v>0</v>
      </c>
      <c r="P33" s="308">
        <v>0</v>
      </c>
      <c r="Q33" s="308">
        <v>0</v>
      </c>
      <c r="R33" s="1183">
        <v>0.15</v>
      </c>
      <c r="S33" s="310">
        <f>N33*R33</f>
        <v>714.01499999999999</v>
      </c>
      <c r="T33" s="311">
        <v>0</v>
      </c>
      <c r="U33" s="311">
        <v>0</v>
      </c>
      <c r="V33" s="312">
        <v>0</v>
      </c>
      <c r="W33" s="311">
        <f>N33*V33</f>
        <v>0</v>
      </c>
      <c r="X33" s="1175">
        <v>0</v>
      </c>
      <c r="Y33" s="1176">
        <v>0</v>
      </c>
      <c r="Z33" s="701">
        <v>0</v>
      </c>
      <c r="AA33" s="700">
        <v>0</v>
      </c>
      <c r="AB33" s="1176">
        <v>0</v>
      </c>
      <c r="AC33" s="311">
        <v>0</v>
      </c>
      <c r="AD33" s="311">
        <v>0</v>
      </c>
      <c r="AE33" s="311">
        <v>0</v>
      </c>
      <c r="AF33" s="311">
        <v>0</v>
      </c>
      <c r="AG33" s="311">
        <v>0</v>
      </c>
      <c r="AH33" s="311">
        <v>0</v>
      </c>
      <c r="AI33" s="311">
        <v>0</v>
      </c>
      <c r="AJ33" s="311">
        <v>0</v>
      </c>
      <c r="AK33" s="313">
        <f>(N33+T33+U33)/3</f>
        <v>1586.7</v>
      </c>
      <c r="AL33" s="313">
        <f>AK33*R33</f>
        <v>238.005</v>
      </c>
      <c r="AM33" s="313">
        <f>N33</f>
        <v>4760.1000000000004</v>
      </c>
      <c r="AN33" s="313">
        <f>AM33*R33</f>
        <v>714.01499999999999</v>
      </c>
    </row>
    <row r="34" spans="2:40" s="299" customFormat="1" x14ac:dyDescent="0.25">
      <c r="B34" s="1065" t="s">
        <v>2726</v>
      </c>
      <c r="C34" s="1065"/>
      <c r="D34" s="1065"/>
      <c r="E34" s="1065"/>
      <c r="F34" s="1065"/>
      <c r="G34" s="1065"/>
      <c r="H34" s="1065"/>
      <c r="I34" s="1065"/>
      <c r="J34" s="1065"/>
      <c r="K34" s="1065"/>
      <c r="L34" s="1065"/>
      <c r="M34" s="1065"/>
      <c r="N34" s="1088">
        <f>SUM(N33:N33)</f>
        <v>4760.1000000000004</v>
      </c>
      <c r="O34" s="1088">
        <f>SUM(O33:O33)</f>
        <v>0</v>
      </c>
      <c r="P34" s="1088">
        <f>SUM(P33:P33)</f>
        <v>0</v>
      </c>
      <c r="Q34" s="1088">
        <f>SUM(Q33:Q33)</f>
        <v>0</v>
      </c>
      <c r="R34" s="1075"/>
      <c r="S34" s="1089">
        <f>SUM(S33:S33)</f>
        <v>714.01499999999999</v>
      </c>
      <c r="T34" s="1088">
        <f>SUM(T33:T33)</f>
        <v>0</v>
      </c>
      <c r="U34" s="1088">
        <f>SUM(U33:U33)</f>
        <v>0</v>
      </c>
      <c r="V34" s="315"/>
      <c r="W34" s="1088">
        <f>SUM(W33:W33)</f>
        <v>0</v>
      </c>
      <c r="X34" s="1180"/>
      <c r="Y34" s="1179">
        <f>SUM(Y33:Y33)</f>
        <v>0</v>
      </c>
      <c r="Z34" s="1164"/>
      <c r="AA34" s="699">
        <f>SUM(AA33:AA33)</f>
        <v>0</v>
      </c>
      <c r="AB34" s="1179">
        <f t="shared" ref="AB34:AN34" si="14">SUM(AB33:AB33)</f>
        <v>0</v>
      </c>
      <c r="AC34" s="1088">
        <f t="shared" si="14"/>
        <v>0</v>
      </c>
      <c r="AD34" s="1088">
        <f t="shared" si="14"/>
        <v>0</v>
      </c>
      <c r="AE34" s="1088">
        <f t="shared" si="14"/>
        <v>0</v>
      </c>
      <c r="AF34" s="1088">
        <f t="shared" si="14"/>
        <v>0</v>
      </c>
      <c r="AG34" s="1088">
        <f t="shared" si="14"/>
        <v>0</v>
      </c>
      <c r="AH34" s="1088">
        <f t="shared" si="14"/>
        <v>0</v>
      </c>
      <c r="AI34" s="1088">
        <f t="shared" si="14"/>
        <v>0</v>
      </c>
      <c r="AJ34" s="1088">
        <f t="shared" si="14"/>
        <v>0</v>
      </c>
      <c r="AK34" s="1088">
        <f t="shared" si="14"/>
        <v>1586.7</v>
      </c>
      <c r="AL34" s="1088">
        <f t="shared" si="14"/>
        <v>238.005</v>
      </c>
      <c r="AM34" s="1088">
        <f t="shared" si="14"/>
        <v>4760.1000000000004</v>
      </c>
      <c r="AN34" s="1088">
        <f t="shared" si="14"/>
        <v>714.01499999999999</v>
      </c>
    </row>
    <row r="35" spans="2:40" s="299" customFormat="1" x14ac:dyDescent="0.25"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88"/>
      <c r="O35" s="1088"/>
      <c r="P35" s="1088"/>
      <c r="Q35" s="1088"/>
      <c r="R35" s="1075"/>
      <c r="S35" s="1089"/>
      <c r="T35" s="1088"/>
      <c r="U35" s="1088"/>
      <c r="V35" s="315"/>
      <c r="W35" s="1088"/>
      <c r="X35" s="1180"/>
      <c r="Y35" s="1179"/>
      <c r="Z35" s="1164"/>
      <c r="AA35" s="699"/>
      <c r="AB35" s="1179"/>
      <c r="AC35" s="1088"/>
      <c r="AD35" s="1088"/>
      <c r="AE35" s="1088"/>
      <c r="AF35" s="1088"/>
      <c r="AG35" s="1088"/>
      <c r="AH35" s="1088"/>
      <c r="AI35" s="1088"/>
      <c r="AJ35" s="1088"/>
      <c r="AK35" s="1088"/>
      <c r="AL35" s="1088"/>
      <c r="AM35" s="1088"/>
      <c r="AN35" s="1088"/>
    </row>
    <row r="36" spans="2:40" s="299" customFormat="1" ht="15.75" x14ac:dyDescent="0.25">
      <c r="B36" s="295">
        <v>15</v>
      </c>
      <c r="C36" s="314" t="str">
        <f>PROPER("EVA MARLENE MEIRELES")</f>
        <v>Eva Marlene Meireles</v>
      </c>
      <c r="D36" s="304" t="s">
        <v>2796</v>
      </c>
      <c r="E36" s="304" t="s">
        <v>2797</v>
      </c>
      <c r="F36" s="304" t="s">
        <v>2787</v>
      </c>
      <c r="G36" s="304" t="s">
        <v>2798</v>
      </c>
      <c r="H36" s="305">
        <v>20</v>
      </c>
      <c r="I36" s="295">
        <v>20</v>
      </c>
      <c r="J36" s="295" t="s">
        <v>2636</v>
      </c>
      <c r="K36" s="295">
        <v>1</v>
      </c>
      <c r="L36" s="306">
        <v>35431</v>
      </c>
      <c r="M36" s="295">
        <v>1.7</v>
      </c>
      <c r="N36" s="307">
        <f>M36*AN10</f>
        <v>1087.4389999999999</v>
      </c>
      <c r="O36" s="308">
        <v>0</v>
      </c>
      <c r="P36" s="308">
        <v>0</v>
      </c>
      <c r="Q36" s="308">
        <v>0</v>
      </c>
      <c r="R36" s="309">
        <v>0.22</v>
      </c>
      <c r="S36" s="310">
        <f>N36*R36</f>
        <v>239.23657999999998</v>
      </c>
      <c r="T36" s="311">
        <v>0</v>
      </c>
      <c r="U36" s="311">
        <v>0</v>
      </c>
      <c r="V36" s="312">
        <v>0</v>
      </c>
      <c r="W36" s="311">
        <f>N36*V36</f>
        <v>0</v>
      </c>
      <c r="X36" s="1175">
        <f>0/N36</f>
        <v>0</v>
      </c>
      <c r="Y36" s="1176">
        <f>N36*X36</f>
        <v>0</v>
      </c>
      <c r="Z36" s="701">
        <f>0/N36</f>
        <v>0</v>
      </c>
      <c r="AA36" s="700">
        <f>N36*Z36</f>
        <v>0</v>
      </c>
      <c r="AB36" s="1176">
        <f>N36*(0)</f>
        <v>0</v>
      </c>
      <c r="AC36" s="311">
        <f>AN10*(0%)</f>
        <v>0</v>
      </c>
      <c r="AD36" s="311">
        <f>AO$9*(0%)</f>
        <v>0</v>
      </c>
      <c r="AE36" s="311">
        <v>0</v>
      </c>
      <c r="AF36" s="311">
        <v>0</v>
      </c>
      <c r="AG36" s="311">
        <v>0</v>
      </c>
      <c r="AH36" s="298">
        <v>0</v>
      </c>
      <c r="AI36" s="298">
        <v>0</v>
      </c>
      <c r="AJ36" s="311">
        <v>0</v>
      </c>
      <c r="AK36" s="313">
        <f>(N36+T36+U36)/3</f>
        <v>362.47966666666662</v>
      </c>
      <c r="AL36" s="313">
        <f>AK36*R36</f>
        <v>79.745526666666663</v>
      </c>
      <c r="AM36" s="313">
        <f>N36</f>
        <v>1087.4389999999999</v>
      </c>
      <c r="AN36" s="313">
        <f>AM36*R36</f>
        <v>239.23657999999998</v>
      </c>
    </row>
    <row r="37" spans="2:40" s="291" customFormat="1" x14ac:dyDescent="0.25">
      <c r="B37" s="1065" t="s">
        <v>2799</v>
      </c>
      <c r="C37" s="1065"/>
      <c r="D37" s="1065"/>
      <c r="E37" s="1065"/>
      <c r="F37" s="1065"/>
      <c r="G37" s="1065"/>
      <c r="H37" s="1065"/>
      <c r="I37" s="1065"/>
      <c r="J37" s="1065"/>
      <c r="K37" s="1065"/>
      <c r="L37" s="1065"/>
      <c r="M37" s="1065"/>
      <c r="N37" s="1088">
        <f>SUM(N36:N36)</f>
        <v>1087.4389999999999</v>
      </c>
      <c r="O37" s="1088">
        <f>SUM(O36:O36)</f>
        <v>0</v>
      </c>
      <c r="P37" s="1088">
        <f>SUM(P36:P36)</f>
        <v>0</v>
      </c>
      <c r="Q37" s="1088">
        <f>SUM(Q36:Q36)</f>
        <v>0</v>
      </c>
      <c r="R37" s="1075"/>
      <c r="S37" s="1089">
        <f>SUM(S36:S36)</f>
        <v>239.23657999999998</v>
      </c>
      <c r="T37" s="1088">
        <f>SUM(T36:T36)</f>
        <v>0</v>
      </c>
      <c r="U37" s="1088">
        <f>SUM(U36:U36)</f>
        <v>0</v>
      </c>
      <c r="V37" s="315"/>
      <c r="W37" s="1088">
        <f>SUM(W36:W36)</f>
        <v>0</v>
      </c>
      <c r="X37" s="1180"/>
      <c r="Y37" s="1179">
        <f>SUM(Y36:Y36)</f>
        <v>0</v>
      </c>
      <c r="Z37" s="1164"/>
      <c r="AA37" s="699">
        <f>SUM(AA36:AA36)</f>
        <v>0</v>
      </c>
      <c r="AB37" s="1179">
        <f t="shared" ref="AB37:AN37" si="15">SUM(AB36:AB36)</f>
        <v>0</v>
      </c>
      <c r="AC37" s="1088">
        <f t="shared" si="15"/>
        <v>0</v>
      </c>
      <c r="AD37" s="1088">
        <f t="shared" si="15"/>
        <v>0</v>
      </c>
      <c r="AE37" s="1088">
        <f t="shared" si="15"/>
        <v>0</v>
      </c>
      <c r="AF37" s="1088">
        <f t="shared" si="15"/>
        <v>0</v>
      </c>
      <c r="AG37" s="1088">
        <f t="shared" si="15"/>
        <v>0</v>
      </c>
      <c r="AH37" s="1088">
        <f t="shared" si="15"/>
        <v>0</v>
      </c>
      <c r="AI37" s="1088">
        <f t="shared" si="15"/>
        <v>0</v>
      </c>
      <c r="AJ37" s="1088">
        <f t="shared" si="15"/>
        <v>0</v>
      </c>
      <c r="AK37" s="1088">
        <f t="shared" si="15"/>
        <v>362.47966666666662</v>
      </c>
      <c r="AL37" s="1088">
        <f t="shared" si="15"/>
        <v>79.745526666666663</v>
      </c>
      <c r="AM37" s="1088">
        <f t="shared" si="15"/>
        <v>1087.4389999999999</v>
      </c>
      <c r="AN37" s="1088">
        <f t="shared" si="15"/>
        <v>239.23657999999998</v>
      </c>
    </row>
    <row r="38" spans="2:40" s="1184" customFormat="1" x14ac:dyDescent="0.25">
      <c r="B38" s="1185" t="s">
        <v>7202</v>
      </c>
      <c r="C38" s="1186"/>
      <c r="D38" s="1186"/>
      <c r="E38" s="1186"/>
      <c r="F38" s="1186"/>
      <c r="G38" s="1186"/>
      <c r="H38" s="1186"/>
      <c r="I38" s="1186"/>
      <c r="J38" s="1186"/>
      <c r="K38" s="1186"/>
      <c r="L38" s="1186"/>
      <c r="M38" s="1186"/>
      <c r="N38" s="1179">
        <f>N37+N34+N31+N26+N23</f>
        <v>27442.814200000001</v>
      </c>
      <c r="O38" s="1179">
        <f>O37+O34+O31+O26+O23</f>
        <v>0</v>
      </c>
      <c r="P38" s="1179">
        <f>P37+P34+P31+P26+P23</f>
        <v>0</v>
      </c>
      <c r="Q38" s="1179">
        <f>Q37+Q34+Q31+Q26+Q23</f>
        <v>0</v>
      </c>
      <c r="R38" s="1187"/>
      <c r="S38" s="1179">
        <f>S37+S34+S31+S26+S23</f>
        <v>2148.9867109999996</v>
      </c>
      <c r="T38" s="1179">
        <f>T37+T34+T31+T26+T23</f>
        <v>0</v>
      </c>
      <c r="U38" s="1179">
        <f>U37+U34+U31+U26+U23</f>
        <v>0</v>
      </c>
      <c r="V38" s="1180"/>
      <c r="W38" s="1179">
        <f>W37+W34+W31+W26+W23</f>
        <v>0</v>
      </c>
      <c r="X38" s="1180"/>
      <c r="Y38" s="1179">
        <f>Y37+Y34+Y31+Y26+Y23</f>
        <v>810.74000000000012</v>
      </c>
      <c r="Z38" s="1180"/>
      <c r="AA38" s="1179">
        <f t="shared" ref="AA38:AN38" si="16">AA37+AA34+AA31+AA26+AA23</f>
        <v>307.04000000000002</v>
      </c>
      <c r="AB38" s="1179">
        <f t="shared" si="16"/>
        <v>6.9852509999999999</v>
      </c>
      <c r="AC38" s="1179">
        <f t="shared" si="16"/>
        <v>0</v>
      </c>
      <c r="AD38" s="1179">
        <f t="shared" si="16"/>
        <v>0</v>
      </c>
      <c r="AE38" s="1179">
        <f t="shared" si="16"/>
        <v>0</v>
      </c>
      <c r="AF38" s="1179">
        <f t="shared" si="16"/>
        <v>0</v>
      </c>
      <c r="AG38" s="1179">
        <f t="shared" si="16"/>
        <v>0</v>
      </c>
      <c r="AH38" s="1179">
        <f>AH37+AH34+AH31+AH26+AH23</f>
        <v>639.66999999999996</v>
      </c>
      <c r="AI38" s="1179">
        <f t="shared" si="16"/>
        <v>0</v>
      </c>
      <c r="AJ38" s="1179">
        <f t="shared" si="16"/>
        <v>0</v>
      </c>
      <c r="AK38" s="1179">
        <f>AK37+AK34+AK31+AK26+AK23</f>
        <v>9147.6047333333336</v>
      </c>
      <c r="AL38" s="1179">
        <f t="shared" si="16"/>
        <v>716.32890366666652</v>
      </c>
      <c r="AM38" s="1179">
        <f t="shared" si="16"/>
        <v>27442.814200000001</v>
      </c>
      <c r="AN38" s="1179">
        <f t="shared" si="16"/>
        <v>2148.9867109999996</v>
      </c>
    </row>
    <row r="39" spans="2:40" s="291" customFormat="1" x14ac:dyDescent="0.25">
      <c r="B39" s="1065"/>
      <c r="C39" s="1065"/>
      <c r="D39" s="1065"/>
      <c r="E39" s="1065"/>
      <c r="F39" s="1065"/>
      <c r="G39" s="1065"/>
      <c r="H39" s="1065"/>
      <c r="I39" s="1065"/>
      <c r="J39" s="1065"/>
      <c r="K39" s="1065"/>
      <c r="L39" s="1065"/>
      <c r="M39" s="1065"/>
      <c r="N39" s="1088"/>
      <c r="O39" s="1088"/>
      <c r="P39" s="1088"/>
      <c r="Q39" s="1088"/>
      <c r="R39" s="1075"/>
      <c r="S39" s="1089"/>
      <c r="T39" s="1088"/>
      <c r="U39" s="1088"/>
      <c r="V39" s="315"/>
      <c r="W39" s="1088"/>
      <c r="X39" s="1180"/>
      <c r="Y39" s="1179"/>
      <c r="Z39" s="1164"/>
      <c r="AA39" s="699"/>
      <c r="AB39" s="1179"/>
      <c r="AC39" s="1088"/>
      <c r="AD39" s="1088"/>
      <c r="AE39" s="1088"/>
      <c r="AF39" s="1088"/>
      <c r="AG39" s="1088"/>
      <c r="AH39" s="1088"/>
      <c r="AI39" s="1088"/>
      <c r="AJ39" s="1088"/>
      <c r="AK39" s="1088"/>
      <c r="AL39" s="1088"/>
      <c r="AM39" s="1088"/>
      <c r="AN39" s="1088"/>
    </row>
    <row r="40" spans="2:40" s="299" customFormat="1" ht="15.75" x14ac:dyDescent="0.25">
      <c r="B40" s="295">
        <v>2096</v>
      </c>
      <c r="C40" s="304" t="s">
        <v>2688</v>
      </c>
      <c r="D40" s="304" t="s">
        <v>2689</v>
      </c>
      <c r="E40" s="304" t="s">
        <v>2739</v>
      </c>
      <c r="F40" s="304" t="s">
        <v>2787</v>
      </c>
      <c r="G40" s="304" t="s">
        <v>2800</v>
      </c>
      <c r="H40" s="305">
        <v>20</v>
      </c>
      <c r="I40" s="295">
        <v>40</v>
      </c>
      <c r="J40" s="295" t="s">
        <v>2636</v>
      </c>
      <c r="K40" s="295">
        <v>0</v>
      </c>
      <c r="L40" s="318">
        <v>42675</v>
      </c>
      <c r="M40" s="295">
        <v>2.4</v>
      </c>
      <c r="N40" s="307">
        <f>M40*AN10</f>
        <v>1535.2079999999999</v>
      </c>
      <c r="O40" s="308">
        <v>0</v>
      </c>
      <c r="P40" s="308">
        <v>0</v>
      </c>
      <c r="Q40" s="308">
        <v>0</v>
      </c>
      <c r="R40" s="309">
        <v>0.04</v>
      </c>
      <c r="S40" s="319">
        <f t="shared" ref="S40:S53" si="17">N40*R40</f>
        <v>61.408319999999996</v>
      </c>
      <c r="T40" s="311">
        <v>0</v>
      </c>
      <c r="U40" s="311">
        <v>0</v>
      </c>
      <c r="V40" s="312">
        <v>0</v>
      </c>
      <c r="W40" s="311">
        <f t="shared" ref="W40:W53" si="18">N40*V40</f>
        <v>0</v>
      </c>
      <c r="X40" s="1175">
        <f>127.94/N40</f>
        <v>8.3337241598532577E-2</v>
      </c>
      <c r="Y40" s="1176">
        <f t="shared" ref="Y40:Y53" si="19">N40*X40</f>
        <v>127.93999999999998</v>
      </c>
      <c r="Z40" s="701">
        <f t="shared" ref="Z40:Z53" si="20">0/N40</f>
        <v>0</v>
      </c>
      <c r="AA40" s="700">
        <f t="shared" ref="AA40:AA53" si="21">N40*Z40</f>
        <v>0</v>
      </c>
      <c r="AB40" s="1176">
        <f>N40*(0)</f>
        <v>0</v>
      </c>
      <c r="AC40" s="311">
        <f>AN10*(0%)</f>
        <v>0</v>
      </c>
      <c r="AD40" s="311">
        <f t="shared" ref="AD40:AD53" si="22">AO$9*(0%)</f>
        <v>0</v>
      </c>
      <c r="AE40" s="311">
        <v>0</v>
      </c>
      <c r="AF40" s="311">
        <v>0</v>
      </c>
      <c r="AG40" s="311">
        <v>0</v>
      </c>
      <c r="AH40" s="298">
        <v>0</v>
      </c>
      <c r="AI40" s="298">
        <v>0</v>
      </c>
      <c r="AJ40" s="311">
        <v>0</v>
      </c>
      <c r="AK40" s="313">
        <f t="shared" ref="AK40:AK53" si="23">(N40+T40+U40)/3</f>
        <v>511.73599999999993</v>
      </c>
      <c r="AL40" s="313">
        <f t="shared" ref="AL40:AL53" si="24">AK40*R40</f>
        <v>20.469439999999999</v>
      </c>
      <c r="AM40" s="313">
        <f t="shared" ref="AM40:AM53" si="25">N40</f>
        <v>1535.2079999999999</v>
      </c>
      <c r="AN40" s="313">
        <f t="shared" ref="AN40:AN53" si="26">AM40*R40</f>
        <v>61.408319999999996</v>
      </c>
    </row>
    <row r="41" spans="2:40" ht="15.75" x14ac:dyDescent="0.25">
      <c r="B41" s="295">
        <v>2164</v>
      </c>
      <c r="C41" s="314" t="str">
        <f>PROPER("BEATRIZ ANTUENS AFFELDET")</f>
        <v>Beatriz Antuens Affeldet</v>
      </c>
      <c r="D41" s="304" t="s">
        <v>2643</v>
      </c>
      <c r="E41" s="304" t="s">
        <v>2739</v>
      </c>
      <c r="F41" s="304" t="s">
        <v>2787</v>
      </c>
      <c r="G41" s="304" t="s">
        <v>2800</v>
      </c>
      <c r="H41" s="305">
        <v>20</v>
      </c>
      <c r="I41" s="295">
        <v>44</v>
      </c>
      <c r="J41" s="295" t="s">
        <v>2636</v>
      </c>
      <c r="K41" s="295">
        <v>0</v>
      </c>
      <c r="L41" s="306">
        <v>42877</v>
      </c>
      <c r="M41" s="295">
        <v>1.95</v>
      </c>
      <c r="N41" s="307">
        <f>M41*AN10</f>
        <v>1247.3564999999999</v>
      </c>
      <c r="O41" s="308">
        <v>0</v>
      </c>
      <c r="P41" s="308">
        <v>0</v>
      </c>
      <c r="Q41" s="308">
        <v>0</v>
      </c>
      <c r="R41" s="309">
        <v>0.03</v>
      </c>
      <c r="S41" s="310">
        <f t="shared" si="17"/>
        <v>37.420694999999995</v>
      </c>
      <c r="T41" s="311">
        <v>0</v>
      </c>
      <c r="U41" s="311">
        <v>0</v>
      </c>
      <c r="V41" s="312">
        <v>0</v>
      </c>
      <c r="W41" s="311">
        <f t="shared" si="18"/>
        <v>0</v>
      </c>
      <c r="X41" s="1175">
        <f>127.94/N41</f>
        <v>0.10256891273665548</v>
      </c>
      <c r="Y41" s="1176">
        <f t="shared" si="19"/>
        <v>127.94</v>
      </c>
      <c r="Z41" s="701">
        <f t="shared" si="20"/>
        <v>0</v>
      </c>
      <c r="AA41" s="700">
        <f t="shared" si="21"/>
        <v>0</v>
      </c>
      <c r="AB41" s="1176">
        <f>N41*(0)</f>
        <v>0</v>
      </c>
      <c r="AC41" s="311">
        <f>AN10*(0%)</f>
        <v>0</v>
      </c>
      <c r="AD41" s="311">
        <f t="shared" si="22"/>
        <v>0</v>
      </c>
      <c r="AE41" s="311">
        <v>0</v>
      </c>
      <c r="AF41" s="311">
        <v>0</v>
      </c>
      <c r="AG41" s="311">
        <v>0</v>
      </c>
      <c r="AH41" s="298">
        <v>0</v>
      </c>
      <c r="AI41" s="298">
        <v>0</v>
      </c>
      <c r="AJ41" s="311">
        <v>0</v>
      </c>
      <c r="AK41" s="313">
        <f t="shared" si="23"/>
        <v>415.78549999999996</v>
      </c>
      <c r="AL41" s="313">
        <f t="shared" si="24"/>
        <v>12.473564999999999</v>
      </c>
      <c r="AM41" s="313">
        <f t="shared" si="25"/>
        <v>1247.3564999999999</v>
      </c>
      <c r="AN41" s="313">
        <f t="shared" si="26"/>
        <v>37.420694999999995</v>
      </c>
    </row>
    <row r="42" spans="2:40" s="299" customFormat="1" ht="15.75" x14ac:dyDescent="0.25">
      <c r="B42" s="295">
        <v>500</v>
      </c>
      <c r="C42" s="304" t="str">
        <f>PROPER("CLENI MARIA DA SILVA KORALEWSKI")</f>
        <v>Cleni Maria Da Silva Koralewski</v>
      </c>
      <c r="D42" s="304" t="s">
        <v>2687</v>
      </c>
      <c r="E42" s="304" t="s">
        <v>2739</v>
      </c>
      <c r="F42" s="304" t="s">
        <v>2787</v>
      </c>
      <c r="G42" s="304" t="s">
        <v>2800</v>
      </c>
      <c r="H42" s="305">
        <v>20</v>
      </c>
      <c r="I42" s="295">
        <v>40</v>
      </c>
      <c r="J42" s="295" t="s">
        <v>2648</v>
      </c>
      <c r="K42" s="295">
        <v>0</v>
      </c>
      <c r="L42" s="306">
        <v>37361</v>
      </c>
      <c r="M42" s="295">
        <v>2.64</v>
      </c>
      <c r="N42" s="307">
        <f>M42*AN10</f>
        <v>1688.7287999999999</v>
      </c>
      <c r="O42" s="308">
        <v>0</v>
      </c>
      <c r="P42" s="308">
        <v>0</v>
      </c>
      <c r="Q42" s="308">
        <v>0</v>
      </c>
      <c r="R42" s="309">
        <v>0.17</v>
      </c>
      <c r="S42" s="310">
        <f t="shared" si="17"/>
        <v>287.08389599999998</v>
      </c>
      <c r="T42" s="311">
        <v>0</v>
      </c>
      <c r="U42" s="311">
        <v>0</v>
      </c>
      <c r="V42" s="312">
        <v>0</v>
      </c>
      <c r="W42" s="311">
        <f t="shared" si="18"/>
        <v>0</v>
      </c>
      <c r="X42" s="1175">
        <f>76.76/N42</f>
        <v>4.5454308589987932E-2</v>
      </c>
      <c r="Y42" s="1176">
        <f t="shared" si="19"/>
        <v>76.760000000000005</v>
      </c>
      <c r="Z42" s="701">
        <f t="shared" si="20"/>
        <v>0</v>
      </c>
      <c r="AA42" s="700">
        <f t="shared" si="21"/>
        <v>0</v>
      </c>
      <c r="AB42" s="1176">
        <f>N42*(0)</f>
        <v>0</v>
      </c>
      <c r="AC42" s="311">
        <f>AN10*(0%)</f>
        <v>0</v>
      </c>
      <c r="AD42" s="311">
        <f t="shared" si="22"/>
        <v>0</v>
      </c>
      <c r="AE42" s="311">
        <v>0</v>
      </c>
      <c r="AF42" s="311">
        <v>0</v>
      </c>
      <c r="AG42" s="311">
        <v>0</v>
      </c>
      <c r="AH42" s="298">
        <v>0</v>
      </c>
      <c r="AI42" s="298">
        <v>0</v>
      </c>
      <c r="AJ42" s="311">
        <v>0</v>
      </c>
      <c r="AK42" s="313">
        <f t="shared" si="23"/>
        <v>562.90959999999995</v>
      </c>
      <c r="AL42" s="313">
        <f t="shared" si="24"/>
        <v>95.694631999999999</v>
      </c>
      <c r="AM42" s="313">
        <f t="shared" si="25"/>
        <v>1688.7287999999999</v>
      </c>
      <c r="AN42" s="313">
        <f t="shared" si="26"/>
        <v>287.08389599999998</v>
      </c>
    </row>
    <row r="43" spans="2:40" s="299" customFormat="1" ht="15.75" x14ac:dyDescent="0.25">
      <c r="B43" s="295">
        <v>1899</v>
      </c>
      <c r="C43" s="314" t="str">
        <f>PROPER("CRISTIANE DA SILVA SILVA")</f>
        <v>Cristiane Da Silva Silva</v>
      </c>
      <c r="D43" s="304" t="s">
        <v>2643</v>
      </c>
      <c r="E43" s="304" t="s">
        <v>2739</v>
      </c>
      <c r="F43" s="304" t="s">
        <v>2787</v>
      </c>
      <c r="G43" s="304" t="s">
        <v>2800</v>
      </c>
      <c r="H43" s="305">
        <v>20</v>
      </c>
      <c r="I43" s="295">
        <v>44</v>
      </c>
      <c r="J43" s="295" t="s">
        <v>2636</v>
      </c>
      <c r="K43" s="295">
        <v>0</v>
      </c>
      <c r="L43" s="306">
        <v>42058</v>
      </c>
      <c r="M43" s="295">
        <v>1.95</v>
      </c>
      <c r="N43" s="307">
        <f>M43*AN10</f>
        <v>1247.3564999999999</v>
      </c>
      <c r="O43" s="308">
        <v>0</v>
      </c>
      <c r="P43" s="308">
        <v>0</v>
      </c>
      <c r="Q43" s="308">
        <v>0</v>
      </c>
      <c r="R43" s="309">
        <v>0.05</v>
      </c>
      <c r="S43" s="310">
        <f t="shared" si="17"/>
        <v>62.367824999999996</v>
      </c>
      <c r="T43" s="311">
        <v>0</v>
      </c>
      <c r="U43" s="311">
        <v>0</v>
      </c>
      <c r="V43" s="312">
        <v>0</v>
      </c>
      <c r="W43" s="311">
        <f t="shared" si="18"/>
        <v>0</v>
      </c>
      <c r="X43" s="1175">
        <f>127.94/N43</f>
        <v>0.10256891273665548</v>
      </c>
      <c r="Y43" s="1176">
        <f t="shared" si="19"/>
        <v>127.94</v>
      </c>
      <c r="Z43" s="701">
        <f t="shared" si="20"/>
        <v>0</v>
      </c>
      <c r="AA43" s="700">
        <f t="shared" si="21"/>
        <v>0</v>
      </c>
      <c r="AB43" s="1176">
        <f>N43*(0)</f>
        <v>0</v>
      </c>
      <c r="AC43" s="311">
        <f>AN10*(0%)</f>
        <v>0</v>
      </c>
      <c r="AD43" s="311">
        <f t="shared" si="22"/>
        <v>0</v>
      </c>
      <c r="AE43" s="311">
        <v>0</v>
      </c>
      <c r="AF43" s="311">
        <v>0</v>
      </c>
      <c r="AG43" s="311">
        <v>0</v>
      </c>
      <c r="AH43" s="298">
        <v>0</v>
      </c>
      <c r="AI43" s="298">
        <v>0</v>
      </c>
      <c r="AJ43" s="311">
        <v>0</v>
      </c>
      <c r="AK43" s="313">
        <f t="shared" si="23"/>
        <v>415.78549999999996</v>
      </c>
      <c r="AL43" s="313">
        <f t="shared" si="24"/>
        <v>20.789275</v>
      </c>
      <c r="AM43" s="313">
        <f t="shared" si="25"/>
        <v>1247.3564999999999</v>
      </c>
      <c r="AN43" s="313">
        <f t="shared" si="26"/>
        <v>62.367824999999996</v>
      </c>
    </row>
    <row r="44" spans="2:40" ht="15.75" x14ac:dyDescent="0.25">
      <c r="B44" s="295">
        <v>1387</v>
      </c>
      <c r="C44" s="314" t="str">
        <f>PROPER("DALIRIA LUZIA MARCINIAKI")</f>
        <v>Daliria Luzia Marciniaki</v>
      </c>
      <c r="D44" s="304" t="s">
        <v>2643</v>
      </c>
      <c r="E44" s="304" t="s">
        <v>2739</v>
      </c>
      <c r="F44" s="304" t="s">
        <v>2787</v>
      </c>
      <c r="G44" s="304" t="s">
        <v>2800</v>
      </c>
      <c r="H44" s="305">
        <v>20</v>
      </c>
      <c r="I44" s="295">
        <v>44</v>
      </c>
      <c r="J44" s="295" t="s">
        <v>2634</v>
      </c>
      <c r="K44" s="295">
        <v>0</v>
      </c>
      <c r="L44" s="306">
        <v>40318</v>
      </c>
      <c r="M44" s="295">
        <v>2.0299999999999998</v>
      </c>
      <c r="N44" s="307">
        <f>M44*AN10</f>
        <v>1298.5300999999997</v>
      </c>
      <c r="O44" s="308">
        <v>0</v>
      </c>
      <c r="P44" s="308">
        <v>0</v>
      </c>
      <c r="Q44" s="308">
        <v>0</v>
      </c>
      <c r="R44" s="309">
        <v>0.1</v>
      </c>
      <c r="S44" s="310">
        <f t="shared" si="17"/>
        <v>129.85300999999998</v>
      </c>
      <c r="T44" s="311">
        <v>0</v>
      </c>
      <c r="U44" s="311">
        <v>0</v>
      </c>
      <c r="V44" s="312">
        <v>0</v>
      </c>
      <c r="W44" s="311">
        <f t="shared" si="18"/>
        <v>0</v>
      </c>
      <c r="X44" s="1175">
        <f>127.94/N44</f>
        <v>9.8526788096787304E-2</v>
      </c>
      <c r="Y44" s="1176">
        <f t="shared" si="19"/>
        <v>127.94</v>
      </c>
      <c r="Z44" s="701">
        <f t="shared" si="20"/>
        <v>0</v>
      </c>
      <c r="AA44" s="700">
        <f t="shared" si="21"/>
        <v>0</v>
      </c>
      <c r="AB44" s="1176">
        <f>N44*(0)</f>
        <v>0</v>
      </c>
      <c r="AC44" s="311">
        <f>AN10*(0%)</f>
        <v>0</v>
      </c>
      <c r="AD44" s="311">
        <f t="shared" si="22"/>
        <v>0</v>
      </c>
      <c r="AE44" s="311">
        <v>0</v>
      </c>
      <c r="AF44" s="311">
        <v>0</v>
      </c>
      <c r="AG44" s="311">
        <v>0</v>
      </c>
      <c r="AH44" s="298">
        <v>0</v>
      </c>
      <c r="AI44" s="298">
        <v>0</v>
      </c>
      <c r="AJ44" s="311">
        <v>0</v>
      </c>
      <c r="AK44" s="313">
        <f t="shared" si="23"/>
        <v>432.84336666666655</v>
      </c>
      <c r="AL44" s="313">
        <f t="shared" si="24"/>
        <v>43.284336666666661</v>
      </c>
      <c r="AM44" s="313">
        <f t="shared" si="25"/>
        <v>1298.5300999999997</v>
      </c>
      <c r="AN44" s="313">
        <f t="shared" si="26"/>
        <v>129.85300999999998</v>
      </c>
    </row>
    <row r="45" spans="2:40" s="299" customFormat="1" ht="15.75" x14ac:dyDescent="0.25">
      <c r="B45" s="295">
        <v>1229</v>
      </c>
      <c r="C45" s="304" t="s">
        <v>2663</v>
      </c>
      <c r="D45" s="304" t="s">
        <v>2661</v>
      </c>
      <c r="E45" s="304" t="s">
        <v>2739</v>
      </c>
      <c r="F45" s="304" t="s">
        <v>2787</v>
      </c>
      <c r="G45" s="304" t="s">
        <v>2800</v>
      </c>
      <c r="H45" s="305">
        <v>20</v>
      </c>
      <c r="I45" s="295">
        <v>44</v>
      </c>
      <c r="J45" s="295" t="s">
        <v>2648</v>
      </c>
      <c r="K45" s="295">
        <v>0</v>
      </c>
      <c r="L45" s="306">
        <v>39701</v>
      </c>
      <c r="M45" s="295">
        <v>2.14</v>
      </c>
      <c r="N45" s="307">
        <f>M45*AN10</f>
        <v>1368.8938000000001</v>
      </c>
      <c r="O45" s="308">
        <v>0</v>
      </c>
      <c r="P45" s="308">
        <v>0</v>
      </c>
      <c r="Q45" s="308">
        <v>0</v>
      </c>
      <c r="R45" s="309">
        <v>0.12</v>
      </c>
      <c r="S45" s="310">
        <f t="shared" si="17"/>
        <v>164.267256</v>
      </c>
      <c r="T45" s="311">
        <v>0</v>
      </c>
      <c r="U45" s="311">
        <v>0</v>
      </c>
      <c r="V45" s="312">
        <v>0</v>
      </c>
      <c r="W45" s="311">
        <f t="shared" si="18"/>
        <v>0</v>
      </c>
      <c r="X45" s="1175">
        <f>127.94/N45</f>
        <v>9.3462327026391664E-2</v>
      </c>
      <c r="Y45" s="1176">
        <f t="shared" si="19"/>
        <v>127.94</v>
      </c>
      <c r="Z45" s="701">
        <f t="shared" si="20"/>
        <v>0</v>
      </c>
      <c r="AA45" s="700">
        <f t="shared" si="21"/>
        <v>0</v>
      </c>
      <c r="AB45" s="1176">
        <f>N45*(139.38/N45)</f>
        <v>139.38</v>
      </c>
      <c r="AC45" s="311">
        <f>AN10*(0%)</f>
        <v>0</v>
      </c>
      <c r="AD45" s="311">
        <f t="shared" si="22"/>
        <v>0</v>
      </c>
      <c r="AE45" s="311">
        <v>0</v>
      </c>
      <c r="AF45" s="311">
        <v>0</v>
      </c>
      <c r="AG45" s="311">
        <v>0</v>
      </c>
      <c r="AH45" s="298">
        <v>0</v>
      </c>
      <c r="AI45" s="298">
        <v>0</v>
      </c>
      <c r="AJ45" s="311">
        <v>0</v>
      </c>
      <c r="AK45" s="313">
        <f t="shared" si="23"/>
        <v>456.29793333333333</v>
      </c>
      <c r="AL45" s="313">
        <f t="shared" si="24"/>
        <v>54.755752000000001</v>
      </c>
      <c r="AM45" s="313">
        <f t="shared" si="25"/>
        <v>1368.8938000000001</v>
      </c>
      <c r="AN45" s="313">
        <f t="shared" si="26"/>
        <v>164.267256</v>
      </c>
    </row>
    <row r="46" spans="2:40" ht="15.75" x14ac:dyDescent="0.25">
      <c r="B46" s="295">
        <v>1387</v>
      </c>
      <c r="C46" s="314" t="str">
        <f>PROPER("FRANCIELI BRZOSKOWSKI")</f>
        <v>Francieli Brzoskowski</v>
      </c>
      <c r="D46" s="304" t="s">
        <v>2643</v>
      </c>
      <c r="E46" s="304" t="s">
        <v>2739</v>
      </c>
      <c r="F46" s="304" t="s">
        <v>2787</v>
      </c>
      <c r="G46" s="304" t="s">
        <v>2800</v>
      </c>
      <c r="H46" s="305">
        <v>20</v>
      </c>
      <c r="I46" s="295">
        <v>44</v>
      </c>
      <c r="J46" s="295" t="s">
        <v>2636</v>
      </c>
      <c r="K46" s="295">
        <v>0</v>
      </c>
      <c r="L46" s="306">
        <v>42479</v>
      </c>
      <c r="M46" s="295">
        <v>1.95</v>
      </c>
      <c r="N46" s="307">
        <f>M46*AN10</f>
        <v>1247.3564999999999</v>
      </c>
      <c r="O46" s="308">
        <v>0</v>
      </c>
      <c r="P46" s="308">
        <v>0</v>
      </c>
      <c r="Q46" s="308">
        <v>0</v>
      </c>
      <c r="R46" s="309">
        <v>0.04</v>
      </c>
      <c r="S46" s="310">
        <f t="shared" si="17"/>
        <v>49.894259999999996</v>
      </c>
      <c r="T46" s="311">
        <v>0</v>
      </c>
      <c r="U46" s="311">
        <v>0</v>
      </c>
      <c r="V46" s="312">
        <v>0</v>
      </c>
      <c r="W46" s="311">
        <f t="shared" si="18"/>
        <v>0</v>
      </c>
      <c r="X46" s="1175">
        <f>127.94/N46</f>
        <v>0.10256891273665548</v>
      </c>
      <c r="Y46" s="1176">
        <f t="shared" si="19"/>
        <v>127.94</v>
      </c>
      <c r="Z46" s="701">
        <f t="shared" si="20"/>
        <v>0</v>
      </c>
      <c r="AA46" s="700">
        <f t="shared" si="21"/>
        <v>0</v>
      </c>
      <c r="AB46" s="1176">
        <f>N46*(0)</f>
        <v>0</v>
      </c>
      <c r="AC46" s="311">
        <f>AN10*(0%)</f>
        <v>0</v>
      </c>
      <c r="AD46" s="311">
        <f t="shared" si="22"/>
        <v>0</v>
      </c>
      <c r="AE46" s="311">
        <v>0</v>
      </c>
      <c r="AF46" s="311">
        <v>0</v>
      </c>
      <c r="AG46" s="311">
        <v>0</v>
      </c>
      <c r="AH46" s="298">
        <v>0</v>
      </c>
      <c r="AI46" s="298">
        <v>0</v>
      </c>
      <c r="AJ46" s="311">
        <v>0</v>
      </c>
      <c r="AK46" s="313">
        <f t="shared" si="23"/>
        <v>415.78549999999996</v>
      </c>
      <c r="AL46" s="313">
        <f t="shared" si="24"/>
        <v>16.631419999999999</v>
      </c>
      <c r="AM46" s="313">
        <f t="shared" si="25"/>
        <v>1247.3564999999999</v>
      </c>
      <c r="AN46" s="313">
        <f t="shared" si="26"/>
        <v>49.894259999999996</v>
      </c>
    </row>
    <row r="47" spans="2:40" ht="15.75" x14ac:dyDescent="0.25">
      <c r="B47" s="295">
        <v>749</v>
      </c>
      <c r="C47" s="314" t="str">
        <f>PROPER("LORENA HOLZ DA ROCHA")</f>
        <v>Lorena Holz Da Rocha</v>
      </c>
      <c r="D47" s="304" t="s">
        <v>2643</v>
      </c>
      <c r="E47" s="304" t="s">
        <v>2739</v>
      </c>
      <c r="F47" s="304" t="s">
        <v>2787</v>
      </c>
      <c r="G47" s="304" t="s">
        <v>2800</v>
      </c>
      <c r="H47" s="305">
        <v>20</v>
      </c>
      <c r="I47" s="295">
        <v>44</v>
      </c>
      <c r="J47" s="295" t="s">
        <v>2648</v>
      </c>
      <c r="K47" s="295">
        <v>0</v>
      </c>
      <c r="L47" s="306">
        <v>38125</v>
      </c>
      <c r="M47" s="295">
        <v>2.2000000000000002</v>
      </c>
      <c r="N47" s="307">
        <f>M47*AN10</f>
        <v>1407.2740000000001</v>
      </c>
      <c r="O47" s="308">
        <v>0</v>
      </c>
      <c r="P47" s="308">
        <v>0</v>
      </c>
      <c r="Q47" s="308">
        <v>0</v>
      </c>
      <c r="R47" s="309">
        <v>0.16</v>
      </c>
      <c r="S47" s="310">
        <f t="shared" si="17"/>
        <v>225.16384000000002</v>
      </c>
      <c r="T47" s="311">
        <v>0</v>
      </c>
      <c r="U47" s="311">
        <v>0</v>
      </c>
      <c r="V47" s="312">
        <v>0</v>
      </c>
      <c r="W47" s="311">
        <f t="shared" si="18"/>
        <v>0</v>
      </c>
      <c r="X47" s="1175">
        <f>127.94/N47</f>
        <v>9.0913354471126445E-2</v>
      </c>
      <c r="Y47" s="1176">
        <f t="shared" si="19"/>
        <v>127.94000000000001</v>
      </c>
      <c r="Z47" s="701">
        <f t="shared" si="20"/>
        <v>0</v>
      </c>
      <c r="AA47" s="700">
        <f t="shared" si="21"/>
        <v>0</v>
      </c>
      <c r="AB47" s="1176">
        <f t="shared" ref="AB47:AB53" si="27">N47*(0)</f>
        <v>0</v>
      </c>
      <c r="AC47" s="311">
        <f>AN10*(0%)</f>
        <v>0</v>
      </c>
      <c r="AD47" s="311">
        <f t="shared" si="22"/>
        <v>0</v>
      </c>
      <c r="AE47" s="311">
        <v>0</v>
      </c>
      <c r="AF47" s="311">
        <v>0</v>
      </c>
      <c r="AG47" s="311">
        <v>0</v>
      </c>
      <c r="AH47" s="298">
        <v>0</v>
      </c>
      <c r="AI47" s="298">
        <v>0</v>
      </c>
      <c r="AJ47" s="311">
        <v>0</v>
      </c>
      <c r="AK47" s="313">
        <f t="shared" si="23"/>
        <v>469.09133333333335</v>
      </c>
      <c r="AL47" s="313">
        <f t="shared" si="24"/>
        <v>75.054613333333336</v>
      </c>
      <c r="AM47" s="313">
        <f t="shared" si="25"/>
        <v>1407.2740000000001</v>
      </c>
      <c r="AN47" s="313">
        <f t="shared" si="26"/>
        <v>225.16384000000002</v>
      </c>
    </row>
    <row r="48" spans="2:40" ht="15.75" x14ac:dyDescent="0.25">
      <c r="B48" s="295">
        <v>2228</v>
      </c>
      <c r="C48" s="304" t="s">
        <v>2697</v>
      </c>
      <c r="D48" s="304" t="s">
        <v>2694</v>
      </c>
      <c r="E48" s="304" t="s">
        <v>2739</v>
      </c>
      <c r="F48" s="304" t="s">
        <v>2787</v>
      </c>
      <c r="G48" s="304" t="s">
        <v>2800</v>
      </c>
      <c r="H48" s="305">
        <v>20</v>
      </c>
      <c r="I48" s="295">
        <v>44</v>
      </c>
      <c r="J48" s="295" t="s">
        <v>2636</v>
      </c>
      <c r="K48" s="295">
        <v>0</v>
      </c>
      <c r="L48" s="306">
        <v>43179</v>
      </c>
      <c r="M48" s="295">
        <v>2</v>
      </c>
      <c r="N48" s="307">
        <f>M48*AN10</f>
        <v>1279.3399999999999</v>
      </c>
      <c r="O48" s="308">
        <v>0</v>
      </c>
      <c r="P48" s="308">
        <v>0</v>
      </c>
      <c r="Q48" s="308">
        <v>0</v>
      </c>
      <c r="R48" s="309">
        <v>0.02</v>
      </c>
      <c r="S48" s="310">
        <f t="shared" si="17"/>
        <v>25.5868</v>
      </c>
      <c r="T48" s="311">
        <v>0</v>
      </c>
      <c r="U48" s="311">
        <v>0</v>
      </c>
      <c r="V48" s="312">
        <v>0</v>
      </c>
      <c r="W48" s="311">
        <f t="shared" si="18"/>
        <v>0</v>
      </c>
      <c r="X48" s="1175">
        <f>76.76/N48</f>
        <v>5.9999687338784066E-2</v>
      </c>
      <c r="Y48" s="1176">
        <f t="shared" si="19"/>
        <v>76.760000000000005</v>
      </c>
      <c r="Z48" s="701">
        <f t="shared" si="20"/>
        <v>0</v>
      </c>
      <c r="AA48" s="700">
        <f t="shared" si="21"/>
        <v>0</v>
      </c>
      <c r="AB48" s="1176">
        <f t="shared" si="27"/>
        <v>0</v>
      </c>
      <c r="AC48" s="311">
        <f>AN10*(0%)</f>
        <v>0</v>
      </c>
      <c r="AD48" s="311">
        <f t="shared" si="22"/>
        <v>0</v>
      </c>
      <c r="AE48" s="311">
        <v>0</v>
      </c>
      <c r="AF48" s="311">
        <v>0</v>
      </c>
      <c r="AG48" s="311">
        <v>0</v>
      </c>
      <c r="AH48" s="298">
        <v>0</v>
      </c>
      <c r="AI48" s="298">
        <v>0</v>
      </c>
      <c r="AJ48" s="311">
        <v>0</v>
      </c>
      <c r="AK48" s="313">
        <f t="shared" si="23"/>
        <v>426.44666666666666</v>
      </c>
      <c r="AL48" s="313">
        <f t="shared" si="24"/>
        <v>8.5289333333333328</v>
      </c>
      <c r="AM48" s="313">
        <f t="shared" si="25"/>
        <v>1279.3399999999999</v>
      </c>
      <c r="AN48" s="313">
        <f t="shared" si="26"/>
        <v>25.5868</v>
      </c>
    </row>
    <row r="49" spans="2:42" ht="15.75" x14ac:dyDescent="0.25">
      <c r="B49" s="295">
        <v>2217</v>
      </c>
      <c r="C49" s="304" t="s">
        <v>2801</v>
      </c>
      <c r="D49" s="304" t="s">
        <v>2694</v>
      </c>
      <c r="E49" s="304" t="s">
        <v>2739</v>
      </c>
      <c r="F49" s="304" t="s">
        <v>2787</v>
      </c>
      <c r="G49" s="304" t="s">
        <v>2800</v>
      </c>
      <c r="H49" s="305">
        <v>20</v>
      </c>
      <c r="I49" s="295">
        <v>44</v>
      </c>
      <c r="J49" s="295" t="s">
        <v>2636</v>
      </c>
      <c r="K49" s="295">
        <v>0</v>
      </c>
      <c r="L49" s="306">
        <v>43146</v>
      </c>
      <c r="M49" s="295">
        <v>2</v>
      </c>
      <c r="N49" s="307">
        <f>M49*AN10</f>
        <v>1279.3399999999999</v>
      </c>
      <c r="O49" s="308">
        <v>0</v>
      </c>
      <c r="P49" s="308">
        <v>0</v>
      </c>
      <c r="Q49" s="308">
        <v>0</v>
      </c>
      <c r="R49" s="309">
        <v>0.02</v>
      </c>
      <c r="S49" s="310">
        <f t="shared" si="17"/>
        <v>25.5868</v>
      </c>
      <c r="T49" s="311">
        <v>0</v>
      </c>
      <c r="U49" s="311">
        <v>0</v>
      </c>
      <c r="V49" s="312">
        <v>0</v>
      </c>
      <c r="W49" s="311">
        <f t="shared" si="18"/>
        <v>0</v>
      </c>
      <c r="X49" s="1175">
        <f>76.76/N49</f>
        <v>5.9999687338784066E-2</v>
      </c>
      <c r="Y49" s="1176">
        <f t="shared" si="19"/>
        <v>76.760000000000005</v>
      </c>
      <c r="Z49" s="701">
        <f t="shared" si="20"/>
        <v>0</v>
      </c>
      <c r="AA49" s="700">
        <f t="shared" si="21"/>
        <v>0</v>
      </c>
      <c r="AB49" s="1176">
        <f t="shared" si="27"/>
        <v>0</v>
      </c>
      <c r="AC49" s="311">
        <f>AN10*(0%)</f>
        <v>0</v>
      </c>
      <c r="AD49" s="311">
        <f t="shared" si="22"/>
        <v>0</v>
      </c>
      <c r="AE49" s="311">
        <v>0</v>
      </c>
      <c r="AF49" s="311">
        <v>0</v>
      </c>
      <c r="AG49" s="311">
        <v>0</v>
      </c>
      <c r="AH49" s="298">
        <v>0</v>
      </c>
      <c r="AI49" s="298">
        <v>0</v>
      </c>
      <c r="AJ49" s="311">
        <v>0</v>
      </c>
      <c r="AK49" s="313">
        <f t="shared" si="23"/>
        <v>426.44666666666666</v>
      </c>
      <c r="AL49" s="313">
        <f t="shared" si="24"/>
        <v>8.5289333333333328</v>
      </c>
      <c r="AM49" s="313">
        <f t="shared" si="25"/>
        <v>1279.3399999999999</v>
      </c>
      <c r="AN49" s="313">
        <f t="shared" si="26"/>
        <v>25.5868</v>
      </c>
    </row>
    <row r="50" spans="2:42" ht="15.75" x14ac:dyDescent="0.25">
      <c r="B50" s="295">
        <v>1631</v>
      </c>
      <c r="C50" s="304" t="s">
        <v>2691</v>
      </c>
      <c r="D50" s="304" t="s">
        <v>2689</v>
      </c>
      <c r="E50" s="304" t="s">
        <v>2739</v>
      </c>
      <c r="F50" s="304" t="s">
        <v>2787</v>
      </c>
      <c r="G50" s="304" t="s">
        <v>2800</v>
      </c>
      <c r="H50" s="305">
        <v>20</v>
      </c>
      <c r="I50" s="295">
        <v>40</v>
      </c>
      <c r="J50" s="295" t="s">
        <v>2634</v>
      </c>
      <c r="K50" s="295">
        <v>1</v>
      </c>
      <c r="L50" s="306">
        <v>41061</v>
      </c>
      <c r="M50" s="316">
        <f>1724.79/639.67</f>
        <v>2.6963746932011818</v>
      </c>
      <c r="N50" s="307">
        <f>M50*AN10</f>
        <v>1724.79</v>
      </c>
      <c r="O50" s="308">
        <v>0</v>
      </c>
      <c r="P50" s="308">
        <v>0</v>
      </c>
      <c r="Q50" s="308">
        <v>0</v>
      </c>
      <c r="R50" s="309">
        <v>0.08</v>
      </c>
      <c r="S50" s="310">
        <f t="shared" si="17"/>
        <v>137.98320000000001</v>
      </c>
      <c r="T50" s="311">
        <v>0</v>
      </c>
      <c r="U50" s="311">
        <v>0</v>
      </c>
      <c r="V50" s="312">
        <v>0</v>
      </c>
      <c r="W50" s="311">
        <f t="shared" si="18"/>
        <v>0</v>
      </c>
      <c r="X50" s="1175">
        <f>76.76/N50</f>
        <v>4.4503968599075835E-2</v>
      </c>
      <c r="Y50" s="1176">
        <f t="shared" si="19"/>
        <v>76.760000000000005</v>
      </c>
      <c r="Z50" s="701">
        <f t="shared" si="20"/>
        <v>0</v>
      </c>
      <c r="AA50" s="700">
        <f t="shared" si="21"/>
        <v>0</v>
      </c>
      <c r="AB50" s="1176">
        <f t="shared" si="27"/>
        <v>0</v>
      </c>
      <c r="AC50" s="311">
        <f>AN10*(0%)</f>
        <v>0</v>
      </c>
      <c r="AD50" s="311">
        <f t="shared" si="22"/>
        <v>0</v>
      </c>
      <c r="AE50" s="311">
        <v>0</v>
      </c>
      <c r="AF50" s="311">
        <v>0</v>
      </c>
      <c r="AG50" s="311">
        <v>0</v>
      </c>
      <c r="AH50" s="298">
        <v>0</v>
      </c>
      <c r="AI50" s="298">
        <v>0</v>
      </c>
      <c r="AJ50" s="311">
        <v>0</v>
      </c>
      <c r="AK50" s="313">
        <f t="shared" si="23"/>
        <v>574.92999999999995</v>
      </c>
      <c r="AL50" s="313">
        <f t="shared" si="24"/>
        <v>45.994399999999999</v>
      </c>
      <c r="AM50" s="313">
        <f t="shared" si="25"/>
        <v>1724.79</v>
      </c>
      <c r="AN50" s="313">
        <f t="shared" si="26"/>
        <v>137.98320000000001</v>
      </c>
    </row>
    <row r="51" spans="2:42" ht="15.75" x14ac:dyDescent="0.25">
      <c r="B51" s="295">
        <v>1953</v>
      </c>
      <c r="C51" s="304" t="str">
        <f>PROPER("SILVANI RIBEIRO DA SILVA")</f>
        <v>Silvani Ribeiro Da Silva</v>
      </c>
      <c r="D51" s="304" t="s">
        <v>2687</v>
      </c>
      <c r="E51" s="304" t="s">
        <v>2739</v>
      </c>
      <c r="F51" s="304" t="s">
        <v>2787</v>
      </c>
      <c r="G51" s="304" t="s">
        <v>2800</v>
      </c>
      <c r="H51" s="305">
        <v>20</v>
      </c>
      <c r="I51" s="295">
        <v>40</v>
      </c>
      <c r="J51" s="295" t="s">
        <v>2636</v>
      </c>
      <c r="K51" s="295">
        <v>1</v>
      </c>
      <c r="L51" s="306">
        <v>42145</v>
      </c>
      <c r="M51" s="295">
        <v>2.4</v>
      </c>
      <c r="N51" s="307">
        <f>M51*AN10</f>
        <v>1535.2079999999999</v>
      </c>
      <c r="O51" s="308">
        <v>0</v>
      </c>
      <c r="P51" s="308">
        <v>0</v>
      </c>
      <c r="Q51" s="308">
        <v>0</v>
      </c>
      <c r="R51" s="309">
        <v>0.05</v>
      </c>
      <c r="S51" s="310">
        <f t="shared" si="17"/>
        <v>76.760400000000004</v>
      </c>
      <c r="T51" s="311">
        <v>0</v>
      </c>
      <c r="U51" s="311">
        <v>0</v>
      </c>
      <c r="V51" s="312">
        <v>0</v>
      </c>
      <c r="W51" s="311">
        <f t="shared" si="18"/>
        <v>0</v>
      </c>
      <c r="X51" s="1175">
        <f>76.76/N51</f>
        <v>4.9999739448986724E-2</v>
      </c>
      <c r="Y51" s="1176">
        <f t="shared" si="19"/>
        <v>76.760000000000005</v>
      </c>
      <c r="Z51" s="701">
        <f t="shared" si="20"/>
        <v>0</v>
      </c>
      <c r="AA51" s="700">
        <f t="shared" si="21"/>
        <v>0</v>
      </c>
      <c r="AB51" s="1176">
        <f t="shared" si="27"/>
        <v>0</v>
      </c>
      <c r="AC51" s="311">
        <f>AN10*(0%)</f>
        <v>0</v>
      </c>
      <c r="AD51" s="311">
        <f t="shared" si="22"/>
        <v>0</v>
      </c>
      <c r="AE51" s="311">
        <v>0</v>
      </c>
      <c r="AF51" s="311">
        <v>0</v>
      </c>
      <c r="AG51" s="311">
        <v>0</v>
      </c>
      <c r="AH51" s="298">
        <v>0</v>
      </c>
      <c r="AI51" s="298">
        <v>0</v>
      </c>
      <c r="AJ51" s="311">
        <v>0</v>
      </c>
      <c r="AK51" s="313">
        <f t="shared" si="23"/>
        <v>511.73599999999993</v>
      </c>
      <c r="AL51" s="313">
        <f t="shared" si="24"/>
        <v>25.586799999999997</v>
      </c>
      <c r="AM51" s="313">
        <f t="shared" si="25"/>
        <v>1535.2079999999999</v>
      </c>
      <c r="AN51" s="313">
        <f t="shared" si="26"/>
        <v>76.760400000000004</v>
      </c>
    </row>
    <row r="52" spans="2:42" s="299" customFormat="1" ht="15.75" x14ac:dyDescent="0.25">
      <c r="B52" s="295">
        <v>0</v>
      </c>
      <c r="C52" s="304" t="s">
        <v>2802</v>
      </c>
      <c r="D52" s="304" t="s">
        <v>2687</v>
      </c>
      <c r="E52" s="304" t="s">
        <v>2739</v>
      </c>
      <c r="F52" s="304" t="s">
        <v>2787</v>
      </c>
      <c r="G52" s="304" t="s">
        <v>2800</v>
      </c>
      <c r="H52" s="305">
        <v>20</v>
      </c>
      <c r="I52" s="295">
        <v>40</v>
      </c>
      <c r="J52" s="295" t="s">
        <v>2636</v>
      </c>
      <c r="K52" s="295">
        <v>1</v>
      </c>
      <c r="L52" s="306">
        <v>42145</v>
      </c>
      <c r="M52" s="295">
        <v>2.4</v>
      </c>
      <c r="N52" s="307">
        <f>M52*AN10</f>
        <v>1535.2079999999999</v>
      </c>
      <c r="O52" s="308">
        <v>0</v>
      </c>
      <c r="P52" s="308">
        <v>0</v>
      </c>
      <c r="Q52" s="308">
        <v>0</v>
      </c>
      <c r="R52" s="309">
        <v>0</v>
      </c>
      <c r="S52" s="310">
        <f t="shared" si="17"/>
        <v>0</v>
      </c>
      <c r="T52" s="311">
        <v>0</v>
      </c>
      <c r="U52" s="311">
        <v>0</v>
      </c>
      <c r="V52" s="312">
        <v>0</v>
      </c>
      <c r="W52" s="311">
        <f t="shared" si="18"/>
        <v>0</v>
      </c>
      <c r="X52" s="1175">
        <f>71.91/N52</f>
        <v>4.6840558412931672E-2</v>
      </c>
      <c r="Y52" s="1176">
        <f t="shared" si="19"/>
        <v>71.91</v>
      </c>
      <c r="Z52" s="701">
        <f t="shared" si="20"/>
        <v>0</v>
      </c>
      <c r="AA52" s="700">
        <f t="shared" si="21"/>
        <v>0</v>
      </c>
      <c r="AB52" s="1176">
        <f t="shared" si="27"/>
        <v>0</v>
      </c>
      <c r="AC52" s="311">
        <f>AN10*(0%)</f>
        <v>0</v>
      </c>
      <c r="AD52" s="311">
        <f t="shared" si="22"/>
        <v>0</v>
      </c>
      <c r="AE52" s="311">
        <v>0</v>
      </c>
      <c r="AF52" s="311">
        <v>0</v>
      </c>
      <c r="AG52" s="311">
        <v>0</v>
      </c>
      <c r="AH52" s="298">
        <v>0</v>
      </c>
      <c r="AI52" s="298">
        <v>0</v>
      </c>
      <c r="AJ52" s="311">
        <v>0</v>
      </c>
      <c r="AK52" s="313">
        <f t="shared" si="23"/>
        <v>511.73599999999993</v>
      </c>
      <c r="AL52" s="313">
        <f t="shared" si="24"/>
        <v>0</v>
      </c>
      <c r="AM52" s="313">
        <f t="shared" si="25"/>
        <v>1535.2079999999999</v>
      </c>
      <c r="AN52" s="313">
        <f t="shared" si="26"/>
        <v>0</v>
      </c>
    </row>
    <row r="53" spans="2:42" s="299" customFormat="1" ht="15.75" x14ac:dyDescent="0.25">
      <c r="B53" s="295">
        <v>2131</v>
      </c>
      <c r="C53" s="314" t="str">
        <f>PROPER("SOLANGE SIEMIONKO")</f>
        <v>Solange Siemionko</v>
      </c>
      <c r="D53" s="304" t="s">
        <v>2643</v>
      </c>
      <c r="E53" s="304" t="s">
        <v>2739</v>
      </c>
      <c r="F53" s="304" t="s">
        <v>2787</v>
      </c>
      <c r="G53" s="304" t="s">
        <v>2800</v>
      </c>
      <c r="H53" s="305">
        <v>20</v>
      </c>
      <c r="I53" s="295">
        <v>44</v>
      </c>
      <c r="J53" s="295" t="s">
        <v>2636</v>
      </c>
      <c r="K53" s="295">
        <v>0</v>
      </c>
      <c r="L53" s="306">
        <v>42801</v>
      </c>
      <c r="M53" s="295">
        <v>1.95</v>
      </c>
      <c r="N53" s="307">
        <f>M53*AN10</f>
        <v>1247.3564999999999</v>
      </c>
      <c r="O53" s="308">
        <v>0</v>
      </c>
      <c r="P53" s="308">
        <v>0</v>
      </c>
      <c r="Q53" s="308">
        <v>0</v>
      </c>
      <c r="R53" s="309">
        <v>0.03</v>
      </c>
      <c r="S53" s="310">
        <f t="shared" si="17"/>
        <v>37.420694999999995</v>
      </c>
      <c r="T53" s="311">
        <v>0</v>
      </c>
      <c r="U53" s="311">
        <v>0</v>
      </c>
      <c r="V53" s="312">
        <v>0</v>
      </c>
      <c r="W53" s="311">
        <f t="shared" si="18"/>
        <v>0</v>
      </c>
      <c r="X53" s="1175">
        <f>127.94/N53</f>
        <v>0.10256891273665548</v>
      </c>
      <c r="Y53" s="1176">
        <f t="shared" si="19"/>
        <v>127.94</v>
      </c>
      <c r="Z53" s="701">
        <f t="shared" si="20"/>
        <v>0</v>
      </c>
      <c r="AA53" s="700">
        <f t="shared" si="21"/>
        <v>0</v>
      </c>
      <c r="AB53" s="1176">
        <f t="shared" si="27"/>
        <v>0</v>
      </c>
      <c r="AC53" s="311">
        <f>AN10*(0%)</f>
        <v>0</v>
      </c>
      <c r="AD53" s="311">
        <f t="shared" si="22"/>
        <v>0</v>
      </c>
      <c r="AE53" s="311">
        <v>0</v>
      </c>
      <c r="AF53" s="311">
        <v>0</v>
      </c>
      <c r="AG53" s="311">
        <v>0</v>
      </c>
      <c r="AH53" s="298">
        <v>0</v>
      </c>
      <c r="AI53" s="298">
        <v>0</v>
      </c>
      <c r="AJ53" s="311">
        <v>0</v>
      </c>
      <c r="AK53" s="313">
        <f t="shared" si="23"/>
        <v>415.78549999999996</v>
      </c>
      <c r="AL53" s="313">
        <f t="shared" si="24"/>
        <v>12.473564999999999</v>
      </c>
      <c r="AM53" s="313">
        <f t="shared" si="25"/>
        <v>1247.3564999999999</v>
      </c>
      <c r="AN53" s="313">
        <f t="shared" si="26"/>
        <v>37.420694999999995</v>
      </c>
    </row>
    <row r="54" spans="2:42" s="1182" customFormat="1" x14ac:dyDescent="0.25">
      <c r="B54" s="1185" t="s">
        <v>7203</v>
      </c>
      <c r="C54" s="1186"/>
      <c r="D54" s="1186"/>
      <c r="E54" s="1186"/>
      <c r="F54" s="1186"/>
      <c r="G54" s="1186"/>
      <c r="H54" s="1186"/>
      <c r="I54" s="1186"/>
      <c r="J54" s="1186"/>
      <c r="K54" s="1186"/>
      <c r="L54" s="1186"/>
      <c r="M54" s="1186"/>
      <c r="N54" s="1179">
        <f>SUM(N40:N53)</f>
        <v>19641.946699999993</v>
      </c>
      <c r="O54" s="1179">
        <f>SUM(O40:O53)</f>
        <v>0</v>
      </c>
      <c r="P54" s="1179">
        <f>SUM(P40:P53)</f>
        <v>0</v>
      </c>
      <c r="Q54" s="1179">
        <f>SUM(Q40:Q53)</f>
        <v>0</v>
      </c>
      <c r="R54" s="1187"/>
      <c r="S54" s="1179">
        <f>SUM(S40:S53)</f>
        <v>1320.7969970000001</v>
      </c>
      <c r="T54" s="1179">
        <f>SUM(T40:T53)</f>
        <v>0</v>
      </c>
      <c r="U54" s="1179">
        <f>SUM(U40:U53)</f>
        <v>0</v>
      </c>
      <c r="V54" s="1180"/>
      <c r="W54" s="1179">
        <f>SUM(W40:W53)</f>
        <v>0</v>
      </c>
      <c r="X54" s="1180"/>
      <c r="Y54" s="1179">
        <f>SUM(Y40:Y53)</f>
        <v>1479.2300000000002</v>
      </c>
      <c r="Z54" s="1180"/>
      <c r="AA54" s="1179">
        <f t="shared" ref="AA54:AN54" si="28">SUM(AA40:AA53)</f>
        <v>0</v>
      </c>
      <c r="AB54" s="1179">
        <f t="shared" si="28"/>
        <v>139.38</v>
      </c>
      <c r="AC54" s="1179">
        <f t="shared" si="28"/>
        <v>0</v>
      </c>
      <c r="AD54" s="1179">
        <f t="shared" si="28"/>
        <v>0</v>
      </c>
      <c r="AE54" s="1179">
        <f t="shared" si="28"/>
        <v>0</v>
      </c>
      <c r="AF54" s="1179">
        <f t="shared" si="28"/>
        <v>0</v>
      </c>
      <c r="AG54" s="1179">
        <f t="shared" si="28"/>
        <v>0</v>
      </c>
      <c r="AH54" s="1179">
        <f t="shared" si="28"/>
        <v>0</v>
      </c>
      <c r="AI54" s="1179">
        <f t="shared" si="28"/>
        <v>0</v>
      </c>
      <c r="AJ54" s="1179">
        <f t="shared" si="28"/>
        <v>0</v>
      </c>
      <c r="AK54" s="1179">
        <f t="shared" si="28"/>
        <v>6547.3155666666662</v>
      </c>
      <c r="AL54" s="1179">
        <f t="shared" si="28"/>
        <v>440.26566566666662</v>
      </c>
      <c r="AM54" s="1179">
        <f t="shared" si="28"/>
        <v>19641.946699999993</v>
      </c>
      <c r="AN54" s="1179">
        <f t="shared" si="28"/>
        <v>1320.7969970000001</v>
      </c>
    </row>
    <row r="55" spans="2:42" x14ac:dyDescent="0.25">
      <c r="B55" s="1068"/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88"/>
      <c r="O55" s="1088"/>
      <c r="P55" s="1088"/>
      <c r="Q55" s="1088"/>
      <c r="R55" s="1075"/>
      <c r="S55" s="1089"/>
      <c r="T55" s="1088"/>
      <c r="U55" s="1088"/>
      <c r="V55" s="315"/>
      <c r="W55" s="1088"/>
      <c r="X55" s="1180"/>
      <c r="Y55" s="1179"/>
      <c r="Z55" s="1164"/>
      <c r="AA55" s="699"/>
      <c r="AB55" s="1179"/>
      <c r="AC55" s="1088"/>
      <c r="AD55" s="1088"/>
      <c r="AE55" s="1088"/>
      <c r="AF55" s="1088"/>
      <c r="AG55" s="1088"/>
      <c r="AH55" s="1088"/>
      <c r="AI55" s="1088"/>
      <c r="AJ55" s="1088"/>
      <c r="AK55" s="1088"/>
      <c r="AL55" s="1088"/>
      <c r="AM55" s="1088"/>
      <c r="AN55" s="1088"/>
    </row>
    <row r="56" spans="2:42" ht="31.5" x14ac:dyDescent="0.25">
      <c r="B56" s="295">
        <v>741</v>
      </c>
      <c r="C56" s="304" t="s">
        <v>2664</v>
      </c>
      <c r="D56" s="304" t="s">
        <v>2661</v>
      </c>
      <c r="E56" s="304" t="s">
        <v>2739</v>
      </c>
      <c r="F56" s="304" t="s">
        <v>2787</v>
      </c>
      <c r="G56" s="304" t="s">
        <v>2803</v>
      </c>
      <c r="H56" s="305">
        <v>20</v>
      </c>
      <c r="I56" s="295">
        <v>44</v>
      </c>
      <c r="J56" s="295" t="s">
        <v>2648</v>
      </c>
      <c r="K56" s="295">
        <v>0</v>
      </c>
      <c r="L56" s="306">
        <v>38118</v>
      </c>
      <c r="M56" s="316">
        <f>1426.46/639.67</f>
        <v>2.2299935904450736</v>
      </c>
      <c r="N56" s="307">
        <f>M56*AN10</f>
        <v>1426.46</v>
      </c>
      <c r="O56" s="308">
        <v>0</v>
      </c>
      <c r="P56" s="308">
        <v>0</v>
      </c>
      <c r="Q56" s="308">
        <v>0</v>
      </c>
      <c r="R56" s="309">
        <v>0.16</v>
      </c>
      <c r="S56" s="310">
        <f t="shared" ref="S56:S64" si="29">N56*R56</f>
        <v>228.23360000000002</v>
      </c>
      <c r="T56" s="311">
        <v>0</v>
      </c>
      <c r="U56" s="311">
        <v>0</v>
      </c>
      <c r="V56" s="312">
        <v>0</v>
      </c>
      <c r="W56" s="311">
        <f t="shared" ref="W56:W64" si="30">N56*V56</f>
        <v>0</v>
      </c>
      <c r="X56" s="1175">
        <f>127.94/N56</f>
        <v>8.9690562651599054E-2</v>
      </c>
      <c r="Y56" s="1176">
        <f t="shared" ref="Y56:Y64" si="31">N56*X56</f>
        <v>127.93999999999998</v>
      </c>
      <c r="Z56" s="701">
        <f>253.32/N56</f>
        <v>0.17758647280680845</v>
      </c>
      <c r="AA56" s="700">
        <f t="shared" ref="AA56:AA64" si="32">N56*Z56</f>
        <v>253.32</v>
      </c>
      <c r="AB56" s="1176">
        <f>N56*(136.16/N56)</f>
        <v>136.16</v>
      </c>
      <c r="AC56" s="311">
        <f>AN10*(0%)</f>
        <v>0</v>
      </c>
      <c r="AD56" s="311">
        <f t="shared" ref="AD56:AD64" si="33">AO$9*(0%)</f>
        <v>0</v>
      </c>
      <c r="AE56" s="311">
        <v>0</v>
      </c>
      <c r="AF56" s="311">
        <v>0</v>
      </c>
      <c r="AG56" s="311">
        <v>0</v>
      </c>
      <c r="AH56" s="298">
        <v>0</v>
      </c>
      <c r="AI56" s="298">
        <v>0</v>
      </c>
      <c r="AJ56" s="311">
        <v>0</v>
      </c>
      <c r="AK56" s="313">
        <f t="shared" ref="AK56:AK64" si="34">(N56+T56+U56)/3</f>
        <v>475.48666666666668</v>
      </c>
      <c r="AL56" s="313">
        <f t="shared" ref="AL56:AL64" si="35">AK56*R56</f>
        <v>76.077866666666665</v>
      </c>
      <c r="AM56" s="313">
        <f t="shared" ref="AM56:AM64" si="36">N56</f>
        <v>1426.46</v>
      </c>
      <c r="AN56" s="313">
        <f t="shared" ref="AN56:AN64" si="37">AM56*R56</f>
        <v>228.23360000000002</v>
      </c>
    </row>
    <row r="57" spans="2:42" ht="31.5" x14ac:dyDescent="0.25">
      <c r="B57" s="295">
        <v>2146</v>
      </c>
      <c r="C57" s="304" t="s">
        <v>2690</v>
      </c>
      <c r="D57" s="304" t="s">
        <v>2689</v>
      </c>
      <c r="E57" s="304" t="s">
        <v>2739</v>
      </c>
      <c r="F57" s="304" t="s">
        <v>2787</v>
      </c>
      <c r="G57" s="304" t="s">
        <v>2803</v>
      </c>
      <c r="H57" s="305">
        <v>20</v>
      </c>
      <c r="I57" s="295">
        <v>40</v>
      </c>
      <c r="J57" s="295" t="s">
        <v>2636</v>
      </c>
      <c r="K57" s="295">
        <v>1</v>
      </c>
      <c r="L57" s="306">
        <v>42814</v>
      </c>
      <c r="M57" s="295">
        <v>2.4</v>
      </c>
      <c r="N57" s="307">
        <f>M57*AN10</f>
        <v>1535.2079999999999</v>
      </c>
      <c r="O57" s="308">
        <v>0</v>
      </c>
      <c r="P57" s="308">
        <v>0</v>
      </c>
      <c r="Q57" s="308">
        <v>0</v>
      </c>
      <c r="R57" s="309">
        <v>0.03</v>
      </c>
      <c r="S57" s="310">
        <f t="shared" si="29"/>
        <v>46.056239999999995</v>
      </c>
      <c r="T57" s="311">
        <v>0</v>
      </c>
      <c r="U57" s="311">
        <v>0</v>
      </c>
      <c r="V57" s="312">
        <v>0</v>
      </c>
      <c r="W57" s="311">
        <f t="shared" si="30"/>
        <v>0</v>
      </c>
      <c r="X57" s="1175">
        <f>76.76/N57</f>
        <v>4.9999739448986724E-2</v>
      </c>
      <c r="Y57" s="1176">
        <f t="shared" si="31"/>
        <v>76.760000000000005</v>
      </c>
      <c r="Z57" s="701">
        <f>307.05/N57</f>
        <v>0.20000547157127896</v>
      </c>
      <c r="AA57" s="700">
        <f t="shared" si="32"/>
        <v>307.05</v>
      </c>
      <c r="AB57" s="1176">
        <f t="shared" ref="AB57:AB63" si="38">N57*(0%)</f>
        <v>0</v>
      </c>
      <c r="AC57" s="311">
        <f>AN10*(0%)</f>
        <v>0</v>
      </c>
      <c r="AD57" s="311">
        <f t="shared" si="33"/>
        <v>0</v>
      </c>
      <c r="AE57" s="311">
        <v>0</v>
      </c>
      <c r="AF57" s="311">
        <v>0</v>
      </c>
      <c r="AG57" s="311">
        <v>0</v>
      </c>
      <c r="AH57" s="298">
        <v>0</v>
      </c>
      <c r="AI57" s="298">
        <v>0</v>
      </c>
      <c r="AJ57" s="311">
        <v>0</v>
      </c>
      <c r="AK57" s="313">
        <f t="shared" si="34"/>
        <v>511.73599999999993</v>
      </c>
      <c r="AL57" s="313">
        <f t="shared" si="35"/>
        <v>15.352079999999997</v>
      </c>
      <c r="AM57" s="313">
        <f t="shared" si="36"/>
        <v>1535.2079999999999</v>
      </c>
      <c r="AN57" s="313">
        <f t="shared" si="37"/>
        <v>46.056239999999995</v>
      </c>
    </row>
    <row r="58" spans="2:42" ht="31.5" x14ac:dyDescent="0.25">
      <c r="B58" s="295">
        <v>1909</v>
      </c>
      <c r="C58" s="304" t="s">
        <v>2696</v>
      </c>
      <c r="D58" s="304" t="s">
        <v>2694</v>
      </c>
      <c r="E58" s="304" t="s">
        <v>2739</v>
      </c>
      <c r="F58" s="304" t="s">
        <v>2787</v>
      </c>
      <c r="G58" s="304" t="s">
        <v>2803</v>
      </c>
      <c r="H58" s="305">
        <v>20</v>
      </c>
      <c r="I58" s="295">
        <v>44</v>
      </c>
      <c r="J58" s="295" t="s">
        <v>2636</v>
      </c>
      <c r="K58" s="295">
        <v>0</v>
      </c>
      <c r="L58" s="306">
        <v>42054</v>
      </c>
      <c r="M58" s="295">
        <v>2</v>
      </c>
      <c r="N58" s="307">
        <f>M58*AN10</f>
        <v>1279.3399999999999</v>
      </c>
      <c r="O58" s="308">
        <v>0</v>
      </c>
      <c r="P58" s="308">
        <v>0</v>
      </c>
      <c r="Q58" s="308">
        <v>0</v>
      </c>
      <c r="R58" s="309">
        <v>0.05</v>
      </c>
      <c r="S58" s="310">
        <f t="shared" si="29"/>
        <v>63.966999999999999</v>
      </c>
      <c r="T58" s="311">
        <v>0</v>
      </c>
      <c r="U58" s="311">
        <v>0</v>
      </c>
      <c r="V58" s="312">
        <v>0</v>
      </c>
      <c r="W58" s="311">
        <f t="shared" si="30"/>
        <v>0</v>
      </c>
      <c r="X58" s="1175">
        <f>76.76/N58</f>
        <v>5.9999687338784066E-2</v>
      </c>
      <c r="Y58" s="1176">
        <f t="shared" si="31"/>
        <v>76.760000000000005</v>
      </c>
      <c r="Z58" s="701">
        <f>255.87/N58</f>
        <v>0.20000156330607971</v>
      </c>
      <c r="AA58" s="700">
        <f t="shared" si="32"/>
        <v>255.87</v>
      </c>
      <c r="AB58" s="1176">
        <f t="shared" si="38"/>
        <v>0</v>
      </c>
      <c r="AC58" s="311">
        <f>AN10*(0%)</f>
        <v>0</v>
      </c>
      <c r="AD58" s="311">
        <f t="shared" si="33"/>
        <v>0</v>
      </c>
      <c r="AE58" s="311">
        <v>0</v>
      </c>
      <c r="AF58" s="311">
        <v>0</v>
      </c>
      <c r="AG58" s="311">
        <v>0</v>
      </c>
      <c r="AH58" s="298">
        <v>0</v>
      </c>
      <c r="AI58" s="298">
        <v>0</v>
      </c>
      <c r="AJ58" s="311">
        <v>0</v>
      </c>
      <c r="AK58" s="313">
        <f t="shared" si="34"/>
        <v>426.44666666666666</v>
      </c>
      <c r="AL58" s="313">
        <f t="shared" si="35"/>
        <v>21.322333333333333</v>
      </c>
      <c r="AM58" s="313">
        <f t="shared" si="36"/>
        <v>1279.3399999999999</v>
      </c>
      <c r="AN58" s="313">
        <f t="shared" si="37"/>
        <v>63.966999999999999</v>
      </c>
    </row>
    <row r="59" spans="2:42" ht="31.5" x14ac:dyDescent="0.25">
      <c r="B59" s="295">
        <v>2050</v>
      </c>
      <c r="C59" s="304" t="s">
        <v>2645</v>
      </c>
      <c r="D59" s="304" t="s">
        <v>2643</v>
      </c>
      <c r="E59" s="304" t="s">
        <v>2739</v>
      </c>
      <c r="F59" s="304" t="s">
        <v>2787</v>
      </c>
      <c r="G59" s="304" t="s">
        <v>2803</v>
      </c>
      <c r="H59" s="305">
        <v>20</v>
      </c>
      <c r="I59" s="295">
        <v>44</v>
      </c>
      <c r="J59" s="295" t="s">
        <v>2636</v>
      </c>
      <c r="K59" s="295">
        <v>0</v>
      </c>
      <c r="L59" s="306">
        <v>42479</v>
      </c>
      <c r="M59" s="295">
        <v>1.95</v>
      </c>
      <c r="N59" s="307">
        <f>M59*AN10</f>
        <v>1247.3564999999999</v>
      </c>
      <c r="O59" s="308">
        <v>0</v>
      </c>
      <c r="P59" s="308">
        <v>0</v>
      </c>
      <c r="Q59" s="308">
        <v>0</v>
      </c>
      <c r="R59" s="309">
        <v>0.04</v>
      </c>
      <c r="S59" s="310">
        <f t="shared" si="29"/>
        <v>49.894259999999996</v>
      </c>
      <c r="T59" s="311">
        <v>0</v>
      </c>
      <c r="U59" s="311">
        <v>0</v>
      </c>
      <c r="V59" s="312">
        <v>0</v>
      </c>
      <c r="W59" s="311">
        <f t="shared" si="30"/>
        <v>0</v>
      </c>
      <c r="X59" s="1175">
        <f>127.94/N59</f>
        <v>0.10256891273665548</v>
      </c>
      <c r="Y59" s="1176">
        <f t="shared" si="31"/>
        <v>127.94</v>
      </c>
      <c r="Z59" s="701">
        <f>249.47/N59</f>
        <v>0.1999989577959469</v>
      </c>
      <c r="AA59" s="700">
        <f t="shared" si="32"/>
        <v>249.47</v>
      </c>
      <c r="AB59" s="1176">
        <f t="shared" si="38"/>
        <v>0</v>
      </c>
      <c r="AC59" s="311">
        <f>AN10*(0%)</f>
        <v>0</v>
      </c>
      <c r="AD59" s="311">
        <f t="shared" si="33"/>
        <v>0</v>
      </c>
      <c r="AE59" s="311">
        <v>0</v>
      </c>
      <c r="AF59" s="311">
        <v>0</v>
      </c>
      <c r="AG59" s="311">
        <v>0</v>
      </c>
      <c r="AH59" s="298">
        <v>0</v>
      </c>
      <c r="AI59" s="298">
        <v>0</v>
      </c>
      <c r="AJ59" s="311">
        <v>0</v>
      </c>
      <c r="AK59" s="313">
        <f t="shared" si="34"/>
        <v>415.78549999999996</v>
      </c>
      <c r="AL59" s="313">
        <f t="shared" si="35"/>
        <v>16.631419999999999</v>
      </c>
      <c r="AM59" s="313">
        <f t="shared" si="36"/>
        <v>1247.3564999999999</v>
      </c>
      <c r="AN59" s="313">
        <f t="shared" si="37"/>
        <v>49.894259999999996</v>
      </c>
    </row>
    <row r="60" spans="2:42" ht="31.5" x14ac:dyDescent="0.25">
      <c r="B60" s="295">
        <v>1975</v>
      </c>
      <c r="C60" s="304" t="s">
        <v>2695</v>
      </c>
      <c r="D60" s="304" t="s">
        <v>2694</v>
      </c>
      <c r="E60" s="304" t="s">
        <v>2739</v>
      </c>
      <c r="F60" s="304" t="s">
        <v>2787</v>
      </c>
      <c r="G60" s="304" t="s">
        <v>2803</v>
      </c>
      <c r="H60" s="305">
        <v>20</v>
      </c>
      <c r="I60" s="295">
        <v>44</v>
      </c>
      <c r="J60" s="295" t="s">
        <v>2636</v>
      </c>
      <c r="K60" s="295">
        <v>0</v>
      </c>
      <c r="L60" s="306">
        <v>42268</v>
      </c>
      <c r="M60" s="295">
        <v>2</v>
      </c>
      <c r="N60" s="307">
        <f>M60*AN10</f>
        <v>1279.3399999999999</v>
      </c>
      <c r="O60" s="308">
        <v>0</v>
      </c>
      <c r="P60" s="308">
        <v>0</v>
      </c>
      <c r="Q60" s="308">
        <v>0</v>
      </c>
      <c r="R60" s="309">
        <v>0.05</v>
      </c>
      <c r="S60" s="310">
        <f t="shared" si="29"/>
        <v>63.966999999999999</v>
      </c>
      <c r="T60" s="311">
        <v>0</v>
      </c>
      <c r="U60" s="311">
        <v>0</v>
      </c>
      <c r="V60" s="312">
        <v>0</v>
      </c>
      <c r="W60" s="311">
        <f t="shared" si="30"/>
        <v>0</v>
      </c>
      <c r="X60" s="1175">
        <f>76.76/N60</f>
        <v>5.9999687338784066E-2</v>
      </c>
      <c r="Y60" s="1176">
        <f t="shared" si="31"/>
        <v>76.760000000000005</v>
      </c>
      <c r="Z60" s="701">
        <f>255.87/N60</f>
        <v>0.20000156330607971</v>
      </c>
      <c r="AA60" s="700">
        <f t="shared" si="32"/>
        <v>255.87</v>
      </c>
      <c r="AB60" s="1176">
        <f t="shared" si="38"/>
        <v>0</v>
      </c>
      <c r="AC60" s="311">
        <f>AN10*(0%)</f>
        <v>0</v>
      </c>
      <c r="AD60" s="311">
        <f t="shared" si="33"/>
        <v>0</v>
      </c>
      <c r="AE60" s="311">
        <v>0</v>
      </c>
      <c r="AF60" s="311">
        <v>0</v>
      </c>
      <c r="AG60" s="311">
        <v>0</v>
      </c>
      <c r="AH60" s="298">
        <v>0</v>
      </c>
      <c r="AI60" s="298">
        <v>0</v>
      </c>
      <c r="AJ60" s="311">
        <v>0</v>
      </c>
      <c r="AK60" s="313">
        <f t="shared" si="34"/>
        <v>426.44666666666666</v>
      </c>
      <c r="AL60" s="313">
        <f t="shared" si="35"/>
        <v>21.322333333333333</v>
      </c>
      <c r="AM60" s="313">
        <f t="shared" si="36"/>
        <v>1279.3399999999999</v>
      </c>
      <c r="AN60" s="313">
        <f t="shared" si="37"/>
        <v>63.966999999999999</v>
      </c>
    </row>
    <row r="61" spans="2:42" ht="31.5" x14ac:dyDescent="0.25">
      <c r="B61" s="295">
        <v>1641</v>
      </c>
      <c r="C61" s="304" t="s">
        <v>2642</v>
      </c>
      <c r="D61" s="304" t="s">
        <v>2643</v>
      </c>
      <c r="E61" s="304" t="s">
        <v>2739</v>
      </c>
      <c r="F61" s="304" t="s">
        <v>2787</v>
      </c>
      <c r="G61" s="304" t="s">
        <v>2803</v>
      </c>
      <c r="H61" s="305">
        <v>20</v>
      </c>
      <c r="I61" s="295">
        <v>44</v>
      </c>
      <c r="J61" s="295" t="s">
        <v>2636</v>
      </c>
      <c r="K61" s="295">
        <v>0</v>
      </c>
      <c r="L61" s="306">
        <v>41092</v>
      </c>
      <c r="M61" s="316">
        <f>1298.53/639.67</f>
        <v>2.0299998436693922</v>
      </c>
      <c r="N61" s="307">
        <f>M61*AN10</f>
        <v>1298.53</v>
      </c>
      <c r="O61" s="308">
        <v>0</v>
      </c>
      <c r="P61" s="308">
        <v>0</v>
      </c>
      <c r="Q61" s="308">
        <v>0</v>
      </c>
      <c r="R61" s="309">
        <v>0.08</v>
      </c>
      <c r="S61" s="310">
        <f t="shared" si="29"/>
        <v>103.8824</v>
      </c>
      <c r="T61" s="311">
        <v>0</v>
      </c>
      <c r="U61" s="311">
        <v>0</v>
      </c>
      <c r="V61" s="312">
        <v>0</v>
      </c>
      <c r="W61" s="311">
        <f t="shared" si="30"/>
        <v>0</v>
      </c>
      <c r="X61" s="1175">
        <f>127.94/N61</f>
        <v>9.8526795684350771E-2</v>
      </c>
      <c r="Y61" s="1176">
        <f t="shared" si="31"/>
        <v>127.94</v>
      </c>
      <c r="Z61" s="701">
        <f>249.47/N61</f>
        <v>0.19211724026399082</v>
      </c>
      <c r="AA61" s="700">
        <f t="shared" si="32"/>
        <v>249.47</v>
      </c>
      <c r="AB61" s="1176">
        <f t="shared" si="38"/>
        <v>0</v>
      </c>
      <c r="AC61" s="311">
        <f>AN10*(0%)</f>
        <v>0</v>
      </c>
      <c r="AD61" s="311">
        <f t="shared" si="33"/>
        <v>0</v>
      </c>
      <c r="AE61" s="311">
        <v>0</v>
      </c>
      <c r="AF61" s="311">
        <v>0</v>
      </c>
      <c r="AG61" s="311">
        <v>0</v>
      </c>
      <c r="AH61" s="298">
        <v>0</v>
      </c>
      <c r="AI61" s="298">
        <v>0</v>
      </c>
      <c r="AJ61" s="311">
        <v>0</v>
      </c>
      <c r="AK61" s="313">
        <f t="shared" si="34"/>
        <v>432.84333333333331</v>
      </c>
      <c r="AL61" s="313">
        <f t="shared" si="35"/>
        <v>34.627466666666663</v>
      </c>
      <c r="AM61" s="313">
        <f t="shared" si="36"/>
        <v>1298.53</v>
      </c>
      <c r="AN61" s="313">
        <f t="shared" si="37"/>
        <v>103.8824</v>
      </c>
    </row>
    <row r="62" spans="2:42" s="325" customFormat="1" ht="31.5" x14ac:dyDescent="0.25">
      <c r="B62" s="295">
        <v>1637</v>
      </c>
      <c r="C62" s="304" t="s">
        <v>2644</v>
      </c>
      <c r="D62" s="304" t="s">
        <v>2643</v>
      </c>
      <c r="E62" s="304" t="s">
        <v>2739</v>
      </c>
      <c r="F62" s="304" t="s">
        <v>2787</v>
      </c>
      <c r="G62" s="304" t="s">
        <v>2803</v>
      </c>
      <c r="H62" s="305">
        <v>20</v>
      </c>
      <c r="I62" s="295">
        <v>44</v>
      </c>
      <c r="J62" s="295" t="s">
        <v>2636</v>
      </c>
      <c r="K62" s="295">
        <v>0</v>
      </c>
      <c r="L62" s="306">
        <v>41073</v>
      </c>
      <c r="M62" s="295">
        <v>2.0299999999999998</v>
      </c>
      <c r="N62" s="307">
        <f>M62*AN10</f>
        <v>1298.5300999999997</v>
      </c>
      <c r="O62" s="308">
        <v>0</v>
      </c>
      <c r="P62" s="308">
        <v>0</v>
      </c>
      <c r="Q62" s="308">
        <v>0</v>
      </c>
      <c r="R62" s="309">
        <v>0.08</v>
      </c>
      <c r="S62" s="310">
        <f t="shared" si="29"/>
        <v>103.88240799999998</v>
      </c>
      <c r="T62" s="311">
        <v>0</v>
      </c>
      <c r="U62" s="311">
        <v>0</v>
      </c>
      <c r="V62" s="312">
        <v>0</v>
      </c>
      <c r="W62" s="311">
        <f t="shared" si="30"/>
        <v>0</v>
      </c>
      <c r="X62" s="1175">
        <f>127.94/N62</f>
        <v>9.8526788096787304E-2</v>
      </c>
      <c r="Y62" s="1176">
        <f t="shared" si="31"/>
        <v>127.94</v>
      </c>
      <c r="Z62" s="701">
        <f>249.47/N62</f>
        <v>0.19211722546901305</v>
      </c>
      <c r="AA62" s="700">
        <f t="shared" si="32"/>
        <v>249.47000000000003</v>
      </c>
      <c r="AB62" s="1176">
        <f t="shared" si="38"/>
        <v>0</v>
      </c>
      <c r="AC62" s="311">
        <f>AN10*(0%)</f>
        <v>0</v>
      </c>
      <c r="AD62" s="311">
        <f t="shared" si="33"/>
        <v>0</v>
      </c>
      <c r="AE62" s="311">
        <v>0</v>
      </c>
      <c r="AF62" s="311">
        <v>0</v>
      </c>
      <c r="AG62" s="311">
        <v>0</v>
      </c>
      <c r="AH62" s="298">
        <v>0</v>
      </c>
      <c r="AI62" s="298">
        <v>0</v>
      </c>
      <c r="AJ62" s="311">
        <v>0</v>
      </c>
      <c r="AK62" s="313">
        <f t="shared" si="34"/>
        <v>432.84336666666655</v>
      </c>
      <c r="AL62" s="313">
        <f t="shared" si="35"/>
        <v>34.627469333333323</v>
      </c>
      <c r="AM62" s="313">
        <f t="shared" si="36"/>
        <v>1298.5300999999997</v>
      </c>
      <c r="AN62" s="313">
        <f t="shared" si="37"/>
        <v>103.88240799999998</v>
      </c>
    </row>
    <row r="63" spans="2:42" ht="31.5" x14ac:dyDescent="0.25">
      <c r="B63" s="320">
        <v>2261</v>
      </c>
      <c r="C63" s="321" t="str">
        <f>PROPER("PABLO AZAMBUJA")</f>
        <v>Pablo Azambuja</v>
      </c>
      <c r="D63" s="321" t="s">
        <v>2643</v>
      </c>
      <c r="E63" s="304" t="s">
        <v>2739</v>
      </c>
      <c r="F63" s="304" t="s">
        <v>2787</v>
      </c>
      <c r="G63" s="304" t="s">
        <v>2803</v>
      </c>
      <c r="H63" s="322">
        <v>20</v>
      </c>
      <c r="I63" s="320">
        <v>44</v>
      </c>
      <c r="J63" s="320" t="s">
        <v>2636</v>
      </c>
      <c r="K63" s="320">
        <v>0</v>
      </c>
      <c r="L63" s="323">
        <v>0</v>
      </c>
      <c r="M63" s="320">
        <v>1.95</v>
      </c>
      <c r="N63" s="324">
        <f>M63*AN10</f>
        <v>1247.3564999999999</v>
      </c>
      <c r="O63" s="308">
        <v>0</v>
      </c>
      <c r="P63" s="308">
        <v>0</v>
      </c>
      <c r="Q63" s="308">
        <v>0</v>
      </c>
      <c r="R63" s="309">
        <v>0.02</v>
      </c>
      <c r="S63" s="310">
        <f t="shared" si="29"/>
        <v>24.947129999999998</v>
      </c>
      <c r="T63" s="311">
        <v>0</v>
      </c>
      <c r="U63" s="311">
        <v>0</v>
      </c>
      <c r="V63" s="312">
        <v>0</v>
      </c>
      <c r="W63" s="311">
        <f t="shared" si="30"/>
        <v>0</v>
      </c>
      <c r="X63" s="1175">
        <f>127.94/N63</f>
        <v>0.10256891273665548</v>
      </c>
      <c r="Y63" s="1176">
        <f t="shared" si="31"/>
        <v>127.94</v>
      </c>
      <c r="Z63" s="701">
        <f>249.47/N63</f>
        <v>0.1999989577959469</v>
      </c>
      <c r="AA63" s="700">
        <f t="shared" si="32"/>
        <v>249.47</v>
      </c>
      <c r="AB63" s="1176">
        <f t="shared" si="38"/>
        <v>0</v>
      </c>
      <c r="AC63" s="311">
        <f>AN10*(0%)</f>
        <v>0</v>
      </c>
      <c r="AD63" s="311">
        <f t="shared" si="33"/>
        <v>0</v>
      </c>
      <c r="AE63" s="311">
        <v>0</v>
      </c>
      <c r="AF63" s="311">
        <v>0</v>
      </c>
      <c r="AG63" s="311">
        <v>0</v>
      </c>
      <c r="AH63" s="298">
        <v>0</v>
      </c>
      <c r="AI63" s="298">
        <v>0</v>
      </c>
      <c r="AJ63" s="311">
        <v>0</v>
      </c>
      <c r="AK63" s="313">
        <f t="shared" si="34"/>
        <v>415.78549999999996</v>
      </c>
      <c r="AL63" s="313">
        <f t="shared" si="35"/>
        <v>8.3157099999999993</v>
      </c>
      <c r="AM63" s="313">
        <f t="shared" si="36"/>
        <v>1247.3564999999999</v>
      </c>
      <c r="AN63" s="313">
        <f t="shared" si="37"/>
        <v>24.947129999999998</v>
      </c>
    </row>
    <row r="64" spans="2:42" s="299" customFormat="1" ht="31.5" x14ac:dyDescent="0.25">
      <c r="B64" s="295">
        <v>1219</v>
      </c>
      <c r="C64" s="304" t="s">
        <v>2665</v>
      </c>
      <c r="D64" s="304" t="s">
        <v>2661</v>
      </c>
      <c r="E64" s="304" t="s">
        <v>2739</v>
      </c>
      <c r="F64" s="304" t="s">
        <v>2787</v>
      </c>
      <c r="G64" s="304" t="s">
        <v>2803</v>
      </c>
      <c r="H64" s="305">
        <v>20</v>
      </c>
      <c r="I64" s="295">
        <v>44</v>
      </c>
      <c r="J64" s="295" t="s">
        <v>2634</v>
      </c>
      <c r="K64" s="295">
        <v>0</v>
      </c>
      <c r="L64" s="306">
        <v>39682</v>
      </c>
      <c r="M64" s="316">
        <f>1369.69/639.67</f>
        <v>2.1412447043006551</v>
      </c>
      <c r="N64" s="307">
        <f>M64*AN10</f>
        <v>1369.6899999999998</v>
      </c>
      <c r="O64" s="308">
        <v>0</v>
      </c>
      <c r="P64" s="308">
        <v>0</v>
      </c>
      <c r="Q64" s="308">
        <v>0</v>
      </c>
      <c r="R64" s="309">
        <v>0.12</v>
      </c>
      <c r="S64" s="310">
        <f t="shared" si="29"/>
        <v>164.36279999999996</v>
      </c>
      <c r="T64" s="311">
        <v>0</v>
      </c>
      <c r="U64" s="311">
        <v>0</v>
      </c>
      <c r="V64" s="312">
        <v>0</v>
      </c>
      <c r="W64" s="311">
        <f t="shared" si="30"/>
        <v>0</v>
      </c>
      <c r="X64" s="1175">
        <f>127.94/N64</f>
        <v>9.3407997430075426E-2</v>
      </c>
      <c r="Y64" s="1176">
        <f t="shared" si="31"/>
        <v>127.94</v>
      </c>
      <c r="Z64" s="701">
        <f>253.43/N64</f>
        <v>0.18502726894406765</v>
      </c>
      <c r="AA64" s="700">
        <f t="shared" si="32"/>
        <v>253.42999999999998</v>
      </c>
      <c r="AB64" s="1176">
        <f>N64*(130.67/N64)</f>
        <v>130.66999999999999</v>
      </c>
      <c r="AC64" s="311">
        <f>AN10*(0%)</f>
        <v>0</v>
      </c>
      <c r="AD64" s="311">
        <f t="shared" si="33"/>
        <v>0</v>
      </c>
      <c r="AE64" s="311">
        <v>0</v>
      </c>
      <c r="AF64" s="311">
        <v>0</v>
      </c>
      <c r="AG64" s="311">
        <v>0</v>
      </c>
      <c r="AH64" s="298">
        <v>0</v>
      </c>
      <c r="AI64" s="298">
        <v>0</v>
      </c>
      <c r="AJ64" s="311">
        <v>0</v>
      </c>
      <c r="AK64" s="313">
        <f t="shared" si="34"/>
        <v>456.56333333333328</v>
      </c>
      <c r="AL64" s="313">
        <f t="shared" si="35"/>
        <v>54.787599999999991</v>
      </c>
      <c r="AM64" s="313">
        <f t="shared" si="36"/>
        <v>1369.6899999999998</v>
      </c>
      <c r="AN64" s="313">
        <f t="shared" si="37"/>
        <v>164.36279999999996</v>
      </c>
      <c r="AO64" s="302"/>
      <c r="AP64" s="302"/>
    </row>
    <row r="65" spans="2:40" s="1182" customFormat="1" x14ac:dyDescent="0.25">
      <c r="B65" s="1185" t="s">
        <v>7204</v>
      </c>
      <c r="C65" s="1185"/>
      <c r="D65" s="1185"/>
      <c r="E65" s="1185"/>
      <c r="F65" s="1185"/>
      <c r="G65" s="1185"/>
      <c r="H65" s="1185"/>
      <c r="I65" s="1185"/>
      <c r="J65" s="1185"/>
      <c r="K65" s="1185"/>
      <c r="L65" s="1185"/>
      <c r="M65" s="1185"/>
      <c r="N65" s="1191">
        <f>SUM(N56:N64)</f>
        <v>11981.811099999999</v>
      </c>
      <c r="O65" s="1191">
        <f>SUM(O56:O64)</f>
        <v>0</v>
      </c>
      <c r="P65" s="1191">
        <f>SUM(P56:P64)</f>
        <v>0</v>
      </c>
      <c r="Q65" s="1191">
        <f>SUM(Q56:Q64)</f>
        <v>0</v>
      </c>
      <c r="R65" s="1194"/>
      <c r="S65" s="1191">
        <f>SUM(S56:S64)</f>
        <v>849.19283799999994</v>
      </c>
      <c r="T65" s="1191">
        <f>SUM(T56:T64)</f>
        <v>0</v>
      </c>
      <c r="U65" s="1191">
        <f>SUM(U56:U64)</f>
        <v>0</v>
      </c>
      <c r="V65" s="1190"/>
      <c r="W65" s="1191">
        <f>SUM(W56:W64)</f>
        <v>0</v>
      </c>
      <c r="X65" s="1190"/>
      <c r="Y65" s="1191">
        <f>SUM(Y56:Y64)</f>
        <v>997.92000000000007</v>
      </c>
      <c r="Z65" s="1190"/>
      <c r="AA65" s="1191">
        <f>SUM(AA56:AA64)</f>
        <v>2323.4199999999996</v>
      </c>
      <c r="AB65" s="1191">
        <f>SUM(AB56:AB64)</f>
        <v>266.83</v>
      </c>
      <c r="AC65" s="1191">
        <f t="shared" ref="AC65:AN65" si="39">SUM(AC56:AC64)</f>
        <v>0</v>
      </c>
      <c r="AD65" s="1191">
        <f t="shared" si="39"/>
        <v>0</v>
      </c>
      <c r="AE65" s="1191">
        <f t="shared" si="39"/>
        <v>0</v>
      </c>
      <c r="AF65" s="1191">
        <f t="shared" si="39"/>
        <v>0</v>
      </c>
      <c r="AG65" s="1191">
        <f t="shared" si="39"/>
        <v>0</v>
      </c>
      <c r="AH65" s="1191">
        <f t="shared" si="39"/>
        <v>0</v>
      </c>
      <c r="AI65" s="1191">
        <f t="shared" si="39"/>
        <v>0</v>
      </c>
      <c r="AJ65" s="1191">
        <f t="shared" si="39"/>
        <v>0</v>
      </c>
      <c r="AK65" s="1191">
        <f t="shared" si="39"/>
        <v>3993.9370333333327</v>
      </c>
      <c r="AL65" s="1191">
        <f t="shared" si="39"/>
        <v>283.06427933333327</v>
      </c>
      <c r="AM65" s="1191">
        <f t="shared" si="39"/>
        <v>11981.811099999999</v>
      </c>
      <c r="AN65" s="1191">
        <f t="shared" si="39"/>
        <v>849.19283799999994</v>
      </c>
    </row>
    <row r="66" spans="2:40" x14ac:dyDescent="0.25">
      <c r="B66" s="1068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156"/>
      <c r="O66" s="1156"/>
      <c r="P66" s="1156"/>
      <c r="Q66" s="1156"/>
      <c r="R66" s="1188"/>
      <c r="S66" s="1189"/>
      <c r="T66" s="1156"/>
      <c r="U66" s="1156"/>
      <c r="V66" s="1158"/>
      <c r="W66" s="1156"/>
      <c r="X66" s="1190"/>
      <c r="Y66" s="1191"/>
      <c r="Z66" s="1192"/>
      <c r="AA66" s="1193"/>
      <c r="AB66" s="1191"/>
      <c r="AC66" s="1156"/>
      <c r="AD66" s="1156"/>
      <c r="AE66" s="1156"/>
      <c r="AF66" s="1156"/>
      <c r="AG66" s="1156"/>
      <c r="AH66" s="1156"/>
      <c r="AI66" s="1156"/>
      <c r="AJ66" s="1156"/>
      <c r="AK66" s="1156"/>
      <c r="AL66" s="1156"/>
      <c r="AM66" s="1156"/>
      <c r="AN66" s="1156"/>
    </row>
    <row r="67" spans="2:40" ht="31.5" x14ac:dyDescent="0.25">
      <c r="B67" s="295">
        <v>2369</v>
      </c>
      <c r="C67" s="304" t="s">
        <v>7206</v>
      </c>
      <c r="D67" s="304" t="s">
        <v>2694</v>
      </c>
      <c r="E67" s="304" t="s">
        <v>2757</v>
      </c>
      <c r="F67" s="304" t="s">
        <v>2787</v>
      </c>
      <c r="G67" s="304" t="s">
        <v>2803</v>
      </c>
      <c r="H67" s="305">
        <v>20</v>
      </c>
      <c r="I67" s="295">
        <v>44</v>
      </c>
      <c r="J67" s="295" t="s">
        <v>2636</v>
      </c>
      <c r="K67" s="295">
        <v>0</v>
      </c>
      <c r="L67" s="306">
        <v>43647</v>
      </c>
      <c r="M67" s="295">
        <v>2</v>
      </c>
      <c r="N67" s="307">
        <f>M67*AN10</f>
        <v>1279.3399999999999</v>
      </c>
      <c r="O67" s="308">
        <v>0</v>
      </c>
      <c r="P67" s="308">
        <v>0</v>
      </c>
      <c r="Q67" s="308">
        <v>0</v>
      </c>
      <c r="R67" s="309">
        <v>0</v>
      </c>
      <c r="S67" s="310">
        <f t="shared" ref="S67:S68" si="40">N67*R67</f>
        <v>0</v>
      </c>
      <c r="T67" s="311">
        <v>0</v>
      </c>
      <c r="U67" s="311">
        <v>0</v>
      </c>
      <c r="V67" s="312">
        <v>0</v>
      </c>
      <c r="W67" s="311">
        <f t="shared" ref="W67:W68" si="41">N67*V67</f>
        <v>0</v>
      </c>
      <c r="X67" s="1175">
        <f>76.76/N67</f>
        <v>5.9999687338784066E-2</v>
      </c>
      <c r="Y67" s="1176">
        <f t="shared" ref="Y67:Y68" si="42">N67*X67</f>
        <v>76.760000000000005</v>
      </c>
      <c r="Z67" s="701">
        <f>255.87/N67</f>
        <v>0.20000156330607971</v>
      </c>
      <c r="AA67" s="700">
        <f t="shared" ref="AA67:AA68" si="43">N67*Z67</f>
        <v>255.87</v>
      </c>
      <c r="AB67" s="1176">
        <f t="shared" ref="AB67:AB68" si="44">N67*(0%)</f>
        <v>0</v>
      </c>
      <c r="AC67" s="311">
        <f>AN19*(0%)</f>
        <v>0</v>
      </c>
      <c r="AD67" s="311">
        <f>AO$9*(0%)</f>
        <v>0</v>
      </c>
      <c r="AE67" s="311">
        <v>0</v>
      </c>
      <c r="AF67" s="311">
        <v>0</v>
      </c>
      <c r="AG67" s="311">
        <v>0</v>
      </c>
      <c r="AH67" s="298">
        <v>0</v>
      </c>
      <c r="AI67" s="298">
        <v>0</v>
      </c>
      <c r="AJ67" s="311">
        <v>0</v>
      </c>
      <c r="AK67" s="313">
        <f t="shared" ref="AK67:AK68" si="45">(N67+T67+U67)/3</f>
        <v>426.44666666666666</v>
      </c>
      <c r="AL67" s="313">
        <f t="shared" ref="AL67:AL68" si="46">AK67*R67</f>
        <v>0</v>
      </c>
      <c r="AM67" s="313">
        <f t="shared" ref="AM67:AM68" si="47">N67</f>
        <v>1279.3399999999999</v>
      </c>
      <c r="AN67" s="313">
        <f t="shared" ref="AN67:AN68" si="48">AM67*R67</f>
        <v>0</v>
      </c>
    </row>
    <row r="68" spans="2:40" ht="31.5" x14ac:dyDescent="0.25">
      <c r="B68" s="295">
        <v>2368</v>
      </c>
      <c r="C68" s="304" t="s">
        <v>7207</v>
      </c>
      <c r="D68" s="304" t="s">
        <v>2694</v>
      </c>
      <c r="E68" s="304" t="s">
        <v>2757</v>
      </c>
      <c r="F68" s="304" t="s">
        <v>2787</v>
      </c>
      <c r="G68" s="304" t="s">
        <v>2803</v>
      </c>
      <c r="H68" s="305">
        <v>20</v>
      </c>
      <c r="I68" s="295">
        <v>44</v>
      </c>
      <c r="J68" s="295" t="s">
        <v>2636</v>
      </c>
      <c r="K68" s="295">
        <v>0</v>
      </c>
      <c r="L68" s="306">
        <v>43530</v>
      </c>
      <c r="M68" s="295">
        <v>2</v>
      </c>
      <c r="N68" s="307">
        <f>M68*AN10</f>
        <v>1279.3399999999999</v>
      </c>
      <c r="O68" s="308">
        <v>0</v>
      </c>
      <c r="P68" s="308">
        <v>0</v>
      </c>
      <c r="Q68" s="308">
        <v>0</v>
      </c>
      <c r="R68" s="309">
        <v>0</v>
      </c>
      <c r="S68" s="310">
        <f t="shared" si="40"/>
        <v>0</v>
      </c>
      <c r="T68" s="311">
        <v>0</v>
      </c>
      <c r="U68" s="311">
        <v>0</v>
      </c>
      <c r="V68" s="312">
        <v>0</v>
      </c>
      <c r="W68" s="311">
        <f t="shared" si="41"/>
        <v>0</v>
      </c>
      <c r="X68" s="1175">
        <f>76.76/N68</f>
        <v>5.9999687338784066E-2</v>
      </c>
      <c r="Y68" s="1176">
        <f t="shared" si="42"/>
        <v>76.760000000000005</v>
      </c>
      <c r="Z68" s="701">
        <v>0</v>
      </c>
      <c r="AA68" s="700">
        <f t="shared" si="43"/>
        <v>0</v>
      </c>
      <c r="AB68" s="1176">
        <f t="shared" si="44"/>
        <v>0</v>
      </c>
      <c r="AC68" s="311">
        <f>AN20*(0%)</f>
        <v>0</v>
      </c>
      <c r="AD68" s="311">
        <f>AO$9*(0%)</f>
        <v>0</v>
      </c>
      <c r="AE68" s="311">
        <v>0</v>
      </c>
      <c r="AF68" s="311">
        <v>0</v>
      </c>
      <c r="AG68" s="311">
        <v>0</v>
      </c>
      <c r="AH68" s="298">
        <v>0</v>
      </c>
      <c r="AI68" s="298">
        <v>0</v>
      </c>
      <c r="AJ68" s="311">
        <v>0</v>
      </c>
      <c r="AK68" s="313">
        <f t="shared" si="45"/>
        <v>426.44666666666666</v>
      </c>
      <c r="AL68" s="313">
        <f t="shared" si="46"/>
        <v>0</v>
      </c>
      <c r="AM68" s="313">
        <f t="shared" si="47"/>
        <v>1279.3399999999999</v>
      </c>
      <c r="AN68" s="313">
        <f t="shared" si="48"/>
        <v>0</v>
      </c>
    </row>
    <row r="69" spans="2:40" ht="31.5" x14ac:dyDescent="0.25">
      <c r="B69" s="295">
        <v>2325</v>
      </c>
      <c r="C69" s="304" t="s">
        <v>7208</v>
      </c>
      <c r="D69" s="304" t="s">
        <v>2643</v>
      </c>
      <c r="E69" s="304" t="s">
        <v>2757</v>
      </c>
      <c r="F69" s="304" t="s">
        <v>2787</v>
      </c>
      <c r="G69" s="304" t="s">
        <v>2803</v>
      </c>
      <c r="H69" s="305">
        <v>20</v>
      </c>
      <c r="I69" s="295">
        <v>44</v>
      </c>
      <c r="J69" s="295" t="s">
        <v>2636</v>
      </c>
      <c r="K69" s="295">
        <v>0</v>
      </c>
      <c r="L69" s="306">
        <v>43530</v>
      </c>
      <c r="M69" s="295">
        <v>1.95</v>
      </c>
      <c r="N69" s="307">
        <f>M69*AN10</f>
        <v>1247.3564999999999</v>
      </c>
      <c r="O69" s="308">
        <v>0</v>
      </c>
      <c r="P69" s="308">
        <v>0</v>
      </c>
      <c r="Q69" s="308">
        <v>0</v>
      </c>
      <c r="R69" s="309">
        <v>0</v>
      </c>
      <c r="S69" s="310">
        <f t="shared" ref="S69" si="49">N69*R69</f>
        <v>0</v>
      </c>
      <c r="T69" s="311">
        <v>0</v>
      </c>
      <c r="U69" s="311">
        <v>0</v>
      </c>
      <c r="V69" s="312">
        <v>0</v>
      </c>
      <c r="W69" s="311">
        <f t="shared" ref="W69" si="50">N69*V69</f>
        <v>0</v>
      </c>
      <c r="X69" s="1175">
        <f>127.94/N69</f>
        <v>0.10256891273665548</v>
      </c>
      <c r="Y69" s="1176">
        <f t="shared" ref="Y69" si="51">N69*X69</f>
        <v>127.94</v>
      </c>
      <c r="Z69" s="701">
        <f>249.47/N69</f>
        <v>0.1999989577959469</v>
      </c>
      <c r="AA69" s="700">
        <f t="shared" ref="AA69" si="52">N69*Z69</f>
        <v>249.47</v>
      </c>
      <c r="AB69" s="1176">
        <f t="shared" ref="AB69" si="53">N69*(0%)</f>
        <v>0</v>
      </c>
      <c r="AC69" s="311">
        <f>AN21*(0%)</f>
        <v>0</v>
      </c>
      <c r="AD69" s="311">
        <f>AO$9*(0%)</f>
        <v>0</v>
      </c>
      <c r="AE69" s="311">
        <v>0</v>
      </c>
      <c r="AF69" s="311">
        <v>0</v>
      </c>
      <c r="AG69" s="311">
        <v>0</v>
      </c>
      <c r="AH69" s="298">
        <v>0</v>
      </c>
      <c r="AI69" s="298">
        <v>0</v>
      </c>
      <c r="AJ69" s="311">
        <v>0</v>
      </c>
      <c r="AK69" s="313">
        <f t="shared" ref="AK69" si="54">(N69+T69+U69)/3</f>
        <v>415.78549999999996</v>
      </c>
      <c r="AL69" s="313">
        <f t="shared" ref="AL69" si="55">AK69*R69</f>
        <v>0</v>
      </c>
      <c r="AM69" s="313">
        <f t="shared" ref="AM69" si="56">N69</f>
        <v>1247.3564999999999</v>
      </c>
      <c r="AN69" s="313">
        <f t="shared" ref="AN69" si="57">AM69*R69</f>
        <v>0</v>
      </c>
    </row>
    <row r="70" spans="2:40" s="299" customFormat="1" ht="31.5" x14ac:dyDescent="0.25">
      <c r="B70" s="295">
        <v>2322</v>
      </c>
      <c r="C70" s="304" t="s">
        <v>7209</v>
      </c>
      <c r="D70" s="304" t="s">
        <v>2687</v>
      </c>
      <c r="E70" s="304" t="s">
        <v>2757</v>
      </c>
      <c r="F70" s="304" t="s">
        <v>2787</v>
      </c>
      <c r="G70" s="304" t="s">
        <v>2803</v>
      </c>
      <c r="H70" s="305">
        <v>20</v>
      </c>
      <c r="I70" s="295">
        <v>40</v>
      </c>
      <c r="J70" s="295" t="s">
        <v>2636</v>
      </c>
      <c r="K70" s="295">
        <v>0</v>
      </c>
      <c r="L70" s="306">
        <v>43530</v>
      </c>
      <c r="M70" s="295">
        <v>2.4</v>
      </c>
      <c r="N70" s="307">
        <f>M70*AN10</f>
        <v>1535.2079999999999</v>
      </c>
      <c r="O70" s="308">
        <v>0</v>
      </c>
      <c r="P70" s="308">
        <v>0</v>
      </c>
      <c r="Q70" s="308">
        <v>0</v>
      </c>
      <c r="R70" s="309">
        <v>0</v>
      </c>
      <c r="S70" s="310">
        <f>N70*R70</f>
        <v>0</v>
      </c>
      <c r="T70" s="311">
        <v>0</v>
      </c>
      <c r="U70" s="311">
        <v>0</v>
      </c>
      <c r="V70" s="312">
        <v>0</v>
      </c>
      <c r="W70" s="311">
        <f>N70*V70</f>
        <v>0</v>
      </c>
      <c r="X70" s="1175">
        <f>76.76/N70</f>
        <v>4.9999739448986724E-2</v>
      </c>
      <c r="Y70" s="1176">
        <f>N70*X70</f>
        <v>76.760000000000005</v>
      </c>
      <c r="Z70" s="701">
        <f>307.04/N70</f>
        <v>0.1999989577959469</v>
      </c>
      <c r="AA70" s="700">
        <f>N70*Z70</f>
        <v>307.04000000000002</v>
      </c>
      <c r="AB70" s="1176">
        <f>N70*(0%)</f>
        <v>0</v>
      </c>
      <c r="AC70" s="311">
        <f>AN10*(0%)</f>
        <v>0</v>
      </c>
      <c r="AD70" s="311">
        <f>AO$9*(0%)</f>
        <v>0</v>
      </c>
      <c r="AE70" s="311">
        <v>0</v>
      </c>
      <c r="AF70" s="311">
        <v>0</v>
      </c>
      <c r="AG70" s="311">
        <v>0</v>
      </c>
      <c r="AH70" s="298">
        <v>0</v>
      </c>
      <c r="AI70" s="298">
        <v>0</v>
      </c>
      <c r="AJ70" s="311">
        <v>0</v>
      </c>
      <c r="AK70" s="313">
        <f>(N70+T70+U70)/3</f>
        <v>511.73599999999993</v>
      </c>
      <c r="AL70" s="313">
        <f>AK70*R70</f>
        <v>0</v>
      </c>
      <c r="AM70" s="313">
        <f>N70</f>
        <v>1535.2079999999999</v>
      </c>
      <c r="AN70" s="313">
        <f>AM70*R70</f>
        <v>0</v>
      </c>
    </row>
    <row r="71" spans="2:40" s="1182" customFormat="1" x14ac:dyDescent="0.25">
      <c r="B71" s="1185" t="s">
        <v>7205</v>
      </c>
      <c r="C71" s="1186"/>
      <c r="D71" s="1186"/>
      <c r="E71" s="1186"/>
      <c r="F71" s="1186"/>
      <c r="G71" s="1186"/>
      <c r="H71" s="1186"/>
      <c r="I71" s="1186"/>
      <c r="J71" s="1186"/>
      <c r="K71" s="1186"/>
      <c r="L71" s="1186"/>
      <c r="M71" s="1186"/>
      <c r="N71" s="1179">
        <f>SUM(N70:N70)</f>
        <v>1535.2079999999999</v>
      </c>
      <c r="O71" s="1179">
        <f>SUM(O70:O70)</f>
        <v>0</v>
      </c>
      <c r="P71" s="1179">
        <f>SUM(P70:P70)</f>
        <v>0</v>
      </c>
      <c r="Q71" s="1179">
        <f>SUM(Q70:Q70)</f>
        <v>0</v>
      </c>
      <c r="R71" s="1187"/>
      <c r="S71" s="1179">
        <f>SUM(S70:S70)</f>
        <v>0</v>
      </c>
      <c r="T71" s="1179">
        <f>SUM(T70:T70)</f>
        <v>0</v>
      </c>
      <c r="U71" s="1179">
        <f>SUM(U70:U70)</f>
        <v>0</v>
      </c>
      <c r="V71" s="1180"/>
      <c r="W71" s="1179">
        <f>SUM(W70:W70)</f>
        <v>0</v>
      </c>
      <c r="X71" s="1180"/>
      <c r="Y71" s="1179">
        <f>SUM(Y70:Y70)</f>
        <v>76.760000000000005</v>
      </c>
      <c r="Z71" s="1180"/>
      <c r="AA71" s="1179">
        <f>SUM(AA70:AA70)</f>
        <v>307.04000000000002</v>
      </c>
      <c r="AB71" s="1179">
        <f t="shared" ref="AB71:AN71" si="58">SUM(AB70:AB70)</f>
        <v>0</v>
      </c>
      <c r="AC71" s="1179">
        <f t="shared" si="58"/>
        <v>0</v>
      </c>
      <c r="AD71" s="1179">
        <f t="shared" si="58"/>
        <v>0</v>
      </c>
      <c r="AE71" s="1179">
        <f t="shared" si="58"/>
        <v>0</v>
      </c>
      <c r="AF71" s="1179">
        <f t="shared" si="58"/>
        <v>0</v>
      </c>
      <c r="AG71" s="1179">
        <f t="shared" si="58"/>
        <v>0</v>
      </c>
      <c r="AH71" s="1179">
        <f t="shared" si="58"/>
        <v>0</v>
      </c>
      <c r="AI71" s="1179">
        <f t="shared" si="58"/>
        <v>0</v>
      </c>
      <c r="AJ71" s="1179">
        <f t="shared" si="58"/>
        <v>0</v>
      </c>
      <c r="AK71" s="1179">
        <f t="shared" si="58"/>
        <v>511.73599999999993</v>
      </c>
      <c r="AL71" s="1179">
        <f t="shared" si="58"/>
        <v>0</v>
      </c>
      <c r="AM71" s="1179">
        <f t="shared" si="58"/>
        <v>1535.2079999999999</v>
      </c>
      <c r="AN71" s="1179">
        <f t="shared" si="58"/>
        <v>0</v>
      </c>
    </row>
    <row r="72" spans="2:40" s="1182" customFormat="1" x14ac:dyDescent="0.25">
      <c r="B72" s="1185"/>
      <c r="C72" s="1186"/>
      <c r="D72" s="1186"/>
      <c r="E72" s="1186"/>
      <c r="F72" s="1186"/>
      <c r="G72" s="1186"/>
      <c r="H72" s="1186"/>
      <c r="I72" s="1186"/>
      <c r="J72" s="1186"/>
      <c r="K72" s="1186"/>
      <c r="L72" s="1186"/>
      <c r="M72" s="1186"/>
      <c r="N72" s="1179"/>
      <c r="O72" s="1179"/>
      <c r="P72" s="1179"/>
      <c r="Q72" s="1179"/>
      <c r="R72" s="1187"/>
      <c r="S72" s="1179"/>
      <c r="T72" s="1179"/>
      <c r="U72" s="1179"/>
      <c r="V72" s="1180"/>
      <c r="W72" s="1179"/>
      <c r="X72" s="1180"/>
      <c r="Y72" s="1179"/>
      <c r="Z72" s="1180"/>
      <c r="AA72" s="1179"/>
      <c r="AB72" s="1179"/>
      <c r="AC72" s="1179"/>
      <c r="AD72" s="1179"/>
      <c r="AE72" s="1179"/>
      <c r="AF72" s="1179"/>
      <c r="AG72" s="1179"/>
      <c r="AH72" s="1179"/>
      <c r="AI72" s="1179"/>
      <c r="AJ72" s="1179"/>
      <c r="AK72" s="1179"/>
      <c r="AL72" s="1179"/>
      <c r="AM72" s="1179"/>
      <c r="AN72" s="1179"/>
    </row>
    <row r="73" spans="2:40" s="299" customFormat="1" ht="15.75" x14ac:dyDescent="0.25">
      <c r="B73" s="295">
        <v>2327</v>
      </c>
      <c r="C73" s="314" t="s">
        <v>7211</v>
      </c>
      <c r="D73" s="304" t="s">
        <v>2692</v>
      </c>
      <c r="E73" s="304" t="s">
        <v>2757</v>
      </c>
      <c r="F73" s="304" t="s">
        <v>2787</v>
      </c>
      <c r="G73" s="304" t="s">
        <v>2804</v>
      </c>
      <c r="H73" s="305">
        <v>20</v>
      </c>
      <c r="I73" s="295">
        <v>0</v>
      </c>
      <c r="J73" s="295" t="s">
        <v>2636</v>
      </c>
      <c r="K73" s="295">
        <v>0</v>
      </c>
      <c r="L73" s="306">
        <v>43535</v>
      </c>
      <c r="M73" s="295">
        <v>1.95</v>
      </c>
      <c r="N73" s="307">
        <f>M73*AN10</f>
        <v>1247.3564999999999</v>
      </c>
      <c r="O73" s="308">
        <v>0</v>
      </c>
      <c r="P73" s="308">
        <v>0</v>
      </c>
      <c r="Q73" s="308">
        <v>0</v>
      </c>
      <c r="R73" s="309">
        <v>0</v>
      </c>
      <c r="S73" s="310">
        <f t="shared" ref="S73:S80" si="59">N73*R73</f>
        <v>0</v>
      </c>
      <c r="T73" s="311">
        <v>0</v>
      </c>
      <c r="U73" s="311">
        <v>0</v>
      </c>
      <c r="V73" s="312">
        <v>0</v>
      </c>
      <c r="W73" s="311">
        <f t="shared" ref="W73:W80" si="60">N73*V73</f>
        <v>0</v>
      </c>
      <c r="X73" s="1175">
        <f>127.94/N73</f>
        <v>0.10256891273665548</v>
      </c>
      <c r="Y73" s="1176">
        <f t="shared" ref="Y73:Y80" si="61">N73*X73</f>
        <v>127.94</v>
      </c>
      <c r="Z73" s="701">
        <v>0</v>
      </c>
      <c r="AA73" s="700">
        <f t="shared" ref="AA73:AA80" si="62">N73*Z73</f>
        <v>0</v>
      </c>
      <c r="AB73" s="1176">
        <f>N73*(0%)</f>
        <v>0</v>
      </c>
      <c r="AC73" s="311">
        <f>AN3*(0%)</f>
        <v>0</v>
      </c>
      <c r="AD73" s="311">
        <f t="shared" ref="AD73:AD80" si="63">AO$9*(0%)</f>
        <v>0</v>
      </c>
      <c r="AE73" s="311">
        <v>0</v>
      </c>
      <c r="AF73" s="311">
        <v>0</v>
      </c>
      <c r="AG73" s="311">
        <v>0</v>
      </c>
      <c r="AH73" s="298">
        <v>0</v>
      </c>
      <c r="AI73" s="298">
        <v>0</v>
      </c>
      <c r="AJ73" s="311">
        <v>0</v>
      </c>
      <c r="AK73" s="313">
        <f t="shared" ref="AK73:AK80" si="64">(N73+T73+U73)/3</f>
        <v>415.78549999999996</v>
      </c>
      <c r="AL73" s="313">
        <f t="shared" ref="AL73:AL80" si="65">AK73*R73</f>
        <v>0</v>
      </c>
      <c r="AM73" s="313">
        <f t="shared" ref="AM73:AM80" si="66">N73</f>
        <v>1247.3564999999999</v>
      </c>
      <c r="AN73" s="313">
        <f t="shared" ref="AN73:AN80" si="67">AM73*R73</f>
        <v>0</v>
      </c>
    </row>
    <row r="74" spans="2:40" ht="15.75" x14ac:dyDescent="0.25">
      <c r="B74" s="295">
        <v>2352</v>
      </c>
      <c r="C74" s="304" t="s">
        <v>2805</v>
      </c>
      <c r="D74" s="304" t="s">
        <v>2654</v>
      </c>
      <c r="E74" s="304" t="s">
        <v>2757</v>
      </c>
      <c r="F74" s="304" t="s">
        <v>2787</v>
      </c>
      <c r="G74" s="304" t="s">
        <v>2804</v>
      </c>
      <c r="H74" s="305">
        <v>20</v>
      </c>
      <c r="I74" s="295">
        <v>44</v>
      </c>
      <c r="J74" s="295" t="s">
        <v>2636</v>
      </c>
      <c r="K74" s="295">
        <v>0</v>
      </c>
      <c r="L74" s="306">
        <v>43588</v>
      </c>
      <c r="M74" s="295">
        <v>2</v>
      </c>
      <c r="N74" s="307">
        <f>M74*AN10</f>
        <v>1279.3399999999999</v>
      </c>
      <c r="O74" s="308">
        <v>0</v>
      </c>
      <c r="P74" s="308">
        <v>0</v>
      </c>
      <c r="Q74" s="308">
        <v>0</v>
      </c>
      <c r="R74" s="309">
        <v>0</v>
      </c>
      <c r="S74" s="310">
        <f t="shared" si="59"/>
        <v>0</v>
      </c>
      <c r="T74" s="311">
        <v>0</v>
      </c>
      <c r="U74" s="311">
        <v>0</v>
      </c>
      <c r="V74" s="312">
        <v>0</v>
      </c>
      <c r="W74" s="311">
        <f t="shared" si="60"/>
        <v>0</v>
      </c>
      <c r="X74" s="1175">
        <f>76.76/N74</f>
        <v>5.9999687338784066E-2</v>
      </c>
      <c r="Y74" s="1176">
        <f t="shared" si="61"/>
        <v>76.760000000000005</v>
      </c>
      <c r="Z74" s="701">
        <f>0/N74</f>
        <v>0</v>
      </c>
      <c r="AA74" s="700">
        <f t="shared" si="62"/>
        <v>0</v>
      </c>
      <c r="AB74" s="1176">
        <f>N74*(0)</f>
        <v>0</v>
      </c>
      <c r="AC74" s="311">
        <f>AN8*(0%)</f>
        <v>0</v>
      </c>
      <c r="AD74" s="311">
        <f t="shared" si="63"/>
        <v>0</v>
      </c>
      <c r="AE74" s="311">
        <v>0</v>
      </c>
      <c r="AF74" s="311">
        <v>0</v>
      </c>
      <c r="AG74" s="311">
        <v>0</v>
      </c>
      <c r="AH74" s="298">
        <v>0</v>
      </c>
      <c r="AI74" s="298">
        <v>0</v>
      </c>
      <c r="AJ74" s="311">
        <v>0</v>
      </c>
      <c r="AK74" s="313">
        <f t="shared" si="64"/>
        <v>426.44666666666666</v>
      </c>
      <c r="AL74" s="313">
        <f t="shared" si="65"/>
        <v>0</v>
      </c>
      <c r="AM74" s="313">
        <f t="shared" si="66"/>
        <v>1279.3399999999999</v>
      </c>
      <c r="AN74" s="313">
        <f t="shared" si="67"/>
        <v>0</v>
      </c>
    </row>
    <row r="75" spans="2:40" s="299" customFormat="1" ht="15.75" x14ac:dyDescent="0.25">
      <c r="B75" s="295">
        <v>2353</v>
      </c>
      <c r="C75" s="304" t="s">
        <v>7212</v>
      </c>
      <c r="D75" s="304" t="s">
        <v>2654</v>
      </c>
      <c r="E75" s="304" t="s">
        <v>2757</v>
      </c>
      <c r="F75" s="304" t="s">
        <v>2787</v>
      </c>
      <c r="G75" s="304" t="s">
        <v>2804</v>
      </c>
      <c r="H75" s="305">
        <v>20</v>
      </c>
      <c r="I75" s="295">
        <v>44</v>
      </c>
      <c r="J75" s="295" t="s">
        <v>2636</v>
      </c>
      <c r="K75" s="295">
        <v>0</v>
      </c>
      <c r="L75" s="306">
        <v>43588</v>
      </c>
      <c r="M75" s="295">
        <v>2</v>
      </c>
      <c r="N75" s="307">
        <f>M75*AN10</f>
        <v>1279.3399999999999</v>
      </c>
      <c r="O75" s="308">
        <v>0</v>
      </c>
      <c r="P75" s="308">
        <v>0</v>
      </c>
      <c r="Q75" s="308">
        <v>0</v>
      </c>
      <c r="R75" s="309">
        <v>0</v>
      </c>
      <c r="S75" s="310">
        <f t="shared" si="59"/>
        <v>0</v>
      </c>
      <c r="T75" s="311">
        <v>0</v>
      </c>
      <c r="U75" s="311">
        <v>0</v>
      </c>
      <c r="V75" s="312">
        <v>0</v>
      </c>
      <c r="W75" s="311">
        <f t="shared" si="60"/>
        <v>0</v>
      </c>
      <c r="X75" s="1175">
        <f>76.76/N75</f>
        <v>5.9999687338784066E-2</v>
      </c>
      <c r="Y75" s="1176">
        <f t="shared" si="61"/>
        <v>76.760000000000005</v>
      </c>
      <c r="Z75" s="701">
        <v>0</v>
      </c>
      <c r="AA75" s="700">
        <f t="shared" si="62"/>
        <v>0</v>
      </c>
      <c r="AB75" s="1176">
        <f>N75*(39.54/N75)</f>
        <v>39.54</v>
      </c>
      <c r="AC75" s="311">
        <f>AN8*(0%)</f>
        <v>0</v>
      </c>
      <c r="AD75" s="311">
        <f t="shared" si="63"/>
        <v>0</v>
      </c>
      <c r="AE75" s="311">
        <v>0</v>
      </c>
      <c r="AF75" s="311">
        <v>0</v>
      </c>
      <c r="AG75" s="311">
        <v>0</v>
      </c>
      <c r="AH75" s="298">
        <v>0</v>
      </c>
      <c r="AI75" s="298">
        <v>0</v>
      </c>
      <c r="AJ75" s="311">
        <v>0</v>
      </c>
      <c r="AK75" s="313">
        <f t="shared" si="64"/>
        <v>426.44666666666666</v>
      </c>
      <c r="AL75" s="313">
        <f t="shared" si="65"/>
        <v>0</v>
      </c>
      <c r="AM75" s="313">
        <f t="shared" si="66"/>
        <v>1279.3399999999999</v>
      </c>
      <c r="AN75" s="313">
        <f t="shared" si="67"/>
        <v>0</v>
      </c>
    </row>
    <row r="76" spans="2:40" ht="15.75" x14ac:dyDescent="0.25">
      <c r="B76" s="295">
        <v>2315</v>
      </c>
      <c r="C76" s="304" t="s">
        <v>7213</v>
      </c>
      <c r="D76" s="304" t="s">
        <v>2654</v>
      </c>
      <c r="E76" s="304" t="s">
        <v>2757</v>
      </c>
      <c r="F76" s="304" t="s">
        <v>2787</v>
      </c>
      <c r="G76" s="304" t="s">
        <v>2804</v>
      </c>
      <c r="H76" s="305">
        <v>20</v>
      </c>
      <c r="I76" s="295">
        <v>44</v>
      </c>
      <c r="J76" s="295" t="s">
        <v>2636</v>
      </c>
      <c r="K76" s="295">
        <v>0</v>
      </c>
      <c r="L76" s="306">
        <v>43514</v>
      </c>
      <c r="M76" s="295">
        <v>2</v>
      </c>
      <c r="N76" s="307">
        <f>M76*AN10</f>
        <v>1279.3399999999999</v>
      </c>
      <c r="O76" s="308">
        <v>0</v>
      </c>
      <c r="P76" s="308">
        <v>0</v>
      </c>
      <c r="Q76" s="308">
        <v>0</v>
      </c>
      <c r="R76" s="309">
        <v>0</v>
      </c>
      <c r="S76" s="310">
        <f t="shared" si="59"/>
        <v>0</v>
      </c>
      <c r="T76" s="311">
        <v>0</v>
      </c>
      <c r="U76" s="311">
        <v>0</v>
      </c>
      <c r="V76" s="312">
        <v>0</v>
      </c>
      <c r="W76" s="311">
        <f t="shared" si="60"/>
        <v>0</v>
      </c>
      <c r="X76" s="1175">
        <f>76.76/N76</f>
        <v>5.9999687338784066E-2</v>
      </c>
      <c r="Y76" s="1176">
        <f t="shared" si="61"/>
        <v>76.760000000000005</v>
      </c>
      <c r="Z76" s="701">
        <f>0/N76</f>
        <v>0</v>
      </c>
      <c r="AA76" s="700">
        <f t="shared" si="62"/>
        <v>0</v>
      </c>
      <c r="AB76" s="1176">
        <f>N76*(39.54/N76)</f>
        <v>39.54</v>
      </c>
      <c r="AC76" s="311">
        <f>AN10*(0%)</f>
        <v>0</v>
      </c>
      <c r="AD76" s="311">
        <f t="shared" si="63"/>
        <v>0</v>
      </c>
      <c r="AE76" s="311">
        <v>0</v>
      </c>
      <c r="AF76" s="311">
        <v>0</v>
      </c>
      <c r="AG76" s="311">
        <v>0</v>
      </c>
      <c r="AH76" s="298">
        <v>0</v>
      </c>
      <c r="AI76" s="298">
        <v>0</v>
      </c>
      <c r="AJ76" s="311">
        <v>0</v>
      </c>
      <c r="AK76" s="313">
        <f t="shared" si="64"/>
        <v>426.44666666666666</v>
      </c>
      <c r="AL76" s="313">
        <f t="shared" si="65"/>
        <v>0</v>
      </c>
      <c r="AM76" s="313">
        <f t="shared" si="66"/>
        <v>1279.3399999999999</v>
      </c>
      <c r="AN76" s="313">
        <f t="shared" si="67"/>
        <v>0</v>
      </c>
    </row>
    <row r="77" spans="2:40" s="299" customFormat="1" ht="15.75" x14ac:dyDescent="0.25">
      <c r="B77" s="295">
        <v>2270</v>
      </c>
      <c r="C77" s="304" t="s">
        <v>7214</v>
      </c>
      <c r="D77" s="304" t="s">
        <v>2654</v>
      </c>
      <c r="E77" s="304" t="s">
        <v>2757</v>
      </c>
      <c r="F77" s="304" t="s">
        <v>2787</v>
      </c>
      <c r="G77" s="304" t="s">
        <v>2804</v>
      </c>
      <c r="H77" s="305">
        <v>20</v>
      </c>
      <c r="I77" s="295">
        <v>44</v>
      </c>
      <c r="J77" s="295" t="s">
        <v>2636</v>
      </c>
      <c r="K77" s="295">
        <v>0</v>
      </c>
      <c r="L77" s="306">
        <v>43224</v>
      </c>
      <c r="M77" s="295">
        <v>2</v>
      </c>
      <c r="N77" s="307">
        <f>M77*AN10</f>
        <v>1279.3399999999999</v>
      </c>
      <c r="O77" s="308">
        <v>0</v>
      </c>
      <c r="P77" s="308">
        <v>0</v>
      </c>
      <c r="Q77" s="308">
        <v>0</v>
      </c>
      <c r="R77" s="309">
        <v>0</v>
      </c>
      <c r="S77" s="310">
        <f t="shared" si="59"/>
        <v>0</v>
      </c>
      <c r="T77" s="311">
        <v>0</v>
      </c>
      <c r="U77" s="311">
        <v>0</v>
      </c>
      <c r="V77" s="312">
        <v>0</v>
      </c>
      <c r="W77" s="311">
        <f t="shared" si="60"/>
        <v>0</v>
      </c>
      <c r="X77" s="1175">
        <f>76.76/N77</f>
        <v>5.9999687338784066E-2</v>
      </c>
      <c r="Y77" s="1176">
        <f t="shared" si="61"/>
        <v>76.760000000000005</v>
      </c>
      <c r="Z77" s="701">
        <f>255.87/N77</f>
        <v>0.20000156330607971</v>
      </c>
      <c r="AA77" s="700">
        <f t="shared" si="62"/>
        <v>255.87</v>
      </c>
      <c r="AB77" s="1176">
        <f>N77*(36.05/N77)</f>
        <v>36.049999999999997</v>
      </c>
      <c r="AC77" s="311">
        <f>AN7*(0%)</f>
        <v>0</v>
      </c>
      <c r="AD77" s="311">
        <f t="shared" si="63"/>
        <v>0</v>
      </c>
      <c r="AE77" s="311">
        <v>0</v>
      </c>
      <c r="AF77" s="311">
        <v>0</v>
      </c>
      <c r="AG77" s="311">
        <v>0</v>
      </c>
      <c r="AH77" s="298">
        <v>0</v>
      </c>
      <c r="AI77" s="298">
        <v>0</v>
      </c>
      <c r="AJ77" s="311">
        <v>0</v>
      </c>
      <c r="AK77" s="313">
        <f t="shared" si="64"/>
        <v>426.44666666666666</v>
      </c>
      <c r="AL77" s="313">
        <f t="shared" si="65"/>
        <v>0</v>
      </c>
      <c r="AM77" s="313">
        <f t="shared" si="66"/>
        <v>1279.3399999999999</v>
      </c>
      <c r="AN77" s="313">
        <f t="shared" si="67"/>
        <v>0</v>
      </c>
    </row>
    <row r="78" spans="2:40" s="299" customFormat="1" ht="15.75" x14ac:dyDescent="0.25">
      <c r="B78" s="295">
        <v>2351</v>
      </c>
      <c r="C78" s="304" t="s">
        <v>2927</v>
      </c>
      <c r="D78" s="304" t="s">
        <v>2654</v>
      </c>
      <c r="E78" s="304" t="s">
        <v>2757</v>
      </c>
      <c r="F78" s="304" t="s">
        <v>2787</v>
      </c>
      <c r="G78" s="304" t="s">
        <v>2804</v>
      </c>
      <c r="H78" s="305">
        <v>20</v>
      </c>
      <c r="I78" s="295">
        <v>44</v>
      </c>
      <c r="J78" s="295" t="s">
        <v>2636</v>
      </c>
      <c r="K78" s="295">
        <v>0</v>
      </c>
      <c r="L78" s="306">
        <v>43588</v>
      </c>
      <c r="M78" s="295">
        <v>2</v>
      </c>
      <c r="N78" s="307">
        <f>M78*AN10</f>
        <v>1279.3399999999999</v>
      </c>
      <c r="O78" s="308">
        <v>0</v>
      </c>
      <c r="P78" s="308">
        <v>0</v>
      </c>
      <c r="Q78" s="308">
        <v>0</v>
      </c>
      <c r="R78" s="309">
        <v>0</v>
      </c>
      <c r="S78" s="310">
        <f t="shared" si="59"/>
        <v>0</v>
      </c>
      <c r="T78" s="311">
        <v>0</v>
      </c>
      <c r="U78" s="311">
        <v>0</v>
      </c>
      <c r="V78" s="312">
        <v>0</v>
      </c>
      <c r="W78" s="311">
        <f t="shared" si="60"/>
        <v>0</v>
      </c>
      <c r="X78" s="1175">
        <f>0/N78</f>
        <v>0</v>
      </c>
      <c r="Y78" s="1176">
        <f t="shared" si="61"/>
        <v>0</v>
      </c>
      <c r="Z78" s="701">
        <v>0</v>
      </c>
      <c r="AA78" s="700">
        <f t="shared" si="62"/>
        <v>0</v>
      </c>
      <c r="AB78" s="1176">
        <f>N78*(1.74/N78)</f>
        <v>1.74</v>
      </c>
      <c r="AC78" s="311">
        <f>AN8*(0%)</f>
        <v>0</v>
      </c>
      <c r="AD78" s="311">
        <f t="shared" si="63"/>
        <v>0</v>
      </c>
      <c r="AE78" s="311">
        <v>0</v>
      </c>
      <c r="AF78" s="311">
        <v>0</v>
      </c>
      <c r="AG78" s="311">
        <v>0</v>
      </c>
      <c r="AH78" s="298">
        <v>0</v>
      </c>
      <c r="AI78" s="298">
        <v>0</v>
      </c>
      <c r="AJ78" s="311">
        <v>0</v>
      </c>
      <c r="AK78" s="313">
        <f t="shared" si="64"/>
        <v>426.44666666666666</v>
      </c>
      <c r="AL78" s="313">
        <f t="shared" si="65"/>
        <v>0</v>
      </c>
      <c r="AM78" s="313">
        <f t="shared" si="66"/>
        <v>1279.3399999999999</v>
      </c>
      <c r="AN78" s="313">
        <f t="shared" si="67"/>
        <v>0</v>
      </c>
    </row>
    <row r="79" spans="2:40" s="299" customFormat="1" ht="15.75" x14ac:dyDescent="0.25">
      <c r="B79" s="295">
        <v>2326</v>
      </c>
      <c r="C79" s="314" t="s">
        <v>7215</v>
      </c>
      <c r="D79" s="304" t="s">
        <v>2692</v>
      </c>
      <c r="E79" s="304" t="s">
        <v>2757</v>
      </c>
      <c r="F79" s="304" t="s">
        <v>2787</v>
      </c>
      <c r="G79" s="304" t="s">
        <v>2804</v>
      </c>
      <c r="H79" s="305">
        <v>20</v>
      </c>
      <c r="I79" s="295">
        <v>0</v>
      </c>
      <c r="J79" s="295" t="s">
        <v>2636</v>
      </c>
      <c r="K79" s="295">
        <v>0</v>
      </c>
      <c r="L79" s="306">
        <v>43530</v>
      </c>
      <c r="M79" s="295">
        <v>1.95</v>
      </c>
      <c r="N79" s="307">
        <f>M79*AN10</f>
        <v>1247.3564999999999</v>
      </c>
      <c r="O79" s="308">
        <v>0</v>
      </c>
      <c r="P79" s="308">
        <v>0</v>
      </c>
      <c r="Q79" s="308">
        <v>0</v>
      </c>
      <c r="R79" s="309">
        <v>0</v>
      </c>
      <c r="S79" s="310">
        <f t="shared" si="59"/>
        <v>0</v>
      </c>
      <c r="T79" s="311">
        <v>0</v>
      </c>
      <c r="U79" s="311">
        <v>0</v>
      </c>
      <c r="V79" s="312">
        <v>0</v>
      </c>
      <c r="W79" s="311">
        <f t="shared" si="60"/>
        <v>0</v>
      </c>
      <c r="X79" s="1175">
        <f>127.94/N79</f>
        <v>0.10256891273665548</v>
      </c>
      <c r="Y79" s="1176">
        <f t="shared" si="61"/>
        <v>127.94</v>
      </c>
      <c r="Z79" s="701">
        <v>0</v>
      </c>
      <c r="AA79" s="700">
        <f t="shared" si="62"/>
        <v>0</v>
      </c>
      <c r="AB79" s="1176">
        <f>N79*(0%)</f>
        <v>0</v>
      </c>
      <c r="AC79" s="311">
        <f>AN10*(0%)</f>
        <v>0</v>
      </c>
      <c r="AD79" s="311">
        <f t="shared" si="63"/>
        <v>0</v>
      </c>
      <c r="AE79" s="311">
        <v>0</v>
      </c>
      <c r="AF79" s="311">
        <v>0</v>
      </c>
      <c r="AG79" s="311">
        <v>0</v>
      </c>
      <c r="AH79" s="298">
        <v>0</v>
      </c>
      <c r="AI79" s="298">
        <v>0</v>
      </c>
      <c r="AJ79" s="311">
        <v>0</v>
      </c>
      <c r="AK79" s="313">
        <f t="shared" si="64"/>
        <v>415.78549999999996</v>
      </c>
      <c r="AL79" s="313">
        <f t="shared" si="65"/>
        <v>0</v>
      </c>
      <c r="AM79" s="313">
        <f t="shared" si="66"/>
        <v>1247.3564999999999</v>
      </c>
      <c r="AN79" s="313">
        <f t="shared" si="67"/>
        <v>0</v>
      </c>
    </row>
    <row r="80" spans="2:40" s="299" customFormat="1" ht="15.75" x14ac:dyDescent="0.25">
      <c r="B80" s="295">
        <v>2313</v>
      </c>
      <c r="C80" s="304" t="s">
        <v>7216</v>
      </c>
      <c r="D80" s="304" t="s">
        <v>2654</v>
      </c>
      <c r="E80" s="304" t="s">
        <v>2757</v>
      </c>
      <c r="F80" s="304" t="s">
        <v>2787</v>
      </c>
      <c r="G80" s="304" t="s">
        <v>2804</v>
      </c>
      <c r="H80" s="305">
        <v>20</v>
      </c>
      <c r="I80" s="295">
        <v>44</v>
      </c>
      <c r="J80" s="295" t="s">
        <v>2636</v>
      </c>
      <c r="K80" s="295">
        <v>0</v>
      </c>
      <c r="L80" s="306">
        <v>43510</v>
      </c>
      <c r="M80" s="295">
        <v>2</v>
      </c>
      <c r="N80" s="307">
        <f>M80*AN10</f>
        <v>1279.3399999999999</v>
      </c>
      <c r="O80" s="308">
        <v>0</v>
      </c>
      <c r="P80" s="308">
        <v>0</v>
      </c>
      <c r="Q80" s="308">
        <v>0</v>
      </c>
      <c r="R80" s="309">
        <v>0</v>
      </c>
      <c r="S80" s="310">
        <f t="shared" si="59"/>
        <v>0</v>
      </c>
      <c r="T80" s="311">
        <v>0</v>
      </c>
      <c r="U80" s="311">
        <v>0</v>
      </c>
      <c r="V80" s="312">
        <v>0</v>
      </c>
      <c r="W80" s="311">
        <f t="shared" si="60"/>
        <v>0</v>
      </c>
      <c r="X80" s="1175">
        <f>76.76/N80</f>
        <v>5.9999687338784066E-2</v>
      </c>
      <c r="Y80" s="1176">
        <f t="shared" si="61"/>
        <v>76.760000000000005</v>
      </c>
      <c r="Z80" s="701">
        <v>0</v>
      </c>
      <c r="AA80" s="700">
        <f t="shared" si="62"/>
        <v>0</v>
      </c>
      <c r="AB80" s="1176">
        <f>N80*(37.22/N80)</f>
        <v>37.22</v>
      </c>
      <c r="AC80" s="311">
        <f>AN10*(0%)</f>
        <v>0</v>
      </c>
      <c r="AD80" s="311">
        <f t="shared" si="63"/>
        <v>0</v>
      </c>
      <c r="AE80" s="311">
        <v>0</v>
      </c>
      <c r="AF80" s="311">
        <v>0</v>
      </c>
      <c r="AG80" s="311">
        <v>0</v>
      </c>
      <c r="AH80" s="298">
        <v>0</v>
      </c>
      <c r="AI80" s="298">
        <v>0</v>
      </c>
      <c r="AJ80" s="311">
        <v>0</v>
      </c>
      <c r="AK80" s="313">
        <f t="shared" si="64"/>
        <v>426.44666666666666</v>
      </c>
      <c r="AL80" s="313">
        <f t="shared" si="65"/>
        <v>0</v>
      </c>
      <c r="AM80" s="313">
        <f t="shared" si="66"/>
        <v>1279.3399999999999</v>
      </c>
      <c r="AN80" s="313">
        <f t="shared" si="67"/>
        <v>0</v>
      </c>
    </row>
    <row r="81" spans="2:40" s="1196" customFormat="1" x14ac:dyDescent="0.25">
      <c r="B81" s="1185" t="s">
        <v>7210</v>
      </c>
      <c r="C81" s="1185"/>
      <c r="D81" s="1185"/>
      <c r="E81" s="1185"/>
      <c r="F81" s="1185"/>
      <c r="G81" s="1185"/>
      <c r="H81" s="1185"/>
      <c r="I81" s="1185"/>
      <c r="J81" s="1185"/>
      <c r="K81" s="1185"/>
      <c r="L81" s="1185"/>
      <c r="M81" s="1185"/>
      <c r="N81" s="1191">
        <f>SUM(N73:N80)</f>
        <v>10170.753000000001</v>
      </c>
      <c r="O81" s="1191">
        <f>SUM(O73:O80)</f>
        <v>0</v>
      </c>
      <c r="P81" s="1191">
        <f>SUM(P73:P80)</f>
        <v>0</v>
      </c>
      <c r="Q81" s="1191">
        <f>SUM(Q73:Q80)</f>
        <v>0</v>
      </c>
      <c r="R81" s="1194"/>
      <c r="S81" s="1191">
        <f t="shared" ref="S81:T81" si="68">SUM(S73:S80)</f>
        <v>0</v>
      </c>
      <c r="T81" s="1191">
        <f t="shared" si="68"/>
        <v>0</v>
      </c>
      <c r="U81" s="1191">
        <f>SUM(U73:U80)</f>
        <v>0</v>
      </c>
      <c r="V81" s="1190"/>
      <c r="W81" s="1191">
        <f>SUM(W73:W80)</f>
        <v>0</v>
      </c>
      <c r="X81" s="1190"/>
      <c r="Y81" s="1191">
        <f>SUM(Y73:Y80)</f>
        <v>639.67999999999995</v>
      </c>
      <c r="Z81" s="1190"/>
      <c r="AA81" s="1191">
        <f t="shared" ref="AA81:AN81" si="69">SUM(AA73:AA80)</f>
        <v>255.87</v>
      </c>
      <c r="AB81" s="1191">
        <f t="shared" si="69"/>
        <v>154.08999999999997</v>
      </c>
      <c r="AC81" s="1191">
        <f t="shared" si="69"/>
        <v>0</v>
      </c>
      <c r="AD81" s="1191">
        <f t="shared" si="69"/>
        <v>0</v>
      </c>
      <c r="AE81" s="1191">
        <f t="shared" si="69"/>
        <v>0</v>
      </c>
      <c r="AF81" s="1191">
        <f t="shared" si="69"/>
        <v>0</v>
      </c>
      <c r="AG81" s="1191">
        <f t="shared" si="69"/>
        <v>0</v>
      </c>
      <c r="AH81" s="1191">
        <f t="shared" si="69"/>
        <v>0</v>
      </c>
      <c r="AI81" s="1191">
        <f t="shared" si="69"/>
        <v>0</v>
      </c>
      <c r="AJ81" s="1191">
        <f t="shared" si="69"/>
        <v>0</v>
      </c>
      <c r="AK81" s="1191">
        <f t="shared" si="69"/>
        <v>3390.2510000000002</v>
      </c>
      <c r="AL81" s="1191">
        <f t="shared" si="69"/>
        <v>0</v>
      </c>
      <c r="AM81" s="1191">
        <f t="shared" si="69"/>
        <v>10170.753000000001</v>
      </c>
      <c r="AN81" s="1191">
        <f t="shared" si="69"/>
        <v>0</v>
      </c>
    </row>
    <row r="82" spans="2:40" s="1196" customFormat="1" x14ac:dyDescent="0.25">
      <c r="B82" s="1185"/>
      <c r="C82" s="1185"/>
      <c r="D82" s="1185"/>
      <c r="E82" s="1185"/>
      <c r="F82" s="1185"/>
      <c r="G82" s="1185"/>
      <c r="H82" s="1185"/>
      <c r="I82" s="1185"/>
      <c r="J82" s="1185"/>
      <c r="K82" s="1185"/>
      <c r="L82" s="1185"/>
      <c r="M82" s="1185"/>
      <c r="N82" s="1191"/>
      <c r="O82" s="1191"/>
      <c r="P82" s="1191"/>
      <c r="Q82" s="1191"/>
      <c r="R82" s="1194"/>
      <c r="S82" s="1191"/>
      <c r="T82" s="1191"/>
      <c r="U82" s="1191"/>
      <c r="V82" s="1190"/>
      <c r="W82" s="1191"/>
      <c r="X82" s="1190"/>
      <c r="Y82" s="1191"/>
      <c r="Z82" s="1190"/>
      <c r="AA82" s="1191"/>
      <c r="AB82" s="1191"/>
      <c r="AC82" s="1191"/>
      <c r="AD82" s="1191"/>
      <c r="AE82" s="1191"/>
      <c r="AF82" s="1191"/>
      <c r="AG82" s="1191"/>
      <c r="AH82" s="1191"/>
      <c r="AI82" s="1191"/>
      <c r="AJ82" s="1191"/>
      <c r="AK82" s="1191"/>
      <c r="AL82" s="1191"/>
      <c r="AM82" s="1191"/>
      <c r="AN82" s="1191"/>
    </row>
    <row r="83" spans="2:40" s="299" customFormat="1" ht="15.75" x14ac:dyDescent="0.25">
      <c r="B83" s="295">
        <v>2013</v>
      </c>
      <c r="C83" s="314" t="str">
        <f>PROPER("EDER OLIVEIRA NUNES")</f>
        <v>Eder Oliveira Nunes</v>
      </c>
      <c r="D83" s="304" t="s">
        <v>2692</v>
      </c>
      <c r="E83" s="304" t="s">
        <v>2739</v>
      </c>
      <c r="F83" s="304" t="s">
        <v>2787</v>
      </c>
      <c r="G83" s="304" t="s">
        <v>2804</v>
      </c>
      <c r="H83" s="305">
        <v>20</v>
      </c>
      <c r="I83" s="295">
        <v>0</v>
      </c>
      <c r="J83" s="295" t="s">
        <v>2636</v>
      </c>
      <c r="K83" s="295">
        <v>0</v>
      </c>
      <c r="L83" s="306">
        <v>42417</v>
      </c>
      <c r="M83" s="295">
        <v>1.95</v>
      </c>
      <c r="N83" s="307">
        <f>M83*AN10</f>
        <v>1247.3564999999999</v>
      </c>
      <c r="O83" s="308">
        <v>0</v>
      </c>
      <c r="P83" s="308">
        <v>0</v>
      </c>
      <c r="Q83" s="308">
        <v>0</v>
      </c>
      <c r="R83" s="309">
        <v>0.04</v>
      </c>
      <c r="S83" s="310">
        <f>N83*R83</f>
        <v>49.894259999999996</v>
      </c>
      <c r="T83" s="311">
        <v>0</v>
      </c>
      <c r="U83" s="311">
        <v>0</v>
      </c>
      <c r="V83" s="312">
        <v>0</v>
      </c>
      <c r="W83" s="311">
        <f>N83*V83</f>
        <v>0</v>
      </c>
      <c r="X83" s="1175">
        <f>127.94/N83</f>
        <v>0.10256891273665548</v>
      </c>
      <c r="Y83" s="1176">
        <f>N83*X83</f>
        <v>127.94</v>
      </c>
      <c r="Z83" s="701">
        <f>249.47/N83</f>
        <v>0.1999989577959469</v>
      </c>
      <c r="AA83" s="700">
        <f>N83*Z83</f>
        <v>249.47</v>
      </c>
      <c r="AB83" s="1176">
        <f>N83*(0%)</f>
        <v>0</v>
      </c>
      <c r="AC83" s="311">
        <f>AN10*(0%)</f>
        <v>0</v>
      </c>
      <c r="AD83" s="311">
        <f>AO$9*(0%)</f>
        <v>0</v>
      </c>
      <c r="AE83" s="311">
        <v>0</v>
      </c>
      <c r="AF83" s="311">
        <v>0</v>
      </c>
      <c r="AG83" s="311">
        <v>0</v>
      </c>
      <c r="AH83" s="298">
        <v>0</v>
      </c>
      <c r="AI83" s="298">
        <v>0</v>
      </c>
      <c r="AJ83" s="311">
        <v>0</v>
      </c>
      <c r="AK83" s="313">
        <f>(N83+T83+U83)/3</f>
        <v>415.78549999999996</v>
      </c>
      <c r="AL83" s="313">
        <f>AK83*R83</f>
        <v>16.631419999999999</v>
      </c>
      <c r="AM83" s="313">
        <f>N83</f>
        <v>1247.3564999999999</v>
      </c>
      <c r="AN83" s="313">
        <f>AM83*R83</f>
        <v>49.894259999999996</v>
      </c>
    </row>
    <row r="84" spans="2:40" s="299" customFormat="1" ht="15.75" x14ac:dyDescent="0.25">
      <c r="B84" s="295">
        <v>1908</v>
      </c>
      <c r="C84" s="314" t="str">
        <f>PROPER("ROBSON DA SILVA SILVEIRA")</f>
        <v>Robson Da Silva Silveira</v>
      </c>
      <c r="D84" s="304" t="s">
        <v>2692</v>
      </c>
      <c r="E84" s="304" t="s">
        <v>2739</v>
      </c>
      <c r="F84" s="304" t="s">
        <v>2787</v>
      </c>
      <c r="G84" s="304" t="s">
        <v>2804</v>
      </c>
      <c r="H84" s="305">
        <v>20</v>
      </c>
      <c r="I84" s="295">
        <v>0</v>
      </c>
      <c r="J84" s="295" t="s">
        <v>2636</v>
      </c>
      <c r="K84" s="295">
        <v>0</v>
      </c>
      <c r="L84" s="306">
        <v>42054</v>
      </c>
      <c r="M84" s="295">
        <v>1.95</v>
      </c>
      <c r="N84" s="307">
        <f>M84*AN10</f>
        <v>1247.3564999999999</v>
      </c>
      <c r="O84" s="308">
        <v>0</v>
      </c>
      <c r="P84" s="308">
        <v>0</v>
      </c>
      <c r="Q84" s="308">
        <v>0</v>
      </c>
      <c r="R84" s="309">
        <v>0.05</v>
      </c>
      <c r="S84" s="310">
        <f>N84*R84</f>
        <v>62.367824999999996</v>
      </c>
      <c r="T84" s="311">
        <v>0</v>
      </c>
      <c r="U84" s="311">
        <v>0</v>
      </c>
      <c r="V84" s="312">
        <v>0</v>
      </c>
      <c r="W84" s="311">
        <f>N84*V84</f>
        <v>0</v>
      </c>
      <c r="X84" s="1175">
        <f>127.94/N84</f>
        <v>0.10256891273665548</v>
      </c>
      <c r="Y84" s="1176">
        <f>N84*X84</f>
        <v>127.94</v>
      </c>
      <c r="Z84" s="701">
        <f>0/N84</f>
        <v>0</v>
      </c>
      <c r="AA84" s="700">
        <f>0*Z84</f>
        <v>0</v>
      </c>
      <c r="AB84" s="1176">
        <f>N84*(0%)</f>
        <v>0</v>
      </c>
      <c r="AC84" s="311">
        <f>AN10*(0%)</f>
        <v>0</v>
      </c>
      <c r="AD84" s="311">
        <f>AO$9*(0%)</f>
        <v>0</v>
      </c>
      <c r="AE84" s="311">
        <v>0</v>
      </c>
      <c r="AF84" s="311">
        <v>0</v>
      </c>
      <c r="AG84" s="311">
        <v>0</v>
      </c>
      <c r="AH84" s="298">
        <v>0</v>
      </c>
      <c r="AI84" s="298">
        <v>0</v>
      </c>
      <c r="AJ84" s="311">
        <v>0</v>
      </c>
      <c r="AK84" s="313">
        <f>(N84+T84+U84)/3</f>
        <v>415.78549999999996</v>
      </c>
      <c r="AL84" s="313">
        <f>AK84*R84</f>
        <v>20.789275</v>
      </c>
      <c r="AM84" s="313">
        <f>N84</f>
        <v>1247.3564999999999</v>
      </c>
      <c r="AN84" s="313">
        <f>AM84*R84</f>
        <v>62.367824999999996</v>
      </c>
    </row>
    <row r="85" spans="2:40" s="299" customFormat="1" ht="15.75" x14ac:dyDescent="0.25">
      <c r="B85" s="295">
        <v>1942</v>
      </c>
      <c r="C85" s="314" t="str">
        <f>PROPER("GREICE SILVA SILVEIRA")</f>
        <v>Greice Silva Silveira</v>
      </c>
      <c r="D85" s="304" t="s">
        <v>2692</v>
      </c>
      <c r="E85" s="304" t="s">
        <v>2739</v>
      </c>
      <c r="F85" s="304" t="s">
        <v>2787</v>
      </c>
      <c r="G85" s="304" t="s">
        <v>2804</v>
      </c>
      <c r="H85" s="305">
        <v>20</v>
      </c>
      <c r="I85" s="295">
        <v>0</v>
      </c>
      <c r="J85" s="295" t="s">
        <v>2636</v>
      </c>
      <c r="K85" s="295">
        <v>0</v>
      </c>
      <c r="L85" s="306">
        <v>42108</v>
      </c>
      <c r="M85" s="295">
        <v>2.0299999999999998</v>
      </c>
      <c r="N85" s="307">
        <f>M85*AN10</f>
        <v>1298.5300999999997</v>
      </c>
      <c r="O85" s="308">
        <v>0</v>
      </c>
      <c r="P85" s="308">
        <v>0</v>
      </c>
      <c r="Q85" s="308">
        <v>0</v>
      </c>
      <c r="R85" s="309">
        <v>0.04</v>
      </c>
      <c r="S85" s="310">
        <f>N85*R85</f>
        <v>51.941203999999992</v>
      </c>
      <c r="T85" s="311">
        <v>0</v>
      </c>
      <c r="U85" s="311">
        <v>0</v>
      </c>
      <c r="V85" s="312">
        <v>0</v>
      </c>
      <c r="W85" s="311">
        <f>N85*V85</f>
        <v>0</v>
      </c>
      <c r="X85" s="1175">
        <f>127.94/N85</f>
        <v>9.8526788096787304E-2</v>
      </c>
      <c r="Y85" s="1176">
        <f>N85*X85</f>
        <v>127.94</v>
      </c>
      <c r="Z85" s="701">
        <f>0/N85</f>
        <v>0</v>
      </c>
      <c r="AA85" s="700">
        <f>0*Z85</f>
        <v>0</v>
      </c>
      <c r="AB85" s="1176">
        <f>N85*(0%)</f>
        <v>0</v>
      </c>
      <c r="AC85" s="311">
        <f>AN10*(0%)</f>
        <v>0</v>
      </c>
      <c r="AD85" s="311">
        <f>AO$9*(0%)</f>
        <v>0</v>
      </c>
      <c r="AE85" s="311">
        <v>0</v>
      </c>
      <c r="AF85" s="311">
        <v>0</v>
      </c>
      <c r="AG85" s="311">
        <v>0</v>
      </c>
      <c r="AH85" s="298">
        <v>0</v>
      </c>
      <c r="AI85" s="298">
        <v>0</v>
      </c>
      <c r="AJ85" s="311">
        <v>0</v>
      </c>
      <c r="AK85" s="313">
        <f>(N85+T85+U85)/3</f>
        <v>432.84336666666655</v>
      </c>
      <c r="AL85" s="313">
        <f>AK85*R85</f>
        <v>17.313734666666662</v>
      </c>
      <c r="AM85" s="313">
        <f>N85</f>
        <v>1298.5300999999997</v>
      </c>
      <c r="AN85" s="313">
        <f>AM85*R85</f>
        <v>51.941203999999992</v>
      </c>
    </row>
    <row r="86" spans="2:40" s="1182" customFormat="1" x14ac:dyDescent="0.25">
      <c r="B86" s="1185" t="s">
        <v>7217</v>
      </c>
      <c r="C86" s="1185"/>
      <c r="D86" s="1185"/>
      <c r="E86" s="1185"/>
      <c r="F86" s="1185"/>
      <c r="G86" s="1185"/>
      <c r="H86" s="1185"/>
      <c r="I86" s="1185"/>
      <c r="J86" s="1185"/>
      <c r="K86" s="1185"/>
      <c r="L86" s="1185"/>
      <c r="M86" s="1185"/>
      <c r="N86" s="1191">
        <f>SUM(N83:N85)</f>
        <v>3793.2430999999997</v>
      </c>
      <c r="O86" s="1191">
        <f>SUM(O83:O85)</f>
        <v>0</v>
      </c>
      <c r="P86" s="1191">
        <f>SUM(P83:P85)</f>
        <v>0</v>
      </c>
      <c r="Q86" s="1191">
        <f>SUM(Q83:Q85)</f>
        <v>0</v>
      </c>
      <c r="R86" s="1194"/>
      <c r="S86" s="1191">
        <f>SUM(S83:S85)</f>
        <v>164.20328899999998</v>
      </c>
      <c r="T86" s="1191">
        <f t="shared" ref="T86" si="70">SUM(T83:T85)</f>
        <v>0</v>
      </c>
      <c r="U86" s="1191">
        <f>SUM(U83:U85)</f>
        <v>0</v>
      </c>
      <c r="V86" s="1190"/>
      <c r="W86" s="1191">
        <f>SUM(W83:W85)</f>
        <v>0</v>
      </c>
      <c r="X86" s="1190"/>
      <c r="Y86" s="1191">
        <f>SUM(Y83:Y85)</f>
        <v>383.82</v>
      </c>
      <c r="Z86" s="1190"/>
      <c r="AA86" s="1191">
        <f t="shared" ref="AA86:AN86" si="71">SUM(AA83:AA85)</f>
        <v>249.47</v>
      </c>
      <c r="AB86" s="1191">
        <f t="shared" si="71"/>
        <v>0</v>
      </c>
      <c r="AC86" s="1191">
        <f t="shared" si="71"/>
        <v>0</v>
      </c>
      <c r="AD86" s="1191">
        <f t="shared" si="71"/>
        <v>0</v>
      </c>
      <c r="AE86" s="1191">
        <f t="shared" si="71"/>
        <v>0</v>
      </c>
      <c r="AF86" s="1191">
        <f t="shared" si="71"/>
        <v>0</v>
      </c>
      <c r="AG86" s="1191">
        <f t="shared" si="71"/>
        <v>0</v>
      </c>
      <c r="AH86" s="1191">
        <f t="shared" si="71"/>
        <v>0</v>
      </c>
      <c r="AI86" s="1191">
        <f t="shared" si="71"/>
        <v>0</v>
      </c>
      <c r="AJ86" s="1191">
        <f t="shared" si="71"/>
        <v>0</v>
      </c>
      <c r="AK86" s="1191">
        <f t="shared" si="71"/>
        <v>1264.4143666666664</v>
      </c>
      <c r="AL86" s="1191">
        <f t="shared" si="71"/>
        <v>54.734429666666657</v>
      </c>
      <c r="AM86" s="1191">
        <f t="shared" si="71"/>
        <v>3793.2430999999997</v>
      </c>
      <c r="AN86" s="1191">
        <f t="shared" si="71"/>
        <v>164.20328899999998</v>
      </c>
    </row>
    <row r="87" spans="2:40" x14ac:dyDescent="0.25">
      <c r="B87" s="1065"/>
      <c r="C87" s="1065"/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88"/>
      <c r="O87" s="1088"/>
      <c r="P87" s="1088"/>
      <c r="Q87" s="1088"/>
      <c r="R87" s="1075"/>
      <c r="S87" s="1089"/>
      <c r="T87" s="1088"/>
      <c r="U87" s="1088"/>
      <c r="V87" s="315"/>
      <c r="W87" s="1088"/>
      <c r="X87" s="1180"/>
      <c r="Y87" s="1179"/>
      <c r="Z87" s="1164"/>
      <c r="AA87" s="699"/>
      <c r="AB87" s="1179"/>
      <c r="AC87" s="1088"/>
      <c r="AD87" s="1088"/>
      <c r="AE87" s="1088"/>
      <c r="AF87" s="1088"/>
      <c r="AG87" s="1088"/>
      <c r="AH87" s="1088"/>
      <c r="AI87" s="1088"/>
      <c r="AJ87" s="1088"/>
      <c r="AK87" s="1088"/>
      <c r="AL87" s="1088"/>
      <c r="AM87" s="1088"/>
      <c r="AN87" s="1088"/>
    </row>
    <row r="88" spans="2:40" s="299" customFormat="1" ht="15.75" x14ac:dyDescent="0.25">
      <c r="B88" s="295">
        <v>2134</v>
      </c>
      <c r="C88" s="304" t="s">
        <v>2806</v>
      </c>
      <c r="D88" s="304" t="s">
        <v>2807</v>
      </c>
      <c r="E88" s="304" t="s">
        <v>2723</v>
      </c>
      <c r="F88" s="304" t="s">
        <v>2787</v>
      </c>
      <c r="G88" s="304" t="s">
        <v>2804</v>
      </c>
      <c r="H88" s="305">
        <v>20</v>
      </c>
      <c r="I88" s="295">
        <v>40</v>
      </c>
      <c r="J88" s="295" t="s">
        <v>2636</v>
      </c>
      <c r="K88" s="295">
        <v>0</v>
      </c>
      <c r="L88" s="306">
        <v>42810</v>
      </c>
      <c r="M88" s="316">
        <f>3766.95/639.67</f>
        <v>5.8888958369159097</v>
      </c>
      <c r="N88" s="307">
        <f>M88*AN10</f>
        <v>3766.95</v>
      </c>
      <c r="O88" s="308">
        <v>0</v>
      </c>
      <c r="P88" s="308">
        <v>0</v>
      </c>
      <c r="Q88" s="308">
        <v>0</v>
      </c>
      <c r="R88" s="309">
        <v>0</v>
      </c>
      <c r="S88" s="310">
        <f>N88*R88</f>
        <v>0</v>
      </c>
      <c r="T88" s="311">
        <v>0</v>
      </c>
      <c r="U88" s="311">
        <v>0</v>
      </c>
      <c r="V88" s="312">
        <v>0</v>
      </c>
      <c r="W88" s="311">
        <f>N88*V88</f>
        <v>0</v>
      </c>
      <c r="X88" s="1175">
        <f>0/N88</f>
        <v>0</v>
      </c>
      <c r="Y88" s="1176">
        <f>N88*X88</f>
        <v>0</v>
      </c>
      <c r="Z88" s="701">
        <f>0/N88</f>
        <v>0</v>
      </c>
      <c r="AA88" s="700">
        <f>N88*Z88</f>
        <v>0</v>
      </c>
      <c r="AB88" s="1176">
        <f>N88*(0%)</f>
        <v>0</v>
      </c>
      <c r="AC88" s="311">
        <f>AN10*(0%)</f>
        <v>0</v>
      </c>
      <c r="AD88" s="311">
        <f>AO$9*(0%)</f>
        <v>0</v>
      </c>
      <c r="AE88" s="311">
        <v>0</v>
      </c>
      <c r="AF88" s="311">
        <v>0</v>
      </c>
      <c r="AG88" s="311">
        <v>0</v>
      </c>
      <c r="AH88" s="298">
        <v>0</v>
      </c>
      <c r="AI88" s="298">
        <v>0</v>
      </c>
      <c r="AJ88" s="311">
        <v>0</v>
      </c>
      <c r="AK88" s="313">
        <f>(N88+T88+U88)/3</f>
        <v>1255.6499999999999</v>
      </c>
      <c r="AL88" s="313">
        <f>AK88*R88</f>
        <v>0</v>
      </c>
      <c r="AM88" s="313">
        <f>N88</f>
        <v>3766.95</v>
      </c>
      <c r="AN88" s="313">
        <f>AM88*R88</f>
        <v>0</v>
      </c>
    </row>
    <row r="89" spans="2:40" s="1196" customFormat="1" x14ac:dyDescent="0.25">
      <c r="B89" s="1185" t="s">
        <v>7218</v>
      </c>
      <c r="C89" s="1185"/>
      <c r="D89" s="1185"/>
      <c r="E89" s="1185"/>
      <c r="F89" s="1185"/>
      <c r="G89" s="1185"/>
      <c r="H89" s="1185"/>
      <c r="I89" s="1185"/>
      <c r="J89" s="1185"/>
      <c r="K89" s="1185"/>
      <c r="L89" s="1185"/>
      <c r="M89" s="1185"/>
      <c r="N89" s="1191">
        <f>SUM(N88:N88)</f>
        <v>3766.95</v>
      </c>
      <c r="O89" s="1191">
        <f>SUM(O88:O88)</f>
        <v>0</v>
      </c>
      <c r="P89" s="1191">
        <f>SUM(P88:P88)</f>
        <v>0</v>
      </c>
      <c r="Q89" s="1191">
        <f>SUM(Q88:Q88)</f>
        <v>0</v>
      </c>
      <c r="R89" s="1194"/>
      <c r="S89" s="1191">
        <f>SUM(S88:S88)</f>
        <v>0</v>
      </c>
      <c r="T89" s="1191">
        <f>SUM(T88:T88)</f>
        <v>0</v>
      </c>
      <c r="U89" s="1191">
        <f>SUM(U88:U88)</f>
        <v>0</v>
      </c>
      <c r="V89" s="1190"/>
      <c r="W89" s="1191">
        <f>SUM(W88:W88)</f>
        <v>0</v>
      </c>
      <c r="X89" s="1190"/>
      <c r="Y89" s="1191">
        <f>SUM(Y88:Y88)</f>
        <v>0</v>
      </c>
      <c r="Z89" s="1190"/>
      <c r="AA89" s="1191">
        <f>SUM(AA88:AA88)</f>
        <v>0</v>
      </c>
      <c r="AB89" s="1191">
        <f t="shared" ref="AB89:AN89" si="72">SUM(AB88:AB88)</f>
        <v>0</v>
      </c>
      <c r="AC89" s="1191">
        <f t="shared" si="72"/>
        <v>0</v>
      </c>
      <c r="AD89" s="1191">
        <f t="shared" si="72"/>
        <v>0</v>
      </c>
      <c r="AE89" s="1191">
        <f t="shared" si="72"/>
        <v>0</v>
      </c>
      <c r="AF89" s="1191">
        <f t="shared" si="72"/>
        <v>0</v>
      </c>
      <c r="AG89" s="1191">
        <f t="shared" si="72"/>
        <v>0</v>
      </c>
      <c r="AH89" s="1191">
        <f t="shared" si="72"/>
        <v>0</v>
      </c>
      <c r="AI89" s="1191">
        <f t="shared" si="72"/>
        <v>0</v>
      </c>
      <c r="AJ89" s="1191">
        <f t="shared" si="72"/>
        <v>0</v>
      </c>
      <c r="AK89" s="1191">
        <f t="shared" si="72"/>
        <v>1255.6499999999999</v>
      </c>
      <c r="AL89" s="1191">
        <f t="shared" si="72"/>
        <v>0</v>
      </c>
      <c r="AM89" s="1191">
        <f t="shared" si="72"/>
        <v>3766.95</v>
      </c>
      <c r="AN89" s="1191">
        <f t="shared" si="72"/>
        <v>0</v>
      </c>
    </row>
    <row r="90" spans="2:40" s="299" customFormat="1" x14ac:dyDescent="0.25">
      <c r="B90" s="1065"/>
      <c r="C90" s="1065"/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88"/>
      <c r="O90" s="1088"/>
      <c r="P90" s="1088"/>
      <c r="Q90" s="1088"/>
      <c r="R90" s="1075"/>
      <c r="S90" s="1089"/>
      <c r="T90" s="1088"/>
      <c r="U90" s="1088"/>
      <c r="V90" s="315"/>
      <c r="W90" s="1088"/>
      <c r="X90" s="1180"/>
      <c r="Y90" s="1179"/>
      <c r="Z90" s="1164"/>
      <c r="AA90" s="699"/>
      <c r="AB90" s="1179"/>
      <c r="AC90" s="1088"/>
      <c r="AD90" s="1088"/>
      <c r="AE90" s="1088"/>
      <c r="AF90" s="1088"/>
      <c r="AG90" s="1088"/>
      <c r="AH90" s="1088"/>
      <c r="AI90" s="1088"/>
      <c r="AJ90" s="1088"/>
      <c r="AK90" s="1088"/>
      <c r="AL90" s="1088"/>
      <c r="AM90" s="1088"/>
      <c r="AN90" s="1088"/>
    </row>
    <row r="91" spans="2:40" ht="15.75" x14ac:dyDescent="0.25">
      <c r="B91" s="295">
        <v>544</v>
      </c>
      <c r="C91" s="314" t="str">
        <f>PROPER("LORENA KROLOW")</f>
        <v>Lorena Krolow</v>
      </c>
      <c r="D91" s="304" t="s">
        <v>2643</v>
      </c>
      <c r="E91" s="304" t="s">
        <v>2739</v>
      </c>
      <c r="F91" s="304" t="s">
        <v>2649</v>
      </c>
      <c r="G91" s="304" t="s">
        <v>2890</v>
      </c>
      <c r="H91" s="305">
        <v>20</v>
      </c>
      <c r="I91" s="295">
        <v>44</v>
      </c>
      <c r="J91" s="295" t="s">
        <v>2648</v>
      </c>
      <c r="K91" s="295">
        <v>0</v>
      </c>
      <c r="L91" s="306">
        <v>37410</v>
      </c>
      <c r="M91" s="295">
        <v>2.2000000000000002</v>
      </c>
      <c r="N91" s="307">
        <f>M91*AN10</f>
        <v>1407.2740000000001</v>
      </c>
      <c r="O91" s="308">
        <v>0</v>
      </c>
      <c r="P91" s="308">
        <v>0</v>
      </c>
      <c r="Q91" s="308">
        <v>0</v>
      </c>
      <c r="R91" s="309">
        <v>0.18</v>
      </c>
      <c r="S91" s="310">
        <f>N91*R91</f>
        <v>253.30932000000001</v>
      </c>
      <c r="T91" s="311">
        <v>0</v>
      </c>
      <c r="U91" s="311">
        <v>0</v>
      </c>
      <c r="V91" s="312">
        <v>0</v>
      </c>
      <c r="W91" s="311">
        <f>N91*V91</f>
        <v>0</v>
      </c>
      <c r="X91" s="1175">
        <f>127.94/N91</f>
        <v>9.0913354471126445E-2</v>
      </c>
      <c r="Y91" s="1176">
        <f>N91*X91</f>
        <v>127.94000000000001</v>
      </c>
      <c r="Z91" s="701">
        <v>0</v>
      </c>
      <c r="AA91" s="700">
        <f>N91*Z91</f>
        <v>0</v>
      </c>
      <c r="AB91" s="1176">
        <f>N91*(0%)</f>
        <v>0</v>
      </c>
      <c r="AC91" s="311">
        <f>AN10*(0%)</f>
        <v>0</v>
      </c>
      <c r="AD91" s="311">
        <f>AO$9*(0%)</f>
        <v>0</v>
      </c>
      <c r="AE91" s="311">
        <v>0</v>
      </c>
      <c r="AF91" s="311">
        <v>0</v>
      </c>
      <c r="AG91" s="311">
        <v>0</v>
      </c>
      <c r="AH91" s="298">
        <v>0</v>
      </c>
      <c r="AI91" s="298">
        <v>0</v>
      </c>
      <c r="AJ91" s="311">
        <v>0</v>
      </c>
      <c r="AK91" s="313">
        <f>(N91+T91+U91)/3</f>
        <v>469.09133333333335</v>
      </c>
      <c r="AL91" s="313">
        <f>AK91*R91</f>
        <v>84.436440000000005</v>
      </c>
      <c r="AM91" s="313">
        <f>N91</f>
        <v>1407.2740000000001</v>
      </c>
      <c r="AN91" s="313">
        <f>AM91*R91</f>
        <v>253.30932000000001</v>
      </c>
    </row>
    <row r="92" spans="2:40" s="299" customFormat="1" ht="15.75" x14ac:dyDescent="0.25">
      <c r="B92" s="295">
        <v>2145</v>
      </c>
      <c r="C92" s="304" t="s">
        <v>2693</v>
      </c>
      <c r="D92" s="304" t="s">
        <v>2694</v>
      </c>
      <c r="E92" s="304" t="s">
        <v>2739</v>
      </c>
      <c r="F92" s="304" t="s">
        <v>2649</v>
      </c>
      <c r="G92" s="304" t="s">
        <v>2890</v>
      </c>
      <c r="H92" s="305">
        <v>20</v>
      </c>
      <c r="I92" s="295">
        <v>44</v>
      </c>
      <c r="J92" s="295" t="s">
        <v>2636</v>
      </c>
      <c r="K92" s="295">
        <v>0</v>
      </c>
      <c r="L92" s="306">
        <v>42814</v>
      </c>
      <c r="M92" s="295">
        <v>2</v>
      </c>
      <c r="N92" s="307">
        <f>M92*AN10</f>
        <v>1279.3399999999999</v>
      </c>
      <c r="O92" s="308">
        <v>0</v>
      </c>
      <c r="P92" s="308">
        <v>0</v>
      </c>
      <c r="Q92" s="308">
        <v>0</v>
      </c>
      <c r="R92" s="309">
        <v>0.03</v>
      </c>
      <c r="S92" s="310">
        <f>N92*R92</f>
        <v>38.380199999999995</v>
      </c>
      <c r="T92" s="311">
        <v>0</v>
      </c>
      <c r="U92" s="311">
        <v>0</v>
      </c>
      <c r="V92" s="312">
        <v>0</v>
      </c>
      <c r="W92" s="311">
        <f>N92*V92</f>
        <v>0</v>
      </c>
      <c r="X92" s="1175">
        <f>127.94/N92</f>
        <v>0.1000046899182391</v>
      </c>
      <c r="Y92" s="1176">
        <f>N92*X92</f>
        <v>127.94000000000001</v>
      </c>
      <c r="Z92" s="701">
        <v>0</v>
      </c>
      <c r="AA92" s="700">
        <f>N92*Z92</f>
        <v>0</v>
      </c>
      <c r="AB92" s="1176">
        <f>N92*(0%)</f>
        <v>0</v>
      </c>
      <c r="AC92" s="311">
        <f>AN10*(0%)</f>
        <v>0</v>
      </c>
      <c r="AD92" s="311">
        <f>AO$9*(0%)</f>
        <v>0</v>
      </c>
      <c r="AE92" s="311">
        <v>0</v>
      </c>
      <c r="AF92" s="311">
        <v>0</v>
      </c>
      <c r="AG92" s="311">
        <v>0</v>
      </c>
      <c r="AH92" s="298">
        <v>0</v>
      </c>
      <c r="AI92" s="298">
        <v>0</v>
      </c>
      <c r="AJ92" s="311">
        <v>0</v>
      </c>
      <c r="AK92" s="313">
        <f>(N92+T92+U92)/3</f>
        <v>426.44666666666666</v>
      </c>
      <c r="AL92" s="313">
        <f>AK92*R92</f>
        <v>12.7934</v>
      </c>
      <c r="AM92" s="313">
        <f>N92</f>
        <v>1279.3399999999999</v>
      </c>
      <c r="AN92" s="313">
        <f>AM92*R92</f>
        <v>38.380199999999995</v>
      </c>
    </row>
    <row r="93" spans="2:40" s="1196" customFormat="1" x14ac:dyDescent="0.25">
      <c r="B93" s="1185" t="s">
        <v>7219</v>
      </c>
      <c r="C93" s="1186"/>
      <c r="D93" s="1186"/>
      <c r="E93" s="1186"/>
      <c r="F93" s="1186"/>
      <c r="G93" s="1186"/>
      <c r="H93" s="1186"/>
      <c r="I93" s="1186"/>
      <c r="J93" s="1186"/>
      <c r="K93" s="1186"/>
      <c r="L93" s="1186"/>
      <c r="M93" s="1186"/>
      <c r="N93" s="1179">
        <f>SUM(N91:N92)</f>
        <v>2686.614</v>
      </c>
      <c r="O93" s="1179">
        <f t="shared" ref="O93:Q93" si="73">SUM(O91:O92)</f>
        <v>0</v>
      </c>
      <c r="P93" s="1179">
        <f t="shared" si="73"/>
        <v>0</v>
      </c>
      <c r="Q93" s="1179">
        <f t="shared" si="73"/>
        <v>0</v>
      </c>
      <c r="R93" s="1187"/>
      <c r="S93" s="1179">
        <f>SUM(S91:S92)</f>
        <v>291.68952000000002</v>
      </c>
      <c r="T93" s="1179">
        <f t="shared" ref="T93:U93" si="74">SUM(T91:T92)</f>
        <v>0</v>
      </c>
      <c r="U93" s="1179">
        <f t="shared" si="74"/>
        <v>0</v>
      </c>
      <c r="V93" s="1180"/>
      <c r="W93" s="1179">
        <f>SUM(W91:W92)</f>
        <v>0</v>
      </c>
      <c r="X93" s="1180"/>
      <c r="Y93" s="1179">
        <f>SUM(Y91:Y92)</f>
        <v>255.88000000000002</v>
      </c>
      <c r="Z93" s="1180"/>
      <c r="AA93" s="1179">
        <f t="shared" ref="AA93:AN93" si="75">SUM(AA91:AA92)</f>
        <v>0</v>
      </c>
      <c r="AB93" s="1179">
        <f t="shared" si="75"/>
        <v>0</v>
      </c>
      <c r="AC93" s="1179">
        <f t="shared" si="75"/>
        <v>0</v>
      </c>
      <c r="AD93" s="1179">
        <f t="shared" si="75"/>
        <v>0</v>
      </c>
      <c r="AE93" s="1179">
        <f t="shared" si="75"/>
        <v>0</v>
      </c>
      <c r="AF93" s="1179">
        <f t="shared" si="75"/>
        <v>0</v>
      </c>
      <c r="AG93" s="1179">
        <f t="shared" si="75"/>
        <v>0</v>
      </c>
      <c r="AH93" s="1179">
        <f t="shared" si="75"/>
        <v>0</v>
      </c>
      <c r="AI93" s="1179">
        <f t="shared" si="75"/>
        <v>0</v>
      </c>
      <c r="AJ93" s="1179">
        <f t="shared" si="75"/>
        <v>0</v>
      </c>
      <c r="AK93" s="1179">
        <f t="shared" si="75"/>
        <v>895.53800000000001</v>
      </c>
      <c r="AL93" s="1179">
        <f t="shared" si="75"/>
        <v>97.22984000000001</v>
      </c>
      <c r="AM93" s="1179">
        <f t="shared" si="75"/>
        <v>2686.614</v>
      </c>
      <c r="AN93" s="1179">
        <f t="shared" si="75"/>
        <v>291.68952000000002</v>
      </c>
    </row>
    <row r="94" spans="2:40" s="1196" customFormat="1" x14ac:dyDescent="0.25">
      <c r="B94" s="1185"/>
      <c r="C94" s="1186"/>
      <c r="D94" s="1186"/>
      <c r="E94" s="1186"/>
      <c r="F94" s="1186"/>
      <c r="G94" s="1186"/>
      <c r="H94" s="1186"/>
      <c r="I94" s="1186"/>
      <c r="J94" s="1186"/>
      <c r="K94" s="1186"/>
      <c r="L94" s="1186"/>
      <c r="M94" s="1186"/>
      <c r="N94" s="1179"/>
      <c r="O94" s="1179"/>
      <c r="P94" s="1179"/>
      <c r="Q94" s="1179"/>
      <c r="R94" s="1187"/>
      <c r="S94" s="1179"/>
      <c r="T94" s="1179"/>
      <c r="U94" s="1179"/>
      <c r="V94" s="1180"/>
      <c r="W94" s="1179"/>
      <c r="X94" s="1180"/>
      <c r="Y94" s="1179"/>
      <c r="Z94" s="1180"/>
      <c r="AA94" s="1179"/>
      <c r="AB94" s="1179"/>
      <c r="AC94" s="1179"/>
      <c r="AD94" s="1179"/>
      <c r="AE94" s="1179"/>
      <c r="AF94" s="1179"/>
      <c r="AG94" s="1179"/>
      <c r="AH94" s="1179"/>
      <c r="AI94" s="1179"/>
      <c r="AJ94" s="1179"/>
      <c r="AK94" s="1179"/>
      <c r="AL94" s="1179"/>
      <c r="AM94" s="1179"/>
      <c r="AN94" s="1179"/>
    </row>
    <row r="95" spans="2:40" s="299" customFormat="1" ht="15.75" x14ac:dyDescent="0.25">
      <c r="B95" s="295">
        <v>1960</v>
      </c>
      <c r="C95" s="314" t="s">
        <v>2698</v>
      </c>
      <c r="D95" s="304" t="s">
        <v>2699</v>
      </c>
      <c r="E95" s="304" t="s">
        <v>2739</v>
      </c>
      <c r="F95" s="304" t="s">
        <v>2640</v>
      </c>
      <c r="G95" s="304" t="s">
        <v>2898</v>
      </c>
      <c r="H95" s="305">
        <v>1</v>
      </c>
      <c r="I95" s="295">
        <v>30</v>
      </c>
      <c r="J95" s="295" t="s">
        <v>2636</v>
      </c>
      <c r="K95" s="295">
        <v>0</v>
      </c>
      <c r="L95" s="306">
        <v>42186</v>
      </c>
      <c r="M95" s="295">
        <v>4.2</v>
      </c>
      <c r="N95" s="307">
        <f>M95*AN10</f>
        <v>2686.614</v>
      </c>
      <c r="O95" s="308">
        <v>0</v>
      </c>
      <c r="P95" s="308">
        <v>0</v>
      </c>
      <c r="Q95" s="308">
        <v>0</v>
      </c>
      <c r="R95" s="309">
        <v>0.05</v>
      </c>
      <c r="S95" s="310">
        <f>N95*R95</f>
        <v>134.33070000000001</v>
      </c>
      <c r="T95" s="311">
        <v>0</v>
      </c>
      <c r="U95" s="311">
        <v>0</v>
      </c>
      <c r="V95" s="312">
        <v>0</v>
      </c>
      <c r="W95" s="311">
        <f>N95*V95</f>
        <v>0</v>
      </c>
      <c r="X95" s="1175">
        <f>51.18/N95</f>
        <v>1.9050001228311918E-2</v>
      </c>
      <c r="Y95" s="1176">
        <f>N95*X95</f>
        <v>51.18</v>
      </c>
      <c r="Z95" s="701">
        <v>0</v>
      </c>
      <c r="AA95" s="700">
        <f>N95*Z95</f>
        <v>0</v>
      </c>
      <c r="AB95" s="1176">
        <f>N95*(0%)</f>
        <v>0</v>
      </c>
      <c r="AC95" s="311">
        <f>AN10*(0%)</f>
        <v>0</v>
      </c>
      <c r="AD95" s="311">
        <f>AO$9*(0%)</f>
        <v>0</v>
      </c>
      <c r="AE95" s="311">
        <v>0</v>
      </c>
      <c r="AF95" s="311">
        <v>0</v>
      </c>
      <c r="AG95" s="311">
        <v>0</v>
      </c>
      <c r="AH95" s="298">
        <v>0</v>
      </c>
      <c r="AI95" s="298">
        <v>0</v>
      </c>
      <c r="AJ95" s="311">
        <v>0</v>
      </c>
      <c r="AK95" s="313">
        <f>(N95+T95+U95)/3</f>
        <v>895.53800000000001</v>
      </c>
      <c r="AL95" s="313">
        <f>AK95*R95</f>
        <v>44.776900000000005</v>
      </c>
      <c r="AM95" s="313">
        <f>N95</f>
        <v>2686.614</v>
      </c>
      <c r="AN95" s="313">
        <f>AM95*R95</f>
        <v>134.33070000000001</v>
      </c>
    </row>
    <row r="96" spans="2:40" x14ac:dyDescent="0.25">
      <c r="B96" s="1185" t="s">
        <v>7220</v>
      </c>
      <c r="C96" s="1065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88">
        <f>SUM(N95)</f>
        <v>2686.614</v>
      </c>
      <c r="O96" s="1088">
        <f t="shared" ref="O96:Q96" si="76">SUM(O95)</f>
        <v>0</v>
      </c>
      <c r="P96" s="1088">
        <f t="shared" si="76"/>
        <v>0</v>
      </c>
      <c r="Q96" s="1088">
        <f t="shared" si="76"/>
        <v>0</v>
      </c>
      <c r="R96" s="1075"/>
      <c r="S96" s="1088">
        <f t="shared" ref="S96:U96" si="77">SUM(S95)</f>
        <v>134.33070000000001</v>
      </c>
      <c r="T96" s="1088">
        <f t="shared" si="77"/>
        <v>0</v>
      </c>
      <c r="U96" s="1088">
        <f t="shared" si="77"/>
        <v>0</v>
      </c>
      <c r="V96" s="315"/>
      <c r="W96" s="1088">
        <f>SUM(W95)</f>
        <v>0</v>
      </c>
      <c r="X96" s="1180"/>
      <c r="Y96" s="1179">
        <f>SUM(Y95)</f>
        <v>51.18</v>
      </c>
      <c r="Z96" s="1164"/>
      <c r="AA96" s="699">
        <f t="shared" ref="AA96:AN96" si="78">SUM(AA95)</f>
        <v>0</v>
      </c>
      <c r="AB96" s="1179">
        <f t="shared" si="78"/>
        <v>0</v>
      </c>
      <c r="AC96" s="1088">
        <f t="shared" si="78"/>
        <v>0</v>
      </c>
      <c r="AD96" s="1088">
        <f t="shared" si="78"/>
        <v>0</v>
      </c>
      <c r="AE96" s="1088">
        <f t="shared" si="78"/>
        <v>0</v>
      </c>
      <c r="AF96" s="1088">
        <f t="shared" si="78"/>
        <v>0</v>
      </c>
      <c r="AG96" s="1088">
        <f t="shared" si="78"/>
        <v>0</v>
      </c>
      <c r="AH96" s="1088">
        <f t="shared" si="78"/>
        <v>0</v>
      </c>
      <c r="AI96" s="1088">
        <f t="shared" si="78"/>
        <v>0</v>
      </c>
      <c r="AJ96" s="1088">
        <f t="shared" si="78"/>
        <v>0</v>
      </c>
      <c r="AK96" s="1088">
        <f t="shared" si="78"/>
        <v>895.53800000000001</v>
      </c>
      <c r="AL96" s="1088">
        <f t="shared" si="78"/>
        <v>44.776900000000005</v>
      </c>
      <c r="AM96" s="1088">
        <f t="shared" si="78"/>
        <v>2686.614</v>
      </c>
      <c r="AN96" s="1088">
        <f t="shared" si="78"/>
        <v>134.33070000000001</v>
      </c>
    </row>
    <row r="97" spans="2:40" x14ac:dyDescent="0.25">
      <c r="B97" s="1185"/>
      <c r="C97" s="1091"/>
      <c r="D97" s="1091"/>
      <c r="E97" s="1091"/>
      <c r="F97" s="1091"/>
      <c r="G97" s="1091"/>
      <c r="H97" s="1091"/>
      <c r="I97" s="1091"/>
      <c r="J97" s="1091"/>
      <c r="K97" s="1091"/>
      <c r="L97" s="1091"/>
      <c r="M97" s="1091"/>
      <c r="N97" s="1107"/>
      <c r="O97" s="1107"/>
      <c r="P97" s="1107"/>
      <c r="Q97" s="1107"/>
      <c r="R97" s="1094"/>
      <c r="S97" s="1107"/>
      <c r="T97" s="1107"/>
      <c r="U97" s="1107"/>
      <c r="V97" s="315"/>
      <c r="W97" s="1107"/>
      <c r="X97" s="1180"/>
      <c r="Y97" s="1179"/>
      <c r="Z97" s="1164"/>
      <c r="AA97" s="699"/>
      <c r="AB97" s="1179"/>
      <c r="AC97" s="1107"/>
      <c r="AD97" s="1107"/>
      <c r="AE97" s="1107"/>
      <c r="AF97" s="1107"/>
      <c r="AG97" s="1107"/>
      <c r="AH97" s="1107"/>
      <c r="AI97" s="1107"/>
      <c r="AJ97" s="1107"/>
      <c r="AK97" s="1107"/>
      <c r="AL97" s="1107"/>
      <c r="AM97" s="1107"/>
      <c r="AN97" s="1107"/>
    </row>
    <row r="98" spans="2:40" ht="31.5" x14ac:dyDescent="0.25">
      <c r="B98" s="295">
        <v>2267</v>
      </c>
      <c r="C98" s="304" t="s">
        <v>2899</v>
      </c>
      <c r="D98" s="304" t="s">
        <v>2900</v>
      </c>
      <c r="E98" s="304" t="s">
        <v>2723</v>
      </c>
      <c r="F98" s="304" t="s">
        <v>2787</v>
      </c>
      <c r="G98" s="304" t="s">
        <v>2901</v>
      </c>
      <c r="H98" s="305">
        <v>1</v>
      </c>
      <c r="I98" s="295">
        <v>40</v>
      </c>
      <c r="J98" s="295" t="s">
        <v>2636</v>
      </c>
      <c r="K98" s="295">
        <v>0</v>
      </c>
      <c r="L98" s="306">
        <v>43256</v>
      </c>
      <c r="M98" s="295">
        <v>2</v>
      </c>
      <c r="N98" s="307">
        <f>M98*AN10</f>
        <v>1279.3399999999999</v>
      </c>
      <c r="O98" s="308">
        <v>0</v>
      </c>
      <c r="P98" s="308">
        <v>0</v>
      </c>
      <c r="Q98" s="308">
        <v>0</v>
      </c>
      <c r="R98" s="309">
        <v>0</v>
      </c>
      <c r="S98" s="310">
        <f>N98*R98</f>
        <v>0</v>
      </c>
      <c r="T98" s="311">
        <v>0</v>
      </c>
      <c r="U98" s="311">
        <v>0</v>
      </c>
      <c r="V98" s="312">
        <v>0</v>
      </c>
      <c r="W98" s="311">
        <f>N98*V98</f>
        <v>0</v>
      </c>
      <c r="X98" s="1175">
        <f>0/N98</f>
        <v>0</v>
      </c>
      <c r="Y98" s="1176">
        <f>N98*X98</f>
        <v>0</v>
      </c>
      <c r="Z98" s="701">
        <f>0/N98</f>
        <v>0</v>
      </c>
      <c r="AA98" s="700">
        <f>N98*Z98</f>
        <v>0</v>
      </c>
      <c r="AB98" s="1176">
        <f>N98*(0%)</f>
        <v>0</v>
      </c>
      <c r="AC98" s="311">
        <f>AN10*(0%)</f>
        <v>0</v>
      </c>
      <c r="AD98" s="311">
        <f>AO$9*(0%)</f>
        <v>0</v>
      </c>
      <c r="AE98" s="311">
        <v>0</v>
      </c>
      <c r="AF98" s="311">
        <v>0</v>
      </c>
      <c r="AG98" s="311">
        <v>0</v>
      </c>
      <c r="AH98" s="298">
        <v>0</v>
      </c>
      <c r="AI98" s="298">
        <v>0</v>
      </c>
      <c r="AJ98" s="311">
        <v>0</v>
      </c>
      <c r="AK98" s="313">
        <f>(N98+T98+U98)/3</f>
        <v>426.44666666666666</v>
      </c>
      <c r="AL98" s="313">
        <f>AK98*R98</f>
        <v>0</v>
      </c>
      <c r="AM98" s="313">
        <f>N98</f>
        <v>1279.3399999999999</v>
      </c>
      <c r="AN98" s="313">
        <f>AM98*R98</f>
        <v>0</v>
      </c>
    </row>
    <row r="99" spans="2:40" ht="15.75" x14ac:dyDescent="0.25">
      <c r="B99" s="295">
        <v>2114</v>
      </c>
      <c r="C99" s="314" t="str">
        <f>PROPER("CLEITON LUIS KENNE DOS SANTOS")</f>
        <v>Cleiton Luis Kenne Dos Santos</v>
      </c>
      <c r="D99" s="314" t="s">
        <v>2791</v>
      </c>
      <c r="E99" s="314" t="s">
        <v>2723</v>
      </c>
      <c r="F99" s="304" t="s">
        <v>2787</v>
      </c>
      <c r="G99" s="304" t="s">
        <v>2901</v>
      </c>
      <c r="H99" s="295">
        <v>1</v>
      </c>
      <c r="I99" s="295">
        <v>40</v>
      </c>
      <c r="J99" s="295">
        <v>0</v>
      </c>
      <c r="K99" s="295">
        <v>0</v>
      </c>
      <c r="L99" s="306">
        <v>42744</v>
      </c>
      <c r="M99" s="316">
        <v>5</v>
      </c>
      <c r="N99" s="308">
        <f>AN10*M99</f>
        <v>3198.35</v>
      </c>
      <c r="O99" s="308">
        <v>0</v>
      </c>
      <c r="P99" s="308">
        <v>0</v>
      </c>
      <c r="Q99" s="308">
        <v>0</v>
      </c>
      <c r="R99" s="317">
        <v>0</v>
      </c>
      <c r="S99" s="310">
        <f>N99*R99</f>
        <v>0</v>
      </c>
      <c r="T99" s="311">
        <v>0</v>
      </c>
      <c r="U99" s="311">
        <v>0</v>
      </c>
      <c r="V99" s="312">
        <v>0</v>
      </c>
      <c r="W99" s="311">
        <f>N99*V99</f>
        <v>0</v>
      </c>
      <c r="X99" s="1175">
        <v>0</v>
      </c>
      <c r="Y99" s="1176">
        <v>0</v>
      </c>
      <c r="Z99" s="701">
        <v>0</v>
      </c>
      <c r="AA99" s="700">
        <v>0</v>
      </c>
      <c r="AB99" s="1176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0</v>
      </c>
      <c r="AJ99" s="311">
        <v>0</v>
      </c>
      <c r="AK99" s="313">
        <f>(N99+T99+U99)/3</f>
        <v>1066.1166666666666</v>
      </c>
      <c r="AL99" s="313">
        <f>AK99*R99</f>
        <v>0</v>
      </c>
      <c r="AM99" s="313">
        <f>N99</f>
        <v>3198.35</v>
      </c>
      <c r="AN99" s="313">
        <f>AM99*R99</f>
        <v>0</v>
      </c>
    </row>
    <row r="100" spans="2:40" s="299" customFormat="1" ht="15.75" x14ac:dyDescent="0.25">
      <c r="B100" s="295">
        <v>2114</v>
      </c>
      <c r="C100" s="314" t="str">
        <f>PROPER("MARCO ANTONIO ALMEIDA CARDOSO")</f>
        <v>Marco Antonio Almeida Cardoso</v>
      </c>
      <c r="D100" s="314" t="s">
        <v>2794</v>
      </c>
      <c r="E100" s="314" t="s">
        <v>2723</v>
      </c>
      <c r="F100" s="304" t="s">
        <v>2787</v>
      </c>
      <c r="G100" s="304" t="s">
        <v>2901</v>
      </c>
      <c r="H100" s="295">
        <v>1</v>
      </c>
      <c r="I100" s="295">
        <v>40</v>
      </c>
      <c r="J100" s="295">
        <v>0</v>
      </c>
      <c r="K100" s="295">
        <v>0</v>
      </c>
      <c r="L100" s="306">
        <v>42768</v>
      </c>
      <c r="M100" s="316">
        <v>5</v>
      </c>
      <c r="N100" s="308">
        <f>AN10*M100</f>
        <v>3198.35</v>
      </c>
      <c r="O100" s="308">
        <v>0</v>
      </c>
      <c r="P100" s="308">
        <v>0</v>
      </c>
      <c r="Q100" s="308">
        <v>0</v>
      </c>
      <c r="R100" s="317">
        <v>0</v>
      </c>
      <c r="S100" s="310">
        <f>N100*R100</f>
        <v>0</v>
      </c>
      <c r="T100" s="311">
        <v>0</v>
      </c>
      <c r="U100" s="311">
        <v>0</v>
      </c>
      <c r="V100" s="312">
        <v>0</v>
      </c>
      <c r="W100" s="311">
        <f>N100*V100</f>
        <v>0</v>
      </c>
      <c r="X100" s="1175">
        <v>0</v>
      </c>
      <c r="Y100" s="1176">
        <v>0</v>
      </c>
      <c r="Z100" s="701">
        <v>0</v>
      </c>
      <c r="AA100" s="700">
        <v>0</v>
      </c>
      <c r="AB100" s="1176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3">
        <f>(N100+T100+U100)/3</f>
        <v>1066.1166666666666</v>
      </c>
      <c r="AL100" s="313">
        <f>AK100*R100</f>
        <v>0</v>
      </c>
      <c r="AM100" s="313">
        <f>N100</f>
        <v>3198.35</v>
      </c>
      <c r="AN100" s="313">
        <f>AM100*R100</f>
        <v>0</v>
      </c>
    </row>
    <row r="101" spans="2:40" s="299" customFormat="1" ht="15.75" x14ac:dyDescent="0.25">
      <c r="B101" s="295">
        <v>2200</v>
      </c>
      <c r="C101" s="304" t="s">
        <v>7221</v>
      </c>
      <c r="D101" s="304" t="s">
        <v>2902</v>
      </c>
      <c r="E101" s="304" t="s">
        <v>2723</v>
      </c>
      <c r="F101" s="304" t="s">
        <v>2787</v>
      </c>
      <c r="G101" s="304" t="s">
        <v>2901</v>
      </c>
      <c r="H101" s="305">
        <v>1</v>
      </c>
      <c r="I101" s="295">
        <v>40</v>
      </c>
      <c r="J101" s="295" t="s">
        <v>2636</v>
      </c>
      <c r="K101" s="295">
        <v>0</v>
      </c>
      <c r="L101" s="306">
        <v>43256</v>
      </c>
      <c r="M101" s="295">
        <v>3.2</v>
      </c>
      <c r="N101" s="307">
        <f>M101*AN10</f>
        <v>2046.944</v>
      </c>
      <c r="O101" s="308">
        <v>0</v>
      </c>
      <c r="P101" s="308">
        <v>0</v>
      </c>
      <c r="Q101" s="308">
        <v>0</v>
      </c>
      <c r="R101" s="309">
        <v>0</v>
      </c>
      <c r="S101" s="310">
        <f>N101*R101</f>
        <v>0</v>
      </c>
      <c r="T101" s="311">
        <v>0</v>
      </c>
      <c r="U101" s="311">
        <v>0</v>
      </c>
      <c r="V101" s="312">
        <v>0</v>
      </c>
      <c r="W101" s="311">
        <f>N101*V101</f>
        <v>0</v>
      </c>
      <c r="X101" s="1175">
        <f>0/N101</f>
        <v>0</v>
      </c>
      <c r="Y101" s="1176">
        <f>N101*X101</f>
        <v>0</v>
      </c>
      <c r="Z101" s="701">
        <f>0/N101</f>
        <v>0</v>
      </c>
      <c r="AA101" s="700">
        <f>N101*Z101</f>
        <v>0</v>
      </c>
      <c r="AB101" s="1176">
        <f>N101*(0%)</f>
        <v>0</v>
      </c>
      <c r="AC101" s="311">
        <f>AN10*(0%)</f>
        <v>0</v>
      </c>
      <c r="AD101" s="311">
        <f>AO$9*(0%)</f>
        <v>0</v>
      </c>
      <c r="AE101" s="311">
        <v>0</v>
      </c>
      <c r="AF101" s="311">
        <v>0</v>
      </c>
      <c r="AG101" s="311">
        <v>0</v>
      </c>
      <c r="AH101" s="298">
        <v>0</v>
      </c>
      <c r="AI101" s="298">
        <v>0</v>
      </c>
      <c r="AJ101" s="311">
        <v>0</v>
      </c>
      <c r="AK101" s="313">
        <f>(N101+T101+U101)/3</f>
        <v>682.31466666666665</v>
      </c>
      <c r="AL101" s="313">
        <f>AK101*R101</f>
        <v>0</v>
      </c>
      <c r="AM101" s="313">
        <f>N101</f>
        <v>2046.944</v>
      </c>
      <c r="AN101" s="313">
        <f>AM101*R101</f>
        <v>0</v>
      </c>
    </row>
    <row r="102" spans="2:40" s="1182" customFormat="1" x14ac:dyDescent="0.25">
      <c r="B102" s="1185" t="s">
        <v>7224</v>
      </c>
      <c r="C102" s="1186"/>
      <c r="D102" s="1186"/>
      <c r="E102" s="1186"/>
      <c r="F102" s="1186"/>
      <c r="G102" s="1186"/>
      <c r="H102" s="1186"/>
      <c r="I102" s="1186"/>
      <c r="J102" s="1186"/>
      <c r="K102" s="1186"/>
      <c r="L102" s="1186"/>
      <c r="M102" s="1186"/>
      <c r="N102" s="1179">
        <f>SUM(N98:N101)</f>
        <v>9722.9839999999986</v>
      </c>
      <c r="O102" s="1179">
        <f t="shared" ref="O102" si="79">SUM(O98:O101)</f>
        <v>0</v>
      </c>
      <c r="P102" s="1179">
        <f t="shared" ref="P102" si="80">SUM(P98:P101)</f>
        <v>0</v>
      </c>
      <c r="Q102" s="1179">
        <f t="shared" ref="Q102" si="81">SUM(Q98:Q101)</f>
        <v>0</v>
      </c>
      <c r="R102" s="1187"/>
      <c r="S102" s="1179">
        <f>SUM(S98:S101)</f>
        <v>0</v>
      </c>
      <c r="T102" s="1179">
        <f t="shared" ref="T102" si="82">SUM(T98:T101)</f>
        <v>0</v>
      </c>
      <c r="U102" s="1179">
        <f t="shared" ref="U102" si="83">SUM(U98:U101)</f>
        <v>0</v>
      </c>
      <c r="V102" s="1180"/>
      <c r="W102" s="1179">
        <f>SUM(W98:W101)</f>
        <v>0</v>
      </c>
      <c r="X102" s="1180"/>
      <c r="Y102" s="1179">
        <f>SUM(Y98:Y101)</f>
        <v>0</v>
      </c>
      <c r="Z102" s="1180"/>
      <c r="AA102" s="1179">
        <f t="shared" ref="AA102" si="84">SUM(AA98:AA101)</f>
        <v>0</v>
      </c>
      <c r="AB102" s="1179">
        <f t="shared" ref="AB102" si="85">SUM(AB98:AB101)</f>
        <v>0</v>
      </c>
      <c r="AC102" s="1179">
        <f t="shared" ref="AC102" si="86">SUM(AC98:AC101)</f>
        <v>0</v>
      </c>
      <c r="AD102" s="1179">
        <f t="shared" ref="AD102" si="87">SUM(AD98:AD101)</f>
        <v>0</v>
      </c>
      <c r="AE102" s="1179">
        <f t="shared" ref="AE102" si="88">SUM(AE98:AE101)</f>
        <v>0</v>
      </c>
      <c r="AF102" s="1179">
        <f t="shared" ref="AF102" si="89">SUM(AF98:AF101)</f>
        <v>0</v>
      </c>
      <c r="AG102" s="1179">
        <f t="shared" ref="AG102" si="90">SUM(AG98:AG101)</f>
        <v>0</v>
      </c>
      <c r="AH102" s="1179">
        <f t="shared" ref="AH102" si="91">SUM(AH98:AH101)</f>
        <v>0</v>
      </c>
      <c r="AI102" s="1179">
        <f t="shared" ref="AI102" si="92">SUM(AI98:AI101)</f>
        <v>0</v>
      </c>
      <c r="AJ102" s="1179">
        <f t="shared" ref="AJ102" si="93">SUM(AJ98:AJ101)</f>
        <v>0</v>
      </c>
      <c r="AK102" s="1179">
        <f t="shared" ref="AK102" si="94">SUM(AK98:AK101)</f>
        <v>3240.9946666666665</v>
      </c>
      <c r="AL102" s="1179">
        <f t="shared" ref="AL102" si="95">SUM(AL98:AL101)</f>
        <v>0</v>
      </c>
      <c r="AM102" s="1179">
        <f t="shared" ref="AM102" si="96">SUM(AM98:AM101)</f>
        <v>9722.9839999999986</v>
      </c>
      <c r="AN102" s="1179">
        <f t="shared" ref="AN102" si="97">SUM(AN98:AN101)</f>
        <v>0</v>
      </c>
    </row>
    <row r="103" spans="2:40" x14ac:dyDescent="0.25">
      <c r="B103" s="1091"/>
      <c r="C103" s="1091"/>
      <c r="D103" s="1091"/>
      <c r="E103" s="1091"/>
      <c r="F103" s="1091"/>
      <c r="G103" s="1091"/>
      <c r="H103" s="1091"/>
      <c r="I103" s="1091"/>
      <c r="J103" s="1091"/>
      <c r="K103" s="1091"/>
      <c r="L103" s="1091"/>
      <c r="M103" s="1091"/>
      <c r="N103" s="1107"/>
      <c r="O103" s="1107"/>
      <c r="P103" s="1107"/>
      <c r="Q103" s="1107"/>
      <c r="R103" s="1094"/>
      <c r="S103" s="1106"/>
      <c r="T103" s="1107"/>
      <c r="U103" s="1107"/>
      <c r="V103" s="315"/>
      <c r="W103" s="1107"/>
      <c r="X103" s="1180"/>
      <c r="Y103" s="1179"/>
      <c r="Z103" s="1164"/>
      <c r="AA103" s="699"/>
      <c r="AB103" s="1179"/>
      <c r="AC103" s="1107"/>
      <c r="AD103" s="1107"/>
      <c r="AE103" s="1107"/>
      <c r="AF103" s="1107"/>
      <c r="AG103" s="1107"/>
      <c r="AH103" s="1107"/>
      <c r="AI103" s="1107"/>
      <c r="AJ103" s="1107"/>
      <c r="AK103" s="1107"/>
      <c r="AL103" s="1107"/>
      <c r="AM103" s="1107"/>
      <c r="AN103" s="1107"/>
    </row>
    <row r="104" spans="2:40" s="299" customFormat="1" ht="15.75" x14ac:dyDescent="0.25">
      <c r="B104" s="295">
        <v>2375</v>
      </c>
      <c r="C104" s="304" t="s">
        <v>7222</v>
      </c>
      <c r="D104" s="304" t="s">
        <v>2903</v>
      </c>
      <c r="E104" s="304" t="s">
        <v>2723</v>
      </c>
      <c r="F104" s="304" t="s">
        <v>2787</v>
      </c>
      <c r="G104" s="304" t="s">
        <v>2904</v>
      </c>
      <c r="H104" s="305">
        <v>1</v>
      </c>
      <c r="I104" s="295">
        <v>40</v>
      </c>
      <c r="J104" s="295" t="s">
        <v>2636</v>
      </c>
      <c r="K104" s="295">
        <v>0</v>
      </c>
      <c r="L104" s="306">
        <v>43656</v>
      </c>
      <c r="M104" s="295">
        <v>3.2</v>
      </c>
      <c r="N104" s="307">
        <f>M104*AN10</f>
        <v>2046.944</v>
      </c>
      <c r="O104" s="308">
        <v>0</v>
      </c>
      <c r="P104" s="308">
        <v>0</v>
      </c>
      <c r="Q104" s="308">
        <v>0</v>
      </c>
      <c r="R104" s="309">
        <v>0</v>
      </c>
      <c r="S104" s="310">
        <f>N104*R104</f>
        <v>0</v>
      </c>
      <c r="T104" s="311">
        <v>0</v>
      </c>
      <c r="U104" s="311">
        <v>0</v>
      </c>
      <c r="V104" s="312">
        <v>0</v>
      </c>
      <c r="W104" s="311">
        <f>N104*V104</f>
        <v>0</v>
      </c>
      <c r="X104" s="1175">
        <f>0/N104</f>
        <v>0</v>
      </c>
      <c r="Y104" s="1176">
        <f>N104*X104</f>
        <v>0</v>
      </c>
      <c r="Z104" s="701">
        <f>0/N104</f>
        <v>0</v>
      </c>
      <c r="AA104" s="700">
        <f>N104*Z104</f>
        <v>0</v>
      </c>
      <c r="AB104" s="1176">
        <f>N104*(0%)</f>
        <v>0</v>
      </c>
      <c r="AC104" s="311">
        <f>AN10*(0%)</f>
        <v>0</v>
      </c>
      <c r="AD104" s="311">
        <f>AO$9*(0%)</f>
        <v>0</v>
      </c>
      <c r="AE104" s="311">
        <v>0</v>
      </c>
      <c r="AF104" s="311">
        <v>0</v>
      </c>
      <c r="AG104" s="311">
        <v>0</v>
      </c>
      <c r="AH104" s="298">
        <v>0</v>
      </c>
      <c r="AI104" s="298">
        <v>0</v>
      </c>
      <c r="AJ104" s="311">
        <v>0</v>
      </c>
      <c r="AK104" s="313">
        <f>(N104+T104+U104)/3</f>
        <v>682.31466666666665</v>
      </c>
      <c r="AL104" s="313">
        <f>AK104*R104</f>
        <v>0</v>
      </c>
      <c r="AM104" s="313">
        <f>N104</f>
        <v>2046.944</v>
      </c>
      <c r="AN104" s="313">
        <f>AM104*R104</f>
        <v>0</v>
      </c>
    </row>
    <row r="105" spans="2:40" s="1196" customFormat="1" x14ac:dyDescent="0.25">
      <c r="B105" s="1185" t="s">
        <v>7223</v>
      </c>
      <c r="C105" s="1185"/>
      <c r="D105" s="1185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91">
        <f>SUM(N104:N104)</f>
        <v>2046.944</v>
      </c>
      <c r="O105" s="1191">
        <f>SUM(O104:O104)</f>
        <v>0</v>
      </c>
      <c r="P105" s="1191">
        <f>SUM(P104:P104)</f>
        <v>0</v>
      </c>
      <c r="Q105" s="1191">
        <f>SUM(Q104:Q104)</f>
        <v>0</v>
      </c>
      <c r="R105" s="1194"/>
      <c r="S105" s="1191">
        <f>SUM(S104:S104)</f>
        <v>0</v>
      </c>
      <c r="T105" s="1191">
        <f>SUM(T104:T104)</f>
        <v>0</v>
      </c>
      <c r="U105" s="1191">
        <f>SUM(U104:U104)</f>
        <v>0</v>
      </c>
      <c r="V105" s="1190"/>
      <c r="W105" s="1191">
        <f>SUM(W104:W104)</f>
        <v>0</v>
      </c>
      <c r="X105" s="1190"/>
      <c r="Y105" s="1191">
        <f>SUM(Y104:Y104)</f>
        <v>0</v>
      </c>
      <c r="Z105" s="1190"/>
      <c r="AA105" s="1191">
        <f>SUM(AA104:AA104)</f>
        <v>0</v>
      </c>
      <c r="AB105" s="1191">
        <f t="shared" ref="AB105:AN105" si="98">SUM(AB104:AB104)</f>
        <v>0</v>
      </c>
      <c r="AC105" s="1191">
        <f t="shared" si="98"/>
        <v>0</v>
      </c>
      <c r="AD105" s="1191">
        <f t="shared" si="98"/>
        <v>0</v>
      </c>
      <c r="AE105" s="1191">
        <f t="shared" si="98"/>
        <v>0</v>
      </c>
      <c r="AF105" s="1191">
        <f t="shared" si="98"/>
        <v>0</v>
      </c>
      <c r="AG105" s="1191">
        <f t="shared" si="98"/>
        <v>0</v>
      </c>
      <c r="AH105" s="1191">
        <f t="shared" si="98"/>
        <v>0</v>
      </c>
      <c r="AI105" s="1191">
        <f t="shared" si="98"/>
        <v>0</v>
      </c>
      <c r="AJ105" s="1191">
        <f t="shared" si="98"/>
        <v>0</v>
      </c>
      <c r="AK105" s="1191">
        <f t="shared" si="98"/>
        <v>682.31466666666665</v>
      </c>
      <c r="AL105" s="1191">
        <f t="shared" si="98"/>
        <v>0</v>
      </c>
      <c r="AM105" s="1191">
        <f t="shared" si="98"/>
        <v>2046.944</v>
      </c>
      <c r="AN105" s="1191">
        <f t="shared" si="98"/>
        <v>0</v>
      </c>
    </row>
    <row r="106" spans="2:40" s="299" customFormat="1" x14ac:dyDescent="0.25">
      <c r="B106" s="1091"/>
      <c r="C106" s="1091"/>
      <c r="D106" s="1091"/>
      <c r="E106" s="1091"/>
      <c r="F106" s="1091"/>
      <c r="G106" s="1091"/>
      <c r="H106" s="1091"/>
      <c r="I106" s="1091"/>
      <c r="J106" s="1091"/>
      <c r="K106" s="1091"/>
      <c r="L106" s="1091"/>
      <c r="M106" s="1091"/>
      <c r="N106" s="1107"/>
      <c r="O106" s="1107"/>
      <c r="P106" s="1107"/>
      <c r="Q106" s="1107"/>
      <c r="R106" s="1094"/>
      <c r="S106" s="1106"/>
      <c r="T106" s="1107"/>
      <c r="U106" s="1107"/>
      <c r="V106" s="315"/>
      <c r="W106" s="1107"/>
      <c r="X106" s="1180"/>
      <c r="Y106" s="1179"/>
      <c r="Z106" s="1164"/>
      <c r="AA106" s="699"/>
      <c r="AB106" s="1179"/>
      <c r="AC106" s="1107"/>
      <c r="AD106" s="1107"/>
      <c r="AE106" s="1107"/>
      <c r="AF106" s="1107"/>
      <c r="AG106" s="1107"/>
      <c r="AH106" s="1107"/>
      <c r="AI106" s="1107"/>
      <c r="AJ106" s="1107"/>
      <c r="AK106" s="1107"/>
      <c r="AL106" s="1107"/>
      <c r="AM106" s="1107"/>
      <c r="AN106" s="1107"/>
    </row>
    <row r="107" spans="2:40" ht="15.75" x14ac:dyDescent="0.25">
      <c r="B107" s="295">
        <v>1220</v>
      </c>
      <c r="C107" s="314" t="s">
        <v>7225</v>
      </c>
      <c r="D107" s="304" t="s">
        <v>2796</v>
      </c>
      <c r="E107" s="304" t="s">
        <v>2739</v>
      </c>
      <c r="F107" s="304" t="s">
        <v>2787</v>
      </c>
      <c r="G107" s="304" t="s">
        <v>7226</v>
      </c>
      <c r="H107" s="305">
        <v>1</v>
      </c>
      <c r="I107" s="295">
        <v>20</v>
      </c>
      <c r="J107" s="295" t="s">
        <v>2636</v>
      </c>
      <c r="K107" s="295">
        <v>0</v>
      </c>
      <c r="L107" s="306">
        <v>43334</v>
      </c>
      <c r="M107" s="295">
        <v>2.27</v>
      </c>
      <c r="N107" s="307">
        <f>M107*AN10</f>
        <v>1452.0509</v>
      </c>
      <c r="O107" s="308">
        <v>0</v>
      </c>
      <c r="P107" s="308">
        <v>0</v>
      </c>
      <c r="Q107" s="308">
        <v>0</v>
      </c>
      <c r="R107" s="309">
        <v>0.12</v>
      </c>
      <c r="S107" s="310">
        <f>N107*R107</f>
        <v>174.24610799999999</v>
      </c>
      <c r="T107" s="311">
        <v>0</v>
      </c>
      <c r="U107" s="311">
        <v>0</v>
      </c>
      <c r="V107" s="312">
        <v>0</v>
      </c>
      <c r="W107" s="311">
        <f>N107*V107</f>
        <v>0</v>
      </c>
      <c r="X107" s="1175">
        <f>0/N107</f>
        <v>0</v>
      </c>
      <c r="Y107" s="1176">
        <f>N107*X107</f>
        <v>0</v>
      </c>
      <c r="Z107" s="701">
        <v>0</v>
      </c>
      <c r="AA107" s="700">
        <f>N107*Z107</f>
        <v>0</v>
      </c>
      <c r="AB107" s="1176">
        <f>N107*(0%)</f>
        <v>0</v>
      </c>
      <c r="AC107" s="311">
        <f>AN25*(0%)</f>
        <v>0</v>
      </c>
      <c r="AD107" s="311">
        <f>AO$9*(0%)</f>
        <v>0</v>
      </c>
      <c r="AE107" s="311">
        <v>0</v>
      </c>
      <c r="AF107" s="311">
        <v>0</v>
      </c>
      <c r="AG107" s="311">
        <v>0</v>
      </c>
      <c r="AH107" s="298">
        <v>0</v>
      </c>
      <c r="AI107" s="298">
        <v>0</v>
      </c>
      <c r="AJ107" s="311">
        <v>0</v>
      </c>
      <c r="AK107" s="313">
        <f>(N107+T107+U107)/3</f>
        <v>484.01696666666663</v>
      </c>
      <c r="AL107" s="313">
        <f>AK107*R107</f>
        <v>58.082035999999995</v>
      </c>
      <c r="AM107" s="313">
        <f>N107</f>
        <v>1452.0509</v>
      </c>
      <c r="AN107" s="313">
        <f>AM107*R107</f>
        <v>174.24610799999999</v>
      </c>
    </row>
    <row r="108" spans="2:40" s="299" customFormat="1" ht="15.75" x14ac:dyDescent="0.25">
      <c r="B108" s="295">
        <v>2145</v>
      </c>
      <c r="C108" s="304" t="s">
        <v>7227</v>
      </c>
      <c r="D108" s="304" t="s">
        <v>2796</v>
      </c>
      <c r="E108" s="304" t="s">
        <v>2739</v>
      </c>
      <c r="F108" s="304" t="s">
        <v>2787</v>
      </c>
      <c r="G108" s="304" t="s">
        <v>7226</v>
      </c>
      <c r="H108" s="305">
        <v>1</v>
      </c>
      <c r="I108" s="295">
        <v>25</v>
      </c>
      <c r="J108" s="295" t="s">
        <v>2634</v>
      </c>
      <c r="K108" s="295">
        <v>3</v>
      </c>
      <c r="L108" s="306">
        <v>38085</v>
      </c>
      <c r="M108" s="295">
        <v>2.95</v>
      </c>
      <c r="N108" s="307">
        <f>M108*AN10</f>
        <v>1887.0264999999999</v>
      </c>
      <c r="O108" s="308">
        <v>0</v>
      </c>
      <c r="P108" s="308">
        <v>0</v>
      </c>
      <c r="Q108" s="308">
        <v>0</v>
      </c>
      <c r="R108" s="309">
        <v>0.16</v>
      </c>
      <c r="S108" s="310">
        <f>N108*R108</f>
        <v>301.92424</v>
      </c>
      <c r="T108" s="311">
        <v>0</v>
      </c>
      <c r="U108" s="311">
        <v>0</v>
      </c>
      <c r="V108" s="312">
        <v>0</v>
      </c>
      <c r="W108" s="311">
        <f>N108*V108</f>
        <v>0</v>
      </c>
      <c r="X108" s="1175">
        <f>0/N108</f>
        <v>0</v>
      </c>
      <c r="Y108" s="1176">
        <f>N108*X108</f>
        <v>0</v>
      </c>
      <c r="Z108" s="701">
        <v>0</v>
      </c>
      <c r="AA108" s="700">
        <f>N108*Z108</f>
        <v>0</v>
      </c>
      <c r="AB108" s="1176">
        <f>N108*(0%)</f>
        <v>0</v>
      </c>
      <c r="AC108" s="311">
        <f>AN25*(0%)</f>
        <v>0</v>
      </c>
      <c r="AD108" s="311">
        <f>AO$9*(0%)</f>
        <v>0</v>
      </c>
      <c r="AE108" s="311">
        <v>0</v>
      </c>
      <c r="AF108" s="311">
        <v>0</v>
      </c>
      <c r="AG108" s="311">
        <v>0</v>
      </c>
      <c r="AH108" s="298">
        <v>0</v>
      </c>
      <c r="AI108" s="298">
        <v>0</v>
      </c>
      <c r="AJ108" s="311">
        <v>0</v>
      </c>
      <c r="AK108" s="313">
        <f>(N108+T108+U108)/3</f>
        <v>629.00883333333331</v>
      </c>
      <c r="AL108" s="313">
        <f>AK108*R108</f>
        <v>100.64141333333333</v>
      </c>
      <c r="AM108" s="313">
        <f>N108</f>
        <v>1887.0264999999999</v>
      </c>
      <c r="AN108" s="313">
        <f>AM108*R108</f>
        <v>301.92424</v>
      </c>
    </row>
    <row r="109" spans="2:40" s="1196" customFormat="1" x14ac:dyDescent="0.25">
      <c r="B109" s="1185" t="s">
        <v>4920</v>
      </c>
      <c r="C109" s="1186"/>
      <c r="D109" s="1186"/>
      <c r="E109" s="1186"/>
      <c r="F109" s="1186"/>
      <c r="G109" s="1186"/>
      <c r="H109" s="1186"/>
      <c r="I109" s="1186"/>
      <c r="J109" s="1186"/>
      <c r="K109" s="1186"/>
      <c r="L109" s="1186"/>
      <c r="M109" s="1186"/>
      <c r="N109" s="1179">
        <f>SUM(N107:N108)</f>
        <v>3339.0774000000001</v>
      </c>
      <c r="O109" s="1179">
        <f t="shared" ref="O109:Q109" si="99">SUM(O107:O108)</f>
        <v>0</v>
      </c>
      <c r="P109" s="1179">
        <f t="shared" si="99"/>
        <v>0</v>
      </c>
      <c r="Q109" s="1179">
        <f t="shared" si="99"/>
        <v>0</v>
      </c>
      <c r="R109" s="1187"/>
      <c r="S109" s="1179">
        <f>SUM(S107:S108)</f>
        <v>476.17034799999999</v>
      </c>
      <c r="T109" s="1179">
        <f t="shared" ref="T109:U109" si="100">SUM(T107:T108)</f>
        <v>0</v>
      </c>
      <c r="U109" s="1179">
        <f t="shared" si="100"/>
        <v>0</v>
      </c>
      <c r="V109" s="1180"/>
      <c r="W109" s="1179">
        <f>SUM(W107:W108)</f>
        <v>0</v>
      </c>
      <c r="X109" s="1180"/>
      <c r="Y109" s="1179">
        <f>SUM(Y107:Y108)</f>
        <v>0</v>
      </c>
      <c r="Z109" s="1180"/>
      <c r="AA109" s="1179">
        <f t="shared" ref="AA109:AN109" si="101">SUM(AA107:AA108)</f>
        <v>0</v>
      </c>
      <c r="AB109" s="1179">
        <f t="shared" si="101"/>
        <v>0</v>
      </c>
      <c r="AC109" s="1179">
        <f t="shared" si="101"/>
        <v>0</v>
      </c>
      <c r="AD109" s="1179">
        <f t="shared" si="101"/>
        <v>0</v>
      </c>
      <c r="AE109" s="1179">
        <f t="shared" si="101"/>
        <v>0</v>
      </c>
      <c r="AF109" s="1179">
        <f t="shared" si="101"/>
        <v>0</v>
      </c>
      <c r="AG109" s="1179">
        <f t="shared" si="101"/>
        <v>0</v>
      </c>
      <c r="AH109" s="1179">
        <f t="shared" si="101"/>
        <v>0</v>
      </c>
      <c r="AI109" s="1179">
        <f t="shared" si="101"/>
        <v>0</v>
      </c>
      <c r="AJ109" s="1179">
        <f t="shared" si="101"/>
        <v>0</v>
      </c>
      <c r="AK109" s="1179">
        <f t="shared" si="101"/>
        <v>1113.0257999999999</v>
      </c>
      <c r="AL109" s="1179">
        <f t="shared" si="101"/>
        <v>158.72344933333332</v>
      </c>
      <c r="AM109" s="1179">
        <f t="shared" si="101"/>
        <v>3339.0774000000001</v>
      </c>
      <c r="AN109" s="1179">
        <f t="shared" si="101"/>
        <v>476.17034799999999</v>
      </c>
    </row>
    <row r="110" spans="2:40" s="299" customFormat="1" ht="45" x14ac:dyDescent="0.25"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88"/>
      <c r="O110" s="1088"/>
      <c r="P110" s="1088"/>
      <c r="Q110" s="1088"/>
      <c r="R110" s="1075"/>
      <c r="S110" s="1089"/>
      <c r="T110" s="1088"/>
      <c r="U110" s="1088"/>
      <c r="V110" s="315"/>
      <c r="W110" s="1088"/>
      <c r="X110" s="1180"/>
      <c r="Y110" s="1179"/>
      <c r="Z110" s="1164"/>
      <c r="AA110" s="699"/>
      <c r="AB110" s="1195" t="s">
        <v>2761</v>
      </c>
      <c r="AC110" s="592" t="s">
        <v>2760</v>
      </c>
      <c r="AD110" s="592" t="s">
        <v>2783</v>
      </c>
      <c r="AE110" s="592" t="s">
        <v>2782</v>
      </c>
      <c r="AF110" s="592" t="s">
        <v>2743</v>
      </c>
      <c r="AG110" s="592" t="s">
        <v>2744</v>
      </c>
      <c r="AH110" s="592" t="s">
        <v>2745</v>
      </c>
      <c r="AI110" s="592" t="s">
        <v>2750</v>
      </c>
      <c r="AJ110" s="592" t="s">
        <v>2742</v>
      </c>
      <c r="AK110" s="564" t="s">
        <v>2734</v>
      </c>
      <c r="AL110" s="564" t="s">
        <v>2735</v>
      </c>
      <c r="AM110" s="299" t="s">
        <v>2736</v>
      </c>
      <c r="AN110" s="564" t="s">
        <v>2737</v>
      </c>
    </row>
    <row r="111" spans="2:40" x14ac:dyDescent="0.25">
      <c r="B111" s="1071"/>
      <c r="C111" s="571"/>
      <c r="D111" s="571"/>
      <c r="E111" s="571"/>
      <c r="F111" s="571"/>
      <c r="G111" s="615"/>
      <c r="H111" s="1071"/>
      <c r="I111" s="1071"/>
      <c r="J111" s="1071"/>
      <c r="K111" s="299"/>
      <c r="L111" s="1065"/>
      <c r="M111" s="1071"/>
      <c r="N111" s="335">
        <f>SUM(N105,N102,N96,N93,N89,N86,N81,N71,N65,N54,N37,N34,N31,N26,N23,N109,)</f>
        <v>98814.959499999997</v>
      </c>
      <c r="O111" s="335">
        <f>SUM(O105,O102,O96,O93,O89,O86,O81,O71,O65,O54,O37,O34,O31,O26,O23,O109,)</f>
        <v>0</v>
      </c>
      <c r="P111" s="335">
        <f>SUM(P105,P102,P96,P93,P89,P86,P81,P71,P65,P54,P37,P34,P31,P26,P23,P109,)</f>
        <v>0</v>
      </c>
      <c r="Q111" s="335">
        <f>SUM(Q105,Q102,Q96,Q93,Q89,Q86,Q81,Q71,Q65,Q54,Q37,Q34,Q31,Q26,Q23,Q109,)</f>
        <v>0</v>
      </c>
      <c r="R111" s="593"/>
      <c r="S111" s="335">
        <f>SUM(S105,S102,S96,S93,S89,S86,S81,S71,S65,S54,S37,S34,S31,S26,S23,S109,)</f>
        <v>5385.370402999999</v>
      </c>
      <c r="T111" s="335">
        <f t="shared" ref="T111:U111" si="102">SUM(T105,T102,T96,T93,T89,T86,T81,T71,T65,T54,T37,T34,T31,T26,T23,T109,)</f>
        <v>0</v>
      </c>
      <c r="U111" s="335">
        <f t="shared" si="102"/>
        <v>0</v>
      </c>
      <c r="V111" s="329"/>
      <c r="W111" s="335">
        <f>SUM(W105,W102,W96,W93,W89,W86,W81,W71,W65,W54,W37,W34,W31,W26,W23,W109,)</f>
        <v>0</v>
      </c>
      <c r="X111" s="1181"/>
      <c r="Y111" s="335">
        <f>SUM(Y105,Y102,Y96,Y93,Y89,Y86,Y81,Y71,Y65,Y54,Y37,Y34,Y31,Y26,Y23,Y109,)</f>
        <v>4695.21</v>
      </c>
      <c r="Z111" s="1165"/>
      <c r="AA111" s="335">
        <f>SUM(AA105,AA102,AA96,AA93,AA89,AA86,AA81,AA71,AA65,AA54,AA37,AA34,AA31,AA26,AA23,AA109,)</f>
        <v>3442.8399999999997</v>
      </c>
      <c r="AB111" s="335">
        <f>SUM(AB105,AB102,AB96,AB93,AB89,AB86,AB81,AB71,AB65,AB54,AB37,AB34,AB31,AB26,AB23,AB109,)</f>
        <v>567.2852509999999</v>
      </c>
      <c r="AC111" s="335">
        <f>SUM(AC105,AC102,AC96,AC93,AC89,AC86,AC81,AC71,AC65,AC54,AC37,AC34,AC31,AC26,AC23,AC109,)</f>
        <v>0</v>
      </c>
      <c r="AD111" s="335">
        <f t="shared" ref="AD111:AN111" si="103">SUM(AD105,AD102,AD96,AD93,AD89,AD86,AD81,AD71,AD65,AD54,AD37,AD34,AD31,AD26,AD23,AD109,)</f>
        <v>0</v>
      </c>
      <c r="AE111" s="335">
        <f t="shared" si="103"/>
        <v>0</v>
      </c>
      <c r="AF111" s="335">
        <f t="shared" si="103"/>
        <v>0</v>
      </c>
      <c r="AG111" s="335">
        <f t="shared" si="103"/>
        <v>0</v>
      </c>
      <c r="AH111" s="335">
        <f t="shared" si="103"/>
        <v>639.66999999999996</v>
      </c>
      <c r="AI111" s="335">
        <f t="shared" si="103"/>
        <v>0</v>
      </c>
      <c r="AJ111" s="335">
        <f t="shared" si="103"/>
        <v>0</v>
      </c>
      <c r="AK111" s="335">
        <f>SUM(AK105,AK102,AK96,AK93,AK89,AK86,AK81,AK71,AK65,AK54,AK37,AK34,AK31,AK26,AK23,AK109,)</f>
        <v>32938.319833333335</v>
      </c>
      <c r="AL111" s="335">
        <f t="shared" si="103"/>
        <v>1795.1234676666666</v>
      </c>
      <c r="AM111" s="335">
        <f t="shared" si="103"/>
        <v>98814.959499999997</v>
      </c>
      <c r="AN111" s="335">
        <f t="shared" si="103"/>
        <v>5385.370402999999</v>
      </c>
    </row>
    <row r="112" spans="2:40" x14ac:dyDescent="0.25">
      <c r="L112" s="295"/>
    </row>
    <row r="113" spans="2:40" x14ac:dyDescent="0.25">
      <c r="L113" s="295"/>
    </row>
    <row r="114" spans="2:40" s="299" customFormat="1" ht="72.75" customHeight="1" x14ac:dyDescent="0.25">
      <c r="B114" s="1406" t="s">
        <v>7797</v>
      </c>
      <c r="C114" s="1393" t="s">
        <v>2623</v>
      </c>
      <c r="D114" s="1393" t="s">
        <v>2624</v>
      </c>
      <c r="E114" s="1393" t="s">
        <v>2722</v>
      </c>
      <c r="F114" s="1393" t="s">
        <v>2593</v>
      </c>
      <c r="G114" s="1397" t="s">
        <v>2765</v>
      </c>
      <c r="H114" s="1400" t="s">
        <v>2729</v>
      </c>
      <c r="I114" s="1393" t="s">
        <v>2625</v>
      </c>
      <c r="J114" s="1392" t="s">
        <v>2738</v>
      </c>
      <c r="K114" s="1392" t="s">
        <v>2626</v>
      </c>
      <c r="L114" s="1393" t="s">
        <v>2627</v>
      </c>
      <c r="M114" s="1541" t="s">
        <v>2629</v>
      </c>
      <c r="N114" s="1541"/>
      <c r="O114" s="1395"/>
      <c r="P114" s="1395"/>
      <c r="Q114" s="1395"/>
      <c r="R114" s="1547" t="s">
        <v>2630</v>
      </c>
      <c r="S114" s="1547"/>
      <c r="T114" s="1396" t="s">
        <v>2740</v>
      </c>
      <c r="U114" s="1396" t="s">
        <v>2814</v>
      </c>
      <c r="V114" s="1542" t="s">
        <v>2751</v>
      </c>
      <c r="W114" s="1542"/>
      <c r="X114" s="1548" t="s">
        <v>2741</v>
      </c>
      <c r="Y114" s="1548"/>
      <c r="Z114" s="1546" t="s">
        <v>2789</v>
      </c>
      <c r="AA114" s="1546"/>
      <c r="AB114" s="1174" t="s">
        <v>2761</v>
      </c>
      <c r="AC114" s="1396" t="s">
        <v>2760</v>
      </c>
      <c r="AD114" s="1396" t="s">
        <v>2783</v>
      </c>
      <c r="AE114" s="1396" t="s">
        <v>2782</v>
      </c>
      <c r="AF114" s="1396" t="s">
        <v>2743</v>
      </c>
      <c r="AG114" s="1396" t="s">
        <v>2744</v>
      </c>
      <c r="AH114" s="1396" t="s">
        <v>2745</v>
      </c>
      <c r="AI114" s="1396" t="s">
        <v>2750</v>
      </c>
      <c r="AJ114" s="1396" t="s">
        <v>2742</v>
      </c>
      <c r="AK114" s="1399" t="s">
        <v>2734</v>
      </c>
      <c r="AL114" s="1399" t="s">
        <v>2735</v>
      </c>
      <c r="AM114" s="1394" t="s">
        <v>2736</v>
      </c>
      <c r="AN114" s="1399" t="s">
        <v>2737</v>
      </c>
    </row>
    <row r="115" spans="2:40" ht="28.5" customHeight="1" x14ac:dyDescent="0.25">
      <c r="B115" s="1096" t="s">
        <v>7136</v>
      </c>
      <c r="C115" s="1097" t="s">
        <v>7137</v>
      </c>
      <c r="D115" s="1097" t="s">
        <v>7138</v>
      </c>
      <c r="E115" s="1097" t="s">
        <v>7139</v>
      </c>
      <c r="F115" s="1097" t="s">
        <v>7140</v>
      </c>
      <c r="G115" s="1097" t="s">
        <v>7141</v>
      </c>
      <c r="H115" s="1097" t="s">
        <v>7142</v>
      </c>
      <c r="I115" s="1097" t="s">
        <v>7143</v>
      </c>
      <c r="J115" s="1097" t="s">
        <v>7144</v>
      </c>
      <c r="K115" s="1097" t="s">
        <v>7145</v>
      </c>
      <c r="L115" s="1097" t="s">
        <v>7146</v>
      </c>
      <c r="M115" s="1097" t="s">
        <v>7147</v>
      </c>
      <c r="N115" s="1097" t="s">
        <v>7148</v>
      </c>
      <c r="O115" s="1097" t="s">
        <v>7149</v>
      </c>
      <c r="P115" s="1097" t="s">
        <v>7150</v>
      </c>
      <c r="Q115" s="1097" t="s">
        <v>7151</v>
      </c>
      <c r="R115" s="1097" t="s">
        <v>7152</v>
      </c>
      <c r="S115" s="1097" t="s">
        <v>7153</v>
      </c>
      <c r="T115" s="1097" t="s">
        <v>7154</v>
      </c>
      <c r="U115" s="1097" t="s">
        <v>7155</v>
      </c>
      <c r="V115" s="1097" t="s">
        <v>7156</v>
      </c>
      <c r="W115" s="1097" t="s">
        <v>7157</v>
      </c>
      <c r="X115" s="1173" t="s">
        <v>7158</v>
      </c>
      <c r="Y115" s="1173" t="s">
        <v>7159</v>
      </c>
      <c r="Z115" s="1161" t="s">
        <v>7160</v>
      </c>
      <c r="AA115" s="1161" t="s">
        <v>7161</v>
      </c>
      <c r="AB115" s="1173" t="s">
        <v>7162</v>
      </c>
      <c r="AC115" s="1097" t="s">
        <v>7163</v>
      </c>
      <c r="AD115" s="1097" t="s">
        <v>7164</v>
      </c>
      <c r="AE115" s="1097" t="s">
        <v>7165</v>
      </c>
      <c r="AF115" s="1097" t="s">
        <v>7166</v>
      </c>
      <c r="AG115" s="1097" t="s">
        <v>7167</v>
      </c>
      <c r="AH115" s="1097" t="s">
        <v>7168</v>
      </c>
      <c r="AI115" s="1097" t="s">
        <v>7169</v>
      </c>
      <c r="AJ115" s="1097" t="s">
        <v>7170</v>
      </c>
      <c r="AK115" s="1097" t="s">
        <v>7171</v>
      </c>
      <c r="AL115" s="1097" t="s">
        <v>7172</v>
      </c>
      <c r="AM115" s="1097" t="s">
        <v>7173</v>
      </c>
      <c r="AN115" s="1100" t="s">
        <v>7174</v>
      </c>
    </row>
    <row r="116" spans="2:40" ht="26.25" hidden="1" customHeight="1" x14ac:dyDescent="0.25">
      <c r="B116" s="1096" t="s">
        <v>2719</v>
      </c>
      <c r="C116" s="1097" t="s">
        <v>2622</v>
      </c>
      <c r="D116" s="1097"/>
      <c r="E116" s="1097"/>
      <c r="F116" s="1097"/>
      <c r="G116" s="1097"/>
      <c r="H116" s="1097"/>
      <c r="I116" s="1097"/>
      <c r="J116" s="1097"/>
      <c r="K116" s="1097"/>
      <c r="L116" s="1097"/>
      <c r="M116" s="1097"/>
      <c r="N116" s="1097"/>
      <c r="O116" s="1097"/>
      <c r="P116" s="1097"/>
      <c r="Q116" s="1097"/>
      <c r="R116" s="1097"/>
      <c r="S116" s="1097"/>
      <c r="T116" s="1097"/>
      <c r="U116" s="1097"/>
      <c r="V116" s="1097"/>
      <c r="W116" s="1097"/>
      <c r="X116" s="1173"/>
      <c r="Y116" s="1173"/>
      <c r="Z116" s="1161"/>
      <c r="AA116" s="1161"/>
      <c r="AB116" s="1173"/>
      <c r="AC116" s="1097"/>
      <c r="AD116" s="1097"/>
      <c r="AE116" s="1097"/>
      <c r="AF116" s="1097"/>
      <c r="AG116" s="1097"/>
      <c r="AH116" s="1097"/>
      <c r="AI116" s="1097"/>
      <c r="AJ116" s="1097"/>
      <c r="AK116" s="1097"/>
      <c r="AL116" s="1097"/>
      <c r="AM116" s="1097"/>
      <c r="AN116" s="1100">
        <f>PUCFD!E17</f>
        <v>695.43992848243033</v>
      </c>
    </row>
    <row r="117" spans="2:40" s="299" customFormat="1" ht="15" hidden="1" customHeight="1" x14ac:dyDescent="0.25">
      <c r="B117" s="1096"/>
      <c r="C117" s="1097"/>
      <c r="D117" s="1097"/>
      <c r="E117" s="1097"/>
      <c r="F117" s="1097"/>
      <c r="G117" s="1097"/>
      <c r="H117" s="1097"/>
      <c r="I117" s="1097"/>
      <c r="J117" s="1097"/>
      <c r="K117" s="1097"/>
      <c r="L117" s="1097"/>
      <c r="M117" s="1097"/>
      <c r="N117" s="1097"/>
      <c r="O117" s="1097"/>
      <c r="P117" s="1097"/>
      <c r="Q117" s="1097"/>
      <c r="R117" s="1097"/>
      <c r="S117" s="1097"/>
      <c r="T117" s="1097"/>
      <c r="U117" s="1097"/>
      <c r="V117" s="1097"/>
      <c r="W117" s="1097"/>
      <c r="X117" s="1173"/>
      <c r="Y117" s="1173"/>
      <c r="Z117" s="1161"/>
      <c r="AA117" s="1161"/>
      <c r="AB117" s="1173"/>
      <c r="AC117" s="1097"/>
      <c r="AD117" s="1097"/>
      <c r="AE117" s="1097"/>
      <c r="AF117" s="1097"/>
      <c r="AG117" s="1097"/>
      <c r="AH117" s="1097"/>
      <c r="AI117" s="1097"/>
      <c r="AJ117" s="1097"/>
      <c r="AK117" s="1097"/>
      <c r="AL117" s="1097"/>
      <c r="AM117" s="1097"/>
      <c r="AN117" s="1100"/>
    </row>
    <row r="118" spans="2:40" s="299" customFormat="1" ht="48.75" hidden="1" customHeight="1" x14ac:dyDescent="0.25">
      <c r="B118" s="1096"/>
      <c r="C118" s="1091" t="s">
        <v>2623</v>
      </c>
      <c r="D118" s="1091" t="s">
        <v>2624</v>
      </c>
      <c r="E118" s="1091" t="s">
        <v>2722</v>
      </c>
      <c r="F118" s="1091" t="s">
        <v>2593</v>
      </c>
      <c r="G118" s="1101" t="s">
        <v>2765</v>
      </c>
      <c r="H118" s="1102" t="s">
        <v>2729</v>
      </c>
      <c r="I118" s="1091" t="s">
        <v>2625</v>
      </c>
      <c r="J118" s="1096" t="s">
        <v>2738</v>
      </c>
      <c r="K118" s="1096" t="s">
        <v>2626</v>
      </c>
      <c r="L118" s="1091" t="s">
        <v>2627</v>
      </c>
      <c r="M118" s="1092" t="s">
        <v>2629</v>
      </c>
      <c r="N118" s="1092"/>
      <c r="O118" s="1092"/>
      <c r="P118" s="1092"/>
      <c r="Q118" s="1092"/>
      <c r="R118" s="1094" t="s">
        <v>2630</v>
      </c>
      <c r="S118" s="1094"/>
      <c r="T118" s="1093" t="s">
        <v>2740</v>
      </c>
      <c r="U118" s="1093" t="s">
        <v>2814</v>
      </c>
      <c r="V118" s="1093" t="s">
        <v>2751</v>
      </c>
      <c r="W118" s="1093"/>
      <c r="X118" s="1174" t="s">
        <v>2741</v>
      </c>
      <c r="Y118" s="1174"/>
      <c r="Z118" s="1162" t="s">
        <v>2789</v>
      </c>
      <c r="AA118" s="1162"/>
      <c r="AB118" s="1174" t="s">
        <v>2761</v>
      </c>
      <c r="AC118" s="1093" t="s">
        <v>2760</v>
      </c>
      <c r="AD118" s="1093" t="s">
        <v>2783</v>
      </c>
      <c r="AE118" s="1093" t="s">
        <v>2782</v>
      </c>
      <c r="AF118" s="1093" t="s">
        <v>2743</v>
      </c>
      <c r="AG118" s="1093" t="s">
        <v>2744</v>
      </c>
      <c r="AH118" s="1093" t="s">
        <v>2745</v>
      </c>
      <c r="AI118" s="1093" t="s">
        <v>2750</v>
      </c>
      <c r="AJ118" s="1093" t="s">
        <v>2742</v>
      </c>
      <c r="AK118" s="1098" t="s">
        <v>2734</v>
      </c>
      <c r="AL118" s="1098" t="s">
        <v>2735</v>
      </c>
      <c r="AM118" s="1099" t="s">
        <v>2736</v>
      </c>
      <c r="AN118" s="1098" t="s">
        <v>2737</v>
      </c>
    </row>
    <row r="119" spans="2:40" s="299" customFormat="1" ht="45" hidden="1" x14ac:dyDescent="0.25">
      <c r="B119" s="1096"/>
      <c r="C119" s="1091"/>
      <c r="D119" s="1091"/>
      <c r="E119" s="1091"/>
      <c r="F119" s="1091"/>
      <c r="G119" s="1101"/>
      <c r="H119" s="1102"/>
      <c r="I119" s="1091"/>
      <c r="J119" s="1096"/>
      <c r="K119" s="1096"/>
      <c r="L119" s="1091"/>
      <c r="M119" s="1091" t="s">
        <v>2628</v>
      </c>
      <c r="N119" s="1092" t="s">
        <v>2480</v>
      </c>
      <c r="O119" s="1092"/>
      <c r="P119" s="1104" t="s">
        <v>2826</v>
      </c>
      <c r="Q119" s="1104"/>
      <c r="R119" s="1094" t="s">
        <v>97</v>
      </c>
      <c r="S119" s="1094" t="s">
        <v>2480</v>
      </c>
      <c r="T119" s="1093"/>
      <c r="U119" s="1093"/>
      <c r="V119" s="1093" t="s">
        <v>97</v>
      </c>
      <c r="W119" s="1093" t="s">
        <v>2480</v>
      </c>
      <c r="X119" s="1174" t="s">
        <v>97</v>
      </c>
      <c r="Y119" s="1174" t="s">
        <v>2480</v>
      </c>
      <c r="Z119" s="1162" t="s">
        <v>97</v>
      </c>
      <c r="AA119" s="1162" t="s">
        <v>2480</v>
      </c>
      <c r="AB119" s="1174"/>
      <c r="AC119" s="1093"/>
      <c r="AD119" s="1093"/>
      <c r="AE119" s="1093"/>
      <c r="AF119" s="1093"/>
      <c r="AG119" s="1093"/>
      <c r="AH119" s="1093"/>
      <c r="AI119" s="1093"/>
      <c r="AJ119" s="1093"/>
      <c r="AK119" s="1098"/>
      <c r="AL119" s="1098"/>
      <c r="AM119" s="1099"/>
      <c r="AN119" s="1098"/>
    </row>
    <row r="120" spans="2:40" hidden="1" x14ac:dyDescent="0.25">
      <c r="B120" s="1096"/>
      <c r="C120" s="1091"/>
      <c r="D120" s="1091"/>
      <c r="E120" s="1091"/>
      <c r="F120" s="1091"/>
      <c r="G120" s="1101"/>
      <c r="H120" s="1102"/>
      <c r="I120" s="1091"/>
      <c r="J120" s="1096"/>
      <c r="K120" s="1096"/>
      <c r="L120" s="1091"/>
      <c r="M120" s="1091"/>
      <c r="N120" s="1092"/>
      <c r="O120" s="1107" t="s">
        <v>2828</v>
      </c>
      <c r="P120" s="1107" t="s">
        <v>2829</v>
      </c>
      <c r="Q120" s="1104" t="s">
        <v>2827</v>
      </c>
      <c r="R120" s="1094"/>
      <c r="S120" s="1094"/>
      <c r="T120" s="1093"/>
      <c r="U120" s="1093"/>
      <c r="V120" s="1093"/>
      <c r="W120" s="1093"/>
      <c r="X120" s="1174"/>
      <c r="Y120" s="1174"/>
      <c r="Z120" s="1162"/>
      <c r="AA120" s="1162"/>
      <c r="AB120" s="1174"/>
      <c r="AC120" s="1093"/>
      <c r="AD120" s="1093"/>
      <c r="AE120" s="1093"/>
      <c r="AF120" s="1093"/>
      <c r="AG120" s="1093"/>
      <c r="AH120" s="1093"/>
      <c r="AI120" s="1093"/>
      <c r="AJ120" s="1093"/>
      <c r="AK120" s="1098"/>
      <c r="AL120" s="1098"/>
      <c r="AM120" s="1099"/>
      <c r="AN120" s="1098"/>
    </row>
    <row r="121" spans="2:40" ht="15.75" hidden="1" x14ac:dyDescent="0.25">
      <c r="B121" s="295">
        <v>246</v>
      </c>
      <c r="C121" s="304" t="s">
        <v>2639</v>
      </c>
      <c r="D121" s="304" t="s">
        <v>2632</v>
      </c>
      <c r="E121" s="304" t="s">
        <v>2739</v>
      </c>
      <c r="F121" s="304" t="s">
        <v>2787</v>
      </c>
      <c r="G121" s="304" t="s">
        <v>2798</v>
      </c>
      <c r="H121" s="305">
        <v>20</v>
      </c>
      <c r="I121" s="295">
        <v>44</v>
      </c>
      <c r="J121" s="295" t="s">
        <v>2638</v>
      </c>
      <c r="K121" s="295">
        <v>0</v>
      </c>
      <c r="L121" s="306">
        <v>36221</v>
      </c>
      <c r="M121" s="295">
        <v>2.2000000000000002</v>
      </c>
      <c r="N121" s="307">
        <f>M121*AN116</f>
        <v>1529.9678426613468</v>
      </c>
      <c r="O121" s="308">
        <v>0</v>
      </c>
      <c r="P121" s="308">
        <v>0</v>
      </c>
      <c r="Q121" s="308">
        <v>0</v>
      </c>
      <c r="R121" s="309">
        <v>0.21</v>
      </c>
      <c r="S121" s="310">
        <f t="shared" ref="S121:S128" si="104">N121*R121</f>
        <v>321.29324695888283</v>
      </c>
      <c r="T121" s="311">
        <v>0</v>
      </c>
      <c r="U121" s="311">
        <v>0</v>
      </c>
      <c r="V121" s="312">
        <v>0</v>
      </c>
      <c r="W121" s="311">
        <f t="shared" ref="W121:W128" si="105">N121*V121</f>
        <v>0</v>
      </c>
      <c r="X121" s="1175">
        <f>127.94/N121</f>
        <v>8.3622672603007833E-2</v>
      </c>
      <c r="Y121" s="1176">
        <f t="shared" ref="Y121:Y128" si="106">N121*X121</f>
        <v>127.94000000000001</v>
      </c>
      <c r="Z121" s="701">
        <v>0</v>
      </c>
      <c r="AA121" s="700">
        <f t="shared" ref="AA121:AA128" si="107">N121*Z121</f>
        <v>0</v>
      </c>
      <c r="AB121" s="1176">
        <f t="shared" ref="AB121:AB125" si="108">N121*(0)</f>
        <v>0</v>
      </c>
      <c r="AC121" s="311">
        <f>AN116*(0%)</f>
        <v>0</v>
      </c>
      <c r="AD121" s="311">
        <f>AO$9*(0%)</f>
        <v>0</v>
      </c>
      <c r="AE121" s="311">
        <v>0</v>
      </c>
      <c r="AF121" s="311">
        <v>0</v>
      </c>
      <c r="AG121" s="311">
        <v>0</v>
      </c>
      <c r="AH121" s="298">
        <v>0</v>
      </c>
      <c r="AI121" s="298">
        <v>0</v>
      </c>
      <c r="AJ121" s="311">
        <v>0</v>
      </c>
      <c r="AK121" s="313">
        <f t="shared" ref="AK121:AK128" si="109">(N121+T121+U121)/3</f>
        <v>509.98928088711563</v>
      </c>
      <c r="AL121" s="313">
        <f t="shared" ref="AL121:AL128" si="110">AK121*R121</f>
        <v>107.09774898629428</v>
      </c>
      <c r="AM121" s="313">
        <f t="shared" ref="AM121:AM128" si="111">N121</f>
        <v>1529.9678426613468</v>
      </c>
      <c r="AN121" s="313">
        <f t="shared" ref="AN121:AN128" si="112">AM121*R121</f>
        <v>321.29324695888283</v>
      </c>
    </row>
    <row r="122" spans="2:40" ht="15.75" hidden="1" x14ac:dyDescent="0.25">
      <c r="B122" s="295">
        <v>733</v>
      </c>
      <c r="C122" s="304" t="str">
        <f>PROPER("LENI EBEL THUROW")</f>
        <v>Leni Ebel Thurow</v>
      </c>
      <c r="D122" s="304" t="s">
        <v>2643</v>
      </c>
      <c r="E122" s="304" t="s">
        <v>2739</v>
      </c>
      <c r="F122" s="304" t="s">
        <v>2787</v>
      </c>
      <c r="G122" s="304" t="s">
        <v>2798</v>
      </c>
      <c r="H122" s="305">
        <v>20</v>
      </c>
      <c r="I122" s="295">
        <v>44</v>
      </c>
      <c r="J122" s="295" t="s">
        <v>2638</v>
      </c>
      <c r="K122" s="295">
        <v>0</v>
      </c>
      <c r="L122" s="306">
        <v>38111</v>
      </c>
      <c r="M122" s="295">
        <v>2.11</v>
      </c>
      <c r="N122" s="307">
        <f>M122*AN116</f>
        <v>1467.3782490979279</v>
      </c>
      <c r="O122" s="308">
        <v>0</v>
      </c>
      <c r="P122" s="308">
        <v>0</v>
      </c>
      <c r="Q122" s="308">
        <v>0</v>
      </c>
      <c r="R122" s="309">
        <v>0.16</v>
      </c>
      <c r="S122" s="310">
        <f t="shared" si="104"/>
        <v>234.78051985566847</v>
      </c>
      <c r="T122" s="311">
        <v>0</v>
      </c>
      <c r="U122" s="311">
        <v>0</v>
      </c>
      <c r="V122" s="312">
        <v>0</v>
      </c>
      <c r="W122" s="311">
        <f t="shared" si="105"/>
        <v>0</v>
      </c>
      <c r="X122" s="1175">
        <f>127.94/N122</f>
        <v>8.7189516458112445E-2</v>
      </c>
      <c r="Y122" s="1176">
        <f t="shared" si="106"/>
        <v>127.94000000000001</v>
      </c>
      <c r="Z122" s="701">
        <v>0</v>
      </c>
      <c r="AA122" s="700">
        <f t="shared" si="107"/>
        <v>0</v>
      </c>
      <c r="AB122" s="1176">
        <f t="shared" si="108"/>
        <v>0</v>
      </c>
      <c r="AC122" s="311">
        <f>AN116*(0%)</f>
        <v>0</v>
      </c>
      <c r="AD122" s="311">
        <f>AO$9*(0%)</f>
        <v>0</v>
      </c>
      <c r="AE122" s="311">
        <v>0</v>
      </c>
      <c r="AF122" s="311">
        <v>0</v>
      </c>
      <c r="AG122" s="311">
        <v>0</v>
      </c>
      <c r="AH122" s="298">
        <v>0</v>
      </c>
      <c r="AI122" s="298">
        <v>0</v>
      </c>
      <c r="AJ122" s="311">
        <v>0</v>
      </c>
      <c r="AK122" s="313">
        <f t="shared" si="109"/>
        <v>489.12608303264261</v>
      </c>
      <c r="AL122" s="313">
        <f t="shared" si="110"/>
        <v>78.26017328522282</v>
      </c>
      <c r="AM122" s="313">
        <f t="shared" si="111"/>
        <v>1467.3782490979279</v>
      </c>
      <c r="AN122" s="313">
        <f t="shared" si="112"/>
        <v>234.78051985566847</v>
      </c>
    </row>
    <row r="123" spans="2:40" ht="15.75" hidden="1" x14ac:dyDescent="0.25">
      <c r="B123" s="295">
        <v>2288</v>
      </c>
      <c r="C123" s="304" t="str">
        <f>PROPER("LUIZ CARLOS SOARES CENTENO")</f>
        <v>Luiz Carlos Soares Centeno</v>
      </c>
      <c r="D123" s="304" t="s">
        <v>2788</v>
      </c>
      <c r="E123" s="304" t="s">
        <v>2739</v>
      </c>
      <c r="F123" s="304" t="s">
        <v>2787</v>
      </c>
      <c r="G123" s="304" t="s">
        <v>2798</v>
      </c>
      <c r="H123" s="305">
        <v>20</v>
      </c>
      <c r="I123" s="295">
        <v>44</v>
      </c>
      <c r="J123" s="295" t="s">
        <v>2636</v>
      </c>
      <c r="K123" s="295">
        <v>0</v>
      </c>
      <c r="L123" s="306">
        <v>43361</v>
      </c>
      <c r="M123" s="295">
        <v>1.95</v>
      </c>
      <c r="N123" s="307">
        <f>M123*AN116</f>
        <v>1356.107860540739</v>
      </c>
      <c r="O123" s="308">
        <v>0</v>
      </c>
      <c r="P123" s="308">
        <v>0</v>
      </c>
      <c r="Q123" s="308">
        <v>0</v>
      </c>
      <c r="R123" s="309">
        <v>0.02</v>
      </c>
      <c r="S123" s="310">
        <f t="shared" si="104"/>
        <v>27.12215721081478</v>
      </c>
      <c r="T123" s="311">
        <v>0</v>
      </c>
      <c r="U123" s="311">
        <v>0</v>
      </c>
      <c r="V123" s="312">
        <v>0</v>
      </c>
      <c r="W123" s="311">
        <f t="shared" si="105"/>
        <v>0</v>
      </c>
      <c r="X123" s="1175">
        <f>127.94/N123</f>
        <v>9.4343528064931917E-2</v>
      </c>
      <c r="Y123" s="1176">
        <f t="shared" si="106"/>
        <v>127.93999999999998</v>
      </c>
      <c r="Z123" s="701">
        <v>0</v>
      </c>
      <c r="AA123" s="700">
        <f t="shared" si="107"/>
        <v>0</v>
      </c>
      <c r="AB123" s="1176">
        <f t="shared" si="108"/>
        <v>0</v>
      </c>
      <c r="AC123" s="311">
        <f>AN116*(0%)</f>
        <v>0</v>
      </c>
      <c r="AD123" s="311">
        <f>AO$9*(0%)</f>
        <v>0</v>
      </c>
      <c r="AE123" s="311">
        <v>0</v>
      </c>
      <c r="AF123" s="311">
        <v>0</v>
      </c>
      <c r="AG123" s="311">
        <v>0</v>
      </c>
      <c r="AH123" s="298">
        <v>0</v>
      </c>
      <c r="AI123" s="298">
        <v>0</v>
      </c>
      <c r="AJ123" s="311">
        <v>0</v>
      </c>
      <c r="AK123" s="313">
        <f t="shared" si="109"/>
        <v>452.03595351357967</v>
      </c>
      <c r="AL123" s="313">
        <f t="shared" si="110"/>
        <v>9.040719070271594</v>
      </c>
      <c r="AM123" s="313">
        <f t="shared" si="111"/>
        <v>1356.107860540739</v>
      </c>
      <c r="AN123" s="313">
        <f t="shared" si="112"/>
        <v>27.12215721081478</v>
      </c>
    </row>
    <row r="124" spans="2:40" s="299" customFormat="1" ht="15.75" hidden="1" x14ac:dyDescent="0.25">
      <c r="B124" s="295">
        <v>2192</v>
      </c>
      <c r="C124" s="304" t="str">
        <f>PROPER("RENATA ERIGSON PACHECO MAINES")</f>
        <v>Renata Erigson Pacheco Maines</v>
      </c>
      <c r="D124" s="304" t="s">
        <v>2682</v>
      </c>
      <c r="E124" s="304" t="s">
        <v>2739</v>
      </c>
      <c r="F124" s="304" t="s">
        <v>2787</v>
      </c>
      <c r="G124" s="304" t="s">
        <v>2798</v>
      </c>
      <c r="H124" s="305">
        <v>20</v>
      </c>
      <c r="I124" s="295">
        <v>40</v>
      </c>
      <c r="J124" s="295" t="s">
        <v>2636</v>
      </c>
      <c r="K124" s="295">
        <v>0</v>
      </c>
      <c r="L124" s="306">
        <v>42984</v>
      </c>
      <c r="M124" s="295">
        <v>3</v>
      </c>
      <c r="N124" s="307">
        <f>M124*AN116</f>
        <v>2086.319785447291</v>
      </c>
      <c r="O124" s="308">
        <v>0</v>
      </c>
      <c r="P124" s="308">
        <v>0</v>
      </c>
      <c r="Q124" s="308">
        <v>0</v>
      </c>
      <c r="R124" s="309">
        <v>0.02</v>
      </c>
      <c r="S124" s="310">
        <f t="shared" si="104"/>
        <v>41.726395708945823</v>
      </c>
      <c r="T124" s="311">
        <v>0</v>
      </c>
      <c r="U124" s="311">
        <v>0</v>
      </c>
      <c r="V124" s="312">
        <v>0</v>
      </c>
      <c r="W124" s="311">
        <f t="shared" si="105"/>
        <v>0</v>
      </c>
      <c r="X124" s="1175">
        <f>51.18/N124</f>
        <v>2.4531234548507818E-2</v>
      </c>
      <c r="Y124" s="1176">
        <f t="shared" si="106"/>
        <v>51.180000000000007</v>
      </c>
      <c r="Z124" s="701">
        <f>307.04/N124</f>
        <v>0.14716823477479171</v>
      </c>
      <c r="AA124" s="700">
        <f t="shared" si="107"/>
        <v>307.04000000000002</v>
      </c>
      <c r="AB124" s="1176">
        <f t="shared" si="108"/>
        <v>0</v>
      </c>
      <c r="AC124" s="311">
        <f>AN116*(0%)</f>
        <v>0</v>
      </c>
      <c r="AD124" s="311">
        <f>AO$9*(0%)</f>
        <v>0</v>
      </c>
      <c r="AE124" s="311">
        <v>0</v>
      </c>
      <c r="AF124" s="311">
        <v>0</v>
      </c>
      <c r="AG124" s="311">
        <v>0</v>
      </c>
      <c r="AH124" s="298">
        <v>0</v>
      </c>
      <c r="AI124" s="298">
        <v>0</v>
      </c>
      <c r="AJ124" s="311">
        <v>0</v>
      </c>
      <c r="AK124" s="313">
        <f t="shared" si="109"/>
        <v>695.43992848243033</v>
      </c>
      <c r="AL124" s="313">
        <f t="shared" si="110"/>
        <v>13.908798569648607</v>
      </c>
      <c r="AM124" s="313">
        <f t="shared" si="111"/>
        <v>2086.319785447291</v>
      </c>
      <c r="AN124" s="313">
        <f t="shared" si="112"/>
        <v>41.726395708945823</v>
      </c>
    </row>
    <row r="125" spans="2:40" s="5" customFormat="1" ht="30" hidden="1" customHeight="1" x14ac:dyDescent="0.25">
      <c r="B125" s="295">
        <v>880</v>
      </c>
      <c r="C125" s="314" t="str">
        <f>PROPER("ROSANE DA SILVA REINKE")</f>
        <v>Rosane Da Silva Reinke</v>
      </c>
      <c r="D125" s="304" t="s">
        <v>2643</v>
      </c>
      <c r="E125" s="304" t="s">
        <v>2739</v>
      </c>
      <c r="F125" s="304" t="s">
        <v>2787</v>
      </c>
      <c r="G125" s="304" t="s">
        <v>2798</v>
      </c>
      <c r="H125" s="305">
        <v>20</v>
      </c>
      <c r="I125" s="295">
        <v>44</v>
      </c>
      <c r="J125" s="295" t="s">
        <v>2648</v>
      </c>
      <c r="K125" s="295">
        <v>0</v>
      </c>
      <c r="L125" s="306">
        <v>38666</v>
      </c>
      <c r="M125" s="295">
        <v>2.0299999999999998</v>
      </c>
      <c r="N125" s="307">
        <f>M125*AN116</f>
        <v>1411.7430548193333</v>
      </c>
      <c r="O125" s="308">
        <v>0</v>
      </c>
      <c r="P125" s="308">
        <v>0</v>
      </c>
      <c r="Q125" s="308">
        <v>0</v>
      </c>
      <c r="R125" s="309">
        <v>0.15</v>
      </c>
      <c r="S125" s="310">
        <f t="shared" si="104"/>
        <v>211.76145822289999</v>
      </c>
      <c r="T125" s="311">
        <v>0</v>
      </c>
      <c r="U125" s="311">
        <v>0</v>
      </c>
      <c r="V125" s="312">
        <v>0</v>
      </c>
      <c r="W125" s="311">
        <f t="shared" si="105"/>
        <v>0</v>
      </c>
      <c r="X125" s="1175">
        <f>127.94/N125</f>
        <v>9.0625556515575009E-2</v>
      </c>
      <c r="Y125" s="1176">
        <f t="shared" si="106"/>
        <v>127.94</v>
      </c>
      <c r="Z125" s="701">
        <f>0/N125</f>
        <v>0</v>
      </c>
      <c r="AA125" s="700">
        <f t="shared" si="107"/>
        <v>0</v>
      </c>
      <c r="AB125" s="1176">
        <f t="shared" si="108"/>
        <v>0</v>
      </c>
      <c r="AC125" s="311">
        <f>AN116*(0%)</f>
        <v>0</v>
      </c>
      <c r="AD125" s="311">
        <f>AO$9*(0%)</f>
        <v>0</v>
      </c>
      <c r="AE125" s="311">
        <v>0</v>
      </c>
      <c r="AF125" s="311">
        <v>0</v>
      </c>
      <c r="AG125" s="311">
        <v>0</v>
      </c>
      <c r="AH125" s="298">
        <v>0</v>
      </c>
      <c r="AI125" s="298">
        <v>0</v>
      </c>
      <c r="AJ125" s="311">
        <v>0</v>
      </c>
      <c r="AK125" s="313">
        <f t="shared" si="109"/>
        <v>470.58101827311111</v>
      </c>
      <c r="AL125" s="313">
        <f t="shared" si="110"/>
        <v>70.587152740966658</v>
      </c>
      <c r="AM125" s="313">
        <f t="shared" si="111"/>
        <v>1411.7430548193333</v>
      </c>
      <c r="AN125" s="313">
        <f t="shared" si="112"/>
        <v>211.76145822289999</v>
      </c>
    </row>
    <row r="126" spans="2:40" ht="31.5" hidden="1" x14ac:dyDescent="0.25">
      <c r="B126" s="257">
        <v>0</v>
      </c>
      <c r="C126" s="259" t="s">
        <v>2935</v>
      </c>
      <c r="D126" s="259" t="s">
        <v>2684</v>
      </c>
      <c r="E126" s="259" t="s">
        <v>2739</v>
      </c>
      <c r="F126" s="259" t="s">
        <v>2787</v>
      </c>
      <c r="G126" s="304" t="s">
        <v>2798</v>
      </c>
      <c r="H126" s="266">
        <v>20</v>
      </c>
      <c r="I126" s="257">
        <v>40</v>
      </c>
      <c r="J126" s="257" t="s">
        <v>2636</v>
      </c>
      <c r="K126" s="257">
        <v>0</v>
      </c>
      <c r="L126" s="261" t="s">
        <v>2753</v>
      </c>
      <c r="M126" s="257">
        <v>3</v>
      </c>
      <c r="N126" s="262">
        <f>M126*AN116</f>
        <v>2086.319785447291</v>
      </c>
      <c r="O126" s="280">
        <v>0</v>
      </c>
      <c r="P126" s="280">
        <v>0</v>
      </c>
      <c r="Q126" s="280">
        <v>0</v>
      </c>
      <c r="R126" s="263">
        <v>0</v>
      </c>
      <c r="S126" s="264">
        <f t="shared" si="104"/>
        <v>0</v>
      </c>
      <c r="T126" s="264">
        <v>0</v>
      </c>
      <c r="U126" s="264">
        <v>0</v>
      </c>
      <c r="V126" s="265">
        <v>0</v>
      </c>
      <c r="W126" s="264">
        <f t="shared" si="105"/>
        <v>0</v>
      </c>
      <c r="X126" s="1177">
        <f>0/N126</f>
        <v>0</v>
      </c>
      <c r="Y126" s="1178">
        <f t="shared" si="106"/>
        <v>0</v>
      </c>
      <c r="Z126" s="1163">
        <v>0</v>
      </c>
      <c r="AA126" s="1130">
        <f t="shared" si="107"/>
        <v>0</v>
      </c>
      <c r="AB126" s="1178">
        <v>0</v>
      </c>
      <c r="AC126" s="264">
        <v>0</v>
      </c>
      <c r="AD126" s="264">
        <v>0</v>
      </c>
      <c r="AE126" s="264">
        <v>0</v>
      </c>
      <c r="AF126" s="264">
        <v>0</v>
      </c>
      <c r="AG126" s="264">
        <v>0</v>
      </c>
      <c r="AH126" s="264">
        <v>0</v>
      </c>
      <c r="AI126" s="264">
        <v>0</v>
      </c>
      <c r="AJ126" s="264">
        <v>0</v>
      </c>
      <c r="AK126" s="273">
        <f t="shared" si="109"/>
        <v>695.43992848243033</v>
      </c>
      <c r="AL126" s="273">
        <f t="shared" si="110"/>
        <v>0</v>
      </c>
      <c r="AM126" s="273">
        <f t="shared" si="111"/>
        <v>2086.319785447291</v>
      </c>
      <c r="AN126" s="273">
        <f t="shared" si="112"/>
        <v>0</v>
      </c>
    </row>
    <row r="127" spans="2:40" s="299" customFormat="1" ht="15.75" hidden="1" x14ac:dyDescent="0.25">
      <c r="B127" s="295">
        <v>1622</v>
      </c>
      <c r="C127" s="304" t="str">
        <f>PROPER("SONIA EURIDISE DA SILVA ROCHA")</f>
        <v>Sonia Euridise Da Silva Rocha</v>
      </c>
      <c r="D127" s="304" t="s">
        <v>2673</v>
      </c>
      <c r="E127" s="304" t="s">
        <v>2739</v>
      </c>
      <c r="F127" s="304" t="s">
        <v>2787</v>
      </c>
      <c r="G127" s="304" t="s">
        <v>2798</v>
      </c>
      <c r="H127" s="305">
        <v>20</v>
      </c>
      <c r="I127" s="295">
        <v>40</v>
      </c>
      <c r="J127" s="295" t="s">
        <v>2634</v>
      </c>
      <c r="K127" s="295">
        <v>0</v>
      </c>
      <c r="L127" s="306">
        <v>41033</v>
      </c>
      <c r="M127" s="295">
        <v>2.06</v>
      </c>
      <c r="N127" s="307">
        <f>M127*AN116</f>
        <v>1432.6062526738065</v>
      </c>
      <c r="O127" s="308">
        <v>0</v>
      </c>
      <c r="P127" s="308">
        <v>0</v>
      </c>
      <c r="Q127" s="308">
        <v>0</v>
      </c>
      <c r="R127" s="309">
        <v>0.18</v>
      </c>
      <c r="S127" s="310">
        <f t="shared" si="104"/>
        <v>257.86912548128515</v>
      </c>
      <c r="T127" s="311">
        <v>0</v>
      </c>
      <c r="U127" s="311">
        <v>0</v>
      </c>
      <c r="V127" s="312">
        <v>0</v>
      </c>
      <c r="W127" s="311">
        <f t="shared" si="105"/>
        <v>0</v>
      </c>
      <c r="X127" s="1175">
        <f>127.94/N127</f>
        <v>8.9305766857581181E-2</v>
      </c>
      <c r="Y127" s="1176">
        <f t="shared" si="106"/>
        <v>127.94</v>
      </c>
      <c r="Z127" s="701">
        <f>0/N127</f>
        <v>0</v>
      </c>
      <c r="AA127" s="700">
        <f t="shared" si="107"/>
        <v>0</v>
      </c>
      <c r="AB127" s="1176">
        <f t="shared" ref="AB127:AB128" si="113">N127*(0)</f>
        <v>0</v>
      </c>
      <c r="AC127" s="311">
        <f>AN116*(0%)</f>
        <v>0</v>
      </c>
      <c r="AD127" s="311">
        <f>AO$9*(0%)</f>
        <v>0</v>
      </c>
      <c r="AE127" s="311">
        <v>0</v>
      </c>
      <c r="AF127" s="311">
        <v>0</v>
      </c>
      <c r="AG127" s="311">
        <v>0</v>
      </c>
      <c r="AH127" s="298">
        <f>AN116</f>
        <v>695.43992848243033</v>
      </c>
      <c r="AI127" s="298">
        <v>0</v>
      </c>
      <c r="AJ127" s="311">
        <v>0</v>
      </c>
      <c r="AK127" s="313">
        <f t="shared" si="109"/>
        <v>477.53541755793549</v>
      </c>
      <c r="AL127" s="313">
        <f t="shared" si="110"/>
        <v>85.956375160428379</v>
      </c>
      <c r="AM127" s="313">
        <f t="shared" si="111"/>
        <v>1432.6062526738065</v>
      </c>
      <c r="AN127" s="313">
        <f t="shared" si="112"/>
        <v>257.86912548128515</v>
      </c>
    </row>
    <row r="128" spans="2:40" s="299" customFormat="1" ht="15.75" hidden="1" x14ac:dyDescent="0.25">
      <c r="B128" s="295">
        <v>883</v>
      </c>
      <c r="C128" s="314" t="str">
        <f>PROPER("ZENI FERREIRA DA CUNHA")</f>
        <v>Zeni Ferreira Da Cunha</v>
      </c>
      <c r="D128" s="304" t="s">
        <v>2643</v>
      </c>
      <c r="E128" s="304" t="s">
        <v>2739</v>
      </c>
      <c r="F128" s="304" t="s">
        <v>2787</v>
      </c>
      <c r="G128" s="304" t="s">
        <v>2798</v>
      </c>
      <c r="H128" s="305">
        <v>20</v>
      </c>
      <c r="I128" s="295">
        <v>44</v>
      </c>
      <c r="J128" s="295" t="s">
        <v>2638</v>
      </c>
      <c r="K128" s="295">
        <v>0</v>
      </c>
      <c r="L128" s="306">
        <v>38736</v>
      </c>
      <c r="M128" s="295">
        <v>2.11</v>
      </c>
      <c r="N128" s="307">
        <f>M128*AN116</f>
        <v>1467.3782490979279</v>
      </c>
      <c r="O128" s="308">
        <v>0</v>
      </c>
      <c r="P128" s="308">
        <v>0</v>
      </c>
      <c r="Q128" s="308">
        <v>0</v>
      </c>
      <c r="R128" s="309">
        <v>0.14000000000000001</v>
      </c>
      <c r="S128" s="310">
        <f t="shared" si="104"/>
        <v>205.43295487370992</v>
      </c>
      <c r="T128" s="311">
        <v>0</v>
      </c>
      <c r="U128" s="311">
        <v>0</v>
      </c>
      <c r="V128" s="312">
        <v>0</v>
      </c>
      <c r="W128" s="311">
        <f t="shared" si="105"/>
        <v>0</v>
      </c>
      <c r="X128" s="1175">
        <f>119.86/N128</f>
        <v>8.1683097097618867E-2</v>
      </c>
      <c r="Y128" s="1176">
        <f t="shared" si="106"/>
        <v>119.86000000000001</v>
      </c>
      <c r="Z128" s="701">
        <f>0/N128</f>
        <v>0</v>
      </c>
      <c r="AA128" s="700">
        <f t="shared" si="107"/>
        <v>0</v>
      </c>
      <c r="AB128" s="1176">
        <f t="shared" si="113"/>
        <v>0</v>
      </c>
      <c r="AC128" s="311">
        <f>AN116*(0%)</f>
        <v>0</v>
      </c>
      <c r="AD128" s="311">
        <f>AO$9*(0%)</f>
        <v>0</v>
      </c>
      <c r="AE128" s="311">
        <v>0</v>
      </c>
      <c r="AF128" s="311">
        <v>0</v>
      </c>
      <c r="AG128" s="311">
        <v>0</v>
      </c>
      <c r="AH128" s="298">
        <v>0</v>
      </c>
      <c r="AI128" s="298">
        <v>0</v>
      </c>
      <c r="AJ128" s="311">
        <v>0</v>
      </c>
      <c r="AK128" s="313">
        <f t="shared" si="109"/>
        <v>489.12608303264261</v>
      </c>
      <c r="AL128" s="313">
        <f t="shared" si="110"/>
        <v>68.477651624569972</v>
      </c>
      <c r="AM128" s="313">
        <f t="shared" si="111"/>
        <v>1467.3782490979279</v>
      </c>
      <c r="AN128" s="313">
        <f t="shared" si="112"/>
        <v>205.43295487370992</v>
      </c>
    </row>
    <row r="129" spans="2:40" hidden="1" x14ac:dyDescent="0.25">
      <c r="B129" s="1091" t="s">
        <v>2747</v>
      </c>
      <c r="C129" s="1091"/>
      <c r="D129" s="1091"/>
      <c r="E129" s="1091"/>
      <c r="F129" s="1091"/>
      <c r="G129" s="1091"/>
      <c r="H129" s="1091"/>
      <c r="I129" s="1091"/>
      <c r="J129" s="1091"/>
      <c r="K129" s="1091"/>
      <c r="L129" s="1091"/>
      <c r="M129" s="1091"/>
      <c r="N129" s="1107">
        <f>SUM(N121:N128)</f>
        <v>12837.821079785663</v>
      </c>
      <c r="O129" s="1107">
        <f>SUM(O121:O128)</f>
        <v>0</v>
      </c>
      <c r="P129" s="1107">
        <f>SUM(P121:P128)</f>
        <v>0</v>
      </c>
      <c r="Q129" s="1107">
        <f>SUM(Q121:Q128)</f>
        <v>0</v>
      </c>
      <c r="R129" s="1094"/>
      <c r="S129" s="1106">
        <f>SUM(S121:S128)</f>
        <v>1299.9858583122068</v>
      </c>
      <c r="T129" s="1107">
        <f>SUM(T121:T128)</f>
        <v>0</v>
      </c>
      <c r="U129" s="1107">
        <f>SUM(U121:U128)</f>
        <v>0</v>
      </c>
      <c r="V129" s="315"/>
      <c r="W129" s="1107">
        <f t="shared" ref="W129" si="114">SUM(W121:W128)</f>
        <v>0</v>
      </c>
      <c r="X129" s="1179"/>
      <c r="Y129" s="1179">
        <f t="shared" ref="Y129" si="115">SUM(Y121:Y128)</f>
        <v>810.74000000000012</v>
      </c>
      <c r="Z129" s="699"/>
      <c r="AA129" s="699">
        <f>SUM(AA121:AA128)</f>
        <v>307.04000000000002</v>
      </c>
      <c r="AB129" s="1179">
        <f t="shared" ref="AB129:AG129" si="116">SUM(AB121:AB128)</f>
        <v>0</v>
      </c>
      <c r="AC129" s="1107">
        <f t="shared" si="116"/>
        <v>0</v>
      </c>
      <c r="AD129" s="1107">
        <f t="shared" si="116"/>
        <v>0</v>
      </c>
      <c r="AE129" s="1107">
        <f t="shared" si="116"/>
        <v>0</v>
      </c>
      <c r="AF129" s="1107">
        <f t="shared" si="116"/>
        <v>0</v>
      </c>
      <c r="AG129" s="1107">
        <f t="shared" si="116"/>
        <v>0</v>
      </c>
      <c r="AH129" s="1107">
        <f>SUM(AH121:AH128)</f>
        <v>695.43992848243033</v>
      </c>
      <c r="AI129" s="1107">
        <f t="shared" ref="AI129:AN129" si="117">SUM(AI121:AI128)</f>
        <v>0</v>
      </c>
      <c r="AJ129" s="1107">
        <f t="shared" si="117"/>
        <v>0</v>
      </c>
      <c r="AK129" s="1107">
        <f t="shared" si="117"/>
        <v>4279.2736932618873</v>
      </c>
      <c r="AL129" s="1107">
        <f t="shared" si="117"/>
        <v>433.32861943740227</v>
      </c>
      <c r="AM129" s="1107">
        <f t="shared" si="117"/>
        <v>12837.821079785663</v>
      </c>
      <c r="AN129" s="1107">
        <f t="shared" si="117"/>
        <v>1299.9858583122068</v>
      </c>
    </row>
    <row r="130" spans="2:40" hidden="1" x14ac:dyDescent="0.25">
      <c r="B130" s="1091"/>
      <c r="C130" s="1091"/>
      <c r="D130" s="1091"/>
      <c r="E130" s="1091"/>
      <c r="F130" s="1091"/>
      <c r="G130" s="1091"/>
      <c r="H130" s="1091"/>
      <c r="I130" s="1091"/>
      <c r="J130" s="1091"/>
      <c r="K130" s="1091"/>
      <c r="L130" s="1091"/>
      <c r="M130" s="1091"/>
      <c r="N130" s="1107"/>
      <c r="O130" s="1107"/>
      <c r="P130" s="1107"/>
      <c r="Q130" s="1107"/>
      <c r="R130" s="1094"/>
      <c r="S130" s="1106"/>
      <c r="T130" s="1107"/>
      <c r="U130" s="1107"/>
      <c r="V130" s="315"/>
      <c r="W130" s="1107"/>
      <c r="X130" s="1179"/>
      <c r="Y130" s="1179"/>
      <c r="Z130" s="699"/>
      <c r="AA130" s="699"/>
      <c r="AB130" s="1179"/>
      <c r="AC130" s="1107"/>
      <c r="AD130" s="1107"/>
      <c r="AE130" s="1107"/>
      <c r="AF130" s="1107"/>
      <c r="AG130" s="1107"/>
      <c r="AH130" s="1107"/>
      <c r="AI130" s="1107"/>
      <c r="AJ130" s="1107"/>
      <c r="AK130" s="1107"/>
      <c r="AL130" s="1107"/>
      <c r="AM130" s="1107"/>
      <c r="AN130" s="1107"/>
    </row>
    <row r="131" spans="2:40" s="299" customFormat="1" ht="15.75" hidden="1" x14ac:dyDescent="0.25">
      <c r="B131" s="295" t="s">
        <v>7201</v>
      </c>
      <c r="C131" s="304" t="s">
        <v>7119</v>
      </c>
      <c r="D131" s="304" t="s">
        <v>2654</v>
      </c>
      <c r="E131" s="304" t="s">
        <v>2739</v>
      </c>
      <c r="F131" s="304" t="s">
        <v>2787</v>
      </c>
      <c r="G131" s="304" t="s">
        <v>2798</v>
      </c>
      <c r="H131" s="305">
        <v>20</v>
      </c>
      <c r="I131" s="295">
        <v>44</v>
      </c>
      <c r="J131" s="295" t="s">
        <v>2636</v>
      </c>
      <c r="K131" s="295">
        <v>0</v>
      </c>
      <c r="L131" s="306" t="s">
        <v>7201</v>
      </c>
      <c r="M131" s="295">
        <v>2</v>
      </c>
      <c r="N131" s="307">
        <f>M131*AN116+0.01</f>
        <v>1390.8898569648607</v>
      </c>
      <c r="O131" s="308">
        <v>0</v>
      </c>
      <c r="P131" s="308">
        <v>0</v>
      </c>
      <c r="Q131" s="308">
        <v>0</v>
      </c>
      <c r="R131" s="309">
        <v>0</v>
      </c>
      <c r="S131" s="310">
        <f>N131*R131</f>
        <v>0</v>
      </c>
      <c r="T131" s="311">
        <v>0</v>
      </c>
      <c r="U131" s="311">
        <v>0</v>
      </c>
      <c r="V131" s="312">
        <v>0</v>
      </c>
      <c r="W131" s="311">
        <f>N131*V131</f>
        <v>0</v>
      </c>
      <c r="X131" s="1175">
        <v>0</v>
      </c>
      <c r="Y131" s="1176">
        <f>N131*X131</f>
        <v>0</v>
      </c>
      <c r="Z131" s="701">
        <v>0</v>
      </c>
      <c r="AA131" s="700">
        <f>N131*Z131</f>
        <v>0</v>
      </c>
      <c r="AB131" s="1176">
        <f>N131*(0.546%)</f>
        <v>7.5942586190281398</v>
      </c>
      <c r="AC131" s="311">
        <v>0</v>
      </c>
      <c r="AD131" s="311">
        <v>0</v>
      </c>
      <c r="AE131" s="311">
        <v>0</v>
      </c>
      <c r="AF131" s="311">
        <v>0</v>
      </c>
      <c r="AG131" s="311">
        <v>0</v>
      </c>
      <c r="AH131" s="298">
        <v>0</v>
      </c>
      <c r="AI131" s="298">
        <v>0</v>
      </c>
      <c r="AJ131" s="311">
        <v>0</v>
      </c>
      <c r="AK131" s="313">
        <f>(N131+T131+U131)/3</f>
        <v>463.62995232162024</v>
      </c>
      <c r="AL131" s="313">
        <f>AK131*R131</f>
        <v>0</v>
      </c>
      <c r="AM131" s="313">
        <f>N131</f>
        <v>1390.8898569648607</v>
      </c>
      <c r="AN131" s="313">
        <f>AM131*R131</f>
        <v>0</v>
      </c>
    </row>
    <row r="132" spans="2:40" hidden="1" x14ac:dyDescent="0.25">
      <c r="B132" s="1091" t="s">
        <v>2759</v>
      </c>
      <c r="C132" s="1091"/>
      <c r="D132" s="1091"/>
      <c r="E132" s="1091"/>
      <c r="F132" s="1091"/>
      <c r="G132" s="1091"/>
      <c r="H132" s="1091"/>
      <c r="I132" s="1091"/>
      <c r="J132" s="1091"/>
      <c r="K132" s="1091"/>
      <c r="L132" s="1091"/>
      <c r="M132" s="1091"/>
      <c r="N132" s="1107">
        <f>SUM(N131:N131)</f>
        <v>1390.8898569648607</v>
      </c>
      <c r="O132" s="1107">
        <f>SUM(O131:O131)</f>
        <v>0</v>
      </c>
      <c r="P132" s="1107">
        <f>SUM(P131:P131)</f>
        <v>0</v>
      </c>
      <c r="Q132" s="1107">
        <f>SUM(Q131:Q131)</f>
        <v>0</v>
      </c>
      <c r="R132" s="1094"/>
      <c r="S132" s="1106">
        <f>SUM(S131:S131)</f>
        <v>0</v>
      </c>
      <c r="T132" s="1107">
        <f>SUM(T131:T131)</f>
        <v>0</v>
      </c>
      <c r="U132" s="1107">
        <f>SUM(U131:U131)</f>
        <v>0</v>
      </c>
      <c r="V132" s="315"/>
      <c r="W132" s="1107">
        <f>SUM(W131:W131)</f>
        <v>0</v>
      </c>
      <c r="X132" s="1180"/>
      <c r="Y132" s="1179">
        <f>SUM(Y131:Y131)</f>
        <v>0</v>
      </c>
      <c r="Z132" s="1164"/>
      <c r="AA132" s="699">
        <f t="shared" ref="AA132:AN132" si="118">SUM(AA131:AA131)</f>
        <v>0</v>
      </c>
      <c r="AB132" s="1179">
        <f t="shared" si="118"/>
        <v>7.5942586190281398</v>
      </c>
      <c r="AC132" s="1107">
        <f t="shared" si="118"/>
        <v>0</v>
      </c>
      <c r="AD132" s="1107">
        <f t="shared" si="118"/>
        <v>0</v>
      </c>
      <c r="AE132" s="1107">
        <f t="shared" si="118"/>
        <v>0</v>
      </c>
      <c r="AF132" s="1107">
        <f t="shared" si="118"/>
        <v>0</v>
      </c>
      <c r="AG132" s="1107">
        <f t="shared" si="118"/>
        <v>0</v>
      </c>
      <c r="AH132" s="1107">
        <f t="shared" si="118"/>
        <v>0</v>
      </c>
      <c r="AI132" s="1107">
        <f t="shared" si="118"/>
        <v>0</v>
      </c>
      <c r="AJ132" s="1107">
        <f t="shared" si="118"/>
        <v>0</v>
      </c>
      <c r="AK132" s="1107">
        <f t="shared" si="118"/>
        <v>463.62995232162024</v>
      </c>
      <c r="AL132" s="1107">
        <f t="shared" si="118"/>
        <v>0</v>
      </c>
      <c r="AM132" s="1107">
        <f t="shared" si="118"/>
        <v>1390.8898569648607</v>
      </c>
      <c r="AN132" s="1107">
        <f t="shared" si="118"/>
        <v>0</v>
      </c>
    </row>
    <row r="133" spans="2:40" hidden="1" x14ac:dyDescent="0.25">
      <c r="B133" s="1091"/>
      <c r="C133" s="1091"/>
      <c r="D133" s="1091"/>
      <c r="E133" s="1091"/>
      <c r="F133" s="1091"/>
      <c r="G133" s="1091"/>
      <c r="H133" s="1091"/>
      <c r="I133" s="1091"/>
      <c r="J133" s="1091"/>
      <c r="K133" s="1091"/>
      <c r="L133" s="1091"/>
      <c r="M133" s="1091"/>
      <c r="N133" s="1107"/>
      <c r="O133" s="1107"/>
      <c r="P133" s="1107"/>
      <c r="Q133" s="1107"/>
      <c r="R133" s="1094"/>
      <c r="S133" s="1106"/>
      <c r="T133" s="1107"/>
      <c r="U133" s="1107"/>
      <c r="V133" s="315"/>
      <c r="W133" s="1107"/>
      <c r="X133" s="1180"/>
      <c r="Y133" s="1179"/>
      <c r="Z133" s="1164"/>
      <c r="AA133" s="699"/>
      <c r="AB133" s="1179"/>
      <c r="AC133" s="1107"/>
      <c r="AD133" s="1107"/>
      <c r="AE133" s="1107"/>
      <c r="AF133" s="1107"/>
      <c r="AG133" s="1107"/>
      <c r="AH133" s="1107"/>
      <c r="AI133" s="1107"/>
      <c r="AJ133" s="1107"/>
      <c r="AK133" s="1107"/>
      <c r="AL133" s="1107"/>
      <c r="AM133" s="1107"/>
      <c r="AN133" s="1107"/>
    </row>
    <row r="134" spans="2:40" ht="15.75" hidden="1" x14ac:dyDescent="0.25">
      <c r="B134" s="295" t="s">
        <v>7201</v>
      </c>
      <c r="C134" s="314" t="s">
        <v>7119</v>
      </c>
      <c r="D134" s="314" t="s">
        <v>2790</v>
      </c>
      <c r="E134" s="314" t="s">
        <v>2723</v>
      </c>
      <c r="F134" s="304" t="s">
        <v>2787</v>
      </c>
      <c r="G134" s="304" t="s">
        <v>2798</v>
      </c>
      <c r="H134" s="295">
        <v>20</v>
      </c>
      <c r="I134" s="295">
        <v>40</v>
      </c>
      <c r="J134" s="295">
        <v>0</v>
      </c>
      <c r="K134" s="295">
        <v>0</v>
      </c>
      <c r="L134" s="306" t="s">
        <v>7201</v>
      </c>
      <c r="M134" s="316">
        <v>4.5</v>
      </c>
      <c r="N134" s="308">
        <f>AN116*M134</f>
        <v>3129.4796781709365</v>
      </c>
      <c r="O134" s="308">
        <v>0</v>
      </c>
      <c r="P134" s="308">
        <v>0</v>
      </c>
      <c r="Q134" s="308">
        <v>0</v>
      </c>
      <c r="R134" s="317">
        <v>0</v>
      </c>
      <c r="S134" s="310">
        <f>N134*R134</f>
        <v>0</v>
      </c>
      <c r="T134" s="311">
        <v>0</v>
      </c>
      <c r="U134" s="311">
        <v>0</v>
      </c>
      <c r="V134" s="312">
        <v>0</v>
      </c>
      <c r="W134" s="311">
        <f>N134*V134</f>
        <v>0</v>
      </c>
      <c r="X134" s="1175">
        <v>0</v>
      </c>
      <c r="Y134" s="1176">
        <v>0</v>
      </c>
      <c r="Z134" s="701">
        <v>0</v>
      </c>
      <c r="AA134" s="700">
        <v>0</v>
      </c>
      <c r="AB134" s="1176">
        <v>0</v>
      </c>
      <c r="AC134" s="311">
        <v>0</v>
      </c>
      <c r="AD134" s="311">
        <v>0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3">
        <f>(N134+T134+U134)/3</f>
        <v>1043.1598927236455</v>
      </c>
      <c r="AL134" s="313">
        <f>AK134*R134</f>
        <v>0</v>
      </c>
      <c r="AM134" s="313">
        <f>N134</f>
        <v>3129.4796781709365</v>
      </c>
      <c r="AN134" s="313">
        <f>AM134*R134</f>
        <v>0</v>
      </c>
    </row>
    <row r="135" spans="2:40" ht="15.75" hidden="1" x14ac:dyDescent="0.25">
      <c r="B135" s="295">
        <v>2222</v>
      </c>
      <c r="C135" s="314" t="str">
        <f>PROPER("JUCIMARA MORAIS DE SOUZA")</f>
        <v>Jucimara Morais De Souza</v>
      </c>
      <c r="D135" s="314" t="s">
        <v>2792</v>
      </c>
      <c r="E135" s="314" t="s">
        <v>2723</v>
      </c>
      <c r="F135" s="304" t="s">
        <v>2787</v>
      </c>
      <c r="G135" s="304" t="s">
        <v>2798</v>
      </c>
      <c r="H135" s="295">
        <v>20</v>
      </c>
      <c r="I135" s="295">
        <v>40</v>
      </c>
      <c r="J135" s="295">
        <v>0</v>
      </c>
      <c r="K135" s="295">
        <v>0</v>
      </c>
      <c r="L135" s="306">
        <v>43587</v>
      </c>
      <c r="M135" s="316">
        <v>5.6</v>
      </c>
      <c r="N135" s="308">
        <f>AN116*M135</f>
        <v>3894.4635995016097</v>
      </c>
      <c r="O135" s="308">
        <v>0</v>
      </c>
      <c r="P135" s="308">
        <v>0</v>
      </c>
      <c r="Q135" s="308">
        <v>0</v>
      </c>
      <c r="R135" s="317">
        <v>0</v>
      </c>
      <c r="S135" s="310">
        <f>N135*R135</f>
        <v>0</v>
      </c>
      <c r="T135" s="311">
        <v>0</v>
      </c>
      <c r="U135" s="311">
        <v>0</v>
      </c>
      <c r="V135" s="312">
        <v>0</v>
      </c>
      <c r="W135" s="311">
        <f>N135*V135</f>
        <v>0</v>
      </c>
      <c r="X135" s="1175">
        <v>0</v>
      </c>
      <c r="Y135" s="1176">
        <v>0</v>
      </c>
      <c r="Z135" s="701">
        <v>0</v>
      </c>
      <c r="AA135" s="700">
        <v>0</v>
      </c>
      <c r="AB135" s="1176">
        <v>0</v>
      </c>
      <c r="AC135" s="311">
        <v>0</v>
      </c>
      <c r="AD135" s="311">
        <v>0</v>
      </c>
      <c r="AE135" s="311">
        <v>0</v>
      </c>
      <c r="AF135" s="311">
        <v>0</v>
      </c>
      <c r="AG135" s="311">
        <v>0</v>
      </c>
      <c r="AH135" s="311">
        <v>0</v>
      </c>
      <c r="AI135" s="311">
        <v>0</v>
      </c>
      <c r="AJ135" s="311">
        <v>0</v>
      </c>
      <c r="AK135" s="313">
        <f>(N135+T135+U135)/3</f>
        <v>1298.1545331672032</v>
      </c>
      <c r="AL135" s="313">
        <f>AK135*R135</f>
        <v>0</v>
      </c>
      <c r="AM135" s="313">
        <f>N135</f>
        <v>3894.4635995016097</v>
      </c>
      <c r="AN135" s="313">
        <f>AM135*R135</f>
        <v>0</v>
      </c>
    </row>
    <row r="136" spans="2:40" ht="15.75" hidden="1" x14ac:dyDescent="0.25">
      <c r="B136" s="295">
        <v>2210</v>
      </c>
      <c r="C136" s="314" t="str">
        <f>PROPER("LUCIA DE MOURA TYSKA")</f>
        <v>Lucia De Moura Tyska</v>
      </c>
      <c r="D136" s="314" t="s">
        <v>2793</v>
      </c>
      <c r="E136" s="314" t="s">
        <v>2723</v>
      </c>
      <c r="F136" s="304" t="s">
        <v>2787</v>
      </c>
      <c r="G136" s="304" t="s">
        <v>2798</v>
      </c>
      <c r="H136" s="295">
        <v>20</v>
      </c>
      <c r="I136" s="295">
        <v>40</v>
      </c>
      <c r="J136" s="295">
        <v>0</v>
      </c>
      <c r="K136" s="295">
        <v>0</v>
      </c>
      <c r="L136" s="306">
        <v>43102</v>
      </c>
      <c r="M136" s="316">
        <f>2046.95/639.67</f>
        <v>3.2000093798364784</v>
      </c>
      <c r="N136" s="308">
        <f>AN116*M136</f>
        <v>2225.4142942565868</v>
      </c>
      <c r="O136" s="308">
        <v>0</v>
      </c>
      <c r="P136" s="308">
        <v>0</v>
      </c>
      <c r="Q136" s="308">
        <v>0</v>
      </c>
      <c r="R136" s="317">
        <v>0</v>
      </c>
      <c r="S136" s="310">
        <f>N136*R136</f>
        <v>0</v>
      </c>
      <c r="T136" s="311">
        <v>0</v>
      </c>
      <c r="U136" s="311">
        <v>0</v>
      </c>
      <c r="V136" s="312">
        <v>0</v>
      </c>
      <c r="W136" s="311">
        <f>N136*V136</f>
        <v>0</v>
      </c>
      <c r="X136" s="1175">
        <v>0</v>
      </c>
      <c r="Y136" s="1176">
        <v>0</v>
      </c>
      <c r="Z136" s="701">
        <v>0</v>
      </c>
      <c r="AA136" s="700">
        <v>0</v>
      </c>
      <c r="AB136" s="1176">
        <v>0</v>
      </c>
      <c r="AC136" s="311">
        <v>0</v>
      </c>
      <c r="AD136" s="311">
        <v>0</v>
      </c>
      <c r="AE136" s="311">
        <v>0</v>
      </c>
      <c r="AF136" s="311">
        <v>0</v>
      </c>
      <c r="AG136" s="311">
        <v>0</v>
      </c>
      <c r="AH136" s="311">
        <v>0</v>
      </c>
      <c r="AI136" s="311">
        <v>0</v>
      </c>
      <c r="AJ136" s="311">
        <v>0</v>
      </c>
      <c r="AK136" s="313">
        <f>(N136+T136+U136)/3</f>
        <v>741.80476475219564</v>
      </c>
      <c r="AL136" s="313">
        <f>AK136*R136</f>
        <v>0</v>
      </c>
      <c r="AM136" s="313">
        <f>N136</f>
        <v>2225.4142942565868</v>
      </c>
      <c r="AN136" s="313">
        <f>AM136*R136</f>
        <v>0</v>
      </c>
    </row>
    <row r="137" spans="2:40" hidden="1" x14ac:dyDescent="0.25">
      <c r="B137" s="1091" t="s">
        <v>2755</v>
      </c>
      <c r="C137" s="1091"/>
      <c r="D137" s="1091"/>
      <c r="E137" s="1091"/>
      <c r="F137" s="1091"/>
      <c r="G137" s="1091"/>
      <c r="H137" s="1091"/>
      <c r="I137" s="1091"/>
      <c r="J137" s="1091"/>
      <c r="K137" s="1091"/>
      <c r="L137" s="1091"/>
      <c r="M137" s="1091"/>
      <c r="N137" s="1107">
        <f>SUM(N134:N136)</f>
        <v>9249.357571929133</v>
      </c>
      <c r="O137" s="1107">
        <f>SUM(O134:O136)</f>
        <v>0</v>
      </c>
      <c r="P137" s="1107">
        <f>SUM(P134:P136)</f>
        <v>0</v>
      </c>
      <c r="Q137" s="1107">
        <f>SUM(Q134:Q136)</f>
        <v>0</v>
      </c>
      <c r="R137" s="1094"/>
      <c r="S137" s="1106">
        <f>SUM(S134:S136)</f>
        <v>0</v>
      </c>
      <c r="T137" s="1107">
        <f>SUM(T134:T136)</f>
        <v>0</v>
      </c>
      <c r="U137" s="1107">
        <f>SUM(U134:U136)</f>
        <v>0</v>
      </c>
      <c r="V137" s="315"/>
      <c r="W137" s="1107">
        <f>SUM(W134:W136)</f>
        <v>0</v>
      </c>
      <c r="X137" s="1180"/>
      <c r="Y137" s="1179">
        <f>SUM(Y134:Y136)</f>
        <v>0</v>
      </c>
      <c r="Z137" s="1164"/>
      <c r="AA137" s="699">
        <f t="shared" ref="AA137" si="119">SUM(AA134:AA136)</f>
        <v>0</v>
      </c>
      <c r="AB137" s="1179">
        <f t="shared" ref="AB137" si="120">SUM(AB134:AB136)</f>
        <v>0</v>
      </c>
      <c r="AC137" s="1107">
        <f t="shared" ref="AC137" si="121">SUM(AC134:AC136)</f>
        <v>0</v>
      </c>
      <c r="AD137" s="1107">
        <f t="shared" ref="AD137" si="122">SUM(AD134:AD136)</f>
        <v>0</v>
      </c>
      <c r="AE137" s="1107">
        <f t="shared" ref="AE137" si="123">SUM(AE134:AE136)</f>
        <v>0</v>
      </c>
      <c r="AF137" s="1107">
        <f t="shared" ref="AF137" si="124">SUM(AF134:AF136)</f>
        <v>0</v>
      </c>
      <c r="AG137" s="1107">
        <f t="shared" ref="AG137" si="125">SUM(AG134:AG136)</f>
        <v>0</v>
      </c>
      <c r="AH137" s="1107">
        <f t="shared" ref="AH137" si="126">SUM(AH134:AH136)</f>
        <v>0</v>
      </c>
      <c r="AI137" s="1107">
        <f t="shared" ref="AI137" si="127">SUM(AI134:AI136)</f>
        <v>0</v>
      </c>
      <c r="AJ137" s="1107">
        <f t="shared" ref="AJ137" si="128">SUM(AJ134:AJ136)</f>
        <v>0</v>
      </c>
      <c r="AK137" s="1107">
        <f t="shared" ref="AK137" si="129">SUM(AK134:AK136)</f>
        <v>3083.1191906430445</v>
      </c>
      <c r="AL137" s="1107">
        <f t="shared" ref="AL137" si="130">SUM(AL134:AL136)</f>
        <v>0</v>
      </c>
      <c r="AM137" s="1107">
        <f t="shared" ref="AM137" si="131">SUM(AM134:AM136)</f>
        <v>9249.357571929133</v>
      </c>
      <c r="AN137" s="1107">
        <f t="shared" ref="AN137" si="132">SUM(AN134:AN136)</f>
        <v>0</v>
      </c>
    </row>
    <row r="138" spans="2:40" hidden="1" x14ac:dyDescent="0.25">
      <c r="B138" s="1091"/>
      <c r="C138" s="1091"/>
      <c r="D138" s="1091"/>
      <c r="E138" s="1091"/>
      <c r="F138" s="1091"/>
      <c r="G138" s="1091"/>
      <c r="H138" s="1091"/>
      <c r="I138" s="1091"/>
      <c r="J138" s="1091"/>
      <c r="K138" s="1091"/>
      <c r="L138" s="1091"/>
      <c r="M138" s="1091"/>
      <c r="N138" s="1107"/>
      <c r="O138" s="1107"/>
      <c r="P138" s="1107"/>
      <c r="Q138" s="1107"/>
      <c r="R138" s="1094"/>
      <c r="S138" s="1106"/>
      <c r="T138" s="1107"/>
      <c r="U138" s="1107"/>
      <c r="V138" s="315"/>
      <c r="W138" s="1107"/>
      <c r="X138" s="1180"/>
      <c r="Y138" s="1179"/>
      <c r="Z138" s="1164"/>
      <c r="AA138" s="699"/>
      <c r="AB138" s="1179"/>
      <c r="AC138" s="1107"/>
      <c r="AD138" s="1107"/>
      <c r="AE138" s="1107"/>
      <c r="AF138" s="1107"/>
      <c r="AG138" s="1107"/>
      <c r="AH138" s="1107"/>
      <c r="AI138" s="1107"/>
      <c r="AJ138" s="1107"/>
      <c r="AK138" s="1107"/>
      <c r="AL138" s="1107"/>
      <c r="AM138" s="1107"/>
      <c r="AN138" s="1107"/>
    </row>
    <row r="139" spans="2:40" s="299" customFormat="1" ht="15.75" hidden="1" x14ac:dyDescent="0.25">
      <c r="B139" s="295">
        <v>861</v>
      </c>
      <c r="C139" s="314" t="s">
        <v>2869</v>
      </c>
      <c r="D139" s="314" t="s">
        <v>2795</v>
      </c>
      <c r="E139" s="314" t="s">
        <v>2725</v>
      </c>
      <c r="F139" s="304" t="s">
        <v>2787</v>
      </c>
      <c r="G139" s="304" t="s">
        <v>2798</v>
      </c>
      <c r="H139" s="295">
        <v>20</v>
      </c>
      <c r="I139" s="295">
        <v>40</v>
      </c>
      <c r="J139" s="295">
        <v>0</v>
      </c>
      <c r="K139" s="295">
        <v>0</v>
      </c>
      <c r="L139" s="306">
        <v>43328</v>
      </c>
      <c r="M139" s="316">
        <f>4760.1/639.67</f>
        <v>7.441493269967328</v>
      </c>
      <c r="N139" s="308">
        <f>AN116*M139</f>
        <v>5175.1115474685648</v>
      </c>
      <c r="O139" s="308">
        <v>0</v>
      </c>
      <c r="P139" s="308">
        <v>0</v>
      </c>
      <c r="Q139" s="308">
        <v>0</v>
      </c>
      <c r="R139" s="1183">
        <v>0.15</v>
      </c>
      <c r="S139" s="310">
        <f>N139*R139</f>
        <v>776.2667321202847</v>
      </c>
      <c r="T139" s="311">
        <v>0</v>
      </c>
      <c r="U139" s="311">
        <v>0</v>
      </c>
      <c r="V139" s="312">
        <v>0</v>
      </c>
      <c r="W139" s="311">
        <f>N139*V139</f>
        <v>0</v>
      </c>
      <c r="X139" s="1175">
        <v>0</v>
      </c>
      <c r="Y139" s="1176">
        <v>0</v>
      </c>
      <c r="Z139" s="701">
        <v>0</v>
      </c>
      <c r="AA139" s="700">
        <v>0</v>
      </c>
      <c r="AB139" s="1176">
        <v>0</v>
      </c>
      <c r="AC139" s="311">
        <v>0</v>
      </c>
      <c r="AD139" s="311">
        <v>0</v>
      </c>
      <c r="AE139" s="311">
        <v>0</v>
      </c>
      <c r="AF139" s="311">
        <v>0</v>
      </c>
      <c r="AG139" s="311">
        <v>0</v>
      </c>
      <c r="AH139" s="311">
        <v>0</v>
      </c>
      <c r="AI139" s="311">
        <v>0</v>
      </c>
      <c r="AJ139" s="311">
        <v>0</v>
      </c>
      <c r="AK139" s="313">
        <f>(N139+T139+U139)/3</f>
        <v>1725.0371824895217</v>
      </c>
      <c r="AL139" s="313">
        <f>AK139*R139</f>
        <v>258.75557737342825</v>
      </c>
      <c r="AM139" s="313">
        <f>N139</f>
        <v>5175.1115474685648</v>
      </c>
      <c r="AN139" s="313">
        <f>AM139*R139</f>
        <v>776.2667321202847</v>
      </c>
    </row>
    <row r="140" spans="2:40" s="299" customFormat="1" hidden="1" x14ac:dyDescent="0.25">
      <c r="B140" s="1091" t="s">
        <v>2726</v>
      </c>
      <c r="C140" s="1091"/>
      <c r="D140" s="1091"/>
      <c r="E140" s="1091"/>
      <c r="F140" s="1091"/>
      <c r="G140" s="1091"/>
      <c r="H140" s="1091"/>
      <c r="I140" s="1091"/>
      <c r="J140" s="1091"/>
      <c r="K140" s="1091"/>
      <c r="L140" s="1091"/>
      <c r="M140" s="1091"/>
      <c r="N140" s="1107">
        <f>SUM(N139:N139)</f>
        <v>5175.1115474685648</v>
      </c>
      <c r="O140" s="1107">
        <f>SUM(O139:O139)</f>
        <v>0</v>
      </c>
      <c r="P140" s="1107">
        <f>SUM(P139:P139)</f>
        <v>0</v>
      </c>
      <c r="Q140" s="1107">
        <f>SUM(Q139:Q139)</f>
        <v>0</v>
      </c>
      <c r="R140" s="1094"/>
      <c r="S140" s="1106">
        <f>SUM(S139:S139)</f>
        <v>776.2667321202847</v>
      </c>
      <c r="T140" s="1107">
        <f>SUM(T139:T139)</f>
        <v>0</v>
      </c>
      <c r="U140" s="1107">
        <f>SUM(U139:U139)</f>
        <v>0</v>
      </c>
      <c r="V140" s="315"/>
      <c r="W140" s="1107">
        <f>SUM(W139:W139)</f>
        <v>0</v>
      </c>
      <c r="X140" s="1180"/>
      <c r="Y140" s="1179">
        <f>SUM(Y139:Y139)</f>
        <v>0</v>
      </c>
      <c r="Z140" s="1164"/>
      <c r="AA140" s="699">
        <f>SUM(AA139:AA139)</f>
        <v>0</v>
      </c>
      <c r="AB140" s="1179">
        <f t="shared" ref="AB140:AN140" si="133">SUM(AB139:AB139)</f>
        <v>0</v>
      </c>
      <c r="AC140" s="1107">
        <f t="shared" si="133"/>
        <v>0</v>
      </c>
      <c r="AD140" s="1107">
        <f t="shared" si="133"/>
        <v>0</v>
      </c>
      <c r="AE140" s="1107">
        <f t="shared" si="133"/>
        <v>0</v>
      </c>
      <c r="AF140" s="1107">
        <f t="shared" si="133"/>
        <v>0</v>
      </c>
      <c r="AG140" s="1107">
        <f t="shared" si="133"/>
        <v>0</v>
      </c>
      <c r="AH140" s="1107">
        <f t="shared" si="133"/>
        <v>0</v>
      </c>
      <c r="AI140" s="1107">
        <f t="shared" si="133"/>
        <v>0</v>
      </c>
      <c r="AJ140" s="1107">
        <f t="shared" si="133"/>
        <v>0</v>
      </c>
      <c r="AK140" s="1107">
        <f t="shared" si="133"/>
        <v>1725.0371824895217</v>
      </c>
      <c r="AL140" s="1107">
        <f t="shared" si="133"/>
        <v>258.75557737342825</v>
      </c>
      <c r="AM140" s="1107">
        <f t="shared" si="133"/>
        <v>5175.1115474685648</v>
      </c>
      <c r="AN140" s="1107">
        <f t="shared" si="133"/>
        <v>776.2667321202847</v>
      </c>
    </row>
    <row r="141" spans="2:40" s="299" customFormat="1" hidden="1" x14ac:dyDescent="0.25">
      <c r="B141" s="1091"/>
      <c r="C141" s="1091"/>
      <c r="D141" s="1091"/>
      <c r="E141" s="1091"/>
      <c r="F141" s="1091"/>
      <c r="G141" s="1091"/>
      <c r="H141" s="1091"/>
      <c r="I141" s="1091"/>
      <c r="J141" s="1091"/>
      <c r="K141" s="1091"/>
      <c r="L141" s="1091"/>
      <c r="M141" s="1091"/>
      <c r="N141" s="1107"/>
      <c r="O141" s="1107"/>
      <c r="P141" s="1107"/>
      <c r="Q141" s="1107"/>
      <c r="R141" s="1094"/>
      <c r="S141" s="1106"/>
      <c r="T141" s="1107"/>
      <c r="U141" s="1107"/>
      <c r="V141" s="315"/>
      <c r="W141" s="1107"/>
      <c r="X141" s="1180"/>
      <c r="Y141" s="1179"/>
      <c r="Z141" s="1164"/>
      <c r="AA141" s="699"/>
      <c r="AB141" s="1179"/>
      <c r="AC141" s="1107"/>
      <c r="AD141" s="1107"/>
      <c r="AE141" s="1107"/>
      <c r="AF141" s="1107"/>
      <c r="AG141" s="1107"/>
      <c r="AH141" s="1107"/>
      <c r="AI141" s="1107"/>
      <c r="AJ141" s="1107"/>
      <c r="AK141" s="1107"/>
      <c r="AL141" s="1107"/>
      <c r="AM141" s="1107"/>
      <c r="AN141" s="1107"/>
    </row>
    <row r="142" spans="2:40" s="299" customFormat="1" ht="15.75" hidden="1" x14ac:dyDescent="0.25">
      <c r="B142" s="295">
        <v>15</v>
      </c>
      <c r="C142" s="314" t="str">
        <f>PROPER("EVA MARLENE MEIRELES")</f>
        <v>Eva Marlene Meireles</v>
      </c>
      <c r="D142" s="304" t="s">
        <v>2796</v>
      </c>
      <c r="E142" s="304" t="s">
        <v>2797</v>
      </c>
      <c r="F142" s="304" t="s">
        <v>2787</v>
      </c>
      <c r="G142" s="304" t="s">
        <v>2798</v>
      </c>
      <c r="H142" s="305">
        <v>20</v>
      </c>
      <c r="I142" s="295">
        <v>20</v>
      </c>
      <c r="J142" s="295" t="s">
        <v>2636</v>
      </c>
      <c r="K142" s="295">
        <v>1</v>
      </c>
      <c r="L142" s="306">
        <v>35431</v>
      </c>
      <c r="M142" s="295">
        <v>1.7</v>
      </c>
      <c r="N142" s="307">
        <f>M142*AN116</f>
        <v>1182.2478784201314</v>
      </c>
      <c r="O142" s="308">
        <v>0</v>
      </c>
      <c r="P142" s="308">
        <v>0</v>
      </c>
      <c r="Q142" s="308">
        <v>0</v>
      </c>
      <c r="R142" s="309">
        <v>0.22</v>
      </c>
      <c r="S142" s="310">
        <f>N142*R142</f>
        <v>260.0945332524289</v>
      </c>
      <c r="T142" s="311">
        <v>0</v>
      </c>
      <c r="U142" s="311">
        <v>0</v>
      </c>
      <c r="V142" s="312">
        <v>0</v>
      </c>
      <c r="W142" s="311">
        <f>N142*V142</f>
        <v>0</v>
      </c>
      <c r="X142" s="1175">
        <f>0/N142</f>
        <v>0</v>
      </c>
      <c r="Y142" s="1176">
        <f>N142*X142</f>
        <v>0</v>
      </c>
      <c r="Z142" s="701">
        <f>0/N142</f>
        <v>0</v>
      </c>
      <c r="AA142" s="700">
        <f>N142*Z142</f>
        <v>0</v>
      </c>
      <c r="AB142" s="1176">
        <f>N142*(0)</f>
        <v>0</v>
      </c>
      <c r="AC142" s="311">
        <f>AN116*(0%)</f>
        <v>0</v>
      </c>
      <c r="AD142" s="311">
        <f>AO$9*(0%)</f>
        <v>0</v>
      </c>
      <c r="AE142" s="311">
        <v>0</v>
      </c>
      <c r="AF142" s="311">
        <v>0</v>
      </c>
      <c r="AG142" s="311">
        <v>0</v>
      </c>
      <c r="AH142" s="298">
        <v>0</v>
      </c>
      <c r="AI142" s="298">
        <v>0</v>
      </c>
      <c r="AJ142" s="311">
        <v>0</v>
      </c>
      <c r="AK142" s="313">
        <f>(N142+T142+U142)/3</f>
        <v>394.08262614004383</v>
      </c>
      <c r="AL142" s="313">
        <f>AK142*R142</f>
        <v>86.698177750809649</v>
      </c>
      <c r="AM142" s="313">
        <f>N142</f>
        <v>1182.2478784201314</v>
      </c>
      <c r="AN142" s="313">
        <f>AM142*R142</f>
        <v>260.0945332524289</v>
      </c>
    </row>
    <row r="143" spans="2:40" s="291" customFormat="1" hidden="1" x14ac:dyDescent="0.25">
      <c r="B143" s="1091" t="s">
        <v>2799</v>
      </c>
      <c r="C143" s="1091"/>
      <c r="D143" s="1091"/>
      <c r="E143" s="1091"/>
      <c r="F143" s="1091"/>
      <c r="G143" s="1091"/>
      <c r="H143" s="1091"/>
      <c r="I143" s="1091"/>
      <c r="J143" s="1091"/>
      <c r="K143" s="1091"/>
      <c r="L143" s="1091"/>
      <c r="M143" s="1091"/>
      <c r="N143" s="1107">
        <f>SUM(N142:N142)</f>
        <v>1182.2478784201314</v>
      </c>
      <c r="O143" s="1107">
        <f>SUM(O142:O142)</f>
        <v>0</v>
      </c>
      <c r="P143" s="1107">
        <f>SUM(P142:P142)</f>
        <v>0</v>
      </c>
      <c r="Q143" s="1107">
        <f>SUM(Q142:Q142)</f>
        <v>0</v>
      </c>
      <c r="R143" s="1094"/>
      <c r="S143" s="1106">
        <f>SUM(S142:S142)</f>
        <v>260.0945332524289</v>
      </c>
      <c r="T143" s="1107">
        <f>SUM(T142:T142)</f>
        <v>0</v>
      </c>
      <c r="U143" s="1107">
        <f>SUM(U142:U142)</f>
        <v>0</v>
      </c>
      <c r="V143" s="315"/>
      <c r="W143" s="1107">
        <f>SUM(W142:W142)</f>
        <v>0</v>
      </c>
      <c r="X143" s="1180"/>
      <c r="Y143" s="1179">
        <f>SUM(Y142:Y142)</f>
        <v>0</v>
      </c>
      <c r="Z143" s="1164"/>
      <c r="AA143" s="699">
        <f>SUM(AA142:AA142)</f>
        <v>0</v>
      </c>
      <c r="AB143" s="1179">
        <f t="shared" ref="AB143:AN143" si="134">SUM(AB142:AB142)</f>
        <v>0</v>
      </c>
      <c r="AC143" s="1107">
        <f t="shared" si="134"/>
        <v>0</v>
      </c>
      <c r="AD143" s="1107">
        <f t="shared" si="134"/>
        <v>0</v>
      </c>
      <c r="AE143" s="1107">
        <f t="shared" si="134"/>
        <v>0</v>
      </c>
      <c r="AF143" s="1107">
        <f t="shared" si="134"/>
        <v>0</v>
      </c>
      <c r="AG143" s="1107">
        <f t="shared" si="134"/>
        <v>0</v>
      </c>
      <c r="AH143" s="1107">
        <f t="shared" si="134"/>
        <v>0</v>
      </c>
      <c r="AI143" s="1107">
        <f t="shared" si="134"/>
        <v>0</v>
      </c>
      <c r="AJ143" s="1107">
        <f t="shared" si="134"/>
        <v>0</v>
      </c>
      <c r="AK143" s="1107">
        <f t="shared" si="134"/>
        <v>394.08262614004383</v>
      </c>
      <c r="AL143" s="1107">
        <f t="shared" si="134"/>
        <v>86.698177750809649</v>
      </c>
      <c r="AM143" s="1107">
        <f t="shared" si="134"/>
        <v>1182.2478784201314</v>
      </c>
      <c r="AN143" s="1107">
        <f t="shared" si="134"/>
        <v>260.0945332524289</v>
      </c>
    </row>
    <row r="144" spans="2:40" s="1184" customFormat="1" hidden="1" x14ac:dyDescent="0.25">
      <c r="B144" s="1185" t="s">
        <v>7202</v>
      </c>
      <c r="C144" s="1186"/>
      <c r="D144" s="1186"/>
      <c r="E144" s="1186"/>
      <c r="F144" s="1186"/>
      <c r="G144" s="1186"/>
      <c r="H144" s="1186"/>
      <c r="I144" s="1186"/>
      <c r="J144" s="1186"/>
      <c r="K144" s="1186"/>
      <c r="L144" s="1186"/>
      <c r="M144" s="1186"/>
      <c r="N144" s="1179">
        <f>N143+N140+N137+N132+N129</f>
        <v>29835.42793456835</v>
      </c>
      <c r="O144" s="1179">
        <f>O143+O140+O137+O132+O129</f>
        <v>0</v>
      </c>
      <c r="P144" s="1179">
        <f>P143+P140+P137+P132+P129</f>
        <v>0</v>
      </c>
      <c r="Q144" s="1179">
        <f>Q143+Q140+Q137+Q132+Q129</f>
        <v>0</v>
      </c>
      <c r="R144" s="1187"/>
      <c r="S144" s="1179">
        <f>S143+S140+S137+S132+S129</f>
        <v>2336.3471236849205</v>
      </c>
      <c r="T144" s="1179">
        <f>T143+T140+T137+T132+T129</f>
        <v>0</v>
      </c>
      <c r="U144" s="1179">
        <f>U143+U140+U137+U132+U129</f>
        <v>0</v>
      </c>
      <c r="V144" s="1180"/>
      <c r="W144" s="1179">
        <f>W143+W140+W137+W132+W129</f>
        <v>0</v>
      </c>
      <c r="X144" s="1180"/>
      <c r="Y144" s="1179">
        <f>Y143+Y140+Y137+Y132+Y129</f>
        <v>810.74000000000012</v>
      </c>
      <c r="Z144" s="1180"/>
      <c r="AA144" s="1179">
        <f t="shared" ref="AA144:AG144" si="135">AA143+AA140+AA137+AA132+AA129</f>
        <v>307.04000000000002</v>
      </c>
      <c r="AB144" s="1179">
        <f t="shared" si="135"/>
        <v>7.5942586190281398</v>
      </c>
      <c r="AC144" s="1179">
        <f t="shared" si="135"/>
        <v>0</v>
      </c>
      <c r="AD144" s="1179">
        <f t="shared" si="135"/>
        <v>0</v>
      </c>
      <c r="AE144" s="1179">
        <f t="shared" si="135"/>
        <v>0</v>
      </c>
      <c r="AF144" s="1179">
        <f t="shared" si="135"/>
        <v>0</v>
      </c>
      <c r="AG144" s="1179">
        <f t="shared" si="135"/>
        <v>0</v>
      </c>
      <c r="AH144" s="1179">
        <f>AH143+AH140+AH137+AH132+AH129</f>
        <v>695.43992848243033</v>
      </c>
      <c r="AI144" s="1179">
        <f t="shared" ref="AI144:AJ144" si="136">AI143+AI140+AI137+AI132+AI129</f>
        <v>0</v>
      </c>
      <c r="AJ144" s="1179">
        <f t="shared" si="136"/>
        <v>0</v>
      </c>
      <c r="AK144" s="1179">
        <f>AK143+AK140+AK137+AK132+AK129</f>
        <v>9945.1426448561178</v>
      </c>
      <c r="AL144" s="1179">
        <f t="shared" ref="AL144:AN144" si="137">AL143+AL140+AL137+AL132+AL129</f>
        <v>778.78237456164015</v>
      </c>
      <c r="AM144" s="1179">
        <f t="shared" si="137"/>
        <v>29835.42793456835</v>
      </c>
      <c r="AN144" s="1179">
        <f t="shared" si="137"/>
        <v>2336.3471236849205</v>
      </c>
    </row>
    <row r="145" spans="2:40" s="291" customFormat="1" hidden="1" x14ac:dyDescent="0.25">
      <c r="B145" s="1091"/>
      <c r="C145" s="1091"/>
      <c r="D145" s="1091"/>
      <c r="E145" s="1091"/>
      <c r="F145" s="1091"/>
      <c r="G145" s="1091"/>
      <c r="H145" s="1091"/>
      <c r="I145" s="1091"/>
      <c r="J145" s="1091"/>
      <c r="K145" s="1091"/>
      <c r="L145" s="1091"/>
      <c r="M145" s="1091"/>
      <c r="N145" s="1107"/>
      <c r="O145" s="1107"/>
      <c r="P145" s="1107"/>
      <c r="Q145" s="1107"/>
      <c r="R145" s="1094"/>
      <c r="S145" s="1106"/>
      <c r="T145" s="1107"/>
      <c r="U145" s="1107"/>
      <c r="V145" s="315"/>
      <c r="W145" s="1107"/>
      <c r="X145" s="1180"/>
      <c r="Y145" s="1179"/>
      <c r="Z145" s="1164"/>
      <c r="AA145" s="699"/>
      <c r="AB145" s="1179"/>
      <c r="AC145" s="1107"/>
      <c r="AD145" s="1107"/>
      <c r="AE145" s="1107"/>
      <c r="AF145" s="1107"/>
      <c r="AG145" s="1107"/>
      <c r="AH145" s="1107"/>
      <c r="AI145" s="1107"/>
      <c r="AJ145" s="1107"/>
      <c r="AK145" s="1107"/>
      <c r="AL145" s="1107"/>
      <c r="AM145" s="1107"/>
      <c r="AN145" s="1107"/>
    </row>
    <row r="146" spans="2:40" s="299" customFormat="1" ht="15.75" hidden="1" x14ac:dyDescent="0.25">
      <c r="B146" s="295">
        <v>2096</v>
      </c>
      <c r="C146" s="304" t="s">
        <v>2688</v>
      </c>
      <c r="D146" s="304" t="s">
        <v>2689</v>
      </c>
      <c r="E146" s="304" t="s">
        <v>2739</v>
      </c>
      <c r="F146" s="304" t="s">
        <v>2787</v>
      </c>
      <c r="G146" s="304" t="s">
        <v>2800</v>
      </c>
      <c r="H146" s="305">
        <v>20</v>
      </c>
      <c r="I146" s="295">
        <v>40</v>
      </c>
      <c r="J146" s="295" t="s">
        <v>2636</v>
      </c>
      <c r="K146" s="295">
        <v>0</v>
      </c>
      <c r="L146" s="318">
        <v>42675</v>
      </c>
      <c r="M146" s="295">
        <v>2.4</v>
      </c>
      <c r="N146" s="307">
        <f>M146*AN116</f>
        <v>1669.0558283578328</v>
      </c>
      <c r="O146" s="308">
        <v>0</v>
      </c>
      <c r="P146" s="308">
        <v>0</v>
      </c>
      <c r="Q146" s="308">
        <v>0</v>
      </c>
      <c r="R146" s="309">
        <v>0.04</v>
      </c>
      <c r="S146" s="319">
        <f t="shared" ref="S146:S159" si="138">N146*R146</f>
        <v>66.762233134313306</v>
      </c>
      <c r="T146" s="311">
        <v>0</v>
      </c>
      <c r="U146" s="311">
        <v>0</v>
      </c>
      <c r="V146" s="312">
        <v>0</v>
      </c>
      <c r="W146" s="311">
        <f t="shared" ref="W146:W159" si="139">N146*V146</f>
        <v>0</v>
      </c>
      <c r="X146" s="1175">
        <f>127.94/N146</f>
        <v>7.6654116552757182E-2</v>
      </c>
      <c r="Y146" s="1176">
        <f t="shared" ref="Y146:Y159" si="140">N146*X146</f>
        <v>127.94</v>
      </c>
      <c r="Z146" s="701">
        <f t="shared" ref="Z146:Z159" si="141">0/N146</f>
        <v>0</v>
      </c>
      <c r="AA146" s="700">
        <f t="shared" ref="AA146:AA159" si="142">N146*Z146</f>
        <v>0</v>
      </c>
      <c r="AB146" s="1176">
        <f>N146*(0)</f>
        <v>0</v>
      </c>
      <c r="AC146" s="311">
        <f>AN116*(0%)</f>
        <v>0</v>
      </c>
      <c r="AD146" s="311">
        <f t="shared" ref="AD146:AD159" si="143">AO$9*(0%)</f>
        <v>0</v>
      </c>
      <c r="AE146" s="311">
        <v>0</v>
      </c>
      <c r="AF146" s="311">
        <v>0</v>
      </c>
      <c r="AG146" s="311">
        <v>0</v>
      </c>
      <c r="AH146" s="298">
        <v>0</v>
      </c>
      <c r="AI146" s="298">
        <v>0</v>
      </c>
      <c r="AJ146" s="311">
        <v>0</v>
      </c>
      <c r="AK146" s="313">
        <f t="shared" ref="AK146:AK159" si="144">(N146+T146+U146)/3</f>
        <v>556.35194278594429</v>
      </c>
      <c r="AL146" s="313">
        <f t="shared" ref="AL146:AL159" si="145">AK146*R146</f>
        <v>22.254077711437773</v>
      </c>
      <c r="AM146" s="313">
        <f t="shared" ref="AM146:AM159" si="146">N146</f>
        <v>1669.0558283578328</v>
      </c>
      <c r="AN146" s="313">
        <f t="shared" ref="AN146:AN159" si="147">AM146*R146</f>
        <v>66.762233134313306</v>
      </c>
    </row>
    <row r="147" spans="2:40" ht="15.75" hidden="1" x14ac:dyDescent="0.25">
      <c r="B147" s="295">
        <v>2164</v>
      </c>
      <c r="C147" s="314" t="str">
        <f>PROPER("BEATRIZ ANTUENS AFFELDET")</f>
        <v>Beatriz Antuens Affeldet</v>
      </c>
      <c r="D147" s="304" t="s">
        <v>2643</v>
      </c>
      <c r="E147" s="304" t="s">
        <v>2739</v>
      </c>
      <c r="F147" s="304" t="s">
        <v>2787</v>
      </c>
      <c r="G147" s="304" t="s">
        <v>2800</v>
      </c>
      <c r="H147" s="305">
        <v>20</v>
      </c>
      <c r="I147" s="295">
        <v>44</v>
      </c>
      <c r="J147" s="295" t="s">
        <v>2636</v>
      </c>
      <c r="K147" s="295">
        <v>0</v>
      </c>
      <c r="L147" s="306">
        <v>42877</v>
      </c>
      <c r="M147" s="295">
        <v>1.95</v>
      </c>
      <c r="N147" s="307">
        <f>M147*AN116</f>
        <v>1356.107860540739</v>
      </c>
      <c r="O147" s="308">
        <v>0</v>
      </c>
      <c r="P147" s="308">
        <v>0</v>
      </c>
      <c r="Q147" s="308">
        <v>0</v>
      </c>
      <c r="R147" s="309">
        <v>0.03</v>
      </c>
      <c r="S147" s="310">
        <f t="shared" si="138"/>
        <v>40.683235816222172</v>
      </c>
      <c r="T147" s="311">
        <v>0</v>
      </c>
      <c r="U147" s="311">
        <v>0</v>
      </c>
      <c r="V147" s="312">
        <v>0</v>
      </c>
      <c r="W147" s="311">
        <f t="shared" si="139"/>
        <v>0</v>
      </c>
      <c r="X147" s="1175">
        <f>127.94/N147</f>
        <v>9.4343528064931917E-2</v>
      </c>
      <c r="Y147" s="1176">
        <f t="shared" si="140"/>
        <v>127.93999999999998</v>
      </c>
      <c r="Z147" s="701">
        <f t="shared" si="141"/>
        <v>0</v>
      </c>
      <c r="AA147" s="700">
        <f t="shared" si="142"/>
        <v>0</v>
      </c>
      <c r="AB147" s="1176">
        <f>N147*(0)</f>
        <v>0</v>
      </c>
      <c r="AC147" s="311">
        <f>AN116*(0%)</f>
        <v>0</v>
      </c>
      <c r="AD147" s="311">
        <f t="shared" si="143"/>
        <v>0</v>
      </c>
      <c r="AE147" s="311">
        <v>0</v>
      </c>
      <c r="AF147" s="311">
        <v>0</v>
      </c>
      <c r="AG147" s="311">
        <v>0</v>
      </c>
      <c r="AH147" s="298">
        <v>0</v>
      </c>
      <c r="AI147" s="298">
        <v>0</v>
      </c>
      <c r="AJ147" s="311">
        <v>0</v>
      </c>
      <c r="AK147" s="313">
        <f t="shared" si="144"/>
        <v>452.03595351357967</v>
      </c>
      <c r="AL147" s="313">
        <f t="shared" si="145"/>
        <v>13.56107860540739</v>
      </c>
      <c r="AM147" s="313">
        <f t="shared" si="146"/>
        <v>1356.107860540739</v>
      </c>
      <c r="AN147" s="313">
        <f t="shared" si="147"/>
        <v>40.683235816222172</v>
      </c>
    </row>
    <row r="148" spans="2:40" s="299" customFormat="1" ht="15.75" hidden="1" x14ac:dyDescent="0.25">
      <c r="B148" s="295">
        <v>500</v>
      </c>
      <c r="C148" s="304" t="str">
        <f>PROPER("CLENI MARIA DA SILVA KORALEWSKI")</f>
        <v>Cleni Maria Da Silva Koralewski</v>
      </c>
      <c r="D148" s="304" t="s">
        <v>2687</v>
      </c>
      <c r="E148" s="304" t="s">
        <v>2739</v>
      </c>
      <c r="F148" s="304" t="s">
        <v>2787</v>
      </c>
      <c r="G148" s="304" t="s">
        <v>2800</v>
      </c>
      <c r="H148" s="305">
        <v>20</v>
      </c>
      <c r="I148" s="295">
        <v>40</v>
      </c>
      <c r="J148" s="295" t="s">
        <v>2648</v>
      </c>
      <c r="K148" s="295">
        <v>0</v>
      </c>
      <c r="L148" s="306">
        <v>37361</v>
      </c>
      <c r="M148" s="295">
        <v>2.64</v>
      </c>
      <c r="N148" s="307">
        <f>M148*AN116</f>
        <v>1835.9614111936162</v>
      </c>
      <c r="O148" s="308">
        <v>0</v>
      </c>
      <c r="P148" s="308">
        <v>0</v>
      </c>
      <c r="Q148" s="308">
        <v>0</v>
      </c>
      <c r="R148" s="309">
        <v>0.17</v>
      </c>
      <c r="S148" s="310">
        <f t="shared" si="138"/>
        <v>312.11343990291476</v>
      </c>
      <c r="T148" s="311">
        <v>0</v>
      </c>
      <c r="U148" s="311">
        <v>0</v>
      </c>
      <c r="V148" s="312">
        <v>0</v>
      </c>
      <c r="W148" s="311">
        <f t="shared" si="139"/>
        <v>0</v>
      </c>
      <c r="X148" s="1175">
        <f>76.76/N148</f>
        <v>4.1809157606474918E-2</v>
      </c>
      <c r="Y148" s="1176">
        <f t="shared" si="140"/>
        <v>76.760000000000005</v>
      </c>
      <c r="Z148" s="701">
        <f t="shared" si="141"/>
        <v>0</v>
      </c>
      <c r="AA148" s="700">
        <f t="shared" si="142"/>
        <v>0</v>
      </c>
      <c r="AB148" s="1176">
        <f>N148*(0)</f>
        <v>0</v>
      </c>
      <c r="AC148" s="311">
        <f>AN116*(0%)</f>
        <v>0</v>
      </c>
      <c r="AD148" s="311">
        <f t="shared" si="143"/>
        <v>0</v>
      </c>
      <c r="AE148" s="311">
        <v>0</v>
      </c>
      <c r="AF148" s="311">
        <v>0</v>
      </c>
      <c r="AG148" s="311">
        <v>0</v>
      </c>
      <c r="AH148" s="298">
        <v>0</v>
      </c>
      <c r="AI148" s="298">
        <v>0</v>
      </c>
      <c r="AJ148" s="311">
        <v>0</v>
      </c>
      <c r="AK148" s="313">
        <f t="shared" si="144"/>
        <v>611.98713706453873</v>
      </c>
      <c r="AL148" s="313">
        <f t="shared" si="145"/>
        <v>104.03781330097159</v>
      </c>
      <c r="AM148" s="313">
        <f t="shared" si="146"/>
        <v>1835.9614111936162</v>
      </c>
      <c r="AN148" s="313">
        <f t="shared" si="147"/>
        <v>312.11343990291476</v>
      </c>
    </row>
    <row r="149" spans="2:40" s="299" customFormat="1" ht="15.75" hidden="1" x14ac:dyDescent="0.25">
      <c r="B149" s="295">
        <v>1899</v>
      </c>
      <c r="C149" s="314" t="str">
        <f>PROPER("CRISTIANE DA SILVA SILVA")</f>
        <v>Cristiane Da Silva Silva</v>
      </c>
      <c r="D149" s="304" t="s">
        <v>2643</v>
      </c>
      <c r="E149" s="304" t="s">
        <v>2739</v>
      </c>
      <c r="F149" s="304" t="s">
        <v>2787</v>
      </c>
      <c r="G149" s="304" t="s">
        <v>2800</v>
      </c>
      <c r="H149" s="305">
        <v>20</v>
      </c>
      <c r="I149" s="295">
        <v>44</v>
      </c>
      <c r="J149" s="295" t="s">
        <v>2636</v>
      </c>
      <c r="K149" s="295">
        <v>0</v>
      </c>
      <c r="L149" s="306">
        <v>42058</v>
      </c>
      <c r="M149" s="295">
        <v>1.95</v>
      </c>
      <c r="N149" s="307">
        <f>M149*AN116</f>
        <v>1356.107860540739</v>
      </c>
      <c r="O149" s="308">
        <v>0</v>
      </c>
      <c r="P149" s="308">
        <v>0</v>
      </c>
      <c r="Q149" s="308">
        <v>0</v>
      </c>
      <c r="R149" s="309">
        <v>0.05</v>
      </c>
      <c r="S149" s="310">
        <f t="shared" si="138"/>
        <v>67.805393027036956</v>
      </c>
      <c r="T149" s="311">
        <v>0</v>
      </c>
      <c r="U149" s="311">
        <v>0</v>
      </c>
      <c r="V149" s="312">
        <v>0</v>
      </c>
      <c r="W149" s="311">
        <f t="shared" si="139"/>
        <v>0</v>
      </c>
      <c r="X149" s="1175">
        <f>127.94/N149</f>
        <v>9.4343528064931917E-2</v>
      </c>
      <c r="Y149" s="1176">
        <f t="shared" si="140"/>
        <v>127.93999999999998</v>
      </c>
      <c r="Z149" s="701">
        <f t="shared" si="141"/>
        <v>0</v>
      </c>
      <c r="AA149" s="700">
        <f t="shared" si="142"/>
        <v>0</v>
      </c>
      <c r="AB149" s="1176">
        <f>N149*(0)</f>
        <v>0</v>
      </c>
      <c r="AC149" s="311">
        <f>AN116*(0%)</f>
        <v>0</v>
      </c>
      <c r="AD149" s="311">
        <f t="shared" si="143"/>
        <v>0</v>
      </c>
      <c r="AE149" s="311">
        <v>0</v>
      </c>
      <c r="AF149" s="311">
        <v>0</v>
      </c>
      <c r="AG149" s="311">
        <v>0</v>
      </c>
      <c r="AH149" s="298">
        <v>0</v>
      </c>
      <c r="AI149" s="298">
        <v>0</v>
      </c>
      <c r="AJ149" s="311">
        <v>0</v>
      </c>
      <c r="AK149" s="313">
        <f t="shared" si="144"/>
        <v>452.03595351357967</v>
      </c>
      <c r="AL149" s="313">
        <f t="shared" si="145"/>
        <v>22.601797675678984</v>
      </c>
      <c r="AM149" s="313">
        <f t="shared" si="146"/>
        <v>1356.107860540739</v>
      </c>
      <c r="AN149" s="313">
        <f t="shared" si="147"/>
        <v>67.805393027036956</v>
      </c>
    </row>
    <row r="150" spans="2:40" ht="15.75" hidden="1" x14ac:dyDescent="0.25">
      <c r="B150" s="295">
        <v>1387</v>
      </c>
      <c r="C150" s="314" t="str">
        <f>PROPER("DALIRIA LUZIA MARCINIAKI")</f>
        <v>Daliria Luzia Marciniaki</v>
      </c>
      <c r="D150" s="304" t="s">
        <v>2643</v>
      </c>
      <c r="E150" s="304" t="s">
        <v>2739</v>
      </c>
      <c r="F150" s="304" t="s">
        <v>2787</v>
      </c>
      <c r="G150" s="304" t="s">
        <v>2800</v>
      </c>
      <c r="H150" s="305">
        <v>20</v>
      </c>
      <c r="I150" s="295">
        <v>44</v>
      </c>
      <c r="J150" s="295" t="s">
        <v>2634</v>
      </c>
      <c r="K150" s="295">
        <v>0</v>
      </c>
      <c r="L150" s="306">
        <v>40318</v>
      </c>
      <c r="M150" s="295">
        <v>2.0299999999999998</v>
      </c>
      <c r="N150" s="307">
        <f>M150*AN116</f>
        <v>1411.7430548193333</v>
      </c>
      <c r="O150" s="308">
        <v>0</v>
      </c>
      <c r="P150" s="308">
        <v>0</v>
      </c>
      <c r="Q150" s="308">
        <v>0</v>
      </c>
      <c r="R150" s="309">
        <v>0.1</v>
      </c>
      <c r="S150" s="310">
        <f t="shared" si="138"/>
        <v>141.17430548193335</v>
      </c>
      <c r="T150" s="311">
        <v>0</v>
      </c>
      <c r="U150" s="311">
        <v>0</v>
      </c>
      <c r="V150" s="312">
        <v>0</v>
      </c>
      <c r="W150" s="311">
        <f t="shared" si="139"/>
        <v>0</v>
      </c>
      <c r="X150" s="1175">
        <f>127.94/N150</f>
        <v>9.0625556515575009E-2</v>
      </c>
      <c r="Y150" s="1176">
        <f t="shared" si="140"/>
        <v>127.94</v>
      </c>
      <c r="Z150" s="701">
        <f t="shared" si="141"/>
        <v>0</v>
      </c>
      <c r="AA150" s="700">
        <f t="shared" si="142"/>
        <v>0</v>
      </c>
      <c r="AB150" s="1176">
        <f>N150*(0)</f>
        <v>0</v>
      </c>
      <c r="AC150" s="311">
        <f>AN116*(0%)</f>
        <v>0</v>
      </c>
      <c r="AD150" s="311">
        <f t="shared" si="143"/>
        <v>0</v>
      </c>
      <c r="AE150" s="311">
        <v>0</v>
      </c>
      <c r="AF150" s="311">
        <v>0</v>
      </c>
      <c r="AG150" s="311">
        <v>0</v>
      </c>
      <c r="AH150" s="298">
        <v>0</v>
      </c>
      <c r="AI150" s="298">
        <v>0</v>
      </c>
      <c r="AJ150" s="311">
        <v>0</v>
      </c>
      <c r="AK150" s="313">
        <f t="shared" si="144"/>
        <v>470.58101827311111</v>
      </c>
      <c r="AL150" s="313">
        <f t="shared" si="145"/>
        <v>47.058101827311113</v>
      </c>
      <c r="AM150" s="313">
        <f t="shared" si="146"/>
        <v>1411.7430548193333</v>
      </c>
      <c r="AN150" s="313">
        <f t="shared" si="147"/>
        <v>141.17430548193335</v>
      </c>
    </row>
    <row r="151" spans="2:40" s="299" customFormat="1" ht="15.75" hidden="1" x14ac:dyDescent="0.25">
      <c r="B151" s="295">
        <v>1229</v>
      </c>
      <c r="C151" s="304" t="s">
        <v>2663</v>
      </c>
      <c r="D151" s="304" t="s">
        <v>2661</v>
      </c>
      <c r="E151" s="304" t="s">
        <v>2739</v>
      </c>
      <c r="F151" s="304" t="s">
        <v>2787</v>
      </c>
      <c r="G151" s="304" t="s">
        <v>2800</v>
      </c>
      <c r="H151" s="305">
        <v>20</v>
      </c>
      <c r="I151" s="295">
        <v>44</v>
      </c>
      <c r="J151" s="295" t="s">
        <v>2648</v>
      </c>
      <c r="K151" s="295">
        <v>0</v>
      </c>
      <c r="L151" s="306">
        <v>39701</v>
      </c>
      <c r="M151" s="295">
        <v>2.14</v>
      </c>
      <c r="N151" s="307">
        <f>M151*AN116</f>
        <v>1488.241446952401</v>
      </c>
      <c r="O151" s="308">
        <v>0</v>
      </c>
      <c r="P151" s="308">
        <v>0</v>
      </c>
      <c r="Q151" s="308">
        <v>0</v>
      </c>
      <c r="R151" s="309">
        <v>0.12</v>
      </c>
      <c r="S151" s="310">
        <f t="shared" si="138"/>
        <v>178.58897363428812</v>
      </c>
      <c r="T151" s="311">
        <v>0</v>
      </c>
      <c r="U151" s="311">
        <v>0</v>
      </c>
      <c r="V151" s="312">
        <v>0</v>
      </c>
      <c r="W151" s="311">
        <f t="shared" si="139"/>
        <v>0</v>
      </c>
      <c r="X151" s="1175">
        <f>127.94/N151</f>
        <v>8.5967233517110844E-2</v>
      </c>
      <c r="Y151" s="1176">
        <f t="shared" si="140"/>
        <v>127.93999999999998</v>
      </c>
      <c r="Z151" s="701">
        <f t="shared" si="141"/>
        <v>0</v>
      </c>
      <c r="AA151" s="700">
        <f t="shared" si="142"/>
        <v>0</v>
      </c>
      <c r="AB151" s="1176">
        <f>N151*(139.38/N151)</f>
        <v>139.38</v>
      </c>
      <c r="AC151" s="311">
        <f>AN116*(0%)</f>
        <v>0</v>
      </c>
      <c r="AD151" s="311">
        <f t="shared" si="143"/>
        <v>0</v>
      </c>
      <c r="AE151" s="311">
        <v>0</v>
      </c>
      <c r="AF151" s="311">
        <v>0</v>
      </c>
      <c r="AG151" s="311">
        <v>0</v>
      </c>
      <c r="AH151" s="298">
        <v>0</v>
      </c>
      <c r="AI151" s="298">
        <v>0</v>
      </c>
      <c r="AJ151" s="311">
        <v>0</v>
      </c>
      <c r="AK151" s="313">
        <f t="shared" si="144"/>
        <v>496.08048231746699</v>
      </c>
      <c r="AL151" s="313">
        <f t="shared" si="145"/>
        <v>59.529657878096039</v>
      </c>
      <c r="AM151" s="313">
        <f t="shared" si="146"/>
        <v>1488.241446952401</v>
      </c>
      <c r="AN151" s="313">
        <f t="shared" si="147"/>
        <v>178.58897363428812</v>
      </c>
    </row>
    <row r="152" spans="2:40" ht="15.75" hidden="1" x14ac:dyDescent="0.25">
      <c r="B152" s="295">
        <v>1387</v>
      </c>
      <c r="C152" s="314" t="str">
        <f>PROPER("FRANCIELI BRZOSKOWSKI")</f>
        <v>Francieli Brzoskowski</v>
      </c>
      <c r="D152" s="304" t="s">
        <v>2643</v>
      </c>
      <c r="E152" s="304" t="s">
        <v>2739</v>
      </c>
      <c r="F152" s="304" t="s">
        <v>2787</v>
      </c>
      <c r="G152" s="304" t="s">
        <v>2800</v>
      </c>
      <c r="H152" s="305">
        <v>20</v>
      </c>
      <c r="I152" s="295">
        <v>44</v>
      </c>
      <c r="J152" s="295" t="s">
        <v>2636</v>
      </c>
      <c r="K152" s="295">
        <v>0</v>
      </c>
      <c r="L152" s="306">
        <v>42479</v>
      </c>
      <c r="M152" s="295">
        <v>1.95</v>
      </c>
      <c r="N152" s="307">
        <f>M152*AN116</f>
        <v>1356.107860540739</v>
      </c>
      <c r="O152" s="308">
        <v>0</v>
      </c>
      <c r="P152" s="308">
        <v>0</v>
      </c>
      <c r="Q152" s="308">
        <v>0</v>
      </c>
      <c r="R152" s="309">
        <v>0.04</v>
      </c>
      <c r="S152" s="310">
        <f t="shared" si="138"/>
        <v>54.244314421629561</v>
      </c>
      <c r="T152" s="311">
        <v>0</v>
      </c>
      <c r="U152" s="311">
        <v>0</v>
      </c>
      <c r="V152" s="312">
        <v>0</v>
      </c>
      <c r="W152" s="311">
        <f t="shared" si="139"/>
        <v>0</v>
      </c>
      <c r="X152" s="1175">
        <f>127.94/N152</f>
        <v>9.4343528064931917E-2</v>
      </c>
      <c r="Y152" s="1176">
        <f t="shared" si="140"/>
        <v>127.93999999999998</v>
      </c>
      <c r="Z152" s="701">
        <f t="shared" si="141"/>
        <v>0</v>
      </c>
      <c r="AA152" s="700">
        <f t="shared" si="142"/>
        <v>0</v>
      </c>
      <c r="AB152" s="1176">
        <f>N152*(0)</f>
        <v>0</v>
      </c>
      <c r="AC152" s="311">
        <f>AN116*(0%)</f>
        <v>0</v>
      </c>
      <c r="AD152" s="311">
        <f t="shared" si="143"/>
        <v>0</v>
      </c>
      <c r="AE152" s="311">
        <v>0</v>
      </c>
      <c r="AF152" s="311">
        <v>0</v>
      </c>
      <c r="AG152" s="311">
        <v>0</v>
      </c>
      <c r="AH152" s="298">
        <v>0</v>
      </c>
      <c r="AI152" s="298">
        <v>0</v>
      </c>
      <c r="AJ152" s="311">
        <v>0</v>
      </c>
      <c r="AK152" s="313">
        <f t="shared" si="144"/>
        <v>452.03595351357967</v>
      </c>
      <c r="AL152" s="313">
        <f t="shared" si="145"/>
        <v>18.081438140543188</v>
      </c>
      <c r="AM152" s="313">
        <f t="shared" si="146"/>
        <v>1356.107860540739</v>
      </c>
      <c r="AN152" s="313">
        <f t="shared" si="147"/>
        <v>54.244314421629561</v>
      </c>
    </row>
    <row r="153" spans="2:40" ht="15.75" hidden="1" x14ac:dyDescent="0.25">
      <c r="B153" s="295">
        <v>749</v>
      </c>
      <c r="C153" s="314" t="str">
        <f>PROPER("LORENA HOLZ DA ROCHA")</f>
        <v>Lorena Holz Da Rocha</v>
      </c>
      <c r="D153" s="304" t="s">
        <v>2643</v>
      </c>
      <c r="E153" s="304" t="s">
        <v>2739</v>
      </c>
      <c r="F153" s="304" t="s">
        <v>2787</v>
      </c>
      <c r="G153" s="304" t="s">
        <v>2800</v>
      </c>
      <c r="H153" s="305">
        <v>20</v>
      </c>
      <c r="I153" s="295">
        <v>44</v>
      </c>
      <c r="J153" s="295" t="s">
        <v>2648</v>
      </c>
      <c r="K153" s="295">
        <v>0</v>
      </c>
      <c r="L153" s="306">
        <v>38125</v>
      </c>
      <c r="M153" s="295">
        <v>2.2000000000000002</v>
      </c>
      <c r="N153" s="307">
        <f>M153*AN116</f>
        <v>1529.9678426613468</v>
      </c>
      <c r="O153" s="308">
        <v>0</v>
      </c>
      <c r="P153" s="308">
        <v>0</v>
      </c>
      <c r="Q153" s="308">
        <v>0</v>
      </c>
      <c r="R153" s="309">
        <v>0.16</v>
      </c>
      <c r="S153" s="310">
        <f t="shared" si="138"/>
        <v>244.79485482581549</v>
      </c>
      <c r="T153" s="311">
        <v>0</v>
      </c>
      <c r="U153" s="311">
        <v>0</v>
      </c>
      <c r="V153" s="312">
        <v>0</v>
      </c>
      <c r="W153" s="311">
        <f t="shared" si="139"/>
        <v>0</v>
      </c>
      <c r="X153" s="1175">
        <f>127.94/N153</f>
        <v>8.3622672603007833E-2</v>
      </c>
      <c r="Y153" s="1176">
        <f t="shared" si="140"/>
        <v>127.94000000000001</v>
      </c>
      <c r="Z153" s="701">
        <f t="shared" si="141"/>
        <v>0</v>
      </c>
      <c r="AA153" s="700">
        <f t="shared" si="142"/>
        <v>0</v>
      </c>
      <c r="AB153" s="1176">
        <f t="shared" ref="AB153:AB159" si="148">N153*(0)</f>
        <v>0</v>
      </c>
      <c r="AC153" s="311">
        <f>AN116*(0%)</f>
        <v>0</v>
      </c>
      <c r="AD153" s="311">
        <f t="shared" si="143"/>
        <v>0</v>
      </c>
      <c r="AE153" s="311">
        <v>0</v>
      </c>
      <c r="AF153" s="311">
        <v>0</v>
      </c>
      <c r="AG153" s="311">
        <v>0</v>
      </c>
      <c r="AH153" s="298">
        <v>0</v>
      </c>
      <c r="AI153" s="298">
        <v>0</v>
      </c>
      <c r="AJ153" s="311">
        <v>0</v>
      </c>
      <c r="AK153" s="313">
        <f t="shared" si="144"/>
        <v>509.98928088711563</v>
      </c>
      <c r="AL153" s="313">
        <f t="shared" si="145"/>
        <v>81.598284941938502</v>
      </c>
      <c r="AM153" s="313">
        <f t="shared" si="146"/>
        <v>1529.9678426613468</v>
      </c>
      <c r="AN153" s="313">
        <f t="shared" si="147"/>
        <v>244.79485482581549</v>
      </c>
    </row>
    <row r="154" spans="2:40" ht="15.75" hidden="1" x14ac:dyDescent="0.25">
      <c r="B154" s="295">
        <v>2228</v>
      </c>
      <c r="C154" s="304" t="s">
        <v>2697</v>
      </c>
      <c r="D154" s="304" t="s">
        <v>2694</v>
      </c>
      <c r="E154" s="304" t="s">
        <v>2739</v>
      </c>
      <c r="F154" s="304" t="s">
        <v>2787</v>
      </c>
      <c r="G154" s="304" t="s">
        <v>2800</v>
      </c>
      <c r="H154" s="305">
        <v>20</v>
      </c>
      <c r="I154" s="295">
        <v>44</v>
      </c>
      <c r="J154" s="295" t="s">
        <v>2636</v>
      </c>
      <c r="K154" s="295">
        <v>0</v>
      </c>
      <c r="L154" s="306">
        <v>43179</v>
      </c>
      <c r="M154" s="295">
        <v>2</v>
      </c>
      <c r="N154" s="307">
        <f>M154*AN116</f>
        <v>1390.8798569648607</v>
      </c>
      <c r="O154" s="308">
        <v>0</v>
      </c>
      <c r="P154" s="308">
        <v>0</v>
      </c>
      <c r="Q154" s="308">
        <v>0</v>
      </c>
      <c r="R154" s="309">
        <v>0.02</v>
      </c>
      <c r="S154" s="310">
        <f t="shared" si="138"/>
        <v>27.817597139297213</v>
      </c>
      <c r="T154" s="311">
        <v>0</v>
      </c>
      <c r="U154" s="311">
        <v>0</v>
      </c>
      <c r="V154" s="312">
        <v>0</v>
      </c>
      <c r="W154" s="311">
        <f t="shared" si="139"/>
        <v>0</v>
      </c>
      <c r="X154" s="1175">
        <f>76.76/N154</f>
        <v>5.5188088040546895E-2</v>
      </c>
      <c r="Y154" s="1176">
        <f t="shared" si="140"/>
        <v>76.760000000000005</v>
      </c>
      <c r="Z154" s="701">
        <f t="shared" si="141"/>
        <v>0</v>
      </c>
      <c r="AA154" s="700">
        <f t="shared" si="142"/>
        <v>0</v>
      </c>
      <c r="AB154" s="1176">
        <f t="shared" si="148"/>
        <v>0</v>
      </c>
      <c r="AC154" s="311">
        <f>AN116*(0%)</f>
        <v>0</v>
      </c>
      <c r="AD154" s="311">
        <f t="shared" si="143"/>
        <v>0</v>
      </c>
      <c r="AE154" s="311">
        <v>0</v>
      </c>
      <c r="AF154" s="311">
        <v>0</v>
      </c>
      <c r="AG154" s="311">
        <v>0</v>
      </c>
      <c r="AH154" s="298">
        <v>0</v>
      </c>
      <c r="AI154" s="298">
        <v>0</v>
      </c>
      <c r="AJ154" s="311">
        <v>0</v>
      </c>
      <c r="AK154" s="313">
        <f t="shared" si="144"/>
        <v>463.62661898828691</v>
      </c>
      <c r="AL154" s="313">
        <f t="shared" si="145"/>
        <v>9.2725323797657389</v>
      </c>
      <c r="AM154" s="313">
        <f t="shared" si="146"/>
        <v>1390.8798569648607</v>
      </c>
      <c r="AN154" s="313">
        <f t="shared" si="147"/>
        <v>27.817597139297213</v>
      </c>
    </row>
    <row r="155" spans="2:40" ht="15.75" hidden="1" x14ac:dyDescent="0.25">
      <c r="B155" s="295">
        <v>2217</v>
      </c>
      <c r="C155" s="304" t="s">
        <v>2801</v>
      </c>
      <c r="D155" s="304" t="s">
        <v>2694</v>
      </c>
      <c r="E155" s="304" t="s">
        <v>2739</v>
      </c>
      <c r="F155" s="304" t="s">
        <v>2787</v>
      </c>
      <c r="G155" s="304" t="s">
        <v>2800</v>
      </c>
      <c r="H155" s="305">
        <v>20</v>
      </c>
      <c r="I155" s="295">
        <v>44</v>
      </c>
      <c r="J155" s="295" t="s">
        <v>2636</v>
      </c>
      <c r="K155" s="295">
        <v>0</v>
      </c>
      <c r="L155" s="306">
        <v>43146</v>
      </c>
      <c r="M155" s="295">
        <v>2</v>
      </c>
      <c r="N155" s="307">
        <f>M155*AN116</f>
        <v>1390.8798569648607</v>
      </c>
      <c r="O155" s="308">
        <v>0</v>
      </c>
      <c r="P155" s="308">
        <v>0</v>
      </c>
      <c r="Q155" s="308">
        <v>0</v>
      </c>
      <c r="R155" s="309">
        <v>0.02</v>
      </c>
      <c r="S155" s="310">
        <f t="shared" si="138"/>
        <v>27.817597139297213</v>
      </c>
      <c r="T155" s="311">
        <v>0</v>
      </c>
      <c r="U155" s="311">
        <v>0</v>
      </c>
      <c r="V155" s="312">
        <v>0</v>
      </c>
      <c r="W155" s="311">
        <f t="shared" si="139"/>
        <v>0</v>
      </c>
      <c r="X155" s="1175">
        <f>76.76/N155</f>
        <v>5.5188088040546895E-2</v>
      </c>
      <c r="Y155" s="1176">
        <f t="shared" si="140"/>
        <v>76.760000000000005</v>
      </c>
      <c r="Z155" s="701">
        <f t="shared" si="141"/>
        <v>0</v>
      </c>
      <c r="AA155" s="700">
        <f t="shared" si="142"/>
        <v>0</v>
      </c>
      <c r="AB155" s="1176">
        <f t="shared" si="148"/>
        <v>0</v>
      </c>
      <c r="AC155" s="311">
        <f>AN116*(0%)</f>
        <v>0</v>
      </c>
      <c r="AD155" s="311">
        <f t="shared" si="143"/>
        <v>0</v>
      </c>
      <c r="AE155" s="311">
        <v>0</v>
      </c>
      <c r="AF155" s="311">
        <v>0</v>
      </c>
      <c r="AG155" s="311">
        <v>0</v>
      </c>
      <c r="AH155" s="298">
        <v>0</v>
      </c>
      <c r="AI155" s="298">
        <v>0</v>
      </c>
      <c r="AJ155" s="311">
        <v>0</v>
      </c>
      <c r="AK155" s="313">
        <f t="shared" si="144"/>
        <v>463.62661898828691</v>
      </c>
      <c r="AL155" s="313">
        <f t="shared" si="145"/>
        <v>9.2725323797657389</v>
      </c>
      <c r="AM155" s="313">
        <f t="shared" si="146"/>
        <v>1390.8798569648607</v>
      </c>
      <c r="AN155" s="313">
        <f t="shared" si="147"/>
        <v>27.817597139297213</v>
      </c>
    </row>
    <row r="156" spans="2:40" ht="15.75" hidden="1" x14ac:dyDescent="0.25">
      <c r="B156" s="295">
        <v>1631</v>
      </c>
      <c r="C156" s="304" t="s">
        <v>2691</v>
      </c>
      <c r="D156" s="304" t="s">
        <v>2689</v>
      </c>
      <c r="E156" s="304" t="s">
        <v>2739</v>
      </c>
      <c r="F156" s="304" t="s">
        <v>2787</v>
      </c>
      <c r="G156" s="304" t="s">
        <v>2800</v>
      </c>
      <c r="H156" s="305">
        <v>20</v>
      </c>
      <c r="I156" s="295">
        <v>40</v>
      </c>
      <c r="J156" s="295" t="s">
        <v>2634</v>
      </c>
      <c r="K156" s="295">
        <v>1</v>
      </c>
      <c r="L156" s="306">
        <v>41061</v>
      </c>
      <c r="M156" s="316">
        <f>1724.79/639.67</f>
        <v>2.6963746932011818</v>
      </c>
      <c r="N156" s="307">
        <f>M156*AN116</f>
        <v>1875.1666238016649</v>
      </c>
      <c r="O156" s="308">
        <v>0</v>
      </c>
      <c r="P156" s="308">
        <v>0</v>
      </c>
      <c r="Q156" s="308">
        <v>0</v>
      </c>
      <c r="R156" s="309">
        <v>0.08</v>
      </c>
      <c r="S156" s="310">
        <f t="shared" si="138"/>
        <v>150.0133299041332</v>
      </c>
      <c r="T156" s="311">
        <v>0</v>
      </c>
      <c r="U156" s="311">
        <v>0</v>
      </c>
      <c r="V156" s="312">
        <v>0</v>
      </c>
      <c r="W156" s="311">
        <f t="shared" si="139"/>
        <v>0</v>
      </c>
      <c r="X156" s="1175">
        <f>76.76/N156</f>
        <v>4.0935028933257539E-2</v>
      </c>
      <c r="Y156" s="1176">
        <f t="shared" si="140"/>
        <v>76.760000000000005</v>
      </c>
      <c r="Z156" s="701">
        <f t="shared" si="141"/>
        <v>0</v>
      </c>
      <c r="AA156" s="700">
        <f t="shared" si="142"/>
        <v>0</v>
      </c>
      <c r="AB156" s="1176">
        <f t="shared" si="148"/>
        <v>0</v>
      </c>
      <c r="AC156" s="311">
        <f>AN116*(0%)</f>
        <v>0</v>
      </c>
      <c r="AD156" s="311">
        <f t="shared" si="143"/>
        <v>0</v>
      </c>
      <c r="AE156" s="311">
        <v>0</v>
      </c>
      <c r="AF156" s="311">
        <v>0</v>
      </c>
      <c r="AG156" s="311">
        <v>0</v>
      </c>
      <c r="AH156" s="298">
        <v>0</v>
      </c>
      <c r="AI156" s="298">
        <v>0</v>
      </c>
      <c r="AJ156" s="311">
        <v>0</v>
      </c>
      <c r="AK156" s="313">
        <f t="shared" si="144"/>
        <v>625.05554126722166</v>
      </c>
      <c r="AL156" s="313">
        <f t="shared" si="145"/>
        <v>50.004443301377734</v>
      </c>
      <c r="AM156" s="313">
        <f t="shared" si="146"/>
        <v>1875.1666238016649</v>
      </c>
      <c r="AN156" s="313">
        <f t="shared" si="147"/>
        <v>150.0133299041332</v>
      </c>
    </row>
    <row r="157" spans="2:40" ht="15.75" hidden="1" x14ac:dyDescent="0.25">
      <c r="B157" s="295">
        <v>1953</v>
      </c>
      <c r="C157" s="304" t="str">
        <f>PROPER("SILVANI RIBEIRO DA SILVA")</f>
        <v>Silvani Ribeiro Da Silva</v>
      </c>
      <c r="D157" s="304" t="s">
        <v>2687</v>
      </c>
      <c r="E157" s="304" t="s">
        <v>2739</v>
      </c>
      <c r="F157" s="304" t="s">
        <v>2787</v>
      </c>
      <c r="G157" s="304" t="s">
        <v>2800</v>
      </c>
      <c r="H157" s="305">
        <v>20</v>
      </c>
      <c r="I157" s="295">
        <v>40</v>
      </c>
      <c r="J157" s="295" t="s">
        <v>2636</v>
      </c>
      <c r="K157" s="295">
        <v>1</v>
      </c>
      <c r="L157" s="306">
        <v>42145</v>
      </c>
      <c r="M157" s="295">
        <v>2.4</v>
      </c>
      <c r="N157" s="307">
        <f>M157*AN116</f>
        <v>1669.0558283578328</v>
      </c>
      <c r="O157" s="308">
        <v>0</v>
      </c>
      <c r="P157" s="308">
        <v>0</v>
      </c>
      <c r="Q157" s="308">
        <v>0</v>
      </c>
      <c r="R157" s="309">
        <v>0.05</v>
      </c>
      <c r="S157" s="310">
        <f t="shared" si="138"/>
        <v>83.452791417891646</v>
      </c>
      <c r="T157" s="311">
        <v>0</v>
      </c>
      <c r="U157" s="311">
        <v>0</v>
      </c>
      <c r="V157" s="312">
        <v>0</v>
      </c>
      <c r="W157" s="311">
        <f t="shared" si="139"/>
        <v>0</v>
      </c>
      <c r="X157" s="1175">
        <f>76.76/N157</f>
        <v>4.5990073367122415E-2</v>
      </c>
      <c r="Y157" s="1176">
        <f t="shared" si="140"/>
        <v>76.760000000000005</v>
      </c>
      <c r="Z157" s="701">
        <f t="shared" si="141"/>
        <v>0</v>
      </c>
      <c r="AA157" s="700">
        <f t="shared" si="142"/>
        <v>0</v>
      </c>
      <c r="AB157" s="1176">
        <f t="shared" si="148"/>
        <v>0</v>
      </c>
      <c r="AC157" s="311">
        <f>AN116*(0%)</f>
        <v>0</v>
      </c>
      <c r="AD157" s="311">
        <f t="shared" si="143"/>
        <v>0</v>
      </c>
      <c r="AE157" s="311">
        <v>0</v>
      </c>
      <c r="AF157" s="311">
        <v>0</v>
      </c>
      <c r="AG157" s="311">
        <v>0</v>
      </c>
      <c r="AH157" s="298">
        <v>0</v>
      </c>
      <c r="AI157" s="298">
        <v>0</v>
      </c>
      <c r="AJ157" s="311">
        <v>0</v>
      </c>
      <c r="AK157" s="313">
        <f t="shared" si="144"/>
        <v>556.35194278594429</v>
      </c>
      <c r="AL157" s="313">
        <f t="shared" si="145"/>
        <v>27.817597139297217</v>
      </c>
      <c r="AM157" s="313">
        <f t="shared" si="146"/>
        <v>1669.0558283578328</v>
      </c>
      <c r="AN157" s="313">
        <f t="shared" si="147"/>
        <v>83.452791417891646</v>
      </c>
    </row>
    <row r="158" spans="2:40" s="299" customFormat="1" ht="15.75" hidden="1" x14ac:dyDescent="0.25">
      <c r="B158" s="295">
        <v>0</v>
      </c>
      <c r="C158" s="304" t="s">
        <v>2802</v>
      </c>
      <c r="D158" s="304" t="s">
        <v>2687</v>
      </c>
      <c r="E158" s="304" t="s">
        <v>2739</v>
      </c>
      <c r="F158" s="304" t="s">
        <v>2787</v>
      </c>
      <c r="G158" s="304" t="s">
        <v>2800</v>
      </c>
      <c r="H158" s="305">
        <v>20</v>
      </c>
      <c r="I158" s="295">
        <v>40</v>
      </c>
      <c r="J158" s="295" t="s">
        <v>2636</v>
      </c>
      <c r="K158" s="295">
        <v>1</v>
      </c>
      <c r="L158" s="306">
        <v>42145</v>
      </c>
      <c r="M158" s="295">
        <v>2.4</v>
      </c>
      <c r="N158" s="307">
        <f>M158*AN116</f>
        <v>1669.0558283578328</v>
      </c>
      <c r="O158" s="308">
        <v>0</v>
      </c>
      <c r="P158" s="308">
        <v>0</v>
      </c>
      <c r="Q158" s="308">
        <v>0</v>
      </c>
      <c r="R158" s="309">
        <v>0</v>
      </c>
      <c r="S158" s="310">
        <f t="shared" si="138"/>
        <v>0</v>
      </c>
      <c r="T158" s="311">
        <v>0</v>
      </c>
      <c r="U158" s="311">
        <v>0</v>
      </c>
      <c r="V158" s="312">
        <v>0</v>
      </c>
      <c r="W158" s="311">
        <f t="shared" si="139"/>
        <v>0</v>
      </c>
      <c r="X158" s="1175">
        <f>71.91/N158</f>
        <v>4.3084238872196097E-2</v>
      </c>
      <c r="Y158" s="1176">
        <f t="shared" si="140"/>
        <v>71.91</v>
      </c>
      <c r="Z158" s="701">
        <f t="shared" si="141"/>
        <v>0</v>
      </c>
      <c r="AA158" s="700">
        <f t="shared" si="142"/>
        <v>0</v>
      </c>
      <c r="AB158" s="1176">
        <f t="shared" si="148"/>
        <v>0</v>
      </c>
      <c r="AC158" s="311">
        <f>AN116*(0%)</f>
        <v>0</v>
      </c>
      <c r="AD158" s="311">
        <f t="shared" si="143"/>
        <v>0</v>
      </c>
      <c r="AE158" s="311">
        <v>0</v>
      </c>
      <c r="AF158" s="311">
        <v>0</v>
      </c>
      <c r="AG158" s="311">
        <v>0</v>
      </c>
      <c r="AH158" s="298">
        <v>0</v>
      </c>
      <c r="AI158" s="298">
        <v>0</v>
      </c>
      <c r="AJ158" s="311">
        <v>0</v>
      </c>
      <c r="AK158" s="313">
        <f t="shared" si="144"/>
        <v>556.35194278594429</v>
      </c>
      <c r="AL158" s="313">
        <f t="shared" si="145"/>
        <v>0</v>
      </c>
      <c r="AM158" s="313">
        <f t="shared" si="146"/>
        <v>1669.0558283578328</v>
      </c>
      <c r="AN158" s="313">
        <f t="shared" si="147"/>
        <v>0</v>
      </c>
    </row>
    <row r="159" spans="2:40" s="299" customFormat="1" ht="15.75" hidden="1" x14ac:dyDescent="0.25">
      <c r="B159" s="295">
        <v>2131</v>
      </c>
      <c r="C159" s="314" t="str">
        <f>PROPER("SOLANGE SIEMIONKO")</f>
        <v>Solange Siemionko</v>
      </c>
      <c r="D159" s="304" t="s">
        <v>2643</v>
      </c>
      <c r="E159" s="304" t="s">
        <v>2739</v>
      </c>
      <c r="F159" s="304" t="s">
        <v>2787</v>
      </c>
      <c r="G159" s="304" t="s">
        <v>2800</v>
      </c>
      <c r="H159" s="305">
        <v>20</v>
      </c>
      <c r="I159" s="295">
        <v>44</v>
      </c>
      <c r="J159" s="295" t="s">
        <v>2636</v>
      </c>
      <c r="K159" s="295">
        <v>0</v>
      </c>
      <c r="L159" s="306">
        <v>42801</v>
      </c>
      <c r="M159" s="295">
        <v>1.95</v>
      </c>
      <c r="N159" s="307">
        <f>M159*AN116</f>
        <v>1356.107860540739</v>
      </c>
      <c r="O159" s="308">
        <v>0</v>
      </c>
      <c r="P159" s="308">
        <v>0</v>
      </c>
      <c r="Q159" s="308">
        <v>0</v>
      </c>
      <c r="R159" s="309">
        <v>0.03</v>
      </c>
      <c r="S159" s="310">
        <f t="shared" si="138"/>
        <v>40.683235816222172</v>
      </c>
      <c r="T159" s="311">
        <v>0</v>
      </c>
      <c r="U159" s="311">
        <v>0</v>
      </c>
      <c r="V159" s="312">
        <v>0</v>
      </c>
      <c r="W159" s="311">
        <f t="shared" si="139"/>
        <v>0</v>
      </c>
      <c r="X159" s="1175">
        <f>127.94/N159</f>
        <v>9.4343528064931917E-2</v>
      </c>
      <c r="Y159" s="1176">
        <f t="shared" si="140"/>
        <v>127.93999999999998</v>
      </c>
      <c r="Z159" s="701">
        <f t="shared" si="141"/>
        <v>0</v>
      </c>
      <c r="AA159" s="700">
        <f t="shared" si="142"/>
        <v>0</v>
      </c>
      <c r="AB159" s="1176">
        <f t="shared" si="148"/>
        <v>0</v>
      </c>
      <c r="AC159" s="311">
        <f>AN116*(0%)</f>
        <v>0</v>
      </c>
      <c r="AD159" s="311">
        <f t="shared" si="143"/>
        <v>0</v>
      </c>
      <c r="AE159" s="311">
        <v>0</v>
      </c>
      <c r="AF159" s="311">
        <v>0</v>
      </c>
      <c r="AG159" s="311">
        <v>0</v>
      </c>
      <c r="AH159" s="298">
        <v>0</v>
      </c>
      <c r="AI159" s="298">
        <v>0</v>
      </c>
      <c r="AJ159" s="311">
        <v>0</v>
      </c>
      <c r="AK159" s="313">
        <f t="shared" si="144"/>
        <v>452.03595351357967</v>
      </c>
      <c r="AL159" s="313">
        <f t="shared" si="145"/>
        <v>13.56107860540739</v>
      </c>
      <c r="AM159" s="313">
        <f t="shared" si="146"/>
        <v>1356.107860540739</v>
      </c>
      <c r="AN159" s="313">
        <f t="shared" si="147"/>
        <v>40.683235816222172</v>
      </c>
    </row>
    <row r="160" spans="2:40" s="1182" customFormat="1" hidden="1" x14ac:dyDescent="0.25">
      <c r="B160" s="1185" t="s">
        <v>7203</v>
      </c>
      <c r="C160" s="1186"/>
      <c r="D160" s="1186"/>
      <c r="E160" s="1186"/>
      <c r="F160" s="1186"/>
      <c r="G160" s="1186"/>
      <c r="H160" s="1186"/>
      <c r="I160" s="1186"/>
      <c r="J160" s="1186"/>
      <c r="K160" s="1186"/>
      <c r="L160" s="1186"/>
      <c r="M160" s="1186"/>
      <c r="N160" s="1179">
        <f>SUM(N146:N159)</f>
        <v>21354.439020594535</v>
      </c>
      <c r="O160" s="1179">
        <f>SUM(O146:O159)</f>
        <v>0</v>
      </c>
      <c r="P160" s="1179">
        <f>SUM(P146:P159)</f>
        <v>0</v>
      </c>
      <c r="Q160" s="1179">
        <f>SUM(Q146:Q159)</f>
        <v>0</v>
      </c>
      <c r="R160" s="1187"/>
      <c r="S160" s="1179">
        <f>SUM(S146:S159)</f>
        <v>1435.9513016609951</v>
      </c>
      <c r="T160" s="1179">
        <f>SUM(T146:T159)</f>
        <v>0</v>
      </c>
      <c r="U160" s="1179">
        <f>SUM(U146:U159)</f>
        <v>0</v>
      </c>
      <c r="V160" s="1180"/>
      <c r="W160" s="1179">
        <f>SUM(W146:W159)</f>
        <v>0</v>
      </c>
      <c r="X160" s="1180"/>
      <c r="Y160" s="1179">
        <f>SUM(Y146:Y159)</f>
        <v>1479.23</v>
      </c>
      <c r="Z160" s="1180"/>
      <c r="AA160" s="1179">
        <f t="shared" ref="AA160" si="149">SUM(AA146:AA159)</f>
        <v>0</v>
      </c>
      <c r="AB160" s="1179">
        <f t="shared" ref="AB160" si="150">SUM(AB146:AB159)</f>
        <v>139.38</v>
      </c>
      <c r="AC160" s="1179">
        <f t="shared" ref="AC160" si="151">SUM(AC146:AC159)</f>
        <v>0</v>
      </c>
      <c r="AD160" s="1179">
        <f t="shared" ref="AD160" si="152">SUM(AD146:AD159)</f>
        <v>0</v>
      </c>
      <c r="AE160" s="1179">
        <f t="shared" ref="AE160" si="153">SUM(AE146:AE159)</f>
        <v>0</v>
      </c>
      <c r="AF160" s="1179">
        <f t="shared" ref="AF160" si="154">SUM(AF146:AF159)</f>
        <v>0</v>
      </c>
      <c r="AG160" s="1179">
        <f t="shared" ref="AG160" si="155">SUM(AG146:AG159)</f>
        <v>0</v>
      </c>
      <c r="AH160" s="1179">
        <f t="shared" ref="AH160" si="156">SUM(AH146:AH159)</f>
        <v>0</v>
      </c>
      <c r="AI160" s="1179">
        <f t="shared" ref="AI160" si="157">SUM(AI146:AI159)</f>
        <v>0</v>
      </c>
      <c r="AJ160" s="1179">
        <f t="shared" ref="AJ160" si="158">SUM(AJ146:AJ159)</f>
        <v>0</v>
      </c>
      <c r="AK160" s="1179">
        <f t="shared" ref="AK160" si="159">SUM(AK146:AK159)</f>
        <v>7118.146340198181</v>
      </c>
      <c r="AL160" s="1179">
        <f t="shared" ref="AL160" si="160">SUM(AL146:AL159)</f>
        <v>478.65043388699843</v>
      </c>
      <c r="AM160" s="1179">
        <f t="shared" ref="AM160" si="161">SUM(AM146:AM159)</f>
        <v>21354.439020594535</v>
      </c>
      <c r="AN160" s="1179">
        <f t="shared" ref="AN160" si="162">SUM(AN146:AN159)</f>
        <v>1435.9513016609951</v>
      </c>
    </row>
    <row r="161" spans="2:42" hidden="1" x14ac:dyDescent="0.25">
      <c r="B161" s="1103"/>
      <c r="C161" s="1091"/>
      <c r="D161" s="1091"/>
      <c r="E161" s="1091"/>
      <c r="F161" s="1091"/>
      <c r="G161" s="1091"/>
      <c r="H161" s="1091"/>
      <c r="I161" s="1091"/>
      <c r="J161" s="1091"/>
      <c r="K161" s="1091"/>
      <c r="L161" s="1091"/>
      <c r="M161" s="1091"/>
      <c r="N161" s="1107"/>
      <c r="O161" s="1107"/>
      <c r="P161" s="1107"/>
      <c r="Q161" s="1107"/>
      <c r="R161" s="1094"/>
      <c r="S161" s="1106"/>
      <c r="T161" s="1107"/>
      <c r="U161" s="1107"/>
      <c r="V161" s="315"/>
      <c r="W161" s="1107"/>
      <c r="X161" s="1180"/>
      <c r="Y161" s="1179"/>
      <c r="Z161" s="1164"/>
      <c r="AA161" s="699"/>
      <c r="AB161" s="1179"/>
      <c r="AC161" s="1107"/>
      <c r="AD161" s="1107"/>
      <c r="AE161" s="1107"/>
      <c r="AF161" s="1107"/>
      <c r="AG161" s="1107"/>
      <c r="AH161" s="1107"/>
      <c r="AI161" s="1107"/>
      <c r="AJ161" s="1107"/>
      <c r="AK161" s="1107"/>
      <c r="AL161" s="1107"/>
      <c r="AM161" s="1107"/>
      <c r="AN161" s="1107"/>
    </row>
    <row r="162" spans="2:42" ht="31.5" hidden="1" x14ac:dyDescent="0.25">
      <c r="B162" s="295">
        <v>741</v>
      </c>
      <c r="C162" s="304" t="s">
        <v>2664</v>
      </c>
      <c r="D162" s="304" t="s">
        <v>2661</v>
      </c>
      <c r="E162" s="304" t="s">
        <v>2739</v>
      </c>
      <c r="F162" s="304" t="s">
        <v>2787</v>
      </c>
      <c r="G162" s="304" t="s">
        <v>2803</v>
      </c>
      <c r="H162" s="305">
        <v>20</v>
      </c>
      <c r="I162" s="295">
        <v>44</v>
      </c>
      <c r="J162" s="295" t="s">
        <v>2648</v>
      </c>
      <c r="K162" s="295">
        <v>0</v>
      </c>
      <c r="L162" s="306">
        <v>38118</v>
      </c>
      <c r="M162" s="316">
        <f>1426.46/639.67</f>
        <v>2.2299935904450736</v>
      </c>
      <c r="N162" s="307">
        <f>M162*AN116</f>
        <v>1550.8265830554001</v>
      </c>
      <c r="O162" s="308">
        <v>0</v>
      </c>
      <c r="P162" s="308">
        <v>0</v>
      </c>
      <c r="Q162" s="308">
        <v>0</v>
      </c>
      <c r="R162" s="309">
        <v>0.16</v>
      </c>
      <c r="S162" s="310">
        <f t="shared" ref="S162:S170" si="163">N162*R162</f>
        <v>248.13225328886401</v>
      </c>
      <c r="T162" s="311">
        <v>0</v>
      </c>
      <c r="U162" s="311">
        <v>0</v>
      </c>
      <c r="V162" s="312">
        <v>0</v>
      </c>
      <c r="W162" s="311">
        <f t="shared" ref="W162:W170" si="164">N162*V162</f>
        <v>0</v>
      </c>
      <c r="X162" s="1175">
        <f>127.94/N162</f>
        <v>8.2497941032153174E-2</v>
      </c>
      <c r="Y162" s="1176">
        <f t="shared" ref="Y162:Y170" si="165">N162*X162</f>
        <v>127.94</v>
      </c>
      <c r="Z162" s="701">
        <f>253.32/N162</f>
        <v>0.1633451494627563</v>
      </c>
      <c r="AA162" s="700">
        <f t="shared" ref="AA162:AA170" si="166">N162*Z162</f>
        <v>253.31999999999996</v>
      </c>
      <c r="AB162" s="1176">
        <f>N162*(136.16/N162)</f>
        <v>136.16</v>
      </c>
      <c r="AC162" s="311">
        <f>AN116*(0%)</f>
        <v>0</v>
      </c>
      <c r="AD162" s="311">
        <f t="shared" ref="AD162:AD170" si="167">AO$9*(0%)</f>
        <v>0</v>
      </c>
      <c r="AE162" s="311">
        <v>0</v>
      </c>
      <c r="AF162" s="311">
        <v>0</v>
      </c>
      <c r="AG162" s="311">
        <v>0</v>
      </c>
      <c r="AH162" s="298">
        <v>0</v>
      </c>
      <c r="AI162" s="298">
        <v>0</v>
      </c>
      <c r="AJ162" s="311">
        <v>0</v>
      </c>
      <c r="AK162" s="313">
        <f t="shared" ref="AK162:AK170" si="168">(N162+T162+U162)/3</f>
        <v>516.94219435180003</v>
      </c>
      <c r="AL162" s="313">
        <f t="shared" ref="AL162:AL170" si="169">AK162*R162</f>
        <v>82.710751096288007</v>
      </c>
      <c r="AM162" s="313">
        <f t="shared" ref="AM162:AM170" si="170">N162</f>
        <v>1550.8265830554001</v>
      </c>
      <c r="AN162" s="313">
        <f t="shared" ref="AN162:AN170" si="171">AM162*R162</f>
        <v>248.13225328886401</v>
      </c>
    </row>
    <row r="163" spans="2:42" ht="31.5" hidden="1" x14ac:dyDescent="0.25">
      <c r="B163" s="295">
        <v>2146</v>
      </c>
      <c r="C163" s="304" t="s">
        <v>2690</v>
      </c>
      <c r="D163" s="304" t="s">
        <v>2689</v>
      </c>
      <c r="E163" s="304" t="s">
        <v>2739</v>
      </c>
      <c r="F163" s="304" t="s">
        <v>2787</v>
      </c>
      <c r="G163" s="304" t="s">
        <v>2803</v>
      </c>
      <c r="H163" s="305">
        <v>20</v>
      </c>
      <c r="I163" s="295">
        <v>40</v>
      </c>
      <c r="J163" s="295" t="s">
        <v>2636</v>
      </c>
      <c r="K163" s="295">
        <v>1</v>
      </c>
      <c r="L163" s="306">
        <v>42814</v>
      </c>
      <c r="M163" s="295">
        <v>2.4</v>
      </c>
      <c r="N163" s="307">
        <f>M163*AN116</f>
        <v>1669.0558283578328</v>
      </c>
      <c r="O163" s="308">
        <v>0</v>
      </c>
      <c r="P163" s="308">
        <v>0</v>
      </c>
      <c r="Q163" s="308">
        <v>0</v>
      </c>
      <c r="R163" s="309">
        <v>0.03</v>
      </c>
      <c r="S163" s="310">
        <f t="shared" si="163"/>
        <v>50.071674850734979</v>
      </c>
      <c r="T163" s="311">
        <v>0</v>
      </c>
      <c r="U163" s="311">
        <v>0</v>
      </c>
      <c r="V163" s="312">
        <v>0</v>
      </c>
      <c r="W163" s="311">
        <f t="shared" si="164"/>
        <v>0</v>
      </c>
      <c r="X163" s="1175">
        <f>76.76/N163</f>
        <v>4.5990073367122415E-2</v>
      </c>
      <c r="Y163" s="1176">
        <f t="shared" si="165"/>
        <v>76.760000000000005</v>
      </c>
      <c r="Z163" s="701">
        <f>307.05/N163</f>
        <v>0.18396628487981939</v>
      </c>
      <c r="AA163" s="700">
        <f t="shared" si="166"/>
        <v>307.05</v>
      </c>
      <c r="AB163" s="1176">
        <f t="shared" ref="AB163:AB169" si="172">N163*(0%)</f>
        <v>0</v>
      </c>
      <c r="AC163" s="311">
        <f>AN116*(0%)</f>
        <v>0</v>
      </c>
      <c r="AD163" s="311">
        <f t="shared" si="167"/>
        <v>0</v>
      </c>
      <c r="AE163" s="311">
        <v>0</v>
      </c>
      <c r="AF163" s="311">
        <v>0</v>
      </c>
      <c r="AG163" s="311">
        <v>0</v>
      </c>
      <c r="AH163" s="298">
        <v>0</v>
      </c>
      <c r="AI163" s="298">
        <v>0</v>
      </c>
      <c r="AJ163" s="311">
        <v>0</v>
      </c>
      <c r="AK163" s="313">
        <f t="shared" si="168"/>
        <v>556.35194278594429</v>
      </c>
      <c r="AL163" s="313">
        <f t="shared" si="169"/>
        <v>16.690558283578326</v>
      </c>
      <c r="AM163" s="313">
        <f t="shared" si="170"/>
        <v>1669.0558283578328</v>
      </c>
      <c r="AN163" s="313">
        <f t="shared" si="171"/>
        <v>50.071674850734979</v>
      </c>
    </row>
    <row r="164" spans="2:42" ht="31.5" hidden="1" x14ac:dyDescent="0.25">
      <c r="B164" s="295">
        <v>1909</v>
      </c>
      <c r="C164" s="304" t="s">
        <v>2696</v>
      </c>
      <c r="D164" s="304" t="s">
        <v>2694</v>
      </c>
      <c r="E164" s="304" t="s">
        <v>2739</v>
      </c>
      <c r="F164" s="304" t="s">
        <v>2787</v>
      </c>
      <c r="G164" s="304" t="s">
        <v>2803</v>
      </c>
      <c r="H164" s="305">
        <v>20</v>
      </c>
      <c r="I164" s="295">
        <v>44</v>
      </c>
      <c r="J164" s="295" t="s">
        <v>2636</v>
      </c>
      <c r="K164" s="295">
        <v>0</v>
      </c>
      <c r="L164" s="306">
        <v>42054</v>
      </c>
      <c r="M164" s="295">
        <v>2</v>
      </c>
      <c r="N164" s="307">
        <f>M164*AN116</f>
        <v>1390.8798569648607</v>
      </c>
      <c r="O164" s="308">
        <v>0</v>
      </c>
      <c r="P164" s="308">
        <v>0</v>
      </c>
      <c r="Q164" s="308">
        <v>0</v>
      </c>
      <c r="R164" s="309">
        <v>0.05</v>
      </c>
      <c r="S164" s="310">
        <f t="shared" si="163"/>
        <v>69.543992848243036</v>
      </c>
      <c r="T164" s="311">
        <v>0</v>
      </c>
      <c r="U164" s="311">
        <v>0</v>
      </c>
      <c r="V164" s="312">
        <v>0</v>
      </c>
      <c r="W164" s="311">
        <f t="shared" si="164"/>
        <v>0</v>
      </c>
      <c r="X164" s="1175">
        <f>76.76/N164</f>
        <v>5.5188088040546895E-2</v>
      </c>
      <c r="Y164" s="1176">
        <f t="shared" si="165"/>
        <v>76.760000000000005</v>
      </c>
      <c r="Z164" s="701">
        <f>255.87/N164</f>
        <v>0.18396269003302154</v>
      </c>
      <c r="AA164" s="700">
        <f t="shared" si="166"/>
        <v>255.87</v>
      </c>
      <c r="AB164" s="1176">
        <f t="shared" si="172"/>
        <v>0</v>
      </c>
      <c r="AC164" s="311">
        <f>AN116*(0%)</f>
        <v>0</v>
      </c>
      <c r="AD164" s="311">
        <f t="shared" si="167"/>
        <v>0</v>
      </c>
      <c r="AE164" s="311">
        <v>0</v>
      </c>
      <c r="AF164" s="311">
        <v>0</v>
      </c>
      <c r="AG164" s="311">
        <v>0</v>
      </c>
      <c r="AH164" s="298">
        <v>0</v>
      </c>
      <c r="AI164" s="298">
        <v>0</v>
      </c>
      <c r="AJ164" s="311">
        <v>0</v>
      </c>
      <c r="AK164" s="313">
        <f t="shared" si="168"/>
        <v>463.62661898828691</v>
      </c>
      <c r="AL164" s="313">
        <f t="shared" si="169"/>
        <v>23.181330949414345</v>
      </c>
      <c r="AM164" s="313">
        <f t="shared" si="170"/>
        <v>1390.8798569648607</v>
      </c>
      <c r="AN164" s="313">
        <f t="shared" si="171"/>
        <v>69.543992848243036</v>
      </c>
    </row>
    <row r="165" spans="2:42" ht="31.5" hidden="1" x14ac:dyDescent="0.25">
      <c r="B165" s="295">
        <v>2050</v>
      </c>
      <c r="C165" s="304" t="s">
        <v>2645</v>
      </c>
      <c r="D165" s="304" t="s">
        <v>2643</v>
      </c>
      <c r="E165" s="304" t="s">
        <v>2739</v>
      </c>
      <c r="F165" s="304" t="s">
        <v>2787</v>
      </c>
      <c r="G165" s="304" t="s">
        <v>2803</v>
      </c>
      <c r="H165" s="305">
        <v>20</v>
      </c>
      <c r="I165" s="295">
        <v>44</v>
      </c>
      <c r="J165" s="295" t="s">
        <v>2636</v>
      </c>
      <c r="K165" s="295">
        <v>0</v>
      </c>
      <c r="L165" s="306">
        <v>42479</v>
      </c>
      <c r="M165" s="295">
        <v>1.95</v>
      </c>
      <c r="N165" s="307">
        <f>M165*AN116</f>
        <v>1356.107860540739</v>
      </c>
      <c r="O165" s="308">
        <v>0</v>
      </c>
      <c r="P165" s="308">
        <v>0</v>
      </c>
      <c r="Q165" s="308">
        <v>0</v>
      </c>
      <c r="R165" s="309">
        <v>0.04</v>
      </c>
      <c r="S165" s="310">
        <f t="shared" si="163"/>
        <v>54.244314421629561</v>
      </c>
      <c r="T165" s="311">
        <v>0</v>
      </c>
      <c r="U165" s="311">
        <v>0</v>
      </c>
      <c r="V165" s="312">
        <v>0</v>
      </c>
      <c r="W165" s="311">
        <f t="shared" si="164"/>
        <v>0</v>
      </c>
      <c r="X165" s="1175">
        <f>127.94/N165</f>
        <v>9.4343528064931917E-2</v>
      </c>
      <c r="Y165" s="1176">
        <f t="shared" si="165"/>
        <v>127.93999999999998</v>
      </c>
      <c r="Z165" s="701">
        <f>249.47/N165</f>
        <v>0.18396029346848966</v>
      </c>
      <c r="AA165" s="700">
        <f t="shared" si="166"/>
        <v>249.47</v>
      </c>
      <c r="AB165" s="1176">
        <f t="shared" si="172"/>
        <v>0</v>
      </c>
      <c r="AC165" s="311">
        <f>AN116*(0%)</f>
        <v>0</v>
      </c>
      <c r="AD165" s="311">
        <f t="shared" si="167"/>
        <v>0</v>
      </c>
      <c r="AE165" s="311">
        <v>0</v>
      </c>
      <c r="AF165" s="311">
        <v>0</v>
      </c>
      <c r="AG165" s="311">
        <v>0</v>
      </c>
      <c r="AH165" s="298">
        <v>0</v>
      </c>
      <c r="AI165" s="298">
        <v>0</v>
      </c>
      <c r="AJ165" s="311">
        <v>0</v>
      </c>
      <c r="AK165" s="313">
        <f t="shared" si="168"/>
        <v>452.03595351357967</v>
      </c>
      <c r="AL165" s="313">
        <f t="shared" si="169"/>
        <v>18.081438140543188</v>
      </c>
      <c r="AM165" s="313">
        <f t="shared" si="170"/>
        <v>1356.107860540739</v>
      </c>
      <c r="AN165" s="313">
        <f t="shared" si="171"/>
        <v>54.244314421629561</v>
      </c>
    </row>
    <row r="166" spans="2:42" ht="31.5" hidden="1" x14ac:dyDescent="0.25">
      <c r="B166" s="295">
        <v>1975</v>
      </c>
      <c r="C166" s="304" t="s">
        <v>2695</v>
      </c>
      <c r="D166" s="304" t="s">
        <v>2694</v>
      </c>
      <c r="E166" s="304" t="s">
        <v>2739</v>
      </c>
      <c r="F166" s="304" t="s">
        <v>2787</v>
      </c>
      <c r="G166" s="304" t="s">
        <v>2803</v>
      </c>
      <c r="H166" s="305">
        <v>20</v>
      </c>
      <c r="I166" s="295">
        <v>44</v>
      </c>
      <c r="J166" s="295" t="s">
        <v>2636</v>
      </c>
      <c r="K166" s="295">
        <v>0</v>
      </c>
      <c r="L166" s="306">
        <v>42268</v>
      </c>
      <c r="M166" s="295">
        <v>2</v>
      </c>
      <c r="N166" s="307">
        <f>M166*AN116</f>
        <v>1390.8798569648607</v>
      </c>
      <c r="O166" s="308">
        <v>0</v>
      </c>
      <c r="P166" s="308">
        <v>0</v>
      </c>
      <c r="Q166" s="308">
        <v>0</v>
      </c>
      <c r="R166" s="309">
        <v>0.05</v>
      </c>
      <c r="S166" s="310">
        <f t="shared" si="163"/>
        <v>69.543992848243036</v>
      </c>
      <c r="T166" s="311">
        <v>0</v>
      </c>
      <c r="U166" s="311">
        <v>0</v>
      </c>
      <c r="V166" s="312">
        <v>0</v>
      </c>
      <c r="W166" s="311">
        <f t="shared" si="164"/>
        <v>0</v>
      </c>
      <c r="X166" s="1175">
        <f>76.76/N166</f>
        <v>5.5188088040546895E-2</v>
      </c>
      <c r="Y166" s="1176">
        <f t="shared" si="165"/>
        <v>76.760000000000005</v>
      </c>
      <c r="Z166" s="701">
        <f>255.87/N166</f>
        <v>0.18396269003302154</v>
      </c>
      <c r="AA166" s="700">
        <f t="shared" si="166"/>
        <v>255.87</v>
      </c>
      <c r="AB166" s="1176">
        <f t="shared" si="172"/>
        <v>0</v>
      </c>
      <c r="AC166" s="311">
        <f>AN116*(0%)</f>
        <v>0</v>
      </c>
      <c r="AD166" s="311">
        <f t="shared" si="167"/>
        <v>0</v>
      </c>
      <c r="AE166" s="311">
        <v>0</v>
      </c>
      <c r="AF166" s="311">
        <v>0</v>
      </c>
      <c r="AG166" s="311">
        <v>0</v>
      </c>
      <c r="AH166" s="298">
        <v>0</v>
      </c>
      <c r="AI166" s="298">
        <v>0</v>
      </c>
      <c r="AJ166" s="311">
        <v>0</v>
      </c>
      <c r="AK166" s="313">
        <f t="shared" si="168"/>
        <v>463.62661898828691</v>
      </c>
      <c r="AL166" s="313">
        <f t="shared" si="169"/>
        <v>23.181330949414345</v>
      </c>
      <c r="AM166" s="313">
        <f t="shared" si="170"/>
        <v>1390.8798569648607</v>
      </c>
      <c r="AN166" s="313">
        <f t="shared" si="171"/>
        <v>69.543992848243036</v>
      </c>
    </row>
    <row r="167" spans="2:42" ht="31.5" hidden="1" x14ac:dyDescent="0.25">
      <c r="B167" s="295">
        <v>1641</v>
      </c>
      <c r="C167" s="304" t="s">
        <v>2642</v>
      </c>
      <c r="D167" s="304" t="s">
        <v>2643</v>
      </c>
      <c r="E167" s="304" t="s">
        <v>2739</v>
      </c>
      <c r="F167" s="304" t="s">
        <v>2787</v>
      </c>
      <c r="G167" s="304" t="s">
        <v>2803</v>
      </c>
      <c r="H167" s="305">
        <v>20</v>
      </c>
      <c r="I167" s="295">
        <v>44</v>
      </c>
      <c r="J167" s="295" t="s">
        <v>2636</v>
      </c>
      <c r="K167" s="295">
        <v>0</v>
      </c>
      <c r="L167" s="306">
        <v>41092</v>
      </c>
      <c r="M167" s="316">
        <f>1298.53/639.67</f>
        <v>2.0299998436693922</v>
      </c>
      <c r="N167" s="307">
        <f>M167*AN116</f>
        <v>1411.7429461007869</v>
      </c>
      <c r="O167" s="308">
        <v>0</v>
      </c>
      <c r="P167" s="308">
        <v>0</v>
      </c>
      <c r="Q167" s="308">
        <v>0</v>
      </c>
      <c r="R167" s="309">
        <v>0.08</v>
      </c>
      <c r="S167" s="310">
        <f t="shared" si="163"/>
        <v>112.93943568806296</v>
      </c>
      <c r="T167" s="311">
        <v>0</v>
      </c>
      <c r="U167" s="311">
        <v>0</v>
      </c>
      <c r="V167" s="312">
        <v>0</v>
      </c>
      <c r="W167" s="311">
        <f t="shared" si="164"/>
        <v>0</v>
      </c>
      <c r="X167" s="1175">
        <f>127.94/N167</f>
        <v>9.0625563494663372E-2</v>
      </c>
      <c r="Y167" s="1176">
        <f t="shared" si="165"/>
        <v>127.94</v>
      </c>
      <c r="Z167" s="701">
        <f>249.47/N167</f>
        <v>0.17671064033932837</v>
      </c>
      <c r="AA167" s="700">
        <f t="shared" si="166"/>
        <v>249.47</v>
      </c>
      <c r="AB167" s="1176">
        <f t="shared" si="172"/>
        <v>0</v>
      </c>
      <c r="AC167" s="311">
        <f>AN116*(0%)</f>
        <v>0</v>
      </c>
      <c r="AD167" s="311">
        <f t="shared" si="167"/>
        <v>0</v>
      </c>
      <c r="AE167" s="311">
        <v>0</v>
      </c>
      <c r="AF167" s="311">
        <v>0</v>
      </c>
      <c r="AG167" s="311">
        <v>0</v>
      </c>
      <c r="AH167" s="298">
        <v>0</v>
      </c>
      <c r="AI167" s="298">
        <v>0</v>
      </c>
      <c r="AJ167" s="311">
        <v>0</v>
      </c>
      <c r="AK167" s="313">
        <f t="shared" si="168"/>
        <v>470.5809820335956</v>
      </c>
      <c r="AL167" s="313">
        <f t="shared" si="169"/>
        <v>37.646478562687648</v>
      </c>
      <c r="AM167" s="313">
        <f t="shared" si="170"/>
        <v>1411.7429461007869</v>
      </c>
      <c r="AN167" s="313">
        <f t="shared" si="171"/>
        <v>112.93943568806296</v>
      </c>
    </row>
    <row r="168" spans="2:42" s="325" customFormat="1" ht="31.5" hidden="1" x14ac:dyDescent="0.25">
      <c r="B168" s="295">
        <v>1637</v>
      </c>
      <c r="C168" s="304" t="s">
        <v>2644</v>
      </c>
      <c r="D168" s="304" t="s">
        <v>2643</v>
      </c>
      <c r="E168" s="304" t="s">
        <v>2739</v>
      </c>
      <c r="F168" s="304" t="s">
        <v>2787</v>
      </c>
      <c r="G168" s="304" t="s">
        <v>2803</v>
      </c>
      <c r="H168" s="305">
        <v>20</v>
      </c>
      <c r="I168" s="295">
        <v>44</v>
      </c>
      <c r="J168" s="295" t="s">
        <v>2636</v>
      </c>
      <c r="K168" s="295">
        <v>0</v>
      </c>
      <c r="L168" s="306">
        <v>41073</v>
      </c>
      <c r="M168" s="295">
        <v>2.0299999999999998</v>
      </c>
      <c r="N168" s="307">
        <f>M168*AN116</f>
        <v>1411.7430548193333</v>
      </c>
      <c r="O168" s="308">
        <v>0</v>
      </c>
      <c r="P168" s="308">
        <v>0</v>
      </c>
      <c r="Q168" s="308">
        <v>0</v>
      </c>
      <c r="R168" s="309">
        <v>0.08</v>
      </c>
      <c r="S168" s="310">
        <f t="shared" si="163"/>
        <v>112.93944438554666</v>
      </c>
      <c r="T168" s="311">
        <v>0</v>
      </c>
      <c r="U168" s="311">
        <v>0</v>
      </c>
      <c r="V168" s="312">
        <v>0</v>
      </c>
      <c r="W168" s="311">
        <f t="shared" si="164"/>
        <v>0</v>
      </c>
      <c r="X168" s="1175">
        <f>127.94/N168</f>
        <v>9.0625556515575009E-2</v>
      </c>
      <c r="Y168" s="1176">
        <f t="shared" si="165"/>
        <v>127.94</v>
      </c>
      <c r="Z168" s="701">
        <f>249.47/N168</f>
        <v>0.1767106267308152</v>
      </c>
      <c r="AA168" s="700">
        <f t="shared" si="166"/>
        <v>249.47</v>
      </c>
      <c r="AB168" s="1176">
        <f t="shared" si="172"/>
        <v>0</v>
      </c>
      <c r="AC168" s="311">
        <f>AN116*(0%)</f>
        <v>0</v>
      </c>
      <c r="AD168" s="311">
        <f t="shared" si="167"/>
        <v>0</v>
      </c>
      <c r="AE168" s="311">
        <v>0</v>
      </c>
      <c r="AF168" s="311">
        <v>0</v>
      </c>
      <c r="AG168" s="311">
        <v>0</v>
      </c>
      <c r="AH168" s="298">
        <v>0</v>
      </c>
      <c r="AI168" s="298">
        <v>0</v>
      </c>
      <c r="AJ168" s="311">
        <v>0</v>
      </c>
      <c r="AK168" s="313">
        <f t="shared" si="168"/>
        <v>470.58101827311111</v>
      </c>
      <c r="AL168" s="313">
        <f t="shared" si="169"/>
        <v>37.646481461848893</v>
      </c>
      <c r="AM168" s="313">
        <f t="shared" si="170"/>
        <v>1411.7430548193333</v>
      </c>
      <c r="AN168" s="313">
        <f t="shared" si="171"/>
        <v>112.93944438554666</v>
      </c>
    </row>
    <row r="169" spans="2:42" ht="31.5" hidden="1" x14ac:dyDescent="0.25">
      <c r="B169" s="320">
        <v>2261</v>
      </c>
      <c r="C169" s="321" t="str">
        <f>PROPER("PABLO AZAMBUJA")</f>
        <v>Pablo Azambuja</v>
      </c>
      <c r="D169" s="321" t="s">
        <v>2643</v>
      </c>
      <c r="E169" s="304" t="s">
        <v>2739</v>
      </c>
      <c r="F169" s="304" t="s">
        <v>2787</v>
      </c>
      <c r="G169" s="304" t="s">
        <v>2803</v>
      </c>
      <c r="H169" s="322">
        <v>20</v>
      </c>
      <c r="I169" s="320">
        <v>44</v>
      </c>
      <c r="J169" s="320" t="s">
        <v>2636</v>
      </c>
      <c r="K169" s="320">
        <v>0</v>
      </c>
      <c r="L169" s="323">
        <v>0</v>
      </c>
      <c r="M169" s="320">
        <v>1.95</v>
      </c>
      <c r="N169" s="324">
        <f>M169*AN116</f>
        <v>1356.107860540739</v>
      </c>
      <c r="O169" s="308">
        <v>0</v>
      </c>
      <c r="P169" s="308">
        <v>0</v>
      </c>
      <c r="Q169" s="308">
        <v>0</v>
      </c>
      <c r="R169" s="309">
        <v>0.02</v>
      </c>
      <c r="S169" s="310">
        <f t="shared" si="163"/>
        <v>27.12215721081478</v>
      </c>
      <c r="T169" s="311">
        <v>0</v>
      </c>
      <c r="U169" s="311">
        <v>0</v>
      </c>
      <c r="V169" s="312">
        <v>0</v>
      </c>
      <c r="W169" s="311">
        <f t="shared" si="164"/>
        <v>0</v>
      </c>
      <c r="X169" s="1175">
        <f>127.94/N169</f>
        <v>9.4343528064931917E-2</v>
      </c>
      <c r="Y169" s="1176">
        <f t="shared" si="165"/>
        <v>127.93999999999998</v>
      </c>
      <c r="Z169" s="701">
        <f>249.47/N169</f>
        <v>0.18396029346848966</v>
      </c>
      <c r="AA169" s="700">
        <f t="shared" si="166"/>
        <v>249.47</v>
      </c>
      <c r="AB169" s="1176">
        <f t="shared" si="172"/>
        <v>0</v>
      </c>
      <c r="AC169" s="311">
        <f>AN116*(0%)</f>
        <v>0</v>
      </c>
      <c r="AD169" s="311">
        <f t="shared" si="167"/>
        <v>0</v>
      </c>
      <c r="AE169" s="311">
        <v>0</v>
      </c>
      <c r="AF169" s="311">
        <v>0</v>
      </c>
      <c r="AG169" s="311">
        <v>0</v>
      </c>
      <c r="AH169" s="298">
        <v>0</v>
      </c>
      <c r="AI169" s="298">
        <v>0</v>
      </c>
      <c r="AJ169" s="311">
        <v>0</v>
      </c>
      <c r="AK169" s="313">
        <f t="shared" si="168"/>
        <v>452.03595351357967</v>
      </c>
      <c r="AL169" s="313">
        <f t="shared" si="169"/>
        <v>9.040719070271594</v>
      </c>
      <c r="AM169" s="313">
        <f t="shared" si="170"/>
        <v>1356.107860540739</v>
      </c>
      <c r="AN169" s="313">
        <f t="shared" si="171"/>
        <v>27.12215721081478</v>
      </c>
    </row>
    <row r="170" spans="2:42" s="299" customFormat="1" ht="31.5" hidden="1" x14ac:dyDescent="0.25">
      <c r="B170" s="295">
        <v>1219</v>
      </c>
      <c r="C170" s="304" t="s">
        <v>2665</v>
      </c>
      <c r="D170" s="304" t="s">
        <v>2661</v>
      </c>
      <c r="E170" s="304" t="s">
        <v>2739</v>
      </c>
      <c r="F170" s="304" t="s">
        <v>2787</v>
      </c>
      <c r="G170" s="304" t="s">
        <v>2803</v>
      </c>
      <c r="H170" s="305">
        <v>20</v>
      </c>
      <c r="I170" s="295">
        <v>44</v>
      </c>
      <c r="J170" s="295" t="s">
        <v>2634</v>
      </c>
      <c r="K170" s="295">
        <v>0</v>
      </c>
      <c r="L170" s="306">
        <v>39682</v>
      </c>
      <c r="M170" s="316">
        <f>1369.69/639.67</f>
        <v>2.1412447043006551</v>
      </c>
      <c r="N170" s="307">
        <f>M170*AN116</f>
        <v>1489.1070640222301</v>
      </c>
      <c r="O170" s="308">
        <v>0</v>
      </c>
      <c r="P170" s="308">
        <v>0</v>
      </c>
      <c r="Q170" s="308">
        <v>0</v>
      </c>
      <c r="R170" s="309">
        <v>0.12</v>
      </c>
      <c r="S170" s="310">
        <f t="shared" si="163"/>
        <v>178.6928476826676</v>
      </c>
      <c r="T170" s="311">
        <v>0</v>
      </c>
      <c r="U170" s="311">
        <v>0</v>
      </c>
      <c r="V170" s="312">
        <v>0</v>
      </c>
      <c r="W170" s="311">
        <f t="shared" si="164"/>
        <v>0</v>
      </c>
      <c r="X170" s="1175">
        <f>127.94/N170</f>
        <v>8.5917260814290283E-2</v>
      </c>
      <c r="Y170" s="1176">
        <f t="shared" si="165"/>
        <v>127.94000000000001</v>
      </c>
      <c r="Z170" s="701">
        <f>253.43/N170</f>
        <v>0.17018924033269958</v>
      </c>
      <c r="AA170" s="700">
        <f t="shared" si="166"/>
        <v>253.42999999999998</v>
      </c>
      <c r="AB170" s="1176">
        <f>N170*(130.67/N170)</f>
        <v>130.66999999999999</v>
      </c>
      <c r="AC170" s="311">
        <f>AN116*(0%)</f>
        <v>0</v>
      </c>
      <c r="AD170" s="311">
        <f t="shared" si="167"/>
        <v>0</v>
      </c>
      <c r="AE170" s="311">
        <v>0</v>
      </c>
      <c r="AF170" s="311">
        <v>0</v>
      </c>
      <c r="AG170" s="311">
        <v>0</v>
      </c>
      <c r="AH170" s="298">
        <v>0</v>
      </c>
      <c r="AI170" s="298">
        <v>0</v>
      </c>
      <c r="AJ170" s="311">
        <v>0</v>
      </c>
      <c r="AK170" s="313">
        <f t="shared" si="168"/>
        <v>496.36902134074336</v>
      </c>
      <c r="AL170" s="313">
        <f t="shared" si="169"/>
        <v>59.564282560889204</v>
      </c>
      <c r="AM170" s="313">
        <f t="shared" si="170"/>
        <v>1489.1070640222301</v>
      </c>
      <c r="AN170" s="313">
        <f t="shared" si="171"/>
        <v>178.6928476826676</v>
      </c>
      <c r="AO170" s="1107"/>
      <c r="AP170" s="1107"/>
    </row>
    <row r="171" spans="2:42" s="1182" customFormat="1" hidden="1" x14ac:dyDescent="0.25">
      <c r="B171" s="1185" t="s">
        <v>7204</v>
      </c>
      <c r="C171" s="1185"/>
      <c r="D171" s="1185"/>
      <c r="E171" s="1185"/>
      <c r="F171" s="1185"/>
      <c r="G171" s="1185"/>
      <c r="H171" s="1185"/>
      <c r="I171" s="1185"/>
      <c r="J171" s="1185"/>
      <c r="K171" s="1185"/>
      <c r="L171" s="1185"/>
      <c r="M171" s="1185"/>
      <c r="N171" s="1191">
        <f>SUM(N162:N170)</f>
        <v>13026.450911366783</v>
      </c>
      <c r="O171" s="1191">
        <f>SUM(O162:O170)</f>
        <v>0</v>
      </c>
      <c r="P171" s="1191">
        <f>SUM(P162:P170)</f>
        <v>0</v>
      </c>
      <c r="Q171" s="1191">
        <f>SUM(Q162:Q170)</f>
        <v>0</v>
      </c>
      <c r="R171" s="1194"/>
      <c r="S171" s="1191">
        <f>SUM(S162:S170)</f>
        <v>923.2301132248067</v>
      </c>
      <c r="T171" s="1191">
        <f>SUM(T162:T170)</f>
        <v>0</v>
      </c>
      <c r="U171" s="1191">
        <f>SUM(U162:U170)</f>
        <v>0</v>
      </c>
      <c r="V171" s="1190"/>
      <c r="W171" s="1191">
        <f>SUM(W162:W170)</f>
        <v>0</v>
      </c>
      <c r="X171" s="1190"/>
      <c r="Y171" s="1191">
        <f>SUM(Y162:Y170)</f>
        <v>997.92</v>
      </c>
      <c r="Z171" s="1190"/>
      <c r="AA171" s="1191">
        <f>SUM(AA162:AA170)</f>
        <v>2323.4199999999996</v>
      </c>
      <c r="AB171" s="1191">
        <f>SUM(AB162:AB170)</f>
        <v>266.83</v>
      </c>
      <c r="AC171" s="1191">
        <f t="shared" ref="AC171:AN171" si="173">SUM(AC162:AC170)</f>
        <v>0</v>
      </c>
      <c r="AD171" s="1191">
        <f t="shared" si="173"/>
        <v>0</v>
      </c>
      <c r="AE171" s="1191">
        <f t="shared" si="173"/>
        <v>0</v>
      </c>
      <c r="AF171" s="1191">
        <f t="shared" si="173"/>
        <v>0</v>
      </c>
      <c r="AG171" s="1191">
        <f t="shared" si="173"/>
        <v>0</v>
      </c>
      <c r="AH171" s="1191">
        <f t="shared" si="173"/>
        <v>0</v>
      </c>
      <c r="AI171" s="1191">
        <f t="shared" si="173"/>
        <v>0</v>
      </c>
      <c r="AJ171" s="1191">
        <f t="shared" si="173"/>
        <v>0</v>
      </c>
      <c r="AK171" s="1191">
        <f t="shared" si="173"/>
        <v>4342.1503037889279</v>
      </c>
      <c r="AL171" s="1191">
        <f t="shared" si="173"/>
        <v>307.74337107493557</v>
      </c>
      <c r="AM171" s="1191">
        <f t="shared" si="173"/>
        <v>13026.450911366783</v>
      </c>
      <c r="AN171" s="1191">
        <f t="shared" si="173"/>
        <v>923.2301132248067</v>
      </c>
    </row>
    <row r="172" spans="2:42" hidden="1" x14ac:dyDescent="0.25">
      <c r="B172" s="1103"/>
      <c r="C172" s="1103"/>
      <c r="D172" s="1103"/>
      <c r="E172" s="1103"/>
      <c r="F172" s="1103"/>
      <c r="G172" s="1103"/>
      <c r="H172" s="1103"/>
      <c r="I172" s="1103"/>
      <c r="J172" s="1103"/>
      <c r="K172" s="1103"/>
      <c r="L172" s="1103"/>
      <c r="M172" s="1103"/>
      <c r="N172" s="1156"/>
      <c r="O172" s="1156"/>
      <c r="P172" s="1156"/>
      <c r="Q172" s="1156"/>
      <c r="R172" s="1188"/>
      <c r="S172" s="1189"/>
      <c r="T172" s="1156"/>
      <c r="U172" s="1156"/>
      <c r="V172" s="1158"/>
      <c r="W172" s="1156"/>
      <c r="X172" s="1190"/>
      <c r="Y172" s="1191"/>
      <c r="Z172" s="1192"/>
      <c r="AA172" s="1193"/>
      <c r="AB172" s="1191"/>
      <c r="AC172" s="1156"/>
      <c r="AD172" s="1156"/>
      <c r="AE172" s="1156"/>
      <c r="AF172" s="1156"/>
      <c r="AG172" s="1156"/>
      <c r="AH172" s="1156"/>
      <c r="AI172" s="1156"/>
      <c r="AJ172" s="1156"/>
      <c r="AK172" s="1156"/>
      <c r="AL172" s="1156"/>
      <c r="AM172" s="1156"/>
      <c r="AN172" s="1156"/>
    </row>
    <row r="173" spans="2:42" ht="31.5" hidden="1" x14ac:dyDescent="0.25">
      <c r="B173" s="295">
        <v>2369</v>
      </c>
      <c r="C173" s="304" t="s">
        <v>7206</v>
      </c>
      <c r="D173" s="304" t="s">
        <v>2694</v>
      </c>
      <c r="E173" s="304" t="s">
        <v>2757</v>
      </c>
      <c r="F173" s="304" t="s">
        <v>2787</v>
      </c>
      <c r="G173" s="304" t="s">
        <v>2803</v>
      </c>
      <c r="H173" s="305">
        <v>20</v>
      </c>
      <c r="I173" s="295">
        <v>44</v>
      </c>
      <c r="J173" s="295" t="s">
        <v>2636</v>
      </c>
      <c r="K173" s="295">
        <v>0</v>
      </c>
      <c r="L173" s="306">
        <v>43647</v>
      </c>
      <c r="M173" s="295">
        <v>2</v>
      </c>
      <c r="N173" s="307">
        <f>M173*AN116</f>
        <v>1390.8798569648607</v>
      </c>
      <c r="O173" s="308">
        <v>0</v>
      </c>
      <c r="P173" s="308">
        <v>0</v>
      </c>
      <c r="Q173" s="308">
        <v>0</v>
      </c>
      <c r="R173" s="309">
        <v>0</v>
      </c>
      <c r="S173" s="310">
        <f t="shared" ref="S173:S175" si="174">N173*R173</f>
        <v>0</v>
      </c>
      <c r="T173" s="311">
        <v>0</v>
      </c>
      <c r="U173" s="311">
        <v>0</v>
      </c>
      <c r="V173" s="312">
        <v>0</v>
      </c>
      <c r="W173" s="311">
        <f t="shared" ref="W173:W175" si="175">N173*V173</f>
        <v>0</v>
      </c>
      <c r="X173" s="1175">
        <f>76.76/N173</f>
        <v>5.5188088040546895E-2</v>
      </c>
      <c r="Y173" s="1176">
        <f t="shared" ref="Y173:Y175" si="176">N173*X173</f>
        <v>76.760000000000005</v>
      </c>
      <c r="Z173" s="701">
        <f>255.87/N173</f>
        <v>0.18396269003302154</v>
      </c>
      <c r="AA173" s="700">
        <f t="shared" ref="AA173:AA175" si="177">N173*Z173</f>
        <v>255.87</v>
      </c>
      <c r="AB173" s="1176">
        <f t="shared" ref="AB173:AB175" si="178">N173*(0%)</f>
        <v>0</v>
      </c>
      <c r="AC173" s="311">
        <f>AN125*(0%)</f>
        <v>0</v>
      </c>
      <c r="AD173" s="311">
        <f>AO$9*(0%)</f>
        <v>0</v>
      </c>
      <c r="AE173" s="311">
        <v>0</v>
      </c>
      <c r="AF173" s="311">
        <v>0</v>
      </c>
      <c r="AG173" s="311">
        <v>0</v>
      </c>
      <c r="AH173" s="298">
        <v>0</v>
      </c>
      <c r="AI173" s="298">
        <v>0</v>
      </c>
      <c r="AJ173" s="311">
        <v>0</v>
      </c>
      <c r="AK173" s="313">
        <f t="shared" ref="AK173:AK175" si="179">(N173+T173+U173)/3</f>
        <v>463.62661898828691</v>
      </c>
      <c r="AL173" s="313">
        <f t="shared" ref="AL173:AL175" si="180">AK173*R173</f>
        <v>0</v>
      </c>
      <c r="AM173" s="313">
        <f t="shared" ref="AM173:AM175" si="181">N173</f>
        <v>1390.8798569648607</v>
      </c>
      <c r="AN173" s="313">
        <f t="shared" ref="AN173:AN175" si="182">AM173*R173</f>
        <v>0</v>
      </c>
    </row>
    <row r="174" spans="2:42" ht="31.5" hidden="1" x14ac:dyDescent="0.25">
      <c r="B174" s="295">
        <v>2368</v>
      </c>
      <c r="C174" s="304" t="s">
        <v>7207</v>
      </c>
      <c r="D174" s="304" t="s">
        <v>2694</v>
      </c>
      <c r="E174" s="304" t="s">
        <v>2757</v>
      </c>
      <c r="F174" s="304" t="s">
        <v>2787</v>
      </c>
      <c r="G174" s="304" t="s">
        <v>2803</v>
      </c>
      <c r="H174" s="305">
        <v>20</v>
      </c>
      <c r="I174" s="295">
        <v>44</v>
      </c>
      <c r="J174" s="295" t="s">
        <v>2636</v>
      </c>
      <c r="K174" s="295">
        <v>0</v>
      </c>
      <c r="L174" s="306">
        <v>43530</v>
      </c>
      <c r="M174" s="295">
        <v>2</v>
      </c>
      <c r="N174" s="307">
        <f>M174*AN116</f>
        <v>1390.8798569648607</v>
      </c>
      <c r="O174" s="308">
        <v>0</v>
      </c>
      <c r="P174" s="308">
        <v>0</v>
      </c>
      <c r="Q174" s="308">
        <v>0</v>
      </c>
      <c r="R174" s="309">
        <v>0</v>
      </c>
      <c r="S174" s="310">
        <f t="shared" si="174"/>
        <v>0</v>
      </c>
      <c r="T174" s="311">
        <v>0</v>
      </c>
      <c r="U174" s="311">
        <v>0</v>
      </c>
      <c r="V174" s="312">
        <v>0</v>
      </c>
      <c r="W174" s="311">
        <f t="shared" si="175"/>
        <v>0</v>
      </c>
      <c r="X174" s="1175">
        <f>76.76/N174</f>
        <v>5.5188088040546895E-2</v>
      </c>
      <c r="Y174" s="1176">
        <f t="shared" si="176"/>
        <v>76.760000000000005</v>
      </c>
      <c r="Z174" s="701">
        <v>0</v>
      </c>
      <c r="AA174" s="700">
        <f t="shared" si="177"/>
        <v>0</v>
      </c>
      <c r="AB174" s="1176">
        <f t="shared" si="178"/>
        <v>0</v>
      </c>
      <c r="AC174" s="311">
        <f>AN126*(0%)</f>
        <v>0</v>
      </c>
      <c r="AD174" s="311">
        <f>AO$9*(0%)</f>
        <v>0</v>
      </c>
      <c r="AE174" s="311">
        <v>0</v>
      </c>
      <c r="AF174" s="311">
        <v>0</v>
      </c>
      <c r="AG174" s="311">
        <v>0</v>
      </c>
      <c r="AH174" s="298">
        <v>0</v>
      </c>
      <c r="AI174" s="298">
        <v>0</v>
      </c>
      <c r="AJ174" s="311">
        <v>0</v>
      </c>
      <c r="AK174" s="313">
        <f t="shared" si="179"/>
        <v>463.62661898828691</v>
      </c>
      <c r="AL174" s="313">
        <f t="shared" si="180"/>
        <v>0</v>
      </c>
      <c r="AM174" s="313">
        <f t="shared" si="181"/>
        <v>1390.8798569648607</v>
      </c>
      <c r="AN174" s="313">
        <f t="shared" si="182"/>
        <v>0</v>
      </c>
    </row>
    <row r="175" spans="2:42" ht="31.5" hidden="1" x14ac:dyDescent="0.25">
      <c r="B175" s="295">
        <v>2325</v>
      </c>
      <c r="C175" s="304" t="s">
        <v>7208</v>
      </c>
      <c r="D175" s="304" t="s">
        <v>2643</v>
      </c>
      <c r="E175" s="304" t="s">
        <v>2757</v>
      </c>
      <c r="F175" s="304" t="s">
        <v>2787</v>
      </c>
      <c r="G175" s="304" t="s">
        <v>2803</v>
      </c>
      <c r="H175" s="305">
        <v>20</v>
      </c>
      <c r="I175" s="295">
        <v>44</v>
      </c>
      <c r="J175" s="295" t="s">
        <v>2636</v>
      </c>
      <c r="K175" s="295">
        <v>0</v>
      </c>
      <c r="L175" s="306">
        <v>43530</v>
      </c>
      <c r="M175" s="295">
        <v>1.95</v>
      </c>
      <c r="N175" s="307">
        <f>M175*AN116</f>
        <v>1356.107860540739</v>
      </c>
      <c r="O175" s="308">
        <v>0</v>
      </c>
      <c r="P175" s="308">
        <v>0</v>
      </c>
      <c r="Q175" s="308">
        <v>0</v>
      </c>
      <c r="R175" s="309">
        <v>0</v>
      </c>
      <c r="S175" s="310">
        <f t="shared" si="174"/>
        <v>0</v>
      </c>
      <c r="T175" s="311">
        <v>0</v>
      </c>
      <c r="U175" s="311">
        <v>0</v>
      </c>
      <c r="V175" s="312">
        <v>0</v>
      </c>
      <c r="W175" s="311">
        <f t="shared" si="175"/>
        <v>0</v>
      </c>
      <c r="X175" s="1175">
        <f>127.94/N175</f>
        <v>9.4343528064931917E-2</v>
      </c>
      <c r="Y175" s="1176">
        <f t="shared" si="176"/>
        <v>127.93999999999998</v>
      </c>
      <c r="Z175" s="701">
        <f>249.47/N175</f>
        <v>0.18396029346848966</v>
      </c>
      <c r="AA175" s="700">
        <f t="shared" si="177"/>
        <v>249.47</v>
      </c>
      <c r="AB175" s="1176">
        <f t="shared" si="178"/>
        <v>0</v>
      </c>
      <c r="AC175" s="311">
        <f>AN127*(0%)</f>
        <v>0</v>
      </c>
      <c r="AD175" s="311">
        <f>AO$9*(0%)</f>
        <v>0</v>
      </c>
      <c r="AE175" s="311">
        <v>0</v>
      </c>
      <c r="AF175" s="311">
        <v>0</v>
      </c>
      <c r="AG175" s="311">
        <v>0</v>
      </c>
      <c r="AH175" s="298">
        <v>0</v>
      </c>
      <c r="AI175" s="298">
        <v>0</v>
      </c>
      <c r="AJ175" s="311">
        <v>0</v>
      </c>
      <c r="AK175" s="313">
        <f t="shared" si="179"/>
        <v>452.03595351357967</v>
      </c>
      <c r="AL175" s="313">
        <f t="shared" si="180"/>
        <v>0</v>
      </c>
      <c r="AM175" s="313">
        <f t="shared" si="181"/>
        <v>1356.107860540739</v>
      </c>
      <c r="AN175" s="313">
        <f t="shared" si="182"/>
        <v>0</v>
      </c>
    </row>
    <row r="176" spans="2:42" s="299" customFormat="1" ht="31.5" hidden="1" x14ac:dyDescent="0.25">
      <c r="B176" s="295">
        <v>2322</v>
      </c>
      <c r="C176" s="304" t="s">
        <v>7209</v>
      </c>
      <c r="D176" s="304" t="s">
        <v>2687</v>
      </c>
      <c r="E176" s="304" t="s">
        <v>2757</v>
      </c>
      <c r="F176" s="304" t="s">
        <v>2787</v>
      </c>
      <c r="G176" s="304" t="s">
        <v>2803</v>
      </c>
      <c r="H176" s="305">
        <v>20</v>
      </c>
      <c r="I176" s="295">
        <v>40</v>
      </c>
      <c r="J176" s="295" t="s">
        <v>2636</v>
      </c>
      <c r="K176" s="295">
        <v>0</v>
      </c>
      <c r="L176" s="306">
        <v>43530</v>
      </c>
      <c r="M176" s="295">
        <v>2.4</v>
      </c>
      <c r="N176" s="307">
        <f>M176*AN116</f>
        <v>1669.0558283578328</v>
      </c>
      <c r="O176" s="308">
        <v>0</v>
      </c>
      <c r="P176" s="308">
        <v>0</v>
      </c>
      <c r="Q176" s="308">
        <v>0</v>
      </c>
      <c r="R176" s="309">
        <v>0</v>
      </c>
      <c r="S176" s="310">
        <f>N176*R176</f>
        <v>0</v>
      </c>
      <c r="T176" s="311">
        <v>0</v>
      </c>
      <c r="U176" s="311">
        <v>0</v>
      </c>
      <c r="V176" s="312">
        <v>0</v>
      </c>
      <c r="W176" s="311">
        <f>N176*V176</f>
        <v>0</v>
      </c>
      <c r="X176" s="1175">
        <f>76.76/N176</f>
        <v>4.5990073367122415E-2</v>
      </c>
      <c r="Y176" s="1176">
        <f>N176*X176</f>
        <v>76.760000000000005</v>
      </c>
      <c r="Z176" s="701">
        <f>307.04/N176</f>
        <v>0.18396029346848966</v>
      </c>
      <c r="AA176" s="700">
        <f>N176*Z176</f>
        <v>307.04000000000002</v>
      </c>
      <c r="AB176" s="1176">
        <f>N176*(0%)</f>
        <v>0</v>
      </c>
      <c r="AC176" s="311">
        <f>AN116*(0%)</f>
        <v>0</v>
      </c>
      <c r="AD176" s="311">
        <f>AO$9*(0%)</f>
        <v>0</v>
      </c>
      <c r="AE176" s="311">
        <v>0</v>
      </c>
      <c r="AF176" s="311">
        <v>0</v>
      </c>
      <c r="AG176" s="311">
        <v>0</v>
      </c>
      <c r="AH176" s="298">
        <v>0</v>
      </c>
      <c r="AI176" s="298">
        <v>0</v>
      </c>
      <c r="AJ176" s="311">
        <v>0</v>
      </c>
      <c r="AK176" s="313">
        <f>(N176+T176+U176)/3</f>
        <v>556.35194278594429</v>
      </c>
      <c r="AL176" s="313">
        <f>AK176*R176</f>
        <v>0</v>
      </c>
      <c r="AM176" s="313">
        <f>N176</f>
        <v>1669.0558283578328</v>
      </c>
      <c r="AN176" s="313">
        <f>AM176*R176</f>
        <v>0</v>
      </c>
    </row>
    <row r="177" spans="2:40" s="1182" customFormat="1" hidden="1" x14ac:dyDescent="0.25">
      <c r="B177" s="1185" t="s">
        <v>7205</v>
      </c>
      <c r="C177" s="1186"/>
      <c r="D177" s="1186"/>
      <c r="E177" s="1186"/>
      <c r="F177" s="1186"/>
      <c r="G177" s="1186"/>
      <c r="H177" s="1186"/>
      <c r="I177" s="1186"/>
      <c r="J177" s="1186"/>
      <c r="K177" s="1186"/>
      <c r="L177" s="1186"/>
      <c r="M177" s="1186"/>
      <c r="N177" s="1179">
        <f>SUM(N176:N176)</f>
        <v>1669.0558283578328</v>
      </c>
      <c r="O177" s="1179">
        <f>SUM(O176:O176)</f>
        <v>0</v>
      </c>
      <c r="P177" s="1179">
        <f>SUM(P176:P176)</f>
        <v>0</v>
      </c>
      <c r="Q177" s="1179">
        <f>SUM(Q176:Q176)</f>
        <v>0</v>
      </c>
      <c r="R177" s="1187"/>
      <c r="S177" s="1179">
        <f>SUM(S176:S176)</f>
        <v>0</v>
      </c>
      <c r="T177" s="1179">
        <f>SUM(T176:T176)</f>
        <v>0</v>
      </c>
      <c r="U177" s="1179">
        <f>SUM(U176:U176)</f>
        <v>0</v>
      </c>
      <c r="V177" s="1180"/>
      <c r="W177" s="1179">
        <f>SUM(W176:W176)</f>
        <v>0</v>
      </c>
      <c r="X177" s="1180"/>
      <c r="Y177" s="1179">
        <f>SUM(Y176:Y176)</f>
        <v>76.760000000000005</v>
      </c>
      <c r="Z177" s="1180"/>
      <c r="AA177" s="1179">
        <f>SUM(AA176:AA176)</f>
        <v>307.04000000000002</v>
      </c>
      <c r="AB177" s="1179">
        <f t="shared" ref="AB177:AN177" si="183">SUM(AB176:AB176)</f>
        <v>0</v>
      </c>
      <c r="AC177" s="1179">
        <f t="shared" si="183"/>
        <v>0</v>
      </c>
      <c r="AD177" s="1179">
        <f t="shared" si="183"/>
        <v>0</v>
      </c>
      <c r="AE177" s="1179">
        <f t="shared" si="183"/>
        <v>0</v>
      </c>
      <c r="AF177" s="1179">
        <f t="shared" si="183"/>
        <v>0</v>
      </c>
      <c r="AG177" s="1179">
        <f t="shared" si="183"/>
        <v>0</v>
      </c>
      <c r="AH177" s="1179">
        <f t="shared" si="183"/>
        <v>0</v>
      </c>
      <c r="AI177" s="1179">
        <f t="shared" si="183"/>
        <v>0</v>
      </c>
      <c r="AJ177" s="1179">
        <f t="shared" si="183"/>
        <v>0</v>
      </c>
      <c r="AK177" s="1179">
        <f t="shared" si="183"/>
        <v>556.35194278594429</v>
      </c>
      <c r="AL177" s="1179">
        <f t="shared" si="183"/>
        <v>0</v>
      </c>
      <c r="AM177" s="1179">
        <f t="shared" si="183"/>
        <v>1669.0558283578328</v>
      </c>
      <c r="AN177" s="1179">
        <f t="shared" si="183"/>
        <v>0</v>
      </c>
    </row>
    <row r="178" spans="2:40" s="1182" customFormat="1" hidden="1" x14ac:dyDescent="0.25">
      <c r="B178" s="1185"/>
      <c r="C178" s="1186"/>
      <c r="D178" s="1186"/>
      <c r="E178" s="1186"/>
      <c r="F178" s="1186"/>
      <c r="G178" s="1186"/>
      <c r="H178" s="1186"/>
      <c r="I178" s="1186"/>
      <c r="J178" s="1186"/>
      <c r="K178" s="1186"/>
      <c r="L178" s="1186"/>
      <c r="M178" s="1186"/>
      <c r="N178" s="1179"/>
      <c r="O178" s="1179"/>
      <c r="P178" s="1179"/>
      <c r="Q178" s="1179"/>
      <c r="R178" s="1187"/>
      <c r="S178" s="1179"/>
      <c r="T178" s="1179"/>
      <c r="U178" s="1179"/>
      <c r="V178" s="1180"/>
      <c r="W178" s="1179"/>
      <c r="X178" s="1180"/>
      <c r="Y178" s="1179"/>
      <c r="Z178" s="1180"/>
      <c r="AA178" s="1179"/>
      <c r="AB178" s="1179"/>
      <c r="AC178" s="1179"/>
      <c r="AD178" s="1179"/>
      <c r="AE178" s="1179"/>
      <c r="AF178" s="1179"/>
      <c r="AG178" s="1179"/>
      <c r="AH178" s="1179"/>
      <c r="AI178" s="1179"/>
      <c r="AJ178" s="1179"/>
      <c r="AK178" s="1179"/>
      <c r="AL178" s="1179"/>
      <c r="AM178" s="1179"/>
      <c r="AN178" s="1179"/>
    </row>
    <row r="179" spans="2:40" s="299" customFormat="1" ht="15.75" x14ac:dyDescent="0.25">
      <c r="B179" s="295">
        <v>2327</v>
      </c>
      <c r="C179" s="314" t="s">
        <v>7211</v>
      </c>
      <c r="D179" s="304" t="s">
        <v>2692</v>
      </c>
      <c r="E179" s="304" t="s">
        <v>2757</v>
      </c>
      <c r="F179" s="304" t="s">
        <v>2787</v>
      </c>
      <c r="G179" s="304" t="s">
        <v>2804</v>
      </c>
      <c r="H179" s="305">
        <v>20</v>
      </c>
      <c r="I179" s="295">
        <v>0</v>
      </c>
      <c r="J179" s="295" t="s">
        <v>2636</v>
      </c>
      <c r="K179" s="295">
        <v>0</v>
      </c>
      <c r="L179" s="306">
        <v>43535</v>
      </c>
      <c r="M179" s="295">
        <v>1.95</v>
      </c>
      <c r="N179" s="307">
        <f>M179*AN116</f>
        <v>1356.107860540739</v>
      </c>
      <c r="O179" s="308">
        <v>0</v>
      </c>
      <c r="P179" s="308">
        <v>0</v>
      </c>
      <c r="Q179" s="308">
        <v>0</v>
      </c>
      <c r="R179" s="309">
        <v>0</v>
      </c>
      <c r="S179" s="310">
        <f t="shared" ref="S179:S186" si="184">N179*R179</f>
        <v>0</v>
      </c>
      <c r="T179" s="311">
        <v>0</v>
      </c>
      <c r="U179" s="311">
        <v>0</v>
      </c>
      <c r="V179" s="312">
        <v>0</v>
      </c>
      <c r="W179" s="311">
        <f t="shared" ref="W179:W186" si="185">N179*V179</f>
        <v>0</v>
      </c>
      <c r="X179" s="1175">
        <f>127.94/N179</f>
        <v>9.4343528064931917E-2</v>
      </c>
      <c r="Y179" s="1176">
        <f t="shared" ref="Y179:Y186" si="186">N179*X179</f>
        <v>127.93999999999998</v>
      </c>
      <c r="Z179" s="701">
        <v>0</v>
      </c>
      <c r="AA179" s="700">
        <f t="shared" ref="AA179:AA186" si="187">N179*Z179</f>
        <v>0</v>
      </c>
      <c r="AB179" s="1176">
        <f>N179*(0%)</f>
        <v>0</v>
      </c>
      <c r="AC179" s="311">
        <f>AN109*(0%)</f>
        <v>0</v>
      </c>
      <c r="AD179" s="311">
        <f t="shared" ref="AD179:AD186" si="188">AO$9*(0%)</f>
        <v>0</v>
      </c>
      <c r="AE179" s="311">
        <v>0</v>
      </c>
      <c r="AF179" s="311">
        <v>0</v>
      </c>
      <c r="AG179" s="311">
        <v>0</v>
      </c>
      <c r="AH179" s="298">
        <v>0</v>
      </c>
      <c r="AI179" s="298">
        <v>0</v>
      </c>
      <c r="AJ179" s="311">
        <v>0</v>
      </c>
      <c r="AK179" s="313">
        <f t="shared" ref="AK179:AK186" si="189">(N179+T179+U179)/3</f>
        <v>452.03595351357967</v>
      </c>
      <c r="AL179" s="313">
        <f t="shared" ref="AL179:AL186" si="190">AK179*R179</f>
        <v>0</v>
      </c>
      <c r="AM179" s="313">
        <f t="shared" ref="AM179:AM186" si="191">N179</f>
        <v>1356.107860540739</v>
      </c>
      <c r="AN179" s="313">
        <f t="shared" ref="AN179:AN186" si="192">AM179*R179</f>
        <v>0</v>
      </c>
    </row>
    <row r="180" spans="2:40" ht="15.75" x14ac:dyDescent="0.25">
      <c r="B180" s="295">
        <v>2352</v>
      </c>
      <c r="C180" s="304" t="s">
        <v>2805</v>
      </c>
      <c r="D180" s="304" t="s">
        <v>2654</v>
      </c>
      <c r="E180" s="304" t="s">
        <v>2757</v>
      </c>
      <c r="F180" s="304" t="s">
        <v>2787</v>
      </c>
      <c r="G180" s="304" t="s">
        <v>2804</v>
      </c>
      <c r="H180" s="305">
        <v>20</v>
      </c>
      <c r="I180" s="295">
        <v>44</v>
      </c>
      <c r="J180" s="295" t="s">
        <v>2636</v>
      </c>
      <c r="K180" s="295">
        <v>0</v>
      </c>
      <c r="L180" s="306">
        <v>43588</v>
      </c>
      <c r="M180" s="295">
        <v>2</v>
      </c>
      <c r="N180" s="307">
        <f>M180*AN116</f>
        <v>1390.8798569648607</v>
      </c>
      <c r="O180" s="308">
        <v>0</v>
      </c>
      <c r="P180" s="308">
        <v>0</v>
      </c>
      <c r="Q180" s="308">
        <v>0</v>
      </c>
      <c r="R180" s="309">
        <v>0</v>
      </c>
      <c r="S180" s="310">
        <f t="shared" si="184"/>
        <v>0</v>
      </c>
      <c r="T180" s="311">
        <v>0</v>
      </c>
      <c r="U180" s="311">
        <v>0</v>
      </c>
      <c r="V180" s="312">
        <v>0</v>
      </c>
      <c r="W180" s="311">
        <f t="shared" si="185"/>
        <v>0</v>
      </c>
      <c r="X180" s="1175">
        <f>76.76/N180</f>
        <v>5.5188088040546895E-2</v>
      </c>
      <c r="Y180" s="1176">
        <f t="shared" si="186"/>
        <v>76.760000000000005</v>
      </c>
      <c r="Z180" s="701">
        <f>0/N180</f>
        <v>0</v>
      </c>
      <c r="AA180" s="700">
        <f t="shared" si="187"/>
        <v>0</v>
      </c>
      <c r="AB180" s="1176">
        <f>N180*(0)</f>
        <v>0</v>
      </c>
      <c r="AC180" s="311" t="e">
        <f>AN114*(0%)</f>
        <v>#VALUE!</v>
      </c>
      <c r="AD180" s="311">
        <f t="shared" si="188"/>
        <v>0</v>
      </c>
      <c r="AE180" s="311">
        <v>0</v>
      </c>
      <c r="AF180" s="311">
        <v>0</v>
      </c>
      <c r="AG180" s="311">
        <v>0</v>
      </c>
      <c r="AH180" s="298">
        <v>0</v>
      </c>
      <c r="AI180" s="298">
        <v>0</v>
      </c>
      <c r="AJ180" s="311">
        <v>0</v>
      </c>
      <c r="AK180" s="313">
        <f t="shared" si="189"/>
        <v>463.62661898828691</v>
      </c>
      <c r="AL180" s="313">
        <f t="shared" si="190"/>
        <v>0</v>
      </c>
      <c r="AM180" s="313">
        <f t="shared" si="191"/>
        <v>1390.8798569648607</v>
      </c>
      <c r="AN180" s="313">
        <f t="shared" si="192"/>
        <v>0</v>
      </c>
    </row>
    <row r="181" spans="2:40" s="299" customFormat="1" ht="15.75" x14ac:dyDescent="0.25">
      <c r="B181" s="295">
        <v>2353</v>
      </c>
      <c r="C181" s="304" t="s">
        <v>7212</v>
      </c>
      <c r="D181" s="304" t="s">
        <v>2654</v>
      </c>
      <c r="E181" s="304" t="s">
        <v>2757</v>
      </c>
      <c r="F181" s="304" t="s">
        <v>2787</v>
      </c>
      <c r="G181" s="304" t="s">
        <v>2804</v>
      </c>
      <c r="H181" s="305">
        <v>20</v>
      </c>
      <c r="I181" s="295">
        <v>44</v>
      </c>
      <c r="J181" s="295" t="s">
        <v>2636</v>
      </c>
      <c r="K181" s="295">
        <v>0</v>
      </c>
      <c r="L181" s="306">
        <v>43588</v>
      </c>
      <c r="M181" s="295">
        <v>2</v>
      </c>
      <c r="N181" s="307">
        <f>M181*AN116</f>
        <v>1390.8798569648607</v>
      </c>
      <c r="O181" s="308">
        <v>0</v>
      </c>
      <c r="P181" s="308">
        <v>0</v>
      </c>
      <c r="Q181" s="308">
        <v>0</v>
      </c>
      <c r="R181" s="309">
        <v>0</v>
      </c>
      <c r="S181" s="310">
        <f t="shared" si="184"/>
        <v>0</v>
      </c>
      <c r="T181" s="311">
        <v>0</v>
      </c>
      <c r="U181" s="311">
        <v>0</v>
      </c>
      <c r="V181" s="312">
        <v>0</v>
      </c>
      <c r="W181" s="311">
        <f t="shared" si="185"/>
        <v>0</v>
      </c>
      <c r="X181" s="1175">
        <f>76.76/N181</f>
        <v>5.5188088040546895E-2</v>
      </c>
      <c r="Y181" s="1176">
        <f t="shared" si="186"/>
        <v>76.760000000000005</v>
      </c>
      <c r="Z181" s="701">
        <v>0</v>
      </c>
      <c r="AA181" s="700">
        <f t="shared" si="187"/>
        <v>0</v>
      </c>
      <c r="AB181" s="1176">
        <f>N181*(39.54/N181)</f>
        <v>39.54</v>
      </c>
      <c r="AC181" s="311" t="e">
        <f>AN114*(0%)</f>
        <v>#VALUE!</v>
      </c>
      <c r="AD181" s="311">
        <f t="shared" si="188"/>
        <v>0</v>
      </c>
      <c r="AE181" s="311">
        <v>0</v>
      </c>
      <c r="AF181" s="311">
        <v>0</v>
      </c>
      <c r="AG181" s="311">
        <v>0</v>
      </c>
      <c r="AH181" s="298">
        <v>0</v>
      </c>
      <c r="AI181" s="298">
        <v>0</v>
      </c>
      <c r="AJ181" s="311">
        <v>0</v>
      </c>
      <c r="AK181" s="313">
        <f t="shared" si="189"/>
        <v>463.62661898828691</v>
      </c>
      <c r="AL181" s="313">
        <f t="shared" si="190"/>
        <v>0</v>
      </c>
      <c r="AM181" s="313">
        <f t="shared" si="191"/>
        <v>1390.8798569648607</v>
      </c>
      <c r="AN181" s="313">
        <f t="shared" si="192"/>
        <v>0</v>
      </c>
    </row>
    <row r="182" spans="2:40" ht="15.75" x14ac:dyDescent="0.25">
      <c r="B182" s="295">
        <v>2315</v>
      </c>
      <c r="C182" s="304" t="s">
        <v>7213</v>
      </c>
      <c r="D182" s="304" t="s">
        <v>2654</v>
      </c>
      <c r="E182" s="304" t="s">
        <v>2757</v>
      </c>
      <c r="F182" s="304" t="s">
        <v>2787</v>
      </c>
      <c r="G182" s="304" t="s">
        <v>2804</v>
      </c>
      <c r="H182" s="305">
        <v>20</v>
      </c>
      <c r="I182" s="295">
        <v>44</v>
      </c>
      <c r="J182" s="295" t="s">
        <v>2636</v>
      </c>
      <c r="K182" s="295">
        <v>0</v>
      </c>
      <c r="L182" s="306">
        <v>43514</v>
      </c>
      <c r="M182" s="295">
        <v>2</v>
      </c>
      <c r="N182" s="307">
        <f>M182*AN116</f>
        <v>1390.8798569648607</v>
      </c>
      <c r="O182" s="308">
        <v>0</v>
      </c>
      <c r="P182" s="308">
        <v>0</v>
      </c>
      <c r="Q182" s="308">
        <v>0</v>
      </c>
      <c r="R182" s="309">
        <v>0</v>
      </c>
      <c r="S182" s="310">
        <f t="shared" si="184"/>
        <v>0</v>
      </c>
      <c r="T182" s="311">
        <v>0</v>
      </c>
      <c r="U182" s="311">
        <v>0</v>
      </c>
      <c r="V182" s="312">
        <v>0</v>
      </c>
      <c r="W182" s="311">
        <f t="shared" si="185"/>
        <v>0</v>
      </c>
      <c r="X182" s="1175">
        <f>76.76/N182</f>
        <v>5.5188088040546895E-2</v>
      </c>
      <c r="Y182" s="1176">
        <f t="shared" si="186"/>
        <v>76.760000000000005</v>
      </c>
      <c r="Z182" s="701">
        <f>0/N182</f>
        <v>0</v>
      </c>
      <c r="AA182" s="700">
        <f t="shared" si="187"/>
        <v>0</v>
      </c>
      <c r="AB182" s="1176">
        <f>N182*(39.54/N182)</f>
        <v>39.54</v>
      </c>
      <c r="AC182" s="311">
        <f>AN116*(0%)</f>
        <v>0</v>
      </c>
      <c r="AD182" s="311">
        <f t="shared" si="188"/>
        <v>0</v>
      </c>
      <c r="AE182" s="311">
        <v>0</v>
      </c>
      <c r="AF182" s="311">
        <v>0</v>
      </c>
      <c r="AG182" s="311">
        <v>0</v>
      </c>
      <c r="AH182" s="298">
        <v>0</v>
      </c>
      <c r="AI182" s="298">
        <v>0</v>
      </c>
      <c r="AJ182" s="311">
        <v>0</v>
      </c>
      <c r="AK182" s="313">
        <f t="shared" si="189"/>
        <v>463.62661898828691</v>
      </c>
      <c r="AL182" s="313">
        <f t="shared" si="190"/>
        <v>0</v>
      </c>
      <c r="AM182" s="313">
        <f t="shared" si="191"/>
        <v>1390.8798569648607</v>
      </c>
      <c r="AN182" s="313">
        <f t="shared" si="192"/>
        <v>0</v>
      </c>
    </row>
    <row r="183" spans="2:40" s="299" customFormat="1" ht="15.75" x14ac:dyDescent="0.25">
      <c r="B183" s="295">
        <v>2270</v>
      </c>
      <c r="C183" s="304" t="s">
        <v>7214</v>
      </c>
      <c r="D183" s="304" t="s">
        <v>2654</v>
      </c>
      <c r="E183" s="304" t="s">
        <v>2757</v>
      </c>
      <c r="F183" s="304" t="s">
        <v>2787</v>
      </c>
      <c r="G183" s="304" t="s">
        <v>2804</v>
      </c>
      <c r="H183" s="305">
        <v>20</v>
      </c>
      <c r="I183" s="295">
        <v>44</v>
      </c>
      <c r="J183" s="295" t="s">
        <v>2636</v>
      </c>
      <c r="K183" s="295">
        <v>0</v>
      </c>
      <c r="L183" s="306">
        <v>43224</v>
      </c>
      <c r="M183" s="295">
        <v>2</v>
      </c>
      <c r="N183" s="307">
        <f>M183*AN116</f>
        <v>1390.8798569648607</v>
      </c>
      <c r="O183" s="308">
        <v>0</v>
      </c>
      <c r="P183" s="308">
        <v>0</v>
      </c>
      <c r="Q183" s="308">
        <v>0</v>
      </c>
      <c r="R183" s="309">
        <v>0</v>
      </c>
      <c r="S183" s="310">
        <f t="shared" si="184"/>
        <v>0</v>
      </c>
      <c r="T183" s="311">
        <v>0</v>
      </c>
      <c r="U183" s="311">
        <v>0</v>
      </c>
      <c r="V183" s="312">
        <v>0</v>
      </c>
      <c r="W183" s="311">
        <f t="shared" si="185"/>
        <v>0</v>
      </c>
      <c r="X183" s="1175">
        <f>76.76/N183</f>
        <v>5.5188088040546895E-2</v>
      </c>
      <c r="Y183" s="1176">
        <f t="shared" si="186"/>
        <v>76.760000000000005</v>
      </c>
      <c r="Z183" s="701">
        <f>255.87/N183</f>
        <v>0.18396269003302154</v>
      </c>
      <c r="AA183" s="700">
        <f t="shared" si="187"/>
        <v>255.87</v>
      </c>
      <c r="AB183" s="1176">
        <f>N183*(36.05/N183)</f>
        <v>36.049999999999997</v>
      </c>
      <c r="AC183" s="311">
        <f>AN113*(0%)</f>
        <v>0</v>
      </c>
      <c r="AD183" s="311">
        <f t="shared" si="188"/>
        <v>0</v>
      </c>
      <c r="AE183" s="311">
        <v>0</v>
      </c>
      <c r="AF183" s="311">
        <v>0</v>
      </c>
      <c r="AG183" s="311">
        <v>0</v>
      </c>
      <c r="AH183" s="298">
        <v>0</v>
      </c>
      <c r="AI183" s="298">
        <v>0</v>
      </c>
      <c r="AJ183" s="311">
        <v>0</v>
      </c>
      <c r="AK183" s="313">
        <f t="shared" si="189"/>
        <v>463.62661898828691</v>
      </c>
      <c r="AL183" s="313">
        <f t="shared" si="190"/>
        <v>0</v>
      </c>
      <c r="AM183" s="313">
        <f t="shared" si="191"/>
        <v>1390.8798569648607</v>
      </c>
      <c r="AN183" s="313">
        <f t="shared" si="192"/>
        <v>0</v>
      </c>
    </row>
    <row r="184" spans="2:40" s="299" customFormat="1" ht="15.75" x14ac:dyDescent="0.25">
      <c r="B184" s="295">
        <v>2351</v>
      </c>
      <c r="C184" s="304" t="s">
        <v>2927</v>
      </c>
      <c r="D184" s="304" t="s">
        <v>2654</v>
      </c>
      <c r="E184" s="304" t="s">
        <v>2757</v>
      </c>
      <c r="F184" s="304" t="s">
        <v>2787</v>
      </c>
      <c r="G184" s="304" t="s">
        <v>2804</v>
      </c>
      <c r="H184" s="305">
        <v>20</v>
      </c>
      <c r="I184" s="295">
        <v>44</v>
      </c>
      <c r="J184" s="295" t="s">
        <v>2636</v>
      </c>
      <c r="K184" s="295">
        <v>0</v>
      </c>
      <c r="L184" s="306">
        <v>43588</v>
      </c>
      <c r="M184" s="295">
        <v>2</v>
      </c>
      <c r="N184" s="307">
        <f>M184*AN116</f>
        <v>1390.8798569648607</v>
      </c>
      <c r="O184" s="308">
        <v>0</v>
      </c>
      <c r="P184" s="308">
        <v>0</v>
      </c>
      <c r="Q184" s="308">
        <v>0</v>
      </c>
      <c r="R184" s="309">
        <v>0</v>
      </c>
      <c r="S184" s="310">
        <f t="shared" si="184"/>
        <v>0</v>
      </c>
      <c r="T184" s="311">
        <v>0</v>
      </c>
      <c r="U184" s="311">
        <v>0</v>
      </c>
      <c r="V184" s="312">
        <v>0</v>
      </c>
      <c r="W184" s="311">
        <f t="shared" si="185"/>
        <v>0</v>
      </c>
      <c r="X184" s="1175">
        <f>0/N184</f>
        <v>0</v>
      </c>
      <c r="Y184" s="1176">
        <f t="shared" si="186"/>
        <v>0</v>
      </c>
      <c r="Z184" s="701">
        <v>0</v>
      </c>
      <c r="AA184" s="700">
        <f t="shared" si="187"/>
        <v>0</v>
      </c>
      <c r="AB184" s="1176">
        <f>N184*(1.74/N184)</f>
        <v>1.7400000000000002</v>
      </c>
      <c r="AC184" s="311" t="e">
        <f>AN114*(0%)</f>
        <v>#VALUE!</v>
      </c>
      <c r="AD184" s="311">
        <f t="shared" si="188"/>
        <v>0</v>
      </c>
      <c r="AE184" s="311">
        <v>0</v>
      </c>
      <c r="AF184" s="311">
        <v>0</v>
      </c>
      <c r="AG184" s="311">
        <v>0</v>
      </c>
      <c r="AH184" s="298">
        <v>0</v>
      </c>
      <c r="AI184" s="298">
        <v>0</v>
      </c>
      <c r="AJ184" s="311">
        <v>0</v>
      </c>
      <c r="AK184" s="313">
        <f t="shared" si="189"/>
        <v>463.62661898828691</v>
      </c>
      <c r="AL184" s="313">
        <f t="shared" si="190"/>
        <v>0</v>
      </c>
      <c r="AM184" s="313">
        <f t="shared" si="191"/>
        <v>1390.8798569648607</v>
      </c>
      <c r="AN184" s="313">
        <f t="shared" si="192"/>
        <v>0</v>
      </c>
    </row>
    <row r="185" spans="2:40" s="299" customFormat="1" ht="15.75" x14ac:dyDescent="0.25">
      <c r="B185" s="295">
        <v>2326</v>
      </c>
      <c r="C185" s="314" t="s">
        <v>7215</v>
      </c>
      <c r="D185" s="304" t="s">
        <v>2692</v>
      </c>
      <c r="E185" s="304" t="s">
        <v>2757</v>
      </c>
      <c r="F185" s="304" t="s">
        <v>2787</v>
      </c>
      <c r="G185" s="304" t="s">
        <v>2804</v>
      </c>
      <c r="H185" s="305">
        <v>20</v>
      </c>
      <c r="I185" s="295">
        <v>0</v>
      </c>
      <c r="J185" s="295" t="s">
        <v>2636</v>
      </c>
      <c r="K185" s="295">
        <v>0</v>
      </c>
      <c r="L185" s="306">
        <v>43530</v>
      </c>
      <c r="M185" s="295">
        <v>1.95</v>
      </c>
      <c r="N185" s="307">
        <f>M185*AN116</f>
        <v>1356.107860540739</v>
      </c>
      <c r="O185" s="308">
        <v>0</v>
      </c>
      <c r="P185" s="308">
        <v>0</v>
      </c>
      <c r="Q185" s="308">
        <v>0</v>
      </c>
      <c r="R185" s="309">
        <v>0</v>
      </c>
      <c r="S185" s="310">
        <f t="shared" si="184"/>
        <v>0</v>
      </c>
      <c r="T185" s="311">
        <v>0</v>
      </c>
      <c r="U185" s="311">
        <v>0</v>
      </c>
      <c r="V185" s="312">
        <v>0</v>
      </c>
      <c r="W185" s="311">
        <f t="shared" si="185"/>
        <v>0</v>
      </c>
      <c r="X185" s="1175">
        <f>127.94/N185</f>
        <v>9.4343528064931917E-2</v>
      </c>
      <c r="Y185" s="1176">
        <f t="shared" si="186"/>
        <v>127.93999999999998</v>
      </c>
      <c r="Z185" s="701">
        <v>0</v>
      </c>
      <c r="AA185" s="700">
        <f t="shared" si="187"/>
        <v>0</v>
      </c>
      <c r="AB185" s="1176">
        <f>N185*(0%)</f>
        <v>0</v>
      </c>
      <c r="AC185" s="311">
        <f>AN116*(0%)</f>
        <v>0</v>
      </c>
      <c r="AD185" s="311">
        <f t="shared" si="188"/>
        <v>0</v>
      </c>
      <c r="AE185" s="311">
        <v>0</v>
      </c>
      <c r="AF185" s="311">
        <v>0</v>
      </c>
      <c r="AG185" s="311">
        <v>0</v>
      </c>
      <c r="AH185" s="298">
        <v>0</v>
      </c>
      <c r="AI185" s="298">
        <v>0</v>
      </c>
      <c r="AJ185" s="311">
        <v>0</v>
      </c>
      <c r="AK185" s="313">
        <f t="shared" si="189"/>
        <v>452.03595351357967</v>
      </c>
      <c r="AL185" s="313">
        <f t="shared" si="190"/>
        <v>0</v>
      </c>
      <c r="AM185" s="313">
        <f t="shared" si="191"/>
        <v>1356.107860540739</v>
      </c>
      <c r="AN185" s="313">
        <f t="shared" si="192"/>
        <v>0</v>
      </c>
    </row>
    <row r="186" spans="2:40" s="299" customFormat="1" ht="15.75" x14ac:dyDescent="0.25">
      <c r="B186" s="295">
        <v>2313</v>
      </c>
      <c r="C186" s="304" t="s">
        <v>7216</v>
      </c>
      <c r="D186" s="304" t="s">
        <v>2654</v>
      </c>
      <c r="E186" s="304" t="s">
        <v>2757</v>
      </c>
      <c r="F186" s="304" t="s">
        <v>2787</v>
      </c>
      <c r="G186" s="304" t="s">
        <v>2804</v>
      </c>
      <c r="H186" s="305">
        <v>20</v>
      </c>
      <c r="I186" s="295">
        <v>44</v>
      </c>
      <c r="J186" s="295" t="s">
        <v>2636</v>
      </c>
      <c r="K186" s="295">
        <v>0</v>
      </c>
      <c r="L186" s="306">
        <v>43510</v>
      </c>
      <c r="M186" s="295">
        <v>2</v>
      </c>
      <c r="N186" s="307">
        <f>M186*AN116</f>
        <v>1390.8798569648607</v>
      </c>
      <c r="O186" s="308">
        <v>0</v>
      </c>
      <c r="P186" s="308">
        <v>0</v>
      </c>
      <c r="Q186" s="308">
        <v>0</v>
      </c>
      <c r="R186" s="309">
        <v>0</v>
      </c>
      <c r="S186" s="310">
        <f t="shared" si="184"/>
        <v>0</v>
      </c>
      <c r="T186" s="311">
        <v>0</v>
      </c>
      <c r="U186" s="311">
        <v>0</v>
      </c>
      <c r="V186" s="312">
        <v>0</v>
      </c>
      <c r="W186" s="311">
        <f t="shared" si="185"/>
        <v>0</v>
      </c>
      <c r="X186" s="1175">
        <f>76.76/N186</f>
        <v>5.5188088040546895E-2</v>
      </c>
      <c r="Y186" s="1176">
        <f t="shared" si="186"/>
        <v>76.760000000000005</v>
      </c>
      <c r="Z186" s="701">
        <v>0</v>
      </c>
      <c r="AA186" s="700">
        <f t="shared" si="187"/>
        <v>0</v>
      </c>
      <c r="AB186" s="1176">
        <f>N186*(37.22/N186)</f>
        <v>37.22</v>
      </c>
      <c r="AC186" s="311">
        <f>AN116*(0%)</f>
        <v>0</v>
      </c>
      <c r="AD186" s="311">
        <f t="shared" si="188"/>
        <v>0</v>
      </c>
      <c r="AE186" s="311">
        <v>0</v>
      </c>
      <c r="AF186" s="311">
        <v>0</v>
      </c>
      <c r="AG186" s="311">
        <v>0</v>
      </c>
      <c r="AH186" s="298">
        <v>0</v>
      </c>
      <c r="AI186" s="298">
        <v>0</v>
      </c>
      <c r="AJ186" s="311">
        <v>0</v>
      </c>
      <c r="AK186" s="313">
        <f t="shared" si="189"/>
        <v>463.62661898828691</v>
      </c>
      <c r="AL186" s="313">
        <f t="shared" si="190"/>
        <v>0</v>
      </c>
      <c r="AM186" s="313">
        <f t="shared" si="191"/>
        <v>1390.8798569648607</v>
      </c>
      <c r="AN186" s="313">
        <f t="shared" si="192"/>
        <v>0</v>
      </c>
    </row>
    <row r="187" spans="2:40" s="1196" customFormat="1" hidden="1" x14ac:dyDescent="0.25">
      <c r="B187" s="1185" t="s">
        <v>7210</v>
      </c>
      <c r="C187" s="1185"/>
      <c r="D187" s="1185"/>
      <c r="E187" s="1185"/>
      <c r="F187" s="1185"/>
      <c r="G187" s="1185"/>
      <c r="H187" s="1185"/>
      <c r="I187" s="1185"/>
      <c r="J187" s="1185"/>
      <c r="K187" s="1185"/>
      <c r="L187" s="1185"/>
      <c r="M187" s="1185"/>
      <c r="N187" s="1191">
        <f>SUM(N179:N186)</f>
        <v>11057.494862870641</v>
      </c>
      <c r="O187" s="1191">
        <f>SUM(O179:O186)</f>
        <v>0</v>
      </c>
      <c r="P187" s="1191">
        <f>SUM(P179:P186)</f>
        <v>0</v>
      </c>
      <c r="Q187" s="1191">
        <f>SUM(Q179:Q186)</f>
        <v>0</v>
      </c>
      <c r="R187" s="1194"/>
      <c r="S187" s="1191">
        <f t="shared" ref="S187:T187" si="193">SUM(S179:S186)</f>
        <v>0</v>
      </c>
      <c r="T187" s="1191">
        <f t="shared" si="193"/>
        <v>0</v>
      </c>
      <c r="U187" s="1191">
        <f>SUM(U179:U186)</f>
        <v>0</v>
      </c>
      <c r="V187" s="1190"/>
      <c r="W187" s="1191">
        <f>SUM(W179:W186)</f>
        <v>0</v>
      </c>
      <c r="X187" s="1190"/>
      <c r="Y187" s="1191">
        <f>SUM(Y179:Y186)</f>
        <v>639.67999999999995</v>
      </c>
      <c r="Z187" s="1190"/>
      <c r="AA187" s="1191">
        <f t="shared" ref="AA187:AN187" si="194">SUM(AA179:AA186)</f>
        <v>255.87</v>
      </c>
      <c r="AB187" s="1191">
        <f t="shared" si="194"/>
        <v>154.08999999999997</v>
      </c>
      <c r="AC187" s="1191" t="e">
        <f t="shared" si="194"/>
        <v>#VALUE!</v>
      </c>
      <c r="AD187" s="1191">
        <f t="shared" si="194"/>
        <v>0</v>
      </c>
      <c r="AE187" s="1191">
        <f t="shared" si="194"/>
        <v>0</v>
      </c>
      <c r="AF187" s="1191">
        <f t="shared" si="194"/>
        <v>0</v>
      </c>
      <c r="AG187" s="1191">
        <f t="shared" si="194"/>
        <v>0</v>
      </c>
      <c r="AH187" s="1191">
        <f t="shared" si="194"/>
        <v>0</v>
      </c>
      <c r="AI187" s="1191">
        <f t="shared" si="194"/>
        <v>0</v>
      </c>
      <c r="AJ187" s="1191">
        <f t="shared" si="194"/>
        <v>0</v>
      </c>
      <c r="AK187" s="1191">
        <f t="shared" si="194"/>
        <v>3685.8316209568807</v>
      </c>
      <c r="AL187" s="1191">
        <f t="shared" si="194"/>
        <v>0</v>
      </c>
      <c r="AM187" s="1191">
        <f t="shared" si="194"/>
        <v>11057.494862870641</v>
      </c>
      <c r="AN187" s="1191">
        <f t="shared" si="194"/>
        <v>0</v>
      </c>
    </row>
    <row r="188" spans="2:40" s="1196" customFormat="1" hidden="1" x14ac:dyDescent="0.25">
      <c r="B188" s="1185"/>
      <c r="C188" s="1185"/>
      <c r="D188" s="1185"/>
      <c r="E188" s="1185"/>
      <c r="F188" s="1185"/>
      <c r="G188" s="1185"/>
      <c r="H188" s="1185"/>
      <c r="I188" s="1185"/>
      <c r="J188" s="1185"/>
      <c r="K188" s="1185"/>
      <c r="L188" s="1185"/>
      <c r="M188" s="1185"/>
      <c r="N188" s="1191"/>
      <c r="O188" s="1191"/>
      <c r="P188" s="1191"/>
      <c r="Q188" s="1191"/>
      <c r="R188" s="1194"/>
      <c r="S188" s="1191"/>
      <c r="T188" s="1191"/>
      <c r="U188" s="1191"/>
      <c r="V188" s="1190"/>
      <c r="W188" s="1191"/>
      <c r="X188" s="1190"/>
      <c r="Y188" s="1191"/>
      <c r="Z188" s="1190"/>
      <c r="AA188" s="1191"/>
      <c r="AB188" s="1191"/>
      <c r="AC188" s="1191"/>
      <c r="AD188" s="1191"/>
      <c r="AE188" s="1191"/>
      <c r="AF188" s="1191"/>
      <c r="AG188" s="1191"/>
      <c r="AH188" s="1191"/>
      <c r="AI188" s="1191"/>
      <c r="AJ188" s="1191"/>
      <c r="AK188" s="1191"/>
      <c r="AL188" s="1191"/>
      <c r="AM188" s="1191"/>
      <c r="AN188" s="1191"/>
    </row>
    <row r="189" spans="2:40" s="299" customFormat="1" ht="15.75" x14ac:dyDescent="0.25">
      <c r="B189" s="295">
        <v>2013</v>
      </c>
      <c r="C189" s="314" t="str">
        <f>PROPER("EDER OLIVEIRA NUNES")</f>
        <v>Eder Oliveira Nunes</v>
      </c>
      <c r="D189" s="304" t="s">
        <v>2692</v>
      </c>
      <c r="E189" s="304" t="s">
        <v>2739</v>
      </c>
      <c r="F189" s="304" t="s">
        <v>2787</v>
      </c>
      <c r="G189" s="304" t="s">
        <v>2804</v>
      </c>
      <c r="H189" s="305">
        <v>20</v>
      </c>
      <c r="I189" s="295">
        <v>0</v>
      </c>
      <c r="J189" s="295" t="s">
        <v>2636</v>
      </c>
      <c r="K189" s="295">
        <v>0</v>
      </c>
      <c r="L189" s="306">
        <v>42417</v>
      </c>
      <c r="M189" s="295">
        <v>1.95</v>
      </c>
      <c r="N189" s="307">
        <f>M189*AN116</f>
        <v>1356.107860540739</v>
      </c>
      <c r="O189" s="308">
        <v>0</v>
      </c>
      <c r="P189" s="308">
        <v>0</v>
      </c>
      <c r="Q189" s="308">
        <v>0</v>
      </c>
      <c r="R189" s="309">
        <v>0.04</v>
      </c>
      <c r="S189" s="310">
        <f>N189*R189</f>
        <v>54.244314421629561</v>
      </c>
      <c r="T189" s="311">
        <v>0</v>
      </c>
      <c r="U189" s="311">
        <v>0</v>
      </c>
      <c r="V189" s="312">
        <v>0</v>
      </c>
      <c r="W189" s="311">
        <f>N189*V189</f>
        <v>0</v>
      </c>
      <c r="X189" s="1175">
        <f>127.94/N189</f>
        <v>9.4343528064931917E-2</v>
      </c>
      <c r="Y189" s="1176">
        <f>N189*X189</f>
        <v>127.93999999999998</v>
      </c>
      <c r="Z189" s="701">
        <f>249.47/N189</f>
        <v>0.18396029346848966</v>
      </c>
      <c r="AA189" s="700">
        <f>N189*Z189</f>
        <v>249.47</v>
      </c>
      <c r="AB189" s="1176">
        <f>N189*(0%)</f>
        <v>0</v>
      </c>
      <c r="AC189" s="311">
        <f>AN116*(0%)</f>
        <v>0</v>
      </c>
      <c r="AD189" s="311">
        <f>AO$9*(0%)</f>
        <v>0</v>
      </c>
      <c r="AE189" s="311">
        <v>0</v>
      </c>
      <c r="AF189" s="311">
        <v>0</v>
      </c>
      <c r="AG189" s="311">
        <v>0</v>
      </c>
      <c r="AH189" s="298">
        <v>0</v>
      </c>
      <c r="AI189" s="298">
        <v>0</v>
      </c>
      <c r="AJ189" s="311">
        <v>0</v>
      </c>
      <c r="AK189" s="313">
        <f>(N189+T189+U189)/3</f>
        <v>452.03595351357967</v>
      </c>
      <c r="AL189" s="313">
        <f>AK189*R189</f>
        <v>18.081438140543188</v>
      </c>
      <c r="AM189" s="313">
        <f>N189</f>
        <v>1356.107860540739</v>
      </c>
      <c r="AN189" s="313">
        <f>AM189*R189</f>
        <v>54.244314421629561</v>
      </c>
    </row>
    <row r="190" spans="2:40" s="299" customFormat="1" ht="15.75" x14ac:dyDescent="0.25">
      <c r="B190" s="295">
        <v>1908</v>
      </c>
      <c r="C190" s="314" t="str">
        <f>PROPER("ROBSON DA SILVA SILVEIRA")</f>
        <v>Robson Da Silva Silveira</v>
      </c>
      <c r="D190" s="304" t="s">
        <v>2692</v>
      </c>
      <c r="E190" s="304" t="s">
        <v>2739</v>
      </c>
      <c r="F190" s="304" t="s">
        <v>2787</v>
      </c>
      <c r="G190" s="304" t="s">
        <v>2804</v>
      </c>
      <c r="H190" s="305">
        <v>20</v>
      </c>
      <c r="I190" s="295">
        <v>0</v>
      </c>
      <c r="J190" s="295" t="s">
        <v>2636</v>
      </c>
      <c r="K190" s="295">
        <v>0</v>
      </c>
      <c r="L190" s="306">
        <v>42054</v>
      </c>
      <c r="M190" s="295">
        <v>1.95</v>
      </c>
      <c r="N190" s="307">
        <f>M190*AN116</f>
        <v>1356.107860540739</v>
      </c>
      <c r="O190" s="308">
        <v>0</v>
      </c>
      <c r="P190" s="308">
        <v>0</v>
      </c>
      <c r="Q190" s="308">
        <v>0</v>
      </c>
      <c r="R190" s="309">
        <v>0.05</v>
      </c>
      <c r="S190" s="310">
        <f>N190*R190</f>
        <v>67.805393027036956</v>
      </c>
      <c r="T190" s="311">
        <v>0</v>
      </c>
      <c r="U190" s="311">
        <v>0</v>
      </c>
      <c r="V190" s="312">
        <v>0</v>
      </c>
      <c r="W190" s="311">
        <f>N190*V190</f>
        <v>0</v>
      </c>
      <c r="X190" s="1175">
        <f>127.94/N190</f>
        <v>9.4343528064931917E-2</v>
      </c>
      <c r="Y190" s="1176">
        <f>N190*X190</f>
        <v>127.93999999999998</v>
      </c>
      <c r="Z190" s="701">
        <f>0/N190</f>
        <v>0</v>
      </c>
      <c r="AA190" s="700">
        <f>0*Z190</f>
        <v>0</v>
      </c>
      <c r="AB190" s="1176">
        <f>N190*(0%)</f>
        <v>0</v>
      </c>
      <c r="AC190" s="311">
        <f>AN116*(0%)</f>
        <v>0</v>
      </c>
      <c r="AD190" s="311">
        <f>AO$9*(0%)</f>
        <v>0</v>
      </c>
      <c r="AE190" s="311">
        <v>0</v>
      </c>
      <c r="AF190" s="311">
        <v>0</v>
      </c>
      <c r="AG190" s="311">
        <v>0</v>
      </c>
      <c r="AH190" s="298">
        <v>0</v>
      </c>
      <c r="AI190" s="298">
        <v>0</v>
      </c>
      <c r="AJ190" s="311">
        <v>0</v>
      </c>
      <c r="AK190" s="313">
        <f>(N190+T190+U190)/3</f>
        <v>452.03595351357967</v>
      </c>
      <c r="AL190" s="313">
        <f>AK190*R190</f>
        <v>22.601797675678984</v>
      </c>
      <c r="AM190" s="313">
        <f>N190</f>
        <v>1356.107860540739</v>
      </c>
      <c r="AN190" s="313">
        <f>AM190*R190</f>
        <v>67.805393027036956</v>
      </c>
    </row>
    <row r="191" spans="2:40" s="299" customFormat="1" ht="15.75" x14ac:dyDescent="0.25">
      <c r="B191" s="295">
        <v>1942</v>
      </c>
      <c r="C191" s="314" t="str">
        <f>PROPER("GREICE SILVA SILVEIRA")</f>
        <v>Greice Silva Silveira</v>
      </c>
      <c r="D191" s="304" t="s">
        <v>2692</v>
      </c>
      <c r="E191" s="304" t="s">
        <v>2739</v>
      </c>
      <c r="F191" s="304" t="s">
        <v>2787</v>
      </c>
      <c r="G191" s="304" t="s">
        <v>2804</v>
      </c>
      <c r="H191" s="305">
        <v>20</v>
      </c>
      <c r="I191" s="295">
        <v>0</v>
      </c>
      <c r="J191" s="295" t="s">
        <v>2636</v>
      </c>
      <c r="K191" s="295">
        <v>0</v>
      </c>
      <c r="L191" s="306">
        <v>42108</v>
      </c>
      <c r="M191" s="295">
        <v>2.0299999999999998</v>
      </c>
      <c r="N191" s="307">
        <f>M191*AN116</f>
        <v>1411.7430548193333</v>
      </c>
      <c r="O191" s="308">
        <v>0</v>
      </c>
      <c r="P191" s="308">
        <v>0</v>
      </c>
      <c r="Q191" s="308">
        <v>0</v>
      </c>
      <c r="R191" s="309">
        <v>0.04</v>
      </c>
      <c r="S191" s="310">
        <f>N191*R191</f>
        <v>56.469722192773332</v>
      </c>
      <c r="T191" s="311">
        <v>0</v>
      </c>
      <c r="U191" s="311">
        <v>0</v>
      </c>
      <c r="V191" s="312">
        <v>0</v>
      </c>
      <c r="W191" s="311">
        <f>N191*V191</f>
        <v>0</v>
      </c>
      <c r="X191" s="1175">
        <f>127.94/N191</f>
        <v>9.0625556515575009E-2</v>
      </c>
      <c r="Y191" s="1176">
        <f>N191*X191</f>
        <v>127.94</v>
      </c>
      <c r="Z191" s="701">
        <f>0/N191</f>
        <v>0</v>
      </c>
      <c r="AA191" s="700">
        <f>0*Z191</f>
        <v>0</v>
      </c>
      <c r="AB191" s="1176">
        <f>N191*(0%)</f>
        <v>0</v>
      </c>
      <c r="AC191" s="311">
        <f>AN116*(0%)</f>
        <v>0</v>
      </c>
      <c r="AD191" s="311">
        <f>AO$9*(0%)</f>
        <v>0</v>
      </c>
      <c r="AE191" s="311">
        <v>0</v>
      </c>
      <c r="AF191" s="311">
        <v>0</v>
      </c>
      <c r="AG191" s="311">
        <v>0</v>
      </c>
      <c r="AH191" s="298">
        <v>0</v>
      </c>
      <c r="AI191" s="298">
        <v>0</v>
      </c>
      <c r="AJ191" s="311">
        <v>0</v>
      </c>
      <c r="AK191" s="313">
        <f>(N191+T191+U191)/3</f>
        <v>470.58101827311111</v>
      </c>
      <c r="AL191" s="313">
        <f>AK191*R191</f>
        <v>18.823240730924446</v>
      </c>
      <c r="AM191" s="313">
        <f>N191</f>
        <v>1411.7430548193333</v>
      </c>
      <c r="AN191" s="313">
        <f>AM191*R191</f>
        <v>56.469722192773332</v>
      </c>
    </row>
    <row r="192" spans="2:40" s="1182" customFormat="1" hidden="1" x14ac:dyDescent="0.25">
      <c r="B192" s="1185" t="s">
        <v>7217</v>
      </c>
      <c r="C192" s="1185"/>
      <c r="D192" s="1185"/>
      <c r="E192" s="1185"/>
      <c r="F192" s="1185"/>
      <c r="G192" s="1185"/>
      <c r="H192" s="1185"/>
      <c r="I192" s="1185"/>
      <c r="J192" s="1185"/>
      <c r="K192" s="1185"/>
      <c r="L192" s="1185"/>
      <c r="M192" s="1185"/>
      <c r="N192" s="1191">
        <f>SUM(N189:N191)</f>
        <v>4123.9587759008118</v>
      </c>
      <c r="O192" s="1191">
        <f>SUM(O189:O191)</f>
        <v>0</v>
      </c>
      <c r="P192" s="1191">
        <f>SUM(P189:P191)</f>
        <v>0</v>
      </c>
      <c r="Q192" s="1191">
        <f>SUM(Q189:Q191)</f>
        <v>0</v>
      </c>
      <c r="R192" s="1194"/>
      <c r="S192" s="1191">
        <f>SUM(S189:S191)</f>
        <v>178.51942964143984</v>
      </c>
      <c r="T192" s="1191">
        <f t="shared" ref="T192" si="195">SUM(T189:T191)</f>
        <v>0</v>
      </c>
      <c r="U192" s="1191">
        <f>SUM(U189:U191)</f>
        <v>0</v>
      </c>
      <c r="V192" s="1190"/>
      <c r="W192" s="1191">
        <f>SUM(W189:W191)</f>
        <v>0</v>
      </c>
      <c r="X192" s="1190"/>
      <c r="Y192" s="1191">
        <f>SUM(Y189:Y191)</f>
        <v>383.81999999999994</v>
      </c>
      <c r="Z192" s="1190"/>
      <c r="AA192" s="1191">
        <f t="shared" ref="AA192:AN192" si="196">SUM(AA189:AA191)</f>
        <v>249.47</v>
      </c>
      <c r="AB192" s="1191">
        <f t="shared" si="196"/>
        <v>0</v>
      </c>
      <c r="AC192" s="1191">
        <f t="shared" si="196"/>
        <v>0</v>
      </c>
      <c r="AD192" s="1191">
        <f t="shared" si="196"/>
        <v>0</v>
      </c>
      <c r="AE192" s="1191">
        <f t="shared" si="196"/>
        <v>0</v>
      </c>
      <c r="AF192" s="1191">
        <f t="shared" si="196"/>
        <v>0</v>
      </c>
      <c r="AG192" s="1191">
        <f t="shared" si="196"/>
        <v>0</v>
      </c>
      <c r="AH192" s="1191">
        <f t="shared" si="196"/>
        <v>0</v>
      </c>
      <c r="AI192" s="1191">
        <f t="shared" si="196"/>
        <v>0</v>
      </c>
      <c r="AJ192" s="1191">
        <f t="shared" si="196"/>
        <v>0</v>
      </c>
      <c r="AK192" s="1191">
        <f t="shared" si="196"/>
        <v>1374.6529253002705</v>
      </c>
      <c r="AL192" s="1191">
        <f t="shared" si="196"/>
        <v>59.506476547146619</v>
      </c>
      <c r="AM192" s="1191">
        <f t="shared" si="196"/>
        <v>4123.9587759008118</v>
      </c>
      <c r="AN192" s="1191">
        <f t="shared" si="196"/>
        <v>178.51942964143984</v>
      </c>
    </row>
    <row r="193" spans="2:40" hidden="1" x14ac:dyDescent="0.25">
      <c r="B193" s="1091"/>
      <c r="C193" s="1091"/>
      <c r="D193" s="1091"/>
      <c r="E193" s="1091"/>
      <c r="F193" s="1091"/>
      <c r="G193" s="1091"/>
      <c r="H193" s="1091"/>
      <c r="I193" s="1091"/>
      <c r="J193" s="1091"/>
      <c r="K193" s="1091"/>
      <c r="L193" s="1091"/>
      <c r="M193" s="1091"/>
      <c r="N193" s="1107"/>
      <c r="O193" s="1107"/>
      <c r="P193" s="1107"/>
      <c r="Q193" s="1107"/>
      <c r="R193" s="1094"/>
      <c r="S193" s="1106"/>
      <c r="T193" s="1107"/>
      <c r="U193" s="1107"/>
      <c r="V193" s="315"/>
      <c r="W193" s="1107"/>
      <c r="X193" s="1180"/>
      <c r="Y193" s="1179"/>
      <c r="Z193" s="1164"/>
      <c r="AA193" s="699"/>
      <c r="AB193" s="1179"/>
      <c r="AC193" s="1107"/>
      <c r="AD193" s="1107"/>
      <c r="AE193" s="1107"/>
      <c r="AF193" s="1107"/>
      <c r="AG193" s="1107"/>
      <c r="AH193" s="1107"/>
      <c r="AI193" s="1107"/>
      <c r="AJ193" s="1107"/>
      <c r="AK193" s="1107"/>
      <c r="AL193" s="1107"/>
      <c r="AM193" s="1107"/>
      <c r="AN193" s="1107"/>
    </row>
    <row r="194" spans="2:40" s="299" customFormat="1" ht="15.75" x14ac:dyDescent="0.25">
      <c r="B194" s="295">
        <v>2134</v>
      </c>
      <c r="C194" s="304" t="s">
        <v>2806</v>
      </c>
      <c r="D194" s="304" t="s">
        <v>2807</v>
      </c>
      <c r="E194" s="304" t="s">
        <v>2723</v>
      </c>
      <c r="F194" s="304" t="s">
        <v>2787</v>
      </c>
      <c r="G194" s="304" t="s">
        <v>2804</v>
      </c>
      <c r="H194" s="305">
        <v>20</v>
      </c>
      <c r="I194" s="295">
        <v>40</v>
      </c>
      <c r="J194" s="295" t="s">
        <v>2636</v>
      </c>
      <c r="K194" s="295">
        <v>0</v>
      </c>
      <c r="L194" s="306">
        <v>42810</v>
      </c>
      <c r="M194" s="316">
        <f>3766.95/639.67</f>
        <v>5.8888958369159097</v>
      </c>
      <c r="N194" s="307">
        <f>M194*AN116</f>
        <v>4095.373299665282</v>
      </c>
      <c r="O194" s="308">
        <v>0</v>
      </c>
      <c r="P194" s="308">
        <v>0</v>
      </c>
      <c r="Q194" s="308">
        <v>0</v>
      </c>
      <c r="R194" s="309">
        <v>0</v>
      </c>
      <c r="S194" s="310">
        <f>N194*R194</f>
        <v>0</v>
      </c>
      <c r="T194" s="311">
        <v>0</v>
      </c>
      <c r="U194" s="311">
        <v>0</v>
      </c>
      <c r="V194" s="312">
        <v>0</v>
      </c>
      <c r="W194" s="311">
        <f>N194*V194</f>
        <v>0</v>
      </c>
      <c r="X194" s="1175">
        <f>0/N194</f>
        <v>0</v>
      </c>
      <c r="Y194" s="1176">
        <f>N194*X194</f>
        <v>0</v>
      </c>
      <c r="Z194" s="701">
        <f>0/N194</f>
        <v>0</v>
      </c>
      <c r="AA194" s="700">
        <f>N194*Z194</f>
        <v>0</v>
      </c>
      <c r="AB194" s="1176">
        <f>N194*(0%)</f>
        <v>0</v>
      </c>
      <c r="AC194" s="311">
        <f>AN116*(0%)</f>
        <v>0</v>
      </c>
      <c r="AD194" s="311">
        <f>AO$9*(0%)</f>
        <v>0</v>
      </c>
      <c r="AE194" s="311">
        <v>0</v>
      </c>
      <c r="AF194" s="311">
        <v>0</v>
      </c>
      <c r="AG194" s="311">
        <v>0</v>
      </c>
      <c r="AH194" s="298">
        <v>0</v>
      </c>
      <c r="AI194" s="298">
        <v>0</v>
      </c>
      <c r="AJ194" s="311">
        <v>0</v>
      </c>
      <c r="AK194" s="313">
        <f>(N194+T194+U194)/3</f>
        <v>1365.1244332217607</v>
      </c>
      <c r="AL194" s="313">
        <f>AK194*R194</f>
        <v>0</v>
      </c>
      <c r="AM194" s="313">
        <f>N194</f>
        <v>4095.373299665282</v>
      </c>
      <c r="AN194" s="313">
        <f>AM194*R194</f>
        <v>0</v>
      </c>
    </row>
    <row r="195" spans="2:40" s="1196" customFormat="1" hidden="1" x14ac:dyDescent="0.25">
      <c r="B195" s="1185" t="s">
        <v>7218</v>
      </c>
      <c r="C195" s="1185"/>
      <c r="D195" s="1185"/>
      <c r="E195" s="1185"/>
      <c r="F195" s="1185"/>
      <c r="G195" s="1185"/>
      <c r="H195" s="1185"/>
      <c r="I195" s="1185"/>
      <c r="J195" s="1185"/>
      <c r="K195" s="1185"/>
      <c r="L195" s="1185"/>
      <c r="M195" s="1185"/>
      <c r="N195" s="1191">
        <f>SUM(N194:N194)</f>
        <v>4095.373299665282</v>
      </c>
      <c r="O195" s="1191">
        <f>SUM(O194:O194)</f>
        <v>0</v>
      </c>
      <c r="P195" s="1191">
        <f>SUM(P194:P194)</f>
        <v>0</v>
      </c>
      <c r="Q195" s="1191">
        <f>SUM(Q194:Q194)</f>
        <v>0</v>
      </c>
      <c r="R195" s="1194"/>
      <c r="S195" s="1191">
        <f>SUM(S194:S194)</f>
        <v>0</v>
      </c>
      <c r="T195" s="1191">
        <f>SUM(T194:T194)</f>
        <v>0</v>
      </c>
      <c r="U195" s="1191">
        <f>SUM(U194:U194)</f>
        <v>0</v>
      </c>
      <c r="V195" s="1190"/>
      <c r="W195" s="1191">
        <f>SUM(W194:W194)</f>
        <v>0</v>
      </c>
      <c r="X195" s="1190"/>
      <c r="Y195" s="1191">
        <f>SUM(Y194:Y194)</f>
        <v>0</v>
      </c>
      <c r="Z195" s="1190"/>
      <c r="AA195" s="1191">
        <f>SUM(AA194:AA194)</f>
        <v>0</v>
      </c>
      <c r="AB195" s="1191">
        <f t="shared" ref="AB195:AN195" si="197">SUM(AB194:AB194)</f>
        <v>0</v>
      </c>
      <c r="AC195" s="1191">
        <f t="shared" si="197"/>
        <v>0</v>
      </c>
      <c r="AD195" s="1191">
        <f t="shared" si="197"/>
        <v>0</v>
      </c>
      <c r="AE195" s="1191">
        <f t="shared" si="197"/>
        <v>0</v>
      </c>
      <c r="AF195" s="1191">
        <f t="shared" si="197"/>
        <v>0</v>
      </c>
      <c r="AG195" s="1191">
        <f t="shared" si="197"/>
        <v>0</v>
      </c>
      <c r="AH195" s="1191">
        <f t="shared" si="197"/>
        <v>0</v>
      </c>
      <c r="AI195" s="1191">
        <f t="shared" si="197"/>
        <v>0</v>
      </c>
      <c r="AJ195" s="1191">
        <f t="shared" si="197"/>
        <v>0</v>
      </c>
      <c r="AK195" s="1191">
        <f t="shared" si="197"/>
        <v>1365.1244332217607</v>
      </c>
      <c r="AL195" s="1191">
        <f t="shared" si="197"/>
        <v>0</v>
      </c>
      <c r="AM195" s="1191">
        <f t="shared" si="197"/>
        <v>4095.373299665282</v>
      </c>
      <c r="AN195" s="1191">
        <f t="shared" si="197"/>
        <v>0</v>
      </c>
    </row>
    <row r="196" spans="2:40" s="299" customFormat="1" hidden="1" x14ac:dyDescent="0.25">
      <c r="B196" s="1091"/>
      <c r="C196" s="1091"/>
      <c r="D196" s="1091"/>
      <c r="E196" s="1091"/>
      <c r="F196" s="1091"/>
      <c r="G196" s="1091"/>
      <c r="H196" s="1091"/>
      <c r="I196" s="1091"/>
      <c r="J196" s="1091"/>
      <c r="K196" s="1091"/>
      <c r="L196" s="1091"/>
      <c r="M196" s="1091"/>
      <c r="N196" s="1107"/>
      <c r="O196" s="1107"/>
      <c r="P196" s="1107"/>
      <c r="Q196" s="1107"/>
      <c r="R196" s="1094"/>
      <c r="S196" s="1106"/>
      <c r="T196" s="1107"/>
      <c r="U196" s="1107"/>
      <c r="V196" s="315"/>
      <c r="W196" s="1107"/>
      <c r="X196" s="1180"/>
      <c r="Y196" s="1179"/>
      <c r="Z196" s="1164"/>
      <c r="AA196" s="699"/>
      <c r="AB196" s="1179"/>
      <c r="AC196" s="1107"/>
      <c r="AD196" s="1107"/>
      <c r="AE196" s="1107"/>
      <c r="AF196" s="1107"/>
      <c r="AG196" s="1107"/>
      <c r="AH196" s="1107"/>
      <c r="AI196" s="1107"/>
      <c r="AJ196" s="1107"/>
      <c r="AK196" s="1107"/>
      <c r="AL196" s="1107"/>
      <c r="AM196" s="1107"/>
      <c r="AN196" s="1107"/>
    </row>
    <row r="197" spans="2:40" ht="15.75" hidden="1" x14ac:dyDescent="0.25">
      <c r="B197" s="295">
        <v>544</v>
      </c>
      <c r="C197" s="314" t="str">
        <f>PROPER("LORENA KROLOW")</f>
        <v>Lorena Krolow</v>
      </c>
      <c r="D197" s="304" t="s">
        <v>2643</v>
      </c>
      <c r="E197" s="304" t="s">
        <v>2739</v>
      </c>
      <c r="F197" s="304" t="s">
        <v>2649</v>
      </c>
      <c r="G197" s="304" t="s">
        <v>2890</v>
      </c>
      <c r="H197" s="305">
        <v>20</v>
      </c>
      <c r="I197" s="295">
        <v>44</v>
      </c>
      <c r="J197" s="295" t="s">
        <v>2648</v>
      </c>
      <c r="K197" s="295">
        <v>0</v>
      </c>
      <c r="L197" s="306">
        <v>37410</v>
      </c>
      <c r="M197" s="295">
        <v>2.2000000000000002</v>
      </c>
      <c r="N197" s="307">
        <f>M197*AN116</f>
        <v>1529.9678426613468</v>
      </c>
      <c r="O197" s="308">
        <v>0</v>
      </c>
      <c r="P197" s="308">
        <v>0</v>
      </c>
      <c r="Q197" s="308">
        <v>0</v>
      </c>
      <c r="R197" s="309">
        <v>0.18</v>
      </c>
      <c r="S197" s="310">
        <f>N197*R197</f>
        <v>275.39421167904243</v>
      </c>
      <c r="T197" s="311">
        <v>0</v>
      </c>
      <c r="U197" s="311">
        <v>0</v>
      </c>
      <c r="V197" s="312">
        <v>0</v>
      </c>
      <c r="W197" s="311">
        <f>N197*V197</f>
        <v>0</v>
      </c>
      <c r="X197" s="1175">
        <f>127.94/N197</f>
        <v>8.3622672603007833E-2</v>
      </c>
      <c r="Y197" s="1176">
        <f>N197*X197</f>
        <v>127.94000000000001</v>
      </c>
      <c r="Z197" s="701">
        <v>0</v>
      </c>
      <c r="AA197" s="700">
        <f>N197*Z197</f>
        <v>0</v>
      </c>
      <c r="AB197" s="1176">
        <f>N197*(0%)</f>
        <v>0</v>
      </c>
      <c r="AC197" s="311">
        <f>AN116*(0%)</f>
        <v>0</v>
      </c>
      <c r="AD197" s="311">
        <f>AO$9*(0%)</f>
        <v>0</v>
      </c>
      <c r="AE197" s="311">
        <v>0</v>
      </c>
      <c r="AF197" s="311">
        <v>0</v>
      </c>
      <c r="AG197" s="311">
        <v>0</v>
      </c>
      <c r="AH197" s="298">
        <v>0</v>
      </c>
      <c r="AI197" s="298">
        <v>0</v>
      </c>
      <c r="AJ197" s="311">
        <v>0</v>
      </c>
      <c r="AK197" s="313">
        <f>(N197+T197+U197)/3</f>
        <v>509.98928088711563</v>
      </c>
      <c r="AL197" s="313">
        <f>AK197*R197</f>
        <v>91.798070559680809</v>
      </c>
      <c r="AM197" s="313">
        <f>N197</f>
        <v>1529.9678426613468</v>
      </c>
      <c r="AN197" s="313">
        <f>AM197*R197</f>
        <v>275.39421167904243</v>
      </c>
    </row>
    <row r="198" spans="2:40" s="299" customFormat="1" ht="15.75" hidden="1" x14ac:dyDescent="0.25">
      <c r="B198" s="295">
        <v>2145</v>
      </c>
      <c r="C198" s="304" t="s">
        <v>2693</v>
      </c>
      <c r="D198" s="304" t="s">
        <v>2694</v>
      </c>
      <c r="E198" s="304" t="s">
        <v>2739</v>
      </c>
      <c r="F198" s="304" t="s">
        <v>2649</v>
      </c>
      <c r="G198" s="304" t="s">
        <v>2890</v>
      </c>
      <c r="H198" s="305">
        <v>20</v>
      </c>
      <c r="I198" s="295">
        <v>44</v>
      </c>
      <c r="J198" s="295" t="s">
        <v>2636</v>
      </c>
      <c r="K198" s="295">
        <v>0</v>
      </c>
      <c r="L198" s="306">
        <v>42814</v>
      </c>
      <c r="M198" s="295">
        <v>2</v>
      </c>
      <c r="N198" s="307">
        <f>M198*AN116</f>
        <v>1390.8798569648607</v>
      </c>
      <c r="O198" s="308">
        <v>0</v>
      </c>
      <c r="P198" s="308">
        <v>0</v>
      </c>
      <c r="Q198" s="308">
        <v>0</v>
      </c>
      <c r="R198" s="309">
        <v>0.03</v>
      </c>
      <c r="S198" s="310">
        <f>N198*R198</f>
        <v>41.726395708945816</v>
      </c>
      <c r="T198" s="311">
        <v>0</v>
      </c>
      <c r="U198" s="311">
        <v>0</v>
      </c>
      <c r="V198" s="312">
        <v>0</v>
      </c>
      <c r="W198" s="311">
        <f>N198*V198</f>
        <v>0</v>
      </c>
      <c r="X198" s="1175">
        <f>127.94/N198</f>
        <v>9.1984939863308621E-2</v>
      </c>
      <c r="Y198" s="1176">
        <f>N198*X198</f>
        <v>127.94</v>
      </c>
      <c r="Z198" s="701">
        <v>0</v>
      </c>
      <c r="AA198" s="700">
        <f>N198*Z198</f>
        <v>0</v>
      </c>
      <c r="AB198" s="1176">
        <f>N198*(0%)</f>
        <v>0</v>
      </c>
      <c r="AC198" s="311">
        <f>AN116*(0%)</f>
        <v>0</v>
      </c>
      <c r="AD198" s="311">
        <f>AO$9*(0%)</f>
        <v>0</v>
      </c>
      <c r="AE198" s="311">
        <v>0</v>
      </c>
      <c r="AF198" s="311">
        <v>0</v>
      </c>
      <c r="AG198" s="311">
        <v>0</v>
      </c>
      <c r="AH198" s="298">
        <v>0</v>
      </c>
      <c r="AI198" s="298">
        <v>0</v>
      </c>
      <c r="AJ198" s="311">
        <v>0</v>
      </c>
      <c r="AK198" s="313">
        <f>(N198+T198+U198)/3</f>
        <v>463.62661898828691</v>
      </c>
      <c r="AL198" s="313">
        <f>AK198*R198</f>
        <v>13.908798569648607</v>
      </c>
      <c r="AM198" s="313">
        <f>N198</f>
        <v>1390.8798569648607</v>
      </c>
      <c r="AN198" s="313">
        <f>AM198*R198</f>
        <v>41.726395708945816</v>
      </c>
    </row>
    <row r="199" spans="2:40" s="1196" customFormat="1" hidden="1" x14ac:dyDescent="0.25">
      <c r="B199" s="1185" t="s">
        <v>7219</v>
      </c>
      <c r="C199" s="1186"/>
      <c r="D199" s="1186"/>
      <c r="E199" s="1186"/>
      <c r="F199" s="1186"/>
      <c r="G199" s="1186"/>
      <c r="H199" s="1186"/>
      <c r="I199" s="1186"/>
      <c r="J199" s="1186"/>
      <c r="K199" s="1186"/>
      <c r="L199" s="1186"/>
      <c r="M199" s="1186"/>
      <c r="N199" s="1179">
        <f>SUM(N197:N198)</f>
        <v>2920.8476996262075</v>
      </c>
      <c r="O199" s="1179">
        <f t="shared" ref="O199:Q199" si="198">SUM(O197:O198)</f>
        <v>0</v>
      </c>
      <c r="P199" s="1179">
        <f t="shared" si="198"/>
        <v>0</v>
      </c>
      <c r="Q199" s="1179">
        <f t="shared" si="198"/>
        <v>0</v>
      </c>
      <c r="R199" s="1187"/>
      <c r="S199" s="1179">
        <f>SUM(S197:S198)</f>
        <v>317.12060738798823</v>
      </c>
      <c r="T199" s="1179">
        <f t="shared" ref="T199:U199" si="199">SUM(T197:T198)</f>
        <v>0</v>
      </c>
      <c r="U199" s="1179">
        <f t="shared" si="199"/>
        <v>0</v>
      </c>
      <c r="V199" s="1180"/>
      <c r="W199" s="1179">
        <f>SUM(W197:W198)</f>
        <v>0</v>
      </c>
      <c r="X199" s="1180"/>
      <c r="Y199" s="1179">
        <f>SUM(Y197:Y198)</f>
        <v>255.88</v>
      </c>
      <c r="Z199" s="1180"/>
      <c r="AA199" s="1179">
        <f t="shared" ref="AA199:AN199" si="200">SUM(AA197:AA198)</f>
        <v>0</v>
      </c>
      <c r="AB199" s="1179">
        <f t="shared" si="200"/>
        <v>0</v>
      </c>
      <c r="AC199" s="1179">
        <f t="shared" si="200"/>
        <v>0</v>
      </c>
      <c r="AD199" s="1179">
        <f t="shared" si="200"/>
        <v>0</v>
      </c>
      <c r="AE199" s="1179">
        <f t="shared" si="200"/>
        <v>0</v>
      </c>
      <c r="AF199" s="1179">
        <f t="shared" si="200"/>
        <v>0</v>
      </c>
      <c r="AG199" s="1179">
        <f t="shared" si="200"/>
        <v>0</v>
      </c>
      <c r="AH199" s="1179">
        <f t="shared" si="200"/>
        <v>0</v>
      </c>
      <c r="AI199" s="1179">
        <f t="shared" si="200"/>
        <v>0</v>
      </c>
      <c r="AJ199" s="1179">
        <f t="shared" si="200"/>
        <v>0</v>
      </c>
      <c r="AK199" s="1179">
        <f t="shared" si="200"/>
        <v>973.61589987540253</v>
      </c>
      <c r="AL199" s="1179">
        <f t="shared" si="200"/>
        <v>105.70686912932942</v>
      </c>
      <c r="AM199" s="1179">
        <f t="shared" si="200"/>
        <v>2920.8476996262075</v>
      </c>
      <c r="AN199" s="1179">
        <f t="shared" si="200"/>
        <v>317.12060738798823</v>
      </c>
    </row>
    <row r="200" spans="2:40" s="1196" customFormat="1" hidden="1" x14ac:dyDescent="0.25">
      <c r="B200" s="1185"/>
      <c r="C200" s="1186"/>
      <c r="D200" s="1186"/>
      <c r="E200" s="1186"/>
      <c r="F200" s="1186"/>
      <c r="G200" s="1186"/>
      <c r="H200" s="1186"/>
      <c r="I200" s="1186"/>
      <c r="J200" s="1186"/>
      <c r="K200" s="1186"/>
      <c r="L200" s="1186"/>
      <c r="M200" s="1186"/>
      <c r="N200" s="1179"/>
      <c r="O200" s="1179"/>
      <c r="P200" s="1179"/>
      <c r="Q200" s="1179"/>
      <c r="R200" s="1187"/>
      <c r="S200" s="1179"/>
      <c r="T200" s="1179"/>
      <c r="U200" s="1179"/>
      <c r="V200" s="1180"/>
      <c r="W200" s="1179"/>
      <c r="X200" s="1180"/>
      <c r="Y200" s="1179"/>
      <c r="Z200" s="1180"/>
      <c r="AA200" s="1179"/>
      <c r="AB200" s="1179"/>
      <c r="AC200" s="1179"/>
      <c r="AD200" s="1179"/>
      <c r="AE200" s="1179"/>
      <c r="AF200" s="1179"/>
      <c r="AG200" s="1179"/>
      <c r="AH200" s="1179"/>
      <c r="AI200" s="1179"/>
      <c r="AJ200" s="1179"/>
      <c r="AK200" s="1179"/>
      <c r="AL200" s="1179"/>
      <c r="AM200" s="1179"/>
      <c r="AN200" s="1179"/>
    </row>
    <row r="201" spans="2:40" s="299" customFormat="1" ht="15.75" hidden="1" x14ac:dyDescent="0.25">
      <c r="B201" s="295">
        <v>1960</v>
      </c>
      <c r="C201" s="314" t="s">
        <v>2698</v>
      </c>
      <c r="D201" s="304" t="s">
        <v>2699</v>
      </c>
      <c r="E201" s="304" t="s">
        <v>2739</v>
      </c>
      <c r="F201" s="304" t="s">
        <v>2640</v>
      </c>
      <c r="G201" s="304" t="s">
        <v>2898</v>
      </c>
      <c r="H201" s="305">
        <v>1</v>
      </c>
      <c r="I201" s="295">
        <v>30</v>
      </c>
      <c r="J201" s="295" t="s">
        <v>2636</v>
      </c>
      <c r="K201" s="295">
        <v>0</v>
      </c>
      <c r="L201" s="306">
        <v>42186</v>
      </c>
      <c r="M201" s="295">
        <v>4.2</v>
      </c>
      <c r="N201" s="307">
        <f>M201*AN116</f>
        <v>2920.8476996262075</v>
      </c>
      <c r="O201" s="308">
        <v>0</v>
      </c>
      <c r="P201" s="308">
        <v>0</v>
      </c>
      <c r="Q201" s="308">
        <v>0</v>
      </c>
      <c r="R201" s="309">
        <v>0.05</v>
      </c>
      <c r="S201" s="310">
        <f>N201*R201</f>
        <v>146.04238498131039</v>
      </c>
      <c r="T201" s="311">
        <v>0</v>
      </c>
      <c r="U201" s="311">
        <v>0</v>
      </c>
      <c r="V201" s="312">
        <v>0</v>
      </c>
      <c r="W201" s="311">
        <f>N201*V201</f>
        <v>0</v>
      </c>
      <c r="X201" s="1175">
        <f>51.18/N201</f>
        <v>1.7522310391791297E-2</v>
      </c>
      <c r="Y201" s="1176">
        <f>N201*X201</f>
        <v>51.18</v>
      </c>
      <c r="Z201" s="701">
        <v>0</v>
      </c>
      <c r="AA201" s="700">
        <f>N201*Z201</f>
        <v>0</v>
      </c>
      <c r="AB201" s="1176">
        <f>N201*(0%)</f>
        <v>0</v>
      </c>
      <c r="AC201" s="311">
        <f>AN116*(0%)</f>
        <v>0</v>
      </c>
      <c r="AD201" s="311">
        <f>AO$9*(0%)</f>
        <v>0</v>
      </c>
      <c r="AE201" s="311">
        <v>0</v>
      </c>
      <c r="AF201" s="311">
        <v>0</v>
      </c>
      <c r="AG201" s="311">
        <v>0</v>
      </c>
      <c r="AH201" s="298">
        <v>0</v>
      </c>
      <c r="AI201" s="298">
        <v>0</v>
      </c>
      <c r="AJ201" s="311">
        <v>0</v>
      </c>
      <c r="AK201" s="313">
        <f>(N201+T201+U201)/3</f>
        <v>973.61589987540253</v>
      </c>
      <c r="AL201" s="313">
        <f>AK201*R201</f>
        <v>48.680794993770128</v>
      </c>
      <c r="AM201" s="313">
        <f>N201</f>
        <v>2920.8476996262075</v>
      </c>
      <c r="AN201" s="313">
        <f>AM201*R201</f>
        <v>146.04238498131039</v>
      </c>
    </row>
    <row r="202" spans="2:40" hidden="1" x14ac:dyDescent="0.25">
      <c r="B202" s="1185" t="s">
        <v>7220</v>
      </c>
      <c r="C202" s="1091"/>
      <c r="D202" s="1091"/>
      <c r="E202" s="1091"/>
      <c r="F202" s="1091"/>
      <c r="G202" s="1091"/>
      <c r="H202" s="1091"/>
      <c r="I202" s="1091"/>
      <c r="J202" s="1091"/>
      <c r="K202" s="1091"/>
      <c r="L202" s="1091"/>
      <c r="M202" s="1091"/>
      <c r="N202" s="1107">
        <f>SUM(N201)</f>
        <v>2920.8476996262075</v>
      </c>
      <c r="O202" s="1107">
        <f t="shared" ref="O202:Q202" si="201">SUM(O201)</f>
        <v>0</v>
      </c>
      <c r="P202" s="1107">
        <f t="shared" si="201"/>
        <v>0</v>
      </c>
      <c r="Q202" s="1107">
        <f t="shared" si="201"/>
        <v>0</v>
      </c>
      <c r="R202" s="1094"/>
      <c r="S202" s="1107">
        <f t="shared" ref="S202:U202" si="202">SUM(S201)</f>
        <v>146.04238498131039</v>
      </c>
      <c r="T202" s="1107">
        <f t="shared" si="202"/>
        <v>0</v>
      </c>
      <c r="U202" s="1107">
        <f t="shared" si="202"/>
        <v>0</v>
      </c>
      <c r="V202" s="315"/>
      <c r="W202" s="1107">
        <f>SUM(W201)</f>
        <v>0</v>
      </c>
      <c r="X202" s="1180"/>
      <c r="Y202" s="1179">
        <f>SUM(Y201)</f>
        <v>51.18</v>
      </c>
      <c r="Z202" s="1164"/>
      <c r="AA202" s="699">
        <f t="shared" ref="AA202:AN202" si="203">SUM(AA201)</f>
        <v>0</v>
      </c>
      <c r="AB202" s="1179">
        <f t="shared" si="203"/>
        <v>0</v>
      </c>
      <c r="AC202" s="1107">
        <f t="shared" si="203"/>
        <v>0</v>
      </c>
      <c r="AD202" s="1107">
        <f t="shared" si="203"/>
        <v>0</v>
      </c>
      <c r="AE202" s="1107">
        <f t="shared" si="203"/>
        <v>0</v>
      </c>
      <c r="AF202" s="1107">
        <f t="shared" si="203"/>
        <v>0</v>
      </c>
      <c r="AG202" s="1107">
        <f t="shared" si="203"/>
        <v>0</v>
      </c>
      <c r="AH202" s="1107">
        <f t="shared" si="203"/>
        <v>0</v>
      </c>
      <c r="AI202" s="1107">
        <f t="shared" si="203"/>
        <v>0</v>
      </c>
      <c r="AJ202" s="1107">
        <f t="shared" si="203"/>
        <v>0</v>
      </c>
      <c r="AK202" s="1107">
        <f t="shared" si="203"/>
        <v>973.61589987540253</v>
      </c>
      <c r="AL202" s="1107">
        <f t="shared" si="203"/>
        <v>48.680794993770128</v>
      </c>
      <c r="AM202" s="1107">
        <f t="shared" si="203"/>
        <v>2920.8476996262075</v>
      </c>
      <c r="AN202" s="1107">
        <f t="shared" si="203"/>
        <v>146.04238498131039</v>
      </c>
    </row>
    <row r="203" spans="2:40" hidden="1" x14ac:dyDescent="0.25">
      <c r="B203" s="1185"/>
      <c r="C203" s="1091"/>
      <c r="D203" s="1091"/>
      <c r="E203" s="1091"/>
      <c r="F203" s="1091"/>
      <c r="G203" s="1091"/>
      <c r="H203" s="1091"/>
      <c r="I203" s="1091"/>
      <c r="J203" s="1091"/>
      <c r="K203" s="1091"/>
      <c r="L203" s="1091"/>
      <c r="M203" s="1091"/>
      <c r="N203" s="1107"/>
      <c r="O203" s="1107"/>
      <c r="P203" s="1107"/>
      <c r="Q203" s="1107"/>
      <c r="R203" s="1094"/>
      <c r="S203" s="1107"/>
      <c r="T203" s="1107"/>
      <c r="U203" s="1107"/>
      <c r="V203" s="315"/>
      <c r="W203" s="1107"/>
      <c r="X203" s="1180"/>
      <c r="Y203" s="1179"/>
      <c r="Z203" s="1164"/>
      <c r="AA203" s="699"/>
      <c r="AB203" s="1179"/>
      <c r="AC203" s="1107"/>
      <c r="AD203" s="1107"/>
      <c r="AE203" s="1107"/>
      <c r="AF203" s="1107"/>
      <c r="AG203" s="1107"/>
      <c r="AH203" s="1107"/>
      <c r="AI203" s="1107"/>
      <c r="AJ203" s="1107"/>
      <c r="AK203" s="1107"/>
      <c r="AL203" s="1107"/>
      <c r="AM203" s="1107"/>
      <c r="AN203" s="1107"/>
    </row>
    <row r="204" spans="2:40" ht="31.5" hidden="1" x14ac:dyDescent="0.25">
      <c r="B204" s="295">
        <v>2267</v>
      </c>
      <c r="C204" s="304" t="s">
        <v>2899</v>
      </c>
      <c r="D204" s="304" t="s">
        <v>2900</v>
      </c>
      <c r="E204" s="304" t="s">
        <v>2723</v>
      </c>
      <c r="F204" s="304" t="s">
        <v>2787</v>
      </c>
      <c r="G204" s="304" t="s">
        <v>2901</v>
      </c>
      <c r="H204" s="305">
        <v>1</v>
      </c>
      <c r="I204" s="295">
        <v>40</v>
      </c>
      <c r="J204" s="295" t="s">
        <v>2636</v>
      </c>
      <c r="K204" s="295">
        <v>0</v>
      </c>
      <c r="L204" s="306">
        <v>43256</v>
      </c>
      <c r="M204" s="295">
        <v>2</v>
      </c>
      <c r="N204" s="307">
        <f>M204*AN116</f>
        <v>1390.8798569648607</v>
      </c>
      <c r="O204" s="308">
        <v>0</v>
      </c>
      <c r="P204" s="308">
        <v>0</v>
      </c>
      <c r="Q204" s="308">
        <v>0</v>
      </c>
      <c r="R204" s="309">
        <v>0</v>
      </c>
      <c r="S204" s="310">
        <f>N204*R204</f>
        <v>0</v>
      </c>
      <c r="T204" s="311">
        <v>0</v>
      </c>
      <c r="U204" s="311">
        <v>0</v>
      </c>
      <c r="V204" s="312">
        <v>0</v>
      </c>
      <c r="W204" s="311">
        <f>N204*V204</f>
        <v>0</v>
      </c>
      <c r="X204" s="1175">
        <f>0/N204</f>
        <v>0</v>
      </c>
      <c r="Y204" s="1176">
        <f>N204*X204</f>
        <v>0</v>
      </c>
      <c r="Z204" s="701">
        <f>0/N204</f>
        <v>0</v>
      </c>
      <c r="AA204" s="700">
        <f>N204*Z204</f>
        <v>0</v>
      </c>
      <c r="AB204" s="1176">
        <f>N204*(0%)</f>
        <v>0</v>
      </c>
      <c r="AC204" s="311">
        <f>AN116*(0%)</f>
        <v>0</v>
      </c>
      <c r="AD204" s="311">
        <f>AO$9*(0%)</f>
        <v>0</v>
      </c>
      <c r="AE204" s="311">
        <v>0</v>
      </c>
      <c r="AF204" s="311">
        <v>0</v>
      </c>
      <c r="AG204" s="311">
        <v>0</v>
      </c>
      <c r="AH204" s="298">
        <v>0</v>
      </c>
      <c r="AI204" s="298">
        <v>0</v>
      </c>
      <c r="AJ204" s="311">
        <v>0</v>
      </c>
      <c r="AK204" s="313">
        <f>(N204+T204+U204)/3</f>
        <v>463.62661898828691</v>
      </c>
      <c r="AL204" s="313">
        <f>AK204*R204</f>
        <v>0</v>
      </c>
      <c r="AM204" s="313">
        <f>N204</f>
        <v>1390.8798569648607</v>
      </c>
      <c r="AN204" s="313">
        <f>AM204*R204</f>
        <v>0</v>
      </c>
    </row>
    <row r="205" spans="2:40" ht="15.75" hidden="1" x14ac:dyDescent="0.25">
      <c r="B205" s="295">
        <v>2114</v>
      </c>
      <c r="C205" s="314" t="str">
        <f>PROPER("CLEITON LUIS KENNE DOS SANTOS")</f>
        <v>Cleiton Luis Kenne Dos Santos</v>
      </c>
      <c r="D205" s="314" t="s">
        <v>2791</v>
      </c>
      <c r="E205" s="314" t="s">
        <v>2723</v>
      </c>
      <c r="F205" s="304" t="s">
        <v>2787</v>
      </c>
      <c r="G205" s="304" t="s">
        <v>2901</v>
      </c>
      <c r="H205" s="295">
        <v>1</v>
      </c>
      <c r="I205" s="295">
        <v>40</v>
      </c>
      <c r="J205" s="295">
        <v>0</v>
      </c>
      <c r="K205" s="295">
        <v>0</v>
      </c>
      <c r="L205" s="306">
        <v>42744</v>
      </c>
      <c r="M205" s="316">
        <v>5</v>
      </c>
      <c r="N205" s="308">
        <f>AN116*M205</f>
        <v>3477.1996424121517</v>
      </c>
      <c r="O205" s="308">
        <v>0</v>
      </c>
      <c r="P205" s="308">
        <v>0</v>
      </c>
      <c r="Q205" s="308">
        <v>0</v>
      </c>
      <c r="R205" s="317">
        <v>0</v>
      </c>
      <c r="S205" s="310">
        <f>N205*R205</f>
        <v>0</v>
      </c>
      <c r="T205" s="311">
        <v>0</v>
      </c>
      <c r="U205" s="311">
        <v>0</v>
      </c>
      <c r="V205" s="312">
        <v>0</v>
      </c>
      <c r="W205" s="311">
        <f>N205*V205</f>
        <v>0</v>
      </c>
      <c r="X205" s="1175">
        <v>0</v>
      </c>
      <c r="Y205" s="1176">
        <v>0</v>
      </c>
      <c r="Z205" s="701">
        <v>0</v>
      </c>
      <c r="AA205" s="700">
        <v>0</v>
      </c>
      <c r="AB205" s="1176">
        <v>0</v>
      </c>
      <c r="AC205" s="311">
        <v>0</v>
      </c>
      <c r="AD205" s="311">
        <v>0</v>
      </c>
      <c r="AE205" s="311">
        <v>0</v>
      </c>
      <c r="AF205" s="311">
        <v>0</v>
      </c>
      <c r="AG205" s="311">
        <v>0</v>
      </c>
      <c r="AH205" s="311">
        <v>0</v>
      </c>
      <c r="AI205" s="311">
        <v>0</v>
      </c>
      <c r="AJ205" s="311">
        <v>0</v>
      </c>
      <c r="AK205" s="313">
        <f>(N205+T205+U205)/3</f>
        <v>1159.0665474707173</v>
      </c>
      <c r="AL205" s="313">
        <f>AK205*R205</f>
        <v>0</v>
      </c>
      <c r="AM205" s="313">
        <f>N205</f>
        <v>3477.1996424121517</v>
      </c>
      <c r="AN205" s="313">
        <f>AM205*R205</f>
        <v>0</v>
      </c>
    </row>
    <row r="206" spans="2:40" s="299" customFormat="1" ht="15.75" hidden="1" x14ac:dyDescent="0.25">
      <c r="B206" s="295">
        <v>2114</v>
      </c>
      <c r="C206" s="314" t="str">
        <f>PROPER("MARCO ANTONIO ALMEIDA CARDOSO")</f>
        <v>Marco Antonio Almeida Cardoso</v>
      </c>
      <c r="D206" s="314" t="s">
        <v>2794</v>
      </c>
      <c r="E206" s="314" t="s">
        <v>2723</v>
      </c>
      <c r="F206" s="304" t="s">
        <v>2787</v>
      </c>
      <c r="G206" s="304" t="s">
        <v>2901</v>
      </c>
      <c r="H206" s="295">
        <v>1</v>
      </c>
      <c r="I206" s="295">
        <v>40</v>
      </c>
      <c r="J206" s="295">
        <v>0</v>
      </c>
      <c r="K206" s="295">
        <v>0</v>
      </c>
      <c r="L206" s="306">
        <v>42768</v>
      </c>
      <c r="M206" s="316">
        <v>5</v>
      </c>
      <c r="N206" s="308">
        <f>AN116*M206</f>
        <v>3477.1996424121517</v>
      </c>
      <c r="O206" s="308">
        <v>0</v>
      </c>
      <c r="P206" s="308">
        <v>0</v>
      </c>
      <c r="Q206" s="308">
        <v>0</v>
      </c>
      <c r="R206" s="317">
        <v>0</v>
      </c>
      <c r="S206" s="310">
        <f>N206*R206</f>
        <v>0</v>
      </c>
      <c r="T206" s="311">
        <v>0</v>
      </c>
      <c r="U206" s="311">
        <v>0</v>
      </c>
      <c r="V206" s="312">
        <v>0</v>
      </c>
      <c r="W206" s="311">
        <f>N206*V206</f>
        <v>0</v>
      </c>
      <c r="X206" s="1175">
        <v>0</v>
      </c>
      <c r="Y206" s="1176">
        <v>0</v>
      </c>
      <c r="Z206" s="701">
        <v>0</v>
      </c>
      <c r="AA206" s="700">
        <v>0</v>
      </c>
      <c r="AB206" s="1176">
        <v>0</v>
      </c>
      <c r="AC206" s="311">
        <v>0</v>
      </c>
      <c r="AD206" s="311">
        <v>0</v>
      </c>
      <c r="AE206" s="311">
        <v>0</v>
      </c>
      <c r="AF206" s="311">
        <v>0</v>
      </c>
      <c r="AG206" s="311">
        <v>0</v>
      </c>
      <c r="AH206" s="311">
        <v>0</v>
      </c>
      <c r="AI206" s="311">
        <v>0</v>
      </c>
      <c r="AJ206" s="311">
        <v>0</v>
      </c>
      <c r="AK206" s="313">
        <f>(N206+T206+U206)/3</f>
        <v>1159.0665474707173</v>
      </c>
      <c r="AL206" s="313">
        <f>AK206*R206</f>
        <v>0</v>
      </c>
      <c r="AM206" s="313">
        <f>N206</f>
        <v>3477.1996424121517</v>
      </c>
      <c r="AN206" s="313">
        <f>AM206*R206</f>
        <v>0</v>
      </c>
    </row>
    <row r="207" spans="2:40" s="299" customFormat="1" ht="15.75" hidden="1" x14ac:dyDescent="0.25">
      <c r="B207" s="295">
        <v>2200</v>
      </c>
      <c r="C207" s="304" t="s">
        <v>7221</v>
      </c>
      <c r="D207" s="304" t="s">
        <v>2902</v>
      </c>
      <c r="E207" s="304" t="s">
        <v>2723</v>
      </c>
      <c r="F207" s="304" t="s">
        <v>2787</v>
      </c>
      <c r="G207" s="304" t="s">
        <v>2901</v>
      </c>
      <c r="H207" s="305">
        <v>1</v>
      </c>
      <c r="I207" s="295">
        <v>40</v>
      </c>
      <c r="J207" s="295" t="s">
        <v>2636</v>
      </c>
      <c r="K207" s="295">
        <v>0</v>
      </c>
      <c r="L207" s="306">
        <v>43256</v>
      </c>
      <c r="M207" s="295">
        <v>3.2</v>
      </c>
      <c r="N207" s="307">
        <f>M207*AN116</f>
        <v>2225.4077711437772</v>
      </c>
      <c r="O207" s="308">
        <v>0</v>
      </c>
      <c r="P207" s="308">
        <v>0</v>
      </c>
      <c r="Q207" s="308">
        <v>0</v>
      </c>
      <c r="R207" s="309">
        <v>0</v>
      </c>
      <c r="S207" s="310">
        <f>N207*R207</f>
        <v>0</v>
      </c>
      <c r="T207" s="311">
        <v>0</v>
      </c>
      <c r="U207" s="311">
        <v>0</v>
      </c>
      <c r="V207" s="312">
        <v>0</v>
      </c>
      <c r="W207" s="311">
        <f>N207*V207</f>
        <v>0</v>
      </c>
      <c r="X207" s="1175">
        <f>0/N207</f>
        <v>0</v>
      </c>
      <c r="Y207" s="1176">
        <f>N207*X207</f>
        <v>0</v>
      </c>
      <c r="Z207" s="701">
        <f>0/N207</f>
        <v>0</v>
      </c>
      <c r="AA207" s="700">
        <f>N207*Z207</f>
        <v>0</v>
      </c>
      <c r="AB207" s="1176">
        <f>N207*(0%)</f>
        <v>0</v>
      </c>
      <c r="AC207" s="311">
        <f>AN116*(0%)</f>
        <v>0</v>
      </c>
      <c r="AD207" s="311">
        <f>AO$9*(0%)</f>
        <v>0</v>
      </c>
      <c r="AE207" s="311">
        <v>0</v>
      </c>
      <c r="AF207" s="311">
        <v>0</v>
      </c>
      <c r="AG207" s="311">
        <v>0</v>
      </c>
      <c r="AH207" s="298">
        <v>0</v>
      </c>
      <c r="AI207" s="298">
        <v>0</v>
      </c>
      <c r="AJ207" s="311">
        <v>0</v>
      </c>
      <c r="AK207" s="313">
        <f>(N207+T207+U207)/3</f>
        <v>741.80259038125905</v>
      </c>
      <c r="AL207" s="313">
        <f>AK207*R207</f>
        <v>0</v>
      </c>
      <c r="AM207" s="313">
        <f>N207</f>
        <v>2225.4077711437772</v>
      </c>
      <c r="AN207" s="313">
        <f>AM207*R207</f>
        <v>0</v>
      </c>
    </row>
    <row r="208" spans="2:40" s="1182" customFormat="1" hidden="1" x14ac:dyDescent="0.25">
      <c r="B208" s="1185" t="s">
        <v>7224</v>
      </c>
      <c r="C208" s="1186"/>
      <c r="D208" s="1186"/>
      <c r="E208" s="1186"/>
      <c r="F208" s="1186"/>
      <c r="G208" s="1186"/>
      <c r="H208" s="1186"/>
      <c r="I208" s="1186"/>
      <c r="J208" s="1186"/>
      <c r="K208" s="1186"/>
      <c r="L208" s="1186"/>
      <c r="M208" s="1186"/>
      <c r="N208" s="1179">
        <f>SUM(N204:N207)</f>
        <v>10570.686912932941</v>
      </c>
      <c r="O208" s="1179">
        <f t="shared" ref="O208:Q208" si="204">SUM(O204:O207)</f>
        <v>0</v>
      </c>
      <c r="P208" s="1179">
        <f t="shared" si="204"/>
        <v>0</v>
      </c>
      <c r="Q208" s="1179">
        <f t="shared" si="204"/>
        <v>0</v>
      </c>
      <c r="R208" s="1187"/>
      <c r="S208" s="1179">
        <f>SUM(S204:S207)</f>
        <v>0</v>
      </c>
      <c r="T208" s="1179">
        <f t="shared" ref="T208:U208" si="205">SUM(T204:T207)</f>
        <v>0</v>
      </c>
      <c r="U208" s="1179">
        <f t="shared" si="205"/>
        <v>0</v>
      </c>
      <c r="V208" s="1180"/>
      <c r="W208" s="1179">
        <f>SUM(W204:W207)</f>
        <v>0</v>
      </c>
      <c r="X208" s="1180"/>
      <c r="Y208" s="1179">
        <f>SUM(Y204:Y207)</f>
        <v>0</v>
      </c>
      <c r="Z208" s="1180"/>
      <c r="AA208" s="1179">
        <f t="shared" ref="AA208:AN208" si="206">SUM(AA204:AA207)</f>
        <v>0</v>
      </c>
      <c r="AB208" s="1179">
        <f t="shared" si="206"/>
        <v>0</v>
      </c>
      <c r="AC208" s="1179">
        <f t="shared" si="206"/>
        <v>0</v>
      </c>
      <c r="AD208" s="1179">
        <f t="shared" si="206"/>
        <v>0</v>
      </c>
      <c r="AE208" s="1179">
        <f t="shared" si="206"/>
        <v>0</v>
      </c>
      <c r="AF208" s="1179">
        <f t="shared" si="206"/>
        <v>0</v>
      </c>
      <c r="AG208" s="1179">
        <f t="shared" si="206"/>
        <v>0</v>
      </c>
      <c r="AH208" s="1179">
        <f t="shared" si="206"/>
        <v>0</v>
      </c>
      <c r="AI208" s="1179">
        <f t="shared" si="206"/>
        <v>0</v>
      </c>
      <c r="AJ208" s="1179">
        <f t="shared" si="206"/>
        <v>0</v>
      </c>
      <c r="AK208" s="1179">
        <f t="shared" si="206"/>
        <v>3523.5623043109804</v>
      </c>
      <c r="AL208" s="1179">
        <f t="shared" si="206"/>
        <v>0</v>
      </c>
      <c r="AM208" s="1179">
        <f t="shared" si="206"/>
        <v>10570.686912932941</v>
      </c>
      <c r="AN208" s="1179">
        <f t="shared" si="206"/>
        <v>0</v>
      </c>
    </row>
    <row r="209" spans="2:40" hidden="1" x14ac:dyDescent="0.25">
      <c r="B209" s="1091"/>
      <c r="C209" s="1091"/>
      <c r="D209" s="1091"/>
      <c r="E209" s="1091"/>
      <c r="F209" s="1091"/>
      <c r="G209" s="1091"/>
      <c r="H209" s="1091"/>
      <c r="I209" s="1091"/>
      <c r="J209" s="1091"/>
      <c r="K209" s="1091"/>
      <c r="L209" s="1091"/>
      <c r="M209" s="1091"/>
      <c r="N209" s="1107"/>
      <c r="O209" s="1107"/>
      <c r="P209" s="1107"/>
      <c r="Q209" s="1107"/>
      <c r="R209" s="1094"/>
      <c r="S209" s="1106"/>
      <c r="T209" s="1107"/>
      <c r="U209" s="1107"/>
      <c r="V209" s="315"/>
      <c r="W209" s="1107"/>
      <c r="X209" s="1180"/>
      <c r="Y209" s="1179"/>
      <c r="Z209" s="1164"/>
      <c r="AA209" s="699"/>
      <c r="AB209" s="1179"/>
      <c r="AC209" s="1107"/>
      <c r="AD209" s="1107"/>
      <c r="AE209" s="1107"/>
      <c r="AF209" s="1107"/>
      <c r="AG209" s="1107"/>
      <c r="AH209" s="1107"/>
      <c r="AI209" s="1107"/>
      <c r="AJ209" s="1107"/>
      <c r="AK209" s="1107"/>
      <c r="AL209" s="1107"/>
      <c r="AM209" s="1107"/>
      <c r="AN209" s="1107"/>
    </row>
    <row r="210" spans="2:40" s="299" customFormat="1" ht="15.75" hidden="1" x14ac:dyDescent="0.25">
      <c r="B210" s="295">
        <v>2375</v>
      </c>
      <c r="C210" s="304" t="s">
        <v>7222</v>
      </c>
      <c r="D210" s="304" t="s">
        <v>2903</v>
      </c>
      <c r="E210" s="304" t="s">
        <v>2723</v>
      </c>
      <c r="F210" s="304" t="s">
        <v>2787</v>
      </c>
      <c r="G210" s="304" t="s">
        <v>2904</v>
      </c>
      <c r="H210" s="305">
        <v>1</v>
      </c>
      <c r="I210" s="295">
        <v>40</v>
      </c>
      <c r="J210" s="295" t="s">
        <v>2636</v>
      </c>
      <c r="K210" s="295">
        <v>0</v>
      </c>
      <c r="L210" s="306">
        <v>43656</v>
      </c>
      <c r="M210" s="295">
        <v>3.2</v>
      </c>
      <c r="N210" s="307">
        <f>M210*AN116</f>
        <v>2225.4077711437772</v>
      </c>
      <c r="O210" s="308">
        <v>0</v>
      </c>
      <c r="P210" s="308">
        <v>0</v>
      </c>
      <c r="Q210" s="308">
        <v>0</v>
      </c>
      <c r="R210" s="309">
        <v>0</v>
      </c>
      <c r="S210" s="310">
        <f>N210*R210</f>
        <v>0</v>
      </c>
      <c r="T210" s="311">
        <v>0</v>
      </c>
      <c r="U210" s="311">
        <v>0</v>
      </c>
      <c r="V210" s="312">
        <v>0</v>
      </c>
      <c r="W210" s="311">
        <f>N210*V210</f>
        <v>0</v>
      </c>
      <c r="X210" s="1175">
        <f>0/N210</f>
        <v>0</v>
      </c>
      <c r="Y210" s="1176">
        <f>N210*X210</f>
        <v>0</v>
      </c>
      <c r="Z210" s="701">
        <f>0/N210</f>
        <v>0</v>
      </c>
      <c r="AA210" s="700">
        <f>N210*Z210</f>
        <v>0</v>
      </c>
      <c r="AB210" s="1176">
        <f>N210*(0%)</f>
        <v>0</v>
      </c>
      <c r="AC210" s="311">
        <f>AN116*(0%)</f>
        <v>0</v>
      </c>
      <c r="AD210" s="311">
        <f>AO$9*(0%)</f>
        <v>0</v>
      </c>
      <c r="AE210" s="311">
        <v>0</v>
      </c>
      <c r="AF210" s="311">
        <v>0</v>
      </c>
      <c r="AG210" s="311">
        <v>0</v>
      </c>
      <c r="AH210" s="298">
        <v>0</v>
      </c>
      <c r="AI210" s="298">
        <v>0</v>
      </c>
      <c r="AJ210" s="311">
        <v>0</v>
      </c>
      <c r="AK210" s="313">
        <f>(N210+T210+U210)/3</f>
        <v>741.80259038125905</v>
      </c>
      <c r="AL210" s="313">
        <f>AK210*R210</f>
        <v>0</v>
      </c>
      <c r="AM210" s="313">
        <f>N210</f>
        <v>2225.4077711437772</v>
      </c>
      <c r="AN210" s="313">
        <f>AM210*R210</f>
        <v>0</v>
      </c>
    </row>
    <row r="211" spans="2:40" s="1196" customFormat="1" hidden="1" x14ac:dyDescent="0.25">
      <c r="B211" s="1185" t="s">
        <v>7223</v>
      </c>
      <c r="C211" s="1185"/>
      <c r="D211" s="1185"/>
      <c r="E211" s="1185"/>
      <c r="F211" s="1185"/>
      <c r="G211" s="1185"/>
      <c r="H211" s="1185"/>
      <c r="I211" s="1185"/>
      <c r="J211" s="1185"/>
      <c r="K211" s="1185"/>
      <c r="L211" s="1185"/>
      <c r="M211" s="1185"/>
      <c r="N211" s="1191">
        <f>SUM(N210:N210)</f>
        <v>2225.4077711437772</v>
      </c>
      <c r="O211" s="1191">
        <f>SUM(O210:O210)</f>
        <v>0</v>
      </c>
      <c r="P211" s="1191">
        <f>SUM(P210:P210)</f>
        <v>0</v>
      </c>
      <c r="Q211" s="1191">
        <f>SUM(Q210:Q210)</f>
        <v>0</v>
      </c>
      <c r="R211" s="1194"/>
      <c r="S211" s="1191">
        <f>SUM(S210:S210)</f>
        <v>0</v>
      </c>
      <c r="T211" s="1191">
        <f>SUM(T210:T210)</f>
        <v>0</v>
      </c>
      <c r="U211" s="1191">
        <f>SUM(U210:U210)</f>
        <v>0</v>
      </c>
      <c r="V211" s="1190"/>
      <c r="W211" s="1191">
        <f>SUM(W210:W210)</f>
        <v>0</v>
      </c>
      <c r="X211" s="1190"/>
      <c r="Y211" s="1191">
        <f>SUM(Y210:Y210)</f>
        <v>0</v>
      </c>
      <c r="Z211" s="1190"/>
      <c r="AA211" s="1191">
        <f>SUM(AA210:AA210)</f>
        <v>0</v>
      </c>
      <c r="AB211" s="1191">
        <f t="shared" ref="AB211:AN211" si="207">SUM(AB210:AB210)</f>
        <v>0</v>
      </c>
      <c r="AC211" s="1191">
        <f t="shared" si="207"/>
        <v>0</v>
      </c>
      <c r="AD211" s="1191">
        <f t="shared" si="207"/>
        <v>0</v>
      </c>
      <c r="AE211" s="1191">
        <f t="shared" si="207"/>
        <v>0</v>
      </c>
      <c r="AF211" s="1191">
        <f t="shared" si="207"/>
        <v>0</v>
      </c>
      <c r="AG211" s="1191">
        <f t="shared" si="207"/>
        <v>0</v>
      </c>
      <c r="AH211" s="1191">
        <f t="shared" si="207"/>
        <v>0</v>
      </c>
      <c r="AI211" s="1191">
        <f t="shared" si="207"/>
        <v>0</v>
      </c>
      <c r="AJ211" s="1191">
        <f t="shared" si="207"/>
        <v>0</v>
      </c>
      <c r="AK211" s="1191">
        <f t="shared" si="207"/>
        <v>741.80259038125905</v>
      </c>
      <c r="AL211" s="1191">
        <f t="shared" si="207"/>
        <v>0</v>
      </c>
      <c r="AM211" s="1191">
        <f t="shared" si="207"/>
        <v>2225.4077711437772</v>
      </c>
      <c r="AN211" s="1191">
        <f t="shared" si="207"/>
        <v>0</v>
      </c>
    </row>
    <row r="212" spans="2:40" s="299" customFormat="1" hidden="1" x14ac:dyDescent="0.25">
      <c r="B212" s="1091"/>
      <c r="C212" s="1091"/>
      <c r="D212" s="1091"/>
      <c r="E212" s="1091"/>
      <c r="F212" s="1091"/>
      <c r="G212" s="1091"/>
      <c r="H212" s="1091"/>
      <c r="I212" s="1091"/>
      <c r="J212" s="1091"/>
      <c r="K212" s="1091"/>
      <c r="L212" s="1091"/>
      <c r="M212" s="1091"/>
      <c r="N212" s="1107"/>
      <c r="O212" s="1107"/>
      <c r="P212" s="1107"/>
      <c r="Q212" s="1107"/>
      <c r="R212" s="1094"/>
      <c r="S212" s="1106"/>
      <c r="T212" s="1107"/>
      <c r="U212" s="1107"/>
      <c r="V212" s="315"/>
      <c r="W212" s="1107"/>
      <c r="X212" s="1180"/>
      <c r="Y212" s="1179"/>
      <c r="Z212" s="1164"/>
      <c r="AA212" s="699"/>
      <c r="AB212" s="1179"/>
      <c r="AC212" s="1107"/>
      <c r="AD212" s="1107"/>
      <c r="AE212" s="1107"/>
      <c r="AF212" s="1107"/>
      <c r="AG212" s="1107"/>
      <c r="AH212" s="1107"/>
      <c r="AI212" s="1107"/>
      <c r="AJ212" s="1107"/>
      <c r="AK212" s="1107"/>
      <c r="AL212" s="1107"/>
      <c r="AM212" s="1107"/>
      <c r="AN212" s="1107"/>
    </row>
    <row r="213" spans="2:40" ht="15.75" hidden="1" x14ac:dyDescent="0.25">
      <c r="B213" s="295">
        <v>1220</v>
      </c>
      <c r="C213" s="314" t="s">
        <v>7225</v>
      </c>
      <c r="D213" s="304" t="s">
        <v>2796</v>
      </c>
      <c r="E213" s="304" t="s">
        <v>2739</v>
      </c>
      <c r="F213" s="304" t="s">
        <v>2787</v>
      </c>
      <c r="G213" s="304" t="s">
        <v>7226</v>
      </c>
      <c r="H213" s="305">
        <v>1</v>
      </c>
      <c r="I213" s="295">
        <v>20</v>
      </c>
      <c r="J213" s="295" t="s">
        <v>2636</v>
      </c>
      <c r="K213" s="295">
        <v>0</v>
      </c>
      <c r="L213" s="306">
        <v>43334</v>
      </c>
      <c r="M213" s="295">
        <v>2.27</v>
      </c>
      <c r="N213" s="307">
        <f>M213*AN116</f>
        <v>1578.6486376551168</v>
      </c>
      <c r="O213" s="308">
        <v>0</v>
      </c>
      <c r="P213" s="308">
        <v>0</v>
      </c>
      <c r="Q213" s="308">
        <v>0</v>
      </c>
      <c r="R213" s="309">
        <v>0.12</v>
      </c>
      <c r="S213" s="310">
        <f>N213*R213</f>
        <v>189.43783651861401</v>
      </c>
      <c r="T213" s="311">
        <v>0</v>
      </c>
      <c r="U213" s="311">
        <v>0</v>
      </c>
      <c r="V213" s="312">
        <v>0</v>
      </c>
      <c r="W213" s="311">
        <f>N213*V213</f>
        <v>0</v>
      </c>
      <c r="X213" s="1175">
        <f>0/N213</f>
        <v>0</v>
      </c>
      <c r="Y213" s="1176">
        <f>N213*X213</f>
        <v>0</v>
      </c>
      <c r="Z213" s="701">
        <v>0</v>
      </c>
      <c r="AA213" s="700">
        <f>N213*Z213</f>
        <v>0</v>
      </c>
      <c r="AB213" s="1176">
        <f>N213*(0%)</f>
        <v>0</v>
      </c>
      <c r="AC213" s="311">
        <f>AN131*(0%)</f>
        <v>0</v>
      </c>
      <c r="AD213" s="311">
        <f>AO$9*(0%)</f>
        <v>0</v>
      </c>
      <c r="AE213" s="311">
        <v>0</v>
      </c>
      <c r="AF213" s="311">
        <v>0</v>
      </c>
      <c r="AG213" s="311">
        <v>0</v>
      </c>
      <c r="AH213" s="298">
        <v>0</v>
      </c>
      <c r="AI213" s="298">
        <v>0</v>
      </c>
      <c r="AJ213" s="311">
        <v>0</v>
      </c>
      <c r="AK213" s="313">
        <f>(N213+T213+U213)/3</f>
        <v>526.21621255170555</v>
      </c>
      <c r="AL213" s="313">
        <f>AK213*R213</f>
        <v>63.145945506204662</v>
      </c>
      <c r="AM213" s="313">
        <f>N213</f>
        <v>1578.6486376551168</v>
      </c>
      <c r="AN213" s="313">
        <f>AM213*R213</f>
        <v>189.43783651861401</v>
      </c>
    </row>
    <row r="214" spans="2:40" s="299" customFormat="1" ht="15.75" hidden="1" x14ac:dyDescent="0.25">
      <c r="B214" s="295">
        <v>2145</v>
      </c>
      <c r="C214" s="304" t="s">
        <v>7227</v>
      </c>
      <c r="D214" s="304" t="s">
        <v>2796</v>
      </c>
      <c r="E214" s="304" t="s">
        <v>2739</v>
      </c>
      <c r="F214" s="304" t="s">
        <v>2787</v>
      </c>
      <c r="G214" s="304" t="s">
        <v>7226</v>
      </c>
      <c r="H214" s="305">
        <v>1</v>
      </c>
      <c r="I214" s="295">
        <v>25</v>
      </c>
      <c r="J214" s="295" t="s">
        <v>2634</v>
      </c>
      <c r="K214" s="295">
        <v>3</v>
      </c>
      <c r="L214" s="306">
        <v>38085</v>
      </c>
      <c r="M214" s="295">
        <v>2.95</v>
      </c>
      <c r="N214" s="307">
        <f>M214*AN116</f>
        <v>2051.5477890231696</v>
      </c>
      <c r="O214" s="308">
        <v>0</v>
      </c>
      <c r="P214" s="308">
        <v>0</v>
      </c>
      <c r="Q214" s="308">
        <v>0</v>
      </c>
      <c r="R214" s="309">
        <v>0.16</v>
      </c>
      <c r="S214" s="310">
        <f>N214*R214</f>
        <v>328.24764624370715</v>
      </c>
      <c r="T214" s="311">
        <v>0</v>
      </c>
      <c r="U214" s="311">
        <v>0</v>
      </c>
      <c r="V214" s="312">
        <v>0</v>
      </c>
      <c r="W214" s="311">
        <f>N214*V214</f>
        <v>0</v>
      </c>
      <c r="X214" s="1175">
        <f>0/N214</f>
        <v>0</v>
      </c>
      <c r="Y214" s="1176">
        <f>N214*X214</f>
        <v>0</v>
      </c>
      <c r="Z214" s="701">
        <v>0</v>
      </c>
      <c r="AA214" s="700">
        <f>N214*Z214</f>
        <v>0</v>
      </c>
      <c r="AB214" s="1176">
        <f>N214*(0%)</f>
        <v>0</v>
      </c>
      <c r="AC214" s="311">
        <f>AN131*(0%)</f>
        <v>0</v>
      </c>
      <c r="AD214" s="311">
        <f>AO$9*(0%)</f>
        <v>0</v>
      </c>
      <c r="AE214" s="311">
        <v>0</v>
      </c>
      <c r="AF214" s="311">
        <v>0</v>
      </c>
      <c r="AG214" s="311">
        <v>0</v>
      </c>
      <c r="AH214" s="298">
        <v>0</v>
      </c>
      <c r="AI214" s="298">
        <v>0</v>
      </c>
      <c r="AJ214" s="311">
        <v>0</v>
      </c>
      <c r="AK214" s="313">
        <f>(N214+T214+U214)/3</f>
        <v>683.84926300772315</v>
      </c>
      <c r="AL214" s="313">
        <f>AK214*R214</f>
        <v>109.41588208123571</v>
      </c>
      <c r="AM214" s="313">
        <f>N214</f>
        <v>2051.5477890231696</v>
      </c>
      <c r="AN214" s="313">
        <f>AM214*R214</f>
        <v>328.24764624370715</v>
      </c>
    </row>
    <row r="215" spans="2:40" s="1196" customFormat="1" hidden="1" x14ac:dyDescent="0.25">
      <c r="B215" s="1185" t="s">
        <v>4920</v>
      </c>
      <c r="C215" s="1186"/>
      <c r="D215" s="1186"/>
      <c r="E215" s="1186"/>
      <c r="F215" s="1186"/>
      <c r="G215" s="1186"/>
      <c r="H215" s="1186"/>
      <c r="I215" s="1186"/>
      <c r="J215" s="1186"/>
      <c r="K215" s="1186"/>
      <c r="L215" s="1186"/>
      <c r="M215" s="1186"/>
      <c r="N215" s="1179">
        <f>SUM(N213:N214)</f>
        <v>3630.1964266782861</v>
      </c>
      <c r="O215" s="1179">
        <f t="shared" ref="O215:Q215" si="208">SUM(O213:O214)</f>
        <v>0</v>
      </c>
      <c r="P215" s="1179">
        <f t="shared" si="208"/>
        <v>0</v>
      </c>
      <c r="Q215" s="1179">
        <f t="shared" si="208"/>
        <v>0</v>
      </c>
      <c r="R215" s="1187"/>
      <c r="S215" s="1179">
        <f>SUM(S213:S214)</f>
        <v>517.68548276232116</v>
      </c>
      <c r="T215" s="1179">
        <f t="shared" ref="T215:U215" si="209">SUM(T213:T214)</f>
        <v>0</v>
      </c>
      <c r="U215" s="1179">
        <f t="shared" si="209"/>
        <v>0</v>
      </c>
      <c r="V215" s="1180"/>
      <c r="W215" s="1179">
        <f>SUM(W213:W214)</f>
        <v>0</v>
      </c>
      <c r="X215" s="1180"/>
      <c r="Y215" s="1179">
        <f>SUM(Y213:Y214)</f>
        <v>0</v>
      </c>
      <c r="Z215" s="1180"/>
      <c r="AA215" s="1179">
        <f t="shared" ref="AA215:AN215" si="210">SUM(AA213:AA214)</f>
        <v>0</v>
      </c>
      <c r="AB215" s="1179">
        <f t="shared" si="210"/>
        <v>0</v>
      </c>
      <c r="AC215" s="1179">
        <f t="shared" si="210"/>
        <v>0</v>
      </c>
      <c r="AD215" s="1179">
        <f t="shared" si="210"/>
        <v>0</v>
      </c>
      <c r="AE215" s="1179">
        <f t="shared" si="210"/>
        <v>0</v>
      </c>
      <c r="AF215" s="1179">
        <f t="shared" si="210"/>
        <v>0</v>
      </c>
      <c r="AG215" s="1179">
        <f t="shared" si="210"/>
        <v>0</v>
      </c>
      <c r="AH215" s="1179">
        <f t="shared" si="210"/>
        <v>0</v>
      </c>
      <c r="AI215" s="1179">
        <f t="shared" si="210"/>
        <v>0</v>
      </c>
      <c r="AJ215" s="1179">
        <f t="shared" si="210"/>
        <v>0</v>
      </c>
      <c r="AK215" s="1179">
        <f t="shared" si="210"/>
        <v>1210.0654755594287</v>
      </c>
      <c r="AL215" s="1179">
        <f t="shared" si="210"/>
        <v>172.56182758744038</v>
      </c>
      <c r="AM215" s="1179">
        <f t="shared" si="210"/>
        <v>3630.1964266782861</v>
      </c>
      <c r="AN215" s="1179">
        <f t="shared" si="210"/>
        <v>517.68548276232116</v>
      </c>
    </row>
    <row r="216" spans="2:40" s="299" customFormat="1" ht="45" hidden="1" x14ac:dyDescent="0.25">
      <c r="B216" s="1091"/>
      <c r="C216" s="1091"/>
      <c r="D216" s="1091"/>
      <c r="E216" s="1091"/>
      <c r="F216" s="1091"/>
      <c r="G216" s="1091"/>
      <c r="H216" s="1091"/>
      <c r="I216" s="1091"/>
      <c r="J216" s="1091"/>
      <c r="K216" s="1091"/>
      <c r="L216" s="1091"/>
      <c r="M216" s="1091"/>
      <c r="N216" s="1107"/>
      <c r="O216" s="1107"/>
      <c r="P216" s="1107"/>
      <c r="Q216" s="1107"/>
      <c r="R216" s="1094"/>
      <c r="S216" s="1106"/>
      <c r="T216" s="1107"/>
      <c r="U216" s="1107"/>
      <c r="V216" s="315"/>
      <c r="W216" s="1107"/>
      <c r="X216" s="1180"/>
      <c r="Y216" s="1179"/>
      <c r="Z216" s="1164"/>
      <c r="AA216" s="699"/>
      <c r="AB216" s="1195" t="s">
        <v>2761</v>
      </c>
      <c r="AC216" s="592" t="s">
        <v>2760</v>
      </c>
      <c r="AD216" s="592" t="s">
        <v>2783</v>
      </c>
      <c r="AE216" s="592" t="s">
        <v>2782</v>
      </c>
      <c r="AF216" s="592" t="s">
        <v>2743</v>
      </c>
      <c r="AG216" s="592" t="s">
        <v>2744</v>
      </c>
      <c r="AH216" s="592" t="s">
        <v>2745</v>
      </c>
      <c r="AI216" s="592" t="s">
        <v>2750</v>
      </c>
      <c r="AJ216" s="592" t="s">
        <v>2742</v>
      </c>
      <c r="AK216" s="564" t="s">
        <v>2734</v>
      </c>
      <c r="AL216" s="564" t="s">
        <v>2735</v>
      </c>
      <c r="AM216" s="299" t="s">
        <v>2736</v>
      </c>
      <c r="AN216" s="564" t="s">
        <v>2737</v>
      </c>
    </row>
    <row r="217" spans="2:40" hidden="1" x14ac:dyDescent="0.25">
      <c r="B217" s="1099"/>
      <c r="C217" s="571"/>
      <c r="D217" s="571"/>
      <c r="E217" s="571"/>
      <c r="F217" s="571"/>
      <c r="G217" s="615"/>
      <c r="H217" s="1099"/>
      <c r="I217" s="1099"/>
      <c r="J217" s="1099"/>
      <c r="K217" s="299"/>
      <c r="L217" s="1091"/>
      <c r="M217" s="1099"/>
      <c r="N217" s="335">
        <f>SUM(N211,N208,N202,N199,N195,N192,N187,N177,N171,N160,N143,N140,N137,N132,N129,N215,)</f>
        <v>107430.18714333167</v>
      </c>
      <c r="O217" s="335">
        <f>SUM(O211,O208,O202,O199,O195,O192,O187,O177,O171,O160,O143,O140,O137,O132,O129,O215,)</f>
        <v>0</v>
      </c>
      <c r="P217" s="335">
        <f>SUM(P211,P208,P202,P199,P195,P192,P187,P177,P171,P160,P143,P140,P137,P132,P129,P215,)</f>
        <v>0</v>
      </c>
      <c r="Q217" s="335">
        <f>SUM(Q211,Q208,Q202,Q199,Q195,Q192,Q187,Q177,Q171,Q160,Q143,Q140,Q137,Q132,Q129,Q215,)</f>
        <v>0</v>
      </c>
      <c r="R217" s="593"/>
      <c r="S217" s="335">
        <f>SUM(S211,S208,S202,S199,S195,S192,S187,S177,S171,S160,S143,S140,S137,S132,S129,S215,)</f>
        <v>5854.8964433437814</v>
      </c>
      <c r="T217" s="335">
        <f t="shared" ref="T217:U217" si="211">SUM(T211,T208,T202,T199,T195,T192,T187,T177,T171,T160,T143,T140,T137,T132,T129,T215,)</f>
        <v>0</v>
      </c>
      <c r="U217" s="335">
        <f t="shared" si="211"/>
        <v>0</v>
      </c>
      <c r="V217" s="329"/>
      <c r="W217" s="335">
        <f>SUM(W211,W208,W202,W199,W195,W192,W187,W177,W171,W160,W143,W140,W137,W132,W129,W215,)</f>
        <v>0</v>
      </c>
      <c r="X217" s="1181"/>
      <c r="Y217" s="335">
        <f>SUM(Y211,Y208,Y202,Y199,Y195,Y192,Y187,Y177,Y171,Y160,Y143,Y140,Y137,Y132,Y129,Y215,)</f>
        <v>4695.21</v>
      </c>
      <c r="Z217" s="1165"/>
      <c r="AA217" s="335">
        <f>SUM(AA211,AA208,AA202,AA199,AA195,AA192,AA187,AA177,AA171,AA160,AA143,AA140,AA137,AA132,AA129,AA215,)</f>
        <v>3442.8399999999997</v>
      </c>
      <c r="AB217" s="335">
        <f>SUM(AB211,AB208,AB202,AB199,AB195,AB192,AB187,AB177,AB171,AB160,AB143,AB140,AB137,AB132,AB129,AB215,)</f>
        <v>567.89425861902805</v>
      </c>
      <c r="AC217" s="335" t="e">
        <f>SUM(AC211,AC208,AC202,AC199,AC195,AC192,AC187,AC177,AC171,AC160,AC143,AC140,AC137,AC132,AC129,AC215,)</f>
        <v>#VALUE!</v>
      </c>
      <c r="AD217" s="335">
        <f t="shared" ref="AD217:AJ217" si="212">SUM(AD211,AD208,AD202,AD199,AD195,AD192,AD187,AD177,AD171,AD160,AD143,AD140,AD137,AD132,AD129,AD215,)</f>
        <v>0</v>
      </c>
      <c r="AE217" s="335">
        <f t="shared" si="212"/>
        <v>0</v>
      </c>
      <c r="AF217" s="335">
        <f t="shared" si="212"/>
        <v>0</v>
      </c>
      <c r="AG217" s="335">
        <f t="shared" si="212"/>
        <v>0</v>
      </c>
      <c r="AH217" s="335">
        <f t="shared" si="212"/>
        <v>695.43992848243033</v>
      </c>
      <c r="AI217" s="335">
        <f t="shared" si="212"/>
        <v>0</v>
      </c>
      <c r="AJ217" s="335">
        <f t="shared" si="212"/>
        <v>0</v>
      </c>
      <c r="AK217" s="335">
        <f>SUM(AK211,AK208,AK202,AK199,AK195,AK192,AK187,AK177,AK171,AK160,AK143,AK140,AK137,AK132,AK129,AK215,)</f>
        <v>35810.062381110554</v>
      </c>
      <c r="AL217" s="335">
        <f t="shared" ref="AL217:AN217" si="213">SUM(AL211,AL208,AL202,AL199,AL195,AL192,AL187,AL177,AL171,AL160,AL143,AL140,AL137,AL132,AL129,AL215,)</f>
        <v>1951.6321477812605</v>
      </c>
      <c r="AM217" s="335">
        <f t="shared" si="213"/>
        <v>107430.18714333167</v>
      </c>
      <c r="AN217" s="335">
        <f t="shared" si="213"/>
        <v>5854.8964433437814</v>
      </c>
    </row>
    <row r="218" spans="2:40" x14ac:dyDescent="0.25">
      <c r="B218" s="1099"/>
      <c r="C218" s="1099"/>
      <c r="D218" s="1099"/>
      <c r="E218" s="1099"/>
      <c r="F218" s="1099"/>
      <c r="G218" s="1099"/>
      <c r="H218" s="1099"/>
      <c r="I218" s="1099"/>
      <c r="J218" s="1099"/>
      <c r="K218" s="1099"/>
      <c r="L218" s="1091"/>
      <c r="M218" s="1099"/>
      <c r="N218" s="1215"/>
      <c r="O218" s="1215"/>
      <c r="P218" s="1215"/>
      <c r="Q218" s="1215"/>
      <c r="R218" s="1216"/>
      <c r="S218" s="1217"/>
      <c r="T218" s="1215"/>
      <c r="U218" s="1215"/>
      <c r="V218" s="1218"/>
      <c r="W218" s="1215"/>
      <c r="X218" s="1219"/>
      <c r="Y218" s="1220"/>
      <c r="Z218" s="1221"/>
      <c r="AA218" s="1222"/>
      <c r="AB218" s="1182"/>
      <c r="AC218" s="294"/>
      <c r="AD218" s="294"/>
      <c r="AE218" s="294"/>
      <c r="AF218" s="294"/>
      <c r="AG218" s="294"/>
      <c r="AH218" s="294"/>
      <c r="AI218" s="294"/>
      <c r="AJ218" s="294"/>
    </row>
    <row r="219" spans="2:40" x14ac:dyDescent="0.25">
      <c r="B219" s="294"/>
      <c r="C219" s="294"/>
      <c r="D219" s="294"/>
      <c r="E219" s="294"/>
      <c r="F219" s="294"/>
      <c r="G219" s="294"/>
      <c r="H219" s="294"/>
      <c r="I219" s="294"/>
      <c r="J219" s="294"/>
      <c r="L219" s="295"/>
      <c r="M219" s="294"/>
      <c r="R219" s="326"/>
      <c r="S219" s="326"/>
      <c r="T219" s="294"/>
      <c r="U219" s="294"/>
      <c r="V219" s="294"/>
      <c r="W219" s="294"/>
      <c r="X219" s="1182"/>
      <c r="Y219" s="1182"/>
      <c r="Z219" s="1166"/>
      <c r="AA219" s="1166"/>
      <c r="AB219" s="1182"/>
      <c r="AC219" s="294"/>
      <c r="AD219" s="294"/>
      <c r="AE219" s="294"/>
      <c r="AF219" s="294"/>
      <c r="AG219" s="294"/>
      <c r="AH219" s="294"/>
      <c r="AI219" s="294"/>
      <c r="AJ219" s="294"/>
    </row>
    <row r="220" spans="2:40" x14ac:dyDescent="0.25">
      <c r="B220" s="294"/>
      <c r="C220" s="1545" t="s">
        <v>7802</v>
      </c>
      <c r="D220" s="1545"/>
      <c r="E220" s="1545"/>
      <c r="F220" s="294"/>
      <c r="G220" s="1545" t="s">
        <v>7803</v>
      </c>
      <c r="H220" s="1545"/>
      <c r="I220" s="1545"/>
      <c r="J220" s="294"/>
      <c r="L220" s="294"/>
      <c r="R220" s="326"/>
      <c r="S220" s="326"/>
      <c r="T220" s="294"/>
      <c r="U220" s="294"/>
      <c r="V220" s="294"/>
      <c r="W220" s="294"/>
      <c r="X220" s="1182"/>
      <c r="Y220" s="1182"/>
      <c r="Z220" s="1166"/>
      <c r="AA220" s="1166"/>
      <c r="AB220" s="1182"/>
      <c r="AC220" s="294"/>
      <c r="AD220" s="294"/>
      <c r="AE220" s="294"/>
      <c r="AF220" s="294"/>
      <c r="AG220" s="294"/>
      <c r="AH220" s="294"/>
      <c r="AI220" s="294"/>
      <c r="AJ220" s="294"/>
    </row>
    <row r="221" spans="2:40" ht="15.75" x14ac:dyDescent="0.25">
      <c r="B221" s="294"/>
      <c r="C221" s="1405" t="s">
        <v>7326</v>
      </c>
      <c r="D221" s="1405" t="s">
        <v>7327</v>
      </c>
      <c r="E221" s="1405" t="s">
        <v>1574</v>
      </c>
      <c r="F221" s="294"/>
      <c r="G221" s="1405" t="s">
        <v>7326</v>
      </c>
      <c r="H221" s="1405" t="s">
        <v>7327</v>
      </c>
      <c r="I221" s="1405" t="s">
        <v>1574</v>
      </c>
      <c r="J221" s="294"/>
      <c r="L221" s="294"/>
      <c r="R221" s="326"/>
      <c r="S221" s="326"/>
      <c r="T221" s="294"/>
      <c r="U221" s="294"/>
      <c r="V221" s="294"/>
      <c r="W221" s="294"/>
      <c r="X221" s="1182"/>
      <c r="Y221" s="1182"/>
      <c r="Z221" s="1166"/>
      <c r="AA221" s="1166"/>
      <c r="AB221" s="1182"/>
      <c r="AC221" s="294"/>
      <c r="AD221" s="294"/>
      <c r="AE221" s="294"/>
      <c r="AF221" s="294"/>
      <c r="AG221" s="294"/>
      <c r="AH221" s="294"/>
      <c r="AI221" s="294"/>
      <c r="AJ221" s="294"/>
    </row>
    <row r="222" spans="2:40" x14ac:dyDescent="0.25">
      <c r="B222" s="294"/>
      <c r="C222" s="5" t="s">
        <v>7328</v>
      </c>
      <c r="D222" s="5" t="s">
        <v>7333</v>
      </c>
      <c r="E222" s="585">
        <f>AH217</f>
        <v>695.43992848243033</v>
      </c>
      <c r="F222" s="294"/>
      <c r="G222" s="294"/>
      <c r="H222" s="294"/>
      <c r="I222" s="294"/>
      <c r="J222" s="294"/>
      <c r="L222" s="294"/>
      <c r="R222" s="326"/>
      <c r="S222" s="326"/>
      <c r="T222" s="294"/>
      <c r="U222" s="294"/>
      <c r="V222" s="294"/>
      <c r="W222" s="294"/>
      <c r="X222" s="1182"/>
      <c r="Y222" s="1182"/>
      <c r="Z222" s="1166"/>
      <c r="AA222" s="1166"/>
      <c r="AB222" s="1182"/>
      <c r="AC222" s="294"/>
      <c r="AD222" s="294"/>
      <c r="AE222" s="294"/>
      <c r="AF222" s="294"/>
      <c r="AG222" s="294"/>
      <c r="AH222" s="294"/>
      <c r="AI222" s="294"/>
      <c r="AJ222" s="294"/>
    </row>
    <row r="223" spans="2:40" x14ac:dyDescent="0.25">
      <c r="B223" s="294"/>
      <c r="C223" s="5"/>
      <c r="D223" s="5"/>
      <c r="E223" s="585"/>
      <c r="F223" s="294"/>
      <c r="G223" s="258" t="s">
        <v>7794</v>
      </c>
      <c r="H223" s="5"/>
      <c r="I223" s="585"/>
      <c r="J223" s="294"/>
      <c r="L223" s="294"/>
      <c r="R223" s="326"/>
      <c r="S223" s="326"/>
      <c r="T223" s="294"/>
      <c r="U223" s="294"/>
      <c r="V223" s="294"/>
      <c r="W223" s="294"/>
      <c r="X223" s="1182"/>
      <c r="Y223" s="1182"/>
      <c r="Z223" s="1166"/>
      <c r="AA223" s="1166"/>
      <c r="AB223" s="1182"/>
      <c r="AC223" s="294"/>
      <c r="AD223" s="294"/>
      <c r="AE223" s="294"/>
      <c r="AF223" s="294"/>
      <c r="AG223" s="294"/>
      <c r="AH223" s="294"/>
      <c r="AI223" s="294"/>
      <c r="AJ223" s="294"/>
    </row>
    <row r="224" spans="2:40" x14ac:dyDescent="0.25">
      <c r="B224" s="294"/>
      <c r="C224" s="258" t="s">
        <v>7798</v>
      </c>
      <c r="D224" s="5"/>
      <c r="E224" s="585"/>
      <c r="F224" s="294"/>
      <c r="G224" s="5"/>
      <c r="H224" s="5" t="s">
        <v>3075</v>
      </c>
      <c r="I224" s="585">
        <f>N173+N174+N175+N176</f>
        <v>5806.9234028282935</v>
      </c>
      <c r="J224" s="294"/>
      <c r="L224" s="294"/>
      <c r="R224" s="326"/>
      <c r="S224" s="326"/>
      <c r="T224" s="294"/>
      <c r="U224" s="294"/>
      <c r="V224" s="294"/>
      <c r="W224" s="294"/>
      <c r="X224" s="1182"/>
      <c r="Y224" s="1182"/>
      <c r="Z224" s="1166"/>
      <c r="AA224" s="1166"/>
      <c r="AB224" s="1182"/>
      <c r="AC224" s="294"/>
      <c r="AD224" s="294"/>
      <c r="AE224" s="294"/>
      <c r="AF224" s="294"/>
      <c r="AG224" s="294"/>
      <c r="AH224" s="294"/>
      <c r="AI224" s="294"/>
      <c r="AJ224" s="294"/>
    </row>
    <row r="225" spans="2:36" x14ac:dyDescent="0.25">
      <c r="B225" s="294"/>
      <c r="C225" s="258" t="s">
        <v>7794</v>
      </c>
      <c r="D225" s="5"/>
      <c r="E225" s="585"/>
      <c r="F225" s="294"/>
      <c r="G225" s="5"/>
      <c r="H225" s="5" t="s">
        <v>4519</v>
      </c>
      <c r="I225" s="585">
        <f>AK173+AK174+AK175+AK176</f>
        <v>1935.6411342760975</v>
      </c>
      <c r="J225" s="294"/>
      <c r="L225" s="294"/>
      <c r="R225" s="326"/>
      <c r="S225" s="326"/>
      <c r="T225" s="294"/>
      <c r="U225" s="294"/>
      <c r="V225" s="294"/>
      <c r="W225" s="294"/>
      <c r="X225" s="1182"/>
      <c r="Y225" s="1182"/>
      <c r="Z225" s="1166"/>
      <c r="AA225" s="1166"/>
      <c r="AB225" s="1182"/>
      <c r="AC225" s="294"/>
      <c r="AD225" s="294"/>
      <c r="AE225" s="294"/>
      <c r="AF225" s="294"/>
      <c r="AG225" s="294"/>
      <c r="AH225" s="294"/>
      <c r="AI225" s="294"/>
      <c r="AJ225" s="294"/>
    </row>
    <row r="226" spans="2:36" x14ac:dyDescent="0.25">
      <c r="B226" s="294"/>
      <c r="C226" s="5"/>
      <c r="D226" s="5" t="s">
        <v>3075</v>
      </c>
      <c r="E226" s="585">
        <v>0</v>
      </c>
      <c r="F226" s="294"/>
      <c r="G226" s="5"/>
      <c r="H226" s="5" t="s">
        <v>2736</v>
      </c>
      <c r="I226" s="585">
        <f>AM173+AM174+AM175+AM176</f>
        <v>5806.9234028282935</v>
      </c>
      <c r="J226" s="294"/>
      <c r="L226" s="294"/>
      <c r="R226" s="326"/>
      <c r="S226" s="326"/>
      <c r="T226" s="294"/>
      <c r="U226" s="294"/>
      <c r="V226" s="294"/>
      <c r="W226" s="294"/>
      <c r="X226" s="1182"/>
      <c r="Y226" s="1182"/>
      <c r="Z226" s="1166"/>
      <c r="AA226" s="1166"/>
      <c r="AB226" s="1182"/>
      <c r="AC226" s="294"/>
      <c r="AD226" s="294"/>
      <c r="AE226" s="294"/>
      <c r="AF226" s="294"/>
      <c r="AG226" s="294"/>
      <c r="AH226" s="294"/>
      <c r="AI226" s="294"/>
      <c r="AJ226" s="294"/>
    </row>
    <row r="227" spans="2:36" x14ac:dyDescent="0.25">
      <c r="B227" s="294"/>
      <c r="C227" s="5"/>
      <c r="D227" s="5" t="s">
        <v>4519</v>
      </c>
      <c r="E227" s="585">
        <v>0</v>
      </c>
      <c r="F227" s="294"/>
      <c r="G227" s="294"/>
      <c r="H227" s="294" t="s">
        <v>2741</v>
      </c>
      <c r="I227" s="313">
        <f>Y173+Y174+Y175+Y176+AA173+AA174+AA175+AA176</f>
        <v>1170.5999999999999</v>
      </c>
      <c r="J227" s="294"/>
      <c r="L227" s="294"/>
      <c r="R227" s="326"/>
      <c r="S227" s="326"/>
      <c r="T227" s="294"/>
      <c r="U227" s="294"/>
      <c r="V227" s="294"/>
      <c r="W227" s="294"/>
      <c r="X227" s="1182"/>
      <c r="Y227" s="1182"/>
      <c r="Z227" s="1166"/>
      <c r="AA227" s="1166"/>
      <c r="AB227" s="1182"/>
      <c r="AC227" s="294"/>
      <c r="AD227" s="294"/>
      <c r="AE227" s="294"/>
      <c r="AF227" s="294"/>
      <c r="AG227" s="294"/>
      <c r="AH227" s="294"/>
      <c r="AI227" s="294"/>
      <c r="AJ227" s="294"/>
    </row>
    <row r="228" spans="2:36" x14ac:dyDescent="0.25">
      <c r="B228" s="294"/>
      <c r="C228" s="5"/>
      <c r="D228" s="5" t="s">
        <v>2736</v>
      </c>
      <c r="E228" s="585">
        <v>0</v>
      </c>
      <c r="F228" s="294"/>
      <c r="G228" s="294"/>
      <c r="H228" s="294"/>
      <c r="I228" s="294"/>
      <c r="J228" s="294"/>
      <c r="L228" s="294"/>
      <c r="R228" s="326"/>
      <c r="S228" s="326"/>
      <c r="T228" s="294"/>
      <c r="U228" s="294"/>
      <c r="V228" s="294"/>
      <c r="W228" s="294"/>
      <c r="X228" s="1182"/>
      <c r="Y228" s="1182"/>
      <c r="Z228" s="1166"/>
      <c r="AA228" s="1166"/>
      <c r="AB228" s="1182"/>
      <c r="AC228" s="294"/>
      <c r="AD228" s="294"/>
      <c r="AE228" s="294"/>
      <c r="AF228" s="294"/>
      <c r="AG228" s="294"/>
      <c r="AH228" s="294"/>
      <c r="AI228" s="294"/>
      <c r="AJ228" s="294"/>
    </row>
    <row r="229" spans="2:36" x14ac:dyDescent="0.25">
      <c r="B229" s="294"/>
      <c r="C229" s="294"/>
      <c r="D229" s="294"/>
      <c r="E229" s="294"/>
      <c r="F229" s="294"/>
      <c r="G229" s="294"/>
      <c r="H229" s="294"/>
      <c r="I229" s="294"/>
      <c r="J229" s="294"/>
      <c r="L229" s="294"/>
      <c r="R229" s="326"/>
      <c r="S229" s="326"/>
      <c r="T229" s="294"/>
      <c r="U229" s="294"/>
      <c r="V229" s="294"/>
      <c r="W229" s="294"/>
      <c r="X229" s="1182"/>
      <c r="Y229" s="1182"/>
      <c r="Z229" s="1166"/>
      <c r="AA229" s="1166"/>
      <c r="AB229" s="1182"/>
      <c r="AC229" s="294"/>
      <c r="AD229" s="294"/>
      <c r="AE229" s="294"/>
      <c r="AF229" s="294"/>
      <c r="AG229" s="294"/>
      <c r="AH229" s="294"/>
      <c r="AI229" s="294"/>
      <c r="AJ229" s="294"/>
    </row>
    <row r="230" spans="2:36" x14ac:dyDescent="0.25">
      <c r="B230" s="294"/>
      <c r="C230" s="299" t="s">
        <v>7795</v>
      </c>
      <c r="D230" s="294"/>
      <c r="E230" s="294"/>
      <c r="F230" s="294"/>
      <c r="G230" s="299" t="s">
        <v>7795</v>
      </c>
      <c r="H230" s="294"/>
      <c r="I230" s="294"/>
      <c r="J230" s="294"/>
      <c r="L230" s="294"/>
      <c r="R230" s="326"/>
      <c r="S230" s="326"/>
      <c r="T230" s="294"/>
      <c r="U230" s="294"/>
      <c r="V230" s="294"/>
      <c r="W230" s="294"/>
      <c r="X230" s="1182"/>
      <c r="Y230" s="1182"/>
      <c r="Z230" s="1166"/>
      <c r="AA230" s="1166"/>
      <c r="AB230" s="1182"/>
      <c r="AC230" s="294"/>
      <c r="AD230" s="294"/>
      <c r="AE230" s="294"/>
      <c r="AF230" s="294"/>
      <c r="AG230" s="294"/>
      <c r="AH230" s="294"/>
      <c r="AI230" s="294"/>
      <c r="AJ230" s="294"/>
    </row>
    <row r="231" spans="2:36" x14ac:dyDescent="0.25">
      <c r="B231" s="294"/>
      <c r="C231" s="294"/>
      <c r="D231" s="294" t="s">
        <v>3075</v>
      </c>
      <c r="E231" s="313">
        <f>N121+N122+N123+N124+N125+N126+N127+N128+N131</f>
        <v>14228.710936750524</v>
      </c>
      <c r="F231" s="294"/>
      <c r="G231" s="294"/>
      <c r="H231" s="294" t="s">
        <v>3075</v>
      </c>
      <c r="I231" s="313">
        <f>N146+N147+N148+N149+N150+N151+N152+N153+N154+N155+N156+N157+N158+N159+N162+N163+N164+N165+N166+N167+N168+N169+N170</f>
        <v>34380.889931961319</v>
      </c>
      <c r="J231" s="294"/>
      <c r="L231" s="294"/>
      <c r="R231" s="326"/>
      <c r="S231" s="326"/>
      <c r="T231" s="294"/>
      <c r="U231" s="294"/>
      <c r="V231" s="294"/>
      <c r="W231" s="294"/>
      <c r="X231" s="1182"/>
      <c r="Y231" s="1182"/>
      <c r="Z231" s="1166"/>
      <c r="AA231" s="1166"/>
      <c r="AB231" s="1182"/>
      <c r="AC231" s="294"/>
      <c r="AD231" s="294"/>
      <c r="AE231" s="294"/>
      <c r="AF231" s="294"/>
      <c r="AG231" s="294"/>
      <c r="AH231" s="294"/>
      <c r="AI231" s="294"/>
      <c r="AJ231" s="294"/>
    </row>
    <row r="232" spans="2:36" x14ac:dyDescent="0.25">
      <c r="B232" s="294"/>
      <c r="C232" s="294"/>
      <c r="D232" s="294" t="s">
        <v>3411</v>
      </c>
      <c r="E232" s="313">
        <f>S121+S122+S123+S124+S125+S126+S127+S128+S131</f>
        <v>1299.9858583122068</v>
      </c>
      <c r="F232" s="294"/>
      <c r="G232" s="294"/>
      <c r="H232" s="294" t="s">
        <v>3411</v>
      </c>
      <c r="I232" s="313">
        <f>S146+S147+S148+S149+S150+S151+S152+S153+S154+S155+S156+S157+S158+S159+S162+S163+S164+S165+S166+S167+S168+S169+S170</f>
        <v>2359.1814148858016</v>
      </c>
      <c r="J232" s="294"/>
      <c r="L232" s="294"/>
      <c r="R232" s="326"/>
      <c r="S232" s="326"/>
      <c r="T232" s="294"/>
      <c r="U232" s="294"/>
      <c r="V232" s="294"/>
      <c r="W232" s="294"/>
      <c r="X232" s="1182"/>
      <c r="Y232" s="1182"/>
      <c r="Z232" s="1166"/>
      <c r="AA232" s="1166"/>
      <c r="AB232" s="1182"/>
      <c r="AC232" s="294"/>
      <c r="AD232" s="294"/>
      <c r="AE232" s="294"/>
      <c r="AF232" s="294"/>
      <c r="AG232" s="294"/>
      <c r="AH232" s="294"/>
      <c r="AI232" s="294"/>
      <c r="AJ232" s="294"/>
    </row>
    <row r="233" spans="2:36" x14ac:dyDescent="0.25">
      <c r="B233" s="294"/>
      <c r="C233" s="294"/>
      <c r="D233" s="294" t="s">
        <v>4847</v>
      </c>
      <c r="E233" s="313">
        <f>AL121+AL122+AL123+AL124+AL125+AL126+AL127+AL128+AL131</f>
        <v>433.32861943740227</v>
      </c>
      <c r="F233" s="294"/>
      <c r="G233" s="294"/>
      <c r="H233" s="294" t="s">
        <v>4847</v>
      </c>
      <c r="I233" s="313">
        <f>AL146+AL147+AL148+AL149+AL150+AL151+AL152+AL153+AL154+AL155+AL156+AL157+AL158+AL159+AL162+AL163+AL164+AL165+AL166+AL167+AL168+AL169+AL170</f>
        <v>786.39380496193405</v>
      </c>
      <c r="J233" s="294"/>
      <c r="L233" s="294"/>
      <c r="R233" s="326"/>
      <c r="S233" s="326"/>
      <c r="T233" s="294"/>
      <c r="U233" s="294"/>
      <c r="V233" s="294"/>
      <c r="W233" s="294"/>
      <c r="X233" s="1182"/>
      <c r="Y233" s="1182"/>
      <c r="Z233" s="1166"/>
      <c r="AA233" s="1166"/>
      <c r="AB233" s="1182"/>
      <c r="AC233" s="294"/>
      <c r="AD233" s="294"/>
      <c r="AE233" s="294"/>
      <c r="AF233" s="294"/>
      <c r="AG233" s="294"/>
      <c r="AH233" s="294"/>
      <c r="AI233" s="294"/>
      <c r="AJ233" s="294"/>
    </row>
    <row r="234" spans="2:36" x14ac:dyDescent="0.25">
      <c r="B234" s="294"/>
      <c r="C234" s="294"/>
      <c r="D234" s="294" t="s">
        <v>7796</v>
      </c>
      <c r="E234" s="313">
        <f>AN121+AN122+AN123+AN124+AN125+AN126+AN127+AN128+AN131</f>
        <v>1299.9858583122068</v>
      </c>
      <c r="F234" s="294"/>
      <c r="G234" s="294"/>
      <c r="H234" s="294" t="s">
        <v>7796</v>
      </c>
      <c r="I234" s="313">
        <f>AN146+AN147+AN148+AN149+AN150+AN151+AN152+AN153+AN154+AN155+AN156+AN157+AN158+AN159+AN162+AN163+AN164+AN165+AN166+AN167+AN168+AN169+AN170</f>
        <v>2359.1814148858016</v>
      </c>
      <c r="J234" s="294"/>
      <c r="L234" s="294"/>
      <c r="R234" s="326"/>
      <c r="S234" s="326"/>
      <c r="T234" s="294"/>
      <c r="U234" s="294"/>
      <c r="V234" s="294"/>
      <c r="W234" s="294"/>
      <c r="X234" s="1182"/>
      <c r="Y234" s="1182"/>
      <c r="Z234" s="1166"/>
      <c r="AA234" s="1166"/>
      <c r="AB234" s="1182"/>
      <c r="AC234" s="294"/>
      <c r="AD234" s="294"/>
      <c r="AE234" s="294"/>
      <c r="AF234" s="294"/>
      <c r="AG234" s="294"/>
      <c r="AH234" s="294"/>
      <c r="AI234" s="294"/>
      <c r="AJ234" s="294"/>
    </row>
    <row r="235" spans="2:36" x14ac:dyDescent="0.25">
      <c r="B235" s="294"/>
      <c r="C235" s="294"/>
      <c r="D235" s="294" t="s">
        <v>2740</v>
      </c>
      <c r="E235" s="313">
        <f>T121+T122+T123+T124+T125+T126+T127+T128+T131</f>
        <v>0</v>
      </c>
      <c r="F235" s="294"/>
      <c r="G235" s="294"/>
      <c r="H235" s="294" t="s">
        <v>2740</v>
      </c>
      <c r="I235" s="313">
        <f>T146+T147+T148+T149+T150+T151+T152+T153+T154+T155+T156+T157+T158+T159+T162+T163+T164+T165+T166+T167+T168+T169+T170</f>
        <v>0</v>
      </c>
      <c r="J235" s="294"/>
      <c r="L235" s="294"/>
      <c r="R235" s="326"/>
      <c r="S235" s="326"/>
      <c r="T235" s="294"/>
      <c r="U235" s="294"/>
      <c r="V235" s="294"/>
      <c r="W235" s="294"/>
      <c r="X235" s="1182"/>
      <c r="Y235" s="1182"/>
      <c r="Z235" s="1166"/>
      <c r="AA235" s="1166"/>
      <c r="AB235" s="1182"/>
      <c r="AC235" s="294"/>
      <c r="AD235" s="294"/>
      <c r="AE235" s="294"/>
      <c r="AF235" s="294"/>
      <c r="AG235" s="294"/>
      <c r="AH235" s="294"/>
      <c r="AI235" s="294"/>
      <c r="AJ235" s="294"/>
    </row>
    <row r="236" spans="2:36" x14ac:dyDescent="0.25">
      <c r="B236" s="294"/>
      <c r="C236" s="294"/>
      <c r="D236" s="294" t="s">
        <v>2761</v>
      </c>
      <c r="E236" s="313">
        <f>AB121+AB122+AB123+AB124+AB125+AB126+AB127+AB128+AB131</f>
        <v>7.5942586190281398</v>
      </c>
      <c r="F236" s="294"/>
      <c r="G236" s="294"/>
      <c r="H236" s="294" t="s">
        <v>2761</v>
      </c>
      <c r="I236" s="313">
        <f>AB146+AB147+AB148+AB149+AB150+AB151+AB152+AB153+AB154+AB155+AB156+AB157+AB158+AB159+AB162+AB163+AB164+AB165+AB166+AB167+AB168+AB169+AB170</f>
        <v>406.20999999999992</v>
      </c>
      <c r="J236" s="294"/>
      <c r="L236" s="294"/>
      <c r="R236" s="326"/>
      <c r="S236" s="326"/>
      <c r="T236" s="294"/>
      <c r="U236" s="294"/>
      <c r="V236" s="294"/>
      <c r="W236" s="294"/>
      <c r="X236" s="1182"/>
      <c r="Y236" s="1182"/>
      <c r="Z236" s="1166"/>
      <c r="AA236" s="1166"/>
      <c r="AB236" s="1182"/>
      <c r="AC236" s="294"/>
      <c r="AD236" s="294"/>
      <c r="AE236" s="294"/>
      <c r="AF236" s="294"/>
      <c r="AG236" s="294"/>
      <c r="AH236" s="294"/>
      <c r="AI236" s="294"/>
      <c r="AJ236" s="294"/>
    </row>
    <row r="237" spans="2:36" x14ac:dyDescent="0.25">
      <c r="B237" s="294"/>
      <c r="C237" s="294"/>
      <c r="D237" s="294" t="s">
        <v>4519</v>
      </c>
      <c r="E237" s="313">
        <f>AK121+AK122+AK123+AK124+AK125+AK126+AK127+AK128+AK131</f>
        <v>4742.9036455835076</v>
      </c>
      <c r="F237" s="294"/>
      <c r="G237" s="294"/>
      <c r="H237" s="294" t="s">
        <v>4519</v>
      </c>
      <c r="I237" s="313">
        <f>AK146+AK147+AK148+AK149+AK150+AK151+AK152+AK153+AK154+AK155+AK156+AK157+AK158+AK159+AK162+AK163+AK164+AK165+AK166+AK167+AK168+AK169+AK170</f>
        <v>11460.296643987107</v>
      </c>
      <c r="J237" s="294"/>
      <c r="L237" s="294"/>
      <c r="R237" s="326"/>
      <c r="S237" s="326"/>
      <c r="T237" s="294"/>
      <c r="U237" s="294"/>
      <c r="V237" s="294"/>
      <c r="W237" s="294"/>
      <c r="X237" s="1182"/>
      <c r="Y237" s="1182"/>
      <c r="Z237" s="1166"/>
      <c r="AA237" s="1166"/>
      <c r="AB237" s="1182"/>
      <c r="AC237" s="294"/>
      <c r="AD237" s="294"/>
      <c r="AE237" s="294"/>
      <c r="AF237" s="294"/>
      <c r="AG237" s="294"/>
      <c r="AH237" s="294"/>
      <c r="AI237" s="294"/>
      <c r="AJ237" s="294"/>
    </row>
    <row r="238" spans="2:36" x14ac:dyDescent="0.25">
      <c r="B238" s="294"/>
      <c r="C238" s="294"/>
      <c r="D238" s="294" t="s">
        <v>2736</v>
      </c>
      <c r="E238" s="313">
        <f>AM121+AM122+AM123+AM124+AM125+AM126+AM127+AM128+AM131</f>
        <v>14228.710936750524</v>
      </c>
      <c r="F238" s="294"/>
      <c r="G238" s="294"/>
      <c r="H238" s="294" t="s">
        <v>2736</v>
      </c>
      <c r="I238" s="313">
        <f>AM146+AM147+AM148+AM149+AM150+AM151+AM152+AM153+AM154+AM155+AM156+AM157+AM158+AM159+AM162+AM163+AM164+AM165+AM166+AM167+AM168+AM169+AM170</f>
        <v>34380.889931961319</v>
      </c>
      <c r="J238" s="294"/>
      <c r="L238" s="294"/>
      <c r="R238" s="326"/>
      <c r="S238" s="326"/>
      <c r="T238" s="294"/>
      <c r="U238" s="294"/>
      <c r="V238" s="294"/>
      <c r="W238" s="294"/>
      <c r="X238" s="1182"/>
      <c r="Y238" s="1182"/>
      <c r="Z238" s="1166"/>
      <c r="AA238" s="1166"/>
      <c r="AB238" s="1182"/>
      <c r="AC238" s="294"/>
      <c r="AD238" s="294"/>
      <c r="AE238" s="294"/>
      <c r="AF238" s="294"/>
      <c r="AG238" s="294"/>
      <c r="AH238" s="294"/>
      <c r="AI238" s="294"/>
      <c r="AJ238" s="294"/>
    </row>
    <row r="239" spans="2:36" x14ac:dyDescent="0.25">
      <c r="B239" s="294"/>
      <c r="C239" s="294"/>
      <c r="D239" s="294" t="s">
        <v>2741</v>
      </c>
      <c r="E239" s="313">
        <f>Y121+Y122+Y123+Y124+Y125+Y126+Y127+Y128+Y131+AA121+AA122+AA123+AA124+AA125+AA126+AA127+AA128+AA131</f>
        <v>1117.7800000000002</v>
      </c>
      <c r="F239" s="294"/>
      <c r="G239" s="294"/>
      <c r="H239" s="294" t="s">
        <v>2741</v>
      </c>
      <c r="I239" s="313">
        <f>Y146+Y147+Y148+Y149+Y150+Y151+Y152+Y153+Y154+Y155+Y156+Y157+Y158+Y159+Y162+Y163+Y164+Y165+Y166+Y167+Y168+Y169+Y170+AA146+AA147+AA148+AA149+AA150+AA151+AA152+AA153+AA154+AA155+AA156+AA157+AA158+AA159+AA162+AA163+AA164+AA165+AA166+AA167+AA168+AA169+AA170</f>
        <v>4800.5700000000006</v>
      </c>
      <c r="J239" s="294"/>
      <c r="L239" s="294"/>
      <c r="R239" s="326"/>
      <c r="S239" s="326"/>
      <c r="T239" s="294"/>
      <c r="U239" s="294"/>
      <c r="V239" s="294"/>
      <c r="W239" s="294"/>
      <c r="X239" s="1182"/>
      <c r="Y239" s="1182"/>
      <c r="Z239" s="1166"/>
      <c r="AA239" s="1166"/>
      <c r="AB239" s="1182"/>
      <c r="AC239" s="294"/>
      <c r="AD239" s="294"/>
      <c r="AE239" s="294"/>
      <c r="AF239" s="294"/>
      <c r="AG239" s="294"/>
      <c r="AH239" s="294"/>
      <c r="AI239" s="294"/>
      <c r="AJ239" s="294"/>
    </row>
    <row r="240" spans="2:36" x14ac:dyDescent="0.25">
      <c r="B240" s="294"/>
      <c r="C240" s="294"/>
      <c r="D240" s="294" t="s">
        <v>3532</v>
      </c>
      <c r="E240" s="298">
        <v>15236.7</v>
      </c>
      <c r="F240" s="294"/>
      <c r="G240" s="294"/>
      <c r="H240" s="294"/>
      <c r="I240" s="294"/>
      <c r="J240" s="294"/>
      <c r="L240" s="295"/>
      <c r="M240" s="294"/>
      <c r="R240" s="326"/>
      <c r="S240" s="326"/>
      <c r="T240" s="294"/>
      <c r="U240" s="294"/>
      <c r="V240" s="294"/>
      <c r="W240" s="294"/>
      <c r="X240" s="1182"/>
      <c r="Y240" s="1182"/>
      <c r="Z240" s="1166"/>
      <c r="AA240" s="1166"/>
      <c r="AB240" s="1182"/>
      <c r="AC240" s="294"/>
      <c r="AD240" s="294"/>
      <c r="AE240" s="294"/>
      <c r="AF240" s="294"/>
      <c r="AG240" s="294"/>
      <c r="AH240" s="294"/>
      <c r="AI240" s="294"/>
      <c r="AJ240" s="294"/>
    </row>
    <row r="241" spans="2:36" x14ac:dyDescent="0.25">
      <c r="B241" s="294"/>
      <c r="C241" s="299" t="s">
        <v>7799</v>
      </c>
      <c r="D241" s="294"/>
      <c r="E241" s="294"/>
      <c r="F241" s="294"/>
      <c r="G241" s="294"/>
      <c r="H241" s="294"/>
      <c r="I241" s="294"/>
      <c r="J241" s="294"/>
      <c r="L241" s="295"/>
      <c r="M241" s="294"/>
      <c r="R241" s="326"/>
      <c r="S241" s="326"/>
      <c r="T241" s="294"/>
      <c r="U241" s="294"/>
      <c r="V241" s="294"/>
      <c r="W241" s="294"/>
      <c r="X241" s="1182"/>
      <c r="Y241" s="1182"/>
      <c r="Z241" s="1166"/>
      <c r="AA241" s="1166"/>
      <c r="AB241" s="1182"/>
      <c r="AC241" s="294"/>
      <c r="AD241" s="294"/>
      <c r="AE241" s="294"/>
      <c r="AF241" s="294"/>
      <c r="AG241" s="294"/>
      <c r="AH241" s="294"/>
      <c r="AI241" s="294"/>
      <c r="AJ241" s="294"/>
    </row>
    <row r="242" spans="2:36" x14ac:dyDescent="0.25">
      <c r="B242" s="294"/>
      <c r="C242" s="294"/>
      <c r="D242" s="5" t="s">
        <v>3075</v>
      </c>
      <c r="E242" s="313">
        <f>N134+N135+N136</f>
        <v>9249.357571929133</v>
      </c>
      <c r="F242" s="294"/>
      <c r="G242" s="294"/>
      <c r="H242" s="294"/>
      <c r="I242" s="294"/>
      <c r="J242" s="294"/>
      <c r="L242" s="295"/>
      <c r="M242" s="294"/>
      <c r="R242" s="326"/>
      <c r="S242" s="326"/>
      <c r="T242" s="294"/>
      <c r="U242" s="294"/>
      <c r="V242" s="294"/>
      <c r="W242" s="294"/>
      <c r="X242" s="1182"/>
      <c r="Y242" s="1182"/>
      <c r="Z242" s="1166"/>
      <c r="AA242" s="1166"/>
      <c r="AB242" s="1182"/>
      <c r="AC242" s="294"/>
      <c r="AD242" s="294"/>
      <c r="AE242" s="294"/>
      <c r="AF242" s="294"/>
      <c r="AG242" s="294"/>
      <c r="AH242" s="294"/>
      <c r="AI242" s="294"/>
      <c r="AJ242" s="294"/>
    </row>
    <row r="243" spans="2:36" x14ac:dyDescent="0.25">
      <c r="B243" s="294"/>
      <c r="C243" s="294"/>
      <c r="D243" s="5" t="s">
        <v>4519</v>
      </c>
      <c r="E243" s="313">
        <f>AK134+AK135+AK136</f>
        <v>3083.1191906430445</v>
      </c>
      <c r="F243" s="294"/>
      <c r="G243" s="294"/>
      <c r="H243" s="294"/>
      <c r="I243" s="294">
        <f>(I227+I239)*12</f>
        <v>71654.040000000008</v>
      </c>
      <c r="J243" s="294"/>
      <c r="L243" s="295"/>
      <c r="M243" s="294"/>
      <c r="R243" s="326"/>
      <c r="S243" s="326"/>
      <c r="T243" s="294"/>
      <c r="U243" s="294"/>
      <c r="V243" s="294"/>
      <c r="W243" s="294"/>
      <c r="X243" s="1182"/>
      <c r="Y243" s="1182"/>
      <c r="Z243" s="1166"/>
      <c r="AA243" s="1166"/>
      <c r="AB243" s="1182"/>
      <c r="AC243" s="294"/>
      <c r="AD243" s="294"/>
      <c r="AE243" s="294"/>
      <c r="AF243" s="294"/>
      <c r="AG243" s="294"/>
      <c r="AH243" s="294"/>
      <c r="AI243" s="294"/>
      <c r="AJ243" s="294"/>
    </row>
    <row r="244" spans="2:36" x14ac:dyDescent="0.25">
      <c r="B244" s="294"/>
      <c r="C244" s="294"/>
      <c r="D244" s="5" t="s">
        <v>2736</v>
      </c>
      <c r="E244" s="313">
        <f>AM134+AM135+AM136</f>
        <v>9249.357571929133</v>
      </c>
      <c r="F244" s="294"/>
      <c r="G244" s="294"/>
      <c r="H244" s="294"/>
      <c r="I244" s="294"/>
      <c r="J244" s="294"/>
      <c r="L244" s="295"/>
      <c r="M244" s="294"/>
      <c r="R244" s="326"/>
      <c r="S244" s="326"/>
      <c r="T244" s="294"/>
      <c r="U244" s="294"/>
      <c r="V244" s="294"/>
      <c r="W244" s="294"/>
      <c r="X244" s="1182"/>
      <c r="Y244" s="1182"/>
      <c r="Z244" s="1166"/>
      <c r="AA244" s="1166"/>
      <c r="AB244" s="1182"/>
      <c r="AC244" s="294"/>
      <c r="AD244" s="294"/>
      <c r="AE244" s="294"/>
      <c r="AF244" s="294"/>
      <c r="AG244" s="294"/>
      <c r="AH244" s="294"/>
      <c r="AI244" s="294"/>
      <c r="AJ244" s="294"/>
    </row>
    <row r="245" spans="2:36" x14ac:dyDescent="0.25">
      <c r="B245" s="294"/>
      <c r="C245" s="294"/>
      <c r="D245" s="294"/>
      <c r="E245" s="294"/>
      <c r="F245" s="294"/>
      <c r="G245" s="1545" t="s">
        <v>4773</v>
      </c>
      <c r="H245" s="1545"/>
      <c r="I245" s="1545"/>
      <c r="J245" s="294"/>
      <c r="L245" s="295"/>
      <c r="M245" s="294"/>
      <c r="R245" s="326"/>
      <c r="S245" s="326"/>
      <c r="T245" s="294"/>
      <c r="U245" s="294"/>
      <c r="V245" s="294"/>
      <c r="W245" s="294"/>
      <c r="X245" s="1182"/>
      <c r="Y245" s="1182"/>
      <c r="Z245" s="1166"/>
      <c r="AA245" s="1166"/>
      <c r="AB245" s="1182"/>
      <c r="AC245" s="294"/>
      <c r="AD245" s="294"/>
      <c r="AE245" s="294"/>
      <c r="AF245" s="294"/>
      <c r="AG245" s="294"/>
      <c r="AH245" s="294"/>
      <c r="AI245" s="294"/>
      <c r="AJ245" s="294"/>
    </row>
    <row r="246" spans="2:36" ht="15.75" x14ac:dyDescent="0.25">
      <c r="B246" s="294"/>
      <c r="C246" s="299" t="s">
        <v>7800</v>
      </c>
      <c r="D246" s="294"/>
      <c r="E246" s="294"/>
      <c r="F246" s="294"/>
      <c r="G246" s="1405" t="s">
        <v>7326</v>
      </c>
      <c r="H246" s="1405" t="s">
        <v>7327</v>
      </c>
      <c r="I246" s="1405" t="s">
        <v>1574</v>
      </c>
      <c r="J246" s="294"/>
      <c r="L246" s="295"/>
      <c r="M246" s="294"/>
      <c r="R246" s="326"/>
      <c r="S246" s="326"/>
      <c r="T246" s="294"/>
      <c r="U246" s="294"/>
      <c r="V246" s="294"/>
      <c r="W246" s="294"/>
      <c r="X246" s="1182"/>
      <c r="Y246" s="1182"/>
      <c r="Z246" s="1166"/>
      <c r="AA246" s="1166"/>
      <c r="AB246" s="1182"/>
      <c r="AC246" s="294"/>
      <c r="AD246" s="294"/>
      <c r="AE246" s="294"/>
      <c r="AF246" s="294"/>
      <c r="AG246" s="294"/>
      <c r="AH246" s="294"/>
      <c r="AI246" s="294"/>
      <c r="AJ246" s="294"/>
    </row>
    <row r="247" spans="2:36" x14ac:dyDescent="0.25">
      <c r="B247" s="294"/>
      <c r="C247" s="294"/>
      <c r="D247" s="294" t="s">
        <v>3075</v>
      </c>
      <c r="E247" s="313">
        <f>N142</f>
        <v>1182.2478784201314</v>
      </c>
      <c r="F247" s="294"/>
      <c r="G247" s="294"/>
      <c r="H247" s="294"/>
      <c r="I247" s="294"/>
      <c r="J247" s="294"/>
      <c r="L247" s="295"/>
      <c r="M247" s="294"/>
      <c r="R247" s="326"/>
      <c r="S247" s="326"/>
      <c r="T247" s="294"/>
      <c r="U247" s="294"/>
      <c r="V247" s="294"/>
      <c r="W247" s="294"/>
      <c r="X247" s="1182"/>
      <c r="Y247" s="1182"/>
      <c r="Z247" s="1166"/>
      <c r="AA247" s="1166"/>
      <c r="AB247" s="1182"/>
      <c r="AC247" s="294"/>
      <c r="AD247" s="294"/>
      <c r="AE247" s="294"/>
      <c r="AF247" s="294"/>
      <c r="AG247" s="294"/>
      <c r="AH247" s="294"/>
      <c r="AI247" s="294"/>
      <c r="AJ247" s="294"/>
    </row>
    <row r="248" spans="2:36" x14ac:dyDescent="0.25">
      <c r="B248" s="294"/>
      <c r="C248" s="294"/>
      <c r="D248" s="294" t="s">
        <v>3411</v>
      </c>
      <c r="E248" s="313">
        <f>S142</f>
        <v>260.0945332524289</v>
      </c>
      <c r="F248" s="294"/>
      <c r="G248" s="258" t="s">
        <v>7794</v>
      </c>
      <c r="H248" s="5"/>
      <c r="I248" s="585"/>
      <c r="J248" s="294"/>
      <c r="L248" s="295"/>
      <c r="M248" s="294"/>
      <c r="R248" s="326"/>
      <c r="S248" s="326"/>
      <c r="T248" s="294"/>
      <c r="U248" s="294"/>
      <c r="V248" s="294"/>
      <c r="W248" s="294"/>
      <c r="X248" s="1182"/>
      <c r="Y248" s="1182"/>
      <c r="Z248" s="1166"/>
      <c r="AA248" s="1166"/>
      <c r="AB248" s="1182"/>
      <c r="AC248" s="294"/>
      <c r="AD248" s="294"/>
      <c r="AE248" s="294"/>
      <c r="AF248" s="294"/>
      <c r="AG248" s="294"/>
      <c r="AH248" s="294"/>
      <c r="AI248" s="294"/>
      <c r="AJ248" s="294"/>
    </row>
    <row r="249" spans="2:36" x14ac:dyDescent="0.25">
      <c r="B249" s="294"/>
      <c r="C249" s="294"/>
      <c r="D249" s="294" t="s">
        <v>4847</v>
      </c>
      <c r="E249" s="313">
        <f>AL142</f>
        <v>86.698177750809649</v>
      </c>
      <c r="F249" s="294"/>
      <c r="G249" s="5"/>
      <c r="H249" s="5" t="s">
        <v>3075</v>
      </c>
      <c r="I249" s="585">
        <f>N179+N180+N181+N182+N183+N184+N185+N186</f>
        <v>11057.494862870641</v>
      </c>
      <c r="J249" s="294"/>
      <c r="L249" s="295"/>
      <c r="M249" s="294"/>
      <c r="R249" s="326"/>
      <c r="S249" s="326"/>
      <c r="T249" s="294"/>
      <c r="U249" s="294"/>
      <c r="V249" s="294"/>
      <c r="W249" s="294"/>
      <c r="X249" s="1182"/>
      <c r="Y249" s="1182"/>
      <c r="Z249" s="1166"/>
      <c r="AA249" s="1166"/>
      <c r="AB249" s="1182"/>
      <c r="AC249" s="294"/>
      <c r="AD249" s="294"/>
      <c r="AE249" s="294"/>
      <c r="AF249" s="294"/>
      <c r="AG249" s="294"/>
      <c r="AH249" s="294"/>
      <c r="AI249" s="294"/>
      <c r="AJ249" s="294"/>
    </row>
    <row r="250" spans="2:36" x14ac:dyDescent="0.25">
      <c r="B250" s="294"/>
      <c r="C250" s="294"/>
      <c r="D250" s="294" t="s">
        <v>7796</v>
      </c>
      <c r="E250" s="313">
        <f>AN142</f>
        <v>260.0945332524289</v>
      </c>
      <c r="F250" s="294"/>
      <c r="G250" s="5"/>
      <c r="H250" s="5" t="s">
        <v>4519</v>
      </c>
      <c r="I250" s="585">
        <f>AK179+AK180+AK181+AK182+AK183+AK184+AK185+AK186</f>
        <v>3685.8316209568807</v>
      </c>
      <c r="J250" s="294"/>
      <c r="L250" s="295"/>
      <c r="M250" s="294"/>
      <c r="R250" s="326"/>
      <c r="S250" s="326"/>
      <c r="T250" s="294"/>
      <c r="U250" s="294"/>
      <c r="V250" s="294"/>
      <c r="W250" s="294"/>
      <c r="X250" s="1182"/>
      <c r="Y250" s="1182"/>
      <c r="Z250" s="1166"/>
      <c r="AA250" s="1166"/>
      <c r="AB250" s="1182"/>
      <c r="AC250" s="294"/>
      <c r="AD250" s="294"/>
      <c r="AE250" s="294"/>
      <c r="AF250" s="294"/>
      <c r="AG250" s="294"/>
      <c r="AH250" s="294"/>
      <c r="AI250" s="294"/>
      <c r="AJ250" s="294"/>
    </row>
    <row r="251" spans="2:36" x14ac:dyDescent="0.25">
      <c r="B251" s="294"/>
      <c r="C251" s="294"/>
      <c r="D251" s="294" t="s">
        <v>4519</v>
      </c>
      <c r="E251" s="313">
        <f>AK142</f>
        <v>394.08262614004383</v>
      </c>
      <c r="F251" s="294"/>
      <c r="G251" s="5"/>
      <c r="H251" s="5" t="s">
        <v>2736</v>
      </c>
      <c r="I251" s="585">
        <f>AM179+AM180+AM181+AM182+AM183+AM184+AM185+AM186</f>
        <v>11057.494862870641</v>
      </c>
      <c r="J251" s="294"/>
      <c r="L251" s="295"/>
      <c r="M251" s="294"/>
      <c r="R251" s="326"/>
      <c r="S251" s="326"/>
      <c r="T251" s="294"/>
      <c r="U251" s="294"/>
      <c r="V251" s="294"/>
      <c r="W251" s="294"/>
      <c r="X251" s="1182"/>
      <c r="Y251" s="1182"/>
      <c r="Z251" s="1166"/>
      <c r="AA251" s="1166"/>
      <c r="AB251" s="1182"/>
      <c r="AC251" s="294"/>
      <c r="AD251" s="294"/>
      <c r="AE251" s="294"/>
      <c r="AF251" s="294"/>
      <c r="AG251" s="294"/>
      <c r="AH251" s="294"/>
      <c r="AI251" s="294"/>
      <c r="AJ251" s="294"/>
    </row>
    <row r="252" spans="2:36" x14ac:dyDescent="0.25">
      <c r="B252" s="294"/>
      <c r="C252" s="294"/>
      <c r="D252" s="294" t="s">
        <v>2736</v>
      </c>
      <c r="E252" s="313">
        <f>AM142</f>
        <v>1182.2478784201314</v>
      </c>
      <c r="F252" s="294"/>
      <c r="G252" s="294"/>
      <c r="H252" s="294" t="s">
        <v>2741</v>
      </c>
      <c r="I252" s="313">
        <f>Y179+Y180+Y181+Y182+Y183+Y184+Y185+Y186+AA179+AA180+AA181+AA182+AA183+AA184+AA185+AA186</f>
        <v>895.55</v>
      </c>
      <c r="J252" s="294"/>
      <c r="L252" s="295"/>
      <c r="M252" s="294"/>
      <c r="R252" s="326"/>
      <c r="S252" s="326"/>
      <c r="T252" s="294"/>
      <c r="U252" s="294"/>
      <c r="V252" s="294"/>
      <c r="W252" s="294"/>
      <c r="X252" s="1182"/>
      <c r="Y252" s="1182"/>
      <c r="Z252" s="1166"/>
      <c r="AA252" s="1166"/>
      <c r="AB252" s="1182"/>
      <c r="AC252" s="294"/>
      <c r="AD252" s="294"/>
      <c r="AE252" s="294"/>
      <c r="AF252" s="294"/>
      <c r="AG252" s="294"/>
      <c r="AH252" s="294"/>
      <c r="AI252" s="294"/>
      <c r="AJ252" s="294"/>
    </row>
    <row r="253" spans="2:36" x14ac:dyDescent="0.25">
      <c r="B253" s="294"/>
      <c r="C253" s="294"/>
      <c r="D253" s="294" t="s">
        <v>2741</v>
      </c>
      <c r="E253" s="313">
        <f>Y142+AA142</f>
        <v>0</v>
      </c>
      <c r="F253" s="294"/>
      <c r="G253" s="294"/>
      <c r="H253" s="294" t="s">
        <v>2761</v>
      </c>
      <c r="I253" s="313">
        <f>AB179+AB180+AB181+AB182+AB183+AB184+AB185+AB186</f>
        <v>154.08999999999997</v>
      </c>
      <c r="J253" s="294"/>
      <c r="L253" s="295"/>
      <c r="M253" s="294"/>
      <c r="R253" s="326"/>
      <c r="S253" s="326"/>
      <c r="T253" s="294"/>
      <c r="U253" s="294"/>
      <c r="V253" s="294"/>
      <c r="W253" s="294"/>
      <c r="X253" s="1182"/>
      <c r="Y253" s="1182"/>
      <c r="Z253" s="1166"/>
      <c r="AA253" s="1166"/>
      <c r="AB253" s="1182"/>
      <c r="AC253" s="294"/>
      <c r="AD253" s="294"/>
      <c r="AE253" s="294"/>
      <c r="AF253" s="294"/>
      <c r="AG253" s="294"/>
      <c r="AH253" s="294"/>
      <c r="AI253" s="294"/>
      <c r="AJ253" s="294"/>
    </row>
    <row r="254" spans="2:36" x14ac:dyDescent="0.25">
      <c r="B254" s="294"/>
      <c r="C254" s="294"/>
      <c r="D254" s="294"/>
      <c r="E254" s="294"/>
      <c r="F254" s="294"/>
      <c r="G254" s="294"/>
      <c r="H254" s="294"/>
      <c r="I254" s="294"/>
      <c r="J254" s="294"/>
      <c r="L254" s="295"/>
      <c r="M254" s="294"/>
      <c r="R254" s="326"/>
      <c r="S254" s="326"/>
      <c r="T254" s="294"/>
      <c r="U254" s="294"/>
      <c r="V254" s="294"/>
      <c r="W254" s="294"/>
      <c r="X254" s="1182"/>
      <c r="Y254" s="1182"/>
      <c r="Z254" s="1166"/>
      <c r="AA254" s="1166"/>
      <c r="AB254" s="1182"/>
      <c r="AC254" s="294"/>
      <c r="AD254" s="294"/>
      <c r="AE254" s="294"/>
      <c r="AF254" s="294"/>
      <c r="AG254" s="294"/>
      <c r="AH254" s="294"/>
      <c r="AI254" s="294"/>
      <c r="AJ254" s="294"/>
    </row>
    <row r="255" spans="2:36" x14ac:dyDescent="0.25">
      <c r="B255" s="294"/>
      <c r="C255" s="299" t="s">
        <v>7801</v>
      </c>
      <c r="D255" s="294"/>
      <c r="E255" s="294"/>
      <c r="F255" s="294"/>
      <c r="G255" s="299" t="s">
        <v>7795</v>
      </c>
      <c r="H255" s="294"/>
      <c r="I255" s="294"/>
      <c r="J255" s="294"/>
      <c r="L255" s="295"/>
      <c r="M255" s="294"/>
      <c r="R255" s="326"/>
      <c r="S255" s="326"/>
      <c r="T255" s="294"/>
      <c r="U255" s="294"/>
      <c r="V255" s="294"/>
      <c r="W255" s="294"/>
      <c r="X255" s="1182"/>
      <c r="Y255" s="1182"/>
      <c r="Z255" s="1166"/>
      <c r="AA255" s="1166"/>
      <c r="AB255" s="1182"/>
      <c r="AC255" s="294"/>
      <c r="AD255" s="294"/>
      <c r="AE255" s="294"/>
      <c r="AF255" s="294"/>
      <c r="AG255" s="294"/>
      <c r="AH255" s="294"/>
      <c r="AI255" s="294"/>
      <c r="AJ255" s="294"/>
    </row>
    <row r="256" spans="2:36" x14ac:dyDescent="0.25">
      <c r="B256" s="294"/>
      <c r="C256" s="294"/>
      <c r="D256" s="294" t="s">
        <v>2725</v>
      </c>
      <c r="E256" s="313">
        <f>N139</f>
        <v>5175.1115474685648</v>
      </c>
      <c r="F256" s="294"/>
      <c r="G256" s="294"/>
      <c r="H256" s="294" t="s">
        <v>3075</v>
      </c>
      <c r="I256" s="313">
        <f>N189+N190+N191</f>
        <v>4123.9587759008118</v>
      </c>
      <c r="J256" s="294"/>
      <c r="L256" s="295"/>
      <c r="M256" s="294"/>
      <c r="R256" s="326"/>
      <c r="S256" s="326"/>
      <c r="T256" s="294"/>
      <c r="U256" s="294"/>
      <c r="V256" s="294"/>
      <c r="W256" s="294"/>
      <c r="X256" s="1182"/>
      <c r="Y256" s="1182"/>
      <c r="Z256" s="1166"/>
      <c r="AA256" s="1166"/>
      <c r="AB256" s="1182"/>
      <c r="AC256" s="294"/>
      <c r="AD256" s="294"/>
      <c r="AE256" s="294"/>
      <c r="AF256" s="294"/>
      <c r="AG256" s="294"/>
      <c r="AH256" s="294"/>
      <c r="AI256" s="294"/>
      <c r="AJ256" s="294"/>
    </row>
    <row r="257" spans="2:36" x14ac:dyDescent="0.25">
      <c r="B257" s="294"/>
      <c r="C257" s="294"/>
      <c r="D257" s="294" t="s">
        <v>3411</v>
      </c>
      <c r="E257" s="313">
        <f>S139</f>
        <v>776.2667321202847</v>
      </c>
      <c r="F257" s="294"/>
      <c r="G257" s="294"/>
      <c r="H257" s="294" t="s">
        <v>3411</v>
      </c>
      <c r="I257" s="313">
        <f>S189+S190+S191</f>
        <v>178.51942964143984</v>
      </c>
      <c r="J257" s="294"/>
      <c r="L257" s="295"/>
      <c r="M257" s="294"/>
      <c r="R257" s="326"/>
      <c r="S257" s="326"/>
      <c r="T257" s="294"/>
      <c r="U257" s="294"/>
      <c r="V257" s="294"/>
      <c r="W257" s="294"/>
      <c r="X257" s="1182"/>
      <c r="Y257" s="1182"/>
      <c r="Z257" s="1166"/>
      <c r="AA257" s="1166"/>
      <c r="AB257" s="1182"/>
      <c r="AC257" s="294"/>
      <c r="AD257" s="294"/>
      <c r="AE257" s="294"/>
      <c r="AF257" s="294"/>
      <c r="AG257" s="294"/>
      <c r="AH257" s="294"/>
      <c r="AI257" s="294"/>
      <c r="AJ257" s="294"/>
    </row>
    <row r="258" spans="2:36" x14ac:dyDescent="0.25">
      <c r="B258" s="294"/>
      <c r="C258" s="294"/>
      <c r="D258" s="294" t="s">
        <v>4847</v>
      </c>
      <c r="E258" s="313">
        <f>AL139</f>
        <v>258.75557737342825</v>
      </c>
      <c r="F258" s="294"/>
      <c r="G258" s="294"/>
      <c r="H258" s="294" t="s">
        <v>4847</v>
      </c>
      <c r="I258" s="313">
        <f>AL189+AL190+AL191</f>
        <v>59.506476547146619</v>
      </c>
      <c r="J258" s="294"/>
      <c r="L258" s="295"/>
      <c r="M258" s="294"/>
      <c r="R258" s="326"/>
      <c r="S258" s="326"/>
      <c r="T258" s="294"/>
      <c r="U258" s="294"/>
      <c r="V258" s="294"/>
      <c r="W258" s="294"/>
      <c r="X258" s="1182"/>
      <c r="Y258" s="1182"/>
      <c r="Z258" s="1166"/>
      <c r="AA258" s="1166"/>
      <c r="AB258" s="1182"/>
      <c r="AC258" s="294"/>
      <c r="AD258" s="294"/>
      <c r="AE258" s="294"/>
      <c r="AF258" s="294"/>
      <c r="AG258" s="294"/>
      <c r="AH258" s="294"/>
      <c r="AI258" s="294"/>
      <c r="AJ258" s="294"/>
    </row>
    <row r="259" spans="2:36" x14ac:dyDescent="0.25">
      <c r="B259" s="294"/>
      <c r="C259" s="294"/>
      <c r="D259" s="294" t="s">
        <v>7796</v>
      </c>
      <c r="E259" s="313">
        <f>AN139</f>
        <v>776.2667321202847</v>
      </c>
      <c r="F259" s="294"/>
      <c r="G259" s="294"/>
      <c r="H259" s="294" t="s">
        <v>7796</v>
      </c>
      <c r="I259" s="313">
        <f>AN189+AN190+AN191</f>
        <v>178.51942964143984</v>
      </c>
      <c r="J259" s="294"/>
      <c r="L259" s="295"/>
      <c r="M259" s="294"/>
      <c r="R259" s="326"/>
      <c r="S259" s="326"/>
      <c r="T259" s="294"/>
      <c r="U259" s="294"/>
      <c r="V259" s="294"/>
      <c r="W259" s="294"/>
      <c r="X259" s="1182"/>
      <c r="Y259" s="1182"/>
      <c r="Z259" s="1166"/>
      <c r="AA259" s="1166"/>
      <c r="AB259" s="1182"/>
      <c r="AC259" s="294"/>
      <c r="AD259" s="294"/>
      <c r="AE259" s="294"/>
      <c r="AF259" s="294"/>
      <c r="AG259" s="294"/>
      <c r="AH259" s="294"/>
      <c r="AI259" s="294"/>
      <c r="AJ259" s="294"/>
    </row>
    <row r="260" spans="2:36" x14ac:dyDescent="0.25">
      <c r="B260" s="294"/>
      <c r="C260" s="294"/>
      <c r="D260" s="294" t="s">
        <v>4519</v>
      </c>
      <c r="E260" s="313">
        <f>AK139</f>
        <v>1725.0371824895217</v>
      </c>
      <c r="F260" s="294"/>
      <c r="G260" s="294"/>
      <c r="H260" s="294" t="s">
        <v>2740</v>
      </c>
      <c r="I260" s="313">
        <f>T189+T190+T191</f>
        <v>0</v>
      </c>
      <c r="J260" s="294"/>
      <c r="L260" s="295"/>
      <c r="M260" s="294"/>
      <c r="R260" s="326"/>
      <c r="S260" s="326"/>
      <c r="T260" s="294"/>
      <c r="U260" s="294"/>
      <c r="V260" s="294"/>
      <c r="W260" s="294"/>
      <c r="X260" s="1182"/>
      <c r="Y260" s="1182"/>
      <c r="Z260" s="1166"/>
      <c r="AA260" s="1166"/>
      <c r="AB260" s="1182"/>
      <c r="AC260" s="294"/>
      <c r="AD260" s="294"/>
      <c r="AE260" s="294"/>
      <c r="AF260" s="294"/>
      <c r="AG260" s="294"/>
      <c r="AH260" s="294"/>
      <c r="AI260" s="294"/>
      <c r="AJ260" s="294"/>
    </row>
    <row r="261" spans="2:36" x14ac:dyDescent="0.25">
      <c r="B261" s="294"/>
      <c r="C261" s="294"/>
      <c r="D261" s="294" t="s">
        <v>2736</v>
      </c>
      <c r="E261" s="313">
        <f>AM139</f>
        <v>5175.1115474685648</v>
      </c>
      <c r="F261" s="294"/>
      <c r="G261" s="294"/>
      <c r="H261" s="294" t="s">
        <v>2761</v>
      </c>
      <c r="I261" s="313">
        <f>AB189+AB190+AB191</f>
        <v>0</v>
      </c>
      <c r="J261" s="294"/>
      <c r="L261" s="295"/>
      <c r="M261" s="294"/>
      <c r="R261" s="326"/>
      <c r="S261" s="326"/>
      <c r="T261" s="294"/>
      <c r="U261" s="294"/>
      <c r="V261" s="294"/>
      <c r="W261" s="294"/>
      <c r="X261" s="1182"/>
      <c r="Y261" s="1182"/>
      <c r="Z261" s="1166"/>
      <c r="AA261" s="1166"/>
      <c r="AB261" s="1182"/>
      <c r="AC261" s="294"/>
      <c r="AD261" s="294"/>
      <c r="AE261" s="294"/>
      <c r="AF261" s="294"/>
      <c r="AG261" s="294"/>
      <c r="AH261" s="294"/>
      <c r="AI261" s="294"/>
      <c r="AJ261" s="294"/>
    </row>
    <row r="262" spans="2:36" x14ac:dyDescent="0.25">
      <c r="B262" s="294"/>
      <c r="C262" s="294"/>
      <c r="D262" s="294" t="s">
        <v>2741</v>
      </c>
      <c r="E262" s="313">
        <f>Y139+AA139</f>
        <v>0</v>
      </c>
      <c r="F262" s="294"/>
      <c r="G262" s="294"/>
      <c r="H262" s="294" t="s">
        <v>4519</v>
      </c>
      <c r="I262" s="313">
        <f>AK189+AK190+AK191</f>
        <v>1374.6529253002705</v>
      </c>
      <c r="J262" s="294"/>
      <c r="L262" s="295"/>
      <c r="M262" s="294"/>
      <c r="R262" s="326"/>
      <c r="S262" s="326"/>
      <c r="T262" s="294"/>
      <c r="U262" s="294"/>
      <c r="V262" s="294"/>
      <c r="W262" s="294"/>
      <c r="X262" s="1182"/>
      <c r="Y262" s="1182"/>
      <c r="Z262" s="1166"/>
      <c r="AA262" s="1166"/>
      <c r="AB262" s="1182"/>
      <c r="AC262" s="294"/>
      <c r="AD262" s="294"/>
      <c r="AE262" s="294"/>
      <c r="AF262" s="294"/>
      <c r="AG262" s="294"/>
      <c r="AH262" s="294"/>
      <c r="AI262" s="294"/>
      <c r="AJ262" s="294"/>
    </row>
    <row r="263" spans="2:36" x14ac:dyDescent="0.25">
      <c r="B263" s="294"/>
      <c r="C263" s="294"/>
      <c r="D263" s="294"/>
      <c r="E263" s="294"/>
      <c r="F263" s="294"/>
      <c r="G263" s="294"/>
      <c r="H263" s="294" t="s">
        <v>2736</v>
      </c>
      <c r="I263" s="313">
        <f>AM189+AM190+AM191</f>
        <v>4123.9587759008118</v>
      </c>
      <c r="J263" s="294"/>
      <c r="L263" s="295"/>
      <c r="M263" s="294"/>
      <c r="R263" s="326"/>
      <c r="S263" s="326"/>
      <c r="T263" s="294"/>
      <c r="U263" s="294"/>
      <c r="V263" s="294"/>
      <c r="W263" s="294"/>
      <c r="X263" s="1182"/>
      <c r="Y263" s="1182"/>
      <c r="Z263" s="1166"/>
      <c r="AA263" s="1166"/>
      <c r="AB263" s="1182"/>
      <c r="AC263" s="294"/>
      <c r="AD263" s="294"/>
      <c r="AE263" s="294"/>
      <c r="AF263" s="294"/>
      <c r="AG263" s="294"/>
      <c r="AH263" s="294"/>
      <c r="AI263" s="294"/>
      <c r="AJ263" s="294"/>
    </row>
    <row r="264" spans="2:36" x14ac:dyDescent="0.25">
      <c r="B264" s="294"/>
      <c r="C264" s="294"/>
      <c r="D264" s="294"/>
      <c r="E264" s="294"/>
      <c r="F264" s="294"/>
      <c r="G264" s="294"/>
      <c r="H264" s="294" t="s">
        <v>2741</v>
      </c>
      <c r="I264" s="313">
        <f>Y189+Y190+Y191+AA189+AA190+AA191</f>
        <v>633.29</v>
      </c>
      <c r="J264" s="294"/>
      <c r="L264" s="295"/>
      <c r="M264" s="294"/>
      <c r="R264" s="326"/>
      <c r="S264" s="326"/>
      <c r="T264" s="294"/>
      <c r="U264" s="294"/>
      <c r="V264" s="294"/>
      <c r="W264" s="294"/>
      <c r="X264" s="1182"/>
      <c r="Y264" s="1182"/>
      <c r="Z264" s="1166"/>
      <c r="AA264" s="1166"/>
      <c r="AB264" s="1182"/>
      <c r="AC264" s="294"/>
      <c r="AD264" s="294"/>
      <c r="AE264" s="294"/>
      <c r="AF264" s="294"/>
      <c r="AG264" s="294"/>
      <c r="AH264" s="294"/>
      <c r="AI264" s="294"/>
      <c r="AJ264" s="294"/>
    </row>
    <row r="265" spans="2:36" x14ac:dyDescent="0.25">
      <c r="E265" s="294"/>
      <c r="F265" s="294"/>
      <c r="G265" s="294"/>
      <c r="H265" s="294"/>
      <c r="I265" s="294"/>
      <c r="J265" s="294"/>
      <c r="L265" s="295"/>
      <c r="M265" s="294"/>
      <c r="R265" s="326"/>
      <c r="S265" s="326"/>
      <c r="T265" s="294"/>
      <c r="U265" s="294"/>
      <c r="V265" s="294"/>
      <c r="W265" s="294"/>
      <c r="X265" s="1182"/>
      <c r="Y265" s="1182"/>
      <c r="Z265" s="1166"/>
      <c r="AA265" s="1166"/>
      <c r="AB265" s="1182"/>
      <c r="AC265" s="294"/>
      <c r="AD265" s="294"/>
      <c r="AE265" s="294"/>
      <c r="AF265" s="294"/>
      <c r="AG265" s="294"/>
      <c r="AH265" s="294"/>
      <c r="AI265" s="294"/>
      <c r="AJ265" s="294"/>
    </row>
    <row r="266" spans="2:36" x14ac:dyDescent="0.25">
      <c r="E266" s="294"/>
      <c r="F266" s="294"/>
      <c r="G266" s="299" t="s">
        <v>7799</v>
      </c>
      <c r="H266" s="294"/>
      <c r="I266" s="294"/>
      <c r="J266" s="294"/>
      <c r="L266" s="295"/>
      <c r="M266" s="294"/>
      <c r="R266" s="326"/>
      <c r="S266" s="326"/>
      <c r="T266" s="294"/>
      <c r="U266" s="294"/>
      <c r="V266" s="294"/>
      <c r="W266" s="294"/>
      <c r="X266" s="1182"/>
      <c r="Y266" s="1182"/>
      <c r="Z266" s="1166"/>
      <c r="AA266" s="1166"/>
      <c r="AB266" s="1182"/>
      <c r="AC266" s="294"/>
      <c r="AD266" s="294"/>
      <c r="AE266" s="294"/>
      <c r="AF266" s="294"/>
      <c r="AG266" s="294"/>
      <c r="AH266" s="294"/>
      <c r="AI266" s="294"/>
      <c r="AJ266" s="294"/>
    </row>
    <row r="267" spans="2:36" x14ac:dyDescent="0.25">
      <c r="E267" s="294"/>
      <c r="F267" s="294"/>
      <c r="G267" s="294"/>
      <c r="H267" s="5" t="s">
        <v>3075</v>
      </c>
      <c r="I267" s="313">
        <f>N194</f>
        <v>4095.373299665282</v>
      </c>
      <c r="J267" s="294"/>
      <c r="L267" s="295"/>
      <c r="M267" s="294"/>
      <c r="R267" s="326"/>
      <c r="S267" s="326"/>
      <c r="T267" s="294"/>
      <c r="U267" s="294"/>
      <c r="V267" s="294"/>
      <c r="W267" s="294"/>
      <c r="X267" s="1182"/>
      <c r="Y267" s="1182"/>
      <c r="Z267" s="1166"/>
      <c r="AA267" s="1166"/>
      <c r="AB267" s="1182"/>
      <c r="AC267" s="294"/>
      <c r="AD267" s="294"/>
      <c r="AE267" s="294"/>
      <c r="AF267" s="294"/>
      <c r="AG267" s="294"/>
      <c r="AH267" s="294"/>
      <c r="AI267" s="294"/>
      <c r="AJ267" s="294"/>
    </row>
    <row r="268" spans="2:36" x14ac:dyDescent="0.25">
      <c r="C268" s="1545" t="s">
        <v>7819</v>
      </c>
      <c r="D268" s="1545"/>
      <c r="E268" s="1545"/>
      <c r="F268" s="294"/>
      <c r="G268" s="294"/>
      <c r="H268" s="5" t="s">
        <v>4519</v>
      </c>
      <c r="I268" s="313">
        <f>AK194</f>
        <v>1365.1244332217607</v>
      </c>
      <c r="J268" s="294"/>
      <c r="L268" s="295"/>
      <c r="M268" s="294"/>
      <c r="R268" s="326"/>
      <c r="S268" s="326"/>
      <c r="T268" s="294"/>
      <c r="U268" s="294"/>
      <c r="V268" s="294"/>
      <c r="W268" s="294"/>
      <c r="X268" s="1182"/>
      <c r="Y268" s="1182"/>
      <c r="Z268" s="1166"/>
      <c r="AA268" s="1166"/>
      <c r="AB268" s="1182"/>
      <c r="AC268" s="294"/>
      <c r="AD268" s="294"/>
      <c r="AE268" s="294"/>
      <c r="AF268" s="294"/>
      <c r="AG268" s="294"/>
      <c r="AH268" s="294"/>
      <c r="AI268" s="294"/>
      <c r="AJ268" s="294"/>
    </row>
    <row r="269" spans="2:36" ht="15.75" x14ac:dyDescent="0.25">
      <c r="C269" s="1405" t="s">
        <v>7326</v>
      </c>
      <c r="D269" s="1405" t="s">
        <v>7327</v>
      </c>
      <c r="E269" s="1405" t="s">
        <v>1574</v>
      </c>
      <c r="F269" s="294"/>
      <c r="G269" s="294"/>
      <c r="H269" s="5" t="s">
        <v>2736</v>
      </c>
      <c r="I269" s="313">
        <f>AM194</f>
        <v>4095.373299665282</v>
      </c>
      <c r="J269" s="294"/>
      <c r="L269" s="295"/>
      <c r="M269" s="294"/>
      <c r="R269" s="326"/>
      <c r="S269" s="326"/>
      <c r="T269" s="294"/>
      <c r="U269" s="294"/>
      <c r="V269" s="294"/>
      <c r="W269" s="294"/>
      <c r="X269" s="1182"/>
      <c r="Y269" s="1182"/>
      <c r="Z269" s="1166"/>
      <c r="AA269" s="1166"/>
      <c r="AB269" s="1182"/>
      <c r="AC269" s="294"/>
      <c r="AD269" s="294"/>
      <c r="AE269" s="294"/>
      <c r="AF269" s="294"/>
      <c r="AG269" s="294"/>
      <c r="AH269" s="294"/>
      <c r="AI269" s="294"/>
      <c r="AJ269" s="294"/>
    </row>
    <row r="270" spans="2:36" x14ac:dyDescent="0.25">
      <c r="C270" s="299" t="s">
        <v>7795</v>
      </c>
      <c r="D270" s="294"/>
      <c r="E270" s="294"/>
      <c r="F270" s="294"/>
      <c r="G270" s="294"/>
      <c r="H270" s="294"/>
      <c r="I270" s="294"/>
      <c r="J270" s="294"/>
      <c r="L270" s="295"/>
      <c r="M270" s="294"/>
      <c r="R270" s="326"/>
      <c r="S270" s="326"/>
      <c r="T270" s="294"/>
      <c r="U270" s="294"/>
      <c r="V270" s="294"/>
      <c r="W270" s="294"/>
      <c r="X270" s="1182"/>
      <c r="Y270" s="1182"/>
      <c r="Z270" s="1166"/>
      <c r="AA270" s="1166"/>
      <c r="AB270" s="1182"/>
      <c r="AC270" s="294"/>
      <c r="AD270" s="294"/>
      <c r="AE270" s="294"/>
      <c r="AF270" s="294"/>
      <c r="AG270" s="294"/>
      <c r="AH270" s="294"/>
      <c r="AI270" s="294"/>
      <c r="AJ270" s="294"/>
    </row>
    <row r="271" spans="2:36" x14ac:dyDescent="0.25">
      <c r="C271" s="294"/>
      <c r="D271" s="294" t="s">
        <v>3075</v>
      </c>
      <c r="E271" s="313">
        <f>N213+N214</f>
        <v>3630.1964266782861</v>
      </c>
      <c r="F271" s="294"/>
      <c r="G271" s="1545" t="s">
        <v>7821</v>
      </c>
      <c r="H271" s="1545"/>
      <c r="I271" s="1545"/>
      <c r="J271" s="294"/>
      <c r="L271" s="295"/>
      <c r="M271" s="294"/>
      <c r="R271" s="326"/>
      <c r="S271" s="326"/>
      <c r="T271" s="294"/>
      <c r="U271" s="294"/>
      <c r="V271" s="294"/>
      <c r="W271" s="294"/>
      <c r="X271" s="1182"/>
      <c r="Y271" s="1182"/>
      <c r="Z271" s="1166"/>
      <c r="AA271" s="1166"/>
      <c r="AB271" s="1182"/>
      <c r="AC271" s="294"/>
      <c r="AD271" s="294"/>
      <c r="AE271" s="294"/>
      <c r="AF271" s="294"/>
      <c r="AG271" s="294"/>
      <c r="AH271" s="294"/>
      <c r="AI271" s="294"/>
      <c r="AJ271" s="294"/>
    </row>
    <row r="272" spans="2:36" ht="15.75" x14ac:dyDescent="0.25">
      <c r="C272" s="294"/>
      <c r="D272" s="294" t="s">
        <v>3411</v>
      </c>
      <c r="E272" s="313">
        <f>S213+S214</f>
        <v>517.68548276232116</v>
      </c>
      <c r="F272" s="294"/>
      <c r="G272" s="1405" t="s">
        <v>7326</v>
      </c>
      <c r="H272" s="1405" t="s">
        <v>7327</v>
      </c>
      <c r="I272" s="1405" t="s">
        <v>1574</v>
      </c>
      <c r="J272" s="294"/>
      <c r="L272" s="295"/>
      <c r="M272" s="294"/>
      <c r="R272" s="326"/>
      <c r="S272" s="326"/>
      <c r="T272" s="294"/>
      <c r="U272" s="294"/>
      <c r="V272" s="294"/>
      <c r="W272" s="294"/>
      <c r="X272" s="1182"/>
      <c r="Y272" s="1182"/>
      <c r="Z272" s="1166"/>
      <c r="AA272" s="1166"/>
      <c r="AB272" s="1182"/>
      <c r="AC272" s="294"/>
      <c r="AD272" s="294"/>
      <c r="AE272" s="294"/>
      <c r="AF272" s="294"/>
      <c r="AG272" s="294"/>
      <c r="AH272" s="294"/>
      <c r="AI272" s="294"/>
      <c r="AJ272" s="294"/>
    </row>
    <row r="273" spans="2:36" x14ac:dyDescent="0.25">
      <c r="C273" s="294"/>
      <c r="D273" s="294" t="s">
        <v>4847</v>
      </c>
      <c r="E273" s="313">
        <f>AL213+AL214</f>
        <v>172.56182758744038</v>
      </c>
      <c r="F273" s="294"/>
      <c r="G273" s="299" t="s">
        <v>7795</v>
      </c>
      <c r="H273" s="294"/>
      <c r="I273" s="294"/>
      <c r="J273" s="294"/>
      <c r="L273" s="295"/>
      <c r="M273" s="294"/>
      <c r="R273" s="326"/>
      <c r="S273" s="326"/>
      <c r="T273" s="294"/>
      <c r="U273" s="294"/>
      <c r="V273" s="294"/>
      <c r="W273" s="294"/>
      <c r="X273" s="1182"/>
      <c r="Y273" s="1182"/>
      <c r="Z273" s="1166"/>
      <c r="AA273" s="1166"/>
      <c r="AB273" s="1182"/>
      <c r="AC273" s="294"/>
      <c r="AD273" s="294"/>
      <c r="AE273" s="294"/>
      <c r="AF273" s="294"/>
      <c r="AG273" s="294"/>
      <c r="AH273" s="294"/>
      <c r="AI273" s="294"/>
      <c r="AJ273" s="294"/>
    </row>
    <row r="274" spans="2:36" x14ac:dyDescent="0.25">
      <c r="C274" s="294"/>
      <c r="D274" s="294" t="s">
        <v>7796</v>
      </c>
      <c r="E274" s="313">
        <f>AN213+AN214</f>
        <v>517.68548276232116</v>
      </c>
      <c r="F274" s="294"/>
      <c r="G274" s="294"/>
      <c r="H274" s="294" t="s">
        <v>3075</v>
      </c>
      <c r="I274" s="313">
        <f>N201</f>
        <v>2920.8476996262075</v>
      </c>
      <c r="J274" s="294"/>
      <c r="L274" s="295"/>
      <c r="M274" s="294"/>
      <c r="R274" s="326"/>
      <c r="S274" s="326"/>
      <c r="T274" s="294"/>
      <c r="U274" s="294"/>
      <c r="V274" s="294"/>
      <c r="W274" s="294"/>
      <c r="X274" s="1182"/>
      <c r="Y274" s="1182"/>
      <c r="Z274" s="1166"/>
      <c r="AA274" s="1166"/>
      <c r="AB274" s="1182"/>
      <c r="AC274" s="294"/>
      <c r="AD274" s="294"/>
      <c r="AE274" s="294"/>
      <c r="AF274" s="294"/>
      <c r="AG274" s="294"/>
      <c r="AH274" s="294"/>
      <c r="AI274" s="294"/>
      <c r="AJ274" s="294"/>
    </row>
    <row r="275" spans="2:36" x14ac:dyDescent="0.25">
      <c r="C275" s="294"/>
      <c r="D275" s="294" t="s">
        <v>2740</v>
      </c>
      <c r="E275" s="313">
        <f>T213+T214</f>
        <v>0</v>
      </c>
      <c r="F275" s="294"/>
      <c r="G275" s="294"/>
      <c r="H275" s="294" t="s">
        <v>3411</v>
      </c>
      <c r="I275" s="313">
        <f>S201</f>
        <v>146.04238498131039</v>
      </c>
      <c r="J275" s="294"/>
      <c r="L275" s="295"/>
      <c r="M275" s="294"/>
      <c r="R275" s="326"/>
      <c r="S275" s="326"/>
      <c r="T275" s="294"/>
      <c r="U275" s="294"/>
      <c r="V275" s="294"/>
      <c r="W275" s="294"/>
      <c r="X275" s="1182"/>
      <c r="Y275" s="1182"/>
      <c r="Z275" s="1166"/>
      <c r="AA275" s="1166"/>
      <c r="AB275" s="1182"/>
      <c r="AC275" s="294"/>
      <c r="AD275" s="294"/>
      <c r="AE275" s="294"/>
      <c r="AF275" s="294"/>
      <c r="AG275" s="294"/>
      <c r="AH275" s="294"/>
      <c r="AI275" s="294"/>
      <c r="AJ275" s="294"/>
    </row>
    <row r="276" spans="2:36" x14ac:dyDescent="0.25">
      <c r="C276" s="294"/>
      <c r="D276" s="294" t="s">
        <v>2761</v>
      </c>
      <c r="E276" s="313">
        <f>AB213+AB214</f>
        <v>0</v>
      </c>
      <c r="F276" s="294"/>
      <c r="G276" s="294"/>
      <c r="H276" s="294" t="s">
        <v>4847</v>
      </c>
      <c r="I276" s="313">
        <f>AL201</f>
        <v>48.680794993770128</v>
      </c>
      <c r="J276" s="294"/>
      <c r="L276" s="295"/>
      <c r="M276" s="294"/>
      <c r="R276" s="326"/>
      <c r="S276" s="326"/>
      <c r="T276" s="294"/>
      <c r="U276" s="294"/>
      <c r="V276" s="294"/>
      <c r="W276" s="294"/>
      <c r="X276" s="1182"/>
      <c r="Y276" s="1182"/>
      <c r="Z276" s="1166"/>
      <c r="AA276" s="1166"/>
      <c r="AB276" s="1182"/>
      <c r="AC276" s="294"/>
      <c r="AD276" s="294"/>
      <c r="AE276" s="294"/>
      <c r="AF276" s="294"/>
      <c r="AG276" s="294"/>
      <c r="AH276" s="294"/>
      <c r="AI276" s="294"/>
      <c r="AJ276" s="294"/>
    </row>
    <row r="277" spans="2:36" x14ac:dyDescent="0.25">
      <c r="C277" s="294"/>
      <c r="D277" s="294" t="s">
        <v>4519</v>
      </c>
      <c r="E277" s="313">
        <f>AK213+AK214</f>
        <v>1210.0654755594287</v>
      </c>
      <c r="F277" s="294"/>
      <c r="G277" s="294"/>
      <c r="H277" s="294" t="s">
        <v>7796</v>
      </c>
      <c r="I277" s="313">
        <f>AN201</f>
        <v>146.04238498131039</v>
      </c>
      <c r="J277" s="294"/>
      <c r="L277" s="295"/>
      <c r="M277" s="294"/>
      <c r="R277" s="326"/>
      <c r="S277" s="326"/>
      <c r="T277" s="294"/>
      <c r="U277" s="294"/>
      <c r="V277" s="294"/>
      <c r="W277" s="294"/>
      <c r="X277" s="1182"/>
      <c r="Y277" s="1182"/>
      <c r="Z277" s="1166"/>
      <c r="AA277" s="1166"/>
      <c r="AB277" s="1182"/>
      <c r="AC277" s="294"/>
      <c r="AD277" s="294"/>
      <c r="AE277" s="294"/>
      <c r="AF277" s="294"/>
      <c r="AG277" s="294"/>
      <c r="AH277" s="294"/>
      <c r="AI277" s="294"/>
      <c r="AJ277" s="294"/>
    </row>
    <row r="278" spans="2:36" x14ac:dyDescent="0.25">
      <c r="C278" s="294"/>
      <c r="D278" s="294" t="s">
        <v>2736</v>
      </c>
      <c r="E278" s="313">
        <f>AM213+AM214</f>
        <v>3630.1964266782861</v>
      </c>
      <c r="F278" s="294"/>
      <c r="G278" s="294"/>
      <c r="H278" s="294" t="s">
        <v>2740</v>
      </c>
      <c r="I278" s="313">
        <f>T201</f>
        <v>0</v>
      </c>
      <c r="J278" s="294"/>
      <c r="L278" s="295"/>
      <c r="M278" s="294"/>
      <c r="R278" s="326"/>
      <c r="S278" s="326"/>
      <c r="T278" s="294"/>
      <c r="U278" s="294"/>
      <c r="V278" s="294"/>
      <c r="W278" s="294"/>
      <c r="X278" s="1182"/>
      <c r="Y278" s="1182"/>
      <c r="Z278" s="1166"/>
      <c r="AA278" s="1166"/>
      <c r="AB278" s="1182"/>
      <c r="AC278" s="294"/>
      <c r="AD278" s="294"/>
      <c r="AE278" s="294"/>
      <c r="AF278" s="294"/>
      <c r="AG278" s="294"/>
      <c r="AH278" s="294"/>
      <c r="AI278" s="294"/>
      <c r="AJ278" s="294"/>
    </row>
    <row r="279" spans="2:36" x14ac:dyDescent="0.25">
      <c r="C279" s="294"/>
      <c r="D279" s="294" t="s">
        <v>2741</v>
      </c>
      <c r="E279" s="313">
        <f>Y213+Y214+AA213+AA214</f>
        <v>0</v>
      </c>
      <c r="F279" s="294"/>
      <c r="G279" s="294"/>
      <c r="H279" s="294" t="s">
        <v>2761</v>
      </c>
      <c r="I279" s="313">
        <f>AB201</f>
        <v>0</v>
      </c>
      <c r="J279" s="294"/>
      <c r="L279" s="295"/>
      <c r="M279" s="294"/>
      <c r="R279" s="326"/>
      <c r="S279" s="326"/>
      <c r="T279" s="294"/>
      <c r="U279" s="294"/>
      <c r="V279" s="294"/>
      <c r="W279" s="294"/>
      <c r="X279" s="1182"/>
      <c r="Y279" s="1182"/>
      <c r="Z279" s="1166"/>
      <c r="AA279" s="1166"/>
      <c r="AB279" s="1182"/>
      <c r="AC279" s="294"/>
      <c r="AD279" s="294"/>
      <c r="AE279" s="294"/>
      <c r="AF279" s="294"/>
      <c r="AG279" s="294"/>
      <c r="AH279" s="294"/>
      <c r="AI279" s="294"/>
      <c r="AJ279" s="294"/>
    </row>
    <row r="280" spans="2:36" x14ac:dyDescent="0.25">
      <c r="C280" s="294"/>
      <c r="D280" s="294" t="s">
        <v>3532</v>
      </c>
      <c r="E280" s="298">
        <v>0</v>
      </c>
      <c r="F280" s="294"/>
      <c r="G280" s="294"/>
      <c r="H280" s="294" t="s">
        <v>4519</v>
      </c>
      <c r="I280" s="313">
        <f>AK201</f>
        <v>973.61589987540253</v>
      </c>
      <c r="J280" s="294"/>
      <c r="L280" s="295"/>
      <c r="M280" s="294"/>
      <c r="R280" s="326"/>
      <c r="S280" s="326"/>
      <c r="T280" s="294"/>
      <c r="U280" s="294"/>
      <c r="V280" s="294"/>
      <c r="W280" s="294"/>
      <c r="X280" s="1182"/>
      <c r="Y280" s="1182"/>
      <c r="Z280" s="1166"/>
      <c r="AA280" s="1166"/>
      <c r="AB280" s="1182"/>
      <c r="AC280" s="294"/>
      <c r="AD280" s="294"/>
      <c r="AE280" s="294"/>
      <c r="AF280" s="294"/>
      <c r="AG280" s="294"/>
      <c r="AH280" s="294"/>
      <c r="AI280" s="294"/>
      <c r="AJ280" s="294"/>
    </row>
    <row r="281" spans="2:36" x14ac:dyDescent="0.25">
      <c r="D281" s="292" t="s">
        <v>7820</v>
      </c>
      <c r="E281" s="298">
        <v>0</v>
      </c>
      <c r="F281" s="294"/>
      <c r="G281" s="294"/>
      <c r="H281" s="294" t="s">
        <v>2736</v>
      </c>
      <c r="I281" s="313">
        <f>AM201</f>
        <v>2920.8476996262075</v>
      </c>
      <c r="J281" s="294"/>
      <c r="L281" s="295"/>
      <c r="M281" s="294"/>
      <c r="R281" s="326"/>
      <c r="S281" s="326"/>
      <c r="T281" s="294"/>
      <c r="U281" s="294"/>
      <c r="V281" s="294"/>
      <c r="W281" s="294"/>
      <c r="X281" s="1182"/>
      <c r="Y281" s="1182"/>
      <c r="Z281" s="1166"/>
      <c r="AA281" s="1166"/>
      <c r="AB281" s="1182"/>
      <c r="AC281" s="294"/>
      <c r="AD281" s="294"/>
      <c r="AE281" s="294"/>
      <c r="AF281" s="294"/>
      <c r="AG281" s="294"/>
      <c r="AH281" s="294"/>
      <c r="AI281" s="294"/>
      <c r="AJ281" s="294"/>
    </row>
    <row r="282" spans="2:36" x14ac:dyDescent="0.25">
      <c r="D282" s="292" t="s">
        <v>2783</v>
      </c>
      <c r="E282" s="298">
        <v>0</v>
      </c>
      <c r="F282" s="294"/>
      <c r="G282" s="294"/>
      <c r="H282" s="294" t="s">
        <v>2741</v>
      </c>
      <c r="I282" s="313">
        <f>Y201</f>
        <v>51.18</v>
      </c>
      <c r="J282" s="294"/>
      <c r="L282" s="295"/>
      <c r="M282" s="294"/>
      <c r="R282" s="326"/>
      <c r="S282" s="326"/>
      <c r="T282" s="294"/>
      <c r="U282" s="294"/>
      <c r="V282" s="294"/>
      <c r="W282" s="294"/>
      <c r="X282" s="1182"/>
      <c r="Y282" s="1182"/>
      <c r="Z282" s="1166"/>
      <c r="AA282" s="1166"/>
      <c r="AB282" s="1182"/>
      <c r="AC282" s="294"/>
      <c r="AD282" s="294"/>
      <c r="AE282" s="294"/>
      <c r="AF282" s="294"/>
      <c r="AG282" s="294"/>
      <c r="AH282" s="294"/>
      <c r="AI282" s="294"/>
      <c r="AJ282" s="294"/>
    </row>
    <row r="283" spans="2:36" x14ac:dyDescent="0.25">
      <c r="E283" s="294"/>
      <c r="F283" s="294"/>
      <c r="G283" s="294"/>
      <c r="H283" s="294" t="s">
        <v>3532</v>
      </c>
      <c r="I283" s="298">
        <v>0</v>
      </c>
      <c r="J283" s="294"/>
      <c r="L283" s="295"/>
      <c r="M283" s="294"/>
      <c r="R283" s="326"/>
      <c r="S283" s="326"/>
      <c r="T283" s="294"/>
      <c r="U283" s="294"/>
      <c r="V283" s="294"/>
      <c r="W283" s="294"/>
      <c r="X283" s="1182"/>
      <c r="Y283" s="1182"/>
      <c r="Z283" s="1166"/>
      <c r="AA283" s="1166"/>
      <c r="AB283" s="1182"/>
      <c r="AC283" s="294"/>
      <c r="AD283" s="294"/>
      <c r="AE283" s="294"/>
      <c r="AF283" s="294"/>
      <c r="AG283" s="294"/>
      <c r="AH283" s="294"/>
      <c r="AI283" s="294"/>
      <c r="AJ283" s="294"/>
    </row>
    <row r="284" spans="2:36" x14ac:dyDescent="0.25">
      <c r="E284" s="294"/>
      <c r="F284" s="294"/>
      <c r="G284" s="292"/>
      <c r="H284" s="292" t="s">
        <v>7820</v>
      </c>
      <c r="I284" s="298">
        <v>0</v>
      </c>
      <c r="J284" s="294"/>
      <c r="L284" s="295"/>
      <c r="M284" s="294"/>
      <c r="R284" s="326"/>
      <c r="S284" s="326"/>
      <c r="T284" s="294"/>
      <c r="U284" s="294"/>
      <c r="V284" s="294"/>
      <c r="W284" s="294"/>
      <c r="X284" s="1182"/>
      <c r="Y284" s="1182"/>
      <c r="Z284" s="1166"/>
      <c r="AA284" s="1166"/>
      <c r="AB284" s="1182"/>
      <c r="AC284" s="294"/>
      <c r="AD284" s="294"/>
      <c r="AE284" s="294"/>
      <c r="AF284" s="294"/>
      <c r="AG284" s="294"/>
      <c r="AH284" s="294"/>
      <c r="AI284" s="294"/>
      <c r="AJ284" s="294"/>
    </row>
    <row r="285" spans="2:36" x14ac:dyDescent="0.25">
      <c r="B285" s="294"/>
      <c r="C285" s="1545" t="s">
        <v>7823</v>
      </c>
      <c r="D285" s="1545"/>
      <c r="E285" s="1545"/>
      <c r="F285" s="294"/>
      <c r="G285" s="292"/>
      <c r="H285" s="292" t="s">
        <v>2783</v>
      </c>
      <c r="I285" s="298">
        <v>0</v>
      </c>
      <c r="J285" s="294"/>
      <c r="L285" s="295"/>
      <c r="M285" s="294"/>
      <c r="R285" s="326"/>
      <c r="S285" s="326"/>
      <c r="T285" s="294"/>
      <c r="U285" s="294"/>
      <c r="V285" s="294"/>
      <c r="W285" s="294"/>
      <c r="X285" s="1182"/>
      <c r="Y285" s="1182"/>
      <c r="Z285" s="1166"/>
      <c r="AA285" s="1166"/>
      <c r="AB285" s="1182"/>
      <c r="AC285" s="294"/>
      <c r="AD285" s="294"/>
      <c r="AE285" s="294"/>
      <c r="AF285" s="294"/>
      <c r="AG285" s="294"/>
      <c r="AH285" s="294"/>
      <c r="AI285" s="294"/>
      <c r="AJ285" s="294"/>
    </row>
    <row r="286" spans="2:36" ht="15.75" x14ac:dyDescent="0.25">
      <c r="B286" s="294"/>
      <c r="C286" s="1405" t="s">
        <v>7326</v>
      </c>
      <c r="D286" s="1405" t="s">
        <v>7327</v>
      </c>
      <c r="E286" s="1405" t="s">
        <v>1574</v>
      </c>
      <c r="F286" s="294"/>
      <c r="G286" s="294"/>
      <c r="H286" s="294"/>
      <c r="I286" s="294"/>
      <c r="J286" s="294"/>
      <c r="L286" s="295"/>
      <c r="M286" s="294"/>
      <c r="R286" s="326"/>
      <c r="S286" s="326"/>
      <c r="T286" s="294"/>
      <c r="U286" s="294"/>
      <c r="V286" s="294"/>
      <c r="W286" s="294"/>
      <c r="X286" s="1182"/>
      <c r="Y286" s="1182"/>
      <c r="Z286" s="1166"/>
      <c r="AA286" s="1166"/>
      <c r="AB286" s="1182"/>
      <c r="AC286" s="294"/>
      <c r="AD286" s="294"/>
      <c r="AE286" s="294"/>
      <c r="AF286" s="294"/>
      <c r="AG286" s="294"/>
      <c r="AH286" s="294"/>
      <c r="AI286" s="294"/>
      <c r="AJ286" s="294"/>
    </row>
    <row r="287" spans="2:36" x14ac:dyDescent="0.25">
      <c r="B287" s="294"/>
      <c r="C287" s="299" t="s">
        <v>7795</v>
      </c>
      <c r="D287" s="294"/>
      <c r="E287" s="294"/>
      <c r="F287" s="294"/>
      <c r="G287" s="1545" t="s">
        <v>7827</v>
      </c>
      <c r="H287" s="1545"/>
      <c r="I287" s="1545"/>
      <c r="J287" s="294"/>
      <c r="L287" s="295"/>
      <c r="M287" s="294"/>
      <c r="R287" s="326"/>
      <c r="S287" s="326"/>
      <c r="T287" s="294"/>
      <c r="U287" s="294"/>
      <c r="V287" s="294"/>
      <c r="W287" s="294"/>
      <c r="X287" s="1182"/>
      <c r="Y287" s="1182"/>
      <c r="Z287" s="1166"/>
      <c r="AA287" s="1166"/>
      <c r="AB287" s="1182"/>
      <c r="AC287" s="294"/>
      <c r="AD287" s="294"/>
      <c r="AE287" s="294"/>
      <c r="AF287" s="294"/>
      <c r="AG287" s="294"/>
      <c r="AH287" s="294"/>
      <c r="AI287" s="294"/>
      <c r="AJ287" s="294"/>
    </row>
    <row r="288" spans="2:36" ht="15.75" x14ac:dyDescent="0.25">
      <c r="B288" s="294"/>
      <c r="C288" s="294"/>
      <c r="D288" s="294" t="s">
        <v>3075</v>
      </c>
      <c r="E288" s="313">
        <f>N207</f>
        <v>2225.4077711437772</v>
      </c>
      <c r="F288" s="294"/>
      <c r="G288" s="1405" t="s">
        <v>7326</v>
      </c>
      <c r="H288" s="1405" t="s">
        <v>7327</v>
      </c>
      <c r="I288" s="1405" t="s">
        <v>1574</v>
      </c>
      <c r="J288" s="294"/>
      <c r="L288" s="295"/>
      <c r="M288" s="294"/>
      <c r="R288" s="326"/>
      <c r="S288" s="326"/>
      <c r="T288" s="294"/>
      <c r="U288" s="294"/>
      <c r="V288" s="294"/>
      <c r="W288" s="294"/>
      <c r="X288" s="1182"/>
      <c r="Y288" s="1182"/>
      <c r="Z288" s="1166"/>
      <c r="AA288" s="1166"/>
      <c r="AB288" s="1182"/>
      <c r="AC288" s="294"/>
      <c r="AD288" s="294"/>
      <c r="AE288" s="294"/>
      <c r="AF288" s="294"/>
      <c r="AG288" s="294"/>
      <c r="AH288" s="294"/>
      <c r="AI288" s="294"/>
      <c r="AJ288" s="294"/>
    </row>
    <row r="289" spans="2:36" x14ac:dyDescent="0.25">
      <c r="B289" s="294"/>
      <c r="C289" s="294"/>
      <c r="D289" s="294" t="s">
        <v>3411</v>
      </c>
      <c r="E289" s="313">
        <f>S207</f>
        <v>0</v>
      </c>
      <c r="F289" s="294"/>
      <c r="G289" s="299" t="s">
        <v>7795</v>
      </c>
      <c r="H289" s="294"/>
      <c r="I289" s="294"/>
      <c r="J289" s="294"/>
      <c r="L289" s="295"/>
      <c r="M289" s="294"/>
      <c r="R289" s="326"/>
      <c r="S289" s="326"/>
      <c r="T289" s="294"/>
      <c r="U289" s="294"/>
      <c r="V289" s="294"/>
      <c r="W289" s="294"/>
      <c r="X289" s="1182"/>
      <c r="Y289" s="1182"/>
      <c r="Z289" s="1166"/>
      <c r="AA289" s="1166"/>
      <c r="AB289" s="1182"/>
      <c r="AC289" s="294"/>
      <c r="AD289" s="294"/>
      <c r="AE289" s="294"/>
      <c r="AF289" s="294"/>
      <c r="AG289" s="294"/>
      <c r="AH289" s="294"/>
      <c r="AI289" s="294"/>
      <c r="AJ289" s="294"/>
    </row>
    <row r="290" spans="2:36" x14ac:dyDescent="0.25">
      <c r="B290" s="294"/>
      <c r="C290" s="294"/>
      <c r="D290" s="294" t="s">
        <v>4847</v>
      </c>
      <c r="E290" s="313">
        <f>AL207</f>
        <v>0</v>
      </c>
      <c r="F290" s="294"/>
      <c r="G290" s="294"/>
      <c r="H290" s="294" t="s">
        <v>3075</v>
      </c>
      <c r="I290" s="313">
        <f>N210</f>
        <v>2225.4077711437772</v>
      </c>
      <c r="J290" s="294"/>
      <c r="L290" s="295"/>
      <c r="M290" s="294"/>
      <c r="R290" s="326"/>
      <c r="S290" s="326"/>
      <c r="T290" s="294"/>
      <c r="U290" s="294"/>
      <c r="V290" s="294"/>
      <c r="W290" s="294"/>
      <c r="X290" s="1182"/>
      <c r="Y290" s="1182"/>
      <c r="Z290" s="1166"/>
      <c r="AA290" s="1166"/>
      <c r="AB290" s="1182"/>
      <c r="AC290" s="294"/>
      <c r="AD290" s="294"/>
      <c r="AE290" s="294"/>
      <c r="AF290" s="294"/>
      <c r="AG290" s="294"/>
      <c r="AH290" s="294"/>
      <c r="AI290" s="294"/>
      <c r="AJ290" s="294"/>
    </row>
    <row r="291" spans="2:36" x14ac:dyDescent="0.25">
      <c r="B291" s="294"/>
      <c r="C291" s="294"/>
      <c r="D291" s="294" t="s">
        <v>7796</v>
      </c>
      <c r="E291" s="313">
        <f>AN207</f>
        <v>0</v>
      </c>
      <c r="F291" s="294"/>
      <c r="G291" s="294"/>
      <c r="H291" s="294" t="s">
        <v>3411</v>
      </c>
      <c r="I291" s="313">
        <f>S210</f>
        <v>0</v>
      </c>
      <c r="J291" s="294"/>
      <c r="L291" s="295"/>
      <c r="M291" s="294"/>
      <c r="R291" s="326"/>
      <c r="S291" s="326"/>
      <c r="T291" s="294"/>
      <c r="U291" s="294"/>
      <c r="V291" s="294"/>
      <c r="W291" s="294"/>
      <c r="X291" s="1182"/>
      <c r="Y291" s="1182"/>
      <c r="Z291" s="1166"/>
      <c r="AA291" s="1166"/>
      <c r="AB291" s="1182"/>
      <c r="AC291" s="294"/>
      <c r="AD291" s="294"/>
      <c r="AE291" s="294"/>
      <c r="AF291" s="294"/>
      <c r="AG291" s="294"/>
      <c r="AH291" s="294"/>
      <c r="AI291" s="294"/>
      <c r="AJ291" s="294"/>
    </row>
    <row r="292" spans="2:36" x14ac:dyDescent="0.25">
      <c r="B292" s="294"/>
      <c r="C292" s="294"/>
      <c r="D292" s="294" t="s">
        <v>2740</v>
      </c>
      <c r="E292" s="313">
        <f>T207</f>
        <v>0</v>
      </c>
      <c r="F292" s="294"/>
      <c r="G292" s="294"/>
      <c r="H292" s="294" t="s">
        <v>4847</v>
      </c>
      <c r="I292" s="313">
        <f>AL210</f>
        <v>0</v>
      </c>
      <c r="J292" s="294"/>
      <c r="L292" s="295"/>
      <c r="M292" s="294"/>
      <c r="R292" s="326"/>
      <c r="S292" s="326"/>
      <c r="T292" s="294"/>
      <c r="U292" s="294"/>
      <c r="V292" s="294"/>
      <c r="W292" s="294"/>
      <c r="X292" s="1182"/>
      <c r="Y292" s="1182"/>
      <c r="Z292" s="1166"/>
      <c r="AA292" s="1166"/>
      <c r="AB292" s="1182"/>
      <c r="AC292" s="294"/>
      <c r="AD292" s="294"/>
      <c r="AE292" s="294"/>
      <c r="AF292" s="294"/>
      <c r="AG292" s="294"/>
      <c r="AH292" s="294"/>
      <c r="AI292" s="294"/>
      <c r="AJ292" s="294"/>
    </row>
    <row r="293" spans="2:36" x14ac:dyDescent="0.25">
      <c r="B293" s="294"/>
      <c r="C293" s="294"/>
      <c r="D293" s="294" t="s">
        <v>2761</v>
      </c>
      <c r="E293" s="313">
        <f>AB207</f>
        <v>0</v>
      </c>
      <c r="F293" s="294"/>
      <c r="G293" s="294"/>
      <c r="H293" s="294" t="s">
        <v>7796</v>
      </c>
      <c r="I293" s="313">
        <f>AN210</f>
        <v>0</v>
      </c>
      <c r="J293" s="294"/>
      <c r="L293" s="295"/>
      <c r="M293" s="294"/>
      <c r="R293" s="326"/>
      <c r="S293" s="326"/>
      <c r="T293" s="294"/>
      <c r="U293" s="294"/>
      <c r="V293" s="294"/>
      <c r="W293" s="294"/>
      <c r="X293" s="1182"/>
      <c r="Y293" s="1182"/>
      <c r="Z293" s="1166"/>
      <c r="AA293" s="1166"/>
      <c r="AB293" s="1182"/>
      <c r="AC293" s="294"/>
      <c r="AD293" s="294"/>
      <c r="AE293" s="294"/>
      <c r="AF293" s="294"/>
      <c r="AG293" s="294"/>
      <c r="AH293" s="294"/>
      <c r="AI293" s="294"/>
      <c r="AJ293" s="294"/>
    </row>
    <row r="294" spans="2:36" x14ac:dyDescent="0.25">
      <c r="B294" s="294"/>
      <c r="C294" s="294"/>
      <c r="D294" s="294" t="s">
        <v>4519</v>
      </c>
      <c r="E294" s="313">
        <f>AK207</f>
        <v>741.80259038125905</v>
      </c>
      <c r="F294" s="294"/>
      <c r="G294" s="294"/>
      <c r="H294" s="294" t="s">
        <v>2740</v>
      </c>
      <c r="I294" s="313">
        <f>T210</f>
        <v>0</v>
      </c>
      <c r="J294" s="294"/>
      <c r="L294" s="295"/>
      <c r="M294" s="294"/>
      <c r="R294" s="326"/>
      <c r="S294" s="326"/>
      <c r="T294" s="294"/>
      <c r="U294" s="294"/>
      <c r="V294" s="294"/>
      <c r="W294" s="294"/>
      <c r="X294" s="1182"/>
      <c r="Y294" s="1182"/>
      <c r="Z294" s="1166"/>
      <c r="AA294" s="1166"/>
      <c r="AB294" s="1182"/>
      <c r="AC294" s="294"/>
      <c r="AD294" s="294"/>
      <c r="AE294" s="294"/>
      <c r="AF294" s="294"/>
      <c r="AG294" s="294"/>
      <c r="AH294" s="294"/>
      <c r="AI294" s="294"/>
      <c r="AJ294" s="294"/>
    </row>
    <row r="295" spans="2:36" x14ac:dyDescent="0.25">
      <c r="B295" s="294"/>
      <c r="C295" s="294"/>
      <c r="D295" s="294" t="s">
        <v>2736</v>
      </c>
      <c r="E295" s="313">
        <f>AM207</f>
        <v>2225.4077711437772</v>
      </c>
      <c r="F295" s="294"/>
      <c r="G295" s="294"/>
      <c r="H295" s="294" t="s">
        <v>2761</v>
      </c>
      <c r="I295" s="313">
        <f>AB210</f>
        <v>0</v>
      </c>
      <c r="J295" s="294"/>
      <c r="L295" s="295"/>
      <c r="M295" s="294"/>
      <c r="R295" s="326"/>
      <c r="S295" s="326"/>
      <c r="T295" s="294"/>
      <c r="U295" s="294"/>
      <c r="V295" s="294"/>
      <c r="W295" s="294"/>
      <c r="X295" s="1182"/>
      <c r="Y295" s="1182"/>
      <c r="Z295" s="1166"/>
      <c r="AA295" s="1166"/>
      <c r="AB295" s="1182"/>
      <c r="AC295" s="294"/>
      <c r="AD295" s="294"/>
      <c r="AE295" s="294"/>
      <c r="AF295" s="294"/>
      <c r="AG295" s="294"/>
      <c r="AH295" s="294"/>
      <c r="AI295" s="294"/>
      <c r="AJ295" s="294"/>
    </row>
    <row r="296" spans="2:36" x14ac:dyDescent="0.25">
      <c r="B296" s="294"/>
      <c r="C296" s="294"/>
      <c r="D296" s="294" t="s">
        <v>2741</v>
      </c>
      <c r="E296" s="313">
        <f>Y207</f>
        <v>0</v>
      </c>
      <c r="F296" s="294"/>
      <c r="G296" s="294"/>
      <c r="H296" s="294" t="s">
        <v>4519</v>
      </c>
      <c r="I296" s="313">
        <f>AK210</f>
        <v>741.80259038125905</v>
      </c>
      <c r="J296" s="294"/>
      <c r="L296" s="295"/>
      <c r="M296" s="294"/>
      <c r="R296" s="326"/>
      <c r="S296" s="326"/>
      <c r="T296" s="294"/>
      <c r="U296" s="294"/>
      <c r="V296" s="294"/>
      <c r="W296" s="294"/>
      <c r="X296" s="1182"/>
      <c r="Y296" s="1182"/>
      <c r="Z296" s="1166"/>
      <c r="AA296" s="1166"/>
      <c r="AB296" s="1182"/>
      <c r="AC296" s="294"/>
      <c r="AD296" s="294"/>
      <c r="AE296" s="294"/>
      <c r="AF296" s="294"/>
      <c r="AG296" s="294"/>
      <c r="AH296" s="294"/>
      <c r="AI296" s="294"/>
      <c r="AJ296" s="294"/>
    </row>
    <row r="297" spans="2:36" x14ac:dyDescent="0.25">
      <c r="B297" s="294"/>
      <c r="C297" s="294"/>
      <c r="D297" s="294" t="s">
        <v>3532</v>
      </c>
      <c r="E297" s="298">
        <v>0</v>
      </c>
      <c r="F297" s="294"/>
      <c r="G297" s="294"/>
      <c r="H297" s="294" t="s">
        <v>2736</v>
      </c>
      <c r="I297" s="313">
        <f>AM210</f>
        <v>2225.4077711437772</v>
      </c>
      <c r="J297" s="294"/>
      <c r="L297" s="295"/>
      <c r="M297" s="294"/>
      <c r="R297" s="326"/>
      <c r="S297" s="326"/>
      <c r="T297" s="294"/>
      <c r="U297" s="294"/>
      <c r="V297" s="294"/>
      <c r="W297" s="294"/>
      <c r="X297" s="1182"/>
      <c r="Y297" s="1182"/>
      <c r="Z297" s="1166"/>
      <c r="AA297" s="1166"/>
      <c r="AB297" s="1182"/>
      <c r="AC297" s="294"/>
      <c r="AD297" s="294"/>
      <c r="AE297" s="294"/>
      <c r="AF297" s="294"/>
      <c r="AG297" s="294"/>
      <c r="AH297" s="294"/>
      <c r="AI297" s="294"/>
      <c r="AJ297" s="294"/>
    </row>
    <row r="298" spans="2:36" x14ac:dyDescent="0.25">
      <c r="B298" s="294"/>
      <c r="D298" s="292" t="s">
        <v>7820</v>
      </c>
      <c r="E298" s="298">
        <v>0</v>
      </c>
      <c r="F298" s="294"/>
      <c r="G298" s="294"/>
      <c r="H298" s="294" t="s">
        <v>2741</v>
      </c>
      <c r="I298" s="313">
        <f>Y210</f>
        <v>0</v>
      </c>
      <c r="J298" s="294"/>
      <c r="L298" s="295"/>
      <c r="M298" s="294"/>
      <c r="R298" s="326"/>
      <c r="S298" s="326"/>
      <c r="T298" s="294"/>
      <c r="U298" s="294"/>
      <c r="V298" s="294"/>
      <c r="W298" s="294"/>
      <c r="X298" s="1182"/>
      <c r="Y298" s="1182"/>
      <c r="Z298" s="1166"/>
      <c r="AA298" s="1166"/>
      <c r="AB298" s="1182"/>
      <c r="AC298" s="294"/>
      <c r="AD298" s="294"/>
      <c r="AE298" s="294"/>
      <c r="AF298" s="294"/>
      <c r="AG298" s="294"/>
      <c r="AH298" s="294"/>
      <c r="AI298" s="294"/>
      <c r="AJ298" s="294"/>
    </row>
    <row r="299" spans="2:36" x14ac:dyDescent="0.25">
      <c r="B299" s="294"/>
      <c r="D299" s="292" t="s">
        <v>2783</v>
      </c>
      <c r="E299" s="298">
        <v>0</v>
      </c>
      <c r="F299" s="294"/>
      <c r="G299" s="294"/>
      <c r="H299" s="294" t="s">
        <v>3532</v>
      </c>
      <c r="I299" s="298">
        <v>0</v>
      </c>
      <c r="J299" s="294"/>
      <c r="L299" s="295"/>
      <c r="M299" s="294"/>
      <c r="R299" s="326"/>
      <c r="S299" s="326"/>
      <c r="T299" s="294"/>
      <c r="U299" s="294"/>
      <c r="V299" s="294"/>
      <c r="W299" s="294"/>
      <c r="X299" s="1182"/>
      <c r="Y299" s="1182"/>
      <c r="Z299" s="1166"/>
      <c r="AA299" s="1166"/>
      <c r="AB299" s="1182"/>
      <c r="AC299" s="294"/>
      <c r="AD299" s="294"/>
      <c r="AE299" s="294"/>
      <c r="AF299" s="294"/>
      <c r="AG299" s="294"/>
      <c r="AH299" s="294"/>
      <c r="AI299" s="294"/>
      <c r="AJ299" s="294"/>
    </row>
    <row r="300" spans="2:36" x14ac:dyDescent="0.25">
      <c r="B300" s="294"/>
      <c r="C300" s="294"/>
      <c r="D300" s="294"/>
      <c r="E300" s="294"/>
      <c r="F300" s="294"/>
      <c r="G300" s="292"/>
      <c r="H300" s="292" t="s">
        <v>7820</v>
      </c>
      <c r="I300" s="298">
        <v>0</v>
      </c>
      <c r="J300" s="294"/>
      <c r="L300" s="295"/>
      <c r="M300" s="294"/>
      <c r="R300" s="326"/>
      <c r="S300" s="326"/>
      <c r="T300" s="294"/>
      <c r="U300" s="294"/>
      <c r="V300" s="294"/>
      <c r="W300" s="294"/>
      <c r="X300" s="1182"/>
      <c r="Y300" s="1182"/>
      <c r="Z300" s="1166"/>
      <c r="AA300" s="1166"/>
      <c r="AB300" s="1182"/>
      <c r="AC300" s="294"/>
      <c r="AD300" s="294"/>
      <c r="AE300" s="294"/>
      <c r="AF300" s="294"/>
      <c r="AG300" s="294"/>
      <c r="AH300" s="294"/>
      <c r="AI300" s="294"/>
      <c r="AJ300" s="294"/>
    </row>
    <row r="301" spans="2:36" x14ac:dyDescent="0.25">
      <c r="B301" s="294"/>
      <c r="C301" s="294"/>
      <c r="D301" s="294"/>
      <c r="E301" s="294"/>
      <c r="F301" s="294"/>
      <c r="G301" s="292"/>
      <c r="H301" s="292" t="s">
        <v>2783</v>
      </c>
      <c r="I301" s="298">
        <v>0</v>
      </c>
      <c r="J301" s="294"/>
      <c r="L301" s="295"/>
      <c r="M301" s="294"/>
      <c r="R301" s="326"/>
      <c r="S301" s="326"/>
      <c r="T301" s="294"/>
      <c r="U301" s="294"/>
      <c r="V301" s="294"/>
      <c r="W301" s="294"/>
      <c r="X301" s="1182"/>
      <c r="Y301" s="1182"/>
      <c r="Z301" s="1166"/>
      <c r="AA301" s="1166"/>
      <c r="AB301" s="1182"/>
      <c r="AC301" s="294"/>
      <c r="AD301" s="294"/>
      <c r="AE301" s="294"/>
      <c r="AF301" s="294"/>
      <c r="AG301" s="294"/>
      <c r="AH301" s="294"/>
      <c r="AI301" s="294"/>
      <c r="AJ301" s="294"/>
    </row>
    <row r="302" spans="2:36" x14ac:dyDescent="0.25">
      <c r="B302" s="294"/>
      <c r="C302" s="1545" t="s">
        <v>7824</v>
      </c>
      <c r="D302" s="1545"/>
      <c r="E302" s="1545"/>
      <c r="F302" s="294"/>
      <c r="G302" s="294"/>
      <c r="H302" s="294"/>
      <c r="I302" s="294"/>
      <c r="J302" s="294"/>
      <c r="L302" s="295"/>
      <c r="M302" s="294"/>
      <c r="R302" s="326"/>
      <c r="S302" s="326"/>
      <c r="T302" s="294"/>
      <c r="U302" s="294"/>
      <c r="V302" s="294"/>
      <c r="W302" s="294"/>
      <c r="X302" s="1182"/>
      <c r="Y302" s="1182"/>
      <c r="Z302" s="1166"/>
      <c r="AA302" s="1166"/>
      <c r="AB302" s="1182"/>
      <c r="AC302" s="294"/>
      <c r="AD302" s="294"/>
      <c r="AE302" s="294"/>
      <c r="AF302" s="294"/>
      <c r="AG302" s="294"/>
      <c r="AH302" s="294"/>
      <c r="AI302" s="294"/>
      <c r="AJ302" s="294"/>
    </row>
    <row r="303" spans="2:36" ht="15.75" x14ac:dyDescent="0.25">
      <c r="B303" s="294"/>
      <c r="C303" s="1405" t="s">
        <v>7326</v>
      </c>
      <c r="D303" s="1405" t="s">
        <v>7327</v>
      </c>
      <c r="E303" s="1405" t="s">
        <v>1574</v>
      </c>
      <c r="F303" s="294"/>
      <c r="G303" s="1545" t="s">
        <v>7293</v>
      </c>
      <c r="H303" s="1545"/>
      <c r="I303" s="1545"/>
      <c r="J303" s="294"/>
      <c r="L303" s="295"/>
      <c r="M303" s="294"/>
      <c r="R303" s="326"/>
      <c r="S303" s="326"/>
      <c r="T303" s="294"/>
      <c r="U303" s="294"/>
      <c r="V303" s="294"/>
      <c r="W303" s="294"/>
      <c r="X303" s="1182"/>
      <c r="Y303" s="1182"/>
      <c r="Z303" s="1166"/>
      <c r="AA303" s="1166"/>
      <c r="AB303" s="1182"/>
      <c r="AC303" s="294"/>
      <c r="AD303" s="294"/>
      <c r="AE303" s="294"/>
      <c r="AF303" s="294"/>
      <c r="AG303" s="294"/>
      <c r="AH303" s="294"/>
      <c r="AI303" s="294"/>
      <c r="AJ303" s="294"/>
    </row>
    <row r="304" spans="2:36" ht="15.75" x14ac:dyDescent="0.25">
      <c r="B304" s="294"/>
      <c r="C304" s="299" t="s">
        <v>7795</v>
      </c>
      <c r="D304" s="294"/>
      <c r="E304" s="294"/>
      <c r="F304" s="294"/>
      <c r="G304" s="1405" t="s">
        <v>7326</v>
      </c>
      <c r="H304" s="1405" t="s">
        <v>7327</v>
      </c>
      <c r="I304" s="1405" t="s">
        <v>1574</v>
      </c>
      <c r="J304" s="294"/>
      <c r="L304" s="295"/>
      <c r="M304" s="294"/>
      <c r="R304" s="326"/>
      <c r="S304" s="326"/>
      <c r="T304" s="294"/>
      <c r="U304" s="294"/>
      <c r="V304" s="294"/>
      <c r="W304" s="294"/>
      <c r="X304" s="1182"/>
      <c r="Y304" s="1182"/>
      <c r="Z304" s="1166"/>
      <c r="AA304" s="1166"/>
      <c r="AB304" s="1182"/>
      <c r="AC304" s="294"/>
      <c r="AD304" s="294"/>
      <c r="AE304" s="294"/>
      <c r="AF304" s="294"/>
      <c r="AG304" s="294"/>
      <c r="AH304" s="294"/>
      <c r="AI304" s="294"/>
      <c r="AJ304" s="294"/>
    </row>
    <row r="305" spans="2:36" x14ac:dyDescent="0.25">
      <c r="B305" s="294"/>
      <c r="C305" s="294"/>
      <c r="D305" s="294" t="s">
        <v>3075</v>
      </c>
      <c r="E305" s="313">
        <f>N204+N205+N206</f>
        <v>8345.279141789164</v>
      </c>
      <c r="F305" s="294"/>
      <c r="G305" s="299" t="s">
        <v>7795</v>
      </c>
      <c r="H305" s="294"/>
      <c r="I305" s="294"/>
      <c r="J305" s="294"/>
      <c r="L305" s="295"/>
      <c r="M305" s="294"/>
      <c r="R305" s="326"/>
      <c r="S305" s="326"/>
      <c r="T305" s="294"/>
      <c r="U305" s="294"/>
      <c r="V305" s="294"/>
      <c r="W305" s="294"/>
      <c r="X305" s="1182"/>
      <c r="Y305" s="1182"/>
      <c r="Z305" s="1166"/>
      <c r="AA305" s="1166"/>
      <c r="AB305" s="1182"/>
      <c r="AC305" s="294"/>
      <c r="AD305" s="294"/>
      <c r="AE305" s="294"/>
      <c r="AF305" s="294"/>
      <c r="AG305" s="294"/>
      <c r="AH305" s="294"/>
      <c r="AI305" s="294"/>
      <c r="AJ305" s="294"/>
    </row>
    <row r="306" spans="2:36" x14ac:dyDescent="0.25">
      <c r="B306" s="294"/>
      <c r="C306" s="294"/>
      <c r="D306" s="294" t="s">
        <v>3411</v>
      </c>
      <c r="E306" s="313">
        <v>0</v>
      </c>
      <c r="F306" s="294"/>
      <c r="G306" s="294"/>
      <c r="H306" s="294" t="s">
        <v>3075</v>
      </c>
      <c r="I306" s="313">
        <f>N197+N198</f>
        <v>2920.8476996262075</v>
      </c>
      <c r="J306" s="294"/>
      <c r="L306" s="295"/>
      <c r="M306" s="294"/>
      <c r="R306" s="326"/>
      <c r="S306" s="326"/>
      <c r="T306" s="294"/>
      <c r="U306" s="294"/>
      <c r="V306" s="294"/>
      <c r="W306" s="294"/>
      <c r="X306" s="1182"/>
      <c r="Y306" s="1182"/>
      <c r="Z306" s="1166"/>
      <c r="AA306" s="1166"/>
      <c r="AB306" s="1182"/>
      <c r="AC306" s="294"/>
      <c r="AD306" s="294"/>
      <c r="AE306" s="294"/>
      <c r="AF306" s="294"/>
      <c r="AG306" s="294"/>
      <c r="AH306" s="294"/>
      <c r="AI306" s="294"/>
      <c r="AJ306" s="294"/>
    </row>
    <row r="307" spans="2:36" x14ac:dyDescent="0.25">
      <c r="B307" s="294"/>
      <c r="C307" s="294"/>
      <c r="D307" s="294" t="s">
        <v>4847</v>
      </c>
      <c r="E307" s="313">
        <v>0</v>
      </c>
      <c r="F307" s="294"/>
      <c r="G307" s="294"/>
      <c r="H307" s="294" t="s">
        <v>3411</v>
      </c>
      <c r="I307" s="313">
        <f>S197+S198</f>
        <v>317.12060738798823</v>
      </c>
      <c r="J307" s="294"/>
      <c r="L307" s="295"/>
      <c r="M307" s="294"/>
      <c r="R307" s="326"/>
      <c r="S307" s="326"/>
      <c r="T307" s="294"/>
      <c r="U307" s="294"/>
      <c r="V307" s="294"/>
      <c r="W307" s="294"/>
      <c r="X307" s="1182"/>
      <c r="Y307" s="1182"/>
      <c r="Z307" s="1166"/>
      <c r="AA307" s="1166"/>
      <c r="AB307" s="1182"/>
      <c r="AC307" s="294"/>
      <c r="AD307" s="294"/>
      <c r="AE307" s="294"/>
      <c r="AF307" s="294"/>
      <c r="AG307" s="294"/>
      <c r="AH307" s="294"/>
      <c r="AI307" s="294"/>
      <c r="AJ307" s="294"/>
    </row>
    <row r="308" spans="2:36" x14ac:dyDescent="0.25">
      <c r="B308" s="294"/>
      <c r="C308" s="294"/>
      <c r="D308" s="294" t="s">
        <v>7796</v>
      </c>
      <c r="E308" s="313">
        <v>0</v>
      </c>
      <c r="F308" s="294"/>
      <c r="G308" s="294"/>
      <c r="H308" s="294" t="s">
        <v>4847</v>
      </c>
      <c r="I308" s="313">
        <f>AL197+AL198</f>
        <v>105.70686912932942</v>
      </c>
      <c r="J308" s="294"/>
      <c r="L308" s="295"/>
      <c r="M308" s="294"/>
      <c r="R308" s="326"/>
      <c r="S308" s="326"/>
      <c r="T308" s="294"/>
      <c r="U308" s="294"/>
      <c r="V308" s="294"/>
      <c r="W308" s="294"/>
      <c r="X308" s="1182"/>
      <c r="Y308" s="1182"/>
      <c r="Z308" s="1166"/>
      <c r="AA308" s="1166"/>
      <c r="AB308" s="1182"/>
      <c r="AC308" s="294"/>
      <c r="AD308" s="294"/>
      <c r="AE308" s="294"/>
      <c r="AF308" s="294"/>
      <c r="AG308" s="294"/>
      <c r="AH308" s="294"/>
      <c r="AI308" s="294"/>
      <c r="AJ308" s="294"/>
    </row>
    <row r="309" spans="2:36" x14ac:dyDescent="0.25">
      <c r="B309" s="294"/>
      <c r="C309" s="294"/>
      <c r="D309" s="294" t="s">
        <v>2740</v>
      </c>
      <c r="E309" s="313">
        <v>0</v>
      </c>
      <c r="F309" s="294"/>
      <c r="G309" s="294"/>
      <c r="H309" s="294" t="s">
        <v>7796</v>
      </c>
      <c r="I309" s="313">
        <f>AN197+AN198</f>
        <v>317.12060738798823</v>
      </c>
      <c r="J309" s="294"/>
      <c r="L309" s="295"/>
      <c r="M309" s="294"/>
      <c r="R309" s="326"/>
      <c r="S309" s="326"/>
      <c r="T309" s="294"/>
      <c r="U309" s="294"/>
      <c r="V309" s="294"/>
      <c r="W309" s="294"/>
      <c r="X309" s="1182"/>
      <c r="Y309" s="1182"/>
      <c r="Z309" s="1166"/>
      <c r="AA309" s="1166"/>
      <c r="AB309" s="1182"/>
      <c r="AC309" s="294"/>
      <c r="AD309" s="294"/>
      <c r="AE309" s="294"/>
      <c r="AF309" s="294"/>
      <c r="AG309" s="294"/>
      <c r="AH309" s="294"/>
      <c r="AI309" s="294"/>
      <c r="AJ309" s="294"/>
    </row>
    <row r="310" spans="2:36" x14ac:dyDescent="0.25">
      <c r="B310" s="294"/>
      <c r="C310" s="294"/>
      <c r="D310" s="294" t="s">
        <v>2761</v>
      </c>
      <c r="E310" s="313">
        <v>0</v>
      </c>
      <c r="F310" s="294"/>
      <c r="G310" s="294"/>
      <c r="H310" s="294" t="s">
        <v>2740</v>
      </c>
      <c r="I310" s="313">
        <f>T197+T198</f>
        <v>0</v>
      </c>
      <c r="J310" s="294"/>
      <c r="L310" s="295"/>
      <c r="M310" s="294"/>
      <c r="R310" s="326"/>
      <c r="S310" s="326"/>
      <c r="T310" s="294"/>
      <c r="U310" s="294"/>
      <c r="V310" s="294"/>
      <c r="W310" s="294"/>
      <c r="X310" s="1182"/>
      <c r="Y310" s="1182"/>
      <c r="Z310" s="1166"/>
      <c r="AA310" s="1166"/>
      <c r="AB310" s="1182"/>
      <c r="AC310" s="294"/>
      <c r="AD310" s="294"/>
      <c r="AE310" s="294"/>
      <c r="AF310" s="294"/>
      <c r="AG310" s="294"/>
      <c r="AH310" s="294"/>
      <c r="AI310" s="294"/>
      <c r="AJ310" s="294"/>
    </row>
    <row r="311" spans="2:36" x14ac:dyDescent="0.25">
      <c r="B311" s="294"/>
      <c r="C311" s="294"/>
      <c r="D311" s="294" t="s">
        <v>4519</v>
      </c>
      <c r="E311" s="313">
        <f>AK204+AK205+AK206</f>
        <v>2781.7597139297213</v>
      </c>
      <c r="F311" s="294"/>
      <c r="G311" s="294"/>
      <c r="H311" s="294" t="s">
        <v>2761</v>
      </c>
      <c r="I311" s="313">
        <f>AB197+AB198</f>
        <v>0</v>
      </c>
      <c r="J311" s="294"/>
      <c r="L311" s="295"/>
      <c r="M311" s="294"/>
      <c r="R311" s="326"/>
      <c r="S311" s="326"/>
      <c r="T311" s="294"/>
      <c r="U311" s="294"/>
      <c r="V311" s="294"/>
      <c r="W311" s="294"/>
      <c r="X311" s="1182"/>
      <c r="Y311" s="1182"/>
      <c r="Z311" s="1166"/>
      <c r="AA311" s="1166"/>
      <c r="AB311" s="1182"/>
      <c r="AC311" s="294"/>
      <c r="AD311" s="294"/>
      <c r="AE311" s="294"/>
      <c r="AF311" s="294"/>
      <c r="AG311" s="294"/>
      <c r="AH311" s="294"/>
      <c r="AI311" s="294"/>
      <c r="AJ311" s="294"/>
    </row>
    <row r="312" spans="2:36" x14ac:dyDescent="0.25">
      <c r="B312" s="294"/>
      <c r="C312" s="294"/>
      <c r="D312" s="294" t="s">
        <v>2736</v>
      </c>
      <c r="E312" s="313">
        <f>AM204+AM205+AM206</f>
        <v>8345.279141789164</v>
      </c>
      <c r="F312" s="294"/>
      <c r="G312" s="294"/>
      <c r="H312" s="294" t="s">
        <v>4519</v>
      </c>
      <c r="I312" s="313">
        <f>AK197+AK198</f>
        <v>973.61589987540253</v>
      </c>
      <c r="J312" s="294"/>
      <c r="L312" s="295"/>
      <c r="M312" s="294"/>
      <c r="R312" s="326"/>
      <c r="S312" s="326"/>
      <c r="T312" s="294"/>
      <c r="U312" s="294"/>
      <c r="V312" s="294"/>
      <c r="W312" s="294"/>
      <c r="X312" s="1182"/>
      <c r="Y312" s="1182"/>
      <c r="Z312" s="1166"/>
      <c r="AA312" s="1166"/>
      <c r="AB312" s="1182"/>
      <c r="AC312" s="294"/>
      <c r="AD312" s="294"/>
      <c r="AE312" s="294"/>
      <c r="AF312" s="294"/>
      <c r="AG312" s="294"/>
      <c r="AH312" s="294"/>
      <c r="AI312" s="294"/>
      <c r="AJ312" s="294"/>
    </row>
    <row r="313" spans="2:36" x14ac:dyDescent="0.25">
      <c r="B313" s="294"/>
      <c r="C313" s="294"/>
      <c r="D313" s="294" t="s">
        <v>2741</v>
      </c>
      <c r="E313" s="313">
        <v>0</v>
      </c>
      <c r="F313" s="294"/>
      <c r="G313" s="294"/>
      <c r="H313" s="294" t="s">
        <v>2736</v>
      </c>
      <c r="I313" s="313">
        <f>AM197+AM198</f>
        <v>2920.8476996262075</v>
      </c>
      <c r="J313" s="294"/>
      <c r="L313" s="295"/>
      <c r="M313" s="294"/>
      <c r="R313" s="326"/>
      <c r="S313" s="326"/>
      <c r="T313" s="294"/>
      <c r="U313" s="294"/>
      <c r="V313" s="294"/>
      <c r="W313" s="294"/>
      <c r="X313" s="1182"/>
      <c r="Y313" s="1182"/>
      <c r="Z313" s="1166"/>
      <c r="AA313" s="1166"/>
      <c r="AB313" s="1182"/>
      <c r="AC313" s="294"/>
      <c r="AD313" s="294"/>
      <c r="AE313" s="294"/>
      <c r="AF313" s="294"/>
      <c r="AG313" s="294"/>
      <c r="AH313" s="294"/>
      <c r="AI313" s="294"/>
      <c r="AJ313" s="294"/>
    </row>
    <row r="314" spans="2:36" x14ac:dyDescent="0.25">
      <c r="B314" s="294"/>
      <c r="C314" s="294"/>
      <c r="D314" s="294" t="s">
        <v>3532</v>
      </c>
      <c r="E314" s="298">
        <v>0</v>
      </c>
      <c r="F314" s="294"/>
      <c r="G314" s="294"/>
      <c r="H314" s="294" t="s">
        <v>2741</v>
      </c>
      <c r="I314" s="313">
        <f>Y197+Y198</f>
        <v>255.88</v>
      </c>
      <c r="J314" s="294"/>
      <c r="L314" s="295"/>
      <c r="M314" s="294"/>
      <c r="R314" s="326"/>
      <c r="S314" s="326"/>
      <c r="T314" s="294"/>
      <c r="U314" s="294"/>
      <c r="V314" s="294"/>
      <c r="W314" s="294"/>
      <c r="X314" s="1182"/>
      <c r="Y314" s="1182"/>
      <c r="Z314" s="1166"/>
      <c r="AA314" s="1166"/>
      <c r="AB314" s="1182"/>
      <c r="AC314" s="294"/>
      <c r="AD314" s="294"/>
      <c r="AE314" s="294"/>
      <c r="AF314" s="294"/>
      <c r="AG314" s="294"/>
      <c r="AH314" s="294"/>
      <c r="AI314" s="294"/>
      <c r="AJ314" s="294"/>
    </row>
    <row r="315" spans="2:36" x14ac:dyDescent="0.25">
      <c r="B315" s="294"/>
      <c r="D315" s="292" t="s">
        <v>7820</v>
      </c>
      <c r="E315" s="298">
        <v>0</v>
      </c>
      <c r="F315" s="294"/>
      <c r="G315" s="294"/>
      <c r="H315" s="294" t="s">
        <v>3532</v>
      </c>
      <c r="I315" s="298">
        <v>0</v>
      </c>
      <c r="J315" s="294"/>
      <c r="L315" s="295"/>
      <c r="M315" s="294"/>
      <c r="R315" s="326"/>
      <c r="S315" s="326"/>
      <c r="T315" s="294"/>
      <c r="U315" s="294"/>
      <c r="V315" s="294"/>
      <c r="W315" s="294"/>
      <c r="X315" s="1182"/>
      <c r="Y315" s="1182"/>
      <c r="Z315" s="1166"/>
      <c r="AA315" s="1166"/>
      <c r="AB315" s="1182"/>
      <c r="AC315" s="294"/>
      <c r="AD315" s="294"/>
      <c r="AE315" s="294"/>
      <c r="AF315" s="294"/>
      <c r="AG315" s="294"/>
      <c r="AH315" s="294"/>
      <c r="AI315" s="294"/>
      <c r="AJ315" s="294"/>
    </row>
    <row r="316" spans="2:36" x14ac:dyDescent="0.25">
      <c r="B316" s="294"/>
      <c r="D316" s="292" t="s">
        <v>2783</v>
      </c>
      <c r="E316" s="298">
        <v>0</v>
      </c>
      <c r="F316" s="294"/>
      <c r="G316" s="292"/>
      <c r="H316" s="292" t="s">
        <v>7820</v>
      </c>
      <c r="I316" s="298">
        <v>0</v>
      </c>
      <c r="J316" s="294"/>
      <c r="L316" s="295"/>
      <c r="M316" s="294"/>
      <c r="R316" s="326"/>
      <c r="S316" s="326"/>
      <c r="T316" s="294"/>
      <c r="U316" s="294"/>
      <c r="V316" s="294"/>
      <c r="W316" s="294"/>
      <c r="X316" s="1182"/>
      <c r="Y316" s="1182"/>
      <c r="Z316" s="1166"/>
      <c r="AA316" s="1166"/>
      <c r="AB316" s="1182"/>
      <c r="AC316" s="294"/>
      <c r="AD316" s="294"/>
      <c r="AE316" s="294"/>
      <c r="AF316" s="294"/>
      <c r="AG316" s="294"/>
      <c r="AH316" s="294"/>
      <c r="AI316" s="294"/>
      <c r="AJ316" s="294"/>
    </row>
    <row r="317" spans="2:36" x14ac:dyDescent="0.25">
      <c r="B317" s="294"/>
      <c r="C317" s="294"/>
      <c r="D317" s="294"/>
      <c r="E317" s="294"/>
      <c r="F317" s="294"/>
      <c r="G317" s="292"/>
      <c r="H317" s="292" t="s">
        <v>2783</v>
      </c>
      <c r="I317" s="298">
        <v>0</v>
      </c>
      <c r="J317" s="294"/>
      <c r="L317" s="295"/>
      <c r="M317" s="294"/>
      <c r="R317" s="326"/>
      <c r="S317" s="326"/>
      <c r="T317" s="294"/>
      <c r="U317" s="294"/>
      <c r="V317" s="294"/>
      <c r="W317" s="294"/>
      <c r="X317" s="1182"/>
      <c r="Y317" s="1182"/>
      <c r="Z317" s="1166"/>
      <c r="AA317" s="1166"/>
      <c r="AB317" s="1182"/>
      <c r="AC317" s="294"/>
      <c r="AD317" s="294"/>
      <c r="AE317" s="294"/>
      <c r="AF317" s="294"/>
      <c r="AG317" s="294"/>
      <c r="AH317" s="294"/>
      <c r="AI317" s="294"/>
      <c r="AJ317" s="294"/>
    </row>
    <row r="318" spans="2:36" x14ac:dyDescent="0.25">
      <c r="B318" s="294"/>
      <c r="C318" s="294"/>
      <c r="D318" s="294"/>
      <c r="E318" s="294"/>
      <c r="F318" s="294"/>
      <c r="G318" s="294"/>
      <c r="H318" s="294"/>
      <c r="I318" s="294"/>
      <c r="J318" s="294"/>
      <c r="L318" s="295"/>
      <c r="M318" s="294"/>
      <c r="R318" s="326"/>
      <c r="S318" s="326"/>
      <c r="T318" s="294"/>
      <c r="U318" s="294"/>
      <c r="V318" s="294"/>
      <c r="W318" s="294"/>
      <c r="X318" s="1182"/>
      <c r="Y318" s="1182"/>
      <c r="Z318" s="1166"/>
      <c r="AA318" s="1166"/>
      <c r="AB318" s="1182"/>
      <c r="AC318" s="294"/>
      <c r="AD318" s="294"/>
      <c r="AE318" s="294"/>
      <c r="AF318" s="294"/>
      <c r="AG318" s="294"/>
      <c r="AH318" s="294"/>
      <c r="AI318" s="294"/>
      <c r="AJ318" s="294"/>
    </row>
    <row r="319" spans="2:36" x14ac:dyDescent="0.25">
      <c r="B319" s="294"/>
      <c r="C319" s="294"/>
      <c r="D319" s="294"/>
      <c r="E319" s="294"/>
      <c r="F319" s="294"/>
      <c r="G319" s="294"/>
      <c r="H319" s="294"/>
      <c r="I319" s="294"/>
      <c r="J319" s="294"/>
      <c r="L319" s="295"/>
      <c r="M319" s="294"/>
      <c r="R319" s="326"/>
      <c r="S319" s="326"/>
      <c r="T319" s="294"/>
      <c r="U319" s="294"/>
      <c r="V319" s="294"/>
      <c r="W319" s="294"/>
      <c r="X319" s="1182"/>
      <c r="Y319" s="1182"/>
      <c r="Z319" s="1166"/>
      <c r="AA319" s="1166"/>
      <c r="AB319" s="1182"/>
      <c r="AC319" s="294"/>
      <c r="AD319" s="294"/>
      <c r="AE319" s="294"/>
      <c r="AF319" s="294"/>
      <c r="AG319" s="294"/>
      <c r="AH319" s="294"/>
      <c r="AI319" s="294"/>
      <c r="AJ319" s="294"/>
    </row>
    <row r="320" spans="2:36" x14ac:dyDescent="0.25">
      <c r="B320" s="294"/>
      <c r="C320" s="294"/>
      <c r="D320" s="294"/>
      <c r="E320" s="294"/>
      <c r="F320" s="294"/>
      <c r="G320" s="294"/>
      <c r="H320" s="294"/>
      <c r="I320" s="294"/>
      <c r="J320" s="294"/>
      <c r="L320" s="295"/>
      <c r="M320" s="294"/>
      <c r="R320" s="326"/>
      <c r="S320" s="326"/>
      <c r="T320" s="294"/>
      <c r="U320" s="294"/>
      <c r="V320" s="294"/>
      <c r="W320" s="294"/>
      <c r="X320" s="1182"/>
      <c r="Y320" s="1182"/>
      <c r="Z320" s="1166"/>
      <c r="AA320" s="1166"/>
      <c r="AB320" s="1182"/>
      <c r="AC320" s="294"/>
      <c r="AD320" s="294"/>
      <c r="AE320" s="294"/>
      <c r="AF320" s="294"/>
      <c r="AG320" s="294"/>
      <c r="AH320" s="294"/>
      <c r="AI320" s="294"/>
      <c r="AJ320" s="294"/>
    </row>
    <row r="321" spans="2:36" x14ac:dyDescent="0.25">
      <c r="B321" s="294"/>
      <c r="C321" s="294"/>
      <c r="D321" s="294"/>
      <c r="E321" s="294"/>
      <c r="F321" s="294"/>
      <c r="G321" s="294"/>
      <c r="H321" s="294"/>
      <c r="I321" s="294"/>
      <c r="J321" s="294"/>
      <c r="L321" s="295"/>
      <c r="M321" s="294"/>
      <c r="R321" s="326"/>
      <c r="S321" s="326"/>
      <c r="T321" s="294"/>
      <c r="U321" s="294"/>
      <c r="V321" s="294"/>
      <c r="W321" s="294"/>
      <c r="X321" s="1182"/>
      <c r="Y321" s="1182"/>
      <c r="Z321" s="1166"/>
      <c r="AA321" s="1166"/>
      <c r="AB321" s="1182"/>
      <c r="AC321" s="294"/>
      <c r="AD321" s="294"/>
      <c r="AE321" s="294"/>
      <c r="AF321" s="294"/>
      <c r="AG321" s="294"/>
      <c r="AH321" s="294"/>
      <c r="AI321" s="294"/>
      <c r="AJ321" s="294"/>
    </row>
    <row r="322" spans="2:36" x14ac:dyDescent="0.25">
      <c r="B322" s="294"/>
      <c r="C322" s="294"/>
      <c r="D322" s="294"/>
      <c r="E322" s="294"/>
      <c r="F322" s="294"/>
      <c r="G322" s="294"/>
      <c r="H322" s="294"/>
      <c r="I322" s="294"/>
      <c r="J322" s="294"/>
      <c r="L322" s="295"/>
      <c r="M322" s="294"/>
      <c r="R322" s="326"/>
      <c r="S322" s="326"/>
      <c r="T322" s="294"/>
      <c r="U322" s="294"/>
      <c r="V322" s="294"/>
      <c r="W322" s="294"/>
      <c r="X322" s="1182"/>
      <c r="Y322" s="1182"/>
      <c r="Z322" s="1166"/>
      <c r="AA322" s="1166"/>
      <c r="AB322" s="1182"/>
      <c r="AC322" s="294"/>
      <c r="AD322" s="294"/>
      <c r="AE322" s="294"/>
      <c r="AF322" s="294"/>
      <c r="AG322" s="294"/>
      <c r="AH322" s="294"/>
      <c r="AI322" s="294"/>
      <c r="AJ322" s="294"/>
    </row>
    <row r="323" spans="2:36" x14ac:dyDescent="0.25">
      <c r="B323" s="294"/>
      <c r="C323" s="294"/>
      <c r="D323" s="294"/>
      <c r="E323" s="294"/>
      <c r="F323" s="294"/>
      <c r="G323" s="294"/>
      <c r="H323" s="294"/>
      <c r="I323" s="294"/>
      <c r="J323" s="294"/>
      <c r="L323" s="295"/>
      <c r="M323" s="294"/>
      <c r="R323" s="326"/>
      <c r="S323" s="326"/>
      <c r="T323" s="294"/>
      <c r="U323" s="294"/>
      <c r="V323" s="294"/>
      <c r="W323" s="294"/>
      <c r="X323" s="1182"/>
      <c r="Y323" s="1182"/>
      <c r="Z323" s="1166"/>
      <c r="AA323" s="1166"/>
      <c r="AB323" s="1182"/>
      <c r="AC323" s="294"/>
      <c r="AD323" s="294"/>
      <c r="AE323" s="294"/>
      <c r="AF323" s="294"/>
      <c r="AG323" s="294"/>
      <c r="AH323" s="294"/>
      <c r="AI323" s="294"/>
      <c r="AJ323" s="294"/>
    </row>
    <row r="324" spans="2:36" x14ac:dyDescent="0.25">
      <c r="B324" s="294"/>
      <c r="C324" s="294"/>
      <c r="D324" s="294"/>
      <c r="E324" s="294"/>
      <c r="F324" s="294"/>
      <c r="G324" s="294"/>
      <c r="H324" s="294"/>
      <c r="I324" s="294"/>
      <c r="J324" s="294"/>
      <c r="L324" s="295"/>
      <c r="M324" s="294"/>
      <c r="R324" s="326"/>
      <c r="S324" s="326"/>
      <c r="T324" s="294"/>
      <c r="U324" s="294"/>
      <c r="V324" s="294"/>
      <c r="W324" s="294"/>
      <c r="X324" s="1182"/>
      <c r="Y324" s="1182"/>
      <c r="Z324" s="1166"/>
      <c r="AA324" s="1166"/>
      <c r="AB324" s="1182"/>
      <c r="AC324" s="294"/>
      <c r="AD324" s="294"/>
      <c r="AE324" s="294"/>
      <c r="AF324" s="294"/>
      <c r="AG324" s="294"/>
      <c r="AH324" s="294"/>
      <c r="AI324" s="294"/>
      <c r="AJ324" s="294"/>
    </row>
    <row r="325" spans="2:36" x14ac:dyDescent="0.25">
      <c r="B325" s="294"/>
      <c r="C325" s="294"/>
      <c r="D325" s="294"/>
      <c r="E325" s="294"/>
      <c r="F325" s="294"/>
      <c r="G325" s="294"/>
      <c r="H325" s="294"/>
      <c r="I325" s="294"/>
      <c r="J325" s="294"/>
      <c r="L325" s="295"/>
      <c r="M325" s="294"/>
      <c r="R325" s="326"/>
      <c r="S325" s="326"/>
      <c r="T325" s="294"/>
      <c r="U325" s="294"/>
      <c r="V325" s="294"/>
      <c r="W325" s="294"/>
      <c r="X325" s="1182"/>
      <c r="Y325" s="1182"/>
      <c r="Z325" s="1166"/>
      <c r="AA325" s="1166"/>
      <c r="AB325" s="1182"/>
      <c r="AC325" s="294"/>
      <c r="AD325" s="294"/>
      <c r="AE325" s="294"/>
      <c r="AF325" s="294"/>
      <c r="AG325" s="294"/>
      <c r="AH325" s="294"/>
      <c r="AI325" s="294"/>
      <c r="AJ325" s="294"/>
    </row>
    <row r="326" spans="2:36" x14ac:dyDescent="0.25">
      <c r="B326" s="294"/>
      <c r="C326" s="294"/>
      <c r="D326" s="294"/>
      <c r="E326" s="294"/>
      <c r="F326" s="294"/>
      <c r="G326" s="294"/>
      <c r="H326" s="294"/>
      <c r="I326" s="294"/>
      <c r="J326" s="294"/>
      <c r="L326" s="295"/>
      <c r="M326" s="294"/>
      <c r="R326" s="326"/>
      <c r="S326" s="326"/>
      <c r="T326" s="294"/>
      <c r="U326" s="294"/>
      <c r="V326" s="294"/>
      <c r="W326" s="294"/>
      <c r="X326" s="1182"/>
      <c r="Y326" s="1182"/>
      <c r="Z326" s="1166"/>
      <c r="AA326" s="1166"/>
      <c r="AB326" s="1182"/>
      <c r="AC326" s="294"/>
      <c r="AD326" s="294"/>
      <c r="AE326" s="294"/>
      <c r="AF326" s="294"/>
      <c r="AG326" s="294"/>
      <c r="AH326" s="294"/>
      <c r="AI326" s="294"/>
      <c r="AJ326" s="294"/>
    </row>
    <row r="327" spans="2:36" x14ac:dyDescent="0.25">
      <c r="B327" s="294"/>
      <c r="C327" s="294"/>
      <c r="D327" s="294"/>
      <c r="E327" s="294"/>
      <c r="F327" s="294"/>
      <c r="G327" s="294"/>
      <c r="H327" s="294"/>
      <c r="I327" s="294"/>
      <c r="J327" s="294"/>
      <c r="L327" s="295"/>
      <c r="M327" s="294"/>
      <c r="R327" s="326"/>
      <c r="S327" s="326"/>
      <c r="T327" s="294"/>
      <c r="U327" s="294"/>
      <c r="V327" s="294"/>
      <c r="W327" s="294"/>
      <c r="X327" s="1182"/>
      <c r="Y327" s="1182"/>
      <c r="Z327" s="1166"/>
      <c r="AA327" s="1166"/>
      <c r="AB327" s="1182"/>
      <c r="AC327" s="294"/>
      <c r="AD327" s="294"/>
      <c r="AE327" s="294"/>
      <c r="AF327" s="294"/>
      <c r="AG327" s="294"/>
      <c r="AH327" s="294"/>
      <c r="AI327" s="294"/>
      <c r="AJ327" s="294"/>
    </row>
    <row r="328" spans="2:36" x14ac:dyDescent="0.25">
      <c r="B328" s="294"/>
      <c r="C328" s="294"/>
      <c r="D328" s="294"/>
      <c r="E328" s="294"/>
      <c r="F328" s="294"/>
      <c r="G328" s="294"/>
      <c r="H328" s="294"/>
      <c r="I328" s="294"/>
      <c r="J328" s="294"/>
      <c r="L328" s="295"/>
      <c r="M328" s="294"/>
      <c r="R328" s="326"/>
      <c r="S328" s="326"/>
      <c r="T328" s="294"/>
      <c r="U328" s="294"/>
      <c r="V328" s="294"/>
      <c r="W328" s="294"/>
      <c r="X328" s="1182"/>
      <c r="Y328" s="1182"/>
      <c r="Z328" s="1166"/>
      <c r="AA328" s="1166"/>
      <c r="AB328" s="1182"/>
      <c r="AC328" s="294"/>
      <c r="AD328" s="294"/>
      <c r="AE328" s="294"/>
      <c r="AF328" s="294"/>
      <c r="AG328" s="294"/>
      <c r="AH328" s="294"/>
      <c r="AI328" s="294"/>
      <c r="AJ328" s="294"/>
    </row>
    <row r="329" spans="2:36" x14ac:dyDescent="0.25">
      <c r="B329" s="294"/>
      <c r="C329" s="294"/>
      <c r="D329" s="294"/>
      <c r="E329" s="294"/>
      <c r="F329" s="294"/>
      <c r="G329" s="294"/>
      <c r="H329" s="294"/>
      <c r="I329" s="294"/>
      <c r="J329" s="294"/>
      <c r="L329" s="295"/>
      <c r="M329" s="294"/>
      <c r="R329" s="326"/>
      <c r="S329" s="326"/>
      <c r="T329" s="294"/>
      <c r="U329" s="294"/>
      <c r="V329" s="294"/>
      <c r="W329" s="294"/>
      <c r="X329" s="1182"/>
      <c r="Y329" s="1182"/>
      <c r="Z329" s="1166"/>
      <c r="AA329" s="1166"/>
      <c r="AB329" s="1182"/>
      <c r="AC329" s="294"/>
      <c r="AD329" s="294"/>
      <c r="AE329" s="294"/>
      <c r="AF329" s="294"/>
      <c r="AG329" s="294"/>
      <c r="AH329" s="294"/>
      <c r="AI329" s="294"/>
      <c r="AJ329" s="294"/>
    </row>
    <row r="330" spans="2:36" x14ac:dyDescent="0.25">
      <c r="B330" s="294"/>
      <c r="C330" s="294"/>
      <c r="D330" s="294"/>
      <c r="E330" s="294"/>
      <c r="F330" s="294"/>
      <c r="G330" s="294"/>
      <c r="H330" s="294"/>
      <c r="I330" s="294"/>
      <c r="J330" s="294"/>
      <c r="L330" s="295"/>
      <c r="M330" s="294"/>
      <c r="R330" s="326"/>
      <c r="S330" s="326"/>
      <c r="T330" s="294"/>
      <c r="U330" s="294"/>
      <c r="V330" s="294"/>
      <c r="W330" s="294"/>
      <c r="X330" s="1182"/>
      <c r="Y330" s="1182"/>
      <c r="Z330" s="1166"/>
      <c r="AA330" s="1166"/>
      <c r="AB330" s="1182"/>
      <c r="AC330" s="294"/>
      <c r="AD330" s="294"/>
      <c r="AE330" s="294"/>
      <c r="AF330" s="294"/>
      <c r="AG330" s="294"/>
      <c r="AH330" s="294"/>
      <c r="AI330" s="294"/>
      <c r="AJ330" s="294"/>
    </row>
    <row r="331" spans="2:36" x14ac:dyDescent="0.25">
      <c r="B331" s="294"/>
      <c r="C331" s="294"/>
      <c r="D331" s="294"/>
      <c r="E331" s="294"/>
      <c r="F331" s="294"/>
      <c r="G331" s="294"/>
      <c r="H331" s="294"/>
      <c r="I331" s="294"/>
      <c r="J331" s="294"/>
      <c r="L331" s="295"/>
      <c r="M331" s="294"/>
      <c r="R331" s="326"/>
      <c r="S331" s="326"/>
      <c r="T331" s="294"/>
      <c r="U331" s="294"/>
      <c r="V331" s="294"/>
      <c r="W331" s="294"/>
      <c r="X331" s="1182"/>
      <c r="Y331" s="1182"/>
      <c r="Z331" s="1166"/>
      <c r="AA331" s="1166"/>
      <c r="AB331" s="1182"/>
      <c r="AC331" s="294"/>
      <c r="AD331" s="294"/>
      <c r="AE331" s="294"/>
      <c r="AF331" s="294"/>
      <c r="AG331" s="294"/>
      <c r="AH331" s="294"/>
      <c r="AI331" s="294"/>
      <c r="AJ331" s="294"/>
    </row>
    <row r="332" spans="2:36" x14ac:dyDescent="0.25">
      <c r="B332" s="294"/>
      <c r="C332" s="294"/>
      <c r="D332" s="294"/>
      <c r="E332" s="294"/>
      <c r="F332" s="294"/>
      <c r="G332" s="294"/>
      <c r="H332" s="294"/>
      <c r="I332" s="294"/>
      <c r="J332" s="294"/>
      <c r="L332" s="295"/>
      <c r="M332" s="294"/>
      <c r="R332" s="326"/>
      <c r="S332" s="326"/>
      <c r="T332" s="294"/>
      <c r="U332" s="294"/>
      <c r="V332" s="294"/>
      <c r="W332" s="294"/>
      <c r="X332" s="1182"/>
      <c r="Y332" s="1182"/>
      <c r="Z332" s="1166"/>
      <c r="AA332" s="1166"/>
      <c r="AB332" s="1182"/>
      <c r="AC332" s="294"/>
      <c r="AD332" s="294"/>
      <c r="AE332" s="294"/>
      <c r="AF332" s="294"/>
      <c r="AG332" s="294"/>
      <c r="AH332" s="294"/>
      <c r="AI332" s="294"/>
      <c r="AJ332" s="294"/>
    </row>
    <row r="333" spans="2:36" x14ac:dyDescent="0.25">
      <c r="B333" s="294"/>
      <c r="C333" s="294"/>
      <c r="D333" s="294"/>
      <c r="E333" s="294"/>
      <c r="F333" s="294"/>
      <c r="G333" s="294"/>
      <c r="H333" s="294"/>
      <c r="I333" s="294"/>
      <c r="J333" s="294"/>
      <c r="L333" s="295"/>
      <c r="M333" s="294"/>
      <c r="R333" s="326"/>
      <c r="S333" s="326"/>
      <c r="T333" s="294"/>
      <c r="U333" s="294"/>
      <c r="V333" s="294"/>
      <c r="W333" s="294"/>
      <c r="X333" s="1182"/>
      <c r="Y333" s="1182"/>
      <c r="Z333" s="1166"/>
      <c r="AA333" s="1166"/>
      <c r="AB333" s="1182"/>
      <c r="AC333" s="294"/>
      <c r="AD333" s="294"/>
      <c r="AE333" s="294"/>
      <c r="AF333" s="294"/>
      <c r="AG333" s="294"/>
      <c r="AH333" s="294"/>
      <c r="AI333" s="294"/>
      <c r="AJ333" s="294"/>
    </row>
    <row r="334" spans="2:36" x14ac:dyDescent="0.25">
      <c r="B334" s="294"/>
      <c r="C334" s="294"/>
      <c r="D334" s="294"/>
      <c r="E334" s="294"/>
      <c r="F334" s="294"/>
      <c r="G334" s="294"/>
      <c r="H334" s="294"/>
      <c r="I334" s="294"/>
      <c r="J334" s="294"/>
      <c r="L334" s="295"/>
      <c r="M334" s="294"/>
      <c r="R334" s="326"/>
      <c r="S334" s="326"/>
      <c r="T334" s="294"/>
      <c r="U334" s="294"/>
      <c r="V334" s="294"/>
      <c r="W334" s="294"/>
      <c r="X334" s="1182"/>
      <c r="Y334" s="1182"/>
      <c r="Z334" s="1166"/>
      <c r="AA334" s="1166"/>
      <c r="AB334" s="1182"/>
      <c r="AC334" s="294"/>
      <c r="AD334" s="294"/>
      <c r="AE334" s="294"/>
      <c r="AF334" s="294"/>
      <c r="AG334" s="294"/>
      <c r="AH334" s="294"/>
      <c r="AI334" s="294"/>
      <c r="AJ334" s="294"/>
    </row>
    <row r="335" spans="2:36" x14ac:dyDescent="0.25">
      <c r="B335" s="294"/>
      <c r="C335" s="294"/>
      <c r="D335" s="294"/>
      <c r="E335" s="294"/>
      <c r="F335" s="294"/>
      <c r="G335" s="294"/>
      <c r="H335" s="294"/>
      <c r="I335" s="294"/>
      <c r="J335" s="294"/>
      <c r="L335" s="295"/>
      <c r="M335" s="294"/>
      <c r="R335" s="326"/>
      <c r="S335" s="326"/>
      <c r="T335" s="294"/>
      <c r="U335" s="294"/>
      <c r="V335" s="294"/>
      <c r="W335" s="294"/>
      <c r="X335" s="1182"/>
      <c r="Y335" s="1182"/>
      <c r="Z335" s="1166"/>
      <c r="AA335" s="1166"/>
      <c r="AB335" s="1182"/>
      <c r="AC335" s="294"/>
      <c r="AD335" s="294"/>
      <c r="AE335" s="294"/>
      <c r="AF335" s="294"/>
      <c r="AG335" s="294"/>
      <c r="AH335" s="294"/>
      <c r="AI335" s="294"/>
      <c r="AJ335" s="294"/>
    </row>
    <row r="336" spans="2:36" x14ac:dyDescent="0.25">
      <c r="B336" s="294"/>
      <c r="C336" s="294"/>
      <c r="D336" s="294"/>
      <c r="E336" s="294"/>
      <c r="F336" s="294"/>
      <c r="G336" s="294"/>
      <c r="H336" s="294"/>
      <c r="I336" s="294"/>
      <c r="J336" s="294"/>
      <c r="L336" s="295"/>
      <c r="M336" s="294"/>
      <c r="R336" s="326"/>
      <c r="S336" s="326"/>
      <c r="T336" s="294"/>
      <c r="U336" s="294"/>
      <c r="V336" s="294"/>
      <c r="W336" s="294"/>
      <c r="X336" s="1182"/>
      <c r="Y336" s="1182"/>
      <c r="Z336" s="1166"/>
      <c r="AA336" s="1166"/>
      <c r="AB336" s="1182"/>
      <c r="AC336" s="294"/>
      <c r="AD336" s="294"/>
      <c r="AE336" s="294"/>
      <c r="AF336" s="294"/>
      <c r="AG336" s="294"/>
      <c r="AH336" s="294"/>
      <c r="AI336" s="294"/>
      <c r="AJ336" s="294"/>
    </row>
    <row r="337" spans="2:36" x14ac:dyDescent="0.25">
      <c r="B337" s="294"/>
      <c r="C337" s="294"/>
      <c r="D337" s="294"/>
      <c r="E337" s="294"/>
      <c r="F337" s="294"/>
      <c r="G337" s="294"/>
      <c r="H337" s="294"/>
      <c r="I337" s="294"/>
      <c r="J337" s="294"/>
      <c r="L337" s="295"/>
      <c r="M337" s="294"/>
      <c r="R337" s="326"/>
      <c r="S337" s="326"/>
      <c r="T337" s="294"/>
      <c r="U337" s="294"/>
      <c r="V337" s="294"/>
      <c r="W337" s="294"/>
      <c r="X337" s="1182"/>
      <c r="Y337" s="1182"/>
      <c r="Z337" s="1166"/>
      <c r="AA337" s="1166"/>
      <c r="AB337" s="1182"/>
      <c r="AC337" s="294"/>
      <c r="AD337" s="294"/>
      <c r="AE337" s="294"/>
      <c r="AF337" s="294"/>
      <c r="AG337" s="294"/>
      <c r="AH337" s="294"/>
      <c r="AI337" s="294"/>
      <c r="AJ337" s="294"/>
    </row>
    <row r="338" spans="2:36" x14ac:dyDescent="0.25">
      <c r="B338" s="294"/>
      <c r="C338" s="294"/>
      <c r="D338" s="294"/>
      <c r="E338" s="294"/>
      <c r="F338" s="294"/>
      <c r="G338" s="294"/>
      <c r="H338" s="294"/>
      <c r="I338" s="294"/>
      <c r="J338" s="294"/>
      <c r="L338" s="295"/>
      <c r="M338" s="294"/>
      <c r="R338" s="326"/>
      <c r="S338" s="326"/>
      <c r="T338" s="294"/>
      <c r="U338" s="294"/>
      <c r="V338" s="294"/>
      <c r="W338" s="294"/>
      <c r="X338" s="1182"/>
      <c r="Y338" s="1182"/>
      <c r="Z338" s="1166"/>
      <c r="AA338" s="1166"/>
      <c r="AB338" s="1182"/>
      <c r="AC338" s="294"/>
      <c r="AD338" s="294"/>
      <c r="AE338" s="294"/>
      <c r="AF338" s="294"/>
      <c r="AG338" s="294"/>
      <c r="AH338" s="294"/>
      <c r="AI338" s="294"/>
      <c r="AJ338" s="294"/>
    </row>
    <row r="339" spans="2:36" x14ac:dyDescent="0.25">
      <c r="B339" s="294"/>
      <c r="C339" s="294"/>
      <c r="D339" s="294"/>
      <c r="E339" s="294"/>
      <c r="F339" s="294"/>
      <c r="G339" s="294"/>
      <c r="H339" s="294"/>
      <c r="I339" s="294"/>
      <c r="J339" s="294"/>
      <c r="L339" s="295"/>
      <c r="M339" s="294"/>
      <c r="R339" s="326"/>
      <c r="S339" s="326"/>
      <c r="T339" s="294"/>
      <c r="U339" s="294"/>
      <c r="V339" s="294"/>
      <c r="W339" s="294"/>
      <c r="X339" s="1182"/>
      <c r="Y339" s="1182"/>
      <c r="Z339" s="1166"/>
      <c r="AA339" s="1166"/>
      <c r="AB339" s="1182"/>
      <c r="AC339" s="294"/>
      <c r="AD339" s="294"/>
      <c r="AE339" s="294"/>
      <c r="AF339" s="294"/>
      <c r="AG339" s="294"/>
      <c r="AH339" s="294"/>
      <c r="AI339" s="294"/>
      <c r="AJ339" s="294"/>
    </row>
    <row r="340" spans="2:36" x14ac:dyDescent="0.25">
      <c r="B340" s="294"/>
      <c r="C340" s="294"/>
      <c r="D340" s="294"/>
      <c r="E340" s="294"/>
      <c r="F340" s="294"/>
      <c r="G340" s="294"/>
      <c r="H340" s="294"/>
      <c r="I340" s="294"/>
      <c r="J340" s="294"/>
      <c r="L340" s="295"/>
      <c r="M340" s="294"/>
      <c r="R340" s="326"/>
      <c r="S340" s="326"/>
      <c r="T340" s="294"/>
      <c r="U340" s="294"/>
      <c r="V340" s="294"/>
      <c r="W340" s="294"/>
      <c r="X340" s="1182"/>
      <c r="Y340" s="1182"/>
      <c r="Z340" s="1166"/>
      <c r="AA340" s="1166"/>
      <c r="AB340" s="1182"/>
      <c r="AC340" s="294"/>
      <c r="AD340" s="294"/>
      <c r="AE340" s="294"/>
      <c r="AF340" s="294"/>
      <c r="AG340" s="294"/>
      <c r="AH340" s="294"/>
      <c r="AI340" s="294"/>
      <c r="AJ340" s="294"/>
    </row>
    <row r="341" spans="2:36" x14ac:dyDescent="0.25">
      <c r="B341" s="294"/>
      <c r="C341" s="294"/>
      <c r="D341" s="294"/>
      <c r="E341" s="294"/>
      <c r="F341" s="294"/>
      <c r="G341" s="294"/>
      <c r="H341" s="294"/>
      <c r="I341" s="294"/>
      <c r="J341" s="294"/>
      <c r="L341" s="295"/>
      <c r="M341" s="294"/>
      <c r="R341" s="326"/>
      <c r="S341" s="326"/>
      <c r="T341" s="294"/>
      <c r="U341" s="294"/>
      <c r="V341" s="294"/>
      <c r="W341" s="294"/>
      <c r="X341" s="1182"/>
      <c r="Y341" s="1182"/>
      <c r="Z341" s="1166"/>
      <c r="AA341" s="1166"/>
      <c r="AB341" s="1182"/>
      <c r="AC341" s="294"/>
      <c r="AD341" s="294"/>
      <c r="AE341" s="294"/>
      <c r="AF341" s="294"/>
      <c r="AG341" s="294"/>
      <c r="AH341" s="294"/>
      <c r="AI341" s="294"/>
      <c r="AJ341" s="294"/>
    </row>
    <row r="342" spans="2:36" x14ac:dyDescent="0.25">
      <c r="B342" s="294"/>
      <c r="C342" s="294"/>
      <c r="D342" s="294"/>
      <c r="E342" s="294"/>
      <c r="F342" s="294"/>
      <c r="G342" s="294"/>
      <c r="H342" s="294"/>
      <c r="I342" s="294"/>
      <c r="J342" s="294"/>
      <c r="L342" s="295"/>
      <c r="M342" s="294"/>
      <c r="R342" s="326"/>
      <c r="S342" s="326"/>
      <c r="T342" s="294"/>
      <c r="U342" s="294"/>
      <c r="V342" s="294"/>
      <c r="W342" s="294"/>
      <c r="X342" s="1182"/>
      <c r="Y342" s="1182"/>
      <c r="Z342" s="1166"/>
      <c r="AA342" s="1166"/>
      <c r="AB342" s="1182"/>
      <c r="AC342" s="294"/>
      <c r="AD342" s="294"/>
      <c r="AE342" s="294"/>
      <c r="AF342" s="294"/>
      <c r="AG342" s="294"/>
      <c r="AH342" s="294"/>
      <c r="AI342" s="294"/>
      <c r="AJ342" s="294"/>
    </row>
    <row r="343" spans="2:36" x14ac:dyDescent="0.25">
      <c r="B343" s="294"/>
      <c r="C343" s="294"/>
      <c r="D343" s="294"/>
      <c r="E343" s="294"/>
      <c r="F343" s="294"/>
      <c r="G343" s="294"/>
      <c r="H343" s="294"/>
      <c r="I343" s="294"/>
      <c r="J343" s="294"/>
      <c r="L343" s="295"/>
      <c r="M343" s="294"/>
      <c r="R343" s="326"/>
      <c r="S343" s="326"/>
      <c r="T343" s="294"/>
      <c r="U343" s="294"/>
      <c r="V343" s="294"/>
      <c r="W343" s="294"/>
      <c r="X343" s="1182"/>
      <c r="Y343" s="1182"/>
      <c r="Z343" s="1166"/>
      <c r="AA343" s="1166"/>
      <c r="AB343" s="1182"/>
      <c r="AC343" s="294"/>
      <c r="AD343" s="294"/>
      <c r="AE343" s="294"/>
      <c r="AF343" s="294"/>
      <c r="AG343" s="294"/>
      <c r="AH343" s="294"/>
      <c r="AI343" s="294"/>
      <c r="AJ343" s="294"/>
    </row>
    <row r="344" spans="2:36" x14ac:dyDescent="0.25">
      <c r="B344" s="294"/>
      <c r="C344" s="294"/>
      <c r="D344" s="294"/>
      <c r="E344" s="294"/>
      <c r="F344" s="294"/>
      <c r="G344" s="294"/>
      <c r="H344" s="294"/>
      <c r="I344" s="294"/>
      <c r="J344" s="294"/>
      <c r="L344" s="295"/>
      <c r="M344" s="294"/>
      <c r="R344" s="326"/>
      <c r="S344" s="326"/>
      <c r="T344" s="294"/>
      <c r="U344" s="294"/>
      <c r="V344" s="294"/>
      <c r="W344" s="294"/>
      <c r="X344" s="1182"/>
      <c r="Y344" s="1182"/>
      <c r="Z344" s="1166"/>
      <c r="AA344" s="1166"/>
      <c r="AB344" s="1182"/>
      <c r="AC344" s="294"/>
      <c r="AD344" s="294"/>
      <c r="AE344" s="294"/>
      <c r="AF344" s="294"/>
      <c r="AG344" s="294"/>
      <c r="AH344" s="294"/>
      <c r="AI344" s="294"/>
      <c r="AJ344" s="294"/>
    </row>
    <row r="345" spans="2:36" x14ac:dyDescent="0.25">
      <c r="B345" s="294"/>
      <c r="C345" s="294"/>
      <c r="D345" s="294"/>
      <c r="E345" s="294"/>
      <c r="F345" s="294"/>
      <c r="G345" s="294"/>
      <c r="H345" s="294"/>
      <c r="I345" s="294"/>
      <c r="J345" s="294"/>
      <c r="L345" s="295"/>
      <c r="M345" s="294"/>
      <c r="R345" s="326"/>
      <c r="S345" s="326"/>
      <c r="T345" s="294"/>
      <c r="U345" s="294"/>
      <c r="V345" s="294"/>
      <c r="W345" s="294"/>
      <c r="X345" s="1182"/>
      <c r="Y345" s="1182"/>
      <c r="Z345" s="1166"/>
      <c r="AA345" s="1166"/>
      <c r="AB345" s="1182"/>
      <c r="AC345" s="294"/>
      <c r="AD345" s="294"/>
      <c r="AE345" s="294"/>
      <c r="AF345" s="294"/>
      <c r="AG345" s="294"/>
      <c r="AH345" s="294"/>
      <c r="AI345" s="294"/>
      <c r="AJ345" s="294"/>
    </row>
    <row r="346" spans="2:36" x14ac:dyDescent="0.25">
      <c r="B346" s="294"/>
      <c r="C346" s="294"/>
      <c r="D346" s="294"/>
      <c r="E346" s="294"/>
      <c r="F346" s="294"/>
      <c r="G346" s="294"/>
      <c r="H346" s="294"/>
      <c r="I346" s="294"/>
      <c r="J346" s="294"/>
      <c r="L346" s="295"/>
      <c r="M346" s="294"/>
      <c r="R346" s="326"/>
      <c r="S346" s="326"/>
      <c r="T346" s="294"/>
      <c r="U346" s="294"/>
      <c r="V346" s="294"/>
      <c r="W346" s="294"/>
      <c r="X346" s="1182"/>
      <c r="Y346" s="1182"/>
      <c r="Z346" s="1166"/>
      <c r="AA346" s="1166"/>
      <c r="AB346" s="1182"/>
      <c r="AC346" s="294"/>
      <c r="AD346" s="294"/>
      <c r="AE346" s="294"/>
      <c r="AF346" s="294"/>
      <c r="AG346" s="294"/>
      <c r="AH346" s="294"/>
      <c r="AI346" s="294"/>
      <c r="AJ346" s="294"/>
    </row>
    <row r="347" spans="2:36" x14ac:dyDescent="0.25">
      <c r="B347" s="294"/>
      <c r="C347" s="294"/>
      <c r="D347" s="294"/>
      <c r="E347" s="294"/>
      <c r="F347" s="294"/>
      <c r="G347" s="294"/>
      <c r="H347" s="294"/>
      <c r="I347" s="294"/>
      <c r="J347" s="294"/>
      <c r="L347" s="295"/>
      <c r="M347" s="294"/>
      <c r="R347" s="326"/>
      <c r="S347" s="326"/>
      <c r="T347" s="294"/>
      <c r="U347" s="294"/>
      <c r="V347" s="294"/>
      <c r="W347" s="294"/>
      <c r="X347" s="1182"/>
      <c r="Y347" s="1182"/>
      <c r="Z347" s="1166"/>
      <c r="AA347" s="1166"/>
      <c r="AB347" s="1182"/>
      <c r="AC347" s="294"/>
      <c r="AD347" s="294"/>
      <c r="AE347" s="294"/>
      <c r="AF347" s="294"/>
      <c r="AG347" s="294"/>
      <c r="AH347" s="294"/>
      <c r="AI347" s="294"/>
      <c r="AJ347" s="294"/>
    </row>
    <row r="348" spans="2:36" x14ac:dyDescent="0.25">
      <c r="B348" s="294"/>
      <c r="C348" s="294"/>
      <c r="D348" s="294"/>
      <c r="E348" s="294"/>
      <c r="F348" s="294"/>
      <c r="G348" s="294"/>
      <c r="H348" s="294"/>
      <c r="I348" s="294"/>
      <c r="J348" s="294"/>
      <c r="L348" s="295"/>
      <c r="M348" s="294"/>
      <c r="R348" s="326"/>
      <c r="S348" s="326"/>
      <c r="T348" s="294"/>
      <c r="U348" s="294"/>
      <c r="V348" s="294"/>
      <c r="W348" s="294"/>
      <c r="X348" s="1182"/>
      <c r="Y348" s="1182"/>
      <c r="Z348" s="1166"/>
      <c r="AA348" s="1166"/>
      <c r="AB348" s="1182"/>
      <c r="AC348" s="294"/>
      <c r="AD348" s="294"/>
      <c r="AE348" s="294"/>
      <c r="AF348" s="294"/>
      <c r="AG348" s="294"/>
      <c r="AH348" s="294"/>
      <c r="AI348" s="294"/>
      <c r="AJ348" s="294"/>
    </row>
    <row r="349" spans="2:36" x14ac:dyDescent="0.25">
      <c r="B349" s="294"/>
      <c r="C349" s="294"/>
      <c r="D349" s="294"/>
      <c r="E349" s="294"/>
      <c r="F349" s="294"/>
      <c r="G349" s="294"/>
      <c r="H349" s="294"/>
      <c r="I349" s="294"/>
      <c r="J349" s="294"/>
      <c r="L349" s="295"/>
      <c r="M349" s="294"/>
      <c r="R349" s="326"/>
      <c r="S349" s="326"/>
      <c r="T349" s="294"/>
      <c r="U349" s="294"/>
      <c r="V349" s="294"/>
      <c r="W349" s="294"/>
      <c r="X349" s="1182"/>
      <c r="Y349" s="1182"/>
      <c r="Z349" s="1166"/>
      <c r="AA349" s="1166"/>
      <c r="AB349" s="1182"/>
      <c r="AC349" s="294"/>
      <c r="AD349" s="294"/>
      <c r="AE349" s="294"/>
      <c r="AF349" s="294"/>
      <c r="AG349" s="294"/>
      <c r="AH349" s="294"/>
      <c r="AI349" s="294"/>
      <c r="AJ349" s="294"/>
    </row>
    <row r="350" spans="2:36" x14ac:dyDescent="0.25">
      <c r="B350" s="294"/>
      <c r="C350" s="294"/>
      <c r="D350" s="294"/>
      <c r="E350" s="294"/>
      <c r="F350" s="294"/>
      <c r="G350" s="294"/>
      <c r="H350" s="294"/>
      <c r="I350" s="294"/>
      <c r="J350" s="294"/>
      <c r="L350" s="295"/>
      <c r="M350" s="294"/>
      <c r="R350" s="326"/>
      <c r="S350" s="326"/>
      <c r="T350" s="294"/>
      <c r="U350" s="294"/>
      <c r="V350" s="294"/>
      <c r="W350" s="294"/>
      <c r="X350" s="1182"/>
      <c r="Y350" s="1182"/>
      <c r="Z350" s="1166"/>
      <c r="AA350" s="1166"/>
      <c r="AB350" s="1182"/>
      <c r="AC350" s="294"/>
      <c r="AD350" s="294"/>
      <c r="AE350" s="294"/>
      <c r="AF350" s="294"/>
      <c r="AG350" s="294"/>
      <c r="AH350" s="294"/>
      <c r="AI350" s="294"/>
      <c r="AJ350" s="294"/>
    </row>
    <row r="351" spans="2:36" x14ac:dyDescent="0.25">
      <c r="B351" s="294"/>
      <c r="C351" s="294"/>
      <c r="D351" s="294"/>
      <c r="E351" s="294"/>
      <c r="F351" s="294"/>
      <c r="G351" s="294"/>
      <c r="H351" s="294"/>
      <c r="I351" s="294"/>
      <c r="J351" s="294"/>
      <c r="L351" s="295"/>
      <c r="M351" s="294"/>
      <c r="R351" s="326"/>
      <c r="S351" s="326"/>
      <c r="T351" s="294"/>
      <c r="U351" s="294"/>
      <c r="V351" s="294"/>
      <c r="W351" s="294"/>
      <c r="X351" s="1182"/>
      <c r="Y351" s="1182"/>
      <c r="Z351" s="1166"/>
      <c r="AA351" s="1166"/>
      <c r="AB351" s="1182"/>
      <c r="AC351" s="294"/>
      <c r="AD351" s="294"/>
      <c r="AE351" s="294"/>
      <c r="AF351" s="294"/>
      <c r="AG351" s="294"/>
      <c r="AH351" s="294"/>
      <c r="AI351" s="294"/>
      <c r="AJ351" s="294"/>
    </row>
    <row r="352" spans="2:36" x14ac:dyDescent="0.25">
      <c r="B352" s="294"/>
      <c r="C352" s="294"/>
      <c r="D352" s="294"/>
      <c r="E352" s="294"/>
      <c r="F352" s="294"/>
      <c r="G352" s="294"/>
      <c r="H352" s="294"/>
      <c r="I352" s="294"/>
      <c r="J352" s="294"/>
      <c r="L352" s="295"/>
      <c r="M352" s="294"/>
      <c r="R352" s="326"/>
      <c r="S352" s="326"/>
      <c r="T352" s="294"/>
      <c r="U352" s="294"/>
      <c r="V352" s="294"/>
      <c r="W352" s="294"/>
      <c r="X352" s="1182"/>
      <c r="Y352" s="1182"/>
      <c r="Z352" s="1166"/>
      <c r="AA352" s="1166"/>
      <c r="AB352" s="1182"/>
      <c r="AC352" s="294"/>
      <c r="AD352" s="294"/>
      <c r="AE352" s="294"/>
      <c r="AF352" s="294"/>
      <c r="AG352" s="294"/>
      <c r="AH352" s="294"/>
      <c r="AI352" s="294"/>
      <c r="AJ352" s="294"/>
    </row>
    <row r="353" spans="2:36" x14ac:dyDescent="0.25">
      <c r="B353" s="294"/>
      <c r="C353" s="294"/>
      <c r="D353" s="294"/>
      <c r="E353" s="294"/>
      <c r="F353" s="294"/>
      <c r="G353" s="294"/>
      <c r="H353" s="294"/>
      <c r="I353" s="294"/>
      <c r="J353" s="294"/>
      <c r="L353" s="295"/>
      <c r="M353" s="294"/>
      <c r="R353" s="326"/>
      <c r="S353" s="326"/>
      <c r="T353" s="294"/>
      <c r="U353" s="294"/>
      <c r="V353" s="294"/>
      <c r="W353" s="294"/>
      <c r="X353" s="1182"/>
      <c r="Y353" s="1182"/>
      <c r="Z353" s="1166"/>
      <c r="AA353" s="1166"/>
      <c r="AB353" s="1182"/>
      <c r="AC353" s="294"/>
      <c r="AD353" s="294"/>
      <c r="AE353" s="294"/>
      <c r="AF353" s="294"/>
      <c r="AG353" s="294"/>
      <c r="AH353" s="294"/>
      <c r="AI353" s="294"/>
      <c r="AJ353" s="294"/>
    </row>
    <row r="354" spans="2:36" x14ac:dyDescent="0.25">
      <c r="B354" s="294"/>
      <c r="C354" s="294"/>
      <c r="D354" s="294"/>
      <c r="E354" s="294"/>
      <c r="F354" s="294"/>
      <c r="G354" s="294"/>
      <c r="H354" s="294"/>
      <c r="I354" s="294"/>
      <c r="J354" s="294"/>
      <c r="L354" s="295"/>
      <c r="M354" s="294"/>
      <c r="R354" s="326"/>
      <c r="S354" s="326"/>
      <c r="T354" s="294"/>
      <c r="U354" s="294"/>
      <c r="V354" s="294"/>
      <c r="W354" s="294"/>
      <c r="X354" s="1182"/>
      <c r="Y354" s="1182"/>
      <c r="Z354" s="1166"/>
      <c r="AA354" s="1166"/>
      <c r="AB354" s="1182"/>
      <c r="AC354" s="294"/>
      <c r="AD354" s="294"/>
      <c r="AE354" s="294"/>
      <c r="AF354" s="294"/>
      <c r="AG354" s="294"/>
      <c r="AH354" s="294"/>
      <c r="AI354" s="294"/>
      <c r="AJ354" s="294"/>
    </row>
    <row r="355" spans="2:36" x14ac:dyDescent="0.25">
      <c r="B355" s="294"/>
      <c r="C355" s="294"/>
      <c r="D355" s="294"/>
      <c r="E355" s="294"/>
      <c r="F355" s="294"/>
      <c r="G355" s="294"/>
      <c r="H355" s="294"/>
      <c r="I355" s="294"/>
      <c r="J355" s="294"/>
      <c r="L355" s="295"/>
      <c r="M355" s="294"/>
      <c r="R355" s="326"/>
      <c r="S355" s="326"/>
      <c r="T355" s="294"/>
      <c r="U355" s="294"/>
      <c r="V355" s="294"/>
      <c r="W355" s="294"/>
      <c r="X355" s="1182"/>
      <c r="Y355" s="1182"/>
      <c r="Z355" s="1166"/>
      <c r="AA355" s="1166"/>
      <c r="AB355" s="1182"/>
      <c r="AC355" s="294"/>
      <c r="AD355" s="294"/>
      <c r="AE355" s="294"/>
      <c r="AF355" s="294"/>
      <c r="AG355" s="294"/>
      <c r="AH355" s="294"/>
      <c r="AI355" s="294"/>
      <c r="AJ355" s="294"/>
    </row>
    <row r="356" spans="2:36" x14ac:dyDescent="0.25">
      <c r="B356" s="294"/>
      <c r="C356" s="294"/>
      <c r="D356" s="294"/>
      <c r="E356" s="294"/>
      <c r="F356" s="294"/>
      <c r="G356" s="294"/>
      <c r="H356" s="294"/>
      <c r="I356" s="294"/>
      <c r="J356" s="294"/>
      <c r="L356" s="295"/>
      <c r="M356" s="294"/>
      <c r="R356" s="326"/>
      <c r="S356" s="326"/>
      <c r="T356" s="294"/>
      <c r="U356" s="294"/>
      <c r="V356" s="294"/>
      <c r="W356" s="294"/>
      <c r="X356" s="1182"/>
      <c r="Y356" s="1182"/>
      <c r="Z356" s="1166"/>
      <c r="AA356" s="1166"/>
      <c r="AB356" s="1182"/>
      <c r="AC356" s="294"/>
      <c r="AD356" s="294"/>
      <c r="AE356" s="294"/>
      <c r="AF356" s="294"/>
      <c r="AG356" s="294"/>
      <c r="AH356" s="294"/>
      <c r="AI356" s="294"/>
      <c r="AJ356" s="294"/>
    </row>
    <row r="357" spans="2:36" x14ac:dyDescent="0.25">
      <c r="B357" s="294"/>
      <c r="C357" s="294"/>
      <c r="D357" s="294"/>
      <c r="E357" s="294"/>
      <c r="F357" s="294"/>
      <c r="G357" s="294"/>
      <c r="H357" s="294"/>
      <c r="I357" s="294"/>
      <c r="J357" s="294"/>
      <c r="L357" s="295"/>
      <c r="M357" s="294"/>
      <c r="R357" s="326"/>
      <c r="S357" s="326"/>
      <c r="T357" s="294"/>
      <c r="U357" s="294"/>
      <c r="V357" s="294"/>
      <c r="W357" s="294"/>
      <c r="X357" s="1182"/>
      <c r="Y357" s="1182"/>
      <c r="Z357" s="1166"/>
      <c r="AA357" s="1166"/>
      <c r="AB357" s="1182"/>
      <c r="AC357" s="294"/>
      <c r="AD357" s="294"/>
      <c r="AE357" s="294"/>
      <c r="AF357" s="294"/>
      <c r="AG357" s="294"/>
      <c r="AH357" s="294"/>
      <c r="AI357" s="294"/>
      <c r="AJ357" s="294"/>
    </row>
    <row r="358" spans="2:36" x14ac:dyDescent="0.25">
      <c r="B358" s="294"/>
      <c r="C358" s="294"/>
      <c r="D358" s="294"/>
      <c r="E358" s="294"/>
      <c r="F358" s="294"/>
      <c r="G358" s="294"/>
      <c r="H358" s="294"/>
      <c r="I358" s="294"/>
      <c r="J358" s="294"/>
      <c r="L358" s="295"/>
      <c r="M358" s="294"/>
      <c r="R358" s="326"/>
      <c r="S358" s="326"/>
      <c r="T358" s="294"/>
      <c r="U358" s="294"/>
      <c r="V358" s="294"/>
      <c r="W358" s="294"/>
      <c r="X358" s="1182"/>
      <c r="Y358" s="1182"/>
      <c r="Z358" s="1166"/>
      <c r="AA358" s="1166"/>
      <c r="AB358" s="1182"/>
      <c r="AC358" s="294"/>
      <c r="AD358" s="294"/>
      <c r="AE358" s="294"/>
      <c r="AF358" s="294"/>
      <c r="AG358" s="294"/>
      <c r="AH358" s="294"/>
      <c r="AI358" s="294"/>
      <c r="AJ358" s="294"/>
    </row>
    <row r="359" spans="2:36" x14ac:dyDescent="0.25">
      <c r="B359" s="294"/>
      <c r="C359" s="294"/>
      <c r="D359" s="294"/>
      <c r="E359" s="294"/>
      <c r="F359" s="294"/>
      <c r="G359" s="294"/>
      <c r="H359" s="294"/>
      <c r="I359" s="294"/>
      <c r="J359" s="294"/>
      <c r="L359" s="295"/>
      <c r="M359" s="294"/>
      <c r="R359" s="326"/>
      <c r="S359" s="326"/>
      <c r="T359" s="294"/>
      <c r="U359" s="294"/>
      <c r="V359" s="294"/>
      <c r="W359" s="294"/>
      <c r="X359" s="1182"/>
      <c r="Y359" s="1182"/>
      <c r="Z359" s="1166"/>
      <c r="AA359" s="1166"/>
      <c r="AB359" s="1182"/>
      <c r="AC359" s="294"/>
      <c r="AD359" s="294"/>
      <c r="AE359" s="294"/>
      <c r="AF359" s="294"/>
      <c r="AG359" s="294"/>
      <c r="AH359" s="294"/>
      <c r="AI359" s="294"/>
      <c r="AJ359" s="294"/>
    </row>
    <row r="360" spans="2:36" x14ac:dyDescent="0.25">
      <c r="B360" s="294"/>
      <c r="C360" s="294"/>
      <c r="D360" s="294"/>
      <c r="E360" s="294"/>
      <c r="F360" s="294"/>
      <c r="G360" s="294"/>
      <c r="H360" s="294"/>
      <c r="I360" s="294"/>
      <c r="J360" s="294"/>
      <c r="L360" s="295"/>
      <c r="M360" s="294"/>
      <c r="R360" s="326"/>
      <c r="S360" s="326"/>
      <c r="T360" s="294"/>
      <c r="U360" s="294"/>
      <c r="V360" s="294"/>
      <c r="W360" s="294"/>
      <c r="X360" s="1182"/>
      <c r="Y360" s="1182"/>
      <c r="Z360" s="1166"/>
      <c r="AA360" s="1166"/>
      <c r="AB360" s="1182"/>
      <c r="AC360" s="294"/>
      <c r="AD360" s="294"/>
      <c r="AE360" s="294"/>
      <c r="AF360" s="294"/>
      <c r="AG360" s="294"/>
      <c r="AH360" s="294"/>
      <c r="AI360" s="294"/>
      <c r="AJ360" s="294"/>
    </row>
    <row r="361" spans="2:36" x14ac:dyDescent="0.25">
      <c r="B361" s="294"/>
      <c r="C361" s="294"/>
      <c r="D361" s="294"/>
      <c r="E361" s="294"/>
      <c r="F361" s="294"/>
      <c r="G361" s="294"/>
      <c r="H361" s="294"/>
      <c r="I361" s="294"/>
      <c r="J361" s="294"/>
      <c r="L361" s="295"/>
      <c r="M361" s="294"/>
      <c r="R361" s="326"/>
      <c r="S361" s="326"/>
      <c r="T361" s="294"/>
      <c r="U361" s="294"/>
      <c r="V361" s="294"/>
      <c r="W361" s="294"/>
      <c r="X361" s="1182"/>
      <c r="Y361" s="1182"/>
      <c r="Z361" s="1166"/>
      <c r="AA361" s="1166"/>
      <c r="AB361" s="1182"/>
      <c r="AC361" s="294"/>
      <c r="AD361" s="294"/>
      <c r="AE361" s="294"/>
      <c r="AF361" s="294"/>
      <c r="AG361" s="294"/>
      <c r="AH361" s="294"/>
      <c r="AI361" s="294"/>
      <c r="AJ361" s="294"/>
    </row>
    <row r="362" spans="2:36" x14ac:dyDescent="0.25">
      <c r="B362" s="294"/>
      <c r="C362" s="294"/>
      <c r="D362" s="294"/>
      <c r="E362" s="294"/>
      <c r="F362" s="294"/>
      <c r="G362" s="294"/>
      <c r="H362" s="294"/>
      <c r="I362" s="294"/>
      <c r="J362" s="294"/>
      <c r="L362" s="295"/>
      <c r="M362" s="294"/>
      <c r="R362" s="326"/>
      <c r="S362" s="326"/>
      <c r="T362" s="294"/>
      <c r="U362" s="294"/>
      <c r="V362" s="294"/>
      <c r="W362" s="294"/>
      <c r="X362" s="1182"/>
      <c r="Y362" s="1182"/>
      <c r="Z362" s="1166"/>
      <c r="AA362" s="1166"/>
      <c r="AB362" s="1182"/>
      <c r="AC362" s="294"/>
      <c r="AD362" s="294"/>
      <c r="AE362" s="294"/>
      <c r="AF362" s="294"/>
      <c r="AG362" s="294"/>
      <c r="AH362" s="294"/>
      <c r="AI362" s="294"/>
      <c r="AJ362" s="294"/>
    </row>
    <row r="363" spans="2:36" x14ac:dyDescent="0.25">
      <c r="B363" s="294"/>
      <c r="C363" s="294"/>
      <c r="D363" s="294"/>
      <c r="E363" s="294"/>
      <c r="F363" s="294"/>
      <c r="G363" s="294"/>
      <c r="H363" s="294"/>
      <c r="I363" s="294"/>
      <c r="J363" s="294"/>
      <c r="L363" s="295"/>
      <c r="M363" s="294"/>
      <c r="R363" s="326"/>
      <c r="S363" s="326"/>
      <c r="T363" s="294"/>
      <c r="U363" s="294"/>
      <c r="V363" s="294"/>
      <c r="W363" s="294"/>
      <c r="X363" s="1182"/>
      <c r="Y363" s="1182"/>
      <c r="Z363" s="1166"/>
      <c r="AA363" s="1166"/>
      <c r="AB363" s="1182"/>
      <c r="AC363" s="294"/>
      <c r="AD363" s="294"/>
      <c r="AE363" s="294"/>
      <c r="AF363" s="294"/>
      <c r="AG363" s="294"/>
      <c r="AH363" s="294"/>
      <c r="AI363" s="294"/>
      <c r="AJ363" s="294"/>
    </row>
    <row r="364" spans="2:36" x14ac:dyDescent="0.25">
      <c r="B364" s="294"/>
      <c r="C364" s="294"/>
      <c r="D364" s="294"/>
      <c r="E364" s="294"/>
      <c r="F364" s="294"/>
      <c r="G364" s="294"/>
      <c r="H364" s="294"/>
      <c r="I364" s="294"/>
      <c r="J364" s="294"/>
      <c r="L364" s="295"/>
      <c r="M364" s="294"/>
      <c r="R364" s="326"/>
      <c r="S364" s="326"/>
      <c r="T364" s="294"/>
      <c r="U364" s="294"/>
      <c r="V364" s="294"/>
      <c r="W364" s="294"/>
      <c r="X364" s="1182"/>
      <c r="Y364" s="1182"/>
      <c r="Z364" s="1166"/>
      <c r="AA364" s="1166"/>
      <c r="AB364" s="1182"/>
      <c r="AC364" s="294"/>
      <c r="AD364" s="294"/>
      <c r="AE364" s="294"/>
      <c r="AF364" s="294"/>
      <c r="AG364" s="294"/>
      <c r="AH364" s="294"/>
      <c r="AI364" s="294"/>
      <c r="AJ364" s="294"/>
    </row>
    <row r="365" spans="2:36" x14ac:dyDescent="0.25">
      <c r="B365" s="294"/>
      <c r="C365" s="294"/>
      <c r="D365" s="294"/>
      <c r="E365" s="294"/>
      <c r="F365" s="294"/>
      <c r="G365" s="294"/>
      <c r="H365" s="294"/>
      <c r="I365" s="294"/>
      <c r="J365" s="294"/>
      <c r="L365" s="295"/>
      <c r="M365" s="294"/>
      <c r="R365" s="326"/>
      <c r="S365" s="326"/>
      <c r="T365" s="294"/>
      <c r="U365" s="294"/>
      <c r="V365" s="294"/>
      <c r="W365" s="294"/>
      <c r="X365" s="1182"/>
      <c r="Y365" s="1182"/>
      <c r="Z365" s="1166"/>
      <c r="AA365" s="1166"/>
      <c r="AB365" s="1182"/>
      <c r="AC365" s="294"/>
      <c r="AD365" s="294"/>
      <c r="AE365" s="294"/>
      <c r="AF365" s="294"/>
      <c r="AG365" s="294"/>
      <c r="AH365" s="294"/>
      <c r="AI365" s="294"/>
      <c r="AJ365" s="294"/>
    </row>
    <row r="366" spans="2:36" x14ac:dyDescent="0.25">
      <c r="B366" s="294"/>
      <c r="C366" s="294"/>
      <c r="D366" s="294"/>
      <c r="E366" s="294"/>
      <c r="F366" s="294"/>
      <c r="G366" s="294"/>
      <c r="H366" s="294"/>
      <c r="I366" s="294"/>
      <c r="J366" s="294"/>
      <c r="L366" s="295"/>
      <c r="M366" s="294"/>
      <c r="R366" s="326"/>
      <c r="S366" s="326"/>
      <c r="T366" s="294"/>
      <c r="U366" s="294"/>
      <c r="V366" s="294"/>
      <c r="W366" s="294"/>
      <c r="X366" s="1182"/>
      <c r="Y366" s="1182"/>
      <c r="Z366" s="1166"/>
      <c r="AA366" s="1166"/>
      <c r="AB366" s="1182"/>
      <c r="AC366" s="294"/>
      <c r="AD366" s="294"/>
      <c r="AE366" s="294"/>
      <c r="AF366" s="294"/>
      <c r="AG366" s="294"/>
      <c r="AH366" s="294"/>
      <c r="AI366" s="294"/>
      <c r="AJ366" s="294"/>
    </row>
    <row r="367" spans="2:36" x14ac:dyDescent="0.25">
      <c r="B367" s="294"/>
      <c r="C367" s="294"/>
      <c r="D367" s="294"/>
      <c r="E367" s="294"/>
      <c r="F367" s="294"/>
      <c r="G367" s="294"/>
      <c r="H367" s="294"/>
      <c r="I367" s="294"/>
      <c r="J367" s="294"/>
      <c r="L367" s="295"/>
      <c r="M367" s="294"/>
      <c r="R367" s="326"/>
      <c r="S367" s="326"/>
      <c r="T367" s="294"/>
      <c r="U367" s="294"/>
      <c r="V367" s="294"/>
      <c r="W367" s="294"/>
      <c r="X367" s="1182"/>
      <c r="Y367" s="1182"/>
      <c r="Z367" s="1166"/>
      <c r="AA367" s="1166"/>
      <c r="AB367" s="1182"/>
      <c r="AC367" s="294"/>
      <c r="AD367" s="294"/>
      <c r="AE367" s="294"/>
      <c r="AF367" s="294"/>
      <c r="AG367" s="294"/>
      <c r="AH367" s="294"/>
      <c r="AI367" s="294"/>
      <c r="AJ367" s="294"/>
    </row>
    <row r="368" spans="2:36" x14ac:dyDescent="0.25">
      <c r="B368" s="294"/>
      <c r="C368" s="294"/>
      <c r="D368" s="294"/>
      <c r="E368" s="294"/>
      <c r="F368" s="294"/>
      <c r="G368" s="294"/>
      <c r="H368" s="294"/>
      <c r="I368" s="294"/>
      <c r="J368" s="294"/>
      <c r="L368" s="295"/>
      <c r="M368" s="294"/>
      <c r="R368" s="326"/>
      <c r="S368" s="326"/>
      <c r="T368" s="294"/>
      <c r="U368" s="294"/>
      <c r="V368" s="294"/>
      <c r="W368" s="294"/>
      <c r="X368" s="1182"/>
      <c r="Y368" s="1182"/>
      <c r="Z368" s="1166"/>
      <c r="AA368" s="1166"/>
      <c r="AB368" s="1182"/>
      <c r="AC368" s="294"/>
      <c r="AD368" s="294"/>
      <c r="AE368" s="294"/>
      <c r="AF368" s="294"/>
      <c r="AG368" s="294"/>
      <c r="AH368" s="294"/>
      <c r="AI368" s="294"/>
      <c r="AJ368" s="294"/>
    </row>
    <row r="369" spans="2:36" x14ac:dyDescent="0.25">
      <c r="B369" s="294"/>
      <c r="C369" s="294"/>
      <c r="D369" s="294"/>
      <c r="E369" s="294"/>
      <c r="F369" s="294"/>
      <c r="G369" s="294"/>
      <c r="H369" s="294"/>
      <c r="I369" s="294"/>
      <c r="J369" s="294"/>
      <c r="L369" s="295"/>
      <c r="M369" s="294"/>
      <c r="R369" s="326"/>
      <c r="S369" s="326"/>
      <c r="T369" s="294"/>
      <c r="U369" s="294"/>
      <c r="V369" s="294"/>
      <c r="W369" s="294"/>
      <c r="X369" s="1182"/>
      <c r="Y369" s="1182"/>
      <c r="Z369" s="1166"/>
      <c r="AA369" s="1166"/>
      <c r="AB369" s="1182"/>
      <c r="AC369" s="294"/>
      <c r="AD369" s="294"/>
      <c r="AE369" s="294"/>
      <c r="AF369" s="294"/>
      <c r="AG369" s="294"/>
      <c r="AH369" s="294"/>
      <c r="AI369" s="294"/>
      <c r="AJ369" s="294"/>
    </row>
    <row r="370" spans="2:36" x14ac:dyDescent="0.25">
      <c r="B370" s="294"/>
      <c r="C370" s="294"/>
      <c r="D370" s="294"/>
      <c r="E370" s="294"/>
      <c r="F370" s="294"/>
      <c r="G370" s="294"/>
      <c r="H370" s="294"/>
      <c r="I370" s="294"/>
      <c r="J370" s="294"/>
      <c r="L370" s="295"/>
      <c r="M370" s="294"/>
      <c r="R370" s="326"/>
      <c r="S370" s="326"/>
      <c r="T370" s="294"/>
      <c r="U370" s="294"/>
      <c r="V370" s="294"/>
      <c r="W370" s="294"/>
      <c r="X370" s="1182"/>
      <c r="Y370" s="1182"/>
      <c r="Z370" s="1166"/>
      <c r="AA370" s="1166"/>
      <c r="AB370" s="1182"/>
      <c r="AC370" s="294"/>
      <c r="AD370" s="294"/>
      <c r="AE370" s="294"/>
      <c r="AF370" s="294"/>
      <c r="AG370" s="294"/>
      <c r="AH370" s="294"/>
      <c r="AI370" s="294"/>
      <c r="AJ370" s="294"/>
    </row>
    <row r="371" spans="2:36" x14ac:dyDescent="0.25">
      <c r="B371" s="294"/>
      <c r="C371" s="294"/>
      <c r="D371" s="294"/>
      <c r="E371" s="294"/>
      <c r="F371" s="294"/>
      <c r="G371" s="294"/>
      <c r="H371" s="294"/>
      <c r="I371" s="294"/>
      <c r="J371" s="294"/>
      <c r="L371" s="295"/>
      <c r="M371" s="294"/>
      <c r="R371" s="326"/>
      <c r="S371" s="326"/>
      <c r="T371" s="294"/>
      <c r="U371" s="294"/>
      <c r="V371" s="294"/>
      <c r="W371" s="294"/>
      <c r="X371" s="1182"/>
      <c r="Y371" s="1182"/>
      <c r="Z371" s="1166"/>
      <c r="AA371" s="1166"/>
      <c r="AB371" s="1182"/>
      <c r="AC371" s="294"/>
      <c r="AD371" s="294"/>
      <c r="AE371" s="294"/>
      <c r="AF371" s="294"/>
      <c r="AG371" s="294"/>
      <c r="AH371" s="294"/>
      <c r="AI371" s="294"/>
      <c r="AJ371" s="294"/>
    </row>
    <row r="372" spans="2:36" x14ac:dyDescent="0.25">
      <c r="B372" s="294"/>
      <c r="C372" s="294"/>
      <c r="D372" s="294"/>
      <c r="E372" s="294"/>
      <c r="F372" s="294"/>
      <c r="G372" s="294"/>
      <c r="H372" s="294"/>
      <c r="I372" s="294"/>
      <c r="J372" s="294"/>
      <c r="L372" s="295"/>
      <c r="M372" s="294"/>
      <c r="R372" s="326"/>
      <c r="S372" s="326"/>
      <c r="T372" s="294"/>
      <c r="U372" s="294"/>
      <c r="V372" s="294"/>
      <c r="W372" s="294"/>
      <c r="X372" s="1182"/>
      <c r="Y372" s="1182"/>
      <c r="Z372" s="1166"/>
      <c r="AA372" s="1166"/>
      <c r="AB372" s="1182"/>
      <c r="AC372" s="294"/>
      <c r="AD372" s="294"/>
      <c r="AE372" s="294"/>
      <c r="AF372" s="294"/>
      <c r="AG372" s="294"/>
      <c r="AH372" s="294"/>
      <c r="AI372" s="294"/>
      <c r="AJ372" s="294"/>
    </row>
    <row r="373" spans="2:36" x14ac:dyDescent="0.25">
      <c r="B373" s="294"/>
      <c r="C373" s="294"/>
      <c r="D373" s="294"/>
      <c r="E373" s="294"/>
      <c r="F373" s="294"/>
      <c r="G373" s="294"/>
      <c r="H373" s="294"/>
      <c r="I373" s="294"/>
      <c r="J373" s="294"/>
      <c r="L373" s="295"/>
      <c r="M373" s="294"/>
      <c r="R373" s="326"/>
      <c r="S373" s="326"/>
      <c r="T373" s="294"/>
      <c r="U373" s="294"/>
      <c r="V373" s="294"/>
      <c r="W373" s="294"/>
      <c r="X373" s="1182"/>
      <c r="Y373" s="1182"/>
      <c r="Z373" s="1166"/>
      <c r="AA373" s="1166"/>
      <c r="AB373" s="1182"/>
      <c r="AC373" s="294"/>
      <c r="AD373" s="294"/>
      <c r="AE373" s="294"/>
      <c r="AF373" s="294"/>
      <c r="AG373" s="294"/>
      <c r="AH373" s="294"/>
      <c r="AI373" s="294"/>
      <c r="AJ373" s="294"/>
    </row>
    <row r="374" spans="2:36" x14ac:dyDescent="0.25">
      <c r="B374" s="294"/>
      <c r="C374" s="294"/>
      <c r="D374" s="294"/>
      <c r="E374" s="294"/>
      <c r="F374" s="294"/>
      <c r="G374" s="294"/>
      <c r="H374" s="294"/>
      <c r="I374" s="294"/>
      <c r="J374" s="294"/>
      <c r="L374" s="295"/>
      <c r="M374" s="294"/>
      <c r="R374" s="326"/>
      <c r="S374" s="326"/>
      <c r="T374" s="294"/>
      <c r="U374" s="294"/>
      <c r="V374" s="294"/>
      <c r="W374" s="294"/>
      <c r="X374" s="1182"/>
      <c r="Y374" s="1182"/>
      <c r="Z374" s="1166"/>
      <c r="AA374" s="1166"/>
      <c r="AB374" s="1182"/>
      <c r="AC374" s="294"/>
      <c r="AD374" s="294"/>
      <c r="AE374" s="294"/>
      <c r="AF374" s="294"/>
      <c r="AG374" s="294"/>
      <c r="AH374" s="294"/>
      <c r="AI374" s="294"/>
      <c r="AJ374" s="294"/>
    </row>
    <row r="375" spans="2:36" x14ac:dyDescent="0.25">
      <c r="B375" s="294"/>
      <c r="C375" s="294"/>
      <c r="D375" s="294"/>
      <c r="E375" s="294"/>
      <c r="F375" s="294"/>
      <c r="G375" s="294"/>
      <c r="H375" s="294"/>
      <c r="I375" s="294"/>
      <c r="J375" s="294"/>
      <c r="L375" s="295"/>
      <c r="M375" s="294"/>
      <c r="R375" s="326"/>
      <c r="S375" s="326"/>
      <c r="T375" s="294"/>
      <c r="U375" s="294"/>
      <c r="V375" s="294"/>
      <c r="W375" s="294"/>
      <c r="X375" s="1182"/>
      <c r="Y375" s="1182"/>
      <c r="Z375" s="1166"/>
      <c r="AA375" s="1166"/>
      <c r="AB375" s="1182"/>
      <c r="AC375" s="294"/>
      <c r="AD375" s="294"/>
      <c r="AE375" s="294"/>
      <c r="AF375" s="294"/>
      <c r="AG375" s="294"/>
      <c r="AH375" s="294"/>
      <c r="AI375" s="294"/>
      <c r="AJ375" s="294"/>
    </row>
    <row r="376" spans="2:36" x14ac:dyDescent="0.25">
      <c r="B376" s="294"/>
      <c r="C376" s="294"/>
      <c r="D376" s="294"/>
      <c r="E376" s="294"/>
      <c r="F376" s="294"/>
      <c r="G376" s="294"/>
      <c r="H376" s="294"/>
      <c r="I376" s="294"/>
      <c r="J376" s="294"/>
      <c r="L376" s="295"/>
      <c r="M376" s="294"/>
      <c r="R376" s="326"/>
      <c r="S376" s="326"/>
      <c r="T376" s="294"/>
      <c r="U376" s="294"/>
      <c r="V376" s="294"/>
      <c r="W376" s="294"/>
      <c r="X376" s="1182"/>
      <c r="Y376" s="1182"/>
      <c r="Z376" s="1166"/>
      <c r="AA376" s="1166"/>
      <c r="AB376" s="1182"/>
      <c r="AC376" s="294"/>
      <c r="AD376" s="294"/>
      <c r="AE376" s="294"/>
      <c r="AF376" s="294"/>
      <c r="AG376" s="294"/>
      <c r="AH376" s="294"/>
      <c r="AI376" s="294"/>
      <c r="AJ376" s="294"/>
    </row>
    <row r="377" spans="2:36" x14ac:dyDescent="0.25">
      <c r="B377" s="294"/>
      <c r="C377" s="294"/>
      <c r="D377" s="294"/>
      <c r="E377" s="294"/>
      <c r="F377" s="294"/>
      <c r="G377" s="294"/>
      <c r="H377" s="294"/>
      <c r="I377" s="294"/>
      <c r="J377" s="294"/>
      <c r="L377" s="295"/>
      <c r="M377" s="294"/>
      <c r="R377" s="326"/>
      <c r="S377" s="326"/>
      <c r="T377" s="294"/>
      <c r="U377" s="294"/>
      <c r="V377" s="294"/>
      <c r="W377" s="294"/>
      <c r="X377" s="1182"/>
      <c r="Y377" s="1182"/>
      <c r="Z377" s="1166"/>
      <c r="AA377" s="1166"/>
      <c r="AB377" s="1182"/>
      <c r="AC377" s="294"/>
      <c r="AD377" s="294"/>
      <c r="AE377" s="294"/>
      <c r="AF377" s="294"/>
      <c r="AG377" s="294"/>
      <c r="AH377" s="294"/>
      <c r="AI377" s="294"/>
      <c r="AJ377" s="294"/>
    </row>
    <row r="378" spans="2:36" x14ac:dyDescent="0.25">
      <c r="B378" s="294"/>
      <c r="C378" s="294"/>
      <c r="D378" s="294"/>
      <c r="E378" s="294"/>
      <c r="F378" s="294"/>
      <c r="G378" s="294"/>
      <c r="H378" s="294"/>
      <c r="I378" s="294"/>
      <c r="J378" s="294"/>
      <c r="L378" s="295"/>
      <c r="M378" s="294"/>
      <c r="R378" s="326"/>
      <c r="S378" s="326"/>
      <c r="T378" s="294"/>
      <c r="U378" s="294"/>
      <c r="V378" s="294"/>
      <c r="W378" s="294"/>
      <c r="X378" s="1182"/>
      <c r="Y378" s="1182"/>
      <c r="Z378" s="1166"/>
      <c r="AA378" s="1166"/>
      <c r="AB378" s="1182"/>
      <c r="AC378" s="294"/>
      <c r="AD378" s="294"/>
      <c r="AE378" s="294"/>
      <c r="AF378" s="294"/>
      <c r="AG378" s="294"/>
      <c r="AH378" s="294"/>
      <c r="AI378" s="294"/>
      <c r="AJ378" s="294"/>
    </row>
    <row r="379" spans="2:36" x14ac:dyDescent="0.25">
      <c r="B379" s="294"/>
      <c r="C379" s="294"/>
      <c r="D379" s="294"/>
      <c r="E379" s="294"/>
      <c r="F379" s="294"/>
      <c r="G379" s="294"/>
      <c r="H379" s="294"/>
      <c r="I379" s="294"/>
      <c r="J379" s="294"/>
      <c r="L379" s="295"/>
      <c r="M379" s="294"/>
      <c r="R379" s="326"/>
      <c r="S379" s="326"/>
      <c r="T379" s="294"/>
      <c r="U379" s="294"/>
      <c r="V379" s="294"/>
      <c r="W379" s="294"/>
      <c r="X379" s="1182"/>
      <c r="Y379" s="1182"/>
      <c r="Z379" s="1166"/>
      <c r="AA379" s="1166"/>
      <c r="AB379" s="1182"/>
      <c r="AC379" s="294"/>
      <c r="AD379" s="294"/>
      <c r="AE379" s="294"/>
      <c r="AF379" s="294"/>
      <c r="AG379" s="294"/>
      <c r="AH379" s="294"/>
      <c r="AI379" s="294"/>
      <c r="AJ379" s="294"/>
    </row>
    <row r="380" spans="2:36" x14ac:dyDescent="0.25">
      <c r="B380" s="294"/>
      <c r="C380" s="294"/>
      <c r="D380" s="294"/>
      <c r="E380" s="294"/>
      <c r="F380" s="294"/>
      <c r="G380" s="294"/>
      <c r="H380" s="294"/>
      <c r="I380" s="294"/>
      <c r="J380" s="294"/>
      <c r="L380" s="295"/>
      <c r="M380" s="294"/>
      <c r="R380" s="326"/>
      <c r="S380" s="326"/>
      <c r="T380" s="294"/>
      <c r="U380" s="294"/>
      <c r="V380" s="294"/>
      <c r="W380" s="294"/>
      <c r="X380" s="1182"/>
      <c r="Y380" s="1182"/>
      <c r="Z380" s="1166"/>
      <c r="AA380" s="1166"/>
      <c r="AB380" s="1182"/>
      <c r="AC380" s="294"/>
      <c r="AD380" s="294"/>
      <c r="AE380" s="294"/>
      <c r="AF380" s="294"/>
      <c r="AG380" s="294"/>
      <c r="AH380" s="294"/>
      <c r="AI380" s="294"/>
      <c r="AJ380" s="294"/>
    </row>
    <row r="381" spans="2:36" x14ac:dyDescent="0.25">
      <c r="B381" s="294"/>
      <c r="C381" s="294"/>
      <c r="D381" s="294"/>
      <c r="E381" s="294"/>
      <c r="F381" s="294"/>
      <c r="G381" s="294"/>
      <c r="H381" s="294"/>
      <c r="I381" s="294"/>
      <c r="J381" s="294"/>
      <c r="L381" s="295"/>
      <c r="M381" s="294"/>
      <c r="R381" s="326"/>
      <c r="S381" s="326"/>
      <c r="T381" s="294"/>
      <c r="U381" s="294"/>
      <c r="V381" s="294"/>
      <c r="W381" s="294"/>
      <c r="X381" s="1182"/>
      <c r="Y381" s="1182"/>
      <c r="Z381" s="1166"/>
      <c r="AA381" s="1166"/>
      <c r="AB381" s="1182"/>
      <c r="AC381" s="294"/>
      <c r="AD381" s="294"/>
      <c r="AE381" s="294"/>
      <c r="AF381" s="294"/>
      <c r="AG381" s="294"/>
      <c r="AH381" s="294"/>
      <c r="AI381" s="294"/>
      <c r="AJ381" s="294"/>
    </row>
    <row r="382" spans="2:36" x14ac:dyDescent="0.25">
      <c r="B382" s="294"/>
      <c r="C382" s="294"/>
      <c r="D382" s="294"/>
      <c r="E382" s="294"/>
      <c r="F382" s="294"/>
      <c r="G382" s="294"/>
      <c r="H382" s="294"/>
      <c r="I382" s="294"/>
      <c r="J382" s="294"/>
      <c r="L382" s="295"/>
      <c r="M382" s="294"/>
      <c r="R382" s="326"/>
      <c r="S382" s="326"/>
      <c r="T382" s="294"/>
      <c r="U382" s="294"/>
      <c r="V382" s="294"/>
      <c r="W382" s="294"/>
      <c r="X382" s="1182"/>
      <c r="Y382" s="1182"/>
      <c r="Z382" s="1166"/>
      <c r="AA382" s="1166"/>
      <c r="AB382" s="1182"/>
      <c r="AC382" s="294"/>
      <c r="AD382" s="294"/>
      <c r="AE382" s="294"/>
      <c r="AF382" s="294"/>
      <c r="AG382" s="294"/>
      <c r="AH382" s="294"/>
      <c r="AI382" s="294"/>
      <c r="AJ382" s="294"/>
    </row>
    <row r="383" spans="2:36" x14ac:dyDescent="0.25">
      <c r="B383" s="294"/>
      <c r="C383" s="294"/>
      <c r="D383" s="294"/>
      <c r="E383" s="294"/>
      <c r="F383" s="294"/>
      <c r="G383" s="294"/>
      <c r="H383" s="294"/>
      <c r="I383" s="294"/>
      <c r="J383" s="294"/>
      <c r="L383" s="295"/>
      <c r="M383" s="294"/>
      <c r="R383" s="326"/>
      <c r="S383" s="326"/>
      <c r="T383" s="294"/>
      <c r="U383" s="294"/>
      <c r="V383" s="294"/>
      <c r="W383" s="294"/>
      <c r="X383" s="1182"/>
      <c r="Y383" s="1182"/>
      <c r="Z383" s="1166"/>
      <c r="AA383" s="1166"/>
      <c r="AB383" s="1182"/>
      <c r="AC383" s="294"/>
      <c r="AD383" s="294"/>
      <c r="AE383" s="294"/>
      <c r="AF383" s="294"/>
      <c r="AG383" s="294"/>
      <c r="AH383" s="294"/>
      <c r="AI383" s="294"/>
      <c r="AJ383" s="294"/>
    </row>
    <row r="384" spans="2:36" x14ac:dyDescent="0.25">
      <c r="B384" s="294"/>
      <c r="C384" s="294"/>
      <c r="D384" s="294"/>
      <c r="E384" s="294"/>
      <c r="F384" s="294"/>
      <c r="G384" s="294"/>
      <c r="H384" s="294"/>
      <c r="I384" s="294"/>
      <c r="J384" s="294"/>
      <c r="L384" s="295"/>
      <c r="M384" s="294"/>
      <c r="R384" s="326"/>
      <c r="S384" s="326"/>
      <c r="T384" s="294"/>
      <c r="U384" s="294"/>
      <c r="V384" s="294"/>
      <c r="W384" s="294"/>
      <c r="X384" s="1182"/>
      <c r="Y384" s="1182"/>
      <c r="Z384" s="1166"/>
      <c r="AA384" s="1166"/>
      <c r="AB384" s="1182"/>
      <c r="AC384" s="294"/>
      <c r="AD384" s="294"/>
      <c r="AE384" s="294"/>
      <c r="AF384" s="294"/>
      <c r="AG384" s="294"/>
      <c r="AH384" s="294"/>
      <c r="AI384" s="294"/>
      <c r="AJ384" s="294"/>
    </row>
    <row r="385" spans="2:36" x14ac:dyDescent="0.25">
      <c r="B385" s="294"/>
      <c r="C385" s="294"/>
      <c r="D385" s="294"/>
      <c r="E385" s="294"/>
      <c r="F385" s="294"/>
      <c r="G385" s="294"/>
      <c r="H385" s="294"/>
      <c r="I385" s="294"/>
      <c r="J385" s="294"/>
      <c r="L385" s="295"/>
      <c r="M385" s="294"/>
      <c r="R385" s="326"/>
      <c r="S385" s="326"/>
      <c r="T385" s="294"/>
      <c r="U385" s="294"/>
      <c r="V385" s="294"/>
      <c r="W385" s="294"/>
      <c r="X385" s="1182"/>
      <c r="Y385" s="1182"/>
      <c r="Z385" s="1166"/>
      <c r="AA385" s="1166"/>
      <c r="AB385" s="1182"/>
      <c r="AC385" s="294"/>
      <c r="AD385" s="294"/>
      <c r="AE385" s="294"/>
      <c r="AF385" s="294"/>
      <c r="AG385" s="294"/>
      <c r="AH385" s="294"/>
      <c r="AI385" s="294"/>
      <c r="AJ385" s="294"/>
    </row>
    <row r="386" spans="2:36" x14ac:dyDescent="0.25">
      <c r="B386" s="294"/>
      <c r="C386" s="294"/>
      <c r="D386" s="294"/>
      <c r="E386" s="294"/>
      <c r="F386" s="294"/>
      <c r="G386" s="294"/>
      <c r="H386" s="294"/>
      <c r="I386" s="294"/>
      <c r="J386" s="294"/>
      <c r="L386" s="295"/>
      <c r="M386" s="294"/>
      <c r="R386" s="326"/>
      <c r="S386" s="326"/>
      <c r="T386" s="294"/>
      <c r="U386" s="294"/>
      <c r="V386" s="294"/>
      <c r="W386" s="294"/>
      <c r="X386" s="1182"/>
      <c r="Y386" s="1182"/>
      <c r="Z386" s="1166"/>
      <c r="AA386" s="1166"/>
      <c r="AB386" s="1182"/>
      <c r="AC386" s="294"/>
      <c r="AD386" s="294"/>
      <c r="AE386" s="294"/>
      <c r="AF386" s="294"/>
      <c r="AG386" s="294"/>
      <c r="AH386" s="294"/>
      <c r="AI386" s="294"/>
      <c r="AJ386" s="294"/>
    </row>
    <row r="387" spans="2:36" x14ac:dyDescent="0.25">
      <c r="B387" s="294"/>
      <c r="C387" s="294"/>
      <c r="D387" s="294"/>
      <c r="E387" s="294"/>
      <c r="F387" s="294"/>
      <c r="G387" s="294"/>
      <c r="H387" s="294"/>
      <c r="I387" s="294"/>
      <c r="J387" s="294"/>
      <c r="L387" s="295"/>
      <c r="M387" s="294"/>
      <c r="R387" s="326"/>
      <c r="S387" s="326"/>
      <c r="T387" s="294"/>
      <c r="U387" s="294"/>
      <c r="V387" s="294"/>
      <c r="W387" s="294"/>
      <c r="X387" s="1182"/>
      <c r="Y387" s="1182"/>
      <c r="Z387" s="1166"/>
      <c r="AA387" s="1166"/>
      <c r="AB387" s="1182"/>
      <c r="AC387" s="294"/>
      <c r="AD387" s="294"/>
      <c r="AE387" s="294"/>
      <c r="AF387" s="294"/>
      <c r="AG387" s="294"/>
      <c r="AH387" s="294"/>
      <c r="AI387" s="294"/>
      <c r="AJ387" s="294"/>
    </row>
    <row r="388" spans="2:36" x14ac:dyDescent="0.25">
      <c r="B388" s="294"/>
      <c r="C388" s="294"/>
      <c r="D388" s="294"/>
      <c r="E388" s="294"/>
      <c r="F388" s="294"/>
      <c r="G388" s="294"/>
      <c r="H388" s="294"/>
      <c r="I388" s="294"/>
      <c r="J388" s="294"/>
      <c r="L388" s="295"/>
      <c r="M388" s="294"/>
      <c r="R388" s="326"/>
      <c r="S388" s="326"/>
      <c r="T388" s="294"/>
      <c r="U388" s="294"/>
      <c r="V388" s="294"/>
      <c r="W388" s="294"/>
      <c r="X388" s="1182"/>
      <c r="Y388" s="1182"/>
      <c r="Z388" s="1166"/>
      <c r="AA388" s="1166"/>
      <c r="AB388" s="1182"/>
      <c r="AC388" s="294"/>
      <c r="AD388" s="294"/>
      <c r="AE388" s="294"/>
      <c r="AF388" s="294"/>
      <c r="AG388" s="294"/>
      <c r="AH388" s="294"/>
      <c r="AI388" s="294"/>
      <c r="AJ388" s="294"/>
    </row>
    <row r="389" spans="2:36" x14ac:dyDescent="0.25">
      <c r="B389" s="294"/>
      <c r="C389" s="294"/>
      <c r="D389" s="294"/>
      <c r="E389" s="294"/>
      <c r="F389" s="294"/>
      <c r="G389" s="294"/>
      <c r="H389" s="294"/>
      <c r="I389" s="294"/>
      <c r="J389" s="294"/>
      <c r="L389" s="295"/>
      <c r="M389" s="294"/>
      <c r="R389" s="326"/>
      <c r="S389" s="326"/>
      <c r="T389" s="294"/>
      <c r="U389" s="294"/>
      <c r="V389" s="294"/>
      <c r="W389" s="294"/>
      <c r="X389" s="1182"/>
      <c r="Y389" s="1182"/>
      <c r="Z389" s="1166"/>
      <c r="AA389" s="1166"/>
      <c r="AB389" s="1182"/>
      <c r="AC389" s="294"/>
      <c r="AD389" s="294"/>
      <c r="AE389" s="294"/>
      <c r="AF389" s="294"/>
      <c r="AG389" s="294"/>
      <c r="AH389" s="294"/>
      <c r="AI389" s="294"/>
      <c r="AJ389" s="294"/>
    </row>
    <row r="390" spans="2:36" x14ac:dyDescent="0.25">
      <c r="B390" s="294"/>
      <c r="C390" s="294"/>
      <c r="D390" s="294"/>
      <c r="E390" s="294"/>
      <c r="F390" s="294"/>
      <c r="G390" s="294"/>
      <c r="H390" s="294"/>
      <c r="I390" s="294"/>
      <c r="J390" s="294"/>
      <c r="L390" s="295"/>
      <c r="M390" s="294"/>
      <c r="R390" s="326"/>
      <c r="S390" s="326"/>
      <c r="T390" s="294"/>
      <c r="U390" s="294"/>
      <c r="V390" s="294"/>
      <c r="W390" s="294"/>
      <c r="X390" s="1182"/>
      <c r="Y390" s="1182"/>
      <c r="Z390" s="1166"/>
      <c r="AA390" s="1166"/>
      <c r="AB390" s="1182"/>
      <c r="AC390" s="294"/>
      <c r="AD390" s="294"/>
      <c r="AE390" s="294"/>
      <c r="AF390" s="294"/>
      <c r="AG390" s="294"/>
      <c r="AH390" s="294"/>
      <c r="AI390" s="294"/>
      <c r="AJ390" s="294"/>
    </row>
    <row r="391" spans="2:36" x14ac:dyDescent="0.25">
      <c r="B391" s="294"/>
      <c r="C391" s="294"/>
      <c r="D391" s="294"/>
      <c r="E391" s="294"/>
      <c r="F391" s="294"/>
      <c r="G391" s="294"/>
      <c r="H391" s="294"/>
      <c r="I391" s="294"/>
      <c r="J391" s="294"/>
      <c r="L391" s="295"/>
      <c r="M391" s="294"/>
      <c r="R391" s="326"/>
      <c r="S391" s="326"/>
      <c r="T391" s="294"/>
      <c r="U391" s="294"/>
      <c r="V391" s="294"/>
      <c r="W391" s="294"/>
      <c r="X391" s="1182"/>
      <c r="Y391" s="1182"/>
      <c r="Z391" s="1166"/>
      <c r="AA391" s="1166"/>
      <c r="AB391" s="1182"/>
      <c r="AC391" s="294"/>
      <c r="AD391" s="294"/>
      <c r="AE391" s="294"/>
      <c r="AF391" s="294"/>
      <c r="AG391" s="294"/>
      <c r="AH391" s="294"/>
      <c r="AI391" s="294"/>
      <c r="AJ391" s="294"/>
    </row>
    <row r="392" spans="2:36" x14ac:dyDescent="0.25">
      <c r="B392" s="294"/>
      <c r="C392" s="294"/>
      <c r="D392" s="294"/>
      <c r="E392" s="294"/>
      <c r="F392" s="294"/>
      <c r="G392" s="294"/>
      <c r="H392" s="294"/>
      <c r="I392" s="294"/>
      <c r="J392" s="294"/>
      <c r="L392" s="295"/>
      <c r="M392" s="294"/>
      <c r="R392" s="326"/>
      <c r="S392" s="326"/>
      <c r="T392" s="294"/>
      <c r="U392" s="294"/>
      <c r="V392" s="294"/>
      <c r="W392" s="294"/>
      <c r="X392" s="1182"/>
      <c r="Y392" s="1182"/>
      <c r="Z392" s="1166"/>
      <c r="AA392" s="1166"/>
      <c r="AB392" s="1182"/>
      <c r="AC392" s="294"/>
      <c r="AD392" s="294"/>
      <c r="AE392" s="294"/>
      <c r="AF392" s="294"/>
      <c r="AG392" s="294"/>
      <c r="AH392" s="294"/>
      <c r="AI392" s="294"/>
      <c r="AJ392" s="294"/>
    </row>
    <row r="393" spans="2:36" x14ac:dyDescent="0.25">
      <c r="B393" s="294"/>
      <c r="C393" s="294"/>
      <c r="D393" s="294"/>
      <c r="E393" s="294"/>
      <c r="F393" s="294"/>
      <c r="G393" s="294"/>
      <c r="H393" s="294"/>
      <c r="I393" s="294"/>
      <c r="J393" s="294"/>
      <c r="L393" s="295"/>
      <c r="M393" s="294"/>
      <c r="R393" s="326"/>
      <c r="S393" s="326"/>
      <c r="T393" s="294"/>
      <c r="U393" s="294"/>
      <c r="V393" s="294"/>
      <c r="W393" s="294"/>
      <c r="X393" s="1182"/>
      <c r="Y393" s="1182"/>
      <c r="Z393" s="1166"/>
      <c r="AA393" s="1166"/>
      <c r="AB393" s="1182"/>
      <c r="AC393" s="294"/>
      <c r="AD393" s="294"/>
      <c r="AE393" s="294"/>
      <c r="AF393" s="294"/>
      <c r="AG393" s="294"/>
      <c r="AH393" s="294"/>
      <c r="AI393" s="294"/>
      <c r="AJ393" s="294"/>
    </row>
    <row r="394" spans="2:36" x14ac:dyDescent="0.25">
      <c r="B394" s="294"/>
      <c r="C394" s="294"/>
      <c r="D394" s="294"/>
      <c r="E394" s="294"/>
      <c r="F394" s="294"/>
      <c r="G394" s="294"/>
      <c r="H394" s="294"/>
      <c r="I394" s="294"/>
      <c r="J394" s="294"/>
      <c r="L394" s="295"/>
      <c r="M394" s="294"/>
      <c r="R394" s="326"/>
      <c r="S394" s="326"/>
      <c r="T394" s="294"/>
      <c r="U394" s="294"/>
      <c r="V394" s="294"/>
      <c r="W394" s="294"/>
      <c r="X394" s="1182"/>
      <c r="Y394" s="1182"/>
      <c r="Z394" s="1166"/>
      <c r="AA394" s="1166"/>
      <c r="AB394" s="1182"/>
      <c r="AC394" s="294"/>
      <c r="AD394" s="294"/>
      <c r="AE394" s="294"/>
      <c r="AF394" s="294"/>
      <c r="AG394" s="294"/>
      <c r="AH394" s="294"/>
      <c r="AI394" s="294"/>
      <c r="AJ394" s="294"/>
    </row>
    <row r="395" spans="2:36" x14ac:dyDescent="0.25">
      <c r="B395" s="294"/>
      <c r="C395" s="294"/>
      <c r="D395" s="294"/>
      <c r="E395" s="294"/>
      <c r="F395" s="294"/>
      <c r="G395" s="294"/>
      <c r="H395" s="294"/>
      <c r="I395" s="294"/>
      <c r="J395" s="294"/>
      <c r="L395" s="295"/>
      <c r="M395" s="294"/>
      <c r="R395" s="326"/>
      <c r="S395" s="326"/>
      <c r="T395" s="294"/>
      <c r="U395" s="294"/>
      <c r="V395" s="294"/>
      <c r="W395" s="294"/>
      <c r="X395" s="1182"/>
      <c r="Y395" s="1182"/>
      <c r="Z395" s="1166"/>
      <c r="AA395" s="1166"/>
      <c r="AB395" s="1182"/>
      <c r="AC395" s="294"/>
      <c r="AD395" s="294"/>
      <c r="AE395" s="294"/>
      <c r="AF395" s="294"/>
      <c r="AG395" s="294"/>
      <c r="AH395" s="294"/>
      <c r="AI395" s="294"/>
      <c r="AJ395" s="294"/>
    </row>
    <row r="396" spans="2:36" x14ac:dyDescent="0.25">
      <c r="B396" s="294"/>
      <c r="C396" s="294"/>
      <c r="D396" s="294"/>
      <c r="E396" s="294"/>
      <c r="F396" s="294"/>
      <c r="G396" s="294"/>
      <c r="H396" s="294"/>
      <c r="I396" s="294"/>
      <c r="J396" s="294"/>
      <c r="L396" s="295"/>
      <c r="M396" s="294"/>
      <c r="R396" s="326"/>
      <c r="S396" s="326"/>
      <c r="T396" s="294"/>
      <c r="U396" s="294"/>
      <c r="V396" s="294"/>
      <c r="W396" s="294"/>
      <c r="X396" s="1182"/>
      <c r="Y396" s="1182"/>
      <c r="Z396" s="1166"/>
      <c r="AA396" s="1166"/>
      <c r="AB396" s="1182"/>
      <c r="AC396" s="294"/>
      <c r="AD396" s="294"/>
      <c r="AE396" s="294"/>
      <c r="AF396" s="294"/>
      <c r="AG396" s="294"/>
      <c r="AH396" s="294"/>
      <c r="AI396" s="294"/>
      <c r="AJ396" s="294"/>
    </row>
    <row r="397" spans="2:36" x14ac:dyDescent="0.25">
      <c r="B397" s="294"/>
      <c r="C397" s="294"/>
      <c r="D397" s="294"/>
      <c r="E397" s="294"/>
      <c r="F397" s="294"/>
      <c r="G397" s="294"/>
      <c r="H397" s="294"/>
      <c r="I397" s="294"/>
      <c r="J397" s="294"/>
      <c r="L397" s="295"/>
      <c r="M397" s="294"/>
      <c r="R397" s="326"/>
      <c r="S397" s="326"/>
      <c r="T397" s="294"/>
      <c r="U397" s="294"/>
      <c r="V397" s="294"/>
      <c r="W397" s="294"/>
      <c r="X397" s="1182"/>
      <c r="Y397" s="1182"/>
      <c r="Z397" s="1166"/>
      <c r="AA397" s="1166"/>
      <c r="AB397" s="1182"/>
      <c r="AC397" s="294"/>
      <c r="AD397" s="294"/>
      <c r="AE397" s="294"/>
      <c r="AF397" s="294"/>
      <c r="AG397" s="294"/>
      <c r="AH397" s="294"/>
      <c r="AI397" s="294"/>
      <c r="AJ397" s="294"/>
    </row>
    <row r="398" spans="2:36" x14ac:dyDescent="0.25">
      <c r="B398" s="294"/>
      <c r="C398" s="294"/>
      <c r="D398" s="294"/>
      <c r="E398" s="294"/>
      <c r="F398" s="294"/>
      <c r="G398" s="294"/>
      <c r="H398" s="294"/>
      <c r="I398" s="294"/>
      <c r="J398" s="294"/>
      <c r="L398" s="295"/>
      <c r="M398" s="294"/>
      <c r="R398" s="326"/>
      <c r="S398" s="326"/>
      <c r="T398" s="294"/>
      <c r="U398" s="294"/>
      <c r="V398" s="294"/>
      <c r="W398" s="294"/>
      <c r="X398" s="1182"/>
      <c r="Y398" s="1182"/>
      <c r="Z398" s="1166"/>
      <c r="AA398" s="1166"/>
      <c r="AB398" s="1182"/>
      <c r="AC398" s="294"/>
      <c r="AD398" s="294"/>
      <c r="AE398" s="294"/>
      <c r="AF398" s="294"/>
      <c r="AG398" s="294"/>
      <c r="AH398" s="294"/>
      <c r="AI398" s="294"/>
      <c r="AJ398" s="294"/>
    </row>
    <row r="399" spans="2:36" x14ac:dyDescent="0.25">
      <c r="B399" s="294"/>
      <c r="C399" s="294"/>
      <c r="D399" s="294"/>
      <c r="E399" s="294"/>
      <c r="F399" s="294"/>
      <c r="G399" s="294"/>
      <c r="H399" s="294"/>
      <c r="I399" s="294"/>
      <c r="J399" s="294"/>
      <c r="L399" s="295"/>
      <c r="M399" s="294"/>
      <c r="R399" s="326"/>
      <c r="S399" s="326"/>
      <c r="T399" s="294"/>
      <c r="U399" s="294"/>
      <c r="V399" s="294"/>
      <c r="W399" s="294"/>
      <c r="X399" s="1182"/>
      <c r="Y399" s="1182"/>
      <c r="Z399" s="1166"/>
      <c r="AA399" s="1166"/>
      <c r="AB399" s="1182"/>
      <c r="AC399" s="294"/>
      <c r="AD399" s="294"/>
      <c r="AE399" s="294"/>
      <c r="AF399" s="294"/>
      <c r="AG399" s="294"/>
      <c r="AH399" s="294"/>
      <c r="AI399" s="294"/>
      <c r="AJ399" s="294"/>
    </row>
    <row r="400" spans="2:36" x14ac:dyDescent="0.25">
      <c r="B400" s="294"/>
      <c r="C400" s="294"/>
      <c r="D400" s="294"/>
      <c r="E400" s="294"/>
      <c r="F400" s="294"/>
      <c r="G400" s="294"/>
      <c r="H400" s="294"/>
      <c r="I400" s="294"/>
      <c r="J400" s="294"/>
      <c r="L400" s="295"/>
      <c r="M400" s="294"/>
      <c r="R400" s="326"/>
      <c r="S400" s="326"/>
      <c r="T400" s="294"/>
      <c r="U400" s="294"/>
      <c r="V400" s="294"/>
      <c r="W400" s="294"/>
      <c r="X400" s="1182"/>
      <c r="Y400" s="1182"/>
      <c r="Z400" s="1166"/>
      <c r="AA400" s="1166"/>
      <c r="AB400" s="1182"/>
      <c r="AC400" s="294"/>
      <c r="AD400" s="294"/>
      <c r="AE400" s="294"/>
      <c r="AF400" s="294"/>
      <c r="AG400" s="294"/>
      <c r="AH400" s="294"/>
      <c r="AI400" s="294"/>
      <c r="AJ400" s="294"/>
    </row>
    <row r="401" spans="2:36" x14ac:dyDescent="0.25">
      <c r="B401" s="294"/>
      <c r="C401" s="294"/>
      <c r="D401" s="294"/>
      <c r="E401" s="294"/>
      <c r="F401" s="294"/>
      <c r="G401" s="294"/>
      <c r="H401" s="294"/>
      <c r="I401" s="294"/>
      <c r="J401" s="294"/>
      <c r="L401" s="295"/>
      <c r="M401" s="294"/>
      <c r="R401" s="326"/>
      <c r="S401" s="326"/>
      <c r="T401" s="294"/>
      <c r="U401" s="294"/>
      <c r="V401" s="294"/>
      <c r="W401" s="294"/>
      <c r="X401" s="1182"/>
      <c r="Y401" s="1182"/>
      <c r="Z401" s="1166"/>
      <c r="AA401" s="1166"/>
      <c r="AB401" s="1182"/>
      <c r="AC401" s="294"/>
      <c r="AD401" s="294"/>
      <c r="AE401" s="294"/>
      <c r="AF401" s="294"/>
      <c r="AG401" s="294"/>
      <c r="AH401" s="294"/>
      <c r="AI401" s="294"/>
      <c r="AJ401" s="294"/>
    </row>
    <row r="402" spans="2:36" x14ac:dyDescent="0.25">
      <c r="B402" s="294"/>
      <c r="C402" s="294"/>
      <c r="D402" s="294"/>
      <c r="E402" s="294"/>
      <c r="F402" s="294"/>
      <c r="G402" s="294"/>
      <c r="H402" s="294"/>
      <c r="I402" s="294"/>
      <c r="J402" s="294"/>
      <c r="L402" s="295"/>
      <c r="M402" s="294"/>
      <c r="R402" s="326"/>
      <c r="S402" s="326"/>
      <c r="T402" s="294"/>
      <c r="U402" s="294"/>
      <c r="V402" s="294"/>
      <c r="W402" s="294"/>
      <c r="X402" s="1182"/>
      <c r="Y402" s="1182"/>
      <c r="Z402" s="1166"/>
      <c r="AA402" s="1166"/>
      <c r="AB402" s="1182"/>
      <c r="AC402" s="294"/>
      <c r="AD402" s="294"/>
      <c r="AE402" s="294"/>
      <c r="AF402" s="294"/>
      <c r="AG402" s="294"/>
      <c r="AH402" s="294"/>
      <c r="AI402" s="294"/>
      <c r="AJ402" s="294"/>
    </row>
    <row r="403" spans="2:36" x14ac:dyDescent="0.25">
      <c r="B403" s="294"/>
      <c r="C403" s="294"/>
      <c r="D403" s="294"/>
      <c r="E403" s="294"/>
      <c r="F403" s="294"/>
      <c r="G403" s="294"/>
      <c r="H403" s="294"/>
      <c r="I403" s="294"/>
      <c r="J403" s="294"/>
      <c r="L403" s="295"/>
      <c r="M403" s="294"/>
      <c r="R403" s="326"/>
      <c r="S403" s="326"/>
      <c r="T403" s="294"/>
      <c r="U403" s="294"/>
      <c r="V403" s="294"/>
      <c r="W403" s="294"/>
      <c r="X403" s="1182"/>
      <c r="Y403" s="1182"/>
      <c r="Z403" s="1166"/>
      <c r="AA403" s="1166"/>
      <c r="AB403" s="1182"/>
      <c r="AC403" s="294"/>
      <c r="AD403" s="294"/>
      <c r="AE403" s="294"/>
      <c r="AF403" s="294"/>
      <c r="AG403" s="294"/>
      <c r="AH403" s="294"/>
      <c r="AI403" s="294"/>
      <c r="AJ403" s="294"/>
    </row>
    <row r="404" spans="2:36" x14ac:dyDescent="0.25">
      <c r="B404" s="294"/>
      <c r="C404" s="294"/>
      <c r="D404" s="294"/>
      <c r="E404" s="294"/>
      <c r="F404" s="294"/>
      <c r="G404" s="294"/>
      <c r="H404" s="294"/>
      <c r="I404" s="294"/>
      <c r="J404" s="294"/>
      <c r="L404" s="295"/>
      <c r="M404" s="294"/>
      <c r="R404" s="326"/>
      <c r="S404" s="326"/>
      <c r="T404" s="294"/>
      <c r="U404" s="294"/>
      <c r="V404" s="294"/>
      <c r="W404" s="294"/>
      <c r="X404" s="1182"/>
      <c r="Y404" s="1182"/>
      <c r="Z404" s="1166"/>
      <c r="AA404" s="1166"/>
      <c r="AB404" s="1182"/>
      <c r="AC404" s="294"/>
      <c r="AD404" s="294"/>
      <c r="AE404" s="294"/>
      <c r="AF404" s="294"/>
      <c r="AG404" s="294"/>
      <c r="AH404" s="294"/>
      <c r="AI404" s="294"/>
      <c r="AJ404" s="294"/>
    </row>
    <row r="405" spans="2:36" x14ac:dyDescent="0.25">
      <c r="B405" s="294"/>
      <c r="C405" s="294"/>
      <c r="D405" s="294"/>
      <c r="E405" s="294"/>
      <c r="F405" s="294"/>
      <c r="G405" s="294"/>
      <c r="H405" s="294"/>
      <c r="I405" s="294"/>
      <c r="J405" s="294"/>
      <c r="L405" s="295"/>
      <c r="M405" s="294"/>
      <c r="R405" s="326"/>
      <c r="S405" s="326"/>
      <c r="T405" s="294"/>
      <c r="U405" s="294"/>
      <c r="V405" s="294"/>
      <c r="W405" s="294"/>
      <c r="X405" s="1182"/>
      <c r="Y405" s="1182"/>
      <c r="Z405" s="1166"/>
      <c r="AA405" s="1166"/>
      <c r="AB405" s="1182"/>
      <c r="AC405" s="294"/>
      <c r="AD405" s="294"/>
      <c r="AE405" s="294"/>
      <c r="AF405" s="294"/>
      <c r="AG405" s="294"/>
      <c r="AH405" s="294"/>
      <c r="AI405" s="294"/>
      <c r="AJ405" s="294"/>
    </row>
    <row r="406" spans="2:36" x14ac:dyDescent="0.25">
      <c r="B406" s="294"/>
      <c r="C406" s="294"/>
      <c r="D406" s="294"/>
      <c r="E406" s="294"/>
      <c r="F406" s="294"/>
      <c r="G406" s="294"/>
      <c r="H406" s="294"/>
      <c r="I406" s="294"/>
      <c r="J406" s="294"/>
      <c r="L406" s="295"/>
      <c r="M406" s="294"/>
      <c r="R406" s="326"/>
      <c r="S406" s="326"/>
      <c r="T406" s="294"/>
      <c r="U406" s="294"/>
      <c r="V406" s="294"/>
      <c r="W406" s="294"/>
      <c r="X406" s="1182"/>
      <c r="Y406" s="1182"/>
      <c r="Z406" s="1166"/>
      <c r="AA406" s="1166"/>
      <c r="AB406" s="1182"/>
      <c r="AC406" s="294"/>
      <c r="AD406" s="294"/>
      <c r="AE406" s="294"/>
      <c r="AF406" s="294"/>
      <c r="AG406" s="294"/>
      <c r="AH406" s="294"/>
      <c r="AI406" s="294"/>
      <c r="AJ406" s="294"/>
    </row>
    <row r="407" spans="2:36" x14ac:dyDescent="0.25">
      <c r="B407" s="294"/>
      <c r="C407" s="294"/>
      <c r="D407" s="294"/>
      <c r="E407" s="294"/>
      <c r="F407" s="294"/>
      <c r="G407" s="294"/>
      <c r="H407" s="294"/>
      <c r="I407" s="294"/>
      <c r="J407" s="294"/>
      <c r="L407" s="295"/>
      <c r="M407" s="294"/>
      <c r="R407" s="326"/>
      <c r="S407" s="326"/>
      <c r="T407" s="294"/>
      <c r="U407" s="294"/>
      <c r="V407" s="294"/>
      <c r="W407" s="294"/>
      <c r="X407" s="1182"/>
      <c r="Y407" s="1182"/>
      <c r="Z407" s="1166"/>
      <c r="AA407" s="1166"/>
      <c r="AB407" s="1182"/>
      <c r="AC407" s="294"/>
      <c r="AD407" s="294"/>
      <c r="AE407" s="294"/>
      <c r="AF407" s="294"/>
      <c r="AG407" s="294"/>
      <c r="AH407" s="294"/>
      <c r="AI407" s="294"/>
      <c r="AJ407" s="294"/>
    </row>
    <row r="408" spans="2:36" x14ac:dyDescent="0.25">
      <c r="B408" s="294"/>
      <c r="C408" s="294"/>
      <c r="D408" s="294"/>
      <c r="E408" s="294"/>
      <c r="F408" s="294"/>
      <c r="G408" s="294"/>
      <c r="H408" s="294"/>
      <c r="I408" s="294"/>
      <c r="J408" s="294"/>
      <c r="L408" s="295"/>
      <c r="M408" s="294"/>
      <c r="R408" s="326"/>
      <c r="S408" s="326"/>
      <c r="T408" s="294"/>
      <c r="U408" s="294"/>
      <c r="V408" s="294"/>
      <c r="W408" s="294"/>
      <c r="X408" s="1182"/>
      <c r="Y408" s="1182"/>
      <c r="Z408" s="1166"/>
      <c r="AA408" s="1166"/>
      <c r="AB408" s="1182"/>
      <c r="AC408" s="294"/>
      <c r="AD408" s="294"/>
      <c r="AE408" s="294"/>
      <c r="AF408" s="294"/>
      <c r="AG408" s="294"/>
      <c r="AH408" s="294"/>
      <c r="AI408" s="294"/>
      <c r="AJ408" s="294"/>
    </row>
    <row r="409" spans="2:36" x14ac:dyDescent="0.25">
      <c r="B409" s="294"/>
      <c r="C409" s="294"/>
      <c r="D409" s="294"/>
      <c r="E409" s="294"/>
      <c r="F409" s="294"/>
      <c r="G409" s="294"/>
      <c r="H409" s="294"/>
      <c r="I409" s="294"/>
      <c r="J409" s="294"/>
      <c r="L409" s="295"/>
      <c r="M409" s="294"/>
      <c r="R409" s="326"/>
      <c r="S409" s="326"/>
      <c r="T409" s="294"/>
      <c r="U409" s="294"/>
      <c r="V409" s="294"/>
      <c r="W409" s="294"/>
      <c r="X409" s="1182"/>
      <c r="Y409" s="1182"/>
      <c r="Z409" s="1166"/>
      <c r="AA409" s="1166"/>
      <c r="AB409" s="1182"/>
      <c r="AC409" s="294"/>
      <c r="AD409" s="294"/>
      <c r="AE409" s="294"/>
      <c r="AF409" s="294"/>
      <c r="AG409" s="294"/>
      <c r="AH409" s="294"/>
      <c r="AI409" s="294"/>
      <c r="AJ409" s="294"/>
    </row>
    <row r="410" spans="2:36" x14ac:dyDescent="0.25">
      <c r="B410" s="294"/>
      <c r="C410" s="294"/>
      <c r="D410" s="294"/>
      <c r="E410" s="294"/>
      <c r="F410" s="294"/>
      <c r="G410" s="294"/>
      <c r="H410" s="294"/>
      <c r="I410" s="294"/>
      <c r="J410" s="294"/>
      <c r="L410" s="295"/>
      <c r="M410" s="294"/>
      <c r="R410" s="326"/>
      <c r="S410" s="326"/>
      <c r="T410" s="294"/>
      <c r="U410" s="294"/>
      <c r="V410" s="294"/>
      <c r="W410" s="294"/>
      <c r="X410" s="1182"/>
      <c r="Y410" s="1182"/>
      <c r="Z410" s="1166"/>
      <c r="AA410" s="1166"/>
      <c r="AB410" s="1182"/>
      <c r="AC410" s="294"/>
      <c r="AD410" s="294"/>
      <c r="AE410" s="294"/>
      <c r="AF410" s="294"/>
      <c r="AG410" s="294"/>
      <c r="AH410" s="294"/>
      <c r="AI410" s="294"/>
      <c r="AJ410" s="294"/>
    </row>
    <row r="411" spans="2:36" x14ac:dyDescent="0.25">
      <c r="B411" s="294"/>
      <c r="C411" s="294"/>
      <c r="D411" s="294"/>
      <c r="E411" s="294"/>
      <c r="F411" s="294"/>
      <c r="G411" s="294"/>
      <c r="H411" s="294"/>
      <c r="I411" s="294"/>
      <c r="J411" s="294"/>
      <c r="L411" s="295"/>
      <c r="M411" s="294"/>
      <c r="R411" s="326"/>
      <c r="S411" s="326"/>
      <c r="T411" s="294"/>
      <c r="U411" s="294"/>
      <c r="V411" s="294"/>
      <c r="W411" s="294"/>
      <c r="X411" s="1182"/>
      <c r="Y411" s="1182"/>
      <c r="Z411" s="1166"/>
      <c r="AA411" s="1166"/>
      <c r="AB411" s="1182"/>
      <c r="AC411" s="294"/>
      <c r="AD411" s="294"/>
      <c r="AE411" s="294"/>
      <c r="AF411" s="294"/>
      <c r="AG411" s="294"/>
      <c r="AH411" s="294"/>
      <c r="AI411" s="294"/>
      <c r="AJ411" s="294"/>
    </row>
    <row r="412" spans="2:36" x14ac:dyDescent="0.25">
      <c r="B412" s="294"/>
      <c r="C412" s="294"/>
      <c r="D412" s="294"/>
      <c r="E412" s="294"/>
      <c r="F412" s="294"/>
      <c r="G412" s="294"/>
      <c r="H412" s="294"/>
      <c r="I412" s="294"/>
      <c r="J412" s="294"/>
      <c r="L412" s="295"/>
      <c r="M412" s="294"/>
      <c r="R412" s="326"/>
      <c r="S412" s="326"/>
      <c r="T412" s="294"/>
      <c r="U412" s="294"/>
      <c r="V412" s="294"/>
      <c r="W412" s="294"/>
      <c r="X412" s="1182"/>
      <c r="Y412" s="1182"/>
      <c r="Z412" s="1166"/>
      <c r="AA412" s="1166"/>
      <c r="AB412" s="1182"/>
      <c r="AC412" s="294"/>
      <c r="AD412" s="294"/>
      <c r="AE412" s="294"/>
      <c r="AF412" s="294"/>
      <c r="AG412" s="294"/>
      <c r="AH412" s="294"/>
      <c r="AI412" s="294"/>
      <c r="AJ412" s="294"/>
    </row>
    <row r="413" spans="2:36" x14ac:dyDescent="0.25">
      <c r="B413" s="294"/>
      <c r="C413" s="294"/>
      <c r="D413" s="294"/>
      <c r="E413" s="294"/>
      <c r="F413" s="294"/>
      <c r="G413" s="294"/>
      <c r="H413" s="294"/>
      <c r="I413" s="294"/>
      <c r="J413" s="294"/>
      <c r="L413" s="295"/>
      <c r="M413" s="294"/>
      <c r="R413" s="326"/>
      <c r="S413" s="326"/>
      <c r="T413" s="294"/>
      <c r="U413" s="294"/>
      <c r="V413" s="294"/>
      <c r="W413" s="294"/>
      <c r="X413" s="1182"/>
      <c r="Y413" s="1182"/>
      <c r="Z413" s="1166"/>
      <c r="AA413" s="1166"/>
      <c r="AB413" s="1182"/>
      <c r="AC413" s="294"/>
      <c r="AD413" s="294"/>
      <c r="AE413" s="294"/>
      <c r="AF413" s="294"/>
      <c r="AG413" s="294"/>
      <c r="AH413" s="294"/>
      <c r="AI413" s="294"/>
      <c r="AJ413" s="294"/>
    </row>
    <row r="414" spans="2:36" x14ac:dyDescent="0.25">
      <c r="B414" s="294"/>
      <c r="C414" s="294"/>
      <c r="D414" s="294"/>
      <c r="E414" s="294"/>
      <c r="F414" s="294"/>
      <c r="G414" s="294"/>
      <c r="H414" s="294"/>
      <c r="I414" s="294"/>
      <c r="J414" s="294"/>
      <c r="L414" s="295"/>
      <c r="M414" s="294"/>
      <c r="R414" s="326"/>
      <c r="S414" s="326"/>
      <c r="T414" s="294"/>
      <c r="U414" s="294"/>
      <c r="V414" s="294"/>
      <c r="W414" s="294"/>
      <c r="X414" s="1182"/>
      <c r="Y414" s="1182"/>
      <c r="Z414" s="1166"/>
      <c r="AA414" s="1166"/>
      <c r="AB414" s="1182"/>
      <c r="AC414" s="294"/>
      <c r="AD414" s="294"/>
      <c r="AE414" s="294"/>
      <c r="AF414" s="294"/>
      <c r="AG414" s="294"/>
      <c r="AH414" s="294"/>
      <c r="AI414" s="294"/>
      <c r="AJ414" s="294"/>
    </row>
    <row r="415" spans="2:36" x14ac:dyDescent="0.25">
      <c r="B415" s="294"/>
      <c r="C415" s="294"/>
      <c r="D415" s="294"/>
      <c r="E415" s="294"/>
      <c r="F415" s="294"/>
      <c r="G415" s="294"/>
      <c r="H415" s="294"/>
      <c r="I415" s="294"/>
      <c r="J415" s="294"/>
      <c r="L415" s="295"/>
      <c r="M415" s="294"/>
      <c r="R415" s="326"/>
      <c r="S415" s="326"/>
      <c r="T415" s="294"/>
      <c r="U415" s="294"/>
      <c r="V415" s="294"/>
      <c r="W415" s="294"/>
      <c r="X415" s="1182"/>
      <c r="Y415" s="1182"/>
      <c r="Z415" s="1166"/>
      <c r="AA415" s="1166"/>
      <c r="AB415" s="1182"/>
      <c r="AC415" s="294"/>
      <c r="AD415" s="294"/>
      <c r="AE415" s="294"/>
      <c r="AF415" s="294"/>
      <c r="AG415" s="294"/>
      <c r="AH415" s="294"/>
      <c r="AI415" s="294"/>
      <c r="AJ415" s="294"/>
    </row>
    <row r="416" spans="2:36" x14ac:dyDescent="0.25">
      <c r="B416" s="294"/>
      <c r="C416" s="294"/>
      <c r="D416" s="294"/>
      <c r="E416" s="294"/>
      <c r="F416" s="294"/>
      <c r="G416" s="294"/>
      <c r="H416" s="294"/>
      <c r="I416" s="294"/>
      <c r="J416" s="294"/>
      <c r="L416" s="295"/>
      <c r="M416" s="294"/>
      <c r="R416" s="326"/>
      <c r="S416" s="326"/>
      <c r="T416" s="294"/>
      <c r="U416" s="294"/>
      <c r="V416" s="294"/>
      <c r="W416" s="294"/>
      <c r="X416" s="1182"/>
      <c r="Y416" s="1182"/>
      <c r="Z416" s="1166"/>
      <c r="AA416" s="1166"/>
      <c r="AB416" s="1182"/>
      <c r="AC416" s="294"/>
      <c r="AD416" s="294"/>
      <c r="AE416" s="294"/>
      <c r="AF416" s="294"/>
      <c r="AG416" s="294"/>
      <c r="AH416" s="294"/>
      <c r="AI416" s="294"/>
      <c r="AJ416" s="294"/>
    </row>
    <row r="417" spans="2:36" x14ac:dyDescent="0.25">
      <c r="B417" s="294"/>
      <c r="C417" s="294"/>
      <c r="D417" s="294"/>
      <c r="E417" s="294"/>
      <c r="F417" s="294"/>
      <c r="G417" s="294"/>
      <c r="H417" s="294"/>
      <c r="I417" s="294"/>
      <c r="J417" s="294"/>
      <c r="L417" s="295"/>
      <c r="M417" s="294"/>
      <c r="R417" s="326"/>
      <c r="S417" s="326"/>
      <c r="T417" s="294"/>
      <c r="U417" s="294"/>
      <c r="V417" s="294"/>
      <c r="W417" s="294"/>
      <c r="X417" s="1182"/>
      <c r="Y417" s="1182"/>
      <c r="Z417" s="1166"/>
      <c r="AA417" s="1166"/>
      <c r="AB417" s="1182"/>
      <c r="AC417" s="294"/>
      <c r="AD417" s="294"/>
      <c r="AE417" s="294"/>
      <c r="AF417" s="294"/>
      <c r="AG417" s="294"/>
      <c r="AH417" s="294"/>
      <c r="AI417" s="294"/>
      <c r="AJ417" s="294"/>
    </row>
    <row r="418" spans="2:36" x14ac:dyDescent="0.25">
      <c r="B418" s="294"/>
      <c r="C418" s="294"/>
      <c r="D418" s="294"/>
      <c r="E418" s="294"/>
      <c r="F418" s="294"/>
      <c r="G418" s="294"/>
      <c r="H418" s="294"/>
      <c r="I418" s="294"/>
      <c r="J418" s="294"/>
      <c r="L418" s="295"/>
      <c r="M418" s="294"/>
      <c r="R418" s="326"/>
      <c r="S418" s="326"/>
      <c r="T418" s="294"/>
      <c r="U418" s="294"/>
      <c r="V418" s="294"/>
      <c r="W418" s="294"/>
      <c r="X418" s="1182"/>
      <c r="Y418" s="1182"/>
      <c r="Z418" s="1166"/>
      <c r="AA418" s="1166"/>
      <c r="AB418" s="1182"/>
      <c r="AC418" s="294"/>
      <c r="AD418" s="294"/>
      <c r="AE418" s="294"/>
      <c r="AF418" s="294"/>
      <c r="AG418" s="294"/>
      <c r="AH418" s="294"/>
      <c r="AI418" s="294"/>
      <c r="AJ418" s="294"/>
    </row>
    <row r="419" spans="2:36" x14ac:dyDescent="0.25">
      <c r="B419" s="294"/>
      <c r="C419" s="294"/>
      <c r="D419" s="294"/>
      <c r="E419" s="294"/>
      <c r="F419" s="294"/>
      <c r="G419" s="294"/>
      <c r="H419" s="294"/>
      <c r="I419" s="294"/>
      <c r="J419" s="294"/>
      <c r="L419" s="295"/>
      <c r="M419" s="294"/>
      <c r="R419" s="326"/>
      <c r="S419" s="326"/>
      <c r="T419" s="294"/>
      <c r="U419" s="294"/>
      <c r="V419" s="294"/>
      <c r="W419" s="294"/>
      <c r="X419" s="1182"/>
      <c r="Y419" s="1182"/>
      <c r="Z419" s="1166"/>
      <c r="AA419" s="1166"/>
      <c r="AB419" s="1182"/>
      <c r="AC419" s="294"/>
      <c r="AD419" s="294"/>
      <c r="AE419" s="294"/>
      <c r="AF419" s="294"/>
      <c r="AG419" s="294"/>
      <c r="AH419" s="294"/>
      <c r="AI419" s="294"/>
      <c r="AJ419" s="294"/>
    </row>
    <row r="420" spans="2:36" x14ac:dyDescent="0.25">
      <c r="B420" s="294"/>
      <c r="C420" s="294"/>
      <c r="D420" s="294"/>
      <c r="E420" s="294"/>
      <c r="F420" s="294"/>
      <c r="G420" s="294"/>
      <c r="H420" s="294"/>
      <c r="I420" s="294"/>
      <c r="J420" s="294"/>
      <c r="L420" s="295"/>
      <c r="M420" s="294"/>
      <c r="R420" s="326"/>
      <c r="S420" s="326"/>
      <c r="T420" s="294"/>
      <c r="U420" s="294"/>
      <c r="V420" s="294"/>
      <c r="W420" s="294"/>
      <c r="X420" s="1182"/>
      <c r="Y420" s="1182"/>
      <c r="Z420" s="1166"/>
      <c r="AA420" s="1166"/>
      <c r="AB420" s="1182"/>
      <c r="AC420" s="294"/>
      <c r="AD420" s="294"/>
      <c r="AE420" s="294"/>
      <c r="AF420" s="294"/>
      <c r="AG420" s="294"/>
      <c r="AH420" s="294"/>
      <c r="AI420" s="294"/>
      <c r="AJ420" s="294"/>
    </row>
    <row r="421" spans="2:36" x14ac:dyDescent="0.25">
      <c r="B421" s="294"/>
      <c r="C421" s="294"/>
      <c r="D421" s="294"/>
      <c r="E421" s="294"/>
      <c r="F421" s="294"/>
      <c r="G421" s="294"/>
      <c r="H421" s="294"/>
      <c r="I421" s="294"/>
      <c r="J421" s="294"/>
      <c r="L421" s="295"/>
      <c r="M421" s="294"/>
      <c r="R421" s="326"/>
      <c r="S421" s="326"/>
      <c r="T421" s="294"/>
      <c r="U421" s="294"/>
      <c r="V421" s="294"/>
      <c r="W421" s="294"/>
      <c r="X421" s="1182"/>
      <c r="Y421" s="1182"/>
      <c r="Z421" s="1166"/>
      <c r="AA421" s="1166"/>
      <c r="AB421" s="1182"/>
      <c r="AC421" s="294"/>
      <c r="AD421" s="294"/>
      <c r="AE421" s="294"/>
      <c r="AF421" s="294"/>
      <c r="AG421" s="294"/>
      <c r="AH421" s="294"/>
      <c r="AI421" s="294"/>
      <c r="AJ421" s="294"/>
    </row>
    <row r="422" spans="2:36" x14ac:dyDescent="0.25">
      <c r="B422" s="294"/>
      <c r="C422" s="294"/>
      <c r="D422" s="294"/>
      <c r="E422" s="294"/>
      <c r="F422" s="294"/>
      <c r="G422" s="294"/>
      <c r="H422" s="294"/>
      <c r="I422" s="294"/>
      <c r="J422" s="294"/>
      <c r="L422" s="295"/>
      <c r="M422" s="294"/>
      <c r="R422" s="326"/>
      <c r="S422" s="326"/>
      <c r="T422" s="294"/>
      <c r="U422" s="294"/>
      <c r="V422" s="294"/>
      <c r="W422" s="294"/>
      <c r="X422" s="1182"/>
      <c r="Y422" s="1182"/>
      <c r="Z422" s="1166"/>
      <c r="AA422" s="1166"/>
      <c r="AB422" s="1182"/>
      <c r="AC422" s="294"/>
      <c r="AD422" s="294"/>
      <c r="AE422" s="294"/>
      <c r="AF422" s="294"/>
      <c r="AG422" s="294"/>
      <c r="AH422" s="294"/>
      <c r="AI422" s="294"/>
      <c r="AJ422" s="294"/>
    </row>
    <row r="423" spans="2:36" x14ac:dyDescent="0.25">
      <c r="B423" s="294"/>
      <c r="C423" s="294"/>
      <c r="D423" s="294"/>
      <c r="E423" s="294"/>
      <c r="F423" s="294"/>
      <c r="G423" s="294"/>
      <c r="H423" s="294"/>
      <c r="I423" s="294"/>
      <c r="J423" s="294"/>
      <c r="L423" s="295"/>
      <c r="M423" s="294"/>
      <c r="R423" s="326"/>
      <c r="S423" s="326"/>
      <c r="T423" s="294"/>
      <c r="U423" s="294"/>
      <c r="V423" s="294"/>
      <c r="W423" s="294"/>
      <c r="X423" s="1182"/>
      <c r="Y423" s="1182"/>
      <c r="Z423" s="1166"/>
      <c r="AA423" s="1166"/>
      <c r="AB423" s="1182"/>
      <c r="AC423" s="294"/>
      <c r="AD423" s="294"/>
      <c r="AE423" s="294"/>
      <c r="AF423" s="294"/>
      <c r="AG423" s="294"/>
      <c r="AH423" s="294"/>
      <c r="AI423" s="294"/>
      <c r="AJ423" s="294"/>
    </row>
    <row r="424" spans="2:36" x14ac:dyDescent="0.25">
      <c r="B424" s="294"/>
      <c r="C424" s="294"/>
      <c r="D424" s="294"/>
      <c r="E424" s="294"/>
      <c r="F424" s="294"/>
      <c r="G424" s="294"/>
      <c r="H424" s="294"/>
      <c r="I424" s="294"/>
      <c r="J424" s="294"/>
      <c r="L424" s="295"/>
      <c r="M424" s="294"/>
      <c r="R424" s="326"/>
      <c r="S424" s="326"/>
      <c r="T424" s="294"/>
      <c r="U424" s="294"/>
      <c r="V424" s="294"/>
      <c r="W424" s="294"/>
      <c r="X424" s="1182"/>
      <c r="Y424" s="1182"/>
      <c r="Z424" s="1166"/>
      <c r="AA424" s="1166"/>
      <c r="AB424" s="1182"/>
      <c r="AC424" s="294"/>
      <c r="AD424" s="294"/>
      <c r="AE424" s="294"/>
      <c r="AF424" s="294"/>
      <c r="AG424" s="294"/>
      <c r="AH424" s="294"/>
      <c r="AI424" s="294"/>
      <c r="AJ424" s="294"/>
    </row>
    <row r="425" spans="2:36" x14ac:dyDescent="0.25">
      <c r="B425" s="294"/>
      <c r="C425" s="294"/>
      <c r="D425" s="294"/>
      <c r="E425" s="294"/>
      <c r="F425" s="294"/>
      <c r="G425" s="294"/>
      <c r="H425" s="294"/>
      <c r="I425" s="294"/>
      <c r="J425" s="294"/>
      <c r="L425" s="295"/>
      <c r="M425" s="294"/>
      <c r="R425" s="326"/>
      <c r="S425" s="326"/>
      <c r="T425" s="294"/>
      <c r="U425" s="294"/>
      <c r="V425" s="294"/>
      <c r="W425" s="294"/>
      <c r="X425" s="1182"/>
      <c r="Y425" s="1182"/>
      <c r="Z425" s="1166"/>
      <c r="AA425" s="1166"/>
      <c r="AB425" s="1182"/>
      <c r="AC425" s="294"/>
      <c r="AD425" s="294"/>
      <c r="AE425" s="294"/>
      <c r="AF425" s="294"/>
      <c r="AG425" s="294"/>
      <c r="AH425" s="294"/>
      <c r="AI425" s="294"/>
      <c r="AJ425" s="294"/>
    </row>
    <row r="426" spans="2:36" x14ac:dyDescent="0.25">
      <c r="B426" s="294"/>
      <c r="C426" s="294"/>
      <c r="D426" s="294"/>
      <c r="E426" s="294"/>
      <c r="F426" s="294"/>
      <c r="G426" s="294"/>
      <c r="H426" s="294"/>
      <c r="I426" s="294"/>
      <c r="J426" s="294"/>
      <c r="L426" s="295"/>
      <c r="M426" s="294"/>
      <c r="R426" s="326"/>
      <c r="S426" s="326"/>
      <c r="T426" s="294"/>
      <c r="U426" s="294"/>
      <c r="V426" s="294"/>
      <c r="W426" s="294"/>
      <c r="X426" s="1182"/>
      <c r="Y426" s="1182"/>
      <c r="Z426" s="1166"/>
      <c r="AA426" s="1166"/>
      <c r="AB426" s="1182"/>
      <c r="AC426" s="294"/>
      <c r="AD426" s="294"/>
      <c r="AE426" s="294"/>
      <c r="AF426" s="294"/>
      <c r="AG426" s="294"/>
      <c r="AH426" s="294"/>
      <c r="AI426" s="294"/>
      <c r="AJ426" s="294"/>
    </row>
    <row r="427" spans="2:36" x14ac:dyDescent="0.25">
      <c r="B427" s="294"/>
      <c r="C427" s="294"/>
      <c r="D427" s="294"/>
      <c r="E427" s="294"/>
      <c r="F427" s="294"/>
      <c r="G427" s="294"/>
      <c r="H427" s="294"/>
      <c r="I427" s="294"/>
      <c r="J427" s="294"/>
      <c r="L427" s="295"/>
      <c r="M427" s="294"/>
      <c r="R427" s="326"/>
      <c r="S427" s="326"/>
      <c r="T427" s="294"/>
      <c r="U427" s="294"/>
      <c r="V427" s="294"/>
      <c r="W427" s="294"/>
      <c r="X427" s="1182"/>
      <c r="Y427" s="1182"/>
      <c r="Z427" s="1166"/>
      <c r="AA427" s="1166"/>
      <c r="AB427" s="1182"/>
      <c r="AC427" s="294"/>
      <c r="AD427" s="294"/>
      <c r="AE427" s="294"/>
      <c r="AF427" s="294"/>
      <c r="AG427" s="294"/>
      <c r="AH427" s="294"/>
      <c r="AI427" s="294"/>
      <c r="AJ427" s="294"/>
    </row>
    <row r="428" spans="2:36" x14ac:dyDescent="0.25">
      <c r="B428" s="294"/>
      <c r="C428" s="294"/>
      <c r="D428" s="294"/>
      <c r="E428" s="294"/>
      <c r="F428" s="294"/>
      <c r="G428" s="294"/>
      <c r="H428" s="294"/>
      <c r="I428" s="294"/>
      <c r="J428" s="294"/>
      <c r="L428" s="295"/>
      <c r="M428" s="294"/>
      <c r="R428" s="326"/>
      <c r="S428" s="326"/>
      <c r="T428" s="294"/>
      <c r="U428" s="294"/>
      <c r="V428" s="294"/>
      <c r="W428" s="294"/>
      <c r="X428" s="1182"/>
      <c r="Y428" s="1182"/>
      <c r="Z428" s="1166"/>
      <c r="AA428" s="1166"/>
      <c r="AB428" s="1182"/>
      <c r="AC428" s="294"/>
      <c r="AD428" s="294"/>
      <c r="AE428" s="294"/>
      <c r="AF428" s="294"/>
      <c r="AG428" s="294"/>
      <c r="AH428" s="294"/>
      <c r="AI428" s="294"/>
      <c r="AJ428" s="294"/>
    </row>
    <row r="429" spans="2:36" x14ac:dyDescent="0.25">
      <c r="B429" s="294"/>
      <c r="C429" s="294"/>
      <c r="D429" s="294"/>
      <c r="E429" s="294"/>
      <c r="F429" s="294"/>
      <c r="G429" s="294"/>
      <c r="H429" s="294"/>
      <c r="I429" s="294"/>
      <c r="J429" s="294"/>
      <c r="L429" s="295"/>
      <c r="M429" s="294"/>
      <c r="R429" s="326"/>
      <c r="S429" s="326"/>
      <c r="T429" s="294"/>
      <c r="U429" s="294"/>
      <c r="V429" s="294"/>
      <c r="W429" s="294"/>
      <c r="X429" s="1182"/>
      <c r="Y429" s="1182"/>
      <c r="Z429" s="1166"/>
      <c r="AA429" s="1166"/>
      <c r="AB429" s="1182"/>
      <c r="AC429" s="294"/>
      <c r="AD429" s="294"/>
      <c r="AE429" s="294"/>
      <c r="AF429" s="294"/>
      <c r="AG429" s="294"/>
      <c r="AH429" s="294"/>
      <c r="AI429" s="294"/>
      <c r="AJ429" s="294"/>
    </row>
    <row r="430" spans="2:36" x14ac:dyDescent="0.25">
      <c r="B430" s="294"/>
      <c r="C430" s="294"/>
      <c r="D430" s="294"/>
      <c r="E430" s="294"/>
      <c r="F430" s="294"/>
      <c r="G430" s="294"/>
      <c r="H430" s="294"/>
      <c r="I430" s="294"/>
      <c r="J430" s="294"/>
      <c r="L430" s="295"/>
      <c r="M430" s="294"/>
      <c r="R430" s="326"/>
      <c r="S430" s="326"/>
      <c r="T430" s="294"/>
      <c r="U430" s="294"/>
      <c r="V430" s="294"/>
      <c r="W430" s="294"/>
      <c r="X430" s="1182"/>
      <c r="Y430" s="1182"/>
      <c r="Z430" s="1166"/>
      <c r="AA430" s="1166"/>
      <c r="AB430" s="1182"/>
      <c r="AC430" s="294"/>
      <c r="AD430" s="294"/>
      <c r="AE430" s="294"/>
      <c r="AF430" s="294"/>
      <c r="AG430" s="294"/>
      <c r="AH430" s="294"/>
      <c r="AI430" s="294"/>
      <c r="AJ430" s="294"/>
    </row>
    <row r="431" spans="2:36" x14ac:dyDescent="0.25">
      <c r="B431" s="294"/>
      <c r="C431" s="294"/>
      <c r="D431" s="294"/>
      <c r="E431" s="294"/>
      <c r="F431" s="294"/>
      <c r="G431" s="294"/>
      <c r="H431" s="294"/>
      <c r="I431" s="294"/>
      <c r="J431" s="294"/>
      <c r="L431" s="295"/>
      <c r="M431" s="294"/>
      <c r="R431" s="326"/>
      <c r="S431" s="326"/>
      <c r="T431" s="294"/>
      <c r="U431" s="294"/>
      <c r="V431" s="294"/>
      <c r="W431" s="294"/>
      <c r="X431" s="1182"/>
      <c r="Y431" s="1182"/>
      <c r="Z431" s="1166"/>
      <c r="AA431" s="1166"/>
      <c r="AB431" s="1182"/>
      <c r="AC431" s="294"/>
      <c r="AD431" s="294"/>
      <c r="AE431" s="294"/>
      <c r="AF431" s="294"/>
      <c r="AG431" s="294"/>
      <c r="AH431" s="294"/>
      <c r="AI431" s="294"/>
      <c r="AJ431" s="294"/>
    </row>
    <row r="432" spans="2:36" x14ac:dyDescent="0.25">
      <c r="B432" s="294"/>
      <c r="C432" s="294"/>
      <c r="D432" s="294"/>
      <c r="E432" s="294"/>
      <c r="F432" s="294"/>
      <c r="G432" s="294"/>
      <c r="H432" s="294"/>
      <c r="I432" s="294"/>
      <c r="J432" s="294"/>
      <c r="L432" s="295"/>
      <c r="M432" s="294"/>
      <c r="R432" s="326"/>
      <c r="S432" s="326"/>
      <c r="T432" s="294"/>
      <c r="U432" s="294"/>
      <c r="V432" s="294"/>
      <c r="W432" s="294"/>
      <c r="X432" s="1182"/>
      <c r="Y432" s="1182"/>
      <c r="Z432" s="1166"/>
      <c r="AA432" s="1166"/>
      <c r="AB432" s="1182"/>
      <c r="AC432" s="294"/>
      <c r="AD432" s="294"/>
      <c r="AE432" s="294"/>
      <c r="AF432" s="294"/>
      <c r="AG432" s="294"/>
      <c r="AH432" s="294"/>
      <c r="AI432" s="294"/>
      <c r="AJ432" s="294"/>
    </row>
    <row r="433" spans="2:36" x14ac:dyDescent="0.25">
      <c r="B433" s="294"/>
      <c r="C433" s="294"/>
      <c r="D433" s="294"/>
      <c r="E433" s="294"/>
      <c r="F433" s="294"/>
      <c r="G433" s="294"/>
      <c r="H433" s="294"/>
      <c r="I433" s="294"/>
      <c r="J433" s="294"/>
      <c r="L433" s="295"/>
      <c r="M433" s="294"/>
      <c r="R433" s="326"/>
      <c r="S433" s="326"/>
      <c r="T433" s="294"/>
      <c r="U433" s="294"/>
      <c r="V433" s="294"/>
      <c r="W433" s="294"/>
      <c r="X433" s="1182"/>
      <c r="Y433" s="1182"/>
      <c r="Z433" s="1166"/>
      <c r="AA433" s="1166"/>
      <c r="AB433" s="1182"/>
      <c r="AC433" s="294"/>
      <c r="AD433" s="294"/>
      <c r="AE433" s="294"/>
      <c r="AF433" s="294"/>
      <c r="AG433" s="294"/>
      <c r="AH433" s="294"/>
      <c r="AI433" s="294"/>
      <c r="AJ433" s="294"/>
    </row>
    <row r="434" spans="2:36" x14ac:dyDescent="0.25">
      <c r="B434" s="294"/>
      <c r="C434" s="294"/>
      <c r="D434" s="294"/>
      <c r="E434" s="294"/>
      <c r="F434" s="294"/>
      <c r="G434" s="294"/>
      <c r="H434" s="294"/>
      <c r="I434" s="294"/>
      <c r="J434" s="294"/>
      <c r="L434" s="295"/>
      <c r="M434" s="294"/>
      <c r="R434" s="326"/>
      <c r="S434" s="326"/>
      <c r="T434" s="294"/>
      <c r="U434" s="294"/>
      <c r="V434" s="294"/>
      <c r="W434" s="294"/>
      <c r="X434" s="1182"/>
      <c r="Y434" s="1182"/>
      <c r="Z434" s="1166"/>
      <c r="AA434" s="1166"/>
      <c r="AB434" s="1182"/>
      <c r="AC434" s="294"/>
      <c r="AD434" s="294"/>
      <c r="AE434" s="294"/>
      <c r="AF434" s="294"/>
      <c r="AG434" s="294"/>
      <c r="AH434" s="294"/>
      <c r="AI434" s="294"/>
      <c r="AJ434" s="294"/>
    </row>
    <row r="435" spans="2:36" x14ac:dyDescent="0.25">
      <c r="B435" s="294"/>
      <c r="C435" s="294"/>
      <c r="D435" s="294"/>
      <c r="E435" s="294"/>
      <c r="F435" s="294"/>
      <c r="G435" s="294"/>
      <c r="H435" s="294"/>
      <c r="I435" s="294"/>
      <c r="J435" s="294"/>
      <c r="L435" s="295"/>
      <c r="M435" s="294"/>
      <c r="R435" s="326"/>
      <c r="S435" s="326"/>
      <c r="T435" s="294"/>
      <c r="U435" s="294"/>
      <c r="V435" s="294"/>
      <c r="W435" s="294"/>
      <c r="X435" s="1182"/>
      <c r="Y435" s="1182"/>
      <c r="Z435" s="1166"/>
      <c r="AA435" s="1166"/>
      <c r="AB435" s="1182"/>
      <c r="AC435" s="294"/>
      <c r="AD435" s="294"/>
      <c r="AE435" s="294"/>
      <c r="AF435" s="294"/>
      <c r="AG435" s="294"/>
      <c r="AH435" s="294"/>
      <c r="AI435" s="294"/>
      <c r="AJ435" s="294"/>
    </row>
    <row r="436" spans="2:36" x14ac:dyDescent="0.25">
      <c r="B436" s="294"/>
      <c r="C436" s="294"/>
      <c r="D436" s="294"/>
      <c r="E436" s="294"/>
      <c r="F436" s="294"/>
      <c r="G436" s="294"/>
      <c r="H436" s="294"/>
      <c r="I436" s="294"/>
      <c r="J436" s="294"/>
      <c r="L436" s="295"/>
      <c r="M436" s="294"/>
      <c r="R436" s="326"/>
      <c r="S436" s="326"/>
      <c r="T436" s="294"/>
      <c r="U436" s="294"/>
      <c r="V436" s="294"/>
      <c r="W436" s="294"/>
      <c r="X436" s="1182"/>
      <c r="Y436" s="1182"/>
      <c r="Z436" s="1166"/>
      <c r="AA436" s="1166"/>
      <c r="AB436" s="1182"/>
      <c r="AC436" s="294"/>
      <c r="AD436" s="294"/>
      <c r="AE436" s="294"/>
      <c r="AF436" s="294"/>
      <c r="AG436" s="294"/>
      <c r="AH436" s="294"/>
      <c r="AI436" s="294"/>
      <c r="AJ436" s="294"/>
    </row>
    <row r="437" spans="2:36" x14ac:dyDescent="0.25">
      <c r="B437" s="294"/>
      <c r="C437" s="294"/>
      <c r="D437" s="294"/>
      <c r="E437" s="294"/>
      <c r="F437" s="294"/>
      <c r="G437" s="294"/>
      <c r="H437" s="294"/>
      <c r="I437" s="294"/>
      <c r="J437" s="294"/>
      <c r="L437" s="295"/>
      <c r="M437" s="294"/>
      <c r="R437" s="326"/>
      <c r="S437" s="326"/>
      <c r="T437" s="294"/>
      <c r="U437" s="294"/>
      <c r="V437" s="294"/>
      <c r="W437" s="294"/>
      <c r="X437" s="1182"/>
      <c r="Y437" s="1182"/>
      <c r="Z437" s="1166"/>
      <c r="AA437" s="1166"/>
      <c r="AB437" s="1182"/>
      <c r="AC437" s="294"/>
      <c r="AD437" s="294"/>
      <c r="AE437" s="294"/>
      <c r="AF437" s="294"/>
      <c r="AG437" s="294"/>
      <c r="AH437" s="294"/>
      <c r="AI437" s="294"/>
      <c r="AJ437" s="294"/>
    </row>
    <row r="438" spans="2:36" x14ac:dyDescent="0.25">
      <c r="B438" s="294"/>
      <c r="C438" s="294"/>
      <c r="D438" s="294"/>
      <c r="E438" s="294"/>
      <c r="F438" s="294"/>
      <c r="G438" s="294"/>
      <c r="H438" s="294"/>
      <c r="I438" s="294"/>
      <c r="J438" s="294"/>
      <c r="L438" s="295"/>
      <c r="M438" s="294"/>
      <c r="R438" s="326"/>
      <c r="S438" s="326"/>
      <c r="T438" s="294"/>
      <c r="U438" s="294"/>
      <c r="V438" s="294"/>
      <c r="W438" s="294"/>
      <c r="X438" s="1182"/>
      <c r="Y438" s="1182"/>
      <c r="Z438" s="1166"/>
      <c r="AA438" s="1166"/>
      <c r="AB438" s="1182"/>
      <c r="AC438" s="294"/>
      <c r="AD438" s="294"/>
      <c r="AE438" s="294"/>
      <c r="AF438" s="294"/>
      <c r="AG438" s="294"/>
      <c r="AH438" s="294"/>
      <c r="AI438" s="294"/>
      <c r="AJ438" s="294"/>
    </row>
    <row r="439" spans="2:36" x14ac:dyDescent="0.25">
      <c r="B439" s="294"/>
      <c r="C439" s="294"/>
      <c r="D439" s="294"/>
      <c r="E439" s="294"/>
      <c r="F439" s="294"/>
      <c r="G439" s="294"/>
      <c r="H439" s="294"/>
      <c r="I439" s="294"/>
      <c r="J439" s="294"/>
      <c r="L439" s="295"/>
      <c r="M439" s="294"/>
      <c r="R439" s="326"/>
      <c r="S439" s="326"/>
      <c r="T439" s="294"/>
      <c r="U439" s="294"/>
      <c r="V439" s="294"/>
      <c r="W439" s="294"/>
      <c r="X439" s="1182"/>
      <c r="Y439" s="1182"/>
      <c r="Z439" s="1166"/>
      <c r="AA439" s="1166"/>
      <c r="AB439" s="1182"/>
      <c r="AC439" s="294"/>
      <c r="AD439" s="294"/>
      <c r="AE439" s="294"/>
      <c r="AF439" s="294"/>
      <c r="AG439" s="294"/>
      <c r="AH439" s="294"/>
      <c r="AI439" s="294"/>
      <c r="AJ439" s="294"/>
    </row>
    <row r="440" spans="2:36" x14ac:dyDescent="0.25">
      <c r="B440" s="294"/>
      <c r="C440" s="294"/>
      <c r="D440" s="294"/>
      <c r="E440" s="294"/>
      <c r="F440" s="294"/>
      <c r="G440" s="294"/>
      <c r="H440" s="294"/>
      <c r="I440" s="294"/>
      <c r="J440" s="294"/>
      <c r="L440" s="295"/>
      <c r="M440" s="294"/>
      <c r="R440" s="326"/>
      <c r="S440" s="326"/>
      <c r="T440" s="294"/>
      <c r="U440" s="294"/>
      <c r="V440" s="294"/>
      <c r="W440" s="294"/>
      <c r="X440" s="1182"/>
      <c r="Y440" s="1182"/>
      <c r="Z440" s="1166"/>
      <c r="AA440" s="1166"/>
      <c r="AB440" s="1182"/>
      <c r="AC440" s="294"/>
      <c r="AD440" s="294"/>
      <c r="AE440" s="294"/>
      <c r="AF440" s="294"/>
      <c r="AG440" s="294"/>
      <c r="AH440" s="294"/>
      <c r="AI440" s="294"/>
      <c r="AJ440" s="294"/>
    </row>
    <row r="441" spans="2:36" x14ac:dyDescent="0.25">
      <c r="B441" s="294"/>
      <c r="C441" s="294"/>
      <c r="D441" s="294"/>
      <c r="E441" s="294"/>
      <c r="F441" s="294"/>
      <c r="G441" s="294"/>
      <c r="H441" s="294"/>
      <c r="I441" s="294"/>
      <c r="J441" s="294"/>
      <c r="L441" s="295"/>
      <c r="M441" s="294"/>
      <c r="R441" s="326"/>
      <c r="S441" s="326"/>
      <c r="T441" s="294"/>
      <c r="U441" s="294"/>
      <c r="V441" s="294"/>
      <c r="W441" s="294"/>
      <c r="X441" s="1182"/>
      <c r="Y441" s="1182"/>
      <c r="Z441" s="1166"/>
      <c r="AA441" s="1166"/>
      <c r="AB441" s="1182"/>
      <c r="AC441" s="294"/>
      <c r="AD441" s="294"/>
      <c r="AE441" s="294"/>
      <c r="AF441" s="294"/>
      <c r="AG441" s="294"/>
      <c r="AH441" s="294"/>
      <c r="AI441" s="294"/>
      <c r="AJ441" s="294"/>
    </row>
    <row r="442" spans="2:36" x14ac:dyDescent="0.25">
      <c r="B442" s="294"/>
      <c r="C442" s="294"/>
      <c r="D442" s="294"/>
      <c r="E442" s="294"/>
      <c r="F442" s="294"/>
      <c r="G442" s="294"/>
      <c r="H442" s="294"/>
      <c r="I442" s="294"/>
      <c r="J442" s="294"/>
      <c r="L442" s="295"/>
      <c r="M442" s="294"/>
      <c r="R442" s="326"/>
      <c r="S442" s="326"/>
      <c r="T442" s="294"/>
      <c r="U442" s="294"/>
      <c r="V442" s="294"/>
      <c r="W442" s="294"/>
      <c r="X442" s="1182"/>
      <c r="Y442" s="1182"/>
      <c r="Z442" s="1166"/>
      <c r="AA442" s="1166"/>
      <c r="AB442" s="1182"/>
      <c r="AC442" s="294"/>
      <c r="AD442" s="294"/>
      <c r="AE442" s="294"/>
      <c r="AF442" s="294"/>
      <c r="AG442" s="294"/>
      <c r="AH442" s="294"/>
      <c r="AI442" s="294"/>
      <c r="AJ442" s="294"/>
    </row>
    <row r="443" spans="2:36" x14ac:dyDescent="0.25">
      <c r="B443" s="294"/>
      <c r="C443" s="294"/>
      <c r="D443" s="294"/>
      <c r="E443" s="294"/>
      <c r="F443" s="294"/>
      <c r="G443" s="294"/>
      <c r="H443" s="294"/>
      <c r="I443" s="294"/>
      <c r="J443" s="294"/>
      <c r="L443" s="295"/>
      <c r="M443" s="294"/>
      <c r="R443" s="326"/>
      <c r="S443" s="326"/>
      <c r="T443" s="294"/>
      <c r="U443" s="294"/>
      <c r="V443" s="294"/>
      <c r="W443" s="294"/>
      <c r="X443" s="1182"/>
      <c r="Y443" s="1182"/>
      <c r="Z443" s="1166"/>
      <c r="AA443" s="1166"/>
      <c r="AB443" s="1182"/>
      <c r="AC443" s="294"/>
      <c r="AD443" s="294"/>
      <c r="AE443" s="294"/>
      <c r="AF443" s="294"/>
      <c r="AG443" s="294"/>
      <c r="AH443" s="294"/>
      <c r="AI443" s="294"/>
      <c r="AJ443" s="294"/>
    </row>
    <row r="444" spans="2:36" x14ac:dyDescent="0.25">
      <c r="B444" s="294"/>
      <c r="C444" s="294"/>
      <c r="D444" s="294"/>
      <c r="E444" s="294"/>
      <c r="F444" s="294"/>
      <c r="G444" s="294"/>
      <c r="H444" s="294"/>
      <c r="I444" s="294"/>
      <c r="J444" s="294"/>
      <c r="L444" s="295"/>
      <c r="M444" s="294"/>
      <c r="R444" s="326"/>
      <c r="S444" s="326"/>
      <c r="T444" s="294"/>
      <c r="U444" s="294"/>
      <c r="V444" s="294"/>
      <c r="W444" s="294"/>
      <c r="X444" s="1182"/>
      <c r="Y444" s="1182"/>
      <c r="Z444" s="1166"/>
      <c r="AA444" s="1166"/>
      <c r="AB444" s="1182"/>
      <c r="AC444" s="294"/>
      <c r="AD444" s="294"/>
      <c r="AE444" s="294"/>
      <c r="AF444" s="294"/>
      <c r="AG444" s="294"/>
      <c r="AH444" s="294"/>
      <c r="AI444" s="294"/>
      <c r="AJ444" s="294"/>
    </row>
    <row r="445" spans="2:36" x14ac:dyDescent="0.25">
      <c r="B445" s="294"/>
      <c r="C445" s="294"/>
      <c r="D445" s="294"/>
      <c r="E445" s="294"/>
      <c r="F445" s="294"/>
      <c r="G445" s="294"/>
      <c r="H445" s="294"/>
      <c r="I445" s="294"/>
      <c r="J445" s="294"/>
      <c r="L445" s="295"/>
      <c r="M445" s="294"/>
      <c r="R445" s="326"/>
      <c r="S445" s="326"/>
      <c r="T445" s="294"/>
      <c r="U445" s="294"/>
      <c r="V445" s="294"/>
      <c r="W445" s="294"/>
      <c r="X445" s="1182"/>
      <c r="Y445" s="1182"/>
      <c r="Z445" s="1166"/>
      <c r="AA445" s="1166"/>
      <c r="AB445" s="1182"/>
      <c r="AC445" s="294"/>
      <c r="AD445" s="294"/>
      <c r="AE445" s="294"/>
      <c r="AF445" s="294"/>
      <c r="AG445" s="294"/>
      <c r="AH445" s="294"/>
      <c r="AI445" s="294"/>
      <c r="AJ445" s="294"/>
    </row>
    <row r="446" spans="2:36" x14ac:dyDescent="0.25">
      <c r="B446" s="294"/>
      <c r="C446" s="294"/>
      <c r="D446" s="294"/>
      <c r="E446" s="294"/>
      <c r="F446" s="294"/>
      <c r="G446" s="294"/>
      <c r="H446" s="294"/>
      <c r="I446" s="294"/>
      <c r="J446" s="294"/>
      <c r="L446" s="295"/>
      <c r="M446" s="294"/>
      <c r="R446" s="326"/>
      <c r="S446" s="326"/>
      <c r="T446" s="294"/>
      <c r="U446" s="294"/>
      <c r="V446" s="294"/>
      <c r="W446" s="294"/>
      <c r="X446" s="1182"/>
      <c r="Y446" s="1182"/>
      <c r="Z446" s="1166"/>
      <c r="AA446" s="1166"/>
      <c r="AB446" s="1182"/>
      <c r="AC446" s="294"/>
      <c r="AD446" s="294"/>
      <c r="AE446" s="294"/>
      <c r="AF446" s="294"/>
      <c r="AG446" s="294"/>
      <c r="AH446" s="294"/>
      <c r="AI446" s="294"/>
      <c r="AJ446" s="294"/>
    </row>
    <row r="447" spans="2:36" x14ac:dyDescent="0.25">
      <c r="B447" s="294"/>
      <c r="C447" s="294"/>
      <c r="D447" s="294"/>
      <c r="E447" s="294"/>
      <c r="F447" s="294"/>
      <c r="G447" s="294"/>
      <c r="H447" s="294"/>
      <c r="I447" s="294"/>
      <c r="J447" s="294"/>
      <c r="L447" s="295"/>
      <c r="M447" s="294"/>
      <c r="R447" s="326"/>
      <c r="S447" s="326"/>
      <c r="T447" s="294"/>
      <c r="U447" s="294"/>
      <c r="V447" s="294"/>
      <c r="W447" s="294"/>
      <c r="X447" s="1182"/>
      <c r="Y447" s="1182"/>
      <c r="Z447" s="1166"/>
      <c r="AA447" s="1166"/>
      <c r="AB447" s="1182"/>
      <c r="AC447" s="294"/>
      <c r="AD447" s="294"/>
      <c r="AE447" s="294"/>
      <c r="AF447" s="294"/>
      <c r="AG447" s="294"/>
      <c r="AH447" s="294"/>
      <c r="AI447" s="294"/>
      <c r="AJ447" s="294"/>
    </row>
    <row r="448" spans="2:36" x14ac:dyDescent="0.25">
      <c r="B448" s="294"/>
      <c r="C448" s="294"/>
      <c r="D448" s="294"/>
      <c r="E448" s="294"/>
      <c r="F448" s="294"/>
      <c r="G448" s="294"/>
      <c r="H448" s="294"/>
      <c r="I448" s="294"/>
      <c r="J448" s="294"/>
      <c r="L448" s="295"/>
      <c r="M448" s="294"/>
      <c r="R448" s="326"/>
      <c r="S448" s="326"/>
      <c r="T448" s="294"/>
      <c r="U448" s="294"/>
      <c r="V448" s="294"/>
      <c r="W448" s="294"/>
      <c r="X448" s="1182"/>
      <c r="Y448" s="1182"/>
      <c r="Z448" s="1166"/>
      <c r="AA448" s="1166"/>
      <c r="AB448" s="1182"/>
      <c r="AC448" s="294"/>
      <c r="AD448" s="294"/>
      <c r="AE448" s="294"/>
      <c r="AF448" s="294"/>
      <c r="AG448" s="294"/>
      <c r="AH448" s="294"/>
      <c r="AI448" s="294"/>
      <c r="AJ448" s="294"/>
    </row>
    <row r="449" spans="2:36" x14ac:dyDescent="0.25">
      <c r="B449" s="294"/>
      <c r="C449" s="294"/>
      <c r="D449" s="294"/>
      <c r="E449" s="294"/>
      <c r="F449" s="294"/>
      <c r="G449" s="294"/>
      <c r="H449" s="294"/>
      <c r="I449" s="294"/>
      <c r="J449" s="294"/>
      <c r="L449" s="295"/>
      <c r="M449" s="294"/>
      <c r="R449" s="326"/>
      <c r="S449" s="326"/>
      <c r="T449" s="294"/>
      <c r="U449" s="294"/>
      <c r="V449" s="294"/>
      <c r="W449" s="294"/>
      <c r="X449" s="1182"/>
      <c r="Y449" s="1182"/>
      <c r="Z449" s="1166"/>
      <c r="AA449" s="1166"/>
      <c r="AB449" s="1182"/>
      <c r="AC449" s="294"/>
      <c r="AD449" s="294"/>
      <c r="AE449" s="294"/>
      <c r="AF449" s="294"/>
      <c r="AG449" s="294"/>
      <c r="AH449" s="294"/>
      <c r="AI449" s="294"/>
      <c r="AJ449" s="294"/>
    </row>
    <row r="450" spans="2:36" x14ac:dyDescent="0.25">
      <c r="B450" s="294"/>
      <c r="C450" s="294"/>
      <c r="D450" s="294"/>
      <c r="E450" s="294"/>
      <c r="F450" s="294"/>
      <c r="G450" s="294"/>
      <c r="H450" s="294"/>
      <c r="I450" s="294"/>
      <c r="J450" s="294"/>
      <c r="L450" s="295"/>
      <c r="M450" s="294"/>
      <c r="R450" s="326"/>
      <c r="S450" s="326"/>
      <c r="T450" s="294"/>
      <c r="U450" s="294"/>
      <c r="V450" s="294"/>
      <c r="W450" s="294"/>
      <c r="X450" s="1182"/>
      <c r="Y450" s="1182"/>
      <c r="Z450" s="1166"/>
      <c r="AA450" s="1166"/>
      <c r="AB450" s="1182"/>
      <c r="AC450" s="294"/>
      <c r="AD450" s="294"/>
      <c r="AE450" s="294"/>
      <c r="AF450" s="294"/>
      <c r="AG450" s="294"/>
      <c r="AH450" s="294"/>
      <c r="AI450" s="294"/>
      <c r="AJ450" s="294"/>
    </row>
    <row r="451" spans="2:36" x14ac:dyDescent="0.25">
      <c r="B451" s="294"/>
      <c r="C451" s="294"/>
      <c r="D451" s="294"/>
      <c r="E451" s="294"/>
      <c r="F451" s="294"/>
      <c r="G451" s="294"/>
      <c r="H451" s="294"/>
      <c r="I451" s="294"/>
      <c r="J451" s="294"/>
      <c r="L451" s="295"/>
      <c r="M451" s="294"/>
      <c r="R451" s="326"/>
      <c r="S451" s="326"/>
      <c r="T451" s="294"/>
      <c r="U451" s="294"/>
      <c r="V451" s="294"/>
      <c r="W451" s="294"/>
      <c r="X451" s="1182"/>
      <c r="Y451" s="1182"/>
      <c r="Z451" s="1166"/>
      <c r="AA451" s="1166"/>
      <c r="AB451" s="1182"/>
      <c r="AC451" s="294"/>
      <c r="AD451" s="294"/>
      <c r="AE451" s="294"/>
      <c r="AF451" s="294"/>
      <c r="AG451" s="294"/>
      <c r="AH451" s="294"/>
      <c r="AI451" s="294"/>
      <c r="AJ451" s="294"/>
    </row>
    <row r="452" spans="2:36" x14ac:dyDescent="0.25">
      <c r="B452" s="294"/>
      <c r="C452" s="294"/>
      <c r="D452" s="294"/>
      <c r="E452" s="294"/>
      <c r="F452" s="294"/>
      <c r="G452" s="294"/>
      <c r="H452" s="294"/>
      <c r="I452" s="294"/>
      <c r="J452" s="294"/>
      <c r="L452" s="295"/>
      <c r="M452" s="294"/>
      <c r="R452" s="326"/>
      <c r="S452" s="326"/>
      <c r="T452" s="294"/>
      <c r="U452" s="294"/>
      <c r="V452" s="294"/>
      <c r="W452" s="294"/>
      <c r="X452" s="1182"/>
      <c r="Y452" s="1182"/>
      <c r="Z452" s="1166"/>
      <c r="AA452" s="1166"/>
      <c r="AB452" s="1182"/>
      <c r="AC452" s="294"/>
      <c r="AD452" s="294"/>
      <c r="AE452" s="294"/>
      <c r="AF452" s="294"/>
      <c r="AG452" s="294"/>
      <c r="AH452" s="294"/>
      <c r="AI452" s="294"/>
      <c r="AJ452" s="294"/>
    </row>
    <row r="453" spans="2:36" x14ac:dyDescent="0.25">
      <c r="B453" s="294"/>
      <c r="C453" s="294"/>
      <c r="D453" s="294"/>
      <c r="E453" s="294"/>
      <c r="F453" s="294"/>
      <c r="G453" s="294"/>
      <c r="H453" s="294"/>
      <c r="I453" s="294"/>
      <c r="J453" s="294"/>
      <c r="L453" s="295"/>
      <c r="M453" s="294"/>
      <c r="R453" s="326"/>
      <c r="S453" s="326"/>
      <c r="T453" s="294"/>
      <c r="U453" s="294"/>
      <c r="V453" s="294"/>
      <c r="W453" s="294"/>
      <c r="X453" s="1182"/>
      <c r="Y453" s="1182"/>
      <c r="Z453" s="1166"/>
      <c r="AA453" s="1166"/>
      <c r="AB453" s="1182"/>
      <c r="AC453" s="294"/>
      <c r="AD453" s="294"/>
      <c r="AE453" s="294"/>
      <c r="AF453" s="294"/>
      <c r="AG453" s="294"/>
      <c r="AH453" s="294"/>
      <c r="AI453" s="294"/>
      <c r="AJ453" s="294"/>
    </row>
    <row r="454" spans="2:36" x14ac:dyDescent="0.25">
      <c r="B454" s="294"/>
      <c r="C454" s="294"/>
      <c r="D454" s="294"/>
      <c r="E454" s="294"/>
      <c r="F454" s="294"/>
      <c r="G454" s="294"/>
      <c r="H454" s="294"/>
      <c r="I454" s="294"/>
      <c r="J454" s="294"/>
      <c r="L454" s="295"/>
      <c r="M454" s="294"/>
      <c r="R454" s="326"/>
      <c r="S454" s="326"/>
      <c r="T454" s="294"/>
      <c r="U454" s="294"/>
      <c r="V454" s="294"/>
      <c r="W454" s="294"/>
      <c r="X454" s="1182"/>
      <c r="Y454" s="1182"/>
      <c r="Z454" s="1166"/>
      <c r="AA454" s="1166"/>
      <c r="AB454" s="1182"/>
      <c r="AC454" s="294"/>
      <c r="AD454" s="294"/>
      <c r="AE454" s="294"/>
      <c r="AF454" s="294"/>
      <c r="AG454" s="294"/>
      <c r="AH454" s="294"/>
      <c r="AI454" s="294"/>
      <c r="AJ454" s="294"/>
    </row>
    <row r="455" spans="2:36" x14ac:dyDescent="0.25">
      <c r="B455" s="294"/>
      <c r="C455" s="294"/>
      <c r="D455" s="294"/>
      <c r="E455" s="294"/>
      <c r="F455" s="294"/>
      <c r="G455" s="294"/>
      <c r="H455" s="294"/>
      <c r="I455" s="294"/>
      <c r="J455" s="294"/>
      <c r="L455" s="295"/>
      <c r="M455" s="294"/>
      <c r="R455" s="326"/>
      <c r="S455" s="326"/>
      <c r="T455" s="294"/>
      <c r="U455" s="294"/>
      <c r="V455" s="294"/>
      <c r="W455" s="294"/>
      <c r="X455" s="1182"/>
      <c r="Y455" s="1182"/>
      <c r="Z455" s="1166"/>
      <c r="AA455" s="1166"/>
      <c r="AB455" s="1182"/>
      <c r="AC455" s="294"/>
      <c r="AD455" s="294"/>
      <c r="AE455" s="294"/>
      <c r="AF455" s="294"/>
      <c r="AG455" s="294"/>
      <c r="AH455" s="294"/>
      <c r="AI455" s="294"/>
      <c r="AJ455" s="294"/>
    </row>
    <row r="456" spans="2:36" x14ac:dyDescent="0.25">
      <c r="B456" s="294"/>
      <c r="C456" s="294"/>
      <c r="D456" s="294"/>
      <c r="E456" s="294"/>
      <c r="F456" s="294"/>
      <c r="G456" s="294"/>
      <c r="H456" s="294"/>
      <c r="I456" s="294"/>
      <c r="J456" s="294"/>
      <c r="L456" s="295"/>
      <c r="M456" s="294"/>
      <c r="R456" s="326"/>
      <c r="S456" s="326"/>
      <c r="T456" s="294"/>
      <c r="U456" s="294"/>
      <c r="V456" s="294"/>
      <c r="W456" s="294"/>
      <c r="X456" s="1182"/>
      <c r="Y456" s="1182"/>
      <c r="Z456" s="1166"/>
      <c r="AA456" s="1166"/>
      <c r="AB456" s="1182"/>
      <c r="AC456" s="294"/>
      <c r="AD456" s="294"/>
      <c r="AE456" s="294"/>
      <c r="AF456" s="294"/>
      <c r="AG456" s="294"/>
      <c r="AH456" s="294"/>
      <c r="AI456" s="294"/>
      <c r="AJ456" s="294"/>
    </row>
    <row r="457" spans="2:36" x14ac:dyDescent="0.25">
      <c r="B457" s="294"/>
      <c r="C457" s="294"/>
      <c r="D457" s="294"/>
      <c r="E457" s="294"/>
      <c r="F457" s="294"/>
      <c r="G457" s="294"/>
      <c r="H457" s="294"/>
      <c r="I457" s="294"/>
      <c r="J457" s="294"/>
      <c r="L457" s="295"/>
      <c r="M457" s="294"/>
      <c r="R457" s="326"/>
      <c r="S457" s="326"/>
      <c r="T457" s="294"/>
      <c r="U457" s="294"/>
      <c r="V457" s="294"/>
      <c r="W457" s="294"/>
      <c r="X457" s="1182"/>
      <c r="Y457" s="1182"/>
      <c r="Z457" s="1166"/>
      <c r="AA457" s="1166"/>
      <c r="AB457" s="1182"/>
      <c r="AC457" s="294"/>
      <c r="AD457" s="294"/>
      <c r="AE457" s="294"/>
      <c r="AF457" s="294"/>
      <c r="AG457" s="294"/>
      <c r="AH457" s="294"/>
      <c r="AI457" s="294"/>
      <c r="AJ457" s="294"/>
    </row>
    <row r="458" spans="2:36" x14ac:dyDescent="0.25">
      <c r="B458" s="294"/>
      <c r="C458" s="294"/>
      <c r="D458" s="294"/>
      <c r="E458" s="294"/>
      <c r="F458" s="294"/>
      <c r="G458" s="294"/>
      <c r="H458" s="294"/>
      <c r="I458" s="294"/>
      <c r="J458" s="294"/>
      <c r="L458" s="295"/>
      <c r="M458" s="294"/>
      <c r="R458" s="326"/>
      <c r="S458" s="326"/>
      <c r="T458" s="294"/>
      <c r="U458" s="294"/>
      <c r="V458" s="294"/>
      <c r="W458" s="294"/>
      <c r="X458" s="1182"/>
      <c r="Y458" s="1182"/>
      <c r="Z458" s="1166"/>
      <c r="AA458" s="1166"/>
      <c r="AB458" s="1182"/>
      <c r="AC458" s="294"/>
      <c r="AD458" s="294"/>
      <c r="AE458" s="294"/>
      <c r="AF458" s="294"/>
      <c r="AG458" s="294"/>
      <c r="AH458" s="294"/>
      <c r="AI458" s="294"/>
      <c r="AJ458" s="294"/>
    </row>
    <row r="459" spans="2:36" x14ac:dyDescent="0.25">
      <c r="B459" s="294"/>
      <c r="C459" s="294"/>
      <c r="D459" s="294"/>
      <c r="E459" s="294"/>
      <c r="F459" s="294"/>
      <c r="G459" s="294"/>
      <c r="H459" s="294"/>
      <c r="I459" s="294"/>
      <c r="J459" s="294"/>
      <c r="L459" s="295"/>
      <c r="M459" s="294"/>
      <c r="R459" s="326"/>
      <c r="S459" s="326"/>
      <c r="T459" s="294"/>
      <c r="U459" s="294"/>
      <c r="V459" s="294"/>
      <c r="W459" s="294"/>
      <c r="X459" s="1182"/>
      <c r="Y459" s="1182"/>
      <c r="Z459" s="1166"/>
      <c r="AA459" s="1166"/>
      <c r="AB459" s="1182"/>
      <c r="AC459" s="294"/>
      <c r="AD459" s="294"/>
      <c r="AE459" s="294"/>
      <c r="AF459" s="294"/>
      <c r="AG459" s="294"/>
      <c r="AH459" s="294"/>
      <c r="AI459" s="294"/>
      <c r="AJ459" s="294"/>
    </row>
    <row r="460" spans="2:36" x14ac:dyDescent="0.25">
      <c r="B460" s="294"/>
      <c r="C460" s="294"/>
      <c r="D460" s="294"/>
      <c r="E460" s="294"/>
      <c r="F460" s="294"/>
      <c r="G460" s="294"/>
      <c r="H460" s="294"/>
      <c r="I460" s="294"/>
      <c r="J460" s="294"/>
      <c r="L460" s="295"/>
      <c r="M460" s="294"/>
      <c r="R460" s="326"/>
      <c r="S460" s="326"/>
      <c r="T460" s="294"/>
      <c r="U460" s="294"/>
      <c r="V460" s="294"/>
      <c r="W460" s="294"/>
      <c r="X460" s="1182"/>
      <c r="Y460" s="1182"/>
      <c r="Z460" s="1166"/>
      <c r="AA460" s="1166"/>
      <c r="AB460" s="1182"/>
      <c r="AC460" s="294"/>
      <c r="AD460" s="294"/>
      <c r="AE460" s="294"/>
      <c r="AF460" s="294"/>
      <c r="AG460" s="294"/>
      <c r="AH460" s="294"/>
      <c r="AI460" s="294"/>
      <c r="AJ460" s="294"/>
    </row>
    <row r="461" spans="2:36" x14ac:dyDescent="0.25">
      <c r="B461" s="294"/>
      <c r="C461" s="294"/>
      <c r="D461" s="294"/>
      <c r="E461" s="294"/>
      <c r="F461" s="294"/>
      <c r="G461" s="294"/>
      <c r="H461" s="294"/>
      <c r="I461" s="294"/>
      <c r="J461" s="294"/>
      <c r="L461" s="295"/>
      <c r="M461" s="294"/>
      <c r="R461" s="326"/>
      <c r="S461" s="326"/>
      <c r="T461" s="294"/>
      <c r="U461" s="294"/>
      <c r="V461" s="294"/>
      <c r="W461" s="294"/>
      <c r="X461" s="1182"/>
      <c r="Y461" s="1182"/>
      <c r="Z461" s="1166"/>
      <c r="AA461" s="1166"/>
      <c r="AB461" s="1182"/>
      <c r="AC461" s="294"/>
      <c r="AD461" s="294"/>
      <c r="AE461" s="294"/>
      <c r="AF461" s="294"/>
      <c r="AG461" s="294"/>
      <c r="AH461" s="294"/>
      <c r="AI461" s="294"/>
      <c r="AJ461" s="294"/>
    </row>
    <row r="462" spans="2:36" x14ac:dyDescent="0.25">
      <c r="B462" s="294"/>
      <c r="C462" s="294"/>
      <c r="D462" s="294"/>
      <c r="E462" s="294"/>
      <c r="F462" s="294"/>
      <c r="G462" s="294"/>
      <c r="H462" s="294"/>
      <c r="I462" s="294"/>
      <c r="J462" s="294"/>
      <c r="L462" s="295"/>
      <c r="M462" s="294"/>
      <c r="R462" s="326"/>
      <c r="S462" s="326"/>
      <c r="T462" s="294"/>
      <c r="U462" s="294"/>
      <c r="V462" s="294"/>
      <c r="W462" s="294"/>
      <c r="X462" s="1182"/>
      <c r="Y462" s="1182"/>
      <c r="Z462" s="1166"/>
      <c r="AA462" s="1166"/>
      <c r="AB462" s="1182"/>
      <c r="AC462" s="294"/>
      <c r="AD462" s="294"/>
      <c r="AE462" s="294"/>
      <c r="AF462" s="294"/>
      <c r="AG462" s="294"/>
      <c r="AH462" s="294"/>
      <c r="AI462" s="294"/>
      <c r="AJ462" s="294"/>
    </row>
    <row r="463" spans="2:36" x14ac:dyDescent="0.25">
      <c r="B463" s="294"/>
      <c r="C463" s="294"/>
      <c r="D463" s="294"/>
      <c r="E463" s="294"/>
      <c r="F463" s="294"/>
      <c r="G463" s="294"/>
      <c r="H463" s="294"/>
      <c r="I463" s="294"/>
      <c r="J463" s="294"/>
      <c r="L463" s="295"/>
      <c r="M463" s="294"/>
      <c r="R463" s="326"/>
      <c r="S463" s="326"/>
      <c r="T463" s="294"/>
      <c r="U463" s="294"/>
      <c r="V463" s="294"/>
      <c r="W463" s="294"/>
      <c r="X463" s="1182"/>
      <c r="Y463" s="1182"/>
      <c r="Z463" s="1166"/>
      <c r="AA463" s="1166"/>
      <c r="AB463" s="1182"/>
      <c r="AC463" s="294"/>
      <c r="AD463" s="294"/>
      <c r="AE463" s="294"/>
      <c r="AF463" s="294"/>
      <c r="AG463" s="294"/>
      <c r="AH463" s="294"/>
      <c r="AI463" s="294"/>
      <c r="AJ463" s="294"/>
    </row>
    <row r="464" spans="2:36" x14ac:dyDescent="0.25">
      <c r="B464" s="294"/>
      <c r="C464" s="294"/>
      <c r="D464" s="294"/>
      <c r="E464" s="294"/>
      <c r="F464" s="294"/>
      <c r="G464" s="294"/>
      <c r="H464" s="294"/>
      <c r="I464" s="294"/>
      <c r="J464" s="294"/>
      <c r="L464" s="295"/>
      <c r="M464" s="294"/>
      <c r="R464" s="326"/>
      <c r="S464" s="326"/>
      <c r="T464" s="294"/>
      <c r="U464" s="294"/>
      <c r="V464" s="294"/>
      <c r="W464" s="294"/>
      <c r="X464" s="1182"/>
      <c r="Y464" s="1182"/>
      <c r="Z464" s="1166"/>
      <c r="AA464" s="1166"/>
      <c r="AB464" s="1182"/>
      <c r="AC464" s="294"/>
      <c r="AD464" s="294"/>
      <c r="AE464" s="294"/>
      <c r="AF464" s="294"/>
      <c r="AG464" s="294"/>
      <c r="AH464" s="294"/>
      <c r="AI464" s="294"/>
      <c r="AJ464" s="294"/>
    </row>
    <row r="465" spans="2:36" x14ac:dyDescent="0.25">
      <c r="B465" s="294"/>
      <c r="C465" s="294"/>
      <c r="D465" s="294"/>
      <c r="E465" s="294"/>
      <c r="F465" s="294"/>
      <c r="G465" s="294"/>
      <c r="H465" s="294"/>
      <c r="I465" s="294"/>
      <c r="J465" s="294"/>
      <c r="L465" s="295"/>
      <c r="M465" s="294"/>
      <c r="R465" s="326"/>
      <c r="S465" s="326"/>
      <c r="T465" s="294"/>
      <c r="U465" s="294"/>
      <c r="V465" s="294"/>
      <c r="W465" s="294"/>
      <c r="X465" s="1182"/>
      <c r="Y465" s="1182"/>
      <c r="Z465" s="1166"/>
      <c r="AA465" s="1166"/>
      <c r="AB465" s="1182"/>
      <c r="AC465" s="294"/>
      <c r="AD465" s="294"/>
      <c r="AE465" s="294"/>
      <c r="AF465" s="294"/>
      <c r="AG465" s="294"/>
      <c r="AH465" s="294"/>
      <c r="AI465" s="294"/>
      <c r="AJ465" s="294"/>
    </row>
    <row r="466" spans="2:36" x14ac:dyDescent="0.25">
      <c r="B466" s="294"/>
      <c r="C466" s="294"/>
      <c r="D466" s="294"/>
      <c r="E466" s="294"/>
      <c r="F466" s="294"/>
      <c r="G466" s="294"/>
      <c r="H466" s="294"/>
      <c r="I466" s="294"/>
      <c r="J466" s="294"/>
      <c r="L466" s="295"/>
      <c r="M466" s="294"/>
      <c r="R466" s="326"/>
      <c r="S466" s="326"/>
      <c r="T466" s="294"/>
      <c r="U466" s="294"/>
      <c r="V466" s="294"/>
      <c r="W466" s="294"/>
      <c r="X466" s="1182"/>
      <c r="Y466" s="1182"/>
      <c r="Z466" s="1166"/>
      <c r="AA466" s="1166"/>
      <c r="AB466" s="1182"/>
      <c r="AC466" s="294"/>
      <c r="AD466" s="294"/>
      <c r="AE466" s="294"/>
      <c r="AF466" s="294"/>
      <c r="AG466" s="294"/>
      <c r="AH466" s="294"/>
      <c r="AI466" s="294"/>
      <c r="AJ466" s="294"/>
    </row>
    <row r="467" spans="2:36" x14ac:dyDescent="0.25">
      <c r="B467" s="294"/>
      <c r="C467" s="294"/>
      <c r="D467" s="294"/>
      <c r="E467" s="294"/>
      <c r="F467" s="294"/>
      <c r="G467" s="294"/>
      <c r="H467" s="294"/>
      <c r="I467" s="294"/>
      <c r="J467" s="294"/>
      <c r="L467" s="295"/>
      <c r="M467" s="294"/>
      <c r="R467" s="326"/>
      <c r="S467" s="326"/>
      <c r="T467" s="294"/>
      <c r="U467" s="294"/>
      <c r="V467" s="294"/>
      <c r="W467" s="294"/>
      <c r="X467" s="1182"/>
      <c r="Y467" s="1182"/>
      <c r="Z467" s="1166"/>
      <c r="AA467" s="1166"/>
      <c r="AB467" s="1182"/>
      <c r="AC467" s="294"/>
      <c r="AD467" s="294"/>
      <c r="AE467" s="294"/>
      <c r="AF467" s="294"/>
      <c r="AG467" s="294"/>
      <c r="AH467" s="294"/>
      <c r="AI467" s="294"/>
      <c r="AJ467" s="294"/>
    </row>
    <row r="468" spans="2:36" x14ac:dyDescent="0.25">
      <c r="B468" s="294"/>
      <c r="C468" s="294"/>
      <c r="D468" s="294"/>
      <c r="E468" s="294"/>
      <c r="F468" s="294"/>
      <c r="G468" s="294"/>
      <c r="H468" s="294"/>
      <c r="I468" s="294"/>
      <c r="J468" s="294"/>
      <c r="L468" s="295"/>
      <c r="M468" s="294"/>
      <c r="R468" s="326"/>
      <c r="S468" s="326"/>
      <c r="T468" s="294"/>
      <c r="U468" s="294"/>
      <c r="V468" s="294"/>
      <c r="W468" s="294"/>
      <c r="X468" s="1182"/>
      <c r="Y468" s="1182"/>
      <c r="Z468" s="1166"/>
      <c r="AA468" s="1166"/>
      <c r="AB468" s="1182"/>
      <c r="AC468" s="294"/>
      <c r="AD468" s="294"/>
      <c r="AE468" s="294"/>
      <c r="AF468" s="294"/>
      <c r="AG468" s="294"/>
      <c r="AH468" s="294"/>
      <c r="AI468" s="294"/>
      <c r="AJ468" s="294"/>
    </row>
    <row r="469" spans="2:36" x14ac:dyDescent="0.25">
      <c r="B469" s="294"/>
      <c r="C469" s="294"/>
      <c r="D469" s="294"/>
      <c r="E469" s="294"/>
      <c r="F469" s="294"/>
      <c r="G469" s="294"/>
      <c r="H469" s="294"/>
      <c r="I469" s="294"/>
      <c r="J469" s="294"/>
      <c r="L469" s="295"/>
      <c r="M469" s="294"/>
      <c r="R469" s="326"/>
      <c r="S469" s="326"/>
      <c r="T469" s="294"/>
      <c r="U469" s="294"/>
      <c r="V469" s="294"/>
      <c r="W469" s="294"/>
      <c r="X469" s="1182"/>
      <c r="Y469" s="1182"/>
      <c r="Z469" s="1166"/>
      <c r="AA469" s="1166"/>
      <c r="AB469" s="1182"/>
      <c r="AC469" s="294"/>
      <c r="AD469" s="294"/>
      <c r="AE469" s="294"/>
      <c r="AF469" s="294"/>
      <c r="AG469" s="294"/>
      <c r="AH469" s="294"/>
      <c r="AI469" s="294"/>
      <c r="AJ469" s="294"/>
    </row>
    <row r="470" spans="2:36" x14ac:dyDescent="0.25">
      <c r="B470" s="294"/>
      <c r="C470" s="294"/>
      <c r="D470" s="294"/>
      <c r="E470" s="294"/>
      <c r="F470" s="294"/>
      <c r="G470" s="294"/>
      <c r="H470" s="294"/>
      <c r="I470" s="294"/>
      <c r="J470" s="294"/>
      <c r="L470" s="295"/>
      <c r="M470" s="294"/>
      <c r="R470" s="326"/>
      <c r="S470" s="326"/>
      <c r="T470" s="294"/>
      <c r="U470" s="294"/>
      <c r="V470" s="294"/>
      <c r="W470" s="294"/>
      <c r="X470" s="1182"/>
      <c r="Y470" s="1182"/>
      <c r="Z470" s="1166"/>
      <c r="AA470" s="1166"/>
      <c r="AB470" s="1182"/>
      <c r="AC470" s="294"/>
      <c r="AD470" s="294"/>
      <c r="AE470" s="294"/>
      <c r="AF470" s="294"/>
      <c r="AG470" s="294"/>
      <c r="AH470" s="294"/>
      <c r="AI470" s="294"/>
      <c r="AJ470" s="294"/>
    </row>
    <row r="471" spans="2:36" x14ac:dyDescent="0.25">
      <c r="B471" s="294"/>
      <c r="C471" s="294"/>
      <c r="D471" s="294"/>
      <c r="E471" s="294"/>
      <c r="F471" s="294"/>
      <c r="G471" s="294"/>
      <c r="H471" s="294"/>
      <c r="I471" s="294"/>
      <c r="J471" s="294"/>
      <c r="L471" s="295"/>
      <c r="M471" s="294"/>
      <c r="R471" s="326"/>
      <c r="S471" s="326"/>
      <c r="T471" s="294"/>
      <c r="U471" s="294"/>
      <c r="V471" s="294"/>
      <c r="W471" s="294"/>
      <c r="X471" s="1182"/>
      <c r="Y471" s="1182"/>
      <c r="Z471" s="1166"/>
      <c r="AA471" s="1166"/>
      <c r="AB471" s="1182"/>
      <c r="AC471" s="294"/>
      <c r="AD471" s="294"/>
      <c r="AE471" s="294"/>
      <c r="AF471" s="294"/>
      <c r="AG471" s="294"/>
      <c r="AH471" s="294"/>
      <c r="AI471" s="294"/>
      <c r="AJ471" s="294"/>
    </row>
    <row r="472" spans="2:36" x14ac:dyDescent="0.25">
      <c r="B472" s="294"/>
      <c r="C472" s="294"/>
      <c r="D472" s="294"/>
      <c r="E472" s="294"/>
      <c r="F472" s="294"/>
      <c r="G472" s="294"/>
      <c r="H472" s="294"/>
      <c r="I472" s="294"/>
      <c r="J472" s="294"/>
      <c r="L472" s="295"/>
      <c r="M472" s="294"/>
      <c r="R472" s="326"/>
      <c r="S472" s="326"/>
      <c r="T472" s="294"/>
      <c r="U472" s="294"/>
      <c r="V472" s="294"/>
      <c r="W472" s="294"/>
      <c r="X472" s="1182"/>
      <c r="Y472" s="1182"/>
      <c r="Z472" s="1166"/>
      <c r="AA472" s="1166"/>
      <c r="AB472" s="1182"/>
      <c r="AC472" s="294"/>
      <c r="AD472" s="294"/>
      <c r="AE472" s="294"/>
      <c r="AF472" s="294"/>
      <c r="AG472" s="294"/>
      <c r="AH472" s="294"/>
      <c r="AI472" s="294"/>
      <c r="AJ472" s="294"/>
    </row>
    <row r="473" spans="2:36" x14ac:dyDescent="0.25">
      <c r="B473" s="294"/>
      <c r="C473" s="294"/>
      <c r="D473" s="294"/>
      <c r="E473" s="294"/>
      <c r="F473" s="294"/>
      <c r="G473" s="294"/>
      <c r="H473" s="294"/>
      <c r="I473" s="294"/>
      <c r="J473" s="294"/>
      <c r="L473" s="295"/>
      <c r="M473" s="294"/>
      <c r="R473" s="326"/>
      <c r="S473" s="326"/>
      <c r="T473" s="294"/>
      <c r="U473" s="294"/>
      <c r="V473" s="294"/>
      <c r="W473" s="294"/>
      <c r="X473" s="1182"/>
      <c r="Y473" s="1182"/>
      <c r="Z473" s="1166"/>
      <c r="AA473" s="1166"/>
      <c r="AB473" s="1182"/>
      <c r="AC473" s="294"/>
      <c r="AD473" s="294"/>
      <c r="AE473" s="294"/>
      <c r="AF473" s="294"/>
      <c r="AG473" s="294"/>
      <c r="AH473" s="294"/>
      <c r="AI473" s="294"/>
      <c r="AJ473" s="294"/>
    </row>
    <row r="474" spans="2:36" x14ac:dyDescent="0.25">
      <c r="B474" s="294"/>
      <c r="C474" s="294"/>
      <c r="D474" s="294"/>
      <c r="E474" s="294"/>
      <c r="F474" s="294"/>
      <c r="G474" s="294"/>
      <c r="H474" s="294"/>
      <c r="I474" s="294"/>
      <c r="J474" s="294"/>
      <c r="L474" s="295"/>
      <c r="M474" s="294"/>
      <c r="R474" s="326"/>
      <c r="S474" s="326"/>
      <c r="T474" s="294"/>
      <c r="U474" s="294"/>
      <c r="V474" s="294"/>
      <c r="W474" s="294"/>
      <c r="X474" s="1182"/>
      <c r="Y474" s="1182"/>
      <c r="Z474" s="1166"/>
      <c r="AA474" s="1166"/>
      <c r="AB474" s="1182"/>
      <c r="AC474" s="294"/>
      <c r="AD474" s="294"/>
      <c r="AE474" s="294"/>
      <c r="AF474" s="294"/>
      <c r="AG474" s="294"/>
      <c r="AH474" s="294"/>
      <c r="AI474" s="294"/>
      <c r="AJ474" s="294"/>
    </row>
    <row r="475" spans="2:36" x14ac:dyDescent="0.25">
      <c r="B475" s="294"/>
      <c r="C475" s="294"/>
      <c r="D475" s="294"/>
      <c r="E475" s="294"/>
      <c r="F475" s="294"/>
      <c r="G475" s="294"/>
      <c r="H475" s="294"/>
      <c r="I475" s="294"/>
      <c r="J475" s="294"/>
      <c r="L475" s="295"/>
      <c r="M475" s="294"/>
      <c r="R475" s="326"/>
      <c r="S475" s="326"/>
      <c r="T475" s="294"/>
      <c r="U475" s="294"/>
      <c r="V475" s="294"/>
      <c r="W475" s="294"/>
      <c r="X475" s="1182"/>
      <c r="Y475" s="1182"/>
      <c r="Z475" s="1166"/>
      <c r="AA475" s="1166"/>
      <c r="AB475" s="1182"/>
      <c r="AC475" s="294"/>
      <c r="AD475" s="294"/>
      <c r="AE475" s="294"/>
      <c r="AF475" s="294"/>
      <c r="AG475" s="294"/>
      <c r="AH475" s="294"/>
      <c r="AI475" s="294"/>
      <c r="AJ475" s="294"/>
    </row>
    <row r="476" spans="2:36" x14ac:dyDescent="0.25">
      <c r="B476" s="294"/>
      <c r="C476" s="294"/>
      <c r="D476" s="294"/>
      <c r="E476" s="294"/>
      <c r="F476" s="294"/>
      <c r="G476" s="294"/>
      <c r="H476" s="294"/>
      <c r="I476" s="294"/>
      <c r="J476" s="294"/>
      <c r="L476" s="295"/>
      <c r="M476" s="294"/>
      <c r="R476" s="326"/>
      <c r="S476" s="326"/>
      <c r="T476" s="294"/>
      <c r="U476" s="294"/>
      <c r="V476" s="294"/>
      <c r="W476" s="294"/>
      <c r="X476" s="1182"/>
      <c r="Y476" s="1182"/>
      <c r="Z476" s="1166"/>
      <c r="AA476" s="1166"/>
      <c r="AB476" s="1182"/>
      <c r="AC476" s="294"/>
      <c r="AD476" s="294"/>
      <c r="AE476" s="294"/>
      <c r="AF476" s="294"/>
      <c r="AG476" s="294"/>
      <c r="AH476" s="294"/>
      <c r="AI476" s="294"/>
      <c r="AJ476" s="294"/>
    </row>
    <row r="477" spans="2:36" x14ac:dyDescent="0.25">
      <c r="B477" s="294"/>
      <c r="C477" s="294"/>
      <c r="D477" s="294"/>
      <c r="E477" s="294"/>
      <c r="F477" s="294"/>
      <c r="G477" s="294"/>
      <c r="H477" s="294"/>
      <c r="I477" s="294"/>
      <c r="J477" s="294"/>
      <c r="L477" s="295"/>
      <c r="M477" s="294"/>
      <c r="R477" s="326"/>
      <c r="S477" s="326"/>
      <c r="T477" s="294"/>
      <c r="U477" s="294"/>
      <c r="V477" s="294"/>
      <c r="W477" s="294"/>
      <c r="X477" s="1182"/>
      <c r="Y477" s="1182"/>
      <c r="Z477" s="1166"/>
      <c r="AA477" s="1166"/>
      <c r="AB477" s="1182"/>
      <c r="AC477" s="294"/>
      <c r="AD477" s="294"/>
      <c r="AE477" s="294"/>
      <c r="AF477" s="294"/>
      <c r="AG477" s="294"/>
      <c r="AH477" s="294"/>
      <c r="AI477" s="294"/>
      <c r="AJ477" s="294"/>
    </row>
    <row r="478" spans="2:36" x14ac:dyDescent="0.25">
      <c r="B478" s="294"/>
      <c r="C478" s="294"/>
      <c r="D478" s="294"/>
      <c r="E478" s="294"/>
      <c r="F478" s="294"/>
      <c r="G478" s="294"/>
      <c r="H478" s="294"/>
      <c r="I478" s="294"/>
      <c r="J478" s="294"/>
      <c r="L478" s="295"/>
      <c r="M478" s="294"/>
      <c r="R478" s="326"/>
      <c r="S478" s="326"/>
      <c r="T478" s="294"/>
      <c r="U478" s="294"/>
      <c r="V478" s="294"/>
      <c r="W478" s="294"/>
      <c r="X478" s="1182"/>
      <c r="Y478" s="1182"/>
      <c r="Z478" s="1166"/>
      <c r="AA478" s="1166"/>
      <c r="AB478" s="1182"/>
      <c r="AC478" s="294"/>
      <c r="AD478" s="294"/>
      <c r="AE478" s="294"/>
      <c r="AF478" s="294"/>
      <c r="AG478" s="294"/>
      <c r="AH478" s="294"/>
      <c r="AI478" s="294"/>
      <c r="AJ478" s="294"/>
    </row>
    <row r="479" spans="2:36" x14ac:dyDescent="0.25">
      <c r="B479" s="294"/>
      <c r="C479" s="294"/>
      <c r="D479" s="294"/>
      <c r="E479" s="294"/>
      <c r="F479" s="294"/>
      <c r="G479" s="294"/>
      <c r="H479" s="294"/>
      <c r="I479" s="294"/>
      <c r="J479" s="294"/>
      <c r="L479" s="295"/>
      <c r="M479" s="294"/>
      <c r="R479" s="326"/>
      <c r="S479" s="326"/>
      <c r="T479" s="294"/>
      <c r="U479" s="294"/>
      <c r="V479" s="294"/>
      <c r="W479" s="294"/>
      <c r="X479" s="1182"/>
      <c r="Y479" s="1182"/>
      <c r="Z479" s="1166"/>
      <c r="AA479" s="1166"/>
      <c r="AB479" s="1182"/>
      <c r="AC479" s="294"/>
      <c r="AD479" s="294"/>
      <c r="AE479" s="294"/>
      <c r="AF479" s="294"/>
      <c r="AG479" s="294"/>
      <c r="AH479" s="294"/>
      <c r="AI479" s="294"/>
      <c r="AJ479" s="294"/>
    </row>
    <row r="480" spans="2:36" x14ac:dyDescent="0.25">
      <c r="B480" s="294"/>
      <c r="C480" s="294"/>
      <c r="D480" s="294"/>
      <c r="E480" s="294"/>
      <c r="F480" s="294"/>
      <c r="G480" s="294"/>
      <c r="H480" s="294"/>
      <c r="I480" s="294"/>
      <c r="J480" s="294"/>
      <c r="L480" s="295"/>
      <c r="M480" s="294"/>
      <c r="R480" s="326"/>
      <c r="S480" s="326"/>
      <c r="T480" s="294"/>
      <c r="U480" s="294"/>
      <c r="V480" s="294"/>
      <c r="W480" s="294"/>
      <c r="X480" s="1182"/>
      <c r="Y480" s="1182"/>
      <c r="Z480" s="1166"/>
      <c r="AA480" s="1166"/>
      <c r="AB480" s="1182"/>
      <c r="AC480" s="294"/>
      <c r="AD480" s="294"/>
      <c r="AE480" s="294"/>
      <c r="AF480" s="294"/>
      <c r="AG480" s="294"/>
      <c r="AH480" s="294"/>
      <c r="AI480" s="294"/>
      <c r="AJ480" s="294"/>
    </row>
    <row r="481" spans="2:36" x14ac:dyDescent="0.25">
      <c r="B481" s="294"/>
      <c r="C481" s="294"/>
      <c r="D481" s="294"/>
      <c r="E481" s="294"/>
      <c r="F481" s="294"/>
      <c r="G481" s="294"/>
      <c r="H481" s="294"/>
      <c r="I481" s="294"/>
      <c r="J481" s="294"/>
      <c r="L481" s="295"/>
      <c r="M481" s="294"/>
      <c r="R481" s="326"/>
      <c r="S481" s="326"/>
      <c r="T481" s="294"/>
      <c r="U481" s="294"/>
      <c r="V481" s="294"/>
      <c r="W481" s="294"/>
      <c r="X481" s="1182"/>
      <c r="Y481" s="1182"/>
      <c r="Z481" s="1166"/>
      <c r="AA481" s="1166"/>
      <c r="AB481" s="1182"/>
      <c r="AC481" s="294"/>
      <c r="AD481" s="294"/>
      <c r="AE481" s="294"/>
      <c r="AF481" s="294"/>
      <c r="AG481" s="294"/>
      <c r="AH481" s="294"/>
      <c r="AI481" s="294"/>
      <c r="AJ481" s="294"/>
    </row>
    <row r="482" spans="2:36" x14ac:dyDescent="0.25">
      <c r="B482" s="294"/>
      <c r="C482" s="294"/>
      <c r="D482" s="294"/>
      <c r="E482" s="294"/>
      <c r="F482" s="294"/>
      <c r="G482" s="294"/>
      <c r="H482" s="294"/>
      <c r="I482" s="294"/>
      <c r="J482" s="294"/>
      <c r="L482" s="295"/>
      <c r="M482" s="294"/>
      <c r="R482" s="326"/>
      <c r="S482" s="326"/>
      <c r="T482" s="294"/>
      <c r="U482" s="294"/>
      <c r="V482" s="294"/>
      <c r="W482" s="294"/>
      <c r="X482" s="1182"/>
      <c r="Y482" s="1182"/>
      <c r="Z482" s="1166"/>
      <c r="AA482" s="1166"/>
      <c r="AB482" s="1182"/>
      <c r="AC482" s="294"/>
      <c r="AD482" s="294"/>
      <c r="AE482" s="294"/>
      <c r="AF482" s="294"/>
      <c r="AG482" s="294"/>
      <c r="AH482" s="294"/>
      <c r="AI482" s="294"/>
      <c r="AJ482" s="294"/>
    </row>
    <row r="483" spans="2:36" x14ac:dyDescent="0.25">
      <c r="B483" s="294"/>
      <c r="C483" s="294"/>
      <c r="D483" s="294"/>
      <c r="E483" s="294"/>
      <c r="F483" s="294"/>
      <c r="G483" s="294"/>
      <c r="H483" s="294"/>
      <c r="I483" s="294"/>
      <c r="J483" s="294"/>
      <c r="L483" s="295"/>
      <c r="M483" s="294"/>
      <c r="R483" s="326"/>
      <c r="S483" s="326"/>
      <c r="T483" s="294"/>
      <c r="U483" s="294"/>
      <c r="V483" s="294"/>
      <c r="W483" s="294"/>
      <c r="X483" s="1182"/>
      <c r="Y483" s="1182"/>
      <c r="Z483" s="1166"/>
      <c r="AA483" s="1166"/>
      <c r="AB483" s="1182"/>
      <c r="AC483" s="294"/>
      <c r="AD483" s="294"/>
      <c r="AE483" s="294"/>
      <c r="AF483" s="294"/>
      <c r="AG483" s="294"/>
      <c r="AH483" s="294"/>
      <c r="AI483" s="294"/>
      <c r="AJ483" s="294"/>
    </row>
    <row r="484" spans="2:36" x14ac:dyDescent="0.25">
      <c r="B484" s="294"/>
      <c r="C484" s="294"/>
      <c r="D484" s="294"/>
      <c r="E484" s="294"/>
      <c r="F484" s="294"/>
      <c r="G484" s="294"/>
      <c r="H484" s="294"/>
      <c r="I484" s="294"/>
      <c r="J484" s="294"/>
      <c r="L484" s="295"/>
      <c r="M484" s="294"/>
      <c r="R484" s="326"/>
      <c r="S484" s="326"/>
      <c r="T484" s="294"/>
      <c r="U484" s="294"/>
      <c r="V484" s="294"/>
      <c r="W484" s="294"/>
      <c r="X484" s="1182"/>
      <c r="Y484" s="1182"/>
      <c r="Z484" s="1166"/>
      <c r="AA484" s="1166"/>
      <c r="AB484" s="1182"/>
      <c r="AC484" s="294"/>
      <c r="AD484" s="294"/>
      <c r="AE484" s="294"/>
      <c r="AF484" s="294"/>
      <c r="AG484" s="294"/>
      <c r="AH484" s="294"/>
      <c r="AI484" s="294"/>
      <c r="AJ484" s="294"/>
    </row>
    <row r="485" spans="2:36" x14ac:dyDescent="0.25">
      <c r="B485" s="294"/>
      <c r="C485" s="294"/>
      <c r="D485" s="294"/>
      <c r="E485" s="294"/>
      <c r="F485" s="294"/>
      <c r="G485" s="294"/>
      <c r="H485" s="294"/>
      <c r="I485" s="294"/>
      <c r="J485" s="294"/>
      <c r="L485" s="295"/>
      <c r="M485" s="294"/>
      <c r="R485" s="326"/>
      <c r="S485" s="326"/>
      <c r="T485" s="294"/>
      <c r="U485" s="294"/>
      <c r="V485" s="294"/>
      <c r="W485" s="294"/>
      <c r="X485" s="1182"/>
      <c r="Y485" s="1182"/>
      <c r="Z485" s="1166"/>
      <c r="AA485" s="1166"/>
      <c r="AB485" s="1182"/>
      <c r="AC485" s="294"/>
      <c r="AD485" s="294"/>
      <c r="AE485" s="294"/>
      <c r="AF485" s="294"/>
      <c r="AG485" s="294"/>
      <c r="AH485" s="294"/>
      <c r="AI485" s="294"/>
      <c r="AJ485" s="294"/>
    </row>
    <row r="486" spans="2:36" x14ac:dyDescent="0.25">
      <c r="B486" s="294"/>
      <c r="C486" s="294"/>
      <c r="D486" s="294"/>
      <c r="E486" s="294"/>
      <c r="F486" s="294"/>
      <c r="G486" s="294"/>
      <c r="H486" s="294"/>
      <c r="I486" s="294"/>
      <c r="J486" s="294"/>
      <c r="L486" s="295"/>
      <c r="M486" s="294"/>
      <c r="R486" s="326"/>
      <c r="S486" s="326"/>
      <c r="T486" s="294"/>
      <c r="U486" s="294"/>
      <c r="V486" s="294"/>
      <c r="W486" s="294"/>
      <c r="X486" s="1182"/>
      <c r="Y486" s="1182"/>
      <c r="Z486" s="1166"/>
      <c r="AA486" s="1166"/>
      <c r="AB486" s="1182"/>
      <c r="AC486" s="294"/>
      <c r="AD486" s="294"/>
      <c r="AE486" s="294"/>
      <c r="AF486" s="294"/>
      <c r="AG486" s="294"/>
      <c r="AH486" s="294"/>
      <c r="AI486" s="294"/>
      <c r="AJ486" s="294"/>
    </row>
    <row r="487" spans="2:36" x14ac:dyDescent="0.25">
      <c r="B487" s="294"/>
      <c r="C487" s="294"/>
      <c r="D487" s="294"/>
      <c r="E487" s="294"/>
      <c r="F487" s="294"/>
      <c r="G487" s="294"/>
      <c r="H487" s="294"/>
      <c r="I487" s="294"/>
      <c r="J487" s="294"/>
      <c r="L487" s="295"/>
      <c r="M487" s="294"/>
      <c r="R487" s="326"/>
      <c r="S487" s="326"/>
      <c r="T487" s="294"/>
      <c r="U487" s="294"/>
      <c r="V487" s="294"/>
      <c r="W487" s="294"/>
      <c r="X487" s="1182"/>
      <c r="Y487" s="1182"/>
      <c r="Z487" s="1166"/>
      <c r="AA487" s="1166"/>
      <c r="AB487" s="1182"/>
      <c r="AC487" s="294"/>
      <c r="AD487" s="294"/>
      <c r="AE487" s="294"/>
      <c r="AF487" s="294"/>
      <c r="AG487" s="294"/>
      <c r="AH487" s="294"/>
      <c r="AI487" s="294"/>
      <c r="AJ487" s="294"/>
    </row>
    <row r="488" spans="2:36" x14ac:dyDescent="0.25">
      <c r="B488" s="294"/>
      <c r="C488" s="294"/>
      <c r="D488" s="294"/>
      <c r="E488" s="294"/>
      <c r="F488" s="294"/>
      <c r="G488" s="294"/>
      <c r="H488" s="294"/>
      <c r="I488" s="294"/>
      <c r="J488" s="294"/>
      <c r="L488" s="295"/>
      <c r="M488" s="294"/>
      <c r="R488" s="326"/>
      <c r="S488" s="326"/>
      <c r="T488" s="294"/>
      <c r="U488" s="294"/>
      <c r="V488" s="294"/>
      <c r="W488" s="294"/>
      <c r="X488" s="1182"/>
      <c r="Y488" s="1182"/>
      <c r="Z488" s="1166"/>
      <c r="AA488" s="1166"/>
      <c r="AB488" s="1182"/>
      <c r="AC488" s="294"/>
      <c r="AD488" s="294"/>
      <c r="AE488" s="294"/>
      <c r="AF488" s="294"/>
      <c r="AG488" s="294"/>
      <c r="AH488" s="294"/>
      <c r="AI488" s="294"/>
      <c r="AJ488" s="294"/>
    </row>
    <row r="489" spans="2:36" x14ac:dyDescent="0.25">
      <c r="B489" s="294"/>
      <c r="C489" s="294"/>
      <c r="D489" s="294"/>
      <c r="E489" s="294"/>
      <c r="F489" s="294"/>
      <c r="G489" s="294"/>
      <c r="H489" s="294"/>
      <c r="I489" s="294"/>
      <c r="J489" s="294"/>
      <c r="L489" s="295"/>
      <c r="M489" s="294"/>
      <c r="R489" s="326"/>
      <c r="S489" s="326"/>
      <c r="T489" s="294"/>
      <c r="U489" s="294"/>
      <c r="V489" s="294"/>
      <c r="W489" s="294"/>
      <c r="X489" s="1182"/>
      <c r="Y489" s="1182"/>
      <c r="Z489" s="1166"/>
      <c r="AA489" s="1166"/>
      <c r="AB489" s="1182"/>
      <c r="AC489" s="294"/>
      <c r="AD489" s="294"/>
      <c r="AE489" s="294"/>
      <c r="AF489" s="294"/>
      <c r="AG489" s="294"/>
      <c r="AH489" s="294"/>
      <c r="AI489" s="294"/>
      <c r="AJ489" s="294"/>
    </row>
    <row r="490" spans="2:36" x14ac:dyDescent="0.25">
      <c r="B490" s="294"/>
      <c r="C490" s="294"/>
      <c r="D490" s="294"/>
      <c r="E490" s="294"/>
      <c r="F490" s="294"/>
      <c r="G490" s="294"/>
      <c r="H490" s="294"/>
      <c r="I490" s="294"/>
      <c r="J490" s="294"/>
      <c r="L490" s="295"/>
      <c r="M490" s="294"/>
      <c r="R490" s="326"/>
      <c r="S490" s="326"/>
      <c r="T490" s="294"/>
      <c r="U490" s="294"/>
      <c r="V490" s="294"/>
      <c r="W490" s="294"/>
      <c r="X490" s="1182"/>
      <c r="Y490" s="1182"/>
      <c r="Z490" s="1166"/>
      <c r="AA490" s="1166"/>
      <c r="AB490" s="1182"/>
      <c r="AC490" s="294"/>
      <c r="AD490" s="294"/>
      <c r="AE490" s="294"/>
      <c r="AF490" s="294"/>
      <c r="AG490" s="294"/>
      <c r="AH490" s="294"/>
      <c r="AI490" s="294"/>
      <c r="AJ490" s="294"/>
    </row>
    <row r="491" spans="2:36" x14ac:dyDescent="0.25">
      <c r="B491" s="294"/>
      <c r="C491" s="294"/>
      <c r="D491" s="294"/>
      <c r="E491" s="294"/>
      <c r="F491" s="294"/>
      <c r="G491" s="294"/>
      <c r="H491" s="294"/>
      <c r="I491" s="294"/>
      <c r="J491" s="294"/>
      <c r="L491" s="295"/>
      <c r="M491" s="294"/>
      <c r="R491" s="326"/>
      <c r="S491" s="326"/>
      <c r="T491" s="294"/>
      <c r="U491" s="294"/>
      <c r="V491" s="294"/>
      <c r="W491" s="294"/>
      <c r="X491" s="1182"/>
      <c r="Y491" s="1182"/>
      <c r="Z491" s="1166"/>
      <c r="AA491" s="1166"/>
      <c r="AB491" s="1182"/>
      <c r="AC491" s="294"/>
      <c r="AD491" s="294"/>
      <c r="AE491" s="294"/>
      <c r="AF491" s="294"/>
      <c r="AG491" s="294"/>
      <c r="AH491" s="294"/>
      <c r="AI491" s="294"/>
      <c r="AJ491" s="294"/>
    </row>
    <row r="492" spans="2:36" x14ac:dyDescent="0.25">
      <c r="B492" s="294"/>
      <c r="C492" s="294"/>
      <c r="D492" s="294"/>
      <c r="E492" s="294"/>
      <c r="F492" s="294"/>
      <c r="G492" s="294"/>
      <c r="H492" s="294"/>
      <c r="I492" s="294"/>
      <c r="J492" s="294"/>
      <c r="L492" s="295"/>
      <c r="M492" s="294"/>
      <c r="R492" s="326"/>
      <c r="S492" s="326"/>
      <c r="T492" s="294"/>
      <c r="U492" s="294"/>
      <c r="V492" s="294"/>
      <c r="W492" s="294"/>
      <c r="X492" s="1182"/>
      <c r="Y492" s="1182"/>
      <c r="Z492" s="1166"/>
      <c r="AA492" s="1166"/>
      <c r="AB492" s="1182"/>
      <c r="AC492" s="294"/>
      <c r="AD492" s="294"/>
      <c r="AE492" s="294"/>
      <c r="AF492" s="294"/>
      <c r="AG492" s="294"/>
      <c r="AH492" s="294"/>
      <c r="AI492" s="294"/>
      <c r="AJ492" s="294"/>
    </row>
    <row r="493" spans="2:36" x14ac:dyDescent="0.25">
      <c r="B493" s="294"/>
      <c r="C493" s="294"/>
      <c r="D493" s="294"/>
      <c r="E493" s="294"/>
      <c r="F493" s="294"/>
      <c r="G493" s="294"/>
      <c r="H493" s="294"/>
      <c r="I493" s="294"/>
      <c r="J493" s="294"/>
      <c r="L493" s="295"/>
      <c r="M493" s="294"/>
      <c r="R493" s="326"/>
      <c r="S493" s="326"/>
      <c r="T493" s="294"/>
      <c r="U493" s="294"/>
      <c r="V493" s="294"/>
      <c r="W493" s="294"/>
      <c r="X493" s="1182"/>
      <c r="Y493" s="1182"/>
      <c r="Z493" s="1166"/>
      <c r="AA493" s="1166"/>
      <c r="AB493" s="1182"/>
      <c r="AC493" s="294"/>
      <c r="AD493" s="294"/>
      <c r="AE493" s="294"/>
      <c r="AF493" s="294"/>
      <c r="AG493" s="294"/>
      <c r="AH493" s="294"/>
      <c r="AI493" s="294"/>
      <c r="AJ493" s="294"/>
    </row>
    <row r="494" spans="2:36" x14ac:dyDescent="0.25">
      <c r="B494" s="294"/>
      <c r="C494" s="294"/>
      <c r="D494" s="294"/>
      <c r="E494" s="294"/>
      <c r="F494" s="294"/>
      <c r="G494" s="294"/>
      <c r="H494" s="294"/>
      <c r="I494" s="294"/>
      <c r="J494" s="294"/>
      <c r="L494" s="295"/>
      <c r="M494" s="294"/>
      <c r="R494" s="326"/>
      <c r="S494" s="326"/>
      <c r="T494" s="294"/>
      <c r="U494" s="294"/>
      <c r="V494" s="294"/>
      <c r="W494" s="294"/>
      <c r="X494" s="1182"/>
      <c r="Y494" s="1182"/>
      <c r="Z494" s="1166"/>
      <c r="AA494" s="1166"/>
      <c r="AB494" s="1182"/>
      <c r="AC494" s="294"/>
      <c r="AD494" s="294"/>
      <c r="AE494" s="294"/>
      <c r="AF494" s="294"/>
      <c r="AG494" s="294"/>
      <c r="AH494" s="294"/>
      <c r="AI494" s="294"/>
      <c r="AJ494" s="294"/>
    </row>
    <row r="495" spans="2:36" x14ac:dyDescent="0.25">
      <c r="B495" s="294"/>
      <c r="C495" s="294"/>
      <c r="D495" s="294"/>
      <c r="E495" s="294"/>
      <c r="F495" s="294"/>
      <c r="G495" s="294"/>
      <c r="H495" s="294"/>
      <c r="I495" s="294"/>
      <c r="J495" s="294"/>
      <c r="L495" s="295"/>
      <c r="M495" s="294"/>
      <c r="R495" s="326"/>
      <c r="S495" s="326"/>
      <c r="T495" s="294"/>
      <c r="U495" s="294"/>
      <c r="V495" s="294"/>
      <c r="W495" s="294"/>
      <c r="X495" s="1182"/>
      <c r="Y495" s="1182"/>
      <c r="Z495" s="1166"/>
      <c r="AA495" s="1166"/>
      <c r="AB495" s="1182"/>
      <c r="AC495" s="294"/>
      <c r="AD495" s="294"/>
      <c r="AE495" s="294"/>
      <c r="AF495" s="294"/>
      <c r="AG495" s="294"/>
      <c r="AH495" s="294"/>
      <c r="AI495" s="294"/>
      <c r="AJ495" s="294"/>
    </row>
    <row r="496" spans="2:36" x14ac:dyDescent="0.25">
      <c r="B496" s="294"/>
      <c r="C496" s="294"/>
      <c r="D496" s="294"/>
      <c r="E496" s="294"/>
      <c r="F496" s="294"/>
      <c r="G496" s="294"/>
      <c r="H496" s="294"/>
      <c r="I496" s="294"/>
      <c r="J496" s="294"/>
      <c r="L496" s="295"/>
      <c r="M496" s="294"/>
      <c r="R496" s="326"/>
      <c r="S496" s="326"/>
      <c r="T496" s="294"/>
      <c r="U496" s="294"/>
      <c r="V496" s="294"/>
      <c r="W496" s="294"/>
      <c r="X496" s="1182"/>
      <c r="Y496" s="1182"/>
      <c r="Z496" s="1166"/>
      <c r="AA496" s="1166"/>
      <c r="AB496" s="1182"/>
      <c r="AC496" s="294"/>
      <c r="AD496" s="294"/>
      <c r="AE496" s="294"/>
      <c r="AF496" s="294"/>
      <c r="AG496" s="294"/>
      <c r="AH496" s="294"/>
      <c r="AI496" s="294"/>
      <c r="AJ496" s="294"/>
    </row>
    <row r="497" spans="2:36" x14ac:dyDescent="0.25">
      <c r="B497" s="294"/>
      <c r="C497" s="294"/>
      <c r="D497" s="294"/>
      <c r="E497" s="294"/>
      <c r="F497" s="294"/>
      <c r="G497" s="294"/>
      <c r="H497" s="294"/>
      <c r="I497" s="294"/>
      <c r="J497" s="294"/>
      <c r="L497" s="295"/>
      <c r="M497" s="294"/>
      <c r="R497" s="326"/>
      <c r="S497" s="326"/>
      <c r="T497" s="294"/>
      <c r="U497" s="294"/>
      <c r="V497" s="294"/>
      <c r="W497" s="294"/>
      <c r="X497" s="1182"/>
      <c r="Y497" s="1182"/>
      <c r="Z497" s="1166"/>
      <c r="AA497" s="1166"/>
      <c r="AB497" s="1182"/>
      <c r="AC497" s="294"/>
      <c r="AD497" s="294"/>
      <c r="AE497" s="294"/>
      <c r="AF497" s="294"/>
      <c r="AG497" s="294"/>
      <c r="AH497" s="294"/>
      <c r="AI497" s="294"/>
      <c r="AJ497" s="294"/>
    </row>
    <row r="498" spans="2:36" x14ac:dyDescent="0.25">
      <c r="B498" s="294"/>
      <c r="C498" s="294"/>
      <c r="D498" s="294"/>
      <c r="E498" s="294"/>
      <c r="F498" s="294"/>
      <c r="G498" s="294"/>
      <c r="H498" s="294"/>
      <c r="I498" s="294"/>
      <c r="J498" s="294"/>
      <c r="L498" s="295"/>
      <c r="M498" s="294"/>
      <c r="R498" s="326"/>
      <c r="S498" s="326"/>
      <c r="T498" s="294"/>
      <c r="U498" s="294"/>
      <c r="V498" s="294"/>
      <c r="W498" s="294"/>
      <c r="X498" s="1182"/>
      <c r="Y498" s="1182"/>
      <c r="Z498" s="1166"/>
      <c r="AA498" s="1166"/>
      <c r="AB498" s="1182"/>
      <c r="AC498" s="294"/>
      <c r="AD498" s="294"/>
      <c r="AE498" s="294"/>
      <c r="AF498" s="294"/>
      <c r="AG498" s="294"/>
      <c r="AH498" s="294"/>
      <c r="AI498" s="294"/>
      <c r="AJ498" s="294"/>
    </row>
    <row r="499" spans="2:36" x14ac:dyDescent="0.25">
      <c r="B499" s="294"/>
      <c r="C499" s="294"/>
      <c r="D499" s="294"/>
      <c r="E499" s="294"/>
      <c r="F499" s="294"/>
      <c r="G499" s="294"/>
      <c r="H499" s="294"/>
      <c r="I499" s="294"/>
      <c r="J499" s="294"/>
      <c r="L499" s="295"/>
      <c r="M499" s="294"/>
      <c r="R499" s="326"/>
      <c r="S499" s="326"/>
      <c r="T499" s="294"/>
      <c r="U499" s="294"/>
      <c r="V499" s="294"/>
      <c r="W499" s="294"/>
      <c r="X499" s="1182"/>
      <c r="Y499" s="1182"/>
      <c r="Z499" s="1166"/>
      <c r="AA499" s="1166"/>
      <c r="AB499" s="1182"/>
      <c r="AC499" s="294"/>
      <c r="AD499" s="294"/>
      <c r="AE499" s="294"/>
      <c r="AF499" s="294"/>
      <c r="AG499" s="294"/>
      <c r="AH499" s="294"/>
      <c r="AI499" s="294"/>
      <c r="AJ499" s="294"/>
    </row>
    <row r="500" spans="2:36" x14ac:dyDescent="0.25">
      <c r="B500" s="294"/>
      <c r="C500" s="294"/>
      <c r="D500" s="294"/>
      <c r="E500" s="294"/>
      <c r="F500" s="294"/>
      <c r="G500" s="294"/>
      <c r="H500" s="294"/>
      <c r="I500" s="294"/>
      <c r="J500" s="294"/>
      <c r="L500" s="295"/>
      <c r="M500" s="294"/>
      <c r="R500" s="326"/>
      <c r="S500" s="326"/>
      <c r="T500" s="294"/>
      <c r="U500" s="294"/>
      <c r="V500" s="294"/>
      <c r="W500" s="294"/>
      <c r="X500" s="1182"/>
      <c r="Y500" s="1182"/>
      <c r="Z500" s="1166"/>
      <c r="AA500" s="1166"/>
      <c r="AB500" s="1182"/>
      <c r="AC500" s="294"/>
      <c r="AD500" s="294"/>
      <c r="AE500" s="294"/>
      <c r="AF500" s="294"/>
      <c r="AG500" s="294"/>
      <c r="AH500" s="294"/>
      <c r="AI500" s="294"/>
      <c r="AJ500" s="294"/>
    </row>
    <row r="501" spans="2:36" x14ac:dyDescent="0.25">
      <c r="B501" s="294"/>
      <c r="C501" s="294"/>
      <c r="D501" s="294"/>
      <c r="E501" s="294"/>
      <c r="F501" s="294"/>
      <c r="G501" s="294"/>
      <c r="H501" s="294"/>
      <c r="I501" s="294"/>
      <c r="J501" s="294"/>
      <c r="L501" s="295"/>
      <c r="M501" s="294"/>
      <c r="R501" s="326"/>
      <c r="S501" s="326"/>
      <c r="T501" s="294"/>
      <c r="U501" s="294"/>
      <c r="V501" s="294"/>
      <c r="W501" s="294"/>
      <c r="X501" s="1182"/>
      <c r="Y501" s="1182"/>
      <c r="Z501" s="1166"/>
      <c r="AA501" s="1166"/>
      <c r="AB501" s="1182"/>
      <c r="AC501" s="294"/>
      <c r="AD501" s="294"/>
      <c r="AE501" s="294"/>
      <c r="AF501" s="294"/>
      <c r="AG501" s="294"/>
      <c r="AH501" s="294"/>
      <c r="AI501" s="294"/>
      <c r="AJ501" s="294"/>
    </row>
    <row r="502" spans="2:36" x14ac:dyDescent="0.25">
      <c r="B502" s="294"/>
      <c r="C502" s="294"/>
      <c r="D502" s="294"/>
      <c r="E502" s="294"/>
      <c r="F502" s="294"/>
      <c r="G502" s="294"/>
      <c r="H502" s="294"/>
      <c r="I502" s="294"/>
      <c r="J502" s="294"/>
      <c r="L502" s="295"/>
      <c r="M502" s="294"/>
      <c r="R502" s="326"/>
      <c r="S502" s="326"/>
      <c r="T502" s="294"/>
      <c r="U502" s="294"/>
      <c r="V502" s="294"/>
      <c r="W502" s="294"/>
      <c r="X502" s="1182"/>
      <c r="Y502" s="1182"/>
      <c r="Z502" s="1166"/>
      <c r="AA502" s="1166"/>
      <c r="AB502" s="1182"/>
      <c r="AC502" s="294"/>
      <c r="AD502" s="294"/>
      <c r="AE502" s="294"/>
      <c r="AF502" s="294"/>
      <c r="AG502" s="294"/>
      <c r="AH502" s="294"/>
      <c r="AI502" s="294"/>
      <c r="AJ502" s="294"/>
    </row>
    <row r="503" spans="2:36" x14ac:dyDescent="0.25">
      <c r="B503" s="294"/>
      <c r="C503" s="294"/>
      <c r="D503" s="294"/>
      <c r="E503" s="294"/>
      <c r="F503" s="294"/>
      <c r="G503" s="294"/>
      <c r="H503" s="294"/>
      <c r="I503" s="294"/>
      <c r="J503" s="294"/>
      <c r="L503" s="295"/>
      <c r="M503" s="294"/>
      <c r="R503" s="326"/>
      <c r="S503" s="326"/>
      <c r="T503" s="294"/>
      <c r="U503" s="294"/>
      <c r="V503" s="294"/>
      <c r="W503" s="294"/>
      <c r="X503" s="1182"/>
      <c r="Y503" s="1182"/>
      <c r="Z503" s="1166"/>
      <c r="AA503" s="1166"/>
      <c r="AB503" s="1182"/>
      <c r="AC503" s="294"/>
      <c r="AD503" s="294"/>
      <c r="AE503" s="294"/>
      <c r="AF503" s="294"/>
      <c r="AG503" s="294"/>
      <c r="AH503" s="294"/>
      <c r="AI503" s="294"/>
      <c r="AJ503" s="294"/>
    </row>
    <row r="504" spans="2:36" x14ac:dyDescent="0.25">
      <c r="B504" s="294"/>
      <c r="C504" s="294"/>
      <c r="D504" s="294"/>
      <c r="E504" s="294"/>
      <c r="F504" s="294"/>
      <c r="G504" s="294"/>
      <c r="H504" s="294"/>
      <c r="I504" s="294"/>
      <c r="J504" s="294"/>
      <c r="L504" s="295"/>
      <c r="M504" s="294"/>
      <c r="R504" s="326"/>
      <c r="S504" s="326"/>
      <c r="T504" s="294"/>
      <c r="U504" s="294"/>
      <c r="V504" s="294"/>
      <c r="W504" s="294"/>
      <c r="X504" s="1182"/>
      <c r="Y504" s="1182"/>
      <c r="Z504" s="1166"/>
      <c r="AA504" s="1166"/>
      <c r="AB504" s="1182"/>
      <c r="AC504" s="294"/>
      <c r="AD504" s="294"/>
      <c r="AE504" s="294"/>
      <c r="AF504" s="294"/>
      <c r="AG504" s="294"/>
      <c r="AH504" s="294"/>
      <c r="AI504" s="294"/>
      <c r="AJ504" s="294"/>
    </row>
    <row r="505" spans="2:36" x14ac:dyDescent="0.25">
      <c r="B505" s="294"/>
      <c r="C505" s="294"/>
      <c r="D505" s="294"/>
      <c r="E505" s="294"/>
      <c r="F505" s="294"/>
      <c r="G505" s="294"/>
      <c r="H505" s="294"/>
      <c r="I505" s="294"/>
      <c r="J505" s="294"/>
      <c r="L505" s="295"/>
      <c r="M505" s="294"/>
      <c r="R505" s="326"/>
      <c r="S505" s="326"/>
      <c r="T505" s="294"/>
      <c r="U505" s="294"/>
      <c r="V505" s="294"/>
      <c r="W505" s="294"/>
      <c r="X505" s="1182"/>
      <c r="Y505" s="1182"/>
      <c r="Z505" s="1166"/>
      <c r="AA505" s="1166"/>
      <c r="AB505" s="1182"/>
      <c r="AC505" s="294"/>
      <c r="AD505" s="294"/>
      <c r="AE505" s="294"/>
      <c r="AF505" s="294"/>
      <c r="AG505" s="294"/>
      <c r="AH505" s="294"/>
      <c r="AI505" s="294"/>
      <c r="AJ505" s="294"/>
    </row>
    <row r="506" spans="2:36" x14ac:dyDescent="0.25">
      <c r="B506" s="294"/>
      <c r="C506" s="294"/>
      <c r="D506" s="294"/>
      <c r="E506" s="294"/>
      <c r="F506" s="294"/>
      <c r="G506" s="294"/>
      <c r="H506" s="294"/>
      <c r="I506" s="294"/>
      <c r="J506" s="294"/>
      <c r="L506" s="295"/>
      <c r="M506" s="294"/>
      <c r="R506" s="326"/>
      <c r="S506" s="326"/>
      <c r="T506" s="294"/>
      <c r="U506" s="294"/>
      <c r="V506" s="294"/>
      <c r="W506" s="294"/>
      <c r="X506" s="1182"/>
      <c r="Y506" s="1182"/>
      <c r="Z506" s="1166"/>
      <c r="AA506" s="1166"/>
      <c r="AB506" s="1182"/>
      <c r="AC506" s="294"/>
      <c r="AD506" s="294"/>
      <c r="AE506" s="294"/>
      <c r="AF506" s="294"/>
      <c r="AG506" s="294"/>
      <c r="AH506" s="294"/>
      <c r="AI506" s="294"/>
      <c r="AJ506" s="294"/>
    </row>
    <row r="507" spans="2:36" x14ac:dyDescent="0.25">
      <c r="B507" s="294"/>
      <c r="C507" s="294"/>
      <c r="D507" s="294"/>
      <c r="E507" s="294"/>
      <c r="F507" s="294"/>
      <c r="G507" s="294"/>
      <c r="H507" s="294"/>
      <c r="I507" s="294"/>
      <c r="J507" s="294"/>
      <c r="L507" s="295"/>
      <c r="M507" s="294"/>
      <c r="R507" s="326"/>
      <c r="S507" s="326"/>
      <c r="T507" s="294"/>
      <c r="U507" s="294"/>
      <c r="V507" s="294"/>
      <c r="W507" s="294"/>
      <c r="X507" s="1182"/>
      <c r="Y507" s="1182"/>
      <c r="Z507" s="1166"/>
      <c r="AA507" s="1166"/>
      <c r="AB507" s="1182"/>
      <c r="AC507" s="294"/>
      <c r="AD507" s="294"/>
      <c r="AE507" s="294"/>
      <c r="AF507" s="294"/>
      <c r="AG507" s="294"/>
      <c r="AH507" s="294"/>
      <c r="AI507" s="294"/>
      <c r="AJ507" s="294"/>
    </row>
    <row r="508" spans="2:36" x14ac:dyDescent="0.25">
      <c r="B508" s="294"/>
      <c r="C508" s="294"/>
      <c r="D508" s="294"/>
      <c r="E508" s="294"/>
      <c r="F508" s="294"/>
      <c r="G508" s="294"/>
      <c r="H508" s="294"/>
      <c r="I508" s="294"/>
      <c r="J508" s="294"/>
      <c r="L508" s="295"/>
      <c r="M508" s="294"/>
      <c r="R508" s="326"/>
      <c r="S508" s="326"/>
      <c r="T508" s="294"/>
      <c r="U508" s="294"/>
      <c r="V508" s="294"/>
      <c r="W508" s="294"/>
      <c r="X508" s="1182"/>
      <c r="Y508" s="1182"/>
      <c r="Z508" s="1166"/>
      <c r="AA508" s="1166"/>
      <c r="AB508" s="1182"/>
      <c r="AC508" s="294"/>
      <c r="AD508" s="294"/>
      <c r="AE508" s="294"/>
      <c r="AF508" s="294"/>
      <c r="AG508" s="294"/>
      <c r="AH508" s="294"/>
      <c r="AI508" s="294"/>
      <c r="AJ508" s="294"/>
    </row>
    <row r="509" spans="2:36" x14ac:dyDescent="0.25">
      <c r="B509" s="294"/>
      <c r="C509" s="294"/>
      <c r="D509" s="294"/>
      <c r="E509" s="294"/>
      <c r="F509" s="294"/>
      <c r="G509" s="294"/>
      <c r="H509" s="294"/>
      <c r="I509" s="294"/>
      <c r="J509" s="294"/>
      <c r="L509" s="295"/>
      <c r="M509" s="294"/>
      <c r="R509" s="326"/>
      <c r="S509" s="326"/>
      <c r="T509" s="294"/>
      <c r="U509" s="294"/>
      <c r="V509" s="294"/>
      <c r="W509" s="294"/>
      <c r="X509" s="1182"/>
      <c r="Y509" s="1182"/>
      <c r="Z509" s="1166"/>
      <c r="AA509" s="1166"/>
      <c r="AB509" s="1182"/>
      <c r="AC509" s="294"/>
      <c r="AD509" s="294"/>
      <c r="AE509" s="294"/>
      <c r="AF509" s="294"/>
      <c r="AG509" s="294"/>
      <c r="AH509" s="294"/>
      <c r="AI509" s="294"/>
      <c r="AJ509" s="294"/>
    </row>
    <row r="510" spans="2:36" x14ac:dyDescent="0.25">
      <c r="B510" s="294"/>
      <c r="C510" s="294"/>
      <c r="D510" s="294"/>
      <c r="E510" s="294"/>
      <c r="F510" s="294"/>
      <c r="G510" s="294"/>
      <c r="H510" s="294"/>
      <c r="I510" s="294"/>
      <c r="J510" s="294"/>
      <c r="L510" s="295"/>
      <c r="M510" s="294"/>
      <c r="R510" s="326"/>
      <c r="S510" s="326"/>
      <c r="T510" s="294"/>
      <c r="U510" s="294"/>
      <c r="V510" s="294"/>
      <c r="W510" s="294"/>
      <c r="X510" s="1182"/>
      <c r="Y510" s="1182"/>
      <c r="Z510" s="1166"/>
      <c r="AA510" s="1166"/>
      <c r="AB510" s="1182"/>
      <c r="AC510" s="294"/>
      <c r="AD510" s="294"/>
      <c r="AE510" s="294"/>
      <c r="AF510" s="294"/>
      <c r="AG510" s="294"/>
      <c r="AH510" s="294"/>
      <c r="AI510" s="294"/>
      <c r="AJ510" s="294"/>
    </row>
    <row r="511" spans="2:36" x14ac:dyDescent="0.25">
      <c r="B511" s="294"/>
      <c r="C511" s="294"/>
      <c r="D511" s="294"/>
      <c r="E511" s="294"/>
      <c r="F511" s="294"/>
      <c r="G511" s="294"/>
      <c r="H511" s="294"/>
      <c r="I511" s="294"/>
      <c r="J511" s="294"/>
      <c r="L511" s="295"/>
      <c r="M511" s="294"/>
      <c r="R511" s="326"/>
      <c r="S511" s="326"/>
      <c r="T511" s="294"/>
      <c r="U511" s="294"/>
      <c r="V511" s="294"/>
      <c r="W511" s="294"/>
      <c r="X511" s="1182"/>
      <c r="Y511" s="1182"/>
      <c r="Z511" s="1166"/>
      <c r="AA511" s="1166"/>
      <c r="AB511" s="1182"/>
      <c r="AC511" s="294"/>
      <c r="AD511" s="294"/>
      <c r="AE511" s="294"/>
      <c r="AF511" s="294"/>
      <c r="AG511" s="294"/>
      <c r="AH511" s="294"/>
      <c r="AI511" s="294"/>
      <c r="AJ511" s="294"/>
    </row>
    <row r="512" spans="2:36" x14ac:dyDescent="0.25">
      <c r="B512" s="294"/>
      <c r="C512" s="294"/>
      <c r="D512" s="294"/>
      <c r="E512" s="294"/>
      <c r="F512" s="294"/>
      <c r="G512" s="294"/>
      <c r="H512" s="294"/>
      <c r="I512" s="294"/>
      <c r="J512" s="294"/>
      <c r="L512" s="295"/>
      <c r="M512" s="294"/>
      <c r="R512" s="326"/>
      <c r="S512" s="326"/>
      <c r="T512" s="294"/>
      <c r="U512" s="294"/>
      <c r="V512" s="294"/>
      <c r="W512" s="294"/>
      <c r="X512" s="1182"/>
      <c r="Y512" s="1182"/>
      <c r="Z512" s="1166"/>
      <c r="AA512" s="1166"/>
      <c r="AB512" s="1182"/>
      <c r="AC512" s="294"/>
      <c r="AD512" s="294"/>
      <c r="AE512" s="294"/>
      <c r="AF512" s="294"/>
      <c r="AG512" s="294"/>
      <c r="AH512" s="294"/>
      <c r="AI512" s="294"/>
      <c r="AJ512" s="294"/>
    </row>
    <row r="513" spans="2:36" x14ac:dyDescent="0.25">
      <c r="B513" s="294"/>
      <c r="C513" s="294"/>
      <c r="D513" s="294"/>
      <c r="E513" s="294"/>
      <c r="F513" s="294"/>
      <c r="G513" s="294"/>
      <c r="H513" s="294"/>
      <c r="I513" s="294"/>
      <c r="J513" s="294"/>
      <c r="L513" s="295"/>
      <c r="M513" s="294"/>
      <c r="R513" s="326"/>
      <c r="S513" s="326"/>
      <c r="T513" s="294"/>
      <c r="U513" s="294"/>
      <c r="V513" s="294"/>
      <c r="W513" s="294"/>
      <c r="X513" s="1182"/>
      <c r="Y513" s="1182"/>
      <c r="Z513" s="1166"/>
      <c r="AA513" s="1166"/>
      <c r="AB513" s="1182"/>
      <c r="AC513" s="294"/>
      <c r="AD513" s="294"/>
      <c r="AE513" s="294"/>
      <c r="AF513" s="294"/>
      <c r="AG513" s="294"/>
      <c r="AH513" s="294"/>
      <c r="AI513" s="294"/>
      <c r="AJ513" s="294"/>
    </row>
    <row r="514" spans="2:36" x14ac:dyDescent="0.25">
      <c r="B514" s="294"/>
      <c r="C514" s="294"/>
      <c r="D514" s="294"/>
      <c r="E514" s="294"/>
      <c r="F514" s="294"/>
      <c r="G514" s="294"/>
      <c r="H514" s="294"/>
      <c r="I514" s="294"/>
      <c r="J514" s="294"/>
      <c r="L514" s="295"/>
      <c r="M514" s="294"/>
      <c r="R514" s="326"/>
      <c r="S514" s="326"/>
      <c r="T514" s="294"/>
      <c r="U514" s="294"/>
      <c r="V514" s="294"/>
      <c r="W514" s="294"/>
      <c r="X514" s="1182"/>
      <c r="Y514" s="1182"/>
      <c r="Z514" s="1166"/>
      <c r="AA514" s="1166"/>
      <c r="AB514" s="1182"/>
      <c r="AC514" s="294"/>
      <c r="AD514" s="294"/>
      <c r="AE514" s="294"/>
      <c r="AF514" s="294"/>
      <c r="AG514" s="294"/>
      <c r="AH514" s="294"/>
      <c r="AI514" s="294"/>
      <c r="AJ514" s="294"/>
    </row>
    <row r="515" spans="2:36" x14ac:dyDescent="0.25">
      <c r="B515" s="294"/>
      <c r="C515" s="294"/>
      <c r="D515" s="294"/>
      <c r="E515" s="294"/>
      <c r="F515" s="294"/>
      <c r="G515" s="294"/>
      <c r="H515" s="294"/>
      <c r="I515" s="294"/>
      <c r="J515" s="294"/>
      <c r="L515" s="295"/>
      <c r="M515" s="294"/>
      <c r="R515" s="326"/>
      <c r="S515" s="326"/>
      <c r="T515" s="294"/>
      <c r="U515" s="294"/>
      <c r="V515" s="294"/>
      <c r="W515" s="294"/>
      <c r="X515" s="1182"/>
      <c r="Y515" s="1182"/>
      <c r="Z515" s="1166"/>
      <c r="AA515" s="1166"/>
      <c r="AB515" s="1182"/>
      <c r="AC515" s="294"/>
      <c r="AD515" s="294"/>
      <c r="AE515" s="294"/>
      <c r="AF515" s="294"/>
      <c r="AG515" s="294"/>
      <c r="AH515" s="294"/>
      <c r="AI515" s="294"/>
      <c r="AJ515" s="294"/>
    </row>
    <row r="516" spans="2:36" x14ac:dyDescent="0.25">
      <c r="B516" s="294"/>
      <c r="C516" s="294"/>
      <c r="D516" s="294"/>
      <c r="E516" s="294"/>
      <c r="F516" s="294"/>
      <c r="G516" s="294"/>
      <c r="H516" s="294"/>
      <c r="I516" s="294"/>
      <c r="J516" s="294"/>
      <c r="L516" s="295"/>
      <c r="M516" s="294"/>
      <c r="R516" s="326"/>
      <c r="S516" s="326"/>
      <c r="T516" s="294"/>
      <c r="U516" s="294"/>
      <c r="V516" s="294"/>
      <c r="W516" s="294"/>
      <c r="X516" s="1182"/>
      <c r="Y516" s="1182"/>
      <c r="Z516" s="1166"/>
      <c r="AA516" s="1166"/>
      <c r="AB516" s="1182"/>
      <c r="AC516" s="294"/>
      <c r="AD516" s="294"/>
      <c r="AE516" s="294"/>
      <c r="AF516" s="294"/>
      <c r="AG516" s="294"/>
      <c r="AH516" s="294"/>
      <c r="AI516" s="294"/>
      <c r="AJ516" s="294"/>
    </row>
    <row r="517" spans="2:36" x14ac:dyDescent="0.25">
      <c r="B517" s="294"/>
      <c r="C517" s="294"/>
      <c r="D517" s="294"/>
      <c r="E517" s="294"/>
      <c r="F517" s="294"/>
      <c r="G517" s="294"/>
      <c r="H517" s="294"/>
      <c r="I517" s="294"/>
      <c r="J517" s="294"/>
      <c r="L517" s="295"/>
      <c r="M517" s="294"/>
      <c r="R517" s="326"/>
      <c r="S517" s="326"/>
      <c r="T517" s="294"/>
      <c r="U517" s="294"/>
      <c r="V517" s="294"/>
      <c r="W517" s="294"/>
      <c r="X517" s="1182"/>
      <c r="Y517" s="1182"/>
      <c r="Z517" s="1166"/>
      <c r="AA517" s="1166"/>
      <c r="AB517" s="1182"/>
      <c r="AC517" s="294"/>
      <c r="AD517" s="294"/>
      <c r="AE517" s="294"/>
      <c r="AF517" s="294"/>
      <c r="AG517" s="294"/>
      <c r="AH517" s="294"/>
      <c r="AI517" s="294"/>
      <c r="AJ517" s="294"/>
    </row>
    <row r="518" spans="2:36" x14ac:dyDescent="0.25">
      <c r="B518" s="294"/>
      <c r="C518" s="294"/>
      <c r="D518" s="294"/>
      <c r="E518" s="294"/>
      <c r="F518" s="294"/>
      <c r="G518" s="294"/>
      <c r="H518" s="294"/>
      <c r="I518" s="294"/>
      <c r="J518" s="294"/>
      <c r="L518" s="295"/>
      <c r="M518" s="294"/>
      <c r="R518" s="326"/>
      <c r="S518" s="326"/>
      <c r="T518" s="294"/>
      <c r="U518" s="294"/>
      <c r="V518" s="294"/>
      <c r="W518" s="294"/>
      <c r="X518" s="1182"/>
      <c r="Y518" s="1182"/>
      <c r="Z518" s="1166"/>
      <c r="AA518" s="1166"/>
      <c r="AB518" s="1182"/>
      <c r="AC518" s="294"/>
      <c r="AD518" s="294"/>
      <c r="AE518" s="294"/>
      <c r="AF518" s="294"/>
      <c r="AG518" s="294"/>
      <c r="AH518" s="294"/>
      <c r="AI518" s="294"/>
      <c r="AJ518" s="294"/>
    </row>
    <row r="519" spans="2:36" x14ac:dyDescent="0.25">
      <c r="B519" s="294"/>
      <c r="C519" s="294"/>
      <c r="D519" s="294"/>
      <c r="E519" s="294"/>
      <c r="F519" s="294"/>
      <c r="G519" s="294"/>
      <c r="H519" s="294"/>
      <c r="I519" s="294"/>
      <c r="J519" s="294"/>
      <c r="L519" s="295"/>
      <c r="M519" s="294"/>
      <c r="R519" s="326"/>
      <c r="S519" s="326"/>
      <c r="T519" s="294"/>
      <c r="U519" s="294"/>
      <c r="V519" s="294"/>
      <c r="W519" s="294"/>
      <c r="X519" s="1182"/>
      <c r="Y519" s="1182"/>
      <c r="Z519" s="1166"/>
      <c r="AA519" s="1166"/>
      <c r="AB519" s="1182"/>
      <c r="AC519" s="294"/>
      <c r="AD519" s="294"/>
      <c r="AE519" s="294"/>
      <c r="AF519" s="294"/>
      <c r="AG519" s="294"/>
      <c r="AH519" s="294"/>
      <c r="AI519" s="294"/>
      <c r="AJ519" s="294"/>
    </row>
    <row r="520" spans="2:36" x14ac:dyDescent="0.25">
      <c r="B520" s="294"/>
      <c r="C520" s="294"/>
      <c r="D520" s="294"/>
      <c r="E520" s="294"/>
      <c r="F520" s="294"/>
      <c r="G520" s="294"/>
      <c r="H520" s="294"/>
      <c r="I520" s="294"/>
      <c r="J520" s="294"/>
      <c r="L520" s="295"/>
      <c r="M520" s="294"/>
      <c r="R520" s="326"/>
      <c r="S520" s="326"/>
      <c r="T520" s="294"/>
      <c r="U520" s="294"/>
      <c r="V520" s="294"/>
      <c r="W520" s="294"/>
      <c r="X520" s="1182"/>
      <c r="Y520" s="1182"/>
      <c r="Z520" s="1166"/>
      <c r="AA520" s="1166"/>
      <c r="AB520" s="1182"/>
      <c r="AC520" s="294"/>
      <c r="AD520" s="294"/>
      <c r="AE520" s="294"/>
      <c r="AF520" s="294"/>
      <c r="AG520" s="294"/>
      <c r="AH520" s="294"/>
      <c r="AI520" s="294"/>
      <c r="AJ520" s="294"/>
    </row>
    <row r="521" spans="2:36" x14ac:dyDescent="0.25">
      <c r="B521" s="294"/>
      <c r="C521" s="294"/>
      <c r="D521" s="294"/>
      <c r="E521" s="294"/>
      <c r="F521" s="294"/>
      <c r="G521" s="294"/>
      <c r="H521" s="294"/>
      <c r="I521" s="294"/>
      <c r="J521" s="294"/>
      <c r="L521" s="295"/>
      <c r="M521" s="294"/>
      <c r="R521" s="326"/>
      <c r="S521" s="326"/>
      <c r="T521" s="294"/>
      <c r="U521" s="294"/>
      <c r="V521" s="294"/>
      <c r="W521" s="294"/>
      <c r="X521" s="1182"/>
      <c r="Y521" s="1182"/>
      <c r="Z521" s="1166"/>
      <c r="AA521" s="1166"/>
      <c r="AB521" s="1182"/>
      <c r="AC521" s="294"/>
      <c r="AD521" s="294"/>
      <c r="AE521" s="294"/>
      <c r="AF521" s="294"/>
      <c r="AG521" s="294"/>
      <c r="AH521" s="294"/>
      <c r="AI521" s="294"/>
      <c r="AJ521" s="294"/>
    </row>
    <row r="522" spans="2:36" x14ac:dyDescent="0.25">
      <c r="B522" s="294"/>
      <c r="C522" s="294"/>
      <c r="D522" s="294"/>
      <c r="E522" s="294"/>
      <c r="F522" s="294"/>
      <c r="G522" s="294"/>
      <c r="H522" s="294"/>
      <c r="I522" s="294"/>
      <c r="J522" s="294"/>
      <c r="L522" s="295"/>
      <c r="M522" s="294"/>
      <c r="R522" s="326"/>
      <c r="S522" s="326"/>
      <c r="T522" s="294"/>
      <c r="U522" s="294"/>
      <c r="V522" s="294"/>
      <c r="W522" s="294"/>
      <c r="X522" s="1182"/>
      <c r="Y522" s="1182"/>
      <c r="Z522" s="1166"/>
      <c r="AA522" s="1166"/>
      <c r="AB522" s="1182"/>
      <c r="AC522" s="294"/>
      <c r="AD522" s="294"/>
      <c r="AE522" s="294"/>
      <c r="AF522" s="294"/>
      <c r="AG522" s="294"/>
      <c r="AH522" s="294"/>
      <c r="AI522" s="294"/>
      <c r="AJ522" s="294"/>
    </row>
    <row r="523" spans="2:36" x14ac:dyDescent="0.25">
      <c r="B523" s="294"/>
      <c r="C523" s="294"/>
      <c r="D523" s="294"/>
      <c r="E523" s="294"/>
      <c r="F523" s="294"/>
      <c r="G523" s="294"/>
      <c r="H523" s="294"/>
      <c r="I523" s="294"/>
      <c r="J523" s="294"/>
      <c r="L523" s="295"/>
      <c r="M523" s="294"/>
      <c r="R523" s="326"/>
      <c r="S523" s="326"/>
      <c r="T523" s="294"/>
      <c r="U523" s="294"/>
      <c r="V523" s="294"/>
      <c r="W523" s="294"/>
      <c r="X523" s="1182"/>
      <c r="Y523" s="1182"/>
      <c r="Z523" s="1166"/>
      <c r="AA523" s="1166"/>
      <c r="AB523" s="1182"/>
      <c r="AC523" s="294"/>
      <c r="AD523" s="294"/>
      <c r="AE523" s="294"/>
      <c r="AF523" s="294"/>
      <c r="AG523" s="294"/>
      <c r="AH523" s="294"/>
      <c r="AI523" s="294"/>
      <c r="AJ523" s="294"/>
    </row>
    <row r="524" spans="2:36" x14ac:dyDescent="0.25">
      <c r="B524" s="294"/>
      <c r="C524" s="294"/>
      <c r="D524" s="294"/>
      <c r="E524" s="294"/>
      <c r="F524" s="294"/>
      <c r="G524" s="294"/>
      <c r="H524" s="294"/>
      <c r="I524" s="294"/>
      <c r="J524" s="294"/>
      <c r="L524" s="295"/>
      <c r="M524" s="294"/>
      <c r="R524" s="326"/>
      <c r="S524" s="326"/>
      <c r="T524" s="294"/>
      <c r="U524" s="294"/>
      <c r="V524" s="294"/>
      <c r="W524" s="294"/>
      <c r="X524" s="1182"/>
      <c r="Y524" s="1182"/>
      <c r="Z524" s="1166"/>
      <c r="AA524" s="1166"/>
      <c r="AB524" s="1182"/>
      <c r="AC524" s="294"/>
      <c r="AD524" s="294"/>
      <c r="AE524" s="294"/>
      <c r="AF524" s="294"/>
      <c r="AG524" s="294"/>
      <c r="AH524" s="294"/>
      <c r="AI524" s="294"/>
      <c r="AJ524" s="294"/>
    </row>
    <row r="525" spans="2:36" x14ac:dyDescent="0.25">
      <c r="B525" s="294"/>
      <c r="C525" s="294"/>
      <c r="D525" s="294"/>
      <c r="E525" s="294"/>
      <c r="F525" s="294"/>
      <c r="G525" s="294"/>
      <c r="H525" s="294"/>
      <c r="I525" s="294"/>
      <c r="J525" s="294"/>
      <c r="L525" s="295"/>
      <c r="M525" s="294"/>
      <c r="R525" s="326"/>
      <c r="S525" s="326"/>
      <c r="T525" s="294"/>
      <c r="U525" s="294"/>
      <c r="V525" s="294"/>
      <c r="W525" s="294"/>
      <c r="X525" s="1182"/>
      <c r="Y525" s="1182"/>
      <c r="Z525" s="1166"/>
      <c r="AA525" s="1166"/>
      <c r="AB525" s="1182"/>
      <c r="AC525" s="294"/>
      <c r="AD525" s="294"/>
      <c r="AE525" s="294"/>
      <c r="AF525" s="294"/>
      <c r="AG525" s="294"/>
      <c r="AH525" s="294"/>
      <c r="AI525" s="294"/>
      <c r="AJ525" s="294"/>
    </row>
    <row r="526" spans="2:36" x14ac:dyDescent="0.25">
      <c r="B526" s="294"/>
      <c r="C526" s="294"/>
      <c r="D526" s="294"/>
      <c r="E526" s="294"/>
      <c r="F526" s="294"/>
      <c r="G526" s="294"/>
      <c r="H526" s="294"/>
      <c r="I526" s="294"/>
      <c r="J526" s="294"/>
      <c r="L526" s="295"/>
      <c r="M526" s="294"/>
      <c r="R526" s="326"/>
      <c r="S526" s="326"/>
      <c r="T526" s="294"/>
      <c r="U526" s="294"/>
      <c r="V526" s="294"/>
      <c r="W526" s="294"/>
      <c r="X526" s="1182"/>
      <c r="Y526" s="1182"/>
      <c r="Z526" s="1166"/>
      <c r="AA526" s="1166"/>
      <c r="AB526" s="1182"/>
      <c r="AC526" s="294"/>
      <c r="AD526" s="294"/>
      <c r="AE526" s="294"/>
      <c r="AF526" s="294"/>
      <c r="AG526" s="294"/>
      <c r="AH526" s="294"/>
      <c r="AI526" s="294"/>
      <c r="AJ526" s="294"/>
    </row>
    <row r="527" spans="2:36" x14ac:dyDescent="0.25">
      <c r="B527" s="294"/>
      <c r="C527" s="294"/>
      <c r="D527" s="294"/>
      <c r="E527" s="294"/>
      <c r="F527" s="294"/>
      <c r="G527" s="294"/>
      <c r="H527" s="294"/>
      <c r="I527" s="294"/>
      <c r="J527" s="294"/>
      <c r="L527" s="295"/>
      <c r="M527" s="294"/>
      <c r="R527" s="326"/>
      <c r="S527" s="326"/>
      <c r="T527" s="294"/>
      <c r="U527" s="294"/>
      <c r="V527" s="294"/>
      <c r="W527" s="294"/>
      <c r="X527" s="1182"/>
      <c r="Y527" s="1182"/>
      <c r="Z527" s="1166"/>
      <c r="AA527" s="1166"/>
      <c r="AB527" s="1182"/>
      <c r="AC527" s="294"/>
      <c r="AD527" s="294"/>
      <c r="AE527" s="294"/>
      <c r="AF527" s="294"/>
      <c r="AG527" s="294"/>
      <c r="AH527" s="294"/>
      <c r="AI527" s="294"/>
      <c r="AJ527" s="294"/>
    </row>
    <row r="528" spans="2:36" x14ac:dyDescent="0.25">
      <c r="B528" s="294"/>
      <c r="C528" s="294"/>
      <c r="D528" s="294"/>
      <c r="E528" s="294"/>
      <c r="F528" s="294"/>
      <c r="G528" s="294"/>
      <c r="H528" s="294"/>
      <c r="I528" s="294"/>
      <c r="J528" s="294"/>
      <c r="L528" s="295"/>
      <c r="M528" s="294"/>
      <c r="R528" s="326"/>
      <c r="S528" s="326"/>
      <c r="T528" s="294"/>
      <c r="U528" s="294"/>
      <c r="V528" s="294"/>
      <c r="W528" s="294"/>
      <c r="X528" s="1182"/>
      <c r="Y528" s="1182"/>
      <c r="Z528" s="1166"/>
      <c r="AA528" s="1166"/>
      <c r="AB528" s="1182"/>
      <c r="AC528" s="294"/>
      <c r="AD528" s="294"/>
      <c r="AE528" s="294"/>
      <c r="AF528" s="294"/>
      <c r="AG528" s="294"/>
      <c r="AH528" s="294"/>
      <c r="AI528" s="294"/>
      <c r="AJ528" s="294"/>
    </row>
    <row r="529" spans="2:36" x14ac:dyDescent="0.25">
      <c r="B529" s="294"/>
      <c r="C529" s="294"/>
      <c r="D529" s="294"/>
      <c r="E529" s="294"/>
      <c r="F529" s="294"/>
      <c r="G529" s="294"/>
      <c r="H529" s="294"/>
      <c r="I529" s="294"/>
      <c r="J529" s="294"/>
      <c r="L529" s="295"/>
      <c r="M529" s="294"/>
      <c r="R529" s="326"/>
      <c r="S529" s="326"/>
      <c r="T529" s="294"/>
      <c r="U529" s="294"/>
      <c r="V529" s="294"/>
      <c r="W529" s="294"/>
      <c r="X529" s="1182"/>
      <c r="Y529" s="1182"/>
      <c r="Z529" s="1166"/>
      <c r="AA529" s="1166"/>
      <c r="AB529" s="1182"/>
      <c r="AC529" s="294"/>
      <c r="AD529" s="294"/>
      <c r="AE529" s="294"/>
      <c r="AF529" s="294"/>
      <c r="AG529" s="294"/>
      <c r="AH529" s="294"/>
      <c r="AI529" s="294"/>
      <c r="AJ529" s="294"/>
    </row>
    <row r="530" spans="2:36" x14ac:dyDescent="0.25">
      <c r="B530" s="294"/>
      <c r="C530" s="294"/>
      <c r="D530" s="294"/>
      <c r="E530" s="294"/>
      <c r="F530" s="294"/>
      <c r="G530" s="294"/>
      <c r="H530" s="294"/>
      <c r="I530" s="294"/>
      <c r="J530" s="294"/>
      <c r="L530" s="295"/>
      <c r="M530" s="294"/>
      <c r="R530" s="326"/>
      <c r="S530" s="326"/>
      <c r="T530" s="294"/>
      <c r="U530" s="294"/>
      <c r="V530" s="294"/>
      <c r="W530" s="294"/>
      <c r="X530" s="1182"/>
      <c r="Y530" s="1182"/>
      <c r="Z530" s="1166"/>
      <c r="AA530" s="1166"/>
      <c r="AB530" s="1182"/>
      <c r="AC530" s="294"/>
      <c r="AD530" s="294"/>
      <c r="AE530" s="294"/>
      <c r="AF530" s="294"/>
      <c r="AG530" s="294"/>
      <c r="AH530" s="294"/>
      <c r="AI530" s="294"/>
      <c r="AJ530" s="294"/>
    </row>
    <row r="531" spans="2:36" x14ac:dyDescent="0.25">
      <c r="B531" s="294"/>
      <c r="C531" s="294"/>
      <c r="D531" s="294"/>
      <c r="E531" s="294"/>
      <c r="F531" s="294"/>
      <c r="G531" s="294"/>
      <c r="H531" s="294"/>
      <c r="I531" s="294"/>
      <c r="J531" s="294"/>
      <c r="L531" s="295"/>
      <c r="M531" s="294"/>
      <c r="R531" s="326"/>
      <c r="S531" s="326"/>
      <c r="T531" s="294"/>
      <c r="U531" s="294"/>
      <c r="V531" s="294"/>
      <c r="W531" s="294"/>
      <c r="X531" s="1182"/>
      <c r="Y531" s="1182"/>
      <c r="Z531" s="1166"/>
      <c r="AA531" s="1166"/>
      <c r="AB531" s="1182"/>
      <c r="AC531" s="294"/>
      <c r="AD531" s="294"/>
      <c r="AE531" s="294"/>
      <c r="AF531" s="294"/>
      <c r="AG531" s="294"/>
      <c r="AH531" s="294"/>
      <c r="AI531" s="294"/>
      <c r="AJ531" s="294"/>
    </row>
    <row r="532" spans="2:36" x14ac:dyDescent="0.25">
      <c r="B532" s="294"/>
      <c r="C532" s="294"/>
      <c r="D532" s="294"/>
      <c r="E532" s="294"/>
      <c r="F532" s="294"/>
      <c r="G532" s="294"/>
      <c r="H532" s="294"/>
      <c r="I532" s="294"/>
      <c r="J532" s="294"/>
      <c r="L532" s="295"/>
      <c r="M532" s="294"/>
      <c r="R532" s="326"/>
      <c r="S532" s="326"/>
      <c r="T532" s="294"/>
      <c r="U532" s="294"/>
      <c r="V532" s="294"/>
      <c r="W532" s="294"/>
      <c r="X532" s="1182"/>
      <c r="Y532" s="1182"/>
      <c r="Z532" s="1166"/>
      <c r="AA532" s="1166"/>
      <c r="AB532" s="1182"/>
      <c r="AC532" s="294"/>
      <c r="AD532" s="294"/>
      <c r="AE532" s="294"/>
      <c r="AF532" s="294"/>
      <c r="AG532" s="294"/>
      <c r="AH532" s="294"/>
      <c r="AI532" s="294"/>
      <c r="AJ532" s="294"/>
    </row>
    <row r="533" spans="2:36" x14ac:dyDescent="0.25">
      <c r="B533" s="294"/>
      <c r="C533" s="294"/>
      <c r="D533" s="294"/>
      <c r="E533" s="294"/>
      <c r="F533" s="294"/>
      <c r="G533" s="294"/>
      <c r="H533" s="294"/>
      <c r="I533" s="294"/>
      <c r="J533" s="294"/>
      <c r="L533" s="295"/>
      <c r="M533" s="294"/>
      <c r="R533" s="326"/>
      <c r="S533" s="326"/>
      <c r="T533" s="294"/>
      <c r="U533" s="294"/>
      <c r="V533" s="294"/>
      <c r="W533" s="294"/>
      <c r="X533" s="1182"/>
      <c r="Y533" s="1182"/>
      <c r="Z533" s="1166"/>
      <c r="AA533" s="1166"/>
      <c r="AB533" s="1182"/>
      <c r="AC533" s="294"/>
      <c r="AD533" s="294"/>
      <c r="AE533" s="294"/>
      <c r="AF533" s="294"/>
      <c r="AG533" s="294"/>
      <c r="AH533" s="294"/>
      <c r="AI533" s="294"/>
      <c r="AJ533" s="294"/>
    </row>
    <row r="534" spans="2:36" x14ac:dyDescent="0.25">
      <c r="B534" s="294"/>
      <c r="C534" s="294"/>
      <c r="D534" s="294"/>
      <c r="E534" s="294"/>
      <c r="F534" s="294"/>
      <c r="G534" s="294"/>
      <c r="H534" s="294"/>
      <c r="I534" s="294"/>
      <c r="J534" s="294"/>
      <c r="L534" s="295"/>
      <c r="M534" s="294"/>
      <c r="R534" s="326"/>
      <c r="S534" s="326"/>
      <c r="T534" s="294"/>
      <c r="U534" s="294"/>
      <c r="V534" s="294"/>
      <c r="W534" s="294"/>
      <c r="X534" s="1182"/>
      <c r="Y534" s="1182"/>
      <c r="Z534" s="1166"/>
      <c r="AA534" s="1166"/>
      <c r="AB534" s="1182"/>
      <c r="AC534" s="294"/>
      <c r="AD534" s="294"/>
      <c r="AE534" s="294"/>
      <c r="AF534" s="294"/>
      <c r="AG534" s="294"/>
      <c r="AH534" s="294"/>
      <c r="AI534" s="294"/>
      <c r="AJ534" s="294"/>
    </row>
    <row r="535" spans="2:36" x14ac:dyDescent="0.25">
      <c r="B535" s="294"/>
      <c r="C535" s="294"/>
      <c r="D535" s="294"/>
      <c r="E535" s="294"/>
      <c r="F535" s="294"/>
      <c r="G535" s="294"/>
      <c r="H535" s="294"/>
      <c r="I535" s="294"/>
      <c r="J535" s="294"/>
      <c r="L535" s="295"/>
      <c r="M535" s="294"/>
      <c r="R535" s="326"/>
      <c r="S535" s="326"/>
      <c r="T535" s="294"/>
      <c r="U535" s="294"/>
      <c r="V535" s="294"/>
      <c r="W535" s="294"/>
      <c r="X535" s="1182"/>
      <c r="Y535" s="1182"/>
      <c r="Z535" s="1166"/>
      <c r="AA535" s="1166"/>
      <c r="AB535" s="1182"/>
      <c r="AC535" s="294"/>
      <c r="AD535" s="294"/>
      <c r="AE535" s="294"/>
      <c r="AF535" s="294"/>
      <c r="AG535" s="294"/>
      <c r="AH535" s="294"/>
      <c r="AI535" s="294"/>
      <c r="AJ535" s="294"/>
    </row>
    <row r="536" spans="2:36" x14ac:dyDescent="0.25">
      <c r="B536" s="294"/>
      <c r="C536" s="294"/>
      <c r="D536" s="294"/>
      <c r="E536" s="294"/>
      <c r="F536" s="294"/>
      <c r="G536" s="294"/>
      <c r="H536" s="294"/>
      <c r="I536" s="294"/>
      <c r="J536" s="294"/>
      <c r="L536" s="295"/>
      <c r="M536" s="294"/>
      <c r="R536" s="326"/>
      <c r="S536" s="326"/>
      <c r="T536" s="294"/>
      <c r="U536" s="294"/>
      <c r="V536" s="294"/>
      <c r="W536" s="294"/>
      <c r="X536" s="1182"/>
      <c r="Y536" s="1182"/>
      <c r="Z536" s="1166"/>
      <c r="AA536" s="1166"/>
      <c r="AB536" s="1182"/>
      <c r="AC536" s="294"/>
      <c r="AD536" s="294"/>
      <c r="AE536" s="294"/>
      <c r="AF536" s="294"/>
      <c r="AG536" s="294"/>
      <c r="AH536" s="294"/>
      <c r="AI536" s="294"/>
      <c r="AJ536" s="294"/>
    </row>
    <row r="537" spans="2:36" x14ac:dyDescent="0.25">
      <c r="B537" s="294"/>
      <c r="C537" s="294"/>
      <c r="D537" s="294"/>
      <c r="E537" s="294"/>
      <c r="F537" s="294"/>
      <c r="G537" s="294"/>
      <c r="H537" s="294"/>
      <c r="I537" s="294"/>
      <c r="J537" s="294"/>
      <c r="L537" s="295"/>
      <c r="M537" s="294"/>
      <c r="R537" s="326"/>
      <c r="S537" s="326"/>
      <c r="T537" s="294"/>
      <c r="U537" s="294"/>
      <c r="V537" s="294"/>
      <c r="W537" s="294"/>
      <c r="X537" s="1182"/>
      <c r="Y537" s="1182"/>
      <c r="Z537" s="1166"/>
      <c r="AA537" s="1166"/>
      <c r="AB537" s="1182"/>
      <c r="AC537" s="294"/>
      <c r="AD537" s="294"/>
      <c r="AE537" s="294"/>
      <c r="AF537" s="294"/>
      <c r="AG537" s="294"/>
      <c r="AH537" s="294"/>
      <c r="AI537" s="294"/>
      <c r="AJ537" s="294"/>
    </row>
    <row r="538" spans="2:36" x14ac:dyDescent="0.25">
      <c r="B538" s="294"/>
      <c r="C538" s="294"/>
      <c r="D538" s="294"/>
      <c r="E538" s="294"/>
      <c r="F538" s="294"/>
      <c r="G538" s="294"/>
      <c r="H538" s="294"/>
      <c r="I538" s="294"/>
      <c r="J538" s="294"/>
      <c r="L538" s="295"/>
      <c r="M538" s="294"/>
      <c r="R538" s="326"/>
      <c r="S538" s="326"/>
      <c r="T538" s="294"/>
      <c r="U538" s="294"/>
      <c r="V538" s="294"/>
      <c r="W538" s="294"/>
      <c r="X538" s="1182"/>
      <c r="Y538" s="1182"/>
      <c r="Z538" s="1166"/>
      <c r="AA538" s="1166"/>
      <c r="AB538" s="1182"/>
      <c r="AC538" s="294"/>
      <c r="AD538" s="294"/>
      <c r="AE538" s="294"/>
      <c r="AF538" s="294"/>
      <c r="AG538" s="294"/>
      <c r="AH538" s="294"/>
      <c r="AI538" s="294"/>
      <c r="AJ538" s="294"/>
    </row>
    <row r="539" spans="2:36" x14ac:dyDescent="0.25">
      <c r="B539" s="294"/>
      <c r="C539" s="294"/>
      <c r="D539" s="294"/>
      <c r="E539" s="294"/>
      <c r="F539" s="294"/>
      <c r="G539" s="294"/>
      <c r="H539" s="294"/>
      <c r="I539" s="294"/>
      <c r="J539" s="294"/>
      <c r="L539" s="295"/>
      <c r="M539" s="294"/>
      <c r="R539" s="326"/>
      <c r="S539" s="326"/>
      <c r="T539" s="294"/>
      <c r="U539" s="294"/>
      <c r="V539" s="294"/>
      <c r="W539" s="294"/>
      <c r="X539" s="1182"/>
      <c r="Y539" s="1182"/>
      <c r="Z539" s="1166"/>
      <c r="AA539" s="1166"/>
      <c r="AB539" s="1182"/>
      <c r="AC539" s="294"/>
      <c r="AD539" s="294"/>
      <c r="AE539" s="294"/>
      <c r="AF539" s="294"/>
      <c r="AG539" s="294"/>
      <c r="AH539" s="294"/>
      <c r="AI539" s="294"/>
      <c r="AJ539" s="294"/>
    </row>
    <row r="540" spans="2:36" x14ac:dyDescent="0.25">
      <c r="B540" s="294"/>
      <c r="C540" s="294"/>
      <c r="D540" s="294"/>
      <c r="E540" s="294"/>
      <c r="F540" s="294"/>
      <c r="G540" s="294"/>
      <c r="H540" s="294"/>
      <c r="I540" s="294"/>
      <c r="J540" s="294"/>
      <c r="L540" s="295"/>
      <c r="M540" s="294"/>
      <c r="R540" s="326"/>
      <c r="S540" s="326"/>
      <c r="T540" s="294"/>
      <c r="U540" s="294"/>
      <c r="V540" s="294"/>
      <c r="W540" s="294"/>
      <c r="X540" s="1182"/>
      <c r="Y540" s="1182"/>
      <c r="Z540" s="1166"/>
      <c r="AA540" s="1166"/>
      <c r="AB540" s="1182"/>
      <c r="AC540" s="294"/>
      <c r="AD540" s="294"/>
      <c r="AE540" s="294"/>
      <c r="AF540" s="294"/>
      <c r="AG540" s="294"/>
      <c r="AH540" s="294"/>
      <c r="AI540" s="294"/>
      <c r="AJ540" s="294"/>
    </row>
    <row r="541" spans="2:36" x14ac:dyDescent="0.25">
      <c r="B541" s="294"/>
      <c r="C541" s="294"/>
      <c r="D541" s="294"/>
      <c r="E541" s="294"/>
      <c r="F541" s="294"/>
      <c r="G541" s="294"/>
      <c r="H541" s="294"/>
      <c r="I541" s="294"/>
      <c r="J541" s="294"/>
      <c r="L541" s="295"/>
      <c r="M541" s="294"/>
      <c r="R541" s="326"/>
      <c r="S541" s="326"/>
      <c r="T541" s="294"/>
      <c r="U541" s="294"/>
      <c r="V541" s="294"/>
      <c r="W541" s="294"/>
      <c r="X541" s="1182"/>
      <c r="Y541" s="1182"/>
      <c r="Z541" s="1166"/>
      <c r="AA541" s="1166"/>
      <c r="AB541" s="1182"/>
      <c r="AC541" s="294"/>
      <c r="AD541" s="294"/>
      <c r="AE541" s="294"/>
      <c r="AF541" s="294"/>
      <c r="AG541" s="294"/>
      <c r="AH541" s="294"/>
      <c r="AI541" s="294"/>
      <c r="AJ541" s="294"/>
    </row>
    <row r="542" spans="2:36" x14ac:dyDescent="0.25">
      <c r="B542" s="294"/>
      <c r="C542" s="294"/>
      <c r="D542" s="294"/>
      <c r="E542" s="294"/>
      <c r="F542" s="294"/>
      <c r="G542" s="294"/>
      <c r="H542" s="294"/>
      <c r="I542" s="294"/>
      <c r="J542" s="294"/>
      <c r="L542" s="295"/>
      <c r="M542" s="294"/>
      <c r="R542" s="326"/>
      <c r="S542" s="326"/>
      <c r="T542" s="294"/>
      <c r="U542" s="294"/>
      <c r="V542" s="294"/>
      <c r="W542" s="294"/>
      <c r="X542" s="1182"/>
      <c r="Y542" s="1182"/>
      <c r="Z542" s="1166"/>
      <c r="AA542" s="1166"/>
      <c r="AB542" s="1182"/>
      <c r="AC542" s="294"/>
      <c r="AD542" s="294"/>
      <c r="AE542" s="294"/>
      <c r="AF542" s="294"/>
      <c r="AG542" s="294"/>
      <c r="AH542" s="294"/>
      <c r="AI542" s="294"/>
      <c r="AJ542" s="294"/>
    </row>
    <row r="543" spans="2:36" x14ac:dyDescent="0.25">
      <c r="B543" s="294"/>
      <c r="C543" s="294"/>
      <c r="D543" s="294"/>
      <c r="E543" s="294"/>
      <c r="F543" s="294"/>
      <c r="G543" s="294"/>
      <c r="H543" s="294"/>
      <c r="I543" s="294"/>
      <c r="J543" s="294"/>
      <c r="L543" s="295"/>
      <c r="M543" s="294"/>
      <c r="R543" s="326"/>
      <c r="S543" s="326"/>
      <c r="T543" s="294"/>
      <c r="U543" s="294"/>
      <c r="V543" s="294"/>
      <c r="W543" s="294"/>
      <c r="X543" s="1182"/>
      <c r="Y543" s="1182"/>
      <c r="Z543" s="1166"/>
      <c r="AA543" s="1166"/>
      <c r="AB543" s="1182"/>
      <c r="AC543" s="294"/>
      <c r="AD543" s="294"/>
      <c r="AE543" s="294"/>
      <c r="AF543" s="294"/>
      <c r="AG543" s="294"/>
      <c r="AH543" s="294"/>
      <c r="AI543" s="294"/>
      <c r="AJ543" s="294"/>
    </row>
    <row r="544" spans="2:36" x14ac:dyDescent="0.25">
      <c r="B544" s="294"/>
      <c r="C544" s="294"/>
      <c r="D544" s="294"/>
      <c r="E544" s="294"/>
      <c r="F544" s="294"/>
      <c r="G544" s="294"/>
      <c r="H544" s="294"/>
      <c r="I544" s="294"/>
      <c r="J544" s="294"/>
      <c r="L544" s="295"/>
      <c r="M544" s="294"/>
      <c r="R544" s="326"/>
      <c r="S544" s="326"/>
      <c r="T544" s="294"/>
      <c r="U544" s="294"/>
      <c r="V544" s="294"/>
      <c r="W544" s="294"/>
      <c r="X544" s="1182"/>
      <c r="Y544" s="1182"/>
      <c r="Z544" s="1166"/>
      <c r="AA544" s="1166"/>
      <c r="AB544" s="1182"/>
      <c r="AC544" s="294"/>
      <c r="AD544" s="294"/>
      <c r="AE544" s="294"/>
      <c r="AF544" s="294"/>
      <c r="AG544" s="294"/>
      <c r="AH544" s="294"/>
      <c r="AI544" s="294"/>
      <c r="AJ544" s="294"/>
    </row>
    <row r="545" spans="2:36" x14ac:dyDescent="0.25">
      <c r="B545" s="294"/>
      <c r="C545" s="294"/>
      <c r="D545" s="294"/>
      <c r="E545" s="294"/>
      <c r="F545" s="294"/>
      <c r="G545" s="294"/>
      <c r="H545" s="294"/>
      <c r="I545" s="294"/>
      <c r="J545" s="294"/>
      <c r="L545" s="295"/>
      <c r="M545" s="294"/>
      <c r="R545" s="326"/>
      <c r="S545" s="326"/>
      <c r="T545" s="294"/>
      <c r="U545" s="294"/>
      <c r="V545" s="294"/>
      <c r="W545" s="294"/>
      <c r="X545" s="1182"/>
      <c r="Y545" s="1182"/>
      <c r="Z545" s="1166"/>
      <c r="AA545" s="1166"/>
      <c r="AB545" s="1182"/>
      <c r="AC545" s="294"/>
      <c r="AD545" s="294"/>
      <c r="AE545" s="294"/>
      <c r="AF545" s="294"/>
      <c r="AG545" s="294"/>
      <c r="AH545" s="294"/>
      <c r="AI545" s="294"/>
      <c r="AJ545" s="294"/>
    </row>
    <row r="546" spans="2:36" x14ac:dyDescent="0.25">
      <c r="B546" s="294"/>
      <c r="C546" s="294"/>
      <c r="D546" s="294"/>
      <c r="E546" s="294"/>
      <c r="F546" s="294"/>
      <c r="G546" s="294"/>
      <c r="H546" s="294"/>
      <c r="I546" s="294"/>
      <c r="J546" s="294"/>
      <c r="L546" s="295"/>
      <c r="M546" s="294"/>
      <c r="R546" s="326"/>
      <c r="S546" s="326"/>
      <c r="T546" s="294"/>
      <c r="U546" s="294"/>
      <c r="V546" s="294"/>
      <c r="W546" s="294"/>
      <c r="X546" s="1182"/>
      <c r="Y546" s="1182"/>
      <c r="Z546" s="1166"/>
      <c r="AA546" s="1166"/>
      <c r="AB546" s="1182"/>
      <c r="AC546" s="294"/>
      <c r="AD546" s="294"/>
      <c r="AE546" s="294"/>
      <c r="AF546" s="294"/>
      <c r="AG546" s="294"/>
      <c r="AH546" s="294"/>
      <c r="AI546" s="294"/>
      <c r="AJ546" s="294"/>
    </row>
    <row r="547" spans="2:36" x14ac:dyDescent="0.25">
      <c r="B547" s="294"/>
      <c r="C547" s="294"/>
      <c r="D547" s="294"/>
      <c r="E547" s="294"/>
      <c r="F547" s="294"/>
      <c r="G547" s="294"/>
      <c r="H547" s="294"/>
      <c r="I547" s="294"/>
      <c r="J547" s="294"/>
      <c r="L547" s="295"/>
      <c r="M547" s="294"/>
      <c r="R547" s="326"/>
      <c r="S547" s="326"/>
      <c r="T547" s="294"/>
      <c r="U547" s="294"/>
      <c r="V547" s="294"/>
      <c r="W547" s="294"/>
      <c r="X547" s="1182"/>
      <c r="Y547" s="1182"/>
      <c r="Z547" s="1166"/>
      <c r="AA547" s="1166"/>
      <c r="AB547" s="1182"/>
      <c r="AC547" s="294"/>
      <c r="AD547" s="294"/>
      <c r="AE547" s="294"/>
      <c r="AF547" s="294"/>
      <c r="AG547" s="294"/>
      <c r="AH547" s="294"/>
      <c r="AI547" s="294"/>
      <c r="AJ547" s="294"/>
    </row>
    <row r="548" spans="2:36" x14ac:dyDescent="0.25">
      <c r="B548" s="294"/>
      <c r="C548" s="294"/>
      <c r="D548" s="294"/>
      <c r="E548" s="294"/>
      <c r="F548" s="294"/>
      <c r="G548" s="294"/>
      <c r="H548" s="294"/>
      <c r="I548" s="294"/>
      <c r="J548" s="294"/>
      <c r="L548" s="295"/>
      <c r="M548" s="294"/>
      <c r="R548" s="326"/>
      <c r="S548" s="326"/>
      <c r="T548" s="294"/>
      <c r="U548" s="294"/>
      <c r="V548" s="294"/>
      <c r="W548" s="294"/>
      <c r="X548" s="1182"/>
      <c r="Y548" s="1182"/>
      <c r="Z548" s="1166"/>
      <c r="AA548" s="1166"/>
      <c r="AB548" s="1182"/>
      <c r="AC548" s="294"/>
      <c r="AD548" s="294"/>
      <c r="AE548" s="294"/>
      <c r="AF548" s="294"/>
      <c r="AG548" s="294"/>
      <c r="AH548" s="294"/>
      <c r="AI548" s="294"/>
      <c r="AJ548" s="294"/>
    </row>
    <row r="549" spans="2:36" x14ac:dyDescent="0.25">
      <c r="B549" s="294"/>
      <c r="C549" s="294"/>
      <c r="D549" s="294"/>
      <c r="E549" s="294"/>
      <c r="F549" s="294"/>
      <c r="G549" s="294"/>
      <c r="H549" s="294"/>
      <c r="I549" s="294"/>
      <c r="J549" s="294"/>
      <c r="L549" s="295"/>
      <c r="M549" s="294"/>
      <c r="R549" s="326"/>
      <c r="S549" s="326"/>
      <c r="T549" s="294"/>
      <c r="U549" s="294"/>
      <c r="V549" s="294"/>
      <c r="W549" s="294"/>
      <c r="X549" s="1182"/>
      <c r="Y549" s="1182"/>
      <c r="Z549" s="1166"/>
      <c r="AA549" s="1166"/>
      <c r="AB549" s="1182"/>
      <c r="AC549" s="294"/>
      <c r="AD549" s="294"/>
      <c r="AE549" s="294"/>
      <c r="AF549" s="294"/>
      <c r="AG549" s="294"/>
      <c r="AH549" s="294"/>
      <c r="AI549" s="294"/>
      <c r="AJ549" s="294"/>
    </row>
    <row r="550" spans="2:36" x14ac:dyDescent="0.25">
      <c r="B550" s="294"/>
      <c r="C550" s="294"/>
      <c r="D550" s="294"/>
      <c r="E550" s="294"/>
      <c r="F550" s="294"/>
      <c r="G550" s="294"/>
      <c r="H550" s="294"/>
      <c r="I550" s="294"/>
      <c r="J550" s="294"/>
      <c r="L550" s="295"/>
      <c r="M550" s="294"/>
      <c r="R550" s="326"/>
      <c r="S550" s="326"/>
      <c r="T550" s="294"/>
      <c r="U550" s="294"/>
      <c r="V550" s="294"/>
      <c r="W550" s="294"/>
      <c r="X550" s="1182"/>
      <c r="Y550" s="1182"/>
      <c r="Z550" s="1166"/>
      <c r="AA550" s="1166"/>
      <c r="AB550" s="1182"/>
      <c r="AC550" s="294"/>
      <c r="AD550" s="294"/>
      <c r="AE550" s="294"/>
      <c r="AF550" s="294"/>
      <c r="AG550" s="294"/>
      <c r="AH550" s="294"/>
      <c r="AI550" s="294"/>
      <c r="AJ550" s="294"/>
    </row>
    <row r="551" spans="2:36" x14ac:dyDescent="0.25">
      <c r="B551" s="294"/>
      <c r="C551" s="294"/>
      <c r="D551" s="294"/>
      <c r="E551" s="294"/>
      <c r="F551" s="294"/>
      <c r="G551" s="294"/>
      <c r="H551" s="294"/>
      <c r="I551" s="294"/>
      <c r="J551" s="294"/>
      <c r="L551" s="295"/>
      <c r="M551" s="294"/>
      <c r="R551" s="326"/>
      <c r="S551" s="326"/>
      <c r="T551" s="294"/>
      <c r="U551" s="294"/>
      <c r="V551" s="294"/>
      <c r="W551" s="294"/>
      <c r="X551" s="1182"/>
      <c r="Y551" s="1182"/>
      <c r="Z551" s="1166"/>
      <c r="AA551" s="1166"/>
      <c r="AB551" s="1182"/>
      <c r="AC551" s="294"/>
      <c r="AD551" s="294"/>
      <c r="AE551" s="294"/>
      <c r="AF551" s="294"/>
      <c r="AG551" s="294"/>
      <c r="AH551" s="294"/>
      <c r="AI551" s="294"/>
      <c r="AJ551" s="294"/>
    </row>
    <row r="552" spans="2:36" x14ac:dyDescent="0.25">
      <c r="B552" s="294"/>
      <c r="C552" s="294"/>
      <c r="D552" s="294"/>
      <c r="E552" s="294"/>
      <c r="F552" s="294"/>
      <c r="G552" s="294"/>
      <c r="H552" s="294"/>
      <c r="I552" s="294"/>
      <c r="J552" s="294"/>
      <c r="L552" s="295"/>
      <c r="M552" s="294"/>
      <c r="R552" s="326"/>
      <c r="S552" s="326"/>
      <c r="T552" s="294"/>
      <c r="U552" s="294"/>
      <c r="V552" s="294"/>
      <c r="W552" s="294"/>
      <c r="X552" s="1182"/>
      <c r="Y552" s="1182"/>
      <c r="Z552" s="1166"/>
      <c r="AA552" s="1166"/>
      <c r="AB552" s="1182"/>
      <c r="AC552" s="294"/>
      <c r="AD552" s="294"/>
      <c r="AE552" s="294"/>
      <c r="AF552" s="294"/>
      <c r="AG552" s="294"/>
      <c r="AH552" s="294"/>
      <c r="AI552" s="294"/>
      <c r="AJ552" s="294"/>
    </row>
    <row r="553" spans="2:36" x14ac:dyDescent="0.25">
      <c r="B553" s="294"/>
      <c r="C553" s="294"/>
      <c r="D553" s="294"/>
      <c r="E553" s="294"/>
      <c r="F553" s="294"/>
      <c r="G553" s="294"/>
      <c r="H553" s="294"/>
      <c r="I553" s="294"/>
      <c r="J553" s="294"/>
      <c r="L553" s="295"/>
      <c r="M553" s="294"/>
      <c r="R553" s="326"/>
      <c r="S553" s="326"/>
      <c r="T553" s="294"/>
      <c r="U553" s="294"/>
      <c r="V553" s="294"/>
      <c r="W553" s="294"/>
      <c r="X553" s="1182"/>
      <c r="Y553" s="1182"/>
      <c r="Z553" s="1166"/>
      <c r="AA553" s="1166"/>
      <c r="AB553" s="1182"/>
      <c r="AC553" s="294"/>
      <c r="AD553" s="294"/>
      <c r="AE553" s="294"/>
      <c r="AF553" s="294"/>
      <c r="AG553" s="294"/>
      <c r="AH553" s="294"/>
      <c r="AI553" s="294"/>
      <c r="AJ553" s="294"/>
    </row>
    <row r="554" spans="2:36" x14ac:dyDescent="0.25">
      <c r="B554" s="294"/>
      <c r="C554" s="294"/>
      <c r="D554" s="294"/>
      <c r="E554" s="294"/>
      <c r="F554" s="294"/>
      <c r="G554" s="294"/>
      <c r="H554" s="294"/>
      <c r="I554" s="294"/>
      <c r="J554" s="294"/>
      <c r="L554" s="295"/>
      <c r="M554" s="294"/>
      <c r="R554" s="326"/>
      <c r="S554" s="326"/>
      <c r="T554" s="294"/>
      <c r="U554" s="294"/>
      <c r="V554" s="294"/>
      <c r="W554" s="294"/>
      <c r="X554" s="1182"/>
      <c r="Y554" s="1182"/>
      <c r="Z554" s="1166"/>
      <c r="AA554" s="1166"/>
      <c r="AB554" s="1182"/>
      <c r="AC554" s="294"/>
      <c r="AD554" s="294"/>
      <c r="AE554" s="294"/>
      <c r="AF554" s="294"/>
      <c r="AG554" s="294"/>
      <c r="AH554" s="294"/>
      <c r="AI554" s="294"/>
      <c r="AJ554" s="294"/>
    </row>
    <row r="555" spans="2:36" x14ac:dyDescent="0.25">
      <c r="B555" s="294"/>
      <c r="C555" s="294"/>
      <c r="D555" s="294"/>
      <c r="E555" s="294"/>
      <c r="F555" s="294"/>
      <c r="G555" s="294"/>
      <c r="H555" s="294"/>
      <c r="I555" s="294"/>
      <c r="J555" s="294"/>
      <c r="L555" s="295"/>
      <c r="M555" s="294"/>
      <c r="R555" s="326"/>
      <c r="S555" s="326"/>
      <c r="T555" s="294"/>
      <c r="U555" s="294"/>
      <c r="V555" s="294"/>
      <c r="W555" s="294"/>
      <c r="X555" s="1182"/>
      <c r="Y555" s="1182"/>
      <c r="Z555" s="1166"/>
      <c r="AA555" s="1166"/>
      <c r="AB555" s="1182"/>
      <c r="AC555" s="294"/>
      <c r="AD555" s="294"/>
      <c r="AE555" s="294"/>
      <c r="AF555" s="294"/>
      <c r="AG555" s="294"/>
      <c r="AH555" s="294"/>
      <c r="AI555" s="294"/>
      <c r="AJ555" s="294"/>
    </row>
    <row r="556" spans="2:36" x14ac:dyDescent="0.25">
      <c r="B556" s="294"/>
      <c r="C556" s="294"/>
      <c r="D556" s="294"/>
      <c r="E556" s="294"/>
      <c r="F556" s="294"/>
      <c r="G556" s="294"/>
      <c r="H556" s="294"/>
      <c r="I556" s="294"/>
      <c r="J556" s="294"/>
      <c r="L556" s="295"/>
      <c r="M556" s="294"/>
      <c r="R556" s="326"/>
      <c r="S556" s="326"/>
      <c r="T556" s="294"/>
      <c r="U556" s="294"/>
      <c r="V556" s="294"/>
      <c r="W556" s="294"/>
      <c r="X556" s="1182"/>
      <c r="Y556" s="1182"/>
      <c r="Z556" s="1166"/>
      <c r="AA556" s="1166"/>
      <c r="AB556" s="1182"/>
      <c r="AC556" s="294"/>
      <c r="AD556" s="294"/>
      <c r="AE556" s="294"/>
      <c r="AF556" s="294"/>
      <c r="AG556" s="294"/>
      <c r="AH556" s="294"/>
      <c r="AI556" s="294"/>
      <c r="AJ556" s="294"/>
    </row>
    <row r="557" spans="2:36" x14ac:dyDescent="0.25">
      <c r="B557" s="294"/>
      <c r="C557" s="294"/>
      <c r="D557" s="294"/>
      <c r="E557" s="294"/>
      <c r="F557" s="294"/>
      <c r="G557" s="294"/>
      <c r="H557" s="294"/>
      <c r="I557" s="294"/>
      <c r="J557" s="294"/>
      <c r="L557" s="295"/>
      <c r="M557" s="294"/>
      <c r="R557" s="326"/>
      <c r="S557" s="326"/>
      <c r="T557" s="294"/>
      <c r="U557" s="294"/>
      <c r="V557" s="294"/>
      <c r="W557" s="294"/>
      <c r="X557" s="1182"/>
      <c r="Y557" s="1182"/>
      <c r="Z557" s="1166"/>
      <c r="AA557" s="1166"/>
      <c r="AB557" s="1182"/>
      <c r="AC557" s="294"/>
      <c r="AD557" s="294"/>
      <c r="AE557" s="294"/>
      <c r="AF557" s="294"/>
      <c r="AG557" s="294"/>
      <c r="AH557" s="294"/>
      <c r="AI557" s="294"/>
      <c r="AJ557" s="294"/>
    </row>
    <row r="558" spans="2:36" x14ac:dyDescent="0.25">
      <c r="B558" s="294"/>
      <c r="C558" s="294"/>
      <c r="D558" s="294"/>
      <c r="E558" s="294"/>
      <c r="F558" s="294"/>
      <c r="G558" s="294"/>
      <c r="H558" s="294"/>
      <c r="I558" s="294"/>
      <c r="J558" s="294"/>
      <c r="L558" s="295"/>
      <c r="M558" s="294"/>
      <c r="R558" s="326"/>
      <c r="S558" s="326"/>
      <c r="T558" s="294"/>
      <c r="U558" s="294"/>
      <c r="V558" s="294"/>
      <c r="W558" s="294"/>
      <c r="X558" s="1182"/>
      <c r="Y558" s="1182"/>
      <c r="Z558" s="1166"/>
      <c r="AA558" s="1166"/>
      <c r="AB558" s="1182"/>
      <c r="AC558" s="294"/>
      <c r="AD558" s="294"/>
      <c r="AE558" s="294"/>
      <c r="AF558" s="294"/>
      <c r="AG558" s="294"/>
      <c r="AH558" s="294"/>
      <c r="AI558" s="294"/>
      <c r="AJ558" s="294"/>
    </row>
    <row r="559" spans="2:36" x14ac:dyDescent="0.25">
      <c r="B559" s="294"/>
      <c r="C559" s="294"/>
      <c r="D559" s="294"/>
      <c r="E559" s="294"/>
      <c r="F559" s="294"/>
      <c r="G559" s="294"/>
      <c r="H559" s="294"/>
      <c r="I559" s="294"/>
      <c r="J559" s="294"/>
      <c r="L559" s="295"/>
      <c r="M559" s="294"/>
      <c r="R559" s="326"/>
      <c r="S559" s="326"/>
      <c r="T559" s="294"/>
      <c r="U559" s="294"/>
      <c r="V559" s="294"/>
      <c r="W559" s="294"/>
      <c r="X559" s="1182"/>
      <c r="Y559" s="1182"/>
      <c r="Z559" s="1166"/>
      <c r="AA559" s="1166"/>
      <c r="AB559" s="1182"/>
      <c r="AC559" s="294"/>
      <c r="AD559" s="294"/>
      <c r="AE559" s="294"/>
      <c r="AF559" s="294"/>
      <c r="AG559" s="294"/>
      <c r="AH559" s="294"/>
      <c r="AI559" s="294"/>
      <c r="AJ559" s="294"/>
    </row>
    <row r="560" spans="2:36" x14ac:dyDescent="0.25">
      <c r="B560" s="294"/>
      <c r="C560" s="294"/>
      <c r="D560" s="294"/>
      <c r="E560" s="294"/>
      <c r="F560" s="294"/>
      <c r="G560" s="294"/>
      <c r="H560" s="294"/>
      <c r="I560" s="294"/>
      <c r="J560" s="294"/>
      <c r="L560" s="295"/>
      <c r="M560" s="294"/>
      <c r="R560" s="326"/>
      <c r="S560" s="326"/>
      <c r="T560" s="294"/>
      <c r="U560" s="294"/>
      <c r="V560" s="294"/>
      <c r="W560" s="294"/>
      <c r="X560" s="1182"/>
      <c r="Y560" s="1182"/>
      <c r="Z560" s="1166"/>
      <c r="AA560" s="1166"/>
      <c r="AB560" s="1182"/>
      <c r="AC560" s="294"/>
      <c r="AD560" s="294"/>
      <c r="AE560" s="294"/>
      <c r="AF560" s="294"/>
      <c r="AG560" s="294"/>
      <c r="AH560" s="294"/>
      <c r="AI560" s="294"/>
      <c r="AJ560" s="294"/>
    </row>
    <row r="561" spans="2:36" x14ac:dyDescent="0.25">
      <c r="B561" s="294"/>
      <c r="C561" s="294"/>
      <c r="D561" s="294"/>
      <c r="E561" s="294"/>
      <c r="F561" s="294"/>
      <c r="G561" s="294"/>
      <c r="H561" s="294"/>
      <c r="I561" s="294"/>
      <c r="J561" s="294"/>
      <c r="L561" s="295"/>
      <c r="M561" s="294"/>
      <c r="R561" s="326"/>
      <c r="S561" s="326"/>
      <c r="T561" s="294"/>
      <c r="U561" s="294"/>
      <c r="V561" s="294"/>
      <c r="W561" s="294"/>
      <c r="X561" s="1182"/>
      <c r="Y561" s="1182"/>
      <c r="Z561" s="1166"/>
      <c r="AA561" s="1166"/>
      <c r="AB561" s="1182"/>
      <c r="AC561" s="294"/>
      <c r="AD561" s="294"/>
      <c r="AE561" s="294"/>
      <c r="AF561" s="294"/>
      <c r="AG561" s="294"/>
      <c r="AH561" s="294"/>
      <c r="AI561" s="294"/>
      <c r="AJ561" s="294"/>
    </row>
    <row r="562" spans="2:36" x14ac:dyDescent="0.25">
      <c r="B562" s="294"/>
      <c r="C562" s="294"/>
      <c r="D562" s="294"/>
      <c r="E562" s="294"/>
      <c r="F562" s="294"/>
      <c r="G562" s="294"/>
      <c r="H562" s="294"/>
      <c r="I562" s="294"/>
      <c r="J562" s="294"/>
      <c r="L562" s="295"/>
      <c r="M562" s="294"/>
      <c r="R562" s="326"/>
      <c r="S562" s="326"/>
      <c r="T562" s="294"/>
      <c r="U562" s="294"/>
      <c r="V562" s="294"/>
      <c r="W562" s="294"/>
      <c r="X562" s="1182"/>
      <c r="Y562" s="1182"/>
      <c r="Z562" s="1166"/>
      <c r="AA562" s="1166"/>
      <c r="AB562" s="1182"/>
      <c r="AC562" s="294"/>
      <c r="AD562" s="294"/>
      <c r="AE562" s="294"/>
      <c r="AF562" s="294"/>
      <c r="AG562" s="294"/>
      <c r="AH562" s="294"/>
      <c r="AI562" s="294"/>
      <c r="AJ562" s="294"/>
    </row>
    <row r="563" spans="2:36" x14ac:dyDescent="0.25">
      <c r="B563" s="294"/>
      <c r="C563" s="294"/>
      <c r="D563" s="294"/>
      <c r="E563" s="294"/>
      <c r="F563" s="294"/>
      <c r="G563" s="294"/>
      <c r="H563" s="294"/>
      <c r="I563" s="294"/>
      <c r="J563" s="294"/>
      <c r="L563" s="295"/>
      <c r="M563" s="294"/>
      <c r="R563" s="326"/>
      <c r="S563" s="326"/>
      <c r="T563" s="294"/>
      <c r="U563" s="294"/>
      <c r="V563" s="294"/>
      <c r="W563" s="294"/>
      <c r="X563" s="1182"/>
      <c r="Y563" s="1182"/>
      <c r="Z563" s="1166"/>
      <c r="AA563" s="1166"/>
      <c r="AB563" s="1182"/>
      <c r="AC563" s="294"/>
      <c r="AD563" s="294"/>
      <c r="AE563" s="294"/>
      <c r="AF563" s="294"/>
      <c r="AG563" s="294"/>
      <c r="AH563" s="294"/>
      <c r="AI563" s="294"/>
      <c r="AJ563" s="294"/>
    </row>
    <row r="564" spans="2:36" x14ac:dyDescent="0.25">
      <c r="B564" s="294"/>
      <c r="C564" s="294"/>
      <c r="D564" s="294"/>
      <c r="E564" s="294"/>
      <c r="F564" s="294"/>
      <c r="G564" s="294"/>
      <c r="H564" s="294"/>
      <c r="I564" s="294"/>
      <c r="J564" s="294"/>
      <c r="L564" s="295"/>
      <c r="M564" s="294"/>
      <c r="R564" s="326"/>
      <c r="S564" s="326"/>
      <c r="T564" s="294"/>
      <c r="U564" s="294"/>
      <c r="V564" s="294"/>
      <c r="W564" s="294"/>
      <c r="X564" s="1182"/>
      <c r="Y564" s="1182"/>
      <c r="Z564" s="1166"/>
      <c r="AA564" s="1166"/>
      <c r="AB564" s="1182"/>
      <c r="AC564" s="294"/>
      <c r="AD564" s="294"/>
      <c r="AE564" s="294"/>
      <c r="AF564" s="294"/>
      <c r="AG564" s="294"/>
      <c r="AH564" s="294"/>
      <c r="AI564" s="294"/>
      <c r="AJ564" s="294"/>
    </row>
    <row r="565" spans="2:36" x14ac:dyDescent="0.25">
      <c r="B565" s="294"/>
      <c r="C565" s="294"/>
      <c r="D565" s="294"/>
      <c r="E565" s="294"/>
      <c r="F565" s="294"/>
      <c r="G565" s="294"/>
      <c r="H565" s="294"/>
      <c r="I565" s="294"/>
      <c r="J565" s="294"/>
      <c r="L565" s="295"/>
      <c r="M565" s="294"/>
      <c r="R565" s="326"/>
      <c r="S565" s="326"/>
      <c r="T565" s="294"/>
      <c r="U565" s="294"/>
      <c r="V565" s="294"/>
      <c r="W565" s="294"/>
      <c r="X565" s="1182"/>
      <c r="Y565" s="1182"/>
      <c r="Z565" s="1166"/>
      <c r="AA565" s="1166"/>
      <c r="AB565" s="1182"/>
      <c r="AC565" s="294"/>
      <c r="AD565" s="294"/>
      <c r="AE565" s="294"/>
      <c r="AF565" s="294"/>
      <c r="AG565" s="294"/>
      <c r="AH565" s="294"/>
      <c r="AI565" s="294"/>
      <c r="AJ565" s="294"/>
    </row>
    <row r="566" spans="2:36" x14ac:dyDescent="0.25">
      <c r="B566" s="294"/>
      <c r="C566" s="294"/>
      <c r="D566" s="294"/>
      <c r="E566" s="294"/>
      <c r="F566" s="294"/>
      <c r="G566" s="294"/>
      <c r="H566" s="294"/>
      <c r="I566" s="294"/>
      <c r="J566" s="294"/>
      <c r="L566" s="295"/>
      <c r="M566" s="294"/>
      <c r="R566" s="326"/>
      <c r="S566" s="326"/>
      <c r="T566" s="294"/>
      <c r="U566" s="294"/>
      <c r="V566" s="294"/>
      <c r="W566" s="294"/>
      <c r="X566" s="1182"/>
      <c r="Y566" s="1182"/>
      <c r="Z566" s="1166"/>
      <c r="AA566" s="1166"/>
      <c r="AB566" s="1182"/>
      <c r="AC566" s="294"/>
      <c r="AD566" s="294"/>
      <c r="AE566" s="294"/>
      <c r="AF566" s="294"/>
      <c r="AG566" s="294"/>
      <c r="AH566" s="294"/>
      <c r="AI566" s="294"/>
      <c r="AJ566" s="294"/>
    </row>
    <row r="567" spans="2:36" x14ac:dyDescent="0.25">
      <c r="B567" s="294"/>
      <c r="C567" s="294"/>
      <c r="D567" s="294"/>
      <c r="E567" s="294"/>
      <c r="F567" s="294"/>
      <c r="G567" s="294"/>
      <c r="H567" s="294"/>
      <c r="I567" s="294"/>
      <c r="J567" s="294"/>
      <c r="L567" s="295"/>
      <c r="M567" s="294"/>
      <c r="R567" s="326"/>
      <c r="S567" s="326"/>
      <c r="T567" s="294"/>
      <c r="U567" s="294"/>
      <c r="V567" s="294"/>
      <c r="W567" s="294"/>
      <c r="X567" s="1182"/>
      <c r="Y567" s="1182"/>
      <c r="Z567" s="1166"/>
      <c r="AA567" s="1166"/>
      <c r="AB567" s="1182"/>
      <c r="AC567" s="294"/>
      <c r="AD567" s="294"/>
      <c r="AE567" s="294"/>
      <c r="AF567" s="294"/>
      <c r="AG567" s="294"/>
      <c r="AH567" s="294"/>
      <c r="AI567" s="294"/>
      <c r="AJ567" s="294"/>
    </row>
    <row r="568" spans="2:36" x14ac:dyDescent="0.25">
      <c r="B568" s="294"/>
      <c r="C568" s="294"/>
      <c r="D568" s="294"/>
      <c r="E568" s="294"/>
      <c r="F568" s="294"/>
      <c r="G568" s="294"/>
      <c r="H568" s="294"/>
      <c r="I568" s="294"/>
      <c r="J568" s="294"/>
      <c r="L568" s="295"/>
      <c r="M568" s="294"/>
      <c r="R568" s="326"/>
      <c r="S568" s="326"/>
      <c r="T568" s="294"/>
      <c r="U568" s="294"/>
      <c r="V568" s="294"/>
      <c r="W568" s="294"/>
      <c r="X568" s="1182"/>
      <c r="Y568" s="1182"/>
      <c r="Z568" s="1166"/>
      <c r="AA568" s="1166"/>
      <c r="AB568" s="1182"/>
      <c r="AC568" s="294"/>
      <c r="AD568" s="294"/>
      <c r="AE568" s="294"/>
      <c r="AF568" s="294"/>
      <c r="AG568" s="294"/>
      <c r="AH568" s="294"/>
      <c r="AI568" s="294"/>
      <c r="AJ568" s="294"/>
    </row>
    <row r="569" spans="2:36" x14ac:dyDescent="0.25">
      <c r="B569" s="294"/>
      <c r="C569" s="294"/>
      <c r="D569" s="294"/>
      <c r="E569" s="294"/>
      <c r="F569" s="294"/>
      <c r="G569" s="294"/>
      <c r="H569" s="294"/>
      <c r="I569" s="294"/>
      <c r="J569" s="294"/>
      <c r="L569" s="295"/>
      <c r="M569" s="294"/>
      <c r="R569" s="326"/>
      <c r="S569" s="326"/>
      <c r="T569" s="294"/>
      <c r="U569" s="294"/>
      <c r="V569" s="294"/>
      <c r="W569" s="294"/>
      <c r="X569" s="1182"/>
      <c r="Y569" s="1182"/>
      <c r="Z569" s="1166"/>
      <c r="AA569" s="1166"/>
      <c r="AB569" s="1182"/>
      <c r="AC569" s="294"/>
      <c r="AD569" s="294"/>
      <c r="AE569" s="294"/>
      <c r="AF569" s="294"/>
      <c r="AG569" s="294"/>
      <c r="AH569" s="294"/>
      <c r="AI569" s="294"/>
      <c r="AJ569" s="294"/>
    </row>
    <row r="570" spans="2:36" x14ac:dyDescent="0.25">
      <c r="B570" s="294"/>
      <c r="C570" s="294"/>
      <c r="D570" s="294"/>
      <c r="E570" s="294"/>
      <c r="F570" s="294"/>
      <c r="G570" s="294"/>
      <c r="H570" s="294"/>
      <c r="I570" s="294"/>
      <c r="J570" s="294"/>
      <c r="L570" s="295"/>
      <c r="M570" s="294"/>
      <c r="R570" s="326"/>
      <c r="S570" s="326"/>
      <c r="T570" s="294"/>
      <c r="U570" s="294"/>
      <c r="V570" s="294"/>
      <c r="W570" s="294"/>
      <c r="X570" s="1182"/>
      <c r="Y570" s="1182"/>
      <c r="Z570" s="1166"/>
      <c r="AA570" s="1166"/>
      <c r="AB570" s="1182"/>
      <c r="AC570" s="294"/>
      <c r="AD570" s="294"/>
      <c r="AE570" s="294"/>
      <c r="AF570" s="294"/>
      <c r="AG570" s="294"/>
      <c r="AH570" s="294"/>
      <c r="AI570" s="294"/>
      <c r="AJ570" s="294"/>
    </row>
    <row r="571" spans="2:36" x14ac:dyDescent="0.25">
      <c r="B571" s="294"/>
      <c r="C571" s="294"/>
      <c r="D571" s="294"/>
      <c r="E571" s="294"/>
      <c r="F571" s="294"/>
      <c r="G571" s="294"/>
      <c r="H571" s="294"/>
      <c r="I571" s="294"/>
      <c r="J571" s="294"/>
      <c r="L571" s="295"/>
      <c r="M571" s="294"/>
      <c r="R571" s="326"/>
      <c r="S571" s="326"/>
      <c r="T571" s="294"/>
      <c r="U571" s="294"/>
      <c r="V571" s="294"/>
      <c r="W571" s="294"/>
      <c r="X571" s="1182"/>
      <c r="Y571" s="1182"/>
      <c r="Z571" s="1166"/>
      <c r="AA571" s="1166"/>
      <c r="AB571" s="1182"/>
      <c r="AC571" s="294"/>
      <c r="AD571" s="294"/>
      <c r="AE571" s="294"/>
      <c r="AF571" s="294"/>
      <c r="AG571" s="294"/>
      <c r="AH571" s="294"/>
      <c r="AI571" s="294"/>
      <c r="AJ571" s="294"/>
    </row>
    <row r="572" spans="2:36" x14ac:dyDescent="0.25">
      <c r="B572" s="294"/>
      <c r="C572" s="294"/>
      <c r="D572" s="294"/>
      <c r="E572" s="294"/>
      <c r="F572" s="294"/>
      <c r="G572" s="294"/>
      <c r="H572" s="294"/>
      <c r="I572" s="294"/>
      <c r="J572" s="294"/>
      <c r="L572" s="295"/>
      <c r="M572" s="294"/>
      <c r="R572" s="326"/>
      <c r="S572" s="326"/>
      <c r="T572" s="294"/>
      <c r="U572" s="294"/>
      <c r="V572" s="294"/>
      <c r="W572" s="294"/>
      <c r="X572" s="1182"/>
      <c r="Y572" s="1182"/>
      <c r="Z572" s="1166"/>
      <c r="AA572" s="1166"/>
      <c r="AB572" s="1182"/>
      <c r="AC572" s="294"/>
      <c r="AD572" s="294"/>
      <c r="AE572" s="294"/>
      <c r="AF572" s="294"/>
      <c r="AG572" s="294"/>
      <c r="AH572" s="294"/>
      <c r="AI572" s="294"/>
      <c r="AJ572" s="294"/>
    </row>
    <row r="573" spans="2:36" x14ac:dyDescent="0.25">
      <c r="B573" s="294"/>
      <c r="C573" s="294"/>
      <c r="D573" s="294"/>
      <c r="E573" s="294"/>
      <c r="F573" s="294"/>
      <c r="G573" s="294"/>
      <c r="H573" s="294"/>
      <c r="I573" s="294"/>
      <c r="J573" s="294"/>
      <c r="L573" s="295"/>
      <c r="M573" s="294"/>
      <c r="R573" s="326"/>
      <c r="S573" s="326"/>
      <c r="T573" s="294"/>
      <c r="U573" s="294"/>
      <c r="V573" s="294"/>
      <c r="W573" s="294"/>
      <c r="X573" s="1182"/>
      <c r="Y573" s="1182"/>
      <c r="Z573" s="1166"/>
      <c r="AA573" s="1166"/>
      <c r="AB573" s="1182"/>
      <c r="AC573" s="294"/>
      <c r="AD573" s="294"/>
      <c r="AE573" s="294"/>
      <c r="AF573" s="294"/>
      <c r="AG573" s="294"/>
      <c r="AH573" s="294"/>
      <c r="AI573" s="294"/>
      <c r="AJ573" s="294"/>
    </row>
    <row r="574" spans="2:36" x14ac:dyDescent="0.25">
      <c r="B574" s="294"/>
      <c r="C574" s="294"/>
      <c r="D574" s="294"/>
      <c r="E574" s="294"/>
      <c r="F574" s="294"/>
      <c r="G574" s="294"/>
      <c r="H574" s="294"/>
      <c r="I574" s="294"/>
      <c r="J574" s="294"/>
      <c r="L574" s="295"/>
      <c r="M574" s="294"/>
      <c r="R574" s="326"/>
      <c r="S574" s="326"/>
      <c r="T574" s="294"/>
      <c r="U574" s="294"/>
      <c r="V574" s="294"/>
      <c r="W574" s="294"/>
      <c r="X574" s="1182"/>
      <c r="Y574" s="1182"/>
      <c r="Z574" s="1166"/>
      <c r="AA574" s="1166"/>
      <c r="AB574" s="1182"/>
      <c r="AC574" s="294"/>
      <c r="AD574" s="294"/>
      <c r="AE574" s="294"/>
      <c r="AF574" s="294"/>
      <c r="AG574" s="294"/>
      <c r="AH574" s="294"/>
      <c r="AI574" s="294"/>
      <c r="AJ574" s="294"/>
    </row>
    <row r="575" spans="2:36" x14ac:dyDescent="0.25">
      <c r="B575" s="294"/>
      <c r="C575" s="294"/>
      <c r="D575" s="294"/>
      <c r="E575" s="294"/>
      <c r="F575" s="294"/>
      <c r="G575" s="294"/>
      <c r="H575" s="294"/>
      <c r="I575" s="294"/>
      <c r="J575" s="294"/>
      <c r="L575" s="295"/>
      <c r="M575" s="294"/>
      <c r="R575" s="326"/>
      <c r="S575" s="326"/>
      <c r="T575" s="294"/>
      <c r="U575" s="294"/>
      <c r="V575" s="294"/>
      <c r="W575" s="294"/>
      <c r="X575" s="1182"/>
      <c r="Y575" s="1182"/>
      <c r="Z575" s="1166"/>
      <c r="AA575" s="1166"/>
      <c r="AB575" s="1182"/>
      <c r="AC575" s="294"/>
      <c r="AD575" s="294"/>
      <c r="AE575" s="294"/>
      <c r="AF575" s="294"/>
      <c r="AG575" s="294"/>
      <c r="AH575" s="294"/>
      <c r="AI575" s="294"/>
      <c r="AJ575" s="294"/>
    </row>
    <row r="576" spans="2:36" x14ac:dyDescent="0.25">
      <c r="B576" s="294"/>
      <c r="C576" s="294"/>
      <c r="D576" s="294"/>
      <c r="E576" s="294"/>
      <c r="F576" s="294"/>
      <c r="G576" s="294"/>
      <c r="H576" s="294"/>
      <c r="I576" s="294"/>
      <c r="J576" s="294"/>
      <c r="L576" s="295"/>
      <c r="M576" s="294"/>
      <c r="R576" s="326"/>
      <c r="S576" s="326"/>
      <c r="T576" s="294"/>
      <c r="U576" s="294"/>
      <c r="V576" s="294"/>
      <c r="W576" s="294"/>
      <c r="X576" s="1182"/>
      <c r="Y576" s="1182"/>
      <c r="Z576" s="1166"/>
      <c r="AA576" s="1166"/>
      <c r="AB576" s="1182"/>
      <c r="AC576" s="294"/>
      <c r="AD576" s="294"/>
      <c r="AE576" s="294"/>
      <c r="AF576" s="294"/>
      <c r="AG576" s="294"/>
      <c r="AH576" s="294"/>
      <c r="AI576" s="294"/>
      <c r="AJ576" s="294"/>
    </row>
    <row r="577" spans="2:36" x14ac:dyDescent="0.25">
      <c r="B577" s="294"/>
      <c r="C577" s="294"/>
      <c r="D577" s="294"/>
      <c r="E577" s="294"/>
      <c r="F577" s="294"/>
      <c r="G577" s="294"/>
      <c r="H577" s="294"/>
      <c r="I577" s="294"/>
      <c r="J577" s="294"/>
      <c r="L577" s="295"/>
      <c r="M577" s="294"/>
      <c r="R577" s="326"/>
      <c r="S577" s="326"/>
      <c r="T577" s="294"/>
      <c r="U577" s="294"/>
      <c r="V577" s="294"/>
      <c r="W577" s="294"/>
      <c r="X577" s="1182"/>
      <c r="Y577" s="1182"/>
      <c r="Z577" s="1166"/>
      <c r="AA577" s="1166"/>
      <c r="AB577" s="1182"/>
      <c r="AC577" s="294"/>
      <c r="AD577" s="294"/>
      <c r="AE577" s="294"/>
      <c r="AF577" s="294"/>
      <c r="AG577" s="294"/>
      <c r="AH577" s="294"/>
      <c r="AI577" s="294"/>
      <c r="AJ577" s="294"/>
    </row>
    <row r="578" spans="2:36" x14ac:dyDescent="0.25">
      <c r="B578" s="294"/>
      <c r="C578" s="294"/>
      <c r="D578" s="294"/>
      <c r="E578" s="294"/>
      <c r="F578" s="294"/>
      <c r="G578" s="294"/>
      <c r="H578" s="294"/>
      <c r="I578" s="294"/>
      <c r="J578" s="294"/>
      <c r="L578" s="295"/>
      <c r="M578" s="294"/>
      <c r="R578" s="326"/>
      <c r="S578" s="326"/>
      <c r="T578" s="294"/>
      <c r="U578" s="294"/>
      <c r="V578" s="294"/>
      <c r="W578" s="294"/>
      <c r="X578" s="1182"/>
      <c r="Y578" s="1182"/>
      <c r="Z578" s="1166"/>
      <c r="AA578" s="1166"/>
      <c r="AB578" s="1182"/>
      <c r="AC578" s="294"/>
      <c r="AD578" s="294"/>
      <c r="AE578" s="294"/>
      <c r="AF578" s="294"/>
      <c r="AG578" s="294"/>
      <c r="AH578" s="294"/>
      <c r="AI578" s="294"/>
      <c r="AJ578" s="294"/>
    </row>
    <row r="579" spans="2:36" x14ac:dyDescent="0.25">
      <c r="B579" s="294"/>
      <c r="C579" s="294"/>
      <c r="D579" s="294"/>
      <c r="E579" s="294"/>
      <c r="F579" s="294"/>
      <c r="G579" s="294"/>
      <c r="H579" s="294"/>
      <c r="I579" s="294"/>
      <c r="J579" s="294"/>
      <c r="L579" s="295"/>
      <c r="M579" s="294"/>
      <c r="R579" s="326"/>
      <c r="S579" s="326"/>
      <c r="T579" s="294"/>
      <c r="U579" s="294"/>
      <c r="V579" s="294"/>
      <c r="W579" s="294"/>
      <c r="X579" s="1182"/>
      <c r="Y579" s="1182"/>
      <c r="Z579" s="1166"/>
      <c r="AA579" s="1166"/>
      <c r="AB579" s="1182"/>
      <c r="AC579" s="294"/>
      <c r="AD579" s="294"/>
      <c r="AE579" s="294"/>
      <c r="AF579" s="294"/>
      <c r="AG579" s="294"/>
      <c r="AH579" s="294"/>
      <c r="AI579" s="294"/>
      <c r="AJ579" s="294"/>
    </row>
    <row r="580" spans="2:36" x14ac:dyDescent="0.25">
      <c r="B580" s="294"/>
      <c r="C580" s="294"/>
      <c r="D580" s="294"/>
      <c r="E580" s="294"/>
      <c r="F580" s="294"/>
      <c r="G580" s="294"/>
      <c r="H580" s="294"/>
      <c r="I580" s="294"/>
      <c r="J580" s="294"/>
      <c r="L580" s="295"/>
      <c r="M580" s="294"/>
      <c r="R580" s="326"/>
      <c r="S580" s="326"/>
      <c r="T580" s="294"/>
      <c r="U580" s="294"/>
      <c r="V580" s="294"/>
      <c r="W580" s="294"/>
      <c r="X580" s="1182"/>
      <c r="Y580" s="1182"/>
      <c r="Z580" s="1166"/>
      <c r="AA580" s="1166"/>
      <c r="AB580" s="1182"/>
      <c r="AC580" s="294"/>
      <c r="AD580" s="294"/>
      <c r="AE580" s="294"/>
      <c r="AF580" s="294"/>
      <c r="AG580" s="294"/>
      <c r="AH580" s="294"/>
      <c r="AI580" s="294"/>
      <c r="AJ580" s="294"/>
    </row>
    <row r="581" spans="2:36" x14ac:dyDescent="0.25">
      <c r="B581" s="294"/>
      <c r="C581" s="294"/>
      <c r="D581" s="294"/>
      <c r="E581" s="294"/>
      <c r="F581" s="294"/>
      <c r="G581" s="294"/>
      <c r="H581" s="294"/>
      <c r="I581" s="294"/>
      <c r="J581" s="294"/>
      <c r="L581" s="295"/>
      <c r="M581" s="294"/>
      <c r="R581" s="326"/>
      <c r="S581" s="326"/>
      <c r="T581" s="294"/>
      <c r="U581" s="294"/>
      <c r="V581" s="294"/>
      <c r="W581" s="294"/>
      <c r="X581" s="1182"/>
      <c r="Y581" s="1182"/>
      <c r="Z581" s="1166"/>
      <c r="AA581" s="1166"/>
      <c r="AB581" s="1182"/>
      <c r="AC581" s="294"/>
      <c r="AD581" s="294"/>
      <c r="AE581" s="294"/>
      <c r="AF581" s="294"/>
      <c r="AG581" s="294"/>
      <c r="AH581" s="294"/>
      <c r="AI581" s="294"/>
      <c r="AJ581" s="294"/>
    </row>
    <row r="582" spans="2:36" x14ac:dyDescent="0.25">
      <c r="B582" s="294"/>
      <c r="C582" s="294"/>
      <c r="D582" s="294"/>
      <c r="E582" s="294"/>
      <c r="F582" s="294"/>
      <c r="G582" s="294"/>
      <c r="H582" s="294"/>
      <c r="I582" s="294"/>
      <c r="J582" s="294"/>
      <c r="L582" s="295"/>
      <c r="M582" s="294"/>
      <c r="R582" s="326"/>
      <c r="S582" s="326"/>
      <c r="T582" s="294"/>
      <c r="U582" s="294"/>
      <c r="V582" s="294"/>
      <c r="W582" s="294"/>
      <c r="X582" s="1182"/>
      <c r="Y582" s="1182"/>
      <c r="Z582" s="1166"/>
      <c r="AA582" s="1166"/>
      <c r="AB582" s="1182"/>
      <c r="AC582" s="294"/>
      <c r="AD582" s="294"/>
      <c r="AE582" s="294"/>
      <c r="AF582" s="294"/>
      <c r="AG582" s="294"/>
      <c r="AH582" s="294"/>
      <c r="AI582" s="294"/>
      <c r="AJ582" s="294"/>
    </row>
    <row r="583" spans="2:36" x14ac:dyDescent="0.25">
      <c r="B583" s="294"/>
      <c r="C583" s="294"/>
      <c r="D583" s="294"/>
      <c r="E583" s="294"/>
      <c r="F583" s="294"/>
      <c r="G583" s="294"/>
      <c r="H583" s="294"/>
      <c r="I583" s="294"/>
      <c r="J583" s="294"/>
      <c r="L583" s="295"/>
      <c r="M583" s="294"/>
      <c r="R583" s="326"/>
      <c r="S583" s="326"/>
      <c r="T583" s="294"/>
      <c r="U583" s="294"/>
      <c r="V583" s="294"/>
      <c r="W583" s="294"/>
      <c r="X583" s="1182"/>
      <c r="Y583" s="1182"/>
      <c r="Z583" s="1166"/>
      <c r="AA583" s="1166"/>
      <c r="AB583" s="1182"/>
      <c r="AC583" s="294"/>
      <c r="AD583" s="294"/>
      <c r="AE583" s="294"/>
      <c r="AF583" s="294"/>
      <c r="AG583" s="294"/>
      <c r="AH583" s="294"/>
      <c r="AI583" s="294"/>
      <c r="AJ583" s="294"/>
    </row>
    <row r="584" spans="2:36" x14ac:dyDescent="0.25">
      <c r="B584" s="294"/>
      <c r="C584" s="294"/>
      <c r="D584" s="294"/>
      <c r="E584" s="294"/>
      <c r="F584" s="294"/>
      <c r="G584" s="294"/>
      <c r="H584" s="294"/>
      <c r="I584" s="294"/>
      <c r="J584" s="294"/>
      <c r="L584" s="295"/>
      <c r="M584" s="294"/>
      <c r="R584" s="326"/>
      <c r="S584" s="326"/>
      <c r="T584" s="294"/>
      <c r="U584" s="294"/>
      <c r="V584" s="294"/>
      <c r="W584" s="294"/>
      <c r="X584" s="1182"/>
      <c r="Y584" s="1182"/>
      <c r="Z584" s="1166"/>
      <c r="AA584" s="1166"/>
      <c r="AB584" s="1182"/>
      <c r="AC584" s="294"/>
      <c r="AD584" s="294"/>
      <c r="AE584" s="294"/>
      <c r="AF584" s="294"/>
      <c r="AG584" s="294"/>
      <c r="AH584" s="294"/>
      <c r="AI584" s="294"/>
      <c r="AJ584" s="294"/>
    </row>
    <row r="585" spans="2:36" x14ac:dyDescent="0.25">
      <c r="B585" s="294"/>
      <c r="C585" s="294"/>
      <c r="D585" s="294"/>
      <c r="E585" s="294"/>
      <c r="F585" s="294"/>
      <c r="G585" s="294"/>
      <c r="H585" s="294"/>
      <c r="I585" s="294"/>
      <c r="J585" s="294"/>
      <c r="L585" s="295"/>
      <c r="M585" s="294"/>
      <c r="R585" s="326"/>
      <c r="S585" s="326"/>
      <c r="T585" s="294"/>
      <c r="U585" s="294"/>
      <c r="V585" s="294"/>
      <c r="W585" s="294"/>
      <c r="X585" s="1182"/>
      <c r="Y585" s="1182"/>
      <c r="Z585" s="1166"/>
      <c r="AA585" s="1166"/>
      <c r="AB585" s="1182"/>
      <c r="AC585" s="294"/>
      <c r="AD585" s="294"/>
      <c r="AE585" s="294"/>
      <c r="AF585" s="294"/>
      <c r="AG585" s="294"/>
      <c r="AH585" s="294"/>
      <c r="AI585" s="294"/>
      <c r="AJ585" s="294"/>
    </row>
    <row r="586" spans="2:36" x14ac:dyDescent="0.25">
      <c r="B586" s="294"/>
      <c r="C586" s="294"/>
      <c r="D586" s="294"/>
      <c r="E586" s="294"/>
      <c r="F586" s="294"/>
      <c r="G586" s="294"/>
      <c r="H586" s="294"/>
      <c r="I586" s="294"/>
      <c r="J586" s="294"/>
      <c r="L586" s="295"/>
      <c r="M586" s="294"/>
      <c r="R586" s="326"/>
      <c r="S586" s="326"/>
      <c r="T586" s="294"/>
      <c r="U586" s="294"/>
      <c r="V586" s="294"/>
      <c r="W586" s="294"/>
      <c r="X586" s="1182"/>
      <c r="Y586" s="1182"/>
      <c r="Z586" s="1166"/>
      <c r="AA586" s="1166"/>
      <c r="AB586" s="1182"/>
      <c r="AC586" s="294"/>
      <c r="AD586" s="294"/>
      <c r="AE586" s="294"/>
      <c r="AF586" s="294"/>
      <c r="AG586" s="294"/>
      <c r="AH586" s="294"/>
      <c r="AI586" s="294"/>
      <c r="AJ586" s="294"/>
    </row>
    <row r="587" spans="2:36" x14ac:dyDescent="0.25">
      <c r="B587" s="294"/>
      <c r="C587" s="294"/>
      <c r="D587" s="294"/>
      <c r="E587" s="294"/>
      <c r="F587" s="294"/>
      <c r="G587" s="294"/>
      <c r="H587" s="294"/>
      <c r="I587" s="294"/>
      <c r="J587" s="294"/>
      <c r="L587" s="295"/>
      <c r="M587" s="294"/>
      <c r="R587" s="326"/>
      <c r="S587" s="326"/>
      <c r="T587" s="294"/>
      <c r="U587" s="294"/>
      <c r="V587" s="294"/>
      <c r="W587" s="294"/>
      <c r="X587" s="1182"/>
      <c r="Y587" s="1182"/>
      <c r="Z587" s="1166"/>
      <c r="AA587" s="1166"/>
      <c r="AB587" s="1182"/>
      <c r="AC587" s="294"/>
      <c r="AD587" s="294"/>
      <c r="AE587" s="294"/>
      <c r="AF587" s="294"/>
      <c r="AG587" s="294"/>
      <c r="AH587" s="294"/>
      <c r="AI587" s="294"/>
      <c r="AJ587" s="294"/>
    </row>
    <row r="588" spans="2:36" x14ac:dyDescent="0.25">
      <c r="B588" s="294"/>
      <c r="C588" s="294"/>
      <c r="D588" s="294"/>
      <c r="E588" s="294"/>
      <c r="F588" s="294"/>
      <c r="G588" s="294"/>
      <c r="H588" s="294"/>
      <c r="I588" s="294"/>
      <c r="J588" s="294"/>
      <c r="L588" s="295"/>
      <c r="M588" s="294"/>
      <c r="R588" s="326"/>
      <c r="S588" s="326"/>
      <c r="T588" s="294"/>
      <c r="U588" s="294"/>
      <c r="V588" s="294"/>
      <c r="W588" s="294"/>
      <c r="X588" s="1182"/>
      <c r="Y588" s="1182"/>
      <c r="Z588" s="1166"/>
      <c r="AA588" s="1166"/>
      <c r="AB588" s="1182"/>
      <c r="AC588" s="294"/>
      <c r="AD588" s="294"/>
      <c r="AE588" s="294"/>
      <c r="AF588" s="294"/>
      <c r="AG588" s="294"/>
      <c r="AH588" s="294"/>
      <c r="AI588" s="294"/>
      <c r="AJ588" s="294"/>
    </row>
    <row r="589" spans="2:36" x14ac:dyDescent="0.25">
      <c r="B589" s="294"/>
      <c r="C589" s="294"/>
      <c r="D589" s="294"/>
      <c r="E589" s="294"/>
      <c r="F589" s="294"/>
      <c r="G589" s="294"/>
      <c r="H589" s="294"/>
      <c r="I589" s="294"/>
      <c r="J589" s="294"/>
      <c r="L589" s="295"/>
      <c r="M589" s="294"/>
      <c r="R589" s="326"/>
      <c r="S589" s="326"/>
      <c r="T589" s="294"/>
      <c r="U589" s="294"/>
      <c r="V589" s="294"/>
      <c r="W589" s="294"/>
      <c r="X589" s="1182"/>
      <c r="Y589" s="1182"/>
      <c r="Z589" s="1166"/>
      <c r="AA589" s="1166"/>
      <c r="AB589" s="1182"/>
      <c r="AC589" s="294"/>
      <c r="AD589" s="294"/>
      <c r="AE589" s="294"/>
      <c r="AF589" s="294"/>
      <c r="AG589" s="294"/>
      <c r="AH589" s="294"/>
      <c r="AI589" s="294"/>
      <c r="AJ589" s="294"/>
    </row>
    <row r="590" spans="2:36" x14ac:dyDescent="0.25">
      <c r="B590" s="294"/>
      <c r="C590" s="294"/>
      <c r="D590" s="294"/>
      <c r="E590" s="294"/>
      <c r="F590" s="294"/>
      <c r="G590" s="294"/>
      <c r="H590" s="294"/>
      <c r="I590" s="294"/>
      <c r="J590" s="294"/>
      <c r="L590" s="295"/>
      <c r="M590" s="294"/>
      <c r="R590" s="326"/>
      <c r="S590" s="326"/>
      <c r="T590" s="294"/>
      <c r="U590" s="294"/>
      <c r="V590" s="294"/>
      <c r="W590" s="294"/>
      <c r="X590" s="1182"/>
      <c r="Y590" s="1182"/>
      <c r="Z590" s="1166"/>
      <c r="AA590" s="1166"/>
      <c r="AB590" s="1182"/>
      <c r="AC590" s="294"/>
      <c r="AD590" s="294"/>
      <c r="AE590" s="294"/>
      <c r="AF590" s="294"/>
      <c r="AG590" s="294"/>
      <c r="AH590" s="294"/>
      <c r="AI590" s="294"/>
      <c r="AJ590" s="294"/>
    </row>
    <row r="591" spans="2:36" x14ac:dyDescent="0.25">
      <c r="B591" s="294"/>
      <c r="C591" s="294"/>
      <c r="D591" s="294"/>
      <c r="E591" s="294"/>
      <c r="F591" s="294"/>
      <c r="G591" s="294"/>
      <c r="H591" s="294"/>
      <c r="I591" s="294"/>
      <c r="J591" s="294"/>
      <c r="L591" s="295"/>
      <c r="M591" s="294"/>
      <c r="R591" s="326"/>
      <c r="S591" s="326"/>
      <c r="T591" s="294"/>
      <c r="U591" s="294"/>
      <c r="V591" s="294"/>
      <c r="W591" s="294"/>
      <c r="X591" s="1182"/>
      <c r="Y591" s="1182"/>
      <c r="Z591" s="1166"/>
      <c r="AA591" s="1166"/>
      <c r="AB591" s="1182"/>
      <c r="AC591" s="294"/>
      <c r="AD591" s="294"/>
      <c r="AE591" s="294"/>
      <c r="AF591" s="294"/>
      <c r="AG591" s="294"/>
      <c r="AH591" s="294"/>
      <c r="AI591" s="294"/>
      <c r="AJ591" s="294"/>
    </row>
    <row r="592" spans="2:36" x14ac:dyDescent="0.25">
      <c r="B592" s="294"/>
      <c r="C592" s="294"/>
      <c r="D592" s="294"/>
      <c r="E592" s="294"/>
      <c r="F592" s="294"/>
      <c r="G592" s="294"/>
      <c r="H592" s="294"/>
      <c r="I592" s="294"/>
      <c r="J592" s="294"/>
      <c r="L592" s="295"/>
      <c r="M592" s="294"/>
      <c r="R592" s="326"/>
      <c r="S592" s="326"/>
      <c r="T592" s="294"/>
      <c r="U592" s="294"/>
      <c r="V592" s="294"/>
      <c r="W592" s="294"/>
      <c r="X592" s="1182"/>
      <c r="Y592" s="1182"/>
      <c r="Z592" s="1166"/>
      <c r="AA592" s="1166"/>
      <c r="AB592" s="1182"/>
      <c r="AC592" s="294"/>
      <c r="AD592" s="294"/>
      <c r="AE592" s="294"/>
      <c r="AF592" s="294"/>
      <c r="AG592" s="294"/>
      <c r="AH592" s="294"/>
      <c r="AI592" s="294"/>
      <c r="AJ592" s="294"/>
    </row>
    <row r="593" spans="2:36" x14ac:dyDescent="0.25">
      <c r="B593" s="294"/>
      <c r="C593" s="294"/>
      <c r="D593" s="294"/>
      <c r="E593" s="294"/>
      <c r="F593" s="294"/>
      <c r="G593" s="294"/>
      <c r="H593" s="294"/>
      <c r="I593" s="294"/>
      <c r="J593" s="294"/>
      <c r="L593" s="295"/>
      <c r="M593" s="294"/>
      <c r="R593" s="326"/>
      <c r="S593" s="326"/>
      <c r="T593" s="294"/>
      <c r="U593" s="294"/>
      <c r="V593" s="294"/>
      <c r="W593" s="294"/>
      <c r="X593" s="1182"/>
      <c r="Y593" s="1182"/>
      <c r="Z593" s="1166"/>
      <c r="AA593" s="1166"/>
      <c r="AB593" s="1182"/>
      <c r="AC593" s="294"/>
      <c r="AD593" s="294"/>
      <c r="AE593" s="294"/>
      <c r="AF593" s="294"/>
      <c r="AG593" s="294"/>
      <c r="AH593" s="294"/>
      <c r="AI593" s="294"/>
      <c r="AJ593" s="294"/>
    </row>
    <row r="594" spans="2:36" x14ac:dyDescent="0.25">
      <c r="B594" s="294"/>
      <c r="C594" s="294"/>
      <c r="D594" s="294"/>
      <c r="E594" s="294"/>
      <c r="F594" s="294"/>
      <c r="G594" s="294"/>
      <c r="H594" s="294"/>
      <c r="I594" s="294"/>
      <c r="J594" s="294"/>
      <c r="L594" s="295"/>
      <c r="M594" s="294"/>
      <c r="R594" s="326"/>
      <c r="S594" s="326"/>
      <c r="T594" s="294"/>
      <c r="U594" s="294"/>
      <c r="V594" s="294"/>
      <c r="W594" s="294"/>
      <c r="X594" s="1182"/>
      <c r="Y594" s="1182"/>
      <c r="Z594" s="1166"/>
      <c r="AA594" s="1166"/>
      <c r="AB594" s="1182"/>
      <c r="AC594" s="294"/>
      <c r="AD594" s="294"/>
      <c r="AE594" s="294"/>
      <c r="AF594" s="294"/>
      <c r="AG594" s="294"/>
      <c r="AH594" s="294"/>
      <c r="AI594" s="294"/>
      <c r="AJ594" s="294"/>
    </row>
    <row r="595" spans="2:36" x14ac:dyDescent="0.25">
      <c r="B595" s="294"/>
      <c r="C595" s="294"/>
      <c r="D595" s="294"/>
      <c r="E595" s="294"/>
      <c r="F595" s="294"/>
      <c r="G595" s="294"/>
      <c r="H595" s="294"/>
      <c r="I595" s="294"/>
      <c r="J595" s="294"/>
      <c r="L595" s="295"/>
      <c r="M595" s="294"/>
      <c r="R595" s="326"/>
      <c r="S595" s="326"/>
      <c r="T595" s="294"/>
      <c r="U595" s="294"/>
      <c r="V595" s="294"/>
      <c r="W595" s="294"/>
      <c r="X595" s="1182"/>
      <c r="Y595" s="1182"/>
      <c r="Z595" s="1166"/>
      <c r="AA595" s="1166"/>
      <c r="AB595" s="1182"/>
      <c r="AC595" s="294"/>
      <c r="AD595" s="294"/>
      <c r="AE595" s="294"/>
      <c r="AF595" s="294"/>
      <c r="AG595" s="294"/>
      <c r="AH595" s="294"/>
      <c r="AI595" s="294"/>
      <c r="AJ595" s="294"/>
    </row>
    <row r="596" spans="2:36" x14ac:dyDescent="0.25">
      <c r="B596" s="294"/>
      <c r="C596" s="294"/>
      <c r="D596" s="294"/>
      <c r="E596" s="294"/>
      <c r="F596" s="294"/>
      <c r="G596" s="294"/>
      <c r="H596" s="294"/>
      <c r="I596" s="294"/>
      <c r="J596" s="294"/>
      <c r="L596" s="295"/>
      <c r="M596" s="294"/>
      <c r="R596" s="326"/>
      <c r="S596" s="326"/>
      <c r="T596" s="294"/>
      <c r="U596" s="294"/>
      <c r="V596" s="294"/>
      <c r="W596" s="294"/>
      <c r="X596" s="1182"/>
      <c r="Y596" s="1182"/>
      <c r="Z596" s="1166"/>
      <c r="AA596" s="1166"/>
      <c r="AB596" s="1182"/>
      <c r="AC596" s="294"/>
      <c r="AD596" s="294"/>
      <c r="AE596" s="294"/>
      <c r="AF596" s="294"/>
      <c r="AG596" s="294"/>
      <c r="AH596" s="294"/>
      <c r="AI596" s="294"/>
      <c r="AJ596" s="294"/>
    </row>
    <row r="597" spans="2:36" x14ac:dyDescent="0.25">
      <c r="B597" s="294"/>
      <c r="C597" s="294"/>
      <c r="D597" s="294"/>
      <c r="E597" s="294"/>
      <c r="F597" s="294"/>
      <c r="G597" s="294"/>
      <c r="H597" s="294"/>
      <c r="I597" s="294"/>
      <c r="J597" s="294"/>
      <c r="L597" s="295"/>
      <c r="M597" s="294"/>
      <c r="R597" s="326"/>
      <c r="S597" s="326"/>
      <c r="T597" s="294"/>
      <c r="U597" s="294"/>
      <c r="V597" s="294"/>
      <c r="W597" s="294"/>
      <c r="X597" s="1182"/>
      <c r="Y597" s="1182"/>
      <c r="Z597" s="1166"/>
      <c r="AA597" s="1166"/>
      <c r="AB597" s="1182"/>
      <c r="AC597" s="294"/>
      <c r="AD597" s="294"/>
      <c r="AE597" s="294"/>
      <c r="AF597" s="294"/>
      <c r="AG597" s="294"/>
      <c r="AH597" s="294"/>
      <c r="AI597" s="294"/>
      <c r="AJ597" s="294"/>
    </row>
    <row r="598" spans="2:36" x14ac:dyDescent="0.25">
      <c r="B598" s="294"/>
      <c r="C598" s="294"/>
      <c r="D598" s="294"/>
      <c r="E598" s="294"/>
      <c r="F598" s="294"/>
      <c r="G598" s="294"/>
      <c r="H598" s="294"/>
      <c r="I598" s="294"/>
      <c r="J598" s="294"/>
      <c r="L598" s="295"/>
      <c r="M598" s="294"/>
      <c r="R598" s="326"/>
      <c r="S598" s="326"/>
      <c r="T598" s="294"/>
      <c r="U598" s="294"/>
      <c r="V598" s="294"/>
      <c r="W598" s="294"/>
      <c r="X598" s="1182"/>
      <c r="Y598" s="1182"/>
      <c r="Z598" s="1166"/>
      <c r="AA598" s="1166"/>
      <c r="AB598" s="1182"/>
      <c r="AC598" s="294"/>
      <c r="AD598" s="294"/>
      <c r="AE598" s="294"/>
      <c r="AF598" s="294"/>
      <c r="AG598" s="294"/>
      <c r="AH598" s="294"/>
      <c r="AI598" s="294"/>
      <c r="AJ598" s="294"/>
    </row>
    <row r="599" spans="2:36" x14ac:dyDescent="0.25">
      <c r="B599" s="294"/>
      <c r="C599" s="294"/>
      <c r="D599" s="294"/>
      <c r="E599" s="294"/>
      <c r="F599" s="294"/>
      <c r="G599" s="294"/>
      <c r="H599" s="294"/>
      <c r="I599" s="294"/>
      <c r="J599" s="294"/>
      <c r="L599" s="295"/>
      <c r="M599" s="294"/>
      <c r="R599" s="326"/>
      <c r="S599" s="326"/>
      <c r="T599" s="294"/>
      <c r="U599" s="294"/>
      <c r="V599" s="294"/>
      <c r="W599" s="294"/>
      <c r="X599" s="1182"/>
      <c r="Y599" s="1182"/>
      <c r="Z599" s="1166"/>
      <c r="AA599" s="1166"/>
      <c r="AB599" s="1182"/>
      <c r="AC599" s="294"/>
      <c r="AD599" s="294"/>
      <c r="AE599" s="294"/>
      <c r="AF599" s="294"/>
      <c r="AG599" s="294"/>
      <c r="AH599" s="294"/>
      <c r="AI599" s="294"/>
      <c r="AJ599" s="294"/>
    </row>
    <row r="600" spans="2:36" x14ac:dyDescent="0.25">
      <c r="B600" s="294"/>
      <c r="C600" s="294"/>
      <c r="D600" s="294"/>
      <c r="E600" s="294"/>
      <c r="F600" s="294"/>
      <c r="G600" s="294"/>
      <c r="H600" s="294"/>
      <c r="I600" s="294"/>
      <c r="J600" s="294"/>
      <c r="L600" s="295"/>
      <c r="M600" s="294"/>
      <c r="R600" s="326"/>
      <c r="S600" s="326"/>
      <c r="T600" s="294"/>
      <c r="U600" s="294"/>
      <c r="V600" s="294"/>
      <c r="W600" s="294"/>
      <c r="X600" s="1182"/>
      <c r="Y600" s="1182"/>
      <c r="Z600" s="1166"/>
      <c r="AA600" s="1166"/>
      <c r="AB600" s="1182"/>
      <c r="AC600" s="294"/>
      <c r="AD600" s="294"/>
      <c r="AE600" s="294"/>
      <c r="AF600" s="294"/>
      <c r="AG600" s="294"/>
      <c r="AH600" s="294"/>
      <c r="AI600" s="294"/>
      <c r="AJ600" s="294"/>
    </row>
    <row r="601" spans="2:36" x14ac:dyDescent="0.25">
      <c r="B601" s="294"/>
      <c r="C601" s="294"/>
      <c r="D601" s="294"/>
      <c r="E601" s="294"/>
      <c r="F601" s="294"/>
      <c r="G601" s="294"/>
      <c r="H601" s="294"/>
      <c r="I601" s="294"/>
      <c r="J601" s="294"/>
      <c r="L601" s="295"/>
      <c r="M601" s="294"/>
      <c r="R601" s="326"/>
      <c r="S601" s="326"/>
      <c r="T601" s="294"/>
      <c r="U601" s="294"/>
      <c r="V601" s="294"/>
      <c r="W601" s="294"/>
      <c r="X601" s="1182"/>
      <c r="Y601" s="1182"/>
      <c r="Z601" s="1166"/>
      <c r="AA601" s="1166"/>
      <c r="AB601" s="1182"/>
      <c r="AC601" s="294"/>
      <c r="AD601" s="294"/>
      <c r="AE601" s="294"/>
      <c r="AF601" s="294"/>
      <c r="AG601" s="294"/>
      <c r="AH601" s="294"/>
      <c r="AI601" s="294"/>
      <c r="AJ601" s="294"/>
    </row>
    <row r="602" spans="2:36" x14ac:dyDescent="0.25">
      <c r="B602" s="294"/>
      <c r="C602" s="294"/>
      <c r="D602" s="294"/>
      <c r="E602" s="294"/>
      <c r="F602" s="294"/>
      <c r="G602" s="294"/>
      <c r="H602" s="294"/>
      <c r="I602" s="294"/>
      <c r="J602" s="294"/>
      <c r="L602" s="295"/>
      <c r="M602" s="294"/>
      <c r="R602" s="326"/>
      <c r="S602" s="326"/>
      <c r="T602" s="294"/>
      <c r="U602" s="294"/>
      <c r="V602" s="294"/>
      <c r="W602" s="294"/>
      <c r="X602" s="1182"/>
      <c r="Y602" s="1182"/>
      <c r="Z602" s="1166"/>
      <c r="AA602" s="1166"/>
      <c r="AB602" s="1182"/>
      <c r="AC602" s="294"/>
      <c r="AD602" s="294"/>
      <c r="AE602" s="294"/>
      <c r="AF602" s="294"/>
      <c r="AG602" s="294"/>
      <c r="AH602" s="294"/>
      <c r="AI602" s="294"/>
      <c r="AJ602" s="294"/>
    </row>
    <row r="603" spans="2:36" x14ac:dyDescent="0.25">
      <c r="B603" s="294"/>
      <c r="C603" s="294"/>
      <c r="D603" s="294"/>
      <c r="E603" s="294"/>
      <c r="F603" s="294"/>
      <c r="G603" s="294"/>
      <c r="H603" s="294"/>
      <c r="I603" s="294"/>
      <c r="J603" s="294"/>
      <c r="L603" s="295"/>
      <c r="M603" s="294"/>
      <c r="R603" s="326"/>
      <c r="S603" s="326"/>
      <c r="T603" s="294"/>
      <c r="U603" s="294"/>
      <c r="V603" s="294"/>
      <c r="W603" s="294"/>
      <c r="X603" s="1182"/>
      <c r="Y603" s="1182"/>
      <c r="Z603" s="1166"/>
      <c r="AA603" s="1166"/>
      <c r="AB603" s="1182"/>
      <c r="AC603" s="294"/>
      <c r="AD603" s="294"/>
      <c r="AE603" s="294"/>
      <c r="AF603" s="294"/>
      <c r="AG603" s="294"/>
      <c r="AH603" s="294"/>
      <c r="AI603" s="294"/>
      <c r="AJ603" s="294"/>
    </row>
    <row r="604" spans="2:36" x14ac:dyDescent="0.25">
      <c r="B604" s="294"/>
      <c r="C604" s="294"/>
      <c r="D604" s="294"/>
      <c r="E604" s="294"/>
      <c r="F604" s="294"/>
      <c r="G604" s="294"/>
      <c r="H604" s="294"/>
      <c r="I604" s="294"/>
      <c r="J604" s="294"/>
      <c r="L604" s="295"/>
      <c r="M604" s="294"/>
      <c r="R604" s="326"/>
      <c r="S604" s="326"/>
      <c r="T604" s="294"/>
      <c r="U604" s="294"/>
      <c r="V604" s="294"/>
      <c r="W604" s="294"/>
      <c r="X604" s="1182"/>
      <c r="Y604" s="1182"/>
      <c r="Z604" s="1166"/>
      <c r="AA604" s="1166"/>
      <c r="AB604" s="1182"/>
      <c r="AC604" s="294"/>
      <c r="AD604" s="294"/>
      <c r="AE604" s="294"/>
      <c r="AF604" s="294"/>
      <c r="AG604" s="294"/>
      <c r="AH604" s="294"/>
      <c r="AI604" s="294"/>
      <c r="AJ604" s="294"/>
    </row>
    <row r="605" spans="2:36" x14ac:dyDescent="0.25">
      <c r="B605" s="294"/>
      <c r="C605" s="294"/>
      <c r="D605" s="294"/>
      <c r="E605" s="294"/>
      <c r="F605" s="294"/>
      <c r="G605" s="294"/>
      <c r="H605" s="294"/>
      <c r="I605" s="294"/>
      <c r="J605" s="294"/>
      <c r="L605" s="295"/>
      <c r="M605" s="294"/>
      <c r="R605" s="326"/>
      <c r="S605" s="326"/>
      <c r="T605" s="294"/>
      <c r="U605" s="294"/>
      <c r="V605" s="294"/>
      <c r="W605" s="294"/>
      <c r="X605" s="1182"/>
      <c r="Y605" s="1182"/>
      <c r="Z605" s="1166"/>
      <c r="AA605" s="1166"/>
      <c r="AB605" s="1182"/>
      <c r="AC605" s="294"/>
      <c r="AD605" s="294"/>
      <c r="AE605" s="294"/>
      <c r="AF605" s="294"/>
      <c r="AG605" s="294"/>
      <c r="AH605" s="294"/>
      <c r="AI605" s="294"/>
      <c r="AJ605" s="294"/>
    </row>
    <row r="606" spans="2:36" x14ac:dyDescent="0.25">
      <c r="B606" s="294"/>
      <c r="C606" s="294"/>
      <c r="D606" s="294"/>
      <c r="E606" s="294"/>
      <c r="F606" s="294"/>
      <c r="G606" s="294"/>
      <c r="H606" s="294"/>
      <c r="I606" s="294"/>
      <c r="J606" s="294"/>
      <c r="L606" s="295"/>
      <c r="M606" s="294"/>
      <c r="R606" s="326"/>
      <c r="S606" s="326"/>
      <c r="T606" s="294"/>
      <c r="U606" s="294"/>
      <c r="V606" s="294"/>
      <c r="W606" s="294"/>
      <c r="X606" s="1182"/>
      <c r="Y606" s="1182"/>
      <c r="Z606" s="1166"/>
      <c r="AA606" s="1166"/>
      <c r="AB606" s="1182"/>
      <c r="AC606" s="294"/>
      <c r="AD606" s="294"/>
      <c r="AE606" s="294"/>
      <c r="AF606" s="294"/>
      <c r="AG606" s="294"/>
      <c r="AH606" s="294"/>
      <c r="AI606" s="294"/>
      <c r="AJ606" s="294"/>
    </row>
    <row r="607" spans="2:36" x14ac:dyDescent="0.25">
      <c r="B607" s="294"/>
      <c r="C607" s="294"/>
      <c r="D607" s="294"/>
      <c r="E607" s="294"/>
      <c r="F607" s="294"/>
      <c r="G607" s="294"/>
      <c r="H607" s="294"/>
      <c r="I607" s="294"/>
      <c r="J607" s="294"/>
      <c r="L607" s="295"/>
      <c r="M607" s="294"/>
      <c r="R607" s="326"/>
      <c r="S607" s="326"/>
      <c r="T607" s="294"/>
      <c r="U607" s="294"/>
      <c r="V607" s="294"/>
      <c r="W607" s="294"/>
      <c r="X607" s="1182"/>
      <c r="Y607" s="1182"/>
      <c r="Z607" s="1166"/>
      <c r="AA607" s="1166"/>
      <c r="AB607" s="1182"/>
      <c r="AC607" s="294"/>
      <c r="AD607" s="294"/>
      <c r="AE607" s="294"/>
      <c r="AF607" s="294"/>
      <c r="AG607" s="294"/>
      <c r="AH607" s="294"/>
      <c r="AI607" s="294"/>
      <c r="AJ607" s="294"/>
    </row>
    <row r="608" spans="2:36" x14ac:dyDescent="0.25">
      <c r="B608" s="294"/>
      <c r="C608" s="294"/>
      <c r="D608" s="294"/>
      <c r="E608" s="294"/>
      <c r="F608" s="294"/>
      <c r="G608" s="294"/>
      <c r="H608" s="294"/>
      <c r="I608" s="294"/>
      <c r="J608" s="294"/>
      <c r="L608" s="295"/>
      <c r="M608" s="294"/>
      <c r="R608" s="326"/>
      <c r="S608" s="326"/>
      <c r="T608" s="294"/>
      <c r="U608" s="294"/>
      <c r="V608" s="294"/>
      <c r="W608" s="294"/>
      <c r="X608" s="1182"/>
      <c r="Y608" s="1182"/>
      <c r="Z608" s="1166"/>
      <c r="AA608" s="1166"/>
      <c r="AB608" s="1182"/>
      <c r="AC608" s="294"/>
      <c r="AD608" s="294"/>
      <c r="AE608" s="294"/>
      <c r="AF608" s="294"/>
      <c r="AG608" s="294"/>
      <c r="AH608" s="294"/>
      <c r="AI608" s="294"/>
      <c r="AJ608" s="294"/>
    </row>
    <row r="609" spans="2:36" x14ac:dyDescent="0.25">
      <c r="B609" s="294"/>
      <c r="C609" s="294"/>
      <c r="D609" s="294"/>
      <c r="E609" s="294"/>
      <c r="F609" s="294"/>
      <c r="G609" s="294"/>
      <c r="H609" s="294"/>
      <c r="I609" s="294"/>
      <c r="J609" s="294"/>
      <c r="L609" s="295"/>
      <c r="M609" s="294"/>
      <c r="R609" s="326"/>
      <c r="S609" s="326"/>
      <c r="T609" s="294"/>
      <c r="U609" s="294"/>
      <c r="V609" s="294"/>
      <c r="W609" s="294"/>
      <c r="X609" s="1182"/>
      <c r="Y609" s="1182"/>
      <c r="Z609" s="1166"/>
      <c r="AA609" s="1166"/>
      <c r="AB609" s="1182"/>
      <c r="AC609" s="294"/>
      <c r="AD609" s="294"/>
      <c r="AE609" s="294"/>
      <c r="AF609" s="294"/>
      <c r="AG609" s="294"/>
      <c r="AH609" s="294"/>
      <c r="AI609" s="294"/>
      <c r="AJ609" s="294"/>
    </row>
    <row r="610" spans="2:36" x14ac:dyDescent="0.25">
      <c r="B610" s="294"/>
      <c r="C610" s="294"/>
      <c r="D610" s="294"/>
      <c r="E610" s="294"/>
      <c r="F610" s="294"/>
      <c r="G610" s="294"/>
      <c r="H610" s="294"/>
      <c r="I610" s="294"/>
      <c r="J610" s="294"/>
      <c r="L610" s="295"/>
      <c r="M610" s="294"/>
      <c r="R610" s="326"/>
      <c r="S610" s="326"/>
      <c r="T610" s="294"/>
      <c r="U610" s="294"/>
      <c r="V610" s="294"/>
      <c r="W610" s="294"/>
      <c r="X610" s="1182"/>
      <c r="Y610" s="1182"/>
      <c r="Z610" s="1166"/>
      <c r="AA610" s="1166"/>
      <c r="AB610" s="1182"/>
      <c r="AC610" s="294"/>
      <c r="AD610" s="294"/>
      <c r="AE610" s="294"/>
      <c r="AF610" s="294"/>
      <c r="AG610" s="294"/>
      <c r="AH610" s="294"/>
      <c r="AI610" s="294"/>
      <c r="AJ610" s="294"/>
    </row>
    <row r="611" spans="2:36" x14ac:dyDescent="0.25">
      <c r="B611" s="294"/>
      <c r="C611" s="294"/>
      <c r="D611" s="294"/>
      <c r="E611" s="294"/>
      <c r="F611" s="294"/>
      <c r="G611" s="294"/>
      <c r="H611" s="294"/>
      <c r="I611" s="294"/>
      <c r="J611" s="294"/>
      <c r="L611" s="295"/>
      <c r="M611" s="294"/>
      <c r="R611" s="326"/>
      <c r="S611" s="326"/>
      <c r="T611" s="294"/>
      <c r="U611" s="294"/>
      <c r="V611" s="294"/>
      <c r="W611" s="294"/>
      <c r="X611" s="1182"/>
      <c r="Y611" s="1182"/>
      <c r="Z611" s="1166"/>
      <c r="AA611" s="1166"/>
      <c r="AB611" s="1182"/>
      <c r="AC611" s="294"/>
      <c r="AD611" s="294"/>
      <c r="AE611" s="294"/>
      <c r="AF611" s="294"/>
      <c r="AG611" s="294"/>
      <c r="AH611" s="294"/>
      <c r="AI611" s="294"/>
      <c r="AJ611" s="294"/>
    </row>
    <row r="612" spans="2:36" x14ac:dyDescent="0.25">
      <c r="B612" s="294"/>
      <c r="C612" s="294"/>
      <c r="D612" s="294"/>
      <c r="E612" s="294"/>
      <c r="F612" s="294"/>
      <c r="G612" s="294"/>
      <c r="H612" s="294"/>
      <c r="I612" s="294"/>
      <c r="J612" s="294"/>
      <c r="L612" s="295"/>
      <c r="M612" s="294"/>
      <c r="R612" s="326"/>
      <c r="S612" s="326"/>
      <c r="T612" s="294"/>
      <c r="U612" s="294"/>
      <c r="V612" s="294"/>
      <c r="W612" s="294"/>
      <c r="X612" s="1182"/>
      <c r="Y612" s="1182"/>
      <c r="Z612" s="1166"/>
      <c r="AA612" s="1166"/>
      <c r="AB612" s="1182"/>
      <c r="AC612" s="294"/>
      <c r="AD612" s="294"/>
      <c r="AE612" s="294"/>
      <c r="AF612" s="294"/>
      <c r="AG612" s="294"/>
      <c r="AH612" s="294"/>
      <c r="AI612" s="294"/>
      <c r="AJ612" s="294"/>
    </row>
    <row r="613" spans="2:36" x14ac:dyDescent="0.25">
      <c r="B613" s="294"/>
      <c r="C613" s="294"/>
      <c r="D613" s="294"/>
      <c r="E613" s="294"/>
      <c r="F613" s="294"/>
      <c r="G613" s="294"/>
      <c r="H613" s="294"/>
      <c r="I613" s="294"/>
      <c r="J613" s="294"/>
      <c r="L613" s="295"/>
      <c r="M613" s="294"/>
      <c r="R613" s="326"/>
      <c r="S613" s="326"/>
      <c r="T613" s="294"/>
      <c r="U613" s="294"/>
      <c r="V613" s="294"/>
      <c r="W613" s="294"/>
      <c r="X613" s="1182"/>
      <c r="Y613" s="1182"/>
      <c r="Z613" s="1166"/>
      <c r="AA613" s="1166"/>
      <c r="AB613" s="1182"/>
      <c r="AC613" s="294"/>
      <c r="AD613" s="294"/>
      <c r="AE613" s="294"/>
      <c r="AF613" s="294"/>
      <c r="AG613" s="294"/>
      <c r="AH613" s="294"/>
      <c r="AI613" s="294"/>
      <c r="AJ613" s="294"/>
    </row>
    <row r="614" spans="2:36" x14ac:dyDescent="0.25">
      <c r="B614" s="294"/>
      <c r="C614" s="294"/>
      <c r="D614" s="294"/>
      <c r="E614" s="294"/>
      <c r="F614" s="294"/>
      <c r="G614" s="294"/>
      <c r="H614" s="294"/>
      <c r="I614" s="294"/>
      <c r="J614" s="294"/>
      <c r="L614" s="295"/>
      <c r="M614" s="294"/>
      <c r="R614" s="326"/>
      <c r="S614" s="326"/>
      <c r="T614" s="294"/>
      <c r="U614" s="294"/>
      <c r="V614" s="294"/>
      <c r="W614" s="294"/>
      <c r="X614" s="1182"/>
      <c r="Y614" s="1182"/>
      <c r="Z614" s="1166"/>
      <c r="AA614" s="1166"/>
      <c r="AB614" s="1182"/>
      <c r="AC614" s="294"/>
      <c r="AD614" s="294"/>
      <c r="AE614" s="294"/>
      <c r="AF614" s="294"/>
      <c r="AG614" s="294"/>
      <c r="AH614" s="294"/>
      <c r="AI614" s="294"/>
      <c r="AJ614" s="294"/>
    </row>
    <row r="615" spans="2:36" x14ac:dyDescent="0.25">
      <c r="B615" s="294"/>
      <c r="C615" s="294"/>
      <c r="D615" s="294"/>
      <c r="E615" s="294"/>
      <c r="F615" s="294"/>
      <c r="G615" s="294"/>
      <c r="H615" s="294"/>
      <c r="I615" s="294"/>
      <c r="J615" s="294"/>
      <c r="L615" s="295"/>
      <c r="M615" s="294"/>
      <c r="R615" s="326"/>
      <c r="S615" s="326"/>
      <c r="T615" s="294"/>
      <c r="U615" s="294"/>
      <c r="V615" s="294"/>
      <c r="W615" s="294"/>
      <c r="X615" s="1182"/>
      <c r="Y615" s="1182"/>
      <c r="Z615" s="1166"/>
      <c r="AA615" s="1166"/>
      <c r="AB615" s="1182"/>
      <c r="AC615" s="294"/>
      <c r="AD615" s="294"/>
      <c r="AE615" s="294"/>
      <c r="AF615" s="294"/>
      <c r="AG615" s="294"/>
      <c r="AH615" s="294"/>
      <c r="AI615" s="294"/>
      <c r="AJ615" s="294"/>
    </row>
    <row r="616" spans="2:36" x14ac:dyDescent="0.25">
      <c r="B616" s="294"/>
      <c r="C616" s="294"/>
      <c r="D616" s="294"/>
      <c r="E616" s="294"/>
      <c r="F616" s="294"/>
      <c r="G616" s="294"/>
      <c r="H616" s="294"/>
      <c r="I616" s="294"/>
      <c r="J616" s="294"/>
      <c r="L616" s="295"/>
      <c r="M616" s="294"/>
      <c r="R616" s="326"/>
      <c r="S616" s="326"/>
      <c r="T616" s="294"/>
      <c r="U616" s="294"/>
      <c r="V616" s="294"/>
      <c r="W616" s="294"/>
      <c r="X616" s="1182"/>
      <c r="Y616" s="1182"/>
      <c r="Z616" s="1166"/>
      <c r="AA616" s="1166"/>
      <c r="AB616" s="1182"/>
      <c r="AC616" s="294"/>
      <c r="AD616" s="294"/>
      <c r="AE616" s="294"/>
      <c r="AF616" s="294"/>
      <c r="AG616" s="294"/>
      <c r="AH616" s="294"/>
      <c r="AI616" s="294"/>
      <c r="AJ616" s="294"/>
    </row>
    <row r="617" spans="2:36" x14ac:dyDescent="0.25">
      <c r="B617" s="294"/>
      <c r="C617" s="294"/>
      <c r="D617" s="294"/>
      <c r="E617" s="294"/>
      <c r="F617" s="294"/>
      <c r="G617" s="294"/>
      <c r="H617" s="294"/>
      <c r="I617" s="294"/>
      <c r="J617" s="294"/>
      <c r="L617" s="295"/>
      <c r="M617" s="294"/>
      <c r="R617" s="326"/>
      <c r="S617" s="326"/>
      <c r="T617" s="294"/>
      <c r="U617" s="294"/>
      <c r="V617" s="294"/>
      <c r="W617" s="294"/>
      <c r="X617" s="1182"/>
      <c r="Y617" s="1182"/>
      <c r="Z617" s="1166"/>
      <c r="AA617" s="1166"/>
      <c r="AB617" s="1182"/>
      <c r="AC617" s="294"/>
      <c r="AD617" s="294"/>
      <c r="AE617" s="294"/>
      <c r="AF617" s="294"/>
      <c r="AG617" s="294"/>
      <c r="AH617" s="294"/>
      <c r="AI617" s="294"/>
      <c r="AJ617" s="294"/>
    </row>
    <row r="618" spans="2:36" x14ac:dyDescent="0.25">
      <c r="B618" s="294"/>
      <c r="C618" s="294"/>
      <c r="D618" s="294"/>
      <c r="E618" s="294"/>
      <c r="F618" s="294"/>
      <c r="G618" s="294"/>
      <c r="H618" s="294"/>
      <c r="I618" s="294"/>
      <c r="J618" s="294"/>
      <c r="L618" s="295"/>
      <c r="M618" s="294"/>
      <c r="R618" s="326"/>
      <c r="S618" s="326"/>
      <c r="T618" s="294"/>
      <c r="U618" s="294"/>
      <c r="V618" s="294"/>
      <c r="W618" s="294"/>
      <c r="X618" s="1182"/>
      <c r="Y618" s="1182"/>
      <c r="Z618" s="1166"/>
      <c r="AA618" s="1166"/>
      <c r="AB618" s="1182"/>
      <c r="AC618" s="294"/>
      <c r="AD618" s="294"/>
      <c r="AE618" s="294"/>
      <c r="AF618" s="294"/>
      <c r="AG618" s="294"/>
      <c r="AH618" s="294"/>
      <c r="AI618" s="294"/>
      <c r="AJ618" s="294"/>
    </row>
    <row r="619" spans="2:36" x14ac:dyDescent="0.25">
      <c r="B619" s="294"/>
      <c r="C619" s="294"/>
      <c r="D619" s="294"/>
      <c r="E619" s="294"/>
      <c r="F619" s="294"/>
      <c r="G619" s="294"/>
      <c r="H619" s="294"/>
      <c r="I619" s="294"/>
      <c r="J619" s="294"/>
      <c r="L619" s="295"/>
      <c r="M619" s="294"/>
      <c r="R619" s="326"/>
      <c r="S619" s="326"/>
      <c r="T619" s="294"/>
      <c r="U619" s="294"/>
      <c r="V619" s="294"/>
      <c r="W619" s="294"/>
      <c r="X619" s="1182"/>
      <c r="Y619" s="1182"/>
      <c r="Z619" s="1166"/>
      <c r="AA619" s="1166"/>
      <c r="AB619" s="1182"/>
      <c r="AC619" s="294"/>
      <c r="AD619" s="294"/>
      <c r="AE619" s="294"/>
      <c r="AF619" s="294"/>
      <c r="AG619" s="294"/>
      <c r="AH619" s="294"/>
      <c r="AI619" s="294"/>
      <c r="AJ619" s="294"/>
    </row>
    <row r="620" spans="2:36" x14ac:dyDescent="0.25">
      <c r="B620" s="294"/>
      <c r="C620" s="294"/>
      <c r="D620" s="294"/>
      <c r="E620" s="294"/>
      <c r="F620" s="294"/>
      <c r="G620" s="294"/>
      <c r="H620" s="294"/>
      <c r="I620" s="294"/>
      <c r="J620" s="294"/>
      <c r="L620" s="295"/>
      <c r="M620" s="294"/>
      <c r="R620" s="326"/>
      <c r="S620" s="326"/>
      <c r="T620" s="294"/>
      <c r="U620" s="294"/>
      <c r="V620" s="294"/>
      <c r="W620" s="294"/>
      <c r="X620" s="1182"/>
      <c r="Y620" s="1182"/>
      <c r="Z620" s="1166"/>
      <c r="AA620" s="1166"/>
      <c r="AB620" s="1182"/>
      <c r="AC620" s="294"/>
      <c r="AD620" s="294"/>
      <c r="AE620" s="294"/>
      <c r="AF620" s="294"/>
      <c r="AG620" s="294"/>
      <c r="AH620" s="294"/>
      <c r="AI620" s="294"/>
      <c r="AJ620" s="294"/>
    </row>
    <row r="621" spans="2:36" x14ac:dyDescent="0.25">
      <c r="B621" s="294"/>
      <c r="C621" s="294"/>
      <c r="D621" s="294"/>
      <c r="E621" s="294"/>
      <c r="F621" s="294"/>
      <c r="G621" s="294"/>
      <c r="H621" s="294"/>
      <c r="I621" s="294"/>
      <c r="J621" s="294"/>
      <c r="L621" s="295"/>
      <c r="M621" s="294"/>
      <c r="R621" s="326"/>
      <c r="S621" s="326"/>
      <c r="T621" s="294"/>
      <c r="U621" s="294"/>
      <c r="V621" s="294"/>
      <c r="W621" s="294"/>
      <c r="X621" s="1182"/>
      <c r="Y621" s="1182"/>
      <c r="Z621" s="1166"/>
      <c r="AA621" s="1166"/>
      <c r="AB621" s="1182"/>
      <c r="AC621" s="294"/>
      <c r="AD621" s="294"/>
      <c r="AE621" s="294"/>
      <c r="AF621" s="294"/>
      <c r="AG621" s="294"/>
      <c r="AH621" s="294"/>
      <c r="AI621" s="294"/>
      <c r="AJ621" s="294"/>
    </row>
    <row r="622" spans="2:36" x14ac:dyDescent="0.25">
      <c r="B622" s="294"/>
      <c r="C622" s="294"/>
      <c r="D622" s="294"/>
      <c r="E622" s="294"/>
      <c r="F622" s="294"/>
      <c r="G622" s="294"/>
      <c r="H622" s="294"/>
      <c r="I622" s="294"/>
      <c r="J622" s="294"/>
      <c r="L622" s="295"/>
      <c r="M622" s="294"/>
      <c r="R622" s="326"/>
      <c r="S622" s="326"/>
      <c r="T622" s="294"/>
      <c r="U622" s="294"/>
      <c r="V622" s="294"/>
      <c r="W622" s="294"/>
      <c r="X622" s="1182"/>
      <c r="Y622" s="1182"/>
      <c r="Z622" s="1166"/>
      <c r="AA622" s="1166"/>
      <c r="AB622" s="1182"/>
      <c r="AC622" s="294"/>
      <c r="AD622" s="294"/>
      <c r="AE622" s="294"/>
      <c r="AF622" s="294"/>
      <c r="AG622" s="294"/>
      <c r="AH622" s="294"/>
      <c r="AI622" s="294"/>
      <c r="AJ622" s="294"/>
    </row>
    <row r="623" spans="2:36" x14ac:dyDescent="0.25">
      <c r="B623" s="294"/>
      <c r="C623" s="294"/>
      <c r="D623" s="294"/>
      <c r="E623" s="294"/>
      <c r="F623" s="294"/>
      <c r="G623" s="294"/>
      <c r="H623" s="294"/>
      <c r="I623" s="294"/>
      <c r="J623" s="294"/>
      <c r="L623" s="295"/>
      <c r="M623" s="294"/>
      <c r="R623" s="326"/>
      <c r="S623" s="326"/>
      <c r="T623" s="294"/>
      <c r="U623" s="294"/>
      <c r="V623" s="294"/>
      <c r="W623" s="294"/>
      <c r="X623" s="1182"/>
      <c r="Y623" s="1182"/>
      <c r="Z623" s="1166"/>
      <c r="AA623" s="1166"/>
      <c r="AB623" s="1182"/>
      <c r="AC623" s="294"/>
      <c r="AD623" s="294"/>
      <c r="AE623" s="294"/>
      <c r="AF623" s="294"/>
      <c r="AG623" s="294"/>
      <c r="AH623" s="294"/>
      <c r="AI623" s="294"/>
      <c r="AJ623" s="294"/>
    </row>
    <row r="624" spans="2:36" x14ac:dyDescent="0.25">
      <c r="B624" s="294"/>
      <c r="C624" s="294"/>
      <c r="D624" s="294"/>
      <c r="E624" s="294"/>
      <c r="F624" s="294"/>
      <c r="G624" s="294"/>
      <c r="H624" s="294"/>
      <c r="I624" s="294"/>
      <c r="J624" s="294"/>
      <c r="L624" s="295"/>
      <c r="M624" s="294"/>
      <c r="R624" s="326"/>
      <c r="S624" s="326"/>
      <c r="T624" s="294"/>
      <c r="U624" s="294"/>
      <c r="V624" s="294"/>
      <c r="W624" s="294"/>
      <c r="X624" s="1182"/>
      <c r="Y624" s="1182"/>
      <c r="Z624" s="1166"/>
      <c r="AA624" s="1166"/>
      <c r="AB624" s="1182"/>
      <c r="AC624" s="294"/>
      <c r="AD624" s="294"/>
      <c r="AE624" s="294"/>
      <c r="AF624" s="294"/>
      <c r="AG624" s="294"/>
      <c r="AH624" s="294"/>
      <c r="AI624" s="294"/>
      <c r="AJ624" s="294"/>
    </row>
    <row r="625" spans="2:36" x14ac:dyDescent="0.25">
      <c r="B625" s="294"/>
      <c r="C625" s="294"/>
      <c r="D625" s="294"/>
      <c r="E625" s="294"/>
      <c r="F625" s="294"/>
      <c r="G625" s="294"/>
      <c r="H625" s="294"/>
      <c r="I625" s="294"/>
      <c r="J625" s="294"/>
      <c r="L625" s="295"/>
      <c r="M625" s="294"/>
      <c r="R625" s="326"/>
      <c r="S625" s="326"/>
      <c r="T625" s="294"/>
      <c r="U625" s="294"/>
      <c r="V625" s="294"/>
      <c r="W625" s="294"/>
      <c r="X625" s="1182"/>
      <c r="Y625" s="1182"/>
      <c r="Z625" s="1166"/>
      <c r="AA625" s="1166"/>
      <c r="AB625" s="1182"/>
      <c r="AC625" s="294"/>
      <c r="AD625" s="294"/>
      <c r="AE625" s="294"/>
      <c r="AF625" s="294"/>
      <c r="AG625" s="294"/>
      <c r="AH625" s="294"/>
      <c r="AI625" s="294"/>
      <c r="AJ625" s="294"/>
    </row>
    <row r="626" spans="2:36" x14ac:dyDescent="0.25">
      <c r="B626" s="294"/>
      <c r="C626" s="294"/>
      <c r="D626" s="294"/>
      <c r="E626" s="294"/>
      <c r="F626" s="294"/>
      <c r="G626" s="294"/>
      <c r="H626" s="294"/>
      <c r="I626" s="294"/>
      <c r="J626" s="294"/>
      <c r="L626" s="295"/>
      <c r="M626" s="294"/>
      <c r="R626" s="326"/>
      <c r="S626" s="326"/>
      <c r="T626" s="294"/>
      <c r="U626" s="294"/>
      <c r="V626" s="294"/>
      <c r="W626" s="294"/>
      <c r="X626" s="1182"/>
      <c r="Y626" s="1182"/>
      <c r="Z626" s="1166"/>
      <c r="AA626" s="1166"/>
      <c r="AB626" s="1182"/>
      <c r="AC626" s="294"/>
      <c r="AD626" s="294"/>
      <c r="AE626" s="294"/>
      <c r="AF626" s="294"/>
      <c r="AG626" s="294"/>
      <c r="AH626" s="294"/>
      <c r="AI626" s="294"/>
      <c r="AJ626" s="294"/>
    </row>
    <row r="627" spans="2:36" x14ac:dyDescent="0.25">
      <c r="B627" s="294"/>
      <c r="C627" s="294"/>
      <c r="D627" s="294"/>
      <c r="E627" s="294"/>
      <c r="F627" s="294"/>
      <c r="G627" s="294"/>
      <c r="H627" s="294"/>
      <c r="I627" s="294"/>
      <c r="J627" s="294"/>
      <c r="L627" s="295"/>
      <c r="M627" s="294"/>
      <c r="R627" s="326"/>
      <c r="S627" s="326"/>
      <c r="T627" s="294"/>
      <c r="U627" s="294"/>
      <c r="V627" s="294"/>
      <c r="W627" s="294"/>
      <c r="X627" s="1182"/>
      <c r="Y627" s="1182"/>
      <c r="Z627" s="1166"/>
      <c r="AA627" s="1166"/>
      <c r="AB627" s="1182"/>
      <c r="AC627" s="294"/>
      <c r="AD627" s="294"/>
      <c r="AE627" s="294"/>
      <c r="AF627" s="294"/>
      <c r="AG627" s="294"/>
      <c r="AH627" s="294"/>
      <c r="AI627" s="294"/>
      <c r="AJ627" s="294"/>
    </row>
    <row r="628" spans="2:36" x14ac:dyDescent="0.25">
      <c r="B628" s="294"/>
      <c r="C628" s="294"/>
      <c r="D628" s="294"/>
      <c r="E628" s="294"/>
      <c r="F628" s="294"/>
      <c r="G628" s="294"/>
      <c r="H628" s="294"/>
      <c r="I628" s="294"/>
      <c r="J628" s="294"/>
      <c r="L628" s="295"/>
      <c r="M628" s="294"/>
      <c r="R628" s="326"/>
      <c r="S628" s="326"/>
      <c r="T628" s="294"/>
      <c r="U628" s="294"/>
      <c r="V628" s="294"/>
      <c r="W628" s="294"/>
      <c r="X628" s="1182"/>
      <c r="Y628" s="1182"/>
      <c r="Z628" s="1166"/>
      <c r="AA628" s="1166"/>
      <c r="AB628" s="1182"/>
      <c r="AC628" s="294"/>
      <c r="AD628" s="294"/>
      <c r="AE628" s="294"/>
      <c r="AF628" s="294"/>
      <c r="AG628" s="294"/>
      <c r="AH628" s="294"/>
      <c r="AI628" s="294"/>
      <c r="AJ628" s="294"/>
    </row>
    <row r="629" spans="2:36" x14ac:dyDescent="0.25">
      <c r="B629" s="294"/>
      <c r="C629" s="294"/>
      <c r="D629" s="294"/>
      <c r="E629" s="294"/>
      <c r="F629" s="294"/>
      <c r="G629" s="294"/>
      <c r="H629" s="294"/>
      <c r="I629" s="294"/>
      <c r="J629" s="294"/>
      <c r="L629" s="295"/>
      <c r="M629" s="294"/>
      <c r="R629" s="326"/>
      <c r="S629" s="326"/>
      <c r="T629" s="294"/>
      <c r="U629" s="294"/>
      <c r="V629" s="294"/>
      <c r="W629" s="294"/>
      <c r="X629" s="1182"/>
      <c r="Y629" s="1182"/>
      <c r="Z629" s="1166"/>
      <c r="AA629" s="1166"/>
      <c r="AB629" s="1182"/>
      <c r="AC629" s="294"/>
      <c r="AD629" s="294"/>
      <c r="AE629" s="294"/>
      <c r="AF629" s="294"/>
      <c r="AG629" s="294"/>
      <c r="AH629" s="294"/>
      <c r="AI629" s="294"/>
      <c r="AJ629" s="294"/>
    </row>
    <row r="630" spans="2:36" x14ac:dyDescent="0.25">
      <c r="B630" s="294"/>
      <c r="C630" s="294"/>
      <c r="D630" s="294"/>
      <c r="E630" s="294"/>
      <c r="F630" s="294"/>
      <c r="G630" s="294"/>
      <c r="H630" s="294"/>
      <c r="I630" s="294"/>
      <c r="J630" s="294"/>
      <c r="L630" s="295"/>
      <c r="M630" s="294"/>
      <c r="R630" s="326"/>
      <c r="S630" s="326"/>
      <c r="T630" s="294"/>
      <c r="U630" s="294"/>
      <c r="V630" s="294"/>
      <c r="W630" s="294"/>
      <c r="X630" s="1182"/>
      <c r="Y630" s="1182"/>
      <c r="Z630" s="1166"/>
      <c r="AA630" s="1166"/>
      <c r="AB630" s="1182"/>
      <c r="AC630" s="294"/>
      <c r="AD630" s="294"/>
      <c r="AE630" s="294"/>
      <c r="AF630" s="294"/>
      <c r="AG630" s="294"/>
      <c r="AH630" s="294"/>
      <c r="AI630" s="294"/>
      <c r="AJ630" s="294"/>
    </row>
    <row r="631" spans="2:36" x14ac:dyDescent="0.25">
      <c r="B631" s="294"/>
      <c r="C631" s="294"/>
      <c r="D631" s="294"/>
      <c r="E631" s="294"/>
      <c r="F631" s="294"/>
      <c r="G631" s="294"/>
      <c r="H631" s="294"/>
      <c r="I631" s="294"/>
      <c r="J631" s="294"/>
      <c r="L631" s="295"/>
      <c r="M631" s="294"/>
      <c r="R631" s="326"/>
      <c r="S631" s="326"/>
      <c r="T631" s="294"/>
      <c r="U631" s="294"/>
      <c r="V631" s="294"/>
      <c r="W631" s="294"/>
      <c r="X631" s="1182"/>
      <c r="Y631" s="1182"/>
      <c r="Z631" s="1166"/>
      <c r="AA631" s="1166"/>
      <c r="AB631" s="1182"/>
      <c r="AC631" s="294"/>
      <c r="AD631" s="294"/>
      <c r="AE631" s="294"/>
      <c r="AF631" s="294"/>
      <c r="AG631" s="294"/>
      <c r="AH631" s="294"/>
      <c r="AI631" s="294"/>
      <c r="AJ631" s="294"/>
    </row>
    <row r="632" spans="2:36" x14ac:dyDescent="0.25">
      <c r="B632" s="294"/>
      <c r="C632" s="294"/>
      <c r="D632" s="294"/>
      <c r="E632" s="294"/>
      <c r="F632" s="294"/>
      <c r="G632" s="294"/>
      <c r="H632" s="294"/>
      <c r="I632" s="294"/>
      <c r="J632" s="294"/>
      <c r="L632" s="295"/>
      <c r="M632" s="294"/>
      <c r="R632" s="326"/>
      <c r="S632" s="326"/>
      <c r="T632" s="294"/>
      <c r="U632" s="294"/>
      <c r="V632" s="294"/>
      <c r="W632" s="294"/>
      <c r="X632" s="1182"/>
      <c r="Y632" s="1182"/>
      <c r="Z632" s="1166"/>
      <c r="AA632" s="1166"/>
      <c r="AB632" s="1182"/>
      <c r="AC632" s="294"/>
      <c r="AD632" s="294"/>
      <c r="AE632" s="294"/>
      <c r="AF632" s="294"/>
      <c r="AG632" s="294"/>
      <c r="AH632" s="294"/>
      <c r="AI632" s="294"/>
      <c r="AJ632" s="294"/>
    </row>
    <row r="633" spans="2:36" x14ac:dyDescent="0.25">
      <c r="B633" s="294"/>
      <c r="C633" s="294"/>
      <c r="D633" s="294"/>
      <c r="E633" s="294"/>
      <c r="F633" s="294"/>
      <c r="G633" s="294"/>
      <c r="H633" s="294"/>
      <c r="I633" s="294"/>
      <c r="J633" s="294"/>
      <c r="L633" s="295"/>
      <c r="M633" s="294"/>
      <c r="R633" s="326"/>
      <c r="S633" s="326"/>
      <c r="T633" s="294"/>
      <c r="U633" s="294"/>
      <c r="V633" s="294"/>
      <c r="W633" s="294"/>
      <c r="X633" s="1182"/>
      <c r="Y633" s="1182"/>
      <c r="Z633" s="1166"/>
      <c r="AA633" s="1166"/>
      <c r="AB633" s="1182"/>
      <c r="AC633" s="294"/>
      <c r="AD633" s="294"/>
      <c r="AE633" s="294"/>
      <c r="AF633" s="294"/>
      <c r="AG633" s="294"/>
      <c r="AH633" s="294"/>
      <c r="AI633" s="294"/>
      <c r="AJ633" s="294"/>
    </row>
    <row r="634" spans="2:36" x14ac:dyDescent="0.25">
      <c r="B634" s="294"/>
      <c r="C634" s="294"/>
      <c r="D634" s="294"/>
      <c r="E634" s="294"/>
      <c r="F634" s="294"/>
      <c r="G634" s="294"/>
      <c r="H634" s="294"/>
      <c r="I634" s="294"/>
      <c r="J634" s="294"/>
      <c r="L634" s="295"/>
      <c r="M634" s="294"/>
      <c r="R634" s="326"/>
      <c r="S634" s="326"/>
      <c r="T634" s="294"/>
      <c r="U634" s="294"/>
      <c r="V634" s="294"/>
      <c r="W634" s="294"/>
      <c r="X634" s="1182"/>
      <c r="Y634" s="1182"/>
      <c r="Z634" s="1166"/>
      <c r="AA634" s="1166"/>
      <c r="AB634" s="1182"/>
      <c r="AC634" s="294"/>
      <c r="AD634" s="294"/>
      <c r="AE634" s="294"/>
      <c r="AF634" s="294"/>
      <c r="AG634" s="294"/>
      <c r="AH634" s="294"/>
      <c r="AI634" s="294"/>
      <c r="AJ634" s="294"/>
    </row>
    <row r="635" spans="2:36" x14ac:dyDescent="0.25">
      <c r="B635" s="294"/>
      <c r="C635" s="294"/>
      <c r="D635" s="294"/>
      <c r="E635" s="294"/>
      <c r="F635" s="294"/>
      <c r="G635" s="294"/>
      <c r="H635" s="294"/>
      <c r="I635" s="294"/>
      <c r="J635" s="294"/>
      <c r="L635" s="295"/>
      <c r="M635" s="294"/>
      <c r="R635" s="326"/>
      <c r="S635" s="326"/>
      <c r="T635" s="294"/>
      <c r="U635" s="294"/>
      <c r="V635" s="294"/>
      <c r="W635" s="294"/>
      <c r="X635" s="1182"/>
      <c r="Y635" s="1182"/>
      <c r="Z635" s="1166"/>
      <c r="AA635" s="1166"/>
      <c r="AB635" s="1182"/>
      <c r="AC635" s="294"/>
      <c r="AD635" s="294"/>
      <c r="AE635" s="294"/>
      <c r="AF635" s="294"/>
      <c r="AG635" s="294"/>
      <c r="AH635" s="294"/>
      <c r="AI635" s="294"/>
      <c r="AJ635" s="294"/>
    </row>
    <row r="636" spans="2:36" x14ac:dyDescent="0.25">
      <c r="B636" s="294"/>
      <c r="C636" s="294"/>
      <c r="D636" s="294"/>
      <c r="E636" s="294"/>
      <c r="F636" s="294"/>
      <c r="G636" s="294"/>
      <c r="H636" s="294"/>
      <c r="I636" s="294"/>
      <c r="J636" s="294"/>
      <c r="L636" s="295"/>
      <c r="M636" s="294"/>
      <c r="R636" s="326"/>
      <c r="S636" s="326"/>
      <c r="T636" s="294"/>
      <c r="U636" s="294"/>
      <c r="V636" s="294"/>
      <c r="W636" s="294"/>
      <c r="X636" s="1182"/>
      <c r="Y636" s="1182"/>
      <c r="Z636" s="1166"/>
      <c r="AA636" s="1166"/>
      <c r="AB636" s="1182"/>
      <c r="AC636" s="294"/>
      <c r="AD636" s="294"/>
      <c r="AE636" s="294"/>
      <c r="AF636" s="294"/>
      <c r="AG636" s="294"/>
      <c r="AH636" s="294"/>
      <c r="AI636" s="294"/>
      <c r="AJ636" s="294"/>
    </row>
    <row r="637" spans="2:36" x14ac:dyDescent="0.25">
      <c r="B637" s="294"/>
      <c r="C637" s="294"/>
      <c r="D637" s="294"/>
      <c r="E637" s="294"/>
      <c r="F637" s="294"/>
      <c r="G637" s="294"/>
      <c r="H637" s="294"/>
      <c r="I637" s="294"/>
      <c r="J637" s="294"/>
      <c r="L637" s="295"/>
      <c r="M637" s="294"/>
      <c r="R637" s="326"/>
      <c r="S637" s="326"/>
      <c r="T637" s="294"/>
      <c r="U637" s="294"/>
      <c r="V637" s="294"/>
      <c r="W637" s="294"/>
      <c r="X637" s="1182"/>
      <c r="Y637" s="1182"/>
      <c r="Z637" s="1166"/>
      <c r="AA637" s="1166"/>
      <c r="AB637" s="1182"/>
      <c r="AC637" s="294"/>
      <c r="AD637" s="294"/>
      <c r="AE637" s="294"/>
      <c r="AF637" s="294"/>
      <c r="AG637" s="294"/>
      <c r="AH637" s="294"/>
      <c r="AI637" s="294"/>
      <c r="AJ637" s="294"/>
    </row>
    <row r="638" spans="2:36" x14ac:dyDescent="0.25">
      <c r="B638" s="294"/>
      <c r="C638" s="294"/>
      <c r="D638" s="294"/>
      <c r="E638" s="294"/>
      <c r="F638" s="294"/>
      <c r="G638" s="294"/>
      <c r="H638" s="294"/>
      <c r="I638" s="294"/>
      <c r="J638" s="294"/>
      <c r="L638" s="295"/>
      <c r="M638" s="294"/>
      <c r="R638" s="326"/>
      <c r="S638" s="326"/>
      <c r="T638" s="294"/>
      <c r="U638" s="294"/>
      <c r="V638" s="294"/>
      <c r="W638" s="294"/>
      <c r="X638" s="1182"/>
      <c r="Y638" s="1182"/>
      <c r="Z638" s="1166"/>
      <c r="AA638" s="1166"/>
      <c r="AB638" s="1182"/>
      <c r="AC638" s="294"/>
      <c r="AD638" s="294"/>
      <c r="AE638" s="294"/>
      <c r="AF638" s="294"/>
      <c r="AG638" s="294"/>
      <c r="AH638" s="294"/>
      <c r="AI638" s="294"/>
      <c r="AJ638" s="294"/>
    </row>
    <row r="639" spans="2:36" x14ac:dyDescent="0.25">
      <c r="B639" s="294"/>
      <c r="C639" s="294"/>
      <c r="D639" s="294"/>
      <c r="E639" s="294"/>
      <c r="F639" s="294"/>
      <c r="G639" s="294"/>
      <c r="H639" s="294"/>
      <c r="I639" s="294"/>
      <c r="J639" s="294"/>
      <c r="L639" s="295"/>
      <c r="M639" s="294"/>
      <c r="R639" s="326"/>
      <c r="S639" s="326"/>
      <c r="T639" s="294"/>
      <c r="U639" s="294"/>
      <c r="V639" s="294"/>
      <c r="W639" s="294"/>
      <c r="X639" s="1182"/>
      <c r="Y639" s="1182"/>
      <c r="Z639" s="1166"/>
      <c r="AA639" s="1166"/>
      <c r="AB639" s="1182"/>
      <c r="AC639" s="294"/>
      <c r="AD639" s="294"/>
      <c r="AE639" s="294"/>
      <c r="AF639" s="294"/>
      <c r="AG639" s="294"/>
      <c r="AH639" s="294"/>
      <c r="AI639" s="294"/>
      <c r="AJ639" s="294"/>
    </row>
    <row r="640" spans="2:36" x14ac:dyDescent="0.25">
      <c r="B640" s="294"/>
      <c r="C640" s="294"/>
      <c r="D640" s="294"/>
      <c r="E640" s="294"/>
      <c r="F640" s="294"/>
      <c r="G640" s="294"/>
      <c r="H640" s="294"/>
      <c r="I640" s="294"/>
      <c r="J640" s="294"/>
      <c r="L640" s="295"/>
      <c r="M640" s="294"/>
      <c r="R640" s="326"/>
      <c r="S640" s="326"/>
      <c r="T640" s="294"/>
      <c r="U640" s="294"/>
      <c r="V640" s="294"/>
      <c r="W640" s="294"/>
      <c r="X640" s="1182"/>
      <c r="Y640" s="1182"/>
      <c r="Z640" s="1166"/>
      <c r="AA640" s="1166"/>
      <c r="AB640" s="1182"/>
      <c r="AC640" s="294"/>
      <c r="AD640" s="294"/>
      <c r="AE640" s="294"/>
      <c r="AF640" s="294"/>
      <c r="AG640" s="294"/>
      <c r="AH640" s="294"/>
      <c r="AI640" s="294"/>
      <c r="AJ640" s="294"/>
    </row>
    <row r="641" spans="2:36" x14ac:dyDescent="0.25">
      <c r="B641" s="294"/>
      <c r="C641" s="294"/>
      <c r="D641" s="294"/>
      <c r="E641" s="294"/>
      <c r="F641" s="294"/>
      <c r="G641" s="294"/>
      <c r="H641" s="294"/>
      <c r="I641" s="294"/>
      <c r="J641" s="294"/>
      <c r="L641" s="295"/>
      <c r="M641" s="294"/>
      <c r="R641" s="326"/>
      <c r="S641" s="326"/>
      <c r="T641" s="294"/>
      <c r="U641" s="294"/>
      <c r="V641" s="294"/>
      <c r="W641" s="294"/>
      <c r="X641" s="1182"/>
      <c r="Y641" s="1182"/>
      <c r="Z641" s="1166"/>
      <c r="AA641" s="1166"/>
      <c r="AB641" s="1182"/>
      <c r="AC641" s="294"/>
      <c r="AD641" s="294"/>
      <c r="AE641" s="294"/>
      <c r="AF641" s="294"/>
      <c r="AG641" s="294"/>
      <c r="AH641" s="294"/>
      <c r="AI641" s="294"/>
      <c r="AJ641" s="294"/>
    </row>
    <row r="642" spans="2:36" x14ac:dyDescent="0.25">
      <c r="B642" s="294"/>
      <c r="C642" s="294"/>
      <c r="D642" s="294"/>
      <c r="E642" s="294"/>
      <c r="F642" s="294"/>
      <c r="G642" s="294"/>
      <c r="H642" s="294"/>
      <c r="I642" s="294"/>
      <c r="J642" s="294"/>
      <c r="L642" s="295"/>
      <c r="M642" s="294"/>
      <c r="R642" s="326"/>
      <c r="S642" s="326"/>
      <c r="T642" s="294"/>
      <c r="U642" s="294"/>
      <c r="V642" s="294"/>
      <c r="W642" s="294"/>
      <c r="X642" s="1182"/>
      <c r="Y642" s="1182"/>
      <c r="Z642" s="1166"/>
      <c r="AA642" s="1166"/>
      <c r="AB642" s="1182"/>
      <c r="AC642" s="294"/>
      <c r="AD642" s="294"/>
      <c r="AE642" s="294"/>
      <c r="AF642" s="294"/>
      <c r="AG642" s="294"/>
      <c r="AH642" s="294"/>
      <c r="AI642" s="294"/>
      <c r="AJ642" s="294"/>
    </row>
    <row r="643" spans="2:36" x14ac:dyDescent="0.25">
      <c r="B643" s="294"/>
      <c r="C643" s="294"/>
      <c r="D643" s="294"/>
      <c r="E643" s="294"/>
      <c r="F643" s="294"/>
      <c r="G643" s="294"/>
      <c r="H643" s="294"/>
      <c r="I643" s="294"/>
      <c r="J643" s="294"/>
      <c r="L643" s="295"/>
      <c r="M643" s="294"/>
      <c r="R643" s="326"/>
      <c r="S643" s="326"/>
      <c r="T643" s="294"/>
      <c r="U643" s="294"/>
      <c r="V643" s="294"/>
      <c r="W643" s="294"/>
      <c r="X643" s="1182"/>
      <c r="Y643" s="1182"/>
      <c r="Z643" s="1166"/>
      <c r="AA643" s="1166"/>
      <c r="AB643" s="1182"/>
      <c r="AC643" s="294"/>
      <c r="AD643" s="294"/>
      <c r="AE643" s="294"/>
      <c r="AF643" s="294"/>
      <c r="AG643" s="294"/>
      <c r="AH643" s="294"/>
      <c r="AI643" s="294"/>
      <c r="AJ643" s="294"/>
    </row>
    <row r="644" spans="2:36" x14ac:dyDescent="0.25">
      <c r="B644" s="294"/>
      <c r="C644" s="294"/>
      <c r="D644" s="294"/>
      <c r="E644" s="294"/>
      <c r="F644" s="294"/>
      <c r="G644" s="294"/>
      <c r="H644" s="294"/>
      <c r="I644" s="294"/>
      <c r="J644" s="294"/>
      <c r="L644" s="295"/>
      <c r="M644" s="294"/>
      <c r="R644" s="326"/>
      <c r="S644" s="326"/>
      <c r="T644" s="294"/>
      <c r="U644" s="294"/>
      <c r="V644" s="294"/>
      <c r="W644" s="294"/>
      <c r="X644" s="1182"/>
      <c r="Y644" s="1182"/>
      <c r="Z644" s="1166"/>
      <c r="AA644" s="1166"/>
      <c r="AB644" s="1182"/>
      <c r="AC644" s="294"/>
      <c r="AD644" s="294"/>
      <c r="AE644" s="294"/>
      <c r="AF644" s="294"/>
      <c r="AG644" s="294"/>
      <c r="AH644" s="294"/>
      <c r="AI644" s="294"/>
      <c r="AJ644" s="294"/>
    </row>
    <row r="645" spans="2:36" x14ac:dyDescent="0.25">
      <c r="B645" s="294"/>
      <c r="C645" s="294"/>
      <c r="D645" s="294"/>
      <c r="E645" s="294"/>
      <c r="F645" s="294"/>
      <c r="G645" s="294"/>
      <c r="H645" s="294"/>
      <c r="I645" s="294"/>
      <c r="J645" s="294"/>
      <c r="L645" s="295"/>
      <c r="M645" s="294"/>
      <c r="R645" s="326"/>
      <c r="S645" s="326"/>
      <c r="T645" s="294"/>
      <c r="U645" s="294"/>
      <c r="V645" s="294"/>
      <c r="W645" s="294"/>
      <c r="X645" s="1182"/>
      <c r="Y645" s="1182"/>
      <c r="Z645" s="1166"/>
      <c r="AA645" s="1166"/>
      <c r="AB645" s="1182"/>
      <c r="AC645" s="294"/>
      <c r="AD645" s="294"/>
      <c r="AE645" s="294"/>
      <c r="AF645" s="294"/>
      <c r="AG645" s="294"/>
      <c r="AH645" s="294"/>
      <c r="AI645" s="294"/>
      <c r="AJ645" s="294"/>
    </row>
    <row r="646" spans="2:36" x14ac:dyDescent="0.25">
      <c r="B646" s="294"/>
      <c r="C646" s="294"/>
      <c r="D646" s="294"/>
      <c r="E646" s="294"/>
      <c r="F646" s="294"/>
      <c r="G646" s="294"/>
      <c r="H646" s="294"/>
      <c r="I646" s="294"/>
      <c r="J646" s="294"/>
      <c r="L646" s="295"/>
      <c r="M646" s="294"/>
      <c r="R646" s="326"/>
      <c r="S646" s="326"/>
      <c r="T646" s="294"/>
      <c r="U646" s="294"/>
      <c r="V646" s="294"/>
      <c r="W646" s="294"/>
      <c r="X646" s="1182"/>
      <c r="Y646" s="1182"/>
      <c r="Z646" s="1166"/>
      <c r="AA646" s="1166"/>
      <c r="AB646" s="1182"/>
      <c r="AC646" s="294"/>
      <c r="AD646" s="294"/>
      <c r="AE646" s="294"/>
      <c r="AF646" s="294"/>
      <c r="AG646" s="294"/>
      <c r="AH646" s="294"/>
      <c r="AI646" s="294"/>
      <c r="AJ646" s="294"/>
    </row>
    <row r="647" spans="2:36" x14ac:dyDescent="0.25">
      <c r="B647" s="294"/>
      <c r="C647" s="294"/>
      <c r="D647" s="294"/>
      <c r="E647" s="294"/>
      <c r="F647" s="294"/>
      <c r="G647" s="294"/>
      <c r="H647" s="294"/>
      <c r="I647" s="294"/>
      <c r="J647" s="294"/>
      <c r="L647" s="295"/>
      <c r="M647" s="294"/>
      <c r="R647" s="326"/>
      <c r="S647" s="326"/>
      <c r="T647" s="294"/>
      <c r="U647" s="294"/>
      <c r="V647" s="294"/>
      <c r="W647" s="294"/>
      <c r="X647" s="1182"/>
      <c r="Y647" s="1182"/>
      <c r="Z647" s="1166"/>
      <c r="AA647" s="1166"/>
      <c r="AB647" s="1182"/>
      <c r="AC647" s="294"/>
      <c r="AD647" s="294"/>
      <c r="AE647" s="294"/>
      <c r="AF647" s="294"/>
      <c r="AG647" s="294"/>
      <c r="AH647" s="294"/>
      <c r="AI647" s="294"/>
      <c r="AJ647" s="294"/>
    </row>
    <row r="648" spans="2:36" x14ac:dyDescent="0.25">
      <c r="B648" s="294"/>
      <c r="C648" s="294"/>
      <c r="D648" s="294"/>
      <c r="E648" s="294"/>
      <c r="F648" s="294"/>
      <c r="G648" s="294"/>
      <c r="H648" s="294"/>
      <c r="I648" s="294"/>
      <c r="J648" s="294"/>
      <c r="L648" s="295"/>
      <c r="M648" s="294"/>
      <c r="R648" s="326"/>
      <c r="S648" s="326"/>
      <c r="T648" s="294"/>
      <c r="U648" s="294"/>
      <c r="V648" s="294"/>
      <c r="W648" s="294"/>
      <c r="X648" s="1182"/>
      <c r="Y648" s="1182"/>
      <c r="Z648" s="1166"/>
      <c r="AA648" s="1166"/>
      <c r="AB648" s="1182"/>
      <c r="AC648" s="294"/>
      <c r="AD648" s="294"/>
      <c r="AE648" s="294"/>
      <c r="AF648" s="294"/>
      <c r="AG648" s="294"/>
      <c r="AH648" s="294"/>
      <c r="AI648" s="294"/>
      <c r="AJ648" s="294"/>
    </row>
    <row r="649" spans="2:36" x14ac:dyDescent="0.25">
      <c r="B649" s="294"/>
      <c r="C649" s="294"/>
      <c r="D649" s="294"/>
      <c r="E649" s="294"/>
      <c r="F649" s="294"/>
      <c r="G649" s="294"/>
      <c r="H649" s="294"/>
      <c r="I649" s="294"/>
      <c r="J649" s="294"/>
      <c r="L649" s="295"/>
      <c r="M649" s="294"/>
      <c r="R649" s="326"/>
      <c r="S649" s="326"/>
      <c r="T649" s="294"/>
      <c r="U649" s="294"/>
      <c r="V649" s="294"/>
      <c r="W649" s="294"/>
      <c r="X649" s="1182"/>
      <c r="Y649" s="1182"/>
      <c r="Z649" s="1166"/>
      <c r="AA649" s="1166"/>
      <c r="AB649" s="1182"/>
      <c r="AC649" s="294"/>
      <c r="AD649" s="294"/>
      <c r="AE649" s="294"/>
      <c r="AF649" s="294"/>
      <c r="AG649" s="294"/>
      <c r="AH649" s="294"/>
      <c r="AI649" s="294"/>
      <c r="AJ649" s="294"/>
    </row>
    <row r="650" spans="2:36" x14ac:dyDescent="0.25">
      <c r="B650" s="294"/>
      <c r="C650" s="294"/>
      <c r="D650" s="294"/>
      <c r="E650" s="294"/>
      <c r="F650" s="294"/>
      <c r="G650" s="294"/>
      <c r="H650" s="294"/>
      <c r="I650" s="294"/>
      <c r="J650" s="294"/>
      <c r="L650" s="295"/>
      <c r="M650" s="294"/>
      <c r="R650" s="326"/>
      <c r="S650" s="326"/>
      <c r="T650" s="294"/>
      <c r="U650" s="294"/>
      <c r="V650" s="294"/>
      <c r="W650" s="294"/>
      <c r="X650" s="1182"/>
      <c r="Y650" s="1182"/>
      <c r="Z650" s="1166"/>
      <c r="AA650" s="1166"/>
      <c r="AB650" s="1182"/>
      <c r="AC650" s="294"/>
      <c r="AD650" s="294"/>
      <c r="AE650" s="294"/>
      <c r="AF650" s="294"/>
      <c r="AG650" s="294"/>
      <c r="AH650" s="294"/>
      <c r="AI650" s="294"/>
      <c r="AJ650" s="294"/>
    </row>
    <row r="651" spans="2:36" x14ac:dyDescent="0.25">
      <c r="B651" s="294"/>
      <c r="C651" s="294"/>
      <c r="D651" s="294"/>
      <c r="E651" s="294"/>
      <c r="F651" s="294"/>
      <c r="G651" s="294"/>
      <c r="H651" s="294"/>
      <c r="I651" s="294"/>
      <c r="J651" s="294"/>
      <c r="L651" s="295"/>
      <c r="M651" s="294"/>
      <c r="R651" s="326"/>
      <c r="S651" s="326"/>
      <c r="T651" s="294"/>
      <c r="U651" s="294"/>
      <c r="V651" s="294"/>
      <c r="W651" s="294"/>
      <c r="X651" s="1182"/>
      <c r="Y651" s="1182"/>
      <c r="Z651" s="1166"/>
      <c r="AA651" s="1166"/>
      <c r="AB651" s="1182"/>
      <c r="AC651" s="294"/>
      <c r="AD651" s="294"/>
      <c r="AE651" s="294"/>
      <c r="AF651" s="294"/>
      <c r="AG651" s="294"/>
      <c r="AH651" s="294"/>
      <c r="AI651" s="294"/>
      <c r="AJ651" s="294"/>
    </row>
    <row r="652" spans="2:36" x14ac:dyDescent="0.25">
      <c r="B652" s="294"/>
      <c r="C652" s="294"/>
      <c r="D652" s="294"/>
      <c r="E652" s="294"/>
      <c r="F652" s="294"/>
      <c r="G652" s="294"/>
      <c r="H652" s="294"/>
      <c r="I652" s="294"/>
      <c r="J652" s="294"/>
      <c r="L652" s="295"/>
      <c r="M652" s="294"/>
      <c r="R652" s="326"/>
      <c r="S652" s="326"/>
      <c r="T652" s="294"/>
      <c r="U652" s="294"/>
      <c r="V652" s="294"/>
      <c r="W652" s="294"/>
      <c r="X652" s="1182"/>
      <c r="Y652" s="1182"/>
      <c r="Z652" s="1166"/>
      <c r="AA652" s="1166"/>
      <c r="AB652" s="1182"/>
      <c r="AC652" s="294"/>
      <c r="AD652" s="294"/>
      <c r="AE652" s="294"/>
      <c r="AF652" s="294"/>
      <c r="AG652" s="294"/>
      <c r="AH652" s="294"/>
      <c r="AI652" s="294"/>
      <c r="AJ652" s="294"/>
    </row>
    <row r="653" spans="2:36" x14ac:dyDescent="0.25">
      <c r="B653" s="294"/>
      <c r="C653" s="294"/>
      <c r="D653" s="294"/>
      <c r="E653" s="294"/>
      <c r="F653" s="294"/>
      <c r="G653" s="294"/>
      <c r="H653" s="294"/>
      <c r="I653" s="294"/>
      <c r="J653" s="294"/>
      <c r="L653" s="295"/>
      <c r="M653" s="294"/>
      <c r="R653" s="326"/>
      <c r="S653" s="326"/>
      <c r="T653" s="294"/>
      <c r="U653" s="294"/>
      <c r="V653" s="294"/>
      <c r="W653" s="294"/>
      <c r="X653" s="1182"/>
      <c r="Y653" s="1182"/>
      <c r="Z653" s="1166"/>
      <c r="AA653" s="1166"/>
      <c r="AB653" s="1182"/>
      <c r="AC653" s="294"/>
      <c r="AD653" s="294"/>
      <c r="AE653" s="294"/>
      <c r="AF653" s="294"/>
      <c r="AG653" s="294"/>
      <c r="AH653" s="294"/>
      <c r="AI653" s="294"/>
      <c r="AJ653" s="294"/>
    </row>
    <row r="654" spans="2:36" x14ac:dyDescent="0.25">
      <c r="B654" s="294"/>
      <c r="C654" s="294"/>
      <c r="D654" s="294"/>
      <c r="E654" s="294"/>
      <c r="F654" s="294"/>
      <c r="G654" s="294"/>
      <c r="H654" s="294"/>
      <c r="I654" s="294"/>
      <c r="J654" s="294"/>
      <c r="L654" s="295"/>
      <c r="M654" s="294"/>
      <c r="R654" s="326"/>
      <c r="S654" s="326"/>
      <c r="T654" s="294"/>
      <c r="U654" s="294"/>
      <c r="V654" s="294"/>
      <c r="W654" s="294"/>
      <c r="X654" s="1182"/>
      <c r="Y654" s="1182"/>
      <c r="Z654" s="1166"/>
      <c r="AA654" s="1166"/>
      <c r="AB654" s="1182"/>
      <c r="AC654" s="294"/>
      <c r="AD654" s="294"/>
      <c r="AE654" s="294"/>
      <c r="AF654" s="294"/>
      <c r="AG654" s="294"/>
      <c r="AH654" s="294"/>
      <c r="AI654" s="294"/>
      <c r="AJ654" s="294"/>
    </row>
    <row r="655" spans="2:36" x14ac:dyDescent="0.25">
      <c r="B655" s="294"/>
      <c r="C655" s="294"/>
      <c r="D655" s="294"/>
      <c r="E655" s="294"/>
      <c r="F655" s="294"/>
      <c r="G655" s="294"/>
      <c r="H655" s="294"/>
      <c r="I655" s="294"/>
      <c r="J655" s="294"/>
      <c r="L655" s="295"/>
      <c r="M655" s="294"/>
      <c r="R655" s="326"/>
      <c r="S655" s="326"/>
      <c r="T655" s="294"/>
      <c r="U655" s="294"/>
      <c r="V655" s="294"/>
      <c r="W655" s="294"/>
      <c r="X655" s="1182"/>
      <c r="Y655" s="1182"/>
      <c r="Z655" s="1166"/>
      <c r="AA655" s="1166"/>
      <c r="AB655" s="1182"/>
      <c r="AC655" s="294"/>
      <c r="AD655" s="294"/>
      <c r="AE655" s="294"/>
      <c r="AF655" s="294"/>
      <c r="AG655" s="294"/>
      <c r="AH655" s="294"/>
      <c r="AI655" s="294"/>
      <c r="AJ655" s="294"/>
    </row>
    <row r="656" spans="2:36" x14ac:dyDescent="0.25">
      <c r="B656" s="294"/>
      <c r="C656" s="294"/>
      <c r="D656" s="294"/>
      <c r="E656" s="294"/>
      <c r="F656" s="294"/>
      <c r="G656" s="294"/>
      <c r="H656" s="294"/>
      <c r="I656" s="294"/>
      <c r="J656" s="294"/>
      <c r="L656" s="295"/>
      <c r="M656" s="294"/>
      <c r="R656" s="326"/>
      <c r="S656" s="326"/>
      <c r="T656" s="294"/>
      <c r="U656" s="294"/>
      <c r="V656" s="294"/>
      <c r="W656" s="294"/>
      <c r="X656" s="1182"/>
      <c r="Y656" s="1182"/>
      <c r="Z656" s="1166"/>
      <c r="AA656" s="1166"/>
      <c r="AB656" s="1182"/>
      <c r="AC656" s="294"/>
      <c r="AD656" s="294"/>
      <c r="AE656" s="294"/>
      <c r="AF656" s="294"/>
      <c r="AG656" s="294"/>
      <c r="AH656" s="294"/>
      <c r="AI656" s="294"/>
      <c r="AJ656" s="294"/>
    </row>
    <row r="657" spans="2:36" x14ac:dyDescent="0.25">
      <c r="B657" s="294"/>
      <c r="C657" s="294"/>
      <c r="D657" s="294"/>
      <c r="E657" s="294"/>
      <c r="F657" s="294"/>
      <c r="G657" s="294"/>
      <c r="H657" s="294"/>
      <c r="I657" s="294"/>
      <c r="J657" s="294"/>
      <c r="L657" s="295"/>
      <c r="M657" s="294"/>
      <c r="R657" s="326"/>
      <c r="S657" s="326"/>
      <c r="T657" s="294"/>
      <c r="U657" s="294"/>
      <c r="V657" s="294"/>
      <c r="W657" s="294"/>
      <c r="X657" s="1182"/>
      <c r="Y657" s="1182"/>
      <c r="Z657" s="1166"/>
      <c r="AA657" s="1166"/>
      <c r="AB657" s="1182"/>
      <c r="AC657" s="294"/>
      <c r="AD657" s="294"/>
      <c r="AE657" s="294"/>
      <c r="AF657" s="294"/>
      <c r="AG657" s="294"/>
      <c r="AH657" s="294"/>
      <c r="AI657" s="294"/>
      <c r="AJ657" s="294"/>
    </row>
    <row r="658" spans="2:36" x14ac:dyDescent="0.25">
      <c r="B658" s="294"/>
      <c r="C658" s="294"/>
      <c r="D658" s="294"/>
      <c r="E658" s="294"/>
      <c r="F658" s="294"/>
      <c r="G658" s="294"/>
      <c r="H658" s="294"/>
      <c r="I658" s="294"/>
      <c r="J658" s="294"/>
      <c r="L658" s="295"/>
      <c r="M658" s="294"/>
      <c r="R658" s="326"/>
      <c r="S658" s="326"/>
      <c r="T658" s="294"/>
      <c r="U658" s="294"/>
      <c r="V658" s="294"/>
      <c r="W658" s="294"/>
      <c r="X658" s="1182"/>
      <c r="Y658" s="1182"/>
      <c r="Z658" s="1166"/>
      <c r="AA658" s="1166"/>
      <c r="AB658" s="1182"/>
      <c r="AC658" s="294"/>
      <c r="AD658" s="294"/>
      <c r="AE658" s="294"/>
      <c r="AF658" s="294"/>
      <c r="AG658" s="294"/>
      <c r="AH658" s="294"/>
      <c r="AI658" s="294"/>
      <c r="AJ658" s="294"/>
    </row>
    <row r="659" spans="2:36" x14ac:dyDescent="0.25">
      <c r="B659" s="294"/>
      <c r="C659" s="294"/>
      <c r="D659" s="294"/>
      <c r="E659" s="294"/>
      <c r="F659" s="294"/>
      <c r="G659" s="294"/>
      <c r="H659" s="294"/>
      <c r="I659" s="294"/>
      <c r="J659" s="294"/>
      <c r="L659" s="295"/>
      <c r="M659" s="294"/>
      <c r="R659" s="326"/>
      <c r="S659" s="326"/>
      <c r="T659" s="294"/>
      <c r="U659" s="294"/>
      <c r="V659" s="294"/>
      <c r="W659" s="294"/>
      <c r="X659" s="1182"/>
      <c r="Y659" s="1182"/>
      <c r="Z659" s="1166"/>
      <c r="AA659" s="1166"/>
      <c r="AB659" s="1182"/>
      <c r="AC659" s="294"/>
      <c r="AD659" s="294"/>
      <c r="AE659" s="294"/>
      <c r="AF659" s="294"/>
      <c r="AG659" s="294"/>
      <c r="AH659" s="294"/>
      <c r="AI659" s="294"/>
      <c r="AJ659" s="294"/>
    </row>
    <row r="660" spans="2:36" x14ac:dyDescent="0.25">
      <c r="B660" s="294"/>
      <c r="C660" s="294"/>
      <c r="D660" s="294"/>
      <c r="E660" s="294"/>
      <c r="F660" s="294"/>
      <c r="G660" s="294"/>
      <c r="H660" s="294"/>
      <c r="I660" s="294"/>
      <c r="J660" s="294"/>
      <c r="L660" s="295"/>
      <c r="M660" s="294"/>
      <c r="R660" s="326"/>
      <c r="S660" s="326"/>
      <c r="T660" s="294"/>
      <c r="U660" s="294"/>
      <c r="V660" s="294"/>
      <c r="W660" s="294"/>
      <c r="X660" s="1182"/>
      <c r="Y660" s="1182"/>
      <c r="Z660" s="1166"/>
      <c r="AA660" s="1166"/>
      <c r="AB660" s="1182"/>
      <c r="AC660" s="294"/>
      <c r="AD660" s="294"/>
      <c r="AE660" s="294"/>
      <c r="AF660" s="294"/>
      <c r="AG660" s="294"/>
      <c r="AH660" s="294"/>
      <c r="AI660" s="294"/>
      <c r="AJ660" s="294"/>
    </row>
    <row r="661" spans="2:36" x14ac:dyDescent="0.25">
      <c r="B661" s="294"/>
      <c r="C661" s="294"/>
      <c r="D661" s="294"/>
      <c r="E661" s="294"/>
      <c r="F661" s="294"/>
      <c r="G661" s="294"/>
      <c r="H661" s="294"/>
      <c r="I661" s="294"/>
      <c r="J661" s="294"/>
      <c r="L661" s="295"/>
      <c r="M661" s="294"/>
      <c r="R661" s="326"/>
      <c r="S661" s="326"/>
      <c r="T661" s="294"/>
      <c r="U661" s="294"/>
      <c r="V661" s="294"/>
      <c r="W661" s="294"/>
      <c r="X661" s="1182"/>
      <c r="Y661" s="1182"/>
      <c r="Z661" s="1166"/>
      <c r="AA661" s="1166"/>
      <c r="AB661" s="1182"/>
      <c r="AC661" s="294"/>
      <c r="AD661" s="294"/>
      <c r="AE661" s="294"/>
      <c r="AF661" s="294"/>
      <c r="AG661" s="294"/>
      <c r="AH661" s="294"/>
      <c r="AI661" s="294"/>
      <c r="AJ661" s="294"/>
    </row>
    <row r="662" spans="2:36" x14ac:dyDescent="0.25">
      <c r="B662" s="294"/>
      <c r="C662" s="294"/>
      <c r="D662" s="294"/>
      <c r="E662" s="294"/>
      <c r="F662" s="294"/>
      <c r="G662" s="294"/>
      <c r="H662" s="294"/>
      <c r="I662" s="294"/>
      <c r="J662" s="294"/>
      <c r="L662" s="295"/>
      <c r="M662" s="294"/>
      <c r="R662" s="326"/>
      <c r="S662" s="326"/>
      <c r="T662" s="294"/>
      <c r="U662" s="294"/>
      <c r="V662" s="294"/>
      <c r="W662" s="294"/>
      <c r="X662" s="1182"/>
      <c r="Y662" s="1182"/>
      <c r="Z662" s="1166"/>
      <c r="AA662" s="1166"/>
      <c r="AB662" s="1182"/>
      <c r="AC662" s="294"/>
      <c r="AD662" s="294"/>
      <c r="AE662" s="294"/>
      <c r="AF662" s="294"/>
      <c r="AG662" s="294"/>
      <c r="AH662" s="294"/>
      <c r="AI662" s="294"/>
      <c r="AJ662" s="294"/>
    </row>
    <row r="663" spans="2:36" x14ac:dyDescent="0.25">
      <c r="B663" s="294"/>
      <c r="C663" s="294"/>
      <c r="D663" s="294"/>
      <c r="E663" s="294"/>
      <c r="F663" s="294"/>
      <c r="G663" s="294"/>
      <c r="H663" s="294"/>
      <c r="I663" s="294"/>
      <c r="J663" s="294"/>
      <c r="L663" s="295"/>
      <c r="M663" s="294"/>
      <c r="R663" s="326"/>
      <c r="S663" s="326"/>
      <c r="T663" s="294"/>
      <c r="U663" s="294"/>
      <c r="V663" s="294"/>
      <c r="W663" s="294"/>
      <c r="X663" s="1182"/>
      <c r="Y663" s="1182"/>
      <c r="Z663" s="1166"/>
      <c r="AA663" s="1166"/>
      <c r="AB663" s="1182"/>
      <c r="AC663" s="294"/>
      <c r="AD663" s="294"/>
      <c r="AE663" s="294"/>
      <c r="AF663" s="294"/>
      <c r="AG663" s="294"/>
      <c r="AH663" s="294"/>
      <c r="AI663" s="294"/>
      <c r="AJ663" s="294"/>
    </row>
    <row r="664" spans="2:36" x14ac:dyDescent="0.25">
      <c r="B664" s="294"/>
      <c r="C664" s="294"/>
      <c r="D664" s="294"/>
      <c r="E664" s="294"/>
      <c r="F664" s="294"/>
      <c r="G664" s="294"/>
      <c r="H664" s="294"/>
      <c r="I664" s="294"/>
      <c r="J664" s="294"/>
      <c r="L664" s="295"/>
      <c r="M664" s="294"/>
      <c r="R664" s="326"/>
      <c r="S664" s="326"/>
      <c r="T664" s="294"/>
      <c r="U664" s="294"/>
      <c r="V664" s="294"/>
      <c r="W664" s="294"/>
      <c r="X664" s="1182"/>
      <c r="Y664" s="1182"/>
      <c r="Z664" s="1166"/>
      <c r="AA664" s="1166"/>
      <c r="AB664" s="1182"/>
      <c r="AC664" s="294"/>
      <c r="AD664" s="294"/>
      <c r="AE664" s="294"/>
      <c r="AF664" s="294"/>
      <c r="AG664" s="294"/>
      <c r="AH664" s="294"/>
      <c r="AI664" s="294"/>
      <c r="AJ664" s="294"/>
    </row>
    <row r="665" spans="2:36" x14ac:dyDescent="0.25">
      <c r="B665" s="294"/>
      <c r="C665" s="294"/>
      <c r="D665" s="294"/>
      <c r="E665" s="294"/>
      <c r="F665" s="294"/>
      <c r="G665" s="294"/>
      <c r="H665" s="294"/>
      <c r="I665" s="294"/>
      <c r="J665" s="294"/>
      <c r="L665" s="295"/>
      <c r="M665" s="294"/>
      <c r="R665" s="326"/>
      <c r="S665" s="326"/>
      <c r="T665" s="294"/>
      <c r="U665" s="294"/>
      <c r="V665" s="294"/>
      <c r="W665" s="294"/>
      <c r="X665" s="1182"/>
      <c r="Y665" s="1182"/>
      <c r="Z665" s="1166"/>
      <c r="AA665" s="1166"/>
      <c r="AB665" s="1182"/>
      <c r="AC665" s="294"/>
      <c r="AD665" s="294"/>
      <c r="AE665" s="294"/>
      <c r="AF665" s="294"/>
      <c r="AG665" s="294"/>
      <c r="AH665" s="294"/>
      <c r="AI665" s="294"/>
      <c r="AJ665" s="294"/>
    </row>
    <row r="666" spans="2:36" x14ac:dyDescent="0.25">
      <c r="B666" s="294"/>
      <c r="C666" s="294"/>
      <c r="D666" s="294"/>
      <c r="E666" s="294"/>
      <c r="F666" s="294"/>
      <c r="G666" s="294"/>
      <c r="H666" s="294"/>
      <c r="I666" s="294"/>
      <c r="J666" s="294"/>
      <c r="L666" s="295"/>
      <c r="M666" s="294"/>
      <c r="R666" s="326"/>
      <c r="S666" s="326"/>
      <c r="T666" s="294"/>
      <c r="U666" s="294"/>
      <c r="V666" s="294"/>
      <c r="W666" s="294"/>
      <c r="X666" s="1182"/>
      <c r="Y666" s="1182"/>
      <c r="Z666" s="1166"/>
      <c r="AA666" s="1166"/>
      <c r="AB666" s="1182"/>
      <c r="AC666" s="294"/>
      <c r="AD666" s="294"/>
      <c r="AE666" s="294"/>
      <c r="AF666" s="294"/>
      <c r="AG666" s="294"/>
      <c r="AH666" s="294"/>
      <c r="AI666" s="294"/>
      <c r="AJ666" s="294"/>
    </row>
    <row r="667" spans="2:36" x14ac:dyDescent="0.25">
      <c r="B667" s="294"/>
      <c r="C667" s="294"/>
      <c r="D667" s="294"/>
      <c r="E667" s="294"/>
      <c r="F667" s="294"/>
      <c r="G667" s="294"/>
      <c r="H667" s="294"/>
      <c r="I667" s="294"/>
      <c r="J667" s="294"/>
      <c r="L667" s="295"/>
      <c r="M667" s="294"/>
      <c r="R667" s="326"/>
      <c r="S667" s="326"/>
      <c r="T667" s="294"/>
      <c r="U667" s="294"/>
      <c r="V667" s="294"/>
      <c r="W667" s="294"/>
      <c r="X667" s="1182"/>
      <c r="Y667" s="1182"/>
      <c r="Z667" s="1166"/>
      <c r="AA667" s="1166"/>
      <c r="AB667" s="1182"/>
      <c r="AC667" s="294"/>
      <c r="AD667" s="294"/>
      <c r="AE667" s="294"/>
      <c r="AF667" s="294"/>
      <c r="AG667" s="294"/>
      <c r="AH667" s="294"/>
      <c r="AI667" s="294"/>
      <c r="AJ667" s="294"/>
    </row>
    <row r="668" spans="2:36" x14ac:dyDescent="0.25">
      <c r="B668" s="294"/>
      <c r="C668" s="294"/>
      <c r="D668" s="294"/>
      <c r="E668" s="294"/>
      <c r="F668" s="294"/>
      <c r="G668" s="294"/>
      <c r="H668" s="294"/>
      <c r="I668" s="294"/>
      <c r="J668" s="294"/>
      <c r="L668" s="295"/>
      <c r="M668" s="294"/>
      <c r="R668" s="326"/>
      <c r="S668" s="326"/>
      <c r="T668" s="294"/>
      <c r="U668" s="294"/>
      <c r="V668" s="294"/>
      <c r="W668" s="294"/>
      <c r="X668" s="1182"/>
      <c r="Y668" s="1182"/>
      <c r="Z668" s="1166"/>
      <c r="AA668" s="1166"/>
      <c r="AB668" s="1182"/>
      <c r="AC668" s="294"/>
      <c r="AD668" s="294"/>
      <c r="AE668" s="294"/>
      <c r="AF668" s="294"/>
      <c r="AG668" s="294"/>
      <c r="AH668" s="294"/>
      <c r="AI668" s="294"/>
      <c r="AJ668" s="294"/>
    </row>
    <row r="669" spans="2:36" x14ac:dyDescent="0.25">
      <c r="B669" s="294"/>
      <c r="C669" s="294"/>
      <c r="D669" s="294"/>
      <c r="E669" s="294"/>
      <c r="F669" s="294"/>
      <c r="G669" s="294"/>
      <c r="H669" s="294"/>
      <c r="I669" s="294"/>
      <c r="J669" s="294"/>
      <c r="L669" s="295"/>
      <c r="M669" s="294"/>
      <c r="R669" s="326"/>
      <c r="S669" s="326"/>
      <c r="T669" s="294"/>
      <c r="U669" s="294"/>
      <c r="V669" s="294"/>
      <c r="W669" s="294"/>
      <c r="X669" s="1182"/>
      <c r="Y669" s="1182"/>
      <c r="Z669" s="1166"/>
      <c r="AA669" s="1166"/>
      <c r="AB669" s="1182"/>
      <c r="AC669" s="294"/>
      <c r="AD669" s="294"/>
      <c r="AE669" s="294"/>
      <c r="AF669" s="294"/>
      <c r="AG669" s="294"/>
      <c r="AH669" s="294"/>
      <c r="AI669" s="294"/>
      <c r="AJ669" s="294"/>
    </row>
    <row r="670" spans="2:36" x14ac:dyDescent="0.25">
      <c r="B670" s="294"/>
      <c r="C670" s="294"/>
      <c r="D670" s="294"/>
      <c r="E670" s="294"/>
      <c r="F670" s="294"/>
      <c r="G670" s="294"/>
      <c r="H670" s="294"/>
      <c r="I670" s="294"/>
      <c r="J670" s="294"/>
      <c r="L670" s="295"/>
      <c r="M670" s="294"/>
      <c r="R670" s="326"/>
      <c r="S670" s="326"/>
      <c r="T670" s="294"/>
      <c r="U670" s="294"/>
      <c r="V670" s="294"/>
      <c r="W670" s="294"/>
      <c r="X670" s="1182"/>
      <c r="Y670" s="1182"/>
      <c r="Z670" s="1166"/>
      <c r="AA670" s="1166"/>
      <c r="AB670" s="1182"/>
      <c r="AC670" s="294"/>
      <c r="AD670" s="294"/>
      <c r="AE670" s="294"/>
      <c r="AF670" s="294"/>
      <c r="AG670" s="294"/>
      <c r="AH670" s="294"/>
      <c r="AI670" s="294"/>
      <c r="AJ670" s="294"/>
    </row>
    <row r="671" spans="2:36" x14ac:dyDescent="0.25">
      <c r="B671" s="294"/>
      <c r="C671" s="294"/>
      <c r="D671" s="294"/>
      <c r="E671" s="294"/>
      <c r="F671" s="294"/>
      <c r="G671" s="294"/>
      <c r="H671" s="294"/>
      <c r="I671" s="294"/>
      <c r="J671" s="294"/>
      <c r="L671" s="295"/>
      <c r="M671" s="294"/>
      <c r="R671" s="326"/>
      <c r="S671" s="326"/>
      <c r="T671" s="294"/>
      <c r="U671" s="294"/>
      <c r="V671" s="294"/>
      <c r="W671" s="294"/>
      <c r="X671" s="1182"/>
      <c r="Y671" s="1182"/>
      <c r="Z671" s="1166"/>
      <c r="AA671" s="1166"/>
      <c r="AB671" s="1182"/>
      <c r="AC671" s="294"/>
      <c r="AD671" s="294"/>
      <c r="AE671" s="294"/>
      <c r="AF671" s="294"/>
      <c r="AG671" s="294"/>
      <c r="AH671" s="294"/>
      <c r="AI671" s="294"/>
      <c r="AJ671" s="294"/>
    </row>
    <row r="672" spans="2:36" x14ac:dyDescent="0.25">
      <c r="B672" s="294"/>
      <c r="C672" s="294"/>
      <c r="D672" s="294"/>
      <c r="E672" s="294"/>
      <c r="F672" s="294"/>
      <c r="G672" s="294"/>
      <c r="H672" s="294"/>
      <c r="I672" s="294"/>
      <c r="J672" s="294"/>
      <c r="L672" s="295"/>
      <c r="M672" s="294"/>
      <c r="R672" s="326"/>
      <c r="S672" s="326"/>
      <c r="T672" s="294"/>
      <c r="U672" s="294"/>
      <c r="V672" s="294"/>
      <c r="W672" s="294"/>
      <c r="X672" s="1182"/>
      <c r="Y672" s="1182"/>
      <c r="Z672" s="1166"/>
      <c r="AA672" s="1166"/>
      <c r="AB672" s="1182"/>
      <c r="AC672" s="294"/>
      <c r="AD672" s="294"/>
      <c r="AE672" s="294"/>
      <c r="AF672" s="294"/>
      <c r="AG672" s="294"/>
      <c r="AH672" s="294"/>
      <c r="AI672" s="294"/>
      <c r="AJ672" s="294"/>
    </row>
    <row r="673" spans="2:36" x14ac:dyDescent="0.25">
      <c r="B673" s="294"/>
      <c r="C673" s="294"/>
      <c r="D673" s="294"/>
      <c r="E673" s="294"/>
      <c r="F673" s="294"/>
      <c r="G673" s="294"/>
      <c r="H673" s="294"/>
      <c r="I673" s="294"/>
      <c r="J673" s="294"/>
      <c r="L673" s="295"/>
      <c r="M673" s="294"/>
      <c r="R673" s="326"/>
      <c r="S673" s="326"/>
      <c r="T673" s="294"/>
      <c r="U673" s="294"/>
      <c r="V673" s="294"/>
      <c r="W673" s="294"/>
      <c r="X673" s="1182"/>
      <c r="Y673" s="1182"/>
      <c r="Z673" s="1166"/>
      <c r="AA673" s="1166"/>
      <c r="AB673" s="1182"/>
      <c r="AC673" s="294"/>
      <c r="AD673" s="294"/>
      <c r="AE673" s="294"/>
      <c r="AF673" s="294"/>
      <c r="AG673" s="294"/>
      <c r="AH673" s="294"/>
      <c r="AI673" s="294"/>
      <c r="AJ673" s="294"/>
    </row>
    <row r="674" spans="2:36" x14ac:dyDescent="0.25">
      <c r="B674" s="294"/>
      <c r="C674" s="294"/>
      <c r="D674" s="294"/>
      <c r="E674" s="294"/>
      <c r="F674" s="294"/>
      <c r="G674" s="294"/>
      <c r="H674" s="294"/>
      <c r="I674" s="294"/>
      <c r="J674" s="294"/>
      <c r="L674" s="295"/>
      <c r="M674" s="294"/>
      <c r="R674" s="326"/>
      <c r="S674" s="326"/>
      <c r="T674" s="294"/>
      <c r="U674" s="294"/>
      <c r="V674" s="294"/>
      <c r="W674" s="294"/>
      <c r="X674" s="1182"/>
      <c r="Y674" s="1182"/>
      <c r="Z674" s="1166"/>
      <c r="AA674" s="1166"/>
      <c r="AB674" s="1182"/>
      <c r="AC674" s="294"/>
      <c r="AD674" s="294"/>
      <c r="AE674" s="294"/>
      <c r="AF674" s="294"/>
      <c r="AG674" s="294"/>
      <c r="AH674" s="294"/>
      <c r="AI674" s="294"/>
      <c r="AJ674" s="294"/>
    </row>
    <row r="675" spans="2:36" x14ac:dyDescent="0.25">
      <c r="B675" s="294"/>
      <c r="C675" s="294"/>
      <c r="D675" s="294"/>
      <c r="E675" s="294"/>
      <c r="F675" s="294"/>
      <c r="G675" s="294"/>
      <c r="H675" s="294"/>
      <c r="I675" s="294"/>
      <c r="J675" s="294"/>
      <c r="L675" s="295"/>
      <c r="M675" s="294"/>
      <c r="R675" s="326"/>
      <c r="S675" s="326"/>
      <c r="T675" s="294"/>
      <c r="U675" s="294"/>
      <c r="V675" s="294"/>
      <c r="W675" s="294"/>
      <c r="X675" s="1182"/>
      <c r="Y675" s="1182"/>
      <c r="Z675" s="1166"/>
      <c r="AA675" s="1166"/>
      <c r="AB675" s="1182"/>
      <c r="AC675" s="294"/>
      <c r="AD675" s="294"/>
      <c r="AE675" s="294"/>
      <c r="AF675" s="294"/>
      <c r="AG675" s="294"/>
      <c r="AH675" s="294"/>
      <c r="AI675" s="294"/>
      <c r="AJ675" s="294"/>
    </row>
    <row r="676" spans="2:36" x14ac:dyDescent="0.25">
      <c r="B676" s="294"/>
      <c r="C676" s="294"/>
      <c r="D676" s="294"/>
      <c r="E676" s="294"/>
      <c r="F676" s="294"/>
      <c r="G676" s="294"/>
      <c r="H676" s="294"/>
      <c r="I676" s="294"/>
      <c r="J676" s="294"/>
      <c r="L676" s="295"/>
      <c r="M676" s="294"/>
      <c r="R676" s="326"/>
      <c r="S676" s="326"/>
      <c r="T676" s="294"/>
      <c r="U676" s="294"/>
      <c r="V676" s="294"/>
      <c r="W676" s="294"/>
      <c r="X676" s="1182"/>
      <c r="Y676" s="1182"/>
      <c r="Z676" s="1166"/>
      <c r="AA676" s="1166"/>
      <c r="AB676" s="1182"/>
      <c r="AC676" s="294"/>
      <c r="AD676" s="294"/>
      <c r="AE676" s="294"/>
      <c r="AF676" s="294"/>
      <c r="AG676" s="294"/>
      <c r="AH676" s="294"/>
      <c r="AI676" s="294"/>
      <c r="AJ676" s="294"/>
    </row>
    <row r="677" spans="2:36" x14ac:dyDescent="0.25">
      <c r="B677" s="294"/>
      <c r="C677" s="294"/>
      <c r="D677" s="294"/>
      <c r="E677" s="294"/>
      <c r="F677" s="294"/>
      <c r="G677" s="294"/>
      <c r="H677" s="294"/>
      <c r="I677" s="294"/>
      <c r="J677" s="294"/>
      <c r="L677" s="295"/>
      <c r="M677" s="294"/>
      <c r="R677" s="326"/>
      <c r="S677" s="326"/>
      <c r="T677" s="294"/>
      <c r="U677" s="294"/>
      <c r="V677" s="294"/>
      <c r="W677" s="294"/>
      <c r="X677" s="1182"/>
      <c r="Y677" s="1182"/>
      <c r="Z677" s="1166"/>
      <c r="AA677" s="1166"/>
      <c r="AB677" s="1182"/>
      <c r="AC677" s="294"/>
      <c r="AD677" s="294"/>
      <c r="AE677" s="294"/>
      <c r="AF677" s="294"/>
      <c r="AG677" s="294"/>
      <c r="AH677" s="294"/>
      <c r="AI677" s="294"/>
      <c r="AJ677" s="294"/>
    </row>
    <row r="678" spans="2:36" x14ac:dyDescent="0.25">
      <c r="B678" s="294"/>
      <c r="C678" s="294"/>
      <c r="D678" s="294"/>
      <c r="E678" s="294"/>
      <c r="F678" s="294"/>
      <c r="G678" s="294"/>
      <c r="H678" s="294"/>
      <c r="I678" s="294"/>
      <c r="J678" s="294"/>
      <c r="L678" s="295"/>
      <c r="M678" s="294"/>
      <c r="R678" s="326"/>
      <c r="S678" s="326"/>
      <c r="T678" s="294"/>
      <c r="U678" s="294"/>
      <c r="V678" s="294"/>
      <c r="W678" s="294"/>
      <c r="X678" s="1182"/>
      <c r="Y678" s="1182"/>
      <c r="Z678" s="1166"/>
      <c r="AA678" s="1166"/>
      <c r="AB678" s="1182"/>
      <c r="AC678" s="294"/>
      <c r="AD678" s="294"/>
      <c r="AE678" s="294"/>
      <c r="AF678" s="294"/>
      <c r="AG678" s="294"/>
      <c r="AH678" s="294"/>
      <c r="AI678" s="294"/>
      <c r="AJ678" s="294"/>
    </row>
    <row r="679" spans="2:36" x14ac:dyDescent="0.25">
      <c r="B679" s="294"/>
      <c r="C679" s="294"/>
      <c r="D679" s="294"/>
      <c r="E679" s="294"/>
      <c r="F679" s="294"/>
      <c r="G679" s="294"/>
      <c r="H679" s="294"/>
      <c r="I679" s="294"/>
      <c r="J679" s="294"/>
      <c r="L679" s="295"/>
      <c r="M679" s="294"/>
      <c r="R679" s="326"/>
      <c r="S679" s="326"/>
      <c r="T679" s="294"/>
      <c r="U679" s="294"/>
      <c r="V679" s="294"/>
      <c r="W679" s="294"/>
      <c r="X679" s="1182"/>
      <c r="Y679" s="1182"/>
      <c r="Z679" s="1166"/>
      <c r="AA679" s="1166"/>
      <c r="AB679" s="1182"/>
      <c r="AC679" s="294"/>
      <c r="AD679" s="294"/>
      <c r="AE679" s="294"/>
      <c r="AF679" s="294"/>
      <c r="AG679" s="294"/>
      <c r="AH679" s="294"/>
      <c r="AI679" s="294"/>
      <c r="AJ679" s="294"/>
    </row>
    <row r="680" spans="2:36" x14ac:dyDescent="0.25">
      <c r="B680" s="294"/>
      <c r="C680" s="294"/>
      <c r="D680" s="294"/>
      <c r="E680" s="294"/>
      <c r="F680" s="294"/>
      <c r="G680" s="294"/>
      <c r="H680" s="294"/>
      <c r="I680" s="294"/>
      <c r="J680" s="294"/>
      <c r="L680" s="295"/>
      <c r="M680" s="294"/>
      <c r="R680" s="326"/>
      <c r="S680" s="326"/>
      <c r="T680" s="294"/>
      <c r="U680" s="294"/>
      <c r="V680" s="294"/>
      <c r="W680" s="294"/>
      <c r="X680" s="1182"/>
      <c r="Y680" s="1182"/>
      <c r="Z680" s="1166"/>
      <c r="AA680" s="1166"/>
      <c r="AB680" s="1182"/>
      <c r="AC680" s="294"/>
      <c r="AD680" s="294"/>
      <c r="AE680" s="294"/>
      <c r="AF680" s="294"/>
      <c r="AG680" s="294"/>
      <c r="AH680" s="294"/>
      <c r="AI680" s="294"/>
      <c r="AJ680" s="294"/>
    </row>
    <row r="681" spans="2:36" x14ac:dyDescent="0.25">
      <c r="B681" s="294"/>
      <c r="C681" s="294"/>
      <c r="D681" s="294"/>
      <c r="E681" s="294"/>
      <c r="F681" s="294"/>
      <c r="G681" s="294"/>
      <c r="H681" s="294"/>
      <c r="I681" s="294"/>
      <c r="J681" s="294"/>
      <c r="L681" s="295"/>
      <c r="M681" s="294"/>
      <c r="R681" s="326"/>
      <c r="S681" s="326"/>
      <c r="T681" s="294"/>
      <c r="U681" s="294"/>
      <c r="V681" s="294"/>
      <c r="W681" s="294"/>
      <c r="X681" s="1182"/>
      <c r="Y681" s="1182"/>
      <c r="Z681" s="1166"/>
      <c r="AA681" s="1166"/>
      <c r="AB681" s="1182"/>
      <c r="AC681" s="294"/>
      <c r="AD681" s="294"/>
      <c r="AE681" s="294"/>
      <c r="AF681" s="294"/>
      <c r="AG681" s="294"/>
      <c r="AH681" s="294"/>
      <c r="AI681" s="294"/>
      <c r="AJ681" s="294"/>
    </row>
    <row r="682" spans="2:36" x14ac:dyDescent="0.25">
      <c r="B682" s="294"/>
      <c r="C682" s="294"/>
      <c r="D682" s="294"/>
      <c r="E682" s="294"/>
      <c r="F682" s="294"/>
      <c r="G682" s="294"/>
      <c r="H682" s="294"/>
      <c r="I682" s="294"/>
      <c r="J682" s="294"/>
      <c r="L682" s="295"/>
      <c r="M682" s="294"/>
      <c r="R682" s="326"/>
      <c r="S682" s="326"/>
      <c r="T682" s="294"/>
      <c r="U682" s="294"/>
      <c r="V682" s="294"/>
      <c r="W682" s="294"/>
      <c r="X682" s="1182"/>
      <c r="Y682" s="1182"/>
      <c r="Z682" s="1166"/>
      <c r="AA682" s="1166"/>
      <c r="AB682" s="1182"/>
      <c r="AC682" s="294"/>
      <c r="AD682" s="294"/>
      <c r="AE682" s="294"/>
      <c r="AF682" s="294"/>
      <c r="AG682" s="294"/>
      <c r="AH682" s="294"/>
      <c r="AI682" s="294"/>
      <c r="AJ682" s="294"/>
    </row>
    <row r="683" spans="2:36" x14ac:dyDescent="0.25">
      <c r="B683" s="294"/>
      <c r="C683" s="294"/>
      <c r="D683" s="294"/>
      <c r="E683" s="294"/>
      <c r="F683" s="294"/>
      <c r="G683" s="294"/>
      <c r="H683" s="294"/>
      <c r="I683" s="294"/>
      <c r="J683" s="294"/>
      <c r="L683" s="295"/>
      <c r="M683" s="294"/>
      <c r="R683" s="326"/>
      <c r="S683" s="326"/>
      <c r="T683" s="294"/>
      <c r="U683" s="294"/>
      <c r="V683" s="294"/>
      <c r="W683" s="294"/>
      <c r="X683" s="1182"/>
      <c r="Y683" s="1182"/>
      <c r="Z683" s="1166"/>
      <c r="AA683" s="1166"/>
      <c r="AB683" s="1182"/>
      <c r="AC683" s="294"/>
      <c r="AD683" s="294"/>
      <c r="AE683" s="294"/>
      <c r="AF683" s="294"/>
      <c r="AG683" s="294"/>
      <c r="AH683" s="294"/>
      <c r="AI683" s="294"/>
      <c r="AJ683" s="294"/>
    </row>
    <row r="684" spans="2:36" x14ac:dyDescent="0.25">
      <c r="B684" s="294"/>
      <c r="C684" s="294"/>
      <c r="D684" s="294"/>
      <c r="E684" s="294"/>
      <c r="F684" s="294"/>
      <c r="G684" s="294"/>
      <c r="H684" s="294"/>
      <c r="I684" s="294"/>
      <c r="J684" s="294"/>
      <c r="L684" s="295"/>
      <c r="M684" s="294"/>
      <c r="R684" s="326"/>
      <c r="S684" s="326"/>
      <c r="T684" s="294"/>
      <c r="U684" s="294"/>
      <c r="V684" s="294"/>
      <c r="W684" s="294"/>
      <c r="X684" s="1182"/>
      <c r="Y684" s="1182"/>
      <c r="Z684" s="1166"/>
      <c r="AA684" s="1166"/>
      <c r="AB684" s="1182"/>
      <c r="AC684" s="294"/>
      <c r="AD684" s="294"/>
      <c r="AE684" s="294"/>
      <c r="AF684" s="294"/>
      <c r="AG684" s="294"/>
      <c r="AH684" s="294"/>
      <c r="AI684" s="294"/>
      <c r="AJ684" s="294"/>
    </row>
    <row r="685" spans="2:36" x14ac:dyDescent="0.25">
      <c r="B685" s="294"/>
      <c r="C685" s="294"/>
      <c r="D685" s="294"/>
      <c r="E685" s="294"/>
      <c r="F685" s="294"/>
      <c r="G685" s="294"/>
      <c r="H685" s="294"/>
      <c r="I685" s="294"/>
      <c r="J685" s="294"/>
      <c r="L685" s="295"/>
      <c r="M685" s="294"/>
      <c r="R685" s="326"/>
      <c r="S685" s="326"/>
      <c r="T685" s="294"/>
      <c r="U685" s="294"/>
      <c r="V685" s="294"/>
      <c r="W685" s="294"/>
      <c r="X685" s="1182"/>
      <c r="Y685" s="1182"/>
      <c r="Z685" s="1166"/>
      <c r="AA685" s="1166"/>
      <c r="AB685" s="1182"/>
      <c r="AC685" s="294"/>
      <c r="AD685" s="294"/>
      <c r="AE685" s="294"/>
      <c r="AF685" s="294"/>
      <c r="AG685" s="294"/>
      <c r="AH685" s="294"/>
      <c r="AI685" s="294"/>
      <c r="AJ685" s="294"/>
    </row>
    <row r="686" spans="2:36" x14ac:dyDescent="0.25">
      <c r="B686" s="294"/>
      <c r="C686" s="294"/>
      <c r="D686" s="294"/>
      <c r="E686" s="294"/>
      <c r="F686" s="294"/>
      <c r="G686" s="294"/>
      <c r="H686" s="294"/>
      <c r="I686" s="294"/>
      <c r="J686" s="294"/>
      <c r="L686" s="295"/>
      <c r="M686" s="294"/>
      <c r="R686" s="326"/>
      <c r="S686" s="326"/>
      <c r="T686" s="294"/>
      <c r="U686" s="294"/>
      <c r="V686" s="294"/>
      <c r="W686" s="294"/>
      <c r="X686" s="1182"/>
      <c r="Y686" s="1182"/>
      <c r="Z686" s="1166"/>
      <c r="AA686" s="1166"/>
      <c r="AB686" s="1182"/>
      <c r="AC686" s="294"/>
      <c r="AD686" s="294"/>
      <c r="AE686" s="294"/>
      <c r="AF686" s="294"/>
      <c r="AG686" s="294"/>
      <c r="AH686" s="294"/>
      <c r="AI686" s="294"/>
      <c r="AJ686" s="294"/>
    </row>
    <row r="687" spans="2:36" x14ac:dyDescent="0.25">
      <c r="B687" s="294"/>
      <c r="C687" s="294"/>
      <c r="D687" s="294"/>
      <c r="E687" s="294"/>
      <c r="F687" s="294"/>
      <c r="G687" s="294"/>
      <c r="H687" s="294"/>
      <c r="I687" s="294"/>
      <c r="J687" s="294"/>
      <c r="L687" s="295"/>
      <c r="M687" s="294"/>
      <c r="R687" s="326"/>
      <c r="S687" s="326"/>
      <c r="T687" s="294"/>
      <c r="U687" s="294"/>
      <c r="V687" s="294"/>
      <c r="W687" s="294"/>
      <c r="X687" s="1182"/>
      <c r="Y687" s="1182"/>
      <c r="Z687" s="1166"/>
      <c r="AA687" s="1166"/>
      <c r="AB687" s="1182"/>
      <c r="AC687" s="294"/>
      <c r="AD687" s="294"/>
      <c r="AE687" s="294"/>
      <c r="AF687" s="294"/>
      <c r="AG687" s="294"/>
      <c r="AH687" s="294"/>
      <c r="AI687" s="294"/>
      <c r="AJ687" s="294"/>
    </row>
    <row r="688" spans="2:36" x14ac:dyDescent="0.25">
      <c r="B688" s="294"/>
      <c r="C688" s="294"/>
      <c r="D688" s="294"/>
      <c r="E688" s="294"/>
      <c r="F688" s="294"/>
      <c r="G688" s="294"/>
      <c r="H688" s="294"/>
      <c r="I688" s="294"/>
      <c r="J688" s="294"/>
      <c r="L688" s="295"/>
      <c r="M688" s="294"/>
      <c r="R688" s="326"/>
      <c r="S688" s="326"/>
      <c r="T688" s="294"/>
      <c r="U688" s="294"/>
      <c r="V688" s="294"/>
      <c r="W688" s="294"/>
      <c r="X688" s="1182"/>
      <c r="Y688" s="1182"/>
      <c r="Z688" s="1166"/>
      <c r="AA688" s="1166"/>
      <c r="AB688" s="1182"/>
      <c r="AC688" s="294"/>
      <c r="AD688" s="294"/>
      <c r="AE688" s="294"/>
      <c r="AF688" s="294"/>
      <c r="AG688" s="294"/>
      <c r="AH688" s="294"/>
      <c r="AI688" s="294"/>
      <c r="AJ688" s="294"/>
    </row>
    <row r="689" spans="2:36" x14ac:dyDescent="0.25">
      <c r="B689" s="294"/>
      <c r="C689" s="294"/>
      <c r="D689" s="294"/>
      <c r="E689" s="294"/>
      <c r="F689" s="294"/>
      <c r="G689" s="294"/>
      <c r="H689" s="294"/>
      <c r="I689" s="294"/>
      <c r="J689" s="294"/>
      <c r="L689" s="295"/>
      <c r="M689" s="294"/>
      <c r="R689" s="326"/>
      <c r="S689" s="326"/>
      <c r="T689" s="294"/>
      <c r="U689" s="294"/>
      <c r="V689" s="294"/>
      <c r="W689" s="294"/>
      <c r="X689" s="1182"/>
      <c r="Y689" s="1182"/>
      <c r="Z689" s="1166"/>
      <c r="AA689" s="1166"/>
      <c r="AB689" s="1182"/>
      <c r="AC689" s="294"/>
      <c r="AD689" s="294"/>
      <c r="AE689" s="294"/>
      <c r="AF689" s="294"/>
      <c r="AG689" s="294"/>
      <c r="AH689" s="294"/>
      <c r="AI689" s="294"/>
      <c r="AJ689" s="294"/>
    </row>
    <row r="690" spans="2:36" x14ac:dyDescent="0.25">
      <c r="B690" s="294"/>
      <c r="C690" s="294"/>
      <c r="D690" s="294"/>
      <c r="E690" s="294"/>
      <c r="F690" s="294"/>
      <c r="G690" s="294"/>
      <c r="H690" s="294"/>
      <c r="I690" s="294"/>
      <c r="J690" s="294"/>
      <c r="L690" s="295"/>
      <c r="M690" s="294"/>
      <c r="R690" s="326"/>
      <c r="S690" s="326"/>
      <c r="T690" s="294"/>
      <c r="U690" s="294"/>
      <c r="V690" s="294"/>
      <c r="W690" s="294"/>
      <c r="X690" s="1182"/>
      <c r="Y690" s="1182"/>
      <c r="Z690" s="1166"/>
      <c r="AA690" s="1166"/>
      <c r="AB690" s="1182"/>
      <c r="AC690" s="294"/>
      <c r="AD690" s="294"/>
      <c r="AE690" s="294"/>
      <c r="AF690" s="294"/>
      <c r="AG690" s="294"/>
      <c r="AH690" s="294"/>
      <c r="AI690" s="294"/>
      <c r="AJ690" s="294"/>
    </row>
    <row r="691" spans="2:36" x14ac:dyDescent="0.25">
      <c r="B691" s="294"/>
      <c r="C691" s="294"/>
      <c r="D691" s="294"/>
      <c r="E691" s="294"/>
      <c r="F691" s="294"/>
      <c r="G691" s="294"/>
      <c r="H691" s="294"/>
      <c r="I691" s="294"/>
      <c r="J691" s="294"/>
      <c r="L691" s="295"/>
      <c r="M691" s="294"/>
      <c r="R691" s="326"/>
      <c r="S691" s="326"/>
      <c r="T691" s="294"/>
      <c r="U691" s="294"/>
      <c r="V691" s="294"/>
      <c r="W691" s="294"/>
      <c r="X691" s="1182"/>
      <c r="Y691" s="1182"/>
      <c r="Z691" s="1166"/>
      <c r="AA691" s="1166"/>
      <c r="AB691" s="1182"/>
      <c r="AC691" s="294"/>
      <c r="AD691" s="294"/>
      <c r="AE691" s="294"/>
      <c r="AF691" s="294"/>
      <c r="AG691" s="294"/>
      <c r="AH691" s="294"/>
      <c r="AI691" s="294"/>
      <c r="AJ691" s="294"/>
    </row>
    <row r="692" spans="2:36" x14ac:dyDescent="0.25">
      <c r="B692" s="294"/>
      <c r="C692" s="294"/>
      <c r="D692" s="294"/>
      <c r="E692" s="294"/>
      <c r="F692" s="294"/>
      <c r="G692" s="294"/>
      <c r="H692" s="294"/>
      <c r="I692" s="294"/>
      <c r="J692" s="294"/>
      <c r="L692" s="295"/>
      <c r="M692" s="294"/>
      <c r="R692" s="326"/>
      <c r="S692" s="326"/>
      <c r="T692" s="294"/>
      <c r="U692" s="294"/>
      <c r="V692" s="294"/>
      <c r="W692" s="294"/>
      <c r="X692" s="1182"/>
      <c r="Y692" s="1182"/>
      <c r="Z692" s="1166"/>
      <c r="AA692" s="1166"/>
      <c r="AB692" s="1182"/>
      <c r="AC692" s="294"/>
      <c r="AD692" s="294"/>
      <c r="AE692" s="294"/>
      <c r="AF692" s="294"/>
      <c r="AG692" s="294"/>
      <c r="AH692" s="294"/>
      <c r="AI692" s="294"/>
      <c r="AJ692" s="294"/>
    </row>
    <row r="693" spans="2:36" x14ac:dyDescent="0.25">
      <c r="B693" s="294"/>
      <c r="C693" s="294"/>
      <c r="D693" s="294"/>
      <c r="E693" s="294"/>
      <c r="F693" s="294"/>
      <c r="G693" s="294"/>
      <c r="H693" s="294"/>
      <c r="I693" s="294"/>
      <c r="J693" s="294"/>
      <c r="L693" s="295"/>
      <c r="M693" s="294"/>
      <c r="R693" s="326"/>
      <c r="S693" s="326"/>
      <c r="T693" s="294"/>
      <c r="U693" s="294"/>
      <c r="V693" s="294"/>
      <c r="W693" s="294"/>
      <c r="X693" s="1182"/>
      <c r="Y693" s="1182"/>
      <c r="Z693" s="1166"/>
      <c r="AA693" s="1166"/>
      <c r="AB693" s="1182"/>
      <c r="AC693" s="294"/>
      <c r="AD693" s="294"/>
      <c r="AE693" s="294"/>
      <c r="AF693" s="294"/>
      <c r="AG693" s="294"/>
      <c r="AH693" s="294"/>
      <c r="AI693" s="294"/>
      <c r="AJ693" s="294"/>
    </row>
    <row r="694" spans="2:36" x14ac:dyDescent="0.25">
      <c r="B694" s="294"/>
      <c r="C694" s="294"/>
      <c r="D694" s="294"/>
      <c r="E694" s="294"/>
      <c r="F694" s="294"/>
      <c r="G694" s="294"/>
      <c r="H694" s="294"/>
      <c r="I694" s="294"/>
      <c r="J694" s="294"/>
      <c r="L694" s="295"/>
      <c r="M694" s="294"/>
      <c r="R694" s="326"/>
      <c r="S694" s="326"/>
      <c r="T694" s="294"/>
      <c r="U694" s="294"/>
      <c r="V694" s="294"/>
      <c r="W694" s="294"/>
      <c r="X694" s="1182"/>
      <c r="Y694" s="1182"/>
      <c r="Z694" s="1166"/>
      <c r="AA694" s="1166"/>
      <c r="AB694" s="1182"/>
      <c r="AC694" s="294"/>
      <c r="AD694" s="294"/>
      <c r="AE694" s="294"/>
      <c r="AF694" s="294"/>
      <c r="AG694" s="294"/>
      <c r="AH694" s="294"/>
      <c r="AI694" s="294"/>
      <c r="AJ694" s="294"/>
    </row>
    <row r="695" spans="2:36" x14ac:dyDescent="0.25">
      <c r="B695" s="294"/>
      <c r="C695" s="294"/>
      <c r="D695" s="294"/>
      <c r="E695" s="294"/>
      <c r="F695" s="294"/>
      <c r="G695" s="294"/>
      <c r="H695" s="294"/>
      <c r="I695" s="294"/>
      <c r="J695" s="294"/>
      <c r="L695" s="295"/>
      <c r="M695" s="294"/>
      <c r="R695" s="326"/>
      <c r="S695" s="326"/>
      <c r="T695" s="294"/>
      <c r="U695" s="294"/>
      <c r="V695" s="294"/>
      <c r="W695" s="294"/>
      <c r="X695" s="1182"/>
      <c r="Y695" s="1182"/>
      <c r="Z695" s="1166"/>
      <c r="AA695" s="1166"/>
      <c r="AB695" s="1182"/>
      <c r="AC695" s="294"/>
      <c r="AD695" s="294"/>
      <c r="AE695" s="294"/>
      <c r="AF695" s="294"/>
      <c r="AG695" s="294"/>
      <c r="AH695" s="294"/>
      <c r="AI695" s="294"/>
      <c r="AJ695" s="294"/>
    </row>
    <row r="696" spans="2:36" x14ac:dyDescent="0.25">
      <c r="B696" s="294"/>
      <c r="C696" s="294"/>
      <c r="D696" s="294"/>
      <c r="E696" s="294"/>
      <c r="F696" s="294"/>
      <c r="G696" s="294"/>
      <c r="H696" s="294"/>
      <c r="I696" s="294"/>
      <c r="J696" s="294"/>
      <c r="L696" s="295"/>
      <c r="M696" s="294"/>
      <c r="R696" s="326"/>
      <c r="S696" s="326"/>
      <c r="T696" s="294"/>
      <c r="U696" s="294"/>
      <c r="V696" s="294"/>
      <c r="W696" s="294"/>
      <c r="X696" s="1182"/>
      <c r="Y696" s="1182"/>
      <c r="Z696" s="1166"/>
      <c r="AA696" s="1166"/>
      <c r="AB696" s="1182"/>
      <c r="AC696" s="294"/>
      <c r="AD696" s="294"/>
      <c r="AE696" s="294"/>
      <c r="AF696" s="294"/>
      <c r="AG696" s="294"/>
      <c r="AH696" s="294"/>
      <c r="AI696" s="294"/>
      <c r="AJ696" s="294"/>
    </row>
    <row r="697" spans="2:36" x14ac:dyDescent="0.25">
      <c r="B697" s="294"/>
      <c r="C697" s="294"/>
      <c r="D697" s="294"/>
      <c r="E697" s="294"/>
      <c r="F697" s="294"/>
      <c r="G697" s="294"/>
      <c r="H697" s="294"/>
      <c r="I697" s="294"/>
      <c r="J697" s="294"/>
      <c r="L697" s="295"/>
      <c r="M697" s="294"/>
      <c r="R697" s="326"/>
      <c r="S697" s="326"/>
      <c r="T697" s="294"/>
      <c r="U697" s="294"/>
      <c r="V697" s="294"/>
      <c r="W697" s="294"/>
      <c r="X697" s="1182"/>
      <c r="Y697" s="1182"/>
      <c r="Z697" s="1166"/>
      <c r="AA697" s="1166"/>
      <c r="AB697" s="1182"/>
      <c r="AC697" s="294"/>
      <c r="AD697" s="294"/>
      <c r="AE697" s="294"/>
      <c r="AF697" s="294"/>
      <c r="AG697" s="294"/>
      <c r="AH697" s="294"/>
      <c r="AI697" s="294"/>
      <c r="AJ697" s="294"/>
    </row>
    <row r="698" spans="2:36" x14ac:dyDescent="0.25">
      <c r="B698" s="294"/>
      <c r="C698" s="294"/>
      <c r="D698" s="294"/>
      <c r="E698" s="294"/>
      <c r="F698" s="294"/>
      <c r="G698" s="294"/>
      <c r="H698" s="294"/>
      <c r="I698" s="294"/>
      <c r="J698" s="294"/>
      <c r="L698" s="295"/>
      <c r="M698" s="294"/>
      <c r="R698" s="326"/>
      <c r="S698" s="326"/>
      <c r="T698" s="294"/>
      <c r="U698" s="294"/>
      <c r="V698" s="294"/>
      <c r="W698" s="294"/>
      <c r="X698" s="1182"/>
      <c r="Y698" s="1182"/>
      <c r="Z698" s="1166"/>
      <c r="AA698" s="1166"/>
      <c r="AB698" s="1182"/>
      <c r="AC698" s="294"/>
      <c r="AD698" s="294"/>
      <c r="AE698" s="294"/>
      <c r="AF698" s="294"/>
      <c r="AG698" s="294"/>
      <c r="AH698" s="294"/>
      <c r="AI698" s="294"/>
      <c r="AJ698" s="294"/>
    </row>
    <row r="699" spans="2:36" x14ac:dyDescent="0.25">
      <c r="B699" s="294"/>
      <c r="C699" s="294"/>
      <c r="D699" s="294"/>
      <c r="E699" s="294"/>
      <c r="F699" s="294"/>
      <c r="G699" s="294"/>
      <c r="H699" s="294"/>
      <c r="I699" s="294"/>
      <c r="J699" s="294"/>
      <c r="L699" s="295"/>
      <c r="M699" s="294"/>
      <c r="R699" s="326"/>
      <c r="S699" s="326"/>
      <c r="T699" s="294"/>
      <c r="U699" s="294"/>
      <c r="V699" s="294"/>
      <c r="W699" s="294"/>
      <c r="X699" s="1182"/>
      <c r="Y699" s="1182"/>
      <c r="Z699" s="1166"/>
      <c r="AA699" s="1166"/>
      <c r="AB699" s="1182"/>
      <c r="AC699" s="294"/>
      <c r="AD699" s="294"/>
      <c r="AE699" s="294"/>
      <c r="AF699" s="294"/>
      <c r="AG699" s="294"/>
      <c r="AH699" s="294"/>
      <c r="AI699" s="294"/>
      <c r="AJ699" s="294"/>
    </row>
    <row r="700" spans="2:36" x14ac:dyDescent="0.25">
      <c r="B700" s="294"/>
      <c r="C700" s="294"/>
      <c r="D700" s="294"/>
      <c r="E700" s="294"/>
      <c r="F700" s="294"/>
      <c r="G700" s="294"/>
      <c r="H700" s="294"/>
      <c r="I700" s="294"/>
      <c r="J700" s="294"/>
      <c r="L700" s="295"/>
      <c r="M700" s="294"/>
      <c r="R700" s="326"/>
      <c r="S700" s="326"/>
      <c r="T700" s="294"/>
      <c r="U700" s="294"/>
      <c r="V700" s="294"/>
      <c r="W700" s="294"/>
      <c r="X700" s="1182"/>
      <c r="Y700" s="1182"/>
      <c r="Z700" s="1166"/>
      <c r="AA700" s="1166"/>
      <c r="AB700" s="1182"/>
      <c r="AC700" s="294"/>
      <c r="AD700" s="294"/>
      <c r="AE700" s="294"/>
      <c r="AF700" s="294"/>
      <c r="AG700" s="294"/>
      <c r="AH700" s="294"/>
      <c r="AI700" s="294"/>
      <c r="AJ700" s="294"/>
    </row>
    <row r="701" spans="2:36" x14ac:dyDescent="0.25">
      <c r="B701" s="294"/>
      <c r="C701" s="294"/>
      <c r="D701" s="294"/>
      <c r="E701" s="294"/>
      <c r="F701" s="294"/>
      <c r="G701" s="294"/>
      <c r="H701" s="294"/>
      <c r="I701" s="294"/>
      <c r="J701" s="294"/>
      <c r="L701" s="295"/>
      <c r="M701" s="294"/>
      <c r="R701" s="326"/>
      <c r="S701" s="326"/>
      <c r="T701" s="294"/>
      <c r="U701" s="294"/>
      <c r="V701" s="294"/>
      <c r="W701" s="294"/>
      <c r="X701" s="1182"/>
      <c r="Y701" s="1182"/>
      <c r="Z701" s="1166"/>
      <c r="AA701" s="1166"/>
      <c r="AB701" s="1182"/>
      <c r="AC701" s="294"/>
      <c r="AD701" s="294"/>
      <c r="AE701" s="294"/>
      <c r="AF701" s="294"/>
      <c r="AG701" s="294"/>
      <c r="AH701" s="294"/>
      <c r="AI701" s="294"/>
      <c r="AJ701" s="294"/>
    </row>
    <row r="702" spans="2:36" x14ac:dyDescent="0.25">
      <c r="B702" s="294"/>
      <c r="C702" s="294"/>
      <c r="D702" s="294"/>
      <c r="E702" s="294"/>
      <c r="F702" s="294"/>
      <c r="G702" s="294"/>
      <c r="H702" s="294"/>
      <c r="I702" s="294"/>
      <c r="J702" s="294"/>
      <c r="L702" s="295"/>
      <c r="M702" s="294"/>
      <c r="R702" s="326"/>
      <c r="S702" s="326"/>
      <c r="T702" s="294"/>
      <c r="U702" s="294"/>
      <c r="V702" s="294"/>
      <c r="W702" s="294"/>
      <c r="X702" s="1182"/>
      <c r="Y702" s="1182"/>
      <c r="Z702" s="1166"/>
      <c r="AA702" s="1166"/>
      <c r="AB702" s="1182"/>
      <c r="AC702" s="294"/>
      <c r="AD702" s="294"/>
      <c r="AE702" s="294"/>
      <c r="AF702" s="294"/>
      <c r="AG702" s="294"/>
      <c r="AH702" s="294"/>
      <c r="AI702" s="294"/>
      <c r="AJ702" s="294"/>
    </row>
    <row r="703" spans="2:36" x14ac:dyDescent="0.25">
      <c r="B703" s="294"/>
      <c r="C703" s="294"/>
      <c r="D703" s="294"/>
      <c r="E703" s="294"/>
      <c r="F703" s="294"/>
      <c r="G703" s="294"/>
      <c r="H703" s="294"/>
      <c r="I703" s="294"/>
      <c r="J703" s="294"/>
      <c r="L703" s="295"/>
      <c r="M703" s="294"/>
      <c r="R703" s="326"/>
      <c r="S703" s="326"/>
      <c r="T703" s="294"/>
      <c r="U703" s="294"/>
      <c r="V703" s="294"/>
      <c r="W703" s="294"/>
      <c r="X703" s="1182"/>
      <c r="Y703" s="1182"/>
      <c r="Z703" s="1166"/>
      <c r="AA703" s="1166"/>
      <c r="AB703" s="1182"/>
      <c r="AC703" s="294"/>
      <c r="AD703" s="294"/>
      <c r="AE703" s="294"/>
      <c r="AF703" s="294"/>
      <c r="AG703" s="294"/>
      <c r="AH703" s="294"/>
      <c r="AI703" s="294"/>
      <c r="AJ703" s="294"/>
    </row>
    <row r="704" spans="2:36" x14ac:dyDescent="0.25">
      <c r="B704" s="294"/>
      <c r="C704" s="294"/>
      <c r="D704" s="294"/>
      <c r="E704" s="294"/>
      <c r="F704" s="294"/>
      <c r="G704" s="294"/>
      <c r="H704" s="294"/>
      <c r="I704" s="294"/>
      <c r="J704" s="294"/>
      <c r="L704" s="295"/>
      <c r="M704" s="294"/>
      <c r="R704" s="326"/>
      <c r="S704" s="326"/>
      <c r="T704" s="294"/>
      <c r="U704" s="294"/>
      <c r="V704" s="294"/>
      <c r="W704" s="294"/>
      <c r="X704" s="1182"/>
      <c r="Y704" s="1182"/>
      <c r="Z704" s="1166"/>
      <c r="AA704" s="1166"/>
      <c r="AB704" s="1182"/>
      <c r="AC704" s="294"/>
      <c r="AD704" s="294"/>
      <c r="AE704" s="294"/>
      <c r="AF704" s="294"/>
      <c r="AG704" s="294"/>
      <c r="AH704" s="294"/>
      <c r="AI704" s="294"/>
      <c r="AJ704" s="294"/>
    </row>
    <row r="705" spans="2:36" x14ac:dyDescent="0.25">
      <c r="B705" s="294"/>
      <c r="C705" s="294"/>
      <c r="D705" s="294"/>
      <c r="E705" s="294"/>
      <c r="F705" s="294"/>
      <c r="G705" s="294"/>
      <c r="H705" s="294"/>
      <c r="I705" s="294"/>
      <c r="J705" s="294"/>
      <c r="L705" s="295"/>
      <c r="M705" s="294"/>
      <c r="R705" s="326"/>
      <c r="S705" s="326"/>
      <c r="T705" s="294"/>
      <c r="U705" s="294"/>
      <c r="V705" s="294"/>
      <c r="W705" s="294"/>
      <c r="X705" s="1182"/>
      <c r="Y705" s="1182"/>
      <c r="Z705" s="1166"/>
      <c r="AA705" s="1166"/>
      <c r="AB705" s="1182"/>
      <c r="AC705" s="294"/>
      <c r="AD705" s="294"/>
      <c r="AE705" s="294"/>
      <c r="AF705" s="294"/>
      <c r="AG705" s="294"/>
      <c r="AH705" s="294"/>
      <c r="AI705" s="294"/>
      <c r="AJ705" s="294"/>
    </row>
    <row r="706" spans="2:36" x14ac:dyDescent="0.25">
      <c r="B706" s="294"/>
      <c r="C706" s="294"/>
      <c r="D706" s="294"/>
      <c r="E706" s="294"/>
      <c r="F706" s="294"/>
      <c r="G706" s="294"/>
      <c r="H706" s="294"/>
      <c r="I706" s="294"/>
      <c r="J706" s="294"/>
      <c r="L706" s="295"/>
      <c r="M706" s="294"/>
      <c r="R706" s="326"/>
      <c r="S706" s="326"/>
      <c r="T706" s="294"/>
      <c r="U706" s="294"/>
      <c r="V706" s="294"/>
      <c r="W706" s="294"/>
      <c r="X706" s="1182"/>
      <c r="Y706" s="1182"/>
      <c r="Z706" s="1166"/>
      <c r="AA706" s="1166"/>
      <c r="AB706" s="1182"/>
      <c r="AC706" s="294"/>
      <c r="AD706" s="294"/>
      <c r="AE706" s="294"/>
      <c r="AF706" s="294"/>
      <c r="AG706" s="294"/>
      <c r="AH706" s="294"/>
      <c r="AI706" s="294"/>
      <c r="AJ706" s="294"/>
    </row>
    <row r="707" spans="2:36" x14ac:dyDescent="0.25">
      <c r="B707" s="294"/>
      <c r="C707" s="294"/>
      <c r="D707" s="294"/>
      <c r="E707" s="294"/>
      <c r="F707" s="294"/>
      <c r="G707" s="294"/>
      <c r="H707" s="294"/>
      <c r="I707" s="294"/>
      <c r="J707" s="294"/>
      <c r="L707" s="295"/>
      <c r="M707" s="294"/>
      <c r="R707" s="326"/>
      <c r="S707" s="326"/>
      <c r="T707" s="294"/>
      <c r="U707" s="294"/>
      <c r="V707" s="294"/>
      <c r="W707" s="294"/>
      <c r="X707" s="1182"/>
      <c r="Y707" s="1182"/>
      <c r="Z707" s="1166"/>
      <c r="AA707" s="1166"/>
      <c r="AB707" s="1182"/>
      <c r="AC707" s="294"/>
      <c r="AD707" s="294"/>
      <c r="AE707" s="294"/>
      <c r="AF707" s="294"/>
      <c r="AG707" s="294"/>
      <c r="AH707" s="294"/>
      <c r="AI707" s="294"/>
      <c r="AJ707" s="294"/>
    </row>
    <row r="708" spans="2:36" x14ac:dyDescent="0.25">
      <c r="B708" s="294"/>
      <c r="C708" s="294"/>
      <c r="D708" s="294"/>
      <c r="E708" s="294"/>
      <c r="F708" s="294"/>
      <c r="G708" s="294"/>
      <c r="H708" s="294"/>
      <c r="I708" s="294"/>
      <c r="J708" s="294"/>
      <c r="L708" s="295"/>
      <c r="M708" s="294"/>
      <c r="R708" s="326"/>
      <c r="S708" s="326"/>
      <c r="T708" s="294"/>
      <c r="U708" s="294"/>
      <c r="V708" s="294"/>
      <c r="W708" s="294"/>
      <c r="X708" s="1182"/>
      <c r="Y708" s="1182"/>
      <c r="Z708" s="1166"/>
      <c r="AA708" s="1166"/>
      <c r="AB708" s="1182"/>
      <c r="AC708" s="294"/>
      <c r="AD708" s="294"/>
      <c r="AE708" s="294"/>
      <c r="AF708" s="294"/>
      <c r="AG708" s="294"/>
      <c r="AH708" s="294"/>
      <c r="AI708" s="294"/>
      <c r="AJ708" s="294"/>
    </row>
    <row r="709" spans="2:36" x14ac:dyDescent="0.25">
      <c r="B709" s="294"/>
      <c r="C709" s="294"/>
      <c r="D709" s="294"/>
      <c r="E709" s="294"/>
      <c r="F709" s="294"/>
      <c r="G709" s="294"/>
      <c r="H709" s="294"/>
      <c r="I709" s="294"/>
      <c r="J709" s="294"/>
      <c r="L709" s="295"/>
      <c r="M709" s="294"/>
      <c r="R709" s="326"/>
      <c r="S709" s="326"/>
      <c r="T709" s="294"/>
      <c r="U709" s="294"/>
      <c r="V709" s="294"/>
      <c r="W709" s="294"/>
      <c r="X709" s="1182"/>
      <c r="Y709" s="1182"/>
      <c r="Z709" s="1166"/>
      <c r="AA709" s="1166"/>
      <c r="AB709" s="1182"/>
      <c r="AC709" s="294"/>
      <c r="AD709" s="294"/>
      <c r="AE709" s="294"/>
      <c r="AF709" s="294"/>
      <c r="AG709" s="294"/>
      <c r="AH709" s="294"/>
      <c r="AI709" s="294"/>
      <c r="AJ709" s="294"/>
    </row>
    <row r="710" spans="2:36" x14ac:dyDescent="0.25">
      <c r="B710" s="294"/>
      <c r="C710" s="294"/>
      <c r="D710" s="294"/>
      <c r="E710" s="294"/>
      <c r="F710" s="294"/>
      <c r="G710" s="294"/>
      <c r="H710" s="294"/>
      <c r="I710" s="294"/>
      <c r="J710" s="294"/>
      <c r="L710" s="295"/>
      <c r="M710" s="294"/>
      <c r="R710" s="326"/>
      <c r="S710" s="326"/>
      <c r="T710" s="294"/>
      <c r="U710" s="294"/>
      <c r="V710" s="294"/>
      <c r="W710" s="294"/>
      <c r="X710" s="1182"/>
      <c r="Y710" s="1182"/>
      <c r="Z710" s="1166"/>
      <c r="AA710" s="1166"/>
      <c r="AB710" s="1182"/>
      <c r="AC710" s="294"/>
      <c r="AD710" s="294"/>
      <c r="AE710" s="294"/>
      <c r="AF710" s="294"/>
      <c r="AG710" s="294"/>
      <c r="AH710" s="294"/>
      <c r="AI710" s="294"/>
      <c r="AJ710" s="294"/>
    </row>
    <row r="711" spans="2:36" x14ac:dyDescent="0.25">
      <c r="B711" s="294"/>
      <c r="C711" s="294"/>
      <c r="D711" s="294"/>
      <c r="E711" s="294"/>
      <c r="F711" s="294"/>
      <c r="G711" s="294"/>
      <c r="H711" s="294"/>
      <c r="I711" s="294"/>
      <c r="J711" s="294"/>
      <c r="L711" s="295"/>
      <c r="M711" s="294"/>
      <c r="R711" s="326"/>
      <c r="S711" s="326"/>
      <c r="T711" s="294"/>
      <c r="U711" s="294"/>
      <c r="V711" s="294"/>
      <c r="W711" s="294"/>
      <c r="X711" s="1182"/>
      <c r="Y711" s="1182"/>
      <c r="Z711" s="1166"/>
      <c r="AA711" s="1166"/>
      <c r="AB711" s="1182"/>
      <c r="AC711" s="294"/>
      <c r="AD711" s="294"/>
      <c r="AE711" s="294"/>
      <c r="AF711" s="294"/>
      <c r="AG711" s="294"/>
      <c r="AH711" s="294"/>
      <c r="AI711" s="294"/>
      <c r="AJ711" s="294"/>
    </row>
    <row r="712" spans="2:36" x14ac:dyDescent="0.25">
      <c r="B712" s="294"/>
      <c r="C712" s="294"/>
      <c r="D712" s="294"/>
      <c r="E712" s="294"/>
      <c r="F712" s="294"/>
      <c r="G712" s="294"/>
      <c r="H712" s="294"/>
      <c r="I712" s="294"/>
      <c r="J712" s="294"/>
      <c r="L712" s="295"/>
      <c r="M712" s="294"/>
      <c r="R712" s="326"/>
      <c r="S712" s="326"/>
      <c r="T712" s="294"/>
      <c r="U712" s="294"/>
      <c r="V712" s="294"/>
      <c r="W712" s="294"/>
      <c r="X712" s="1182"/>
      <c r="Y712" s="1182"/>
      <c r="Z712" s="1166"/>
      <c r="AA712" s="1166"/>
      <c r="AB712" s="1182"/>
      <c r="AC712" s="294"/>
      <c r="AD712" s="294"/>
      <c r="AE712" s="294"/>
      <c r="AF712" s="294"/>
      <c r="AG712" s="294"/>
      <c r="AH712" s="294"/>
      <c r="AI712" s="294"/>
      <c r="AJ712" s="294"/>
    </row>
    <row r="713" spans="2:36" x14ac:dyDescent="0.25">
      <c r="B713" s="294"/>
      <c r="C713" s="294"/>
      <c r="D713" s="294"/>
      <c r="E713" s="294"/>
      <c r="F713" s="294"/>
      <c r="G713" s="294"/>
      <c r="H713" s="294"/>
      <c r="I713" s="294"/>
      <c r="J713" s="294"/>
      <c r="L713" s="295"/>
      <c r="M713" s="294"/>
      <c r="R713" s="326"/>
      <c r="S713" s="326"/>
      <c r="T713" s="294"/>
      <c r="U713" s="294"/>
      <c r="V713" s="294"/>
      <c r="W713" s="294"/>
      <c r="X713" s="1182"/>
      <c r="Y713" s="1182"/>
      <c r="Z713" s="1166"/>
      <c r="AA713" s="1166"/>
      <c r="AB713" s="1182"/>
      <c r="AC713" s="294"/>
      <c r="AD713" s="294"/>
      <c r="AE713" s="294"/>
      <c r="AF713" s="294"/>
      <c r="AG713" s="294"/>
      <c r="AH713" s="294"/>
      <c r="AI713" s="294"/>
      <c r="AJ713" s="294"/>
    </row>
    <row r="714" spans="2:36" x14ac:dyDescent="0.25">
      <c r="B714" s="294"/>
      <c r="C714" s="294"/>
      <c r="D714" s="294"/>
      <c r="E714" s="294"/>
      <c r="F714" s="294"/>
      <c r="G714" s="294"/>
      <c r="H714" s="294"/>
      <c r="I714" s="294"/>
      <c r="J714" s="294"/>
      <c r="L714" s="295"/>
      <c r="M714" s="294"/>
      <c r="R714" s="326"/>
      <c r="S714" s="326"/>
      <c r="T714" s="294"/>
      <c r="U714" s="294"/>
      <c r="V714" s="294"/>
      <c r="W714" s="294"/>
      <c r="X714" s="1182"/>
      <c r="Y714" s="1182"/>
      <c r="Z714" s="1166"/>
      <c r="AA714" s="1166"/>
      <c r="AB714" s="1182"/>
      <c r="AC714" s="294"/>
      <c r="AD714" s="294"/>
      <c r="AE714" s="294"/>
      <c r="AF714" s="294"/>
      <c r="AG714" s="294"/>
      <c r="AH714" s="294"/>
      <c r="AI714" s="294"/>
      <c r="AJ714" s="294"/>
    </row>
    <row r="715" spans="2:36" x14ac:dyDescent="0.25">
      <c r="B715" s="294"/>
      <c r="C715" s="294"/>
      <c r="D715" s="294"/>
      <c r="E715" s="294"/>
      <c r="F715" s="294"/>
      <c r="G715" s="294"/>
      <c r="H715" s="294"/>
      <c r="I715" s="294"/>
      <c r="J715" s="294"/>
      <c r="L715" s="295"/>
      <c r="M715" s="294"/>
      <c r="R715" s="326"/>
      <c r="S715" s="326"/>
      <c r="T715" s="294"/>
      <c r="U715" s="294"/>
      <c r="V715" s="294"/>
      <c r="W715" s="294"/>
      <c r="X715" s="1182"/>
      <c r="Y715" s="1182"/>
      <c r="Z715" s="1166"/>
      <c r="AA715" s="1166"/>
      <c r="AB715" s="1182"/>
      <c r="AC715" s="294"/>
      <c r="AD715" s="294"/>
      <c r="AE715" s="294"/>
      <c r="AF715" s="294"/>
      <c r="AG715" s="294"/>
      <c r="AH715" s="294"/>
      <c r="AI715" s="294"/>
      <c r="AJ715" s="294"/>
    </row>
    <row r="716" spans="2:36" x14ac:dyDescent="0.25">
      <c r="B716" s="294"/>
      <c r="C716" s="294"/>
      <c r="D716" s="294"/>
      <c r="E716" s="294"/>
      <c r="F716" s="294"/>
      <c r="G716" s="294"/>
      <c r="H716" s="294"/>
      <c r="I716" s="294"/>
      <c r="J716" s="294"/>
      <c r="L716" s="295"/>
      <c r="M716" s="294"/>
      <c r="R716" s="326"/>
      <c r="S716" s="326"/>
      <c r="T716" s="294"/>
      <c r="U716" s="294"/>
      <c r="V716" s="294"/>
      <c r="W716" s="294"/>
      <c r="X716" s="1182"/>
      <c r="Y716" s="1182"/>
      <c r="Z716" s="1166"/>
      <c r="AA716" s="1166"/>
      <c r="AB716" s="1182"/>
      <c r="AC716" s="294"/>
      <c r="AD716" s="294"/>
      <c r="AE716" s="294"/>
      <c r="AF716" s="294"/>
      <c r="AG716" s="294"/>
      <c r="AH716" s="294"/>
      <c r="AI716" s="294"/>
      <c r="AJ716" s="294"/>
    </row>
    <row r="717" spans="2:36" x14ac:dyDescent="0.25">
      <c r="B717" s="294"/>
      <c r="C717" s="294"/>
      <c r="D717" s="294"/>
      <c r="E717" s="294"/>
      <c r="F717" s="294"/>
      <c r="G717" s="294"/>
      <c r="H717" s="294"/>
      <c r="I717" s="294"/>
      <c r="J717" s="294"/>
      <c r="L717" s="295"/>
      <c r="M717" s="294"/>
      <c r="R717" s="326"/>
      <c r="S717" s="326"/>
      <c r="T717" s="294"/>
      <c r="U717" s="294"/>
      <c r="V717" s="294"/>
      <c r="W717" s="294"/>
      <c r="X717" s="1182"/>
      <c r="Y717" s="1182"/>
      <c r="Z717" s="1166"/>
      <c r="AA717" s="1166"/>
      <c r="AB717" s="1182"/>
      <c r="AC717" s="294"/>
      <c r="AD717" s="294"/>
      <c r="AE717" s="294"/>
      <c r="AF717" s="294"/>
      <c r="AG717" s="294"/>
      <c r="AH717" s="294"/>
      <c r="AI717" s="294"/>
      <c r="AJ717" s="294"/>
    </row>
    <row r="718" spans="2:36" x14ac:dyDescent="0.25">
      <c r="B718" s="294"/>
      <c r="C718" s="294"/>
      <c r="D718" s="294"/>
      <c r="E718" s="294"/>
      <c r="F718" s="294"/>
      <c r="G718" s="294"/>
      <c r="H718" s="294"/>
      <c r="I718" s="294"/>
      <c r="J718" s="294"/>
      <c r="L718" s="295"/>
      <c r="M718" s="294"/>
      <c r="R718" s="326"/>
      <c r="S718" s="326"/>
      <c r="T718" s="294"/>
      <c r="U718" s="294"/>
      <c r="V718" s="294"/>
      <c r="W718" s="294"/>
      <c r="X718" s="1182"/>
      <c r="Y718" s="1182"/>
      <c r="Z718" s="1166"/>
      <c r="AA718" s="1166"/>
      <c r="AB718" s="1182"/>
      <c r="AC718" s="294"/>
      <c r="AD718" s="294"/>
      <c r="AE718" s="294"/>
      <c r="AF718" s="294"/>
      <c r="AG718" s="294"/>
      <c r="AH718" s="294"/>
      <c r="AI718" s="294"/>
      <c r="AJ718" s="294"/>
    </row>
    <row r="719" spans="2:36" x14ac:dyDescent="0.25">
      <c r="B719" s="294"/>
      <c r="C719" s="294"/>
      <c r="D719" s="294"/>
      <c r="E719" s="294"/>
      <c r="F719" s="294"/>
      <c r="G719" s="294"/>
      <c r="H719" s="294"/>
      <c r="I719" s="294"/>
      <c r="J719" s="294"/>
      <c r="L719" s="295"/>
      <c r="M719" s="294"/>
      <c r="R719" s="326"/>
      <c r="S719" s="326"/>
      <c r="T719" s="294"/>
      <c r="U719" s="294"/>
      <c r="V719" s="294"/>
      <c r="W719" s="294"/>
      <c r="X719" s="1182"/>
      <c r="Y719" s="1182"/>
      <c r="Z719" s="1166"/>
      <c r="AA719" s="1166"/>
      <c r="AB719" s="1182"/>
      <c r="AC719" s="294"/>
      <c r="AD719" s="294"/>
      <c r="AE719" s="294"/>
      <c r="AF719" s="294"/>
      <c r="AG719" s="294"/>
      <c r="AH719" s="294"/>
      <c r="AI719" s="294"/>
      <c r="AJ719" s="294"/>
    </row>
    <row r="720" spans="2:36" x14ac:dyDescent="0.25">
      <c r="B720" s="294"/>
      <c r="C720" s="294"/>
      <c r="D720" s="294"/>
      <c r="E720" s="294"/>
      <c r="F720" s="294"/>
      <c r="G720" s="294"/>
      <c r="H720" s="294"/>
      <c r="I720" s="294"/>
      <c r="J720" s="294"/>
      <c r="L720" s="295"/>
      <c r="M720" s="294"/>
      <c r="R720" s="326"/>
      <c r="S720" s="326"/>
      <c r="T720" s="294"/>
      <c r="U720" s="294"/>
      <c r="V720" s="294"/>
      <c r="W720" s="294"/>
      <c r="X720" s="1182"/>
      <c r="Y720" s="1182"/>
      <c r="Z720" s="1166"/>
      <c r="AA720" s="1166"/>
      <c r="AB720" s="1182"/>
      <c r="AC720" s="294"/>
      <c r="AD720" s="294"/>
      <c r="AE720" s="294"/>
      <c r="AF720" s="294"/>
      <c r="AG720" s="294"/>
      <c r="AH720" s="294"/>
      <c r="AI720" s="294"/>
      <c r="AJ720" s="294"/>
    </row>
    <row r="721" spans="2:36" x14ac:dyDescent="0.25">
      <c r="B721" s="294"/>
      <c r="C721" s="294"/>
      <c r="D721" s="294"/>
      <c r="E721" s="294"/>
      <c r="F721" s="294"/>
      <c r="G721" s="294"/>
      <c r="H721" s="294"/>
      <c r="I721" s="294"/>
      <c r="J721" s="294"/>
      <c r="L721" s="295"/>
      <c r="M721" s="294"/>
      <c r="R721" s="326"/>
      <c r="S721" s="326"/>
      <c r="T721" s="294"/>
      <c r="U721" s="294"/>
      <c r="V721" s="294"/>
      <c r="W721" s="294"/>
      <c r="X721" s="1182"/>
      <c r="Y721" s="1182"/>
      <c r="Z721" s="1166"/>
      <c r="AA721" s="1166"/>
      <c r="AB721" s="1182"/>
      <c r="AC721" s="294"/>
      <c r="AD721" s="294"/>
      <c r="AE721" s="294"/>
      <c r="AF721" s="294"/>
      <c r="AG721" s="294"/>
      <c r="AH721" s="294"/>
      <c r="AI721" s="294"/>
      <c r="AJ721" s="294"/>
    </row>
    <row r="722" spans="2:36" x14ac:dyDescent="0.25">
      <c r="B722" s="294"/>
      <c r="C722" s="294"/>
      <c r="D722" s="294"/>
      <c r="E722" s="294"/>
      <c r="F722" s="294"/>
      <c r="G722" s="294"/>
      <c r="H722" s="294"/>
      <c r="I722" s="294"/>
      <c r="J722" s="294"/>
      <c r="L722" s="295"/>
      <c r="M722" s="294"/>
      <c r="R722" s="326"/>
      <c r="S722" s="326"/>
      <c r="T722" s="294"/>
      <c r="U722" s="294"/>
      <c r="V722" s="294"/>
      <c r="W722" s="294"/>
      <c r="X722" s="1182"/>
      <c r="Y722" s="1182"/>
      <c r="Z722" s="1166"/>
      <c r="AA722" s="1166"/>
      <c r="AB722" s="1182"/>
      <c r="AC722" s="294"/>
      <c r="AD722" s="294"/>
      <c r="AE722" s="294"/>
      <c r="AF722" s="294"/>
      <c r="AG722" s="294"/>
      <c r="AH722" s="294"/>
      <c r="AI722" s="294"/>
      <c r="AJ722" s="294"/>
    </row>
    <row r="723" spans="2:36" x14ac:dyDescent="0.25">
      <c r="B723" s="294"/>
      <c r="C723" s="294"/>
      <c r="D723" s="294"/>
      <c r="E723" s="294"/>
      <c r="F723" s="294"/>
      <c r="G723" s="294"/>
      <c r="H723" s="294"/>
      <c r="I723" s="294"/>
      <c r="J723" s="294"/>
      <c r="L723" s="295"/>
      <c r="M723" s="294"/>
      <c r="R723" s="326"/>
      <c r="S723" s="326"/>
      <c r="T723" s="294"/>
      <c r="U723" s="294"/>
      <c r="V723" s="294"/>
      <c r="W723" s="294"/>
      <c r="X723" s="1182"/>
      <c r="Y723" s="1182"/>
      <c r="Z723" s="1166"/>
      <c r="AA723" s="1166"/>
      <c r="AB723" s="1182"/>
      <c r="AC723" s="294"/>
      <c r="AD723" s="294"/>
      <c r="AE723" s="294"/>
      <c r="AF723" s="294"/>
      <c r="AG723" s="294"/>
      <c r="AH723" s="294"/>
      <c r="AI723" s="294"/>
      <c r="AJ723" s="294"/>
    </row>
    <row r="724" spans="2:36" x14ac:dyDescent="0.25">
      <c r="B724" s="294"/>
      <c r="C724" s="294"/>
      <c r="D724" s="294"/>
      <c r="E724" s="294"/>
      <c r="F724" s="294"/>
      <c r="G724" s="294"/>
      <c r="H724" s="294"/>
      <c r="I724" s="294"/>
      <c r="J724" s="294"/>
      <c r="L724" s="295"/>
      <c r="M724" s="294"/>
      <c r="R724" s="326"/>
      <c r="S724" s="326"/>
      <c r="T724" s="294"/>
      <c r="U724" s="294"/>
      <c r="V724" s="294"/>
      <c r="W724" s="294"/>
      <c r="X724" s="1182"/>
      <c r="Y724" s="1182"/>
      <c r="Z724" s="1166"/>
      <c r="AA724" s="1166"/>
      <c r="AB724" s="1182"/>
      <c r="AC724" s="294"/>
      <c r="AD724" s="294"/>
      <c r="AE724" s="294"/>
      <c r="AF724" s="294"/>
      <c r="AG724" s="294"/>
      <c r="AH724" s="294"/>
      <c r="AI724" s="294"/>
      <c r="AJ724" s="294"/>
    </row>
    <row r="725" spans="2:36" x14ac:dyDescent="0.25">
      <c r="B725" s="294"/>
      <c r="C725" s="294"/>
      <c r="D725" s="294"/>
      <c r="E725" s="294"/>
      <c r="F725" s="294"/>
      <c r="G725" s="294"/>
      <c r="H725" s="294"/>
      <c r="I725" s="294"/>
      <c r="J725" s="294"/>
      <c r="L725" s="295"/>
      <c r="M725" s="294"/>
      <c r="R725" s="326"/>
      <c r="S725" s="326"/>
      <c r="T725" s="294"/>
      <c r="U725" s="294"/>
      <c r="V725" s="294"/>
      <c r="W725" s="294"/>
      <c r="X725" s="1182"/>
      <c r="Y725" s="1182"/>
      <c r="Z725" s="1166"/>
      <c r="AA725" s="1166"/>
      <c r="AB725" s="1182"/>
      <c r="AC725" s="294"/>
      <c r="AD725" s="294"/>
      <c r="AE725" s="294"/>
      <c r="AF725" s="294"/>
      <c r="AG725" s="294"/>
      <c r="AH725" s="294"/>
      <c r="AI725" s="294"/>
      <c r="AJ725" s="294"/>
    </row>
    <row r="726" spans="2:36" x14ac:dyDescent="0.25">
      <c r="B726" s="294"/>
      <c r="C726" s="294"/>
      <c r="D726" s="294"/>
      <c r="E726" s="294"/>
      <c r="F726" s="294"/>
      <c r="G726" s="294"/>
      <c r="H726" s="294"/>
      <c r="I726" s="294"/>
      <c r="J726" s="294"/>
      <c r="L726" s="295"/>
      <c r="M726" s="294"/>
      <c r="R726" s="326"/>
      <c r="S726" s="326"/>
      <c r="T726" s="294"/>
      <c r="U726" s="294"/>
      <c r="V726" s="294"/>
      <c r="W726" s="294"/>
      <c r="X726" s="1182"/>
      <c r="Y726" s="1182"/>
      <c r="Z726" s="1166"/>
      <c r="AA726" s="1166"/>
      <c r="AB726" s="1182"/>
      <c r="AC726" s="294"/>
      <c r="AD726" s="294"/>
      <c r="AE726" s="294"/>
      <c r="AF726" s="294"/>
      <c r="AG726" s="294"/>
      <c r="AH726" s="294"/>
      <c r="AI726" s="294"/>
      <c r="AJ726" s="294"/>
    </row>
    <row r="727" spans="2:36" x14ac:dyDescent="0.25">
      <c r="B727" s="294"/>
      <c r="C727" s="294"/>
      <c r="D727" s="294"/>
      <c r="E727" s="294"/>
      <c r="F727" s="294"/>
      <c r="G727" s="294"/>
      <c r="H727" s="294"/>
      <c r="I727" s="294"/>
      <c r="J727" s="294"/>
      <c r="L727" s="295"/>
      <c r="M727" s="294"/>
      <c r="R727" s="326"/>
      <c r="S727" s="326"/>
      <c r="T727" s="294"/>
      <c r="U727" s="294"/>
      <c r="V727" s="294"/>
      <c r="W727" s="294"/>
      <c r="X727" s="1182"/>
      <c r="Y727" s="1182"/>
      <c r="Z727" s="1166"/>
      <c r="AA727" s="1166"/>
      <c r="AB727" s="1182"/>
      <c r="AC727" s="294"/>
      <c r="AD727" s="294"/>
      <c r="AE727" s="294"/>
      <c r="AF727" s="294"/>
      <c r="AG727" s="294"/>
      <c r="AH727" s="294"/>
      <c r="AI727" s="294"/>
      <c r="AJ727" s="294"/>
    </row>
    <row r="728" spans="2:36" x14ac:dyDescent="0.25">
      <c r="B728" s="294"/>
      <c r="C728" s="294"/>
      <c r="D728" s="294"/>
      <c r="E728" s="294"/>
      <c r="F728" s="294"/>
      <c r="G728" s="294"/>
      <c r="H728" s="294"/>
      <c r="I728" s="294"/>
      <c r="J728" s="294"/>
      <c r="L728" s="295"/>
      <c r="M728" s="294"/>
      <c r="R728" s="326"/>
      <c r="S728" s="326"/>
      <c r="T728" s="294"/>
      <c r="U728" s="294"/>
      <c r="V728" s="294"/>
      <c r="W728" s="294"/>
      <c r="X728" s="1182"/>
      <c r="Y728" s="1182"/>
      <c r="Z728" s="1166"/>
      <c r="AA728" s="1166"/>
      <c r="AB728" s="1182"/>
      <c r="AC728" s="294"/>
      <c r="AD728" s="294"/>
      <c r="AE728" s="294"/>
      <c r="AF728" s="294"/>
      <c r="AG728" s="294"/>
      <c r="AH728" s="294"/>
      <c r="AI728" s="294"/>
      <c r="AJ728" s="294"/>
    </row>
    <row r="729" spans="2:36" x14ac:dyDescent="0.25">
      <c r="B729" s="294"/>
      <c r="C729" s="294"/>
      <c r="D729" s="294"/>
      <c r="E729" s="294"/>
      <c r="F729" s="294"/>
      <c r="G729" s="294"/>
      <c r="H729" s="294"/>
      <c r="I729" s="294"/>
      <c r="J729" s="294"/>
      <c r="L729" s="295"/>
      <c r="M729" s="294"/>
      <c r="R729" s="326"/>
      <c r="S729" s="326"/>
      <c r="T729" s="294"/>
      <c r="U729" s="294"/>
      <c r="V729" s="294"/>
      <c r="W729" s="294"/>
      <c r="X729" s="1182"/>
      <c r="Y729" s="1182"/>
      <c r="Z729" s="1166"/>
      <c r="AA729" s="1166"/>
      <c r="AB729" s="1182"/>
      <c r="AC729" s="294"/>
      <c r="AD729" s="294"/>
      <c r="AE729" s="294"/>
      <c r="AF729" s="294"/>
      <c r="AG729" s="294"/>
      <c r="AH729" s="294"/>
      <c r="AI729" s="294"/>
      <c r="AJ729" s="294"/>
    </row>
    <row r="730" spans="2:36" x14ac:dyDescent="0.25">
      <c r="B730" s="294"/>
      <c r="C730" s="294"/>
      <c r="D730" s="294"/>
      <c r="E730" s="294"/>
      <c r="F730" s="294"/>
      <c r="G730" s="294"/>
      <c r="H730" s="294"/>
      <c r="I730" s="294"/>
      <c r="J730" s="294"/>
      <c r="L730" s="295"/>
      <c r="M730" s="294"/>
      <c r="R730" s="326"/>
      <c r="S730" s="326"/>
      <c r="T730" s="294"/>
      <c r="U730" s="294"/>
      <c r="V730" s="294"/>
      <c r="W730" s="294"/>
      <c r="X730" s="1182"/>
      <c r="Y730" s="1182"/>
      <c r="Z730" s="1166"/>
      <c r="AA730" s="1166"/>
      <c r="AB730" s="1182"/>
      <c r="AC730" s="294"/>
      <c r="AD730" s="294"/>
      <c r="AE730" s="294"/>
      <c r="AF730" s="294"/>
      <c r="AG730" s="294"/>
      <c r="AH730" s="294"/>
      <c r="AI730" s="294"/>
      <c r="AJ730" s="294"/>
    </row>
    <row r="731" spans="2:36" x14ac:dyDescent="0.25">
      <c r="B731" s="294"/>
      <c r="C731" s="294"/>
      <c r="D731" s="294"/>
      <c r="E731" s="294"/>
      <c r="F731" s="294"/>
      <c r="G731" s="294"/>
      <c r="H731" s="294"/>
      <c r="I731" s="294"/>
      <c r="J731" s="294"/>
      <c r="L731" s="295"/>
      <c r="M731" s="294"/>
      <c r="R731" s="326"/>
      <c r="S731" s="326"/>
      <c r="T731" s="294"/>
      <c r="U731" s="294"/>
      <c r="V731" s="294"/>
      <c r="W731" s="294"/>
      <c r="X731" s="1182"/>
      <c r="Y731" s="1182"/>
      <c r="Z731" s="1166"/>
      <c r="AA731" s="1166"/>
      <c r="AB731" s="1182"/>
      <c r="AC731" s="294"/>
      <c r="AD731" s="294"/>
      <c r="AE731" s="294"/>
      <c r="AF731" s="294"/>
      <c r="AG731" s="294"/>
      <c r="AH731" s="294"/>
      <c r="AI731" s="294"/>
      <c r="AJ731" s="294"/>
    </row>
    <row r="732" spans="2:36" x14ac:dyDescent="0.25">
      <c r="B732" s="294"/>
      <c r="C732" s="294"/>
      <c r="D732" s="294"/>
      <c r="E732" s="294"/>
      <c r="F732" s="294"/>
      <c r="G732" s="294"/>
      <c r="H732" s="294"/>
      <c r="I732" s="294"/>
      <c r="J732" s="294"/>
      <c r="L732" s="295"/>
      <c r="M732" s="294"/>
      <c r="R732" s="326"/>
      <c r="S732" s="326"/>
      <c r="T732" s="294"/>
      <c r="U732" s="294"/>
      <c r="V732" s="294"/>
      <c r="W732" s="294"/>
      <c r="X732" s="1182"/>
      <c r="Y732" s="1182"/>
      <c r="Z732" s="1166"/>
      <c r="AA732" s="1166"/>
      <c r="AB732" s="1182"/>
      <c r="AC732" s="294"/>
      <c r="AD732" s="294"/>
      <c r="AE732" s="294"/>
      <c r="AF732" s="294"/>
      <c r="AG732" s="294"/>
      <c r="AH732" s="294"/>
      <c r="AI732" s="294"/>
      <c r="AJ732" s="294"/>
    </row>
    <row r="733" spans="2:36" x14ac:dyDescent="0.25">
      <c r="B733" s="294"/>
      <c r="C733" s="294"/>
      <c r="D733" s="294"/>
      <c r="E733" s="294"/>
      <c r="F733" s="294"/>
      <c r="G733" s="294"/>
      <c r="H733" s="294"/>
      <c r="I733" s="294"/>
      <c r="J733" s="294"/>
      <c r="L733" s="295"/>
      <c r="M733" s="294"/>
      <c r="R733" s="326"/>
      <c r="S733" s="326"/>
      <c r="T733" s="294"/>
      <c r="U733" s="294"/>
      <c r="V733" s="294"/>
      <c r="W733" s="294"/>
      <c r="X733" s="1182"/>
      <c r="Y733" s="1182"/>
      <c r="Z733" s="1166"/>
      <c r="AA733" s="1166"/>
      <c r="AB733" s="1182"/>
      <c r="AC733" s="294"/>
      <c r="AD733" s="294"/>
      <c r="AE733" s="294"/>
      <c r="AF733" s="294"/>
      <c r="AG733" s="294"/>
      <c r="AH733" s="294"/>
      <c r="AI733" s="294"/>
      <c r="AJ733" s="294"/>
    </row>
    <row r="734" spans="2:36" x14ac:dyDescent="0.25">
      <c r="B734" s="294"/>
      <c r="C734" s="294"/>
      <c r="D734" s="294"/>
      <c r="E734" s="294"/>
      <c r="F734" s="294"/>
      <c r="G734" s="294"/>
      <c r="H734" s="294"/>
      <c r="I734" s="294"/>
      <c r="J734" s="294"/>
      <c r="L734" s="295"/>
      <c r="M734" s="294"/>
      <c r="R734" s="326"/>
      <c r="S734" s="326"/>
      <c r="T734" s="294"/>
      <c r="U734" s="294"/>
      <c r="V734" s="294"/>
      <c r="W734" s="294"/>
      <c r="X734" s="1182"/>
      <c r="Y734" s="1182"/>
      <c r="Z734" s="1166"/>
      <c r="AA734" s="1166"/>
      <c r="AB734" s="1182"/>
      <c r="AC734" s="294"/>
      <c r="AD734" s="294"/>
      <c r="AE734" s="294"/>
      <c r="AF734" s="294"/>
      <c r="AG734" s="294"/>
      <c r="AH734" s="294"/>
      <c r="AI734" s="294"/>
      <c r="AJ734" s="294"/>
    </row>
    <row r="735" spans="2:36" x14ac:dyDescent="0.25">
      <c r="B735" s="294"/>
      <c r="C735" s="294"/>
      <c r="D735" s="294"/>
      <c r="E735" s="294"/>
      <c r="F735" s="294"/>
      <c r="G735" s="294"/>
      <c r="H735" s="294"/>
      <c r="I735" s="294"/>
      <c r="J735" s="294"/>
      <c r="L735" s="295"/>
      <c r="M735" s="294"/>
      <c r="R735" s="326"/>
      <c r="S735" s="326"/>
      <c r="T735" s="294"/>
      <c r="U735" s="294"/>
      <c r="V735" s="294"/>
      <c r="W735" s="294"/>
      <c r="X735" s="1182"/>
      <c r="Y735" s="1182"/>
      <c r="Z735" s="1166"/>
      <c r="AA735" s="1166"/>
      <c r="AB735" s="1182"/>
      <c r="AC735" s="294"/>
      <c r="AD735" s="294"/>
      <c r="AE735" s="294"/>
      <c r="AF735" s="294"/>
      <c r="AG735" s="294"/>
      <c r="AH735" s="294"/>
      <c r="AI735" s="294"/>
      <c r="AJ735" s="294"/>
    </row>
    <row r="736" spans="2:36" x14ac:dyDescent="0.25">
      <c r="B736" s="294"/>
      <c r="C736" s="294"/>
      <c r="D736" s="294"/>
      <c r="E736" s="294"/>
      <c r="F736" s="294"/>
      <c r="G736" s="294"/>
      <c r="H736" s="294"/>
      <c r="I736" s="294"/>
      <c r="J736" s="294"/>
      <c r="L736" s="295"/>
      <c r="M736" s="294"/>
      <c r="R736" s="326"/>
      <c r="S736" s="326"/>
      <c r="T736" s="294"/>
      <c r="U736" s="294"/>
      <c r="V736" s="294"/>
      <c r="W736" s="294"/>
      <c r="X736" s="1182"/>
      <c r="Y736" s="1182"/>
      <c r="Z736" s="1166"/>
      <c r="AA736" s="1166"/>
      <c r="AB736" s="1182"/>
      <c r="AC736" s="294"/>
      <c r="AD736" s="294"/>
      <c r="AE736" s="294"/>
      <c r="AF736" s="294"/>
      <c r="AG736" s="294"/>
      <c r="AH736" s="294"/>
      <c r="AI736" s="294"/>
      <c r="AJ736" s="294"/>
    </row>
    <row r="737" spans="2:36" x14ac:dyDescent="0.25">
      <c r="B737" s="294"/>
      <c r="C737" s="294"/>
      <c r="D737" s="294"/>
      <c r="E737" s="294"/>
      <c r="F737" s="294"/>
      <c r="G737" s="294"/>
      <c r="H737" s="294"/>
      <c r="I737" s="294"/>
      <c r="J737" s="294"/>
      <c r="L737" s="295"/>
      <c r="M737" s="294"/>
      <c r="R737" s="326"/>
      <c r="S737" s="326"/>
      <c r="T737" s="294"/>
      <c r="U737" s="294"/>
      <c r="V737" s="294"/>
      <c r="W737" s="294"/>
      <c r="X737" s="1182"/>
      <c r="Y737" s="1182"/>
      <c r="Z737" s="1166"/>
      <c r="AA737" s="1166"/>
      <c r="AB737" s="1182"/>
      <c r="AC737" s="294"/>
      <c r="AD737" s="294"/>
      <c r="AE737" s="294"/>
      <c r="AF737" s="294"/>
      <c r="AG737" s="294"/>
      <c r="AH737" s="294"/>
      <c r="AI737" s="294"/>
      <c r="AJ737" s="294"/>
    </row>
    <row r="738" spans="2:36" x14ac:dyDescent="0.25">
      <c r="B738" s="294"/>
      <c r="C738" s="294"/>
      <c r="D738" s="294"/>
      <c r="E738" s="294"/>
      <c r="F738" s="294"/>
      <c r="G738" s="294"/>
      <c r="H738" s="294"/>
      <c r="I738" s="294"/>
      <c r="J738" s="294"/>
      <c r="L738" s="295"/>
      <c r="M738" s="294"/>
      <c r="R738" s="326"/>
      <c r="S738" s="326"/>
      <c r="T738" s="294"/>
      <c r="U738" s="294"/>
      <c r="V738" s="294"/>
      <c r="W738" s="294"/>
      <c r="X738" s="1182"/>
      <c r="Y738" s="1182"/>
      <c r="Z738" s="1166"/>
      <c r="AA738" s="1166"/>
      <c r="AB738" s="1182"/>
      <c r="AC738" s="294"/>
      <c r="AD738" s="294"/>
      <c r="AE738" s="294"/>
      <c r="AF738" s="294"/>
      <c r="AG738" s="294"/>
      <c r="AH738" s="294"/>
      <c r="AI738" s="294"/>
      <c r="AJ738" s="294"/>
    </row>
    <row r="739" spans="2:36" x14ac:dyDescent="0.25">
      <c r="B739" s="294"/>
      <c r="C739" s="294"/>
      <c r="D739" s="294"/>
      <c r="E739" s="294"/>
      <c r="F739" s="294"/>
      <c r="G739" s="294"/>
      <c r="H739" s="294"/>
      <c r="I739" s="294"/>
      <c r="J739" s="294"/>
      <c r="L739" s="295"/>
      <c r="M739" s="294"/>
      <c r="R739" s="326"/>
      <c r="S739" s="326"/>
      <c r="T739" s="294"/>
      <c r="U739" s="294"/>
      <c r="V739" s="294"/>
      <c r="W739" s="294"/>
      <c r="X739" s="1182"/>
      <c r="Y739" s="1182"/>
      <c r="Z739" s="1166"/>
      <c r="AA739" s="1166"/>
      <c r="AB739" s="1182"/>
      <c r="AC739" s="294"/>
      <c r="AD739" s="294"/>
      <c r="AE739" s="294"/>
      <c r="AF739" s="294"/>
      <c r="AG739" s="294"/>
      <c r="AH739" s="294"/>
      <c r="AI739" s="294"/>
      <c r="AJ739" s="294"/>
    </row>
    <row r="740" spans="2:36" x14ac:dyDescent="0.25">
      <c r="B740" s="294"/>
      <c r="C740" s="294"/>
      <c r="D740" s="294"/>
      <c r="E740" s="294"/>
      <c r="F740" s="294"/>
      <c r="G740" s="294"/>
      <c r="H740" s="294"/>
      <c r="I740" s="294"/>
      <c r="J740" s="294"/>
      <c r="L740" s="295"/>
      <c r="M740" s="294"/>
      <c r="R740" s="326"/>
      <c r="S740" s="326"/>
      <c r="T740" s="294"/>
      <c r="U740" s="294"/>
      <c r="V740" s="294"/>
      <c r="W740" s="294"/>
      <c r="X740" s="1182"/>
      <c r="Y740" s="1182"/>
      <c r="Z740" s="1166"/>
      <c r="AA740" s="1166"/>
      <c r="AB740" s="1182"/>
      <c r="AC740" s="294"/>
      <c r="AD740" s="294"/>
      <c r="AE740" s="294"/>
      <c r="AF740" s="294"/>
      <c r="AG740" s="294"/>
      <c r="AH740" s="294"/>
      <c r="AI740" s="294"/>
      <c r="AJ740" s="294"/>
    </row>
    <row r="741" spans="2:36" x14ac:dyDescent="0.25">
      <c r="B741" s="294"/>
      <c r="C741" s="294"/>
      <c r="D741" s="294"/>
      <c r="E741" s="294"/>
      <c r="F741" s="294"/>
      <c r="G741" s="294"/>
      <c r="H741" s="294"/>
      <c r="I741" s="294"/>
      <c r="J741" s="294"/>
      <c r="L741" s="295"/>
      <c r="M741" s="294"/>
      <c r="R741" s="326"/>
      <c r="S741" s="326"/>
      <c r="T741" s="294"/>
      <c r="U741" s="294"/>
      <c r="V741" s="294"/>
      <c r="W741" s="294"/>
      <c r="X741" s="1182"/>
      <c r="Y741" s="1182"/>
      <c r="Z741" s="1166"/>
      <c r="AA741" s="1166"/>
      <c r="AB741" s="1182"/>
      <c r="AC741" s="294"/>
      <c r="AD741" s="294"/>
      <c r="AE741" s="294"/>
      <c r="AF741" s="294"/>
      <c r="AG741" s="294"/>
      <c r="AH741" s="294"/>
      <c r="AI741" s="294"/>
      <c r="AJ741" s="294"/>
    </row>
    <row r="742" spans="2:36" x14ac:dyDescent="0.25">
      <c r="B742" s="294"/>
      <c r="C742" s="294"/>
      <c r="D742" s="294"/>
      <c r="E742" s="294"/>
      <c r="F742" s="294"/>
      <c r="G742" s="294"/>
      <c r="H742" s="294"/>
      <c r="I742" s="294"/>
      <c r="J742" s="294"/>
      <c r="L742" s="295"/>
      <c r="M742" s="294"/>
      <c r="R742" s="326"/>
      <c r="S742" s="326"/>
      <c r="T742" s="294"/>
      <c r="U742" s="294"/>
      <c r="V742" s="294"/>
      <c r="W742" s="294"/>
      <c r="X742" s="1182"/>
      <c r="Y742" s="1182"/>
      <c r="Z742" s="1166"/>
      <c r="AA742" s="1166"/>
      <c r="AB742" s="1182"/>
      <c r="AC742" s="294"/>
      <c r="AD742" s="294"/>
      <c r="AE742" s="294"/>
      <c r="AF742" s="294"/>
      <c r="AG742" s="294"/>
      <c r="AH742" s="294"/>
      <c r="AI742" s="294"/>
      <c r="AJ742" s="294"/>
    </row>
    <row r="743" spans="2:36" x14ac:dyDescent="0.25">
      <c r="B743" s="294"/>
      <c r="C743" s="294"/>
      <c r="D743" s="294"/>
      <c r="E743" s="294"/>
      <c r="F743" s="294"/>
      <c r="G743" s="294"/>
      <c r="H743" s="294"/>
      <c r="I743" s="294"/>
      <c r="J743" s="294"/>
      <c r="L743" s="295"/>
      <c r="M743" s="294"/>
      <c r="R743" s="326"/>
      <c r="S743" s="326"/>
      <c r="T743" s="294"/>
      <c r="U743" s="294"/>
      <c r="V743" s="294"/>
      <c r="W743" s="294"/>
      <c r="X743" s="1182"/>
      <c r="Y743" s="1182"/>
      <c r="Z743" s="1166"/>
      <c r="AA743" s="1166"/>
      <c r="AB743" s="1182"/>
      <c r="AC743" s="294"/>
      <c r="AD743" s="294"/>
      <c r="AE743" s="294"/>
      <c r="AF743" s="294"/>
      <c r="AG743" s="294"/>
      <c r="AH743" s="294"/>
      <c r="AI743" s="294"/>
      <c r="AJ743" s="294"/>
    </row>
    <row r="744" spans="2:36" x14ac:dyDescent="0.25">
      <c r="B744" s="294"/>
      <c r="C744" s="294"/>
      <c r="D744" s="294"/>
      <c r="E744" s="294"/>
      <c r="F744" s="294"/>
      <c r="G744" s="294"/>
      <c r="H744" s="294"/>
      <c r="I744" s="294"/>
      <c r="J744" s="294"/>
      <c r="L744" s="295"/>
      <c r="M744" s="294"/>
      <c r="R744" s="326"/>
      <c r="S744" s="326"/>
      <c r="T744" s="294"/>
      <c r="U744" s="294"/>
      <c r="V744" s="294"/>
      <c r="W744" s="294"/>
      <c r="X744" s="1182"/>
      <c r="Y744" s="1182"/>
      <c r="Z744" s="1166"/>
      <c r="AA744" s="1166"/>
      <c r="AB744" s="1182"/>
      <c r="AC744" s="294"/>
      <c r="AD744" s="294"/>
      <c r="AE744" s="294"/>
      <c r="AF744" s="294"/>
      <c r="AG744" s="294"/>
      <c r="AH744" s="294"/>
      <c r="AI744" s="294"/>
      <c r="AJ744" s="294"/>
    </row>
    <row r="745" spans="2:36" x14ac:dyDescent="0.25">
      <c r="B745" s="294"/>
      <c r="C745" s="294"/>
      <c r="D745" s="294"/>
      <c r="E745" s="294"/>
      <c r="F745" s="294"/>
      <c r="G745" s="294"/>
      <c r="H745" s="294"/>
      <c r="I745" s="294"/>
      <c r="J745" s="294"/>
      <c r="L745" s="295"/>
      <c r="M745" s="294"/>
      <c r="R745" s="326"/>
      <c r="S745" s="326"/>
      <c r="T745" s="294"/>
      <c r="U745" s="294"/>
      <c r="V745" s="294"/>
      <c r="W745" s="294"/>
      <c r="X745" s="1182"/>
      <c r="Y745" s="1182"/>
      <c r="Z745" s="1166"/>
      <c r="AA745" s="1166"/>
      <c r="AB745" s="1182"/>
      <c r="AC745" s="294"/>
      <c r="AD745" s="294"/>
      <c r="AE745" s="294"/>
      <c r="AF745" s="294"/>
      <c r="AG745" s="294"/>
      <c r="AH745" s="294"/>
      <c r="AI745" s="294"/>
      <c r="AJ745" s="294"/>
    </row>
    <row r="746" spans="2:36" x14ac:dyDescent="0.25">
      <c r="B746" s="294"/>
      <c r="C746" s="294"/>
      <c r="D746" s="294"/>
      <c r="E746" s="294"/>
      <c r="F746" s="294"/>
      <c r="G746" s="294"/>
      <c r="H746" s="294"/>
      <c r="I746" s="294"/>
      <c r="J746" s="294"/>
      <c r="L746" s="295"/>
      <c r="M746" s="294"/>
      <c r="R746" s="326"/>
      <c r="S746" s="326"/>
      <c r="T746" s="294"/>
      <c r="U746" s="294"/>
      <c r="V746" s="294"/>
      <c r="W746" s="294"/>
      <c r="X746" s="1182"/>
      <c r="Y746" s="1182"/>
      <c r="Z746" s="1166"/>
      <c r="AA746" s="1166"/>
      <c r="AB746" s="1182"/>
      <c r="AC746" s="294"/>
      <c r="AD746" s="294"/>
      <c r="AE746" s="294"/>
      <c r="AF746" s="294"/>
      <c r="AG746" s="294"/>
      <c r="AH746" s="294"/>
      <c r="AI746" s="294"/>
      <c r="AJ746" s="294"/>
    </row>
    <row r="747" spans="2:36" x14ac:dyDescent="0.25">
      <c r="B747" s="294"/>
      <c r="C747" s="294"/>
      <c r="D747" s="294"/>
      <c r="E747" s="294"/>
      <c r="F747" s="294"/>
      <c r="G747" s="294"/>
      <c r="H747" s="294"/>
      <c r="I747" s="294"/>
      <c r="J747" s="294"/>
      <c r="L747" s="295"/>
      <c r="M747" s="294"/>
      <c r="R747" s="326"/>
      <c r="S747" s="326"/>
      <c r="T747" s="294"/>
      <c r="U747" s="294"/>
      <c r="V747" s="294"/>
      <c r="W747" s="294"/>
      <c r="X747" s="1182"/>
      <c r="Y747" s="1182"/>
      <c r="Z747" s="1166"/>
      <c r="AA747" s="1166"/>
      <c r="AB747" s="1182"/>
      <c r="AC747" s="294"/>
      <c r="AD747" s="294"/>
      <c r="AE747" s="294"/>
      <c r="AF747" s="294"/>
      <c r="AG747" s="294"/>
      <c r="AH747" s="294"/>
      <c r="AI747" s="294"/>
      <c r="AJ747" s="294"/>
    </row>
    <row r="748" spans="2:36" x14ac:dyDescent="0.25">
      <c r="B748" s="294"/>
      <c r="C748" s="294"/>
      <c r="D748" s="294"/>
      <c r="E748" s="294"/>
      <c r="F748" s="294"/>
      <c r="G748" s="294"/>
      <c r="H748" s="294"/>
      <c r="I748" s="294"/>
      <c r="J748" s="294"/>
      <c r="L748" s="295"/>
      <c r="M748" s="294"/>
      <c r="R748" s="326"/>
      <c r="S748" s="326"/>
      <c r="T748" s="294"/>
      <c r="U748" s="294"/>
      <c r="V748" s="294"/>
      <c r="W748" s="294"/>
      <c r="X748" s="1182"/>
      <c r="Y748" s="1182"/>
      <c r="Z748" s="1166"/>
      <c r="AA748" s="1166"/>
      <c r="AB748" s="1182"/>
      <c r="AC748" s="294"/>
      <c r="AD748" s="294"/>
      <c r="AE748" s="294"/>
      <c r="AF748" s="294"/>
      <c r="AG748" s="294"/>
      <c r="AH748" s="294"/>
      <c r="AI748" s="294"/>
      <c r="AJ748" s="294"/>
    </row>
    <row r="749" spans="2:36" x14ac:dyDescent="0.25">
      <c r="B749" s="294"/>
      <c r="C749" s="294"/>
      <c r="D749" s="294"/>
      <c r="E749" s="294"/>
      <c r="F749" s="294"/>
      <c r="G749" s="294"/>
      <c r="H749" s="294"/>
      <c r="I749" s="294"/>
      <c r="J749" s="294"/>
      <c r="L749" s="295"/>
      <c r="M749" s="294"/>
      <c r="R749" s="326"/>
      <c r="S749" s="326"/>
      <c r="T749" s="294"/>
      <c r="U749" s="294"/>
      <c r="V749" s="294"/>
      <c r="W749" s="294"/>
      <c r="X749" s="1182"/>
      <c r="Y749" s="1182"/>
      <c r="Z749" s="1166"/>
      <c r="AA749" s="1166"/>
      <c r="AB749" s="1182"/>
      <c r="AC749" s="294"/>
      <c r="AD749" s="294"/>
      <c r="AE749" s="294"/>
      <c r="AF749" s="294"/>
      <c r="AG749" s="294"/>
      <c r="AH749" s="294"/>
      <c r="AI749" s="294"/>
      <c r="AJ749" s="294"/>
    </row>
    <row r="750" spans="2:36" x14ac:dyDescent="0.25">
      <c r="B750" s="294"/>
      <c r="C750" s="294"/>
      <c r="D750" s="294"/>
      <c r="E750" s="294"/>
      <c r="F750" s="294"/>
      <c r="G750" s="294"/>
      <c r="H750" s="294"/>
      <c r="I750" s="294"/>
      <c r="J750" s="294"/>
      <c r="L750" s="295"/>
      <c r="M750" s="294"/>
      <c r="R750" s="326"/>
      <c r="S750" s="326"/>
      <c r="T750" s="294"/>
      <c r="U750" s="294"/>
      <c r="V750" s="294"/>
      <c r="W750" s="294"/>
      <c r="X750" s="1182"/>
      <c r="Y750" s="1182"/>
      <c r="Z750" s="1166"/>
      <c r="AA750" s="1166"/>
      <c r="AB750" s="1182"/>
      <c r="AC750" s="294"/>
      <c r="AD750" s="294"/>
      <c r="AE750" s="294"/>
      <c r="AF750" s="294"/>
      <c r="AG750" s="294"/>
      <c r="AH750" s="294"/>
      <c r="AI750" s="294"/>
      <c r="AJ750" s="294"/>
    </row>
    <row r="751" spans="2:36" x14ac:dyDescent="0.25">
      <c r="B751" s="294"/>
      <c r="C751" s="294"/>
      <c r="D751" s="294"/>
      <c r="E751" s="294"/>
      <c r="F751" s="294"/>
      <c r="G751" s="294"/>
      <c r="H751" s="294"/>
      <c r="I751" s="294"/>
      <c r="J751" s="294"/>
      <c r="L751" s="295"/>
      <c r="M751" s="294"/>
      <c r="R751" s="326"/>
      <c r="S751" s="326"/>
      <c r="T751" s="294"/>
      <c r="U751" s="294"/>
      <c r="V751" s="294"/>
      <c r="W751" s="294"/>
      <c r="X751" s="1182"/>
      <c r="Y751" s="1182"/>
      <c r="Z751" s="1166"/>
      <c r="AA751" s="1166"/>
      <c r="AB751" s="1182"/>
      <c r="AC751" s="294"/>
      <c r="AD751" s="294"/>
      <c r="AE751" s="294"/>
      <c r="AF751" s="294"/>
      <c r="AG751" s="294"/>
      <c r="AH751" s="294"/>
      <c r="AI751" s="294"/>
      <c r="AJ751" s="294"/>
    </row>
    <row r="752" spans="2:36" x14ac:dyDescent="0.25">
      <c r="B752" s="294"/>
      <c r="C752" s="294"/>
      <c r="D752" s="294"/>
      <c r="E752" s="294"/>
      <c r="F752" s="294"/>
      <c r="G752" s="294"/>
      <c r="H752" s="294"/>
      <c r="I752" s="294"/>
      <c r="J752" s="294"/>
      <c r="L752" s="295"/>
      <c r="M752" s="294"/>
      <c r="R752" s="326"/>
      <c r="S752" s="326"/>
      <c r="T752" s="294"/>
      <c r="U752" s="294"/>
      <c r="V752" s="294"/>
      <c r="W752" s="294"/>
      <c r="X752" s="1182"/>
      <c r="Y752" s="1182"/>
      <c r="Z752" s="1166"/>
      <c r="AA752" s="1166"/>
      <c r="AB752" s="1182"/>
      <c r="AC752" s="294"/>
      <c r="AD752" s="294"/>
      <c r="AE752" s="294"/>
      <c r="AF752" s="294"/>
      <c r="AG752" s="294"/>
      <c r="AH752" s="294"/>
      <c r="AI752" s="294"/>
      <c r="AJ752" s="294"/>
    </row>
    <row r="753" spans="2:36" x14ac:dyDescent="0.25">
      <c r="B753" s="294"/>
      <c r="C753" s="294"/>
      <c r="D753" s="294"/>
      <c r="E753" s="294"/>
      <c r="F753" s="294"/>
      <c r="G753" s="294"/>
      <c r="H753" s="294"/>
      <c r="I753" s="294"/>
      <c r="J753" s="294"/>
      <c r="L753" s="295"/>
      <c r="M753" s="294"/>
      <c r="R753" s="326"/>
      <c r="S753" s="326"/>
      <c r="T753" s="294"/>
      <c r="U753" s="294"/>
      <c r="V753" s="294"/>
      <c r="W753" s="294"/>
      <c r="X753" s="1182"/>
      <c r="Y753" s="1182"/>
      <c r="Z753" s="1166"/>
      <c r="AA753" s="1166"/>
      <c r="AB753" s="1182"/>
      <c r="AC753" s="294"/>
      <c r="AD753" s="294"/>
      <c r="AE753" s="294"/>
      <c r="AF753" s="294"/>
      <c r="AG753" s="294"/>
      <c r="AH753" s="294"/>
      <c r="AI753" s="294"/>
      <c r="AJ753" s="294"/>
    </row>
    <row r="754" spans="2:36" x14ac:dyDescent="0.25">
      <c r="B754" s="294"/>
      <c r="C754" s="294"/>
      <c r="D754" s="294"/>
      <c r="E754" s="294"/>
      <c r="F754" s="294"/>
      <c r="G754" s="294"/>
      <c r="H754" s="294"/>
      <c r="I754" s="294"/>
      <c r="J754" s="294"/>
      <c r="L754" s="295"/>
      <c r="M754" s="294"/>
      <c r="R754" s="326"/>
      <c r="S754" s="326"/>
      <c r="T754" s="294"/>
      <c r="U754" s="294"/>
      <c r="V754" s="294"/>
      <c r="W754" s="294"/>
      <c r="X754" s="1182"/>
      <c r="Y754" s="1182"/>
      <c r="Z754" s="1166"/>
      <c r="AA754" s="1166"/>
      <c r="AB754" s="1182"/>
      <c r="AC754" s="294"/>
      <c r="AD754" s="294"/>
      <c r="AE754" s="294"/>
      <c r="AF754" s="294"/>
      <c r="AG754" s="294"/>
      <c r="AH754" s="294"/>
      <c r="AI754" s="294"/>
      <c r="AJ754" s="294"/>
    </row>
    <row r="755" spans="2:36" x14ac:dyDescent="0.25">
      <c r="B755" s="294"/>
      <c r="C755" s="294"/>
      <c r="D755" s="294"/>
      <c r="E755" s="294"/>
      <c r="F755" s="294"/>
      <c r="G755" s="294"/>
      <c r="H755" s="294"/>
      <c r="I755" s="294"/>
      <c r="J755" s="294"/>
      <c r="L755" s="295"/>
      <c r="M755" s="294"/>
      <c r="R755" s="326"/>
      <c r="S755" s="326"/>
      <c r="T755" s="294"/>
      <c r="U755" s="294"/>
      <c r="V755" s="294"/>
      <c r="W755" s="294"/>
      <c r="X755" s="1182"/>
      <c r="Y755" s="1182"/>
      <c r="Z755" s="1166"/>
      <c r="AA755" s="1166"/>
      <c r="AB755" s="1182"/>
      <c r="AC755" s="294"/>
      <c r="AD755" s="294"/>
      <c r="AE755" s="294"/>
      <c r="AF755" s="294"/>
      <c r="AG755" s="294"/>
      <c r="AH755" s="294"/>
      <c r="AI755" s="294"/>
      <c r="AJ755" s="294"/>
    </row>
    <row r="756" spans="2:36" x14ac:dyDescent="0.25">
      <c r="B756" s="294"/>
      <c r="C756" s="294"/>
      <c r="D756" s="294"/>
      <c r="E756" s="294"/>
      <c r="F756" s="294"/>
      <c r="G756" s="294"/>
      <c r="H756" s="294"/>
      <c r="I756" s="294"/>
      <c r="J756" s="294"/>
      <c r="L756" s="295"/>
      <c r="M756" s="294"/>
      <c r="R756" s="326"/>
      <c r="S756" s="326"/>
      <c r="T756" s="294"/>
      <c r="U756" s="294"/>
      <c r="V756" s="294"/>
      <c r="W756" s="294"/>
      <c r="X756" s="1182"/>
      <c r="Y756" s="1182"/>
      <c r="Z756" s="1166"/>
      <c r="AA756" s="1166"/>
      <c r="AB756" s="1182"/>
      <c r="AC756" s="294"/>
      <c r="AD756" s="294"/>
      <c r="AE756" s="294"/>
      <c r="AF756" s="294"/>
      <c r="AG756" s="294"/>
      <c r="AH756" s="294"/>
      <c r="AI756" s="294"/>
      <c r="AJ756" s="294"/>
    </row>
    <row r="757" spans="2:36" x14ac:dyDescent="0.25">
      <c r="B757" s="294"/>
      <c r="C757" s="294"/>
      <c r="D757" s="294"/>
      <c r="E757" s="294"/>
      <c r="F757" s="294"/>
      <c r="G757" s="294"/>
      <c r="H757" s="294"/>
      <c r="I757" s="294"/>
      <c r="J757" s="294"/>
      <c r="L757" s="295"/>
      <c r="M757" s="294"/>
      <c r="R757" s="326"/>
      <c r="S757" s="326"/>
      <c r="T757" s="294"/>
      <c r="U757" s="294"/>
      <c r="V757" s="294"/>
      <c r="W757" s="294"/>
      <c r="X757" s="1182"/>
      <c r="Y757" s="1182"/>
      <c r="Z757" s="1166"/>
      <c r="AA757" s="1166"/>
      <c r="AB757" s="1182"/>
      <c r="AC757" s="294"/>
      <c r="AD757" s="294"/>
      <c r="AE757" s="294"/>
      <c r="AF757" s="294"/>
      <c r="AG757" s="294"/>
      <c r="AH757" s="294"/>
      <c r="AI757" s="294"/>
      <c r="AJ757" s="294"/>
    </row>
    <row r="758" spans="2:36" x14ac:dyDescent="0.25">
      <c r="B758" s="294"/>
      <c r="C758" s="294"/>
      <c r="D758" s="294"/>
      <c r="E758" s="294"/>
      <c r="F758" s="294"/>
      <c r="G758" s="294"/>
      <c r="H758" s="294"/>
      <c r="I758" s="294"/>
      <c r="J758" s="294"/>
      <c r="L758" s="295"/>
      <c r="M758" s="294"/>
      <c r="R758" s="326"/>
      <c r="S758" s="326"/>
      <c r="T758" s="294"/>
      <c r="U758" s="294"/>
      <c r="V758" s="294"/>
      <c r="W758" s="294"/>
      <c r="X758" s="1182"/>
      <c r="Y758" s="1182"/>
      <c r="Z758" s="1166"/>
      <c r="AA758" s="1166"/>
      <c r="AB758" s="1182"/>
      <c r="AC758" s="294"/>
      <c r="AD758" s="294"/>
      <c r="AE758" s="294"/>
      <c r="AF758" s="294"/>
      <c r="AG758" s="294"/>
      <c r="AH758" s="294"/>
      <c r="AI758" s="294"/>
      <c r="AJ758" s="294"/>
    </row>
    <row r="759" spans="2:36" x14ac:dyDescent="0.25">
      <c r="B759" s="294"/>
      <c r="C759" s="294"/>
      <c r="D759" s="294"/>
      <c r="E759" s="294"/>
      <c r="F759" s="294"/>
      <c r="G759" s="294"/>
      <c r="H759" s="294"/>
      <c r="I759" s="294"/>
      <c r="J759" s="294"/>
      <c r="L759" s="295"/>
      <c r="M759" s="294"/>
      <c r="R759" s="326"/>
      <c r="S759" s="326"/>
      <c r="T759" s="294"/>
      <c r="U759" s="294"/>
      <c r="V759" s="294"/>
      <c r="W759" s="294"/>
      <c r="X759" s="1182"/>
      <c r="Y759" s="1182"/>
      <c r="Z759" s="1166"/>
      <c r="AA759" s="1166"/>
      <c r="AB759" s="1182"/>
      <c r="AC759" s="294"/>
      <c r="AD759" s="294"/>
      <c r="AE759" s="294"/>
      <c r="AF759" s="294"/>
      <c r="AG759" s="294"/>
      <c r="AH759" s="294"/>
      <c r="AI759" s="294"/>
      <c r="AJ759" s="294"/>
    </row>
    <row r="760" spans="2:36" x14ac:dyDescent="0.25">
      <c r="B760" s="294"/>
      <c r="C760" s="294"/>
      <c r="D760" s="294"/>
      <c r="E760" s="294"/>
      <c r="F760" s="294"/>
      <c r="G760" s="294"/>
      <c r="H760" s="294"/>
      <c r="I760" s="294"/>
      <c r="J760" s="294"/>
      <c r="L760" s="295"/>
      <c r="M760" s="294"/>
      <c r="R760" s="326"/>
      <c r="S760" s="326"/>
      <c r="T760" s="294"/>
      <c r="U760" s="294"/>
      <c r="V760" s="294"/>
      <c r="W760" s="294"/>
      <c r="X760" s="1182"/>
      <c r="Y760" s="1182"/>
      <c r="Z760" s="1166"/>
      <c r="AA760" s="1166"/>
      <c r="AB760" s="1182"/>
      <c r="AC760" s="294"/>
      <c r="AD760" s="294"/>
      <c r="AE760" s="294"/>
      <c r="AF760" s="294"/>
      <c r="AG760" s="294"/>
      <c r="AH760" s="294"/>
      <c r="AI760" s="294"/>
      <c r="AJ760" s="294"/>
    </row>
    <row r="761" spans="2:36" x14ac:dyDescent="0.25">
      <c r="B761" s="294"/>
      <c r="C761" s="294"/>
      <c r="D761" s="294"/>
      <c r="E761" s="294"/>
      <c r="F761" s="294"/>
      <c r="G761" s="294"/>
      <c r="H761" s="294"/>
      <c r="I761" s="294"/>
      <c r="J761" s="294"/>
      <c r="L761" s="295"/>
      <c r="M761" s="294"/>
      <c r="R761" s="326"/>
      <c r="S761" s="326"/>
      <c r="T761" s="294"/>
      <c r="U761" s="294"/>
      <c r="V761" s="294"/>
      <c r="W761" s="294"/>
      <c r="X761" s="1182"/>
      <c r="Y761" s="1182"/>
      <c r="Z761" s="1166"/>
      <c r="AA761" s="1166"/>
      <c r="AB761" s="1182"/>
      <c r="AC761" s="294"/>
      <c r="AD761" s="294"/>
      <c r="AE761" s="294"/>
      <c r="AF761" s="294"/>
      <c r="AG761" s="294"/>
      <c r="AH761" s="294"/>
      <c r="AI761" s="294"/>
      <c r="AJ761" s="294"/>
    </row>
    <row r="762" spans="2:36" x14ac:dyDescent="0.25">
      <c r="B762" s="294"/>
      <c r="C762" s="294"/>
      <c r="D762" s="294"/>
      <c r="E762" s="294"/>
      <c r="F762" s="294"/>
      <c r="G762" s="294"/>
      <c r="H762" s="294"/>
      <c r="I762" s="294"/>
      <c r="J762" s="294"/>
      <c r="L762" s="295"/>
      <c r="M762" s="294"/>
      <c r="R762" s="326"/>
      <c r="S762" s="326"/>
      <c r="T762" s="294"/>
      <c r="U762" s="294"/>
      <c r="V762" s="294"/>
      <c r="W762" s="294"/>
      <c r="X762" s="1182"/>
      <c r="Y762" s="1182"/>
      <c r="Z762" s="1166"/>
      <c r="AA762" s="1166"/>
      <c r="AB762" s="1182"/>
      <c r="AC762" s="294"/>
      <c r="AD762" s="294"/>
      <c r="AE762" s="294"/>
      <c r="AF762" s="294"/>
      <c r="AG762" s="294"/>
      <c r="AH762" s="294"/>
      <c r="AI762" s="294"/>
      <c r="AJ762" s="294"/>
    </row>
    <row r="763" spans="2:36" x14ac:dyDescent="0.25">
      <c r="B763" s="294"/>
      <c r="C763" s="294"/>
      <c r="D763" s="294"/>
      <c r="E763" s="294"/>
      <c r="F763" s="294"/>
      <c r="G763" s="294"/>
      <c r="H763" s="294"/>
      <c r="I763" s="294"/>
      <c r="J763" s="294"/>
      <c r="L763" s="295"/>
      <c r="M763" s="294"/>
      <c r="R763" s="326"/>
      <c r="S763" s="326"/>
      <c r="T763" s="294"/>
      <c r="U763" s="294"/>
      <c r="V763" s="294"/>
      <c r="W763" s="294"/>
      <c r="X763" s="1182"/>
      <c r="Y763" s="1182"/>
      <c r="Z763" s="1166"/>
      <c r="AA763" s="1166"/>
      <c r="AB763" s="1182"/>
      <c r="AC763" s="294"/>
      <c r="AD763" s="294"/>
      <c r="AE763" s="294"/>
      <c r="AF763" s="294"/>
      <c r="AG763" s="294"/>
      <c r="AH763" s="294"/>
      <c r="AI763" s="294"/>
      <c r="AJ763" s="294"/>
    </row>
    <row r="764" spans="2:36" x14ac:dyDescent="0.25">
      <c r="B764" s="294"/>
      <c r="C764" s="294"/>
      <c r="D764" s="294"/>
      <c r="E764" s="294"/>
      <c r="F764" s="294"/>
      <c r="G764" s="294"/>
      <c r="H764" s="294"/>
      <c r="I764" s="294"/>
      <c r="J764" s="294"/>
      <c r="L764" s="295"/>
      <c r="M764" s="294"/>
      <c r="R764" s="326"/>
      <c r="S764" s="326"/>
      <c r="T764" s="294"/>
      <c r="U764" s="294"/>
      <c r="V764" s="294"/>
      <c r="W764" s="294"/>
      <c r="X764" s="1182"/>
      <c r="Y764" s="1182"/>
      <c r="Z764" s="1166"/>
      <c r="AA764" s="1166"/>
      <c r="AB764" s="1182"/>
      <c r="AC764" s="294"/>
      <c r="AD764" s="294"/>
      <c r="AE764" s="294"/>
      <c r="AF764" s="294"/>
      <c r="AG764" s="294"/>
      <c r="AH764" s="294"/>
      <c r="AI764" s="294"/>
      <c r="AJ764" s="294"/>
    </row>
    <row r="765" spans="2:36" x14ac:dyDescent="0.25">
      <c r="B765" s="294"/>
      <c r="C765" s="294"/>
      <c r="D765" s="294"/>
      <c r="E765" s="294"/>
      <c r="F765" s="294"/>
      <c r="G765" s="294"/>
      <c r="H765" s="294"/>
      <c r="I765" s="294"/>
      <c r="J765" s="294"/>
      <c r="L765" s="295"/>
      <c r="M765" s="294"/>
      <c r="R765" s="326"/>
      <c r="S765" s="326"/>
      <c r="T765" s="294"/>
      <c r="U765" s="294"/>
      <c r="V765" s="294"/>
      <c r="W765" s="294"/>
      <c r="X765" s="1182"/>
      <c r="Y765" s="1182"/>
      <c r="Z765" s="1166"/>
      <c r="AA765" s="1166"/>
      <c r="AB765" s="1182"/>
      <c r="AC765" s="294"/>
      <c r="AD765" s="294"/>
      <c r="AE765" s="294"/>
      <c r="AF765" s="294"/>
      <c r="AG765" s="294"/>
      <c r="AH765" s="294"/>
      <c r="AI765" s="294"/>
      <c r="AJ765" s="294"/>
    </row>
    <row r="766" spans="2:36" x14ac:dyDescent="0.25">
      <c r="B766" s="294"/>
      <c r="C766" s="294"/>
      <c r="D766" s="294"/>
      <c r="E766" s="294"/>
      <c r="F766" s="294"/>
      <c r="G766" s="294"/>
      <c r="H766" s="294"/>
      <c r="I766" s="294"/>
      <c r="J766" s="294"/>
      <c r="L766" s="295"/>
      <c r="M766" s="294"/>
      <c r="R766" s="326"/>
      <c r="S766" s="326"/>
      <c r="T766" s="294"/>
      <c r="U766" s="294"/>
      <c r="V766" s="294"/>
      <c r="W766" s="294"/>
      <c r="X766" s="1182"/>
      <c r="Y766" s="1182"/>
      <c r="Z766" s="1166"/>
      <c r="AA766" s="1166"/>
      <c r="AB766" s="1182"/>
      <c r="AC766" s="294"/>
      <c r="AD766" s="294"/>
      <c r="AE766" s="294"/>
      <c r="AF766" s="294"/>
      <c r="AG766" s="294"/>
      <c r="AH766" s="294"/>
      <c r="AI766" s="294"/>
      <c r="AJ766" s="294"/>
    </row>
    <row r="767" spans="2:36" x14ac:dyDescent="0.25">
      <c r="B767" s="294"/>
      <c r="C767" s="294"/>
      <c r="D767" s="294"/>
      <c r="E767" s="294"/>
      <c r="F767" s="294"/>
      <c r="G767" s="294"/>
      <c r="H767" s="294"/>
      <c r="I767" s="294"/>
      <c r="J767" s="294"/>
      <c r="L767" s="295"/>
      <c r="M767" s="294"/>
      <c r="R767" s="326"/>
      <c r="S767" s="326"/>
      <c r="T767" s="294"/>
      <c r="U767" s="294"/>
      <c r="V767" s="294"/>
      <c r="W767" s="294"/>
      <c r="X767" s="1182"/>
      <c r="Y767" s="1182"/>
      <c r="Z767" s="1166"/>
      <c r="AA767" s="1166"/>
      <c r="AB767" s="1182"/>
      <c r="AC767" s="294"/>
      <c r="AD767" s="294"/>
      <c r="AE767" s="294"/>
      <c r="AF767" s="294"/>
      <c r="AG767" s="294"/>
      <c r="AH767" s="294"/>
      <c r="AI767" s="294"/>
      <c r="AJ767" s="294"/>
    </row>
    <row r="768" spans="2:36" x14ac:dyDescent="0.25">
      <c r="B768" s="294"/>
      <c r="C768" s="294"/>
      <c r="D768" s="294"/>
      <c r="E768" s="294"/>
      <c r="F768" s="294"/>
      <c r="G768" s="294"/>
      <c r="H768" s="294"/>
      <c r="I768" s="294"/>
      <c r="J768" s="294"/>
      <c r="L768" s="295"/>
      <c r="M768" s="294"/>
      <c r="R768" s="326"/>
      <c r="S768" s="326"/>
      <c r="T768" s="294"/>
      <c r="U768" s="294"/>
      <c r="V768" s="294"/>
      <c r="W768" s="294"/>
      <c r="X768" s="1182"/>
      <c r="Y768" s="1182"/>
      <c r="Z768" s="1166"/>
      <c r="AA768" s="1166"/>
      <c r="AB768" s="1182"/>
      <c r="AC768" s="294"/>
      <c r="AD768" s="294"/>
      <c r="AE768" s="294"/>
      <c r="AF768" s="294"/>
      <c r="AG768" s="294"/>
      <c r="AH768" s="294"/>
      <c r="AI768" s="294"/>
      <c r="AJ768" s="294"/>
    </row>
    <row r="769" spans="2:36" x14ac:dyDescent="0.25">
      <c r="B769" s="294"/>
      <c r="C769" s="294"/>
      <c r="D769" s="294"/>
      <c r="E769" s="294"/>
      <c r="F769" s="294"/>
      <c r="G769" s="294"/>
      <c r="H769" s="294"/>
      <c r="I769" s="294"/>
      <c r="J769" s="294"/>
      <c r="L769" s="295"/>
      <c r="M769" s="294"/>
      <c r="R769" s="326"/>
      <c r="S769" s="326"/>
      <c r="T769" s="294"/>
      <c r="U769" s="294"/>
      <c r="V769" s="294"/>
      <c r="W769" s="294"/>
      <c r="X769" s="1182"/>
      <c r="Y769" s="1182"/>
      <c r="Z769" s="1166"/>
      <c r="AA769" s="1166"/>
      <c r="AB769" s="1182"/>
      <c r="AC769" s="294"/>
      <c r="AD769" s="294"/>
      <c r="AE769" s="294"/>
      <c r="AF769" s="294"/>
      <c r="AG769" s="294"/>
      <c r="AH769" s="294"/>
      <c r="AI769" s="294"/>
      <c r="AJ769" s="294"/>
    </row>
    <row r="770" spans="2:36" x14ac:dyDescent="0.25">
      <c r="B770" s="294"/>
      <c r="C770" s="294"/>
      <c r="D770" s="294"/>
      <c r="E770" s="294"/>
      <c r="F770" s="294"/>
      <c r="G770" s="294"/>
      <c r="H770" s="294"/>
      <c r="I770" s="294"/>
      <c r="J770" s="294"/>
      <c r="L770" s="295"/>
      <c r="M770" s="294"/>
      <c r="R770" s="326"/>
      <c r="S770" s="326"/>
      <c r="T770" s="294"/>
      <c r="U770" s="294"/>
      <c r="V770" s="294"/>
      <c r="W770" s="294"/>
      <c r="X770" s="1182"/>
      <c r="Y770" s="1182"/>
      <c r="Z770" s="1166"/>
      <c r="AA770" s="1166"/>
      <c r="AB770" s="1182"/>
      <c r="AC770" s="294"/>
      <c r="AD770" s="294"/>
      <c r="AE770" s="294"/>
      <c r="AF770" s="294"/>
      <c r="AG770" s="294"/>
      <c r="AH770" s="294"/>
      <c r="AI770" s="294"/>
      <c r="AJ770" s="294"/>
    </row>
    <row r="771" spans="2:36" x14ac:dyDescent="0.25">
      <c r="B771" s="294"/>
      <c r="C771" s="294"/>
      <c r="D771" s="294"/>
      <c r="E771" s="294"/>
      <c r="F771" s="294"/>
      <c r="G771" s="294"/>
      <c r="H771" s="294"/>
      <c r="I771" s="294"/>
      <c r="J771" s="294"/>
      <c r="L771" s="295"/>
      <c r="M771" s="294"/>
      <c r="R771" s="326"/>
      <c r="S771" s="326"/>
      <c r="T771" s="294"/>
      <c r="U771" s="294"/>
      <c r="V771" s="294"/>
      <c r="W771" s="294"/>
      <c r="X771" s="1182"/>
      <c r="Y771" s="1182"/>
      <c r="Z771" s="1166"/>
      <c r="AA771" s="1166"/>
      <c r="AB771" s="1182"/>
      <c r="AC771" s="294"/>
      <c r="AD771" s="294"/>
      <c r="AE771" s="294"/>
      <c r="AF771" s="294"/>
      <c r="AG771" s="294"/>
      <c r="AH771" s="294"/>
      <c r="AI771" s="294"/>
      <c r="AJ771" s="294"/>
    </row>
    <row r="772" spans="2:36" x14ac:dyDescent="0.25">
      <c r="B772" s="294"/>
      <c r="C772" s="294"/>
      <c r="D772" s="294"/>
      <c r="E772" s="294"/>
      <c r="F772" s="294"/>
      <c r="G772" s="294"/>
      <c r="H772" s="294"/>
      <c r="I772" s="294"/>
      <c r="J772" s="294"/>
      <c r="L772" s="295"/>
      <c r="M772" s="294"/>
      <c r="R772" s="326"/>
      <c r="S772" s="326"/>
      <c r="T772" s="294"/>
      <c r="U772" s="294"/>
      <c r="V772" s="294"/>
      <c r="W772" s="294"/>
      <c r="X772" s="1182"/>
      <c r="Y772" s="1182"/>
      <c r="Z772" s="1166"/>
      <c r="AA772" s="1166"/>
      <c r="AB772" s="1182"/>
      <c r="AC772" s="294"/>
      <c r="AD772" s="294"/>
      <c r="AE772" s="294"/>
      <c r="AF772" s="294"/>
      <c r="AG772" s="294"/>
      <c r="AH772" s="294"/>
      <c r="AI772" s="294"/>
      <c r="AJ772" s="294"/>
    </row>
    <row r="773" spans="2:36" x14ac:dyDescent="0.25">
      <c r="B773" s="294"/>
      <c r="C773" s="294"/>
      <c r="D773" s="294"/>
      <c r="E773" s="294"/>
      <c r="F773" s="294"/>
      <c r="G773" s="294"/>
      <c r="H773" s="294"/>
      <c r="I773" s="294"/>
      <c r="J773" s="294"/>
      <c r="L773" s="295"/>
      <c r="M773" s="294"/>
      <c r="R773" s="326"/>
      <c r="S773" s="326"/>
      <c r="T773" s="294"/>
      <c r="U773" s="294"/>
      <c r="V773" s="294"/>
      <c r="W773" s="294"/>
      <c r="X773" s="1182"/>
      <c r="Y773" s="1182"/>
      <c r="Z773" s="1166"/>
      <c r="AA773" s="1166"/>
      <c r="AB773" s="1182"/>
      <c r="AC773" s="294"/>
      <c r="AD773" s="294"/>
      <c r="AE773" s="294"/>
      <c r="AF773" s="294"/>
      <c r="AG773" s="294"/>
      <c r="AH773" s="294"/>
      <c r="AI773" s="294"/>
      <c r="AJ773" s="294"/>
    </row>
    <row r="774" spans="2:36" x14ac:dyDescent="0.25">
      <c r="B774" s="294"/>
      <c r="C774" s="294"/>
      <c r="D774" s="294"/>
      <c r="E774" s="294"/>
      <c r="F774" s="294"/>
      <c r="G774" s="294"/>
      <c r="H774" s="294"/>
      <c r="I774" s="294"/>
      <c r="J774" s="294"/>
      <c r="L774" s="295"/>
      <c r="M774" s="294"/>
      <c r="R774" s="326"/>
      <c r="S774" s="326"/>
      <c r="T774" s="294"/>
      <c r="U774" s="294"/>
      <c r="V774" s="294"/>
      <c r="W774" s="294"/>
      <c r="X774" s="1182"/>
      <c r="Y774" s="1182"/>
      <c r="Z774" s="1166"/>
      <c r="AA774" s="1166"/>
      <c r="AB774" s="1182"/>
      <c r="AC774" s="294"/>
      <c r="AD774" s="294"/>
      <c r="AE774" s="294"/>
      <c r="AF774" s="294"/>
      <c r="AG774" s="294"/>
      <c r="AH774" s="294"/>
      <c r="AI774" s="294"/>
      <c r="AJ774" s="294"/>
    </row>
    <row r="775" spans="2:36" x14ac:dyDescent="0.25">
      <c r="B775" s="294"/>
      <c r="C775" s="294"/>
      <c r="D775" s="294"/>
      <c r="E775" s="294"/>
      <c r="F775" s="294"/>
      <c r="G775" s="294"/>
      <c r="H775" s="294"/>
      <c r="I775" s="294"/>
      <c r="J775" s="294"/>
      <c r="L775" s="295"/>
      <c r="M775" s="294"/>
      <c r="R775" s="326"/>
      <c r="S775" s="326"/>
      <c r="T775" s="294"/>
      <c r="U775" s="294"/>
      <c r="V775" s="294"/>
      <c r="W775" s="294"/>
      <c r="X775" s="1182"/>
      <c r="Y775" s="1182"/>
      <c r="Z775" s="1166"/>
      <c r="AA775" s="1166"/>
      <c r="AB775" s="1182"/>
      <c r="AC775" s="294"/>
      <c r="AD775" s="294"/>
      <c r="AE775" s="294"/>
      <c r="AF775" s="294"/>
      <c r="AG775" s="294"/>
      <c r="AH775" s="294"/>
      <c r="AI775" s="294"/>
      <c r="AJ775" s="294"/>
    </row>
    <row r="776" spans="2:36" x14ac:dyDescent="0.25">
      <c r="B776" s="294"/>
      <c r="C776" s="294"/>
      <c r="D776" s="294"/>
      <c r="E776" s="294"/>
      <c r="F776" s="294"/>
      <c r="G776" s="294"/>
      <c r="H776" s="294"/>
      <c r="I776" s="294"/>
      <c r="J776" s="294"/>
      <c r="L776" s="295"/>
      <c r="M776" s="294"/>
      <c r="R776" s="326"/>
      <c r="S776" s="326"/>
      <c r="T776" s="294"/>
      <c r="U776" s="294"/>
      <c r="V776" s="294"/>
      <c r="W776" s="294"/>
      <c r="X776" s="1182"/>
      <c r="Y776" s="1182"/>
      <c r="Z776" s="1166"/>
      <c r="AA776" s="1166"/>
      <c r="AB776" s="1182"/>
      <c r="AC776" s="294"/>
      <c r="AD776" s="294"/>
      <c r="AE776" s="294"/>
      <c r="AF776" s="294"/>
      <c r="AG776" s="294"/>
      <c r="AH776" s="294"/>
      <c r="AI776" s="294"/>
      <c r="AJ776" s="294"/>
    </row>
    <row r="777" spans="2:36" x14ac:dyDescent="0.25">
      <c r="B777" s="294"/>
      <c r="C777" s="294"/>
      <c r="D777" s="294"/>
      <c r="E777" s="294"/>
      <c r="F777" s="294"/>
      <c r="G777" s="294"/>
      <c r="H777" s="294"/>
      <c r="I777" s="294"/>
      <c r="J777" s="294"/>
      <c r="L777" s="295"/>
      <c r="M777" s="294"/>
      <c r="R777" s="326"/>
      <c r="S777" s="326"/>
      <c r="T777" s="294"/>
      <c r="U777" s="294"/>
      <c r="V777" s="294"/>
      <c r="W777" s="294"/>
      <c r="X777" s="1182"/>
      <c r="Y777" s="1182"/>
      <c r="Z777" s="1166"/>
      <c r="AA777" s="1166"/>
      <c r="AB777" s="1182"/>
      <c r="AC777" s="294"/>
      <c r="AD777" s="294"/>
      <c r="AE777" s="294"/>
      <c r="AF777" s="294"/>
      <c r="AG777" s="294"/>
      <c r="AH777" s="294"/>
      <c r="AI777" s="294"/>
      <c r="AJ777" s="294"/>
    </row>
    <row r="778" spans="2:36" x14ac:dyDescent="0.25">
      <c r="B778" s="294"/>
      <c r="C778" s="294"/>
      <c r="D778" s="294"/>
      <c r="E778" s="294"/>
      <c r="F778" s="294"/>
      <c r="G778" s="294"/>
      <c r="H778" s="294"/>
      <c r="I778" s="294"/>
      <c r="J778" s="294"/>
      <c r="L778" s="295"/>
      <c r="M778" s="294"/>
      <c r="R778" s="326"/>
      <c r="S778" s="326"/>
      <c r="T778" s="294"/>
      <c r="U778" s="294"/>
      <c r="V778" s="294"/>
      <c r="W778" s="294"/>
      <c r="X778" s="1182"/>
      <c r="Y778" s="1182"/>
      <c r="Z778" s="1166"/>
      <c r="AA778" s="1166"/>
      <c r="AB778" s="1182"/>
      <c r="AC778" s="294"/>
      <c r="AD778" s="294"/>
      <c r="AE778" s="294"/>
      <c r="AF778" s="294"/>
      <c r="AG778" s="294"/>
      <c r="AH778" s="294"/>
      <c r="AI778" s="294"/>
      <c r="AJ778" s="294"/>
    </row>
    <row r="779" spans="2:36" x14ac:dyDescent="0.25">
      <c r="B779" s="294"/>
      <c r="C779" s="294"/>
      <c r="D779" s="294"/>
      <c r="E779" s="294"/>
      <c r="F779" s="294"/>
      <c r="G779" s="294"/>
      <c r="H779" s="294"/>
      <c r="I779" s="294"/>
      <c r="J779" s="294"/>
      <c r="L779" s="295"/>
      <c r="M779" s="294"/>
      <c r="R779" s="326"/>
      <c r="S779" s="326"/>
      <c r="T779" s="294"/>
      <c r="U779" s="294"/>
      <c r="V779" s="294"/>
      <c r="W779" s="294"/>
      <c r="X779" s="1182"/>
      <c r="Y779" s="1182"/>
      <c r="Z779" s="1166"/>
      <c r="AA779" s="1166"/>
      <c r="AB779" s="1182"/>
      <c r="AC779" s="294"/>
      <c r="AD779" s="294"/>
      <c r="AE779" s="294"/>
      <c r="AF779" s="294"/>
      <c r="AG779" s="294"/>
      <c r="AH779" s="294"/>
      <c r="AI779" s="294"/>
      <c r="AJ779" s="294"/>
    </row>
    <row r="780" spans="2:36" x14ac:dyDescent="0.25">
      <c r="B780" s="294"/>
      <c r="C780" s="294"/>
      <c r="D780" s="294"/>
      <c r="E780" s="294"/>
      <c r="F780" s="294"/>
      <c r="G780" s="294"/>
      <c r="H780" s="294"/>
      <c r="I780" s="294"/>
      <c r="J780" s="294"/>
      <c r="L780" s="295"/>
      <c r="M780" s="294"/>
      <c r="R780" s="326"/>
      <c r="S780" s="326"/>
      <c r="T780" s="294"/>
      <c r="U780" s="294"/>
      <c r="V780" s="294"/>
      <c r="W780" s="294"/>
      <c r="X780" s="1182"/>
      <c r="Y780" s="1182"/>
      <c r="Z780" s="1166"/>
      <c r="AA780" s="1166"/>
      <c r="AB780" s="1182"/>
      <c r="AC780" s="294"/>
      <c r="AD780" s="294"/>
      <c r="AE780" s="294"/>
      <c r="AF780" s="294"/>
      <c r="AG780" s="294"/>
      <c r="AH780" s="294"/>
      <c r="AI780" s="294"/>
      <c r="AJ780" s="294"/>
    </row>
    <row r="781" spans="2:36" x14ac:dyDescent="0.25">
      <c r="B781" s="294"/>
      <c r="C781" s="294"/>
      <c r="D781" s="294"/>
      <c r="E781" s="294"/>
      <c r="F781" s="294"/>
      <c r="G781" s="294"/>
      <c r="H781" s="294"/>
      <c r="I781" s="294"/>
      <c r="J781" s="294"/>
      <c r="L781" s="295"/>
      <c r="M781" s="294"/>
      <c r="R781" s="326"/>
      <c r="S781" s="326"/>
      <c r="T781" s="294"/>
      <c r="U781" s="294"/>
      <c r="V781" s="294"/>
      <c r="W781" s="294"/>
      <c r="X781" s="1182"/>
      <c r="Y781" s="1182"/>
      <c r="Z781" s="1166"/>
      <c r="AA781" s="1166"/>
      <c r="AB781" s="1182"/>
      <c r="AC781" s="294"/>
      <c r="AD781" s="294"/>
      <c r="AE781" s="294"/>
      <c r="AF781" s="294"/>
      <c r="AG781" s="294"/>
      <c r="AH781" s="294"/>
      <c r="AI781" s="294"/>
      <c r="AJ781" s="294"/>
    </row>
    <row r="782" spans="2:36" x14ac:dyDescent="0.25">
      <c r="B782" s="294"/>
      <c r="C782" s="294"/>
      <c r="D782" s="294"/>
      <c r="E782" s="294"/>
      <c r="F782" s="294"/>
      <c r="G782" s="294"/>
      <c r="H782" s="294"/>
      <c r="I782" s="294"/>
      <c r="J782" s="294"/>
      <c r="L782" s="295"/>
      <c r="M782" s="294"/>
      <c r="R782" s="326"/>
      <c r="S782" s="326"/>
      <c r="T782" s="294"/>
      <c r="U782" s="294"/>
      <c r="V782" s="294"/>
      <c r="W782" s="294"/>
      <c r="X782" s="1182"/>
      <c r="Y782" s="1182"/>
      <c r="Z782" s="1166"/>
      <c r="AA782" s="1166"/>
      <c r="AB782" s="1182"/>
      <c r="AC782" s="294"/>
      <c r="AD782" s="294"/>
      <c r="AE782" s="294"/>
      <c r="AF782" s="294"/>
      <c r="AG782" s="294"/>
      <c r="AH782" s="294"/>
      <c r="AI782" s="294"/>
      <c r="AJ782" s="294"/>
    </row>
    <row r="783" spans="2:36" x14ac:dyDescent="0.25">
      <c r="B783" s="294"/>
      <c r="C783" s="294"/>
      <c r="D783" s="294"/>
      <c r="E783" s="294"/>
      <c r="F783" s="294"/>
      <c r="G783" s="294"/>
      <c r="H783" s="294"/>
      <c r="I783" s="294"/>
      <c r="J783" s="294"/>
      <c r="L783" s="295"/>
      <c r="M783" s="294"/>
      <c r="R783" s="326"/>
      <c r="S783" s="326"/>
      <c r="T783" s="294"/>
      <c r="U783" s="294"/>
      <c r="V783" s="294"/>
      <c r="W783" s="294"/>
      <c r="X783" s="1182"/>
      <c r="Y783" s="1182"/>
      <c r="Z783" s="1166"/>
      <c r="AA783" s="1166"/>
      <c r="AB783" s="1182"/>
      <c r="AC783" s="294"/>
      <c r="AD783" s="294"/>
      <c r="AE783" s="294"/>
      <c r="AF783" s="294"/>
      <c r="AG783" s="294"/>
      <c r="AH783" s="294"/>
      <c r="AI783" s="294"/>
      <c r="AJ783" s="294"/>
    </row>
    <row r="784" spans="2:36" x14ac:dyDescent="0.25">
      <c r="B784" s="294"/>
      <c r="C784" s="294"/>
      <c r="D784" s="294"/>
      <c r="E784" s="294"/>
      <c r="F784" s="294"/>
      <c r="G784" s="294"/>
      <c r="H784" s="294"/>
      <c r="I784" s="294"/>
      <c r="J784" s="294"/>
      <c r="L784" s="295"/>
      <c r="M784" s="294"/>
      <c r="R784" s="326"/>
      <c r="S784" s="326"/>
      <c r="T784" s="294"/>
      <c r="U784" s="294"/>
      <c r="V784" s="294"/>
      <c r="W784" s="294"/>
      <c r="X784" s="1182"/>
      <c r="Y784" s="1182"/>
      <c r="Z784" s="1166"/>
      <c r="AA784" s="1166"/>
      <c r="AB784" s="1182"/>
      <c r="AC784" s="294"/>
      <c r="AD784" s="294"/>
      <c r="AE784" s="294"/>
      <c r="AF784" s="294"/>
      <c r="AG784" s="294"/>
      <c r="AH784" s="294"/>
      <c r="AI784" s="294"/>
      <c r="AJ784" s="294"/>
    </row>
    <row r="785" spans="2:36" x14ac:dyDescent="0.25">
      <c r="B785" s="294"/>
      <c r="C785" s="294"/>
      <c r="D785" s="294"/>
      <c r="E785" s="294"/>
      <c r="F785" s="294"/>
      <c r="G785" s="294"/>
      <c r="H785" s="294"/>
      <c r="I785" s="294"/>
      <c r="J785" s="294"/>
      <c r="L785" s="295"/>
      <c r="M785" s="294"/>
      <c r="R785" s="326"/>
      <c r="S785" s="326"/>
      <c r="T785" s="294"/>
      <c r="U785" s="294"/>
      <c r="V785" s="294"/>
      <c r="W785" s="294"/>
      <c r="X785" s="1182"/>
      <c r="Y785" s="1182"/>
      <c r="Z785" s="1166"/>
      <c r="AA785" s="1166"/>
      <c r="AB785" s="1182"/>
      <c r="AC785" s="294"/>
      <c r="AD785" s="294"/>
      <c r="AE785" s="294"/>
      <c r="AF785" s="294"/>
      <c r="AG785" s="294"/>
      <c r="AH785" s="294"/>
      <c r="AI785" s="294"/>
      <c r="AJ785" s="294"/>
    </row>
    <row r="786" spans="2:36" x14ac:dyDescent="0.25">
      <c r="B786" s="294"/>
      <c r="C786" s="294"/>
      <c r="D786" s="294"/>
      <c r="E786" s="294"/>
      <c r="F786" s="294"/>
      <c r="G786" s="294"/>
      <c r="H786" s="294"/>
      <c r="I786" s="294"/>
      <c r="J786" s="294"/>
      <c r="L786" s="295"/>
      <c r="M786" s="294"/>
      <c r="R786" s="326"/>
      <c r="S786" s="326"/>
      <c r="T786" s="294"/>
      <c r="U786" s="294"/>
      <c r="V786" s="294"/>
      <c r="W786" s="294"/>
      <c r="X786" s="1182"/>
      <c r="Y786" s="1182"/>
      <c r="Z786" s="1166"/>
      <c r="AA786" s="1166"/>
      <c r="AB786" s="1182"/>
      <c r="AC786" s="294"/>
      <c r="AD786" s="294"/>
      <c r="AE786" s="294"/>
      <c r="AF786" s="294"/>
      <c r="AG786" s="294"/>
      <c r="AH786" s="294"/>
      <c r="AI786" s="294"/>
      <c r="AJ786" s="294"/>
    </row>
    <row r="787" spans="2:36" x14ac:dyDescent="0.25">
      <c r="B787" s="294"/>
      <c r="C787" s="294"/>
      <c r="D787" s="294"/>
      <c r="E787" s="294"/>
      <c r="F787" s="294"/>
      <c r="G787" s="294"/>
      <c r="H787" s="294"/>
      <c r="I787" s="294"/>
      <c r="J787" s="294"/>
      <c r="L787" s="295"/>
      <c r="M787" s="294"/>
      <c r="R787" s="326"/>
      <c r="S787" s="326"/>
      <c r="T787" s="294"/>
      <c r="U787" s="294"/>
      <c r="V787" s="294"/>
      <c r="W787" s="294"/>
      <c r="X787" s="1182"/>
      <c r="Y787" s="1182"/>
      <c r="Z787" s="1166"/>
      <c r="AA787" s="1166"/>
      <c r="AB787" s="1182"/>
      <c r="AC787" s="294"/>
      <c r="AD787" s="294"/>
      <c r="AE787" s="294"/>
      <c r="AF787" s="294"/>
      <c r="AG787" s="294"/>
      <c r="AH787" s="294"/>
      <c r="AI787" s="294"/>
      <c r="AJ787" s="294"/>
    </row>
    <row r="788" spans="2:36" x14ac:dyDescent="0.25">
      <c r="B788" s="294"/>
      <c r="C788" s="294"/>
      <c r="D788" s="294"/>
      <c r="E788" s="294"/>
      <c r="F788" s="294"/>
      <c r="G788" s="294"/>
      <c r="H788" s="294"/>
      <c r="I788" s="294"/>
      <c r="J788" s="294"/>
      <c r="L788" s="295"/>
      <c r="M788" s="294"/>
      <c r="R788" s="326"/>
      <c r="S788" s="326"/>
      <c r="T788" s="294"/>
      <c r="U788" s="294"/>
      <c r="V788" s="294"/>
      <c r="W788" s="294"/>
      <c r="X788" s="1182"/>
      <c r="Y788" s="1182"/>
      <c r="Z788" s="1166"/>
      <c r="AA788" s="1166"/>
      <c r="AB788" s="1182"/>
      <c r="AC788" s="294"/>
      <c r="AD788" s="294"/>
      <c r="AE788" s="294"/>
      <c r="AF788" s="294"/>
      <c r="AG788" s="294"/>
      <c r="AH788" s="294"/>
      <c r="AI788" s="294"/>
      <c r="AJ788" s="294"/>
    </row>
    <row r="789" spans="2:36" x14ac:dyDescent="0.25">
      <c r="B789" s="294"/>
      <c r="C789" s="294"/>
      <c r="D789" s="294"/>
      <c r="E789" s="294"/>
      <c r="F789" s="294"/>
      <c r="G789" s="294"/>
      <c r="H789" s="294"/>
      <c r="I789" s="294"/>
      <c r="J789" s="294"/>
      <c r="L789" s="295"/>
      <c r="M789" s="294"/>
      <c r="R789" s="326"/>
      <c r="S789" s="326"/>
      <c r="T789" s="294"/>
      <c r="U789" s="294"/>
      <c r="V789" s="294"/>
      <c r="W789" s="294"/>
      <c r="X789" s="1182"/>
      <c r="Y789" s="1182"/>
      <c r="Z789" s="1166"/>
      <c r="AA789" s="1166"/>
      <c r="AB789" s="1182"/>
      <c r="AC789" s="294"/>
      <c r="AD789" s="294"/>
      <c r="AE789" s="294"/>
      <c r="AF789" s="294"/>
      <c r="AG789" s="294"/>
      <c r="AH789" s="294"/>
      <c r="AI789" s="294"/>
      <c r="AJ789" s="294"/>
    </row>
    <row r="790" spans="2:36" x14ac:dyDescent="0.25">
      <c r="B790" s="294"/>
      <c r="C790" s="294"/>
      <c r="D790" s="294"/>
      <c r="E790" s="294"/>
      <c r="F790" s="294"/>
      <c r="G790" s="294"/>
      <c r="H790" s="294"/>
      <c r="I790" s="294"/>
      <c r="J790" s="294"/>
      <c r="L790" s="295"/>
      <c r="M790" s="294"/>
      <c r="R790" s="326"/>
      <c r="S790" s="326"/>
      <c r="T790" s="294"/>
      <c r="U790" s="294"/>
      <c r="V790" s="294"/>
      <c r="W790" s="294"/>
      <c r="X790" s="1182"/>
      <c r="Y790" s="1182"/>
      <c r="Z790" s="1166"/>
      <c r="AA790" s="1166"/>
      <c r="AB790" s="1182"/>
      <c r="AC790" s="294"/>
      <c r="AD790" s="294"/>
      <c r="AE790" s="294"/>
      <c r="AF790" s="294"/>
      <c r="AG790" s="294"/>
      <c r="AH790" s="294"/>
      <c r="AI790" s="294"/>
      <c r="AJ790" s="294"/>
    </row>
    <row r="791" spans="2:36" x14ac:dyDescent="0.25">
      <c r="B791" s="294"/>
      <c r="C791" s="294"/>
      <c r="D791" s="294"/>
      <c r="E791" s="294"/>
      <c r="F791" s="294"/>
      <c r="G791" s="294"/>
      <c r="H791" s="294"/>
      <c r="I791" s="294"/>
      <c r="J791" s="294"/>
      <c r="L791" s="295"/>
      <c r="M791" s="294"/>
      <c r="R791" s="326"/>
      <c r="S791" s="326"/>
      <c r="T791" s="294"/>
      <c r="U791" s="294"/>
      <c r="V791" s="294"/>
      <c r="W791" s="294"/>
      <c r="X791" s="1182"/>
      <c r="Y791" s="1182"/>
      <c r="Z791" s="1166"/>
      <c r="AA791" s="1166"/>
      <c r="AB791" s="1182"/>
      <c r="AC791" s="294"/>
      <c r="AD791" s="294"/>
      <c r="AE791" s="294"/>
      <c r="AF791" s="294"/>
      <c r="AG791" s="294"/>
      <c r="AH791" s="294"/>
      <c r="AI791" s="294"/>
      <c r="AJ791" s="294"/>
    </row>
    <row r="792" spans="2:36" x14ac:dyDescent="0.25">
      <c r="B792" s="294"/>
      <c r="C792" s="294"/>
      <c r="D792" s="294"/>
      <c r="E792" s="294"/>
      <c r="F792" s="294"/>
      <c r="G792" s="294"/>
      <c r="H792" s="294"/>
      <c r="I792" s="294"/>
      <c r="J792" s="294"/>
      <c r="L792" s="295"/>
      <c r="M792" s="294"/>
      <c r="R792" s="326"/>
      <c r="S792" s="326"/>
      <c r="T792" s="294"/>
      <c r="U792" s="294"/>
      <c r="V792" s="294"/>
      <c r="W792" s="294"/>
      <c r="X792" s="1182"/>
      <c r="Y792" s="1182"/>
      <c r="Z792" s="1166"/>
      <c r="AA792" s="1166"/>
      <c r="AB792" s="1182"/>
      <c r="AC792" s="294"/>
      <c r="AD792" s="294"/>
      <c r="AE792" s="294"/>
      <c r="AF792" s="294"/>
      <c r="AG792" s="294"/>
      <c r="AH792" s="294"/>
      <c r="AI792" s="294"/>
      <c r="AJ792" s="294"/>
    </row>
    <row r="793" spans="2:36" x14ac:dyDescent="0.25">
      <c r="B793" s="294"/>
      <c r="C793" s="294"/>
      <c r="D793" s="294"/>
      <c r="E793" s="294"/>
      <c r="F793" s="294"/>
      <c r="G793" s="294"/>
      <c r="H793" s="294"/>
      <c r="I793" s="294"/>
      <c r="J793" s="294"/>
      <c r="L793" s="295"/>
      <c r="M793" s="294"/>
      <c r="R793" s="326"/>
      <c r="S793" s="326"/>
      <c r="T793" s="294"/>
      <c r="U793" s="294"/>
      <c r="V793" s="294"/>
      <c r="W793" s="294"/>
      <c r="X793" s="1182"/>
      <c r="Y793" s="1182"/>
      <c r="Z793" s="1166"/>
      <c r="AA793" s="1166"/>
      <c r="AB793" s="1182"/>
      <c r="AC793" s="294"/>
      <c r="AD793" s="294"/>
      <c r="AE793" s="294"/>
      <c r="AF793" s="294"/>
      <c r="AG793" s="294"/>
      <c r="AH793" s="294"/>
      <c r="AI793" s="294"/>
      <c r="AJ793" s="294"/>
    </row>
    <row r="794" spans="2:36" x14ac:dyDescent="0.25">
      <c r="B794" s="294"/>
      <c r="C794" s="294"/>
      <c r="D794" s="294"/>
      <c r="E794" s="294"/>
      <c r="F794" s="294"/>
      <c r="G794" s="294"/>
      <c r="H794" s="294"/>
      <c r="I794" s="294"/>
      <c r="J794" s="294"/>
      <c r="L794" s="295"/>
      <c r="M794" s="294"/>
      <c r="R794" s="326"/>
      <c r="S794" s="326"/>
      <c r="T794" s="294"/>
      <c r="U794" s="294"/>
      <c r="V794" s="294"/>
      <c r="W794" s="294"/>
      <c r="X794" s="1182"/>
      <c r="Y794" s="1182"/>
      <c r="Z794" s="1166"/>
      <c r="AA794" s="1166"/>
      <c r="AB794" s="1182"/>
      <c r="AC794" s="294"/>
      <c r="AD794" s="294"/>
      <c r="AE794" s="294"/>
      <c r="AF794" s="294"/>
      <c r="AG794" s="294"/>
      <c r="AH794" s="294"/>
      <c r="AI794" s="294"/>
      <c r="AJ794" s="294"/>
    </row>
    <row r="795" spans="2:36" x14ac:dyDescent="0.25">
      <c r="B795" s="294"/>
      <c r="C795" s="294"/>
      <c r="D795" s="294"/>
      <c r="E795" s="294"/>
      <c r="F795" s="294"/>
      <c r="G795" s="294"/>
      <c r="H795" s="294"/>
      <c r="I795" s="294"/>
      <c r="J795" s="294"/>
      <c r="L795" s="295"/>
      <c r="M795" s="294"/>
      <c r="R795" s="326"/>
      <c r="S795" s="326"/>
      <c r="T795" s="294"/>
      <c r="U795" s="294"/>
      <c r="V795" s="294"/>
      <c r="W795" s="294"/>
      <c r="X795" s="1182"/>
      <c r="Y795" s="1182"/>
      <c r="Z795" s="1166"/>
      <c r="AA795" s="1166"/>
      <c r="AB795" s="1182"/>
      <c r="AC795" s="294"/>
      <c r="AD795" s="294"/>
      <c r="AE795" s="294"/>
      <c r="AF795" s="294"/>
      <c r="AG795" s="294"/>
      <c r="AH795" s="294"/>
      <c r="AI795" s="294"/>
      <c r="AJ795" s="294"/>
    </row>
    <row r="796" spans="2:36" x14ac:dyDescent="0.25">
      <c r="B796" s="294"/>
      <c r="C796" s="294"/>
      <c r="D796" s="294"/>
      <c r="E796" s="294"/>
      <c r="F796" s="294"/>
      <c r="G796" s="294"/>
      <c r="H796" s="294"/>
      <c r="I796" s="294"/>
      <c r="J796" s="294"/>
      <c r="L796" s="295"/>
      <c r="M796" s="294"/>
      <c r="R796" s="326"/>
      <c r="S796" s="326"/>
      <c r="T796" s="294"/>
      <c r="U796" s="294"/>
      <c r="V796" s="294"/>
      <c r="W796" s="294"/>
      <c r="X796" s="1182"/>
      <c r="Y796" s="1182"/>
      <c r="Z796" s="1166"/>
      <c r="AA796" s="1166"/>
      <c r="AB796" s="1182"/>
      <c r="AC796" s="294"/>
      <c r="AD796" s="294"/>
      <c r="AE796" s="294"/>
      <c r="AF796" s="294"/>
      <c r="AG796" s="294"/>
      <c r="AH796" s="294"/>
      <c r="AI796" s="294"/>
      <c r="AJ796" s="294"/>
    </row>
    <row r="797" spans="2:36" x14ac:dyDescent="0.25">
      <c r="B797" s="294"/>
      <c r="C797" s="294"/>
      <c r="D797" s="294"/>
      <c r="E797" s="294"/>
      <c r="F797" s="294"/>
      <c r="G797" s="294"/>
      <c r="H797" s="294"/>
      <c r="I797" s="294"/>
      <c r="J797" s="294"/>
      <c r="L797" s="295"/>
      <c r="M797" s="294"/>
      <c r="R797" s="326"/>
      <c r="S797" s="326"/>
      <c r="T797" s="294"/>
      <c r="U797" s="294"/>
      <c r="V797" s="294"/>
      <c r="W797" s="294"/>
      <c r="X797" s="1182"/>
      <c r="Y797" s="1182"/>
      <c r="Z797" s="1166"/>
      <c r="AA797" s="1166"/>
      <c r="AB797" s="1182"/>
      <c r="AC797" s="294"/>
      <c r="AD797" s="294"/>
      <c r="AE797" s="294"/>
      <c r="AF797" s="294"/>
      <c r="AG797" s="294"/>
      <c r="AH797" s="294"/>
      <c r="AI797" s="294"/>
      <c r="AJ797" s="294"/>
    </row>
    <row r="798" spans="2:36" x14ac:dyDescent="0.25">
      <c r="B798" s="294"/>
      <c r="C798" s="294"/>
      <c r="D798" s="294"/>
      <c r="E798" s="294"/>
      <c r="F798" s="294"/>
      <c r="G798" s="294"/>
      <c r="H798" s="294"/>
      <c r="I798" s="294"/>
      <c r="J798" s="294"/>
      <c r="L798" s="295"/>
      <c r="M798" s="294"/>
      <c r="R798" s="326"/>
      <c r="S798" s="326"/>
      <c r="T798" s="294"/>
      <c r="U798" s="294"/>
      <c r="V798" s="294"/>
      <c r="W798" s="294"/>
      <c r="X798" s="1182"/>
      <c r="Y798" s="1182"/>
      <c r="Z798" s="1166"/>
      <c r="AA798" s="1166"/>
      <c r="AB798" s="1182"/>
      <c r="AC798" s="294"/>
      <c r="AD798" s="294"/>
      <c r="AE798" s="294"/>
      <c r="AF798" s="294"/>
      <c r="AG798" s="294"/>
      <c r="AH798" s="294"/>
      <c r="AI798" s="294"/>
      <c r="AJ798" s="294"/>
    </row>
    <row r="799" spans="2:36" x14ac:dyDescent="0.25">
      <c r="B799" s="294"/>
      <c r="C799" s="294"/>
      <c r="D799" s="294"/>
      <c r="E799" s="294"/>
      <c r="F799" s="294"/>
      <c r="G799" s="294"/>
      <c r="H799" s="294"/>
      <c r="I799" s="294"/>
      <c r="J799" s="294"/>
      <c r="L799" s="295"/>
      <c r="M799" s="294"/>
      <c r="R799" s="326"/>
      <c r="S799" s="326"/>
      <c r="T799" s="294"/>
      <c r="U799" s="294"/>
      <c r="V799" s="294"/>
      <c r="W799" s="294"/>
      <c r="X799" s="1182"/>
      <c r="Y799" s="1182"/>
      <c r="Z799" s="1166"/>
      <c r="AA799" s="1166"/>
      <c r="AB799" s="1182"/>
      <c r="AC799" s="294"/>
      <c r="AD799" s="294"/>
      <c r="AE799" s="294"/>
      <c r="AF799" s="294"/>
      <c r="AG799" s="294"/>
      <c r="AH799" s="294"/>
      <c r="AI799" s="294"/>
      <c r="AJ799" s="294"/>
    </row>
    <row r="800" spans="2:36" x14ac:dyDescent="0.25">
      <c r="B800" s="294"/>
      <c r="C800" s="294"/>
      <c r="D800" s="294"/>
      <c r="E800" s="294"/>
      <c r="F800" s="294"/>
      <c r="G800" s="294"/>
      <c r="H800" s="294"/>
      <c r="I800" s="294"/>
      <c r="J800" s="294"/>
      <c r="L800" s="295"/>
      <c r="M800" s="294"/>
      <c r="R800" s="326"/>
      <c r="S800" s="326"/>
      <c r="T800" s="294"/>
      <c r="U800" s="294"/>
      <c r="V800" s="294"/>
      <c r="W800" s="294"/>
      <c r="X800" s="1182"/>
      <c r="Y800" s="1182"/>
      <c r="Z800" s="1166"/>
      <c r="AA800" s="1166"/>
      <c r="AB800" s="1182"/>
      <c r="AC800" s="294"/>
      <c r="AD800" s="294"/>
      <c r="AE800" s="294"/>
      <c r="AF800" s="294"/>
      <c r="AG800" s="294"/>
      <c r="AH800" s="294"/>
      <c r="AI800" s="294"/>
      <c r="AJ800" s="294"/>
    </row>
    <row r="801" spans="2:36" x14ac:dyDescent="0.25">
      <c r="B801" s="294"/>
      <c r="C801" s="294"/>
      <c r="D801" s="294"/>
      <c r="E801" s="294"/>
      <c r="F801" s="294"/>
      <c r="G801" s="294"/>
      <c r="H801" s="294"/>
      <c r="I801" s="294"/>
      <c r="J801" s="294"/>
      <c r="L801" s="295"/>
      <c r="M801" s="294"/>
      <c r="R801" s="326"/>
      <c r="S801" s="326"/>
      <c r="T801" s="294"/>
      <c r="U801" s="294"/>
      <c r="V801" s="294"/>
      <c r="W801" s="294"/>
      <c r="X801" s="1182"/>
      <c r="Y801" s="1182"/>
      <c r="Z801" s="1166"/>
      <c r="AA801" s="1166"/>
      <c r="AB801" s="1182"/>
      <c r="AC801" s="294"/>
      <c r="AD801" s="294"/>
      <c r="AE801" s="294"/>
      <c r="AF801" s="294"/>
      <c r="AG801" s="294"/>
      <c r="AH801" s="294"/>
      <c r="AI801" s="294"/>
      <c r="AJ801" s="294"/>
    </row>
    <row r="802" spans="2:36" x14ac:dyDescent="0.25">
      <c r="B802" s="294"/>
      <c r="C802" s="294"/>
      <c r="D802" s="294"/>
      <c r="E802" s="294"/>
      <c r="F802" s="294"/>
      <c r="G802" s="294"/>
      <c r="H802" s="294"/>
      <c r="I802" s="294"/>
      <c r="J802" s="294"/>
      <c r="L802" s="295"/>
      <c r="M802" s="294"/>
      <c r="R802" s="326"/>
      <c r="S802" s="326"/>
      <c r="T802" s="294"/>
      <c r="U802" s="294"/>
      <c r="V802" s="294"/>
      <c r="W802" s="294"/>
      <c r="X802" s="1182"/>
      <c r="Y802" s="1182"/>
      <c r="Z802" s="1166"/>
      <c r="AA802" s="1166"/>
      <c r="AB802" s="1182"/>
      <c r="AC802" s="294"/>
      <c r="AD802" s="294"/>
      <c r="AE802" s="294"/>
      <c r="AF802" s="294"/>
      <c r="AG802" s="294"/>
      <c r="AH802" s="294"/>
      <c r="AI802" s="294"/>
      <c r="AJ802" s="294"/>
    </row>
    <row r="803" spans="2:36" x14ac:dyDescent="0.25">
      <c r="B803" s="294"/>
      <c r="C803" s="294"/>
      <c r="D803" s="294"/>
      <c r="E803" s="294"/>
      <c r="F803" s="294"/>
      <c r="G803" s="294"/>
      <c r="H803" s="294"/>
      <c r="I803" s="294"/>
      <c r="J803" s="294"/>
      <c r="L803" s="295"/>
      <c r="M803" s="294"/>
      <c r="R803" s="326"/>
      <c r="S803" s="326"/>
      <c r="T803" s="294"/>
      <c r="U803" s="294"/>
      <c r="V803" s="294"/>
      <c r="W803" s="294"/>
      <c r="X803" s="1182"/>
      <c r="Y803" s="1182"/>
      <c r="Z803" s="1166"/>
      <c r="AA803" s="1166"/>
      <c r="AB803" s="1182"/>
      <c r="AC803" s="294"/>
      <c r="AD803" s="294"/>
      <c r="AE803" s="294"/>
      <c r="AF803" s="294"/>
      <c r="AG803" s="294"/>
      <c r="AH803" s="294"/>
      <c r="AI803" s="294"/>
      <c r="AJ803" s="294"/>
    </row>
    <row r="804" spans="2:36" x14ac:dyDescent="0.25">
      <c r="B804" s="294"/>
      <c r="C804" s="294"/>
      <c r="D804" s="294"/>
      <c r="E804" s="294"/>
      <c r="F804" s="294"/>
      <c r="G804" s="294"/>
      <c r="H804" s="294"/>
      <c r="I804" s="294"/>
      <c r="J804" s="294"/>
      <c r="L804" s="295"/>
      <c r="M804" s="294"/>
      <c r="R804" s="326"/>
      <c r="S804" s="326"/>
      <c r="T804" s="294"/>
      <c r="U804" s="294"/>
      <c r="V804" s="294"/>
      <c r="W804" s="294"/>
      <c r="X804" s="1182"/>
      <c r="Y804" s="1182"/>
      <c r="Z804" s="1166"/>
      <c r="AA804" s="1166"/>
      <c r="AB804" s="1182"/>
      <c r="AC804" s="294"/>
      <c r="AD804" s="294"/>
      <c r="AE804" s="294"/>
      <c r="AF804" s="294"/>
      <c r="AG804" s="294"/>
      <c r="AH804" s="294"/>
      <c r="AI804" s="294"/>
      <c r="AJ804" s="294"/>
    </row>
    <row r="805" spans="2:36" x14ac:dyDescent="0.25">
      <c r="B805" s="294"/>
      <c r="C805" s="294"/>
      <c r="D805" s="294"/>
      <c r="E805" s="294"/>
      <c r="F805" s="294"/>
      <c r="G805" s="294"/>
      <c r="H805" s="294"/>
      <c r="I805" s="294"/>
      <c r="J805" s="294"/>
      <c r="L805" s="295"/>
      <c r="M805" s="294"/>
      <c r="R805" s="326"/>
      <c r="S805" s="326"/>
      <c r="T805" s="294"/>
      <c r="U805" s="294"/>
      <c r="V805" s="294"/>
      <c r="W805" s="294"/>
      <c r="X805" s="1182"/>
      <c r="Y805" s="1182"/>
      <c r="Z805" s="1166"/>
      <c r="AA805" s="1166"/>
      <c r="AB805" s="1182"/>
      <c r="AC805" s="294"/>
      <c r="AD805" s="294"/>
      <c r="AE805" s="294"/>
      <c r="AF805" s="294"/>
      <c r="AG805" s="294"/>
      <c r="AH805" s="294"/>
      <c r="AI805" s="294"/>
      <c r="AJ805" s="294"/>
    </row>
    <row r="806" spans="2:36" x14ac:dyDescent="0.25">
      <c r="B806" s="294"/>
      <c r="C806" s="294"/>
      <c r="D806" s="294"/>
      <c r="E806" s="294"/>
      <c r="F806" s="294"/>
      <c r="G806" s="294"/>
      <c r="H806" s="294"/>
      <c r="I806" s="294"/>
      <c r="J806" s="294"/>
      <c r="L806" s="295"/>
      <c r="M806" s="294"/>
      <c r="R806" s="326"/>
      <c r="S806" s="326"/>
      <c r="T806" s="294"/>
      <c r="U806" s="294"/>
      <c r="V806" s="294"/>
      <c r="W806" s="294"/>
      <c r="X806" s="1182"/>
      <c r="Y806" s="1182"/>
      <c r="Z806" s="1166"/>
      <c r="AA806" s="1166"/>
      <c r="AB806" s="1182"/>
      <c r="AC806" s="294"/>
      <c r="AD806" s="294"/>
      <c r="AE806" s="294"/>
      <c r="AF806" s="294"/>
      <c r="AG806" s="294"/>
      <c r="AH806" s="294"/>
      <c r="AI806" s="294"/>
      <c r="AJ806" s="294"/>
    </row>
    <row r="807" spans="2:36" x14ac:dyDescent="0.25">
      <c r="B807" s="294"/>
      <c r="C807" s="294"/>
      <c r="D807" s="294"/>
      <c r="E807" s="294"/>
      <c r="F807" s="294"/>
      <c r="G807" s="294"/>
      <c r="H807" s="294"/>
      <c r="I807" s="294"/>
      <c r="J807" s="294"/>
      <c r="L807" s="295"/>
      <c r="M807" s="294"/>
      <c r="R807" s="326"/>
      <c r="S807" s="326"/>
      <c r="T807" s="294"/>
      <c r="U807" s="294"/>
      <c r="V807" s="294"/>
      <c r="W807" s="294"/>
      <c r="X807" s="1182"/>
      <c r="Y807" s="1182"/>
      <c r="Z807" s="1166"/>
      <c r="AA807" s="1166"/>
      <c r="AB807" s="1182"/>
      <c r="AC807" s="294"/>
      <c r="AD807" s="294"/>
      <c r="AE807" s="294"/>
      <c r="AF807" s="294"/>
      <c r="AG807" s="294"/>
      <c r="AH807" s="294"/>
      <c r="AI807" s="294"/>
      <c r="AJ807" s="294"/>
    </row>
    <row r="808" spans="2:36" x14ac:dyDescent="0.25">
      <c r="B808" s="294"/>
      <c r="C808" s="294"/>
      <c r="D808" s="294"/>
      <c r="E808" s="294"/>
      <c r="F808" s="294"/>
      <c r="G808" s="294"/>
      <c r="H808" s="294"/>
      <c r="I808" s="294"/>
      <c r="J808" s="294"/>
      <c r="L808" s="295"/>
      <c r="M808" s="294"/>
      <c r="R808" s="326"/>
      <c r="S808" s="326"/>
      <c r="T808" s="294"/>
      <c r="U808" s="294"/>
      <c r="V808" s="294"/>
      <c r="W808" s="294"/>
      <c r="X808" s="1182"/>
      <c r="Y808" s="1182"/>
      <c r="Z808" s="1166"/>
      <c r="AA808" s="1166"/>
      <c r="AB808" s="1182"/>
      <c r="AC808" s="294"/>
      <c r="AD808" s="294"/>
      <c r="AE808" s="294"/>
      <c r="AF808" s="294"/>
      <c r="AG808" s="294"/>
      <c r="AH808" s="294"/>
      <c r="AI808" s="294"/>
      <c r="AJ808" s="294"/>
    </row>
    <row r="809" spans="2:36" x14ac:dyDescent="0.25">
      <c r="B809" s="294"/>
      <c r="C809" s="294"/>
      <c r="D809" s="294"/>
      <c r="E809" s="294"/>
      <c r="F809" s="294"/>
      <c r="G809" s="294"/>
      <c r="H809" s="294"/>
      <c r="I809" s="294"/>
      <c r="J809" s="294"/>
      <c r="L809" s="295"/>
      <c r="M809" s="294"/>
      <c r="R809" s="326"/>
      <c r="S809" s="326"/>
      <c r="T809" s="294"/>
      <c r="U809" s="294"/>
      <c r="V809" s="294"/>
      <c r="W809" s="294"/>
      <c r="X809" s="1182"/>
      <c r="Y809" s="1182"/>
      <c r="Z809" s="1166"/>
      <c r="AA809" s="1166"/>
      <c r="AB809" s="1182"/>
      <c r="AC809" s="294"/>
      <c r="AD809" s="294"/>
      <c r="AE809" s="294"/>
      <c r="AF809" s="294"/>
      <c r="AG809" s="294"/>
      <c r="AH809" s="294"/>
      <c r="AI809" s="294"/>
      <c r="AJ809" s="294"/>
    </row>
    <row r="810" spans="2:36" x14ac:dyDescent="0.25">
      <c r="B810" s="294"/>
      <c r="C810" s="294"/>
      <c r="D810" s="294"/>
      <c r="E810" s="294"/>
      <c r="F810" s="294"/>
      <c r="G810" s="294"/>
      <c r="H810" s="294"/>
      <c r="I810" s="294"/>
      <c r="J810" s="294"/>
      <c r="L810" s="295"/>
      <c r="M810" s="294"/>
      <c r="R810" s="326"/>
      <c r="S810" s="326"/>
      <c r="T810" s="294"/>
      <c r="U810" s="294"/>
      <c r="V810" s="294"/>
      <c r="W810" s="294"/>
      <c r="X810" s="1182"/>
      <c r="Y810" s="1182"/>
      <c r="Z810" s="1166"/>
      <c r="AA810" s="1166"/>
      <c r="AB810" s="1182"/>
      <c r="AC810" s="294"/>
      <c r="AD810" s="294"/>
      <c r="AE810" s="294"/>
      <c r="AF810" s="294"/>
      <c r="AG810" s="294"/>
      <c r="AH810" s="294"/>
      <c r="AI810" s="294"/>
      <c r="AJ810" s="294"/>
    </row>
    <row r="811" spans="2:36" x14ac:dyDescent="0.25">
      <c r="B811" s="294"/>
      <c r="C811" s="294"/>
      <c r="D811" s="294"/>
      <c r="E811" s="294"/>
      <c r="F811" s="294"/>
      <c r="G811" s="294"/>
      <c r="H811" s="294"/>
      <c r="I811" s="294"/>
      <c r="J811" s="294"/>
      <c r="L811" s="295"/>
      <c r="M811" s="294"/>
      <c r="R811" s="326"/>
      <c r="S811" s="326"/>
      <c r="T811" s="294"/>
      <c r="U811" s="294"/>
      <c r="V811" s="294"/>
      <c r="W811" s="294"/>
      <c r="X811" s="1182"/>
      <c r="Y811" s="1182"/>
      <c r="Z811" s="1166"/>
      <c r="AA811" s="1166"/>
      <c r="AB811" s="1182"/>
      <c r="AC811" s="294"/>
      <c r="AD811" s="294"/>
      <c r="AE811" s="294"/>
      <c r="AF811" s="294"/>
      <c r="AG811" s="294"/>
      <c r="AH811" s="294"/>
      <c r="AI811" s="294"/>
      <c r="AJ811" s="294"/>
    </row>
    <row r="812" spans="2:36" x14ac:dyDescent="0.25">
      <c r="B812" s="294"/>
      <c r="C812" s="294"/>
      <c r="D812" s="294"/>
      <c r="E812" s="294"/>
      <c r="F812" s="294"/>
      <c r="G812" s="294"/>
      <c r="H812" s="294"/>
      <c r="I812" s="294"/>
      <c r="J812" s="294"/>
      <c r="L812" s="295"/>
      <c r="M812" s="294"/>
      <c r="R812" s="326"/>
      <c r="S812" s="326"/>
      <c r="T812" s="294"/>
      <c r="U812" s="294"/>
      <c r="V812" s="294"/>
      <c r="W812" s="294"/>
      <c r="X812" s="1182"/>
      <c r="Y812" s="1182"/>
      <c r="Z812" s="1166"/>
      <c r="AA812" s="1166"/>
      <c r="AB812" s="1182"/>
      <c r="AC812" s="294"/>
      <c r="AD812" s="294"/>
      <c r="AE812" s="294"/>
      <c r="AF812" s="294"/>
      <c r="AG812" s="294"/>
      <c r="AH812" s="294"/>
      <c r="AI812" s="294"/>
      <c r="AJ812" s="294"/>
    </row>
    <row r="813" spans="2:36" x14ac:dyDescent="0.25">
      <c r="B813" s="294"/>
      <c r="C813" s="294"/>
      <c r="D813" s="294"/>
      <c r="E813" s="294"/>
      <c r="F813" s="294"/>
      <c r="G813" s="294"/>
      <c r="H813" s="294"/>
      <c r="I813" s="294"/>
      <c r="J813" s="294"/>
      <c r="L813" s="295"/>
      <c r="M813" s="294"/>
      <c r="R813" s="326"/>
      <c r="S813" s="326"/>
      <c r="T813" s="294"/>
      <c r="U813" s="294"/>
      <c r="V813" s="294"/>
      <c r="W813" s="294"/>
      <c r="X813" s="1182"/>
      <c r="Y813" s="1182"/>
      <c r="Z813" s="1166"/>
      <c r="AA813" s="1166"/>
      <c r="AB813" s="1182"/>
      <c r="AC813" s="294"/>
      <c r="AD813" s="294"/>
      <c r="AE813" s="294"/>
      <c r="AF813" s="294"/>
      <c r="AG813" s="294"/>
      <c r="AH813" s="294"/>
      <c r="AI813" s="294"/>
      <c r="AJ813" s="294"/>
    </row>
    <row r="814" spans="2:36" x14ac:dyDescent="0.25">
      <c r="B814" s="294"/>
      <c r="C814" s="294"/>
      <c r="D814" s="294"/>
      <c r="E814" s="294"/>
      <c r="F814" s="294"/>
      <c r="G814" s="294"/>
      <c r="H814" s="294"/>
      <c r="I814" s="294"/>
      <c r="J814" s="294"/>
      <c r="L814" s="295"/>
      <c r="M814" s="294"/>
      <c r="R814" s="326"/>
      <c r="S814" s="326"/>
      <c r="T814" s="294"/>
      <c r="U814" s="294"/>
      <c r="V814" s="294"/>
      <c r="W814" s="294"/>
      <c r="X814" s="1182"/>
      <c r="Y814" s="1182"/>
      <c r="Z814" s="1166"/>
      <c r="AA814" s="1166"/>
      <c r="AB814" s="1182"/>
      <c r="AC814" s="294"/>
      <c r="AD814" s="294"/>
      <c r="AE814" s="294"/>
      <c r="AF814" s="294"/>
      <c r="AG814" s="294"/>
      <c r="AH814" s="294"/>
      <c r="AI814" s="294"/>
      <c r="AJ814" s="294"/>
    </row>
    <row r="815" spans="2:36" x14ac:dyDescent="0.25">
      <c r="B815" s="294"/>
      <c r="C815" s="294"/>
      <c r="D815" s="294"/>
      <c r="E815" s="294"/>
      <c r="F815" s="294"/>
      <c r="G815" s="294"/>
      <c r="H815" s="294"/>
      <c r="I815" s="294"/>
      <c r="J815" s="294"/>
      <c r="L815" s="295"/>
      <c r="M815" s="294"/>
      <c r="R815" s="326"/>
      <c r="S815" s="326"/>
      <c r="T815" s="294"/>
      <c r="U815" s="294"/>
      <c r="V815" s="294"/>
      <c r="W815" s="294"/>
      <c r="X815" s="1182"/>
      <c r="Y815" s="1182"/>
      <c r="Z815" s="1166"/>
      <c r="AA815" s="1166"/>
      <c r="AB815" s="1182"/>
      <c r="AC815" s="294"/>
      <c r="AD815" s="294"/>
      <c r="AE815" s="294"/>
      <c r="AF815" s="294"/>
      <c r="AG815" s="294"/>
      <c r="AH815" s="294"/>
      <c r="AI815" s="294"/>
      <c r="AJ815" s="294"/>
    </row>
    <row r="816" spans="2:36" x14ac:dyDescent="0.25">
      <c r="B816" s="294"/>
      <c r="C816" s="294"/>
      <c r="D816" s="294"/>
      <c r="E816" s="294"/>
      <c r="F816" s="294"/>
      <c r="G816" s="294"/>
      <c r="H816" s="294"/>
      <c r="I816" s="294"/>
      <c r="J816" s="294"/>
      <c r="L816" s="295"/>
      <c r="M816" s="294"/>
      <c r="R816" s="326"/>
      <c r="S816" s="326"/>
      <c r="T816" s="294"/>
      <c r="U816" s="294"/>
      <c r="V816" s="294"/>
      <c r="W816" s="294"/>
      <c r="X816" s="1182"/>
      <c r="Y816" s="1182"/>
      <c r="Z816" s="1166"/>
      <c r="AA816" s="1166"/>
      <c r="AB816" s="1182"/>
      <c r="AC816" s="294"/>
      <c r="AD816" s="294"/>
      <c r="AE816" s="294"/>
      <c r="AF816" s="294"/>
      <c r="AG816" s="294"/>
      <c r="AH816" s="294"/>
      <c r="AI816" s="294"/>
      <c r="AJ816" s="294"/>
    </row>
    <row r="817" spans="2:36" x14ac:dyDescent="0.25">
      <c r="B817" s="294"/>
      <c r="C817" s="294"/>
      <c r="D817" s="294"/>
      <c r="E817" s="294"/>
      <c r="F817" s="294"/>
      <c r="G817" s="294"/>
      <c r="H817" s="294"/>
      <c r="I817" s="294"/>
      <c r="J817" s="294"/>
      <c r="L817" s="295"/>
      <c r="M817" s="294"/>
      <c r="R817" s="326"/>
      <c r="S817" s="326"/>
      <c r="T817" s="294"/>
      <c r="U817" s="294"/>
      <c r="V817" s="294"/>
      <c r="W817" s="294"/>
      <c r="X817" s="1182"/>
      <c r="Y817" s="1182"/>
      <c r="Z817" s="1166"/>
      <c r="AA817" s="1166"/>
      <c r="AB817" s="1182"/>
      <c r="AC817" s="294"/>
      <c r="AD817" s="294"/>
      <c r="AE817" s="294"/>
      <c r="AF817" s="294"/>
      <c r="AG817" s="294"/>
      <c r="AH817" s="294"/>
      <c r="AI817" s="294"/>
      <c r="AJ817" s="294"/>
    </row>
    <row r="818" spans="2:36" x14ac:dyDescent="0.25">
      <c r="B818" s="294"/>
      <c r="C818" s="294"/>
      <c r="D818" s="294"/>
      <c r="E818" s="294"/>
      <c r="F818" s="294"/>
      <c r="G818" s="294"/>
      <c r="H818" s="294"/>
      <c r="I818" s="294"/>
      <c r="J818" s="294"/>
      <c r="L818" s="295"/>
      <c r="M818" s="294"/>
      <c r="R818" s="326"/>
      <c r="S818" s="326"/>
      <c r="T818" s="294"/>
      <c r="U818" s="294"/>
      <c r="V818" s="294"/>
      <c r="W818" s="294"/>
      <c r="X818" s="1182"/>
      <c r="Y818" s="1182"/>
      <c r="Z818" s="1166"/>
      <c r="AA818" s="1166"/>
      <c r="AB818" s="1182"/>
      <c r="AC818" s="294"/>
      <c r="AD818" s="294"/>
      <c r="AE818" s="294"/>
      <c r="AF818" s="294"/>
      <c r="AG818" s="294"/>
      <c r="AH818" s="294"/>
      <c r="AI818" s="294"/>
      <c r="AJ818" s="294"/>
    </row>
    <row r="819" spans="2:36" x14ac:dyDescent="0.25">
      <c r="B819" s="294"/>
      <c r="C819" s="294"/>
      <c r="D819" s="294"/>
      <c r="E819" s="294"/>
      <c r="F819" s="294"/>
      <c r="G819" s="294"/>
      <c r="H819" s="294"/>
      <c r="I819" s="294"/>
      <c r="J819" s="294"/>
      <c r="L819" s="295"/>
      <c r="M819" s="294"/>
      <c r="R819" s="326"/>
      <c r="S819" s="326"/>
      <c r="T819" s="294"/>
      <c r="U819" s="294"/>
      <c r="V819" s="294"/>
      <c r="W819" s="294"/>
      <c r="X819" s="1182"/>
      <c r="Y819" s="1182"/>
      <c r="Z819" s="1166"/>
      <c r="AA819" s="1166"/>
      <c r="AB819" s="1182"/>
      <c r="AC819" s="294"/>
      <c r="AD819" s="294"/>
      <c r="AE819" s="294"/>
      <c r="AF819" s="294"/>
      <c r="AG819" s="294"/>
      <c r="AH819" s="294"/>
      <c r="AI819" s="294"/>
      <c r="AJ819" s="294"/>
    </row>
    <row r="820" spans="2:36" x14ac:dyDescent="0.25">
      <c r="B820" s="294"/>
      <c r="C820" s="294"/>
      <c r="D820" s="294"/>
      <c r="E820" s="294"/>
      <c r="F820" s="294"/>
      <c r="G820" s="294"/>
      <c r="H820" s="294"/>
      <c r="I820" s="294"/>
      <c r="J820" s="294"/>
      <c r="L820" s="295"/>
      <c r="M820" s="294"/>
      <c r="R820" s="326"/>
      <c r="S820" s="326"/>
      <c r="T820" s="294"/>
      <c r="U820" s="294"/>
      <c r="V820" s="294"/>
      <c r="W820" s="294"/>
      <c r="X820" s="1182"/>
      <c r="Y820" s="1182"/>
      <c r="Z820" s="1166"/>
      <c r="AA820" s="1166"/>
      <c r="AB820" s="1182"/>
      <c r="AC820" s="294"/>
      <c r="AD820" s="294"/>
      <c r="AE820" s="294"/>
      <c r="AF820" s="294"/>
      <c r="AG820" s="294"/>
      <c r="AH820" s="294"/>
      <c r="AI820" s="294"/>
      <c r="AJ820" s="294"/>
    </row>
    <row r="821" spans="2:36" x14ac:dyDescent="0.25">
      <c r="B821" s="294"/>
      <c r="C821" s="294"/>
      <c r="D821" s="294"/>
      <c r="E821" s="294"/>
      <c r="F821" s="294"/>
      <c r="G821" s="294"/>
      <c r="H821" s="294"/>
      <c r="I821" s="294"/>
      <c r="J821" s="294"/>
      <c r="L821" s="295"/>
      <c r="M821" s="294"/>
      <c r="R821" s="326"/>
      <c r="S821" s="326"/>
      <c r="T821" s="294"/>
      <c r="U821" s="294"/>
      <c r="V821" s="294"/>
      <c r="W821" s="294"/>
      <c r="X821" s="1182"/>
      <c r="Y821" s="1182"/>
      <c r="Z821" s="1166"/>
      <c r="AA821" s="1166"/>
      <c r="AB821" s="1182"/>
      <c r="AC821" s="294"/>
      <c r="AD821" s="294"/>
      <c r="AE821" s="294"/>
      <c r="AF821" s="294"/>
      <c r="AG821" s="294"/>
      <c r="AH821" s="294"/>
      <c r="AI821" s="294"/>
      <c r="AJ821" s="294"/>
    </row>
    <row r="822" spans="2:36" x14ac:dyDescent="0.25">
      <c r="B822" s="294"/>
      <c r="C822" s="294"/>
      <c r="D822" s="294"/>
      <c r="E822" s="294"/>
      <c r="F822" s="294"/>
      <c r="G822" s="294"/>
      <c r="H822" s="294"/>
      <c r="I822" s="294"/>
      <c r="J822" s="294"/>
      <c r="L822" s="295"/>
      <c r="M822" s="294"/>
      <c r="R822" s="326"/>
      <c r="S822" s="326"/>
      <c r="T822" s="294"/>
      <c r="U822" s="294"/>
      <c r="V822" s="294"/>
      <c r="W822" s="294"/>
      <c r="X822" s="1182"/>
      <c r="Y822" s="1182"/>
      <c r="Z822" s="1166"/>
      <c r="AA822" s="1166"/>
      <c r="AB822" s="1182"/>
      <c r="AC822" s="294"/>
      <c r="AD822" s="294"/>
      <c r="AE822" s="294"/>
      <c r="AF822" s="294"/>
      <c r="AG822" s="294"/>
      <c r="AH822" s="294"/>
      <c r="AI822" s="294"/>
      <c r="AJ822" s="294"/>
    </row>
    <row r="823" spans="2:36" x14ac:dyDescent="0.25">
      <c r="B823" s="294"/>
      <c r="C823" s="294"/>
      <c r="D823" s="294"/>
      <c r="E823" s="294"/>
      <c r="F823" s="294"/>
      <c r="G823" s="294"/>
      <c r="H823" s="294"/>
      <c r="I823" s="294"/>
      <c r="J823" s="294"/>
      <c r="L823" s="295"/>
      <c r="M823" s="294"/>
      <c r="R823" s="326"/>
      <c r="S823" s="326"/>
      <c r="T823" s="294"/>
      <c r="U823" s="294"/>
      <c r="V823" s="294"/>
      <c r="W823" s="294"/>
      <c r="X823" s="1182"/>
      <c r="Y823" s="1182"/>
      <c r="Z823" s="1166"/>
      <c r="AA823" s="1166"/>
      <c r="AB823" s="1182"/>
      <c r="AC823" s="294"/>
      <c r="AD823" s="294"/>
      <c r="AE823" s="294"/>
      <c r="AF823" s="294"/>
      <c r="AG823" s="294"/>
      <c r="AH823" s="294"/>
      <c r="AI823" s="294"/>
      <c r="AJ823" s="294"/>
    </row>
    <row r="824" spans="2:36" x14ac:dyDescent="0.25">
      <c r="B824" s="294"/>
      <c r="C824" s="294"/>
      <c r="D824" s="294"/>
      <c r="E824" s="294"/>
      <c r="F824" s="294"/>
      <c r="G824" s="294"/>
      <c r="H824" s="294"/>
      <c r="I824" s="294"/>
      <c r="J824" s="294"/>
      <c r="L824" s="295"/>
      <c r="M824" s="294"/>
      <c r="R824" s="326"/>
      <c r="S824" s="326"/>
      <c r="T824" s="294"/>
      <c r="U824" s="294"/>
      <c r="V824" s="294"/>
      <c r="W824" s="294"/>
      <c r="X824" s="1182"/>
      <c r="Y824" s="1182"/>
      <c r="Z824" s="1166"/>
      <c r="AA824" s="1166"/>
      <c r="AB824" s="1182"/>
      <c r="AC824" s="294"/>
      <c r="AD824" s="294"/>
      <c r="AE824" s="294"/>
      <c r="AF824" s="294"/>
      <c r="AG824" s="294"/>
      <c r="AH824" s="294"/>
      <c r="AI824" s="294"/>
      <c r="AJ824" s="294"/>
    </row>
    <row r="825" spans="2:36" x14ac:dyDescent="0.25">
      <c r="B825" s="294"/>
      <c r="C825" s="294"/>
      <c r="D825" s="294"/>
      <c r="E825" s="294"/>
      <c r="F825" s="294"/>
      <c r="G825" s="294"/>
      <c r="H825" s="294"/>
      <c r="I825" s="294"/>
      <c r="J825" s="294"/>
      <c r="L825" s="295"/>
      <c r="M825" s="294"/>
      <c r="R825" s="326"/>
      <c r="S825" s="326"/>
      <c r="T825" s="294"/>
      <c r="U825" s="294"/>
      <c r="V825" s="294"/>
      <c r="W825" s="294"/>
      <c r="X825" s="1182"/>
      <c r="Y825" s="1182"/>
      <c r="Z825" s="1166"/>
      <c r="AA825" s="1166"/>
      <c r="AB825" s="1182"/>
      <c r="AC825" s="294"/>
      <c r="AD825" s="294"/>
      <c r="AE825" s="294"/>
      <c r="AF825" s="294"/>
      <c r="AG825" s="294"/>
      <c r="AH825" s="294"/>
      <c r="AI825" s="294"/>
      <c r="AJ825" s="294"/>
    </row>
    <row r="826" spans="2:36" x14ac:dyDescent="0.25">
      <c r="B826" s="294"/>
      <c r="C826" s="294"/>
      <c r="D826" s="294"/>
      <c r="E826" s="294"/>
      <c r="F826" s="294"/>
      <c r="G826" s="294"/>
      <c r="H826" s="294"/>
      <c r="I826" s="294"/>
      <c r="J826" s="294"/>
      <c r="L826" s="295"/>
      <c r="M826" s="294"/>
      <c r="R826" s="326"/>
      <c r="S826" s="326"/>
      <c r="T826" s="294"/>
      <c r="U826" s="294"/>
      <c r="V826" s="294"/>
      <c r="W826" s="294"/>
      <c r="X826" s="1182"/>
      <c r="Y826" s="1182"/>
      <c r="Z826" s="1166"/>
      <c r="AA826" s="1166"/>
      <c r="AB826" s="1182"/>
      <c r="AC826" s="294"/>
      <c r="AD826" s="294"/>
      <c r="AE826" s="294"/>
      <c r="AF826" s="294"/>
      <c r="AG826" s="294"/>
      <c r="AH826" s="294"/>
      <c r="AI826" s="294"/>
      <c r="AJ826" s="294"/>
    </row>
    <row r="827" spans="2:36" x14ac:dyDescent="0.25">
      <c r="B827" s="294"/>
      <c r="C827" s="294"/>
      <c r="D827" s="294"/>
      <c r="E827" s="294"/>
      <c r="F827" s="294"/>
      <c r="G827" s="294"/>
      <c r="H827" s="294"/>
      <c r="I827" s="294"/>
      <c r="J827" s="294"/>
      <c r="L827" s="295"/>
      <c r="M827" s="294"/>
      <c r="R827" s="326"/>
      <c r="S827" s="326"/>
      <c r="T827" s="294"/>
      <c r="U827" s="294"/>
      <c r="V827" s="294"/>
      <c r="W827" s="294"/>
      <c r="X827" s="1182"/>
      <c r="Y827" s="1182"/>
      <c r="Z827" s="1166"/>
      <c r="AA827" s="1166"/>
      <c r="AB827" s="1182"/>
      <c r="AC827" s="294"/>
      <c r="AD827" s="294"/>
      <c r="AE827" s="294"/>
      <c r="AF827" s="294"/>
      <c r="AG827" s="294"/>
      <c r="AH827" s="294"/>
      <c r="AI827" s="294"/>
      <c r="AJ827" s="294"/>
    </row>
    <row r="828" spans="2:36" x14ac:dyDescent="0.25">
      <c r="B828" s="294"/>
      <c r="C828" s="294"/>
      <c r="D828" s="294"/>
      <c r="E828" s="294"/>
      <c r="F828" s="294"/>
      <c r="G828" s="294"/>
      <c r="H828" s="294"/>
      <c r="I828" s="294"/>
      <c r="J828" s="294"/>
      <c r="L828" s="295"/>
      <c r="M828" s="294"/>
      <c r="R828" s="326"/>
      <c r="S828" s="326"/>
      <c r="T828" s="294"/>
      <c r="U828" s="294"/>
      <c r="V828" s="294"/>
      <c r="W828" s="294"/>
      <c r="X828" s="1182"/>
      <c r="Y828" s="1182"/>
      <c r="Z828" s="1166"/>
      <c r="AA828" s="1166"/>
      <c r="AB828" s="1182"/>
      <c r="AC828" s="294"/>
      <c r="AD828" s="294"/>
      <c r="AE828" s="294"/>
      <c r="AF828" s="294"/>
      <c r="AG828" s="294"/>
      <c r="AH828" s="294"/>
      <c r="AI828" s="294"/>
      <c r="AJ828" s="294"/>
    </row>
    <row r="829" spans="2:36" x14ac:dyDescent="0.25">
      <c r="B829" s="294"/>
      <c r="C829" s="294"/>
      <c r="D829" s="294"/>
      <c r="E829" s="294"/>
      <c r="F829" s="294"/>
      <c r="G829" s="294"/>
      <c r="H829" s="294"/>
      <c r="I829" s="294"/>
      <c r="J829" s="294"/>
      <c r="L829" s="295"/>
      <c r="M829" s="294"/>
      <c r="R829" s="326"/>
      <c r="S829" s="326"/>
      <c r="T829" s="294"/>
      <c r="U829" s="294"/>
      <c r="V829" s="294"/>
      <c r="W829" s="294"/>
      <c r="X829" s="1182"/>
      <c r="Y829" s="1182"/>
      <c r="Z829" s="1166"/>
      <c r="AA829" s="1166"/>
      <c r="AB829" s="1182"/>
      <c r="AC829" s="294"/>
      <c r="AD829" s="294"/>
      <c r="AE829" s="294"/>
      <c r="AF829" s="294"/>
      <c r="AG829" s="294"/>
      <c r="AH829" s="294"/>
      <c r="AI829" s="294"/>
      <c r="AJ829" s="294"/>
    </row>
    <row r="830" spans="2:36" x14ac:dyDescent="0.25">
      <c r="B830" s="294"/>
      <c r="C830" s="294"/>
      <c r="D830" s="294"/>
      <c r="E830" s="294"/>
      <c r="F830" s="294"/>
      <c r="G830" s="294"/>
      <c r="H830" s="294"/>
      <c r="I830" s="294"/>
      <c r="J830" s="294"/>
      <c r="L830" s="295"/>
      <c r="M830" s="294"/>
      <c r="R830" s="326"/>
      <c r="S830" s="326"/>
      <c r="T830" s="294"/>
      <c r="U830" s="294"/>
      <c r="V830" s="294"/>
      <c r="W830" s="294"/>
      <c r="X830" s="1182"/>
      <c r="Y830" s="1182"/>
      <c r="Z830" s="1166"/>
      <c r="AA830" s="1166"/>
      <c r="AB830" s="1182"/>
      <c r="AC830" s="294"/>
      <c r="AD830" s="294"/>
      <c r="AE830" s="294"/>
      <c r="AF830" s="294"/>
      <c r="AG830" s="294"/>
      <c r="AH830" s="294"/>
      <c r="AI830" s="294"/>
      <c r="AJ830" s="294"/>
    </row>
    <row r="831" spans="2:36" x14ac:dyDescent="0.25">
      <c r="B831" s="294"/>
      <c r="C831" s="294"/>
      <c r="D831" s="294"/>
      <c r="E831" s="294"/>
      <c r="F831" s="294"/>
      <c r="G831" s="294"/>
      <c r="H831" s="294"/>
      <c r="I831" s="294"/>
      <c r="J831" s="294"/>
      <c r="L831" s="295"/>
      <c r="M831" s="294"/>
      <c r="R831" s="326"/>
      <c r="S831" s="326"/>
      <c r="T831" s="294"/>
      <c r="U831" s="294"/>
      <c r="V831" s="294"/>
      <c r="W831" s="294"/>
      <c r="X831" s="1182"/>
      <c r="Y831" s="1182"/>
      <c r="Z831" s="1166"/>
      <c r="AA831" s="1166"/>
      <c r="AB831" s="1182"/>
      <c r="AC831" s="294"/>
      <c r="AD831" s="294"/>
      <c r="AE831" s="294"/>
      <c r="AF831" s="294"/>
      <c r="AG831" s="294"/>
      <c r="AH831" s="294"/>
      <c r="AI831" s="294"/>
      <c r="AJ831" s="294"/>
    </row>
    <row r="832" spans="2:36" x14ac:dyDescent="0.25">
      <c r="B832" s="294"/>
      <c r="C832" s="294"/>
      <c r="D832" s="294"/>
      <c r="E832" s="294"/>
      <c r="F832" s="294"/>
      <c r="G832" s="294"/>
      <c r="H832" s="294"/>
      <c r="I832" s="294"/>
      <c r="J832" s="294"/>
      <c r="L832" s="295"/>
      <c r="M832" s="294"/>
      <c r="R832" s="326"/>
      <c r="S832" s="326"/>
      <c r="T832" s="294"/>
      <c r="U832" s="294"/>
      <c r="V832" s="294"/>
      <c r="W832" s="294"/>
      <c r="X832" s="1182"/>
      <c r="Y832" s="1182"/>
      <c r="Z832" s="1166"/>
      <c r="AA832" s="1166"/>
      <c r="AB832" s="1182"/>
      <c r="AC832" s="294"/>
      <c r="AD832" s="294"/>
      <c r="AE832" s="294"/>
      <c r="AF832" s="294"/>
      <c r="AG832" s="294"/>
      <c r="AH832" s="294"/>
      <c r="AI832" s="294"/>
      <c r="AJ832" s="294"/>
    </row>
    <row r="833" spans="2:36" x14ac:dyDescent="0.25">
      <c r="B833" s="294"/>
      <c r="C833" s="294"/>
      <c r="D833" s="294"/>
      <c r="E833" s="294"/>
      <c r="F833" s="294"/>
      <c r="G833" s="294"/>
      <c r="H833" s="294"/>
      <c r="I833" s="294"/>
      <c r="J833" s="294"/>
      <c r="L833" s="295"/>
      <c r="M833" s="294"/>
      <c r="R833" s="326"/>
      <c r="S833" s="326"/>
      <c r="T833" s="294"/>
      <c r="U833" s="294"/>
      <c r="V833" s="294"/>
      <c r="W833" s="294"/>
      <c r="X833" s="1182"/>
      <c r="Y833" s="1182"/>
      <c r="Z833" s="1166"/>
      <c r="AA833" s="1166"/>
      <c r="AB833" s="1182"/>
      <c r="AC833" s="294"/>
      <c r="AD833" s="294"/>
      <c r="AE833" s="294"/>
      <c r="AF833" s="294"/>
      <c r="AG833" s="294"/>
      <c r="AH833" s="294"/>
      <c r="AI833" s="294"/>
      <c r="AJ833" s="294"/>
    </row>
    <row r="834" spans="2:36" x14ac:dyDescent="0.25">
      <c r="B834" s="294"/>
      <c r="C834" s="294"/>
      <c r="D834" s="294"/>
      <c r="E834" s="294"/>
      <c r="F834" s="294"/>
      <c r="G834" s="294"/>
      <c r="H834" s="294"/>
      <c r="I834" s="294"/>
      <c r="J834" s="294"/>
      <c r="L834" s="295"/>
      <c r="M834" s="294"/>
      <c r="R834" s="326"/>
      <c r="S834" s="326"/>
      <c r="T834" s="294"/>
      <c r="U834" s="294"/>
      <c r="V834" s="294"/>
      <c r="W834" s="294"/>
      <c r="X834" s="1182"/>
      <c r="Y834" s="1182"/>
      <c r="Z834" s="1166"/>
      <c r="AA834" s="1166"/>
      <c r="AB834" s="1182"/>
      <c r="AC834" s="294"/>
      <c r="AD834" s="294"/>
      <c r="AE834" s="294"/>
      <c r="AF834" s="294"/>
      <c r="AG834" s="294"/>
      <c r="AH834" s="294"/>
      <c r="AI834" s="294"/>
      <c r="AJ834" s="294"/>
    </row>
    <row r="835" spans="2:36" x14ac:dyDescent="0.25">
      <c r="B835" s="294"/>
      <c r="C835" s="294"/>
      <c r="D835" s="294"/>
      <c r="E835" s="294"/>
      <c r="F835" s="294"/>
      <c r="G835" s="294"/>
      <c r="H835" s="294"/>
      <c r="I835" s="294"/>
      <c r="J835" s="294"/>
      <c r="L835" s="295"/>
      <c r="M835" s="294"/>
      <c r="R835" s="326"/>
      <c r="S835" s="326"/>
      <c r="T835" s="294"/>
      <c r="U835" s="294"/>
      <c r="V835" s="294"/>
      <c r="W835" s="294"/>
      <c r="X835" s="1182"/>
      <c r="Y835" s="1182"/>
      <c r="Z835" s="1166"/>
      <c r="AA835" s="1166"/>
      <c r="AB835" s="1182"/>
      <c r="AC835" s="294"/>
      <c r="AD835" s="294"/>
      <c r="AE835" s="294"/>
      <c r="AF835" s="294"/>
      <c r="AG835" s="294"/>
      <c r="AH835" s="294"/>
      <c r="AI835" s="294"/>
      <c r="AJ835" s="294"/>
    </row>
    <row r="836" spans="2:36" x14ac:dyDescent="0.25">
      <c r="B836" s="294"/>
      <c r="C836" s="294"/>
      <c r="D836" s="294"/>
      <c r="E836" s="294"/>
      <c r="F836" s="294"/>
      <c r="G836" s="294"/>
      <c r="H836" s="294"/>
      <c r="I836" s="294"/>
      <c r="J836" s="294"/>
      <c r="L836" s="295"/>
      <c r="M836" s="294"/>
      <c r="R836" s="326"/>
      <c r="S836" s="326"/>
      <c r="T836" s="294"/>
      <c r="U836" s="294"/>
      <c r="V836" s="294"/>
      <c r="W836" s="294"/>
      <c r="X836" s="1182"/>
      <c r="Y836" s="1182"/>
      <c r="Z836" s="1166"/>
      <c r="AA836" s="1166"/>
      <c r="AB836" s="1182"/>
      <c r="AC836" s="294"/>
      <c r="AD836" s="294"/>
      <c r="AE836" s="294"/>
      <c r="AF836" s="294"/>
      <c r="AG836" s="294"/>
      <c r="AH836" s="294"/>
      <c r="AI836" s="294"/>
      <c r="AJ836" s="294"/>
    </row>
    <row r="837" spans="2:36" x14ac:dyDescent="0.25">
      <c r="B837" s="294"/>
      <c r="C837" s="294"/>
      <c r="D837" s="294"/>
      <c r="E837" s="294"/>
      <c r="F837" s="294"/>
      <c r="G837" s="294"/>
      <c r="H837" s="294"/>
      <c r="I837" s="294"/>
      <c r="J837" s="294"/>
      <c r="L837" s="295"/>
      <c r="M837" s="294"/>
      <c r="R837" s="326"/>
      <c r="S837" s="326"/>
      <c r="T837" s="294"/>
      <c r="U837" s="294"/>
      <c r="V837" s="294"/>
      <c r="W837" s="294"/>
      <c r="X837" s="1182"/>
      <c r="Y837" s="1182"/>
      <c r="Z837" s="1166"/>
      <c r="AA837" s="1166"/>
      <c r="AB837" s="1182"/>
      <c r="AC837" s="294"/>
      <c r="AD837" s="294"/>
      <c r="AE837" s="294"/>
      <c r="AF837" s="294"/>
      <c r="AG837" s="294"/>
      <c r="AH837" s="294"/>
      <c r="AI837" s="294"/>
      <c r="AJ837" s="294"/>
    </row>
    <row r="838" spans="2:36" x14ac:dyDescent="0.25">
      <c r="B838" s="294"/>
      <c r="C838" s="294"/>
      <c r="D838" s="294"/>
      <c r="E838" s="294"/>
      <c r="F838" s="294"/>
      <c r="G838" s="294"/>
      <c r="H838" s="294"/>
      <c r="I838" s="294"/>
      <c r="J838" s="294"/>
      <c r="L838" s="295"/>
      <c r="M838" s="294"/>
      <c r="R838" s="326"/>
      <c r="S838" s="326"/>
      <c r="T838" s="294"/>
      <c r="U838" s="294"/>
      <c r="V838" s="294"/>
      <c r="W838" s="294"/>
      <c r="X838" s="1182"/>
      <c r="Y838" s="1182"/>
      <c r="Z838" s="1166"/>
      <c r="AA838" s="1166"/>
      <c r="AB838" s="1182"/>
      <c r="AC838" s="294"/>
      <c r="AD838" s="294"/>
      <c r="AE838" s="294"/>
      <c r="AF838" s="294"/>
      <c r="AG838" s="294"/>
      <c r="AH838" s="294"/>
      <c r="AI838" s="294"/>
      <c r="AJ838" s="294"/>
    </row>
    <row r="839" spans="2:36" x14ac:dyDescent="0.25">
      <c r="B839" s="294"/>
      <c r="C839" s="294"/>
      <c r="D839" s="294"/>
      <c r="E839" s="294"/>
      <c r="F839" s="294"/>
      <c r="G839" s="294"/>
      <c r="H839" s="294"/>
      <c r="I839" s="294"/>
      <c r="J839" s="294"/>
      <c r="L839" s="295"/>
      <c r="M839" s="294"/>
      <c r="R839" s="326"/>
      <c r="S839" s="326"/>
      <c r="T839" s="294"/>
      <c r="U839" s="294"/>
      <c r="V839" s="294"/>
      <c r="W839" s="294"/>
      <c r="X839" s="1182"/>
      <c r="Y839" s="1182"/>
      <c r="Z839" s="1166"/>
      <c r="AA839" s="1166"/>
      <c r="AB839" s="1182"/>
      <c r="AC839" s="294"/>
      <c r="AD839" s="294"/>
      <c r="AE839" s="294"/>
      <c r="AF839" s="294"/>
      <c r="AG839" s="294"/>
      <c r="AH839" s="294"/>
      <c r="AI839" s="294"/>
      <c r="AJ839" s="294"/>
    </row>
    <row r="840" spans="2:36" x14ac:dyDescent="0.25">
      <c r="B840" s="294"/>
      <c r="C840" s="294"/>
      <c r="D840" s="294"/>
      <c r="E840" s="294"/>
      <c r="F840" s="294"/>
      <c r="G840" s="294"/>
      <c r="H840" s="294"/>
      <c r="I840" s="294"/>
      <c r="J840" s="294"/>
      <c r="L840" s="295"/>
      <c r="M840" s="294"/>
      <c r="R840" s="326"/>
      <c r="S840" s="326"/>
      <c r="T840" s="294"/>
      <c r="U840" s="294"/>
      <c r="V840" s="294"/>
      <c r="W840" s="294"/>
      <c r="X840" s="1182"/>
      <c r="Y840" s="1182"/>
      <c r="Z840" s="1166"/>
      <c r="AA840" s="1166"/>
      <c r="AB840" s="1182"/>
      <c r="AC840" s="294"/>
      <c r="AD840" s="294"/>
      <c r="AE840" s="294"/>
      <c r="AF840" s="294"/>
      <c r="AG840" s="294"/>
      <c r="AH840" s="294"/>
      <c r="AI840" s="294"/>
      <c r="AJ840" s="294"/>
    </row>
    <row r="841" spans="2:36" x14ac:dyDescent="0.25">
      <c r="B841" s="294"/>
      <c r="C841" s="294"/>
      <c r="D841" s="294"/>
      <c r="E841" s="294"/>
      <c r="F841" s="294"/>
      <c r="G841" s="294"/>
      <c r="H841" s="294"/>
      <c r="I841" s="294"/>
      <c r="J841" s="294"/>
      <c r="L841" s="295"/>
      <c r="M841" s="294"/>
      <c r="R841" s="326"/>
      <c r="S841" s="326"/>
      <c r="T841" s="294"/>
      <c r="U841" s="294"/>
      <c r="V841" s="294"/>
      <c r="W841" s="294"/>
      <c r="X841" s="1182"/>
      <c r="Y841" s="1182"/>
      <c r="Z841" s="1166"/>
      <c r="AA841" s="1166"/>
      <c r="AB841" s="1182"/>
      <c r="AC841" s="294"/>
      <c r="AD841" s="294"/>
      <c r="AE841" s="294"/>
      <c r="AF841" s="294"/>
      <c r="AG841" s="294"/>
      <c r="AH841" s="294"/>
      <c r="AI841" s="294"/>
      <c r="AJ841" s="294"/>
    </row>
    <row r="842" spans="2:36" x14ac:dyDescent="0.25">
      <c r="B842" s="294"/>
      <c r="C842" s="294"/>
      <c r="D842" s="294"/>
      <c r="E842" s="294"/>
      <c r="F842" s="294"/>
      <c r="G842" s="294"/>
      <c r="H842" s="294"/>
      <c r="I842" s="294"/>
      <c r="J842" s="294"/>
      <c r="L842" s="295"/>
      <c r="M842" s="294"/>
      <c r="R842" s="326"/>
      <c r="S842" s="326"/>
      <c r="T842" s="294"/>
      <c r="U842" s="294"/>
      <c r="V842" s="294"/>
      <c r="W842" s="294"/>
      <c r="X842" s="1182"/>
      <c r="Y842" s="1182"/>
      <c r="Z842" s="1166"/>
      <c r="AA842" s="1166"/>
      <c r="AB842" s="1182"/>
      <c r="AC842" s="294"/>
      <c r="AD842" s="294"/>
      <c r="AE842" s="294"/>
      <c r="AF842" s="294"/>
      <c r="AG842" s="294"/>
      <c r="AH842" s="294"/>
      <c r="AI842" s="294"/>
      <c r="AJ842" s="294"/>
    </row>
    <row r="843" spans="2:36" x14ac:dyDescent="0.25">
      <c r="B843" s="294"/>
      <c r="C843" s="294"/>
      <c r="D843" s="294"/>
      <c r="E843" s="294"/>
      <c r="F843" s="294"/>
      <c r="G843" s="294"/>
      <c r="H843" s="294"/>
      <c r="I843" s="294"/>
      <c r="J843" s="294"/>
      <c r="L843" s="295"/>
      <c r="M843" s="294"/>
      <c r="R843" s="326"/>
      <c r="S843" s="326"/>
      <c r="T843" s="294"/>
      <c r="U843" s="294"/>
      <c r="V843" s="294"/>
      <c r="W843" s="294"/>
      <c r="X843" s="1182"/>
      <c r="Y843" s="1182"/>
      <c r="Z843" s="1166"/>
      <c r="AA843" s="1166"/>
      <c r="AB843" s="1182"/>
      <c r="AC843" s="294"/>
      <c r="AD843" s="294"/>
      <c r="AE843" s="294"/>
      <c r="AF843" s="294"/>
      <c r="AG843" s="294"/>
      <c r="AH843" s="294"/>
      <c r="AI843" s="294"/>
      <c r="AJ843" s="294"/>
    </row>
    <row r="844" spans="2:36" x14ac:dyDescent="0.25">
      <c r="B844" s="294"/>
      <c r="C844" s="294"/>
      <c r="D844" s="294"/>
      <c r="E844" s="294"/>
      <c r="F844" s="294"/>
      <c r="G844" s="294"/>
      <c r="H844" s="294"/>
      <c r="I844" s="294"/>
      <c r="J844" s="294"/>
      <c r="L844" s="295"/>
      <c r="M844" s="294"/>
      <c r="R844" s="326"/>
      <c r="S844" s="326"/>
      <c r="T844" s="294"/>
      <c r="U844" s="294"/>
      <c r="V844" s="294"/>
      <c r="W844" s="294"/>
      <c r="X844" s="1182"/>
      <c r="Y844" s="1182"/>
      <c r="Z844" s="1166"/>
      <c r="AA844" s="1166"/>
      <c r="AB844" s="1182"/>
      <c r="AC844" s="294"/>
      <c r="AD844" s="294"/>
      <c r="AE844" s="294"/>
      <c r="AF844" s="294"/>
      <c r="AG844" s="294"/>
      <c r="AH844" s="294"/>
      <c r="AI844" s="294"/>
      <c r="AJ844" s="294"/>
    </row>
    <row r="845" spans="2:36" x14ac:dyDescent="0.25">
      <c r="B845" s="294"/>
      <c r="C845" s="294"/>
      <c r="D845" s="294"/>
      <c r="E845" s="294"/>
      <c r="F845" s="294"/>
      <c r="G845" s="294"/>
      <c r="H845" s="294"/>
      <c r="I845" s="294"/>
      <c r="J845" s="294"/>
      <c r="L845" s="295"/>
      <c r="M845" s="294"/>
      <c r="R845" s="326"/>
      <c r="S845" s="326"/>
      <c r="T845" s="294"/>
      <c r="U845" s="294"/>
      <c r="V845" s="294"/>
      <c r="W845" s="294"/>
      <c r="X845" s="1182"/>
      <c r="Y845" s="1182"/>
      <c r="Z845" s="1166"/>
      <c r="AA845" s="1166"/>
      <c r="AB845" s="1182"/>
      <c r="AC845" s="294"/>
      <c r="AD845" s="294"/>
      <c r="AE845" s="294"/>
      <c r="AF845" s="294"/>
      <c r="AG845" s="294"/>
      <c r="AH845" s="294"/>
      <c r="AI845" s="294"/>
      <c r="AJ845" s="294"/>
    </row>
    <row r="846" spans="2:36" x14ac:dyDescent="0.25">
      <c r="B846" s="294"/>
      <c r="C846" s="294"/>
      <c r="D846" s="294"/>
      <c r="E846" s="294"/>
      <c r="F846" s="294"/>
      <c r="G846" s="294"/>
      <c r="H846" s="294"/>
      <c r="I846" s="294"/>
      <c r="J846" s="294"/>
      <c r="L846" s="295"/>
      <c r="M846" s="294"/>
      <c r="R846" s="326"/>
      <c r="S846" s="326"/>
      <c r="T846" s="294"/>
      <c r="U846" s="294"/>
      <c r="V846" s="294"/>
      <c r="W846" s="294"/>
      <c r="X846" s="1182"/>
      <c r="Y846" s="1182"/>
      <c r="Z846" s="1166"/>
      <c r="AA846" s="1166"/>
      <c r="AB846" s="1182"/>
      <c r="AC846" s="294"/>
      <c r="AD846" s="294"/>
      <c r="AE846" s="294"/>
      <c r="AF846" s="294"/>
      <c r="AG846" s="294"/>
      <c r="AH846" s="294"/>
      <c r="AI846" s="294"/>
      <c r="AJ846" s="294"/>
    </row>
    <row r="847" spans="2:36" x14ac:dyDescent="0.25">
      <c r="B847" s="294"/>
      <c r="C847" s="294"/>
      <c r="D847" s="294"/>
      <c r="E847" s="294"/>
      <c r="F847" s="294"/>
      <c r="G847" s="294"/>
      <c r="H847" s="294"/>
      <c r="I847" s="294"/>
      <c r="J847" s="294"/>
      <c r="L847" s="295"/>
      <c r="M847" s="294"/>
      <c r="R847" s="326"/>
      <c r="S847" s="326"/>
      <c r="T847" s="294"/>
      <c r="U847" s="294"/>
      <c r="V847" s="294"/>
      <c r="W847" s="294"/>
      <c r="X847" s="1182"/>
      <c r="Y847" s="1182"/>
      <c r="Z847" s="1166"/>
      <c r="AA847" s="1166"/>
      <c r="AB847" s="1182"/>
      <c r="AC847" s="294"/>
      <c r="AD847" s="294"/>
      <c r="AE847" s="294"/>
      <c r="AF847" s="294"/>
      <c r="AG847" s="294"/>
      <c r="AH847" s="294"/>
      <c r="AI847" s="294"/>
      <c r="AJ847" s="294"/>
    </row>
    <row r="848" spans="2:36" x14ac:dyDescent="0.25">
      <c r="B848" s="294"/>
      <c r="C848" s="294"/>
      <c r="D848" s="294"/>
      <c r="E848" s="294"/>
      <c r="F848" s="294"/>
      <c r="G848" s="294"/>
      <c r="H848" s="294"/>
      <c r="I848" s="294"/>
      <c r="J848" s="294"/>
      <c r="L848" s="295"/>
      <c r="M848" s="294"/>
      <c r="R848" s="326"/>
      <c r="S848" s="326"/>
      <c r="T848" s="294"/>
      <c r="U848" s="294"/>
      <c r="V848" s="294"/>
      <c r="W848" s="294"/>
      <c r="X848" s="1182"/>
      <c r="Y848" s="1182"/>
      <c r="Z848" s="1166"/>
      <c r="AA848" s="1166"/>
      <c r="AB848" s="1182"/>
      <c r="AC848" s="294"/>
      <c r="AD848" s="294"/>
      <c r="AE848" s="294"/>
      <c r="AF848" s="294"/>
      <c r="AG848" s="294"/>
      <c r="AH848" s="294"/>
      <c r="AI848" s="294"/>
      <c r="AJ848" s="294"/>
    </row>
    <row r="849" spans="2:36" x14ac:dyDescent="0.25">
      <c r="B849" s="294"/>
      <c r="C849" s="294"/>
      <c r="D849" s="294"/>
      <c r="E849" s="294"/>
      <c r="F849" s="294"/>
      <c r="G849" s="294"/>
      <c r="H849" s="294"/>
      <c r="I849" s="294"/>
      <c r="J849" s="294"/>
      <c r="L849" s="295"/>
      <c r="M849" s="294"/>
      <c r="R849" s="326"/>
      <c r="S849" s="326"/>
      <c r="T849" s="294"/>
      <c r="U849" s="294"/>
      <c r="V849" s="294"/>
      <c r="W849" s="294"/>
      <c r="X849" s="1182"/>
      <c r="Y849" s="1182"/>
      <c r="Z849" s="1166"/>
      <c r="AA849" s="1166"/>
      <c r="AB849" s="1182"/>
      <c r="AC849" s="294"/>
      <c r="AD849" s="294"/>
      <c r="AE849" s="294"/>
      <c r="AF849" s="294"/>
      <c r="AG849" s="294"/>
      <c r="AH849" s="294"/>
      <c r="AI849" s="294"/>
      <c r="AJ849" s="294"/>
    </row>
    <row r="850" spans="2:36" x14ac:dyDescent="0.25">
      <c r="B850" s="294"/>
      <c r="C850" s="294"/>
      <c r="D850" s="294"/>
      <c r="E850" s="294"/>
      <c r="F850" s="294"/>
      <c r="G850" s="294"/>
      <c r="H850" s="294"/>
      <c r="I850" s="294"/>
      <c r="J850" s="294"/>
      <c r="L850" s="295"/>
      <c r="M850" s="294"/>
      <c r="R850" s="326"/>
      <c r="S850" s="326"/>
      <c r="T850" s="294"/>
      <c r="U850" s="294"/>
      <c r="V850" s="294"/>
      <c r="W850" s="294"/>
      <c r="X850" s="1182"/>
      <c r="Y850" s="1182"/>
      <c r="Z850" s="1166"/>
      <c r="AA850" s="1166"/>
      <c r="AB850" s="1182"/>
      <c r="AC850" s="294"/>
      <c r="AD850" s="294"/>
      <c r="AE850" s="294"/>
      <c r="AF850" s="294"/>
      <c r="AG850" s="294"/>
      <c r="AH850" s="294"/>
      <c r="AI850" s="294"/>
      <c r="AJ850" s="294"/>
    </row>
    <row r="851" spans="2:36" x14ac:dyDescent="0.25">
      <c r="B851" s="294"/>
      <c r="C851" s="294"/>
      <c r="D851" s="294"/>
      <c r="E851" s="294"/>
      <c r="F851" s="294"/>
      <c r="G851" s="294"/>
      <c r="H851" s="294"/>
      <c r="I851" s="294"/>
      <c r="J851" s="294"/>
      <c r="L851" s="295"/>
      <c r="M851" s="294"/>
      <c r="R851" s="326"/>
      <c r="S851" s="326"/>
      <c r="T851" s="294"/>
      <c r="U851" s="294"/>
      <c r="V851" s="294"/>
      <c r="W851" s="294"/>
      <c r="X851" s="1182"/>
      <c r="Y851" s="1182"/>
      <c r="Z851" s="1166"/>
      <c r="AA851" s="1166"/>
      <c r="AB851" s="1182"/>
      <c r="AC851" s="294"/>
      <c r="AD851" s="294"/>
      <c r="AE851" s="294"/>
      <c r="AF851" s="294"/>
      <c r="AG851" s="294"/>
      <c r="AH851" s="294"/>
      <c r="AI851" s="294"/>
      <c r="AJ851" s="294"/>
    </row>
    <row r="852" spans="2:36" x14ac:dyDescent="0.25">
      <c r="B852" s="294"/>
      <c r="C852" s="294"/>
      <c r="D852" s="294"/>
      <c r="E852" s="294"/>
      <c r="F852" s="294"/>
      <c r="G852" s="294"/>
      <c r="H852" s="294"/>
      <c r="I852" s="294"/>
      <c r="J852" s="294"/>
      <c r="L852" s="295"/>
      <c r="M852" s="294"/>
      <c r="R852" s="326"/>
      <c r="S852" s="326"/>
      <c r="T852" s="294"/>
      <c r="U852" s="294"/>
      <c r="V852" s="294"/>
      <c r="W852" s="294"/>
      <c r="X852" s="1182"/>
      <c r="Y852" s="1182"/>
      <c r="Z852" s="1166"/>
      <c r="AA852" s="1166"/>
      <c r="AB852" s="1182"/>
      <c r="AC852" s="294"/>
      <c r="AD852" s="294"/>
      <c r="AE852" s="294"/>
      <c r="AF852" s="294"/>
      <c r="AG852" s="294"/>
      <c r="AH852" s="294"/>
      <c r="AI852" s="294"/>
      <c r="AJ852" s="294"/>
    </row>
    <row r="853" spans="2:36" x14ac:dyDescent="0.25">
      <c r="B853" s="294"/>
      <c r="C853" s="294"/>
      <c r="D853" s="294"/>
      <c r="E853" s="294"/>
      <c r="F853" s="294"/>
      <c r="G853" s="294"/>
      <c r="H853" s="294"/>
      <c r="I853" s="294"/>
      <c r="J853" s="294"/>
      <c r="L853" s="295"/>
      <c r="M853" s="294"/>
      <c r="R853" s="326"/>
      <c r="S853" s="326"/>
      <c r="T853" s="294"/>
      <c r="U853" s="294"/>
      <c r="V853" s="294"/>
      <c r="W853" s="294"/>
      <c r="X853" s="1182"/>
      <c r="Y853" s="1182"/>
      <c r="Z853" s="1166"/>
      <c r="AA853" s="1166"/>
      <c r="AB853" s="1182"/>
      <c r="AC853" s="294"/>
      <c r="AD853" s="294"/>
      <c r="AE853" s="294"/>
      <c r="AF853" s="294"/>
      <c r="AG853" s="294"/>
      <c r="AH853" s="294"/>
      <c r="AI853" s="294"/>
      <c r="AJ853" s="294"/>
    </row>
    <row r="854" spans="2:36" x14ac:dyDescent="0.25">
      <c r="B854" s="294"/>
      <c r="C854" s="294"/>
      <c r="D854" s="294"/>
      <c r="E854" s="294"/>
      <c r="F854" s="294"/>
      <c r="G854" s="294"/>
      <c r="H854" s="294"/>
      <c r="I854" s="294"/>
      <c r="J854" s="294"/>
      <c r="L854" s="295"/>
      <c r="M854" s="294"/>
      <c r="R854" s="326"/>
      <c r="S854" s="326"/>
      <c r="T854" s="294"/>
      <c r="U854" s="294"/>
      <c r="V854" s="294"/>
      <c r="W854" s="294"/>
      <c r="X854" s="1182"/>
      <c r="Y854" s="1182"/>
      <c r="Z854" s="1166"/>
      <c r="AA854" s="1166"/>
      <c r="AB854" s="1182"/>
      <c r="AC854" s="294"/>
      <c r="AD854" s="294"/>
      <c r="AE854" s="294"/>
      <c r="AF854" s="294"/>
      <c r="AG854" s="294"/>
      <c r="AH854" s="294"/>
      <c r="AI854" s="294"/>
      <c r="AJ854" s="294"/>
    </row>
    <row r="855" spans="2:36" x14ac:dyDescent="0.25">
      <c r="B855" s="294"/>
      <c r="C855" s="294"/>
      <c r="D855" s="294"/>
      <c r="E855" s="294"/>
      <c r="F855" s="294"/>
      <c r="G855" s="294"/>
      <c r="H855" s="294"/>
      <c r="I855" s="294"/>
      <c r="J855" s="294"/>
      <c r="L855" s="295"/>
      <c r="M855" s="294"/>
      <c r="R855" s="326"/>
      <c r="S855" s="326"/>
      <c r="T855" s="294"/>
      <c r="U855" s="294"/>
      <c r="V855" s="294"/>
      <c r="W855" s="294"/>
      <c r="X855" s="1182"/>
      <c r="Y855" s="1182"/>
      <c r="Z855" s="1166"/>
      <c r="AA855" s="1166"/>
      <c r="AB855" s="1182"/>
      <c r="AC855" s="294"/>
      <c r="AD855" s="294"/>
      <c r="AE855" s="294"/>
      <c r="AF855" s="294"/>
      <c r="AG855" s="294"/>
      <c r="AH855" s="294"/>
      <c r="AI855" s="294"/>
      <c r="AJ855" s="294"/>
    </row>
    <row r="856" spans="2:36" x14ac:dyDescent="0.25">
      <c r="B856" s="294"/>
      <c r="C856" s="294"/>
      <c r="D856" s="294"/>
      <c r="E856" s="294"/>
      <c r="F856" s="294"/>
      <c r="G856" s="294"/>
      <c r="H856" s="294"/>
      <c r="I856" s="294"/>
      <c r="J856" s="294"/>
      <c r="L856" s="295"/>
      <c r="M856" s="294"/>
      <c r="R856" s="326"/>
      <c r="S856" s="326"/>
      <c r="T856" s="294"/>
      <c r="U856" s="294"/>
      <c r="V856" s="294"/>
      <c r="W856" s="294"/>
      <c r="X856" s="1182"/>
      <c r="Y856" s="1182"/>
      <c r="Z856" s="1166"/>
      <c r="AA856" s="1166"/>
      <c r="AB856" s="1182"/>
      <c r="AC856" s="294"/>
      <c r="AD856" s="294"/>
      <c r="AE856" s="294"/>
      <c r="AF856" s="294"/>
      <c r="AG856" s="294"/>
      <c r="AH856" s="294"/>
      <c r="AI856" s="294"/>
      <c r="AJ856" s="294"/>
    </row>
    <row r="857" spans="2:36" x14ac:dyDescent="0.25">
      <c r="B857" s="294"/>
      <c r="C857" s="294"/>
      <c r="D857" s="294"/>
      <c r="E857" s="294"/>
      <c r="F857" s="294"/>
      <c r="G857" s="294"/>
      <c r="H857" s="294"/>
      <c r="I857" s="294"/>
      <c r="J857" s="294"/>
      <c r="L857" s="295"/>
      <c r="M857" s="294"/>
      <c r="R857" s="326"/>
      <c r="S857" s="326"/>
      <c r="T857" s="294"/>
      <c r="U857" s="294"/>
      <c r="V857" s="294"/>
      <c r="W857" s="294"/>
      <c r="X857" s="1182"/>
      <c r="Y857" s="1182"/>
      <c r="Z857" s="1166"/>
      <c r="AA857" s="1166"/>
      <c r="AB857" s="1182"/>
      <c r="AC857" s="294"/>
      <c r="AD857" s="294"/>
      <c r="AE857" s="294"/>
      <c r="AF857" s="294"/>
      <c r="AG857" s="294"/>
      <c r="AH857" s="294"/>
      <c r="AI857" s="294"/>
      <c r="AJ857" s="294"/>
    </row>
    <row r="858" spans="2:36" x14ac:dyDescent="0.25">
      <c r="B858" s="294"/>
      <c r="C858" s="294"/>
      <c r="D858" s="294"/>
      <c r="E858" s="294"/>
      <c r="F858" s="294"/>
      <c r="G858" s="294"/>
      <c r="H858" s="294"/>
      <c r="I858" s="294"/>
      <c r="J858" s="294"/>
      <c r="L858" s="295"/>
      <c r="M858" s="294"/>
      <c r="R858" s="326"/>
      <c r="S858" s="326"/>
      <c r="T858" s="294"/>
      <c r="U858" s="294"/>
      <c r="V858" s="294"/>
      <c r="W858" s="294"/>
      <c r="X858" s="1182"/>
      <c r="Y858" s="1182"/>
      <c r="Z858" s="1166"/>
      <c r="AA858" s="1166"/>
      <c r="AB858" s="1182"/>
      <c r="AC858" s="294"/>
      <c r="AD858" s="294"/>
      <c r="AE858" s="294"/>
      <c r="AF858" s="294"/>
      <c r="AG858" s="294"/>
      <c r="AH858" s="294"/>
      <c r="AI858" s="294"/>
      <c r="AJ858" s="294"/>
    </row>
    <row r="859" spans="2:36" x14ac:dyDescent="0.25">
      <c r="B859" s="294"/>
      <c r="C859" s="294"/>
      <c r="D859" s="294"/>
      <c r="E859" s="294"/>
      <c r="F859" s="294"/>
      <c r="G859" s="294"/>
      <c r="H859" s="294"/>
      <c r="I859" s="294"/>
      <c r="J859" s="294"/>
      <c r="L859" s="295"/>
      <c r="M859" s="294"/>
      <c r="R859" s="326"/>
      <c r="S859" s="326"/>
      <c r="T859" s="294"/>
      <c r="U859" s="294"/>
      <c r="V859" s="294"/>
      <c r="W859" s="294"/>
      <c r="X859" s="1182"/>
      <c r="Y859" s="1182"/>
      <c r="Z859" s="1166"/>
      <c r="AA859" s="1166"/>
      <c r="AB859" s="1182"/>
      <c r="AC859" s="294"/>
      <c r="AD859" s="294"/>
      <c r="AE859" s="294"/>
      <c r="AF859" s="294"/>
      <c r="AG859" s="294"/>
      <c r="AH859" s="294"/>
      <c r="AI859" s="294"/>
      <c r="AJ859" s="294"/>
    </row>
    <row r="860" spans="2:36" x14ac:dyDescent="0.25">
      <c r="B860" s="294"/>
      <c r="C860" s="294"/>
      <c r="D860" s="294"/>
      <c r="E860" s="294"/>
      <c r="F860" s="294"/>
      <c r="G860" s="294"/>
      <c r="H860" s="294"/>
      <c r="I860" s="294"/>
      <c r="J860" s="294"/>
      <c r="L860" s="295"/>
      <c r="M860" s="294"/>
      <c r="R860" s="326"/>
      <c r="S860" s="326"/>
      <c r="T860" s="294"/>
      <c r="U860" s="294"/>
      <c r="V860" s="294"/>
      <c r="W860" s="294"/>
      <c r="X860" s="1182"/>
      <c r="Y860" s="1182"/>
      <c r="Z860" s="1166"/>
      <c r="AA860" s="1166"/>
      <c r="AB860" s="1182"/>
      <c r="AC860" s="294"/>
      <c r="AD860" s="294"/>
      <c r="AE860" s="294"/>
      <c r="AF860" s="294"/>
      <c r="AG860" s="294"/>
      <c r="AH860" s="294"/>
      <c r="AI860" s="294"/>
      <c r="AJ860" s="294"/>
    </row>
    <row r="861" spans="2:36" x14ac:dyDescent="0.25">
      <c r="B861" s="294"/>
      <c r="C861" s="294"/>
      <c r="D861" s="294"/>
      <c r="E861" s="294"/>
      <c r="F861" s="294"/>
      <c r="G861" s="294"/>
      <c r="H861" s="294"/>
      <c r="I861" s="294"/>
      <c r="J861" s="294"/>
      <c r="L861" s="295"/>
      <c r="M861" s="294"/>
      <c r="R861" s="326"/>
      <c r="S861" s="326"/>
      <c r="T861" s="294"/>
      <c r="U861" s="294"/>
      <c r="V861" s="294"/>
      <c r="W861" s="294"/>
      <c r="X861" s="1182"/>
      <c r="Y861" s="1182"/>
      <c r="Z861" s="1166"/>
      <c r="AA861" s="1166"/>
      <c r="AB861" s="1182"/>
      <c r="AC861" s="294"/>
      <c r="AD861" s="294"/>
      <c r="AE861" s="294"/>
      <c r="AF861" s="294"/>
      <c r="AG861" s="294"/>
      <c r="AH861" s="294"/>
      <c r="AI861" s="294"/>
      <c r="AJ861" s="294"/>
    </row>
    <row r="862" spans="2:36" x14ac:dyDescent="0.25">
      <c r="B862" s="294"/>
      <c r="C862" s="294"/>
      <c r="D862" s="294"/>
      <c r="E862" s="294"/>
      <c r="F862" s="294"/>
      <c r="G862" s="294"/>
      <c r="H862" s="294"/>
      <c r="I862" s="294"/>
      <c r="J862" s="294"/>
      <c r="L862" s="295"/>
      <c r="M862" s="294"/>
      <c r="R862" s="326"/>
      <c r="S862" s="326"/>
      <c r="T862" s="294"/>
      <c r="U862" s="294"/>
      <c r="V862" s="294"/>
      <c r="W862" s="294"/>
      <c r="X862" s="1182"/>
      <c r="Y862" s="1182"/>
      <c r="Z862" s="1166"/>
      <c r="AA862" s="1166"/>
      <c r="AB862" s="1182"/>
      <c r="AC862" s="294"/>
      <c r="AD862" s="294"/>
      <c r="AE862" s="294"/>
      <c r="AF862" s="294"/>
      <c r="AG862" s="294"/>
      <c r="AH862" s="294"/>
      <c r="AI862" s="294"/>
      <c r="AJ862" s="294"/>
    </row>
    <row r="863" spans="2:36" x14ac:dyDescent="0.25">
      <c r="B863" s="294"/>
      <c r="C863" s="294"/>
      <c r="D863" s="294"/>
      <c r="E863" s="294"/>
      <c r="F863" s="294"/>
      <c r="G863" s="294"/>
      <c r="H863" s="294"/>
      <c r="I863" s="294"/>
      <c r="J863" s="294"/>
      <c r="L863" s="295"/>
      <c r="M863" s="294"/>
      <c r="R863" s="326"/>
      <c r="S863" s="326"/>
      <c r="T863" s="294"/>
      <c r="U863" s="294"/>
      <c r="V863" s="294"/>
      <c r="W863" s="294"/>
      <c r="X863" s="1182"/>
      <c r="Y863" s="1182"/>
      <c r="Z863" s="1166"/>
      <c r="AA863" s="1166"/>
      <c r="AB863" s="1182"/>
      <c r="AC863" s="294"/>
      <c r="AD863" s="294"/>
      <c r="AE863" s="294"/>
      <c r="AF863" s="294"/>
      <c r="AG863" s="294"/>
      <c r="AH863" s="294"/>
      <c r="AI863" s="294"/>
      <c r="AJ863" s="294"/>
    </row>
    <row r="864" spans="2:36" x14ac:dyDescent="0.25">
      <c r="B864" s="294"/>
      <c r="C864" s="294"/>
      <c r="D864" s="294"/>
      <c r="E864" s="294"/>
      <c r="F864" s="294"/>
      <c r="G864" s="294"/>
      <c r="H864" s="294"/>
      <c r="I864" s="294"/>
      <c r="J864" s="294"/>
      <c r="L864" s="295"/>
      <c r="M864" s="294"/>
      <c r="R864" s="326"/>
      <c r="S864" s="326"/>
      <c r="T864" s="294"/>
      <c r="U864" s="294"/>
      <c r="V864" s="294"/>
      <c r="W864" s="294"/>
      <c r="X864" s="1182"/>
      <c r="Y864" s="1182"/>
      <c r="Z864" s="1166"/>
      <c r="AA864" s="1166"/>
      <c r="AB864" s="1182"/>
      <c r="AC864" s="294"/>
      <c r="AD864" s="294"/>
      <c r="AE864" s="294"/>
      <c r="AF864" s="294"/>
      <c r="AG864" s="294"/>
      <c r="AH864" s="294"/>
      <c r="AI864" s="294"/>
      <c r="AJ864" s="294"/>
    </row>
    <row r="865" spans="2:36" x14ac:dyDescent="0.25">
      <c r="B865" s="294"/>
      <c r="C865" s="294"/>
      <c r="D865" s="294"/>
      <c r="E865" s="294"/>
      <c r="F865" s="294"/>
      <c r="G865" s="294"/>
      <c r="H865" s="294"/>
      <c r="I865" s="294"/>
      <c r="J865" s="294"/>
      <c r="L865" s="295"/>
      <c r="M865" s="294"/>
      <c r="R865" s="326"/>
      <c r="S865" s="326"/>
      <c r="T865" s="294"/>
      <c r="U865" s="294"/>
      <c r="V865" s="294"/>
      <c r="W865" s="294"/>
      <c r="X865" s="1182"/>
      <c r="Y865" s="1182"/>
      <c r="Z865" s="1166"/>
      <c r="AA865" s="1166"/>
      <c r="AB865" s="1182"/>
      <c r="AC865" s="294"/>
      <c r="AD865" s="294"/>
      <c r="AE865" s="294"/>
      <c r="AF865" s="294"/>
      <c r="AG865" s="294"/>
      <c r="AH865" s="294"/>
      <c r="AI865" s="294"/>
      <c r="AJ865" s="294"/>
    </row>
    <row r="866" spans="2:36" x14ac:dyDescent="0.25">
      <c r="B866" s="294"/>
      <c r="C866" s="294"/>
      <c r="D866" s="294"/>
      <c r="E866" s="294"/>
      <c r="F866" s="294"/>
      <c r="G866" s="294"/>
      <c r="H866" s="294"/>
      <c r="I866" s="294"/>
      <c r="J866" s="294"/>
      <c r="L866" s="295"/>
      <c r="M866" s="294"/>
      <c r="R866" s="326"/>
      <c r="S866" s="326"/>
      <c r="T866" s="294"/>
      <c r="U866" s="294"/>
      <c r="V866" s="294"/>
      <c r="W866" s="294"/>
      <c r="X866" s="1182"/>
      <c r="Y866" s="1182"/>
      <c r="Z866" s="1166"/>
      <c r="AA866" s="1166"/>
      <c r="AB866" s="1182"/>
      <c r="AC866" s="294"/>
      <c r="AD866" s="294"/>
      <c r="AE866" s="294"/>
      <c r="AF866" s="294"/>
      <c r="AG866" s="294"/>
      <c r="AH866" s="294"/>
      <c r="AI866" s="294"/>
      <c r="AJ866" s="294"/>
    </row>
    <row r="867" spans="2:36" x14ac:dyDescent="0.25">
      <c r="B867" s="294"/>
      <c r="C867" s="294"/>
      <c r="D867" s="294"/>
      <c r="E867" s="294"/>
      <c r="F867" s="294"/>
      <c r="G867" s="294"/>
      <c r="H867" s="294"/>
      <c r="I867" s="294"/>
      <c r="J867" s="294"/>
      <c r="L867" s="295"/>
      <c r="M867" s="294"/>
      <c r="R867" s="326"/>
      <c r="S867" s="326"/>
      <c r="T867" s="294"/>
      <c r="U867" s="294"/>
      <c r="V867" s="294"/>
      <c r="W867" s="294"/>
      <c r="X867" s="1182"/>
      <c r="Y867" s="1182"/>
      <c r="Z867" s="1166"/>
      <c r="AA867" s="1166"/>
      <c r="AB867" s="1182"/>
      <c r="AC867" s="294"/>
      <c r="AD867" s="294"/>
      <c r="AE867" s="294"/>
      <c r="AF867" s="294"/>
      <c r="AG867" s="294"/>
      <c r="AH867" s="294"/>
      <c r="AI867" s="294"/>
      <c r="AJ867" s="294"/>
    </row>
    <row r="868" spans="2:36" x14ac:dyDescent="0.25">
      <c r="B868" s="294"/>
      <c r="C868" s="294"/>
      <c r="D868" s="294"/>
      <c r="E868" s="294"/>
      <c r="F868" s="294"/>
      <c r="G868" s="294"/>
      <c r="H868" s="294"/>
      <c r="I868" s="294"/>
      <c r="J868" s="294"/>
      <c r="L868" s="295"/>
      <c r="M868" s="294"/>
      <c r="R868" s="326"/>
      <c r="S868" s="326"/>
      <c r="T868" s="294"/>
      <c r="U868" s="294"/>
      <c r="V868" s="294"/>
      <c r="W868" s="294"/>
      <c r="X868" s="1182"/>
      <c r="Y868" s="1182"/>
      <c r="Z868" s="1166"/>
      <c r="AA868" s="1166"/>
      <c r="AB868" s="1182"/>
      <c r="AC868" s="294"/>
      <c r="AD868" s="294"/>
      <c r="AE868" s="294"/>
      <c r="AF868" s="294"/>
      <c r="AG868" s="294"/>
      <c r="AH868" s="294"/>
      <c r="AI868" s="294"/>
      <c r="AJ868" s="294"/>
    </row>
    <row r="869" spans="2:36" x14ac:dyDescent="0.25">
      <c r="B869" s="294"/>
      <c r="C869" s="294"/>
      <c r="D869" s="294"/>
      <c r="E869" s="294"/>
      <c r="F869" s="294"/>
      <c r="G869" s="294"/>
      <c r="H869" s="294"/>
      <c r="I869" s="294"/>
      <c r="J869" s="294"/>
      <c r="L869" s="295"/>
      <c r="M869" s="294"/>
      <c r="R869" s="326"/>
      <c r="S869" s="326"/>
      <c r="T869" s="294"/>
      <c r="U869" s="294"/>
      <c r="V869" s="294"/>
      <c r="W869" s="294"/>
      <c r="X869" s="1182"/>
      <c r="Y869" s="1182"/>
      <c r="Z869" s="1166"/>
      <c r="AA869" s="1166"/>
      <c r="AB869" s="1182"/>
      <c r="AC869" s="294"/>
      <c r="AD869" s="294"/>
      <c r="AE869" s="294"/>
      <c r="AF869" s="294"/>
      <c r="AG869" s="294"/>
      <c r="AH869" s="294"/>
      <c r="AI869" s="294"/>
      <c r="AJ869" s="294"/>
    </row>
    <row r="870" spans="2:36" x14ac:dyDescent="0.25">
      <c r="B870" s="294"/>
      <c r="C870" s="294"/>
      <c r="D870" s="294"/>
      <c r="E870" s="294"/>
      <c r="F870" s="294"/>
      <c r="G870" s="294"/>
      <c r="H870" s="294"/>
      <c r="I870" s="294"/>
      <c r="J870" s="294"/>
      <c r="L870" s="295"/>
      <c r="M870" s="294"/>
      <c r="R870" s="326"/>
      <c r="S870" s="326"/>
      <c r="T870" s="294"/>
      <c r="U870" s="294"/>
      <c r="V870" s="294"/>
      <c r="W870" s="294"/>
      <c r="X870" s="1182"/>
      <c r="Y870" s="1182"/>
      <c r="Z870" s="1166"/>
      <c r="AA870" s="1166"/>
      <c r="AB870" s="1182"/>
      <c r="AC870" s="294"/>
      <c r="AD870" s="294"/>
      <c r="AE870" s="294"/>
      <c r="AF870" s="294"/>
      <c r="AG870" s="294"/>
      <c r="AH870" s="294"/>
      <c r="AI870" s="294"/>
      <c r="AJ870" s="294"/>
    </row>
    <row r="871" spans="2:36" x14ac:dyDescent="0.25">
      <c r="B871" s="294"/>
      <c r="C871" s="294"/>
      <c r="D871" s="294"/>
      <c r="E871" s="294"/>
      <c r="F871" s="294"/>
      <c r="G871" s="294"/>
      <c r="H871" s="294"/>
      <c r="I871" s="294"/>
      <c r="J871" s="294"/>
      <c r="L871" s="295"/>
      <c r="M871" s="294"/>
      <c r="R871" s="326"/>
      <c r="S871" s="326"/>
      <c r="T871" s="294"/>
      <c r="U871" s="294"/>
      <c r="V871" s="294"/>
      <c r="W871" s="294"/>
      <c r="X871" s="1182"/>
      <c r="Y871" s="1182"/>
      <c r="Z871" s="1166"/>
      <c r="AA871" s="1166"/>
      <c r="AB871" s="1182"/>
      <c r="AC871" s="294"/>
      <c r="AD871" s="294"/>
      <c r="AE871" s="294"/>
      <c r="AF871" s="294"/>
      <c r="AG871" s="294"/>
      <c r="AH871" s="294"/>
      <c r="AI871" s="294"/>
      <c r="AJ871" s="294"/>
    </row>
    <row r="872" spans="2:36" x14ac:dyDescent="0.25">
      <c r="B872" s="294"/>
      <c r="C872" s="294"/>
      <c r="D872" s="294"/>
      <c r="E872" s="294"/>
      <c r="F872" s="294"/>
      <c r="G872" s="294"/>
      <c r="H872" s="294"/>
      <c r="I872" s="294"/>
      <c r="J872" s="294"/>
      <c r="L872" s="295"/>
      <c r="M872" s="294"/>
      <c r="R872" s="326"/>
      <c r="S872" s="326"/>
      <c r="T872" s="294"/>
      <c r="U872" s="294"/>
      <c r="V872" s="294"/>
      <c r="W872" s="294"/>
      <c r="X872" s="1182"/>
      <c r="Y872" s="1182"/>
      <c r="Z872" s="1166"/>
      <c r="AA872" s="1166"/>
      <c r="AB872" s="1182"/>
      <c r="AC872" s="294"/>
      <c r="AD872" s="294"/>
      <c r="AE872" s="294"/>
      <c r="AF872" s="294"/>
      <c r="AG872" s="294"/>
      <c r="AH872" s="294"/>
      <c r="AI872" s="294"/>
      <c r="AJ872" s="294"/>
    </row>
    <row r="873" spans="2:36" x14ac:dyDescent="0.25">
      <c r="B873" s="294"/>
      <c r="C873" s="294"/>
      <c r="D873" s="294"/>
      <c r="E873" s="294"/>
      <c r="F873" s="294"/>
      <c r="G873" s="294"/>
      <c r="H873" s="294"/>
      <c r="I873" s="294"/>
      <c r="J873" s="294"/>
      <c r="L873" s="295"/>
      <c r="M873" s="294"/>
      <c r="R873" s="326"/>
      <c r="S873" s="326"/>
      <c r="T873" s="294"/>
      <c r="U873" s="294"/>
      <c r="V873" s="294"/>
      <c r="W873" s="294"/>
      <c r="X873" s="1182"/>
      <c r="Y873" s="1182"/>
      <c r="Z873" s="1166"/>
      <c r="AA873" s="1166"/>
      <c r="AB873" s="1182"/>
      <c r="AC873" s="294"/>
      <c r="AD873" s="294"/>
      <c r="AE873" s="294"/>
      <c r="AF873" s="294"/>
      <c r="AG873" s="294"/>
      <c r="AH873" s="294"/>
      <c r="AI873" s="294"/>
      <c r="AJ873" s="294"/>
    </row>
    <row r="874" spans="2:36" x14ac:dyDescent="0.25">
      <c r="B874" s="294"/>
      <c r="C874" s="294"/>
      <c r="D874" s="294"/>
      <c r="E874" s="294"/>
      <c r="F874" s="294"/>
      <c r="G874" s="294"/>
      <c r="H874" s="294"/>
      <c r="I874" s="294"/>
      <c r="J874" s="294"/>
      <c r="L874" s="295"/>
      <c r="M874" s="294"/>
      <c r="R874" s="326"/>
      <c r="S874" s="326"/>
      <c r="T874" s="294"/>
      <c r="U874" s="294"/>
      <c r="V874" s="294"/>
      <c r="W874" s="294"/>
      <c r="X874" s="1182"/>
      <c r="Y874" s="1182"/>
      <c r="Z874" s="1166"/>
      <c r="AA874" s="1166"/>
      <c r="AB874" s="1182"/>
      <c r="AC874" s="294"/>
      <c r="AD874" s="294"/>
      <c r="AE874" s="294"/>
      <c r="AF874" s="294"/>
      <c r="AG874" s="294"/>
      <c r="AH874" s="294"/>
      <c r="AI874" s="294"/>
      <c r="AJ874" s="294"/>
    </row>
    <row r="875" spans="2:36" x14ac:dyDescent="0.25">
      <c r="B875" s="294"/>
      <c r="C875" s="294"/>
      <c r="D875" s="294"/>
      <c r="E875" s="294"/>
      <c r="F875" s="294"/>
      <c r="G875" s="294"/>
      <c r="H875" s="294"/>
      <c r="I875" s="294"/>
      <c r="J875" s="294"/>
      <c r="L875" s="295"/>
      <c r="M875" s="294"/>
      <c r="R875" s="326"/>
      <c r="S875" s="326"/>
      <c r="T875" s="294"/>
      <c r="U875" s="294"/>
      <c r="V875" s="294"/>
      <c r="W875" s="294"/>
      <c r="X875" s="1182"/>
      <c r="Y875" s="1182"/>
      <c r="Z875" s="1166"/>
      <c r="AA875" s="1166"/>
      <c r="AB875" s="1182"/>
      <c r="AC875" s="294"/>
      <c r="AD875" s="294"/>
      <c r="AE875" s="294"/>
      <c r="AF875" s="294"/>
      <c r="AG875" s="294"/>
      <c r="AH875" s="294"/>
      <c r="AI875" s="294"/>
      <c r="AJ875" s="294"/>
    </row>
    <row r="876" spans="2:36" x14ac:dyDescent="0.25">
      <c r="B876" s="294"/>
      <c r="C876" s="294"/>
      <c r="D876" s="294"/>
      <c r="E876" s="294"/>
      <c r="F876" s="294"/>
      <c r="G876" s="294"/>
      <c r="H876" s="294"/>
      <c r="I876" s="294"/>
      <c r="J876" s="294"/>
      <c r="L876" s="295"/>
      <c r="M876" s="294"/>
      <c r="R876" s="326"/>
      <c r="S876" s="326"/>
      <c r="T876" s="294"/>
      <c r="U876" s="294"/>
      <c r="V876" s="294"/>
      <c r="W876" s="294"/>
      <c r="X876" s="1182"/>
      <c r="Y876" s="1182"/>
      <c r="Z876" s="1166"/>
      <c r="AA876" s="1166"/>
      <c r="AB876" s="1182"/>
      <c r="AC876" s="294"/>
      <c r="AD876" s="294"/>
      <c r="AE876" s="294"/>
      <c r="AF876" s="294"/>
      <c r="AG876" s="294"/>
      <c r="AH876" s="294"/>
      <c r="AI876" s="294"/>
      <c r="AJ876" s="294"/>
    </row>
    <row r="877" spans="2:36" x14ac:dyDescent="0.25">
      <c r="B877" s="294"/>
      <c r="C877" s="294"/>
      <c r="D877" s="294"/>
      <c r="E877" s="294"/>
      <c r="F877" s="294"/>
      <c r="G877" s="294"/>
      <c r="H877" s="294"/>
      <c r="I877" s="294"/>
      <c r="J877" s="294"/>
      <c r="L877" s="295"/>
      <c r="M877" s="294"/>
      <c r="R877" s="326"/>
      <c r="S877" s="326"/>
      <c r="T877" s="294"/>
      <c r="U877" s="294"/>
      <c r="V877" s="294"/>
      <c r="W877" s="294"/>
      <c r="X877" s="1182"/>
      <c r="Y877" s="1182"/>
      <c r="Z877" s="1166"/>
      <c r="AA877" s="1166"/>
      <c r="AB877" s="1182"/>
      <c r="AC877" s="294"/>
      <c r="AD877" s="294"/>
      <c r="AE877" s="294"/>
      <c r="AF877" s="294"/>
      <c r="AG877" s="294"/>
      <c r="AH877" s="294"/>
      <c r="AI877" s="294"/>
      <c r="AJ877" s="294"/>
    </row>
    <row r="878" spans="2:36" x14ac:dyDescent="0.25">
      <c r="B878" s="294"/>
      <c r="C878" s="294"/>
      <c r="D878" s="294"/>
      <c r="E878" s="294"/>
      <c r="F878" s="294"/>
      <c r="G878" s="294"/>
      <c r="H878" s="294"/>
      <c r="I878" s="294"/>
      <c r="J878" s="294"/>
      <c r="L878" s="295"/>
      <c r="M878" s="294"/>
      <c r="R878" s="326"/>
      <c r="S878" s="326"/>
      <c r="T878" s="294"/>
      <c r="U878" s="294"/>
      <c r="V878" s="294"/>
      <c r="W878" s="294"/>
      <c r="X878" s="1182"/>
      <c r="Y878" s="1182"/>
      <c r="Z878" s="1166"/>
      <c r="AA878" s="1166"/>
      <c r="AB878" s="1182"/>
      <c r="AC878" s="294"/>
      <c r="AD878" s="294"/>
      <c r="AE878" s="294"/>
      <c r="AF878" s="294"/>
      <c r="AG878" s="294"/>
      <c r="AH878" s="294"/>
      <c r="AI878" s="294"/>
      <c r="AJ878" s="294"/>
    </row>
    <row r="879" spans="2:36" x14ac:dyDescent="0.25">
      <c r="B879" s="294"/>
      <c r="C879" s="294"/>
      <c r="D879" s="294"/>
      <c r="E879" s="294"/>
      <c r="F879" s="294"/>
      <c r="G879" s="294"/>
      <c r="H879" s="294"/>
      <c r="I879" s="294"/>
      <c r="J879" s="294"/>
      <c r="L879" s="295"/>
      <c r="M879" s="294"/>
      <c r="R879" s="326"/>
      <c r="S879" s="326"/>
      <c r="T879" s="294"/>
      <c r="U879" s="294"/>
      <c r="V879" s="294"/>
      <c r="W879" s="294"/>
      <c r="X879" s="1182"/>
      <c r="Y879" s="1182"/>
      <c r="Z879" s="1166"/>
      <c r="AA879" s="1166"/>
      <c r="AB879" s="1182"/>
      <c r="AC879" s="294"/>
      <c r="AD879" s="294"/>
      <c r="AE879" s="294"/>
      <c r="AF879" s="294"/>
      <c r="AG879" s="294"/>
      <c r="AH879" s="294"/>
      <c r="AI879" s="294"/>
      <c r="AJ879" s="294"/>
    </row>
    <row r="880" spans="2:36" x14ac:dyDescent="0.25">
      <c r="B880" s="294"/>
      <c r="C880" s="294"/>
      <c r="D880" s="294"/>
      <c r="E880" s="294"/>
      <c r="F880" s="294"/>
      <c r="G880" s="294"/>
      <c r="H880" s="294"/>
      <c r="I880" s="294"/>
      <c r="J880" s="294"/>
      <c r="L880" s="295"/>
      <c r="M880" s="294"/>
      <c r="R880" s="326"/>
      <c r="S880" s="326"/>
      <c r="T880" s="294"/>
      <c r="U880" s="294"/>
      <c r="V880" s="294"/>
      <c r="W880" s="294"/>
      <c r="X880" s="1182"/>
      <c r="Y880" s="1182"/>
      <c r="Z880" s="1166"/>
      <c r="AA880" s="1166"/>
      <c r="AB880" s="1182"/>
      <c r="AC880" s="294"/>
      <c r="AD880" s="294"/>
      <c r="AE880" s="294"/>
      <c r="AF880" s="294"/>
      <c r="AG880" s="294"/>
      <c r="AH880" s="294"/>
      <c r="AI880" s="294"/>
      <c r="AJ880" s="294"/>
    </row>
    <row r="881" spans="2:36" x14ac:dyDescent="0.25">
      <c r="B881" s="294"/>
      <c r="C881" s="294"/>
      <c r="D881" s="294"/>
      <c r="E881" s="294"/>
      <c r="F881" s="294"/>
      <c r="G881" s="294"/>
      <c r="H881" s="294"/>
      <c r="I881" s="294"/>
      <c r="J881" s="294"/>
      <c r="L881" s="295"/>
      <c r="M881" s="294"/>
      <c r="R881" s="326"/>
      <c r="S881" s="326"/>
      <c r="T881" s="294"/>
      <c r="U881" s="294"/>
      <c r="V881" s="294"/>
      <c r="W881" s="294"/>
      <c r="X881" s="1182"/>
      <c r="Y881" s="1182"/>
      <c r="Z881" s="1166"/>
      <c r="AA881" s="1166"/>
      <c r="AB881" s="1182"/>
      <c r="AC881" s="294"/>
      <c r="AD881" s="294"/>
      <c r="AE881" s="294"/>
      <c r="AF881" s="294"/>
      <c r="AG881" s="294"/>
      <c r="AH881" s="294"/>
      <c r="AI881" s="294"/>
      <c r="AJ881" s="294"/>
    </row>
    <row r="882" spans="2:36" x14ac:dyDescent="0.25">
      <c r="B882" s="294"/>
      <c r="C882" s="294"/>
      <c r="D882" s="294"/>
      <c r="E882" s="294"/>
      <c r="F882" s="294"/>
      <c r="G882" s="294"/>
      <c r="H882" s="294"/>
      <c r="I882" s="294"/>
      <c r="J882" s="294"/>
      <c r="L882" s="295"/>
      <c r="M882" s="294"/>
      <c r="R882" s="326"/>
      <c r="S882" s="326"/>
      <c r="T882" s="294"/>
      <c r="U882" s="294"/>
      <c r="V882" s="294"/>
      <c r="W882" s="294"/>
      <c r="X882" s="1182"/>
      <c r="Y882" s="1182"/>
      <c r="Z882" s="1166"/>
      <c r="AA882" s="1166"/>
      <c r="AB882" s="1182"/>
      <c r="AC882" s="294"/>
      <c r="AD882" s="294"/>
      <c r="AE882" s="294"/>
      <c r="AF882" s="294"/>
      <c r="AG882" s="294"/>
      <c r="AH882" s="294"/>
      <c r="AI882" s="294"/>
      <c r="AJ882" s="294"/>
    </row>
    <row r="883" spans="2:36" x14ac:dyDescent="0.25">
      <c r="B883" s="294"/>
      <c r="C883" s="294"/>
      <c r="D883" s="294"/>
      <c r="E883" s="294"/>
      <c r="F883" s="294"/>
      <c r="G883" s="294"/>
      <c r="H883" s="294"/>
      <c r="I883" s="294"/>
      <c r="J883" s="294"/>
      <c r="L883" s="295"/>
      <c r="M883" s="294"/>
      <c r="R883" s="326"/>
      <c r="S883" s="326"/>
      <c r="T883" s="294"/>
      <c r="U883" s="294"/>
      <c r="V883" s="294"/>
      <c r="W883" s="294"/>
      <c r="X883" s="1182"/>
      <c r="Y883" s="1182"/>
      <c r="Z883" s="1166"/>
      <c r="AA883" s="1166"/>
      <c r="AB883" s="1182"/>
      <c r="AC883" s="294"/>
      <c r="AD883" s="294"/>
      <c r="AE883" s="294"/>
      <c r="AF883" s="294"/>
      <c r="AG883" s="294"/>
      <c r="AH883" s="294"/>
      <c r="AI883" s="294"/>
      <c r="AJ883" s="294"/>
    </row>
    <row r="884" spans="2:36" x14ac:dyDescent="0.25">
      <c r="B884" s="294"/>
      <c r="C884" s="294"/>
      <c r="D884" s="294"/>
      <c r="E884" s="294"/>
      <c r="F884" s="294"/>
      <c r="G884" s="294"/>
      <c r="H884" s="294"/>
      <c r="I884" s="294"/>
      <c r="J884" s="294"/>
      <c r="L884" s="295"/>
      <c r="M884" s="294"/>
      <c r="R884" s="326"/>
      <c r="S884" s="326"/>
      <c r="T884" s="294"/>
      <c r="U884" s="294"/>
      <c r="V884" s="294"/>
      <c r="W884" s="294"/>
      <c r="X884" s="1182"/>
      <c r="Y884" s="1182"/>
      <c r="Z884" s="1166"/>
      <c r="AA884" s="1166"/>
      <c r="AB884" s="1182"/>
      <c r="AC884" s="294"/>
      <c r="AD884" s="294"/>
      <c r="AE884" s="294"/>
      <c r="AF884" s="294"/>
      <c r="AG884" s="294"/>
      <c r="AH884" s="294"/>
      <c r="AI884" s="294"/>
      <c r="AJ884" s="294"/>
    </row>
    <row r="885" spans="2:36" x14ac:dyDescent="0.25">
      <c r="B885" s="294"/>
      <c r="C885" s="294"/>
      <c r="D885" s="294"/>
      <c r="E885" s="294"/>
      <c r="F885" s="294"/>
      <c r="G885" s="294"/>
      <c r="H885" s="294"/>
      <c r="I885" s="294"/>
      <c r="J885" s="294"/>
      <c r="L885" s="295"/>
      <c r="M885" s="294"/>
      <c r="R885" s="326"/>
      <c r="S885" s="326"/>
      <c r="T885" s="294"/>
      <c r="U885" s="294"/>
      <c r="V885" s="294"/>
      <c r="W885" s="294"/>
      <c r="X885" s="1182"/>
      <c r="Y885" s="1182"/>
      <c r="Z885" s="1166"/>
      <c r="AA885" s="1166"/>
      <c r="AB885" s="1182"/>
      <c r="AC885" s="294"/>
      <c r="AD885" s="294"/>
      <c r="AE885" s="294"/>
      <c r="AF885" s="294"/>
      <c r="AG885" s="294"/>
      <c r="AH885" s="294"/>
      <c r="AI885" s="294"/>
      <c r="AJ885" s="294"/>
    </row>
    <row r="886" spans="2:36" x14ac:dyDescent="0.25">
      <c r="B886" s="294"/>
      <c r="C886" s="294"/>
      <c r="D886" s="294"/>
      <c r="E886" s="294"/>
      <c r="F886" s="294"/>
      <c r="G886" s="294"/>
      <c r="H886" s="294"/>
      <c r="I886" s="294"/>
      <c r="J886" s="294"/>
      <c r="L886" s="295"/>
      <c r="M886" s="294"/>
      <c r="R886" s="326"/>
      <c r="S886" s="326"/>
      <c r="T886" s="294"/>
      <c r="U886" s="294"/>
      <c r="V886" s="294"/>
      <c r="W886" s="294"/>
      <c r="X886" s="1182"/>
      <c r="Y886" s="1182"/>
      <c r="Z886" s="1166"/>
      <c r="AA886" s="1166"/>
      <c r="AB886" s="1182"/>
      <c r="AC886" s="294"/>
      <c r="AD886" s="294"/>
      <c r="AE886" s="294"/>
      <c r="AF886" s="294"/>
      <c r="AG886" s="294"/>
      <c r="AH886" s="294"/>
      <c r="AI886" s="294"/>
      <c r="AJ886" s="294"/>
    </row>
    <row r="887" spans="2:36" x14ac:dyDescent="0.25">
      <c r="B887" s="294"/>
      <c r="C887" s="294"/>
      <c r="D887" s="294"/>
      <c r="E887" s="294"/>
      <c r="F887" s="294"/>
      <c r="G887" s="294"/>
      <c r="H887" s="294"/>
      <c r="I887" s="294"/>
      <c r="J887" s="294"/>
      <c r="L887" s="295"/>
      <c r="M887" s="294"/>
      <c r="R887" s="326"/>
      <c r="S887" s="326"/>
      <c r="T887" s="294"/>
      <c r="U887" s="294"/>
      <c r="V887" s="294"/>
      <c r="W887" s="294"/>
      <c r="X887" s="1182"/>
      <c r="Y887" s="1182"/>
      <c r="Z887" s="1166"/>
      <c r="AA887" s="1166"/>
      <c r="AB887" s="1182"/>
      <c r="AC887" s="294"/>
      <c r="AD887" s="294"/>
      <c r="AE887" s="294"/>
      <c r="AF887" s="294"/>
      <c r="AG887" s="294"/>
      <c r="AH887" s="294"/>
      <c r="AI887" s="294"/>
      <c r="AJ887" s="294"/>
    </row>
    <row r="888" spans="2:36" x14ac:dyDescent="0.25">
      <c r="B888" s="294"/>
      <c r="C888" s="294"/>
      <c r="D888" s="294"/>
      <c r="E888" s="294"/>
      <c r="F888" s="294"/>
      <c r="G888" s="294"/>
      <c r="H888" s="294"/>
      <c r="I888" s="294"/>
      <c r="J888" s="294"/>
      <c r="L888" s="295"/>
      <c r="M888" s="294"/>
      <c r="R888" s="326"/>
      <c r="S888" s="326"/>
      <c r="T888" s="294"/>
      <c r="U888" s="294"/>
      <c r="V888" s="294"/>
      <c r="W888" s="294"/>
      <c r="X888" s="1182"/>
      <c r="Y888" s="1182"/>
      <c r="Z888" s="1166"/>
      <c r="AA888" s="1166"/>
      <c r="AB888" s="1182"/>
      <c r="AC888" s="294"/>
      <c r="AD888" s="294"/>
      <c r="AE888" s="294"/>
      <c r="AF888" s="294"/>
      <c r="AG888" s="294"/>
      <c r="AH888" s="294"/>
      <c r="AI888" s="294"/>
      <c r="AJ888" s="294"/>
    </row>
    <row r="889" spans="2:36" x14ac:dyDescent="0.25">
      <c r="B889" s="294"/>
      <c r="C889" s="294"/>
      <c r="D889" s="294"/>
      <c r="E889" s="294"/>
      <c r="F889" s="294"/>
      <c r="G889" s="294"/>
      <c r="H889" s="294"/>
      <c r="I889" s="294"/>
      <c r="J889" s="294"/>
      <c r="L889" s="295"/>
      <c r="M889" s="294"/>
      <c r="R889" s="326"/>
      <c r="S889" s="326"/>
      <c r="T889" s="294"/>
      <c r="U889" s="294"/>
      <c r="V889" s="294"/>
      <c r="W889" s="294"/>
      <c r="X889" s="1182"/>
      <c r="Y889" s="1182"/>
      <c r="Z889" s="1166"/>
      <c r="AA889" s="1166"/>
      <c r="AB889" s="1182"/>
      <c r="AC889" s="294"/>
      <c r="AD889" s="294"/>
      <c r="AE889" s="294"/>
      <c r="AF889" s="294"/>
      <c r="AG889" s="294"/>
      <c r="AH889" s="294"/>
      <c r="AI889" s="294"/>
      <c r="AJ889" s="294"/>
    </row>
    <row r="890" spans="2:36" x14ac:dyDescent="0.25">
      <c r="B890" s="294"/>
      <c r="C890" s="294"/>
      <c r="D890" s="294"/>
      <c r="E890" s="294"/>
      <c r="F890" s="294"/>
      <c r="G890" s="294"/>
      <c r="H890" s="294"/>
      <c r="I890" s="294"/>
      <c r="J890" s="294"/>
      <c r="L890" s="295"/>
      <c r="M890" s="294"/>
      <c r="R890" s="326"/>
      <c r="S890" s="326"/>
      <c r="T890" s="294"/>
      <c r="U890" s="294"/>
      <c r="V890" s="294"/>
      <c r="W890" s="294"/>
      <c r="X890" s="1182"/>
      <c r="Y890" s="1182"/>
      <c r="Z890" s="1166"/>
      <c r="AA890" s="1166"/>
      <c r="AB890" s="1182"/>
      <c r="AC890" s="294"/>
      <c r="AD890" s="294"/>
      <c r="AE890" s="294"/>
      <c r="AF890" s="294"/>
      <c r="AG890" s="294"/>
      <c r="AH890" s="294"/>
      <c r="AI890" s="294"/>
      <c r="AJ890" s="294"/>
    </row>
    <row r="891" spans="2:36" x14ac:dyDescent="0.25">
      <c r="B891" s="294"/>
      <c r="C891" s="294"/>
      <c r="D891" s="294"/>
      <c r="E891" s="294"/>
      <c r="F891" s="294"/>
      <c r="G891" s="294"/>
      <c r="H891" s="294"/>
      <c r="I891" s="294"/>
      <c r="J891" s="294"/>
      <c r="L891" s="295"/>
      <c r="M891" s="294"/>
      <c r="R891" s="326"/>
      <c r="S891" s="326"/>
      <c r="T891" s="294"/>
      <c r="U891" s="294"/>
      <c r="V891" s="294"/>
      <c r="W891" s="294"/>
      <c r="X891" s="1182"/>
      <c r="Y891" s="1182"/>
      <c r="Z891" s="1166"/>
      <c r="AA891" s="1166"/>
      <c r="AB891" s="1182"/>
      <c r="AC891" s="294"/>
      <c r="AD891" s="294"/>
      <c r="AE891" s="294"/>
      <c r="AF891" s="294"/>
      <c r="AG891" s="294"/>
      <c r="AH891" s="294"/>
      <c r="AI891" s="294"/>
      <c r="AJ891" s="294"/>
    </row>
    <row r="892" spans="2:36" x14ac:dyDescent="0.25">
      <c r="B892" s="294"/>
      <c r="C892" s="294"/>
      <c r="D892" s="294"/>
      <c r="E892" s="294"/>
      <c r="F892" s="294"/>
      <c r="G892" s="294"/>
      <c r="H892" s="294"/>
      <c r="I892" s="294"/>
      <c r="J892" s="294"/>
      <c r="L892" s="295"/>
      <c r="M892" s="294"/>
      <c r="R892" s="326"/>
      <c r="S892" s="326"/>
      <c r="T892" s="294"/>
      <c r="U892" s="294"/>
      <c r="V892" s="294"/>
      <c r="W892" s="294"/>
      <c r="X892" s="1182"/>
      <c r="Y892" s="1182"/>
      <c r="Z892" s="1166"/>
      <c r="AA892" s="1166"/>
      <c r="AB892" s="1182"/>
      <c r="AC892" s="294"/>
      <c r="AD892" s="294"/>
      <c r="AE892" s="294"/>
      <c r="AF892" s="294"/>
      <c r="AG892" s="294"/>
      <c r="AH892" s="294"/>
      <c r="AI892" s="294"/>
      <c r="AJ892" s="294"/>
    </row>
    <row r="893" spans="2:36" x14ac:dyDescent="0.25">
      <c r="B893" s="294"/>
      <c r="C893" s="294"/>
      <c r="D893" s="294"/>
      <c r="E893" s="294"/>
      <c r="F893" s="294"/>
      <c r="G893" s="294"/>
      <c r="H893" s="294"/>
      <c r="I893" s="294"/>
      <c r="J893" s="294"/>
      <c r="L893" s="295"/>
      <c r="M893" s="294"/>
      <c r="R893" s="326"/>
      <c r="S893" s="326"/>
      <c r="T893" s="294"/>
      <c r="U893" s="294"/>
      <c r="V893" s="294"/>
      <c r="W893" s="294"/>
      <c r="X893" s="1182"/>
      <c r="Y893" s="1182"/>
      <c r="Z893" s="1166"/>
      <c r="AA893" s="1166"/>
      <c r="AB893" s="1182"/>
      <c r="AC893" s="294"/>
      <c r="AD893" s="294"/>
      <c r="AE893" s="294"/>
      <c r="AF893" s="294"/>
      <c r="AG893" s="294"/>
      <c r="AH893" s="294"/>
      <c r="AI893" s="294"/>
      <c r="AJ893" s="294"/>
    </row>
    <row r="894" spans="2:36" x14ac:dyDescent="0.25">
      <c r="B894" s="294"/>
      <c r="C894" s="294"/>
      <c r="D894" s="294"/>
      <c r="E894" s="294"/>
      <c r="F894" s="294"/>
      <c r="G894" s="294"/>
      <c r="H894" s="294"/>
      <c r="I894" s="294"/>
      <c r="J894" s="294"/>
      <c r="L894" s="295"/>
      <c r="M894" s="294"/>
      <c r="R894" s="326"/>
      <c r="S894" s="326"/>
      <c r="T894" s="294"/>
      <c r="U894" s="294"/>
      <c r="V894" s="294"/>
      <c r="W894" s="294"/>
      <c r="X894" s="1182"/>
      <c r="Y894" s="1182"/>
      <c r="Z894" s="1166"/>
      <c r="AA894" s="1166"/>
      <c r="AB894" s="1182"/>
      <c r="AC894" s="294"/>
      <c r="AD894" s="294"/>
      <c r="AE894" s="294"/>
      <c r="AF894" s="294"/>
      <c r="AG894" s="294"/>
      <c r="AH894" s="294"/>
      <c r="AI894" s="294"/>
      <c r="AJ894" s="294"/>
    </row>
    <row r="895" spans="2:36" x14ac:dyDescent="0.25">
      <c r="B895" s="294"/>
      <c r="C895" s="294"/>
      <c r="D895" s="294"/>
      <c r="E895" s="294"/>
      <c r="F895" s="294"/>
      <c r="G895" s="294"/>
      <c r="H895" s="294"/>
      <c r="I895" s="294"/>
      <c r="J895" s="294"/>
      <c r="L895" s="295"/>
      <c r="M895" s="294"/>
      <c r="R895" s="326"/>
      <c r="S895" s="326"/>
      <c r="T895" s="294"/>
      <c r="U895" s="294"/>
      <c r="V895" s="294"/>
      <c r="W895" s="294"/>
      <c r="X895" s="1182"/>
      <c r="Y895" s="1182"/>
      <c r="Z895" s="1166"/>
      <c r="AA895" s="1166"/>
      <c r="AB895" s="1182"/>
      <c r="AC895" s="294"/>
      <c r="AD895" s="294"/>
      <c r="AE895" s="294"/>
      <c r="AF895" s="294"/>
      <c r="AG895" s="294"/>
      <c r="AH895" s="294"/>
      <c r="AI895" s="294"/>
      <c r="AJ895" s="294"/>
    </row>
    <row r="896" spans="2:36" x14ac:dyDescent="0.25">
      <c r="B896" s="294"/>
      <c r="C896" s="294"/>
      <c r="D896" s="294"/>
      <c r="E896" s="294"/>
      <c r="F896" s="294"/>
      <c r="G896" s="294"/>
      <c r="H896" s="294"/>
      <c r="I896" s="294"/>
      <c r="J896" s="294"/>
      <c r="L896" s="295"/>
      <c r="M896" s="294"/>
      <c r="R896" s="326"/>
      <c r="S896" s="326"/>
      <c r="T896" s="294"/>
      <c r="U896" s="294"/>
      <c r="V896" s="294"/>
      <c r="W896" s="294"/>
      <c r="X896" s="1182"/>
      <c r="Y896" s="1182"/>
      <c r="Z896" s="1166"/>
      <c r="AA896" s="1166"/>
      <c r="AB896" s="1182"/>
      <c r="AC896" s="294"/>
      <c r="AD896" s="294"/>
      <c r="AE896" s="294"/>
      <c r="AF896" s="294"/>
      <c r="AG896" s="294"/>
      <c r="AH896" s="294"/>
      <c r="AI896" s="294"/>
      <c r="AJ896" s="294"/>
    </row>
    <row r="897" spans="2:36" x14ac:dyDescent="0.25">
      <c r="B897" s="294"/>
      <c r="C897" s="294"/>
      <c r="D897" s="294"/>
      <c r="E897" s="294"/>
      <c r="F897" s="294"/>
      <c r="G897" s="294"/>
      <c r="H897" s="294"/>
      <c r="I897" s="294"/>
      <c r="J897" s="294"/>
      <c r="L897" s="295"/>
      <c r="M897" s="294"/>
      <c r="R897" s="326"/>
      <c r="S897" s="326"/>
      <c r="T897" s="294"/>
      <c r="U897" s="294"/>
      <c r="V897" s="294"/>
      <c r="W897" s="294"/>
      <c r="X897" s="1182"/>
      <c r="Y897" s="1182"/>
      <c r="Z897" s="1166"/>
      <c r="AA897" s="1166"/>
      <c r="AB897" s="1182"/>
      <c r="AC897" s="294"/>
      <c r="AD897" s="294"/>
      <c r="AE897" s="294"/>
      <c r="AF897" s="294"/>
      <c r="AG897" s="294"/>
      <c r="AH897" s="294"/>
      <c r="AI897" s="294"/>
      <c r="AJ897" s="294"/>
    </row>
    <row r="898" spans="2:36" x14ac:dyDescent="0.25">
      <c r="B898" s="294"/>
      <c r="C898" s="294"/>
      <c r="D898" s="294"/>
      <c r="E898" s="294"/>
      <c r="F898" s="294"/>
      <c r="G898" s="294"/>
      <c r="H898" s="294"/>
      <c r="I898" s="294"/>
      <c r="J898" s="294"/>
      <c r="L898" s="295"/>
      <c r="M898" s="294"/>
      <c r="R898" s="326"/>
      <c r="S898" s="326"/>
      <c r="T898" s="294"/>
      <c r="U898" s="294"/>
      <c r="V898" s="294"/>
      <c r="W898" s="294"/>
      <c r="X898" s="1182"/>
      <c r="Y898" s="1182"/>
      <c r="Z898" s="1166"/>
      <c r="AA898" s="1166"/>
      <c r="AB898" s="1182"/>
      <c r="AC898" s="294"/>
      <c r="AD898" s="294"/>
      <c r="AE898" s="294"/>
      <c r="AF898" s="294"/>
      <c r="AG898" s="294"/>
      <c r="AH898" s="294"/>
      <c r="AI898" s="294"/>
      <c r="AJ898" s="294"/>
    </row>
    <row r="899" spans="2:36" x14ac:dyDescent="0.25">
      <c r="B899" s="294"/>
      <c r="C899" s="294"/>
      <c r="D899" s="294"/>
      <c r="E899" s="294"/>
      <c r="F899" s="294"/>
      <c r="G899" s="294"/>
      <c r="H899" s="294"/>
      <c r="I899" s="294"/>
      <c r="J899" s="294"/>
      <c r="L899" s="295"/>
      <c r="M899" s="294"/>
      <c r="R899" s="326"/>
      <c r="S899" s="326"/>
      <c r="T899" s="294"/>
      <c r="U899" s="294"/>
      <c r="V899" s="294"/>
      <c r="W899" s="294"/>
      <c r="X899" s="1182"/>
      <c r="Y899" s="1182"/>
      <c r="Z899" s="1166"/>
      <c r="AA899" s="1166"/>
      <c r="AB899" s="1182"/>
      <c r="AC899" s="294"/>
      <c r="AD899" s="294"/>
      <c r="AE899" s="294"/>
      <c r="AF899" s="294"/>
      <c r="AG899" s="294"/>
      <c r="AH899" s="294"/>
      <c r="AI899" s="294"/>
      <c r="AJ899" s="294"/>
    </row>
    <row r="900" spans="2:36" x14ac:dyDescent="0.25">
      <c r="B900" s="294"/>
      <c r="C900" s="294"/>
      <c r="D900" s="294"/>
      <c r="E900" s="294"/>
      <c r="F900" s="294"/>
      <c r="G900" s="294"/>
      <c r="H900" s="294"/>
      <c r="I900" s="294"/>
      <c r="J900" s="294"/>
      <c r="L900" s="295"/>
      <c r="M900" s="294"/>
      <c r="R900" s="326"/>
      <c r="S900" s="326"/>
      <c r="T900" s="294"/>
      <c r="U900" s="294"/>
      <c r="V900" s="294"/>
      <c r="W900" s="294"/>
      <c r="X900" s="1182"/>
      <c r="Y900" s="1182"/>
      <c r="Z900" s="1166"/>
      <c r="AA900" s="1166"/>
      <c r="AB900" s="1182"/>
      <c r="AC900" s="294"/>
      <c r="AD900" s="294"/>
      <c r="AE900" s="294"/>
      <c r="AF900" s="294"/>
      <c r="AG900" s="294"/>
      <c r="AH900" s="294"/>
      <c r="AI900" s="294"/>
      <c r="AJ900" s="294"/>
    </row>
    <row r="901" spans="2:36" x14ac:dyDescent="0.25">
      <c r="B901" s="294"/>
      <c r="C901" s="294"/>
      <c r="D901" s="294"/>
      <c r="E901" s="294"/>
      <c r="F901" s="294"/>
      <c r="G901" s="294"/>
      <c r="H901" s="294"/>
      <c r="I901" s="294"/>
      <c r="J901" s="294"/>
      <c r="L901" s="295"/>
      <c r="M901" s="294"/>
      <c r="R901" s="326"/>
      <c r="S901" s="326"/>
      <c r="T901" s="294"/>
      <c r="U901" s="294"/>
      <c r="V901" s="294"/>
      <c r="W901" s="294"/>
      <c r="X901" s="1182"/>
      <c r="Y901" s="1182"/>
      <c r="Z901" s="1166"/>
      <c r="AA901" s="1166"/>
      <c r="AB901" s="1182"/>
      <c r="AC901" s="294"/>
      <c r="AD901" s="294"/>
      <c r="AE901" s="294"/>
      <c r="AF901" s="294"/>
      <c r="AG901" s="294"/>
      <c r="AH901" s="294"/>
      <c r="AI901" s="294"/>
      <c r="AJ901" s="294"/>
    </row>
    <row r="902" spans="2:36" x14ac:dyDescent="0.25">
      <c r="B902" s="294"/>
      <c r="C902" s="294"/>
      <c r="D902" s="294"/>
      <c r="E902" s="294"/>
      <c r="F902" s="294"/>
      <c r="G902" s="294"/>
      <c r="H902" s="294"/>
      <c r="I902" s="294"/>
      <c r="J902" s="294"/>
      <c r="L902" s="295"/>
      <c r="M902" s="294"/>
      <c r="R902" s="326"/>
      <c r="S902" s="326"/>
      <c r="T902" s="294"/>
      <c r="U902" s="294"/>
      <c r="V902" s="294"/>
      <c r="W902" s="294"/>
      <c r="X902" s="1182"/>
      <c r="Y902" s="1182"/>
      <c r="Z902" s="1166"/>
      <c r="AA902" s="1166"/>
      <c r="AB902" s="1182"/>
      <c r="AC902" s="294"/>
      <c r="AD902" s="294"/>
      <c r="AE902" s="294"/>
      <c r="AF902" s="294"/>
      <c r="AG902" s="294"/>
      <c r="AH902" s="294"/>
      <c r="AI902" s="294"/>
      <c r="AJ902" s="294"/>
    </row>
    <row r="903" spans="2:36" x14ac:dyDescent="0.25">
      <c r="B903" s="294"/>
      <c r="C903" s="294"/>
      <c r="D903" s="294"/>
      <c r="E903" s="294"/>
      <c r="F903" s="294"/>
      <c r="G903" s="294"/>
      <c r="H903" s="294"/>
      <c r="I903" s="294"/>
      <c r="J903" s="294"/>
      <c r="L903" s="295"/>
      <c r="M903" s="294"/>
      <c r="R903" s="326"/>
      <c r="S903" s="326"/>
      <c r="T903" s="294"/>
      <c r="U903" s="294"/>
      <c r="V903" s="294"/>
      <c r="W903" s="294"/>
      <c r="X903" s="1182"/>
      <c r="Y903" s="1182"/>
      <c r="Z903" s="1166"/>
      <c r="AA903" s="1166"/>
      <c r="AB903" s="1182"/>
      <c r="AC903" s="294"/>
      <c r="AD903" s="294"/>
      <c r="AE903" s="294"/>
      <c r="AF903" s="294"/>
      <c r="AG903" s="294"/>
      <c r="AH903" s="294"/>
      <c r="AI903" s="294"/>
      <c r="AJ903" s="294"/>
    </row>
    <row r="904" spans="2:36" x14ac:dyDescent="0.25">
      <c r="B904" s="294"/>
      <c r="C904" s="294"/>
      <c r="D904" s="294"/>
      <c r="E904" s="294"/>
      <c r="F904" s="294"/>
      <c r="G904" s="294"/>
      <c r="H904" s="294"/>
      <c r="I904" s="294"/>
      <c r="J904" s="294"/>
      <c r="L904" s="295"/>
      <c r="M904" s="294"/>
      <c r="R904" s="326"/>
      <c r="S904" s="326"/>
      <c r="T904" s="294"/>
      <c r="U904" s="294"/>
      <c r="V904" s="294"/>
      <c r="W904" s="294"/>
      <c r="X904" s="1182"/>
      <c r="Y904" s="1182"/>
      <c r="Z904" s="1166"/>
      <c r="AA904" s="1166"/>
      <c r="AB904" s="1182"/>
      <c r="AC904" s="294"/>
      <c r="AD904" s="294"/>
      <c r="AE904" s="294"/>
      <c r="AF904" s="294"/>
      <c r="AG904" s="294"/>
      <c r="AH904" s="294"/>
      <c r="AI904" s="294"/>
      <c r="AJ904" s="294"/>
    </row>
    <row r="905" spans="2:36" x14ac:dyDescent="0.25">
      <c r="B905" s="294"/>
      <c r="C905" s="294"/>
      <c r="D905" s="294"/>
      <c r="E905" s="294"/>
      <c r="F905" s="294"/>
      <c r="G905" s="294"/>
      <c r="H905" s="294"/>
      <c r="I905" s="294"/>
      <c r="J905" s="294"/>
      <c r="L905" s="295"/>
      <c r="M905" s="294"/>
      <c r="R905" s="326"/>
      <c r="S905" s="326"/>
      <c r="T905" s="294"/>
      <c r="U905" s="294"/>
      <c r="V905" s="294"/>
      <c r="W905" s="294"/>
      <c r="X905" s="1182"/>
      <c r="Y905" s="1182"/>
      <c r="Z905" s="1166"/>
      <c r="AA905" s="1166"/>
      <c r="AB905" s="1182"/>
      <c r="AC905" s="294"/>
      <c r="AD905" s="294"/>
      <c r="AE905" s="294"/>
      <c r="AF905" s="294"/>
      <c r="AG905" s="294"/>
      <c r="AH905" s="294"/>
      <c r="AI905" s="294"/>
      <c r="AJ905" s="294"/>
    </row>
    <row r="906" spans="2:36" x14ac:dyDescent="0.25">
      <c r="B906" s="294"/>
      <c r="C906" s="294"/>
      <c r="D906" s="294"/>
      <c r="E906" s="294"/>
      <c r="F906" s="294"/>
      <c r="G906" s="294"/>
      <c r="H906" s="294"/>
      <c r="I906" s="294"/>
      <c r="J906" s="294"/>
      <c r="L906" s="295"/>
      <c r="M906" s="294"/>
      <c r="R906" s="326"/>
      <c r="S906" s="326"/>
      <c r="T906" s="294"/>
      <c r="U906" s="294"/>
      <c r="V906" s="294"/>
      <c r="W906" s="294"/>
      <c r="X906" s="1182"/>
      <c r="Y906" s="1182"/>
      <c r="Z906" s="1166"/>
      <c r="AA906" s="1166"/>
      <c r="AB906" s="1182"/>
      <c r="AC906" s="294"/>
      <c r="AD906" s="294"/>
      <c r="AE906" s="294"/>
      <c r="AF906" s="294"/>
      <c r="AG906" s="294"/>
      <c r="AH906" s="294"/>
      <c r="AI906" s="294"/>
      <c r="AJ906" s="294"/>
    </row>
    <row r="907" spans="2:36" x14ac:dyDescent="0.25">
      <c r="B907" s="294"/>
      <c r="C907" s="294"/>
      <c r="D907" s="294"/>
      <c r="E907" s="294"/>
      <c r="F907" s="294"/>
      <c r="G907" s="294"/>
      <c r="H907" s="294"/>
      <c r="I907" s="294"/>
      <c r="J907" s="294"/>
      <c r="L907" s="295"/>
      <c r="M907" s="294"/>
      <c r="R907" s="326"/>
      <c r="S907" s="326"/>
      <c r="T907" s="294"/>
      <c r="U907" s="294"/>
      <c r="V907" s="294"/>
      <c r="W907" s="294"/>
      <c r="X907" s="1182"/>
      <c r="Y907" s="1182"/>
      <c r="Z907" s="1166"/>
      <c r="AA907" s="1166"/>
      <c r="AB907" s="1182"/>
      <c r="AC907" s="294"/>
      <c r="AD907" s="294"/>
      <c r="AE907" s="294"/>
      <c r="AF907" s="294"/>
      <c r="AG907" s="294"/>
      <c r="AH907" s="294"/>
      <c r="AI907" s="294"/>
      <c r="AJ907" s="294"/>
    </row>
    <row r="908" spans="2:36" x14ac:dyDescent="0.25">
      <c r="B908" s="294"/>
      <c r="C908" s="294"/>
      <c r="D908" s="294"/>
      <c r="E908" s="294"/>
      <c r="F908" s="294"/>
      <c r="G908" s="294"/>
      <c r="H908" s="294"/>
      <c r="I908" s="294"/>
      <c r="J908" s="294"/>
      <c r="L908" s="295"/>
      <c r="M908" s="294"/>
      <c r="R908" s="326"/>
      <c r="S908" s="326"/>
      <c r="T908" s="294"/>
      <c r="U908" s="294"/>
      <c r="V908" s="294"/>
      <c r="W908" s="294"/>
      <c r="X908" s="1182"/>
      <c r="Y908" s="1182"/>
      <c r="Z908" s="1166"/>
      <c r="AA908" s="1166"/>
      <c r="AB908" s="1182"/>
      <c r="AC908" s="294"/>
      <c r="AD908" s="294"/>
      <c r="AE908" s="294"/>
      <c r="AF908" s="294"/>
      <c r="AG908" s="294"/>
      <c r="AH908" s="294"/>
      <c r="AI908" s="294"/>
      <c r="AJ908" s="294"/>
    </row>
    <row r="909" spans="2:36" x14ac:dyDescent="0.25">
      <c r="B909" s="294"/>
      <c r="C909" s="294"/>
      <c r="D909" s="294"/>
      <c r="E909" s="294"/>
      <c r="F909" s="294"/>
      <c r="G909" s="294"/>
      <c r="H909" s="294"/>
      <c r="I909" s="294"/>
      <c r="J909" s="294"/>
      <c r="L909" s="295"/>
      <c r="M909" s="294"/>
      <c r="R909" s="326"/>
      <c r="S909" s="326"/>
      <c r="T909" s="294"/>
      <c r="U909" s="294"/>
      <c r="V909" s="294"/>
      <c r="W909" s="294"/>
      <c r="X909" s="1182"/>
      <c r="Y909" s="1182"/>
      <c r="Z909" s="1166"/>
      <c r="AA909" s="1166"/>
      <c r="AB909" s="1182"/>
      <c r="AC909" s="294"/>
      <c r="AD909" s="294"/>
      <c r="AE909" s="294"/>
      <c r="AF909" s="294"/>
      <c r="AG909" s="294"/>
      <c r="AH909" s="294"/>
      <c r="AI909" s="294"/>
      <c r="AJ909" s="294"/>
    </row>
    <row r="910" spans="2:36" x14ac:dyDescent="0.25">
      <c r="B910" s="294"/>
      <c r="C910" s="294"/>
      <c r="D910" s="294"/>
      <c r="E910" s="294"/>
      <c r="F910" s="294"/>
      <c r="G910" s="294"/>
      <c r="H910" s="294"/>
      <c r="I910" s="294"/>
      <c r="J910" s="294"/>
      <c r="L910" s="295"/>
      <c r="M910" s="294"/>
      <c r="R910" s="326"/>
      <c r="S910" s="326"/>
      <c r="T910" s="294"/>
      <c r="U910" s="294"/>
      <c r="V910" s="294"/>
      <c r="W910" s="294"/>
      <c r="X910" s="1182"/>
      <c r="Y910" s="1182"/>
      <c r="Z910" s="1166"/>
      <c r="AA910" s="1166"/>
      <c r="AB910" s="1182"/>
      <c r="AC910" s="294"/>
      <c r="AD910" s="294"/>
      <c r="AE910" s="294"/>
      <c r="AF910" s="294"/>
      <c r="AG910" s="294"/>
      <c r="AH910" s="294"/>
      <c r="AI910" s="294"/>
      <c r="AJ910" s="294"/>
    </row>
    <row r="911" spans="2:36" x14ac:dyDescent="0.25">
      <c r="B911" s="294"/>
      <c r="C911" s="294"/>
      <c r="D911" s="294"/>
      <c r="E911" s="294"/>
      <c r="F911" s="294"/>
      <c r="G911" s="294"/>
      <c r="H911" s="294"/>
      <c r="I911" s="294"/>
      <c r="J911" s="294"/>
      <c r="L911" s="295"/>
      <c r="M911" s="294"/>
      <c r="R911" s="326"/>
      <c r="S911" s="326"/>
      <c r="T911" s="294"/>
      <c r="U911" s="294"/>
      <c r="V911" s="294"/>
      <c r="W911" s="294"/>
      <c r="X911" s="1182"/>
      <c r="Y911" s="1182"/>
      <c r="Z911" s="1166"/>
      <c r="AA911" s="1166"/>
      <c r="AB911" s="1182"/>
      <c r="AC911" s="294"/>
      <c r="AD911" s="294"/>
      <c r="AE911" s="294"/>
      <c r="AF911" s="294"/>
      <c r="AG911" s="294"/>
      <c r="AH911" s="294"/>
      <c r="AI911" s="294"/>
      <c r="AJ911" s="294"/>
    </row>
    <row r="912" spans="2:36" x14ac:dyDescent="0.25">
      <c r="B912" s="294"/>
      <c r="C912" s="294"/>
      <c r="D912" s="294"/>
      <c r="E912" s="294"/>
      <c r="F912" s="294"/>
      <c r="G912" s="294"/>
      <c r="H912" s="294"/>
      <c r="I912" s="294"/>
      <c r="J912" s="294"/>
      <c r="L912" s="295"/>
      <c r="M912" s="294"/>
      <c r="R912" s="326"/>
      <c r="S912" s="326"/>
      <c r="T912" s="294"/>
      <c r="U912" s="294"/>
      <c r="V912" s="294"/>
      <c r="W912" s="294"/>
      <c r="X912" s="1182"/>
      <c r="Y912" s="1182"/>
      <c r="Z912" s="1166"/>
      <c r="AA912" s="1166"/>
      <c r="AB912" s="1182"/>
      <c r="AC912" s="294"/>
      <c r="AD912" s="294"/>
      <c r="AE912" s="294"/>
      <c r="AF912" s="294"/>
      <c r="AG912" s="294"/>
      <c r="AH912" s="294"/>
      <c r="AI912" s="294"/>
      <c r="AJ912" s="294"/>
    </row>
    <row r="913" spans="2:36" x14ac:dyDescent="0.25">
      <c r="B913" s="294"/>
      <c r="C913" s="294"/>
      <c r="D913" s="294"/>
      <c r="E913" s="294"/>
      <c r="F913" s="294"/>
      <c r="G913" s="294"/>
      <c r="H913" s="294"/>
      <c r="I913" s="294"/>
      <c r="J913" s="294"/>
      <c r="L913" s="295"/>
      <c r="M913" s="294"/>
      <c r="R913" s="326"/>
      <c r="S913" s="326"/>
      <c r="T913" s="294"/>
      <c r="U913" s="294"/>
      <c r="V913" s="294"/>
      <c r="W913" s="294"/>
      <c r="X913" s="1182"/>
      <c r="Y913" s="1182"/>
      <c r="Z913" s="1166"/>
      <c r="AA913" s="1166"/>
      <c r="AB913" s="1182"/>
      <c r="AC913" s="294"/>
      <c r="AD913" s="294"/>
      <c r="AE913" s="294"/>
      <c r="AF913" s="294"/>
      <c r="AG913" s="294"/>
      <c r="AH913" s="294"/>
      <c r="AI913" s="294"/>
      <c r="AJ913" s="294"/>
    </row>
    <row r="914" spans="2:36" x14ac:dyDescent="0.25">
      <c r="B914" s="294"/>
      <c r="C914" s="294"/>
      <c r="D914" s="294"/>
      <c r="E914" s="294"/>
      <c r="F914" s="294"/>
      <c r="G914" s="294"/>
      <c r="H914" s="294"/>
      <c r="I914" s="294"/>
      <c r="J914" s="294"/>
      <c r="L914" s="295"/>
      <c r="M914" s="294"/>
      <c r="R914" s="326"/>
      <c r="S914" s="326"/>
      <c r="T914" s="294"/>
      <c r="U914" s="294"/>
      <c r="V914" s="294"/>
      <c r="W914" s="294"/>
      <c r="X914" s="1182"/>
      <c r="Y914" s="1182"/>
      <c r="Z914" s="1166"/>
      <c r="AA914" s="1166"/>
      <c r="AB914" s="1182"/>
      <c r="AC914" s="294"/>
      <c r="AD914" s="294"/>
      <c r="AE914" s="294"/>
      <c r="AF914" s="294"/>
      <c r="AG914" s="294"/>
      <c r="AH914" s="294"/>
      <c r="AI914" s="294"/>
      <c r="AJ914" s="294"/>
    </row>
    <row r="915" spans="2:36" x14ac:dyDescent="0.25">
      <c r="B915" s="294"/>
      <c r="C915" s="294"/>
      <c r="D915" s="294"/>
      <c r="E915" s="294"/>
      <c r="F915" s="294"/>
      <c r="G915" s="294"/>
      <c r="H915" s="294"/>
      <c r="I915" s="294"/>
      <c r="J915" s="294"/>
      <c r="L915" s="295"/>
      <c r="M915" s="294"/>
      <c r="R915" s="326"/>
      <c r="S915" s="326"/>
      <c r="T915" s="294"/>
      <c r="U915" s="294"/>
      <c r="V915" s="294"/>
      <c r="W915" s="294"/>
      <c r="X915" s="1182"/>
      <c r="Y915" s="1182"/>
      <c r="Z915" s="1166"/>
      <c r="AA915" s="1166"/>
      <c r="AB915" s="1182"/>
      <c r="AC915" s="294"/>
      <c r="AD915" s="294"/>
      <c r="AE915" s="294"/>
      <c r="AF915" s="294"/>
      <c r="AG915" s="294"/>
      <c r="AH915" s="294"/>
      <c r="AI915" s="294"/>
      <c r="AJ915" s="294"/>
    </row>
    <row r="916" spans="2:36" x14ac:dyDescent="0.25">
      <c r="B916" s="294"/>
      <c r="C916" s="294"/>
      <c r="D916" s="294"/>
      <c r="E916" s="294"/>
      <c r="F916" s="294"/>
      <c r="G916" s="294"/>
      <c r="H916" s="294"/>
      <c r="I916" s="294"/>
      <c r="J916" s="294"/>
      <c r="L916" s="295"/>
      <c r="M916" s="294"/>
      <c r="R916" s="326"/>
      <c r="S916" s="326"/>
      <c r="T916" s="294"/>
      <c r="U916" s="294"/>
      <c r="V916" s="294"/>
      <c r="W916" s="294"/>
      <c r="X916" s="1182"/>
      <c r="Y916" s="1182"/>
      <c r="Z916" s="1166"/>
      <c r="AA916" s="1166"/>
      <c r="AB916" s="1182"/>
      <c r="AC916" s="294"/>
      <c r="AD916" s="294"/>
      <c r="AE916" s="294"/>
      <c r="AF916" s="294"/>
      <c r="AG916" s="294"/>
      <c r="AH916" s="294"/>
      <c r="AI916" s="294"/>
      <c r="AJ916" s="294"/>
    </row>
    <row r="917" spans="2:36" x14ac:dyDescent="0.25">
      <c r="B917" s="294"/>
      <c r="C917" s="294"/>
      <c r="D917" s="294"/>
      <c r="E917" s="294"/>
      <c r="F917" s="294"/>
      <c r="G917" s="294"/>
      <c r="H917" s="294"/>
      <c r="I917" s="294"/>
      <c r="J917" s="294"/>
      <c r="L917" s="295"/>
      <c r="M917" s="294"/>
      <c r="R917" s="326"/>
      <c r="S917" s="326"/>
      <c r="T917" s="294"/>
      <c r="U917" s="294"/>
      <c r="V917" s="294"/>
      <c r="W917" s="294"/>
      <c r="X917" s="1182"/>
      <c r="Y917" s="1182"/>
      <c r="Z917" s="1166"/>
      <c r="AA917" s="1166"/>
      <c r="AB917" s="1182"/>
      <c r="AC917" s="294"/>
      <c r="AD917" s="294"/>
      <c r="AE917" s="294"/>
      <c r="AF917" s="294"/>
      <c r="AG917" s="294"/>
      <c r="AH917" s="294"/>
      <c r="AI917" s="294"/>
      <c r="AJ917" s="294"/>
    </row>
    <row r="918" spans="2:36" x14ac:dyDescent="0.25">
      <c r="B918" s="294"/>
      <c r="C918" s="294"/>
      <c r="D918" s="294"/>
      <c r="E918" s="294"/>
      <c r="F918" s="294"/>
      <c r="G918" s="294"/>
      <c r="H918" s="294"/>
      <c r="I918" s="294"/>
      <c r="J918" s="294"/>
      <c r="L918" s="295"/>
      <c r="M918" s="294"/>
      <c r="R918" s="326"/>
      <c r="S918" s="326"/>
      <c r="T918" s="294"/>
      <c r="U918" s="294"/>
      <c r="V918" s="294"/>
      <c r="W918" s="294"/>
      <c r="X918" s="1182"/>
      <c r="Y918" s="1182"/>
      <c r="Z918" s="1166"/>
      <c r="AA918" s="1166"/>
      <c r="AB918" s="1182"/>
      <c r="AC918" s="294"/>
      <c r="AD918" s="294"/>
      <c r="AE918" s="294"/>
      <c r="AF918" s="294"/>
      <c r="AG918" s="294"/>
      <c r="AH918" s="294"/>
      <c r="AI918" s="294"/>
      <c r="AJ918" s="294"/>
    </row>
    <row r="919" spans="2:36" x14ac:dyDescent="0.25">
      <c r="B919" s="294"/>
      <c r="C919" s="294"/>
      <c r="D919" s="294"/>
      <c r="E919" s="294"/>
      <c r="F919" s="294"/>
      <c r="G919" s="294"/>
      <c r="H919" s="294"/>
      <c r="I919" s="294"/>
      <c r="J919" s="294"/>
      <c r="L919" s="295"/>
      <c r="M919" s="294"/>
      <c r="R919" s="326"/>
      <c r="S919" s="326"/>
      <c r="T919" s="294"/>
      <c r="U919" s="294"/>
      <c r="V919" s="294"/>
      <c r="W919" s="294"/>
      <c r="X919" s="1182"/>
      <c r="Y919" s="1182"/>
      <c r="Z919" s="1166"/>
      <c r="AA919" s="1166"/>
      <c r="AB919" s="1182"/>
      <c r="AC919" s="294"/>
      <c r="AD919" s="294"/>
      <c r="AE919" s="294"/>
      <c r="AF919" s="294"/>
      <c r="AG919" s="294"/>
      <c r="AH919" s="294"/>
      <c r="AI919" s="294"/>
      <c r="AJ919" s="294"/>
    </row>
    <row r="920" spans="2:36" x14ac:dyDescent="0.25">
      <c r="B920" s="294"/>
      <c r="C920" s="294"/>
      <c r="D920" s="294"/>
      <c r="E920" s="294"/>
      <c r="F920" s="294"/>
      <c r="G920" s="294"/>
      <c r="H920" s="294"/>
      <c r="I920" s="294"/>
      <c r="J920" s="294"/>
      <c r="L920" s="295"/>
      <c r="M920" s="294"/>
      <c r="R920" s="326"/>
      <c r="S920" s="326"/>
      <c r="T920" s="294"/>
      <c r="U920" s="294"/>
      <c r="V920" s="294"/>
      <c r="W920" s="294"/>
      <c r="X920" s="1182"/>
      <c r="Y920" s="1182"/>
      <c r="Z920" s="1166"/>
      <c r="AA920" s="1166"/>
      <c r="AB920" s="1182"/>
      <c r="AC920" s="294"/>
      <c r="AD920" s="294"/>
      <c r="AE920" s="294"/>
      <c r="AF920" s="294"/>
      <c r="AG920" s="294"/>
      <c r="AH920" s="294"/>
      <c r="AI920" s="294"/>
      <c r="AJ920" s="294"/>
    </row>
    <row r="921" spans="2:36" x14ac:dyDescent="0.25">
      <c r="B921" s="294"/>
      <c r="C921" s="294"/>
      <c r="D921" s="294"/>
      <c r="E921" s="294"/>
      <c r="F921" s="294"/>
      <c r="G921" s="294"/>
      <c r="H921" s="294"/>
      <c r="I921" s="294"/>
      <c r="J921" s="294"/>
      <c r="L921" s="295"/>
      <c r="M921" s="294"/>
      <c r="R921" s="326"/>
      <c r="S921" s="326"/>
      <c r="T921" s="294"/>
      <c r="U921" s="294"/>
      <c r="V921" s="294"/>
      <c r="W921" s="294"/>
      <c r="X921" s="1182"/>
      <c r="Y921" s="1182"/>
      <c r="Z921" s="1166"/>
      <c r="AA921" s="1166"/>
      <c r="AB921" s="1182"/>
      <c r="AC921" s="294"/>
      <c r="AD921" s="294"/>
      <c r="AE921" s="294"/>
      <c r="AF921" s="294"/>
      <c r="AG921" s="294"/>
      <c r="AH921" s="294"/>
      <c r="AI921" s="294"/>
      <c r="AJ921" s="294"/>
    </row>
    <row r="922" spans="2:36" x14ac:dyDescent="0.25">
      <c r="B922" s="294"/>
      <c r="C922" s="294"/>
      <c r="D922" s="294"/>
      <c r="E922" s="294"/>
      <c r="F922" s="294"/>
      <c r="G922" s="294"/>
      <c r="H922" s="294"/>
      <c r="I922" s="294"/>
      <c r="J922" s="294"/>
      <c r="L922" s="295"/>
      <c r="M922" s="294"/>
      <c r="R922" s="326"/>
      <c r="S922" s="326"/>
      <c r="T922" s="294"/>
      <c r="U922" s="294"/>
      <c r="V922" s="294"/>
      <c r="W922" s="294"/>
      <c r="X922" s="1182"/>
      <c r="Y922" s="1182"/>
      <c r="Z922" s="1166"/>
      <c r="AA922" s="1166"/>
      <c r="AB922" s="1182"/>
      <c r="AC922" s="294"/>
      <c r="AD922" s="294"/>
      <c r="AE922" s="294"/>
      <c r="AF922" s="294"/>
      <c r="AG922" s="294"/>
      <c r="AH922" s="294"/>
      <c r="AI922" s="294"/>
      <c r="AJ922" s="294"/>
    </row>
    <row r="923" spans="2:36" x14ac:dyDescent="0.25">
      <c r="B923" s="294"/>
      <c r="C923" s="294"/>
      <c r="D923" s="294"/>
      <c r="E923" s="294"/>
      <c r="F923" s="294"/>
      <c r="G923" s="294"/>
      <c r="H923" s="294"/>
      <c r="I923" s="294"/>
      <c r="J923" s="294"/>
      <c r="L923" s="295"/>
      <c r="M923" s="294"/>
      <c r="R923" s="326"/>
      <c r="S923" s="326"/>
      <c r="T923" s="294"/>
      <c r="U923" s="294"/>
      <c r="V923" s="294"/>
      <c r="W923" s="294"/>
      <c r="X923" s="1182"/>
      <c r="Y923" s="1182"/>
      <c r="Z923" s="1166"/>
      <c r="AA923" s="1166"/>
      <c r="AB923" s="1182"/>
      <c r="AC923" s="294"/>
      <c r="AD923" s="294"/>
      <c r="AE923" s="294"/>
      <c r="AF923" s="294"/>
      <c r="AG923" s="294"/>
      <c r="AH923" s="294"/>
      <c r="AI923" s="294"/>
      <c r="AJ923" s="294"/>
    </row>
    <row r="924" spans="2:36" x14ac:dyDescent="0.25">
      <c r="B924" s="294"/>
      <c r="C924" s="294"/>
      <c r="D924" s="294"/>
      <c r="E924" s="294"/>
      <c r="F924" s="294"/>
      <c r="G924" s="294"/>
      <c r="H924" s="294"/>
      <c r="I924" s="294"/>
      <c r="J924" s="294"/>
      <c r="L924" s="295"/>
      <c r="M924" s="294"/>
      <c r="R924" s="326"/>
      <c r="S924" s="326"/>
      <c r="T924" s="294"/>
      <c r="U924" s="294"/>
      <c r="V924" s="294"/>
      <c r="W924" s="294"/>
      <c r="X924" s="1182"/>
      <c r="Y924" s="1182"/>
      <c r="Z924" s="1166"/>
      <c r="AA924" s="1166"/>
      <c r="AB924" s="1182"/>
      <c r="AC924" s="294"/>
      <c r="AD924" s="294"/>
      <c r="AE924" s="294"/>
      <c r="AF924" s="294"/>
      <c r="AG924" s="294"/>
      <c r="AH924" s="294"/>
      <c r="AI924" s="294"/>
      <c r="AJ924" s="294"/>
    </row>
    <row r="925" spans="2:36" x14ac:dyDescent="0.25">
      <c r="B925" s="294"/>
      <c r="C925" s="294"/>
      <c r="D925" s="294"/>
      <c r="E925" s="294"/>
      <c r="F925" s="294"/>
      <c r="G925" s="294"/>
      <c r="H925" s="294"/>
      <c r="I925" s="294"/>
      <c r="J925" s="294"/>
      <c r="L925" s="295"/>
      <c r="M925" s="294"/>
      <c r="R925" s="326"/>
      <c r="S925" s="326"/>
      <c r="T925" s="294"/>
      <c r="U925" s="294"/>
      <c r="V925" s="294"/>
      <c r="W925" s="294"/>
      <c r="X925" s="1182"/>
      <c r="Y925" s="1182"/>
      <c r="Z925" s="1166"/>
      <c r="AA925" s="1166"/>
      <c r="AB925" s="1182"/>
      <c r="AC925" s="294"/>
      <c r="AD925" s="294"/>
      <c r="AE925" s="294"/>
      <c r="AF925" s="294"/>
      <c r="AG925" s="294"/>
      <c r="AH925" s="294"/>
      <c r="AI925" s="294"/>
      <c r="AJ925" s="294"/>
    </row>
    <row r="926" spans="2:36" x14ac:dyDescent="0.25">
      <c r="B926" s="294"/>
      <c r="C926" s="294"/>
      <c r="D926" s="294"/>
      <c r="E926" s="294"/>
      <c r="F926" s="294"/>
      <c r="G926" s="294"/>
      <c r="H926" s="294"/>
      <c r="I926" s="294"/>
      <c r="J926" s="294"/>
      <c r="L926" s="295"/>
      <c r="M926" s="294"/>
      <c r="R926" s="326"/>
      <c r="S926" s="326"/>
      <c r="T926" s="294"/>
      <c r="U926" s="294"/>
      <c r="V926" s="294"/>
      <c r="W926" s="294"/>
      <c r="X926" s="1182"/>
      <c r="Y926" s="1182"/>
      <c r="Z926" s="1166"/>
      <c r="AA926" s="1166"/>
      <c r="AB926" s="1182"/>
      <c r="AC926" s="294"/>
      <c r="AD926" s="294"/>
      <c r="AE926" s="294"/>
      <c r="AF926" s="294"/>
      <c r="AG926" s="294"/>
      <c r="AH926" s="294"/>
      <c r="AI926" s="294"/>
      <c r="AJ926" s="294"/>
    </row>
    <row r="927" spans="2:36" x14ac:dyDescent="0.25">
      <c r="B927" s="294"/>
      <c r="C927" s="294"/>
      <c r="D927" s="294"/>
      <c r="E927" s="294"/>
      <c r="F927" s="294"/>
      <c r="G927" s="294"/>
      <c r="H927" s="294"/>
      <c r="I927" s="294"/>
      <c r="J927" s="294"/>
      <c r="L927" s="295"/>
      <c r="M927" s="294"/>
      <c r="R927" s="326"/>
      <c r="S927" s="326"/>
      <c r="T927" s="294"/>
      <c r="U927" s="294"/>
      <c r="V927" s="294"/>
      <c r="W927" s="294"/>
      <c r="X927" s="1182"/>
      <c r="Y927" s="1182"/>
      <c r="Z927" s="1166"/>
      <c r="AA927" s="1166"/>
      <c r="AB927" s="1182"/>
      <c r="AC927" s="294"/>
      <c r="AD927" s="294"/>
      <c r="AE927" s="294"/>
      <c r="AF927" s="294"/>
      <c r="AG927" s="294"/>
      <c r="AH927" s="294"/>
      <c r="AI927" s="294"/>
      <c r="AJ927" s="294"/>
    </row>
    <row r="928" spans="2:36" x14ac:dyDescent="0.25">
      <c r="B928" s="294"/>
      <c r="C928" s="294"/>
      <c r="D928" s="294"/>
      <c r="E928" s="294"/>
      <c r="F928" s="294"/>
      <c r="G928" s="294"/>
      <c r="H928" s="294"/>
      <c r="I928" s="294"/>
      <c r="J928" s="294"/>
      <c r="L928" s="295"/>
      <c r="M928" s="294"/>
      <c r="R928" s="326"/>
      <c r="S928" s="326"/>
      <c r="T928" s="294"/>
      <c r="U928" s="294"/>
      <c r="V928" s="294"/>
      <c r="W928" s="294"/>
      <c r="X928" s="1182"/>
      <c r="Y928" s="1182"/>
      <c r="Z928" s="1166"/>
      <c r="AA928" s="1166"/>
      <c r="AB928" s="1182"/>
      <c r="AC928" s="294"/>
      <c r="AD928" s="294"/>
      <c r="AE928" s="294"/>
      <c r="AF928" s="294"/>
      <c r="AG928" s="294"/>
      <c r="AH928" s="294"/>
      <c r="AI928" s="294"/>
      <c r="AJ928" s="294"/>
    </row>
    <row r="929" spans="2:36" x14ac:dyDescent="0.25">
      <c r="B929" s="294"/>
      <c r="C929" s="294"/>
      <c r="D929" s="294"/>
      <c r="E929" s="294"/>
      <c r="F929" s="294"/>
      <c r="G929" s="294"/>
      <c r="H929" s="294"/>
      <c r="I929" s="294"/>
      <c r="J929" s="294"/>
      <c r="L929" s="295"/>
      <c r="M929" s="294"/>
      <c r="R929" s="326"/>
      <c r="S929" s="326"/>
      <c r="T929" s="294"/>
      <c r="U929" s="294"/>
      <c r="V929" s="294"/>
      <c r="W929" s="294"/>
      <c r="X929" s="1182"/>
      <c r="Y929" s="1182"/>
      <c r="Z929" s="1166"/>
      <c r="AA929" s="1166"/>
      <c r="AB929" s="1182"/>
      <c r="AC929" s="294"/>
      <c r="AD929" s="294"/>
      <c r="AE929" s="294"/>
      <c r="AF929" s="294"/>
      <c r="AG929" s="294"/>
      <c r="AH929" s="294"/>
      <c r="AI929" s="294"/>
      <c r="AJ929" s="294"/>
    </row>
    <row r="930" spans="2:36" x14ac:dyDescent="0.25">
      <c r="B930" s="294"/>
      <c r="C930" s="294"/>
      <c r="D930" s="294"/>
      <c r="E930" s="294"/>
      <c r="F930" s="294"/>
      <c r="G930" s="294"/>
      <c r="H930" s="294"/>
      <c r="I930" s="294"/>
      <c r="J930" s="294"/>
      <c r="L930" s="295"/>
      <c r="M930" s="294"/>
      <c r="R930" s="326"/>
      <c r="S930" s="326"/>
      <c r="T930" s="294"/>
      <c r="U930" s="294"/>
      <c r="V930" s="294"/>
      <c r="W930" s="294"/>
      <c r="X930" s="1182"/>
      <c r="Y930" s="1182"/>
      <c r="Z930" s="1166"/>
      <c r="AA930" s="1166"/>
      <c r="AB930" s="1182"/>
      <c r="AC930" s="294"/>
      <c r="AD930" s="294"/>
      <c r="AE930" s="294"/>
      <c r="AF930" s="294"/>
      <c r="AG930" s="294"/>
      <c r="AH930" s="294"/>
      <c r="AI930" s="294"/>
      <c r="AJ930" s="294"/>
    </row>
    <row r="931" spans="2:36" x14ac:dyDescent="0.25">
      <c r="B931" s="294"/>
      <c r="C931" s="294"/>
      <c r="D931" s="294"/>
      <c r="E931" s="294"/>
      <c r="F931" s="294"/>
      <c r="G931" s="294"/>
      <c r="H931" s="294"/>
      <c r="I931" s="294"/>
      <c r="J931" s="294"/>
      <c r="L931" s="295"/>
      <c r="M931" s="294"/>
      <c r="R931" s="326"/>
      <c r="S931" s="326"/>
      <c r="T931" s="294"/>
      <c r="U931" s="294"/>
      <c r="V931" s="294"/>
      <c r="W931" s="294"/>
      <c r="X931" s="1182"/>
      <c r="Y931" s="1182"/>
      <c r="Z931" s="1166"/>
      <c r="AA931" s="1166"/>
      <c r="AB931" s="1182"/>
      <c r="AC931" s="294"/>
      <c r="AD931" s="294"/>
      <c r="AE931" s="294"/>
      <c r="AF931" s="294"/>
      <c r="AG931" s="294"/>
      <c r="AH931" s="294"/>
      <c r="AI931" s="294"/>
      <c r="AJ931" s="294"/>
    </row>
    <row r="932" spans="2:36" x14ac:dyDescent="0.25">
      <c r="B932" s="294"/>
      <c r="C932" s="294"/>
      <c r="D932" s="294"/>
      <c r="E932" s="294"/>
      <c r="F932" s="294"/>
      <c r="G932" s="294"/>
      <c r="H932" s="294"/>
      <c r="I932" s="294"/>
      <c r="J932" s="294"/>
      <c r="L932" s="295"/>
      <c r="M932" s="294"/>
      <c r="R932" s="326"/>
      <c r="S932" s="326"/>
      <c r="T932" s="294"/>
      <c r="U932" s="294"/>
      <c r="V932" s="294"/>
      <c r="W932" s="294"/>
      <c r="X932" s="1182"/>
      <c r="Y932" s="1182"/>
      <c r="Z932" s="1166"/>
      <c r="AA932" s="1166"/>
      <c r="AB932" s="1182"/>
      <c r="AC932" s="294"/>
      <c r="AD932" s="294"/>
      <c r="AE932" s="294"/>
      <c r="AF932" s="294"/>
      <c r="AG932" s="294"/>
      <c r="AH932" s="294"/>
      <c r="AI932" s="294"/>
      <c r="AJ932" s="294"/>
    </row>
    <row r="933" spans="2:36" x14ac:dyDescent="0.25">
      <c r="B933" s="294"/>
      <c r="C933" s="294"/>
      <c r="D933" s="294"/>
      <c r="E933" s="294"/>
      <c r="F933" s="294"/>
      <c r="G933" s="294"/>
      <c r="H933" s="294"/>
      <c r="I933" s="294"/>
      <c r="J933" s="294"/>
      <c r="L933" s="295"/>
      <c r="M933" s="294"/>
      <c r="R933" s="326"/>
      <c r="S933" s="326"/>
      <c r="T933" s="294"/>
      <c r="U933" s="294"/>
      <c r="V933" s="294"/>
      <c r="W933" s="294"/>
      <c r="X933" s="1182"/>
      <c r="Y933" s="1182"/>
      <c r="Z933" s="1166"/>
      <c r="AA933" s="1166"/>
      <c r="AB933" s="1182"/>
      <c r="AC933" s="294"/>
      <c r="AD933" s="294"/>
      <c r="AE933" s="294"/>
      <c r="AF933" s="294"/>
      <c r="AG933" s="294"/>
      <c r="AH933" s="294"/>
      <c r="AI933" s="294"/>
      <c r="AJ933" s="294"/>
    </row>
    <row r="934" spans="2:36" x14ac:dyDescent="0.25">
      <c r="B934" s="294"/>
      <c r="C934" s="294"/>
      <c r="D934" s="294"/>
      <c r="E934" s="294"/>
      <c r="F934" s="294"/>
      <c r="G934" s="294"/>
      <c r="H934" s="294"/>
      <c r="I934" s="294"/>
      <c r="J934" s="294"/>
      <c r="L934" s="295"/>
      <c r="M934" s="294"/>
      <c r="R934" s="326"/>
      <c r="S934" s="326"/>
      <c r="T934" s="294"/>
      <c r="U934" s="294"/>
      <c r="V934" s="294"/>
      <c r="W934" s="294"/>
      <c r="X934" s="1182"/>
      <c r="Y934" s="1182"/>
      <c r="Z934" s="1166"/>
      <c r="AA934" s="1166"/>
      <c r="AB934" s="1182"/>
      <c r="AC934" s="294"/>
      <c r="AD934" s="294"/>
      <c r="AE934" s="294"/>
      <c r="AF934" s="294"/>
      <c r="AG934" s="294"/>
      <c r="AH934" s="294"/>
      <c r="AI934" s="294"/>
      <c r="AJ934" s="294"/>
    </row>
    <row r="935" spans="2:36" x14ac:dyDescent="0.25">
      <c r="B935" s="294"/>
      <c r="C935" s="294"/>
      <c r="D935" s="294"/>
      <c r="E935" s="294"/>
      <c r="F935" s="294"/>
      <c r="G935" s="294"/>
      <c r="H935" s="294"/>
      <c r="I935" s="294"/>
      <c r="J935" s="294"/>
      <c r="L935" s="295"/>
      <c r="M935" s="294"/>
      <c r="R935" s="326"/>
      <c r="S935" s="326"/>
      <c r="T935" s="294"/>
      <c r="U935" s="294"/>
      <c r="V935" s="294"/>
      <c r="W935" s="294"/>
      <c r="X935" s="1182"/>
      <c r="Y935" s="1182"/>
      <c r="Z935" s="1166"/>
      <c r="AA935" s="1166"/>
      <c r="AB935" s="1182"/>
      <c r="AC935" s="294"/>
      <c r="AD935" s="294"/>
      <c r="AE935" s="294"/>
      <c r="AF935" s="294"/>
      <c r="AG935" s="294"/>
      <c r="AH935" s="294"/>
      <c r="AI935" s="294"/>
      <c r="AJ935" s="294"/>
    </row>
    <row r="936" spans="2:36" x14ac:dyDescent="0.25">
      <c r="B936" s="294"/>
      <c r="C936" s="294"/>
      <c r="D936" s="294"/>
      <c r="E936" s="294"/>
      <c r="F936" s="294"/>
      <c r="G936" s="294"/>
      <c r="H936" s="294"/>
      <c r="I936" s="294"/>
      <c r="J936" s="294"/>
      <c r="L936" s="295"/>
      <c r="M936" s="294"/>
      <c r="R936" s="326"/>
      <c r="S936" s="326"/>
      <c r="T936" s="294"/>
      <c r="U936" s="294"/>
      <c r="V936" s="294"/>
      <c r="W936" s="294"/>
      <c r="X936" s="1182"/>
      <c r="Y936" s="1182"/>
      <c r="Z936" s="1166"/>
      <c r="AA936" s="1166"/>
      <c r="AB936" s="1182"/>
      <c r="AC936" s="294"/>
      <c r="AD936" s="294"/>
      <c r="AE936" s="294"/>
      <c r="AF936" s="294"/>
      <c r="AG936" s="294"/>
      <c r="AH936" s="294"/>
      <c r="AI936" s="294"/>
      <c r="AJ936" s="294"/>
    </row>
    <row r="937" spans="2:36" x14ac:dyDescent="0.25">
      <c r="B937" s="294"/>
      <c r="C937" s="294"/>
      <c r="D937" s="294"/>
      <c r="E937" s="294"/>
      <c r="F937" s="294"/>
      <c r="G937" s="294"/>
      <c r="H937" s="294"/>
      <c r="I937" s="294"/>
      <c r="J937" s="294"/>
      <c r="L937" s="295"/>
      <c r="M937" s="294"/>
      <c r="R937" s="326"/>
      <c r="S937" s="326"/>
      <c r="T937" s="294"/>
      <c r="U937" s="294"/>
      <c r="V937" s="294"/>
      <c r="W937" s="294"/>
      <c r="X937" s="1182"/>
      <c r="Y937" s="1182"/>
      <c r="Z937" s="1166"/>
      <c r="AA937" s="1166"/>
      <c r="AB937" s="1182"/>
      <c r="AC937" s="294"/>
      <c r="AD937" s="294"/>
      <c r="AE937" s="294"/>
      <c r="AF937" s="294"/>
      <c r="AG937" s="294"/>
      <c r="AH937" s="294"/>
      <c r="AI937" s="294"/>
      <c r="AJ937" s="294"/>
    </row>
    <row r="938" spans="2:36" x14ac:dyDescent="0.25">
      <c r="B938" s="294"/>
      <c r="C938" s="294"/>
      <c r="D938" s="294"/>
      <c r="E938" s="294"/>
      <c r="F938" s="294"/>
      <c r="G938" s="294"/>
      <c r="H938" s="294"/>
      <c r="I938" s="294"/>
      <c r="J938" s="294"/>
      <c r="L938" s="295"/>
      <c r="M938" s="294"/>
      <c r="R938" s="326"/>
      <c r="S938" s="326"/>
      <c r="T938" s="294"/>
      <c r="U938" s="294"/>
      <c r="V938" s="294"/>
      <c r="W938" s="294"/>
      <c r="X938" s="1182"/>
      <c r="Y938" s="1182"/>
      <c r="Z938" s="1166"/>
      <c r="AA938" s="1166"/>
      <c r="AB938" s="1182"/>
      <c r="AC938" s="294"/>
      <c r="AD938" s="294"/>
      <c r="AE938" s="294"/>
      <c r="AF938" s="294"/>
      <c r="AG938" s="294"/>
      <c r="AH938" s="294"/>
      <c r="AI938" s="294"/>
      <c r="AJ938" s="294"/>
    </row>
    <row r="939" spans="2:36" x14ac:dyDescent="0.25">
      <c r="B939" s="294"/>
      <c r="C939" s="294"/>
      <c r="D939" s="294"/>
      <c r="E939" s="294"/>
      <c r="F939" s="294"/>
      <c r="G939" s="294"/>
      <c r="H939" s="294"/>
      <c r="I939" s="294"/>
      <c r="J939" s="294"/>
      <c r="L939" s="295"/>
      <c r="M939" s="294"/>
      <c r="R939" s="326"/>
      <c r="S939" s="326"/>
      <c r="T939" s="294"/>
      <c r="U939" s="294"/>
      <c r="V939" s="294"/>
      <c r="W939" s="294"/>
      <c r="X939" s="1182"/>
      <c r="Y939" s="1182"/>
      <c r="Z939" s="1166"/>
      <c r="AA939" s="1166"/>
      <c r="AB939" s="1182"/>
      <c r="AC939" s="294"/>
      <c r="AD939" s="294"/>
      <c r="AE939" s="294"/>
      <c r="AF939" s="294"/>
      <c r="AG939" s="294"/>
      <c r="AH939" s="294"/>
      <c r="AI939" s="294"/>
      <c r="AJ939" s="294"/>
    </row>
    <row r="940" spans="2:36" x14ac:dyDescent="0.25">
      <c r="B940" s="294"/>
      <c r="C940" s="294"/>
      <c r="D940" s="294"/>
      <c r="E940" s="294"/>
      <c r="F940" s="294"/>
      <c r="G940" s="294"/>
      <c r="H940" s="294"/>
      <c r="I940" s="294"/>
      <c r="J940" s="294"/>
      <c r="L940" s="295"/>
      <c r="M940" s="294"/>
      <c r="R940" s="326"/>
      <c r="S940" s="326"/>
      <c r="T940" s="294"/>
      <c r="U940" s="294"/>
      <c r="V940" s="294"/>
      <c r="W940" s="294"/>
      <c r="X940" s="1182"/>
      <c r="Y940" s="1182"/>
      <c r="Z940" s="1166"/>
      <c r="AA940" s="1166"/>
      <c r="AB940" s="1182"/>
      <c r="AC940" s="294"/>
      <c r="AD940" s="294"/>
      <c r="AE940" s="294"/>
      <c r="AF940" s="294"/>
      <c r="AG940" s="294"/>
      <c r="AH940" s="294"/>
      <c r="AI940" s="294"/>
      <c r="AJ940" s="294"/>
    </row>
    <row r="941" spans="2:36" x14ac:dyDescent="0.25">
      <c r="B941" s="294"/>
      <c r="C941" s="294"/>
      <c r="D941" s="294"/>
      <c r="E941" s="294"/>
      <c r="F941" s="294"/>
      <c r="G941" s="294"/>
      <c r="H941" s="294"/>
      <c r="I941" s="294"/>
      <c r="J941" s="294"/>
      <c r="L941" s="295"/>
      <c r="M941" s="294"/>
      <c r="R941" s="326"/>
      <c r="S941" s="326"/>
      <c r="T941" s="294"/>
      <c r="U941" s="294"/>
      <c r="V941" s="294"/>
      <c r="W941" s="294"/>
      <c r="X941" s="1182"/>
      <c r="Y941" s="1182"/>
      <c r="Z941" s="1166"/>
      <c r="AA941" s="1166"/>
      <c r="AB941" s="1182"/>
      <c r="AC941" s="294"/>
      <c r="AD941" s="294"/>
      <c r="AE941" s="294"/>
      <c r="AF941" s="294"/>
      <c r="AG941" s="294"/>
      <c r="AH941" s="294"/>
      <c r="AI941" s="294"/>
      <c r="AJ941" s="294"/>
    </row>
    <row r="942" spans="2:36" x14ac:dyDescent="0.25">
      <c r="B942" s="294"/>
      <c r="C942" s="294"/>
      <c r="D942" s="294"/>
      <c r="E942" s="294"/>
      <c r="F942" s="294"/>
      <c r="G942" s="294"/>
      <c r="H942" s="294"/>
      <c r="I942" s="294"/>
      <c r="J942" s="294"/>
      <c r="L942" s="295"/>
      <c r="M942" s="294"/>
      <c r="R942" s="326"/>
      <c r="S942" s="326"/>
      <c r="T942" s="294"/>
      <c r="U942" s="294"/>
      <c r="V942" s="294"/>
      <c r="W942" s="294"/>
      <c r="X942" s="1182"/>
      <c r="Y942" s="1182"/>
      <c r="Z942" s="1166"/>
      <c r="AA942" s="1166"/>
      <c r="AB942" s="1182"/>
      <c r="AC942" s="294"/>
      <c r="AD942" s="294"/>
      <c r="AE942" s="294"/>
      <c r="AF942" s="294"/>
      <c r="AG942" s="294"/>
      <c r="AH942" s="294"/>
      <c r="AI942" s="294"/>
      <c r="AJ942" s="294"/>
    </row>
    <row r="943" spans="2:36" x14ac:dyDescent="0.25">
      <c r="B943" s="294"/>
      <c r="C943" s="294"/>
      <c r="D943" s="294"/>
      <c r="E943" s="294"/>
      <c r="F943" s="294"/>
      <c r="G943" s="294"/>
      <c r="H943" s="294"/>
      <c r="I943" s="294"/>
      <c r="J943" s="294"/>
      <c r="L943" s="295"/>
      <c r="M943" s="294"/>
      <c r="R943" s="326"/>
      <c r="S943" s="326"/>
      <c r="T943" s="294"/>
      <c r="U943" s="294"/>
      <c r="V943" s="294"/>
      <c r="W943" s="294"/>
      <c r="X943" s="1182"/>
      <c r="Y943" s="1182"/>
      <c r="Z943" s="1166"/>
      <c r="AA943" s="1166"/>
      <c r="AB943" s="1182"/>
      <c r="AC943" s="294"/>
      <c r="AD943" s="294"/>
      <c r="AE943" s="294"/>
      <c r="AF943" s="294"/>
      <c r="AG943" s="294"/>
      <c r="AH943" s="294"/>
      <c r="AI943" s="294"/>
      <c r="AJ943" s="294"/>
    </row>
    <row r="944" spans="2:36" x14ac:dyDescent="0.25">
      <c r="B944" s="294"/>
      <c r="C944" s="294"/>
      <c r="D944" s="294"/>
      <c r="E944" s="294"/>
      <c r="F944" s="294"/>
      <c r="G944" s="294"/>
      <c r="H944" s="294"/>
      <c r="I944" s="294"/>
      <c r="J944" s="294"/>
      <c r="L944" s="295"/>
      <c r="M944" s="294"/>
      <c r="R944" s="326"/>
      <c r="S944" s="326"/>
      <c r="T944" s="294"/>
      <c r="U944" s="294"/>
      <c r="V944" s="294"/>
      <c r="W944" s="294"/>
      <c r="X944" s="1182"/>
      <c r="Y944" s="1182"/>
      <c r="Z944" s="1166"/>
      <c r="AA944" s="1166"/>
      <c r="AB944" s="1182"/>
      <c r="AC944" s="294"/>
      <c r="AD944" s="294"/>
      <c r="AE944" s="294"/>
      <c r="AF944" s="294"/>
      <c r="AG944" s="294"/>
      <c r="AH944" s="294"/>
      <c r="AI944" s="294"/>
      <c r="AJ944" s="294"/>
    </row>
    <row r="945" spans="2:36" x14ac:dyDescent="0.25">
      <c r="B945" s="294"/>
      <c r="C945" s="294"/>
      <c r="D945" s="294"/>
      <c r="E945" s="294"/>
      <c r="F945" s="294"/>
      <c r="G945" s="294"/>
      <c r="H945" s="294"/>
      <c r="I945" s="294"/>
      <c r="J945" s="294"/>
      <c r="L945" s="295"/>
      <c r="M945" s="294"/>
      <c r="R945" s="326"/>
      <c r="S945" s="326"/>
      <c r="T945" s="294"/>
      <c r="U945" s="294"/>
      <c r="V945" s="294"/>
      <c r="W945" s="294"/>
      <c r="X945" s="1182"/>
      <c r="Y945" s="1182"/>
      <c r="Z945" s="1166"/>
      <c r="AA945" s="1166"/>
      <c r="AB945" s="1182"/>
      <c r="AC945" s="294"/>
      <c r="AD945" s="294"/>
      <c r="AE945" s="294"/>
      <c r="AF945" s="294"/>
      <c r="AG945" s="294"/>
      <c r="AH945" s="294"/>
      <c r="AI945" s="294"/>
      <c r="AJ945" s="294"/>
    </row>
    <row r="946" spans="2:36" x14ac:dyDescent="0.25">
      <c r="B946" s="294"/>
      <c r="C946" s="294"/>
      <c r="D946" s="294"/>
      <c r="E946" s="294"/>
      <c r="F946" s="294"/>
      <c r="G946" s="294"/>
      <c r="H946" s="294"/>
      <c r="I946" s="294"/>
      <c r="J946" s="294"/>
      <c r="L946" s="295"/>
      <c r="M946" s="294"/>
      <c r="R946" s="326"/>
      <c r="S946" s="326"/>
      <c r="T946" s="294"/>
      <c r="U946" s="294"/>
      <c r="V946" s="294"/>
      <c r="W946" s="294"/>
      <c r="X946" s="1182"/>
      <c r="Y946" s="1182"/>
      <c r="Z946" s="1166"/>
      <c r="AA946" s="1166"/>
      <c r="AB946" s="1182"/>
      <c r="AC946" s="294"/>
      <c r="AD946" s="294"/>
      <c r="AE946" s="294"/>
      <c r="AF946" s="294"/>
      <c r="AG946" s="294"/>
      <c r="AH946" s="294"/>
      <c r="AI946" s="294"/>
      <c r="AJ946" s="294"/>
    </row>
    <row r="947" spans="2:36" x14ac:dyDescent="0.25">
      <c r="B947" s="294"/>
      <c r="C947" s="294"/>
      <c r="D947" s="294"/>
      <c r="E947" s="294"/>
      <c r="F947" s="294"/>
      <c r="G947" s="294"/>
      <c r="H947" s="294"/>
      <c r="I947" s="294"/>
      <c r="J947" s="294"/>
      <c r="L947" s="295"/>
      <c r="M947" s="294"/>
      <c r="R947" s="326"/>
      <c r="S947" s="326"/>
      <c r="T947" s="294"/>
      <c r="U947" s="294"/>
      <c r="V947" s="294"/>
      <c r="W947" s="294"/>
      <c r="X947" s="1182"/>
      <c r="Y947" s="1182"/>
      <c r="Z947" s="1166"/>
      <c r="AA947" s="1166"/>
      <c r="AB947" s="1182"/>
      <c r="AC947" s="294"/>
      <c r="AD947" s="294"/>
      <c r="AE947" s="294"/>
      <c r="AF947" s="294"/>
      <c r="AG947" s="294"/>
      <c r="AH947" s="294"/>
      <c r="AI947" s="294"/>
      <c r="AJ947" s="294"/>
    </row>
    <row r="948" spans="2:36" x14ac:dyDescent="0.25">
      <c r="B948" s="294"/>
      <c r="C948" s="294"/>
      <c r="D948" s="294"/>
      <c r="E948" s="294"/>
      <c r="F948" s="294"/>
      <c r="G948" s="294"/>
      <c r="H948" s="294"/>
      <c r="I948" s="294"/>
      <c r="J948" s="294"/>
      <c r="L948" s="295"/>
      <c r="M948" s="294"/>
      <c r="R948" s="326"/>
      <c r="S948" s="326"/>
      <c r="T948" s="294"/>
      <c r="U948" s="294"/>
      <c r="V948" s="294"/>
      <c r="W948" s="294"/>
      <c r="X948" s="1182"/>
      <c r="Y948" s="1182"/>
      <c r="Z948" s="1166"/>
      <c r="AA948" s="1166"/>
      <c r="AB948" s="1182"/>
      <c r="AC948" s="294"/>
      <c r="AD948" s="294"/>
      <c r="AE948" s="294"/>
      <c r="AF948" s="294"/>
      <c r="AG948" s="294"/>
      <c r="AH948" s="294"/>
      <c r="AI948" s="294"/>
      <c r="AJ948" s="294"/>
    </row>
    <row r="949" spans="2:36" x14ac:dyDescent="0.25">
      <c r="B949" s="294"/>
      <c r="C949" s="294"/>
      <c r="D949" s="294"/>
      <c r="E949" s="294"/>
      <c r="F949" s="294"/>
      <c r="G949" s="294"/>
      <c r="H949" s="294"/>
      <c r="I949" s="294"/>
      <c r="J949" s="294"/>
      <c r="L949" s="295"/>
      <c r="M949" s="294"/>
      <c r="R949" s="326"/>
      <c r="S949" s="326"/>
      <c r="T949" s="294"/>
      <c r="U949" s="294"/>
      <c r="V949" s="294"/>
      <c r="W949" s="294"/>
      <c r="X949" s="1182"/>
      <c r="Y949" s="1182"/>
      <c r="Z949" s="1166"/>
      <c r="AA949" s="1166"/>
      <c r="AB949" s="1182"/>
      <c r="AC949" s="294"/>
      <c r="AD949" s="294"/>
      <c r="AE949" s="294"/>
      <c r="AF949" s="294"/>
      <c r="AG949" s="294"/>
      <c r="AH949" s="294"/>
      <c r="AI949" s="294"/>
      <c r="AJ949" s="294"/>
    </row>
    <row r="950" spans="2:36" x14ac:dyDescent="0.25">
      <c r="B950" s="294"/>
      <c r="C950" s="294"/>
      <c r="D950" s="294"/>
      <c r="E950" s="294"/>
      <c r="F950" s="294"/>
      <c r="G950" s="294"/>
      <c r="H950" s="294"/>
      <c r="I950" s="294"/>
      <c r="J950" s="294"/>
      <c r="L950" s="295"/>
      <c r="M950" s="294"/>
      <c r="R950" s="326"/>
      <c r="S950" s="326"/>
      <c r="T950" s="294"/>
      <c r="U950" s="294"/>
      <c r="V950" s="294"/>
      <c r="W950" s="294"/>
      <c r="X950" s="1182"/>
      <c r="Y950" s="1182"/>
      <c r="Z950" s="1166"/>
      <c r="AA950" s="1166"/>
      <c r="AB950" s="1182"/>
      <c r="AC950" s="294"/>
      <c r="AD950" s="294"/>
      <c r="AE950" s="294"/>
      <c r="AF950" s="294"/>
      <c r="AG950" s="294"/>
      <c r="AH950" s="294"/>
      <c r="AI950" s="294"/>
      <c r="AJ950" s="294"/>
    </row>
    <row r="951" spans="2:36" x14ac:dyDescent="0.25">
      <c r="B951" s="294"/>
      <c r="C951" s="294"/>
      <c r="D951" s="294"/>
      <c r="E951" s="294"/>
      <c r="F951" s="294"/>
      <c r="G951" s="294"/>
      <c r="H951" s="294"/>
      <c r="I951" s="294"/>
      <c r="J951" s="294"/>
      <c r="L951" s="295"/>
      <c r="M951" s="294"/>
      <c r="R951" s="326"/>
      <c r="S951" s="326"/>
      <c r="T951" s="294"/>
      <c r="U951" s="294"/>
      <c r="V951" s="294"/>
      <c r="W951" s="294"/>
      <c r="X951" s="1182"/>
      <c r="Y951" s="1182"/>
      <c r="Z951" s="1166"/>
      <c r="AA951" s="1166"/>
      <c r="AB951" s="1182"/>
      <c r="AC951" s="294"/>
      <c r="AD951" s="294"/>
      <c r="AE951" s="294"/>
      <c r="AF951" s="294"/>
      <c r="AG951" s="294"/>
      <c r="AH951" s="294"/>
      <c r="AI951" s="294"/>
      <c r="AJ951" s="294"/>
    </row>
    <row r="952" spans="2:36" x14ac:dyDescent="0.25">
      <c r="B952" s="294"/>
      <c r="C952" s="294"/>
      <c r="D952" s="294"/>
      <c r="E952" s="294"/>
      <c r="F952" s="294"/>
      <c r="G952" s="294"/>
      <c r="H952" s="294"/>
      <c r="I952" s="294"/>
      <c r="J952" s="294"/>
      <c r="L952" s="295"/>
      <c r="M952" s="294"/>
      <c r="R952" s="326"/>
      <c r="S952" s="326"/>
      <c r="T952" s="294"/>
      <c r="U952" s="294"/>
      <c r="V952" s="294"/>
      <c r="W952" s="294"/>
      <c r="X952" s="1182"/>
      <c r="Y952" s="1182"/>
      <c r="Z952" s="1166"/>
      <c r="AA952" s="1166"/>
      <c r="AB952" s="1182"/>
      <c r="AC952" s="294"/>
      <c r="AD952" s="294"/>
      <c r="AE952" s="294"/>
      <c r="AF952" s="294"/>
      <c r="AG952" s="294"/>
      <c r="AH952" s="294"/>
      <c r="AI952" s="294"/>
      <c r="AJ952" s="294"/>
    </row>
    <row r="953" spans="2:36" x14ac:dyDescent="0.25">
      <c r="B953" s="294"/>
      <c r="C953" s="294"/>
      <c r="D953" s="294"/>
      <c r="E953" s="294"/>
      <c r="F953" s="294"/>
      <c r="G953" s="294"/>
      <c r="H953" s="294"/>
      <c r="I953" s="294"/>
      <c r="J953" s="294"/>
      <c r="L953" s="295"/>
      <c r="M953" s="294"/>
      <c r="R953" s="326"/>
      <c r="S953" s="326"/>
      <c r="T953" s="294"/>
      <c r="U953" s="294"/>
      <c r="V953" s="294"/>
      <c r="W953" s="294"/>
      <c r="X953" s="1182"/>
      <c r="Y953" s="1182"/>
      <c r="Z953" s="1166"/>
      <c r="AA953" s="1166"/>
      <c r="AB953" s="1182"/>
      <c r="AC953" s="294"/>
      <c r="AD953" s="294"/>
      <c r="AE953" s="294"/>
      <c r="AF953" s="294"/>
      <c r="AG953" s="294"/>
      <c r="AH953" s="294"/>
      <c r="AI953" s="294"/>
      <c r="AJ953" s="294"/>
    </row>
    <row r="954" spans="2:36" x14ac:dyDescent="0.25">
      <c r="B954" s="294"/>
      <c r="C954" s="294"/>
      <c r="D954" s="294"/>
      <c r="E954" s="294"/>
      <c r="F954" s="294"/>
      <c r="G954" s="294"/>
      <c r="H954" s="294"/>
      <c r="I954" s="294"/>
      <c r="J954" s="294"/>
      <c r="L954" s="295"/>
      <c r="M954" s="294"/>
      <c r="R954" s="326"/>
      <c r="S954" s="326"/>
      <c r="T954" s="294"/>
      <c r="U954" s="294"/>
      <c r="V954" s="294"/>
      <c r="W954" s="294"/>
      <c r="X954" s="1182"/>
      <c r="Y954" s="1182"/>
      <c r="Z954" s="1166"/>
      <c r="AA954" s="1166"/>
      <c r="AB954" s="1182"/>
      <c r="AC954" s="294"/>
      <c r="AD954" s="294"/>
      <c r="AE954" s="294"/>
      <c r="AF954" s="294"/>
      <c r="AG954" s="294"/>
      <c r="AH954" s="294"/>
      <c r="AI954" s="294"/>
      <c r="AJ954" s="294"/>
    </row>
    <row r="955" spans="2:36" x14ac:dyDescent="0.25">
      <c r="B955" s="294"/>
      <c r="C955" s="294"/>
      <c r="D955" s="294"/>
      <c r="E955" s="294"/>
      <c r="F955" s="294"/>
      <c r="G955" s="294"/>
      <c r="H955" s="294"/>
      <c r="I955" s="294"/>
      <c r="J955" s="294"/>
      <c r="L955" s="295"/>
      <c r="M955" s="294"/>
      <c r="R955" s="326"/>
      <c r="S955" s="326"/>
      <c r="T955" s="294"/>
      <c r="U955" s="294"/>
      <c r="V955" s="294"/>
      <c r="W955" s="294"/>
      <c r="X955" s="1182"/>
      <c r="Y955" s="1182"/>
      <c r="Z955" s="1166"/>
      <c r="AA955" s="1166"/>
      <c r="AB955" s="1182"/>
      <c r="AC955" s="294"/>
      <c r="AD955" s="294"/>
      <c r="AE955" s="294"/>
      <c r="AF955" s="294"/>
      <c r="AG955" s="294"/>
      <c r="AH955" s="294"/>
      <c r="AI955" s="294"/>
      <c r="AJ955" s="294"/>
    </row>
    <row r="956" spans="2:36" x14ac:dyDescent="0.25">
      <c r="B956" s="294"/>
      <c r="C956" s="294"/>
      <c r="D956" s="294"/>
      <c r="E956" s="294"/>
      <c r="F956" s="294"/>
      <c r="G956" s="294"/>
      <c r="H956" s="294"/>
      <c r="I956" s="294"/>
      <c r="J956" s="294"/>
      <c r="L956" s="295"/>
      <c r="M956" s="294"/>
      <c r="R956" s="326"/>
      <c r="S956" s="326"/>
      <c r="T956" s="294"/>
      <c r="U956" s="294"/>
      <c r="V956" s="294"/>
      <c r="W956" s="294"/>
      <c r="X956" s="1182"/>
      <c r="Y956" s="1182"/>
      <c r="Z956" s="1166"/>
      <c r="AA956" s="1166"/>
      <c r="AB956" s="1182"/>
      <c r="AC956" s="294"/>
      <c r="AD956" s="294"/>
      <c r="AE956" s="294"/>
      <c r="AF956" s="294"/>
      <c r="AG956" s="294"/>
      <c r="AH956" s="294"/>
      <c r="AI956" s="294"/>
      <c r="AJ956" s="294"/>
    </row>
    <row r="957" spans="2:36" x14ac:dyDescent="0.25">
      <c r="B957" s="294"/>
      <c r="C957" s="294"/>
      <c r="D957" s="294"/>
      <c r="E957" s="294"/>
      <c r="F957" s="294"/>
      <c r="G957" s="294"/>
      <c r="H957" s="294"/>
      <c r="I957" s="294"/>
      <c r="J957" s="294"/>
      <c r="L957" s="295"/>
      <c r="M957" s="294"/>
      <c r="R957" s="326"/>
      <c r="S957" s="326"/>
      <c r="T957" s="294"/>
      <c r="U957" s="294"/>
      <c r="V957" s="294"/>
      <c r="W957" s="294"/>
      <c r="X957" s="1182"/>
      <c r="Y957" s="1182"/>
      <c r="Z957" s="1166"/>
      <c r="AA957" s="1166"/>
      <c r="AB957" s="1182"/>
      <c r="AC957" s="294"/>
      <c r="AD957" s="294"/>
      <c r="AE957" s="294"/>
      <c r="AF957" s="294"/>
      <c r="AG957" s="294"/>
      <c r="AH957" s="294"/>
      <c r="AI957" s="294"/>
      <c r="AJ957" s="294"/>
    </row>
    <row r="958" spans="2:36" x14ac:dyDescent="0.25">
      <c r="B958" s="294"/>
      <c r="C958" s="294"/>
      <c r="D958" s="294"/>
      <c r="E958" s="294"/>
      <c r="F958" s="294"/>
      <c r="G958" s="294"/>
      <c r="H958" s="294"/>
      <c r="I958" s="294"/>
      <c r="J958" s="294"/>
      <c r="L958" s="295"/>
      <c r="M958" s="294"/>
      <c r="R958" s="326"/>
      <c r="S958" s="326"/>
      <c r="T958" s="294"/>
      <c r="U958" s="294"/>
      <c r="V958" s="294"/>
      <c r="W958" s="294"/>
      <c r="X958" s="1182"/>
      <c r="Y958" s="1182"/>
      <c r="Z958" s="1166"/>
      <c r="AA958" s="1166"/>
      <c r="AB958" s="1182"/>
      <c r="AC958" s="294"/>
      <c r="AD958" s="294"/>
      <c r="AE958" s="294"/>
      <c r="AF958" s="294"/>
      <c r="AG958" s="294"/>
      <c r="AH958" s="294"/>
      <c r="AI958" s="294"/>
      <c r="AJ958" s="294"/>
    </row>
    <row r="959" spans="2:36" x14ac:dyDescent="0.25">
      <c r="B959" s="294"/>
      <c r="C959" s="294"/>
      <c r="D959" s="294"/>
      <c r="E959" s="294"/>
      <c r="F959" s="294"/>
      <c r="G959" s="294"/>
      <c r="H959" s="294"/>
      <c r="I959" s="294"/>
      <c r="J959" s="294"/>
      <c r="L959" s="295"/>
      <c r="M959" s="294"/>
      <c r="R959" s="326"/>
      <c r="S959" s="326"/>
      <c r="T959" s="294"/>
      <c r="U959" s="294"/>
      <c r="V959" s="294"/>
      <c r="W959" s="294"/>
      <c r="X959" s="1182"/>
      <c r="Y959" s="1182"/>
      <c r="Z959" s="1166"/>
      <c r="AA959" s="1166"/>
      <c r="AB959" s="1182"/>
      <c r="AC959" s="294"/>
      <c r="AD959" s="294"/>
      <c r="AE959" s="294"/>
      <c r="AF959" s="294"/>
      <c r="AG959" s="294"/>
      <c r="AH959" s="294"/>
      <c r="AI959" s="294"/>
      <c r="AJ959" s="294"/>
    </row>
    <row r="960" spans="2:36" x14ac:dyDescent="0.25">
      <c r="B960" s="294"/>
      <c r="C960" s="294"/>
      <c r="D960" s="294"/>
      <c r="E960" s="294"/>
      <c r="F960" s="294"/>
      <c r="G960" s="294"/>
      <c r="H960" s="294"/>
      <c r="I960" s="294"/>
      <c r="J960" s="294"/>
      <c r="L960" s="295"/>
      <c r="M960" s="294"/>
      <c r="R960" s="326"/>
      <c r="S960" s="326"/>
      <c r="T960" s="294"/>
      <c r="U960" s="294"/>
      <c r="V960" s="294"/>
      <c r="W960" s="294"/>
      <c r="X960" s="1182"/>
      <c r="Y960" s="1182"/>
      <c r="Z960" s="1166"/>
      <c r="AA960" s="1166"/>
      <c r="AB960" s="1182"/>
      <c r="AC960" s="294"/>
      <c r="AD960" s="294"/>
      <c r="AE960" s="294"/>
      <c r="AF960" s="294"/>
      <c r="AG960" s="294"/>
      <c r="AH960" s="294"/>
      <c r="AI960" s="294"/>
      <c r="AJ960" s="294"/>
    </row>
    <row r="961" spans="2:36" x14ac:dyDescent="0.25">
      <c r="B961" s="294"/>
      <c r="C961" s="294"/>
      <c r="D961" s="294"/>
      <c r="E961" s="294"/>
      <c r="F961" s="294"/>
      <c r="G961" s="294"/>
      <c r="H961" s="294"/>
      <c r="I961" s="294"/>
      <c r="J961" s="294"/>
      <c r="L961" s="295"/>
      <c r="M961" s="294"/>
      <c r="R961" s="326"/>
      <c r="S961" s="326"/>
      <c r="T961" s="294"/>
      <c r="U961" s="294"/>
      <c r="V961" s="294"/>
      <c r="W961" s="294"/>
      <c r="X961" s="1182"/>
      <c r="Y961" s="1182"/>
      <c r="Z961" s="1166"/>
      <c r="AA961" s="1166"/>
      <c r="AB961" s="1182"/>
      <c r="AC961" s="294"/>
      <c r="AD961" s="294"/>
      <c r="AE961" s="294"/>
      <c r="AF961" s="294"/>
      <c r="AG961" s="294"/>
      <c r="AH961" s="294"/>
      <c r="AI961" s="294"/>
      <c r="AJ961" s="294"/>
    </row>
    <row r="962" spans="2:36" x14ac:dyDescent="0.25">
      <c r="B962" s="294"/>
      <c r="C962" s="294"/>
      <c r="D962" s="294"/>
      <c r="E962" s="294"/>
      <c r="F962" s="294"/>
      <c r="G962" s="294"/>
      <c r="H962" s="294"/>
      <c r="I962" s="294"/>
      <c r="J962" s="294"/>
      <c r="L962" s="295"/>
      <c r="M962" s="294"/>
      <c r="R962" s="326"/>
      <c r="S962" s="326"/>
      <c r="T962" s="294"/>
      <c r="U962" s="294"/>
      <c r="V962" s="294"/>
      <c r="W962" s="294"/>
      <c r="X962" s="1182"/>
      <c r="Y962" s="1182"/>
      <c r="Z962" s="1166"/>
      <c r="AA962" s="1166"/>
      <c r="AB962" s="1182"/>
      <c r="AC962" s="294"/>
      <c r="AD962" s="294"/>
      <c r="AE962" s="294"/>
      <c r="AF962" s="294"/>
      <c r="AG962" s="294"/>
      <c r="AH962" s="294"/>
      <c r="AI962" s="294"/>
      <c r="AJ962" s="294"/>
    </row>
    <row r="963" spans="2:36" x14ac:dyDescent="0.25">
      <c r="B963" s="294"/>
      <c r="C963" s="294"/>
      <c r="D963" s="294"/>
      <c r="E963" s="294"/>
      <c r="F963" s="294"/>
      <c r="G963" s="294"/>
      <c r="H963" s="294"/>
      <c r="I963" s="294"/>
      <c r="J963" s="294"/>
      <c r="L963" s="295"/>
      <c r="M963" s="294"/>
      <c r="R963" s="326"/>
      <c r="S963" s="326"/>
      <c r="T963" s="294"/>
      <c r="U963" s="294"/>
      <c r="V963" s="294"/>
      <c r="W963" s="294"/>
      <c r="X963" s="1182"/>
      <c r="Y963" s="1182"/>
      <c r="Z963" s="1166"/>
      <c r="AA963" s="1166"/>
      <c r="AB963" s="1182"/>
      <c r="AC963" s="294"/>
      <c r="AD963" s="294"/>
      <c r="AE963" s="294"/>
      <c r="AF963" s="294"/>
      <c r="AG963" s="294"/>
      <c r="AH963" s="294"/>
      <c r="AI963" s="294"/>
      <c r="AJ963" s="294"/>
    </row>
    <row r="964" spans="2:36" x14ac:dyDescent="0.25">
      <c r="B964" s="294"/>
      <c r="C964" s="294"/>
      <c r="D964" s="294"/>
      <c r="E964" s="294"/>
      <c r="F964" s="294"/>
      <c r="G964" s="294"/>
      <c r="H964" s="294"/>
      <c r="I964" s="294"/>
      <c r="J964" s="294"/>
      <c r="L964" s="295"/>
      <c r="M964" s="294"/>
      <c r="R964" s="326"/>
      <c r="S964" s="326"/>
      <c r="T964" s="294"/>
      <c r="U964" s="294"/>
      <c r="V964" s="294"/>
      <c r="W964" s="294"/>
      <c r="X964" s="1182"/>
      <c r="Y964" s="1182"/>
      <c r="Z964" s="1166"/>
      <c r="AA964" s="1166"/>
      <c r="AB964" s="1182"/>
      <c r="AC964" s="294"/>
      <c r="AD964" s="294"/>
      <c r="AE964" s="294"/>
      <c r="AF964" s="294"/>
      <c r="AG964" s="294"/>
      <c r="AH964" s="294"/>
      <c r="AI964" s="294"/>
      <c r="AJ964" s="294"/>
    </row>
    <row r="965" spans="2:36" x14ac:dyDescent="0.25">
      <c r="B965" s="294"/>
      <c r="C965" s="294"/>
      <c r="D965" s="294"/>
      <c r="E965" s="294"/>
      <c r="F965" s="294"/>
      <c r="G965" s="294"/>
      <c r="H965" s="294"/>
      <c r="I965" s="294"/>
      <c r="J965" s="294"/>
      <c r="L965" s="295"/>
      <c r="M965" s="294"/>
      <c r="R965" s="326"/>
      <c r="S965" s="326"/>
      <c r="T965" s="294"/>
      <c r="U965" s="294"/>
      <c r="V965" s="294"/>
      <c r="W965" s="294"/>
      <c r="X965" s="1182"/>
      <c r="Y965" s="1182"/>
      <c r="Z965" s="1166"/>
      <c r="AA965" s="1166"/>
      <c r="AB965" s="1182"/>
      <c r="AC965" s="294"/>
      <c r="AD965" s="294"/>
      <c r="AE965" s="294"/>
      <c r="AF965" s="294"/>
      <c r="AG965" s="294"/>
      <c r="AH965" s="294"/>
      <c r="AI965" s="294"/>
      <c r="AJ965" s="294"/>
    </row>
    <row r="966" spans="2:36" x14ac:dyDescent="0.25">
      <c r="B966" s="294"/>
      <c r="C966" s="294"/>
      <c r="D966" s="294"/>
      <c r="E966" s="294"/>
      <c r="F966" s="294"/>
      <c r="G966" s="294"/>
      <c r="H966" s="294"/>
      <c r="I966" s="294"/>
      <c r="J966" s="294"/>
      <c r="L966" s="295"/>
      <c r="M966" s="294"/>
      <c r="R966" s="326"/>
      <c r="S966" s="326"/>
      <c r="T966" s="294"/>
      <c r="U966" s="294"/>
      <c r="V966" s="294"/>
      <c r="W966" s="294"/>
      <c r="X966" s="1182"/>
      <c r="Y966" s="1182"/>
      <c r="Z966" s="1166"/>
      <c r="AA966" s="1166"/>
      <c r="AB966" s="1182"/>
      <c r="AC966" s="294"/>
      <c r="AD966" s="294"/>
      <c r="AE966" s="294"/>
      <c r="AF966" s="294"/>
      <c r="AG966" s="294"/>
      <c r="AH966" s="294"/>
      <c r="AI966" s="294"/>
      <c r="AJ966" s="294"/>
    </row>
    <row r="967" spans="2:36" x14ac:dyDescent="0.25">
      <c r="B967" s="294"/>
      <c r="C967" s="294"/>
      <c r="D967" s="294"/>
      <c r="E967" s="294"/>
      <c r="F967" s="294"/>
      <c r="G967" s="294"/>
      <c r="H967" s="294"/>
      <c r="I967" s="294"/>
      <c r="J967" s="294"/>
      <c r="L967" s="295"/>
      <c r="M967" s="294"/>
      <c r="R967" s="326"/>
      <c r="S967" s="326"/>
      <c r="T967" s="294"/>
      <c r="U967" s="294"/>
      <c r="V967" s="294"/>
      <c r="W967" s="294"/>
      <c r="X967" s="1182"/>
      <c r="Y967" s="1182"/>
      <c r="Z967" s="1166"/>
      <c r="AA967" s="1166"/>
      <c r="AB967" s="1182"/>
      <c r="AC967" s="294"/>
      <c r="AD967" s="294"/>
      <c r="AE967" s="294"/>
      <c r="AF967" s="294"/>
      <c r="AG967" s="294"/>
      <c r="AH967" s="294"/>
      <c r="AI967" s="294"/>
      <c r="AJ967" s="294"/>
    </row>
    <row r="968" spans="2:36" x14ac:dyDescent="0.25">
      <c r="B968" s="294"/>
      <c r="C968" s="294"/>
      <c r="D968" s="294"/>
      <c r="E968" s="294"/>
      <c r="F968" s="294"/>
      <c r="G968" s="294"/>
      <c r="H968" s="294"/>
      <c r="I968" s="294"/>
      <c r="J968" s="294"/>
      <c r="L968" s="295"/>
      <c r="M968" s="294"/>
      <c r="R968" s="326"/>
      <c r="S968" s="326"/>
      <c r="T968" s="294"/>
      <c r="U968" s="294"/>
      <c r="V968" s="294"/>
      <c r="W968" s="294"/>
      <c r="X968" s="1182"/>
      <c r="Y968" s="1182"/>
      <c r="Z968" s="1166"/>
      <c r="AA968" s="1166"/>
      <c r="AB968" s="1182"/>
      <c r="AC968" s="294"/>
      <c r="AD968" s="294"/>
      <c r="AE968" s="294"/>
      <c r="AF968" s="294"/>
      <c r="AG968" s="294"/>
      <c r="AH968" s="294"/>
      <c r="AI968" s="294"/>
      <c r="AJ968" s="294"/>
    </row>
    <row r="969" spans="2:36" x14ac:dyDescent="0.25">
      <c r="B969" s="294"/>
      <c r="C969" s="294"/>
      <c r="D969" s="294"/>
      <c r="E969" s="294"/>
      <c r="F969" s="294"/>
      <c r="G969" s="294"/>
      <c r="H969" s="294"/>
      <c r="I969" s="294"/>
      <c r="J969" s="294"/>
      <c r="L969" s="295"/>
      <c r="M969" s="294"/>
      <c r="R969" s="326"/>
      <c r="S969" s="326"/>
      <c r="T969" s="294"/>
      <c r="U969" s="294"/>
      <c r="V969" s="294"/>
      <c r="W969" s="294"/>
      <c r="X969" s="1182"/>
      <c r="Y969" s="1182"/>
      <c r="Z969" s="1166"/>
      <c r="AA969" s="1166"/>
      <c r="AB969" s="1182"/>
      <c r="AC969" s="294"/>
      <c r="AD969" s="294"/>
      <c r="AE969" s="294"/>
      <c r="AF969" s="294"/>
      <c r="AG969" s="294"/>
      <c r="AH969" s="294"/>
      <c r="AI969" s="294"/>
      <c r="AJ969" s="294"/>
    </row>
    <row r="970" spans="2:36" x14ac:dyDescent="0.25">
      <c r="B970" s="294"/>
      <c r="C970" s="294"/>
      <c r="D970" s="294"/>
      <c r="E970" s="294"/>
      <c r="F970" s="294"/>
      <c r="G970" s="294"/>
      <c r="H970" s="294"/>
      <c r="I970" s="294"/>
      <c r="J970" s="294"/>
      <c r="L970" s="295"/>
      <c r="M970" s="294"/>
      <c r="R970" s="326"/>
      <c r="S970" s="326"/>
      <c r="T970" s="294"/>
      <c r="U970" s="294"/>
      <c r="V970" s="294"/>
      <c r="W970" s="294"/>
      <c r="X970" s="1182"/>
      <c r="Y970" s="1182"/>
      <c r="Z970" s="1166"/>
      <c r="AA970" s="1166"/>
      <c r="AB970" s="1182"/>
      <c r="AC970" s="294"/>
      <c r="AD970" s="294"/>
      <c r="AE970" s="294"/>
      <c r="AF970" s="294"/>
      <c r="AG970" s="294"/>
      <c r="AH970" s="294"/>
      <c r="AI970" s="294"/>
      <c r="AJ970" s="294"/>
    </row>
    <row r="971" spans="2:36" x14ac:dyDescent="0.25">
      <c r="B971" s="294"/>
      <c r="C971" s="294"/>
      <c r="D971" s="294"/>
      <c r="E971" s="294"/>
      <c r="F971" s="294"/>
      <c r="G971" s="294"/>
      <c r="H971" s="294"/>
      <c r="I971" s="294"/>
      <c r="J971" s="294"/>
      <c r="L971" s="295"/>
      <c r="M971" s="294"/>
      <c r="R971" s="326"/>
      <c r="S971" s="326"/>
      <c r="T971" s="294"/>
      <c r="U971" s="294"/>
      <c r="V971" s="294"/>
      <c r="W971" s="294"/>
      <c r="X971" s="1182"/>
      <c r="Y971" s="1182"/>
      <c r="Z971" s="1166"/>
      <c r="AA971" s="1166"/>
      <c r="AB971" s="1182"/>
      <c r="AC971" s="294"/>
      <c r="AD971" s="294"/>
      <c r="AE971" s="294"/>
      <c r="AF971" s="294"/>
      <c r="AG971" s="294"/>
      <c r="AH971" s="294"/>
      <c r="AI971" s="294"/>
      <c r="AJ971" s="294"/>
    </row>
    <row r="972" spans="2:36" x14ac:dyDescent="0.25">
      <c r="B972" s="294"/>
      <c r="C972" s="294"/>
      <c r="D972" s="294"/>
      <c r="E972" s="294"/>
      <c r="F972" s="294"/>
      <c r="G972" s="294"/>
      <c r="H972" s="294"/>
      <c r="I972" s="294"/>
      <c r="J972" s="294"/>
      <c r="L972" s="295"/>
      <c r="M972" s="294"/>
      <c r="R972" s="326"/>
      <c r="S972" s="326"/>
      <c r="T972" s="294"/>
      <c r="U972" s="294"/>
      <c r="V972" s="294"/>
      <c r="W972" s="294"/>
      <c r="X972" s="1182"/>
      <c r="Y972" s="1182"/>
      <c r="Z972" s="1166"/>
      <c r="AA972" s="1166"/>
      <c r="AB972" s="1182"/>
      <c r="AC972" s="294"/>
      <c r="AD972" s="294"/>
      <c r="AE972" s="294"/>
      <c r="AF972" s="294"/>
      <c r="AG972" s="294"/>
      <c r="AH972" s="294"/>
      <c r="AI972" s="294"/>
      <c r="AJ972" s="294"/>
    </row>
    <row r="973" spans="2:36" x14ac:dyDescent="0.25">
      <c r="B973" s="294"/>
      <c r="C973" s="294"/>
      <c r="D973" s="294"/>
      <c r="E973" s="294"/>
      <c r="F973" s="294"/>
      <c r="G973" s="294"/>
      <c r="H973" s="294"/>
      <c r="I973" s="294"/>
      <c r="J973" s="294"/>
      <c r="L973" s="295"/>
      <c r="M973" s="294"/>
      <c r="R973" s="326"/>
      <c r="S973" s="326"/>
      <c r="T973" s="294"/>
      <c r="U973" s="294"/>
      <c r="V973" s="294"/>
      <c r="W973" s="294"/>
      <c r="X973" s="1182"/>
      <c r="Y973" s="1182"/>
      <c r="Z973" s="1166"/>
      <c r="AA973" s="1166"/>
      <c r="AB973" s="1182"/>
      <c r="AC973" s="294"/>
      <c r="AD973" s="294"/>
      <c r="AE973" s="294"/>
      <c r="AF973" s="294"/>
      <c r="AG973" s="294"/>
      <c r="AH973" s="294"/>
      <c r="AI973" s="294"/>
      <c r="AJ973" s="294"/>
    </row>
    <row r="974" spans="2:36" x14ac:dyDescent="0.25">
      <c r="B974" s="294"/>
      <c r="C974" s="294"/>
      <c r="D974" s="294"/>
      <c r="E974" s="294"/>
      <c r="F974" s="294"/>
      <c r="G974" s="294"/>
      <c r="H974" s="294"/>
      <c r="I974" s="294"/>
      <c r="J974" s="294"/>
      <c r="L974" s="295"/>
      <c r="M974" s="294"/>
      <c r="R974" s="326"/>
      <c r="S974" s="326"/>
      <c r="T974" s="294"/>
      <c r="U974" s="294"/>
      <c r="V974" s="294"/>
      <c r="W974" s="294"/>
      <c r="X974" s="1182"/>
      <c r="Y974" s="1182"/>
      <c r="Z974" s="1166"/>
      <c r="AA974" s="1166"/>
      <c r="AB974" s="1182"/>
      <c r="AC974" s="294"/>
      <c r="AD974" s="294"/>
      <c r="AE974" s="294"/>
      <c r="AF974" s="294"/>
      <c r="AG974" s="294"/>
      <c r="AH974" s="294"/>
      <c r="AI974" s="294"/>
      <c r="AJ974" s="294"/>
    </row>
    <row r="975" spans="2:36" x14ac:dyDescent="0.25">
      <c r="B975" s="294"/>
      <c r="C975" s="294"/>
      <c r="D975" s="294"/>
      <c r="E975" s="294"/>
      <c r="F975" s="294"/>
      <c r="G975" s="294"/>
      <c r="H975" s="294"/>
      <c r="I975" s="294"/>
      <c r="J975" s="294"/>
      <c r="L975" s="295"/>
      <c r="M975" s="294"/>
      <c r="R975" s="326"/>
      <c r="S975" s="326"/>
      <c r="T975" s="294"/>
      <c r="U975" s="294"/>
      <c r="V975" s="294"/>
      <c r="W975" s="294"/>
      <c r="X975" s="1182"/>
      <c r="Y975" s="1182"/>
      <c r="Z975" s="1166"/>
      <c r="AA975" s="1166"/>
      <c r="AB975" s="1182"/>
      <c r="AC975" s="294"/>
      <c r="AD975" s="294"/>
      <c r="AE975" s="294"/>
      <c r="AF975" s="294"/>
      <c r="AG975" s="294"/>
      <c r="AH975" s="294"/>
      <c r="AI975" s="294"/>
      <c r="AJ975" s="294"/>
    </row>
    <row r="976" spans="2:36" x14ac:dyDescent="0.25">
      <c r="B976" s="294"/>
      <c r="C976" s="294"/>
      <c r="D976" s="294"/>
      <c r="E976" s="294"/>
      <c r="F976" s="294"/>
      <c r="G976" s="294"/>
      <c r="H976" s="294"/>
      <c r="I976" s="294"/>
      <c r="J976" s="294"/>
      <c r="L976" s="295"/>
      <c r="M976" s="294"/>
      <c r="R976" s="326"/>
      <c r="S976" s="326"/>
      <c r="T976" s="294"/>
      <c r="U976" s="294"/>
      <c r="V976" s="294"/>
      <c r="W976" s="294"/>
      <c r="X976" s="1182"/>
      <c r="Y976" s="1182"/>
      <c r="Z976" s="1166"/>
      <c r="AA976" s="1166"/>
      <c r="AB976" s="1182"/>
      <c r="AC976" s="294"/>
      <c r="AD976" s="294"/>
      <c r="AE976" s="294"/>
      <c r="AF976" s="294"/>
      <c r="AG976" s="294"/>
      <c r="AH976" s="294"/>
      <c r="AI976" s="294"/>
      <c r="AJ976" s="294"/>
    </row>
    <row r="977" spans="2:36" x14ac:dyDescent="0.25">
      <c r="B977" s="294"/>
      <c r="C977" s="294"/>
      <c r="D977" s="294"/>
      <c r="E977" s="294"/>
      <c r="F977" s="294"/>
      <c r="G977" s="294"/>
      <c r="H977" s="294"/>
      <c r="I977" s="294"/>
      <c r="J977" s="294"/>
      <c r="L977" s="295"/>
      <c r="M977" s="294"/>
      <c r="R977" s="326"/>
      <c r="S977" s="326"/>
      <c r="T977" s="294"/>
      <c r="U977" s="294"/>
      <c r="V977" s="294"/>
      <c r="W977" s="294"/>
      <c r="X977" s="1182"/>
      <c r="Y977" s="1182"/>
      <c r="Z977" s="1166"/>
      <c r="AA977" s="1166"/>
      <c r="AB977" s="1182"/>
      <c r="AC977" s="294"/>
      <c r="AD977" s="294"/>
      <c r="AE977" s="294"/>
      <c r="AF977" s="294"/>
      <c r="AG977" s="294"/>
      <c r="AH977" s="294"/>
      <c r="AI977" s="294"/>
      <c r="AJ977" s="294"/>
    </row>
    <row r="978" spans="2:36" x14ac:dyDescent="0.25">
      <c r="B978" s="294"/>
      <c r="C978" s="294"/>
      <c r="D978" s="294"/>
      <c r="E978" s="294"/>
      <c r="F978" s="294"/>
      <c r="G978" s="294"/>
      <c r="H978" s="294"/>
      <c r="I978" s="294"/>
      <c r="J978" s="294"/>
      <c r="L978" s="295"/>
      <c r="M978" s="294"/>
      <c r="R978" s="326"/>
      <c r="S978" s="326"/>
      <c r="T978" s="294"/>
      <c r="U978" s="294"/>
      <c r="V978" s="294"/>
      <c r="W978" s="294"/>
      <c r="X978" s="1182"/>
      <c r="Y978" s="1182"/>
      <c r="Z978" s="1166"/>
      <c r="AA978" s="1166"/>
      <c r="AB978" s="1182"/>
      <c r="AC978" s="294"/>
      <c r="AD978" s="294"/>
      <c r="AE978" s="294"/>
      <c r="AF978" s="294"/>
      <c r="AG978" s="294"/>
      <c r="AH978" s="294"/>
      <c r="AI978" s="294"/>
      <c r="AJ978" s="294"/>
    </row>
    <row r="979" spans="2:36" x14ac:dyDescent="0.25">
      <c r="B979" s="294"/>
      <c r="C979" s="294"/>
      <c r="D979" s="294"/>
      <c r="E979" s="294"/>
      <c r="F979" s="294"/>
      <c r="G979" s="294"/>
      <c r="H979" s="294"/>
      <c r="I979" s="294"/>
      <c r="J979" s="294"/>
      <c r="L979" s="295"/>
      <c r="M979" s="294"/>
      <c r="R979" s="326"/>
      <c r="S979" s="326"/>
      <c r="T979" s="294"/>
      <c r="U979" s="294"/>
      <c r="V979" s="294"/>
      <c r="W979" s="294"/>
      <c r="X979" s="1182"/>
      <c r="Y979" s="1182"/>
      <c r="Z979" s="1166"/>
      <c r="AA979" s="1166"/>
      <c r="AB979" s="1182"/>
      <c r="AC979" s="294"/>
      <c r="AD979" s="294"/>
      <c r="AE979" s="294"/>
      <c r="AF979" s="294"/>
      <c r="AG979" s="294"/>
      <c r="AH979" s="294"/>
      <c r="AI979" s="294"/>
      <c r="AJ979" s="294"/>
    </row>
    <row r="980" spans="2:36" x14ac:dyDescent="0.25">
      <c r="B980" s="294"/>
      <c r="C980" s="294"/>
      <c r="D980" s="294"/>
      <c r="E980" s="294"/>
      <c r="F980" s="294"/>
      <c r="G980" s="294"/>
      <c r="H980" s="294"/>
      <c r="I980" s="294"/>
      <c r="J980" s="294"/>
      <c r="L980" s="295"/>
      <c r="M980" s="294"/>
      <c r="R980" s="326"/>
      <c r="S980" s="326"/>
      <c r="T980" s="294"/>
      <c r="U980" s="294"/>
      <c r="V980" s="294"/>
      <c r="W980" s="294"/>
      <c r="X980" s="1182"/>
      <c r="Y980" s="1182"/>
      <c r="Z980" s="1166"/>
      <c r="AA980" s="1166"/>
      <c r="AB980" s="1182"/>
      <c r="AC980" s="294"/>
      <c r="AD980" s="294"/>
      <c r="AE980" s="294"/>
      <c r="AF980" s="294"/>
      <c r="AG980" s="294"/>
      <c r="AH980" s="294"/>
      <c r="AI980" s="294"/>
      <c r="AJ980" s="294"/>
    </row>
    <row r="981" spans="2:36" x14ac:dyDescent="0.25">
      <c r="B981" s="294"/>
      <c r="C981" s="294"/>
      <c r="D981" s="294"/>
      <c r="E981" s="294"/>
      <c r="F981" s="294"/>
      <c r="G981" s="294"/>
      <c r="H981" s="294"/>
      <c r="I981" s="294"/>
      <c r="J981" s="294"/>
      <c r="L981" s="295"/>
      <c r="M981" s="294"/>
      <c r="R981" s="326"/>
      <c r="S981" s="326"/>
      <c r="T981" s="294"/>
      <c r="U981" s="294"/>
      <c r="V981" s="294"/>
      <c r="W981" s="294"/>
      <c r="X981" s="1182"/>
      <c r="Y981" s="1182"/>
      <c r="Z981" s="1166"/>
      <c r="AA981" s="1166"/>
      <c r="AB981" s="1182"/>
      <c r="AC981" s="294"/>
      <c r="AD981" s="294"/>
      <c r="AE981" s="294"/>
      <c r="AF981" s="294"/>
      <c r="AG981" s="294"/>
      <c r="AH981" s="294"/>
      <c r="AI981" s="294"/>
      <c r="AJ981" s="294"/>
    </row>
    <row r="982" spans="2:36" x14ac:dyDescent="0.25">
      <c r="B982" s="294"/>
      <c r="C982" s="294"/>
      <c r="D982" s="294"/>
      <c r="E982" s="294"/>
      <c r="F982" s="294"/>
      <c r="G982" s="294"/>
      <c r="H982" s="294"/>
      <c r="I982" s="294"/>
      <c r="J982" s="294"/>
      <c r="L982" s="295"/>
      <c r="M982" s="294"/>
      <c r="R982" s="326"/>
      <c r="S982" s="326"/>
      <c r="T982" s="294"/>
      <c r="U982" s="294"/>
      <c r="V982" s="294"/>
      <c r="W982" s="294"/>
      <c r="X982" s="1182"/>
      <c r="Y982" s="1182"/>
      <c r="Z982" s="1166"/>
      <c r="AA982" s="1166"/>
      <c r="AB982" s="1182"/>
      <c r="AC982" s="294"/>
      <c r="AD982" s="294"/>
      <c r="AE982" s="294"/>
      <c r="AF982" s="294"/>
      <c r="AG982" s="294"/>
      <c r="AH982" s="294"/>
      <c r="AI982" s="294"/>
      <c r="AJ982" s="294"/>
    </row>
    <row r="983" spans="2:36" x14ac:dyDescent="0.25">
      <c r="B983" s="294"/>
      <c r="C983" s="294"/>
      <c r="D983" s="294"/>
      <c r="E983" s="294"/>
      <c r="F983" s="294"/>
      <c r="G983" s="294"/>
      <c r="H983" s="294"/>
      <c r="I983" s="294"/>
      <c r="J983" s="294"/>
      <c r="L983" s="295"/>
      <c r="M983" s="294"/>
      <c r="R983" s="326"/>
      <c r="S983" s="326"/>
      <c r="T983" s="294"/>
      <c r="U983" s="294"/>
      <c r="V983" s="294"/>
      <c r="W983" s="294"/>
      <c r="X983" s="1182"/>
      <c r="Y983" s="1182"/>
      <c r="Z983" s="1166"/>
      <c r="AA983" s="1166"/>
      <c r="AB983" s="1182"/>
      <c r="AC983" s="294"/>
      <c r="AD983" s="294"/>
      <c r="AE983" s="294"/>
      <c r="AF983" s="294"/>
      <c r="AG983" s="294"/>
      <c r="AH983" s="294"/>
      <c r="AI983" s="294"/>
      <c r="AJ983" s="294"/>
    </row>
    <row r="984" spans="2:36" x14ac:dyDescent="0.25">
      <c r="B984" s="294"/>
      <c r="C984" s="294"/>
      <c r="D984" s="294"/>
      <c r="E984" s="294"/>
      <c r="F984" s="294"/>
      <c r="G984" s="294"/>
      <c r="H984" s="294"/>
      <c r="I984" s="294"/>
      <c r="J984" s="294"/>
      <c r="L984" s="295"/>
      <c r="M984" s="294"/>
      <c r="R984" s="326"/>
      <c r="S984" s="326"/>
      <c r="T984" s="294"/>
      <c r="U984" s="294"/>
      <c r="V984" s="294"/>
      <c r="W984" s="294"/>
      <c r="X984" s="1182"/>
      <c r="Y984" s="1182"/>
      <c r="Z984" s="1166"/>
      <c r="AA984" s="1166"/>
      <c r="AB984" s="1182"/>
      <c r="AC984" s="294"/>
      <c r="AD984" s="294"/>
      <c r="AE984" s="294"/>
      <c r="AF984" s="294"/>
      <c r="AG984" s="294"/>
      <c r="AH984" s="294"/>
      <c r="AI984" s="294"/>
      <c r="AJ984" s="294"/>
    </row>
    <row r="985" spans="2:36" x14ac:dyDescent="0.25">
      <c r="B985" s="294"/>
      <c r="C985" s="294"/>
      <c r="D985" s="294"/>
      <c r="E985" s="294"/>
      <c r="F985" s="294"/>
      <c r="G985" s="294"/>
      <c r="H985" s="294"/>
      <c r="I985" s="294"/>
      <c r="J985" s="294"/>
      <c r="L985" s="295"/>
      <c r="M985" s="294"/>
      <c r="R985" s="326"/>
      <c r="S985" s="326"/>
      <c r="T985" s="294"/>
      <c r="U985" s="294"/>
      <c r="V985" s="294"/>
      <c r="W985" s="294"/>
      <c r="X985" s="1182"/>
      <c r="Y985" s="1182"/>
      <c r="Z985" s="1166"/>
      <c r="AA985" s="1166"/>
      <c r="AB985" s="1182"/>
      <c r="AC985" s="294"/>
      <c r="AD985" s="294"/>
      <c r="AE985" s="294"/>
      <c r="AF985" s="294"/>
      <c r="AG985" s="294"/>
      <c r="AH985" s="294"/>
      <c r="AI985" s="294"/>
      <c r="AJ985" s="294"/>
    </row>
    <row r="986" spans="2:36" x14ac:dyDescent="0.25">
      <c r="B986" s="294"/>
      <c r="C986" s="294"/>
      <c r="D986" s="294"/>
      <c r="E986" s="294"/>
      <c r="F986" s="294"/>
      <c r="G986" s="294"/>
      <c r="H986" s="294"/>
      <c r="I986" s="294"/>
      <c r="J986" s="294"/>
      <c r="L986" s="295"/>
      <c r="M986" s="294"/>
      <c r="R986" s="326"/>
      <c r="S986" s="326"/>
      <c r="T986" s="294"/>
      <c r="U986" s="294"/>
      <c r="V986" s="294"/>
      <c r="W986" s="294"/>
      <c r="X986" s="1182"/>
      <c r="Y986" s="1182"/>
      <c r="Z986" s="1166"/>
      <c r="AA986" s="1166"/>
      <c r="AB986" s="1182"/>
      <c r="AC986" s="294"/>
      <c r="AD986" s="294"/>
      <c r="AE986" s="294"/>
      <c r="AF986" s="294"/>
      <c r="AG986" s="294"/>
      <c r="AH986" s="294"/>
      <c r="AI986" s="294"/>
      <c r="AJ986" s="294"/>
    </row>
    <row r="987" spans="2:36" x14ac:dyDescent="0.25">
      <c r="B987" s="294"/>
      <c r="C987" s="294"/>
      <c r="D987" s="294"/>
      <c r="E987" s="294"/>
      <c r="F987" s="294"/>
      <c r="G987" s="294"/>
      <c r="H987" s="294"/>
      <c r="I987" s="294"/>
      <c r="J987" s="294"/>
      <c r="L987" s="295"/>
      <c r="M987" s="294"/>
      <c r="R987" s="326"/>
      <c r="S987" s="326"/>
      <c r="T987" s="294"/>
      <c r="U987" s="294"/>
      <c r="V987" s="294"/>
      <c r="W987" s="294"/>
      <c r="X987" s="1182"/>
      <c r="Y987" s="1182"/>
      <c r="Z987" s="1166"/>
      <c r="AA987" s="1166"/>
      <c r="AB987" s="1182"/>
      <c r="AC987" s="294"/>
      <c r="AD987" s="294"/>
      <c r="AE987" s="294"/>
      <c r="AF987" s="294"/>
      <c r="AG987" s="294"/>
      <c r="AH987" s="294"/>
      <c r="AI987" s="294"/>
      <c r="AJ987" s="294"/>
    </row>
    <row r="988" spans="2:36" x14ac:dyDescent="0.25">
      <c r="B988" s="294"/>
      <c r="C988" s="294"/>
      <c r="D988" s="294"/>
      <c r="E988" s="294"/>
      <c r="F988" s="294"/>
      <c r="G988" s="294"/>
      <c r="H988" s="294"/>
      <c r="I988" s="294"/>
      <c r="J988" s="294"/>
      <c r="L988" s="295"/>
      <c r="M988" s="294"/>
      <c r="R988" s="326"/>
      <c r="S988" s="326"/>
      <c r="T988" s="294"/>
      <c r="U988" s="294"/>
      <c r="V988" s="294"/>
      <c r="W988" s="294"/>
      <c r="X988" s="1182"/>
      <c r="Y988" s="1182"/>
      <c r="Z988" s="1166"/>
      <c r="AA988" s="1166"/>
      <c r="AB988" s="1182"/>
      <c r="AC988" s="294"/>
      <c r="AD988" s="294"/>
      <c r="AE988" s="294"/>
      <c r="AF988" s="294"/>
      <c r="AG988" s="294"/>
      <c r="AH988" s="294"/>
      <c r="AI988" s="294"/>
      <c r="AJ988" s="294"/>
    </row>
    <row r="989" spans="2:36" x14ac:dyDescent="0.25">
      <c r="B989" s="294"/>
      <c r="C989" s="294"/>
      <c r="D989" s="294"/>
      <c r="E989" s="294"/>
      <c r="F989" s="294"/>
      <c r="G989" s="294"/>
      <c r="H989" s="294"/>
      <c r="I989" s="294"/>
      <c r="J989" s="294"/>
      <c r="L989" s="295"/>
      <c r="M989" s="294"/>
      <c r="R989" s="326"/>
      <c r="S989" s="326"/>
      <c r="T989" s="294"/>
      <c r="U989" s="294"/>
      <c r="V989" s="294"/>
      <c r="W989" s="294"/>
      <c r="X989" s="1182"/>
      <c r="Y989" s="1182"/>
      <c r="Z989" s="1166"/>
      <c r="AA989" s="1166"/>
      <c r="AB989" s="1182"/>
      <c r="AC989" s="294"/>
      <c r="AD989" s="294"/>
      <c r="AE989" s="294"/>
      <c r="AF989" s="294"/>
      <c r="AG989" s="294"/>
      <c r="AH989" s="294"/>
      <c r="AI989" s="294"/>
      <c r="AJ989" s="294"/>
    </row>
    <row r="990" spans="2:36" x14ac:dyDescent="0.25">
      <c r="B990" s="294"/>
      <c r="C990" s="294"/>
      <c r="D990" s="294"/>
      <c r="E990" s="294"/>
      <c r="F990" s="294"/>
      <c r="G990" s="294"/>
      <c r="H990" s="294"/>
      <c r="I990" s="294"/>
      <c r="J990" s="294"/>
      <c r="L990" s="295"/>
      <c r="M990" s="294"/>
      <c r="R990" s="326"/>
      <c r="S990" s="326"/>
      <c r="T990" s="294"/>
      <c r="U990" s="294"/>
      <c r="V990" s="294"/>
      <c r="W990" s="294"/>
      <c r="X990" s="1182"/>
      <c r="Y990" s="1182"/>
      <c r="Z990" s="1166"/>
      <c r="AA990" s="1166"/>
      <c r="AB990" s="1182"/>
      <c r="AC990" s="294"/>
      <c r="AD990" s="294"/>
      <c r="AE990" s="294"/>
      <c r="AF990" s="294"/>
      <c r="AG990" s="294"/>
      <c r="AH990" s="294"/>
      <c r="AI990" s="294"/>
      <c r="AJ990" s="294"/>
    </row>
    <row r="991" spans="2:36" x14ac:dyDescent="0.25">
      <c r="B991" s="294"/>
      <c r="C991" s="294"/>
      <c r="D991" s="294"/>
      <c r="E991" s="294"/>
      <c r="F991" s="294"/>
      <c r="G991" s="294"/>
      <c r="H991" s="294"/>
      <c r="I991" s="294"/>
      <c r="J991" s="294"/>
      <c r="L991" s="295"/>
      <c r="M991" s="294"/>
      <c r="R991" s="326"/>
      <c r="S991" s="326"/>
      <c r="T991" s="294"/>
      <c r="U991" s="294"/>
      <c r="V991" s="294"/>
      <c r="W991" s="294"/>
      <c r="X991" s="1182"/>
      <c r="Y991" s="1182"/>
      <c r="Z991" s="1166"/>
      <c r="AA991" s="1166"/>
      <c r="AB991" s="1182"/>
      <c r="AC991" s="294"/>
      <c r="AD991" s="294"/>
      <c r="AE991" s="294"/>
      <c r="AF991" s="294"/>
      <c r="AG991" s="294"/>
      <c r="AH991" s="294"/>
      <c r="AI991" s="294"/>
      <c r="AJ991" s="294"/>
    </row>
    <row r="992" spans="2:36" x14ac:dyDescent="0.25">
      <c r="B992" s="294"/>
      <c r="C992" s="294"/>
      <c r="D992" s="294"/>
      <c r="E992" s="294"/>
      <c r="F992" s="294"/>
      <c r="G992" s="294"/>
      <c r="H992" s="294"/>
      <c r="I992" s="294"/>
      <c r="J992" s="294"/>
      <c r="L992" s="295"/>
      <c r="M992" s="294"/>
      <c r="R992" s="326"/>
      <c r="S992" s="326"/>
      <c r="T992" s="294"/>
      <c r="U992" s="294"/>
      <c r="V992" s="294"/>
      <c r="W992" s="294"/>
      <c r="X992" s="1182"/>
      <c r="Y992" s="1182"/>
      <c r="Z992" s="1166"/>
      <c r="AA992" s="1166"/>
      <c r="AB992" s="1182"/>
      <c r="AC992" s="294"/>
      <c r="AD992" s="294"/>
      <c r="AE992" s="294"/>
      <c r="AF992" s="294"/>
      <c r="AG992" s="294"/>
      <c r="AH992" s="294"/>
      <c r="AI992" s="294"/>
      <c r="AJ992" s="294"/>
    </row>
    <row r="993" spans="2:36" x14ac:dyDescent="0.25">
      <c r="B993" s="294"/>
      <c r="C993" s="294"/>
      <c r="D993" s="294"/>
      <c r="E993" s="294"/>
      <c r="F993" s="294"/>
      <c r="G993" s="294"/>
      <c r="H993" s="294"/>
      <c r="I993" s="294"/>
      <c r="J993" s="294"/>
      <c r="L993" s="295"/>
      <c r="M993" s="294"/>
      <c r="R993" s="326"/>
      <c r="S993" s="326"/>
      <c r="T993" s="294"/>
      <c r="U993" s="294"/>
      <c r="V993" s="294"/>
      <c r="W993" s="294"/>
      <c r="X993" s="1182"/>
      <c r="Y993" s="1182"/>
      <c r="Z993" s="1166"/>
      <c r="AA993" s="1166"/>
      <c r="AB993" s="1182"/>
      <c r="AC993" s="294"/>
      <c r="AD993" s="294"/>
      <c r="AE993" s="294"/>
      <c r="AF993" s="294"/>
      <c r="AG993" s="294"/>
      <c r="AH993" s="294"/>
      <c r="AI993" s="294"/>
      <c r="AJ993" s="294"/>
    </row>
    <row r="994" spans="2:36" x14ac:dyDescent="0.25">
      <c r="B994" s="294"/>
      <c r="C994" s="294"/>
      <c r="D994" s="294"/>
      <c r="E994" s="294"/>
      <c r="F994" s="294"/>
      <c r="G994" s="294"/>
      <c r="H994" s="294"/>
      <c r="I994" s="294"/>
      <c r="J994" s="294"/>
      <c r="L994" s="295"/>
      <c r="M994" s="294"/>
      <c r="R994" s="326"/>
      <c r="S994" s="326"/>
      <c r="T994" s="294"/>
      <c r="U994" s="294"/>
      <c r="V994" s="294"/>
      <c r="W994" s="294"/>
      <c r="X994" s="1182"/>
      <c r="Y994" s="1182"/>
      <c r="Z994" s="1166"/>
      <c r="AA994" s="1166"/>
      <c r="AB994" s="1182"/>
      <c r="AC994" s="294"/>
      <c r="AD994" s="294"/>
      <c r="AE994" s="294"/>
      <c r="AF994" s="294"/>
      <c r="AG994" s="294"/>
      <c r="AH994" s="294"/>
      <c r="AI994" s="294"/>
      <c r="AJ994" s="294"/>
    </row>
    <row r="995" spans="2:36" x14ac:dyDescent="0.25">
      <c r="B995" s="294"/>
      <c r="C995" s="294"/>
      <c r="D995" s="294"/>
      <c r="E995" s="294"/>
      <c r="F995" s="294"/>
      <c r="G995" s="294"/>
      <c r="H995" s="294"/>
      <c r="I995" s="294"/>
      <c r="J995" s="294"/>
      <c r="L995" s="295"/>
      <c r="M995" s="294"/>
      <c r="R995" s="326"/>
      <c r="S995" s="326"/>
      <c r="T995" s="294"/>
      <c r="U995" s="294"/>
      <c r="V995" s="294"/>
      <c r="W995" s="294"/>
      <c r="X995" s="1182"/>
      <c r="Y995" s="1182"/>
      <c r="Z995" s="1166"/>
      <c r="AA995" s="1166"/>
      <c r="AB995" s="1182"/>
      <c r="AC995" s="294"/>
      <c r="AD995" s="294"/>
      <c r="AE995" s="294"/>
      <c r="AF995" s="294"/>
      <c r="AG995" s="294"/>
      <c r="AH995" s="294"/>
      <c r="AI995" s="294"/>
      <c r="AJ995" s="294"/>
    </row>
    <row r="996" spans="2:36" x14ac:dyDescent="0.25">
      <c r="B996" s="294"/>
      <c r="C996" s="294"/>
      <c r="D996" s="294"/>
      <c r="E996" s="294"/>
      <c r="F996" s="294"/>
      <c r="G996" s="294"/>
      <c r="H996" s="294"/>
      <c r="I996" s="294"/>
      <c r="J996" s="294"/>
      <c r="L996" s="295"/>
      <c r="M996" s="294"/>
      <c r="R996" s="326"/>
      <c r="S996" s="326"/>
      <c r="T996" s="294"/>
      <c r="U996" s="294"/>
      <c r="V996" s="294"/>
      <c r="W996" s="294"/>
      <c r="X996" s="1182"/>
      <c r="Y996" s="1182"/>
      <c r="Z996" s="1166"/>
      <c r="AA996" s="1166"/>
      <c r="AB996" s="1182"/>
      <c r="AC996" s="294"/>
      <c r="AD996" s="294"/>
      <c r="AE996" s="294"/>
      <c r="AF996" s="294"/>
      <c r="AG996" s="294"/>
      <c r="AH996" s="294"/>
      <c r="AI996" s="294"/>
      <c r="AJ996" s="294"/>
    </row>
    <row r="997" spans="2:36" x14ac:dyDescent="0.25">
      <c r="B997" s="294"/>
      <c r="C997" s="294"/>
      <c r="D997" s="294"/>
      <c r="E997" s="294"/>
      <c r="F997" s="294"/>
      <c r="G997" s="294"/>
      <c r="H997" s="294"/>
      <c r="I997" s="294"/>
      <c r="J997" s="294"/>
      <c r="L997" s="295"/>
      <c r="M997" s="294"/>
      <c r="R997" s="326"/>
      <c r="S997" s="326"/>
      <c r="T997" s="294"/>
      <c r="U997" s="294"/>
      <c r="V997" s="294"/>
      <c r="W997" s="294"/>
      <c r="X997" s="1182"/>
      <c r="Y997" s="1182"/>
      <c r="Z997" s="1166"/>
      <c r="AA997" s="1166"/>
      <c r="AB997" s="1182"/>
      <c r="AC997" s="294"/>
      <c r="AD997" s="294"/>
      <c r="AE997" s="294"/>
      <c r="AF997" s="294"/>
      <c r="AG997" s="294"/>
      <c r="AH997" s="294"/>
      <c r="AI997" s="294"/>
      <c r="AJ997" s="294"/>
    </row>
    <row r="998" spans="2:36" x14ac:dyDescent="0.25">
      <c r="B998" s="294"/>
      <c r="C998" s="294"/>
      <c r="D998" s="294"/>
      <c r="E998" s="294"/>
      <c r="F998" s="294"/>
      <c r="G998" s="294"/>
      <c r="H998" s="294"/>
      <c r="I998" s="294"/>
      <c r="J998" s="294"/>
      <c r="L998" s="295"/>
      <c r="M998" s="294"/>
      <c r="R998" s="326"/>
      <c r="S998" s="326"/>
      <c r="T998" s="294"/>
      <c r="U998" s="294"/>
      <c r="V998" s="294"/>
      <c r="W998" s="294"/>
      <c r="X998" s="1182"/>
      <c r="Y998" s="1182"/>
      <c r="Z998" s="1166"/>
      <c r="AA998" s="1166"/>
      <c r="AB998" s="1182"/>
      <c r="AC998" s="294"/>
      <c r="AD998" s="294"/>
      <c r="AE998" s="294"/>
      <c r="AF998" s="294"/>
      <c r="AG998" s="294"/>
      <c r="AH998" s="294"/>
      <c r="AI998" s="294"/>
      <c r="AJ998" s="294"/>
    </row>
    <row r="999" spans="2:36" x14ac:dyDescent="0.25">
      <c r="B999" s="294"/>
      <c r="C999" s="294"/>
      <c r="D999" s="294"/>
      <c r="E999" s="294"/>
      <c r="F999" s="294"/>
      <c r="G999" s="294"/>
      <c r="H999" s="294"/>
      <c r="I999" s="294"/>
      <c r="J999" s="294"/>
      <c r="L999" s="295"/>
      <c r="M999" s="294"/>
      <c r="R999" s="326"/>
      <c r="S999" s="326"/>
      <c r="T999" s="294"/>
      <c r="U999" s="294"/>
      <c r="V999" s="294"/>
      <c r="W999" s="294"/>
      <c r="X999" s="1182"/>
      <c r="Y999" s="1182"/>
      <c r="Z999" s="1166"/>
      <c r="AA999" s="1166"/>
      <c r="AB999" s="1182"/>
      <c r="AC999" s="294"/>
      <c r="AD999" s="294"/>
      <c r="AE999" s="294"/>
      <c r="AF999" s="294"/>
      <c r="AG999" s="294"/>
      <c r="AH999" s="294"/>
      <c r="AI999" s="294"/>
      <c r="AJ999" s="294"/>
    </row>
    <row r="1000" spans="2:36" x14ac:dyDescent="0.25">
      <c r="B1000" s="294"/>
      <c r="C1000" s="294"/>
      <c r="D1000" s="294"/>
      <c r="E1000" s="294"/>
      <c r="F1000" s="294"/>
      <c r="G1000" s="294"/>
      <c r="H1000" s="294"/>
      <c r="I1000" s="294"/>
      <c r="J1000" s="294"/>
      <c r="L1000" s="295"/>
      <c r="M1000" s="294"/>
      <c r="R1000" s="326"/>
      <c r="S1000" s="326"/>
      <c r="T1000" s="294"/>
      <c r="U1000" s="294"/>
      <c r="V1000" s="294"/>
      <c r="W1000" s="294"/>
      <c r="X1000" s="1182"/>
      <c r="Y1000" s="1182"/>
      <c r="Z1000" s="1166"/>
      <c r="AA1000" s="1166"/>
      <c r="AB1000" s="1182"/>
      <c r="AC1000" s="294"/>
      <c r="AD1000" s="294"/>
      <c r="AE1000" s="294"/>
      <c r="AF1000" s="294"/>
      <c r="AG1000" s="294"/>
      <c r="AH1000" s="294"/>
      <c r="AI1000" s="294"/>
      <c r="AJ1000" s="294"/>
    </row>
    <row r="1001" spans="2:36" x14ac:dyDescent="0.25">
      <c r="B1001" s="294"/>
      <c r="C1001" s="294"/>
      <c r="D1001" s="294"/>
      <c r="E1001" s="294"/>
      <c r="F1001" s="294"/>
      <c r="G1001" s="294"/>
      <c r="H1001" s="294"/>
      <c r="I1001" s="294"/>
      <c r="J1001" s="294"/>
      <c r="L1001" s="295"/>
      <c r="M1001" s="294"/>
      <c r="R1001" s="326"/>
      <c r="S1001" s="326"/>
      <c r="T1001" s="294"/>
      <c r="U1001" s="294"/>
      <c r="V1001" s="294"/>
      <c r="W1001" s="294"/>
      <c r="X1001" s="1182"/>
      <c r="Y1001" s="1182"/>
      <c r="Z1001" s="1166"/>
      <c r="AA1001" s="1166"/>
      <c r="AB1001" s="1182"/>
      <c r="AC1001" s="294"/>
      <c r="AD1001" s="294"/>
      <c r="AE1001" s="294"/>
      <c r="AF1001" s="294"/>
      <c r="AG1001" s="294"/>
      <c r="AH1001" s="294"/>
      <c r="AI1001" s="294"/>
      <c r="AJ1001" s="294"/>
    </row>
    <row r="1002" spans="2:36" x14ac:dyDescent="0.25">
      <c r="B1002" s="294"/>
      <c r="C1002" s="294"/>
      <c r="D1002" s="294"/>
      <c r="E1002" s="294"/>
      <c r="F1002" s="294"/>
      <c r="G1002" s="294"/>
      <c r="H1002" s="294"/>
      <c r="I1002" s="294"/>
      <c r="J1002" s="294"/>
      <c r="L1002" s="295"/>
      <c r="M1002" s="294"/>
      <c r="R1002" s="326"/>
      <c r="S1002" s="326"/>
      <c r="T1002" s="294"/>
      <c r="U1002" s="294"/>
      <c r="V1002" s="294"/>
      <c r="W1002" s="294"/>
      <c r="X1002" s="1182"/>
      <c r="Y1002" s="1182"/>
      <c r="Z1002" s="1166"/>
      <c r="AA1002" s="1166"/>
      <c r="AB1002" s="1182"/>
      <c r="AC1002" s="294"/>
      <c r="AD1002" s="294"/>
      <c r="AE1002" s="294"/>
      <c r="AF1002" s="294"/>
      <c r="AG1002" s="294"/>
      <c r="AH1002" s="294"/>
      <c r="AI1002" s="294"/>
      <c r="AJ1002" s="294"/>
    </row>
    <row r="1003" spans="2:36" x14ac:dyDescent="0.25">
      <c r="B1003" s="294"/>
      <c r="C1003" s="294"/>
      <c r="D1003" s="294"/>
      <c r="E1003" s="294"/>
      <c r="F1003" s="294"/>
      <c r="G1003" s="294"/>
      <c r="H1003" s="294"/>
      <c r="I1003" s="294"/>
      <c r="J1003" s="294"/>
      <c r="L1003" s="295"/>
      <c r="M1003" s="294"/>
      <c r="R1003" s="326"/>
      <c r="S1003" s="326"/>
      <c r="T1003" s="294"/>
      <c r="U1003" s="294"/>
      <c r="V1003" s="294"/>
      <c r="W1003" s="294"/>
      <c r="X1003" s="1182"/>
      <c r="Y1003" s="1182"/>
      <c r="Z1003" s="1166"/>
      <c r="AA1003" s="1166"/>
      <c r="AB1003" s="1182"/>
      <c r="AC1003" s="294"/>
      <c r="AD1003" s="294"/>
      <c r="AE1003" s="294"/>
      <c r="AF1003" s="294"/>
      <c r="AG1003" s="294"/>
      <c r="AH1003" s="294"/>
      <c r="AI1003" s="294"/>
      <c r="AJ1003" s="294"/>
    </row>
    <row r="1004" spans="2:36" x14ac:dyDescent="0.25">
      <c r="B1004" s="294"/>
      <c r="C1004" s="294"/>
      <c r="D1004" s="294"/>
      <c r="E1004" s="294"/>
      <c r="F1004" s="294"/>
      <c r="G1004" s="294"/>
      <c r="H1004" s="294"/>
      <c r="I1004" s="294"/>
      <c r="J1004" s="294"/>
      <c r="L1004" s="295"/>
      <c r="M1004" s="294"/>
      <c r="R1004" s="326"/>
      <c r="S1004" s="326"/>
      <c r="T1004" s="294"/>
      <c r="U1004" s="294"/>
      <c r="V1004" s="294"/>
      <c r="W1004" s="294"/>
      <c r="X1004" s="1182"/>
      <c r="Y1004" s="1182"/>
      <c r="Z1004" s="1166"/>
      <c r="AA1004" s="1166"/>
      <c r="AB1004" s="1182"/>
      <c r="AC1004" s="294"/>
      <c r="AD1004" s="294"/>
      <c r="AE1004" s="294"/>
      <c r="AF1004" s="294"/>
      <c r="AG1004" s="294"/>
      <c r="AH1004" s="294"/>
      <c r="AI1004" s="294"/>
      <c r="AJ1004" s="294"/>
    </row>
    <row r="1005" spans="2:36" x14ac:dyDescent="0.25">
      <c r="B1005" s="294"/>
      <c r="C1005" s="294"/>
      <c r="D1005" s="294"/>
      <c r="E1005" s="294"/>
      <c r="F1005" s="294"/>
      <c r="G1005" s="294"/>
      <c r="H1005" s="294"/>
      <c r="I1005" s="294"/>
      <c r="J1005" s="294"/>
      <c r="L1005" s="295"/>
      <c r="M1005" s="294"/>
      <c r="R1005" s="326"/>
      <c r="S1005" s="326"/>
      <c r="T1005" s="294"/>
      <c r="U1005" s="294"/>
      <c r="V1005" s="294"/>
      <c r="W1005" s="294"/>
      <c r="X1005" s="1182"/>
      <c r="Y1005" s="1182"/>
      <c r="Z1005" s="1166"/>
      <c r="AA1005" s="1166"/>
      <c r="AB1005" s="1182"/>
      <c r="AC1005" s="294"/>
      <c r="AD1005" s="294"/>
      <c r="AE1005" s="294"/>
      <c r="AF1005" s="294"/>
      <c r="AG1005" s="294"/>
      <c r="AH1005" s="294"/>
      <c r="AI1005" s="294"/>
      <c r="AJ1005" s="294"/>
    </row>
    <row r="1006" spans="2:36" x14ac:dyDescent="0.25">
      <c r="B1006" s="294"/>
      <c r="C1006" s="294"/>
      <c r="D1006" s="294"/>
      <c r="E1006" s="294"/>
      <c r="F1006" s="294"/>
      <c r="G1006" s="294"/>
      <c r="H1006" s="294"/>
      <c r="I1006" s="294"/>
      <c r="J1006" s="294"/>
      <c r="L1006" s="295"/>
      <c r="M1006" s="294"/>
      <c r="R1006" s="326"/>
      <c r="S1006" s="326"/>
      <c r="T1006" s="294"/>
      <c r="U1006" s="294"/>
      <c r="V1006" s="294"/>
      <c r="W1006" s="294"/>
      <c r="X1006" s="1182"/>
      <c r="Y1006" s="1182"/>
      <c r="Z1006" s="1166"/>
      <c r="AA1006" s="1166"/>
      <c r="AB1006" s="1182"/>
      <c r="AC1006" s="294"/>
      <c r="AD1006" s="294"/>
      <c r="AE1006" s="294"/>
      <c r="AF1006" s="294"/>
      <c r="AG1006" s="294"/>
      <c r="AH1006" s="294"/>
      <c r="AI1006" s="294"/>
      <c r="AJ1006" s="294"/>
    </row>
    <row r="1007" spans="2:36" x14ac:dyDescent="0.25">
      <c r="B1007" s="294"/>
      <c r="C1007" s="294"/>
      <c r="D1007" s="294"/>
      <c r="E1007" s="294"/>
      <c r="F1007" s="294"/>
      <c r="G1007" s="294"/>
      <c r="H1007" s="294"/>
      <c r="I1007" s="294"/>
      <c r="J1007" s="294"/>
      <c r="L1007" s="295"/>
      <c r="M1007" s="294"/>
      <c r="R1007" s="326"/>
      <c r="S1007" s="326"/>
      <c r="T1007" s="294"/>
      <c r="U1007" s="294"/>
      <c r="V1007" s="294"/>
      <c r="W1007" s="294"/>
      <c r="X1007" s="1182"/>
      <c r="Y1007" s="1182"/>
      <c r="Z1007" s="1166"/>
      <c r="AA1007" s="1166"/>
      <c r="AB1007" s="1182"/>
      <c r="AC1007" s="294"/>
      <c r="AD1007" s="294"/>
      <c r="AE1007" s="294"/>
      <c r="AF1007" s="294"/>
      <c r="AG1007" s="294"/>
      <c r="AH1007" s="294"/>
      <c r="AI1007" s="294"/>
      <c r="AJ1007" s="294"/>
    </row>
    <row r="1008" spans="2:36" x14ac:dyDescent="0.25">
      <c r="B1008" s="294"/>
      <c r="C1008" s="294"/>
      <c r="D1008" s="294"/>
      <c r="E1008" s="294"/>
      <c r="F1008" s="294"/>
      <c r="G1008" s="294"/>
      <c r="H1008" s="294"/>
      <c r="I1008" s="294"/>
      <c r="J1008" s="294"/>
      <c r="L1008" s="295"/>
      <c r="M1008" s="294"/>
      <c r="R1008" s="326"/>
      <c r="S1008" s="326"/>
      <c r="T1008" s="294"/>
      <c r="U1008" s="294"/>
      <c r="V1008" s="294"/>
      <c r="W1008" s="294"/>
      <c r="X1008" s="1182"/>
      <c r="Y1008" s="1182"/>
      <c r="Z1008" s="1166"/>
      <c r="AA1008" s="1166"/>
      <c r="AB1008" s="1182"/>
      <c r="AC1008" s="294"/>
      <c r="AD1008" s="294"/>
      <c r="AE1008" s="294"/>
      <c r="AF1008" s="294"/>
      <c r="AG1008" s="294"/>
      <c r="AH1008" s="294"/>
      <c r="AI1008" s="294"/>
      <c r="AJ1008" s="294"/>
    </row>
    <row r="1009" spans="2:36" x14ac:dyDescent="0.25">
      <c r="B1009" s="294"/>
      <c r="C1009" s="294"/>
      <c r="D1009" s="294"/>
      <c r="E1009" s="294"/>
      <c r="F1009" s="294"/>
      <c r="G1009" s="294"/>
      <c r="H1009" s="294"/>
      <c r="I1009" s="294"/>
      <c r="J1009" s="294"/>
      <c r="L1009" s="295"/>
      <c r="M1009" s="294"/>
      <c r="R1009" s="326"/>
      <c r="S1009" s="326"/>
      <c r="T1009" s="294"/>
      <c r="U1009" s="294"/>
      <c r="V1009" s="294"/>
      <c r="W1009" s="294"/>
      <c r="X1009" s="1182"/>
      <c r="Y1009" s="1182"/>
      <c r="Z1009" s="1166"/>
      <c r="AA1009" s="1166"/>
      <c r="AB1009" s="1182"/>
      <c r="AC1009" s="294"/>
      <c r="AD1009" s="294"/>
      <c r="AE1009" s="294"/>
      <c r="AF1009" s="294"/>
      <c r="AG1009" s="294"/>
      <c r="AH1009" s="294"/>
      <c r="AI1009" s="294"/>
      <c r="AJ1009" s="294"/>
    </row>
    <row r="1010" spans="2:36" x14ac:dyDescent="0.25">
      <c r="B1010" s="294"/>
      <c r="C1010" s="294"/>
      <c r="D1010" s="294"/>
      <c r="E1010" s="294"/>
      <c r="F1010" s="294"/>
      <c r="G1010" s="294"/>
      <c r="H1010" s="294"/>
      <c r="I1010" s="294"/>
      <c r="J1010" s="294"/>
      <c r="L1010" s="295"/>
      <c r="M1010" s="294"/>
      <c r="R1010" s="326"/>
      <c r="S1010" s="326"/>
      <c r="T1010" s="294"/>
      <c r="U1010" s="294"/>
      <c r="V1010" s="294"/>
      <c r="W1010" s="294"/>
      <c r="X1010" s="1182"/>
      <c r="Y1010" s="1182"/>
      <c r="Z1010" s="1166"/>
      <c r="AA1010" s="1166"/>
      <c r="AB1010" s="1182"/>
      <c r="AC1010" s="294"/>
      <c r="AD1010" s="294"/>
      <c r="AE1010" s="294"/>
      <c r="AF1010" s="294"/>
      <c r="AG1010" s="294"/>
      <c r="AH1010" s="294"/>
      <c r="AI1010" s="294"/>
      <c r="AJ1010" s="294"/>
    </row>
    <row r="1011" spans="2:36" x14ac:dyDescent="0.25">
      <c r="B1011" s="294"/>
      <c r="C1011" s="294"/>
      <c r="D1011" s="294"/>
      <c r="E1011" s="294"/>
      <c r="F1011" s="294"/>
      <c r="G1011" s="294"/>
      <c r="H1011" s="294"/>
      <c r="I1011" s="294"/>
      <c r="J1011" s="294"/>
      <c r="L1011" s="295"/>
      <c r="M1011" s="294"/>
      <c r="R1011" s="326"/>
      <c r="S1011" s="326"/>
      <c r="T1011" s="294"/>
      <c r="U1011" s="294"/>
      <c r="V1011" s="294"/>
      <c r="W1011" s="294"/>
      <c r="X1011" s="1182"/>
      <c r="Y1011" s="1182"/>
      <c r="Z1011" s="1166"/>
      <c r="AA1011" s="1166"/>
      <c r="AB1011" s="1182"/>
      <c r="AC1011" s="294"/>
      <c r="AD1011" s="294"/>
      <c r="AE1011" s="294"/>
      <c r="AF1011" s="294"/>
      <c r="AG1011" s="294"/>
      <c r="AH1011" s="294"/>
      <c r="AI1011" s="294"/>
      <c r="AJ1011" s="294"/>
    </row>
    <row r="1012" spans="2:36" x14ac:dyDescent="0.25">
      <c r="B1012" s="294"/>
      <c r="C1012" s="294"/>
      <c r="D1012" s="294"/>
      <c r="E1012" s="294"/>
      <c r="F1012" s="294"/>
      <c r="G1012" s="294"/>
      <c r="H1012" s="294"/>
      <c r="I1012" s="294"/>
      <c r="J1012" s="294"/>
      <c r="L1012" s="295"/>
      <c r="M1012" s="294"/>
      <c r="R1012" s="326"/>
      <c r="S1012" s="326"/>
      <c r="T1012" s="294"/>
      <c r="U1012" s="294"/>
      <c r="V1012" s="294"/>
      <c r="W1012" s="294"/>
      <c r="X1012" s="1182"/>
      <c r="Y1012" s="1182"/>
      <c r="Z1012" s="1166"/>
      <c r="AA1012" s="1166"/>
      <c r="AB1012" s="1182"/>
      <c r="AC1012" s="294"/>
      <c r="AD1012" s="294"/>
      <c r="AE1012" s="294"/>
      <c r="AF1012" s="294"/>
      <c r="AG1012" s="294"/>
      <c r="AH1012" s="294"/>
      <c r="AI1012" s="294"/>
      <c r="AJ1012" s="294"/>
    </row>
    <row r="1013" spans="2:36" x14ac:dyDescent="0.25">
      <c r="B1013" s="294"/>
      <c r="C1013" s="294"/>
      <c r="D1013" s="294"/>
      <c r="E1013" s="294"/>
      <c r="F1013" s="294"/>
      <c r="G1013" s="294"/>
      <c r="H1013" s="294"/>
      <c r="I1013" s="294"/>
      <c r="J1013" s="294"/>
      <c r="L1013" s="295"/>
      <c r="M1013" s="294"/>
      <c r="R1013" s="326"/>
      <c r="S1013" s="326"/>
      <c r="T1013" s="294"/>
      <c r="U1013" s="294"/>
      <c r="V1013" s="294"/>
      <c r="W1013" s="294"/>
      <c r="X1013" s="1182"/>
      <c r="Y1013" s="1182"/>
      <c r="Z1013" s="1166"/>
      <c r="AA1013" s="1166"/>
      <c r="AB1013" s="1182"/>
      <c r="AC1013" s="294"/>
      <c r="AD1013" s="294"/>
      <c r="AE1013" s="294"/>
      <c r="AF1013" s="294"/>
      <c r="AG1013" s="294"/>
      <c r="AH1013" s="294"/>
      <c r="AI1013" s="294"/>
      <c r="AJ1013" s="294"/>
    </row>
    <row r="1014" spans="2:36" x14ac:dyDescent="0.25">
      <c r="B1014" s="294"/>
      <c r="C1014" s="294"/>
      <c r="D1014" s="294"/>
      <c r="E1014" s="294"/>
      <c r="F1014" s="294"/>
      <c r="G1014" s="294"/>
      <c r="H1014" s="294"/>
      <c r="I1014" s="294"/>
      <c r="J1014" s="294"/>
      <c r="L1014" s="295"/>
      <c r="M1014" s="294"/>
      <c r="R1014" s="326"/>
      <c r="S1014" s="326"/>
      <c r="T1014" s="294"/>
      <c r="U1014" s="294"/>
      <c r="V1014" s="294"/>
      <c r="W1014" s="294"/>
      <c r="X1014" s="1182"/>
      <c r="Y1014" s="1182"/>
      <c r="Z1014" s="1166"/>
      <c r="AA1014" s="1166"/>
      <c r="AB1014" s="1182"/>
      <c r="AC1014" s="294"/>
      <c r="AD1014" s="294"/>
      <c r="AE1014" s="294"/>
      <c r="AF1014" s="294"/>
      <c r="AG1014" s="294"/>
      <c r="AH1014" s="294"/>
      <c r="AI1014" s="294"/>
      <c r="AJ1014" s="294"/>
    </row>
    <row r="1015" spans="2:36" x14ac:dyDescent="0.25">
      <c r="B1015" s="294"/>
      <c r="C1015" s="294"/>
      <c r="D1015" s="294"/>
      <c r="E1015" s="294"/>
      <c r="F1015" s="294"/>
      <c r="G1015" s="294"/>
      <c r="H1015" s="294"/>
      <c r="I1015" s="294"/>
      <c r="J1015" s="294"/>
      <c r="L1015" s="295"/>
      <c r="M1015" s="294"/>
      <c r="R1015" s="326"/>
      <c r="S1015" s="326"/>
      <c r="T1015" s="294"/>
      <c r="U1015" s="294"/>
      <c r="V1015" s="294"/>
      <c r="W1015" s="294"/>
      <c r="X1015" s="1182"/>
      <c r="Y1015" s="1182"/>
      <c r="Z1015" s="1166"/>
      <c r="AA1015" s="1166"/>
      <c r="AB1015" s="1182"/>
      <c r="AC1015" s="294"/>
      <c r="AD1015" s="294"/>
      <c r="AE1015" s="294"/>
      <c r="AF1015" s="294"/>
      <c r="AG1015" s="294"/>
      <c r="AH1015" s="294"/>
      <c r="AI1015" s="294"/>
      <c r="AJ1015" s="294"/>
    </row>
    <row r="1016" spans="2:36" x14ac:dyDescent="0.25">
      <c r="B1016" s="294"/>
      <c r="C1016" s="294"/>
      <c r="D1016" s="294"/>
      <c r="E1016" s="294"/>
      <c r="F1016" s="294"/>
      <c r="G1016" s="294"/>
      <c r="H1016" s="294"/>
      <c r="I1016" s="294"/>
      <c r="J1016" s="294"/>
      <c r="L1016" s="295"/>
      <c r="M1016" s="294"/>
      <c r="R1016" s="326"/>
      <c r="S1016" s="326"/>
      <c r="T1016" s="294"/>
      <c r="U1016" s="294"/>
      <c r="V1016" s="294"/>
      <c r="W1016" s="294"/>
      <c r="X1016" s="1182"/>
      <c r="Y1016" s="1182"/>
      <c r="Z1016" s="1166"/>
      <c r="AA1016" s="1166"/>
      <c r="AB1016" s="1182"/>
      <c r="AC1016" s="294"/>
      <c r="AD1016" s="294"/>
      <c r="AE1016" s="294"/>
      <c r="AF1016" s="294"/>
      <c r="AG1016" s="294"/>
      <c r="AH1016" s="294"/>
      <c r="AI1016" s="294"/>
      <c r="AJ1016" s="294"/>
    </row>
    <row r="1017" spans="2:36" x14ac:dyDescent="0.25">
      <c r="B1017" s="294"/>
      <c r="C1017" s="294"/>
      <c r="D1017" s="294"/>
      <c r="E1017" s="294"/>
      <c r="F1017" s="294"/>
      <c r="G1017" s="294"/>
      <c r="H1017" s="294"/>
      <c r="I1017" s="294"/>
      <c r="J1017" s="294"/>
      <c r="L1017" s="295"/>
      <c r="M1017" s="294"/>
      <c r="R1017" s="326"/>
      <c r="S1017" s="326"/>
      <c r="T1017" s="294"/>
      <c r="U1017" s="294"/>
      <c r="V1017" s="294"/>
      <c r="W1017" s="294"/>
      <c r="X1017" s="1182"/>
      <c r="Y1017" s="1182"/>
      <c r="Z1017" s="1166"/>
      <c r="AA1017" s="1166"/>
      <c r="AB1017" s="1182"/>
      <c r="AC1017" s="294"/>
      <c r="AD1017" s="294"/>
      <c r="AE1017" s="294"/>
      <c r="AF1017" s="294"/>
      <c r="AG1017" s="294"/>
      <c r="AH1017" s="294"/>
      <c r="AI1017" s="294"/>
      <c r="AJ1017" s="294"/>
    </row>
    <row r="1018" spans="2:36" x14ac:dyDescent="0.25">
      <c r="B1018" s="294"/>
      <c r="C1018" s="294"/>
      <c r="D1018" s="294"/>
      <c r="E1018" s="294"/>
      <c r="F1018" s="294"/>
      <c r="G1018" s="294"/>
      <c r="H1018" s="294"/>
      <c r="I1018" s="294"/>
      <c r="J1018" s="294"/>
      <c r="L1018" s="295"/>
      <c r="M1018" s="294"/>
      <c r="R1018" s="326"/>
      <c r="S1018" s="326"/>
      <c r="T1018" s="294"/>
      <c r="U1018" s="294"/>
      <c r="V1018" s="294"/>
      <c r="W1018" s="294"/>
      <c r="X1018" s="1182"/>
      <c r="Y1018" s="1182"/>
      <c r="Z1018" s="1166"/>
      <c r="AA1018" s="1166"/>
      <c r="AB1018" s="1182"/>
      <c r="AC1018" s="294"/>
      <c r="AD1018" s="294"/>
      <c r="AE1018" s="294"/>
      <c r="AF1018" s="294"/>
      <c r="AG1018" s="294"/>
      <c r="AH1018" s="294"/>
      <c r="AI1018" s="294"/>
      <c r="AJ1018" s="294"/>
    </row>
    <row r="1019" spans="2:36" x14ac:dyDescent="0.25">
      <c r="B1019" s="294"/>
      <c r="C1019" s="294"/>
      <c r="D1019" s="294"/>
      <c r="E1019" s="294"/>
      <c r="F1019" s="294"/>
      <c r="G1019" s="294"/>
      <c r="H1019" s="294"/>
      <c r="I1019" s="294"/>
      <c r="J1019" s="294"/>
      <c r="L1019" s="295"/>
      <c r="M1019" s="294"/>
      <c r="R1019" s="326"/>
      <c r="S1019" s="326"/>
      <c r="T1019" s="294"/>
      <c r="U1019" s="294"/>
      <c r="V1019" s="294"/>
      <c r="W1019" s="294"/>
      <c r="X1019" s="1182"/>
      <c r="Y1019" s="1182"/>
      <c r="Z1019" s="1166"/>
      <c r="AA1019" s="1166"/>
      <c r="AB1019" s="1182"/>
      <c r="AC1019" s="294"/>
      <c r="AD1019" s="294"/>
      <c r="AE1019" s="294"/>
      <c r="AF1019" s="294"/>
      <c r="AG1019" s="294"/>
      <c r="AH1019" s="294"/>
      <c r="AI1019" s="294"/>
      <c r="AJ1019" s="294"/>
    </row>
    <row r="1020" spans="2:36" x14ac:dyDescent="0.25">
      <c r="B1020" s="294"/>
      <c r="C1020" s="294"/>
      <c r="D1020" s="294"/>
      <c r="E1020" s="294"/>
      <c r="F1020" s="294"/>
      <c r="G1020" s="294"/>
      <c r="H1020" s="294"/>
      <c r="I1020" s="294"/>
      <c r="J1020" s="294"/>
      <c r="L1020" s="295"/>
      <c r="M1020" s="294"/>
      <c r="R1020" s="326"/>
      <c r="S1020" s="326"/>
      <c r="T1020" s="294"/>
      <c r="U1020" s="294"/>
      <c r="V1020" s="294"/>
      <c r="W1020" s="294"/>
      <c r="X1020" s="1182"/>
      <c r="Y1020" s="1182"/>
      <c r="Z1020" s="1166"/>
      <c r="AA1020" s="1166"/>
      <c r="AB1020" s="1182"/>
      <c r="AC1020" s="294"/>
      <c r="AD1020" s="294"/>
      <c r="AE1020" s="294"/>
      <c r="AF1020" s="294"/>
      <c r="AG1020" s="294"/>
      <c r="AH1020" s="294"/>
      <c r="AI1020" s="294"/>
      <c r="AJ1020" s="294"/>
    </row>
    <row r="1021" spans="2:36" x14ac:dyDescent="0.25">
      <c r="B1021" s="294"/>
      <c r="C1021" s="294"/>
      <c r="D1021" s="294"/>
      <c r="E1021" s="294"/>
      <c r="F1021" s="294"/>
      <c r="G1021" s="294"/>
      <c r="H1021" s="294"/>
      <c r="I1021" s="294"/>
      <c r="J1021" s="294"/>
      <c r="L1021" s="295"/>
      <c r="M1021" s="294"/>
      <c r="R1021" s="326"/>
      <c r="S1021" s="326"/>
      <c r="T1021" s="294"/>
      <c r="U1021" s="294"/>
      <c r="V1021" s="294"/>
      <c r="W1021" s="294"/>
      <c r="X1021" s="1182"/>
      <c r="Y1021" s="1182"/>
      <c r="Z1021" s="1166"/>
      <c r="AA1021" s="1166"/>
      <c r="AB1021" s="1182"/>
      <c r="AC1021" s="294"/>
      <c r="AD1021" s="294"/>
      <c r="AE1021" s="294"/>
      <c r="AF1021" s="294"/>
      <c r="AG1021" s="294"/>
      <c r="AH1021" s="294"/>
      <c r="AI1021" s="294"/>
      <c r="AJ1021" s="294"/>
    </row>
    <row r="1022" spans="2:36" x14ac:dyDescent="0.25">
      <c r="B1022" s="294"/>
      <c r="C1022" s="294"/>
      <c r="D1022" s="294"/>
      <c r="E1022" s="294"/>
      <c r="F1022" s="294"/>
      <c r="G1022" s="294"/>
      <c r="H1022" s="294"/>
      <c r="I1022" s="294"/>
      <c r="J1022" s="294"/>
      <c r="L1022" s="295"/>
      <c r="M1022" s="294"/>
      <c r="R1022" s="326"/>
      <c r="S1022" s="326"/>
      <c r="T1022" s="294"/>
      <c r="U1022" s="294"/>
      <c r="V1022" s="294"/>
      <c r="W1022" s="294"/>
      <c r="X1022" s="1182"/>
      <c r="Y1022" s="1182"/>
      <c r="Z1022" s="1166"/>
      <c r="AA1022" s="1166"/>
      <c r="AB1022" s="1182"/>
      <c r="AC1022" s="294"/>
      <c r="AD1022" s="294"/>
      <c r="AE1022" s="294"/>
      <c r="AF1022" s="294"/>
      <c r="AG1022" s="294"/>
      <c r="AH1022" s="294"/>
      <c r="AI1022" s="294"/>
      <c r="AJ1022" s="294"/>
    </row>
    <row r="1023" spans="2:36" x14ac:dyDescent="0.25">
      <c r="B1023" s="294"/>
      <c r="C1023" s="294"/>
      <c r="D1023" s="294"/>
      <c r="E1023" s="294"/>
      <c r="F1023" s="294"/>
      <c r="G1023" s="294"/>
      <c r="H1023" s="294"/>
      <c r="I1023" s="294"/>
      <c r="J1023" s="294"/>
      <c r="L1023" s="295"/>
      <c r="M1023" s="294"/>
      <c r="R1023" s="326"/>
      <c r="S1023" s="326"/>
      <c r="T1023" s="294"/>
      <c r="U1023" s="294"/>
      <c r="V1023" s="294"/>
      <c r="W1023" s="294"/>
      <c r="X1023" s="1182"/>
      <c r="Y1023" s="1182"/>
      <c r="Z1023" s="1166"/>
      <c r="AA1023" s="1166"/>
      <c r="AB1023" s="1182"/>
      <c r="AC1023" s="294"/>
      <c r="AD1023" s="294"/>
      <c r="AE1023" s="294"/>
      <c r="AF1023" s="294"/>
      <c r="AG1023" s="294"/>
      <c r="AH1023" s="294"/>
      <c r="AI1023" s="294"/>
      <c r="AJ1023" s="294"/>
    </row>
    <row r="1024" spans="2:36" x14ac:dyDescent="0.25">
      <c r="B1024" s="294"/>
      <c r="C1024" s="294"/>
      <c r="D1024" s="294"/>
      <c r="E1024" s="294"/>
      <c r="F1024" s="294"/>
      <c r="G1024" s="294"/>
      <c r="H1024" s="294"/>
      <c r="I1024" s="294"/>
      <c r="J1024" s="294"/>
      <c r="L1024" s="295"/>
      <c r="M1024" s="294"/>
      <c r="R1024" s="326"/>
      <c r="S1024" s="326"/>
      <c r="T1024" s="294"/>
      <c r="U1024" s="294"/>
      <c r="V1024" s="294"/>
      <c r="W1024" s="294"/>
      <c r="X1024" s="1182"/>
      <c r="Y1024" s="1182"/>
      <c r="Z1024" s="1166"/>
      <c r="AA1024" s="1166"/>
      <c r="AB1024" s="1182"/>
      <c r="AC1024" s="294"/>
      <c r="AD1024" s="294"/>
      <c r="AE1024" s="294"/>
      <c r="AF1024" s="294"/>
      <c r="AG1024" s="294"/>
      <c r="AH1024" s="294"/>
      <c r="AI1024" s="294"/>
      <c r="AJ1024" s="294"/>
    </row>
    <row r="1025" spans="2:36" x14ac:dyDescent="0.25">
      <c r="B1025" s="294"/>
      <c r="C1025" s="294"/>
      <c r="D1025" s="294"/>
      <c r="E1025" s="294"/>
      <c r="F1025" s="294"/>
      <c r="G1025" s="294"/>
      <c r="H1025" s="294"/>
      <c r="I1025" s="294"/>
      <c r="J1025" s="294"/>
      <c r="L1025" s="295"/>
      <c r="M1025" s="294"/>
      <c r="R1025" s="326"/>
      <c r="S1025" s="326"/>
      <c r="T1025" s="294"/>
      <c r="U1025" s="294"/>
      <c r="V1025" s="294"/>
      <c r="W1025" s="294"/>
      <c r="X1025" s="1182"/>
      <c r="Y1025" s="1182"/>
      <c r="Z1025" s="1166"/>
      <c r="AA1025" s="1166"/>
      <c r="AB1025" s="1182"/>
      <c r="AC1025" s="294"/>
      <c r="AD1025" s="294"/>
      <c r="AE1025" s="294"/>
      <c r="AF1025" s="294"/>
      <c r="AG1025" s="294"/>
      <c r="AH1025" s="294"/>
      <c r="AI1025" s="294"/>
      <c r="AJ1025" s="294"/>
    </row>
    <row r="1026" spans="2:36" x14ac:dyDescent="0.25">
      <c r="B1026" s="294"/>
      <c r="C1026" s="294"/>
      <c r="D1026" s="294"/>
      <c r="E1026" s="294"/>
      <c r="F1026" s="294"/>
      <c r="G1026" s="294"/>
      <c r="H1026" s="294"/>
      <c r="I1026" s="294"/>
      <c r="J1026" s="294"/>
      <c r="L1026" s="295"/>
      <c r="M1026" s="294"/>
      <c r="R1026" s="326"/>
      <c r="S1026" s="326"/>
      <c r="T1026" s="294"/>
      <c r="U1026" s="294"/>
      <c r="V1026" s="294"/>
      <c r="W1026" s="294"/>
      <c r="X1026" s="1182"/>
      <c r="Y1026" s="1182"/>
      <c r="Z1026" s="1166"/>
      <c r="AA1026" s="1166"/>
      <c r="AB1026" s="1182"/>
      <c r="AC1026" s="294"/>
      <c r="AD1026" s="294"/>
      <c r="AE1026" s="294"/>
      <c r="AF1026" s="294"/>
      <c r="AG1026" s="294"/>
      <c r="AH1026" s="294"/>
      <c r="AI1026" s="294"/>
      <c r="AJ1026" s="294"/>
    </row>
    <row r="1027" spans="2:36" x14ac:dyDescent="0.25">
      <c r="B1027" s="294"/>
      <c r="C1027" s="294"/>
      <c r="D1027" s="294"/>
      <c r="E1027" s="294"/>
      <c r="F1027" s="294"/>
      <c r="G1027" s="294"/>
      <c r="H1027" s="294"/>
      <c r="I1027" s="294"/>
      <c r="J1027" s="294"/>
      <c r="L1027" s="295"/>
      <c r="M1027" s="294"/>
      <c r="R1027" s="326"/>
      <c r="S1027" s="326"/>
      <c r="T1027" s="294"/>
      <c r="U1027" s="294"/>
      <c r="V1027" s="294"/>
      <c r="W1027" s="294"/>
      <c r="X1027" s="1182"/>
      <c r="Y1027" s="1182"/>
      <c r="Z1027" s="1166"/>
      <c r="AA1027" s="1166"/>
      <c r="AB1027" s="1182"/>
      <c r="AC1027" s="294"/>
      <c r="AD1027" s="294"/>
      <c r="AE1027" s="294"/>
      <c r="AF1027" s="294"/>
      <c r="AG1027" s="294"/>
      <c r="AH1027" s="294"/>
      <c r="AI1027" s="294"/>
      <c r="AJ1027" s="294"/>
    </row>
    <row r="1028" spans="2:36" x14ac:dyDescent="0.25">
      <c r="B1028" s="294"/>
      <c r="C1028" s="294"/>
      <c r="D1028" s="294"/>
      <c r="E1028" s="294"/>
      <c r="F1028" s="294"/>
      <c r="G1028" s="294"/>
      <c r="H1028" s="294"/>
      <c r="I1028" s="294"/>
      <c r="J1028" s="294"/>
      <c r="L1028" s="295"/>
      <c r="M1028" s="294"/>
      <c r="R1028" s="326"/>
      <c r="S1028" s="326"/>
      <c r="T1028" s="294"/>
      <c r="U1028" s="294"/>
      <c r="V1028" s="294"/>
      <c r="W1028" s="294"/>
      <c r="X1028" s="1182"/>
      <c r="Y1028" s="1182"/>
      <c r="Z1028" s="1166"/>
      <c r="AA1028" s="1166"/>
      <c r="AB1028" s="1182"/>
      <c r="AC1028" s="294"/>
      <c r="AD1028" s="294"/>
      <c r="AE1028" s="294"/>
      <c r="AF1028" s="294"/>
      <c r="AG1028" s="294"/>
      <c r="AH1028" s="294"/>
      <c r="AI1028" s="294"/>
      <c r="AJ1028" s="294"/>
    </row>
    <row r="1029" spans="2:36" x14ac:dyDescent="0.25">
      <c r="B1029" s="294"/>
      <c r="C1029" s="294"/>
      <c r="D1029" s="294"/>
      <c r="E1029" s="294"/>
      <c r="F1029" s="294"/>
      <c r="G1029" s="294"/>
      <c r="H1029" s="294"/>
      <c r="I1029" s="294"/>
      <c r="J1029" s="294"/>
      <c r="L1029" s="295"/>
      <c r="M1029" s="294"/>
      <c r="R1029" s="326"/>
      <c r="S1029" s="326"/>
      <c r="T1029" s="294"/>
      <c r="U1029" s="294"/>
      <c r="V1029" s="294"/>
      <c r="W1029" s="294"/>
      <c r="X1029" s="1182"/>
      <c r="Y1029" s="1182"/>
      <c r="Z1029" s="1166"/>
      <c r="AA1029" s="1166"/>
      <c r="AB1029" s="1182"/>
      <c r="AC1029" s="294"/>
      <c r="AD1029" s="294"/>
      <c r="AE1029" s="294"/>
      <c r="AF1029" s="294"/>
      <c r="AG1029" s="294"/>
      <c r="AH1029" s="294"/>
      <c r="AI1029" s="294"/>
      <c r="AJ1029" s="294"/>
    </row>
    <row r="1030" spans="2:36" x14ac:dyDescent="0.25">
      <c r="B1030" s="294"/>
      <c r="C1030" s="294"/>
      <c r="D1030" s="294"/>
      <c r="E1030" s="294"/>
      <c r="F1030" s="294"/>
      <c r="G1030" s="294"/>
      <c r="H1030" s="294"/>
      <c r="I1030" s="294"/>
      <c r="J1030" s="294"/>
      <c r="L1030" s="295"/>
      <c r="M1030" s="294"/>
      <c r="R1030" s="326"/>
      <c r="S1030" s="326"/>
      <c r="T1030" s="294"/>
      <c r="U1030" s="294"/>
      <c r="V1030" s="294"/>
      <c r="W1030" s="294"/>
      <c r="X1030" s="1182"/>
      <c r="Y1030" s="1182"/>
      <c r="Z1030" s="1166"/>
      <c r="AA1030" s="1166"/>
      <c r="AB1030" s="1182"/>
      <c r="AC1030" s="294"/>
      <c r="AD1030" s="294"/>
      <c r="AE1030" s="294"/>
      <c r="AF1030" s="294"/>
      <c r="AG1030" s="294"/>
      <c r="AH1030" s="294"/>
      <c r="AI1030" s="294"/>
      <c r="AJ1030" s="294"/>
    </row>
    <row r="1031" spans="2:36" x14ac:dyDescent="0.25">
      <c r="B1031" s="294"/>
      <c r="C1031" s="294"/>
      <c r="D1031" s="294"/>
      <c r="E1031" s="294"/>
      <c r="F1031" s="294"/>
      <c r="G1031" s="294"/>
      <c r="H1031" s="294"/>
      <c r="I1031" s="294"/>
      <c r="J1031" s="294"/>
      <c r="L1031" s="295"/>
      <c r="M1031" s="294"/>
      <c r="R1031" s="326"/>
      <c r="S1031" s="326"/>
      <c r="T1031" s="294"/>
      <c r="U1031" s="294"/>
      <c r="V1031" s="294"/>
      <c r="W1031" s="294"/>
      <c r="X1031" s="1182"/>
      <c r="Y1031" s="1182"/>
      <c r="Z1031" s="1166"/>
      <c r="AA1031" s="1166"/>
      <c r="AB1031" s="1182"/>
      <c r="AC1031" s="294"/>
      <c r="AD1031" s="294"/>
      <c r="AE1031" s="294"/>
      <c r="AF1031" s="294"/>
      <c r="AG1031" s="294"/>
      <c r="AH1031" s="294"/>
      <c r="AI1031" s="294"/>
      <c r="AJ1031" s="294"/>
    </row>
    <row r="1032" spans="2:36" x14ac:dyDescent="0.25">
      <c r="B1032" s="294"/>
      <c r="C1032" s="294"/>
      <c r="D1032" s="294"/>
      <c r="E1032" s="294"/>
      <c r="F1032" s="294"/>
      <c r="G1032" s="294"/>
      <c r="H1032" s="294"/>
      <c r="I1032" s="294"/>
      <c r="J1032" s="294"/>
      <c r="L1032" s="295"/>
      <c r="M1032" s="294"/>
      <c r="R1032" s="326"/>
      <c r="S1032" s="326"/>
      <c r="T1032" s="294"/>
      <c r="U1032" s="294"/>
      <c r="V1032" s="294"/>
      <c r="W1032" s="294"/>
      <c r="X1032" s="1182"/>
      <c r="Y1032" s="1182"/>
      <c r="Z1032" s="1166"/>
      <c r="AA1032" s="1166"/>
      <c r="AB1032" s="1182"/>
      <c r="AC1032" s="294"/>
      <c r="AD1032" s="294"/>
      <c r="AE1032" s="294"/>
      <c r="AF1032" s="294"/>
      <c r="AG1032" s="294"/>
      <c r="AH1032" s="294"/>
      <c r="AI1032" s="294"/>
      <c r="AJ1032" s="294"/>
    </row>
    <row r="1033" spans="2:36" x14ac:dyDescent="0.25">
      <c r="B1033" s="294"/>
      <c r="C1033" s="294"/>
      <c r="D1033" s="294"/>
      <c r="E1033" s="294"/>
      <c r="F1033" s="294"/>
      <c r="G1033" s="294"/>
      <c r="H1033" s="294"/>
      <c r="I1033" s="294"/>
      <c r="J1033" s="294"/>
      <c r="L1033" s="295"/>
      <c r="M1033" s="294"/>
      <c r="R1033" s="326"/>
      <c r="S1033" s="326"/>
      <c r="T1033" s="294"/>
      <c r="U1033" s="294"/>
      <c r="V1033" s="294"/>
      <c r="W1033" s="294"/>
      <c r="X1033" s="1182"/>
      <c r="Y1033" s="1182"/>
      <c r="Z1033" s="1166"/>
      <c r="AA1033" s="1166"/>
      <c r="AB1033" s="1182"/>
      <c r="AC1033" s="294"/>
      <c r="AD1033" s="294"/>
      <c r="AE1033" s="294"/>
      <c r="AF1033" s="294"/>
      <c r="AG1033" s="294"/>
      <c r="AH1033" s="294"/>
      <c r="AI1033" s="294"/>
      <c r="AJ1033" s="294"/>
    </row>
    <row r="1034" spans="2:36" x14ac:dyDescent="0.25">
      <c r="B1034" s="294"/>
      <c r="C1034" s="294"/>
      <c r="D1034" s="294"/>
      <c r="E1034" s="294"/>
      <c r="F1034" s="294"/>
      <c r="G1034" s="294"/>
      <c r="H1034" s="294"/>
      <c r="I1034" s="294"/>
      <c r="J1034" s="294"/>
      <c r="L1034" s="295"/>
      <c r="M1034" s="294"/>
      <c r="R1034" s="326"/>
      <c r="S1034" s="326"/>
      <c r="T1034" s="294"/>
      <c r="U1034" s="294"/>
      <c r="V1034" s="294"/>
      <c r="W1034" s="294"/>
      <c r="X1034" s="1182"/>
      <c r="Y1034" s="1182"/>
      <c r="Z1034" s="1166"/>
      <c r="AA1034" s="1166"/>
      <c r="AB1034" s="1182"/>
      <c r="AC1034" s="294"/>
      <c r="AD1034" s="294"/>
      <c r="AE1034" s="294"/>
      <c r="AF1034" s="294"/>
      <c r="AG1034" s="294"/>
      <c r="AH1034" s="294"/>
      <c r="AI1034" s="294"/>
      <c r="AJ1034" s="294"/>
    </row>
    <row r="1035" spans="2:36" x14ac:dyDescent="0.25">
      <c r="B1035" s="294"/>
      <c r="C1035" s="294"/>
      <c r="D1035" s="294"/>
      <c r="E1035" s="294"/>
      <c r="F1035" s="294"/>
      <c r="G1035" s="294"/>
      <c r="H1035" s="294"/>
      <c r="I1035" s="294"/>
      <c r="J1035" s="294"/>
      <c r="L1035" s="295"/>
      <c r="M1035" s="294"/>
      <c r="R1035" s="326"/>
      <c r="S1035" s="326"/>
      <c r="T1035" s="294"/>
      <c r="U1035" s="294"/>
      <c r="V1035" s="294"/>
      <c r="W1035" s="294"/>
      <c r="X1035" s="1182"/>
      <c r="Y1035" s="1182"/>
      <c r="Z1035" s="1166"/>
      <c r="AA1035" s="1166"/>
      <c r="AB1035" s="1182"/>
      <c r="AC1035" s="294"/>
      <c r="AD1035" s="294"/>
      <c r="AE1035" s="294"/>
      <c r="AF1035" s="294"/>
      <c r="AG1035" s="294"/>
      <c r="AH1035" s="294"/>
      <c r="AI1035" s="294"/>
      <c r="AJ1035" s="294"/>
    </row>
    <row r="1036" spans="2:36" x14ac:dyDescent="0.25">
      <c r="B1036" s="294"/>
      <c r="C1036" s="294"/>
      <c r="D1036" s="294"/>
      <c r="E1036" s="294"/>
      <c r="F1036" s="294"/>
      <c r="G1036" s="294"/>
      <c r="H1036" s="294"/>
      <c r="I1036" s="294"/>
      <c r="J1036" s="294"/>
      <c r="L1036" s="295"/>
      <c r="M1036" s="294"/>
      <c r="R1036" s="326"/>
      <c r="S1036" s="326"/>
      <c r="T1036" s="294"/>
      <c r="U1036" s="294"/>
      <c r="V1036" s="294"/>
      <c r="W1036" s="294"/>
      <c r="X1036" s="1182"/>
      <c r="Y1036" s="1182"/>
      <c r="Z1036" s="1166"/>
      <c r="AA1036" s="1166"/>
      <c r="AB1036" s="1182"/>
      <c r="AC1036" s="294"/>
      <c r="AD1036" s="294"/>
      <c r="AE1036" s="294"/>
      <c r="AF1036" s="294"/>
      <c r="AG1036" s="294"/>
      <c r="AH1036" s="294"/>
      <c r="AI1036" s="294"/>
      <c r="AJ1036" s="294"/>
    </row>
    <row r="1037" spans="2:36" x14ac:dyDescent="0.25">
      <c r="B1037" s="294"/>
      <c r="C1037" s="294"/>
      <c r="D1037" s="294"/>
      <c r="E1037" s="294"/>
      <c r="F1037" s="294"/>
      <c r="G1037" s="294"/>
      <c r="H1037" s="294"/>
      <c r="I1037" s="294"/>
      <c r="J1037" s="294"/>
      <c r="L1037" s="295"/>
      <c r="M1037" s="294"/>
      <c r="R1037" s="326"/>
      <c r="S1037" s="326"/>
      <c r="T1037" s="294"/>
      <c r="U1037" s="294"/>
      <c r="V1037" s="294"/>
      <c r="W1037" s="294"/>
      <c r="X1037" s="1182"/>
      <c r="Y1037" s="1182"/>
      <c r="Z1037" s="1166"/>
      <c r="AA1037" s="1166"/>
      <c r="AB1037" s="1182"/>
      <c r="AC1037" s="294"/>
      <c r="AD1037" s="294"/>
      <c r="AE1037" s="294"/>
      <c r="AF1037" s="294"/>
      <c r="AG1037" s="294"/>
      <c r="AH1037" s="294"/>
      <c r="AI1037" s="294"/>
      <c r="AJ1037" s="294"/>
    </row>
    <row r="1038" spans="2:36" x14ac:dyDescent="0.25">
      <c r="B1038" s="294"/>
      <c r="C1038" s="294"/>
      <c r="D1038" s="294"/>
      <c r="E1038" s="294"/>
      <c r="F1038" s="294"/>
      <c r="G1038" s="294"/>
      <c r="H1038" s="294"/>
      <c r="I1038" s="294"/>
      <c r="J1038" s="294"/>
      <c r="L1038" s="295"/>
      <c r="M1038" s="294"/>
      <c r="R1038" s="326"/>
      <c r="S1038" s="326"/>
      <c r="T1038" s="294"/>
      <c r="U1038" s="294"/>
      <c r="V1038" s="294"/>
      <c r="W1038" s="294"/>
      <c r="X1038" s="1182"/>
      <c r="Y1038" s="1182"/>
      <c r="Z1038" s="1166"/>
      <c r="AA1038" s="1166"/>
      <c r="AB1038" s="1182"/>
      <c r="AC1038" s="294"/>
      <c r="AD1038" s="294"/>
      <c r="AE1038" s="294"/>
      <c r="AF1038" s="294"/>
      <c r="AG1038" s="294"/>
      <c r="AH1038" s="294"/>
      <c r="AI1038" s="294"/>
      <c r="AJ1038" s="294"/>
    </row>
    <row r="1039" spans="2:36" x14ac:dyDescent="0.25">
      <c r="B1039" s="294"/>
      <c r="C1039" s="294"/>
      <c r="D1039" s="294"/>
      <c r="E1039" s="294"/>
      <c r="F1039" s="294"/>
      <c r="G1039" s="294"/>
      <c r="H1039" s="294"/>
      <c r="I1039" s="294"/>
      <c r="J1039" s="294"/>
      <c r="L1039" s="295"/>
      <c r="M1039" s="294"/>
      <c r="R1039" s="326"/>
      <c r="S1039" s="326"/>
      <c r="T1039" s="294"/>
      <c r="U1039" s="294"/>
      <c r="V1039" s="294"/>
      <c r="W1039" s="294"/>
      <c r="X1039" s="1182"/>
      <c r="Y1039" s="1182"/>
      <c r="Z1039" s="1166"/>
      <c r="AA1039" s="1166"/>
      <c r="AB1039" s="1182"/>
      <c r="AC1039" s="294"/>
      <c r="AD1039" s="294"/>
      <c r="AE1039" s="294"/>
      <c r="AF1039" s="294"/>
      <c r="AG1039" s="294"/>
      <c r="AH1039" s="294"/>
      <c r="AI1039" s="294"/>
      <c r="AJ1039" s="294"/>
    </row>
    <row r="1040" spans="2:36" x14ac:dyDescent="0.25">
      <c r="B1040" s="294"/>
      <c r="C1040" s="294"/>
      <c r="D1040" s="294"/>
      <c r="E1040" s="294"/>
      <c r="F1040" s="294"/>
      <c r="G1040" s="294"/>
      <c r="H1040" s="294"/>
      <c r="I1040" s="294"/>
      <c r="J1040" s="294"/>
      <c r="L1040" s="295"/>
      <c r="M1040" s="294"/>
      <c r="R1040" s="326"/>
      <c r="S1040" s="326"/>
      <c r="T1040" s="294"/>
      <c r="U1040" s="294"/>
      <c r="V1040" s="294"/>
      <c r="W1040" s="294"/>
      <c r="X1040" s="1182"/>
      <c r="Y1040" s="1182"/>
      <c r="Z1040" s="1166"/>
      <c r="AA1040" s="1166"/>
      <c r="AB1040" s="1182"/>
      <c r="AC1040" s="294"/>
      <c r="AD1040" s="294"/>
      <c r="AE1040" s="294"/>
      <c r="AF1040" s="294"/>
      <c r="AG1040" s="294"/>
      <c r="AH1040" s="294"/>
      <c r="AI1040" s="294"/>
      <c r="AJ1040" s="294"/>
    </row>
    <row r="1041" spans="2:36" x14ac:dyDescent="0.25">
      <c r="B1041" s="294"/>
      <c r="C1041" s="294"/>
      <c r="D1041" s="294"/>
      <c r="E1041" s="294"/>
      <c r="F1041" s="294"/>
      <c r="G1041" s="294"/>
      <c r="H1041" s="294"/>
      <c r="I1041" s="294"/>
      <c r="J1041" s="294"/>
      <c r="L1041" s="295"/>
      <c r="M1041" s="294"/>
      <c r="R1041" s="326"/>
      <c r="S1041" s="326"/>
      <c r="T1041" s="294"/>
      <c r="U1041" s="294"/>
      <c r="V1041" s="294"/>
      <c r="W1041" s="294"/>
      <c r="X1041" s="1182"/>
      <c r="Y1041" s="1182"/>
      <c r="Z1041" s="1166"/>
      <c r="AA1041" s="1166"/>
      <c r="AB1041" s="1182"/>
      <c r="AC1041" s="294"/>
      <c r="AD1041" s="294"/>
      <c r="AE1041" s="294"/>
      <c r="AF1041" s="294"/>
      <c r="AG1041" s="294"/>
      <c r="AH1041" s="294"/>
      <c r="AI1041" s="294"/>
      <c r="AJ1041" s="294"/>
    </row>
    <row r="1042" spans="2:36" x14ac:dyDescent="0.25">
      <c r="B1042" s="294"/>
      <c r="C1042" s="294"/>
      <c r="D1042" s="294"/>
      <c r="E1042" s="294"/>
      <c r="F1042" s="294"/>
      <c r="G1042" s="294"/>
      <c r="H1042" s="294"/>
      <c r="I1042" s="294"/>
      <c r="J1042" s="294"/>
      <c r="L1042" s="295"/>
      <c r="M1042" s="294"/>
      <c r="R1042" s="326"/>
      <c r="S1042" s="326"/>
      <c r="T1042" s="294"/>
      <c r="U1042" s="294"/>
      <c r="V1042" s="294"/>
      <c r="W1042" s="294"/>
      <c r="X1042" s="1182"/>
      <c r="Y1042" s="1182"/>
      <c r="Z1042" s="1166"/>
      <c r="AA1042" s="1166"/>
      <c r="AB1042" s="1182"/>
      <c r="AC1042" s="294"/>
      <c r="AD1042" s="294"/>
      <c r="AE1042" s="294"/>
      <c r="AF1042" s="294"/>
      <c r="AG1042" s="294"/>
      <c r="AH1042" s="294"/>
      <c r="AI1042" s="294"/>
      <c r="AJ1042" s="294"/>
    </row>
    <row r="1043" spans="2:36" x14ac:dyDescent="0.25">
      <c r="B1043" s="294"/>
      <c r="C1043" s="294"/>
      <c r="D1043" s="294"/>
      <c r="E1043" s="294"/>
      <c r="F1043" s="294"/>
      <c r="G1043" s="294"/>
      <c r="H1043" s="294"/>
      <c r="I1043" s="294"/>
      <c r="J1043" s="294"/>
      <c r="L1043" s="295"/>
      <c r="M1043" s="294"/>
      <c r="R1043" s="326"/>
      <c r="S1043" s="326"/>
      <c r="T1043" s="294"/>
      <c r="U1043" s="294"/>
      <c r="V1043" s="294"/>
      <c r="W1043" s="294"/>
      <c r="X1043" s="1182"/>
      <c r="Y1043" s="1182"/>
      <c r="Z1043" s="1166"/>
      <c r="AA1043" s="1166"/>
      <c r="AB1043" s="1182"/>
      <c r="AC1043" s="294"/>
      <c r="AD1043" s="294"/>
      <c r="AE1043" s="294"/>
      <c r="AF1043" s="294"/>
      <c r="AG1043" s="294"/>
      <c r="AH1043" s="294"/>
      <c r="AI1043" s="294"/>
      <c r="AJ1043" s="294"/>
    </row>
    <row r="1044" spans="2:36" x14ac:dyDescent="0.25">
      <c r="B1044" s="294"/>
      <c r="C1044" s="294"/>
      <c r="D1044" s="294"/>
      <c r="E1044" s="294"/>
      <c r="F1044" s="294"/>
      <c r="G1044" s="294"/>
      <c r="H1044" s="294"/>
      <c r="I1044" s="294"/>
      <c r="J1044" s="294"/>
      <c r="L1044" s="295"/>
      <c r="M1044" s="294"/>
      <c r="R1044" s="326"/>
      <c r="S1044" s="326"/>
      <c r="T1044" s="294"/>
      <c r="U1044" s="294"/>
      <c r="V1044" s="294"/>
      <c r="W1044" s="294"/>
      <c r="X1044" s="1182"/>
      <c r="Y1044" s="1182"/>
      <c r="Z1044" s="1166"/>
      <c r="AA1044" s="1166"/>
      <c r="AB1044" s="1182"/>
      <c r="AC1044" s="294"/>
      <c r="AD1044" s="294"/>
      <c r="AE1044" s="294"/>
      <c r="AF1044" s="294"/>
      <c r="AG1044" s="294"/>
      <c r="AH1044" s="294"/>
      <c r="AI1044" s="294"/>
      <c r="AJ1044" s="294"/>
    </row>
    <row r="1045" spans="2:36" x14ac:dyDescent="0.25">
      <c r="B1045" s="294"/>
      <c r="C1045" s="294"/>
      <c r="D1045" s="294"/>
      <c r="E1045" s="294"/>
      <c r="F1045" s="294"/>
      <c r="G1045" s="294"/>
      <c r="H1045" s="294"/>
      <c r="I1045" s="294"/>
      <c r="J1045" s="294"/>
      <c r="L1045" s="295"/>
      <c r="M1045" s="294"/>
      <c r="R1045" s="326"/>
      <c r="S1045" s="326"/>
      <c r="T1045" s="294"/>
      <c r="U1045" s="294"/>
      <c r="V1045" s="294"/>
      <c r="W1045" s="294"/>
      <c r="X1045" s="1182"/>
      <c r="Y1045" s="1182"/>
      <c r="Z1045" s="1166"/>
      <c r="AA1045" s="1166"/>
      <c r="AB1045" s="1182"/>
      <c r="AC1045" s="294"/>
      <c r="AD1045" s="294"/>
      <c r="AE1045" s="294"/>
      <c r="AF1045" s="294"/>
      <c r="AG1045" s="294"/>
      <c r="AH1045" s="294"/>
      <c r="AI1045" s="294"/>
      <c r="AJ1045" s="294"/>
    </row>
    <row r="1046" spans="2:36" x14ac:dyDescent="0.25">
      <c r="B1046" s="294"/>
      <c r="C1046" s="294"/>
      <c r="D1046" s="294"/>
      <c r="E1046" s="294" t="e">
        <f>'FOPAG ED.'!#REF!</f>
        <v>#REF!</v>
      </c>
      <c r="F1046" s="294"/>
      <c r="G1046" s="294"/>
      <c r="H1046" s="294"/>
      <c r="I1046" s="294"/>
      <c r="J1046" s="294"/>
      <c r="L1046" s="295"/>
      <c r="M1046" s="294"/>
      <c r="R1046" s="326"/>
      <c r="S1046" s="326"/>
      <c r="T1046" s="294"/>
      <c r="U1046" s="294"/>
      <c r="V1046" s="294"/>
      <c r="W1046" s="294"/>
      <c r="X1046" s="1182"/>
      <c r="Y1046" s="1182"/>
      <c r="Z1046" s="1166"/>
      <c r="AA1046" s="1166"/>
      <c r="AB1046" s="1182"/>
      <c r="AC1046" s="294"/>
      <c r="AD1046" s="294"/>
      <c r="AE1046" s="294"/>
      <c r="AF1046" s="294"/>
      <c r="AG1046" s="294"/>
      <c r="AH1046" s="294"/>
      <c r="AI1046" s="294"/>
      <c r="AJ1046" s="294"/>
    </row>
    <row r="1047" spans="2:36" x14ac:dyDescent="0.25">
      <c r="B1047" s="294"/>
      <c r="C1047" s="294"/>
      <c r="D1047" s="294"/>
      <c r="E1047" s="294"/>
      <c r="F1047" s="294"/>
      <c r="G1047" s="294"/>
      <c r="H1047" s="294"/>
      <c r="I1047" s="294"/>
      <c r="J1047" s="294"/>
      <c r="L1047" s="295"/>
      <c r="M1047" s="294"/>
      <c r="R1047" s="326"/>
      <c r="S1047" s="326"/>
      <c r="T1047" s="294"/>
      <c r="U1047" s="294"/>
      <c r="V1047" s="294"/>
      <c r="W1047" s="294"/>
      <c r="X1047" s="1182"/>
      <c r="Y1047" s="1182"/>
      <c r="Z1047" s="1166"/>
      <c r="AA1047" s="1166"/>
      <c r="AB1047" s="1182"/>
      <c r="AC1047" s="294"/>
      <c r="AD1047" s="294"/>
      <c r="AE1047" s="294"/>
      <c r="AF1047" s="294"/>
      <c r="AG1047" s="294"/>
      <c r="AH1047" s="294"/>
      <c r="AI1047" s="294"/>
      <c r="AJ1047" s="294"/>
    </row>
    <row r="1048" spans="2:36" x14ac:dyDescent="0.25">
      <c r="B1048" s="294"/>
      <c r="C1048" s="294"/>
      <c r="D1048" s="294"/>
      <c r="E1048" s="294"/>
      <c r="F1048" s="294"/>
      <c r="G1048" s="294"/>
      <c r="H1048" s="294"/>
      <c r="I1048" s="294"/>
      <c r="J1048" s="294"/>
      <c r="L1048" s="295"/>
      <c r="M1048" s="294"/>
      <c r="R1048" s="326"/>
      <c r="S1048" s="326"/>
      <c r="T1048" s="294"/>
      <c r="U1048" s="294"/>
      <c r="V1048" s="294"/>
      <c r="W1048" s="294"/>
      <c r="X1048" s="1182"/>
      <c r="Y1048" s="1182"/>
      <c r="Z1048" s="1166"/>
      <c r="AA1048" s="1166"/>
      <c r="AB1048" s="1182"/>
      <c r="AC1048" s="294"/>
      <c r="AD1048" s="294"/>
      <c r="AE1048" s="294"/>
      <c r="AF1048" s="294"/>
      <c r="AG1048" s="294"/>
      <c r="AH1048" s="294"/>
      <c r="AI1048" s="294"/>
      <c r="AJ1048" s="294"/>
    </row>
    <row r="1049" spans="2:36" x14ac:dyDescent="0.25">
      <c r="B1049" s="294"/>
      <c r="C1049" s="294"/>
      <c r="D1049" s="294"/>
      <c r="E1049" s="294"/>
      <c r="F1049" s="294"/>
      <c r="G1049" s="294"/>
      <c r="H1049" s="294"/>
      <c r="I1049" s="294"/>
      <c r="J1049" s="294"/>
      <c r="L1049" s="295"/>
      <c r="M1049" s="294"/>
      <c r="R1049" s="326"/>
      <c r="S1049" s="326"/>
      <c r="T1049" s="294"/>
      <c r="U1049" s="294"/>
      <c r="V1049" s="294"/>
      <c r="W1049" s="294"/>
      <c r="X1049" s="1182"/>
      <c r="Y1049" s="1182"/>
      <c r="Z1049" s="1166"/>
      <c r="AA1049" s="1166"/>
      <c r="AB1049" s="1182"/>
      <c r="AC1049" s="294"/>
      <c r="AD1049" s="294"/>
      <c r="AE1049" s="294"/>
      <c r="AF1049" s="294"/>
      <c r="AG1049" s="294"/>
      <c r="AH1049" s="294"/>
      <c r="AI1049" s="294"/>
      <c r="AJ1049" s="294"/>
    </row>
    <row r="1050" spans="2:36" x14ac:dyDescent="0.25">
      <c r="B1050" s="294"/>
      <c r="C1050" s="294"/>
      <c r="D1050" s="294"/>
      <c r="E1050" s="294"/>
      <c r="F1050" s="294"/>
      <c r="G1050" s="294"/>
      <c r="H1050" s="294"/>
      <c r="I1050" s="294"/>
      <c r="J1050" s="294"/>
      <c r="L1050" s="295"/>
      <c r="M1050" s="294"/>
      <c r="R1050" s="326"/>
      <c r="S1050" s="326"/>
      <c r="T1050" s="294"/>
      <c r="U1050" s="294"/>
      <c r="V1050" s="294"/>
      <c r="W1050" s="294"/>
      <c r="X1050" s="1182"/>
      <c r="Y1050" s="1182"/>
      <c r="Z1050" s="1166"/>
      <c r="AA1050" s="1166"/>
      <c r="AB1050" s="1182"/>
      <c r="AC1050" s="294"/>
      <c r="AD1050" s="294"/>
      <c r="AE1050" s="294"/>
      <c r="AF1050" s="294"/>
      <c r="AG1050" s="294"/>
      <c r="AH1050" s="294"/>
      <c r="AI1050" s="294"/>
      <c r="AJ1050" s="294"/>
    </row>
    <row r="1051" spans="2:36" x14ac:dyDescent="0.25">
      <c r="B1051" s="294"/>
      <c r="C1051" s="294"/>
      <c r="D1051" s="294"/>
      <c r="E1051" s="294"/>
      <c r="F1051" s="294"/>
      <c r="G1051" s="294"/>
      <c r="H1051" s="294"/>
      <c r="I1051" s="294"/>
      <c r="J1051" s="294"/>
      <c r="L1051" s="295"/>
      <c r="M1051" s="294"/>
      <c r="R1051" s="326"/>
      <c r="S1051" s="326"/>
      <c r="T1051" s="294"/>
      <c r="U1051" s="294"/>
      <c r="V1051" s="294"/>
      <c r="W1051" s="294"/>
      <c r="X1051" s="1182"/>
      <c r="Y1051" s="1182"/>
      <c r="Z1051" s="1166"/>
      <c r="AA1051" s="1166"/>
      <c r="AB1051" s="1182"/>
      <c r="AC1051" s="294"/>
      <c r="AD1051" s="294"/>
      <c r="AE1051" s="294"/>
      <c r="AF1051" s="294"/>
      <c r="AG1051" s="294"/>
      <c r="AH1051" s="294"/>
      <c r="AI1051" s="294"/>
      <c r="AJ1051" s="294"/>
    </row>
    <row r="1052" spans="2:36" x14ac:dyDescent="0.25">
      <c r="B1052" s="294"/>
      <c r="C1052" s="294"/>
      <c r="D1052" s="294"/>
      <c r="E1052" s="294"/>
      <c r="F1052" s="294"/>
      <c r="G1052" s="294"/>
      <c r="H1052" s="294"/>
      <c r="I1052" s="294"/>
      <c r="J1052" s="294"/>
      <c r="L1052" s="295"/>
      <c r="M1052" s="294"/>
      <c r="R1052" s="326"/>
      <c r="S1052" s="326"/>
      <c r="T1052" s="294"/>
      <c r="U1052" s="294"/>
      <c r="V1052" s="294"/>
      <c r="W1052" s="294"/>
      <c r="X1052" s="1182"/>
      <c r="Y1052" s="1182"/>
      <c r="Z1052" s="1166"/>
      <c r="AA1052" s="1166"/>
      <c r="AB1052" s="1182"/>
      <c r="AC1052" s="294"/>
      <c r="AD1052" s="294"/>
      <c r="AE1052" s="294"/>
      <c r="AF1052" s="294"/>
      <c r="AG1052" s="294"/>
      <c r="AH1052" s="294"/>
      <c r="AI1052" s="294"/>
      <c r="AJ1052" s="294"/>
    </row>
    <row r="1053" spans="2:36" x14ac:dyDescent="0.25">
      <c r="B1053" s="294"/>
      <c r="C1053" s="294"/>
      <c r="D1053" s="294"/>
      <c r="E1053" s="294"/>
      <c r="F1053" s="294"/>
      <c r="G1053" s="294"/>
      <c r="H1053" s="294"/>
      <c r="I1053" s="294"/>
      <c r="J1053" s="294"/>
      <c r="L1053" s="295"/>
      <c r="M1053" s="294"/>
      <c r="R1053" s="326"/>
      <c r="S1053" s="326"/>
      <c r="T1053" s="294"/>
      <c r="U1053" s="294"/>
      <c r="V1053" s="294"/>
      <c r="W1053" s="294"/>
      <c r="X1053" s="1182"/>
      <c r="Y1053" s="1182"/>
      <c r="Z1053" s="1166"/>
      <c r="AA1053" s="1166"/>
      <c r="AB1053" s="1182"/>
      <c r="AC1053" s="294"/>
      <c r="AD1053" s="294"/>
      <c r="AE1053" s="294"/>
      <c r="AF1053" s="294"/>
      <c r="AG1053" s="294"/>
      <c r="AH1053" s="294"/>
      <c r="AI1053" s="294"/>
      <c r="AJ1053" s="294"/>
    </row>
    <row r="1054" spans="2:36" x14ac:dyDescent="0.25">
      <c r="B1054" s="294"/>
      <c r="C1054" s="294"/>
      <c r="D1054" s="294"/>
      <c r="E1054" s="294"/>
      <c r="F1054" s="294"/>
      <c r="G1054" s="294"/>
      <c r="H1054" s="294"/>
      <c r="I1054" s="294"/>
      <c r="J1054" s="294"/>
      <c r="L1054" s="295"/>
      <c r="M1054" s="294"/>
      <c r="R1054" s="326"/>
      <c r="S1054" s="326"/>
      <c r="T1054" s="294"/>
      <c r="U1054" s="294"/>
      <c r="V1054" s="294"/>
      <c r="W1054" s="294"/>
      <c r="X1054" s="1182"/>
      <c r="Y1054" s="1182"/>
      <c r="Z1054" s="1166"/>
      <c r="AA1054" s="1166"/>
      <c r="AB1054" s="1182"/>
      <c r="AC1054" s="294"/>
      <c r="AD1054" s="294"/>
      <c r="AE1054" s="294"/>
      <c r="AF1054" s="294"/>
      <c r="AG1054" s="294"/>
      <c r="AH1054" s="294"/>
      <c r="AI1054" s="294"/>
      <c r="AJ1054" s="294"/>
    </row>
    <row r="1055" spans="2:36" x14ac:dyDescent="0.25">
      <c r="B1055" s="294"/>
      <c r="C1055" s="294"/>
      <c r="D1055" s="294"/>
      <c r="E1055" s="294"/>
      <c r="F1055" s="294"/>
      <c r="G1055" s="294"/>
      <c r="H1055" s="294"/>
      <c r="I1055" s="294"/>
      <c r="J1055" s="294"/>
      <c r="L1055" s="295"/>
      <c r="M1055" s="294"/>
      <c r="R1055" s="326"/>
      <c r="S1055" s="326"/>
      <c r="T1055" s="294"/>
      <c r="U1055" s="294"/>
      <c r="V1055" s="294"/>
      <c r="W1055" s="294"/>
      <c r="X1055" s="1182"/>
      <c r="Y1055" s="1182"/>
      <c r="Z1055" s="1166"/>
      <c r="AA1055" s="1166"/>
      <c r="AB1055" s="1182"/>
      <c r="AC1055" s="294"/>
      <c r="AD1055" s="294"/>
      <c r="AE1055" s="294"/>
      <c r="AF1055" s="294"/>
      <c r="AG1055" s="294"/>
      <c r="AH1055" s="294"/>
      <c r="AI1055" s="294"/>
      <c r="AJ1055" s="294"/>
    </row>
    <row r="1056" spans="2:36" x14ac:dyDescent="0.25">
      <c r="B1056" s="294"/>
      <c r="C1056" s="294"/>
      <c r="D1056" s="294"/>
      <c r="E1056" s="294"/>
      <c r="F1056" s="294"/>
      <c r="G1056" s="294"/>
      <c r="H1056" s="294"/>
      <c r="I1056" s="294"/>
      <c r="J1056" s="294"/>
      <c r="L1056" s="295"/>
      <c r="M1056" s="294"/>
      <c r="R1056" s="326"/>
      <c r="S1056" s="326"/>
      <c r="T1056" s="294"/>
      <c r="U1056" s="294"/>
      <c r="V1056" s="294"/>
      <c r="W1056" s="294"/>
      <c r="X1056" s="1182"/>
      <c r="Y1056" s="1182"/>
      <c r="Z1056" s="1166"/>
      <c r="AA1056" s="1166"/>
      <c r="AB1056" s="1182"/>
      <c r="AC1056" s="294"/>
      <c r="AD1056" s="294"/>
      <c r="AE1056" s="294"/>
      <c r="AF1056" s="294"/>
      <c r="AG1056" s="294"/>
      <c r="AH1056" s="294"/>
      <c r="AI1056" s="294"/>
      <c r="AJ1056" s="294"/>
    </row>
    <row r="1057" spans="2:36" x14ac:dyDescent="0.25">
      <c r="B1057" s="294"/>
      <c r="C1057" s="294"/>
      <c r="D1057" s="294"/>
      <c r="E1057" s="294"/>
      <c r="F1057" s="294"/>
      <c r="G1057" s="294"/>
      <c r="H1057" s="294"/>
      <c r="I1057" s="294"/>
      <c r="J1057" s="294"/>
      <c r="L1057" s="295"/>
      <c r="M1057" s="294"/>
      <c r="R1057" s="326"/>
      <c r="S1057" s="326"/>
      <c r="T1057" s="294"/>
      <c r="U1057" s="294"/>
      <c r="V1057" s="294"/>
      <c r="W1057" s="294"/>
      <c r="X1057" s="1182"/>
      <c r="Y1057" s="1182"/>
      <c r="Z1057" s="1166"/>
      <c r="AA1057" s="1166"/>
      <c r="AB1057" s="1182"/>
      <c r="AC1057" s="294"/>
      <c r="AD1057" s="294"/>
      <c r="AE1057" s="294"/>
      <c r="AF1057" s="294"/>
      <c r="AG1057" s="294"/>
      <c r="AH1057" s="294"/>
      <c r="AI1057" s="294"/>
      <c r="AJ1057" s="294"/>
    </row>
    <row r="1058" spans="2:36" x14ac:dyDescent="0.25">
      <c r="B1058" s="294"/>
      <c r="C1058" s="294"/>
      <c r="D1058" s="294"/>
      <c r="E1058" s="294"/>
      <c r="F1058" s="294"/>
      <c r="G1058" s="294"/>
      <c r="H1058" s="294"/>
      <c r="I1058" s="294"/>
      <c r="J1058" s="294"/>
      <c r="L1058" s="295"/>
      <c r="M1058" s="294"/>
      <c r="R1058" s="326"/>
      <c r="S1058" s="326"/>
      <c r="T1058" s="294"/>
      <c r="U1058" s="294"/>
      <c r="V1058" s="294"/>
      <c r="W1058" s="294"/>
      <c r="X1058" s="1182"/>
      <c r="Y1058" s="1182"/>
      <c r="Z1058" s="1166"/>
      <c r="AA1058" s="1166"/>
      <c r="AB1058" s="1182"/>
      <c r="AC1058" s="294"/>
      <c r="AD1058" s="294"/>
      <c r="AE1058" s="294"/>
      <c r="AF1058" s="294"/>
      <c r="AG1058" s="294"/>
      <c r="AH1058" s="294"/>
      <c r="AI1058" s="294"/>
      <c r="AJ1058" s="294"/>
    </row>
    <row r="1059" spans="2:36" x14ac:dyDescent="0.25">
      <c r="B1059" s="294"/>
      <c r="C1059" s="294"/>
      <c r="D1059" s="294"/>
      <c r="E1059" s="294"/>
      <c r="F1059" s="294"/>
      <c r="G1059" s="294"/>
      <c r="H1059" s="294"/>
      <c r="I1059" s="294"/>
      <c r="J1059" s="294"/>
      <c r="L1059" s="295"/>
      <c r="M1059" s="294"/>
      <c r="R1059" s="326"/>
      <c r="S1059" s="326"/>
      <c r="T1059" s="294"/>
      <c r="U1059" s="294"/>
      <c r="V1059" s="294"/>
      <c r="W1059" s="294"/>
      <c r="X1059" s="1182"/>
      <c r="Y1059" s="1182"/>
      <c r="Z1059" s="1166"/>
      <c r="AA1059" s="1166"/>
      <c r="AB1059" s="1182"/>
      <c r="AC1059" s="294"/>
      <c r="AD1059" s="294"/>
      <c r="AE1059" s="294"/>
      <c r="AF1059" s="294"/>
      <c r="AG1059" s="294"/>
      <c r="AH1059" s="294"/>
      <c r="AI1059" s="294"/>
      <c r="AJ1059" s="294"/>
    </row>
    <row r="1060" spans="2:36" x14ac:dyDescent="0.25">
      <c r="B1060" s="294"/>
      <c r="C1060" s="294"/>
      <c r="D1060" s="294"/>
      <c r="E1060" s="294"/>
      <c r="F1060" s="294"/>
      <c r="G1060" s="294"/>
      <c r="H1060" s="294"/>
      <c r="I1060" s="294"/>
      <c r="J1060" s="294"/>
      <c r="L1060" s="295"/>
      <c r="M1060" s="294"/>
      <c r="R1060" s="326"/>
      <c r="S1060" s="326"/>
      <c r="T1060" s="294"/>
      <c r="U1060" s="294"/>
      <c r="V1060" s="294"/>
      <c r="W1060" s="294"/>
      <c r="X1060" s="1182"/>
      <c r="Y1060" s="1182"/>
      <c r="Z1060" s="1166"/>
      <c r="AA1060" s="1166"/>
      <c r="AB1060" s="1182"/>
      <c r="AC1060" s="294"/>
      <c r="AD1060" s="294"/>
      <c r="AE1060" s="294"/>
      <c r="AF1060" s="294"/>
      <c r="AG1060" s="294"/>
      <c r="AH1060" s="294"/>
      <c r="AI1060" s="294"/>
      <c r="AJ1060" s="294"/>
    </row>
    <row r="1061" spans="2:36" x14ac:dyDescent="0.25">
      <c r="B1061" s="294"/>
      <c r="C1061" s="294"/>
      <c r="D1061" s="294"/>
      <c r="E1061" s="294"/>
      <c r="F1061" s="294"/>
      <c r="G1061" s="294"/>
      <c r="H1061" s="294"/>
      <c r="I1061" s="294"/>
      <c r="J1061" s="294"/>
      <c r="L1061" s="295"/>
      <c r="M1061" s="294"/>
      <c r="R1061" s="326"/>
      <c r="S1061" s="326"/>
      <c r="T1061" s="294"/>
      <c r="U1061" s="294"/>
      <c r="V1061" s="294"/>
      <c r="W1061" s="294"/>
      <c r="X1061" s="1182"/>
      <c r="Y1061" s="1182"/>
      <c r="Z1061" s="1166"/>
      <c r="AA1061" s="1166"/>
      <c r="AB1061" s="1182"/>
      <c r="AC1061" s="294"/>
      <c r="AD1061" s="294"/>
      <c r="AE1061" s="294"/>
      <c r="AF1061" s="294"/>
      <c r="AG1061" s="294"/>
      <c r="AH1061" s="294"/>
      <c r="AI1061" s="294"/>
      <c r="AJ1061" s="294"/>
    </row>
    <row r="1062" spans="2:36" x14ac:dyDescent="0.25">
      <c r="B1062" s="294"/>
      <c r="C1062" s="294"/>
      <c r="D1062" s="294"/>
      <c r="E1062" s="294"/>
      <c r="F1062" s="294"/>
      <c r="G1062" s="294"/>
      <c r="H1062" s="294"/>
      <c r="I1062" s="294"/>
      <c r="J1062" s="294"/>
      <c r="L1062" s="295"/>
      <c r="M1062" s="294"/>
      <c r="R1062" s="326"/>
      <c r="S1062" s="326"/>
      <c r="T1062" s="294"/>
      <c r="U1062" s="294"/>
      <c r="V1062" s="294"/>
      <c r="W1062" s="294"/>
      <c r="X1062" s="1182"/>
      <c r="Y1062" s="1182"/>
      <c r="Z1062" s="1166"/>
      <c r="AA1062" s="1166"/>
      <c r="AB1062" s="1182"/>
      <c r="AC1062" s="294"/>
      <c r="AD1062" s="294"/>
      <c r="AE1062" s="294"/>
      <c r="AF1062" s="294"/>
      <c r="AG1062" s="294"/>
      <c r="AH1062" s="294"/>
      <c r="AI1062" s="294"/>
      <c r="AJ1062" s="294"/>
    </row>
    <row r="1063" spans="2:36" x14ac:dyDescent="0.25">
      <c r="B1063" s="294"/>
      <c r="C1063" s="294"/>
      <c r="D1063" s="294"/>
      <c r="E1063" s="294"/>
      <c r="F1063" s="294"/>
      <c r="G1063" s="294"/>
      <c r="H1063" s="294"/>
      <c r="I1063" s="294"/>
      <c r="J1063" s="294"/>
      <c r="L1063" s="295"/>
      <c r="M1063" s="294"/>
      <c r="R1063" s="326"/>
      <c r="S1063" s="326"/>
      <c r="T1063" s="294"/>
      <c r="U1063" s="294"/>
      <c r="V1063" s="294"/>
      <c r="W1063" s="294"/>
      <c r="X1063" s="1182"/>
      <c r="Y1063" s="1182"/>
      <c r="Z1063" s="1166"/>
      <c r="AA1063" s="1166"/>
      <c r="AB1063" s="1182"/>
      <c r="AC1063" s="294"/>
      <c r="AD1063" s="294"/>
      <c r="AE1063" s="294"/>
      <c r="AF1063" s="294"/>
      <c r="AG1063" s="294"/>
      <c r="AH1063" s="294"/>
      <c r="AI1063" s="294"/>
      <c r="AJ1063" s="294"/>
    </row>
    <row r="1064" spans="2:36" x14ac:dyDescent="0.25">
      <c r="B1064" s="294"/>
      <c r="C1064" s="294"/>
      <c r="D1064" s="294"/>
      <c r="E1064" s="294"/>
      <c r="F1064" s="294"/>
      <c r="G1064" s="294"/>
      <c r="H1064" s="294"/>
      <c r="I1064" s="294"/>
      <c r="J1064" s="294"/>
      <c r="L1064" s="295"/>
      <c r="M1064" s="294"/>
      <c r="R1064" s="326"/>
      <c r="S1064" s="326"/>
      <c r="T1064" s="294"/>
      <c r="U1064" s="294"/>
      <c r="V1064" s="294"/>
      <c r="W1064" s="294"/>
      <c r="X1064" s="1182"/>
      <c r="Y1064" s="1182"/>
      <c r="Z1064" s="1166"/>
      <c r="AA1064" s="1166"/>
      <c r="AB1064" s="1182"/>
      <c r="AC1064" s="294"/>
      <c r="AD1064" s="294"/>
      <c r="AE1064" s="294"/>
      <c r="AF1064" s="294"/>
      <c r="AG1064" s="294"/>
      <c r="AH1064" s="294"/>
      <c r="AI1064" s="294"/>
      <c r="AJ1064" s="294"/>
    </row>
    <row r="1065" spans="2:36" x14ac:dyDescent="0.25">
      <c r="B1065" s="294"/>
      <c r="C1065" s="294"/>
      <c r="D1065" s="294"/>
      <c r="E1065" s="294"/>
      <c r="F1065" s="294"/>
      <c r="G1065" s="294"/>
      <c r="H1065" s="294"/>
      <c r="I1065" s="294"/>
      <c r="J1065" s="294"/>
      <c r="L1065" s="295"/>
      <c r="M1065" s="294"/>
      <c r="R1065" s="326"/>
      <c r="S1065" s="326"/>
      <c r="T1065" s="294"/>
      <c r="U1065" s="294"/>
      <c r="V1065" s="294"/>
      <c r="W1065" s="294"/>
      <c r="X1065" s="1182"/>
      <c r="Y1065" s="1182"/>
      <c r="Z1065" s="1166"/>
      <c r="AA1065" s="1166"/>
      <c r="AB1065" s="1182"/>
      <c r="AC1065" s="294"/>
      <c r="AD1065" s="294"/>
      <c r="AE1065" s="294"/>
      <c r="AF1065" s="294"/>
      <c r="AG1065" s="294"/>
      <c r="AH1065" s="294"/>
      <c r="AI1065" s="294"/>
      <c r="AJ1065" s="294"/>
    </row>
    <row r="1066" spans="2:36" x14ac:dyDescent="0.25">
      <c r="B1066" s="294"/>
      <c r="C1066" s="294"/>
      <c r="D1066" s="294"/>
      <c r="E1066" s="294"/>
      <c r="F1066" s="294"/>
      <c r="G1066" s="294"/>
      <c r="H1066" s="294"/>
      <c r="I1066" s="294"/>
      <c r="J1066" s="294"/>
      <c r="L1066" s="295"/>
      <c r="M1066" s="294"/>
      <c r="R1066" s="326"/>
      <c r="S1066" s="326"/>
      <c r="T1066" s="294"/>
      <c r="U1066" s="294"/>
      <c r="V1066" s="294"/>
      <c r="W1066" s="294"/>
      <c r="X1066" s="1182"/>
      <c r="Y1066" s="1182"/>
      <c r="Z1066" s="1166"/>
      <c r="AA1066" s="1166"/>
      <c r="AB1066" s="1182"/>
      <c r="AC1066" s="294"/>
      <c r="AD1066" s="294"/>
      <c r="AE1066" s="294"/>
      <c r="AF1066" s="294"/>
      <c r="AG1066" s="294"/>
      <c r="AH1066" s="294"/>
      <c r="AI1066" s="294"/>
      <c r="AJ1066" s="294"/>
    </row>
    <row r="1067" spans="2:36" x14ac:dyDescent="0.25">
      <c r="B1067" s="294"/>
      <c r="C1067" s="294"/>
      <c r="D1067" s="294"/>
      <c r="E1067" s="294"/>
      <c r="F1067" s="294"/>
      <c r="G1067" s="294"/>
      <c r="H1067" s="294"/>
      <c r="I1067" s="294"/>
      <c r="J1067" s="294"/>
      <c r="L1067" s="295"/>
      <c r="M1067" s="294"/>
      <c r="R1067" s="326"/>
      <c r="S1067" s="326"/>
      <c r="T1067" s="294"/>
      <c r="U1067" s="294"/>
      <c r="V1067" s="294"/>
      <c r="W1067" s="294"/>
      <c r="X1067" s="1182"/>
      <c r="Y1067" s="1182"/>
      <c r="Z1067" s="1166"/>
      <c r="AA1067" s="1166"/>
      <c r="AB1067" s="1182"/>
      <c r="AC1067" s="294"/>
      <c r="AD1067" s="294"/>
      <c r="AE1067" s="294"/>
      <c r="AF1067" s="294"/>
      <c r="AG1067" s="294"/>
      <c r="AH1067" s="294"/>
      <c r="AI1067" s="294"/>
      <c r="AJ1067" s="294"/>
    </row>
    <row r="1068" spans="2:36" x14ac:dyDescent="0.25">
      <c r="B1068" s="294"/>
      <c r="C1068" s="294"/>
      <c r="D1068" s="294"/>
      <c r="E1068" s="294"/>
      <c r="F1068" s="294"/>
      <c r="G1068" s="294"/>
      <c r="H1068" s="294"/>
      <c r="I1068" s="294"/>
      <c r="J1068" s="294"/>
      <c r="L1068" s="295"/>
      <c r="M1068" s="294"/>
      <c r="R1068" s="326"/>
      <c r="S1068" s="326"/>
      <c r="T1068" s="294"/>
      <c r="U1068" s="294"/>
      <c r="V1068" s="294"/>
      <c r="W1068" s="294"/>
      <c r="X1068" s="1182"/>
      <c r="Y1068" s="1182"/>
      <c r="Z1068" s="1166"/>
      <c r="AA1068" s="1166"/>
      <c r="AB1068" s="1182"/>
      <c r="AC1068" s="294"/>
      <c r="AD1068" s="294"/>
      <c r="AE1068" s="294"/>
      <c r="AF1068" s="294"/>
      <c r="AG1068" s="294"/>
      <c r="AH1068" s="294"/>
      <c r="AI1068" s="294"/>
      <c r="AJ1068" s="294"/>
    </row>
    <row r="1069" spans="2:36" x14ac:dyDescent="0.25">
      <c r="B1069" s="294"/>
      <c r="C1069" s="294"/>
      <c r="D1069" s="294"/>
      <c r="E1069" s="294"/>
      <c r="F1069" s="294"/>
      <c r="G1069" s="294"/>
      <c r="H1069" s="294"/>
      <c r="I1069" s="294"/>
      <c r="J1069" s="294"/>
      <c r="L1069" s="295"/>
      <c r="M1069" s="294"/>
      <c r="R1069" s="326"/>
      <c r="S1069" s="326"/>
      <c r="T1069" s="294"/>
      <c r="U1069" s="294"/>
      <c r="V1069" s="294"/>
      <c r="W1069" s="294"/>
      <c r="X1069" s="1182"/>
      <c r="Y1069" s="1182"/>
      <c r="Z1069" s="1166"/>
      <c r="AA1069" s="1166"/>
      <c r="AB1069" s="1182"/>
      <c r="AC1069" s="294"/>
      <c r="AD1069" s="294"/>
      <c r="AE1069" s="294"/>
      <c r="AF1069" s="294"/>
      <c r="AG1069" s="294"/>
      <c r="AH1069" s="294"/>
      <c r="AI1069" s="294"/>
      <c r="AJ1069" s="294"/>
    </row>
    <row r="1070" spans="2:36" x14ac:dyDescent="0.25">
      <c r="B1070" s="294"/>
      <c r="C1070" s="294"/>
      <c r="D1070" s="294"/>
      <c r="E1070" s="294"/>
      <c r="F1070" s="294"/>
      <c r="G1070" s="294"/>
      <c r="H1070" s="294"/>
      <c r="I1070" s="294"/>
      <c r="J1070" s="294"/>
      <c r="L1070" s="295"/>
      <c r="M1070" s="294"/>
      <c r="R1070" s="326"/>
      <c r="S1070" s="326"/>
      <c r="T1070" s="294"/>
      <c r="U1070" s="294"/>
      <c r="V1070" s="294"/>
      <c r="W1070" s="294"/>
      <c r="X1070" s="1182"/>
      <c r="Y1070" s="1182"/>
      <c r="Z1070" s="1166"/>
      <c r="AA1070" s="1166"/>
      <c r="AB1070" s="1182"/>
      <c r="AC1070" s="294"/>
      <c r="AD1070" s="294"/>
      <c r="AE1070" s="294"/>
      <c r="AF1070" s="294"/>
      <c r="AG1070" s="294"/>
      <c r="AH1070" s="294"/>
      <c r="AI1070" s="294"/>
      <c r="AJ1070" s="294"/>
    </row>
    <row r="1071" spans="2:36" x14ac:dyDescent="0.25">
      <c r="B1071" s="294"/>
      <c r="C1071" s="294"/>
      <c r="D1071" s="294"/>
      <c r="E1071" s="294"/>
      <c r="F1071" s="294"/>
      <c r="G1071" s="294"/>
      <c r="H1071" s="294"/>
      <c r="I1071" s="294"/>
      <c r="J1071" s="294"/>
      <c r="L1071" s="295"/>
      <c r="M1071" s="294"/>
      <c r="R1071" s="326"/>
      <c r="S1071" s="326"/>
      <c r="T1071" s="294"/>
      <c r="U1071" s="294"/>
      <c r="V1071" s="294"/>
      <c r="W1071" s="294"/>
      <c r="X1071" s="1182"/>
      <c r="Y1071" s="1182"/>
      <c r="Z1071" s="1166"/>
      <c r="AA1071" s="1166"/>
      <c r="AB1071" s="1182"/>
      <c r="AC1071" s="294"/>
      <c r="AD1071" s="294"/>
      <c r="AE1071" s="294"/>
      <c r="AF1071" s="294"/>
      <c r="AG1071" s="294"/>
      <c r="AH1071" s="294"/>
      <c r="AI1071" s="294"/>
      <c r="AJ1071" s="294"/>
    </row>
    <row r="1072" spans="2:36" x14ac:dyDescent="0.25">
      <c r="B1072" s="294"/>
      <c r="C1072" s="294"/>
      <c r="D1072" s="294"/>
      <c r="E1072" s="294"/>
      <c r="F1072" s="294"/>
      <c r="G1072" s="294"/>
      <c r="H1072" s="294"/>
      <c r="I1072" s="294"/>
      <c r="J1072" s="294"/>
      <c r="L1072" s="295"/>
      <c r="M1072" s="294"/>
      <c r="R1072" s="326"/>
      <c r="S1072" s="326"/>
      <c r="T1072" s="294"/>
      <c r="U1072" s="294"/>
      <c r="V1072" s="294"/>
      <c r="W1072" s="294"/>
      <c r="X1072" s="1182"/>
      <c r="Y1072" s="1182"/>
      <c r="Z1072" s="1166"/>
      <c r="AA1072" s="1166"/>
      <c r="AB1072" s="1182"/>
      <c r="AC1072" s="294"/>
      <c r="AD1072" s="294"/>
      <c r="AE1072" s="294"/>
      <c r="AF1072" s="294"/>
      <c r="AG1072" s="294"/>
      <c r="AH1072" s="294"/>
      <c r="AI1072" s="294"/>
      <c r="AJ1072" s="294"/>
    </row>
    <row r="1073" spans="2:36" x14ac:dyDescent="0.25">
      <c r="B1073" s="294"/>
      <c r="C1073" s="294"/>
      <c r="D1073" s="294"/>
      <c r="E1073" s="294"/>
      <c r="F1073" s="294"/>
      <c r="G1073" s="294"/>
      <c r="H1073" s="294"/>
      <c r="I1073" s="294"/>
      <c r="J1073" s="294"/>
      <c r="L1073" s="295"/>
      <c r="M1073" s="294"/>
      <c r="R1073" s="326"/>
      <c r="S1073" s="326"/>
      <c r="T1073" s="294"/>
      <c r="U1073" s="294"/>
      <c r="V1073" s="294"/>
      <c r="W1073" s="294"/>
      <c r="X1073" s="1182"/>
      <c r="Y1073" s="1182"/>
      <c r="Z1073" s="1166"/>
      <c r="AA1073" s="1166"/>
      <c r="AB1073" s="1182"/>
      <c r="AC1073" s="294"/>
      <c r="AD1073" s="294"/>
      <c r="AE1073" s="294"/>
      <c r="AF1073" s="294"/>
      <c r="AG1073" s="294"/>
      <c r="AH1073" s="294"/>
      <c r="AI1073" s="294"/>
      <c r="AJ1073" s="294"/>
    </row>
    <row r="1074" spans="2:36" x14ac:dyDescent="0.25">
      <c r="B1074" s="294"/>
      <c r="C1074" s="294"/>
      <c r="D1074" s="294"/>
      <c r="E1074" s="294"/>
      <c r="F1074" s="294"/>
      <c r="G1074" s="294"/>
      <c r="H1074" s="294"/>
      <c r="I1074" s="294"/>
      <c r="J1074" s="294"/>
      <c r="L1074" s="295"/>
      <c r="M1074" s="294"/>
      <c r="R1074" s="326"/>
      <c r="S1074" s="326"/>
      <c r="T1074" s="294"/>
      <c r="U1074" s="294"/>
      <c r="V1074" s="294"/>
      <c r="W1074" s="294"/>
      <c r="X1074" s="1182"/>
      <c r="Y1074" s="1182"/>
      <c r="Z1074" s="1166"/>
      <c r="AA1074" s="1166"/>
      <c r="AB1074" s="1182"/>
      <c r="AC1074" s="294"/>
      <c r="AD1074" s="294"/>
      <c r="AE1074" s="294"/>
      <c r="AF1074" s="294"/>
      <c r="AG1074" s="294"/>
      <c r="AH1074" s="294"/>
      <c r="AI1074" s="294"/>
      <c r="AJ1074" s="294"/>
    </row>
    <row r="1075" spans="2:36" x14ac:dyDescent="0.25">
      <c r="B1075" s="294"/>
      <c r="C1075" s="294"/>
      <c r="D1075" s="294"/>
      <c r="E1075" s="294"/>
      <c r="F1075" s="294"/>
      <c r="G1075" s="294"/>
      <c r="H1075" s="294"/>
      <c r="I1075" s="294"/>
      <c r="J1075" s="294"/>
      <c r="L1075" s="295"/>
      <c r="M1075" s="294"/>
      <c r="R1075" s="326"/>
      <c r="S1075" s="326"/>
      <c r="T1075" s="294"/>
      <c r="U1075" s="294"/>
      <c r="V1075" s="294"/>
      <c r="W1075" s="294"/>
      <c r="X1075" s="1182"/>
      <c r="Y1075" s="1182"/>
      <c r="Z1075" s="1166"/>
      <c r="AA1075" s="1166"/>
      <c r="AB1075" s="1182"/>
      <c r="AC1075" s="294"/>
      <c r="AD1075" s="294"/>
      <c r="AE1075" s="294"/>
      <c r="AF1075" s="294"/>
      <c r="AG1075" s="294"/>
      <c r="AH1075" s="294"/>
      <c r="AI1075" s="294"/>
      <c r="AJ1075" s="294"/>
    </row>
    <row r="1076" spans="2:36" x14ac:dyDescent="0.25">
      <c r="B1076" s="294"/>
      <c r="C1076" s="294"/>
      <c r="D1076" s="294"/>
      <c r="E1076" s="294"/>
      <c r="F1076" s="294"/>
      <c r="G1076" s="294"/>
      <c r="H1076" s="294"/>
      <c r="I1076" s="294"/>
      <c r="J1076" s="294"/>
      <c r="L1076" s="295"/>
      <c r="M1076" s="294"/>
      <c r="R1076" s="326"/>
      <c r="S1076" s="326"/>
      <c r="T1076" s="294"/>
      <c r="U1076" s="294"/>
      <c r="V1076" s="294"/>
      <c r="W1076" s="294"/>
      <c r="X1076" s="1182"/>
      <c r="Y1076" s="1182"/>
      <c r="Z1076" s="1166"/>
      <c r="AA1076" s="1166"/>
      <c r="AB1076" s="1182"/>
      <c r="AC1076" s="294"/>
      <c r="AD1076" s="294"/>
      <c r="AE1076" s="294"/>
      <c r="AF1076" s="294"/>
      <c r="AG1076" s="294"/>
      <c r="AH1076" s="294"/>
      <c r="AI1076" s="294"/>
      <c r="AJ1076" s="294"/>
    </row>
    <row r="1077" spans="2:36" x14ac:dyDescent="0.25">
      <c r="B1077" s="294"/>
      <c r="C1077" s="294"/>
      <c r="D1077" s="294"/>
      <c r="E1077" s="294"/>
      <c r="F1077" s="294"/>
      <c r="G1077" s="294"/>
      <c r="H1077" s="294"/>
      <c r="I1077" s="294"/>
      <c r="J1077" s="294"/>
      <c r="L1077" s="295"/>
      <c r="M1077" s="294"/>
      <c r="R1077" s="326"/>
      <c r="S1077" s="326"/>
      <c r="T1077" s="294"/>
      <c r="U1077" s="294"/>
      <c r="V1077" s="294"/>
      <c r="W1077" s="294"/>
      <c r="X1077" s="1182"/>
      <c r="Y1077" s="1182"/>
      <c r="Z1077" s="1166"/>
      <c r="AA1077" s="1166"/>
      <c r="AB1077" s="1182"/>
      <c r="AC1077" s="294"/>
      <c r="AD1077" s="294"/>
      <c r="AE1077" s="294"/>
      <c r="AF1077" s="294"/>
      <c r="AG1077" s="294"/>
      <c r="AH1077" s="294"/>
      <c r="AI1077" s="294"/>
      <c r="AJ1077" s="294"/>
    </row>
    <row r="1078" spans="2:36" x14ac:dyDescent="0.25">
      <c r="B1078" s="294"/>
      <c r="C1078" s="294"/>
      <c r="D1078" s="294"/>
      <c r="E1078" s="294"/>
      <c r="F1078" s="294"/>
      <c r="G1078" s="294"/>
      <c r="H1078" s="294"/>
      <c r="I1078" s="294"/>
      <c r="J1078" s="294"/>
      <c r="L1078" s="295"/>
      <c r="M1078" s="294"/>
      <c r="R1078" s="326"/>
      <c r="S1078" s="326"/>
      <c r="T1078" s="294"/>
      <c r="U1078" s="294"/>
      <c r="V1078" s="294"/>
      <c r="W1078" s="294"/>
      <c r="X1078" s="1182"/>
      <c r="Y1078" s="1182"/>
      <c r="Z1078" s="1166"/>
      <c r="AA1078" s="1166"/>
      <c r="AB1078" s="1182"/>
      <c r="AC1078" s="294"/>
      <c r="AD1078" s="294"/>
      <c r="AE1078" s="294"/>
      <c r="AF1078" s="294"/>
      <c r="AG1078" s="294"/>
      <c r="AH1078" s="294"/>
      <c r="AI1078" s="294"/>
      <c r="AJ1078" s="294"/>
    </row>
    <row r="1079" spans="2:36" x14ac:dyDescent="0.25">
      <c r="B1079" s="294"/>
      <c r="C1079" s="294"/>
      <c r="D1079" s="294"/>
      <c r="E1079" s="294"/>
      <c r="F1079" s="294"/>
      <c r="G1079" s="294"/>
      <c r="H1079" s="294"/>
      <c r="I1079" s="294"/>
      <c r="J1079" s="294"/>
      <c r="L1079" s="295"/>
      <c r="M1079" s="294"/>
      <c r="R1079" s="326"/>
      <c r="S1079" s="326"/>
      <c r="T1079" s="294"/>
      <c r="U1079" s="294"/>
      <c r="V1079" s="294"/>
      <c r="W1079" s="294"/>
      <c r="X1079" s="1182"/>
      <c r="Y1079" s="1182"/>
      <c r="Z1079" s="1166"/>
      <c r="AA1079" s="1166"/>
      <c r="AB1079" s="1182"/>
      <c r="AC1079" s="294"/>
      <c r="AD1079" s="294"/>
      <c r="AE1079" s="294"/>
      <c r="AF1079" s="294"/>
      <c r="AG1079" s="294"/>
      <c r="AH1079" s="294"/>
      <c r="AI1079" s="294"/>
      <c r="AJ1079" s="294"/>
    </row>
    <row r="1080" spans="2:36" x14ac:dyDescent="0.25">
      <c r="B1080" s="294"/>
      <c r="C1080" s="294"/>
      <c r="D1080" s="294"/>
      <c r="E1080" s="294"/>
      <c r="F1080" s="294"/>
      <c r="G1080" s="294"/>
      <c r="H1080" s="294"/>
      <c r="I1080" s="294"/>
      <c r="J1080" s="294"/>
      <c r="L1080" s="295"/>
      <c r="M1080" s="294"/>
      <c r="R1080" s="326"/>
      <c r="S1080" s="326"/>
      <c r="T1080" s="294"/>
      <c r="U1080" s="294"/>
      <c r="V1080" s="294"/>
      <c r="W1080" s="294"/>
      <c r="X1080" s="1182"/>
      <c r="Y1080" s="1182"/>
      <c r="Z1080" s="1166"/>
      <c r="AA1080" s="1166"/>
      <c r="AB1080" s="1182"/>
      <c r="AC1080" s="294"/>
      <c r="AD1080" s="294"/>
      <c r="AE1080" s="294"/>
      <c r="AF1080" s="294"/>
      <c r="AG1080" s="294"/>
      <c r="AH1080" s="294"/>
      <c r="AI1080" s="294"/>
      <c r="AJ1080" s="294"/>
    </row>
    <row r="1081" spans="2:36" x14ac:dyDescent="0.25">
      <c r="B1081" s="294"/>
      <c r="C1081" s="294"/>
      <c r="D1081" s="294"/>
      <c r="E1081" s="294"/>
      <c r="F1081" s="294"/>
      <c r="G1081" s="294"/>
      <c r="H1081" s="294"/>
      <c r="I1081" s="294"/>
      <c r="J1081" s="294"/>
      <c r="L1081" s="295"/>
      <c r="M1081" s="294"/>
      <c r="R1081" s="326"/>
      <c r="S1081" s="326"/>
      <c r="T1081" s="294"/>
      <c r="U1081" s="294"/>
      <c r="V1081" s="294"/>
      <c r="W1081" s="294"/>
      <c r="X1081" s="1182"/>
      <c r="Y1081" s="1182"/>
      <c r="Z1081" s="1166"/>
      <c r="AA1081" s="1166"/>
      <c r="AB1081" s="1182"/>
      <c r="AC1081" s="294"/>
      <c r="AD1081" s="294"/>
      <c r="AE1081" s="294"/>
      <c r="AF1081" s="294"/>
      <c r="AG1081" s="294"/>
      <c r="AH1081" s="294"/>
      <c r="AI1081" s="294"/>
      <c r="AJ1081" s="294"/>
    </row>
    <row r="1082" spans="2:36" x14ac:dyDescent="0.25">
      <c r="B1082" s="294"/>
      <c r="C1082" s="294"/>
      <c r="D1082" s="294"/>
      <c r="E1082" s="294"/>
      <c r="F1082" s="294"/>
      <c r="G1082" s="294"/>
      <c r="H1082" s="294"/>
      <c r="I1082" s="294"/>
      <c r="J1082" s="294"/>
      <c r="L1082" s="295"/>
      <c r="M1082" s="294"/>
      <c r="R1082" s="326"/>
      <c r="S1082" s="326"/>
      <c r="T1082" s="294"/>
      <c r="U1082" s="294"/>
      <c r="V1082" s="294"/>
      <c r="W1082" s="294"/>
      <c r="X1082" s="1182"/>
      <c r="Y1082" s="1182"/>
      <c r="Z1082" s="1166"/>
      <c r="AA1082" s="1166"/>
      <c r="AB1082" s="1182"/>
      <c r="AC1082" s="294"/>
      <c r="AD1082" s="294"/>
      <c r="AE1082" s="294"/>
      <c r="AF1082" s="294"/>
      <c r="AG1082" s="294"/>
      <c r="AH1082" s="294"/>
      <c r="AI1082" s="294"/>
      <c r="AJ1082" s="294"/>
    </row>
    <row r="1083" spans="2:36" x14ac:dyDescent="0.25">
      <c r="B1083" s="294"/>
      <c r="C1083" s="294"/>
      <c r="D1083" s="294"/>
      <c r="E1083" s="294"/>
      <c r="F1083" s="294"/>
      <c r="G1083" s="294"/>
      <c r="H1083" s="294"/>
      <c r="I1083" s="294"/>
      <c r="J1083" s="294"/>
      <c r="L1083" s="295"/>
      <c r="M1083" s="294"/>
      <c r="R1083" s="326"/>
      <c r="S1083" s="326"/>
      <c r="T1083" s="294"/>
      <c r="U1083" s="294"/>
      <c r="V1083" s="294"/>
      <c r="W1083" s="294"/>
      <c r="X1083" s="1182"/>
      <c r="Y1083" s="1182"/>
      <c r="Z1083" s="1166"/>
      <c r="AA1083" s="1166"/>
      <c r="AB1083" s="1182"/>
      <c r="AC1083" s="294"/>
      <c r="AD1083" s="294"/>
      <c r="AE1083" s="294"/>
      <c r="AF1083" s="294"/>
      <c r="AG1083" s="294"/>
      <c r="AH1083" s="294"/>
      <c r="AI1083" s="294"/>
      <c r="AJ1083" s="294"/>
    </row>
    <row r="1084" spans="2:36" x14ac:dyDescent="0.25">
      <c r="B1084" s="294"/>
      <c r="C1084" s="294"/>
      <c r="D1084" s="294"/>
      <c r="E1084" s="294"/>
      <c r="F1084" s="294"/>
      <c r="G1084" s="294"/>
      <c r="H1084" s="294"/>
      <c r="I1084" s="294"/>
      <c r="J1084" s="294"/>
      <c r="L1084" s="295"/>
      <c r="M1084" s="294"/>
      <c r="R1084" s="326"/>
      <c r="S1084" s="326"/>
      <c r="T1084" s="294"/>
      <c r="U1084" s="294"/>
      <c r="V1084" s="294"/>
      <c r="W1084" s="294"/>
      <c r="X1084" s="1182"/>
      <c r="Y1084" s="1182"/>
      <c r="Z1084" s="1166"/>
      <c r="AA1084" s="1166"/>
      <c r="AB1084" s="1182"/>
      <c r="AC1084" s="294"/>
      <c r="AD1084" s="294"/>
      <c r="AE1084" s="294"/>
      <c r="AF1084" s="294"/>
      <c r="AG1084" s="294"/>
      <c r="AH1084" s="294"/>
      <c r="AI1084" s="294"/>
      <c r="AJ1084" s="294"/>
    </row>
    <row r="1085" spans="2:36" x14ac:dyDescent="0.25">
      <c r="B1085" s="294"/>
      <c r="C1085" s="294"/>
      <c r="D1085" s="294"/>
      <c r="E1085" s="294"/>
      <c r="F1085" s="294"/>
      <c r="G1085" s="294"/>
      <c r="H1085" s="294"/>
      <c r="I1085" s="294"/>
      <c r="J1085" s="294"/>
      <c r="L1085" s="295"/>
      <c r="M1085" s="294"/>
      <c r="R1085" s="326"/>
      <c r="S1085" s="326"/>
      <c r="T1085" s="294"/>
      <c r="U1085" s="294"/>
      <c r="V1085" s="294"/>
      <c r="W1085" s="294"/>
      <c r="X1085" s="1182"/>
      <c r="Y1085" s="1182"/>
      <c r="Z1085" s="1166"/>
      <c r="AA1085" s="1166"/>
      <c r="AB1085" s="1182"/>
      <c r="AC1085" s="294"/>
      <c r="AD1085" s="294"/>
      <c r="AE1085" s="294"/>
      <c r="AF1085" s="294"/>
      <c r="AG1085" s="294"/>
      <c r="AH1085" s="294"/>
      <c r="AI1085" s="294"/>
      <c r="AJ1085" s="294"/>
    </row>
    <row r="1086" spans="2:36" x14ac:dyDescent="0.25">
      <c r="B1086" s="294"/>
      <c r="C1086" s="294"/>
      <c r="D1086" s="294"/>
      <c r="E1086" s="294"/>
      <c r="F1086" s="294"/>
      <c r="G1086" s="294"/>
      <c r="H1086" s="294"/>
      <c r="I1086" s="294"/>
      <c r="J1086" s="294"/>
      <c r="L1086" s="295"/>
      <c r="M1086" s="294"/>
      <c r="R1086" s="326"/>
      <c r="S1086" s="326"/>
      <c r="T1086" s="294"/>
      <c r="U1086" s="294"/>
      <c r="V1086" s="294"/>
      <c r="W1086" s="294"/>
      <c r="X1086" s="1182"/>
      <c r="Y1086" s="1182"/>
      <c r="Z1086" s="1166"/>
      <c r="AA1086" s="1166"/>
      <c r="AB1086" s="1182"/>
      <c r="AC1086" s="294"/>
      <c r="AD1086" s="294"/>
      <c r="AE1086" s="294"/>
      <c r="AF1086" s="294"/>
      <c r="AG1086" s="294"/>
      <c r="AH1086" s="294"/>
      <c r="AI1086" s="294"/>
      <c r="AJ1086" s="294"/>
    </row>
    <row r="1087" spans="2:36" x14ac:dyDescent="0.25">
      <c r="B1087" s="294"/>
      <c r="C1087" s="294"/>
      <c r="D1087" s="294"/>
      <c r="E1087" s="294"/>
      <c r="F1087" s="294"/>
      <c r="G1087" s="294"/>
      <c r="H1087" s="294"/>
      <c r="I1087" s="294"/>
      <c r="J1087" s="294"/>
      <c r="L1087" s="295"/>
      <c r="M1087" s="294"/>
      <c r="R1087" s="326"/>
      <c r="S1087" s="326"/>
      <c r="T1087" s="294"/>
      <c r="U1087" s="294"/>
      <c r="V1087" s="294"/>
      <c r="W1087" s="294"/>
      <c r="X1087" s="1182"/>
      <c r="Y1087" s="1182"/>
      <c r="Z1087" s="1166"/>
      <c r="AA1087" s="1166"/>
      <c r="AB1087" s="1182"/>
      <c r="AC1087" s="294"/>
      <c r="AD1087" s="294"/>
      <c r="AE1087" s="294"/>
      <c r="AF1087" s="294"/>
      <c r="AG1087" s="294"/>
      <c r="AH1087" s="294"/>
      <c r="AI1087" s="294"/>
      <c r="AJ1087" s="294"/>
    </row>
    <row r="1088" spans="2:36" x14ac:dyDescent="0.25">
      <c r="B1088" s="294"/>
      <c r="C1088" s="294"/>
      <c r="D1088" s="294"/>
      <c r="E1088" s="294"/>
      <c r="F1088" s="294"/>
      <c r="G1088" s="294"/>
      <c r="H1088" s="294"/>
      <c r="I1088" s="294"/>
      <c r="J1088" s="294"/>
      <c r="L1088" s="295"/>
      <c r="M1088" s="294"/>
      <c r="R1088" s="326"/>
      <c r="S1088" s="326"/>
      <c r="T1088" s="294"/>
      <c r="U1088" s="294"/>
      <c r="V1088" s="294"/>
      <c r="W1088" s="294"/>
      <c r="X1088" s="1182"/>
      <c r="Y1088" s="1182"/>
      <c r="Z1088" s="1166"/>
      <c r="AA1088" s="1166"/>
      <c r="AB1088" s="1182"/>
      <c r="AC1088" s="294"/>
      <c r="AD1088" s="294"/>
      <c r="AE1088" s="294"/>
      <c r="AF1088" s="294"/>
      <c r="AG1088" s="294"/>
      <c r="AH1088" s="294"/>
      <c r="AI1088" s="294"/>
      <c r="AJ1088" s="294"/>
    </row>
    <row r="1089" spans="2:36" x14ac:dyDescent="0.25">
      <c r="B1089" s="294"/>
      <c r="C1089" s="294"/>
      <c r="D1089" s="294"/>
      <c r="E1089" s="294"/>
      <c r="F1089" s="294"/>
      <c r="G1089" s="294"/>
      <c r="H1089" s="294"/>
      <c r="I1089" s="294"/>
      <c r="J1089" s="294"/>
      <c r="L1089" s="295"/>
      <c r="M1089" s="294"/>
      <c r="R1089" s="326"/>
      <c r="S1089" s="326"/>
      <c r="T1089" s="294"/>
      <c r="U1089" s="294"/>
      <c r="V1089" s="294"/>
      <c r="W1089" s="294"/>
      <c r="X1089" s="1182"/>
      <c r="Y1089" s="1182"/>
      <c r="Z1089" s="1166"/>
      <c r="AA1089" s="1166"/>
      <c r="AB1089" s="1182"/>
      <c r="AC1089" s="294"/>
      <c r="AD1089" s="294"/>
      <c r="AE1089" s="294"/>
      <c r="AF1089" s="294"/>
      <c r="AG1089" s="294"/>
      <c r="AH1089" s="294"/>
      <c r="AI1089" s="294"/>
      <c r="AJ1089" s="294"/>
    </row>
    <row r="1090" spans="2:36" x14ac:dyDescent="0.25">
      <c r="B1090" s="294"/>
      <c r="C1090" s="294"/>
      <c r="D1090" s="294"/>
      <c r="E1090" s="294"/>
      <c r="F1090" s="294"/>
      <c r="G1090" s="294"/>
      <c r="H1090" s="294"/>
      <c r="I1090" s="294"/>
      <c r="J1090" s="294"/>
      <c r="L1090" s="295"/>
      <c r="M1090" s="294"/>
      <c r="R1090" s="326"/>
      <c r="S1090" s="326"/>
      <c r="T1090" s="294"/>
      <c r="U1090" s="294"/>
      <c r="V1090" s="294"/>
      <c r="W1090" s="294"/>
      <c r="X1090" s="1182"/>
      <c r="Y1090" s="1182"/>
      <c r="Z1090" s="1166"/>
      <c r="AA1090" s="1166"/>
      <c r="AB1090" s="1182"/>
      <c r="AC1090" s="294"/>
      <c r="AD1090" s="294"/>
      <c r="AE1090" s="294"/>
      <c r="AF1090" s="294"/>
      <c r="AG1090" s="294"/>
      <c r="AH1090" s="294"/>
      <c r="AI1090" s="294"/>
      <c r="AJ1090" s="294"/>
    </row>
    <row r="1091" spans="2:36" x14ac:dyDescent="0.25">
      <c r="B1091" s="294"/>
      <c r="C1091" s="294"/>
      <c r="D1091" s="294"/>
      <c r="E1091" s="294"/>
      <c r="F1091" s="294"/>
      <c r="G1091" s="294"/>
      <c r="H1091" s="294"/>
      <c r="I1091" s="294"/>
      <c r="J1091" s="294"/>
      <c r="L1091" s="295"/>
      <c r="M1091" s="294"/>
      <c r="R1091" s="326"/>
      <c r="S1091" s="326"/>
      <c r="T1091" s="294"/>
      <c r="U1091" s="294"/>
      <c r="V1091" s="294"/>
      <c r="W1091" s="294"/>
      <c r="X1091" s="1182"/>
      <c r="Y1091" s="1182"/>
      <c r="Z1091" s="1166"/>
      <c r="AA1091" s="1166"/>
      <c r="AB1091" s="1182"/>
      <c r="AC1091" s="294"/>
      <c r="AD1091" s="294"/>
      <c r="AE1091" s="294"/>
      <c r="AF1091" s="294"/>
      <c r="AG1091" s="294"/>
      <c r="AH1091" s="294"/>
      <c r="AI1091" s="294"/>
      <c r="AJ1091" s="294"/>
    </row>
    <row r="1092" spans="2:36" x14ac:dyDescent="0.25">
      <c r="B1092" s="294"/>
      <c r="C1092" s="294"/>
      <c r="D1092" s="294"/>
      <c r="E1092" s="294"/>
      <c r="F1092" s="294"/>
      <c r="G1092" s="294"/>
      <c r="H1092" s="294"/>
      <c r="I1092" s="294"/>
      <c r="J1092" s="294"/>
      <c r="L1092" s="295"/>
      <c r="M1092" s="294"/>
      <c r="R1092" s="326"/>
      <c r="S1092" s="326"/>
      <c r="T1092" s="294"/>
      <c r="U1092" s="294"/>
      <c r="V1092" s="294"/>
      <c r="W1092" s="294"/>
      <c r="X1092" s="1182"/>
      <c r="Y1092" s="1182"/>
      <c r="Z1092" s="1166"/>
      <c r="AA1092" s="1166"/>
      <c r="AB1092" s="1182"/>
      <c r="AC1092" s="294"/>
      <c r="AD1092" s="294"/>
      <c r="AE1092" s="294"/>
      <c r="AF1092" s="294"/>
      <c r="AG1092" s="294"/>
      <c r="AH1092" s="294"/>
      <c r="AI1092" s="294"/>
      <c r="AJ1092" s="294"/>
    </row>
    <row r="1093" spans="2:36" x14ac:dyDescent="0.25">
      <c r="B1093" s="294"/>
      <c r="C1093" s="294"/>
      <c r="D1093" s="294"/>
      <c r="E1093" s="294"/>
      <c r="F1093" s="294"/>
      <c r="G1093" s="294"/>
      <c r="H1093" s="294"/>
      <c r="I1093" s="294"/>
      <c r="J1093" s="294"/>
      <c r="L1093" s="295"/>
      <c r="M1093" s="294"/>
      <c r="R1093" s="326"/>
      <c r="S1093" s="326"/>
      <c r="T1093" s="294"/>
      <c r="U1093" s="294"/>
      <c r="V1093" s="294"/>
      <c r="W1093" s="294"/>
      <c r="X1093" s="1182"/>
      <c r="Y1093" s="1182"/>
      <c r="Z1093" s="1166"/>
      <c r="AA1093" s="1166"/>
      <c r="AB1093" s="1182"/>
      <c r="AC1093" s="294"/>
      <c r="AD1093" s="294"/>
      <c r="AE1093" s="294"/>
      <c r="AF1093" s="294"/>
      <c r="AG1093" s="294"/>
      <c r="AH1093" s="294"/>
      <c r="AI1093" s="294"/>
      <c r="AJ1093" s="294"/>
    </row>
    <row r="1094" spans="2:36" x14ac:dyDescent="0.25">
      <c r="B1094" s="294"/>
      <c r="C1094" s="294"/>
      <c r="D1094" s="294"/>
      <c r="E1094" s="294"/>
      <c r="F1094" s="294"/>
      <c r="G1094" s="294"/>
      <c r="H1094" s="294"/>
      <c r="I1094" s="294"/>
      <c r="J1094" s="294"/>
      <c r="L1094" s="295"/>
      <c r="M1094" s="294"/>
      <c r="R1094" s="326"/>
      <c r="S1094" s="326"/>
      <c r="T1094" s="294"/>
      <c r="U1094" s="294"/>
      <c r="V1094" s="294"/>
      <c r="W1094" s="294"/>
      <c r="X1094" s="1182"/>
      <c r="Y1094" s="1182"/>
      <c r="Z1094" s="1166"/>
      <c r="AA1094" s="1166"/>
      <c r="AB1094" s="1182"/>
      <c r="AC1094" s="294"/>
      <c r="AD1094" s="294"/>
      <c r="AE1094" s="294"/>
      <c r="AF1094" s="294"/>
      <c r="AG1094" s="294"/>
      <c r="AH1094" s="294"/>
      <c r="AI1094" s="294"/>
      <c r="AJ1094" s="294"/>
    </row>
    <row r="1095" spans="2:36" x14ac:dyDescent="0.25">
      <c r="B1095" s="294"/>
      <c r="C1095" s="294"/>
      <c r="D1095" s="294"/>
      <c r="E1095" s="294"/>
      <c r="F1095" s="294"/>
      <c r="G1095" s="294"/>
      <c r="H1095" s="294"/>
      <c r="I1095" s="294"/>
      <c r="J1095" s="294"/>
      <c r="L1095" s="295"/>
      <c r="M1095" s="294"/>
      <c r="R1095" s="326"/>
      <c r="S1095" s="326"/>
      <c r="T1095" s="294"/>
      <c r="U1095" s="294"/>
      <c r="V1095" s="294"/>
      <c r="W1095" s="294"/>
      <c r="X1095" s="1182"/>
      <c r="Y1095" s="1182"/>
      <c r="Z1095" s="1166"/>
      <c r="AA1095" s="1166"/>
      <c r="AB1095" s="1182"/>
      <c r="AC1095" s="294"/>
      <c r="AD1095" s="294"/>
      <c r="AE1095" s="294"/>
      <c r="AF1095" s="294"/>
      <c r="AG1095" s="294"/>
      <c r="AH1095" s="294"/>
      <c r="AI1095" s="294"/>
      <c r="AJ1095" s="294"/>
    </row>
    <row r="1096" spans="2:36" x14ac:dyDescent="0.25">
      <c r="B1096" s="294"/>
      <c r="C1096" s="294"/>
      <c r="D1096" s="294"/>
      <c r="E1096" s="294"/>
      <c r="F1096" s="294"/>
      <c r="G1096" s="294"/>
      <c r="H1096" s="294"/>
      <c r="I1096" s="294"/>
      <c r="J1096" s="294"/>
      <c r="L1096" s="295"/>
      <c r="M1096" s="294"/>
      <c r="R1096" s="326"/>
      <c r="S1096" s="326"/>
      <c r="T1096" s="294"/>
      <c r="U1096" s="294"/>
      <c r="V1096" s="294"/>
      <c r="W1096" s="294"/>
      <c r="X1096" s="1182"/>
      <c r="Y1096" s="1182"/>
      <c r="Z1096" s="1166"/>
      <c r="AA1096" s="1166"/>
      <c r="AB1096" s="1182"/>
      <c r="AC1096" s="294"/>
      <c r="AD1096" s="294"/>
      <c r="AE1096" s="294"/>
      <c r="AF1096" s="294"/>
      <c r="AG1096" s="294"/>
      <c r="AH1096" s="294"/>
      <c r="AI1096" s="294"/>
      <c r="AJ1096" s="294"/>
    </row>
    <row r="1097" spans="2:36" x14ac:dyDescent="0.25">
      <c r="B1097" s="294"/>
      <c r="C1097" s="294"/>
      <c r="D1097" s="294"/>
      <c r="E1097" s="294"/>
      <c r="F1097" s="294"/>
      <c r="G1097" s="294"/>
      <c r="H1097" s="294"/>
      <c r="I1097" s="294"/>
      <c r="J1097" s="294"/>
      <c r="L1097" s="295"/>
      <c r="M1097" s="294"/>
      <c r="R1097" s="326"/>
      <c r="S1097" s="326"/>
      <c r="T1097" s="294"/>
      <c r="U1097" s="294"/>
      <c r="V1097" s="294"/>
      <c r="W1097" s="294"/>
      <c r="X1097" s="1182"/>
      <c r="Y1097" s="1182"/>
      <c r="Z1097" s="1166"/>
      <c r="AA1097" s="1166"/>
      <c r="AB1097" s="1182"/>
      <c r="AC1097" s="294"/>
      <c r="AD1097" s="294"/>
      <c r="AE1097" s="294"/>
      <c r="AF1097" s="294"/>
      <c r="AG1097" s="294"/>
      <c r="AH1097" s="294"/>
      <c r="AI1097" s="294"/>
      <c r="AJ1097" s="294"/>
    </row>
    <row r="1098" spans="2:36" x14ac:dyDescent="0.25">
      <c r="B1098" s="294"/>
      <c r="C1098" s="294"/>
      <c r="D1098" s="294"/>
      <c r="E1098" s="294"/>
      <c r="F1098" s="294"/>
      <c r="G1098" s="294"/>
      <c r="H1098" s="294"/>
      <c r="I1098" s="294"/>
      <c r="J1098" s="294"/>
      <c r="L1098" s="295"/>
      <c r="M1098" s="294"/>
      <c r="R1098" s="326"/>
      <c r="S1098" s="326"/>
      <c r="T1098" s="294"/>
      <c r="U1098" s="294"/>
      <c r="V1098" s="294"/>
      <c r="W1098" s="294"/>
      <c r="X1098" s="1182"/>
      <c r="Y1098" s="1182"/>
      <c r="Z1098" s="1166"/>
      <c r="AA1098" s="1166"/>
      <c r="AB1098" s="1182"/>
      <c r="AC1098" s="294"/>
      <c r="AD1098" s="294"/>
      <c r="AE1098" s="294"/>
      <c r="AF1098" s="294"/>
      <c r="AG1098" s="294"/>
      <c r="AH1098" s="294"/>
      <c r="AI1098" s="294"/>
      <c r="AJ1098" s="294"/>
    </row>
    <row r="1099" spans="2:36" x14ac:dyDescent="0.25">
      <c r="B1099" s="294"/>
      <c r="C1099" s="294"/>
      <c r="D1099" s="294"/>
      <c r="E1099" s="294"/>
      <c r="F1099" s="294"/>
      <c r="G1099" s="294"/>
      <c r="H1099" s="294"/>
      <c r="I1099" s="294"/>
      <c r="J1099" s="294"/>
      <c r="L1099" s="295"/>
      <c r="M1099" s="294"/>
      <c r="R1099" s="326"/>
      <c r="S1099" s="326"/>
      <c r="T1099" s="294"/>
      <c r="U1099" s="294"/>
      <c r="V1099" s="294"/>
      <c r="W1099" s="294"/>
      <c r="X1099" s="1182"/>
      <c r="Y1099" s="1182"/>
      <c r="Z1099" s="1166"/>
      <c r="AA1099" s="1166"/>
      <c r="AB1099" s="1182"/>
      <c r="AC1099" s="294"/>
      <c r="AD1099" s="294"/>
      <c r="AE1099" s="294"/>
      <c r="AF1099" s="294"/>
      <c r="AG1099" s="294"/>
      <c r="AH1099" s="294"/>
      <c r="AI1099" s="294"/>
      <c r="AJ1099" s="294"/>
    </row>
    <row r="1100" spans="2:36" x14ac:dyDescent="0.25">
      <c r="B1100" s="294"/>
      <c r="C1100" s="294"/>
      <c r="D1100" s="294"/>
      <c r="E1100" s="294"/>
      <c r="F1100" s="294"/>
      <c r="G1100" s="294"/>
      <c r="H1100" s="294"/>
      <c r="I1100" s="294"/>
      <c r="J1100" s="294"/>
      <c r="L1100" s="295"/>
      <c r="M1100" s="294"/>
      <c r="R1100" s="326"/>
      <c r="S1100" s="326"/>
      <c r="T1100" s="294"/>
      <c r="U1100" s="294"/>
      <c r="V1100" s="294"/>
      <c r="W1100" s="294"/>
      <c r="X1100" s="1182"/>
      <c r="Y1100" s="1182"/>
      <c r="Z1100" s="1166"/>
      <c r="AA1100" s="1166"/>
      <c r="AB1100" s="1182"/>
      <c r="AC1100" s="294"/>
      <c r="AD1100" s="294"/>
      <c r="AE1100" s="294"/>
      <c r="AF1100" s="294"/>
      <c r="AG1100" s="294"/>
      <c r="AH1100" s="294"/>
      <c r="AI1100" s="294"/>
      <c r="AJ1100" s="294"/>
    </row>
    <row r="1101" spans="2:36" x14ac:dyDescent="0.25">
      <c r="B1101" s="294"/>
      <c r="C1101" s="294"/>
      <c r="D1101" s="294"/>
      <c r="E1101" s="294"/>
      <c r="F1101" s="294"/>
      <c r="G1101" s="294"/>
      <c r="H1101" s="294"/>
      <c r="I1101" s="294"/>
      <c r="J1101" s="294"/>
      <c r="L1101" s="295"/>
      <c r="M1101" s="294"/>
      <c r="R1101" s="326"/>
      <c r="S1101" s="326"/>
      <c r="T1101" s="294"/>
      <c r="U1101" s="294"/>
      <c r="V1101" s="294"/>
      <c r="W1101" s="294"/>
      <c r="X1101" s="1182"/>
      <c r="Y1101" s="1182"/>
      <c r="Z1101" s="1166"/>
      <c r="AA1101" s="1166"/>
      <c r="AB1101" s="1182"/>
      <c r="AC1101" s="294"/>
      <c r="AD1101" s="294"/>
      <c r="AE1101" s="294"/>
      <c r="AF1101" s="294"/>
      <c r="AG1101" s="294"/>
      <c r="AH1101" s="294"/>
      <c r="AI1101" s="294"/>
      <c r="AJ1101" s="294"/>
    </row>
    <row r="1102" spans="2:36" x14ac:dyDescent="0.25">
      <c r="B1102" s="294"/>
      <c r="C1102" s="294"/>
      <c r="D1102" s="294"/>
      <c r="E1102" s="294"/>
      <c r="F1102" s="294"/>
      <c r="G1102" s="294"/>
      <c r="H1102" s="294"/>
      <c r="I1102" s="294"/>
      <c r="J1102" s="294"/>
      <c r="L1102" s="295"/>
      <c r="M1102" s="294"/>
      <c r="R1102" s="326"/>
      <c r="S1102" s="326"/>
      <c r="T1102" s="294"/>
      <c r="U1102" s="294"/>
      <c r="V1102" s="294"/>
      <c r="W1102" s="294"/>
      <c r="X1102" s="1182"/>
      <c r="Y1102" s="1182"/>
      <c r="Z1102" s="1166"/>
      <c r="AA1102" s="1166"/>
      <c r="AB1102" s="1182"/>
      <c r="AC1102" s="294"/>
      <c r="AD1102" s="294"/>
      <c r="AE1102" s="294"/>
      <c r="AF1102" s="294"/>
      <c r="AG1102" s="294"/>
      <c r="AH1102" s="294"/>
      <c r="AI1102" s="294"/>
      <c r="AJ1102" s="294"/>
    </row>
    <row r="1103" spans="2:36" x14ac:dyDescent="0.25">
      <c r="B1103" s="294"/>
      <c r="C1103" s="294"/>
      <c r="D1103" s="294"/>
      <c r="E1103" s="294"/>
      <c r="F1103" s="294"/>
      <c r="G1103" s="294"/>
      <c r="H1103" s="294"/>
      <c r="I1103" s="294"/>
      <c r="J1103" s="294"/>
      <c r="L1103" s="295"/>
      <c r="M1103" s="294"/>
      <c r="R1103" s="326"/>
      <c r="S1103" s="326"/>
      <c r="T1103" s="294"/>
      <c r="U1103" s="294"/>
      <c r="V1103" s="294"/>
      <c r="W1103" s="294"/>
      <c r="X1103" s="1182"/>
      <c r="Y1103" s="1182"/>
      <c r="Z1103" s="1166"/>
      <c r="AA1103" s="1166"/>
      <c r="AB1103" s="1182"/>
      <c r="AC1103" s="294"/>
      <c r="AD1103" s="294"/>
      <c r="AE1103" s="294"/>
      <c r="AF1103" s="294"/>
      <c r="AG1103" s="294"/>
      <c r="AH1103" s="294"/>
      <c r="AI1103" s="294"/>
      <c r="AJ1103" s="294"/>
    </row>
    <row r="1104" spans="2:36" x14ac:dyDescent="0.25">
      <c r="B1104" s="294"/>
      <c r="C1104" s="294"/>
      <c r="D1104" s="294"/>
      <c r="E1104" s="294"/>
      <c r="F1104" s="294"/>
      <c r="G1104" s="294"/>
      <c r="H1104" s="294"/>
      <c r="I1104" s="294"/>
      <c r="J1104" s="294"/>
      <c r="L1104" s="295"/>
      <c r="M1104" s="294"/>
      <c r="R1104" s="326"/>
      <c r="S1104" s="326"/>
      <c r="T1104" s="294"/>
      <c r="U1104" s="294"/>
      <c r="V1104" s="294"/>
      <c r="W1104" s="294"/>
      <c r="X1104" s="1182"/>
      <c r="Y1104" s="1182"/>
      <c r="Z1104" s="1166"/>
      <c r="AA1104" s="1166"/>
      <c r="AB1104" s="1182"/>
      <c r="AC1104" s="294"/>
      <c r="AD1104" s="294"/>
      <c r="AE1104" s="294"/>
      <c r="AF1104" s="294"/>
      <c r="AG1104" s="294"/>
      <c r="AH1104" s="294"/>
      <c r="AI1104" s="294"/>
      <c r="AJ1104" s="294"/>
    </row>
    <row r="1105" spans="2:36" x14ac:dyDescent="0.25">
      <c r="B1105" s="294"/>
      <c r="C1105" s="294"/>
      <c r="D1105" s="294"/>
      <c r="E1105" s="294"/>
      <c r="F1105" s="294"/>
      <c r="G1105" s="294"/>
      <c r="H1105" s="294"/>
      <c r="I1105" s="294"/>
      <c r="J1105" s="294"/>
      <c r="L1105" s="295"/>
      <c r="M1105" s="294"/>
      <c r="R1105" s="326"/>
      <c r="S1105" s="326"/>
      <c r="T1105" s="294"/>
      <c r="U1105" s="294"/>
      <c r="V1105" s="294"/>
      <c r="W1105" s="294"/>
      <c r="X1105" s="1182"/>
      <c r="Y1105" s="1182"/>
      <c r="Z1105" s="1166"/>
      <c r="AA1105" s="1166"/>
      <c r="AB1105" s="1182"/>
      <c r="AC1105" s="294"/>
      <c r="AD1105" s="294"/>
      <c r="AE1105" s="294"/>
      <c r="AF1105" s="294"/>
      <c r="AG1105" s="294"/>
      <c r="AH1105" s="294"/>
      <c r="AI1105" s="294"/>
      <c r="AJ1105" s="294"/>
    </row>
    <row r="1106" spans="2:36" x14ac:dyDescent="0.25">
      <c r="B1106" s="294"/>
      <c r="C1106" s="294"/>
      <c r="D1106" s="294"/>
      <c r="E1106" s="294"/>
      <c r="F1106" s="294"/>
      <c r="G1106" s="294"/>
      <c r="H1106" s="294"/>
      <c r="I1106" s="294"/>
      <c r="J1106" s="294"/>
      <c r="L1106" s="295"/>
      <c r="M1106" s="294"/>
      <c r="R1106" s="326"/>
      <c r="S1106" s="326"/>
      <c r="T1106" s="294"/>
      <c r="U1106" s="294"/>
      <c r="V1106" s="294"/>
      <c r="W1106" s="294"/>
      <c r="X1106" s="1182"/>
      <c r="Y1106" s="1182"/>
      <c r="Z1106" s="1166"/>
      <c r="AA1106" s="1166"/>
      <c r="AB1106" s="1182"/>
      <c r="AC1106" s="294"/>
      <c r="AD1106" s="294"/>
      <c r="AE1106" s="294"/>
      <c r="AF1106" s="294"/>
      <c r="AG1106" s="294"/>
      <c r="AH1106" s="294"/>
      <c r="AI1106" s="294"/>
      <c r="AJ1106" s="294"/>
    </row>
    <row r="1107" spans="2:36" x14ac:dyDescent="0.25">
      <c r="B1107" s="294"/>
      <c r="C1107" s="294"/>
      <c r="D1107" s="294"/>
      <c r="E1107" s="294"/>
      <c r="F1107" s="294"/>
      <c r="G1107" s="294"/>
      <c r="H1107" s="294"/>
      <c r="I1107" s="294"/>
      <c r="J1107" s="294"/>
      <c r="L1107" s="295"/>
      <c r="M1107" s="294"/>
      <c r="R1107" s="326"/>
      <c r="S1107" s="326"/>
      <c r="T1107" s="294"/>
      <c r="U1107" s="294"/>
      <c r="V1107" s="294"/>
      <c r="W1107" s="294"/>
      <c r="X1107" s="1182"/>
      <c r="Y1107" s="1182"/>
      <c r="Z1107" s="1166"/>
      <c r="AA1107" s="1166"/>
      <c r="AB1107" s="1182"/>
      <c r="AC1107" s="294"/>
      <c r="AD1107" s="294"/>
      <c r="AE1107" s="294"/>
      <c r="AF1107" s="294"/>
      <c r="AG1107" s="294"/>
      <c r="AH1107" s="294"/>
      <c r="AI1107" s="294"/>
      <c r="AJ1107" s="294"/>
    </row>
    <row r="1108" spans="2:36" x14ac:dyDescent="0.25">
      <c r="B1108" s="294"/>
      <c r="C1108" s="294"/>
      <c r="D1108" s="294"/>
      <c r="E1108" s="294"/>
      <c r="F1108" s="294"/>
      <c r="G1108" s="294"/>
      <c r="H1108" s="294"/>
      <c r="I1108" s="294"/>
      <c r="J1108" s="294"/>
      <c r="L1108" s="295"/>
      <c r="M1108" s="294"/>
      <c r="R1108" s="326"/>
      <c r="S1108" s="326"/>
      <c r="T1108" s="294"/>
      <c r="U1108" s="294"/>
      <c r="V1108" s="294"/>
      <c r="W1108" s="294"/>
      <c r="X1108" s="1182"/>
      <c r="Y1108" s="1182"/>
      <c r="Z1108" s="1166"/>
      <c r="AA1108" s="1166"/>
      <c r="AB1108" s="1182"/>
      <c r="AC1108" s="294"/>
      <c r="AD1108" s="294"/>
      <c r="AE1108" s="294"/>
      <c r="AF1108" s="294"/>
      <c r="AG1108" s="294"/>
      <c r="AH1108" s="294"/>
      <c r="AI1108" s="294"/>
      <c r="AJ1108" s="294"/>
    </row>
    <row r="1109" spans="2:36" x14ac:dyDescent="0.25">
      <c r="B1109" s="294"/>
      <c r="C1109" s="294"/>
      <c r="D1109" s="294"/>
      <c r="E1109" s="294"/>
      <c r="F1109" s="294"/>
      <c r="G1109" s="294"/>
      <c r="H1109" s="294"/>
      <c r="I1109" s="294"/>
      <c r="J1109" s="294"/>
      <c r="L1109" s="295"/>
      <c r="M1109" s="294"/>
      <c r="R1109" s="326"/>
      <c r="S1109" s="326"/>
      <c r="T1109" s="294"/>
      <c r="U1109" s="294"/>
      <c r="V1109" s="294"/>
      <c r="W1109" s="294"/>
      <c r="X1109" s="1182"/>
      <c r="Y1109" s="1182"/>
      <c r="Z1109" s="1166"/>
      <c r="AA1109" s="1166"/>
      <c r="AB1109" s="1182"/>
      <c r="AC1109" s="294"/>
      <c r="AD1109" s="294"/>
      <c r="AE1109" s="294"/>
      <c r="AF1109" s="294"/>
      <c r="AG1109" s="294"/>
      <c r="AH1109" s="294"/>
      <c r="AI1109" s="294"/>
      <c r="AJ1109" s="294"/>
    </row>
    <row r="1110" spans="2:36" x14ac:dyDescent="0.25">
      <c r="B1110" s="294"/>
      <c r="C1110" s="294"/>
      <c r="D1110" s="294"/>
      <c r="E1110" s="294"/>
      <c r="F1110" s="294"/>
      <c r="G1110" s="294"/>
      <c r="H1110" s="294"/>
      <c r="I1110" s="294"/>
      <c r="J1110" s="294"/>
      <c r="L1110" s="295"/>
      <c r="M1110" s="294"/>
      <c r="R1110" s="326"/>
      <c r="S1110" s="326"/>
      <c r="T1110" s="294"/>
      <c r="U1110" s="294"/>
      <c r="V1110" s="294"/>
      <c r="W1110" s="294"/>
      <c r="X1110" s="1182"/>
      <c r="Y1110" s="1182"/>
      <c r="Z1110" s="1166"/>
      <c r="AA1110" s="1166"/>
      <c r="AB1110" s="1182"/>
      <c r="AC1110" s="294"/>
      <c r="AD1110" s="294"/>
      <c r="AE1110" s="294"/>
      <c r="AF1110" s="294"/>
      <c r="AG1110" s="294"/>
      <c r="AH1110" s="294"/>
      <c r="AI1110" s="294"/>
      <c r="AJ1110" s="294"/>
    </row>
    <row r="1111" spans="2:36" x14ac:dyDescent="0.25">
      <c r="B1111" s="294"/>
      <c r="C1111" s="294"/>
      <c r="D1111" s="294"/>
      <c r="E1111" s="294"/>
      <c r="F1111" s="294"/>
      <c r="G1111" s="294"/>
      <c r="H1111" s="294"/>
      <c r="I1111" s="294"/>
      <c r="J1111" s="294"/>
      <c r="L1111" s="295"/>
      <c r="M1111" s="294"/>
      <c r="R1111" s="326"/>
      <c r="S1111" s="326"/>
      <c r="T1111" s="294"/>
      <c r="U1111" s="294"/>
      <c r="V1111" s="294"/>
      <c r="W1111" s="294"/>
      <c r="X1111" s="1182"/>
      <c r="Y1111" s="1182"/>
      <c r="Z1111" s="1166"/>
      <c r="AA1111" s="1166"/>
      <c r="AB1111" s="1182"/>
      <c r="AC1111" s="294"/>
      <c r="AD1111" s="294"/>
      <c r="AE1111" s="294"/>
      <c r="AF1111" s="294"/>
      <c r="AG1111" s="294"/>
      <c r="AH1111" s="294"/>
      <c r="AI1111" s="294"/>
      <c r="AJ1111" s="294"/>
    </row>
    <row r="1112" spans="2:36" x14ac:dyDescent="0.25">
      <c r="B1112" s="294"/>
      <c r="C1112" s="294"/>
      <c r="D1112" s="294"/>
      <c r="E1112" s="294"/>
      <c r="F1112" s="294"/>
      <c r="G1112" s="294"/>
      <c r="H1112" s="294"/>
      <c r="I1112" s="294"/>
      <c r="J1112" s="294"/>
      <c r="L1112" s="295"/>
      <c r="M1112" s="294"/>
      <c r="R1112" s="326"/>
      <c r="S1112" s="326"/>
      <c r="T1112" s="294"/>
      <c r="U1112" s="294"/>
      <c r="V1112" s="294"/>
      <c r="W1112" s="294"/>
      <c r="X1112" s="1182"/>
      <c r="Y1112" s="1182"/>
      <c r="Z1112" s="1166"/>
      <c r="AA1112" s="1166"/>
      <c r="AB1112" s="1182"/>
      <c r="AC1112" s="294"/>
      <c r="AD1112" s="294"/>
      <c r="AE1112" s="294"/>
      <c r="AF1112" s="294"/>
      <c r="AG1112" s="294"/>
      <c r="AH1112" s="294"/>
      <c r="AI1112" s="294"/>
      <c r="AJ1112" s="294"/>
    </row>
    <row r="1113" spans="2:36" x14ac:dyDescent="0.25">
      <c r="B1113" s="294"/>
      <c r="C1113" s="294"/>
      <c r="D1113" s="294"/>
      <c r="E1113" s="294"/>
      <c r="F1113" s="294"/>
      <c r="G1113" s="294"/>
      <c r="H1113" s="294"/>
      <c r="I1113" s="294"/>
      <c r="J1113" s="294"/>
      <c r="L1113" s="295"/>
      <c r="M1113" s="294"/>
      <c r="R1113" s="326"/>
      <c r="S1113" s="326"/>
      <c r="T1113" s="294"/>
      <c r="U1113" s="294"/>
      <c r="V1113" s="294"/>
      <c r="W1113" s="294"/>
      <c r="X1113" s="1182"/>
      <c r="Y1113" s="1182"/>
      <c r="Z1113" s="1166"/>
      <c r="AA1113" s="1166"/>
      <c r="AB1113" s="1182"/>
      <c r="AC1113" s="294"/>
      <c r="AD1113" s="294"/>
      <c r="AE1113" s="294"/>
      <c r="AF1113" s="294"/>
      <c r="AG1113" s="294"/>
      <c r="AH1113" s="294"/>
      <c r="AI1113" s="294"/>
      <c r="AJ1113" s="294"/>
    </row>
    <row r="1114" spans="2:36" x14ac:dyDescent="0.25">
      <c r="B1114" s="294"/>
      <c r="C1114" s="294"/>
      <c r="D1114" s="294"/>
      <c r="E1114" s="294"/>
      <c r="F1114" s="294"/>
      <c r="G1114" s="294"/>
      <c r="H1114" s="294"/>
      <c r="I1114" s="294"/>
      <c r="J1114" s="294"/>
      <c r="L1114" s="295"/>
      <c r="M1114" s="294"/>
      <c r="R1114" s="326"/>
      <c r="S1114" s="326"/>
      <c r="T1114" s="294"/>
      <c r="U1114" s="294"/>
      <c r="V1114" s="294"/>
      <c r="W1114" s="294"/>
      <c r="X1114" s="1182"/>
      <c r="Y1114" s="1182"/>
      <c r="Z1114" s="1166"/>
      <c r="AA1114" s="1166"/>
      <c r="AB1114" s="1182"/>
      <c r="AC1114" s="294"/>
      <c r="AD1114" s="294"/>
      <c r="AE1114" s="294"/>
      <c r="AF1114" s="294"/>
      <c r="AG1114" s="294"/>
      <c r="AH1114" s="294"/>
      <c r="AI1114" s="294"/>
      <c r="AJ1114" s="294"/>
    </row>
    <row r="1115" spans="2:36" x14ac:dyDescent="0.25">
      <c r="B1115" s="294"/>
      <c r="C1115" s="294"/>
      <c r="D1115" s="294"/>
      <c r="E1115" s="294"/>
      <c r="F1115" s="294"/>
      <c r="G1115" s="294"/>
      <c r="H1115" s="294"/>
      <c r="I1115" s="294"/>
      <c r="J1115" s="294"/>
      <c r="L1115" s="295"/>
      <c r="M1115" s="294"/>
      <c r="R1115" s="326"/>
      <c r="S1115" s="326"/>
      <c r="T1115" s="294"/>
      <c r="U1115" s="294"/>
      <c r="V1115" s="294"/>
      <c r="W1115" s="294"/>
      <c r="X1115" s="1182"/>
      <c r="Y1115" s="1182"/>
      <c r="Z1115" s="1166"/>
      <c r="AA1115" s="1166"/>
      <c r="AB1115" s="1182"/>
      <c r="AC1115" s="294"/>
      <c r="AD1115" s="294"/>
      <c r="AE1115" s="294"/>
      <c r="AF1115" s="294"/>
      <c r="AG1115" s="294"/>
      <c r="AH1115" s="294"/>
      <c r="AI1115" s="294"/>
      <c r="AJ1115" s="294"/>
    </row>
    <row r="1116" spans="2:36" x14ac:dyDescent="0.25">
      <c r="B1116" s="294"/>
      <c r="C1116" s="294"/>
      <c r="D1116" s="294"/>
      <c r="E1116" s="294"/>
      <c r="F1116" s="294"/>
      <c r="G1116" s="294"/>
      <c r="H1116" s="294"/>
      <c r="I1116" s="294"/>
      <c r="J1116" s="294"/>
      <c r="L1116" s="295"/>
      <c r="M1116" s="294"/>
      <c r="R1116" s="326"/>
      <c r="S1116" s="326"/>
      <c r="T1116" s="294"/>
      <c r="U1116" s="294"/>
      <c r="V1116" s="294"/>
      <c r="W1116" s="294"/>
      <c r="X1116" s="1182"/>
      <c r="Y1116" s="1182"/>
      <c r="Z1116" s="1166"/>
      <c r="AA1116" s="1166"/>
      <c r="AB1116" s="1182"/>
      <c r="AC1116" s="294"/>
      <c r="AD1116" s="294"/>
      <c r="AE1116" s="294"/>
      <c r="AF1116" s="294"/>
      <c r="AG1116" s="294"/>
      <c r="AH1116" s="294"/>
      <c r="AI1116" s="294"/>
      <c r="AJ1116" s="294"/>
    </row>
    <row r="1117" spans="2:36" x14ac:dyDescent="0.25">
      <c r="B1117" s="294"/>
      <c r="C1117" s="294"/>
      <c r="D1117" s="294"/>
      <c r="E1117" s="294"/>
      <c r="F1117" s="294"/>
      <c r="G1117" s="294"/>
      <c r="H1117" s="294"/>
      <c r="I1117" s="294"/>
      <c r="J1117" s="294"/>
      <c r="L1117" s="295"/>
      <c r="M1117" s="294"/>
      <c r="R1117" s="326"/>
      <c r="S1117" s="326"/>
      <c r="T1117" s="294"/>
      <c r="U1117" s="294"/>
      <c r="V1117" s="294"/>
      <c r="W1117" s="294"/>
      <c r="X1117" s="1182"/>
      <c r="Y1117" s="1182"/>
      <c r="Z1117" s="1166"/>
      <c r="AA1117" s="1166"/>
      <c r="AB1117" s="1182"/>
      <c r="AC1117" s="294"/>
      <c r="AD1117" s="294"/>
      <c r="AE1117" s="294"/>
      <c r="AF1117" s="294"/>
      <c r="AG1117" s="294"/>
      <c r="AH1117" s="294"/>
      <c r="AI1117" s="294"/>
      <c r="AJ1117" s="294"/>
    </row>
    <row r="1118" spans="2:36" x14ac:dyDescent="0.25">
      <c r="B1118" s="294"/>
      <c r="C1118" s="294"/>
      <c r="D1118" s="294"/>
      <c r="E1118" s="294"/>
      <c r="F1118" s="294"/>
      <c r="G1118" s="294"/>
      <c r="H1118" s="294"/>
      <c r="I1118" s="294"/>
      <c r="J1118" s="294"/>
      <c r="L1118" s="295"/>
      <c r="M1118" s="294"/>
      <c r="R1118" s="326"/>
      <c r="S1118" s="326"/>
      <c r="T1118" s="294"/>
      <c r="U1118" s="294"/>
      <c r="V1118" s="294"/>
      <c r="W1118" s="294"/>
      <c r="X1118" s="1182"/>
      <c r="Y1118" s="1182"/>
      <c r="Z1118" s="1166"/>
      <c r="AA1118" s="1166"/>
      <c r="AB1118" s="1182"/>
      <c r="AC1118" s="294"/>
      <c r="AD1118" s="294"/>
      <c r="AE1118" s="294"/>
      <c r="AF1118" s="294"/>
      <c r="AG1118" s="294"/>
      <c r="AH1118" s="294"/>
      <c r="AI1118" s="294"/>
      <c r="AJ1118" s="294"/>
    </row>
    <row r="1119" spans="2:36" x14ac:dyDescent="0.25">
      <c r="B1119" s="294"/>
      <c r="C1119" s="294"/>
      <c r="D1119" s="294"/>
      <c r="E1119" s="294"/>
      <c r="F1119" s="294"/>
      <c r="G1119" s="294"/>
      <c r="H1119" s="294"/>
      <c r="I1119" s="294"/>
      <c r="J1119" s="294"/>
      <c r="L1119" s="295"/>
      <c r="M1119" s="294"/>
      <c r="R1119" s="326"/>
      <c r="S1119" s="326"/>
      <c r="T1119" s="294"/>
      <c r="U1119" s="294"/>
      <c r="V1119" s="294"/>
      <c r="W1119" s="294"/>
      <c r="X1119" s="1182"/>
      <c r="Y1119" s="1182"/>
      <c r="Z1119" s="1166"/>
      <c r="AA1119" s="1166"/>
      <c r="AB1119" s="1182"/>
      <c r="AC1119" s="294"/>
      <c r="AD1119" s="294"/>
      <c r="AE1119" s="294"/>
      <c r="AF1119" s="294"/>
      <c r="AG1119" s="294"/>
      <c r="AH1119" s="294"/>
      <c r="AI1119" s="294"/>
      <c r="AJ1119" s="294"/>
    </row>
    <row r="1120" spans="2:36" x14ac:dyDescent="0.25">
      <c r="B1120" s="294"/>
      <c r="C1120" s="294"/>
      <c r="D1120" s="294"/>
      <c r="E1120" s="294"/>
      <c r="F1120" s="294"/>
      <c r="G1120" s="294"/>
      <c r="H1120" s="294"/>
      <c r="I1120" s="294"/>
      <c r="J1120" s="294"/>
      <c r="L1120" s="295"/>
      <c r="M1120" s="294"/>
      <c r="R1120" s="326"/>
      <c r="S1120" s="326"/>
      <c r="T1120" s="294"/>
      <c r="U1120" s="294"/>
      <c r="V1120" s="294"/>
      <c r="W1120" s="294"/>
      <c r="X1120" s="1182"/>
      <c r="Y1120" s="1182"/>
      <c r="Z1120" s="1166"/>
      <c r="AA1120" s="1166"/>
      <c r="AB1120" s="1182"/>
      <c r="AC1120" s="294"/>
      <c r="AD1120" s="294"/>
      <c r="AE1120" s="294"/>
      <c r="AF1120" s="294"/>
      <c r="AG1120" s="294"/>
      <c r="AH1120" s="294"/>
      <c r="AI1120" s="294"/>
      <c r="AJ1120" s="294"/>
    </row>
    <row r="1121" spans="2:36" x14ac:dyDescent="0.25">
      <c r="B1121" s="294"/>
      <c r="C1121" s="294"/>
      <c r="D1121" s="294"/>
      <c r="E1121" s="294"/>
      <c r="F1121" s="294"/>
      <c r="G1121" s="294"/>
      <c r="H1121" s="294"/>
      <c r="I1121" s="294"/>
      <c r="J1121" s="294"/>
      <c r="L1121" s="295"/>
      <c r="M1121" s="294"/>
      <c r="R1121" s="326"/>
      <c r="S1121" s="326"/>
      <c r="T1121" s="294"/>
      <c r="U1121" s="294"/>
      <c r="V1121" s="294"/>
      <c r="W1121" s="294"/>
      <c r="X1121" s="1182"/>
      <c r="Y1121" s="1182"/>
      <c r="Z1121" s="1166"/>
      <c r="AA1121" s="1166"/>
      <c r="AB1121" s="1182"/>
      <c r="AC1121" s="294"/>
      <c r="AD1121" s="294"/>
      <c r="AE1121" s="294"/>
      <c r="AF1121" s="294"/>
      <c r="AG1121" s="294"/>
      <c r="AH1121" s="294"/>
      <c r="AI1121" s="294"/>
      <c r="AJ1121" s="294"/>
    </row>
    <row r="1122" spans="2:36" x14ac:dyDescent="0.25">
      <c r="B1122" s="294"/>
      <c r="C1122" s="294"/>
      <c r="D1122" s="294"/>
      <c r="E1122" s="294"/>
      <c r="F1122" s="294"/>
      <c r="G1122" s="294"/>
      <c r="H1122" s="294"/>
      <c r="I1122" s="294"/>
      <c r="J1122" s="294"/>
      <c r="L1122" s="295"/>
      <c r="M1122" s="294"/>
      <c r="R1122" s="326"/>
      <c r="S1122" s="326"/>
      <c r="T1122" s="294"/>
      <c r="U1122" s="294"/>
      <c r="V1122" s="294"/>
      <c r="W1122" s="294"/>
      <c r="X1122" s="1182"/>
      <c r="Y1122" s="1182"/>
      <c r="Z1122" s="1166"/>
      <c r="AA1122" s="1166"/>
      <c r="AB1122" s="1182"/>
      <c r="AC1122" s="294"/>
      <c r="AD1122" s="294"/>
      <c r="AE1122" s="294"/>
      <c r="AF1122" s="294"/>
      <c r="AG1122" s="294"/>
      <c r="AH1122" s="294"/>
      <c r="AI1122" s="294"/>
      <c r="AJ1122" s="294"/>
    </row>
    <row r="1123" spans="2:36" x14ac:dyDescent="0.25">
      <c r="B1123" s="294"/>
      <c r="C1123" s="294"/>
      <c r="D1123" s="294"/>
      <c r="E1123" s="294"/>
      <c r="F1123" s="294"/>
      <c r="G1123" s="294"/>
      <c r="H1123" s="294"/>
      <c r="I1123" s="294"/>
      <c r="J1123" s="294"/>
      <c r="L1123" s="295"/>
      <c r="M1123" s="294"/>
      <c r="R1123" s="326"/>
      <c r="S1123" s="326"/>
      <c r="T1123" s="294"/>
      <c r="U1123" s="294"/>
      <c r="V1123" s="294"/>
      <c r="W1123" s="294"/>
      <c r="X1123" s="1182"/>
      <c r="Y1123" s="1182"/>
      <c r="Z1123" s="1166"/>
      <c r="AA1123" s="1166"/>
      <c r="AB1123" s="1182"/>
      <c r="AC1123" s="294"/>
      <c r="AD1123" s="294"/>
      <c r="AE1123" s="294"/>
      <c r="AF1123" s="294"/>
      <c r="AG1123" s="294"/>
      <c r="AH1123" s="294"/>
      <c r="AI1123" s="294"/>
      <c r="AJ1123" s="294"/>
    </row>
    <row r="1124" spans="2:36" x14ac:dyDescent="0.25">
      <c r="B1124" s="294"/>
      <c r="C1124" s="294"/>
      <c r="D1124" s="294"/>
      <c r="E1124" s="294"/>
      <c r="F1124" s="294"/>
      <c r="G1124" s="294"/>
      <c r="H1124" s="294"/>
      <c r="I1124" s="294"/>
      <c r="J1124" s="294"/>
      <c r="L1124" s="295"/>
      <c r="M1124" s="294"/>
      <c r="R1124" s="326"/>
      <c r="S1124" s="326"/>
      <c r="T1124" s="294"/>
      <c r="U1124" s="294"/>
      <c r="V1124" s="294"/>
      <c r="W1124" s="294"/>
      <c r="X1124" s="1182"/>
      <c r="Y1124" s="1182"/>
      <c r="Z1124" s="1166"/>
      <c r="AA1124" s="1166"/>
      <c r="AB1124" s="1182"/>
      <c r="AC1124" s="294"/>
      <c r="AD1124" s="294"/>
      <c r="AE1124" s="294"/>
      <c r="AF1124" s="294"/>
      <c r="AG1124" s="294"/>
      <c r="AH1124" s="294"/>
      <c r="AI1124" s="294"/>
      <c r="AJ1124" s="294"/>
    </row>
    <row r="1125" spans="2:36" x14ac:dyDescent="0.25">
      <c r="B1125" s="294"/>
      <c r="C1125" s="294"/>
      <c r="D1125" s="294"/>
      <c r="E1125" s="294"/>
      <c r="F1125" s="294"/>
      <c r="G1125" s="294"/>
      <c r="H1125" s="294"/>
      <c r="I1125" s="294"/>
      <c r="J1125" s="294"/>
      <c r="L1125" s="295"/>
      <c r="M1125" s="294"/>
      <c r="R1125" s="326"/>
      <c r="S1125" s="326"/>
      <c r="T1125" s="294"/>
      <c r="U1125" s="294"/>
      <c r="V1125" s="294"/>
      <c r="W1125" s="294"/>
      <c r="X1125" s="1182"/>
      <c r="Y1125" s="1182"/>
      <c r="Z1125" s="1166"/>
      <c r="AA1125" s="1166"/>
      <c r="AB1125" s="1182"/>
      <c r="AC1125" s="294"/>
      <c r="AD1125" s="294"/>
      <c r="AE1125" s="294"/>
      <c r="AF1125" s="294"/>
      <c r="AG1125" s="294"/>
      <c r="AH1125" s="294"/>
      <c r="AI1125" s="294"/>
      <c r="AJ1125" s="294"/>
    </row>
    <row r="1126" spans="2:36" x14ac:dyDescent="0.25">
      <c r="B1126" s="294"/>
      <c r="C1126" s="294"/>
      <c r="D1126" s="294"/>
      <c r="E1126" s="294"/>
      <c r="F1126" s="294"/>
      <c r="G1126" s="294"/>
      <c r="H1126" s="294"/>
      <c r="I1126" s="294"/>
      <c r="J1126" s="294"/>
      <c r="L1126" s="295"/>
      <c r="M1126" s="294"/>
      <c r="R1126" s="326"/>
      <c r="S1126" s="326"/>
      <c r="T1126" s="294"/>
      <c r="U1126" s="294"/>
      <c r="V1126" s="294"/>
      <c r="W1126" s="294"/>
      <c r="X1126" s="1182"/>
      <c r="Y1126" s="1182"/>
      <c r="Z1126" s="1166"/>
      <c r="AA1126" s="1166"/>
      <c r="AB1126" s="1182"/>
      <c r="AC1126" s="294"/>
      <c r="AD1126" s="294"/>
      <c r="AE1126" s="294"/>
      <c r="AF1126" s="294"/>
      <c r="AG1126" s="294"/>
      <c r="AH1126" s="294"/>
      <c r="AI1126" s="294"/>
      <c r="AJ1126" s="294"/>
    </row>
    <row r="1127" spans="2:36" x14ac:dyDescent="0.25">
      <c r="B1127" s="294"/>
      <c r="C1127" s="294"/>
      <c r="D1127" s="294"/>
      <c r="E1127" s="294"/>
      <c r="F1127" s="294"/>
      <c r="G1127" s="294"/>
      <c r="H1127" s="294"/>
      <c r="I1127" s="294"/>
      <c r="J1127" s="294"/>
      <c r="L1127" s="295"/>
      <c r="M1127" s="294"/>
      <c r="R1127" s="326"/>
      <c r="S1127" s="326"/>
      <c r="T1127" s="294"/>
      <c r="U1127" s="294"/>
      <c r="V1127" s="294"/>
      <c r="W1127" s="294"/>
      <c r="X1127" s="1182"/>
      <c r="Y1127" s="1182"/>
      <c r="Z1127" s="1166"/>
      <c r="AA1127" s="1166"/>
      <c r="AB1127" s="1182"/>
      <c r="AC1127" s="294"/>
      <c r="AD1127" s="294"/>
      <c r="AE1127" s="294"/>
      <c r="AF1127" s="294"/>
      <c r="AG1127" s="294"/>
      <c r="AH1127" s="294"/>
      <c r="AI1127" s="294"/>
      <c r="AJ1127" s="294"/>
    </row>
    <row r="1128" spans="2:36" x14ac:dyDescent="0.25">
      <c r="B1128" s="294"/>
      <c r="C1128" s="294"/>
      <c r="D1128" s="294"/>
      <c r="E1128" s="294"/>
      <c r="F1128" s="294"/>
      <c r="G1128" s="294"/>
      <c r="H1128" s="294"/>
      <c r="I1128" s="294"/>
      <c r="J1128" s="294"/>
      <c r="L1128" s="295"/>
      <c r="M1128" s="294"/>
      <c r="R1128" s="326"/>
      <c r="S1128" s="326"/>
      <c r="T1128" s="294"/>
      <c r="U1128" s="294"/>
      <c r="V1128" s="294"/>
      <c r="W1128" s="294"/>
      <c r="X1128" s="1182"/>
      <c r="Y1128" s="1182"/>
      <c r="Z1128" s="1166"/>
      <c r="AA1128" s="1166"/>
      <c r="AB1128" s="1182"/>
      <c r="AC1128" s="294"/>
      <c r="AD1128" s="294"/>
      <c r="AE1128" s="294"/>
      <c r="AF1128" s="294"/>
      <c r="AG1128" s="294"/>
      <c r="AH1128" s="294"/>
      <c r="AI1128" s="294"/>
      <c r="AJ1128" s="294"/>
    </row>
    <row r="1129" spans="2:36" x14ac:dyDescent="0.25">
      <c r="B1129" s="294"/>
      <c r="C1129" s="294"/>
      <c r="D1129" s="294"/>
      <c r="E1129" s="294"/>
      <c r="F1129" s="294"/>
      <c r="G1129" s="294"/>
      <c r="H1129" s="294"/>
      <c r="I1129" s="294"/>
      <c r="J1129" s="294"/>
      <c r="L1129" s="295"/>
      <c r="M1129" s="294"/>
      <c r="R1129" s="326"/>
      <c r="S1129" s="326"/>
      <c r="T1129" s="294"/>
      <c r="U1129" s="294"/>
      <c r="V1129" s="294"/>
      <c r="W1129" s="294"/>
      <c r="X1129" s="1182"/>
      <c r="Y1129" s="1182"/>
      <c r="Z1129" s="1166"/>
      <c r="AA1129" s="1166"/>
      <c r="AB1129" s="1182"/>
      <c r="AC1129" s="294"/>
      <c r="AD1129" s="294"/>
      <c r="AE1129" s="294"/>
      <c r="AF1129" s="294"/>
      <c r="AG1129" s="294"/>
      <c r="AH1129" s="294"/>
      <c r="AI1129" s="294"/>
      <c r="AJ1129" s="294"/>
    </row>
    <row r="1130" spans="2:36" x14ac:dyDescent="0.25">
      <c r="B1130" s="294"/>
      <c r="C1130" s="294"/>
      <c r="D1130" s="294"/>
      <c r="E1130" s="294"/>
      <c r="F1130" s="294"/>
      <c r="G1130" s="294"/>
      <c r="H1130" s="294"/>
      <c r="I1130" s="294"/>
      <c r="J1130" s="294"/>
      <c r="L1130" s="295"/>
      <c r="M1130" s="294"/>
      <c r="R1130" s="326"/>
      <c r="S1130" s="326"/>
      <c r="T1130" s="294"/>
      <c r="U1130" s="294"/>
      <c r="V1130" s="294"/>
      <c r="W1130" s="294"/>
      <c r="X1130" s="1182"/>
      <c r="Y1130" s="1182"/>
      <c r="Z1130" s="1166"/>
      <c r="AA1130" s="1166"/>
      <c r="AB1130" s="1182"/>
      <c r="AC1130" s="294"/>
      <c r="AD1130" s="294"/>
      <c r="AE1130" s="294"/>
      <c r="AF1130" s="294"/>
      <c r="AG1130" s="294"/>
      <c r="AH1130" s="294"/>
      <c r="AI1130" s="294"/>
      <c r="AJ1130" s="294"/>
    </row>
    <row r="1131" spans="2:36" x14ac:dyDescent="0.25">
      <c r="B1131" s="294"/>
      <c r="C1131" s="294"/>
      <c r="D1131" s="294"/>
      <c r="E1131" s="294"/>
      <c r="F1131" s="294"/>
      <c r="G1131" s="294"/>
      <c r="H1131" s="294"/>
      <c r="I1131" s="294"/>
      <c r="J1131" s="294"/>
      <c r="L1131" s="295"/>
      <c r="M1131" s="294"/>
      <c r="R1131" s="326"/>
      <c r="S1131" s="326"/>
      <c r="T1131" s="294"/>
      <c r="U1131" s="294"/>
      <c r="V1131" s="294"/>
      <c r="W1131" s="294"/>
      <c r="X1131" s="1182"/>
      <c r="Y1131" s="1182"/>
      <c r="Z1131" s="1166"/>
      <c r="AA1131" s="1166"/>
      <c r="AB1131" s="1182"/>
      <c r="AC1131" s="294"/>
      <c r="AD1131" s="294"/>
      <c r="AE1131" s="294"/>
      <c r="AF1131" s="294"/>
      <c r="AG1131" s="294"/>
      <c r="AH1131" s="294"/>
      <c r="AI1131" s="294"/>
      <c r="AJ1131" s="294"/>
    </row>
    <row r="1132" spans="2:36" x14ac:dyDescent="0.25">
      <c r="B1132" s="294"/>
      <c r="C1132" s="294"/>
      <c r="D1132" s="294"/>
      <c r="E1132" s="294"/>
      <c r="F1132" s="294"/>
      <c r="G1132" s="294"/>
      <c r="H1132" s="294"/>
      <c r="I1132" s="294"/>
      <c r="J1132" s="294"/>
      <c r="L1132" s="295"/>
      <c r="M1132" s="294"/>
      <c r="R1132" s="326"/>
      <c r="S1132" s="326"/>
      <c r="T1132" s="294"/>
      <c r="U1132" s="294"/>
      <c r="V1132" s="294"/>
      <c r="W1132" s="294"/>
      <c r="X1132" s="1182"/>
      <c r="Y1132" s="1182"/>
      <c r="Z1132" s="1166"/>
      <c r="AA1132" s="1166"/>
      <c r="AB1132" s="1182"/>
      <c r="AC1132" s="294"/>
      <c r="AD1132" s="294"/>
      <c r="AE1132" s="294"/>
      <c r="AF1132" s="294"/>
      <c r="AG1132" s="294"/>
      <c r="AH1132" s="294"/>
      <c r="AI1132" s="294"/>
      <c r="AJ1132" s="294"/>
    </row>
    <row r="1133" spans="2:36" x14ac:dyDescent="0.25">
      <c r="B1133" s="294"/>
      <c r="C1133" s="294"/>
      <c r="D1133" s="294"/>
      <c r="E1133" s="294"/>
      <c r="F1133" s="294"/>
      <c r="G1133" s="294"/>
      <c r="H1133" s="294"/>
      <c r="I1133" s="294"/>
      <c r="J1133" s="294"/>
      <c r="L1133" s="295"/>
      <c r="M1133" s="294"/>
      <c r="R1133" s="326"/>
      <c r="S1133" s="326"/>
      <c r="T1133" s="294"/>
      <c r="U1133" s="294"/>
      <c r="V1133" s="294"/>
      <c r="W1133" s="294"/>
      <c r="X1133" s="1182"/>
      <c r="Y1133" s="1182"/>
      <c r="Z1133" s="1166"/>
      <c r="AA1133" s="1166"/>
      <c r="AB1133" s="1182"/>
      <c r="AC1133" s="294"/>
      <c r="AD1133" s="294"/>
      <c r="AE1133" s="294"/>
      <c r="AF1133" s="294"/>
      <c r="AG1133" s="294"/>
      <c r="AH1133" s="294"/>
      <c r="AI1133" s="294"/>
      <c r="AJ1133" s="294"/>
    </row>
    <row r="1134" spans="2:36" x14ac:dyDescent="0.25">
      <c r="B1134" s="294"/>
      <c r="C1134" s="294"/>
      <c r="D1134" s="294"/>
      <c r="E1134" s="294"/>
      <c r="F1134" s="294"/>
      <c r="G1134" s="294"/>
      <c r="H1134" s="294"/>
      <c r="I1134" s="294"/>
      <c r="J1134" s="294"/>
      <c r="L1134" s="295"/>
      <c r="M1134" s="294"/>
      <c r="R1134" s="326"/>
      <c r="S1134" s="326"/>
      <c r="T1134" s="294"/>
      <c r="U1134" s="294"/>
      <c r="V1134" s="294"/>
      <c r="W1134" s="294"/>
      <c r="X1134" s="1182"/>
      <c r="Y1134" s="1182"/>
      <c r="Z1134" s="1166"/>
      <c r="AA1134" s="1166"/>
      <c r="AB1134" s="1182"/>
      <c r="AC1134" s="294"/>
      <c r="AD1134" s="294"/>
      <c r="AE1134" s="294"/>
      <c r="AF1134" s="294"/>
      <c r="AG1134" s="294"/>
      <c r="AH1134" s="294"/>
      <c r="AI1134" s="294"/>
      <c r="AJ1134" s="294"/>
    </row>
    <row r="1135" spans="2:36" x14ac:dyDescent="0.25">
      <c r="B1135" s="294"/>
      <c r="C1135" s="294"/>
      <c r="D1135" s="294"/>
      <c r="E1135" s="294"/>
      <c r="F1135" s="294"/>
      <c r="G1135" s="294"/>
      <c r="H1135" s="294"/>
      <c r="I1135" s="294"/>
      <c r="J1135" s="294"/>
      <c r="L1135" s="295"/>
      <c r="M1135" s="294"/>
      <c r="R1135" s="326"/>
      <c r="S1135" s="326"/>
      <c r="T1135" s="294"/>
      <c r="U1135" s="294"/>
      <c r="V1135" s="294"/>
      <c r="W1135" s="294"/>
      <c r="X1135" s="1182"/>
      <c r="Y1135" s="1182"/>
      <c r="Z1135" s="1166"/>
      <c r="AA1135" s="1166"/>
      <c r="AB1135" s="1182"/>
      <c r="AC1135" s="294"/>
      <c r="AD1135" s="294"/>
      <c r="AE1135" s="294"/>
      <c r="AF1135" s="294"/>
      <c r="AG1135" s="294"/>
      <c r="AH1135" s="294"/>
      <c r="AI1135" s="294"/>
      <c r="AJ1135" s="294"/>
    </row>
    <row r="1136" spans="2:36" x14ac:dyDescent="0.25">
      <c r="B1136" s="294"/>
      <c r="C1136" s="294"/>
      <c r="D1136" s="294"/>
      <c r="E1136" s="294"/>
      <c r="F1136" s="294"/>
      <c r="G1136" s="294"/>
      <c r="H1136" s="294"/>
      <c r="I1136" s="294"/>
      <c r="J1136" s="294"/>
      <c r="L1136" s="295"/>
      <c r="M1136" s="294"/>
      <c r="R1136" s="326"/>
      <c r="S1136" s="326"/>
      <c r="T1136" s="294"/>
      <c r="U1136" s="294"/>
      <c r="V1136" s="294"/>
      <c r="W1136" s="294"/>
      <c r="X1136" s="1182"/>
      <c r="Y1136" s="1182"/>
      <c r="Z1136" s="1166"/>
      <c r="AA1136" s="1166"/>
      <c r="AB1136" s="1182"/>
      <c r="AC1136" s="294"/>
      <c r="AD1136" s="294"/>
      <c r="AE1136" s="294"/>
      <c r="AF1136" s="294"/>
      <c r="AG1136" s="294"/>
      <c r="AH1136" s="294"/>
      <c r="AI1136" s="294"/>
      <c r="AJ1136" s="294"/>
    </row>
    <row r="1137" spans="2:36" x14ac:dyDescent="0.25">
      <c r="B1137" s="294"/>
      <c r="C1137" s="294"/>
      <c r="D1137" s="294"/>
      <c r="E1137" s="294"/>
      <c r="F1137" s="294"/>
      <c r="G1137" s="294"/>
      <c r="H1137" s="294"/>
      <c r="I1137" s="294"/>
      <c r="J1137" s="294"/>
      <c r="L1137" s="295"/>
      <c r="M1137" s="294"/>
      <c r="R1137" s="326"/>
      <c r="S1137" s="326"/>
      <c r="T1137" s="294"/>
      <c r="U1137" s="294"/>
      <c r="V1137" s="294"/>
      <c r="W1137" s="294"/>
      <c r="X1137" s="1182"/>
      <c r="Y1137" s="1182"/>
      <c r="Z1137" s="1166"/>
      <c r="AA1137" s="1166"/>
      <c r="AB1137" s="1182"/>
      <c r="AC1137" s="294"/>
      <c r="AD1137" s="294"/>
      <c r="AE1137" s="294"/>
      <c r="AF1137" s="294"/>
      <c r="AG1137" s="294"/>
      <c r="AH1137" s="294"/>
      <c r="AI1137" s="294"/>
      <c r="AJ1137" s="294"/>
    </row>
    <row r="1138" spans="2:36" x14ac:dyDescent="0.25">
      <c r="B1138" s="294"/>
      <c r="C1138" s="294"/>
      <c r="D1138" s="294"/>
      <c r="E1138" s="294"/>
      <c r="F1138" s="294"/>
      <c r="G1138" s="294"/>
      <c r="H1138" s="294"/>
      <c r="I1138" s="294"/>
      <c r="J1138" s="294"/>
      <c r="L1138" s="295"/>
      <c r="M1138" s="294"/>
      <c r="R1138" s="326"/>
      <c r="S1138" s="326"/>
      <c r="T1138" s="294"/>
      <c r="U1138" s="294"/>
      <c r="V1138" s="294"/>
      <c r="W1138" s="294"/>
      <c r="X1138" s="1182"/>
      <c r="Y1138" s="1182"/>
      <c r="Z1138" s="1166"/>
      <c r="AA1138" s="1166"/>
      <c r="AB1138" s="1182"/>
      <c r="AC1138" s="294"/>
      <c r="AD1138" s="294"/>
      <c r="AE1138" s="294"/>
      <c r="AF1138" s="294"/>
      <c r="AG1138" s="294"/>
      <c r="AH1138" s="294"/>
      <c r="AI1138" s="294"/>
      <c r="AJ1138" s="294"/>
    </row>
    <row r="1139" spans="2:36" x14ac:dyDescent="0.25">
      <c r="B1139" s="294"/>
      <c r="C1139" s="294"/>
      <c r="D1139" s="294"/>
      <c r="E1139" s="294"/>
      <c r="F1139" s="294"/>
      <c r="G1139" s="294"/>
      <c r="H1139" s="294"/>
      <c r="I1139" s="294"/>
      <c r="J1139" s="294"/>
      <c r="L1139" s="295"/>
      <c r="M1139" s="294"/>
      <c r="R1139" s="326"/>
      <c r="S1139" s="326"/>
      <c r="T1139" s="294"/>
      <c r="U1139" s="294"/>
      <c r="V1139" s="294"/>
      <c r="W1139" s="294"/>
      <c r="X1139" s="1182"/>
      <c r="Y1139" s="1182"/>
      <c r="Z1139" s="1166"/>
      <c r="AA1139" s="1166"/>
      <c r="AB1139" s="1182"/>
      <c r="AC1139" s="294"/>
      <c r="AD1139" s="294"/>
      <c r="AE1139" s="294"/>
      <c r="AF1139" s="294"/>
      <c r="AG1139" s="294"/>
      <c r="AH1139" s="294"/>
      <c r="AI1139" s="294"/>
      <c r="AJ1139" s="294"/>
    </row>
    <row r="1140" spans="2:36" x14ac:dyDescent="0.25">
      <c r="B1140" s="294"/>
      <c r="C1140" s="294"/>
      <c r="D1140" s="294"/>
      <c r="E1140" s="294"/>
      <c r="F1140" s="294"/>
      <c r="G1140" s="294"/>
      <c r="H1140" s="294"/>
      <c r="I1140" s="294"/>
      <c r="J1140" s="294"/>
      <c r="L1140" s="295"/>
      <c r="M1140" s="294"/>
      <c r="R1140" s="326"/>
      <c r="S1140" s="326"/>
      <c r="T1140" s="294"/>
      <c r="U1140" s="294"/>
      <c r="V1140" s="294"/>
      <c r="W1140" s="294"/>
      <c r="X1140" s="1182"/>
      <c r="Y1140" s="1182"/>
      <c r="Z1140" s="1166"/>
      <c r="AA1140" s="1166"/>
      <c r="AB1140" s="1182"/>
      <c r="AC1140" s="294"/>
      <c r="AD1140" s="294"/>
      <c r="AE1140" s="294"/>
      <c r="AF1140" s="294"/>
      <c r="AG1140" s="294"/>
      <c r="AH1140" s="294"/>
      <c r="AI1140" s="294"/>
      <c r="AJ1140" s="294"/>
    </row>
    <row r="1141" spans="2:36" x14ac:dyDescent="0.25">
      <c r="B1141" s="294"/>
      <c r="C1141" s="294"/>
      <c r="D1141" s="294"/>
      <c r="E1141" s="294"/>
      <c r="F1141" s="294"/>
      <c r="G1141" s="294"/>
      <c r="H1141" s="294"/>
      <c r="I1141" s="294"/>
      <c r="J1141" s="294"/>
      <c r="L1141" s="295"/>
      <c r="M1141" s="294"/>
      <c r="R1141" s="326"/>
      <c r="S1141" s="326"/>
      <c r="T1141" s="294"/>
      <c r="U1141" s="294"/>
      <c r="V1141" s="294"/>
      <c r="W1141" s="294"/>
      <c r="X1141" s="1182"/>
      <c r="Y1141" s="1182"/>
      <c r="Z1141" s="1166"/>
      <c r="AA1141" s="1166"/>
      <c r="AB1141" s="1182"/>
      <c r="AC1141" s="294"/>
      <c r="AD1141" s="294"/>
      <c r="AE1141" s="294"/>
      <c r="AF1141" s="294"/>
      <c r="AG1141" s="294"/>
      <c r="AH1141" s="294"/>
      <c r="AI1141" s="294"/>
      <c r="AJ1141" s="294"/>
    </row>
    <row r="1142" spans="2:36" x14ac:dyDescent="0.25">
      <c r="B1142" s="294"/>
      <c r="C1142" s="294"/>
      <c r="D1142" s="294"/>
      <c r="E1142" s="294"/>
      <c r="F1142" s="294"/>
      <c r="G1142" s="294"/>
      <c r="H1142" s="294"/>
      <c r="I1142" s="294"/>
      <c r="J1142" s="294"/>
      <c r="L1142" s="295"/>
      <c r="M1142" s="294"/>
      <c r="R1142" s="326"/>
      <c r="S1142" s="326"/>
      <c r="T1142" s="294"/>
      <c r="U1142" s="294"/>
      <c r="V1142" s="294"/>
      <c r="W1142" s="294"/>
      <c r="X1142" s="1182"/>
      <c r="Y1142" s="1182"/>
      <c r="Z1142" s="1166"/>
      <c r="AA1142" s="1166"/>
      <c r="AB1142" s="1182"/>
      <c r="AC1142" s="294"/>
      <c r="AD1142" s="294"/>
      <c r="AE1142" s="294"/>
      <c r="AF1142" s="294"/>
      <c r="AG1142" s="294"/>
      <c r="AH1142" s="294"/>
      <c r="AI1142" s="294"/>
      <c r="AJ1142" s="294"/>
    </row>
    <row r="1143" spans="2:36" x14ac:dyDescent="0.25">
      <c r="B1143" s="294"/>
      <c r="C1143" s="294"/>
      <c r="D1143" s="294"/>
      <c r="E1143" s="294"/>
      <c r="F1143" s="294"/>
      <c r="G1143" s="294"/>
      <c r="H1143" s="294"/>
      <c r="I1143" s="294"/>
      <c r="J1143" s="294"/>
      <c r="L1143" s="295"/>
      <c r="M1143" s="294"/>
      <c r="R1143" s="326"/>
      <c r="S1143" s="326"/>
      <c r="T1143" s="294"/>
      <c r="U1143" s="294"/>
      <c r="V1143" s="294"/>
      <c r="W1143" s="294"/>
      <c r="X1143" s="1182"/>
      <c r="Y1143" s="1182"/>
      <c r="Z1143" s="1166"/>
      <c r="AA1143" s="1166"/>
      <c r="AB1143" s="1182"/>
      <c r="AC1143" s="294"/>
      <c r="AD1143" s="294"/>
      <c r="AE1143" s="294"/>
      <c r="AF1143" s="294"/>
      <c r="AG1143" s="294"/>
      <c r="AH1143" s="294"/>
      <c r="AI1143" s="294"/>
      <c r="AJ1143" s="294"/>
    </row>
    <row r="1144" spans="2:36" x14ac:dyDescent="0.25">
      <c r="B1144" s="294"/>
      <c r="C1144" s="294"/>
      <c r="D1144" s="294"/>
      <c r="E1144" s="294"/>
      <c r="F1144" s="294"/>
      <c r="G1144" s="294"/>
      <c r="H1144" s="294"/>
      <c r="I1144" s="294"/>
      <c r="J1144" s="294"/>
      <c r="L1144" s="295"/>
      <c r="M1144" s="294"/>
      <c r="R1144" s="326"/>
      <c r="S1144" s="326"/>
      <c r="T1144" s="294"/>
      <c r="U1144" s="294"/>
      <c r="V1144" s="294"/>
      <c r="W1144" s="294"/>
      <c r="X1144" s="1182"/>
      <c r="Y1144" s="1182"/>
      <c r="Z1144" s="1166"/>
      <c r="AA1144" s="1166"/>
      <c r="AB1144" s="1182"/>
      <c r="AC1144" s="294"/>
      <c r="AD1144" s="294"/>
      <c r="AE1144" s="294"/>
      <c r="AF1144" s="294"/>
      <c r="AG1144" s="294"/>
      <c r="AH1144" s="294"/>
      <c r="AI1144" s="294"/>
      <c r="AJ1144" s="294"/>
    </row>
    <row r="1145" spans="2:36" x14ac:dyDescent="0.25">
      <c r="B1145" s="294"/>
      <c r="C1145" s="294"/>
      <c r="D1145" s="294"/>
      <c r="E1145" s="294"/>
      <c r="F1145" s="294"/>
      <c r="G1145" s="294"/>
      <c r="H1145" s="294"/>
      <c r="I1145" s="294"/>
      <c r="J1145" s="294"/>
      <c r="L1145" s="295"/>
      <c r="M1145" s="294"/>
      <c r="R1145" s="326"/>
      <c r="S1145" s="326"/>
      <c r="T1145" s="294"/>
      <c r="U1145" s="294"/>
      <c r="V1145" s="294"/>
      <c r="W1145" s="294"/>
      <c r="X1145" s="1182"/>
      <c r="Y1145" s="1182"/>
      <c r="Z1145" s="1166"/>
      <c r="AA1145" s="1166"/>
      <c r="AB1145" s="1182"/>
      <c r="AC1145" s="294"/>
      <c r="AD1145" s="294"/>
      <c r="AE1145" s="294"/>
      <c r="AF1145" s="294"/>
      <c r="AG1145" s="294"/>
      <c r="AH1145" s="294"/>
      <c r="AI1145" s="294"/>
      <c r="AJ1145" s="294"/>
    </row>
    <row r="1146" spans="2:36" x14ac:dyDescent="0.25">
      <c r="B1146" s="294"/>
      <c r="C1146" s="294"/>
      <c r="D1146" s="294"/>
      <c r="E1146" s="294"/>
      <c r="F1146" s="294"/>
      <c r="G1146" s="294"/>
      <c r="H1146" s="294"/>
      <c r="I1146" s="294"/>
      <c r="J1146" s="294"/>
      <c r="L1146" s="295"/>
      <c r="M1146" s="294"/>
      <c r="R1146" s="326"/>
      <c r="S1146" s="326"/>
      <c r="T1146" s="294"/>
      <c r="U1146" s="294"/>
      <c r="V1146" s="294"/>
      <c r="W1146" s="294"/>
      <c r="X1146" s="1182"/>
      <c r="Y1146" s="1182"/>
      <c r="Z1146" s="1166"/>
      <c r="AA1146" s="1166"/>
      <c r="AB1146" s="1182"/>
      <c r="AC1146" s="294"/>
      <c r="AD1146" s="294"/>
      <c r="AE1146" s="294"/>
      <c r="AF1146" s="294"/>
      <c r="AG1146" s="294"/>
      <c r="AH1146" s="294"/>
      <c r="AI1146" s="294"/>
      <c r="AJ1146" s="294"/>
    </row>
    <row r="1147" spans="2:36" x14ac:dyDescent="0.25">
      <c r="B1147" s="294"/>
      <c r="C1147" s="294"/>
      <c r="D1147" s="294"/>
      <c r="E1147" s="294"/>
      <c r="F1147" s="294"/>
      <c r="G1147" s="294"/>
      <c r="H1147" s="294"/>
      <c r="I1147" s="294"/>
      <c r="J1147" s="294"/>
      <c r="L1147" s="295"/>
      <c r="M1147" s="294"/>
      <c r="R1147" s="326"/>
      <c r="S1147" s="326"/>
      <c r="T1147" s="294"/>
      <c r="U1147" s="294"/>
      <c r="V1147" s="294"/>
      <c r="W1147" s="294"/>
      <c r="X1147" s="1182"/>
      <c r="Y1147" s="1182"/>
      <c r="Z1147" s="1166"/>
      <c r="AA1147" s="1166"/>
      <c r="AB1147" s="1182"/>
      <c r="AC1147" s="294"/>
      <c r="AD1147" s="294"/>
      <c r="AE1147" s="294"/>
      <c r="AF1147" s="294"/>
      <c r="AG1147" s="294"/>
      <c r="AH1147" s="294"/>
      <c r="AI1147" s="294"/>
      <c r="AJ1147" s="294"/>
    </row>
    <row r="1148" spans="2:36" x14ac:dyDescent="0.25">
      <c r="B1148" s="294"/>
      <c r="C1148" s="294"/>
      <c r="D1148" s="294"/>
      <c r="E1148" s="294"/>
      <c r="F1148" s="294"/>
      <c r="G1148" s="294"/>
      <c r="H1148" s="294"/>
      <c r="I1148" s="294"/>
      <c r="J1148" s="294"/>
      <c r="L1148" s="295"/>
      <c r="M1148" s="294"/>
      <c r="R1148" s="326"/>
      <c r="S1148" s="326"/>
      <c r="T1148" s="294"/>
      <c r="U1148" s="294"/>
      <c r="V1148" s="294"/>
      <c r="W1148" s="294"/>
      <c r="X1148" s="1182"/>
      <c r="Y1148" s="1182"/>
      <c r="Z1148" s="1166"/>
      <c r="AA1148" s="1166"/>
      <c r="AB1148" s="1182"/>
      <c r="AC1148" s="294"/>
      <c r="AD1148" s="294"/>
      <c r="AE1148" s="294"/>
      <c r="AF1148" s="294"/>
      <c r="AG1148" s="294"/>
      <c r="AH1148" s="294"/>
      <c r="AI1148" s="294"/>
      <c r="AJ1148" s="294"/>
    </row>
    <row r="1149" spans="2:36" x14ac:dyDescent="0.25">
      <c r="B1149" s="294"/>
      <c r="C1149" s="294"/>
      <c r="D1149" s="294"/>
      <c r="E1149" s="294"/>
      <c r="F1149" s="294"/>
      <c r="G1149" s="294"/>
      <c r="H1149" s="294"/>
      <c r="I1149" s="294"/>
      <c r="J1149" s="294"/>
      <c r="L1149" s="295"/>
      <c r="M1149" s="294"/>
      <c r="R1149" s="326"/>
      <c r="S1149" s="326"/>
      <c r="T1149" s="294"/>
      <c r="U1149" s="294"/>
      <c r="V1149" s="294"/>
      <c r="W1149" s="294"/>
      <c r="X1149" s="1182"/>
      <c r="Y1149" s="1182"/>
      <c r="Z1149" s="1166"/>
      <c r="AA1149" s="1166"/>
      <c r="AB1149" s="1182"/>
      <c r="AC1149" s="294"/>
      <c r="AD1149" s="294"/>
      <c r="AE1149" s="294"/>
      <c r="AF1149" s="294"/>
      <c r="AG1149" s="294"/>
      <c r="AH1149" s="294"/>
      <c r="AI1149" s="294"/>
      <c r="AJ1149" s="294"/>
    </row>
    <row r="1150" spans="2:36" x14ac:dyDescent="0.25">
      <c r="B1150" s="294"/>
      <c r="C1150" s="294"/>
      <c r="D1150" s="294"/>
      <c r="E1150" s="294"/>
      <c r="F1150" s="294"/>
      <c r="G1150" s="294"/>
      <c r="H1150" s="294"/>
      <c r="I1150" s="294"/>
      <c r="J1150" s="294"/>
      <c r="L1150" s="295"/>
      <c r="M1150" s="294"/>
      <c r="R1150" s="326"/>
      <c r="S1150" s="326"/>
      <c r="T1150" s="294"/>
      <c r="U1150" s="294"/>
      <c r="V1150" s="294"/>
      <c r="W1150" s="294"/>
      <c r="X1150" s="1182"/>
      <c r="Y1150" s="1182"/>
      <c r="Z1150" s="1166"/>
      <c r="AA1150" s="1166"/>
      <c r="AB1150" s="1182"/>
      <c r="AC1150" s="294"/>
      <c r="AD1150" s="294"/>
      <c r="AE1150" s="294"/>
      <c r="AF1150" s="294"/>
      <c r="AG1150" s="294"/>
      <c r="AH1150" s="294"/>
      <c r="AI1150" s="294"/>
      <c r="AJ1150" s="294"/>
    </row>
    <row r="1151" spans="2:36" x14ac:dyDescent="0.25">
      <c r="B1151" s="294"/>
      <c r="C1151" s="294"/>
      <c r="D1151" s="294"/>
      <c r="E1151" s="294"/>
      <c r="F1151" s="294"/>
      <c r="G1151" s="294"/>
      <c r="H1151" s="294"/>
      <c r="I1151" s="294"/>
      <c r="J1151" s="294"/>
      <c r="L1151" s="295"/>
      <c r="M1151" s="294"/>
      <c r="R1151" s="326"/>
      <c r="S1151" s="326"/>
      <c r="T1151" s="294"/>
      <c r="U1151" s="294"/>
      <c r="V1151" s="294"/>
      <c r="W1151" s="294"/>
      <c r="X1151" s="1182"/>
      <c r="Y1151" s="1182"/>
      <c r="Z1151" s="1166"/>
      <c r="AA1151" s="1166"/>
      <c r="AB1151" s="1182"/>
      <c r="AC1151" s="294"/>
      <c r="AD1151" s="294"/>
      <c r="AE1151" s="294"/>
      <c r="AF1151" s="294"/>
      <c r="AG1151" s="294"/>
      <c r="AH1151" s="294"/>
      <c r="AI1151" s="294"/>
      <c r="AJ1151" s="294"/>
    </row>
    <row r="1152" spans="2:36" x14ac:dyDescent="0.25">
      <c r="B1152" s="294"/>
      <c r="C1152" s="294"/>
      <c r="D1152" s="294"/>
      <c r="E1152" s="294"/>
      <c r="F1152" s="294"/>
      <c r="G1152" s="294"/>
      <c r="H1152" s="294"/>
      <c r="I1152" s="294"/>
      <c r="J1152" s="294"/>
      <c r="L1152" s="295"/>
      <c r="M1152" s="294"/>
      <c r="R1152" s="326"/>
      <c r="S1152" s="326"/>
      <c r="T1152" s="294"/>
      <c r="U1152" s="294"/>
      <c r="V1152" s="294"/>
      <c r="W1152" s="294"/>
      <c r="X1152" s="1182"/>
      <c r="Y1152" s="1182"/>
      <c r="Z1152" s="1166"/>
      <c r="AA1152" s="1166"/>
      <c r="AB1152" s="1182"/>
      <c r="AC1152" s="294"/>
      <c r="AD1152" s="294"/>
      <c r="AE1152" s="294"/>
      <c r="AF1152" s="294"/>
      <c r="AG1152" s="294"/>
      <c r="AH1152" s="294"/>
      <c r="AI1152" s="294"/>
      <c r="AJ1152" s="294"/>
    </row>
    <row r="1153" spans="2:36" x14ac:dyDescent="0.25">
      <c r="B1153" s="294"/>
      <c r="C1153" s="294"/>
      <c r="D1153" s="294"/>
      <c r="E1153" s="294"/>
      <c r="F1153" s="294"/>
      <c r="G1153" s="294"/>
      <c r="H1153" s="294"/>
      <c r="I1153" s="294"/>
      <c r="J1153" s="294"/>
      <c r="L1153" s="295"/>
      <c r="M1153" s="294"/>
      <c r="R1153" s="326"/>
      <c r="S1153" s="326"/>
      <c r="T1153" s="294"/>
      <c r="U1153" s="294"/>
      <c r="V1153" s="294"/>
      <c r="W1153" s="294"/>
      <c r="X1153" s="1182"/>
      <c r="Y1153" s="1182"/>
      <c r="Z1153" s="1166"/>
      <c r="AA1153" s="1166"/>
      <c r="AB1153" s="1182"/>
      <c r="AC1153" s="294"/>
      <c r="AD1153" s="294"/>
      <c r="AE1153" s="294"/>
      <c r="AF1153" s="294"/>
      <c r="AG1153" s="294"/>
      <c r="AH1153" s="294"/>
      <c r="AI1153" s="294"/>
      <c r="AJ1153" s="294"/>
    </row>
    <row r="1154" spans="2:36" x14ac:dyDescent="0.25">
      <c r="B1154" s="294"/>
      <c r="C1154" s="294"/>
      <c r="D1154" s="294"/>
      <c r="E1154" s="294"/>
      <c r="F1154" s="294"/>
      <c r="G1154" s="294"/>
      <c r="H1154" s="294"/>
      <c r="I1154" s="294"/>
      <c r="J1154" s="294"/>
      <c r="L1154" s="295"/>
      <c r="M1154" s="294"/>
      <c r="R1154" s="326"/>
      <c r="S1154" s="326"/>
      <c r="T1154" s="294"/>
      <c r="U1154" s="294"/>
      <c r="V1154" s="294"/>
      <c r="W1154" s="294"/>
      <c r="X1154" s="1182"/>
      <c r="Y1154" s="1182"/>
      <c r="Z1154" s="1166"/>
      <c r="AA1154" s="1166"/>
      <c r="AB1154" s="1182"/>
      <c r="AC1154" s="294"/>
      <c r="AD1154" s="294"/>
      <c r="AE1154" s="294"/>
      <c r="AF1154" s="294"/>
      <c r="AG1154" s="294"/>
      <c r="AH1154" s="294"/>
      <c r="AI1154" s="294"/>
      <c r="AJ1154" s="294"/>
    </row>
    <row r="1155" spans="2:36" x14ac:dyDescent="0.25">
      <c r="B1155" s="294"/>
      <c r="C1155" s="294"/>
      <c r="D1155" s="294"/>
      <c r="E1155" s="294"/>
      <c r="F1155" s="294"/>
      <c r="G1155" s="294"/>
      <c r="H1155" s="294"/>
      <c r="I1155" s="294"/>
      <c r="J1155" s="294"/>
      <c r="L1155" s="295"/>
      <c r="M1155" s="294"/>
      <c r="R1155" s="326"/>
      <c r="S1155" s="326"/>
      <c r="T1155" s="294"/>
      <c r="U1155" s="294"/>
      <c r="V1155" s="294"/>
      <c r="W1155" s="294"/>
      <c r="X1155" s="1182"/>
      <c r="Y1155" s="1182"/>
      <c r="Z1155" s="1166"/>
      <c r="AA1155" s="1166"/>
      <c r="AB1155" s="1182"/>
      <c r="AC1155" s="294"/>
      <c r="AD1155" s="294"/>
      <c r="AE1155" s="294"/>
      <c r="AF1155" s="294"/>
      <c r="AG1155" s="294"/>
      <c r="AH1155" s="294"/>
      <c r="AI1155" s="294"/>
      <c r="AJ1155" s="294"/>
    </row>
    <row r="1156" spans="2:36" x14ac:dyDescent="0.25">
      <c r="B1156" s="294"/>
      <c r="C1156" s="294"/>
      <c r="D1156" s="294"/>
      <c r="E1156" s="294"/>
      <c r="F1156" s="294"/>
      <c r="G1156" s="294"/>
      <c r="H1156" s="294"/>
      <c r="I1156" s="294"/>
      <c r="J1156" s="294"/>
      <c r="L1156" s="295"/>
      <c r="M1156" s="294"/>
      <c r="R1156" s="326"/>
      <c r="S1156" s="326"/>
      <c r="T1156" s="294"/>
      <c r="U1156" s="294"/>
      <c r="V1156" s="294"/>
      <c r="W1156" s="294"/>
      <c r="X1156" s="1182"/>
      <c r="Y1156" s="1182"/>
      <c r="Z1156" s="1166"/>
      <c r="AA1156" s="1166"/>
      <c r="AB1156" s="1182"/>
      <c r="AC1156" s="294"/>
      <c r="AD1156" s="294"/>
      <c r="AE1156" s="294"/>
      <c r="AF1156" s="294"/>
      <c r="AG1156" s="294"/>
      <c r="AH1156" s="294"/>
      <c r="AI1156" s="294"/>
      <c r="AJ1156" s="294"/>
    </row>
    <row r="1157" spans="2:36" x14ac:dyDescent="0.25">
      <c r="B1157" s="294"/>
      <c r="C1157" s="294"/>
      <c r="D1157" s="294"/>
      <c r="E1157" s="294"/>
      <c r="F1157" s="294"/>
      <c r="G1157" s="294"/>
      <c r="H1157" s="294"/>
      <c r="I1157" s="294"/>
      <c r="J1157" s="294"/>
      <c r="L1157" s="295"/>
      <c r="M1157" s="294"/>
      <c r="R1157" s="326"/>
      <c r="S1157" s="326"/>
      <c r="T1157" s="294"/>
      <c r="U1157" s="294"/>
      <c r="V1157" s="294"/>
      <c r="W1157" s="294"/>
      <c r="X1157" s="1182"/>
      <c r="Y1157" s="1182"/>
      <c r="Z1157" s="1166"/>
      <c r="AA1157" s="1166"/>
      <c r="AB1157" s="1182"/>
      <c r="AC1157" s="294"/>
      <c r="AD1157" s="294"/>
      <c r="AE1157" s="294"/>
      <c r="AF1157" s="294"/>
      <c r="AG1157" s="294"/>
      <c r="AH1157" s="294"/>
      <c r="AI1157" s="294"/>
      <c r="AJ1157" s="294"/>
    </row>
    <row r="1158" spans="2:36" x14ac:dyDescent="0.25">
      <c r="B1158" s="294"/>
      <c r="C1158" s="294"/>
      <c r="D1158" s="294"/>
      <c r="E1158" s="294"/>
      <c r="F1158" s="294"/>
      <c r="G1158" s="294"/>
      <c r="H1158" s="294"/>
      <c r="I1158" s="294"/>
      <c r="J1158" s="294"/>
      <c r="L1158" s="295"/>
      <c r="M1158" s="294"/>
      <c r="R1158" s="326"/>
      <c r="S1158" s="326"/>
      <c r="T1158" s="294"/>
      <c r="U1158" s="294"/>
      <c r="V1158" s="294"/>
      <c r="W1158" s="294"/>
      <c r="X1158" s="1182"/>
      <c r="Y1158" s="1182"/>
      <c r="Z1158" s="1166"/>
      <c r="AA1158" s="1166"/>
      <c r="AB1158" s="1182"/>
      <c r="AC1158" s="294"/>
      <c r="AD1158" s="294"/>
      <c r="AE1158" s="294"/>
      <c r="AF1158" s="294"/>
      <c r="AG1158" s="294"/>
      <c r="AH1158" s="294"/>
      <c r="AI1158" s="294"/>
      <c r="AJ1158" s="294"/>
    </row>
    <row r="1159" spans="2:36" x14ac:dyDescent="0.25">
      <c r="B1159" s="294"/>
      <c r="C1159" s="294"/>
      <c r="D1159" s="294"/>
      <c r="E1159" s="294"/>
      <c r="F1159" s="294"/>
      <c r="G1159" s="294"/>
      <c r="H1159" s="294"/>
      <c r="I1159" s="294"/>
      <c r="J1159" s="294"/>
      <c r="L1159" s="295"/>
      <c r="M1159" s="294"/>
      <c r="R1159" s="326"/>
      <c r="S1159" s="326"/>
      <c r="T1159" s="294"/>
      <c r="U1159" s="294"/>
      <c r="V1159" s="294"/>
      <c r="W1159" s="294"/>
      <c r="X1159" s="1182"/>
      <c r="Y1159" s="1182"/>
      <c r="Z1159" s="1166"/>
      <c r="AA1159" s="1166"/>
      <c r="AB1159" s="1182"/>
      <c r="AC1159" s="294"/>
      <c r="AD1159" s="294"/>
      <c r="AE1159" s="294"/>
      <c r="AF1159" s="294"/>
      <c r="AG1159" s="294"/>
      <c r="AH1159" s="294"/>
      <c r="AI1159" s="294"/>
      <c r="AJ1159" s="294"/>
    </row>
    <row r="1160" spans="2:36" x14ac:dyDescent="0.25">
      <c r="B1160" s="294"/>
      <c r="C1160" s="294"/>
      <c r="D1160" s="294"/>
      <c r="E1160" s="294"/>
      <c r="F1160" s="294"/>
      <c r="G1160" s="294"/>
      <c r="H1160" s="294"/>
      <c r="I1160" s="294"/>
      <c r="J1160" s="294"/>
      <c r="L1160" s="295"/>
      <c r="M1160" s="294"/>
      <c r="R1160" s="326"/>
      <c r="S1160" s="326"/>
      <c r="T1160" s="294"/>
      <c r="U1160" s="294"/>
      <c r="V1160" s="294"/>
      <c r="W1160" s="294"/>
      <c r="X1160" s="1182"/>
      <c r="Y1160" s="1182"/>
      <c r="Z1160" s="1166"/>
      <c r="AA1160" s="1166"/>
      <c r="AB1160" s="1182"/>
      <c r="AC1160" s="294"/>
      <c r="AD1160" s="294"/>
      <c r="AE1160" s="294"/>
      <c r="AF1160" s="294"/>
      <c r="AG1160" s="294"/>
      <c r="AH1160" s="294"/>
      <c r="AI1160" s="294"/>
      <c r="AJ1160" s="294"/>
    </row>
    <row r="1161" spans="2:36" x14ac:dyDescent="0.25">
      <c r="B1161" s="294"/>
      <c r="C1161" s="294"/>
      <c r="D1161" s="294"/>
      <c r="E1161" s="294"/>
      <c r="F1161" s="294"/>
      <c r="G1161" s="294"/>
      <c r="H1161" s="294"/>
      <c r="I1161" s="294"/>
      <c r="J1161" s="294"/>
      <c r="L1161" s="295"/>
      <c r="M1161" s="294"/>
      <c r="R1161" s="326"/>
      <c r="S1161" s="326"/>
      <c r="T1161" s="294"/>
      <c r="U1161" s="294"/>
      <c r="V1161" s="294"/>
      <c r="W1161" s="294"/>
      <c r="X1161" s="1182"/>
      <c r="Y1161" s="1182"/>
      <c r="Z1161" s="1166"/>
      <c r="AA1161" s="1166"/>
      <c r="AB1161" s="1182"/>
      <c r="AC1161" s="294"/>
      <c r="AD1161" s="294"/>
      <c r="AE1161" s="294"/>
      <c r="AF1161" s="294"/>
      <c r="AG1161" s="294"/>
      <c r="AH1161" s="294"/>
      <c r="AI1161" s="294"/>
      <c r="AJ1161" s="294"/>
    </row>
    <row r="1162" spans="2:36" x14ac:dyDescent="0.25">
      <c r="B1162" s="294"/>
      <c r="C1162" s="294"/>
      <c r="D1162" s="294"/>
      <c r="E1162" s="294"/>
      <c r="F1162" s="294"/>
      <c r="G1162" s="294"/>
      <c r="H1162" s="294"/>
      <c r="I1162" s="294"/>
      <c r="J1162" s="294"/>
      <c r="L1162" s="295"/>
      <c r="M1162" s="294"/>
      <c r="R1162" s="326"/>
      <c r="S1162" s="326"/>
      <c r="T1162" s="294"/>
      <c r="U1162" s="294"/>
      <c r="V1162" s="294"/>
      <c r="W1162" s="294"/>
      <c r="X1162" s="1182"/>
      <c r="Y1162" s="1182"/>
      <c r="Z1162" s="1166"/>
      <c r="AA1162" s="1166"/>
      <c r="AB1162" s="1182"/>
      <c r="AC1162" s="294"/>
      <c r="AD1162" s="294"/>
      <c r="AE1162" s="294"/>
      <c r="AF1162" s="294"/>
      <c r="AG1162" s="294"/>
      <c r="AH1162" s="294"/>
      <c r="AI1162" s="294"/>
      <c r="AJ1162" s="294"/>
    </row>
    <row r="1163" spans="2:36" x14ac:dyDescent="0.25">
      <c r="B1163" s="294"/>
      <c r="C1163" s="294"/>
      <c r="D1163" s="294"/>
      <c r="E1163" s="294"/>
      <c r="F1163" s="294"/>
      <c r="G1163" s="294"/>
      <c r="H1163" s="294"/>
      <c r="I1163" s="294"/>
      <c r="J1163" s="294"/>
      <c r="L1163" s="295"/>
      <c r="M1163" s="294"/>
      <c r="R1163" s="326"/>
      <c r="S1163" s="326"/>
      <c r="T1163" s="294"/>
      <c r="U1163" s="294"/>
      <c r="V1163" s="294"/>
      <c r="W1163" s="294"/>
      <c r="X1163" s="1182"/>
      <c r="Y1163" s="1182"/>
      <c r="Z1163" s="1166"/>
      <c r="AA1163" s="1166"/>
      <c r="AB1163" s="1182"/>
      <c r="AC1163" s="294"/>
      <c r="AD1163" s="294"/>
      <c r="AE1163" s="294"/>
      <c r="AF1163" s="294"/>
      <c r="AG1163" s="294"/>
      <c r="AH1163" s="294"/>
      <c r="AI1163" s="294"/>
      <c r="AJ1163" s="294"/>
    </row>
    <row r="1164" spans="2:36" x14ac:dyDescent="0.25">
      <c r="B1164" s="294"/>
      <c r="C1164" s="294"/>
      <c r="D1164" s="294"/>
      <c r="E1164" s="294"/>
      <c r="F1164" s="294"/>
      <c r="G1164" s="294"/>
      <c r="H1164" s="294"/>
      <c r="I1164" s="294"/>
      <c r="J1164" s="294"/>
      <c r="L1164" s="295"/>
      <c r="M1164" s="294"/>
      <c r="R1164" s="326"/>
      <c r="S1164" s="326"/>
      <c r="T1164" s="294"/>
      <c r="U1164" s="294"/>
      <c r="V1164" s="294"/>
      <c r="W1164" s="294"/>
      <c r="X1164" s="1182"/>
      <c r="Y1164" s="1182"/>
      <c r="Z1164" s="1166"/>
      <c r="AA1164" s="1166"/>
      <c r="AB1164" s="1182"/>
      <c r="AC1164" s="294"/>
      <c r="AD1164" s="294"/>
      <c r="AE1164" s="294"/>
      <c r="AF1164" s="294"/>
      <c r="AG1164" s="294"/>
      <c r="AH1164" s="294"/>
      <c r="AI1164" s="294"/>
      <c r="AJ1164" s="294"/>
    </row>
    <row r="1165" spans="2:36" x14ac:dyDescent="0.25">
      <c r="B1165" s="294"/>
      <c r="C1165" s="294"/>
      <c r="D1165" s="294"/>
      <c r="E1165" s="294"/>
      <c r="F1165" s="294"/>
      <c r="G1165" s="294"/>
      <c r="H1165" s="294"/>
      <c r="I1165" s="294"/>
      <c r="J1165" s="294"/>
      <c r="L1165" s="295"/>
      <c r="M1165" s="294"/>
      <c r="R1165" s="326"/>
      <c r="S1165" s="326"/>
      <c r="T1165" s="294"/>
      <c r="U1165" s="294"/>
      <c r="V1165" s="294"/>
      <c r="W1165" s="294"/>
      <c r="X1165" s="1182"/>
      <c r="Y1165" s="1182"/>
      <c r="Z1165" s="1166"/>
      <c r="AA1165" s="1166"/>
      <c r="AB1165" s="1182"/>
      <c r="AC1165" s="294"/>
      <c r="AD1165" s="294"/>
      <c r="AE1165" s="294"/>
      <c r="AF1165" s="294"/>
      <c r="AG1165" s="294"/>
      <c r="AH1165" s="294"/>
      <c r="AI1165" s="294"/>
      <c r="AJ1165" s="294"/>
    </row>
    <row r="1166" spans="2:36" x14ac:dyDescent="0.25">
      <c r="B1166" s="294"/>
      <c r="C1166" s="294"/>
      <c r="D1166" s="294"/>
      <c r="E1166" s="294"/>
      <c r="F1166" s="294"/>
      <c r="G1166" s="294"/>
      <c r="H1166" s="294"/>
      <c r="I1166" s="294"/>
      <c r="J1166" s="294"/>
      <c r="L1166" s="295"/>
      <c r="M1166" s="294"/>
      <c r="R1166" s="326"/>
      <c r="S1166" s="326"/>
      <c r="T1166" s="294"/>
      <c r="U1166" s="294"/>
      <c r="V1166" s="294"/>
      <c r="W1166" s="294"/>
      <c r="X1166" s="1182"/>
      <c r="Y1166" s="1182"/>
      <c r="Z1166" s="1166"/>
      <c r="AA1166" s="1166"/>
      <c r="AB1166" s="1182"/>
      <c r="AC1166" s="294"/>
      <c r="AD1166" s="294"/>
      <c r="AE1166" s="294"/>
      <c r="AF1166" s="294"/>
      <c r="AG1166" s="294"/>
      <c r="AH1166" s="294"/>
      <c r="AI1166" s="294"/>
      <c r="AJ1166" s="294"/>
    </row>
    <row r="1167" spans="2:36" x14ac:dyDescent="0.25">
      <c r="B1167" s="294"/>
      <c r="C1167" s="294"/>
      <c r="D1167" s="294"/>
      <c r="E1167" s="294"/>
      <c r="F1167" s="294"/>
      <c r="G1167" s="294"/>
      <c r="H1167" s="294"/>
      <c r="I1167" s="294"/>
      <c r="J1167" s="294"/>
      <c r="L1167" s="295"/>
      <c r="M1167" s="294"/>
      <c r="R1167" s="326"/>
      <c r="S1167" s="326"/>
      <c r="T1167" s="294"/>
      <c r="U1167" s="294"/>
      <c r="V1167" s="294"/>
      <c r="W1167" s="294"/>
      <c r="X1167" s="1182"/>
      <c r="Y1167" s="1182"/>
      <c r="Z1167" s="1166"/>
      <c r="AA1167" s="1166"/>
      <c r="AB1167" s="1182"/>
      <c r="AC1167" s="294"/>
      <c r="AD1167" s="294"/>
      <c r="AE1167" s="294"/>
      <c r="AF1167" s="294"/>
      <c r="AG1167" s="294"/>
      <c r="AH1167" s="294"/>
      <c r="AI1167" s="294"/>
      <c r="AJ1167" s="294"/>
    </row>
    <row r="1168" spans="2:36" x14ac:dyDescent="0.25">
      <c r="B1168" s="294"/>
      <c r="C1168" s="294"/>
      <c r="D1168" s="294"/>
      <c r="E1168" s="294"/>
      <c r="F1168" s="294"/>
      <c r="G1168" s="294"/>
      <c r="H1168" s="294"/>
      <c r="I1168" s="294"/>
      <c r="J1168" s="294"/>
      <c r="L1168" s="295"/>
      <c r="M1168" s="294"/>
      <c r="R1168" s="326"/>
      <c r="S1168" s="326"/>
      <c r="T1168" s="294"/>
      <c r="U1168" s="294"/>
      <c r="V1168" s="294"/>
      <c r="W1168" s="294"/>
      <c r="X1168" s="1182"/>
      <c r="Y1168" s="1182"/>
      <c r="Z1168" s="1166"/>
      <c r="AA1168" s="1166"/>
      <c r="AB1168" s="1182"/>
      <c r="AC1168" s="294"/>
      <c r="AD1168" s="294"/>
      <c r="AE1168" s="294"/>
      <c r="AF1168" s="294"/>
      <c r="AG1168" s="294"/>
      <c r="AH1168" s="294"/>
      <c r="AI1168" s="294"/>
      <c r="AJ1168" s="294"/>
    </row>
    <row r="1169" spans="2:36" x14ac:dyDescent="0.25">
      <c r="B1169" s="294"/>
      <c r="C1169" s="294"/>
      <c r="D1169" s="294"/>
      <c r="E1169" s="294"/>
      <c r="F1169" s="294"/>
      <c r="G1169" s="294"/>
      <c r="H1169" s="294"/>
      <c r="I1169" s="294"/>
      <c r="J1169" s="294"/>
      <c r="L1169" s="295"/>
      <c r="M1169" s="294"/>
      <c r="R1169" s="326"/>
      <c r="S1169" s="326"/>
      <c r="T1169" s="294"/>
      <c r="U1169" s="294"/>
      <c r="V1169" s="294"/>
      <c r="W1169" s="294"/>
      <c r="X1169" s="1182"/>
      <c r="Y1169" s="1182"/>
      <c r="Z1169" s="1166"/>
      <c r="AA1169" s="1166"/>
      <c r="AB1169" s="1182"/>
      <c r="AC1169" s="294"/>
      <c r="AD1169" s="294"/>
      <c r="AE1169" s="294"/>
      <c r="AF1169" s="294"/>
      <c r="AG1169" s="294"/>
      <c r="AH1169" s="294"/>
      <c r="AI1169" s="294"/>
      <c r="AJ1169" s="294"/>
    </row>
    <row r="1170" spans="2:36" x14ac:dyDescent="0.25">
      <c r="B1170" s="294"/>
      <c r="C1170" s="294"/>
      <c r="D1170" s="294"/>
      <c r="E1170" s="294"/>
      <c r="F1170" s="294"/>
      <c r="G1170" s="294"/>
      <c r="H1170" s="294"/>
      <c r="I1170" s="294"/>
      <c r="J1170" s="294"/>
      <c r="L1170" s="295"/>
      <c r="M1170" s="294"/>
      <c r="R1170" s="326"/>
      <c r="S1170" s="326"/>
      <c r="T1170" s="294"/>
      <c r="U1170" s="294"/>
      <c r="V1170" s="294"/>
      <c r="W1170" s="294"/>
      <c r="X1170" s="1182"/>
      <c r="Y1170" s="1182"/>
      <c r="Z1170" s="1166"/>
      <c r="AA1170" s="1166"/>
      <c r="AB1170" s="1182"/>
      <c r="AC1170" s="294"/>
      <c r="AD1170" s="294"/>
      <c r="AE1170" s="294"/>
      <c r="AF1170" s="294"/>
      <c r="AG1170" s="294"/>
      <c r="AH1170" s="294"/>
      <c r="AI1170" s="294"/>
      <c r="AJ1170" s="294"/>
    </row>
    <row r="1171" spans="2:36" x14ac:dyDescent="0.25">
      <c r="B1171" s="294"/>
      <c r="C1171" s="294"/>
      <c r="D1171" s="294"/>
      <c r="E1171" s="294"/>
      <c r="F1171" s="294"/>
      <c r="G1171" s="294"/>
      <c r="H1171" s="294"/>
      <c r="I1171" s="294"/>
      <c r="J1171" s="294"/>
      <c r="L1171" s="295"/>
      <c r="M1171" s="294"/>
      <c r="R1171" s="326"/>
      <c r="S1171" s="326"/>
      <c r="T1171" s="294"/>
      <c r="U1171" s="294"/>
      <c r="V1171" s="294"/>
      <c r="W1171" s="294"/>
      <c r="X1171" s="1182"/>
      <c r="Y1171" s="1182"/>
      <c r="Z1171" s="1166"/>
      <c r="AA1171" s="1166"/>
      <c r="AB1171" s="1182"/>
      <c r="AC1171" s="294"/>
      <c r="AD1171" s="294"/>
      <c r="AE1171" s="294"/>
      <c r="AF1171" s="294"/>
      <c r="AG1171" s="294"/>
      <c r="AH1171" s="294"/>
      <c r="AI1171" s="294"/>
      <c r="AJ1171" s="294"/>
    </row>
    <row r="1172" spans="2:36" x14ac:dyDescent="0.25">
      <c r="B1172" s="294"/>
      <c r="C1172" s="294"/>
      <c r="D1172" s="294"/>
      <c r="E1172" s="294"/>
      <c r="F1172" s="294"/>
      <c r="G1172" s="294"/>
      <c r="H1172" s="294"/>
      <c r="I1172" s="294"/>
      <c r="J1172" s="294"/>
      <c r="L1172" s="295"/>
      <c r="M1172" s="294"/>
      <c r="R1172" s="326"/>
      <c r="S1172" s="326"/>
      <c r="T1172" s="294"/>
      <c r="U1172" s="294"/>
      <c r="V1172" s="294"/>
      <c r="W1172" s="294"/>
      <c r="X1172" s="1182"/>
      <c r="Y1172" s="1182"/>
      <c r="Z1172" s="1166"/>
      <c r="AA1172" s="1166"/>
      <c r="AB1172" s="1182"/>
      <c r="AC1172" s="294"/>
      <c r="AD1172" s="294"/>
      <c r="AE1172" s="294"/>
      <c r="AF1172" s="294"/>
      <c r="AG1172" s="294"/>
      <c r="AH1172" s="294"/>
      <c r="AI1172" s="294"/>
      <c r="AJ1172" s="294"/>
    </row>
    <row r="1173" spans="2:36" x14ac:dyDescent="0.25">
      <c r="B1173" s="294"/>
      <c r="C1173" s="294"/>
      <c r="D1173" s="294"/>
      <c r="E1173" s="294"/>
      <c r="F1173" s="294"/>
      <c r="G1173" s="294"/>
      <c r="H1173" s="294"/>
      <c r="I1173" s="294"/>
      <c r="J1173" s="294"/>
      <c r="L1173" s="295"/>
      <c r="M1173" s="294"/>
      <c r="R1173" s="326"/>
      <c r="S1173" s="326"/>
      <c r="T1173" s="294"/>
      <c r="U1173" s="294"/>
      <c r="V1173" s="294"/>
      <c r="W1173" s="294"/>
      <c r="X1173" s="1182"/>
      <c r="Y1173" s="1182"/>
      <c r="Z1173" s="1166"/>
      <c r="AA1173" s="1166"/>
      <c r="AB1173" s="1182"/>
      <c r="AC1173" s="294"/>
      <c r="AD1173" s="294"/>
      <c r="AE1173" s="294"/>
      <c r="AF1173" s="294"/>
      <c r="AG1173" s="294"/>
      <c r="AH1173" s="294"/>
      <c r="AI1173" s="294"/>
      <c r="AJ1173" s="294"/>
    </row>
    <row r="1174" spans="2:36" x14ac:dyDescent="0.25">
      <c r="B1174" s="294"/>
      <c r="C1174" s="294"/>
      <c r="D1174" s="294"/>
      <c r="E1174" s="294"/>
      <c r="F1174" s="294"/>
      <c r="G1174" s="294"/>
      <c r="H1174" s="294"/>
      <c r="I1174" s="294"/>
      <c r="J1174" s="294"/>
      <c r="L1174" s="295"/>
      <c r="M1174" s="294"/>
      <c r="R1174" s="326"/>
      <c r="S1174" s="326"/>
      <c r="T1174" s="294"/>
      <c r="U1174" s="294"/>
      <c r="V1174" s="294"/>
      <c r="W1174" s="294"/>
      <c r="X1174" s="1182"/>
      <c r="Y1174" s="1182"/>
      <c r="Z1174" s="1166"/>
      <c r="AA1174" s="1166"/>
      <c r="AB1174" s="1182"/>
      <c r="AC1174" s="294"/>
      <c r="AD1174" s="294"/>
      <c r="AE1174" s="294"/>
      <c r="AF1174" s="294"/>
      <c r="AG1174" s="294"/>
      <c r="AH1174" s="294"/>
      <c r="AI1174" s="294"/>
      <c r="AJ1174" s="294"/>
    </row>
    <row r="1175" spans="2:36" x14ac:dyDescent="0.25">
      <c r="B1175" s="294"/>
      <c r="C1175" s="294"/>
      <c r="D1175" s="294"/>
      <c r="E1175" s="294"/>
      <c r="F1175" s="294"/>
      <c r="G1175" s="294"/>
      <c r="H1175" s="294"/>
      <c r="I1175" s="294"/>
      <c r="J1175" s="294"/>
      <c r="L1175" s="295"/>
      <c r="M1175" s="294"/>
      <c r="R1175" s="326"/>
      <c r="S1175" s="326"/>
      <c r="T1175" s="294"/>
      <c r="U1175" s="294"/>
      <c r="V1175" s="294"/>
      <c r="W1175" s="294"/>
      <c r="X1175" s="1182"/>
      <c r="Y1175" s="1182"/>
      <c r="Z1175" s="1166"/>
      <c r="AA1175" s="1166"/>
      <c r="AB1175" s="1182"/>
      <c r="AC1175" s="294"/>
      <c r="AD1175" s="294"/>
      <c r="AE1175" s="294"/>
      <c r="AF1175" s="294"/>
      <c r="AG1175" s="294"/>
      <c r="AH1175" s="294"/>
      <c r="AI1175" s="294"/>
      <c r="AJ1175" s="294"/>
    </row>
    <row r="1176" spans="2:36" x14ac:dyDescent="0.25">
      <c r="B1176" s="294"/>
      <c r="C1176" s="294"/>
      <c r="D1176" s="294"/>
      <c r="E1176" s="294"/>
      <c r="F1176" s="294"/>
      <c r="G1176" s="294"/>
      <c r="H1176" s="294"/>
      <c r="I1176" s="294"/>
      <c r="J1176" s="294"/>
      <c r="L1176" s="295"/>
      <c r="M1176" s="294"/>
      <c r="R1176" s="326"/>
      <c r="S1176" s="326"/>
      <c r="T1176" s="294"/>
      <c r="U1176" s="294"/>
      <c r="V1176" s="294"/>
      <c r="W1176" s="294"/>
      <c r="X1176" s="1182"/>
      <c r="Y1176" s="1182"/>
      <c r="Z1176" s="1166"/>
      <c r="AA1176" s="1166"/>
      <c r="AB1176" s="1182"/>
      <c r="AC1176" s="294"/>
      <c r="AD1176" s="294"/>
      <c r="AE1176" s="294"/>
      <c r="AF1176" s="294"/>
      <c r="AG1176" s="294"/>
      <c r="AH1176" s="294"/>
      <c r="AI1176" s="294"/>
      <c r="AJ1176" s="294"/>
    </row>
    <row r="1177" spans="2:36" x14ac:dyDescent="0.25">
      <c r="B1177" s="294"/>
      <c r="C1177" s="294"/>
      <c r="D1177" s="294"/>
      <c r="E1177" s="294"/>
      <c r="F1177" s="294"/>
      <c r="G1177" s="294"/>
      <c r="H1177" s="294"/>
      <c r="I1177" s="294"/>
      <c r="J1177" s="294"/>
      <c r="L1177" s="295"/>
      <c r="M1177" s="294"/>
      <c r="R1177" s="326"/>
      <c r="S1177" s="326"/>
      <c r="T1177" s="294"/>
      <c r="U1177" s="294"/>
      <c r="V1177" s="294"/>
      <c r="W1177" s="294"/>
      <c r="X1177" s="1182"/>
      <c r="Y1177" s="1182"/>
      <c r="Z1177" s="1166"/>
      <c r="AA1177" s="1166"/>
      <c r="AB1177" s="1182"/>
      <c r="AC1177" s="294"/>
      <c r="AD1177" s="294"/>
      <c r="AE1177" s="294"/>
      <c r="AF1177" s="294"/>
      <c r="AG1177" s="294"/>
      <c r="AH1177" s="294"/>
      <c r="AI1177" s="294"/>
      <c r="AJ1177" s="294"/>
    </row>
    <row r="1178" spans="2:36" x14ac:dyDescent="0.25">
      <c r="B1178" s="294"/>
      <c r="C1178" s="294"/>
      <c r="D1178" s="294"/>
      <c r="E1178" s="294"/>
      <c r="F1178" s="294"/>
      <c r="G1178" s="294"/>
      <c r="H1178" s="294"/>
      <c r="I1178" s="294"/>
      <c r="J1178" s="294"/>
      <c r="L1178" s="295"/>
      <c r="M1178" s="294"/>
      <c r="R1178" s="326"/>
      <c r="S1178" s="326"/>
      <c r="T1178" s="294"/>
      <c r="U1178" s="294"/>
      <c r="V1178" s="294"/>
      <c r="W1178" s="294"/>
      <c r="X1178" s="1182"/>
      <c r="Y1178" s="1182"/>
      <c r="Z1178" s="1166"/>
      <c r="AA1178" s="1166"/>
      <c r="AB1178" s="1182"/>
      <c r="AC1178" s="294"/>
      <c r="AD1178" s="294"/>
      <c r="AE1178" s="294"/>
      <c r="AF1178" s="294"/>
      <c r="AG1178" s="294"/>
      <c r="AH1178" s="294"/>
      <c r="AI1178" s="294"/>
      <c r="AJ1178" s="294"/>
    </row>
    <row r="1179" spans="2:36" x14ac:dyDescent="0.25">
      <c r="B1179" s="294"/>
      <c r="C1179" s="294"/>
      <c r="D1179" s="294"/>
      <c r="E1179" s="294"/>
      <c r="F1179" s="294"/>
      <c r="G1179" s="294"/>
      <c r="H1179" s="294"/>
      <c r="I1179" s="294"/>
      <c r="J1179" s="294"/>
      <c r="L1179" s="295"/>
      <c r="M1179" s="294"/>
      <c r="R1179" s="326"/>
      <c r="S1179" s="326"/>
      <c r="T1179" s="294"/>
      <c r="U1179" s="294"/>
      <c r="V1179" s="294"/>
      <c r="W1179" s="294"/>
      <c r="X1179" s="1182"/>
      <c r="Y1179" s="1182"/>
      <c r="Z1179" s="1166"/>
      <c r="AA1179" s="1166"/>
      <c r="AB1179" s="1182"/>
      <c r="AC1179" s="294"/>
      <c r="AD1179" s="294"/>
      <c r="AE1179" s="294"/>
      <c r="AF1179" s="294"/>
      <c r="AG1179" s="294"/>
      <c r="AH1179" s="294"/>
      <c r="AI1179" s="294"/>
      <c r="AJ1179" s="294"/>
    </row>
    <row r="1180" spans="2:36" x14ac:dyDescent="0.25">
      <c r="B1180" s="294"/>
      <c r="C1180" s="294"/>
      <c r="D1180" s="294"/>
      <c r="E1180" s="294"/>
      <c r="F1180" s="294"/>
      <c r="G1180" s="294"/>
      <c r="H1180" s="294"/>
      <c r="I1180" s="294"/>
      <c r="J1180" s="294"/>
      <c r="L1180" s="295"/>
      <c r="M1180" s="294"/>
      <c r="R1180" s="326"/>
      <c r="S1180" s="326"/>
      <c r="T1180" s="294"/>
      <c r="U1180" s="294"/>
      <c r="V1180" s="294"/>
      <c r="W1180" s="294"/>
      <c r="X1180" s="1182"/>
      <c r="Y1180" s="1182"/>
      <c r="Z1180" s="1166"/>
      <c r="AA1180" s="1166"/>
      <c r="AB1180" s="1182"/>
      <c r="AC1180" s="294"/>
      <c r="AD1180" s="294"/>
      <c r="AE1180" s="294"/>
      <c r="AF1180" s="294"/>
      <c r="AG1180" s="294"/>
      <c r="AH1180" s="294"/>
      <c r="AI1180" s="294"/>
      <c r="AJ1180" s="294"/>
    </row>
    <row r="1181" spans="2:36" x14ac:dyDescent="0.25">
      <c r="B1181" s="294"/>
      <c r="C1181" s="294"/>
      <c r="D1181" s="294"/>
      <c r="E1181" s="294"/>
      <c r="F1181" s="294"/>
      <c r="G1181" s="294"/>
      <c r="H1181" s="294"/>
      <c r="I1181" s="294"/>
      <c r="J1181" s="294"/>
      <c r="L1181" s="295"/>
      <c r="M1181" s="294"/>
      <c r="R1181" s="326"/>
      <c r="S1181" s="326"/>
      <c r="T1181" s="294"/>
      <c r="U1181" s="294"/>
      <c r="V1181" s="294"/>
      <c r="W1181" s="294"/>
      <c r="X1181" s="1182"/>
      <c r="Y1181" s="1182"/>
      <c r="Z1181" s="1166"/>
      <c r="AA1181" s="1166"/>
      <c r="AB1181" s="1182"/>
      <c r="AC1181" s="294"/>
      <c r="AD1181" s="294"/>
      <c r="AE1181" s="294"/>
      <c r="AF1181" s="294"/>
      <c r="AG1181" s="294"/>
      <c r="AH1181" s="294"/>
      <c r="AI1181" s="294"/>
      <c r="AJ1181" s="294"/>
    </row>
    <row r="1182" spans="2:36" x14ac:dyDescent="0.25">
      <c r="B1182" s="294"/>
      <c r="C1182" s="294"/>
      <c r="D1182" s="294"/>
      <c r="E1182" s="294"/>
      <c r="F1182" s="294"/>
      <c r="G1182" s="294"/>
      <c r="H1182" s="294"/>
      <c r="I1182" s="294"/>
      <c r="J1182" s="294"/>
      <c r="L1182" s="295"/>
      <c r="M1182" s="294"/>
      <c r="R1182" s="326"/>
      <c r="S1182" s="326"/>
      <c r="T1182" s="294"/>
      <c r="U1182" s="294"/>
      <c r="V1182" s="294"/>
      <c r="W1182" s="294"/>
      <c r="X1182" s="1182"/>
      <c r="Y1182" s="1182"/>
      <c r="Z1182" s="1166"/>
      <c r="AA1182" s="1166"/>
      <c r="AB1182" s="1182"/>
      <c r="AC1182" s="294"/>
      <c r="AD1182" s="294"/>
      <c r="AE1182" s="294"/>
      <c r="AF1182" s="294"/>
      <c r="AG1182" s="294"/>
      <c r="AH1182" s="294"/>
      <c r="AI1182" s="294"/>
      <c r="AJ1182" s="294"/>
    </row>
    <row r="1183" spans="2:36" x14ac:dyDescent="0.25">
      <c r="B1183" s="294"/>
      <c r="C1183" s="294"/>
      <c r="D1183" s="294"/>
      <c r="E1183" s="294"/>
      <c r="F1183" s="294"/>
      <c r="G1183" s="294"/>
      <c r="H1183" s="294"/>
      <c r="I1183" s="294"/>
      <c r="J1183" s="294"/>
      <c r="L1183" s="295"/>
      <c r="M1183" s="294"/>
      <c r="R1183" s="326"/>
      <c r="S1183" s="326"/>
      <c r="T1183" s="294"/>
      <c r="U1183" s="294"/>
      <c r="V1183" s="294"/>
      <c r="W1183" s="294"/>
      <c r="X1183" s="1182"/>
      <c r="Y1183" s="1182"/>
      <c r="Z1183" s="1166"/>
      <c r="AA1183" s="1166"/>
      <c r="AB1183" s="1182"/>
      <c r="AC1183" s="294"/>
      <c r="AD1183" s="294"/>
      <c r="AE1183" s="294"/>
      <c r="AF1183" s="294"/>
      <c r="AG1183" s="294"/>
      <c r="AH1183" s="294"/>
      <c r="AI1183" s="294"/>
      <c r="AJ1183" s="294"/>
    </row>
    <row r="1184" spans="2:36" x14ac:dyDescent="0.25">
      <c r="B1184" s="294"/>
      <c r="C1184" s="294"/>
      <c r="D1184" s="294"/>
      <c r="E1184" s="294"/>
      <c r="F1184" s="294"/>
      <c r="G1184" s="294"/>
      <c r="H1184" s="294"/>
      <c r="I1184" s="294"/>
      <c r="J1184" s="294"/>
      <c r="L1184" s="295"/>
      <c r="M1184" s="294"/>
      <c r="R1184" s="326"/>
      <c r="S1184" s="326"/>
      <c r="T1184" s="294"/>
      <c r="U1184" s="294"/>
      <c r="V1184" s="294"/>
      <c r="W1184" s="294"/>
      <c r="X1184" s="1182"/>
      <c r="Y1184" s="1182"/>
      <c r="Z1184" s="1166"/>
      <c r="AA1184" s="1166"/>
      <c r="AB1184" s="1182"/>
      <c r="AC1184" s="294"/>
      <c r="AD1184" s="294"/>
      <c r="AE1184" s="294"/>
      <c r="AF1184" s="294"/>
      <c r="AG1184" s="294"/>
      <c r="AH1184" s="294"/>
      <c r="AI1184" s="294"/>
      <c r="AJ1184" s="294"/>
    </row>
    <row r="1185" spans="2:36" x14ac:dyDescent="0.25">
      <c r="B1185" s="294"/>
      <c r="C1185" s="294"/>
      <c r="D1185" s="294"/>
      <c r="E1185" s="294"/>
      <c r="F1185" s="294"/>
      <c r="G1185" s="294"/>
      <c r="H1185" s="294"/>
      <c r="I1185" s="294"/>
      <c r="J1185" s="294"/>
      <c r="L1185" s="295"/>
      <c r="M1185" s="294"/>
      <c r="R1185" s="326"/>
      <c r="S1185" s="326"/>
      <c r="T1185" s="294"/>
      <c r="U1185" s="294"/>
      <c r="V1185" s="294"/>
      <c r="W1185" s="294"/>
      <c r="X1185" s="1182"/>
      <c r="Y1185" s="1182"/>
      <c r="Z1185" s="1166"/>
      <c r="AA1185" s="1166"/>
      <c r="AB1185" s="1182"/>
      <c r="AC1185" s="294"/>
      <c r="AD1185" s="294"/>
      <c r="AE1185" s="294"/>
      <c r="AF1185" s="294"/>
      <c r="AG1185" s="294"/>
      <c r="AH1185" s="294"/>
      <c r="AI1185" s="294"/>
      <c r="AJ1185" s="294"/>
    </row>
    <row r="1186" spans="2:36" x14ac:dyDescent="0.25">
      <c r="B1186" s="294"/>
      <c r="C1186" s="294"/>
      <c r="D1186" s="294"/>
      <c r="E1186" s="294"/>
      <c r="F1186" s="294"/>
      <c r="G1186" s="294"/>
      <c r="H1186" s="294"/>
      <c r="I1186" s="294"/>
      <c r="J1186" s="294"/>
      <c r="L1186" s="295"/>
      <c r="M1186" s="294"/>
      <c r="R1186" s="326"/>
      <c r="S1186" s="326"/>
      <c r="T1186" s="294"/>
      <c r="U1186" s="294"/>
      <c r="V1186" s="294"/>
      <c r="W1186" s="294"/>
      <c r="X1186" s="1182"/>
      <c r="Y1186" s="1182"/>
      <c r="Z1186" s="1166"/>
      <c r="AA1186" s="1166"/>
      <c r="AB1186" s="1182"/>
      <c r="AC1186" s="294"/>
      <c r="AD1186" s="294"/>
      <c r="AE1186" s="294"/>
      <c r="AF1186" s="294"/>
      <c r="AG1186" s="294"/>
      <c r="AH1186" s="294"/>
      <c r="AI1186" s="294"/>
      <c r="AJ1186" s="294"/>
    </row>
    <row r="1187" spans="2:36" x14ac:dyDescent="0.25">
      <c r="B1187" s="294"/>
      <c r="C1187" s="294"/>
      <c r="D1187" s="294"/>
      <c r="E1187" s="294"/>
      <c r="F1187" s="294"/>
      <c r="G1187" s="294"/>
      <c r="H1187" s="294"/>
      <c r="I1187" s="294"/>
      <c r="J1187" s="294"/>
      <c r="L1187" s="295"/>
      <c r="M1187" s="294"/>
      <c r="R1187" s="326"/>
      <c r="S1187" s="326"/>
      <c r="T1187" s="294"/>
      <c r="U1187" s="294"/>
      <c r="V1187" s="294"/>
      <c r="W1187" s="294"/>
      <c r="X1187" s="1182"/>
      <c r="Y1187" s="1182"/>
      <c r="Z1187" s="1166"/>
      <c r="AA1187" s="1166"/>
      <c r="AB1187" s="1182"/>
      <c r="AC1187" s="294"/>
      <c r="AD1187" s="294"/>
      <c r="AE1187" s="294"/>
      <c r="AF1187" s="294"/>
      <c r="AG1187" s="294"/>
      <c r="AH1187" s="294"/>
      <c r="AI1187" s="294"/>
      <c r="AJ1187" s="294"/>
    </row>
    <row r="1188" spans="2:36" x14ac:dyDescent="0.25">
      <c r="B1188" s="294"/>
      <c r="C1188" s="294"/>
      <c r="D1188" s="294"/>
      <c r="E1188" s="294"/>
      <c r="F1188" s="294"/>
      <c r="G1188" s="294"/>
      <c r="H1188" s="294"/>
      <c r="I1188" s="294"/>
      <c r="J1188" s="294"/>
      <c r="L1188" s="295"/>
      <c r="M1188" s="294"/>
      <c r="R1188" s="326"/>
      <c r="S1188" s="326"/>
      <c r="T1188" s="294"/>
      <c r="U1188" s="294"/>
      <c r="V1188" s="294"/>
      <c r="W1188" s="294"/>
      <c r="X1188" s="1182"/>
      <c r="Y1188" s="1182"/>
      <c r="Z1188" s="1166"/>
      <c r="AA1188" s="1166"/>
      <c r="AB1188" s="1182"/>
      <c r="AC1188" s="294"/>
      <c r="AD1188" s="294"/>
      <c r="AE1188" s="294"/>
      <c r="AF1188" s="294"/>
      <c r="AG1188" s="294"/>
      <c r="AH1188" s="294"/>
      <c r="AI1188" s="294"/>
      <c r="AJ1188" s="294"/>
    </row>
    <row r="1189" spans="2:36" x14ac:dyDescent="0.25">
      <c r="B1189" s="294"/>
      <c r="C1189" s="294"/>
      <c r="D1189" s="294"/>
      <c r="E1189" s="294"/>
      <c r="F1189" s="294"/>
      <c r="G1189" s="294"/>
      <c r="H1189" s="294"/>
      <c r="I1189" s="294"/>
      <c r="J1189" s="294"/>
      <c r="L1189" s="295"/>
      <c r="M1189" s="294"/>
      <c r="R1189" s="326"/>
      <c r="S1189" s="326"/>
      <c r="T1189" s="294"/>
      <c r="U1189" s="294"/>
      <c r="V1189" s="294"/>
      <c r="W1189" s="294"/>
      <c r="X1189" s="1182"/>
      <c r="Y1189" s="1182"/>
      <c r="Z1189" s="1166"/>
      <c r="AA1189" s="1166"/>
      <c r="AB1189" s="1182"/>
      <c r="AC1189" s="294"/>
      <c r="AD1189" s="294"/>
      <c r="AE1189" s="294"/>
      <c r="AF1189" s="294"/>
      <c r="AG1189" s="294"/>
      <c r="AH1189" s="294"/>
      <c r="AI1189" s="294"/>
      <c r="AJ1189" s="294"/>
    </row>
    <row r="1190" spans="2:36" x14ac:dyDescent="0.25">
      <c r="B1190" s="294"/>
      <c r="C1190" s="294"/>
      <c r="D1190" s="294"/>
      <c r="E1190" s="294"/>
      <c r="F1190" s="294"/>
      <c r="G1190" s="294"/>
      <c r="H1190" s="294"/>
      <c r="I1190" s="294"/>
      <c r="J1190" s="294"/>
      <c r="L1190" s="295"/>
      <c r="M1190" s="294"/>
      <c r="R1190" s="326"/>
      <c r="S1190" s="326"/>
      <c r="T1190" s="294"/>
      <c r="U1190" s="294"/>
      <c r="V1190" s="294"/>
      <c r="W1190" s="294"/>
      <c r="X1190" s="1182"/>
      <c r="Y1190" s="1182"/>
      <c r="Z1190" s="1166"/>
      <c r="AA1190" s="1166"/>
      <c r="AB1190" s="1182"/>
      <c r="AC1190" s="294"/>
      <c r="AD1190" s="294"/>
      <c r="AE1190" s="294"/>
      <c r="AF1190" s="294"/>
      <c r="AG1190" s="294"/>
      <c r="AH1190" s="294"/>
      <c r="AI1190" s="294"/>
      <c r="AJ1190" s="294"/>
    </row>
    <row r="1191" spans="2:36" x14ac:dyDescent="0.25">
      <c r="B1191" s="294"/>
      <c r="C1191" s="294"/>
      <c r="D1191" s="294"/>
      <c r="E1191" s="294"/>
      <c r="F1191" s="294"/>
      <c r="G1191" s="294"/>
      <c r="H1191" s="294"/>
      <c r="I1191" s="294"/>
      <c r="J1191" s="294"/>
      <c r="L1191" s="295"/>
      <c r="M1191" s="294"/>
      <c r="R1191" s="326"/>
      <c r="S1191" s="326"/>
      <c r="T1191" s="294"/>
      <c r="U1191" s="294"/>
      <c r="V1191" s="294"/>
      <c r="W1191" s="294"/>
      <c r="X1191" s="1182"/>
      <c r="Y1191" s="1182"/>
      <c r="Z1191" s="1166"/>
      <c r="AA1191" s="1166"/>
      <c r="AB1191" s="1182"/>
      <c r="AC1191" s="294"/>
      <c r="AD1191" s="294"/>
      <c r="AE1191" s="294"/>
      <c r="AF1191" s="294"/>
      <c r="AG1191" s="294"/>
      <c r="AH1191" s="294"/>
      <c r="AI1191" s="294"/>
      <c r="AJ1191" s="294"/>
    </row>
    <row r="1192" spans="2:36" x14ac:dyDescent="0.25">
      <c r="B1192" s="294"/>
      <c r="C1192" s="294"/>
      <c r="D1192" s="294"/>
      <c r="E1192" s="294"/>
      <c r="F1192" s="294"/>
      <c r="G1192" s="294"/>
      <c r="H1192" s="294"/>
      <c r="I1192" s="294"/>
      <c r="J1192" s="294"/>
      <c r="L1192" s="295"/>
      <c r="M1192" s="294"/>
      <c r="R1192" s="326"/>
      <c r="S1192" s="326"/>
      <c r="T1192" s="294"/>
      <c r="U1192" s="294"/>
      <c r="V1192" s="294"/>
      <c r="W1192" s="294"/>
      <c r="X1192" s="1182"/>
      <c r="Y1192" s="1182"/>
      <c r="Z1192" s="1166"/>
      <c r="AA1192" s="1166"/>
      <c r="AB1192" s="1182"/>
      <c r="AC1192" s="294"/>
      <c r="AD1192" s="294"/>
      <c r="AE1192" s="294"/>
      <c r="AF1192" s="294"/>
      <c r="AG1192" s="294"/>
      <c r="AH1192" s="294"/>
      <c r="AI1192" s="294"/>
      <c r="AJ1192" s="294"/>
    </row>
    <row r="1193" spans="2:36" x14ac:dyDescent="0.25">
      <c r="B1193" s="294"/>
      <c r="C1193" s="294"/>
      <c r="D1193" s="294"/>
      <c r="E1193" s="294"/>
      <c r="F1193" s="294"/>
      <c r="G1193" s="294"/>
      <c r="H1193" s="294"/>
      <c r="I1193" s="294"/>
      <c r="J1193" s="294"/>
      <c r="L1193" s="295"/>
      <c r="M1193" s="294"/>
      <c r="R1193" s="326"/>
      <c r="S1193" s="326"/>
      <c r="T1193" s="294"/>
      <c r="U1193" s="294"/>
      <c r="V1193" s="294"/>
      <c r="W1193" s="294"/>
      <c r="X1193" s="1182"/>
      <c r="Y1193" s="1182"/>
      <c r="Z1193" s="1166"/>
      <c r="AA1193" s="1166"/>
      <c r="AB1193" s="1182"/>
      <c r="AC1193" s="294"/>
      <c r="AD1193" s="294"/>
      <c r="AE1193" s="294"/>
      <c r="AF1193" s="294"/>
      <c r="AG1193" s="294"/>
      <c r="AH1193" s="294"/>
      <c r="AI1193" s="294"/>
      <c r="AJ1193" s="294"/>
    </row>
    <row r="1194" spans="2:36" x14ac:dyDescent="0.25">
      <c r="B1194" s="294"/>
      <c r="C1194" s="294"/>
      <c r="D1194" s="294"/>
      <c r="E1194" s="294"/>
      <c r="F1194" s="294"/>
      <c r="G1194" s="294"/>
      <c r="H1194" s="294"/>
      <c r="I1194" s="294"/>
      <c r="J1194" s="294"/>
      <c r="L1194" s="295"/>
      <c r="M1194" s="294"/>
      <c r="R1194" s="326"/>
      <c r="S1194" s="326"/>
      <c r="T1194" s="294"/>
      <c r="U1194" s="294"/>
      <c r="V1194" s="294"/>
      <c r="W1194" s="294"/>
      <c r="X1194" s="1182"/>
      <c r="Y1194" s="1182"/>
      <c r="Z1194" s="1166"/>
      <c r="AA1194" s="1166"/>
      <c r="AB1194" s="1182"/>
      <c r="AC1194" s="294"/>
      <c r="AD1194" s="294"/>
      <c r="AE1194" s="294"/>
      <c r="AF1194" s="294"/>
      <c r="AG1194" s="294"/>
      <c r="AH1194" s="294"/>
      <c r="AI1194" s="294"/>
      <c r="AJ1194" s="294"/>
    </row>
    <row r="1195" spans="2:36" x14ac:dyDescent="0.25">
      <c r="B1195" s="294"/>
      <c r="C1195" s="294"/>
      <c r="D1195" s="294"/>
      <c r="E1195" s="294"/>
      <c r="F1195" s="294"/>
      <c r="G1195" s="294"/>
      <c r="H1195" s="294"/>
      <c r="I1195" s="294"/>
      <c r="J1195" s="294"/>
      <c r="L1195" s="295"/>
      <c r="M1195" s="294"/>
      <c r="R1195" s="326"/>
      <c r="S1195" s="326"/>
      <c r="T1195" s="294"/>
      <c r="U1195" s="294"/>
      <c r="V1195" s="294"/>
      <c r="W1195" s="294"/>
      <c r="X1195" s="1182"/>
      <c r="Y1195" s="1182"/>
      <c r="Z1195" s="1166"/>
      <c r="AA1195" s="1166"/>
      <c r="AB1195" s="1182"/>
      <c r="AC1195" s="294"/>
      <c r="AD1195" s="294"/>
      <c r="AE1195" s="294"/>
      <c r="AF1195" s="294"/>
      <c r="AG1195" s="294"/>
      <c r="AH1195" s="294"/>
      <c r="AI1195" s="294"/>
      <c r="AJ1195" s="294"/>
    </row>
    <row r="1196" spans="2:36" x14ac:dyDescent="0.25">
      <c r="B1196" s="294"/>
      <c r="C1196" s="294"/>
      <c r="D1196" s="294"/>
      <c r="E1196" s="294"/>
      <c r="F1196" s="294"/>
      <c r="G1196" s="294"/>
      <c r="H1196" s="294"/>
      <c r="I1196" s="294"/>
      <c r="J1196" s="294"/>
      <c r="L1196" s="295"/>
      <c r="M1196" s="294"/>
      <c r="R1196" s="326"/>
      <c r="S1196" s="326"/>
      <c r="T1196" s="294"/>
      <c r="U1196" s="294"/>
      <c r="V1196" s="294"/>
      <c r="W1196" s="294"/>
      <c r="X1196" s="1182"/>
      <c r="Y1196" s="1182"/>
      <c r="Z1196" s="1166"/>
      <c r="AA1196" s="1166"/>
      <c r="AB1196" s="1182"/>
      <c r="AC1196" s="294"/>
      <c r="AD1196" s="294"/>
      <c r="AE1196" s="294"/>
      <c r="AF1196" s="294"/>
      <c r="AG1196" s="294"/>
      <c r="AH1196" s="294"/>
      <c r="AI1196" s="294"/>
      <c r="AJ1196" s="294"/>
    </row>
    <row r="1197" spans="2:36" x14ac:dyDescent="0.25">
      <c r="B1197" s="294"/>
      <c r="C1197" s="294"/>
      <c r="D1197" s="294"/>
      <c r="E1197" s="294"/>
      <c r="F1197" s="294"/>
      <c r="G1197" s="294"/>
      <c r="H1197" s="294"/>
      <c r="I1197" s="294"/>
      <c r="J1197" s="294"/>
      <c r="L1197" s="295"/>
      <c r="M1197" s="294"/>
      <c r="R1197" s="326"/>
      <c r="S1197" s="326"/>
      <c r="T1197" s="294"/>
      <c r="U1197" s="294"/>
      <c r="V1197" s="294"/>
      <c r="W1197" s="294"/>
      <c r="X1197" s="1182"/>
      <c r="Y1197" s="1182"/>
      <c r="Z1197" s="1166"/>
      <c r="AA1197" s="1166"/>
      <c r="AB1197" s="1182"/>
      <c r="AC1197" s="294"/>
      <c r="AD1197" s="294"/>
      <c r="AE1197" s="294"/>
      <c r="AF1197" s="294"/>
      <c r="AG1197" s="294"/>
      <c r="AH1197" s="294"/>
      <c r="AI1197" s="294"/>
      <c r="AJ1197" s="294"/>
    </row>
    <row r="1198" spans="2:36" x14ac:dyDescent="0.25">
      <c r="B1198" s="294"/>
      <c r="C1198" s="294"/>
      <c r="D1198" s="294"/>
      <c r="E1198" s="294"/>
      <c r="F1198" s="294"/>
      <c r="G1198" s="294"/>
      <c r="H1198" s="294"/>
      <c r="I1198" s="294"/>
      <c r="J1198" s="294"/>
      <c r="L1198" s="295"/>
      <c r="M1198" s="294"/>
      <c r="R1198" s="326"/>
      <c r="S1198" s="326"/>
      <c r="T1198" s="294"/>
      <c r="U1198" s="294"/>
      <c r="V1198" s="294"/>
      <c r="W1198" s="294"/>
      <c r="X1198" s="1182"/>
      <c r="Y1198" s="1182"/>
      <c r="Z1198" s="1166"/>
      <c r="AA1198" s="1166"/>
      <c r="AB1198" s="1182"/>
      <c r="AC1198" s="294"/>
      <c r="AD1198" s="294"/>
      <c r="AE1198" s="294"/>
      <c r="AF1198" s="294"/>
      <c r="AG1198" s="294"/>
      <c r="AH1198" s="294"/>
      <c r="AI1198" s="294"/>
      <c r="AJ1198" s="294"/>
    </row>
    <row r="1199" spans="2:36" x14ac:dyDescent="0.25">
      <c r="B1199" s="294"/>
      <c r="C1199" s="294"/>
      <c r="D1199" s="294"/>
      <c r="E1199" s="294"/>
      <c r="F1199" s="294"/>
      <c r="G1199" s="294"/>
      <c r="H1199" s="294"/>
      <c r="I1199" s="294"/>
      <c r="J1199" s="294"/>
      <c r="L1199" s="295"/>
      <c r="M1199" s="294"/>
      <c r="R1199" s="326"/>
      <c r="S1199" s="326"/>
      <c r="T1199" s="294"/>
      <c r="U1199" s="294"/>
      <c r="V1199" s="294"/>
      <c r="W1199" s="294"/>
      <c r="X1199" s="1182"/>
      <c r="Y1199" s="1182"/>
      <c r="Z1199" s="1166"/>
      <c r="AA1199" s="1166"/>
      <c r="AB1199" s="1182"/>
      <c r="AC1199" s="294"/>
      <c r="AD1199" s="294"/>
      <c r="AE1199" s="294"/>
      <c r="AF1199" s="294"/>
      <c r="AG1199" s="294"/>
      <c r="AH1199" s="294"/>
      <c r="AI1199" s="294"/>
      <c r="AJ1199" s="294"/>
    </row>
    <row r="1200" spans="2:36" x14ac:dyDescent="0.25">
      <c r="B1200" s="294"/>
      <c r="C1200" s="294"/>
      <c r="D1200" s="294"/>
      <c r="E1200" s="294"/>
      <c r="F1200" s="294"/>
      <c r="G1200" s="294"/>
      <c r="H1200" s="294"/>
      <c r="I1200" s="294"/>
      <c r="J1200" s="294"/>
      <c r="L1200" s="295"/>
      <c r="M1200" s="294"/>
      <c r="R1200" s="326"/>
      <c r="S1200" s="326"/>
      <c r="T1200" s="294"/>
      <c r="U1200" s="294"/>
      <c r="V1200" s="294"/>
      <c r="W1200" s="294"/>
      <c r="X1200" s="1182"/>
      <c r="Y1200" s="1182"/>
      <c r="Z1200" s="1166"/>
      <c r="AA1200" s="1166"/>
      <c r="AB1200" s="1182"/>
      <c r="AC1200" s="294"/>
      <c r="AD1200" s="294"/>
      <c r="AE1200" s="294"/>
      <c r="AF1200" s="294"/>
      <c r="AG1200" s="294"/>
      <c r="AH1200" s="294"/>
      <c r="AI1200" s="294"/>
      <c r="AJ1200" s="294"/>
    </row>
    <row r="1201" spans="2:36" x14ac:dyDescent="0.25">
      <c r="B1201" s="294"/>
      <c r="C1201" s="294"/>
      <c r="D1201" s="294"/>
      <c r="E1201" s="294"/>
      <c r="F1201" s="294"/>
      <c r="G1201" s="294"/>
      <c r="H1201" s="294"/>
      <c r="I1201" s="294"/>
      <c r="J1201" s="294"/>
      <c r="L1201" s="295"/>
      <c r="M1201" s="294"/>
      <c r="R1201" s="326"/>
      <c r="S1201" s="326"/>
      <c r="T1201" s="294"/>
      <c r="U1201" s="294"/>
      <c r="V1201" s="294"/>
      <c r="W1201" s="294"/>
      <c r="X1201" s="1182"/>
      <c r="Y1201" s="1182"/>
      <c r="Z1201" s="1166"/>
      <c r="AA1201" s="1166"/>
      <c r="AB1201" s="1182"/>
      <c r="AC1201" s="294"/>
      <c r="AD1201" s="294"/>
      <c r="AE1201" s="294"/>
      <c r="AF1201" s="294"/>
      <c r="AG1201" s="294"/>
      <c r="AH1201" s="294"/>
      <c r="AI1201" s="294"/>
      <c r="AJ1201" s="294"/>
    </row>
    <row r="1202" spans="2:36" x14ac:dyDescent="0.25">
      <c r="B1202" s="294"/>
      <c r="C1202" s="294"/>
      <c r="D1202" s="294"/>
      <c r="E1202" s="294"/>
      <c r="F1202" s="294"/>
      <c r="G1202" s="294"/>
      <c r="H1202" s="294"/>
      <c r="I1202" s="294"/>
      <c r="J1202" s="294"/>
      <c r="L1202" s="295"/>
      <c r="M1202" s="294"/>
      <c r="R1202" s="326"/>
      <c r="S1202" s="326"/>
      <c r="T1202" s="294"/>
      <c r="U1202" s="294"/>
      <c r="V1202" s="294"/>
      <c r="W1202" s="294"/>
      <c r="X1202" s="1182"/>
      <c r="Y1202" s="1182"/>
      <c r="Z1202" s="1166"/>
      <c r="AA1202" s="1166"/>
      <c r="AB1202" s="1182"/>
      <c r="AC1202" s="294"/>
      <c r="AD1202" s="294"/>
      <c r="AE1202" s="294"/>
      <c r="AF1202" s="294"/>
      <c r="AG1202" s="294"/>
      <c r="AH1202" s="294"/>
      <c r="AI1202" s="294"/>
      <c r="AJ1202" s="294"/>
    </row>
    <row r="1203" spans="2:36" x14ac:dyDescent="0.25">
      <c r="B1203" s="294"/>
      <c r="C1203" s="294"/>
      <c r="D1203" s="294"/>
      <c r="E1203" s="294"/>
      <c r="F1203" s="294"/>
      <c r="G1203" s="294"/>
      <c r="H1203" s="294"/>
      <c r="I1203" s="294"/>
      <c r="J1203" s="294"/>
      <c r="L1203" s="295"/>
      <c r="M1203" s="294"/>
      <c r="R1203" s="326"/>
      <c r="S1203" s="326"/>
      <c r="T1203" s="294"/>
      <c r="U1203" s="294"/>
      <c r="V1203" s="294"/>
      <c r="W1203" s="294"/>
      <c r="X1203" s="1182"/>
      <c r="Y1203" s="1182"/>
      <c r="Z1203" s="1166"/>
      <c r="AA1203" s="1166"/>
      <c r="AB1203" s="1182"/>
      <c r="AC1203" s="294"/>
      <c r="AD1203" s="294"/>
      <c r="AE1203" s="294"/>
      <c r="AF1203" s="294"/>
      <c r="AG1203" s="294"/>
      <c r="AH1203" s="294"/>
      <c r="AI1203" s="294"/>
      <c r="AJ1203" s="294"/>
    </row>
    <row r="1204" spans="2:36" x14ac:dyDescent="0.25">
      <c r="B1204" s="294"/>
      <c r="C1204" s="294"/>
      <c r="D1204" s="294"/>
      <c r="E1204" s="294"/>
      <c r="F1204" s="294"/>
      <c r="G1204" s="294"/>
      <c r="H1204" s="294"/>
      <c r="I1204" s="294"/>
      <c r="J1204" s="294"/>
      <c r="L1204" s="295"/>
      <c r="M1204" s="294"/>
      <c r="R1204" s="326"/>
      <c r="S1204" s="326"/>
      <c r="T1204" s="294"/>
      <c r="U1204" s="294"/>
      <c r="V1204" s="294"/>
      <c r="W1204" s="294"/>
      <c r="X1204" s="1182"/>
      <c r="Y1204" s="1182"/>
      <c r="Z1204" s="1166"/>
      <c r="AA1204" s="1166"/>
      <c r="AB1204" s="1182"/>
      <c r="AC1204" s="294"/>
      <c r="AD1204" s="294"/>
      <c r="AE1204" s="294"/>
      <c r="AF1204" s="294"/>
      <c r="AG1204" s="294"/>
      <c r="AH1204" s="294"/>
      <c r="AI1204" s="294"/>
      <c r="AJ1204" s="294"/>
    </row>
    <row r="1205" spans="2:36" x14ac:dyDescent="0.25">
      <c r="B1205" s="294"/>
      <c r="C1205" s="294"/>
      <c r="D1205" s="294"/>
      <c r="E1205" s="294"/>
      <c r="F1205" s="294"/>
      <c r="G1205" s="294"/>
      <c r="H1205" s="294"/>
      <c r="I1205" s="294"/>
      <c r="J1205" s="294"/>
      <c r="L1205" s="295"/>
      <c r="M1205" s="294"/>
      <c r="R1205" s="326"/>
      <c r="S1205" s="326"/>
      <c r="T1205" s="294"/>
      <c r="U1205" s="294"/>
      <c r="V1205" s="294"/>
      <c r="W1205" s="294"/>
      <c r="X1205" s="1182"/>
      <c r="Y1205" s="1182"/>
      <c r="Z1205" s="1166"/>
      <c r="AA1205" s="1166"/>
      <c r="AB1205" s="1182"/>
      <c r="AC1205" s="294"/>
      <c r="AD1205" s="294"/>
      <c r="AE1205" s="294"/>
      <c r="AF1205" s="294"/>
      <c r="AG1205" s="294"/>
      <c r="AH1205" s="294"/>
      <c r="AI1205" s="294"/>
      <c r="AJ1205" s="294"/>
    </row>
    <row r="1206" spans="2:36" x14ac:dyDescent="0.25">
      <c r="B1206" s="294"/>
      <c r="C1206" s="294"/>
      <c r="D1206" s="294"/>
      <c r="E1206" s="294"/>
      <c r="F1206" s="294"/>
      <c r="G1206" s="294"/>
      <c r="H1206" s="294"/>
      <c r="I1206" s="294"/>
      <c r="J1206" s="294"/>
      <c r="L1206" s="295"/>
      <c r="M1206" s="294"/>
      <c r="R1206" s="326"/>
      <c r="S1206" s="326"/>
      <c r="T1206" s="294"/>
      <c r="U1206" s="294"/>
      <c r="V1206" s="294"/>
      <c r="W1206" s="294"/>
      <c r="X1206" s="1182"/>
      <c r="Y1206" s="1182"/>
      <c r="Z1206" s="1166"/>
      <c r="AA1206" s="1166"/>
      <c r="AB1206" s="1182"/>
      <c r="AC1206" s="294"/>
      <c r="AD1206" s="294"/>
      <c r="AE1206" s="294"/>
      <c r="AF1206" s="294"/>
      <c r="AG1206" s="294"/>
      <c r="AH1206" s="294"/>
      <c r="AI1206" s="294"/>
      <c r="AJ1206" s="294"/>
    </row>
    <row r="1207" spans="2:36" x14ac:dyDescent="0.25">
      <c r="B1207" s="294"/>
      <c r="C1207" s="294"/>
      <c r="D1207" s="294"/>
      <c r="E1207" s="294"/>
      <c r="F1207" s="294"/>
      <c r="G1207" s="294"/>
      <c r="H1207" s="294"/>
      <c r="I1207" s="294"/>
      <c r="J1207" s="294"/>
      <c r="L1207" s="295"/>
      <c r="M1207" s="294"/>
      <c r="R1207" s="326"/>
      <c r="S1207" s="326"/>
      <c r="T1207" s="294"/>
      <c r="U1207" s="294"/>
      <c r="V1207" s="294"/>
      <c r="W1207" s="294"/>
      <c r="X1207" s="1182"/>
      <c r="Y1207" s="1182"/>
      <c r="Z1207" s="1166"/>
      <c r="AA1207" s="1166"/>
      <c r="AB1207" s="1182"/>
      <c r="AC1207" s="294"/>
      <c r="AD1207" s="294"/>
      <c r="AE1207" s="294"/>
      <c r="AF1207" s="294"/>
      <c r="AG1207" s="294"/>
      <c r="AH1207" s="294"/>
      <c r="AI1207" s="294"/>
      <c r="AJ1207" s="294"/>
    </row>
    <row r="1208" spans="2:36" x14ac:dyDescent="0.25">
      <c r="B1208" s="294"/>
      <c r="C1208" s="294"/>
      <c r="D1208" s="294"/>
      <c r="E1208" s="294"/>
      <c r="F1208" s="294"/>
      <c r="G1208" s="294"/>
      <c r="H1208" s="294"/>
      <c r="I1208" s="294"/>
      <c r="J1208" s="294"/>
      <c r="L1208" s="295"/>
      <c r="M1208" s="294"/>
      <c r="R1208" s="326"/>
      <c r="S1208" s="326"/>
      <c r="T1208" s="294"/>
      <c r="U1208" s="294"/>
      <c r="V1208" s="294"/>
      <c r="W1208" s="294"/>
      <c r="X1208" s="1182"/>
      <c r="Y1208" s="1182"/>
      <c r="Z1208" s="1166"/>
      <c r="AA1208" s="1166"/>
      <c r="AB1208" s="1182"/>
      <c r="AC1208" s="294"/>
      <c r="AD1208" s="294"/>
      <c r="AE1208" s="294"/>
      <c r="AF1208" s="294"/>
      <c r="AG1208" s="294"/>
      <c r="AH1208" s="294"/>
      <c r="AI1208" s="294"/>
      <c r="AJ1208" s="294"/>
    </row>
    <row r="1209" spans="2:36" x14ac:dyDescent="0.25">
      <c r="B1209" s="294"/>
      <c r="C1209" s="294"/>
      <c r="D1209" s="294"/>
      <c r="E1209" s="294"/>
      <c r="F1209" s="294"/>
      <c r="G1209" s="294"/>
      <c r="H1209" s="294"/>
      <c r="I1209" s="294"/>
      <c r="J1209" s="294"/>
      <c r="L1209" s="295"/>
      <c r="M1209" s="294"/>
      <c r="R1209" s="326"/>
      <c r="S1209" s="326"/>
      <c r="T1209" s="294"/>
      <c r="U1209" s="294"/>
      <c r="V1209" s="294"/>
      <c r="W1209" s="294"/>
      <c r="X1209" s="1182"/>
      <c r="Y1209" s="1182"/>
      <c r="Z1209" s="1166"/>
      <c r="AA1209" s="1166"/>
      <c r="AB1209" s="1182"/>
      <c r="AC1209" s="294"/>
      <c r="AD1209" s="294"/>
      <c r="AE1209" s="294"/>
      <c r="AF1209" s="294"/>
      <c r="AG1209" s="294"/>
      <c r="AH1209" s="294"/>
      <c r="AI1209" s="294"/>
      <c r="AJ1209" s="294"/>
    </row>
    <row r="1210" spans="2:36" x14ac:dyDescent="0.25">
      <c r="B1210" s="294"/>
      <c r="C1210" s="294"/>
      <c r="D1210" s="294"/>
      <c r="E1210" s="294"/>
      <c r="F1210" s="294"/>
      <c r="G1210" s="294"/>
      <c r="H1210" s="294"/>
      <c r="I1210" s="294"/>
      <c r="J1210" s="294"/>
      <c r="L1210" s="295"/>
      <c r="M1210" s="294"/>
      <c r="R1210" s="326"/>
      <c r="S1210" s="326"/>
      <c r="T1210" s="294"/>
      <c r="U1210" s="294"/>
      <c r="V1210" s="294"/>
      <c r="W1210" s="294"/>
      <c r="X1210" s="1182"/>
      <c r="Y1210" s="1182"/>
      <c r="Z1210" s="1166"/>
      <c r="AA1210" s="1166"/>
      <c r="AB1210" s="1182"/>
      <c r="AC1210" s="294"/>
      <c r="AD1210" s="294"/>
      <c r="AE1210" s="294"/>
      <c r="AF1210" s="294"/>
      <c r="AG1210" s="294"/>
      <c r="AH1210" s="294"/>
      <c r="AI1210" s="294"/>
      <c r="AJ1210" s="294"/>
    </row>
    <row r="1211" spans="2:36" x14ac:dyDescent="0.25">
      <c r="B1211" s="294"/>
      <c r="C1211" s="294"/>
      <c r="D1211" s="294"/>
      <c r="E1211" s="294"/>
      <c r="F1211" s="294"/>
      <c r="G1211" s="294"/>
      <c r="H1211" s="294"/>
      <c r="I1211" s="294"/>
      <c r="J1211" s="294"/>
      <c r="L1211" s="295"/>
      <c r="M1211" s="294"/>
      <c r="R1211" s="326"/>
      <c r="S1211" s="326"/>
      <c r="T1211" s="294"/>
      <c r="U1211" s="294"/>
      <c r="V1211" s="294"/>
      <c r="W1211" s="294"/>
      <c r="X1211" s="1182"/>
      <c r="Y1211" s="1182"/>
      <c r="Z1211" s="1166"/>
      <c r="AA1211" s="1166"/>
      <c r="AB1211" s="1182"/>
      <c r="AC1211" s="294"/>
      <c r="AD1211" s="294"/>
      <c r="AE1211" s="294"/>
      <c r="AF1211" s="294"/>
      <c r="AG1211" s="294"/>
      <c r="AH1211" s="294"/>
      <c r="AI1211" s="294"/>
      <c r="AJ1211" s="294"/>
    </row>
    <row r="1212" spans="2:36" x14ac:dyDescent="0.25">
      <c r="B1212" s="294"/>
      <c r="C1212" s="294"/>
      <c r="D1212" s="294"/>
      <c r="E1212" s="294"/>
      <c r="F1212" s="294"/>
      <c r="G1212" s="294"/>
      <c r="H1212" s="294"/>
      <c r="I1212" s="294"/>
      <c r="J1212" s="294"/>
      <c r="L1212" s="295"/>
      <c r="M1212" s="294"/>
      <c r="R1212" s="326"/>
      <c r="S1212" s="326"/>
      <c r="T1212" s="294"/>
      <c r="U1212" s="294"/>
      <c r="V1212" s="294"/>
      <c r="W1212" s="294"/>
      <c r="X1212" s="1182"/>
      <c r="Y1212" s="1182"/>
      <c r="Z1212" s="1166"/>
      <c r="AA1212" s="1166"/>
      <c r="AB1212" s="1182"/>
      <c r="AC1212" s="294"/>
      <c r="AD1212" s="294"/>
      <c r="AE1212" s="294"/>
      <c r="AF1212" s="294"/>
      <c r="AG1212" s="294"/>
      <c r="AH1212" s="294"/>
      <c r="AI1212" s="294"/>
      <c r="AJ1212" s="294"/>
    </row>
    <row r="1213" spans="2:36" x14ac:dyDescent="0.25">
      <c r="B1213" s="294"/>
      <c r="C1213" s="294"/>
      <c r="D1213" s="294"/>
      <c r="E1213" s="294"/>
      <c r="F1213" s="294"/>
      <c r="G1213" s="294"/>
      <c r="H1213" s="294"/>
      <c r="I1213" s="294"/>
      <c r="J1213" s="294"/>
      <c r="L1213" s="295"/>
      <c r="M1213" s="294"/>
      <c r="R1213" s="326"/>
      <c r="S1213" s="326"/>
      <c r="T1213" s="294"/>
      <c r="U1213" s="294"/>
      <c r="V1213" s="294"/>
      <c r="W1213" s="294"/>
      <c r="X1213" s="1182"/>
      <c r="Y1213" s="1182"/>
      <c r="Z1213" s="1166"/>
      <c r="AA1213" s="1166"/>
      <c r="AB1213" s="1182"/>
      <c r="AC1213" s="294"/>
      <c r="AD1213" s="294"/>
      <c r="AE1213" s="294"/>
      <c r="AF1213" s="294"/>
      <c r="AG1213" s="294"/>
      <c r="AH1213" s="294"/>
      <c r="AI1213" s="294"/>
      <c r="AJ1213" s="294"/>
    </row>
    <row r="1214" spans="2:36" x14ac:dyDescent="0.25">
      <c r="B1214" s="294"/>
      <c r="C1214" s="294"/>
      <c r="D1214" s="294"/>
      <c r="E1214" s="294"/>
      <c r="F1214" s="294"/>
      <c r="G1214" s="294"/>
      <c r="H1214" s="294"/>
      <c r="I1214" s="294"/>
      <c r="J1214" s="294"/>
      <c r="L1214" s="295"/>
      <c r="M1214" s="294"/>
      <c r="R1214" s="326"/>
      <c r="S1214" s="326"/>
      <c r="T1214" s="294"/>
      <c r="U1214" s="294"/>
      <c r="V1214" s="294"/>
      <c r="W1214" s="294"/>
      <c r="X1214" s="1182"/>
      <c r="Y1214" s="1182"/>
      <c r="Z1214" s="1166"/>
      <c r="AA1214" s="1166"/>
      <c r="AB1214" s="1182"/>
      <c r="AC1214" s="294"/>
      <c r="AD1214" s="294"/>
      <c r="AE1214" s="294"/>
      <c r="AF1214" s="294"/>
      <c r="AG1214" s="294"/>
      <c r="AH1214" s="294"/>
      <c r="AI1214" s="294"/>
      <c r="AJ1214" s="294"/>
    </row>
    <row r="1215" spans="2:36" x14ac:dyDescent="0.25">
      <c r="B1215" s="294"/>
      <c r="C1215" s="294"/>
      <c r="D1215" s="294"/>
      <c r="E1215" s="294"/>
      <c r="F1215" s="294"/>
      <c r="G1215" s="294"/>
      <c r="H1215" s="294"/>
      <c r="I1215" s="294"/>
      <c r="J1215" s="294"/>
      <c r="L1215" s="295"/>
      <c r="M1215" s="294"/>
      <c r="R1215" s="326"/>
      <c r="S1215" s="326"/>
      <c r="T1215" s="294"/>
      <c r="U1215" s="294"/>
      <c r="V1215" s="294"/>
      <c r="W1215" s="294"/>
      <c r="X1215" s="1182"/>
      <c r="Y1215" s="1182"/>
      <c r="Z1215" s="1166"/>
      <c r="AA1215" s="1166"/>
      <c r="AB1215" s="1182"/>
      <c r="AC1215" s="294"/>
      <c r="AD1215" s="294"/>
      <c r="AE1215" s="294"/>
      <c r="AF1215" s="294"/>
      <c r="AG1215" s="294"/>
      <c r="AH1215" s="294"/>
      <c r="AI1215" s="294"/>
      <c r="AJ1215" s="294"/>
    </row>
    <row r="1216" spans="2:36" x14ac:dyDescent="0.25">
      <c r="B1216" s="294"/>
      <c r="C1216" s="294"/>
      <c r="D1216" s="294"/>
      <c r="E1216" s="294"/>
      <c r="F1216" s="294"/>
      <c r="G1216" s="294"/>
      <c r="H1216" s="294"/>
      <c r="I1216" s="294"/>
      <c r="J1216" s="294"/>
      <c r="L1216" s="295"/>
      <c r="M1216" s="294"/>
      <c r="R1216" s="326"/>
      <c r="S1216" s="326"/>
      <c r="T1216" s="294"/>
      <c r="U1216" s="294"/>
      <c r="V1216" s="294"/>
      <c r="W1216" s="294"/>
      <c r="X1216" s="1182"/>
      <c r="Y1216" s="1182"/>
      <c r="Z1216" s="1166"/>
      <c r="AA1216" s="1166"/>
      <c r="AB1216" s="1182"/>
      <c r="AC1216" s="294"/>
      <c r="AD1216" s="294"/>
      <c r="AE1216" s="294"/>
      <c r="AF1216" s="294"/>
      <c r="AG1216" s="294"/>
      <c r="AH1216" s="294"/>
      <c r="AI1216" s="294"/>
      <c r="AJ1216" s="294"/>
    </row>
    <row r="1217" spans="2:36" x14ac:dyDescent="0.25">
      <c r="B1217" s="294"/>
      <c r="C1217" s="294"/>
      <c r="D1217" s="294"/>
      <c r="E1217" s="294"/>
      <c r="F1217" s="294"/>
      <c r="G1217" s="294"/>
      <c r="H1217" s="294"/>
      <c r="I1217" s="294"/>
      <c r="J1217" s="294"/>
      <c r="L1217" s="295"/>
      <c r="M1217" s="294"/>
      <c r="R1217" s="326"/>
      <c r="S1217" s="326"/>
      <c r="T1217" s="294"/>
      <c r="U1217" s="294"/>
      <c r="V1217" s="294"/>
      <c r="W1217" s="294"/>
      <c r="X1217" s="1182"/>
      <c r="Y1217" s="1182"/>
      <c r="Z1217" s="1166"/>
      <c r="AA1217" s="1166"/>
      <c r="AB1217" s="1182"/>
      <c r="AC1217" s="294"/>
      <c r="AD1217" s="294"/>
      <c r="AE1217" s="294"/>
      <c r="AF1217" s="294"/>
      <c r="AG1217" s="294"/>
      <c r="AH1217" s="294"/>
      <c r="AI1217" s="294"/>
      <c r="AJ1217" s="294"/>
    </row>
    <row r="1218" spans="2:36" x14ac:dyDescent="0.25">
      <c r="B1218" s="294"/>
      <c r="C1218" s="294"/>
      <c r="D1218" s="294"/>
      <c r="E1218" s="294"/>
      <c r="F1218" s="294"/>
      <c r="G1218" s="294"/>
      <c r="H1218" s="294"/>
      <c r="I1218" s="294"/>
      <c r="J1218" s="294"/>
      <c r="L1218" s="295"/>
      <c r="M1218" s="294"/>
      <c r="R1218" s="326"/>
      <c r="S1218" s="326"/>
      <c r="T1218" s="294"/>
      <c r="U1218" s="294"/>
      <c r="V1218" s="294"/>
      <c r="W1218" s="294"/>
      <c r="X1218" s="1182"/>
      <c r="Y1218" s="1182"/>
      <c r="Z1218" s="1166"/>
      <c r="AA1218" s="1166"/>
      <c r="AB1218" s="1182"/>
      <c r="AC1218" s="294"/>
      <c r="AD1218" s="294"/>
      <c r="AE1218" s="294"/>
      <c r="AF1218" s="294"/>
      <c r="AG1218" s="294"/>
      <c r="AH1218" s="294"/>
      <c r="AI1218" s="294"/>
      <c r="AJ1218" s="294"/>
    </row>
    <row r="1219" spans="2:36" x14ac:dyDescent="0.25">
      <c r="B1219" s="294"/>
      <c r="C1219" s="294"/>
      <c r="D1219" s="294"/>
      <c r="E1219" s="294"/>
      <c r="F1219" s="294"/>
      <c r="G1219" s="294"/>
      <c r="H1219" s="294"/>
      <c r="I1219" s="294"/>
      <c r="J1219" s="294"/>
      <c r="L1219" s="295"/>
      <c r="M1219" s="294"/>
      <c r="R1219" s="326"/>
      <c r="S1219" s="326"/>
      <c r="T1219" s="294"/>
      <c r="U1219" s="294"/>
      <c r="V1219" s="294"/>
      <c r="W1219" s="294"/>
      <c r="X1219" s="1182"/>
      <c r="Y1219" s="1182"/>
      <c r="Z1219" s="1166"/>
      <c r="AA1219" s="1166"/>
      <c r="AB1219" s="1182"/>
      <c r="AC1219" s="294"/>
      <c r="AD1219" s="294"/>
      <c r="AE1219" s="294"/>
      <c r="AF1219" s="294"/>
      <c r="AG1219" s="294"/>
      <c r="AH1219" s="294"/>
      <c r="AI1219" s="294"/>
      <c r="AJ1219" s="294"/>
    </row>
    <row r="1220" spans="2:36" x14ac:dyDescent="0.25">
      <c r="B1220" s="294"/>
      <c r="C1220" s="294"/>
      <c r="D1220" s="294"/>
      <c r="E1220" s="294"/>
      <c r="F1220" s="294"/>
      <c r="G1220" s="294"/>
      <c r="H1220" s="294"/>
      <c r="I1220" s="294"/>
      <c r="J1220" s="294"/>
      <c r="L1220" s="295"/>
      <c r="M1220" s="294"/>
      <c r="R1220" s="326"/>
      <c r="S1220" s="326"/>
      <c r="T1220" s="294"/>
      <c r="U1220" s="294"/>
      <c r="V1220" s="294"/>
      <c r="W1220" s="294"/>
      <c r="X1220" s="1182"/>
      <c r="Y1220" s="1182"/>
      <c r="Z1220" s="1166"/>
      <c r="AA1220" s="1166"/>
      <c r="AB1220" s="1182"/>
      <c r="AC1220" s="294"/>
      <c r="AD1220" s="294"/>
      <c r="AE1220" s="294"/>
      <c r="AF1220" s="294"/>
      <c r="AG1220" s="294"/>
      <c r="AH1220" s="294"/>
      <c r="AI1220" s="294"/>
      <c r="AJ1220" s="294"/>
    </row>
    <row r="1221" spans="2:36" x14ac:dyDescent="0.25">
      <c r="B1221" s="294"/>
      <c r="C1221" s="294"/>
      <c r="D1221" s="294"/>
      <c r="E1221" s="294"/>
      <c r="F1221" s="294"/>
      <c r="G1221" s="294"/>
      <c r="H1221" s="294"/>
      <c r="I1221" s="294"/>
      <c r="J1221" s="294"/>
      <c r="L1221" s="295"/>
      <c r="M1221" s="294"/>
      <c r="R1221" s="326"/>
      <c r="S1221" s="326"/>
      <c r="T1221" s="294"/>
      <c r="U1221" s="294"/>
      <c r="V1221" s="294"/>
      <c r="W1221" s="294"/>
      <c r="X1221" s="1182"/>
      <c r="Y1221" s="1182"/>
      <c r="Z1221" s="1166"/>
      <c r="AA1221" s="1166"/>
      <c r="AB1221" s="1182"/>
      <c r="AC1221" s="294"/>
      <c r="AD1221" s="294"/>
      <c r="AE1221" s="294"/>
      <c r="AF1221" s="294"/>
      <c r="AG1221" s="294"/>
      <c r="AH1221" s="294"/>
      <c r="AI1221" s="294"/>
      <c r="AJ1221" s="294"/>
    </row>
    <row r="1222" spans="2:36" x14ac:dyDescent="0.25">
      <c r="B1222" s="294"/>
      <c r="C1222" s="294"/>
      <c r="D1222" s="294"/>
      <c r="E1222" s="294"/>
      <c r="F1222" s="294"/>
      <c r="G1222" s="294"/>
      <c r="H1222" s="294"/>
      <c r="I1222" s="294"/>
      <c r="J1222" s="294"/>
      <c r="L1222" s="295"/>
      <c r="M1222" s="294"/>
      <c r="R1222" s="326"/>
      <c r="S1222" s="326"/>
      <c r="T1222" s="294"/>
      <c r="U1222" s="294"/>
      <c r="V1222" s="294"/>
      <c r="W1222" s="294"/>
      <c r="X1222" s="1182"/>
      <c r="Y1222" s="1182"/>
      <c r="Z1222" s="1166"/>
      <c r="AA1222" s="1166"/>
      <c r="AB1222" s="1182"/>
      <c r="AC1222" s="294"/>
      <c r="AD1222" s="294"/>
      <c r="AE1222" s="294"/>
      <c r="AF1222" s="294"/>
      <c r="AG1222" s="294"/>
      <c r="AH1222" s="294"/>
      <c r="AI1222" s="294"/>
      <c r="AJ1222" s="294"/>
    </row>
    <row r="1223" spans="2:36" x14ac:dyDescent="0.25">
      <c r="B1223" s="294"/>
      <c r="C1223" s="294"/>
      <c r="D1223" s="294"/>
      <c r="E1223" s="294"/>
      <c r="F1223" s="294"/>
      <c r="G1223" s="294"/>
      <c r="H1223" s="294"/>
      <c r="I1223" s="294"/>
      <c r="J1223" s="294"/>
      <c r="L1223" s="295"/>
      <c r="M1223" s="294"/>
      <c r="R1223" s="326"/>
      <c r="S1223" s="326"/>
      <c r="T1223" s="294"/>
      <c r="U1223" s="294"/>
      <c r="V1223" s="294"/>
      <c r="W1223" s="294"/>
      <c r="X1223" s="1182"/>
      <c r="Y1223" s="1182"/>
      <c r="Z1223" s="1166"/>
      <c r="AA1223" s="1166"/>
      <c r="AB1223" s="1182"/>
      <c r="AC1223" s="294"/>
      <c r="AD1223" s="294"/>
      <c r="AE1223" s="294"/>
      <c r="AF1223" s="294"/>
      <c r="AG1223" s="294"/>
      <c r="AH1223" s="294"/>
      <c r="AI1223" s="294"/>
      <c r="AJ1223" s="294"/>
    </row>
    <row r="1224" spans="2:36" x14ac:dyDescent="0.25">
      <c r="B1224" s="294"/>
      <c r="C1224" s="294"/>
      <c r="D1224" s="294"/>
      <c r="E1224" s="294"/>
      <c r="F1224" s="294"/>
      <c r="G1224" s="294"/>
      <c r="H1224" s="294"/>
      <c r="I1224" s="294"/>
      <c r="J1224" s="294"/>
      <c r="L1224" s="295"/>
      <c r="M1224" s="294"/>
      <c r="R1224" s="326"/>
      <c r="S1224" s="326"/>
      <c r="T1224" s="294"/>
      <c r="U1224" s="294"/>
      <c r="V1224" s="294"/>
      <c r="W1224" s="294"/>
      <c r="X1224" s="1182"/>
      <c r="Y1224" s="1182"/>
      <c r="Z1224" s="1166"/>
      <c r="AA1224" s="1166"/>
      <c r="AB1224" s="1182"/>
      <c r="AC1224" s="294"/>
      <c r="AD1224" s="294"/>
      <c r="AE1224" s="294"/>
      <c r="AF1224" s="294"/>
      <c r="AG1224" s="294"/>
      <c r="AH1224" s="294"/>
      <c r="AI1224" s="294"/>
      <c r="AJ1224" s="294"/>
    </row>
    <row r="1225" spans="2:36" x14ac:dyDescent="0.25">
      <c r="B1225" s="294"/>
      <c r="C1225" s="294"/>
      <c r="D1225" s="294"/>
      <c r="E1225" s="294"/>
      <c r="F1225" s="294"/>
      <c r="G1225" s="294"/>
      <c r="H1225" s="294"/>
      <c r="I1225" s="294"/>
      <c r="J1225" s="294"/>
      <c r="L1225" s="295"/>
      <c r="M1225" s="294"/>
      <c r="R1225" s="326"/>
      <c r="S1225" s="326"/>
      <c r="T1225" s="294"/>
      <c r="U1225" s="294"/>
      <c r="V1225" s="294"/>
      <c r="W1225" s="294"/>
      <c r="X1225" s="1182"/>
      <c r="Y1225" s="1182"/>
      <c r="Z1225" s="1166"/>
      <c r="AA1225" s="1166"/>
      <c r="AB1225" s="1182"/>
      <c r="AC1225" s="294"/>
      <c r="AD1225" s="294"/>
      <c r="AE1225" s="294"/>
      <c r="AF1225" s="294"/>
      <c r="AG1225" s="294"/>
      <c r="AH1225" s="294"/>
      <c r="AI1225" s="294"/>
      <c r="AJ1225" s="294"/>
    </row>
    <row r="1226" spans="2:36" x14ac:dyDescent="0.25">
      <c r="B1226" s="294"/>
      <c r="C1226" s="294"/>
      <c r="D1226" s="294"/>
      <c r="E1226" s="294"/>
      <c r="F1226" s="294"/>
      <c r="G1226" s="294"/>
      <c r="H1226" s="294"/>
      <c r="I1226" s="294"/>
      <c r="J1226" s="294"/>
      <c r="L1226" s="295"/>
      <c r="M1226" s="294"/>
      <c r="R1226" s="326"/>
      <c r="S1226" s="326"/>
      <c r="T1226" s="294"/>
      <c r="U1226" s="294"/>
      <c r="V1226" s="294"/>
      <c r="W1226" s="294"/>
      <c r="X1226" s="1182"/>
      <c r="Y1226" s="1182"/>
      <c r="Z1226" s="1166"/>
      <c r="AA1226" s="1166"/>
      <c r="AB1226" s="1182"/>
      <c r="AC1226" s="294"/>
      <c r="AD1226" s="294"/>
      <c r="AE1226" s="294"/>
      <c r="AF1226" s="294"/>
      <c r="AG1226" s="294"/>
      <c r="AH1226" s="294"/>
      <c r="AI1226" s="294"/>
      <c r="AJ1226" s="294"/>
    </row>
    <row r="1227" spans="2:36" x14ac:dyDescent="0.25">
      <c r="B1227" s="294"/>
      <c r="C1227" s="294"/>
      <c r="D1227" s="294"/>
      <c r="E1227" s="294"/>
      <c r="F1227" s="294"/>
      <c r="G1227" s="294"/>
      <c r="H1227" s="294"/>
      <c r="I1227" s="294"/>
      <c r="J1227" s="294"/>
      <c r="L1227" s="295"/>
      <c r="M1227" s="294"/>
      <c r="R1227" s="326"/>
      <c r="S1227" s="326"/>
      <c r="T1227" s="294"/>
      <c r="U1227" s="294"/>
      <c r="V1227" s="294"/>
      <c r="W1227" s="294"/>
      <c r="X1227" s="1182"/>
      <c r="Y1227" s="1182"/>
      <c r="Z1227" s="1166"/>
      <c r="AA1227" s="1166"/>
      <c r="AB1227" s="1182"/>
      <c r="AC1227" s="294"/>
      <c r="AD1227" s="294"/>
      <c r="AE1227" s="294"/>
      <c r="AF1227" s="294"/>
      <c r="AG1227" s="294"/>
      <c r="AH1227" s="294"/>
      <c r="AI1227" s="294"/>
      <c r="AJ1227" s="294"/>
    </row>
    <row r="1228" spans="2:36" x14ac:dyDescent="0.25">
      <c r="B1228" s="294"/>
      <c r="C1228" s="294"/>
      <c r="D1228" s="294"/>
      <c r="E1228" s="294"/>
      <c r="F1228" s="294"/>
      <c r="G1228" s="294"/>
      <c r="H1228" s="294"/>
      <c r="I1228" s="294"/>
      <c r="J1228" s="294"/>
      <c r="L1228" s="295"/>
      <c r="M1228" s="294"/>
      <c r="R1228" s="326"/>
      <c r="S1228" s="326"/>
      <c r="T1228" s="294"/>
      <c r="U1228" s="294"/>
      <c r="V1228" s="294"/>
      <c r="W1228" s="294"/>
      <c r="X1228" s="1182"/>
      <c r="Y1228" s="1182"/>
      <c r="Z1228" s="1166"/>
      <c r="AA1228" s="1166"/>
      <c r="AB1228" s="1182"/>
      <c r="AC1228" s="294"/>
      <c r="AD1228" s="294"/>
      <c r="AE1228" s="294"/>
      <c r="AF1228" s="294"/>
      <c r="AG1228" s="294"/>
      <c r="AH1228" s="294"/>
      <c r="AI1228" s="294"/>
      <c r="AJ1228" s="294"/>
    </row>
    <row r="1229" spans="2:36" x14ac:dyDescent="0.25">
      <c r="B1229" s="294"/>
      <c r="C1229" s="294"/>
      <c r="D1229" s="294"/>
      <c r="E1229" s="294"/>
      <c r="F1229" s="294"/>
      <c r="G1229" s="294"/>
      <c r="H1229" s="294"/>
      <c r="I1229" s="294"/>
      <c r="J1229" s="294"/>
      <c r="L1229" s="295"/>
      <c r="M1229" s="294"/>
      <c r="R1229" s="326"/>
      <c r="S1229" s="326"/>
      <c r="T1229" s="294"/>
      <c r="U1229" s="294"/>
      <c r="V1229" s="294"/>
      <c r="W1229" s="294"/>
      <c r="X1229" s="1182"/>
      <c r="Y1229" s="1182"/>
      <c r="Z1229" s="1166"/>
      <c r="AA1229" s="1166"/>
      <c r="AB1229" s="1182"/>
      <c r="AC1229" s="294"/>
      <c r="AD1229" s="294"/>
      <c r="AE1229" s="294"/>
      <c r="AF1229" s="294"/>
      <c r="AG1229" s="294"/>
      <c r="AH1229" s="294"/>
      <c r="AI1229" s="294"/>
      <c r="AJ1229" s="294"/>
    </row>
    <row r="1230" spans="2:36" x14ac:dyDescent="0.25">
      <c r="B1230" s="294"/>
      <c r="C1230" s="294"/>
      <c r="D1230" s="294"/>
      <c r="E1230" s="294"/>
      <c r="F1230" s="294"/>
      <c r="G1230" s="294"/>
      <c r="H1230" s="294"/>
      <c r="I1230" s="294"/>
      <c r="J1230" s="294"/>
      <c r="L1230" s="295"/>
      <c r="M1230" s="294"/>
      <c r="R1230" s="326"/>
      <c r="S1230" s="326"/>
      <c r="T1230" s="294"/>
      <c r="U1230" s="294"/>
      <c r="V1230" s="294"/>
      <c r="W1230" s="294"/>
      <c r="X1230" s="1182"/>
      <c r="Y1230" s="1182"/>
      <c r="Z1230" s="1166"/>
      <c r="AA1230" s="1166"/>
      <c r="AB1230" s="1182"/>
      <c r="AC1230" s="294"/>
      <c r="AD1230" s="294"/>
      <c r="AE1230" s="294"/>
      <c r="AF1230" s="294"/>
      <c r="AG1230" s="294"/>
      <c r="AH1230" s="294"/>
      <c r="AI1230" s="294"/>
      <c r="AJ1230" s="294"/>
    </row>
    <row r="1231" spans="2:36" x14ac:dyDescent="0.25">
      <c r="B1231" s="294"/>
      <c r="C1231" s="294"/>
      <c r="D1231" s="294"/>
      <c r="E1231" s="294"/>
      <c r="F1231" s="294"/>
      <c r="G1231" s="294"/>
      <c r="H1231" s="294"/>
      <c r="I1231" s="294"/>
      <c r="J1231" s="294"/>
      <c r="L1231" s="295"/>
      <c r="M1231" s="294"/>
      <c r="R1231" s="326"/>
      <c r="S1231" s="326"/>
      <c r="T1231" s="294"/>
      <c r="U1231" s="294"/>
      <c r="V1231" s="294"/>
      <c r="W1231" s="294"/>
      <c r="X1231" s="1182"/>
      <c r="Y1231" s="1182"/>
      <c r="Z1231" s="1166"/>
      <c r="AA1231" s="1166"/>
      <c r="AB1231" s="1182"/>
      <c r="AC1231" s="294"/>
      <c r="AD1231" s="294"/>
      <c r="AE1231" s="294"/>
      <c r="AF1231" s="294"/>
      <c r="AG1231" s="294"/>
      <c r="AH1231" s="294"/>
      <c r="AI1231" s="294"/>
      <c r="AJ1231" s="294"/>
    </row>
    <row r="1232" spans="2:36" x14ac:dyDescent="0.25">
      <c r="B1232" s="294"/>
      <c r="C1232" s="294"/>
      <c r="D1232" s="294"/>
      <c r="E1232" s="294"/>
      <c r="F1232" s="294"/>
      <c r="G1232" s="294"/>
      <c r="H1232" s="294"/>
      <c r="I1232" s="294"/>
      <c r="J1232" s="294"/>
      <c r="L1232" s="295"/>
      <c r="M1232" s="294"/>
      <c r="R1232" s="326"/>
      <c r="S1232" s="326"/>
      <c r="T1232" s="294"/>
      <c r="U1232" s="294"/>
      <c r="V1232" s="294"/>
      <c r="W1232" s="294"/>
      <c r="X1232" s="1182"/>
      <c r="Y1232" s="1182"/>
      <c r="Z1232" s="1166"/>
      <c r="AA1232" s="1166"/>
      <c r="AB1232" s="1182"/>
      <c r="AC1232" s="294"/>
      <c r="AD1232" s="294"/>
      <c r="AE1232" s="294"/>
      <c r="AF1232" s="294"/>
      <c r="AG1232" s="294"/>
      <c r="AH1232" s="294"/>
      <c r="AI1232" s="294"/>
      <c r="AJ1232" s="294"/>
    </row>
    <row r="1233" spans="2:36" x14ac:dyDescent="0.25">
      <c r="B1233" s="294"/>
      <c r="C1233" s="294"/>
      <c r="D1233" s="294"/>
      <c r="E1233" s="294"/>
      <c r="F1233" s="294"/>
      <c r="G1233" s="294"/>
      <c r="H1233" s="294"/>
      <c r="I1233" s="294"/>
      <c r="J1233" s="294"/>
      <c r="L1233" s="295"/>
      <c r="M1233" s="294"/>
      <c r="R1233" s="326"/>
      <c r="S1233" s="326"/>
      <c r="T1233" s="294"/>
      <c r="U1233" s="294"/>
      <c r="V1233" s="294"/>
      <c r="W1233" s="294"/>
      <c r="X1233" s="1182"/>
      <c r="Y1233" s="1182"/>
      <c r="Z1233" s="1166"/>
      <c r="AA1233" s="1166"/>
      <c r="AB1233" s="1182"/>
      <c r="AC1233" s="294"/>
      <c r="AD1233" s="294"/>
      <c r="AE1233" s="294"/>
      <c r="AF1233" s="294"/>
      <c r="AG1233" s="294"/>
      <c r="AH1233" s="294"/>
      <c r="AI1233" s="294"/>
      <c r="AJ1233" s="294"/>
    </row>
    <row r="1234" spans="2:36" x14ac:dyDescent="0.25">
      <c r="B1234" s="294"/>
      <c r="C1234" s="294"/>
      <c r="D1234" s="294"/>
      <c r="E1234" s="294"/>
      <c r="F1234" s="294"/>
      <c r="G1234" s="294"/>
      <c r="H1234" s="294"/>
      <c r="I1234" s="294"/>
      <c r="J1234" s="294"/>
      <c r="L1234" s="295"/>
      <c r="M1234" s="294"/>
      <c r="R1234" s="326"/>
      <c r="S1234" s="326"/>
      <c r="T1234" s="294"/>
      <c r="U1234" s="294"/>
      <c r="V1234" s="294"/>
      <c r="W1234" s="294"/>
      <c r="X1234" s="1182"/>
      <c r="Y1234" s="1182"/>
      <c r="Z1234" s="1166"/>
      <c r="AA1234" s="1166"/>
      <c r="AB1234" s="1182"/>
      <c r="AC1234" s="294"/>
      <c r="AD1234" s="294"/>
      <c r="AE1234" s="294"/>
      <c r="AF1234" s="294"/>
      <c r="AG1234" s="294"/>
      <c r="AH1234" s="294"/>
      <c r="AI1234" s="294"/>
      <c r="AJ1234" s="294"/>
    </row>
    <row r="1235" spans="2:36" x14ac:dyDescent="0.25">
      <c r="B1235" s="294"/>
      <c r="C1235" s="294"/>
      <c r="D1235" s="294"/>
      <c r="E1235" s="294"/>
      <c r="F1235" s="294"/>
      <c r="G1235" s="294"/>
      <c r="H1235" s="294"/>
      <c r="I1235" s="294"/>
      <c r="J1235" s="294"/>
      <c r="L1235" s="295"/>
      <c r="M1235" s="294"/>
      <c r="R1235" s="326"/>
      <c r="S1235" s="326"/>
      <c r="T1235" s="294"/>
      <c r="U1235" s="294"/>
      <c r="V1235" s="294"/>
      <c r="W1235" s="294"/>
      <c r="X1235" s="1182"/>
      <c r="Y1235" s="1182"/>
      <c r="Z1235" s="1166"/>
      <c r="AA1235" s="1166"/>
      <c r="AB1235" s="1182"/>
      <c r="AC1235" s="294"/>
      <c r="AD1235" s="294"/>
      <c r="AE1235" s="294"/>
      <c r="AF1235" s="294"/>
      <c r="AG1235" s="294"/>
      <c r="AH1235" s="294"/>
      <c r="AI1235" s="294"/>
      <c r="AJ1235" s="294"/>
    </row>
    <row r="1236" spans="2:36" x14ac:dyDescent="0.25">
      <c r="B1236" s="294"/>
      <c r="C1236" s="294"/>
      <c r="D1236" s="294"/>
      <c r="E1236" s="294"/>
      <c r="F1236" s="294"/>
      <c r="G1236" s="294"/>
      <c r="H1236" s="294"/>
      <c r="I1236" s="294"/>
      <c r="J1236" s="294"/>
      <c r="L1236" s="295"/>
      <c r="M1236" s="294"/>
      <c r="R1236" s="326"/>
      <c r="S1236" s="326"/>
      <c r="T1236" s="294"/>
      <c r="U1236" s="294"/>
      <c r="V1236" s="294"/>
      <c r="W1236" s="294"/>
      <c r="X1236" s="1182"/>
      <c r="Y1236" s="1182"/>
      <c r="Z1236" s="1166"/>
      <c r="AA1236" s="1166"/>
      <c r="AB1236" s="1182"/>
      <c r="AC1236" s="294"/>
      <c r="AD1236" s="294"/>
      <c r="AE1236" s="294"/>
      <c r="AF1236" s="294"/>
      <c r="AG1236" s="294"/>
      <c r="AH1236" s="294"/>
      <c r="AI1236" s="294"/>
      <c r="AJ1236" s="294"/>
    </row>
    <row r="1237" spans="2:36" x14ac:dyDescent="0.25">
      <c r="B1237" s="294"/>
      <c r="C1237" s="294"/>
      <c r="D1237" s="294"/>
      <c r="E1237" s="294"/>
      <c r="F1237" s="294"/>
      <c r="G1237" s="294"/>
      <c r="H1237" s="294"/>
      <c r="I1237" s="294"/>
      <c r="J1237" s="294"/>
      <c r="L1237" s="295"/>
      <c r="M1237" s="294"/>
      <c r="R1237" s="326"/>
      <c r="S1237" s="326"/>
      <c r="T1237" s="294"/>
      <c r="U1237" s="294"/>
      <c r="V1237" s="294"/>
      <c r="W1237" s="294"/>
      <c r="X1237" s="1182"/>
      <c r="Y1237" s="1182"/>
      <c r="Z1237" s="1166"/>
      <c r="AA1237" s="1166"/>
      <c r="AB1237" s="1182"/>
      <c r="AC1237" s="294"/>
      <c r="AD1237" s="294"/>
      <c r="AE1237" s="294"/>
      <c r="AF1237" s="294"/>
      <c r="AG1237" s="294"/>
      <c r="AH1237" s="294"/>
      <c r="AI1237" s="294"/>
      <c r="AJ1237" s="294"/>
    </row>
    <row r="1238" spans="2:36" x14ac:dyDescent="0.25">
      <c r="B1238" s="294"/>
      <c r="C1238" s="294"/>
      <c r="D1238" s="294"/>
      <c r="E1238" s="294"/>
      <c r="F1238" s="294"/>
      <c r="G1238" s="294"/>
      <c r="H1238" s="294"/>
      <c r="I1238" s="294"/>
      <c r="J1238" s="294"/>
      <c r="L1238" s="295"/>
      <c r="M1238" s="294"/>
      <c r="R1238" s="326"/>
      <c r="S1238" s="326"/>
      <c r="T1238" s="294"/>
      <c r="U1238" s="294"/>
      <c r="V1238" s="294"/>
      <c r="W1238" s="294"/>
      <c r="X1238" s="1182"/>
      <c r="Y1238" s="1182"/>
      <c r="Z1238" s="1166"/>
      <c r="AA1238" s="1166"/>
      <c r="AB1238" s="1182"/>
      <c r="AC1238" s="294"/>
      <c r="AD1238" s="294"/>
      <c r="AE1238" s="294"/>
      <c r="AF1238" s="294"/>
      <c r="AG1238" s="294"/>
      <c r="AH1238" s="294"/>
      <c r="AI1238" s="294"/>
      <c r="AJ1238" s="294"/>
    </row>
    <row r="1239" spans="2:36" x14ac:dyDescent="0.25">
      <c r="B1239" s="294"/>
      <c r="C1239" s="294"/>
      <c r="D1239" s="294"/>
      <c r="E1239" s="294"/>
      <c r="F1239" s="294"/>
      <c r="G1239" s="294"/>
      <c r="H1239" s="294"/>
      <c r="I1239" s="294"/>
      <c r="J1239" s="294"/>
      <c r="L1239" s="295"/>
      <c r="M1239" s="294"/>
      <c r="R1239" s="326"/>
      <c r="S1239" s="326"/>
      <c r="T1239" s="294"/>
      <c r="U1239" s="294"/>
      <c r="V1239" s="294"/>
      <c r="W1239" s="294"/>
      <c r="X1239" s="1182"/>
      <c r="Y1239" s="1182"/>
      <c r="Z1239" s="1166"/>
      <c r="AA1239" s="1166"/>
      <c r="AB1239" s="1182"/>
      <c r="AC1239" s="294"/>
      <c r="AD1239" s="294"/>
      <c r="AE1239" s="294"/>
      <c r="AF1239" s="294"/>
      <c r="AG1239" s="294"/>
      <c r="AH1239" s="294"/>
      <c r="AI1239" s="294"/>
      <c r="AJ1239" s="294"/>
    </row>
    <row r="1240" spans="2:36" x14ac:dyDescent="0.25">
      <c r="B1240" s="294"/>
      <c r="C1240" s="294"/>
      <c r="D1240" s="294"/>
      <c r="E1240" s="294"/>
      <c r="F1240" s="294"/>
      <c r="G1240" s="294"/>
      <c r="H1240" s="294"/>
      <c r="I1240" s="294"/>
      <c r="J1240" s="294"/>
      <c r="L1240" s="295"/>
      <c r="M1240" s="294"/>
      <c r="R1240" s="326"/>
      <c r="S1240" s="326"/>
      <c r="T1240" s="294"/>
      <c r="U1240" s="294"/>
      <c r="V1240" s="294"/>
      <c r="W1240" s="294"/>
      <c r="X1240" s="1182"/>
      <c r="Y1240" s="1182"/>
      <c r="Z1240" s="1166"/>
      <c r="AA1240" s="1166"/>
      <c r="AB1240" s="1182"/>
      <c r="AC1240" s="294"/>
      <c r="AD1240" s="294"/>
      <c r="AE1240" s="294"/>
      <c r="AF1240" s="294"/>
      <c r="AG1240" s="294"/>
      <c r="AH1240" s="294"/>
      <c r="AI1240" s="294"/>
      <c r="AJ1240" s="294"/>
    </row>
    <row r="1241" spans="2:36" x14ac:dyDescent="0.25">
      <c r="B1241" s="294"/>
      <c r="C1241" s="294"/>
      <c r="D1241" s="294"/>
      <c r="E1241" s="294"/>
      <c r="F1241" s="294"/>
      <c r="G1241" s="294"/>
      <c r="H1241" s="294"/>
      <c r="I1241" s="294"/>
      <c r="J1241" s="294"/>
      <c r="L1241" s="295"/>
      <c r="M1241" s="294"/>
      <c r="R1241" s="326"/>
      <c r="S1241" s="326"/>
      <c r="T1241" s="294"/>
      <c r="U1241" s="294"/>
      <c r="V1241" s="294"/>
      <c r="W1241" s="294"/>
      <c r="X1241" s="1182"/>
      <c r="Y1241" s="1182"/>
      <c r="Z1241" s="1166"/>
      <c r="AA1241" s="1166"/>
      <c r="AB1241" s="1182"/>
      <c r="AC1241" s="294"/>
      <c r="AD1241" s="294"/>
      <c r="AE1241" s="294"/>
      <c r="AF1241" s="294"/>
      <c r="AG1241" s="294"/>
      <c r="AH1241" s="294"/>
      <c r="AI1241" s="294"/>
      <c r="AJ1241" s="294"/>
    </row>
    <row r="1242" spans="2:36" x14ac:dyDescent="0.25">
      <c r="B1242" s="294"/>
      <c r="C1242" s="294"/>
      <c r="D1242" s="294"/>
      <c r="E1242" s="294"/>
      <c r="F1242" s="294"/>
      <c r="G1242" s="294"/>
      <c r="H1242" s="294"/>
      <c r="I1242" s="294"/>
      <c r="J1242" s="294"/>
      <c r="L1242" s="295"/>
      <c r="M1242" s="294"/>
      <c r="R1242" s="326"/>
      <c r="S1242" s="326"/>
      <c r="T1242" s="294"/>
      <c r="U1242" s="294"/>
      <c r="V1242" s="294"/>
      <c r="W1242" s="294"/>
      <c r="X1242" s="1182"/>
      <c r="Y1242" s="1182"/>
      <c r="Z1242" s="1166"/>
      <c r="AA1242" s="1166"/>
      <c r="AB1242" s="1182"/>
      <c r="AC1242" s="294"/>
      <c r="AD1242" s="294"/>
      <c r="AE1242" s="294"/>
      <c r="AF1242" s="294"/>
      <c r="AG1242" s="294"/>
      <c r="AH1242" s="294"/>
      <c r="AI1242" s="294"/>
      <c r="AJ1242" s="294"/>
    </row>
    <row r="1243" spans="2:36" x14ac:dyDescent="0.25">
      <c r="B1243" s="294"/>
      <c r="C1243" s="294"/>
      <c r="D1243" s="294"/>
      <c r="E1243" s="294"/>
      <c r="F1243" s="294"/>
      <c r="G1243" s="294"/>
      <c r="H1243" s="294"/>
      <c r="I1243" s="294"/>
      <c r="J1243" s="294"/>
      <c r="L1243" s="295"/>
      <c r="M1243" s="294"/>
      <c r="R1243" s="326"/>
      <c r="S1243" s="326"/>
      <c r="T1243" s="294"/>
      <c r="U1243" s="294"/>
      <c r="V1243" s="294"/>
      <c r="W1243" s="294"/>
      <c r="X1243" s="1182"/>
      <c r="Y1243" s="1182"/>
      <c r="Z1243" s="1166"/>
      <c r="AA1243" s="1166"/>
      <c r="AB1243" s="1182"/>
      <c r="AC1243" s="294"/>
      <c r="AD1243" s="294"/>
      <c r="AE1243" s="294"/>
      <c r="AF1243" s="294"/>
      <c r="AG1243" s="294"/>
      <c r="AH1243" s="294"/>
      <c r="AI1243" s="294"/>
      <c r="AJ1243" s="294"/>
    </row>
    <row r="1244" spans="2:36" x14ac:dyDescent="0.25">
      <c r="B1244" s="294"/>
      <c r="C1244" s="294"/>
      <c r="D1244" s="294"/>
      <c r="E1244" s="294"/>
      <c r="F1244" s="294"/>
      <c r="G1244" s="294"/>
      <c r="H1244" s="294"/>
      <c r="I1244" s="294"/>
      <c r="J1244" s="294"/>
      <c r="L1244" s="295"/>
      <c r="M1244" s="294"/>
      <c r="R1244" s="326"/>
      <c r="S1244" s="326"/>
      <c r="T1244" s="294"/>
      <c r="U1244" s="294"/>
      <c r="V1244" s="294"/>
      <c r="W1244" s="294"/>
      <c r="X1244" s="1182"/>
      <c r="Y1244" s="1182"/>
      <c r="Z1244" s="1166"/>
      <c r="AA1244" s="1166"/>
      <c r="AB1244" s="1182"/>
      <c r="AC1244" s="294"/>
      <c r="AD1244" s="294"/>
      <c r="AE1244" s="294"/>
      <c r="AF1244" s="294"/>
      <c r="AG1244" s="294"/>
      <c r="AH1244" s="294"/>
      <c r="AI1244" s="294"/>
      <c r="AJ1244" s="294"/>
    </row>
    <row r="1245" spans="2:36" x14ac:dyDescent="0.25">
      <c r="B1245" s="294"/>
      <c r="C1245" s="294"/>
      <c r="D1245" s="294"/>
      <c r="E1245" s="294"/>
      <c r="F1245" s="294"/>
      <c r="G1245" s="294"/>
      <c r="H1245" s="294"/>
      <c r="I1245" s="294"/>
      <c r="J1245" s="294"/>
      <c r="L1245" s="295"/>
      <c r="M1245" s="294"/>
      <c r="R1245" s="326"/>
      <c r="S1245" s="326"/>
      <c r="T1245" s="294"/>
      <c r="U1245" s="294"/>
      <c r="V1245" s="294"/>
      <c r="W1245" s="294"/>
      <c r="X1245" s="1182"/>
      <c r="Y1245" s="1182"/>
      <c r="Z1245" s="1166"/>
      <c r="AA1245" s="1166"/>
      <c r="AB1245" s="1182"/>
      <c r="AC1245" s="294"/>
      <c r="AD1245" s="294"/>
      <c r="AE1245" s="294"/>
      <c r="AF1245" s="294"/>
      <c r="AG1245" s="294"/>
      <c r="AH1245" s="294"/>
      <c r="AI1245" s="294"/>
      <c r="AJ1245" s="294"/>
    </row>
    <row r="1246" spans="2:36" x14ac:dyDescent="0.25">
      <c r="B1246" s="294"/>
      <c r="C1246" s="294"/>
      <c r="D1246" s="294"/>
      <c r="E1246" s="294"/>
      <c r="F1246" s="294"/>
      <c r="G1246" s="294"/>
      <c r="H1246" s="294"/>
      <c r="I1246" s="294"/>
      <c r="J1246" s="294"/>
      <c r="L1246" s="295"/>
      <c r="M1246" s="294"/>
      <c r="R1246" s="326"/>
      <c r="S1246" s="326"/>
      <c r="T1246" s="294"/>
      <c r="U1246" s="294"/>
      <c r="V1246" s="294"/>
      <c r="W1246" s="294"/>
      <c r="X1246" s="1182"/>
      <c r="Y1246" s="1182"/>
      <c r="Z1246" s="1166"/>
      <c r="AA1246" s="1166"/>
      <c r="AB1246" s="1182"/>
      <c r="AC1246" s="294"/>
      <c r="AD1246" s="294"/>
      <c r="AE1246" s="294"/>
      <c r="AF1246" s="294"/>
      <c r="AG1246" s="294"/>
      <c r="AH1246" s="294"/>
      <c r="AI1246" s="294"/>
      <c r="AJ1246" s="294"/>
    </row>
    <row r="1247" spans="2:36" x14ac:dyDescent="0.25">
      <c r="B1247" s="294"/>
      <c r="C1247" s="294"/>
      <c r="D1247" s="294"/>
      <c r="E1247" s="294"/>
      <c r="F1247" s="294"/>
      <c r="G1247" s="294"/>
      <c r="H1247" s="294"/>
      <c r="I1247" s="294"/>
      <c r="J1247" s="294"/>
      <c r="L1247" s="295"/>
      <c r="M1247" s="294"/>
      <c r="R1247" s="326"/>
      <c r="S1247" s="326"/>
      <c r="T1247" s="294"/>
      <c r="U1247" s="294"/>
      <c r="V1247" s="294"/>
      <c r="W1247" s="294"/>
      <c r="X1247" s="1182"/>
      <c r="Y1247" s="1182"/>
      <c r="Z1247" s="1166"/>
      <c r="AA1247" s="1166"/>
      <c r="AB1247" s="1182"/>
      <c r="AC1247" s="294"/>
      <c r="AD1247" s="294"/>
      <c r="AE1247" s="294"/>
      <c r="AF1247" s="294"/>
      <c r="AG1247" s="294"/>
      <c r="AH1247" s="294"/>
      <c r="AI1247" s="294"/>
      <c r="AJ1247" s="294"/>
    </row>
    <row r="1248" spans="2:36" x14ac:dyDescent="0.25">
      <c r="B1248" s="294"/>
      <c r="C1248" s="294"/>
      <c r="D1248" s="294"/>
      <c r="E1248" s="294"/>
      <c r="F1248" s="294"/>
      <c r="G1248" s="294"/>
      <c r="H1248" s="294"/>
      <c r="I1248" s="294"/>
      <c r="J1248" s="294"/>
      <c r="L1248" s="295"/>
      <c r="M1248" s="294"/>
      <c r="R1248" s="326"/>
      <c r="S1248" s="326"/>
      <c r="T1248" s="294"/>
      <c r="U1248" s="294"/>
      <c r="V1248" s="294"/>
      <c r="W1248" s="294"/>
      <c r="X1248" s="1182"/>
      <c r="Y1248" s="1182"/>
      <c r="Z1248" s="1166"/>
      <c r="AA1248" s="1166"/>
      <c r="AB1248" s="1182"/>
      <c r="AC1248" s="294"/>
      <c r="AD1248" s="294"/>
      <c r="AE1248" s="294"/>
      <c r="AF1248" s="294"/>
      <c r="AG1248" s="294"/>
      <c r="AH1248" s="294"/>
      <c r="AI1248" s="294"/>
      <c r="AJ1248" s="294"/>
    </row>
    <row r="1249" spans="2:36" x14ac:dyDescent="0.25">
      <c r="B1249" s="294"/>
      <c r="C1249" s="294"/>
      <c r="D1249" s="294"/>
      <c r="E1249" s="294"/>
      <c r="F1249" s="294"/>
      <c r="G1249" s="294"/>
      <c r="H1249" s="294"/>
      <c r="I1249" s="294"/>
      <c r="J1249" s="294"/>
      <c r="L1249" s="295"/>
      <c r="M1249" s="294"/>
      <c r="R1249" s="326"/>
      <c r="S1249" s="326"/>
      <c r="T1249" s="294"/>
      <c r="U1249" s="294"/>
      <c r="V1249" s="294"/>
      <c r="W1249" s="294"/>
      <c r="X1249" s="1182"/>
      <c r="Y1249" s="1182"/>
      <c r="Z1249" s="1166"/>
      <c r="AA1249" s="1166"/>
      <c r="AB1249" s="1182"/>
      <c r="AC1249" s="294"/>
      <c r="AD1249" s="294"/>
      <c r="AE1249" s="294"/>
      <c r="AF1249" s="294"/>
      <c r="AG1249" s="294"/>
      <c r="AH1249" s="294"/>
      <c r="AI1249" s="294"/>
      <c r="AJ1249" s="294"/>
    </row>
    <row r="1250" spans="2:36" x14ac:dyDescent="0.25">
      <c r="B1250" s="294"/>
      <c r="C1250" s="294"/>
      <c r="D1250" s="294"/>
      <c r="E1250" s="294"/>
      <c r="F1250" s="294"/>
      <c r="G1250" s="294"/>
      <c r="H1250" s="294"/>
      <c r="I1250" s="294"/>
      <c r="J1250" s="294"/>
      <c r="L1250" s="295"/>
      <c r="M1250" s="294"/>
      <c r="R1250" s="326"/>
      <c r="S1250" s="326"/>
      <c r="T1250" s="294"/>
      <c r="U1250" s="294"/>
      <c r="V1250" s="294"/>
      <c r="W1250" s="294"/>
      <c r="X1250" s="1182"/>
      <c r="Y1250" s="1182"/>
      <c r="Z1250" s="1166"/>
      <c r="AA1250" s="1166"/>
      <c r="AB1250" s="1182"/>
      <c r="AC1250" s="294"/>
      <c r="AD1250" s="294"/>
      <c r="AE1250" s="294"/>
      <c r="AF1250" s="294"/>
      <c r="AG1250" s="294"/>
      <c r="AH1250" s="294"/>
      <c r="AI1250" s="294"/>
      <c r="AJ1250" s="294"/>
    </row>
    <row r="1251" spans="2:36" x14ac:dyDescent="0.25">
      <c r="B1251" s="294"/>
      <c r="C1251" s="294"/>
      <c r="D1251" s="294"/>
      <c r="E1251" s="294"/>
      <c r="F1251" s="294"/>
      <c r="G1251" s="294"/>
      <c r="H1251" s="294"/>
      <c r="I1251" s="294"/>
      <c r="J1251" s="294"/>
      <c r="L1251" s="295"/>
      <c r="M1251" s="294"/>
      <c r="R1251" s="326"/>
      <c r="S1251" s="326"/>
      <c r="T1251" s="294"/>
      <c r="U1251" s="294"/>
      <c r="V1251" s="294"/>
      <c r="W1251" s="294"/>
      <c r="X1251" s="1182"/>
      <c r="Y1251" s="1182"/>
      <c r="Z1251" s="1166"/>
      <c r="AA1251" s="1166"/>
      <c r="AB1251" s="1182"/>
      <c r="AC1251" s="294"/>
      <c r="AD1251" s="294"/>
      <c r="AE1251" s="294"/>
      <c r="AF1251" s="294"/>
      <c r="AG1251" s="294"/>
      <c r="AH1251" s="294"/>
      <c r="AI1251" s="294"/>
      <c r="AJ1251" s="294"/>
    </row>
    <row r="1252" spans="2:36" x14ac:dyDescent="0.25">
      <c r="B1252" s="294"/>
      <c r="C1252" s="294"/>
      <c r="D1252" s="294"/>
      <c r="E1252" s="294"/>
      <c r="F1252" s="294"/>
      <c r="G1252" s="294"/>
      <c r="H1252" s="294"/>
      <c r="I1252" s="294"/>
      <c r="J1252" s="294"/>
      <c r="L1252" s="295"/>
      <c r="M1252" s="294"/>
      <c r="R1252" s="326"/>
      <c r="S1252" s="326"/>
      <c r="T1252" s="294"/>
      <c r="U1252" s="294"/>
      <c r="V1252" s="294"/>
      <c r="W1252" s="294"/>
      <c r="X1252" s="1182"/>
      <c r="Y1252" s="1182"/>
      <c r="Z1252" s="1166"/>
      <c r="AA1252" s="1166"/>
      <c r="AB1252" s="1182"/>
      <c r="AC1252" s="294"/>
      <c r="AD1252" s="294"/>
      <c r="AE1252" s="294"/>
      <c r="AF1252" s="294"/>
      <c r="AG1252" s="294"/>
      <c r="AH1252" s="294"/>
      <c r="AI1252" s="294"/>
      <c r="AJ1252" s="294"/>
    </row>
    <row r="1253" spans="2:36" x14ac:dyDescent="0.25">
      <c r="B1253" s="294"/>
      <c r="C1253" s="294"/>
      <c r="D1253" s="294"/>
      <c r="E1253" s="294"/>
      <c r="F1253" s="294"/>
      <c r="G1253" s="294"/>
      <c r="H1253" s="294"/>
      <c r="I1253" s="294"/>
      <c r="J1253" s="294"/>
      <c r="L1253" s="295"/>
      <c r="M1253" s="294"/>
      <c r="R1253" s="326"/>
      <c r="S1253" s="326"/>
      <c r="T1253" s="294"/>
      <c r="U1253" s="294"/>
      <c r="V1253" s="294"/>
      <c r="W1253" s="294"/>
      <c r="X1253" s="1182"/>
      <c r="Y1253" s="1182"/>
      <c r="Z1253" s="1166"/>
      <c r="AA1253" s="1166"/>
      <c r="AB1253" s="1182"/>
      <c r="AC1253" s="294"/>
      <c r="AD1253" s="294"/>
      <c r="AE1253" s="294"/>
      <c r="AF1253" s="294"/>
      <c r="AG1253" s="294"/>
      <c r="AH1253" s="294"/>
      <c r="AI1253" s="294"/>
      <c r="AJ1253" s="294"/>
    </row>
    <row r="1254" spans="2:36" x14ac:dyDescent="0.25">
      <c r="B1254" s="294"/>
      <c r="C1254" s="294"/>
      <c r="D1254" s="294"/>
      <c r="E1254" s="294"/>
      <c r="F1254" s="294"/>
      <c r="G1254" s="294"/>
      <c r="H1254" s="294"/>
      <c r="I1254" s="294"/>
      <c r="J1254" s="294"/>
      <c r="L1254" s="295"/>
      <c r="M1254" s="294"/>
      <c r="R1254" s="326"/>
      <c r="S1254" s="326"/>
      <c r="T1254" s="294"/>
      <c r="U1254" s="294"/>
      <c r="V1254" s="294"/>
      <c r="W1254" s="294"/>
      <c r="X1254" s="1182"/>
      <c r="Y1254" s="1182"/>
      <c r="Z1254" s="1166"/>
      <c r="AA1254" s="1166"/>
      <c r="AB1254" s="1182"/>
      <c r="AC1254" s="294"/>
      <c r="AD1254" s="294"/>
      <c r="AE1254" s="294"/>
      <c r="AF1254" s="294"/>
      <c r="AG1254" s="294"/>
      <c r="AH1254" s="294"/>
      <c r="AI1254" s="294"/>
      <c r="AJ1254" s="294"/>
    </row>
    <row r="1255" spans="2:36" x14ac:dyDescent="0.25">
      <c r="B1255" s="294"/>
      <c r="C1255" s="294"/>
      <c r="D1255" s="294"/>
      <c r="E1255" s="294"/>
      <c r="F1255" s="294"/>
      <c r="G1255" s="294"/>
      <c r="H1255" s="294"/>
      <c r="I1255" s="294"/>
      <c r="J1255" s="294"/>
      <c r="L1255" s="295"/>
      <c r="M1255" s="294"/>
      <c r="R1255" s="326"/>
      <c r="S1255" s="326"/>
      <c r="T1255" s="294"/>
      <c r="U1255" s="294"/>
      <c r="V1255" s="294"/>
      <c r="W1255" s="294"/>
      <c r="X1255" s="1182"/>
      <c r="Y1255" s="1182"/>
      <c r="Z1255" s="1166"/>
      <c r="AA1255" s="1166"/>
      <c r="AB1255" s="1182"/>
      <c r="AC1255" s="294"/>
      <c r="AD1255" s="294"/>
      <c r="AE1255" s="294"/>
      <c r="AF1255" s="294"/>
      <c r="AG1255" s="294"/>
      <c r="AH1255" s="294"/>
      <c r="AI1255" s="294"/>
      <c r="AJ1255" s="294"/>
    </row>
    <row r="1256" spans="2:36" x14ac:dyDescent="0.25">
      <c r="B1256" s="294"/>
      <c r="C1256" s="294"/>
      <c r="D1256" s="294"/>
      <c r="E1256" s="294"/>
      <c r="F1256" s="294"/>
      <c r="G1256" s="294"/>
      <c r="H1256" s="294"/>
      <c r="I1256" s="294"/>
      <c r="J1256" s="294"/>
      <c r="L1256" s="295"/>
      <c r="M1256" s="294"/>
      <c r="R1256" s="326"/>
      <c r="S1256" s="326"/>
      <c r="T1256" s="294"/>
      <c r="U1256" s="294"/>
      <c r="V1256" s="294"/>
      <c r="W1256" s="294"/>
      <c r="X1256" s="1182"/>
      <c r="Y1256" s="1182"/>
      <c r="Z1256" s="1166"/>
      <c r="AA1256" s="1166"/>
      <c r="AB1256" s="1182"/>
      <c r="AC1256" s="294"/>
      <c r="AD1256" s="294"/>
      <c r="AE1256" s="294"/>
      <c r="AF1256" s="294"/>
      <c r="AG1256" s="294"/>
      <c r="AH1256" s="294"/>
      <c r="AI1256" s="294"/>
      <c r="AJ1256" s="294"/>
    </row>
    <row r="1257" spans="2:36" x14ac:dyDescent="0.25">
      <c r="B1257" s="294"/>
      <c r="C1257" s="294"/>
      <c r="D1257" s="294"/>
      <c r="E1257" s="294"/>
      <c r="F1257" s="294"/>
      <c r="G1257" s="294"/>
      <c r="H1257" s="294"/>
      <c r="I1257" s="294"/>
      <c r="J1257" s="294"/>
      <c r="L1257" s="295"/>
      <c r="M1257" s="294"/>
      <c r="R1257" s="326"/>
      <c r="S1257" s="326"/>
      <c r="T1257" s="294"/>
      <c r="U1257" s="294"/>
      <c r="V1257" s="294"/>
      <c r="W1257" s="294"/>
      <c r="X1257" s="1182"/>
      <c r="Y1257" s="1182"/>
      <c r="Z1257" s="1166"/>
      <c r="AA1257" s="1166"/>
      <c r="AB1257" s="1182"/>
      <c r="AC1257" s="294"/>
      <c r="AD1257" s="294"/>
      <c r="AE1257" s="294"/>
      <c r="AF1257" s="294"/>
      <c r="AG1257" s="294"/>
      <c r="AH1257" s="294"/>
      <c r="AI1257" s="294"/>
      <c r="AJ1257" s="294"/>
    </row>
    <row r="1258" spans="2:36" x14ac:dyDescent="0.25">
      <c r="B1258" s="294"/>
      <c r="C1258" s="294"/>
      <c r="D1258" s="294"/>
      <c r="E1258" s="294"/>
      <c r="F1258" s="294"/>
      <c r="G1258" s="294"/>
      <c r="H1258" s="294"/>
      <c r="I1258" s="294"/>
      <c r="J1258" s="294"/>
      <c r="L1258" s="295"/>
      <c r="M1258" s="294"/>
      <c r="R1258" s="326"/>
      <c r="S1258" s="326"/>
      <c r="T1258" s="294"/>
      <c r="U1258" s="294"/>
      <c r="V1258" s="294"/>
      <c r="W1258" s="294"/>
      <c r="X1258" s="1182"/>
      <c r="Y1258" s="1182"/>
      <c r="Z1258" s="1166"/>
      <c r="AA1258" s="1166"/>
      <c r="AB1258" s="1182"/>
      <c r="AC1258" s="294"/>
      <c r="AD1258" s="294"/>
      <c r="AE1258" s="294"/>
      <c r="AF1258" s="294"/>
      <c r="AG1258" s="294"/>
      <c r="AH1258" s="294"/>
      <c r="AI1258" s="294"/>
      <c r="AJ1258" s="294"/>
    </row>
    <row r="1259" spans="2:36" x14ac:dyDescent="0.25">
      <c r="B1259" s="294"/>
      <c r="C1259" s="294"/>
      <c r="D1259" s="294"/>
      <c r="E1259" s="294"/>
      <c r="F1259" s="294"/>
      <c r="G1259" s="294"/>
      <c r="H1259" s="294"/>
      <c r="I1259" s="294"/>
      <c r="J1259" s="294"/>
      <c r="L1259" s="295"/>
      <c r="M1259" s="294"/>
      <c r="R1259" s="326"/>
      <c r="S1259" s="326"/>
      <c r="T1259" s="294"/>
      <c r="U1259" s="294"/>
      <c r="V1259" s="294"/>
      <c r="W1259" s="294"/>
      <c r="X1259" s="1182"/>
      <c r="Y1259" s="1182"/>
      <c r="Z1259" s="1166"/>
      <c r="AA1259" s="1166"/>
      <c r="AB1259" s="1182"/>
      <c r="AC1259" s="294"/>
      <c r="AD1259" s="294"/>
      <c r="AE1259" s="294"/>
      <c r="AF1259" s="294"/>
      <c r="AG1259" s="294"/>
      <c r="AH1259" s="294"/>
      <c r="AI1259" s="294"/>
      <c r="AJ1259" s="294"/>
    </row>
    <row r="1260" spans="2:36" x14ac:dyDescent="0.25">
      <c r="B1260" s="294"/>
      <c r="C1260" s="294"/>
      <c r="D1260" s="294"/>
      <c r="E1260" s="294"/>
      <c r="F1260" s="294"/>
      <c r="G1260" s="294"/>
      <c r="H1260" s="294"/>
      <c r="I1260" s="294"/>
      <c r="J1260" s="294"/>
      <c r="L1260" s="295"/>
      <c r="M1260" s="294"/>
      <c r="R1260" s="326"/>
      <c r="S1260" s="326"/>
      <c r="T1260" s="294"/>
      <c r="U1260" s="294"/>
      <c r="V1260" s="294"/>
      <c r="W1260" s="294"/>
      <c r="X1260" s="1182"/>
      <c r="Y1260" s="1182"/>
      <c r="Z1260" s="1166"/>
      <c r="AA1260" s="1166"/>
      <c r="AB1260" s="1182"/>
      <c r="AC1260" s="294"/>
      <c r="AD1260" s="294"/>
      <c r="AE1260" s="294"/>
      <c r="AF1260" s="294"/>
      <c r="AG1260" s="294"/>
      <c r="AH1260" s="294"/>
      <c r="AI1260" s="294"/>
      <c r="AJ1260" s="294"/>
    </row>
    <row r="1261" spans="2:36" x14ac:dyDescent="0.25">
      <c r="B1261" s="294"/>
      <c r="C1261" s="294"/>
      <c r="D1261" s="294"/>
      <c r="E1261" s="294"/>
      <c r="F1261" s="294"/>
      <c r="G1261" s="294"/>
      <c r="H1261" s="294"/>
      <c r="I1261" s="294"/>
      <c r="J1261" s="294"/>
      <c r="L1261" s="295"/>
      <c r="M1261" s="294"/>
      <c r="R1261" s="326"/>
      <c r="S1261" s="326"/>
      <c r="T1261" s="294"/>
      <c r="U1261" s="294"/>
      <c r="V1261" s="294"/>
      <c r="W1261" s="294"/>
      <c r="X1261" s="1182"/>
      <c r="Y1261" s="1182"/>
      <c r="Z1261" s="1166"/>
      <c r="AA1261" s="1166"/>
      <c r="AB1261" s="1182"/>
      <c r="AC1261" s="294"/>
      <c r="AD1261" s="294"/>
      <c r="AE1261" s="294"/>
      <c r="AF1261" s="294"/>
      <c r="AG1261" s="294"/>
      <c r="AH1261" s="294"/>
      <c r="AI1261" s="294"/>
      <c r="AJ1261" s="294"/>
    </row>
    <row r="1262" spans="2:36" x14ac:dyDescent="0.25">
      <c r="B1262" s="294"/>
      <c r="C1262" s="294"/>
      <c r="D1262" s="294"/>
      <c r="E1262" s="294"/>
      <c r="F1262" s="294"/>
      <c r="G1262" s="294"/>
      <c r="H1262" s="294"/>
      <c r="I1262" s="294"/>
      <c r="J1262" s="294"/>
      <c r="L1262" s="295"/>
      <c r="M1262" s="294"/>
      <c r="R1262" s="326"/>
      <c r="S1262" s="326"/>
      <c r="T1262" s="294"/>
      <c r="U1262" s="294"/>
      <c r="V1262" s="294"/>
      <c r="W1262" s="294"/>
      <c r="X1262" s="1182"/>
      <c r="Y1262" s="1182"/>
      <c r="Z1262" s="1166"/>
      <c r="AA1262" s="1166"/>
      <c r="AB1262" s="1182"/>
      <c r="AC1262" s="294"/>
      <c r="AD1262" s="294"/>
      <c r="AE1262" s="294"/>
      <c r="AF1262" s="294"/>
      <c r="AG1262" s="294"/>
      <c r="AH1262" s="294"/>
      <c r="AI1262" s="294"/>
      <c r="AJ1262" s="294"/>
    </row>
    <row r="1263" spans="2:36" x14ac:dyDescent="0.25">
      <c r="B1263" s="294"/>
      <c r="C1263" s="294"/>
      <c r="D1263" s="294"/>
      <c r="E1263" s="294"/>
      <c r="F1263" s="294"/>
      <c r="G1263" s="294"/>
      <c r="H1263" s="294"/>
      <c r="I1263" s="294"/>
      <c r="J1263" s="294"/>
      <c r="L1263" s="295"/>
      <c r="M1263" s="294"/>
      <c r="R1263" s="326"/>
      <c r="S1263" s="326"/>
      <c r="T1263" s="294"/>
      <c r="U1263" s="294"/>
      <c r="V1263" s="294"/>
      <c r="W1263" s="294"/>
      <c r="X1263" s="1182"/>
      <c r="Y1263" s="1182"/>
      <c r="Z1263" s="1166"/>
      <c r="AA1263" s="1166"/>
      <c r="AB1263" s="1182"/>
      <c r="AC1263" s="294"/>
      <c r="AD1263" s="294"/>
      <c r="AE1263" s="294"/>
      <c r="AF1263" s="294"/>
      <c r="AG1263" s="294"/>
      <c r="AH1263" s="294"/>
      <c r="AI1263" s="294"/>
      <c r="AJ1263" s="294"/>
    </row>
    <row r="1264" spans="2:36" x14ac:dyDescent="0.25">
      <c r="B1264" s="294"/>
      <c r="C1264" s="294"/>
      <c r="D1264" s="294"/>
      <c r="E1264" s="294"/>
      <c r="F1264" s="294"/>
      <c r="G1264" s="294"/>
      <c r="H1264" s="294"/>
      <c r="I1264" s="294"/>
      <c r="J1264" s="294"/>
      <c r="L1264" s="295"/>
      <c r="M1264" s="294"/>
      <c r="R1264" s="326"/>
      <c r="S1264" s="326"/>
      <c r="T1264" s="294"/>
      <c r="U1264" s="294"/>
      <c r="V1264" s="294"/>
      <c r="W1264" s="294"/>
      <c r="X1264" s="1182"/>
      <c r="Y1264" s="1182"/>
      <c r="Z1264" s="1166"/>
      <c r="AA1264" s="1166"/>
      <c r="AB1264" s="1182"/>
      <c r="AC1264" s="294"/>
      <c r="AD1264" s="294"/>
      <c r="AE1264" s="294"/>
      <c r="AF1264" s="294"/>
      <c r="AG1264" s="294"/>
      <c r="AH1264" s="294"/>
      <c r="AI1264" s="294"/>
      <c r="AJ1264" s="294"/>
    </row>
    <row r="1265" spans="2:36" x14ac:dyDescent="0.25">
      <c r="B1265" s="294"/>
      <c r="C1265" s="294"/>
      <c r="D1265" s="294"/>
      <c r="E1265" s="294"/>
      <c r="F1265" s="294"/>
      <c r="G1265" s="294"/>
      <c r="H1265" s="294"/>
      <c r="I1265" s="294"/>
      <c r="J1265" s="294"/>
      <c r="L1265" s="295"/>
      <c r="M1265" s="294"/>
      <c r="R1265" s="326"/>
      <c r="S1265" s="326"/>
      <c r="T1265" s="294"/>
      <c r="U1265" s="294"/>
      <c r="V1265" s="294"/>
      <c r="W1265" s="294"/>
      <c r="X1265" s="1182"/>
      <c r="Y1265" s="1182"/>
      <c r="Z1265" s="1166"/>
      <c r="AA1265" s="1166"/>
      <c r="AB1265" s="1182"/>
      <c r="AC1265" s="294"/>
      <c r="AD1265" s="294"/>
      <c r="AE1265" s="294"/>
      <c r="AF1265" s="294"/>
      <c r="AG1265" s="294"/>
      <c r="AH1265" s="294"/>
      <c r="AI1265" s="294"/>
      <c r="AJ1265" s="294"/>
    </row>
    <row r="1266" spans="2:36" x14ac:dyDescent="0.25">
      <c r="B1266" s="294"/>
      <c r="C1266" s="294"/>
      <c r="D1266" s="294"/>
      <c r="E1266" s="294"/>
      <c r="F1266" s="294"/>
      <c r="G1266" s="294"/>
      <c r="H1266" s="294"/>
      <c r="I1266" s="294"/>
      <c r="J1266" s="294"/>
      <c r="L1266" s="295"/>
      <c r="M1266" s="294"/>
      <c r="R1266" s="326"/>
      <c r="S1266" s="326"/>
      <c r="T1266" s="294"/>
      <c r="U1266" s="294"/>
      <c r="V1266" s="294"/>
      <c r="W1266" s="294"/>
      <c r="X1266" s="1182"/>
      <c r="Y1266" s="1182"/>
      <c r="Z1266" s="1166"/>
      <c r="AA1266" s="1166"/>
      <c r="AB1266" s="1182"/>
      <c r="AC1266" s="294"/>
      <c r="AD1266" s="294"/>
      <c r="AE1266" s="294"/>
      <c r="AF1266" s="294"/>
      <c r="AG1266" s="294"/>
      <c r="AH1266" s="294"/>
      <c r="AI1266" s="294"/>
      <c r="AJ1266" s="294"/>
    </row>
    <row r="1267" spans="2:36" x14ac:dyDescent="0.25">
      <c r="B1267" s="294"/>
      <c r="C1267" s="294"/>
      <c r="D1267" s="294"/>
      <c r="E1267" s="294"/>
      <c r="F1267" s="294"/>
      <c r="G1267" s="294"/>
      <c r="H1267" s="294"/>
      <c r="I1267" s="294"/>
      <c r="J1267" s="294"/>
      <c r="L1267" s="295"/>
      <c r="M1267" s="294"/>
      <c r="R1267" s="326"/>
      <c r="S1267" s="326"/>
      <c r="T1267" s="294"/>
      <c r="U1267" s="294"/>
      <c r="V1267" s="294"/>
      <c r="W1267" s="294"/>
      <c r="X1267" s="1182"/>
      <c r="Y1267" s="1182"/>
      <c r="Z1267" s="1166"/>
      <c r="AA1267" s="1166"/>
      <c r="AB1267" s="1182"/>
      <c r="AC1267" s="294"/>
      <c r="AD1267" s="294"/>
      <c r="AE1267" s="294"/>
      <c r="AF1267" s="294"/>
      <c r="AG1267" s="294"/>
      <c r="AH1267" s="294"/>
      <c r="AI1267" s="294"/>
      <c r="AJ1267" s="294"/>
    </row>
    <row r="1268" spans="2:36" x14ac:dyDescent="0.25">
      <c r="B1268" s="294"/>
      <c r="C1268" s="294"/>
      <c r="D1268" s="294"/>
      <c r="E1268" s="294"/>
      <c r="F1268" s="294"/>
      <c r="G1268" s="294"/>
      <c r="H1268" s="294"/>
      <c r="I1268" s="294"/>
      <c r="J1268" s="294"/>
      <c r="L1268" s="295"/>
      <c r="M1268" s="294"/>
      <c r="R1268" s="326"/>
      <c r="S1268" s="326"/>
      <c r="T1268" s="294"/>
      <c r="U1268" s="294"/>
      <c r="V1268" s="294"/>
      <c r="W1268" s="294"/>
      <c r="X1268" s="1182"/>
      <c r="Y1268" s="1182"/>
      <c r="Z1268" s="1166"/>
      <c r="AA1268" s="1166"/>
      <c r="AB1268" s="1182"/>
      <c r="AC1268" s="294"/>
      <c r="AD1268" s="294"/>
      <c r="AE1268" s="294"/>
      <c r="AF1268" s="294"/>
      <c r="AG1268" s="294"/>
      <c r="AH1268" s="294"/>
      <c r="AI1268" s="294"/>
      <c r="AJ1268" s="294"/>
    </row>
    <row r="1269" spans="2:36" x14ac:dyDescent="0.25">
      <c r="B1269" s="294"/>
      <c r="C1269" s="294"/>
      <c r="D1269" s="294"/>
      <c r="E1269" s="294"/>
      <c r="F1269" s="294"/>
      <c r="G1269" s="294"/>
      <c r="H1269" s="294"/>
      <c r="I1269" s="294"/>
      <c r="J1269" s="294"/>
      <c r="L1269" s="295"/>
      <c r="M1269" s="294"/>
      <c r="R1269" s="326"/>
      <c r="S1269" s="326"/>
      <c r="T1269" s="294"/>
      <c r="U1269" s="294"/>
      <c r="V1269" s="294"/>
      <c r="W1269" s="294"/>
      <c r="X1269" s="1182"/>
      <c r="Y1269" s="1182"/>
      <c r="Z1269" s="1166"/>
      <c r="AA1269" s="1166"/>
      <c r="AB1269" s="1182"/>
      <c r="AC1269" s="294"/>
      <c r="AD1269" s="294"/>
      <c r="AE1269" s="294"/>
      <c r="AF1269" s="294"/>
      <c r="AG1269" s="294"/>
      <c r="AH1269" s="294"/>
      <c r="AI1269" s="294"/>
      <c r="AJ1269" s="294"/>
    </row>
    <row r="1270" spans="2:36" x14ac:dyDescent="0.25">
      <c r="B1270" s="294"/>
      <c r="C1270" s="294"/>
      <c r="D1270" s="294"/>
      <c r="E1270" s="294"/>
      <c r="F1270" s="294"/>
      <c r="G1270" s="294"/>
      <c r="H1270" s="294"/>
      <c r="I1270" s="294"/>
      <c r="J1270" s="294"/>
      <c r="L1270" s="295"/>
      <c r="M1270" s="294"/>
      <c r="R1270" s="326"/>
      <c r="S1270" s="326"/>
      <c r="T1270" s="294"/>
      <c r="U1270" s="294"/>
      <c r="V1270" s="294"/>
      <c r="W1270" s="294"/>
      <c r="X1270" s="1182"/>
      <c r="Y1270" s="1182"/>
      <c r="Z1270" s="1166"/>
      <c r="AA1270" s="1166"/>
      <c r="AB1270" s="1182"/>
      <c r="AC1270" s="294"/>
      <c r="AD1270" s="294"/>
      <c r="AE1270" s="294"/>
      <c r="AF1270" s="294"/>
      <c r="AG1270" s="294"/>
      <c r="AH1270" s="294"/>
      <c r="AI1270" s="294"/>
      <c r="AJ1270" s="294"/>
    </row>
    <row r="1271" spans="2:36" x14ac:dyDescent="0.25">
      <c r="B1271" s="294"/>
      <c r="C1271" s="294"/>
      <c r="D1271" s="294"/>
      <c r="E1271" s="294"/>
      <c r="F1271" s="294"/>
      <c r="G1271" s="294"/>
      <c r="H1271" s="294"/>
      <c r="I1271" s="294"/>
      <c r="J1271" s="294"/>
      <c r="L1271" s="295"/>
      <c r="M1271" s="294"/>
      <c r="R1271" s="326"/>
      <c r="S1271" s="326"/>
      <c r="T1271" s="294"/>
      <c r="U1271" s="294"/>
      <c r="V1271" s="294"/>
      <c r="W1271" s="294"/>
      <c r="X1271" s="1182"/>
      <c r="Y1271" s="1182"/>
      <c r="Z1271" s="1166"/>
      <c r="AA1271" s="1166"/>
      <c r="AB1271" s="1182"/>
      <c r="AC1271" s="294"/>
      <c r="AD1271" s="294"/>
      <c r="AE1271" s="294"/>
      <c r="AF1271" s="294"/>
      <c r="AG1271" s="294"/>
      <c r="AH1271" s="294"/>
      <c r="AI1271" s="294"/>
      <c r="AJ1271" s="294"/>
    </row>
    <row r="1272" spans="2:36" x14ac:dyDescent="0.25">
      <c r="B1272" s="294"/>
      <c r="C1272" s="294"/>
      <c r="D1272" s="294"/>
      <c r="E1272" s="294"/>
      <c r="F1272" s="294"/>
      <c r="G1272" s="294"/>
      <c r="H1272" s="294"/>
      <c r="I1272" s="294"/>
      <c r="J1272" s="294"/>
      <c r="L1272" s="295"/>
      <c r="M1272" s="294"/>
      <c r="R1272" s="326"/>
      <c r="S1272" s="326"/>
      <c r="T1272" s="294"/>
      <c r="U1272" s="294"/>
      <c r="V1272" s="294"/>
      <c r="W1272" s="294"/>
      <c r="X1272" s="1182"/>
      <c r="Y1272" s="1182"/>
      <c r="Z1272" s="1166"/>
      <c r="AA1272" s="1166"/>
      <c r="AB1272" s="1182"/>
      <c r="AC1272" s="294"/>
      <c r="AD1272" s="294"/>
      <c r="AE1272" s="294"/>
      <c r="AF1272" s="294"/>
      <c r="AG1272" s="294"/>
      <c r="AH1272" s="294"/>
      <c r="AI1272" s="294"/>
      <c r="AJ1272" s="294"/>
    </row>
    <row r="1273" spans="2:36" x14ac:dyDescent="0.25">
      <c r="B1273" s="294"/>
      <c r="C1273" s="294"/>
      <c r="D1273" s="294"/>
      <c r="E1273" s="294"/>
      <c r="F1273" s="294"/>
      <c r="G1273" s="294"/>
      <c r="H1273" s="294"/>
      <c r="I1273" s="294"/>
      <c r="J1273" s="294"/>
      <c r="L1273" s="295"/>
      <c r="M1273" s="294"/>
      <c r="R1273" s="326"/>
      <c r="S1273" s="326"/>
      <c r="T1273" s="294"/>
      <c r="U1273" s="294"/>
      <c r="V1273" s="294"/>
      <c r="W1273" s="294"/>
      <c r="X1273" s="1182"/>
      <c r="Y1273" s="1182"/>
      <c r="Z1273" s="1166"/>
      <c r="AA1273" s="1166"/>
      <c r="AB1273" s="1182"/>
      <c r="AC1273" s="294"/>
      <c r="AD1273" s="294"/>
      <c r="AE1273" s="294"/>
      <c r="AF1273" s="294"/>
      <c r="AG1273" s="294"/>
      <c r="AH1273" s="294"/>
      <c r="AI1273" s="294"/>
      <c r="AJ1273" s="294"/>
    </row>
    <row r="1274" spans="2:36" x14ac:dyDescent="0.25">
      <c r="B1274" s="294"/>
      <c r="C1274" s="294"/>
      <c r="D1274" s="294"/>
      <c r="E1274" s="294"/>
      <c r="F1274" s="294"/>
      <c r="G1274" s="294"/>
      <c r="H1274" s="294"/>
      <c r="I1274" s="294"/>
      <c r="J1274" s="294"/>
      <c r="L1274" s="295"/>
      <c r="M1274" s="294"/>
      <c r="R1274" s="326"/>
      <c r="S1274" s="326"/>
      <c r="T1274" s="294"/>
      <c r="U1274" s="294"/>
      <c r="V1274" s="294"/>
      <c r="W1274" s="294"/>
      <c r="X1274" s="1182"/>
      <c r="Y1274" s="1182"/>
      <c r="Z1274" s="1166"/>
      <c r="AA1274" s="1166"/>
      <c r="AB1274" s="1182"/>
      <c r="AC1274" s="294"/>
      <c r="AD1274" s="294"/>
      <c r="AE1274" s="294"/>
      <c r="AF1274" s="294"/>
      <c r="AG1274" s="294"/>
      <c r="AH1274" s="294"/>
      <c r="AI1274" s="294"/>
      <c r="AJ1274" s="294"/>
    </row>
    <row r="1275" spans="2:36" x14ac:dyDescent="0.25">
      <c r="B1275" s="294"/>
      <c r="C1275" s="294"/>
      <c r="D1275" s="294"/>
      <c r="E1275" s="294"/>
      <c r="F1275" s="294"/>
      <c r="G1275" s="294"/>
      <c r="H1275" s="294"/>
      <c r="I1275" s="294"/>
      <c r="J1275" s="294"/>
      <c r="L1275" s="295"/>
      <c r="M1275" s="294"/>
      <c r="R1275" s="326"/>
      <c r="S1275" s="326"/>
      <c r="T1275" s="294"/>
      <c r="U1275" s="294"/>
      <c r="V1275" s="294"/>
      <c r="W1275" s="294"/>
      <c r="X1275" s="1182"/>
      <c r="Y1275" s="1182"/>
      <c r="Z1275" s="1166"/>
      <c r="AA1275" s="1166"/>
      <c r="AB1275" s="1182"/>
      <c r="AC1275" s="294"/>
      <c r="AD1275" s="294"/>
      <c r="AE1275" s="294"/>
      <c r="AF1275" s="294"/>
      <c r="AG1275" s="294"/>
      <c r="AH1275" s="294"/>
      <c r="AI1275" s="294"/>
      <c r="AJ1275" s="294"/>
    </row>
    <row r="1276" spans="2:36" x14ac:dyDescent="0.25">
      <c r="B1276" s="294"/>
      <c r="C1276" s="294"/>
      <c r="D1276" s="294"/>
      <c r="E1276" s="294"/>
      <c r="F1276" s="294"/>
      <c r="G1276" s="294"/>
      <c r="H1276" s="294"/>
      <c r="I1276" s="294"/>
      <c r="J1276" s="294"/>
      <c r="L1276" s="295"/>
      <c r="M1276" s="294"/>
      <c r="R1276" s="326"/>
      <c r="S1276" s="326"/>
      <c r="T1276" s="294"/>
      <c r="U1276" s="294"/>
      <c r="V1276" s="294"/>
      <c r="W1276" s="294"/>
      <c r="X1276" s="1182"/>
      <c r="Y1276" s="1182"/>
      <c r="Z1276" s="1166"/>
      <c r="AA1276" s="1166"/>
      <c r="AB1276" s="1182"/>
      <c r="AC1276" s="294"/>
      <c r="AD1276" s="294"/>
      <c r="AE1276" s="294"/>
      <c r="AF1276" s="294"/>
      <c r="AG1276" s="294"/>
      <c r="AH1276" s="294"/>
      <c r="AI1276" s="294"/>
      <c r="AJ1276" s="294"/>
    </row>
    <row r="1277" spans="2:36" x14ac:dyDescent="0.25">
      <c r="B1277" s="294"/>
      <c r="C1277" s="294"/>
      <c r="D1277" s="294"/>
      <c r="E1277" s="294"/>
      <c r="F1277" s="294"/>
      <c r="G1277" s="294"/>
      <c r="H1277" s="294"/>
      <c r="I1277" s="294"/>
      <c r="J1277" s="294"/>
      <c r="L1277" s="295"/>
      <c r="M1277" s="294"/>
      <c r="R1277" s="326"/>
      <c r="S1277" s="326"/>
      <c r="T1277" s="294"/>
      <c r="U1277" s="294"/>
      <c r="V1277" s="294"/>
      <c r="W1277" s="294"/>
      <c r="X1277" s="1182"/>
      <c r="Y1277" s="1182"/>
      <c r="Z1277" s="1166"/>
      <c r="AA1277" s="1166"/>
      <c r="AB1277" s="1182"/>
      <c r="AC1277" s="294"/>
      <c r="AD1277" s="294"/>
      <c r="AE1277" s="294"/>
      <c r="AF1277" s="294"/>
      <c r="AG1277" s="294"/>
      <c r="AH1277" s="294"/>
      <c r="AI1277" s="294"/>
      <c r="AJ1277" s="294"/>
    </row>
    <row r="1278" spans="2:36" x14ac:dyDescent="0.25">
      <c r="B1278" s="294"/>
      <c r="C1278" s="294"/>
      <c r="D1278" s="294"/>
      <c r="E1278" s="294"/>
      <c r="F1278" s="294"/>
      <c r="G1278" s="294"/>
      <c r="H1278" s="294"/>
      <c r="I1278" s="294"/>
      <c r="J1278" s="294"/>
      <c r="L1278" s="295"/>
      <c r="M1278" s="294"/>
      <c r="R1278" s="326"/>
      <c r="S1278" s="326"/>
      <c r="T1278" s="294"/>
      <c r="U1278" s="294"/>
      <c r="V1278" s="294"/>
      <c r="W1278" s="294"/>
      <c r="X1278" s="1182"/>
      <c r="Y1278" s="1182"/>
      <c r="Z1278" s="1166"/>
      <c r="AA1278" s="1166"/>
      <c r="AB1278" s="1182"/>
      <c r="AC1278" s="294"/>
      <c r="AD1278" s="294"/>
      <c r="AE1278" s="294"/>
      <c r="AF1278" s="294"/>
      <c r="AG1278" s="294"/>
      <c r="AH1278" s="294"/>
      <c r="AI1278" s="294"/>
      <c r="AJ1278" s="294"/>
    </row>
    <row r="1279" spans="2:36" x14ac:dyDescent="0.25">
      <c r="B1279" s="294"/>
      <c r="C1279" s="294"/>
      <c r="D1279" s="294"/>
      <c r="E1279" s="294"/>
      <c r="F1279" s="294"/>
      <c r="G1279" s="294"/>
      <c r="H1279" s="294"/>
      <c r="I1279" s="294"/>
      <c r="J1279" s="294"/>
      <c r="L1279" s="295"/>
      <c r="M1279" s="294"/>
      <c r="R1279" s="326"/>
      <c r="S1279" s="326"/>
      <c r="T1279" s="294"/>
      <c r="U1279" s="294"/>
      <c r="V1279" s="294"/>
      <c r="W1279" s="294"/>
      <c r="X1279" s="1182"/>
      <c r="Y1279" s="1182"/>
      <c r="Z1279" s="1166"/>
      <c r="AA1279" s="1166"/>
      <c r="AB1279" s="1182"/>
      <c r="AC1279" s="294"/>
      <c r="AD1279" s="294"/>
      <c r="AE1279" s="294"/>
      <c r="AF1279" s="294"/>
      <c r="AG1279" s="294"/>
      <c r="AH1279" s="294"/>
      <c r="AI1279" s="294"/>
      <c r="AJ1279" s="294"/>
    </row>
    <row r="1280" spans="2:36" x14ac:dyDescent="0.25">
      <c r="B1280" s="294"/>
      <c r="C1280" s="294"/>
      <c r="D1280" s="294"/>
      <c r="E1280" s="294"/>
      <c r="F1280" s="294"/>
      <c r="G1280" s="294"/>
      <c r="H1280" s="294"/>
      <c r="I1280" s="294"/>
      <c r="J1280" s="294"/>
      <c r="L1280" s="295"/>
      <c r="M1280" s="294"/>
      <c r="R1280" s="326"/>
      <c r="S1280" s="326"/>
      <c r="T1280" s="294"/>
      <c r="U1280" s="294"/>
      <c r="V1280" s="294"/>
      <c r="W1280" s="294"/>
      <c r="X1280" s="1182"/>
      <c r="Y1280" s="1182"/>
      <c r="Z1280" s="1166"/>
      <c r="AA1280" s="1166"/>
      <c r="AB1280" s="1182"/>
      <c r="AC1280" s="294"/>
      <c r="AD1280" s="294"/>
      <c r="AE1280" s="294"/>
      <c r="AF1280" s="294"/>
      <c r="AG1280" s="294"/>
      <c r="AH1280" s="294"/>
      <c r="AI1280" s="294"/>
      <c r="AJ1280" s="294"/>
    </row>
    <row r="1281" spans="2:36" x14ac:dyDescent="0.25">
      <c r="B1281" s="294"/>
      <c r="C1281" s="294"/>
      <c r="D1281" s="294"/>
      <c r="E1281" s="294"/>
      <c r="F1281" s="294"/>
      <c r="G1281" s="294"/>
      <c r="H1281" s="294"/>
      <c r="I1281" s="294"/>
      <c r="J1281" s="294"/>
      <c r="L1281" s="295"/>
      <c r="M1281" s="294"/>
      <c r="R1281" s="326"/>
      <c r="S1281" s="326"/>
      <c r="T1281" s="294"/>
      <c r="U1281" s="294"/>
      <c r="V1281" s="294"/>
      <c r="W1281" s="294"/>
      <c r="X1281" s="1182"/>
      <c r="Y1281" s="1182"/>
      <c r="Z1281" s="1166"/>
      <c r="AA1281" s="1166"/>
      <c r="AB1281" s="1182"/>
      <c r="AC1281" s="294"/>
      <c r="AD1281" s="294"/>
      <c r="AE1281" s="294"/>
      <c r="AF1281" s="294"/>
      <c r="AG1281" s="294"/>
      <c r="AH1281" s="294"/>
      <c r="AI1281" s="294"/>
      <c r="AJ1281" s="294"/>
    </row>
    <row r="1282" spans="2:36" x14ac:dyDescent="0.25">
      <c r="B1282" s="294"/>
      <c r="C1282" s="294"/>
      <c r="D1282" s="294"/>
      <c r="E1282" s="294"/>
      <c r="F1282" s="294"/>
      <c r="G1282" s="294"/>
      <c r="H1282" s="294"/>
      <c r="I1282" s="294"/>
      <c r="J1282" s="294"/>
      <c r="L1282" s="295"/>
      <c r="M1282" s="294"/>
      <c r="R1282" s="326"/>
      <c r="S1282" s="326"/>
      <c r="T1282" s="294"/>
      <c r="U1282" s="294"/>
      <c r="V1282" s="294"/>
      <c r="W1282" s="294"/>
      <c r="X1282" s="1182"/>
      <c r="Y1282" s="1182"/>
      <c r="Z1282" s="1166"/>
      <c r="AA1282" s="1166"/>
      <c r="AB1282" s="1182"/>
      <c r="AC1282" s="294"/>
      <c r="AD1282" s="294"/>
      <c r="AE1282" s="294"/>
      <c r="AF1282" s="294"/>
      <c r="AG1282" s="294"/>
      <c r="AH1282" s="294"/>
      <c r="AI1282" s="294"/>
      <c r="AJ1282" s="294"/>
    </row>
    <row r="1283" spans="2:36" x14ac:dyDescent="0.25">
      <c r="B1283" s="294"/>
      <c r="C1283" s="294"/>
      <c r="D1283" s="294"/>
      <c r="E1283" s="294"/>
      <c r="F1283" s="294"/>
      <c r="G1283" s="294"/>
      <c r="H1283" s="294"/>
      <c r="I1283" s="294"/>
      <c r="J1283" s="294"/>
      <c r="L1283" s="295"/>
      <c r="M1283" s="294"/>
      <c r="R1283" s="326"/>
      <c r="S1283" s="326"/>
      <c r="T1283" s="294"/>
      <c r="U1283" s="294"/>
      <c r="V1283" s="294"/>
      <c r="W1283" s="294"/>
      <c r="X1283" s="1182"/>
      <c r="Y1283" s="1182"/>
      <c r="Z1283" s="1166"/>
      <c r="AA1283" s="1166"/>
      <c r="AB1283" s="1182"/>
      <c r="AC1283" s="294"/>
      <c r="AD1283" s="294"/>
      <c r="AE1283" s="294"/>
      <c r="AF1283" s="294"/>
      <c r="AG1283" s="294"/>
      <c r="AH1283" s="294"/>
      <c r="AI1283" s="294"/>
      <c r="AJ1283" s="294"/>
    </row>
    <row r="1284" spans="2:36" x14ac:dyDescent="0.25">
      <c r="B1284" s="294"/>
      <c r="C1284" s="294"/>
      <c r="D1284" s="294"/>
      <c r="E1284" s="294"/>
      <c r="F1284" s="294"/>
      <c r="G1284" s="294"/>
      <c r="H1284" s="294"/>
      <c r="I1284" s="294"/>
      <c r="J1284" s="294"/>
      <c r="L1284" s="295"/>
      <c r="M1284" s="294"/>
      <c r="R1284" s="326"/>
      <c r="S1284" s="326"/>
      <c r="T1284" s="294"/>
      <c r="U1284" s="294"/>
      <c r="V1284" s="294"/>
      <c r="W1284" s="294"/>
      <c r="X1284" s="1182"/>
      <c r="Y1284" s="1182"/>
      <c r="Z1284" s="1166"/>
      <c r="AA1284" s="1166"/>
      <c r="AB1284" s="1182"/>
      <c r="AC1284" s="294"/>
      <c r="AD1284" s="294"/>
      <c r="AE1284" s="294"/>
      <c r="AF1284" s="294"/>
      <c r="AG1284" s="294"/>
      <c r="AH1284" s="294"/>
      <c r="AI1284" s="294"/>
      <c r="AJ1284" s="294"/>
    </row>
    <row r="1285" spans="2:36" x14ac:dyDescent="0.25">
      <c r="B1285" s="294"/>
      <c r="C1285" s="294"/>
      <c r="D1285" s="294"/>
      <c r="E1285" s="294"/>
      <c r="F1285" s="294"/>
      <c r="G1285" s="294"/>
      <c r="H1285" s="294"/>
      <c r="I1285" s="294"/>
      <c r="J1285" s="294"/>
      <c r="L1285" s="295"/>
      <c r="M1285" s="294"/>
      <c r="R1285" s="326"/>
      <c r="S1285" s="326"/>
      <c r="T1285" s="294"/>
      <c r="U1285" s="294"/>
      <c r="V1285" s="294"/>
      <c r="W1285" s="294"/>
      <c r="X1285" s="1182"/>
      <c r="Y1285" s="1182"/>
      <c r="Z1285" s="1166"/>
      <c r="AA1285" s="1166"/>
      <c r="AB1285" s="1182"/>
      <c r="AC1285" s="294"/>
      <c r="AD1285" s="294"/>
      <c r="AE1285" s="294"/>
      <c r="AF1285" s="294"/>
      <c r="AG1285" s="294"/>
      <c r="AH1285" s="294"/>
      <c r="AI1285" s="294"/>
      <c r="AJ1285" s="294"/>
    </row>
    <row r="1286" spans="2:36" x14ac:dyDescent="0.25">
      <c r="B1286" s="294"/>
      <c r="C1286" s="294"/>
      <c r="D1286" s="294"/>
      <c r="E1286" s="294"/>
      <c r="F1286" s="294"/>
      <c r="G1286" s="294"/>
      <c r="H1286" s="294"/>
      <c r="I1286" s="294"/>
      <c r="J1286" s="294"/>
      <c r="L1286" s="295"/>
      <c r="M1286" s="294"/>
      <c r="R1286" s="326"/>
      <c r="S1286" s="326"/>
      <c r="T1286" s="294"/>
      <c r="U1286" s="294"/>
      <c r="V1286" s="294"/>
      <c r="W1286" s="294"/>
      <c r="X1286" s="1182"/>
      <c r="Y1286" s="1182"/>
      <c r="Z1286" s="1166"/>
      <c r="AA1286" s="1166"/>
      <c r="AB1286" s="1182"/>
      <c r="AC1286" s="294"/>
      <c r="AD1286" s="294"/>
      <c r="AE1286" s="294"/>
      <c r="AF1286" s="294"/>
      <c r="AG1286" s="294"/>
      <c r="AH1286" s="294"/>
      <c r="AI1286" s="294"/>
      <c r="AJ1286" s="294"/>
    </row>
    <row r="1287" spans="2:36" x14ac:dyDescent="0.25">
      <c r="B1287" s="294"/>
      <c r="C1287" s="294"/>
      <c r="D1287" s="294"/>
      <c r="E1287" s="294"/>
      <c r="F1287" s="294"/>
      <c r="G1287" s="294"/>
      <c r="H1287" s="294"/>
      <c r="I1287" s="294"/>
      <c r="J1287" s="294"/>
      <c r="L1287" s="295"/>
      <c r="M1287" s="294"/>
      <c r="R1287" s="326"/>
      <c r="S1287" s="326"/>
      <c r="T1287" s="294"/>
      <c r="U1287" s="294"/>
      <c r="V1287" s="294"/>
      <c r="W1287" s="294"/>
      <c r="X1287" s="1182"/>
      <c r="Y1287" s="1182"/>
      <c r="Z1287" s="1166"/>
      <c r="AA1287" s="1166"/>
      <c r="AB1287" s="1182"/>
      <c r="AC1287" s="294"/>
      <c r="AD1287" s="294"/>
      <c r="AE1287" s="294"/>
      <c r="AF1287" s="294"/>
      <c r="AG1287" s="294"/>
      <c r="AH1287" s="294"/>
      <c r="AI1287" s="294"/>
      <c r="AJ1287" s="294"/>
    </row>
    <row r="1288" spans="2:36" x14ac:dyDescent="0.25">
      <c r="B1288" s="294"/>
      <c r="C1288" s="294"/>
      <c r="D1288" s="294"/>
      <c r="E1288" s="294"/>
      <c r="F1288" s="294"/>
      <c r="G1288" s="294"/>
      <c r="H1288" s="294"/>
      <c r="I1288" s="294"/>
      <c r="J1288" s="294"/>
      <c r="L1288" s="295"/>
      <c r="M1288" s="294"/>
      <c r="R1288" s="326"/>
      <c r="S1288" s="326"/>
      <c r="T1288" s="294"/>
      <c r="U1288" s="294"/>
      <c r="V1288" s="294"/>
      <c r="W1288" s="294"/>
      <c r="X1288" s="1182"/>
      <c r="Y1288" s="1182"/>
      <c r="Z1288" s="1166"/>
      <c r="AA1288" s="1166"/>
      <c r="AB1288" s="1182"/>
      <c r="AC1288" s="294"/>
      <c r="AD1288" s="294"/>
      <c r="AE1288" s="294"/>
      <c r="AF1288" s="294"/>
      <c r="AG1288" s="294"/>
      <c r="AH1288" s="294"/>
      <c r="AI1288" s="294"/>
      <c r="AJ1288" s="294"/>
    </row>
    <row r="1289" spans="2:36" x14ac:dyDescent="0.25">
      <c r="B1289" s="294"/>
      <c r="C1289" s="294"/>
      <c r="D1289" s="294"/>
      <c r="E1289" s="294"/>
      <c r="F1289" s="294"/>
      <c r="G1289" s="294"/>
      <c r="H1289" s="294"/>
      <c r="I1289" s="294"/>
      <c r="J1289" s="294"/>
      <c r="L1289" s="295"/>
      <c r="M1289" s="294"/>
      <c r="R1289" s="326"/>
      <c r="S1289" s="326"/>
      <c r="T1289" s="294"/>
      <c r="U1289" s="294"/>
      <c r="V1289" s="294"/>
      <c r="W1289" s="294"/>
      <c r="X1289" s="1182"/>
      <c r="Y1289" s="1182"/>
      <c r="Z1289" s="1166"/>
      <c r="AA1289" s="1166"/>
      <c r="AB1289" s="1182"/>
      <c r="AC1289" s="294"/>
      <c r="AD1289" s="294"/>
      <c r="AE1289" s="294"/>
      <c r="AF1289" s="294"/>
      <c r="AG1289" s="294"/>
      <c r="AH1289" s="294"/>
      <c r="AI1289" s="294"/>
      <c r="AJ1289" s="294"/>
    </row>
    <row r="1290" spans="2:36" x14ac:dyDescent="0.25">
      <c r="B1290" s="294"/>
      <c r="C1290" s="294"/>
      <c r="D1290" s="294"/>
      <c r="E1290" s="294"/>
      <c r="F1290" s="294"/>
      <c r="G1290" s="294"/>
      <c r="H1290" s="294"/>
      <c r="I1290" s="294"/>
      <c r="J1290" s="294"/>
      <c r="L1290" s="295"/>
      <c r="M1290" s="294"/>
      <c r="R1290" s="326"/>
      <c r="S1290" s="326"/>
      <c r="T1290" s="294"/>
      <c r="U1290" s="294"/>
      <c r="V1290" s="294"/>
      <c r="W1290" s="294"/>
      <c r="X1290" s="1182"/>
      <c r="Y1290" s="1182"/>
      <c r="Z1290" s="1166"/>
      <c r="AA1290" s="1166"/>
      <c r="AB1290" s="1182"/>
      <c r="AC1290" s="294"/>
      <c r="AD1290" s="294"/>
      <c r="AE1290" s="294"/>
      <c r="AF1290" s="294"/>
      <c r="AG1290" s="294"/>
      <c r="AH1290" s="294"/>
      <c r="AI1290" s="294"/>
      <c r="AJ1290" s="294"/>
    </row>
    <row r="1291" spans="2:36" x14ac:dyDescent="0.25">
      <c r="B1291" s="294"/>
      <c r="C1291" s="294"/>
      <c r="D1291" s="294"/>
      <c r="E1291" s="294"/>
      <c r="F1291" s="294"/>
      <c r="G1291" s="294"/>
      <c r="H1291" s="294"/>
      <c r="I1291" s="294"/>
      <c r="J1291" s="294"/>
      <c r="L1291" s="295"/>
      <c r="M1291" s="294"/>
      <c r="R1291" s="326"/>
      <c r="S1291" s="326"/>
      <c r="T1291" s="294"/>
      <c r="U1291" s="294"/>
      <c r="V1291" s="294"/>
      <c r="W1291" s="294"/>
      <c r="X1291" s="1182"/>
      <c r="Y1291" s="1182"/>
      <c r="Z1291" s="1166"/>
      <c r="AA1291" s="1166"/>
      <c r="AB1291" s="1182"/>
      <c r="AC1291" s="294"/>
      <c r="AD1291" s="294"/>
      <c r="AE1291" s="294"/>
      <c r="AF1291" s="294"/>
      <c r="AG1291" s="294"/>
      <c r="AH1291" s="294"/>
      <c r="AI1291" s="294"/>
      <c r="AJ1291" s="294"/>
    </row>
    <row r="1292" spans="2:36" x14ac:dyDescent="0.25">
      <c r="B1292" s="294"/>
      <c r="C1292" s="294"/>
      <c r="D1292" s="294"/>
      <c r="E1292" s="294"/>
      <c r="F1292" s="294"/>
      <c r="G1292" s="294"/>
      <c r="H1292" s="294"/>
      <c r="I1292" s="294"/>
      <c r="J1292" s="294"/>
      <c r="L1292" s="295"/>
      <c r="M1292" s="294"/>
      <c r="R1292" s="326"/>
      <c r="S1292" s="326"/>
      <c r="T1292" s="294"/>
      <c r="U1292" s="294"/>
      <c r="V1292" s="294"/>
      <c r="W1292" s="294"/>
      <c r="X1292" s="1182"/>
      <c r="Y1292" s="1182"/>
      <c r="Z1292" s="1166"/>
      <c r="AA1292" s="1166"/>
      <c r="AB1292" s="1182"/>
      <c r="AC1292" s="294"/>
      <c r="AD1292" s="294"/>
      <c r="AE1292" s="294"/>
      <c r="AF1292" s="294"/>
      <c r="AG1292" s="294"/>
      <c r="AH1292" s="294"/>
      <c r="AI1292" s="294"/>
      <c r="AJ1292" s="294"/>
    </row>
    <row r="1293" spans="2:36" x14ac:dyDescent="0.25">
      <c r="B1293" s="294"/>
      <c r="C1293" s="294"/>
      <c r="D1293" s="294"/>
      <c r="E1293" s="294"/>
      <c r="F1293" s="294"/>
      <c r="G1293" s="294"/>
      <c r="H1293" s="294"/>
      <c r="I1293" s="294"/>
      <c r="J1293" s="294"/>
      <c r="L1293" s="295"/>
      <c r="M1293" s="294"/>
      <c r="R1293" s="326"/>
      <c r="S1293" s="326"/>
      <c r="T1293" s="294"/>
      <c r="U1293" s="294"/>
      <c r="V1293" s="294"/>
      <c r="W1293" s="294"/>
      <c r="X1293" s="1182"/>
      <c r="Y1293" s="1182"/>
      <c r="Z1293" s="1166"/>
      <c r="AA1293" s="1166"/>
      <c r="AB1293" s="1182"/>
      <c r="AC1293" s="294"/>
      <c r="AD1293" s="294"/>
      <c r="AE1293" s="294"/>
      <c r="AF1293" s="294"/>
      <c r="AG1293" s="294"/>
      <c r="AH1293" s="294"/>
      <c r="AI1293" s="294"/>
      <c r="AJ1293" s="294"/>
    </row>
    <row r="1294" spans="2:36" x14ac:dyDescent="0.25">
      <c r="B1294" s="294"/>
      <c r="C1294" s="294"/>
      <c r="D1294" s="294"/>
      <c r="E1294" s="294"/>
      <c r="F1294" s="294"/>
      <c r="G1294" s="294"/>
      <c r="H1294" s="294"/>
      <c r="I1294" s="294"/>
      <c r="J1294" s="294"/>
      <c r="L1294" s="295"/>
      <c r="M1294" s="294"/>
      <c r="R1294" s="326"/>
      <c r="S1294" s="326"/>
      <c r="T1294" s="294"/>
      <c r="U1294" s="294"/>
      <c r="V1294" s="294"/>
      <c r="W1294" s="294"/>
      <c r="X1294" s="1182"/>
      <c r="Y1294" s="1182"/>
      <c r="Z1294" s="1166"/>
      <c r="AA1294" s="1166"/>
      <c r="AB1294" s="1182"/>
      <c r="AC1294" s="294"/>
      <c r="AD1294" s="294"/>
      <c r="AE1294" s="294"/>
      <c r="AF1294" s="294"/>
      <c r="AG1294" s="294"/>
      <c r="AH1294" s="294"/>
      <c r="AI1294" s="294"/>
      <c r="AJ1294" s="294"/>
    </row>
    <row r="1295" spans="2:36" x14ac:dyDescent="0.25">
      <c r="B1295" s="294"/>
      <c r="C1295" s="294"/>
      <c r="D1295" s="294"/>
      <c r="E1295" s="294"/>
      <c r="F1295" s="294"/>
      <c r="G1295" s="294"/>
      <c r="H1295" s="294"/>
      <c r="I1295" s="294"/>
      <c r="J1295" s="294"/>
      <c r="L1295" s="295"/>
      <c r="M1295" s="294"/>
      <c r="R1295" s="326"/>
      <c r="S1295" s="326"/>
      <c r="T1295" s="294"/>
      <c r="U1295" s="294"/>
      <c r="V1295" s="294"/>
      <c r="W1295" s="294"/>
      <c r="X1295" s="1182"/>
      <c r="Y1295" s="1182"/>
      <c r="Z1295" s="1166"/>
      <c r="AA1295" s="1166"/>
      <c r="AB1295" s="1182"/>
      <c r="AC1295" s="294"/>
      <c r="AD1295" s="294"/>
      <c r="AE1295" s="294"/>
      <c r="AF1295" s="294"/>
      <c r="AG1295" s="294"/>
      <c r="AH1295" s="294"/>
      <c r="AI1295" s="294"/>
      <c r="AJ1295" s="294"/>
    </row>
    <row r="1296" spans="2:36" x14ac:dyDescent="0.25">
      <c r="B1296" s="294"/>
      <c r="C1296" s="294"/>
      <c r="D1296" s="294"/>
      <c r="E1296" s="294"/>
      <c r="F1296" s="294"/>
      <c r="G1296" s="294"/>
      <c r="H1296" s="294"/>
      <c r="I1296" s="294"/>
      <c r="J1296" s="294"/>
      <c r="L1296" s="295"/>
      <c r="M1296" s="294"/>
      <c r="R1296" s="326"/>
      <c r="S1296" s="326"/>
      <c r="T1296" s="294"/>
      <c r="U1296" s="294"/>
      <c r="V1296" s="294"/>
      <c r="W1296" s="294"/>
      <c r="X1296" s="1182"/>
      <c r="Y1296" s="1182"/>
      <c r="Z1296" s="1166"/>
      <c r="AA1296" s="1166"/>
      <c r="AB1296" s="1182"/>
      <c r="AC1296" s="294"/>
      <c r="AD1296" s="294"/>
      <c r="AE1296" s="294"/>
      <c r="AF1296" s="294"/>
      <c r="AG1296" s="294"/>
      <c r="AH1296" s="294"/>
      <c r="AI1296" s="294"/>
      <c r="AJ1296" s="294"/>
    </row>
    <row r="1297" spans="2:36" x14ac:dyDescent="0.25">
      <c r="B1297" s="294"/>
      <c r="C1297" s="294"/>
      <c r="D1297" s="294"/>
      <c r="E1297" s="294"/>
      <c r="F1297" s="294"/>
      <c r="G1297" s="294"/>
      <c r="H1297" s="294"/>
      <c r="I1297" s="294"/>
      <c r="J1297" s="294"/>
      <c r="L1297" s="295"/>
      <c r="M1297" s="294"/>
      <c r="R1297" s="326"/>
      <c r="S1297" s="326"/>
      <c r="T1297" s="294"/>
      <c r="U1297" s="294"/>
      <c r="V1297" s="294"/>
      <c r="W1297" s="294"/>
      <c r="X1297" s="1182"/>
      <c r="Y1297" s="1182"/>
      <c r="Z1297" s="1166"/>
      <c r="AA1297" s="1166"/>
      <c r="AB1297" s="1182"/>
      <c r="AC1297" s="294"/>
      <c r="AD1297" s="294"/>
      <c r="AE1297" s="294"/>
      <c r="AF1297" s="294"/>
      <c r="AG1297" s="294"/>
      <c r="AH1297" s="294"/>
      <c r="AI1297" s="294"/>
      <c r="AJ1297" s="294"/>
    </row>
    <row r="1298" spans="2:36" x14ac:dyDescent="0.25">
      <c r="B1298" s="294"/>
      <c r="C1298" s="294"/>
      <c r="D1298" s="294"/>
      <c r="E1298" s="294"/>
      <c r="F1298" s="294"/>
      <c r="G1298" s="294"/>
      <c r="H1298" s="294"/>
      <c r="I1298" s="294"/>
      <c r="J1298" s="294"/>
      <c r="L1298" s="295"/>
      <c r="M1298" s="294"/>
      <c r="R1298" s="326"/>
      <c r="S1298" s="326"/>
      <c r="T1298" s="294"/>
      <c r="U1298" s="294"/>
      <c r="V1298" s="294"/>
      <c r="W1298" s="294"/>
      <c r="X1298" s="1182"/>
      <c r="Y1298" s="1182"/>
      <c r="Z1298" s="1166"/>
      <c r="AA1298" s="1166"/>
      <c r="AB1298" s="1182"/>
      <c r="AC1298" s="294"/>
      <c r="AD1298" s="294"/>
      <c r="AE1298" s="294"/>
      <c r="AF1298" s="294"/>
      <c r="AG1298" s="294"/>
      <c r="AH1298" s="294"/>
      <c r="AI1298" s="294"/>
      <c r="AJ1298" s="294"/>
    </row>
    <row r="1299" spans="2:36" x14ac:dyDescent="0.25">
      <c r="B1299" s="294"/>
      <c r="C1299" s="294"/>
      <c r="D1299" s="294"/>
      <c r="E1299" s="294"/>
      <c r="F1299" s="294"/>
      <c r="G1299" s="294"/>
      <c r="H1299" s="294"/>
      <c r="I1299" s="294"/>
      <c r="J1299" s="294"/>
      <c r="L1299" s="295"/>
      <c r="M1299" s="294"/>
      <c r="R1299" s="326"/>
      <c r="S1299" s="326"/>
      <c r="T1299" s="294"/>
      <c r="U1299" s="294"/>
      <c r="V1299" s="294"/>
      <c r="W1299" s="294"/>
      <c r="X1299" s="1182"/>
      <c r="Y1299" s="1182"/>
      <c r="Z1299" s="1166"/>
      <c r="AA1299" s="1166"/>
      <c r="AB1299" s="1182"/>
      <c r="AC1299" s="294"/>
      <c r="AD1299" s="294"/>
      <c r="AE1299" s="294"/>
      <c r="AF1299" s="294"/>
      <c r="AG1299" s="294"/>
      <c r="AH1299" s="294"/>
      <c r="AI1299" s="294"/>
      <c r="AJ1299" s="294"/>
    </row>
    <row r="1300" spans="2:36" x14ac:dyDescent="0.25">
      <c r="B1300" s="294"/>
      <c r="C1300" s="294"/>
      <c r="D1300" s="294"/>
      <c r="E1300" s="294"/>
      <c r="F1300" s="294"/>
      <c r="G1300" s="294"/>
      <c r="H1300" s="294"/>
      <c r="I1300" s="294"/>
      <c r="J1300" s="294"/>
      <c r="L1300" s="295"/>
      <c r="M1300" s="294"/>
      <c r="R1300" s="326"/>
      <c r="S1300" s="326"/>
      <c r="T1300" s="294"/>
      <c r="U1300" s="294"/>
      <c r="V1300" s="294"/>
      <c r="W1300" s="294"/>
      <c r="X1300" s="1182"/>
      <c r="Y1300" s="1182"/>
      <c r="Z1300" s="1166"/>
      <c r="AA1300" s="1166"/>
      <c r="AB1300" s="1182"/>
      <c r="AC1300" s="294"/>
      <c r="AD1300" s="294"/>
      <c r="AE1300" s="294"/>
      <c r="AF1300" s="294"/>
      <c r="AG1300" s="294"/>
      <c r="AH1300" s="294"/>
      <c r="AI1300" s="294"/>
      <c r="AJ1300" s="294"/>
    </row>
    <row r="1301" spans="2:36" x14ac:dyDescent="0.25">
      <c r="B1301" s="294"/>
      <c r="C1301" s="294"/>
      <c r="D1301" s="294"/>
      <c r="E1301" s="294"/>
      <c r="F1301" s="294"/>
      <c r="G1301" s="294"/>
      <c r="H1301" s="294"/>
      <c r="I1301" s="294"/>
      <c r="J1301" s="294"/>
      <c r="L1301" s="295"/>
      <c r="M1301" s="294"/>
      <c r="R1301" s="326"/>
      <c r="S1301" s="326"/>
      <c r="T1301" s="294"/>
      <c r="U1301" s="294"/>
      <c r="V1301" s="294"/>
      <c r="W1301" s="294"/>
      <c r="X1301" s="1182"/>
      <c r="Y1301" s="1182"/>
      <c r="Z1301" s="1166"/>
      <c r="AA1301" s="1166"/>
      <c r="AB1301" s="1182"/>
      <c r="AC1301" s="294"/>
      <c r="AD1301" s="294"/>
      <c r="AE1301" s="294"/>
      <c r="AF1301" s="294"/>
      <c r="AG1301" s="294"/>
      <c r="AH1301" s="294"/>
      <c r="AI1301" s="294"/>
      <c r="AJ1301" s="294"/>
    </row>
    <row r="1302" spans="2:36" x14ac:dyDescent="0.25">
      <c r="B1302" s="294"/>
      <c r="C1302" s="294"/>
      <c r="D1302" s="294"/>
      <c r="E1302" s="294"/>
      <c r="F1302" s="294"/>
      <c r="G1302" s="294"/>
      <c r="H1302" s="294"/>
      <c r="I1302" s="294"/>
      <c r="J1302" s="294"/>
      <c r="L1302" s="295"/>
      <c r="M1302" s="294"/>
      <c r="R1302" s="326"/>
      <c r="S1302" s="326"/>
      <c r="T1302" s="294"/>
      <c r="U1302" s="294"/>
      <c r="V1302" s="294"/>
      <c r="W1302" s="294"/>
      <c r="X1302" s="1182"/>
      <c r="Y1302" s="1182"/>
      <c r="Z1302" s="1166"/>
      <c r="AA1302" s="1166"/>
      <c r="AB1302" s="1182"/>
      <c r="AC1302" s="294"/>
      <c r="AD1302" s="294"/>
      <c r="AE1302" s="294"/>
      <c r="AF1302" s="294"/>
      <c r="AG1302" s="294"/>
      <c r="AH1302" s="294"/>
      <c r="AI1302" s="294"/>
      <c r="AJ1302" s="294"/>
    </row>
    <row r="1303" spans="2:36" x14ac:dyDescent="0.25">
      <c r="B1303" s="294"/>
      <c r="C1303" s="294"/>
      <c r="D1303" s="294"/>
      <c r="E1303" s="294"/>
      <c r="F1303" s="294"/>
      <c r="G1303" s="294"/>
      <c r="H1303" s="294"/>
      <c r="I1303" s="294"/>
      <c r="J1303" s="294"/>
      <c r="L1303" s="295"/>
      <c r="M1303" s="294"/>
      <c r="R1303" s="326"/>
      <c r="S1303" s="326"/>
      <c r="T1303" s="294"/>
      <c r="U1303" s="294"/>
      <c r="V1303" s="294"/>
      <c r="W1303" s="294"/>
      <c r="X1303" s="1182"/>
      <c r="Y1303" s="1182"/>
      <c r="Z1303" s="1166"/>
      <c r="AA1303" s="1166"/>
      <c r="AB1303" s="1182"/>
      <c r="AC1303" s="294"/>
      <c r="AD1303" s="294"/>
      <c r="AE1303" s="294"/>
      <c r="AF1303" s="294"/>
      <c r="AG1303" s="294"/>
      <c r="AH1303" s="294"/>
      <c r="AI1303" s="294"/>
      <c r="AJ1303" s="294"/>
    </row>
    <row r="1304" spans="2:36" x14ac:dyDescent="0.25">
      <c r="B1304" s="294"/>
      <c r="C1304" s="294"/>
      <c r="D1304" s="294"/>
      <c r="E1304" s="294"/>
      <c r="F1304" s="294"/>
      <c r="G1304" s="294"/>
      <c r="H1304" s="294"/>
      <c r="I1304" s="294"/>
      <c r="J1304" s="294"/>
      <c r="L1304" s="295"/>
      <c r="M1304" s="294"/>
      <c r="R1304" s="326"/>
      <c r="S1304" s="326"/>
      <c r="T1304" s="294"/>
      <c r="U1304" s="294"/>
      <c r="V1304" s="294"/>
      <c r="W1304" s="294"/>
      <c r="X1304" s="1182"/>
      <c r="Y1304" s="1182"/>
      <c r="Z1304" s="1166"/>
      <c r="AA1304" s="1166"/>
      <c r="AB1304" s="1182"/>
      <c r="AC1304" s="294"/>
      <c r="AD1304" s="294"/>
      <c r="AE1304" s="294"/>
      <c r="AF1304" s="294"/>
      <c r="AG1304" s="294"/>
      <c r="AH1304" s="294"/>
      <c r="AI1304" s="294"/>
      <c r="AJ1304" s="294"/>
    </row>
    <row r="1305" spans="2:36" x14ac:dyDescent="0.25">
      <c r="B1305" s="294"/>
      <c r="C1305" s="294"/>
      <c r="D1305" s="294"/>
      <c r="E1305" s="294"/>
      <c r="F1305" s="294"/>
      <c r="G1305" s="294"/>
      <c r="H1305" s="294"/>
      <c r="I1305" s="294"/>
      <c r="J1305" s="294"/>
      <c r="L1305" s="295"/>
      <c r="M1305" s="294"/>
      <c r="R1305" s="326"/>
      <c r="S1305" s="326"/>
      <c r="T1305" s="294"/>
      <c r="U1305" s="294"/>
      <c r="V1305" s="294"/>
      <c r="W1305" s="294"/>
      <c r="X1305" s="1182"/>
      <c r="Y1305" s="1182"/>
      <c r="Z1305" s="1166"/>
      <c r="AA1305" s="1166"/>
      <c r="AB1305" s="1182"/>
      <c r="AC1305" s="294"/>
      <c r="AD1305" s="294"/>
      <c r="AE1305" s="294"/>
      <c r="AF1305" s="294"/>
      <c r="AG1305" s="294"/>
      <c r="AH1305" s="294"/>
      <c r="AI1305" s="294"/>
      <c r="AJ1305" s="294"/>
    </row>
    <row r="1306" spans="2:36" x14ac:dyDescent="0.25">
      <c r="B1306" s="294"/>
      <c r="C1306" s="294"/>
      <c r="D1306" s="294"/>
      <c r="E1306" s="294"/>
      <c r="F1306" s="294"/>
      <c r="G1306" s="294"/>
      <c r="H1306" s="294"/>
      <c r="I1306" s="294"/>
      <c r="J1306" s="294"/>
      <c r="L1306" s="295"/>
      <c r="M1306" s="294"/>
      <c r="R1306" s="326"/>
      <c r="S1306" s="326"/>
      <c r="T1306" s="294"/>
      <c r="U1306" s="294"/>
      <c r="V1306" s="294"/>
      <c r="W1306" s="294"/>
      <c r="X1306" s="1182"/>
      <c r="Y1306" s="1182"/>
      <c r="Z1306" s="1166"/>
      <c r="AA1306" s="1166"/>
      <c r="AB1306" s="1182"/>
      <c r="AC1306" s="294"/>
      <c r="AD1306" s="294"/>
      <c r="AE1306" s="294"/>
      <c r="AF1306" s="294"/>
      <c r="AG1306" s="294"/>
      <c r="AH1306" s="294"/>
      <c r="AI1306" s="294"/>
      <c r="AJ1306" s="294"/>
    </row>
    <row r="1307" spans="2:36" x14ac:dyDescent="0.25">
      <c r="B1307" s="294"/>
      <c r="C1307" s="294"/>
      <c r="D1307" s="294"/>
      <c r="E1307" s="294"/>
      <c r="F1307" s="294"/>
      <c r="G1307" s="294"/>
      <c r="H1307" s="294"/>
      <c r="I1307" s="294"/>
      <c r="J1307" s="294"/>
      <c r="L1307" s="295"/>
      <c r="M1307" s="294"/>
      <c r="R1307" s="326"/>
      <c r="S1307" s="326"/>
      <c r="T1307" s="294"/>
      <c r="U1307" s="294"/>
      <c r="V1307" s="294"/>
      <c r="W1307" s="294"/>
      <c r="X1307" s="1182"/>
      <c r="Y1307" s="1182"/>
      <c r="Z1307" s="1166"/>
      <c r="AA1307" s="1166"/>
      <c r="AB1307" s="1182"/>
      <c r="AC1307" s="294"/>
      <c r="AD1307" s="294"/>
      <c r="AE1307" s="294"/>
      <c r="AF1307" s="294"/>
      <c r="AG1307" s="294"/>
      <c r="AH1307" s="294"/>
      <c r="AI1307" s="294"/>
      <c r="AJ1307" s="294"/>
    </row>
    <row r="1308" spans="2:36" x14ac:dyDescent="0.25">
      <c r="B1308" s="294"/>
      <c r="C1308" s="294"/>
      <c r="D1308" s="294"/>
      <c r="E1308" s="294"/>
      <c r="F1308" s="294"/>
      <c r="G1308" s="294"/>
      <c r="H1308" s="294"/>
      <c r="I1308" s="294"/>
      <c r="J1308" s="294"/>
      <c r="L1308" s="295"/>
      <c r="M1308" s="294"/>
      <c r="R1308" s="326"/>
      <c r="S1308" s="326"/>
      <c r="T1308" s="294"/>
      <c r="U1308" s="294"/>
      <c r="V1308" s="294"/>
      <c r="W1308" s="294"/>
      <c r="X1308" s="1182"/>
      <c r="Y1308" s="1182"/>
      <c r="Z1308" s="1166"/>
      <c r="AA1308" s="1166"/>
      <c r="AB1308" s="1182"/>
      <c r="AC1308" s="294"/>
      <c r="AD1308" s="294"/>
      <c r="AE1308" s="294"/>
      <c r="AF1308" s="294"/>
      <c r="AG1308" s="294"/>
      <c r="AH1308" s="294"/>
      <c r="AI1308" s="294"/>
      <c r="AJ1308" s="294"/>
    </row>
    <row r="1309" spans="2:36" x14ac:dyDescent="0.25">
      <c r="B1309" s="294"/>
      <c r="C1309" s="294"/>
      <c r="D1309" s="294"/>
      <c r="E1309" s="294"/>
      <c r="F1309" s="294"/>
      <c r="G1309" s="294"/>
      <c r="H1309" s="294"/>
      <c r="I1309" s="294"/>
      <c r="J1309" s="294"/>
      <c r="L1309" s="295"/>
      <c r="M1309" s="294"/>
      <c r="R1309" s="326"/>
      <c r="S1309" s="326"/>
      <c r="T1309" s="294"/>
      <c r="U1309" s="294"/>
      <c r="V1309" s="294"/>
      <c r="W1309" s="294"/>
      <c r="X1309" s="1182"/>
      <c r="Y1309" s="1182"/>
      <c r="Z1309" s="1166"/>
      <c r="AA1309" s="1166"/>
      <c r="AB1309" s="1182"/>
      <c r="AC1309" s="294"/>
      <c r="AD1309" s="294"/>
      <c r="AE1309" s="294"/>
      <c r="AF1309" s="294"/>
      <c r="AG1309" s="294"/>
      <c r="AH1309" s="294"/>
      <c r="AI1309" s="294"/>
      <c r="AJ1309" s="294"/>
    </row>
    <row r="1310" spans="2:36" x14ac:dyDescent="0.25">
      <c r="B1310" s="294"/>
      <c r="C1310" s="294"/>
      <c r="D1310" s="294"/>
      <c r="E1310" s="294"/>
      <c r="F1310" s="294"/>
      <c r="G1310" s="294"/>
      <c r="H1310" s="294"/>
      <c r="I1310" s="294"/>
      <c r="J1310" s="294"/>
      <c r="L1310" s="295"/>
      <c r="M1310" s="294"/>
      <c r="R1310" s="326"/>
      <c r="S1310" s="326"/>
      <c r="T1310" s="294"/>
      <c r="U1310" s="294"/>
      <c r="V1310" s="294"/>
      <c r="W1310" s="294"/>
      <c r="X1310" s="1182"/>
      <c r="Y1310" s="1182"/>
      <c r="Z1310" s="1166"/>
      <c r="AA1310" s="1166"/>
      <c r="AB1310" s="1182"/>
      <c r="AC1310" s="294"/>
      <c r="AD1310" s="294"/>
      <c r="AE1310" s="294"/>
      <c r="AF1310" s="294"/>
      <c r="AG1310" s="294"/>
      <c r="AH1310" s="294"/>
      <c r="AI1310" s="294"/>
      <c r="AJ1310" s="294"/>
    </row>
    <row r="1311" spans="2:36" x14ac:dyDescent="0.25">
      <c r="B1311" s="294"/>
      <c r="C1311" s="294"/>
      <c r="D1311" s="294"/>
      <c r="E1311" s="294"/>
      <c r="F1311" s="294"/>
      <c r="G1311" s="294"/>
      <c r="H1311" s="294"/>
      <c r="I1311" s="294"/>
      <c r="J1311" s="294"/>
      <c r="L1311" s="295"/>
      <c r="M1311" s="294"/>
      <c r="R1311" s="326"/>
      <c r="S1311" s="326"/>
      <c r="T1311" s="294"/>
      <c r="U1311" s="294"/>
      <c r="V1311" s="294"/>
      <c r="W1311" s="294"/>
      <c r="X1311" s="1182"/>
      <c r="Y1311" s="1182"/>
      <c r="Z1311" s="1166"/>
      <c r="AA1311" s="1166"/>
      <c r="AB1311" s="1182"/>
      <c r="AC1311" s="294"/>
      <c r="AD1311" s="294"/>
      <c r="AE1311" s="294"/>
      <c r="AF1311" s="294"/>
      <c r="AG1311" s="294"/>
      <c r="AH1311" s="294"/>
      <c r="AI1311" s="294"/>
      <c r="AJ1311" s="294"/>
    </row>
    <row r="1312" spans="2:36" x14ac:dyDescent="0.25">
      <c r="B1312" s="294"/>
      <c r="C1312" s="294"/>
      <c r="D1312" s="294"/>
      <c r="E1312" s="294"/>
      <c r="F1312" s="294"/>
      <c r="G1312" s="294"/>
      <c r="H1312" s="294"/>
      <c r="I1312" s="294"/>
      <c r="J1312" s="294"/>
      <c r="L1312" s="295"/>
      <c r="M1312" s="294"/>
      <c r="R1312" s="326"/>
      <c r="S1312" s="326"/>
      <c r="T1312" s="294"/>
      <c r="U1312" s="294"/>
      <c r="V1312" s="294"/>
      <c r="W1312" s="294"/>
      <c r="X1312" s="1182"/>
      <c r="Y1312" s="1182"/>
      <c r="Z1312" s="1166"/>
      <c r="AA1312" s="1166"/>
      <c r="AB1312" s="1182"/>
      <c r="AC1312" s="294"/>
      <c r="AD1312" s="294"/>
      <c r="AE1312" s="294"/>
      <c r="AF1312" s="294"/>
      <c r="AG1312" s="294"/>
      <c r="AH1312" s="294"/>
      <c r="AI1312" s="294"/>
      <c r="AJ1312" s="294"/>
    </row>
    <row r="1313" spans="2:36" x14ac:dyDescent="0.25">
      <c r="B1313" s="294"/>
      <c r="C1313" s="294"/>
      <c r="D1313" s="294"/>
      <c r="E1313" s="294"/>
      <c r="F1313" s="294"/>
      <c r="G1313" s="294"/>
      <c r="H1313" s="294"/>
      <c r="I1313" s="294"/>
      <c r="J1313" s="294"/>
      <c r="L1313" s="295"/>
      <c r="M1313" s="294"/>
      <c r="R1313" s="326"/>
      <c r="S1313" s="326"/>
      <c r="T1313" s="294"/>
      <c r="U1313" s="294"/>
      <c r="V1313" s="294"/>
      <c r="W1313" s="294"/>
      <c r="X1313" s="1182"/>
      <c r="Y1313" s="1182"/>
      <c r="Z1313" s="1166"/>
      <c r="AA1313" s="1166"/>
      <c r="AB1313" s="1182"/>
      <c r="AC1313" s="294"/>
      <c r="AD1313" s="294"/>
      <c r="AE1313" s="294"/>
      <c r="AF1313" s="294"/>
      <c r="AG1313" s="294"/>
      <c r="AH1313" s="294"/>
      <c r="AI1313" s="294"/>
      <c r="AJ1313" s="294"/>
    </row>
    <row r="1314" spans="2:36" x14ac:dyDescent="0.25">
      <c r="B1314" s="294"/>
      <c r="C1314" s="294"/>
      <c r="D1314" s="294"/>
      <c r="E1314" s="294"/>
      <c r="F1314" s="294"/>
      <c r="G1314" s="294"/>
      <c r="H1314" s="294"/>
      <c r="I1314" s="294"/>
      <c r="J1314" s="294"/>
      <c r="L1314" s="295"/>
      <c r="M1314" s="294"/>
      <c r="R1314" s="326"/>
      <c r="S1314" s="326"/>
      <c r="T1314" s="294"/>
      <c r="U1314" s="294"/>
      <c r="V1314" s="294"/>
      <c r="W1314" s="294"/>
      <c r="X1314" s="1182"/>
      <c r="Y1314" s="1182"/>
      <c r="Z1314" s="1166"/>
      <c r="AA1314" s="1166"/>
      <c r="AB1314" s="1182"/>
      <c r="AC1314" s="294"/>
      <c r="AD1314" s="294"/>
      <c r="AE1314" s="294"/>
      <c r="AF1314" s="294"/>
      <c r="AG1314" s="294"/>
      <c r="AH1314" s="294"/>
      <c r="AI1314" s="294"/>
      <c r="AJ1314" s="294"/>
    </row>
    <row r="1315" spans="2:36" x14ac:dyDescent="0.25">
      <c r="B1315" s="294"/>
      <c r="C1315" s="294"/>
      <c r="D1315" s="294"/>
      <c r="E1315" s="294"/>
      <c r="F1315" s="294"/>
      <c r="G1315" s="294"/>
      <c r="H1315" s="294"/>
      <c r="I1315" s="294"/>
      <c r="J1315" s="294"/>
      <c r="L1315" s="295"/>
      <c r="M1315" s="294"/>
      <c r="R1315" s="326"/>
      <c r="S1315" s="326"/>
      <c r="T1315" s="294"/>
      <c r="U1315" s="294"/>
      <c r="V1315" s="294"/>
      <c r="W1315" s="294"/>
      <c r="X1315" s="1182"/>
      <c r="Y1315" s="1182"/>
      <c r="Z1315" s="1166"/>
      <c r="AA1315" s="1166"/>
      <c r="AB1315" s="1182"/>
      <c r="AC1315" s="294"/>
      <c r="AD1315" s="294"/>
      <c r="AE1315" s="294"/>
      <c r="AF1315" s="294"/>
      <c r="AG1315" s="294"/>
      <c r="AH1315" s="294"/>
      <c r="AI1315" s="294"/>
      <c r="AJ1315" s="294"/>
    </row>
    <row r="1316" spans="2:36" x14ac:dyDescent="0.25">
      <c r="B1316" s="294"/>
      <c r="C1316" s="294"/>
      <c r="D1316" s="294"/>
      <c r="E1316" s="294"/>
      <c r="F1316" s="294"/>
      <c r="G1316" s="294"/>
      <c r="H1316" s="294"/>
      <c r="I1316" s="294"/>
      <c r="J1316" s="294"/>
      <c r="L1316" s="295"/>
      <c r="M1316" s="294"/>
      <c r="R1316" s="326"/>
      <c r="S1316" s="326"/>
      <c r="T1316" s="294"/>
      <c r="U1316" s="294"/>
      <c r="V1316" s="294"/>
      <c r="W1316" s="294"/>
      <c r="X1316" s="1182"/>
      <c r="Y1316" s="1182"/>
      <c r="Z1316" s="1166"/>
      <c r="AA1316" s="1166"/>
      <c r="AB1316" s="1182"/>
      <c r="AC1316" s="294"/>
      <c r="AD1316" s="294"/>
      <c r="AE1316" s="294"/>
      <c r="AF1316" s="294"/>
      <c r="AG1316" s="294"/>
      <c r="AH1316" s="294"/>
      <c r="AI1316" s="294"/>
      <c r="AJ1316" s="294"/>
    </row>
    <row r="1317" spans="2:36" x14ac:dyDescent="0.25">
      <c r="B1317" s="294"/>
      <c r="C1317" s="294"/>
      <c r="D1317" s="294"/>
      <c r="E1317" s="294"/>
      <c r="F1317" s="294"/>
      <c r="G1317" s="294"/>
      <c r="H1317" s="294"/>
      <c r="I1317" s="294"/>
      <c r="J1317" s="294"/>
      <c r="L1317" s="295"/>
      <c r="M1317" s="294"/>
      <c r="R1317" s="326"/>
      <c r="S1317" s="326"/>
      <c r="T1317" s="294"/>
      <c r="U1317" s="294"/>
      <c r="V1317" s="294"/>
      <c r="W1317" s="294"/>
      <c r="X1317" s="1182"/>
      <c r="Y1317" s="1182"/>
      <c r="Z1317" s="1166"/>
      <c r="AA1317" s="1166"/>
      <c r="AB1317" s="1182"/>
      <c r="AC1317" s="294"/>
      <c r="AD1317" s="294"/>
      <c r="AE1317" s="294"/>
      <c r="AF1317" s="294"/>
      <c r="AG1317" s="294"/>
      <c r="AH1317" s="294"/>
      <c r="AI1317" s="294"/>
      <c r="AJ1317" s="294"/>
    </row>
    <row r="1318" spans="2:36" x14ac:dyDescent="0.25">
      <c r="B1318" s="294"/>
      <c r="C1318" s="294"/>
      <c r="D1318" s="294"/>
      <c r="E1318" s="294"/>
      <c r="F1318" s="294"/>
      <c r="G1318" s="294"/>
      <c r="H1318" s="294"/>
      <c r="I1318" s="294"/>
      <c r="J1318" s="294"/>
      <c r="L1318" s="295"/>
      <c r="M1318" s="294"/>
      <c r="R1318" s="326"/>
      <c r="S1318" s="326"/>
      <c r="T1318" s="294"/>
      <c r="U1318" s="294"/>
      <c r="V1318" s="294"/>
      <c r="W1318" s="294"/>
      <c r="X1318" s="1182"/>
      <c r="Y1318" s="1182"/>
      <c r="Z1318" s="1166"/>
      <c r="AA1318" s="1166"/>
      <c r="AB1318" s="1182"/>
      <c r="AC1318" s="294"/>
      <c r="AD1318" s="294"/>
      <c r="AE1318" s="294"/>
      <c r="AF1318" s="294"/>
      <c r="AG1318" s="294"/>
      <c r="AH1318" s="294"/>
      <c r="AI1318" s="294"/>
      <c r="AJ1318" s="294"/>
    </row>
    <row r="1319" spans="2:36" x14ac:dyDescent="0.25">
      <c r="B1319" s="294"/>
      <c r="C1319" s="294"/>
      <c r="D1319" s="294"/>
      <c r="E1319" s="294"/>
      <c r="F1319" s="294"/>
      <c r="G1319" s="294"/>
      <c r="H1319" s="294"/>
      <c r="I1319" s="294"/>
      <c r="J1319" s="294"/>
      <c r="L1319" s="295"/>
      <c r="M1319" s="294"/>
      <c r="R1319" s="326"/>
      <c r="S1319" s="326"/>
      <c r="T1319" s="294"/>
      <c r="U1319" s="294"/>
      <c r="V1319" s="294"/>
      <c r="W1319" s="294"/>
      <c r="X1319" s="1182"/>
      <c r="Y1319" s="1182"/>
      <c r="Z1319" s="1166"/>
      <c r="AA1319" s="1166"/>
      <c r="AB1319" s="1182"/>
      <c r="AC1319" s="294"/>
      <c r="AD1319" s="294"/>
      <c r="AE1319" s="294"/>
      <c r="AF1319" s="294"/>
      <c r="AG1319" s="294"/>
      <c r="AH1319" s="294"/>
      <c r="AI1319" s="294"/>
      <c r="AJ1319" s="294"/>
    </row>
    <row r="1320" spans="2:36" x14ac:dyDescent="0.25">
      <c r="B1320" s="294"/>
      <c r="C1320" s="294"/>
      <c r="D1320" s="294"/>
      <c r="E1320" s="294"/>
      <c r="F1320" s="294"/>
      <c r="G1320" s="294"/>
      <c r="H1320" s="294"/>
      <c r="I1320" s="294"/>
      <c r="J1320" s="294"/>
      <c r="L1320" s="295"/>
      <c r="M1320" s="294"/>
      <c r="R1320" s="326"/>
      <c r="S1320" s="326"/>
      <c r="T1320" s="294"/>
      <c r="U1320" s="294"/>
      <c r="V1320" s="294"/>
      <c r="W1320" s="294"/>
      <c r="X1320" s="1182"/>
      <c r="Y1320" s="1182"/>
      <c r="Z1320" s="1166"/>
      <c r="AA1320" s="1166"/>
      <c r="AB1320" s="1182"/>
      <c r="AC1320" s="294"/>
      <c r="AD1320" s="294"/>
      <c r="AE1320" s="294"/>
      <c r="AF1320" s="294"/>
      <c r="AG1320" s="294"/>
      <c r="AH1320" s="294"/>
      <c r="AI1320" s="294"/>
      <c r="AJ1320" s="294"/>
    </row>
    <row r="1321" spans="2:36" x14ac:dyDescent="0.25">
      <c r="B1321" s="294"/>
      <c r="C1321" s="294"/>
      <c r="D1321" s="294"/>
      <c r="E1321" s="294"/>
      <c r="F1321" s="294"/>
      <c r="G1321" s="294"/>
      <c r="H1321" s="294"/>
      <c r="I1321" s="294"/>
      <c r="J1321" s="294"/>
      <c r="L1321" s="295"/>
      <c r="M1321" s="294"/>
      <c r="R1321" s="326"/>
      <c r="S1321" s="326"/>
      <c r="T1321" s="294"/>
      <c r="U1321" s="294"/>
      <c r="V1321" s="294"/>
      <c r="W1321" s="294"/>
      <c r="X1321" s="1182"/>
      <c r="Y1321" s="1182"/>
      <c r="Z1321" s="1166"/>
      <c r="AA1321" s="1166"/>
      <c r="AB1321" s="1182"/>
      <c r="AC1321" s="294"/>
      <c r="AD1321" s="294"/>
      <c r="AE1321" s="294"/>
      <c r="AF1321" s="294"/>
      <c r="AG1321" s="294"/>
      <c r="AH1321" s="294"/>
      <c r="AI1321" s="294"/>
      <c r="AJ1321" s="294"/>
    </row>
    <row r="1322" spans="2:36" x14ac:dyDescent="0.25">
      <c r="B1322" s="294"/>
      <c r="C1322" s="294"/>
      <c r="D1322" s="294"/>
      <c r="E1322" s="294"/>
      <c r="F1322" s="294"/>
      <c r="G1322" s="294"/>
      <c r="H1322" s="294"/>
      <c r="I1322" s="294"/>
      <c r="J1322" s="294"/>
      <c r="L1322" s="295"/>
      <c r="M1322" s="294"/>
      <c r="R1322" s="326"/>
      <c r="S1322" s="326"/>
      <c r="T1322" s="294"/>
      <c r="U1322" s="294"/>
      <c r="V1322" s="294"/>
      <c r="W1322" s="294"/>
      <c r="X1322" s="1182"/>
      <c r="Y1322" s="1182"/>
      <c r="Z1322" s="1166"/>
      <c r="AA1322" s="1166"/>
      <c r="AB1322" s="1182"/>
      <c r="AC1322" s="294"/>
      <c r="AD1322" s="294"/>
      <c r="AE1322" s="294"/>
      <c r="AF1322" s="294"/>
      <c r="AG1322" s="294"/>
      <c r="AH1322" s="294"/>
      <c r="AI1322" s="294"/>
      <c r="AJ1322" s="294"/>
    </row>
    <row r="1323" spans="2:36" x14ac:dyDescent="0.25">
      <c r="B1323" s="294"/>
      <c r="C1323" s="294"/>
      <c r="D1323" s="294"/>
      <c r="E1323" s="294"/>
      <c r="F1323" s="294"/>
      <c r="G1323" s="294"/>
      <c r="H1323" s="294"/>
      <c r="I1323" s="294"/>
      <c r="J1323" s="294"/>
      <c r="L1323" s="295"/>
      <c r="M1323" s="294"/>
      <c r="R1323" s="326"/>
      <c r="S1323" s="326"/>
      <c r="T1323" s="294"/>
      <c r="U1323" s="294"/>
      <c r="V1323" s="294"/>
      <c r="W1323" s="294"/>
      <c r="X1323" s="1182"/>
      <c r="Y1323" s="1182"/>
      <c r="Z1323" s="1166"/>
      <c r="AA1323" s="1166"/>
      <c r="AB1323" s="1182"/>
      <c r="AC1323" s="294"/>
      <c r="AD1323" s="294"/>
      <c r="AE1323" s="294"/>
      <c r="AF1323" s="294"/>
      <c r="AG1323" s="294"/>
      <c r="AH1323" s="294"/>
      <c r="AI1323" s="294"/>
      <c r="AJ1323" s="294"/>
    </row>
    <row r="1324" spans="2:36" x14ac:dyDescent="0.25">
      <c r="B1324" s="294"/>
      <c r="C1324" s="294"/>
      <c r="D1324" s="294"/>
      <c r="E1324" s="294"/>
      <c r="F1324" s="294"/>
      <c r="G1324" s="294"/>
      <c r="H1324" s="294"/>
      <c r="I1324" s="294"/>
      <c r="J1324" s="294"/>
      <c r="L1324" s="295"/>
      <c r="M1324" s="294"/>
      <c r="R1324" s="326"/>
      <c r="S1324" s="326"/>
      <c r="T1324" s="294"/>
      <c r="U1324" s="294"/>
      <c r="V1324" s="294"/>
      <c r="W1324" s="294"/>
      <c r="X1324" s="1182"/>
      <c r="Y1324" s="1182"/>
      <c r="Z1324" s="1166"/>
      <c r="AA1324" s="1166"/>
      <c r="AB1324" s="1182"/>
      <c r="AC1324" s="294"/>
      <c r="AD1324" s="294"/>
      <c r="AE1324" s="294"/>
      <c r="AF1324" s="294"/>
      <c r="AG1324" s="294"/>
      <c r="AH1324" s="294"/>
      <c r="AI1324" s="294"/>
      <c r="AJ1324" s="294"/>
    </row>
    <row r="1325" spans="2:36" x14ac:dyDescent="0.25">
      <c r="B1325" s="294"/>
      <c r="C1325" s="294"/>
      <c r="D1325" s="294"/>
      <c r="E1325" s="294"/>
      <c r="F1325" s="294"/>
      <c r="G1325" s="294"/>
      <c r="H1325" s="294"/>
      <c r="I1325" s="294"/>
      <c r="J1325" s="294"/>
      <c r="L1325" s="295"/>
      <c r="M1325" s="294"/>
      <c r="R1325" s="326"/>
      <c r="S1325" s="326"/>
      <c r="T1325" s="294"/>
      <c r="U1325" s="294"/>
      <c r="V1325" s="294"/>
      <c r="W1325" s="294"/>
      <c r="X1325" s="1182"/>
      <c r="Y1325" s="1182"/>
      <c r="Z1325" s="1166"/>
      <c r="AA1325" s="1166"/>
      <c r="AB1325" s="1182"/>
      <c r="AC1325" s="294"/>
      <c r="AD1325" s="294"/>
      <c r="AE1325" s="294"/>
      <c r="AF1325" s="294"/>
      <c r="AG1325" s="294"/>
      <c r="AH1325" s="294"/>
      <c r="AI1325" s="294"/>
      <c r="AJ1325" s="294"/>
    </row>
    <row r="1326" spans="2:36" x14ac:dyDescent="0.25">
      <c r="B1326" s="294"/>
      <c r="C1326" s="294"/>
      <c r="D1326" s="294"/>
      <c r="E1326" s="294"/>
      <c r="F1326" s="294"/>
      <c r="G1326" s="294"/>
      <c r="H1326" s="294"/>
      <c r="I1326" s="294"/>
      <c r="J1326" s="294"/>
      <c r="L1326" s="295"/>
      <c r="M1326" s="294"/>
      <c r="R1326" s="326"/>
      <c r="S1326" s="326"/>
      <c r="T1326" s="294"/>
      <c r="U1326" s="294"/>
      <c r="V1326" s="294"/>
      <c r="W1326" s="294"/>
      <c r="X1326" s="1182"/>
      <c r="Y1326" s="1182"/>
      <c r="Z1326" s="1166"/>
      <c r="AA1326" s="1166"/>
      <c r="AB1326" s="1182"/>
      <c r="AC1326" s="294"/>
      <c r="AD1326" s="294"/>
      <c r="AE1326" s="294"/>
      <c r="AF1326" s="294"/>
      <c r="AG1326" s="294"/>
      <c r="AH1326" s="294"/>
      <c r="AI1326" s="294"/>
      <c r="AJ1326" s="294"/>
    </row>
    <row r="1327" spans="2:36" x14ac:dyDescent="0.25">
      <c r="B1327" s="294"/>
      <c r="C1327" s="294"/>
      <c r="D1327" s="294"/>
      <c r="E1327" s="294"/>
      <c r="F1327" s="294"/>
      <c r="G1327" s="294"/>
      <c r="H1327" s="294"/>
      <c r="I1327" s="294"/>
      <c r="J1327" s="294"/>
      <c r="L1327" s="295"/>
      <c r="M1327" s="294"/>
      <c r="R1327" s="326"/>
      <c r="S1327" s="326"/>
      <c r="T1327" s="294"/>
      <c r="U1327" s="294"/>
      <c r="V1327" s="294"/>
      <c r="W1327" s="294"/>
      <c r="X1327" s="1182"/>
      <c r="Y1327" s="1182"/>
      <c r="Z1327" s="1166"/>
      <c r="AA1327" s="1166"/>
      <c r="AB1327" s="1182"/>
      <c r="AC1327" s="294"/>
      <c r="AD1327" s="294"/>
      <c r="AE1327" s="294"/>
      <c r="AF1327" s="294"/>
      <c r="AG1327" s="294"/>
      <c r="AH1327" s="294"/>
      <c r="AI1327" s="294"/>
      <c r="AJ1327" s="294"/>
    </row>
    <row r="1328" spans="2:36" x14ac:dyDescent="0.25">
      <c r="B1328" s="294"/>
      <c r="C1328" s="294"/>
      <c r="D1328" s="294"/>
      <c r="E1328" s="294"/>
      <c r="F1328" s="294"/>
      <c r="G1328" s="294"/>
      <c r="H1328" s="294"/>
      <c r="I1328" s="294"/>
      <c r="J1328" s="294"/>
      <c r="L1328" s="295"/>
      <c r="M1328" s="294"/>
      <c r="R1328" s="326"/>
      <c r="S1328" s="326"/>
      <c r="T1328" s="294"/>
      <c r="U1328" s="294"/>
      <c r="V1328" s="294"/>
      <c r="W1328" s="294"/>
      <c r="X1328" s="1182"/>
      <c r="Y1328" s="1182"/>
      <c r="Z1328" s="1166"/>
      <c r="AA1328" s="1166"/>
      <c r="AB1328" s="1182"/>
      <c r="AC1328" s="294"/>
      <c r="AD1328" s="294"/>
      <c r="AE1328" s="294"/>
      <c r="AF1328" s="294"/>
      <c r="AG1328" s="294"/>
      <c r="AH1328" s="294"/>
      <c r="AI1328" s="294"/>
      <c r="AJ1328" s="294"/>
    </row>
    <row r="1329" spans="2:36" x14ac:dyDescent="0.25">
      <c r="B1329" s="294"/>
      <c r="C1329" s="294"/>
      <c r="D1329" s="294"/>
      <c r="E1329" s="294"/>
      <c r="F1329" s="294"/>
      <c r="G1329" s="294"/>
      <c r="H1329" s="294"/>
      <c r="I1329" s="294"/>
      <c r="J1329" s="294"/>
      <c r="L1329" s="295"/>
      <c r="M1329" s="294"/>
      <c r="R1329" s="326"/>
      <c r="S1329" s="326"/>
      <c r="T1329" s="294"/>
      <c r="U1329" s="294"/>
      <c r="V1329" s="294"/>
      <c r="W1329" s="294"/>
      <c r="X1329" s="1182"/>
      <c r="Y1329" s="1182"/>
      <c r="Z1329" s="1166"/>
      <c r="AA1329" s="1166"/>
      <c r="AB1329" s="1182"/>
      <c r="AC1329" s="294"/>
      <c r="AD1329" s="294"/>
      <c r="AE1329" s="294"/>
      <c r="AF1329" s="294"/>
      <c r="AG1329" s="294"/>
      <c r="AH1329" s="294"/>
      <c r="AI1329" s="294"/>
      <c r="AJ1329" s="294"/>
    </row>
    <row r="1330" spans="2:36" x14ac:dyDescent="0.25">
      <c r="B1330" s="294"/>
      <c r="C1330" s="294"/>
      <c r="D1330" s="294"/>
      <c r="E1330" s="294"/>
      <c r="F1330" s="294"/>
      <c r="G1330" s="294"/>
      <c r="H1330" s="294"/>
      <c r="I1330" s="294"/>
      <c r="J1330" s="294"/>
      <c r="L1330" s="295"/>
      <c r="M1330" s="294"/>
      <c r="R1330" s="326"/>
      <c r="S1330" s="326"/>
      <c r="T1330" s="294"/>
      <c r="U1330" s="294"/>
      <c r="V1330" s="294"/>
      <c r="W1330" s="294"/>
      <c r="X1330" s="1182"/>
      <c r="Y1330" s="1182"/>
      <c r="Z1330" s="1166"/>
      <c r="AA1330" s="1166"/>
      <c r="AB1330" s="1182"/>
      <c r="AC1330" s="294"/>
      <c r="AD1330" s="294"/>
      <c r="AE1330" s="294"/>
      <c r="AF1330" s="294"/>
      <c r="AG1330" s="294"/>
      <c r="AH1330" s="294"/>
      <c r="AI1330" s="294"/>
      <c r="AJ1330" s="294"/>
    </row>
    <row r="1331" spans="2:36" x14ac:dyDescent="0.25">
      <c r="B1331" s="294"/>
      <c r="C1331" s="294"/>
      <c r="D1331" s="294"/>
      <c r="E1331" s="294"/>
      <c r="F1331" s="294"/>
      <c r="G1331" s="294"/>
      <c r="H1331" s="294"/>
      <c r="I1331" s="294"/>
      <c r="J1331" s="294"/>
      <c r="L1331" s="295"/>
      <c r="M1331" s="294"/>
      <c r="R1331" s="326"/>
      <c r="S1331" s="326"/>
      <c r="T1331" s="294"/>
      <c r="U1331" s="294"/>
      <c r="V1331" s="294"/>
      <c r="W1331" s="294"/>
      <c r="X1331" s="1182"/>
      <c r="Y1331" s="1182"/>
      <c r="Z1331" s="1166"/>
      <c r="AA1331" s="1166"/>
      <c r="AB1331" s="1182"/>
      <c r="AC1331" s="294"/>
      <c r="AD1331" s="294"/>
      <c r="AE1331" s="294"/>
      <c r="AF1331" s="294"/>
      <c r="AG1331" s="294"/>
      <c r="AH1331" s="294"/>
      <c r="AI1331" s="294"/>
      <c r="AJ1331" s="294"/>
    </row>
    <row r="1332" spans="2:36" x14ac:dyDescent="0.25">
      <c r="B1332" s="294"/>
      <c r="C1332" s="294"/>
      <c r="D1332" s="294"/>
      <c r="E1332" s="294"/>
      <c r="F1332" s="294"/>
      <c r="G1332" s="294"/>
      <c r="H1332" s="294"/>
      <c r="I1332" s="294"/>
      <c r="J1332" s="294"/>
      <c r="L1332" s="295"/>
      <c r="M1332" s="294"/>
      <c r="R1332" s="326"/>
      <c r="S1332" s="326"/>
      <c r="T1332" s="294"/>
      <c r="U1332" s="294"/>
      <c r="V1332" s="294"/>
      <c r="W1332" s="294"/>
      <c r="X1332" s="1182"/>
      <c r="Y1332" s="1182"/>
      <c r="Z1332" s="1166"/>
      <c r="AA1332" s="1166"/>
      <c r="AB1332" s="1182"/>
      <c r="AC1332" s="294"/>
      <c r="AD1332" s="294"/>
      <c r="AE1332" s="294"/>
      <c r="AF1332" s="294"/>
      <c r="AG1332" s="294"/>
      <c r="AH1332" s="294"/>
      <c r="AI1332" s="294"/>
      <c r="AJ1332" s="294"/>
    </row>
    <row r="1333" spans="2:36" x14ac:dyDescent="0.25">
      <c r="B1333" s="294"/>
      <c r="C1333" s="294"/>
      <c r="D1333" s="294"/>
      <c r="E1333" s="294"/>
      <c r="F1333" s="294"/>
      <c r="G1333" s="294"/>
      <c r="H1333" s="294"/>
      <c r="I1333" s="294"/>
      <c r="J1333" s="294"/>
      <c r="L1333" s="295"/>
      <c r="M1333" s="294"/>
      <c r="R1333" s="326"/>
      <c r="S1333" s="326"/>
      <c r="T1333" s="294"/>
      <c r="U1333" s="294"/>
      <c r="V1333" s="294"/>
      <c r="W1333" s="294"/>
      <c r="X1333" s="1182"/>
      <c r="Y1333" s="1182"/>
      <c r="Z1333" s="1166"/>
      <c r="AA1333" s="1166"/>
      <c r="AB1333" s="1182"/>
      <c r="AC1333" s="294"/>
      <c r="AD1333" s="294"/>
      <c r="AE1333" s="294"/>
      <c r="AF1333" s="294"/>
      <c r="AG1333" s="294"/>
      <c r="AH1333" s="294"/>
      <c r="AI1333" s="294"/>
      <c r="AJ1333" s="294"/>
    </row>
    <row r="1334" spans="2:36" x14ac:dyDescent="0.25">
      <c r="B1334" s="294"/>
      <c r="C1334" s="294"/>
      <c r="D1334" s="294"/>
      <c r="E1334" s="294"/>
      <c r="F1334" s="294"/>
      <c r="G1334" s="294"/>
      <c r="H1334" s="294"/>
      <c r="I1334" s="294"/>
      <c r="J1334" s="294"/>
      <c r="L1334" s="295"/>
      <c r="M1334" s="294"/>
      <c r="R1334" s="326"/>
      <c r="S1334" s="326"/>
      <c r="T1334" s="294"/>
      <c r="U1334" s="294"/>
      <c r="V1334" s="294"/>
      <c r="W1334" s="294"/>
      <c r="X1334" s="1182"/>
      <c r="Y1334" s="1182"/>
      <c r="Z1334" s="1166"/>
      <c r="AA1334" s="1166"/>
      <c r="AB1334" s="1182"/>
      <c r="AC1334" s="294"/>
      <c r="AD1334" s="294"/>
      <c r="AE1334" s="294"/>
      <c r="AF1334" s="294"/>
      <c r="AG1334" s="294"/>
      <c r="AH1334" s="294"/>
      <c r="AI1334" s="294"/>
      <c r="AJ1334" s="294"/>
    </row>
    <row r="1335" spans="2:36" x14ac:dyDescent="0.25">
      <c r="B1335" s="294"/>
      <c r="C1335" s="294"/>
      <c r="D1335" s="294"/>
      <c r="E1335" s="294"/>
      <c r="F1335" s="294"/>
      <c r="G1335" s="294"/>
      <c r="H1335" s="294"/>
      <c r="I1335" s="294"/>
      <c r="J1335" s="294"/>
      <c r="L1335" s="295"/>
      <c r="M1335" s="294"/>
      <c r="R1335" s="326"/>
      <c r="S1335" s="326"/>
      <c r="T1335" s="294"/>
      <c r="U1335" s="294"/>
      <c r="V1335" s="294"/>
      <c r="W1335" s="294"/>
      <c r="X1335" s="1182"/>
      <c r="Y1335" s="1182"/>
      <c r="Z1335" s="1166"/>
      <c r="AA1335" s="1166"/>
      <c r="AB1335" s="1182"/>
      <c r="AC1335" s="294"/>
      <c r="AD1335" s="294"/>
      <c r="AE1335" s="294"/>
      <c r="AF1335" s="294"/>
      <c r="AG1335" s="294"/>
      <c r="AH1335" s="294"/>
      <c r="AI1335" s="294"/>
      <c r="AJ1335" s="294"/>
    </row>
    <row r="1336" spans="2:36" x14ac:dyDescent="0.25">
      <c r="B1336" s="294"/>
      <c r="C1336" s="294"/>
      <c r="D1336" s="294"/>
      <c r="E1336" s="294"/>
      <c r="F1336" s="294"/>
      <c r="G1336" s="294"/>
      <c r="H1336" s="294"/>
      <c r="I1336" s="294"/>
      <c r="J1336" s="294"/>
      <c r="L1336" s="295"/>
      <c r="M1336" s="294"/>
      <c r="R1336" s="326"/>
      <c r="S1336" s="326"/>
      <c r="T1336" s="294"/>
      <c r="U1336" s="294"/>
      <c r="V1336" s="294"/>
      <c r="W1336" s="294"/>
      <c r="X1336" s="1182"/>
      <c r="Y1336" s="1182"/>
      <c r="Z1336" s="1166"/>
      <c r="AA1336" s="1166"/>
      <c r="AB1336" s="1182"/>
      <c r="AC1336" s="294"/>
      <c r="AD1336" s="294"/>
      <c r="AE1336" s="294"/>
      <c r="AF1336" s="294"/>
      <c r="AG1336" s="294"/>
      <c r="AH1336" s="294"/>
      <c r="AI1336" s="294"/>
      <c r="AJ1336" s="294"/>
    </row>
    <row r="1337" spans="2:36" x14ac:dyDescent="0.25">
      <c r="B1337" s="294"/>
      <c r="C1337" s="294"/>
      <c r="D1337" s="294"/>
      <c r="E1337" s="294"/>
      <c r="F1337" s="294"/>
      <c r="G1337" s="294"/>
      <c r="H1337" s="294"/>
      <c r="I1337" s="294"/>
      <c r="J1337" s="294"/>
      <c r="L1337" s="295"/>
      <c r="M1337" s="294"/>
      <c r="R1337" s="326"/>
      <c r="S1337" s="326"/>
      <c r="T1337" s="294"/>
      <c r="U1337" s="294"/>
      <c r="V1337" s="294"/>
      <c r="W1337" s="294"/>
      <c r="X1337" s="1182"/>
      <c r="Y1337" s="1182"/>
      <c r="Z1337" s="1166"/>
      <c r="AA1337" s="1166"/>
      <c r="AB1337" s="1182"/>
      <c r="AC1337" s="294"/>
      <c r="AD1337" s="294"/>
      <c r="AE1337" s="294"/>
      <c r="AF1337" s="294"/>
      <c r="AG1337" s="294"/>
      <c r="AH1337" s="294"/>
      <c r="AI1337" s="294"/>
      <c r="AJ1337" s="294"/>
    </row>
    <row r="1338" spans="2:36" x14ac:dyDescent="0.25">
      <c r="B1338" s="294"/>
      <c r="C1338" s="294"/>
      <c r="D1338" s="294"/>
      <c r="E1338" s="294"/>
      <c r="F1338" s="294"/>
      <c r="G1338" s="294"/>
      <c r="H1338" s="294"/>
      <c r="I1338" s="294"/>
      <c r="J1338" s="294"/>
      <c r="L1338" s="295"/>
      <c r="M1338" s="294"/>
      <c r="R1338" s="326"/>
      <c r="S1338" s="326"/>
      <c r="T1338" s="294"/>
      <c r="U1338" s="294"/>
      <c r="V1338" s="294"/>
      <c r="W1338" s="294"/>
      <c r="X1338" s="1182"/>
      <c r="Y1338" s="1182"/>
      <c r="Z1338" s="1166"/>
      <c r="AA1338" s="1166"/>
      <c r="AB1338" s="1182"/>
      <c r="AC1338" s="294"/>
      <c r="AD1338" s="294"/>
      <c r="AE1338" s="294"/>
      <c r="AF1338" s="294"/>
      <c r="AG1338" s="294"/>
      <c r="AH1338" s="294"/>
      <c r="AI1338" s="294"/>
      <c r="AJ1338" s="294"/>
    </row>
    <row r="1339" spans="2:36" x14ac:dyDescent="0.25">
      <c r="B1339" s="294"/>
      <c r="C1339" s="294"/>
      <c r="D1339" s="294"/>
      <c r="E1339" s="294"/>
      <c r="F1339" s="294"/>
      <c r="G1339" s="294"/>
      <c r="H1339" s="294"/>
      <c r="I1339" s="294"/>
      <c r="J1339" s="294"/>
      <c r="L1339" s="295"/>
      <c r="M1339" s="294"/>
      <c r="R1339" s="326"/>
      <c r="S1339" s="326"/>
      <c r="T1339" s="294"/>
      <c r="U1339" s="294"/>
      <c r="V1339" s="294"/>
      <c r="W1339" s="294"/>
      <c r="X1339" s="1182"/>
      <c r="Y1339" s="1182"/>
      <c r="Z1339" s="1166"/>
      <c r="AA1339" s="1166"/>
      <c r="AB1339" s="1182"/>
      <c r="AC1339" s="294"/>
      <c r="AD1339" s="294"/>
      <c r="AE1339" s="294"/>
      <c r="AF1339" s="294"/>
      <c r="AG1339" s="294"/>
      <c r="AH1339" s="294"/>
      <c r="AI1339" s="294"/>
      <c r="AJ1339" s="294"/>
    </row>
    <row r="1340" spans="2:36" x14ac:dyDescent="0.25">
      <c r="B1340" s="294"/>
      <c r="C1340" s="294"/>
      <c r="D1340" s="294"/>
      <c r="E1340" s="294"/>
      <c r="F1340" s="294"/>
      <c r="G1340" s="294"/>
      <c r="H1340" s="294"/>
      <c r="I1340" s="294"/>
      <c r="J1340" s="294"/>
      <c r="L1340" s="295"/>
      <c r="M1340" s="294"/>
      <c r="R1340" s="326"/>
      <c r="S1340" s="326"/>
      <c r="T1340" s="294"/>
      <c r="U1340" s="294"/>
      <c r="V1340" s="294"/>
      <c r="W1340" s="294"/>
      <c r="X1340" s="1182"/>
      <c r="Y1340" s="1182"/>
      <c r="Z1340" s="1166"/>
      <c r="AA1340" s="1166"/>
      <c r="AB1340" s="1182"/>
      <c r="AC1340" s="294"/>
      <c r="AD1340" s="294"/>
      <c r="AE1340" s="294"/>
      <c r="AF1340" s="294"/>
      <c r="AG1340" s="294"/>
      <c r="AH1340" s="294"/>
      <c r="AI1340" s="294"/>
      <c r="AJ1340" s="294"/>
    </row>
    <row r="1341" spans="2:36" x14ac:dyDescent="0.25">
      <c r="B1341" s="294"/>
      <c r="C1341" s="294"/>
      <c r="D1341" s="294"/>
      <c r="E1341" s="294"/>
      <c r="F1341" s="294"/>
      <c r="G1341" s="294"/>
      <c r="H1341" s="294"/>
      <c r="I1341" s="294"/>
      <c r="J1341" s="294"/>
      <c r="L1341" s="295"/>
      <c r="M1341" s="294"/>
      <c r="R1341" s="326"/>
      <c r="S1341" s="326"/>
      <c r="T1341" s="294"/>
      <c r="U1341" s="294"/>
      <c r="V1341" s="294"/>
      <c r="W1341" s="294"/>
      <c r="X1341" s="1182"/>
      <c r="Y1341" s="1182"/>
      <c r="Z1341" s="1166"/>
      <c r="AA1341" s="1166"/>
      <c r="AB1341" s="1182"/>
      <c r="AC1341" s="294"/>
      <c r="AD1341" s="294"/>
      <c r="AE1341" s="294"/>
      <c r="AF1341" s="294"/>
      <c r="AG1341" s="294"/>
      <c r="AH1341" s="294"/>
      <c r="AI1341" s="294"/>
      <c r="AJ1341" s="294"/>
    </row>
    <row r="1342" spans="2:36" x14ac:dyDescent="0.25">
      <c r="B1342" s="294"/>
      <c r="C1342" s="294"/>
      <c r="D1342" s="294"/>
      <c r="E1342" s="294"/>
      <c r="F1342" s="294"/>
      <c r="G1342" s="294"/>
      <c r="H1342" s="294"/>
      <c r="I1342" s="294"/>
      <c r="J1342" s="294"/>
      <c r="L1342" s="295"/>
      <c r="M1342" s="294"/>
      <c r="R1342" s="326"/>
      <c r="S1342" s="326"/>
      <c r="T1342" s="294"/>
      <c r="U1342" s="294"/>
      <c r="V1342" s="294"/>
      <c r="W1342" s="294"/>
      <c r="X1342" s="1182"/>
      <c r="Y1342" s="1182"/>
      <c r="Z1342" s="1166"/>
      <c r="AA1342" s="1166"/>
      <c r="AB1342" s="1182"/>
      <c r="AC1342" s="294"/>
      <c r="AD1342" s="294"/>
      <c r="AE1342" s="294"/>
      <c r="AF1342" s="294"/>
      <c r="AG1342" s="294"/>
      <c r="AH1342" s="294"/>
      <c r="AI1342" s="294"/>
      <c r="AJ1342" s="294"/>
    </row>
    <row r="1343" spans="2:36" x14ac:dyDescent="0.25">
      <c r="B1343" s="294"/>
      <c r="C1343" s="294"/>
      <c r="D1343" s="294"/>
      <c r="E1343" s="294"/>
      <c r="F1343" s="294"/>
      <c r="G1343" s="294"/>
      <c r="H1343" s="294"/>
      <c r="I1343" s="294"/>
      <c r="J1343" s="294"/>
      <c r="L1343" s="295"/>
      <c r="M1343" s="294"/>
      <c r="R1343" s="326"/>
      <c r="S1343" s="326"/>
      <c r="T1343" s="294"/>
      <c r="U1343" s="294"/>
      <c r="V1343" s="294"/>
      <c r="W1343" s="294"/>
      <c r="X1343" s="1182"/>
      <c r="Y1343" s="1182"/>
      <c r="Z1343" s="1166"/>
      <c r="AA1343" s="1166"/>
      <c r="AB1343" s="1182"/>
      <c r="AC1343" s="294"/>
      <c r="AD1343" s="294"/>
      <c r="AE1343" s="294"/>
      <c r="AF1343" s="294"/>
      <c r="AG1343" s="294"/>
      <c r="AH1343" s="294"/>
      <c r="AI1343" s="294"/>
      <c r="AJ1343" s="294"/>
    </row>
    <row r="1344" spans="2:36" x14ac:dyDescent="0.25">
      <c r="B1344" s="294"/>
      <c r="C1344" s="294"/>
      <c r="D1344" s="294"/>
      <c r="E1344" s="294"/>
      <c r="F1344" s="294"/>
      <c r="G1344" s="294"/>
      <c r="H1344" s="294"/>
      <c r="I1344" s="294"/>
      <c r="J1344" s="294"/>
      <c r="L1344" s="295"/>
      <c r="M1344" s="294"/>
      <c r="R1344" s="326"/>
      <c r="S1344" s="326"/>
      <c r="T1344" s="294"/>
      <c r="U1344" s="294"/>
      <c r="V1344" s="294"/>
      <c r="W1344" s="294"/>
      <c r="X1344" s="1182"/>
      <c r="Y1344" s="1182"/>
      <c r="Z1344" s="1166"/>
      <c r="AA1344" s="1166"/>
      <c r="AB1344" s="1182"/>
      <c r="AC1344" s="294"/>
      <c r="AD1344" s="294"/>
      <c r="AE1344" s="294"/>
      <c r="AF1344" s="294"/>
      <c r="AG1344" s="294"/>
      <c r="AH1344" s="294"/>
      <c r="AI1344" s="294"/>
      <c r="AJ1344" s="294"/>
    </row>
    <row r="1345" spans="2:36" x14ac:dyDescent="0.25">
      <c r="B1345" s="294"/>
      <c r="C1345" s="294"/>
      <c r="D1345" s="294"/>
      <c r="E1345" s="294"/>
      <c r="F1345" s="294"/>
      <c r="G1345" s="294"/>
      <c r="H1345" s="294"/>
      <c r="I1345" s="294"/>
      <c r="J1345" s="294"/>
      <c r="L1345" s="295"/>
      <c r="M1345" s="294"/>
      <c r="R1345" s="326"/>
      <c r="S1345" s="326"/>
      <c r="T1345" s="294"/>
      <c r="U1345" s="294"/>
      <c r="V1345" s="294"/>
      <c r="W1345" s="294"/>
      <c r="X1345" s="1182"/>
      <c r="Y1345" s="1182"/>
      <c r="Z1345" s="1166"/>
      <c r="AA1345" s="1166"/>
      <c r="AB1345" s="1182"/>
      <c r="AC1345" s="294"/>
      <c r="AD1345" s="294"/>
      <c r="AE1345" s="294"/>
      <c r="AF1345" s="294"/>
      <c r="AG1345" s="294"/>
      <c r="AH1345" s="294"/>
      <c r="AI1345" s="294"/>
      <c r="AJ1345" s="294"/>
    </row>
    <row r="1346" spans="2:36" x14ac:dyDescent="0.25">
      <c r="B1346" s="294"/>
      <c r="C1346" s="294"/>
      <c r="D1346" s="294"/>
      <c r="E1346" s="294"/>
      <c r="F1346" s="294"/>
      <c r="G1346" s="294"/>
      <c r="H1346" s="294"/>
      <c r="I1346" s="294"/>
      <c r="J1346" s="294"/>
      <c r="L1346" s="295"/>
      <c r="M1346" s="294"/>
      <c r="R1346" s="326"/>
      <c r="S1346" s="326"/>
      <c r="T1346" s="294"/>
      <c r="U1346" s="294"/>
      <c r="V1346" s="294"/>
      <c r="W1346" s="294"/>
      <c r="X1346" s="1182"/>
      <c r="Y1346" s="1182"/>
      <c r="Z1346" s="1166"/>
      <c r="AA1346" s="1166"/>
      <c r="AB1346" s="1182"/>
      <c r="AC1346" s="294"/>
      <c r="AD1346" s="294"/>
      <c r="AE1346" s="294"/>
      <c r="AF1346" s="294"/>
      <c r="AG1346" s="294"/>
      <c r="AH1346" s="294"/>
      <c r="AI1346" s="294"/>
      <c r="AJ1346" s="294"/>
    </row>
    <row r="1347" spans="2:36" x14ac:dyDescent="0.25">
      <c r="B1347" s="294"/>
      <c r="C1347" s="294"/>
      <c r="D1347" s="294"/>
      <c r="E1347" s="294"/>
      <c r="F1347" s="294"/>
      <c r="G1347" s="294"/>
      <c r="H1347" s="294"/>
      <c r="I1347" s="294"/>
      <c r="J1347" s="294"/>
      <c r="L1347" s="295"/>
      <c r="M1347" s="294"/>
      <c r="R1347" s="326"/>
      <c r="S1347" s="326"/>
      <c r="T1347" s="294"/>
      <c r="U1347" s="294"/>
      <c r="V1347" s="294"/>
      <c r="W1347" s="294"/>
      <c r="X1347" s="1182"/>
      <c r="Y1347" s="1182"/>
      <c r="Z1347" s="1166"/>
      <c r="AA1347" s="1166"/>
      <c r="AB1347" s="1182"/>
      <c r="AC1347" s="294"/>
      <c r="AD1347" s="294"/>
      <c r="AE1347" s="294"/>
      <c r="AF1347" s="294"/>
      <c r="AG1347" s="294"/>
      <c r="AH1347" s="294"/>
      <c r="AI1347" s="294"/>
      <c r="AJ1347" s="294"/>
    </row>
    <row r="1348" spans="2:36" x14ac:dyDescent="0.25">
      <c r="B1348" s="294"/>
      <c r="C1348" s="294"/>
      <c r="D1348" s="294"/>
      <c r="E1348" s="294"/>
      <c r="F1348" s="294"/>
      <c r="G1348" s="294"/>
      <c r="H1348" s="294"/>
      <c r="I1348" s="294"/>
      <c r="J1348" s="294"/>
      <c r="L1348" s="295"/>
      <c r="M1348" s="294"/>
      <c r="R1348" s="326"/>
      <c r="S1348" s="326"/>
      <c r="T1348" s="294"/>
      <c r="U1348" s="294"/>
      <c r="V1348" s="294"/>
      <c r="W1348" s="294"/>
      <c r="X1348" s="1182"/>
      <c r="Y1348" s="1182"/>
      <c r="Z1348" s="1166"/>
      <c r="AA1348" s="1166"/>
      <c r="AB1348" s="1182"/>
      <c r="AC1348" s="294"/>
      <c r="AD1348" s="294"/>
      <c r="AE1348" s="294"/>
      <c r="AF1348" s="294"/>
      <c r="AG1348" s="294"/>
      <c r="AH1348" s="294"/>
      <c r="AI1348" s="294"/>
      <c r="AJ1348" s="294"/>
    </row>
    <row r="1349" spans="2:36" x14ac:dyDescent="0.25">
      <c r="B1349" s="294"/>
      <c r="C1349" s="294"/>
      <c r="D1349" s="294"/>
      <c r="E1349" s="294"/>
      <c r="F1349" s="294"/>
      <c r="G1349" s="294"/>
      <c r="H1349" s="294"/>
      <c r="I1349" s="294"/>
      <c r="J1349" s="294"/>
      <c r="L1349" s="295"/>
      <c r="M1349" s="294"/>
      <c r="R1349" s="326"/>
      <c r="S1349" s="326"/>
      <c r="T1349" s="294"/>
      <c r="U1349" s="294"/>
      <c r="V1349" s="294"/>
      <c r="W1349" s="294"/>
      <c r="X1349" s="1182"/>
      <c r="Y1349" s="1182"/>
      <c r="Z1349" s="1166"/>
      <c r="AA1349" s="1166"/>
      <c r="AB1349" s="1182"/>
      <c r="AC1349" s="294"/>
      <c r="AD1349" s="294"/>
      <c r="AE1349" s="294"/>
      <c r="AF1349" s="294"/>
      <c r="AG1349" s="294"/>
      <c r="AH1349" s="294"/>
      <c r="AI1349" s="294"/>
      <c r="AJ1349" s="294"/>
    </row>
    <row r="1350" spans="2:36" x14ac:dyDescent="0.25">
      <c r="B1350" s="294"/>
      <c r="C1350" s="294"/>
      <c r="D1350" s="294"/>
      <c r="E1350" s="294"/>
      <c r="F1350" s="294"/>
      <c r="G1350" s="294"/>
      <c r="H1350" s="294"/>
      <c r="I1350" s="294"/>
      <c r="J1350" s="294"/>
      <c r="L1350" s="295"/>
      <c r="M1350" s="294"/>
      <c r="R1350" s="326"/>
      <c r="S1350" s="326"/>
      <c r="T1350" s="294"/>
      <c r="U1350" s="294"/>
      <c r="V1350" s="294"/>
      <c r="W1350" s="294"/>
      <c r="X1350" s="1182"/>
      <c r="Y1350" s="1182"/>
      <c r="Z1350" s="1166"/>
      <c r="AA1350" s="1166"/>
      <c r="AB1350" s="1182"/>
      <c r="AC1350" s="294"/>
      <c r="AD1350" s="294"/>
      <c r="AE1350" s="294"/>
      <c r="AF1350" s="294"/>
      <c r="AG1350" s="294"/>
      <c r="AH1350" s="294"/>
      <c r="AI1350" s="294"/>
      <c r="AJ1350" s="294"/>
    </row>
    <row r="1351" spans="2:36" x14ac:dyDescent="0.25">
      <c r="B1351" s="294"/>
      <c r="C1351" s="294"/>
      <c r="D1351" s="294"/>
      <c r="E1351" s="294"/>
      <c r="F1351" s="294"/>
      <c r="G1351" s="294"/>
      <c r="H1351" s="294"/>
      <c r="I1351" s="294"/>
      <c r="J1351" s="294"/>
      <c r="L1351" s="295"/>
      <c r="M1351" s="294"/>
      <c r="R1351" s="326"/>
      <c r="S1351" s="326"/>
      <c r="T1351" s="294"/>
      <c r="U1351" s="294"/>
      <c r="V1351" s="294"/>
      <c r="W1351" s="294"/>
      <c r="X1351" s="1182"/>
      <c r="Y1351" s="1182"/>
      <c r="Z1351" s="1166"/>
      <c r="AA1351" s="1166"/>
      <c r="AB1351" s="1182"/>
      <c r="AC1351" s="294"/>
      <c r="AD1351" s="294"/>
      <c r="AE1351" s="294"/>
      <c r="AF1351" s="294"/>
      <c r="AG1351" s="294"/>
      <c r="AH1351" s="294"/>
      <c r="AI1351" s="294"/>
      <c r="AJ1351" s="294"/>
    </row>
    <row r="1352" spans="2:36" x14ac:dyDescent="0.25">
      <c r="B1352" s="294"/>
      <c r="C1352" s="294"/>
      <c r="D1352" s="294"/>
      <c r="E1352" s="294"/>
      <c r="F1352" s="294"/>
      <c r="G1352" s="294"/>
      <c r="H1352" s="294"/>
      <c r="I1352" s="294"/>
      <c r="J1352" s="294"/>
      <c r="L1352" s="295"/>
      <c r="M1352" s="294"/>
      <c r="R1352" s="326"/>
      <c r="S1352" s="326"/>
      <c r="T1352" s="294"/>
      <c r="U1352" s="294"/>
      <c r="V1352" s="294"/>
      <c r="W1352" s="294"/>
      <c r="X1352" s="1182"/>
      <c r="Y1352" s="1182"/>
      <c r="Z1352" s="1166"/>
      <c r="AA1352" s="1166"/>
      <c r="AB1352" s="1182"/>
      <c r="AC1352" s="294"/>
      <c r="AD1352" s="294"/>
      <c r="AE1352" s="294"/>
      <c r="AF1352" s="294"/>
      <c r="AG1352" s="294"/>
      <c r="AH1352" s="294"/>
      <c r="AI1352" s="294"/>
      <c r="AJ1352" s="294"/>
    </row>
    <row r="1353" spans="2:36" x14ac:dyDescent="0.25">
      <c r="B1353" s="294"/>
      <c r="C1353" s="294"/>
      <c r="D1353" s="294"/>
      <c r="E1353" s="294"/>
      <c r="F1353" s="294"/>
      <c r="G1353" s="294"/>
      <c r="H1353" s="294"/>
      <c r="I1353" s="294"/>
      <c r="J1353" s="294"/>
      <c r="L1353" s="295"/>
      <c r="M1353" s="294"/>
      <c r="R1353" s="326"/>
      <c r="S1353" s="326"/>
      <c r="T1353" s="294"/>
      <c r="U1353" s="294"/>
      <c r="V1353" s="294"/>
      <c r="W1353" s="294"/>
      <c r="X1353" s="1182"/>
      <c r="Y1353" s="1182"/>
      <c r="Z1353" s="1166"/>
      <c r="AA1353" s="1166"/>
      <c r="AB1353" s="1182"/>
      <c r="AC1353" s="294"/>
      <c r="AD1353" s="294"/>
      <c r="AE1353" s="294"/>
      <c r="AF1353" s="294"/>
      <c r="AG1353" s="294"/>
      <c r="AH1353" s="294"/>
      <c r="AI1353" s="294"/>
      <c r="AJ1353" s="294"/>
    </row>
    <row r="1354" spans="2:36" x14ac:dyDescent="0.25">
      <c r="B1354" s="294"/>
      <c r="C1354" s="294"/>
      <c r="D1354" s="294"/>
      <c r="E1354" s="294"/>
      <c r="F1354" s="294"/>
      <c r="G1354" s="294"/>
      <c r="H1354" s="294"/>
      <c r="I1354" s="294"/>
      <c r="J1354" s="294"/>
      <c r="L1354" s="295"/>
      <c r="M1354" s="294"/>
      <c r="R1354" s="326"/>
      <c r="S1354" s="326"/>
      <c r="T1354" s="294"/>
      <c r="U1354" s="294"/>
      <c r="V1354" s="294"/>
      <c r="W1354" s="294"/>
      <c r="X1354" s="1182"/>
      <c r="Y1354" s="1182"/>
      <c r="Z1354" s="1166"/>
      <c r="AA1354" s="1166"/>
      <c r="AB1354" s="1182"/>
      <c r="AC1354" s="294"/>
      <c r="AD1354" s="294"/>
      <c r="AE1354" s="294"/>
      <c r="AF1354" s="294"/>
      <c r="AG1354" s="294"/>
      <c r="AH1354" s="294"/>
      <c r="AI1354" s="294"/>
      <c r="AJ1354" s="294"/>
    </row>
    <row r="1355" spans="2:36" x14ac:dyDescent="0.25">
      <c r="B1355" s="294"/>
      <c r="C1355" s="294"/>
      <c r="D1355" s="294"/>
      <c r="E1355" s="294"/>
      <c r="F1355" s="294"/>
      <c r="G1355" s="294"/>
      <c r="H1355" s="294"/>
      <c r="I1355" s="294"/>
      <c r="J1355" s="294"/>
      <c r="L1355" s="295"/>
      <c r="M1355" s="294"/>
      <c r="R1355" s="326"/>
      <c r="S1355" s="326"/>
      <c r="T1355" s="294"/>
      <c r="U1355" s="294"/>
      <c r="V1355" s="294"/>
      <c r="W1355" s="294"/>
      <c r="X1355" s="1182"/>
      <c r="Y1355" s="1182"/>
      <c r="Z1355" s="1166"/>
      <c r="AA1355" s="1166"/>
      <c r="AB1355" s="1182"/>
      <c r="AC1355" s="294"/>
      <c r="AD1355" s="294"/>
      <c r="AE1355" s="294"/>
      <c r="AF1355" s="294"/>
      <c r="AG1355" s="294"/>
      <c r="AH1355" s="294"/>
      <c r="AI1355" s="294"/>
      <c r="AJ1355" s="294"/>
    </row>
    <row r="1356" spans="2:36" x14ac:dyDescent="0.25">
      <c r="B1356" s="294"/>
      <c r="C1356" s="294"/>
      <c r="D1356" s="294"/>
      <c r="E1356" s="294"/>
      <c r="F1356" s="294"/>
      <c r="G1356" s="294"/>
      <c r="H1356" s="294"/>
      <c r="I1356" s="294"/>
      <c r="J1356" s="294"/>
      <c r="L1356" s="295"/>
      <c r="M1356" s="294"/>
      <c r="R1356" s="326"/>
      <c r="S1356" s="326"/>
      <c r="T1356" s="294"/>
      <c r="U1356" s="294"/>
      <c r="V1356" s="294"/>
      <c r="W1356" s="294"/>
      <c r="X1356" s="1182"/>
      <c r="Y1356" s="1182"/>
      <c r="Z1356" s="1166"/>
      <c r="AA1356" s="1166"/>
      <c r="AB1356" s="1182"/>
      <c r="AC1356" s="294"/>
      <c r="AD1356" s="294"/>
      <c r="AE1356" s="294"/>
      <c r="AF1356" s="294"/>
      <c r="AG1356" s="294"/>
      <c r="AH1356" s="294"/>
      <c r="AI1356" s="294"/>
      <c r="AJ1356" s="294"/>
    </row>
    <row r="1357" spans="2:36" x14ac:dyDescent="0.25">
      <c r="B1357" s="294"/>
      <c r="C1357" s="294"/>
      <c r="D1357" s="294"/>
      <c r="E1357" s="294"/>
      <c r="F1357" s="294"/>
      <c r="G1357" s="294"/>
      <c r="H1357" s="294"/>
      <c r="I1357" s="294"/>
      <c r="J1357" s="294"/>
      <c r="L1357" s="295"/>
      <c r="M1357" s="294"/>
      <c r="R1357" s="326"/>
      <c r="S1357" s="326"/>
      <c r="T1357" s="294"/>
      <c r="U1357" s="294"/>
      <c r="V1357" s="294"/>
      <c r="W1357" s="294"/>
      <c r="X1357" s="1182"/>
      <c r="Y1357" s="1182"/>
      <c r="Z1357" s="1166"/>
      <c r="AA1357" s="1166"/>
      <c r="AB1357" s="1182"/>
      <c r="AC1357" s="294"/>
      <c r="AD1357" s="294"/>
      <c r="AE1357" s="294"/>
      <c r="AF1357" s="294"/>
      <c r="AG1357" s="294"/>
      <c r="AH1357" s="294"/>
      <c r="AI1357" s="294"/>
      <c r="AJ1357" s="294"/>
    </row>
    <row r="1358" spans="2:36" x14ac:dyDescent="0.25">
      <c r="B1358" s="294"/>
      <c r="C1358" s="294"/>
      <c r="D1358" s="294"/>
      <c r="E1358" s="294"/>
      <c r="F1358" s="294"/>
      <c r="G1358" s="294"/>
      <c r="H1358" s="294"/>
      <c r="I1358" s="294"/>
      <c r="J1358" s="294"/>
      <c r="L1358" s="295"/>
      <c r="M1358" s="294"/>
      <c r="R1358" s="326"/>
      <c r="S1358" s="326"/>
      <c r="T1358" s="294"/>
      <c r="U1358" s="294"/>
      <c r="V1358" s="294"/>
      <c r="W1358" s="294"/>
      <c r="X1358" s="1182"/>
      <c r="Y1358" s="1182"/>
      <c r="Z1358" s="1166"/>
      <c r="AA1358" s="1166"/>
      <c r="AB1358" s="1182"/>
      <c r="AC1358" s="294"/>
      <c r="AD1358" s="294"/>
      <c r="AE1358" s="294"/>
      <c r="AF1358" s="294"/>
      <c r="AG1358" s="294"/>
      <c r="AH1358" s="294"/>
      <c r="AI1358" s="294"/>
      <c r="AJ1358" s="294"/>
    </row>
    <row r="1359" spans="2:36" x14ac:dyDescent="0.25">
      <c r="B1359" s="294"/>
      <c r="C1359" s="294"/>
      <c r="D1359" s="294"/>
      <c r="E1359" s="294"/>
      <c r="F1359" s="294"/>
      <c r="G1359" s="294"/>
      <c r="H1359" s="294"/>
      <c r="I1359" s="294"/>
      <c r="J1359" s="294"/>
      <c r="L1359" s="295"/>
      <c r="M1359" s="294"/>
      <c r="R1359" s="326"/>
      <c r="S1359" s="326"/>
      <c r="T1359" s="294"/>
      <c r="U1359" s="294"/>
      <c r="V1359" s="294"/>
      <c r="W1359" s="294"/>
      <c r="X1359" s="1182"/>
      <c r="Y1359" s="1182"/>
      <c r="Z1359" s="1166"/>
      <c r="AA1359" s="1166"/>
      <c r="AB1359" s="1182"/>
      <c r="AC1359" s="294"/>
      <c r="AD1359" s="294"/>
      <c r="AE1359" s="294"/>
      <c r="AF1359" s="294"/>
      <c r="AG1359" s="294"/>
      <c r="AH1359" s="294"/>
      <c r="AI1359" s="294"/>
      <c r="AJ1359" s="294"/>
    </row>
    <row r="1360" spans="2:36" x14ac:dyDescent="0.25">
      <c r="B1360" s="294"/>
      <c r="C1360" s="294"/>
      <c r="D1360" s="294"/>
      <c r="E1360" s="294"/>
      <c r="F1360" s="294"/>
      <c r="G1360" s="294"/>
      <c r="H1360" s="294"/>
      <c r="I1360" s="294"/>
      <c r="J1360" s="294"/>
      <c r="L1360" s="295"/>
      <c r="M1360" s="294"/>
      <c r="R1360" s="326"/>
      <c r="S1360" s="326"/>
      <c r="T1360" s="294"/>
      <c r="U1360" s="294"/>
      <c r="V1360" s="294"/>
      <c r="W1360" s="294"/>
      <c r="X1360" s="1182"/>
      <c r="Y1360" s="1182"/>
      <c r="Z1360" s="1166"/>
      <c r="AA1360" s="1166"/>
      <c r="AB1360" s="1182"/>
      <c r="AC1360" s="294"/>
      <c r="AD1360" s="294"/>
      <c r="AE1360" s="294"/>
      <c r="AF1360" s="294"/>
      <c r="AG1360" s="294"/>
      <c r="AH1360" s="294"/>
      <c r="AI1360" s="294"/>
      <c r="AJ1360" s="294"/>
    </row>
    <row r="1361" spans="2:36" x14ac:dyDescent="0.25">
      <c r="B1361" s="294"/>
      <c r="C1361" s="294"/>
      <c r="D1361" s="294"/>
      <c r="E1361" s="294"/>
      <c r="F1361" s="294"/>
      <c r="G1361" s="294"/>
      <c r="H1361" s="294"/>
      <c r="I1361" s="294"/>
      <c r="J1361" s="294"/>
      <c r="L1361" s="295"/>
      <c r="M1361" s="294"/>
      <c r="R1361" s="326"/>
      <c r="S1361" s="326"/>
      <c r="T1361" s="294"/>
      <c r="U1361" s="294"/>
      <c r="V1361" s="294"/>
      <c r="W1361" s="294"/>
      <c r="X1361" s="1182"/>
      <c r="Y1361" s="1182"/>
      <c r="Z1361" s="1166"/>
      <c r="AA1361" s="1166"/>
      <c r="AB1361" s="1182"/>
      <c r="AC1361" s="294"/>
      <c r="AD1361" s="294"/>
      <c r="AE1361" s="294"/>
      <c r="AF1361" s="294"/>
      <c r="AG1361" s="294"/>
      <c r="AH1361" s="294"/>
      <c r="AI1361" s="294"/>
      <c r="AJ1361" s="294"/>
    </row>
    <row r="1362" spans="2:36" x14ac:dyDescent="0.25">
      <c r="B1362" s="294"/>
      <c r="C1362" s="294"/>
      <c r="D1362" s="294"/>
      <c r="E1362" s="294"/>
      <c r="F1362" s="294"/>
      <c r="G1362" s="294"/>
      <c r="H1362" s="294"/>
      <c r="I1362" s="294"/>
      <c r="J1362" s="294"/>
      <c r="L1362" s="295"/>
      <c r="M1362" s="294"/>
      <c r="R1362" s="326"/>
      <c r="S1362" s="326"/>
      <c r="T1362" s="294"/>
      <c r="U1362" s="294"/>
      <c r="V1362" s="294"/>
      <c r="W1362" s="294"/>
      <c r="X1362" s="1182"/>
      <c r="Y1362" s="1182"/>
      <c r="Z1362" s="1166"/>
      <c r="AA1362" s="1166"/>
      <c r="AB1362" s="1182"/>
      <c r="AC1362" s="294"/>
      <c r="AD1362" s="294"/>
      <c r="AE1362" s="294"/>
      <c r="AF1362" s="294"/>
      <c r="AG1362" s="294"/>
      <c r="AH1362" s="294"/>
      <c r="AI1362" s="294"/>
      <c r="AJ1362" s="294"/>
    </row>
    <row r="1363" spans="2:36" x14ac:dyDescent="0.25">
      <c r="B1363" s="294"/>
      <c r="C1363" s="294"/>
      <c r="D1363" s="294"/>
      <c r="E1363" s="294"/>
      <c r="F1363" s="294"/>
      <c r="G1363" s="294"/>
      <c r="H1363" s="294"/>
      <c r="I1363" s="294"/>
      <c r="J1363" s="294"/>
      <c r="L1363" s="295"/>
      <c r="M1363" s="294"/>
      <c r="R1363" s="326"/>
      <c r="S1363" s="326"/>
      <c r="T1363" s="294"/>
      <c r="U1363" s="294"/>
      <c r="V1363" s="294"/>
      <c r="W1363" s="294"/>
      <c r="X1363" s="1182"/>
      <c r="Y1363" s="1182"/>
      <c r="Z1363" s="1166"/>
      <c r="AA1363" s="1166"/>
      <c r="AB1363" s="1182"/>
      <c r="AC1363" s="294"/>
      <c r="AD1363" s="294"/>
      <c r="AE1363" s="294"/>
      <c r="AF1363" s="294"/>
      <c r="AG1363" s="294"/>
      <c r="AH1363" s="294"/>
      <c r="AI1363" s="294"/>
      <c r="AJ1363" s="294"/>
    </row>
    <row r="1364" spans="2:36" x14ac:dyDescent="0.25">
      <c r="B1364" s="294"/>
      <c r="C1364" s="294"/>
      <c r="D1364" s="294"/>
      <c r="E1364" s="294"/>
      <c r="F1364" s="294"/>
      <c r="G1364" s="294"/>
      <c r="H1364" s="294"/>
      <c r="I1364" s="294"/>
      <c r="J1364" s="294"/>
      <c r="L1364" s="295"/>
      <c r="M1364" s="294"/>
      <c r="R1364" s="326"/>
      <c r="S1364" s="326"/>
      <c r="T1364" s="294"/>
      <c r="U1364" s="294"/>
      <c r="V1364" s="294"/>
      <c r="W1364" s="294"/>
      <c r="X1364" s="1182"/>
      <c r="Y1364" s="1182"/>
      <c r="Z1364" s="1166"/>
      <c r="AA1364" s="1166"/>
      <c r="AB1364" s="1182"/>
      <c r="AC1364" s="294"/>
      <c r="AD1364" s="294"/>
      <c r="AE1364" s="294"/>
      <c r="AF1364" s="294"/>
      <c r="AG1364" s="294"/>
      <c r="AH1364" s="294"/>
      <c r="AI1364" s="294"/>
      <c r="AJ1364" s="294"/>
    </row>
    <row r="1365" spans="2:36" x14ac:dyDescent="0.25">
      <c r="B1365" s="294"/>
      <c r="C1365" s="294"/>
      <c r="D1365" s="294"/>
      <c r="E1365" s="294"/>
      <c r="F1365" s="294"/>
      <c r="G1365" s="294"/>
      <c r="H1365" s="294"/>
      <c r="I1365" s="294"/>
      <c r="J1365" s="294"/>
      <c r="L1365" s="295"/>
      <c r="M1365" s="294"/>
      <c r="R1365" s="326"/>
      <c r="S1365" s="326"/>
      <c r="T1365" s="294"/>
      <c r="U1365" s="294"/>
      <c r="V1365" s="294"/>
      <c r="W1365" s="294"/>
      <c r="X1365" s="1182"/>
      <c r="Y1365" s="1182"/>
      <c r="Z1365" s="1166"/>
      <c r="AA1365" s="1166"/>
      <c r="AB1365" s="1182"/>
      <c r="AC1365" s="294"/>
      <c r="AD1365" s="294"/>
      <c r="AE1365" s="294"/>
      <c r="AF1365" s="294"/>
      <c r="AG1365" s="294"/>
      <c r="AH1365" s="294"/>
      <c r="AI1365" s="294"/>
      <c r="AJ1365" s="294"/>
    </row>
    <row r="1366" spans="2:36" x14ac:dyDescent="0.25">
      <c r="B1366" s="294"/>
      <c r="C1366" s="294"/>
      <c r="D1366" s="294"/>
      <c r="E1366" s="294"/>
      <c r="F1366" s="294"/>
      <c r="G1366" s="294"/>
      <c r="H1366" s="294"/>
      <c r="I1366" s="294"/>
      <c r="J1366" s="294"/>
      <c r="L1366" s="295"/>
      <c r="M1366" s="294"/>
      <c r="R1366" s="326"/>
      <c r="S1366" s="326"/>
      <c r="T1366" s="294"/>
      <c r="U1366" s="294"/>
      <c r="V1366" s="294"/>
      <c r="W1366" s="294"/>
      <c r="X1366" s="1182"/>
      <c r="Y1366" s="1182"/>
      <c r="Z1366" s="1166"/>
      <c r="AA1366" s="1166"/>
      <c r="AB1366" s="1182"/>
      <c r="AC1366" s="294"/>
      <c r="AD1366" s="294"/>
      <c r="AE1366" s="294"/>
      <c r="AF1366" s="294"/>
      <c r="AG1366" s="294"/>
      <c r="AH1366" s="294"/>
      <c r="AI1366" s="294"/>
      <c r="AJ1366" s="294"/>
    </row>
    <row r="1367" spans="2:36" x14ac:dyDescent="0.25">
      <c r="B1367" s="294"/>
      <c r="C1367" s="294"/>
      <c r="D1367" s="294"/>
      <c r="E1367" s="294"/>
      <c r="F1367" s="294"/>
      <c r="G1367" s="294"/>
      <c r="H1367" s="294"/>
      <c r="I1367" s="294"/>
      <c r="J1367" s="294"/>
      <c r="L1367" s="295"/>
      <c r="M1367" s="294"/>
      <c r="R1367" s="326"/>
      <c r="S1367" s="326"/>
      <c r="T1367" s="294"/>
      <c r="U1367" s="294"/>
      <c r="V1367" s="294"/>
      <c r="W1367" s="294"/>
      <c r="X1367" s="1182"/>
      <c r="Y1367" s="1182"/>
      <c r="Z1367" s="1166"/>
      <c r="AA1367" s="1166"/>
      <c r="AB1367" s="1182"/>
      <c r="AC1367" s="294"/>
      <c r="AD1367" s="294"/>
      <c r="AE1367" s="294"/>
      <c r="AF1367" s="294"/>
      <c r="AG1367" s="294"/>
      <c r="AH1367" s="294"/>
      <c r="AI1367" s="294"/>
      <c r="AJ1367" s="294"/>
    </row>
    <row r="1368" spans="2:36" x14ac:dyDescent="0.25">
      <c r="B1368" s="294"/>
      <c r="C1368" s="294"/>
      <c r="D1368" s="294"/>
      <c r="E1368" s="294"/>
      <c r="F1368" s="294"/>
      <c r="G1368" s="294"/>
      <c r="H1368" s="294"/>
      <c r="I1368" s="294"/>
      <c r="J1368" s="294"/>
      <c r="L1368" s="295"/>
      <c r="M1368" s="294"/>
      <c r="R1368" s="326"/>
      <c r="S1368" s="326"/>
      <c r="T1368" s="294"/>
      <c r="U1368" s="294"/>
      <c r="V1368" s="294"/>
      <c r="W1368" s="294"/>
      <c r="X1368" s="1182"/>
      <c r="Y1368" s="1182"/>
      <c r="Z1368" s="1166"/>
      <c r="AA1368" s="1166"/>
      <c r="AB1368" s="1182"/>
      <c r="AC1368" s="294"/>
      <c r="AD1368" s="294"/>
      <c r="AE1368" s="294"/>
      <c r="AF1368" s="294"/>
      <c r="AG1368" s="294"/>
      <c r="AH1368" s="294"/>
      <c r="AI1368" s="294"/>
      <c r="AJ1368" s="294"/>
    </row>
    <row r="1369" spans="2:36" x14ac:dyDescent="0.25">
      <c r="B1369" s="294"/>
      <c r="C1369" s="294"/>
      <c r="D1369" s="294"/>
      <c r="E1369" s="294"/>
      <c r="F1369" s="294"/>
      <c r="G1369" s="294"/>
      <c r="H1369" s="294"/>
      <c r="I1369" s="294"/>
      <c r="J1369" s="294"/>
      <c r="L1369" s="295"/>
      <c r="M1369" s="294"/>
      <c r="R1369" s="326"/>
      <c r="S1369" s="326"/>
      <c r="T1369" s="294"/>
      <c r="U1369" s="294"/>
      <c r="V1369" s="294"/>
      <c r="W1369" s="294"/>
      <c r="X1369" s="1182"/>
      <c r="Y1369" s="1182"/>
      <c r="Z1369" s="1166"/>
      <c r="AA1369" s="1166"/>
      <c r="AB1369" s="1182"/>
      <c r="AC1369" s="294"/>
      <c r="AD1369" s="294"/>
      <c r="AE1369" s="294"/>
      <c r="AF1369" s="294"/>
      <c r="AG1369" s="294"/>
      <c r="AH1369" s="294"/>
      <c r="AI1369" s="294"/>
      <c r="AJ1369" s="294"/>
    </row>
    <row r="1370" spans="2:36" x14ac:dyDescent="0.25">
      <c r="B1370" s="294"/>
      <c r="C1370" s="294"/>
      <c r="D1370" s="294"/>
      <c r="E1370" s="294"/>
      <c r="F1370" s="294"/>
      <c r="G1370" s="294"/>
      <c r="H1370" s="294"/>
      <c r="I1370" s="294"/>
      <c r="J1370" s="294"/>
      <c r="L1370" s="295"/>
      <c r="M1370" s="294"/>
      <c r="R1370" s="326"/>
      <c r="S1370" s="326"/>
      <c r="T1370" s="294"/>
      <c r="U1370" s="294"/>
      <c r="V1370" s="294"/>
      <c r="W1370" s="294"/>
      <c r="X1370" s="1182"/>
      <c r="Y1370" s="1182"/>
      <c r="Z1370" s="1166"/>
      <c r="AA1370" s="1166"/>
      <c r="AB1370" s="1182"/>
      <c r="AC1370" s="294"/>
      <c r="AD1370" s="294"/>
      <c r="AE1370" s="294"/>
      <c r="AF1370" s="294"/>
      <c r="AG1370" s="294"/>
      <c r="AH1370" s="294"/>
      <c r="AI1370" s="294"/>
      <c r="AJ1370" s="294"/>
    </row>
    <row r="1371" spans="2:36" x14ac:dyDescent="0.25">
      <c r="B1371" s="294"/>
      <c r="C1371" s="294"/>
      <c r="D1371" s="294"/>
      <c r="E1371" s="294"/>
      <c r="F1371" s="294"/>
      <c r="G1371" s="294"/>
      <c r="H1371" s="294"/>
      <c r="I1371" s="294"/>
      <c r="J1371" s="294"/>
      <c r="L1371" s="295"/>
      <c r="M1371" s="294"/>
      <c r="R1371" s="326"/>
      <c r="S1371" s="326"/>
      <c r="T1371" s="294"/>
      <c r="U1371" s="294"/>
      <c r="V1371" s="294"/>
      <c r="W1371" s="294"/>
      <c r="X1371" s="1182"/>
      <c r="Y1371" s="1182"/>
      <c r="Z1371" s="1166"/>
      <c r="AA1371" s="1166"/>
      <c r="AB1371" s="1182"/>
      <c r="AC1371" s="294"/>
      <c r="AD1371" s="294"/>
      <c r="AE1371" s="294"/>
      <c r="AF1371" s="294"/>
      <c r="AG1371" s="294"/>
      <c r="AH1371" s="294"/>
      <c r="AI1371" s="294"/>
      <c r="AJ1371" s="294"/>
    </row>
    <row r="1372" spans="2:36" x14ac:dyDescent="0.25">
      <c r="B1372" s="294"/>
      <c r="C1372" s="294"/>
      <c r="D1372" s="294"/>
      <c r="E1372" s="294"/>
      <c r="F1372" s="294"/>
      <c r="G1372" s="294"/>
      <c r="H1372" s="294"/>
      <c r="I1372" s="294"/>
      <c r="J1372" s="294"/>
      <c r="L1372" s="295"/>
      <c r="M1372" s="294"/>
      <c r="R1372" s="326"/>
      <c r="S1372" s="326"/>
      <c r="T1372" s="294"/>
      <c r="U1372" s="294"/>
      <c r="V1372" s="294"/>
      <c r="W1372" s="294"/>
      <c r="X1372" s="1182"/>
      <c r="Y1372" s="1182"/>
      <c r="Z1372" s="1166"/>
      <c r="AA1372" s="1166"/>
      <c r="AB1372" s="1182"/>
      <c r="AC1372" s="294"/>
      <c r="AD1372" s="294"/>
      <c r="AE1372" s="294"/>
      <c r="AF1372" s="294"/>
      <c r="AG1372" s="294"/>
      <c r="AH1372" s="294"/>
      <c r="AI1372" s="294"/>
      <c r="AJ1372" s="294"/>
    </row>
    <row r="1373" spans="2:36" x14ac:dyDescent="0.25">
      <c r="B1373" s="294"/>
      <c r="C1373" s="294"/>
      <c r="D1373" s="294"/>
      <c r="E1373" s="294"/>
      <c r="F1373" s="294"/>
      <c r="G1373" s="294"/>
      <c r="H1373" s="294"/>
      <c r="I1373" s="294"/>
      <c r="J1373" s="294"/>
      <c r="L1373" s="295"/>
      <c r="M1373" s="294"/>
      <c r="R1373" s="326"/>
      <c r="S1373" s="326"/>
      <c r="T1373" s="294"/>
      <c r="U1373" s="294"/>
      <c r="V1373" s="294"/>
      <c r="W1373" s="294"/>
      <c r="X1373" s="1182"/>
      <c r="Y1373" s="1182"/>
      <c r="Z1373" s="1166"/>
      <c r="AA1373" s="1166"/>
      <c r="AB1373" s="1182"/>
      <c r="AC1373" s="294"/>
      <c r="AD1373" s="294"/>
      <c r="AE1373" s="294"/>
      <c r="AF1373" s="294"/>
      <c r="AG1373" s="294"/>
      <c r="AH1373" s="294"/>
      <c r="AI1373" s="294"/>
      <c r="AJ1373" s="294"/>
    </row>
    <row r="1374" spans="2:36" x14ac:dyDescent="0.25">
      <c r="B1374" s="294"/>
      <c r="C1374" s="294"/>
      <c r="D1374" s="294"/>
      <c r="E1374" s="294"/>
      <c r="F1374" s="294"/>
      <c r="G1374" s="294"/>
      <c r="H1374" s="294"/>
      <c r="I1374" s="294"/>
      <c r="J1374" s="294"/>
      <c r="L1374" s="295"/>
      <c r="M1374" s="294"/>
      <c r="R1374" s="326"/>
      <c r="S1374" s="326"/>
      <c r="T1374" s="294"/>
      <c r="U1374" s="294"/>
      <c r="V1374" s="294"/>
      <c r="W1374" s="294"/>
      <c r="X1374" s="1182"/>
      <c r="Y1374" s="1182"/>
      <c r="Z1374" s="1166"/>
      <c r="AA1374" s="1166"/>
      <c r="AB1374" s="1182"/>
      <c r="AC1374" s="294"/>
      <c r="AD1374" s="294"/>
      <c r="AE1374" s="294"/>
      <c r="AF1374" s="294"/>
      <c r="AG1374" s="294"/>
      <c r="AH1374" s="294"/>
      <c r="AI1374" s="294"/>
      <c r="AJ1374" s="294"/>
    </row>
    <row r="1375" spans="2:36" x14ac:dyDescent="0.25">
      <c r="B1375" s="294"/>
      <c r="C1375" s="294"/>
      <c r="D1375" s="294"/>
      <c r="E1375" s="294"/>
      <c r="F1375" s="294"/>
      <c r="G1375" s="294"/>
      <c r="H1375" s="294"/>
      <c r="I1375" s="294"/>
      <c r="J1375" s="294"/>
      <c r="L1375" s="295"/>
      <c r="M1375" s="294"/>
      <c r="R1375" s="326"/>
      <c r="S1375" s="326"/>
      <c r="T1375" s="294"/>
      <c r="U1375" s="294"/>
      <c r="V1375" s="294"/>
      <c r="W1375" s="294"/>
      <c r="X1375" s="1182"/>
      <c r="Y1375" s="1182"/>
      <c r="Z1375" s="1166"/>
      <c r="AA1375" s="1166"/>
      <c r="AB1375" s="1182"/>
      <c r="AC1375" s="294"/>
      <c r="AD1375" s="294"/>
      <c r="AE1375" s="294"/>
      <c r="AF1375" s="294"/>
      <c r="AG1375" s="294"/>
      <c r="AH1375" s="294"/>
      <c r="AI1375" s="294"/>
      <c r="AJ1375" s="294"/>
    </row>
    <row r="1376" spans="2:36" x14ac:dyDescent="0.25">
      <c r="B1376" s="294"/>
      <c r="C1376" s="294"/>
      <c r="D1376" s="294"/>
      <c r="E1376" s="294"/>
      <c r="F1376" s="294"/>
      <c r="G1376" s="294"/>
      <c r="H1376" s="294"/>
      <c r="I1376" s="294"/>
      <c r="J1376" s="294"/>
      <c r="L1376" s="295"/>
      <c r="M1376" s="294"/>
      <c r="R1376" s="326"/>
      <c r="S1376" s="326"/>
      <c r="T1376" s="294"/>
      <c r="U1376" s="294"/>
      <c r="V1376" s="294"/>
      <c r="W1376" s="294"/>
      <c r="X1376" s="1182"/>
      <c r="Y1376" s="1182"/>
      <c r="Z1376" s="1166"/>
      <c r="AA1376" s="1166"/>
      <c r="AB1376" s="1182"/>
      <c r="AC1376" s="294"/>
      <c r="AD1376" s="294"/>
      <c r="AE1376" s="294"/>
      <c r="AF1376" s="294"/>
      <c r="AG1376" s="294"/>
      <c r="AH1376" s="294"/>
      <c r="AI1376" s="294"/>
      <c r="AJ1376" s="294"/>
    </row>
    <row r="1377" spans="2:36" x14ac:dyDescent="0.25">
      <c r="B1377" s="294"/>
      <c r="C1377" s="294"/>
      <c r="D1377" s="294"/>
      <c r="E1377" s="294"/>
      <c r="F1377" s="294"/>
      <c r="G1377" s="294"/>
      <c r="H1377" s="294"/>
      <c r="I1377" s="294"/>
      <c r="J1377" s="294"/>
      <c r="L1377" s="295"/>
      <c r="M1377" s="294"/>
      <c r="R1377" s="326"/>
      <c r="S1377" s="326"/>
      <c r="T1377" s="294"/>
      <c r="U1377" s="294"/>
      <c r="V1377" s="294"/>
      <c r="W1377" s="294"/>
      <c r="X1377" s="1182"/>
      <c r="Y1377" s="1182"/>
      <c r="Z1377" s="1166"/>
      <c r="AA1377" s="1166"/>
      <c r="AB1377" s="1182"/>
      <c r="AC1377" s="294"/>
      <c r="AD1377" s="294"/>
      <c r="AE1377" s="294"/>
      <c r="AF1377" s="294"/>
      <c r="AG1377" s="294"/>
      <c r="AH1377" s="294"/>
      <c r="AI1377" s="294"/>
      <c r="AJ1377" s="294"/>
    </row>
    <row r="1378" spans="2:36" x14ac:dyDescent="0.25">
      <c r="B1378" s="294"/>
      <c r="C1378" s="294"/>
      <c r="D1378" s="294"/>
      <c r="E1378" s="294"/>
      <c r="F1378" s="294"/>
      <c r="G1378" s="294"/>
      <c r="H1378" s="294"/>
      <c r="I1378" s="294"/>
      <c r="J1378" s="294"/>
      <c r="L1378" s="295"/>
      <c r="M1378" s="294"/>
      <c r="R1378" s="326"/>
      <c r="S1378" s="326"/>
      <c r="T1378" s="294"/>
      <c r="U1378" s="294"/>
      <c r="V1378" s="294"/>
      <c r="W1378" s="294"/>
      <c r="X1378" s="1182"/>
      <c r="Y1378" s="1182"/>
      <c r="Z1378" s="1166"/>
      <c r="AA1378" s="1166"/>
      <c r="AB1378" s="1182"/>
      <c r="AC1378" s="294"/>
      <c r="AD1378" s="294"/>
      <c r="AE1378" s="294"/>
      <c r="AF1378" s="294"/>
      <c r="AG1378" s="294"/>
      <c r="AH1378" s="294"/>
      <c r="AI1378" s="294"/>
      <c r="AJ1378" s="294"/>
    </row>
    <row r="1379" spans="2:36" x14ac:dyDescent="0.25">
      <c r="B1379" s="294"/>
      <c r="C1379" s="294"/>
      <c r="D1379" s="294"/>
      <c r="E1379" s="294"/>
      <c r="F1379" s="294"/>
      <c r="G1379" s="294"/>
      <c r="H1379" s="294"/>
      <c r="I1379" s="294"/>
      <c r="J1379" s="294"/>
      <c r="L1379" s="295"/>
      <c r="M1379" s="294"/>
      <c r="R1379" s="326"/>
      <c r="S1379" s="326"/>
      <c r="T1379" s="294"/>
      <c r="U1379" s="294"/>
      <c r="V1379" s="294"/>
      <c r="W1379" s="294"/>
      <c r="X1379" s="1182"/>
      <c r="Y1379" s="1182"/>
      <c r="Z1379" s="1166"/>
      <c r="AA1379" s="1166"/>
      <c r="AB1379" s="1182"/>
      <c r="AC1379" s="294"/>
      <c r="AD1379" s="294"/>
      <c r="AE1379" s="294"/>
      <c r="AF1379" s="294"/>
      <c r="AG1379" s="294"/>
      <c r="AH1379" s="294"/>
      <c r="AI1379" s="294"/>
      <c r="AJ1379" s="294"/>
    </row>
    <row r="1380" spans="2:36" x14ac:dyDescent="0.25">
      <c r="B1380" s="294"/>
      <c r="C1380" s="294"/>
      <c r="D1380" s="294"/>
      <c r="E1380" s="294"/>
      <c r="F1380" s="294"/>
      <c r="G1380" s="294"/>
      <c r="H1380" s="294"/>
      <c r="I1380" s="294"/>
      <c r="J1380" s="294"/>
      <c r="L1380" s="295"/>
      <c r="M1380" s="294"/>
      <c r="R1380" s="326"/>
      <c r="S1380" s="326"/>
      <c r="T1380" s="294"/>
      <c r="U1380" s="294"/>
      <c r="V1380" s="294"/>
      <c r="W1380" s="294"/>
      <c r="X1380" s="1182"/>
      <c r="Y1380" s="1182"/>
      <c r="Z1380" s="1166"/>
      <c r="AA1380" s="1166"/>
      <c r="AB1380" s="1182"/>
      <c r="AC1380" s="294"/>
      <c r="AD1380" s="294"/>
      <c r="AE1380" s="294"/>
      <c r="AF1380" s="294"/>
      <c r="AG1380" s="294"/>
      <c r="AH1380" s="294"/>
      <c r="AI1380" s="294"/>
      <c r="AJ1380" s="294"/>
    </row>
    <row r="1381" spans="2:36" x14ac:dyDescent="0.25">
      <c r="B1381" s="294"/>
      <c r="C1381" s="294"/>
      <c r="D1381" s="294"/>
      <c r="E1381" s="294"/>
      <c r="F1381" s="294"/>
      <c r="G1381" s="294"/>
      <c r="H1381" s="294"/>
      <c r="I1381" s="294"/>
      <c r="J1381" s="294"/>
      <c r="L1381" s="295"/>
      <c r="M1381" s="294"/>
      <c r="R1381" s="326"/>
      <c r="S1381" s="326"/>
      <c r="T1381" s="294"/>
      <c r="U1381" s="294"/>
      <c r="V1381" s="294"/>
      <c r="W1381" s="294"/>
      <c r="X1381" s="1182"/>
      <c r="Y1381" s="1182"/>
      <c r="Z1381" s="1166"/>
      <c r="AA1381" s="1166"/>
      <c r="AB1381" s="1182"/>
      <c r="AC1381" s="294"/>
      <c r="AD1381" s="294"/>
      <c r="AE1381" s="294"/>
      <c r="AF1381" s="294"/>
      <c r="AG1381" s="294"/>
      <c r="AH1381" s="294"/>
      <c r="AI1381" s="294"/>
      <c r="AJ1381" s="294"/>
    </row>
    <row r="1382" spans="2:36" x14ac:dyDescent="0.25">
      <c r="B1382" s="294"/>
      <c r="C1382" s="294"/>
      <c r="D1382" s="294"/>
      <c r="E1382" s="294"/>
      <c r="F1382" s="294"/>
      <c r="G1382" s="294"/>
      <c r="H1382" s="294"/>
      <c r="I1382" s="294"/>
      <c r="J1382" s="294"/>
      <c r="L1382" s="295"/>
      <c r="M1382" s="294"/>
      <c r="R1382" s="326"/>
      <c r="S1382" s="326"/>
      <c r="T1382" s="294"/>
      <c r="U1382" s="294"/>
      <c r="V1382" s="294"/>
      <c r="W1382" s="294"/>
      <c r="X1382" s="1182"/>
      <c r="Y1382" s="1182"/>
      <c r="Z1382" s="1166"/>
      <c r="AA1382" s="1166"/>
      <c r="AB1382" s="1182"/>
      <c r="AC1382" s="294"/>
      <c r="AD1382" s="294"/>
      <c r="AE1382" s="294"/>
      <c r="AF1382" s="294"/>
      <c r="AG1382" s="294"/>
      <c r="AH1382" s="294"/>
      <c r="AI1382" s="294"/>
      <c r="AJ1382" s="294"/>
    </row>
    <row r="1383" spans="2:36" x14ac:dyDescent="0.25">
      <c r="B1383" s="294"/>
      <c r="C1383" s="294"/>
      <c r="D1383" s="294"/>
      <c r="E1383" s="294"/>
      <c r="F1383" s="294"/>
      <c r="G1383" s="294"/>
      <c r="H1383" s="294"/>
      <c r="I1383" s="294"/>
      <c r="J1383" s="294"/>
      <c r="L1383" s="295"/>
      <c r="M1383" s="294"/>
      <c r="R1383" s="326"/>
      <c r="S1383" s="326"/>
      <c r="T1383" s="294"/>
      <c r="U1383" s="294"/>
      <c r="V1383" s="294"/>
      <c r="W1383" s="294"/>
      <c r="X1383" s="1182"/>
      <c r="Y1383" s="1182"/>
      <c r="Z1383" s="1166"/>
      <c r="AA1383" s="1166"/>
      <c r="AB1383" s="1182"/>
      <c r="AC1383" s="294"/>
      <c r="AD1383" s="294"/>
      <c r="AE1383" s="294"/>
      <c r="AF1383" s="294"/>
      <c r="AG1383" s="294"/>
      <c r="AH1383" s="294"/>
      <c r="AI1383" s="294"/>
      <c r="AJ1383" s="294"/>
    </row>
    <row r="1384" spans="2:36" x14ac:dyDescent="0.25">
      <c r="B1384" s="294"/>
      <c r="C1384" s="294"/>
      <c r="D1384" s="294"/>
      <c r="E1384" s="294"/>
      <c r="F1384" s="294"/>
      <c r="G1384" s="294"/>
      <c r="H1384" s="294"/>
      <c r="I1384" s="294"/>
      <c r="J1384" s="294"/>
      <c r="L1384" s="295"/>
      <c r="M1384" s="294"/>
      <c r="R1384" s="326"/>
      <c r="S1384" s="326"/>
      <c r="T1384" s="294"/>
      <c r="U1384" s="294"/>
      <c r="V1384" s="294"/>
      <c r="W1384" s="294"/>
      <c r="X1384" s="1182"/>
      <c r="Y1384" s="1182"/>
      <c r="Z1384" s="1166"/>
      <c r="AA1384" s="1166"/>
      <c r="AB1384" s="1182"/>
      <c r="AC1384" s="294"/>
      <c r="AD1384" s="294"/>
      <c r="AE1384" s="294"/>
      <c r="AF1384" s="294"/>
      <c r="AG1384" s="294"/>
      <c r="AH1384" s="294"/>
      <c r="AI1384" s="294"/>
      <c r="AJ1384" s="294"/>
    </row>
    <row r="1385" spans="2:36" x14ac:dyDescent="0.25">
      <c r="B1385" s="294"/>
      <c r="C1385" s="294"/>
      <c r="D1385" s="294"/>
      <c r="E1385" s="294"/>
      <c r="F1385" s="294"/>
      <c r="G1385" s="294"/>
      <c r="H1385" s="294"/>
      <c r="I1385" s="294"/>
      <c r="J1385" s="294"/>
      <c r="L1385" s="295"/>
      <c r="M1385" s="294"/>
      <c r="R1385" s="326"/>
      <c r="S1385" s="326"/>
      <c r="T1385" s="294"/>
      <c r="U1385" s="294"/>
      <c r="V1385" s="294"/>
      <c r="W1385" s="294"/>
      <c r="X1385" s="1182"/>
      <c r="Y1385" s="1182"/>
      <c r="Z1385" s="1166"/>
      <c r="AA1385" s="1166"/>
      <c r="AB1385" s="1182"/>
      <c r="AC1385" s="294"/>
      <c r="AD1385" s="294"/>
      <c r="AE1385" s="294"/>
      <c r="AF1385" s="294"/>
      <c r="AG1385" s="294"/>
      <c r="AH1385" s="294"/>
      <c r="AI1385" s="294"/>
      <c r="AJ1385" s="294"/>
    </row>
    <row r="1386" spans="2:36" x14ac:dyDescent="0.25">
      <c r="B1386" s="294"/>
      <c r="C1386" s="294"/>
      <c r="D1386" s="294"/>
      <c r="E1386" s="294"/>
      <c r="F1386" s="294"/>
      <c r="G1386" s="294"/>
      <c r="H1386" s="294"/>
      <c r="I1386" s="294"/>
      <c r="J1386" s="294"/>
      <c r="L1386" s="295"/>
      <c r="M1386" s="294"/>
      <c r="R1386" s="326"/>
      <c r="S1386" s="326"/>
      <c r="T1386" s="294"/>
      <c r="U1386" s="294"/>
      <c r="V1386" s="294"/>
      <c r="W1386" s="294"/>
      <c r="X1386" s="1182"/>
      <c r="Y1386" s="1182"/>
      <c r="Z1386" s="1166"/>
      <c r="AA1386" s="1166"/>
      <c r="AB1386" s="1182"/>
      <c r="AC1386" s="294"/>
      <c r="AD1386" s="294"/>
      <c r="AE1386" s="294"/>
      <c r="AF1386" s="294"/>
      <c r="AG1386" s="294"/>
      <c r="AH1386" s="294"/>
      <c r="AI1386" s="294"/>
      <c r="AJ1386" s="294"/>
    </row>
    <row r="1387" spans="2:36" x14ac:dyDescent="0.25">
      <c r="B1387" s="294"/>
      <c r="C1387" s="294"/>
      <c r="D1387" s="294"/>
      <c r="E1387" s="294"/>
      <c r="F1387" s="294"/>
      <c r="G1387" s="294"/>
      <c r="H1387" s="294"/>
      <c r="I1387" s="294"/>
      <c r="J1387" s="294"/>
      <c r="L1387" s="295"/>
      <c r="M1387" s="294"/>
      <c r="R1387" s="326"/>
      <c r="S1387" s="326"/>
      <c r="T1387" s="294"/>
      <c r="U1387" s="294"/>
      <c r="V1387" s="294"/>
      <c r="W1387" s="294"/>
      <c r="X1387" s="1182"/>
      <c r="Y1387" s="1182"/>
      <c r="Z1387" s="1166"/>
      <c r="AA1387" s="1166"/>
      <c r="AB1387" s="1182"/>
      <c r="AC1387" s="294"/>
      <c r="AD1387" s="294"/>
      <c r="AE1387" s="294"/>
      <c r="AF1387" s="294"/>
      <c r="AG1387" s="294"/>
      <c r="AH1387" s="294"/>
      <c r="AI1387" s="294"/>
      <c r="AJ1387" s="294"/>
    </row>
    <row r="1388" spans="2:36" x14ac:dyDescent="0.25">
      <c r="B1388" s="294"/>
      <c r="C1388" s="294"/>
      <c r="D1388" s="294"/>
      <c r="E1388" s="294"/>
      <c r="F1388" s="294"/>
      <c r="G1388" s="294"/>
      <c r="H1388" s="294"/>
      <c r="I1388" s="294"/>
      <c r="J1388" s="294"/>
      <c r="L1388" s="295"/>
      <c r="M1388" s="294"/>
      <c r="R1388" s="326"/>
      <c r="S1388" s="326"/>
      <c r="T1388" s="294"/>
      <c r="U1388" s="294"/>
      <c r="V1388" s="294"/>
      <c r="W1388" s="294"/>
      <c r="X1388" s="1182"/>
      <c r="Y1388" s="1182"/>
      <c r="Z1388" s="1166"/>
      <c r="AA1388" s="1166"/>
      <c r="AB1388" s="1182"/>
      <c r="AC1388" s="294"/>
      <c r="AD1388" s="294"/>
      <c r="AE1388" s="294"/>
      <c r="AF1388" s="294"/>
      <c r="AG1388" s="294"/>
      <c r="AH1388" s="294"/>
      <c r="AI1388" s="294"/>
      <c r="AJ1388" s="294"/>
    </row>
    <row r="1389" spans="2:36" x14ac:dyDescent="0.25">
      <c r="B1389" s="294"/>
      <c r="C1389" s="294"/>
      <c r="D1389" s="294"/>
      <c r="E1389" s="294"/>
      <c r="F1389" s="294"/>
      <c r="G1389" s="294"/>
      <c r="H1389" s="294"/>
      <c r="I1389" s="294"/>
      <c r="J1389" s="294"/>
      <c r="L1389" s="295"/>
      <c r="M1389" s="294"/>
      <c r="R1389" s="326"/>
      <c r="S1389" s="326"/>
      <c r="T1389" s="294"/>
      <c r="U1389" s="294"/>
      <c r="V1389" s="294"/>
      <c r="W1389" s="294"/>
      <c r="X1389" s="1182"/>
      <c r="Y1389" s="1182"/>
      <c r="Z1389" s="1166"/>
      <c r="AA1389" s="1166"/>
      <c r="AB1389" s="1182"/>
      <c r="AC1389" s="294"/>
      <c r="AD1389" s="294"/>
      <c r="AE1389" s="294"/>
      <c r="AF1389" s="294"/>
      <c r="AG1389" s="294"/>
      <c r="AH1389" s="294"/>
      <c r="AI1389" s="294"/>
      <c r="AJ1389" s="294"/>
    </row>
    <row r="1390" spans="2:36" x14ac:dyDescent="0.25">
      <c r="B1390" s="294"/>
      <c r="C1390" s="294"/>
      <c r="D1390" s="294"/>
      <c r="E1390" s="294"/>
      <c r="F1390" s="294"/>
      <c r="G1390" s="294"/>
      <c r="H1390" s="294"/>
      <c r="I1390" s="294"/>
      <c r="J1390" s="294"/>
      <c r="L1390" s="295"/>
      <c r="M1390" s="294"/>
      <c r="R1390" s="326"/>
      <c r="S1390" s="326"/>
      <c r="T1390" s="294"/>
      <c r="U1390" s="294"/>
      <c r="V1390" s="294"/>
      <c r="W1390" s="294"/>
      <c r="X1390" s="1182"/>
      <c r="Y1390" s="1182"/>
      <c r="Z1390" s="1166"/>
      <c r="AA1390" s="1166"/>
      <c r="AB1390" s="1182"/>
      <c r="AC1390" s="294"/>
      <c r="AD1390" s="294"/>
      <c r="AE1390" s="294"/>
      <c r="AF1390" s="294"/>
      <c r="AG1390" s="294"/>
      <c r="AH1390" s="294"/>
      <c r="AI1390" s="294"/>
      <c r="AJ1390" s="294"/>
    </row>
    <row r="1391" spans="2:36" x14ac:dyDescent="0.25">
      <c r="B1391" s="294"/>
      <c r="C1391" s="294"/>
      <c r="D1391" s="294"/>
      <c r="E1391" s="294"/>
      <c r="F1391" s="294"/>
      <c r="G1391" s="294"/>
      <c r="H1391" s="294"/>
      <c r="I1391" s="294"/>
      <c r="J1391" s="294"/>
      <c r="L1391" s="295"/>
      <c r="M1391" s="294"/>
      <c r="R1391" s="326"/>
      <c r="S1391" s="326"/>
      <c r="T1391" s="294"/>
      <c r="U1391" s="294"/>
      <c r="V1391" s="294"/>
      <c r="W1391" s="294"/>
      <c r="X1391" s="1182"/>
      <c r="Y1391" s="1182"/>
      <c r="Z1391" s="1166"/>
      <c r="AA1391" s="1166"/>
      <c r="AB1391" s="1182"/>
      <c r="AC1391" s="294"/>
      <c r="AD1391" s="294"/>
      <c r="AE1391" s="294"/>
      <c r="AF1391" s="294"/>
      <c r="AG1391" s="294"/>
      <c r="AH1391" s="294"/>
      <c r="AI1391" s="294"/>
      <c r="AJ1391" s="294"/>
    </row>
    <row r="1392" spans="2:36" x14ac:dyDescent="0.25">
      <c r="B1392" s="294"/>
      <c r="C1392" s="294"/>
      <c r="D1392" s="294"/>
      <c r="E1392" s="294"/>
      <c r="F1392" s="294"/>
      <c r="G1392" s="294"/>
      <c r="H1392" s="294"/>
      <c r="I1392" s="294"/>
      <c r="J1392" s="294"/>
      <c r="L1392" s="295"/>
      <c r="M1392" s="294"/>
      <c r="R1392" s="326"/>
      <c r="S1392" s="326"/>
      <c r="T1392" s="294"/>
      <c r="U1392" s="294"/>
      <c r="V1392" s="294"/>
      <c r="W1392" s="294"/>
      <c r="X1392" s="1182"/>
      <c r="Y1392" s="1182"/>
      <c r="Z1392" s="1166"/>
      <c r="AA1392" s="1166"/>
      <c r="AB1392" s="1182"/>
      <c r="AC1392" s="294"/>
      <c r="AD1392" s="294"/>
      <c r="AE1392" s="294"/>
      <c r="AF1392" s="294"/>
      <c r="AG1392" s="294"/>
      <c r="AH1392" s="294"/>
      <c r="AI1392" s="294"/>
      <c r="AJ1392" s="294"/>
    </row>
    <row r="1393" spans="2:36" x14ac:dyDescent="0.25">
      <c r="B1393" s="294"/>
      <c r="C1393" s="294"/>
      <c r="D1393" s="294"/>
      <c r="E1393" s="294"/>
      <c r="F1393" s="294"/>
      <c r="G1393" s="294"/>
      <c r="H1393" s="294"/>
      <c r="I1393" s="294"/>
      <c r="J1393" s="294"/>
      <c r="L1393" s="295"/>
      <c r="M1393" s="294"/>
      <c r="R1393" s="326"/>
      <c r="S1393" s="326"/>
      <c r="T1393" s="294"/>
      <c r="U1393" s="294"/>
      <c r="V1393" s="294"/>
      <c r="W1393" s="294"/>
      <c r="X1393" s="1182"/>
      <c r="Y1393" s="1182"/>
      <c r="Z1393" s="1166"/>
      <c r="AA1393" s="1166"/>
      <c r="AB1393" s="1182"/>
      <c r="AC1393" s="294"/>
      <c r="AD1393" s="294"/>
      <c r="AE1393" s="294"/>
      <c r="AF1393" s="294"/>
      <c r="AG1393" s="294"/>
      <c r="AH1393" s="294"/>
      <c r="AI1393" s="294"/>
      <c r="AJ1393" s="294"/>
    </row>
    <row r="1394" spans="2:36" x14ac:dyDescent="0.25">
      <c r="B1394" s="294"/>
      <c r="C1394" s="294"/>
      <c r="D1394" s="294"/>
      <c r="E1394" s="294"/>
      <c r="F1394" s="294"/>
      <c r="G1394" s="294"/>
      <c r="H1394" s="294"/>
      <c r="I1394" s="294"/>
      <c r="J1394" s="294"/>
      <c r="L1394" s="295"/>
      <c r="M1394" s="294"/>
      <c r="R1394" s="326"/>
      <c r="S1394" s="326"/>
      <c r="T1394" s="294"/>
      <c r="U1394" s="294"/>
      <c r="V1394" s="294"/>
      <c r="W1394" s="294"/>
      <c r="X1394" s="1182"/>
      <c r="Y1394" s="1182"/>
      <c r="Z1394" s="1166"/>
      <c r="AA1394" s="1166"/>
      <c r="AB1394" s="1182"/>
      <c r="AC1394" s="294"/>
      <c r="AD1394" s="294"/>
      <c r="AE1394" s="294"/>
      <c r="AF1394" s="294"/>
      <c r="AG1394" s="294"/>
      <c r="AH1394" s="294"/>
      <c r="AI1394" s="294"/>
      <c r="AJ1394" s="294"/>
    </row>
    <row r="1395" spans="2:36" x14ac:dyDescent="0.25">
      <c r="B1395" s="294"/>
      <c r="C1395" s="294"/>
      <c r="D1395" s="294"/>
      <c r="E1395" s="294"/>
      <c r="F1395" s="294"/>
      <c r="G1395" s="294"/>
      <c r="H1395" s="294"/>
      <c r="I1395" s="294"/>
      <c r="J1395" s="294"/>
      <c r="L1395" s="295"/>
      <c r="M1395" s="294"/>
      <c r="R1395" s="326"/>
      <c r="S1395" s="326"/>
      <c r="T1395" s="294"/>
      <c r="U1395" s="294"/>
      <c r="V1395" s="294"/>
      <c r="W1395" s="294"/>
      <c r="X1395" s="1182"/>
      <c r="Y1395" s="1182"/>
      <c r="Z1395" s="1166"/>
      <c r="AA1395" s="1166"/>
      <c r="AB1395" s="1182"/>
      <c r="AC1395" s="294"/>
      <c r="AD1395" s="294"/>
      <c r="AE1395" s="294"/>
      <c r="AF1395" s="294"/>
      <c r="AG1395" s="294"/>
      <c r="AH1395" s="294"/>
      <c r="AI1395" s="294"/>
      <c r="AJ1395" s="294"/>
    </row>
    <row r="1396" spans="2:36" x14ac:dyDescent="0.25">
      <c r="B1396" s="294"/>
      <c r="C1396" s="294"/>
      <c r="D1396" s="294"/>
      <c r="E1396" s="294"/>
      <c r="F1396" s="294"/>
      <c r="G1396" s="294"/>
      <c r="H1396" s="294"/>
      <c r="I1396" s="294"/>
      <c r="J1396" s="294"/>
      <c r="L1396" s="295"/>
      <c r="M1396" s="294"/>
      <c r="R1396" s="326"/>
      <c r="S1396" s="326"/>
      <c r="T1396" s="294"/>
      <c r="U1396" s="294"/>
      <c r="V1396" s="294"/>
      <c r="W1396" s="294"/>
      <c r="X1396" s="1182"/>
      <c r="Y1396" s="1182"/>
      <c r="Z1396" s="1166"/>
      <c r="AA1396" s="1166"/>
      <c r="AB1396" s="1182"/>
      <c r="AC1396" s="294"/>
      <c r="AD1396" s="294"/>
      <c r="AE1396" s="294"/>
      <c r="AF1396" s="294"/>
      <c r="AG1396" s="294"/>
      <c r="AH1396" s="294"/>
      <c r="AI1396" s="294"/>
      <c r="AJ1396" s="294"/>
    </row>
    <row r="1397" spans="2:36" x14ac:dyDescent="0.25">
      <c r="B1397" s="294"/>
      <c r="C1397" s="294"/>
      <c r="D1397" s="294"/>
      <c r="E1397" s="294"/>
      <c r="F1397" s="294"/>
      <c r="G1397" s="294"/>
      <c r="H1397" s="294"/>
      <c r="I1397" s="294"/>
      <c r="J1397" s="294"/>
      <c r="L1397" s="295"/>
      <c r="M1397" s="294"/>
      <c r="R1397" s="326"/>
      <c r="S1397" s="326"/>
      <c r="T1397" s="294"/>
      <c r="U1397" s="294"/>
      <c r="V1397" s="294"/>
      <c r="W1397" s="294"/>
      <c r="X1397" s="1182"/>
      <c r="Y1397" s="1182"/>
      <c r="Z1397" s="1166"/>
      <c r="AA1397" s="1166"/>
      <c r="AB1397" s="1182"/>
      <c r="AC1397" s="294"/>
      <c r="AD1397" s="294"/>
      <c r="AE1397" s="294"/>
      <c r="AF1397" s="294"/>
      <c r="AG1397" s="294"/>
      <c r="AH1397" s="294"/>
      <c r="AI1397" s="294"/>
      <c r="AJ1397" s="294"/>
    </row>
    <row r="1398" spans="2:36" x14ac:dyDescent="0.25">
      <c r="B1398" s="294"/>
      <c r="C1398" s="294"/>
      <c r="D1398" s="294"/>
      <c r="E1398" s="294"/>
      <c r="F1398" s="294"/>
      <c r="G1398" s="294"/>
      <c r="H1398" s="294"/>
      <c r="I1398" s="294"/>
      <c r="J1398" s="294"/>
      <c r="L1398" s="295"/>
      <c r="M1398" s="294"/>
      <c r="R1398" s="326"/>
      <c r="S1398" s="326"/>
      <c r="T1398" s="294"/>
      <c r="U1398" s="294"/>
      <c r="V1398" s="294"/>
      <c r="W1398" s="294"/>
      <c r="X1398" s="1182"/>
      <c r="Y1398" s="1182"/>
      <c r="Z1398" s="1166"/>
      <c r="AA1398" s="1166"/>
      <c r="AB1398" s="1182"/>
      <c r="AC1398" s="294"/>
      <c r="AD1398" s="294"/>
      <c r="AE1398" s="294"/>
      <c r="AF1398" s="294"/>
      <c r="AG1398" s="294"/>
      <c r="AH1398" s="294"/>
      <c r="AI1398" s="294"/>
      <c r="AJ1398" s="294"/>
    </row>
    <row r="1399" spans="2:36" x14ac:dyDescent="0.25">
      <c r="B1399" s="294"/>
      <c r="C1399" s="294"/>
      <c r="D1399" s="294"/>
      <c r="E1399" s="294"/>
      <c r="F1399" s="294"/>
      <c r="G1399" s="294"/>
      <c r="H1399" s="294"/>
      <c r="I1399" s="294"/>
      <c r="J1399" s="294"/>
      <c r="L1399" s="295"/>
      <c r="M1399" s="294"/>
      <c r="R1399" s="326"/>
      <c r="S1399" s="326"/>
      <c r="T1399" s="294"/>
      <c r="U1399" s="294"/>
      <c r="V1399" s="294"/>
      <c r="W1399" s="294"/>
      <c r="X1399" s="1182"/>
      <c r="Y1399" s="1182"/>
      <c r="Z1399" s="1166"/>
      <c r="AA1399" s="1166"/>
      <c r="AB1399" s="1182"/>
      <c r="AC1399" s="294"/>
      <c r="AD1399" s="294"/>
      <c r="AE1399" s="294"/>
      <c r="AF1399" s="294"/>
      <c r="AG1399" s="294"/>
      <c r="AH1399" s="294"/>
      <c r="AI1399" s="294"/>
      <c r="AJ1399" s="294"/>
    </row>
    <row r="1400" spans="2:36" x14ac:dyDescent="0.25">
      <c r="B1400" s="294"/>
      <c r="C1400" s="294"/>
      <c r="D1400" s="294"/>
      <c r="E1400" s="294"/>
      <c r="F1400" s="294"/>
      <c r="G1400" s="294"/>
      <c r="H1400" s="294"/>
      <c r="I1400" s="294"/>
      <c r="J1400" s="294"/>
      <c r="L1400" s="295"/>
      <c r="M1400" s="294"/>
      <c r="R1400" s="326"/>
      <c r="S1400" s="326"/>
      <c r="T1400" s="294"/>
      <c r="U1400" s="294"/>
      <c r="V1400" s="294"/>
      <c r="W1400" s="294"/>
      <c r="X1400" s="1182"/>
      <c r="Y1400" s="1182"/>
      <c r="Z1400" s="1166"/>
      <c r="AA1400" s="1166"/>
      <c r="AB1400" s="1182"/>
      <c r="AC1400" s="294"/>
      <c r="AD1400" s="294"/>
      <c r="AE1400" s="294"/>
      <c r="AF1400" s="294"/>
      <c r="AG1400" s="294"/>
      <c r="AH1400" s="294"/>
      <c r="AI1400" s="294"/>
      <c r="AJ1400" s="294"/>
    </row>
    <row r="1401" spans="2:36" x14ac:dyDescent="0.25">
      <c r="B1401" s="294"/>
      <c r="C1401" s="294"/>
      <c r="D1401" s="294"/>
      <c r="E1401" s="294"/>
      <c r="F1401" s="294"/>
      <c r="G1401" s="294"/>
      <c r="H1401" s="294"/>
      <c r="I1401" s="294"/>
      <c r="J1401" s="294"/>
      <c r="L1401" s="295"/>
      <c r="M1401" s="294"/>
      <c r="R1401" s="326"/>
      <c r="S1401" s="326"/>
      <c r="T1401" s="294"/>
      <c r="U1401" s="294"/>
      <c r="V1401" s="294"/>
      <c r="W1401" s="294"/>
      <c r="X1401" s="1182"/>
      <c r="Y1401" s="1182"/>
      <c r="Z1401" s="1166"/>
      <c r="AA1401" s="1166"/>
      <c r="AB1401" s="1182"/>
      <c r="AC1401" s="294"/>
      <c r="AD1401" s="294"/>
      <c r="AE1401" s="294"/>
      <c r="AF1401" s="294"/>
      <c r="AG1401" s="294"/>
      <c r="AH1401" s="294"/>
      <c r="AI1401" s="294"/>
      <c r="AJ1401" s="294"/>
    </row>
    <row r="1402" spans="2:36" x14ac:dyDescent="0.25">
      <c r="B1402" s="294"/>
      <c r="C1402" s="294"/>
      <c r="D1402" s="294"/>
      <c r="E1402" s="294"/>
      <c r="F1402" s="294"/>
      <c r="G1402" s="294"/>
      <c r="H1402" s="294"/>
      <c r="I1402" s="294"/>
      <c r="J1402" s="294"/>
      <c r="L1402" s="295"/>
      <c r="M1402" s="294"/>
      <c r="R1402" s="326"/>
      <c r="S1402" s="326"/>
      <c r="T1402" s="294"/>
      <c r="U1402" s="294"/>
      <c r="V1402" s="294"/>
      <c r="W1402" s="294"/>
      <c r="X1402" s="1182"/>
      <c r="Y1402" s="1182"/>
      <c r="Z1402" s="1166"/>
      <c r="AA1402" s="1166"/>
      <c r="AB1402" s="1182"/>
      <c r="AC1402" s="294"/>
      <c r="AD1402" s="294"/>
      <c r="AE1402" s="294"/>
      <c r="AF1402" s="294"/>
      <c r="AG1402" s="294"/>
      <c r="AH1402" s="294"/>
      <c r="AI1402" s="294"/>
      <c r="AJ1402" s="294"/>
    </row>
    <row r="1403" spans="2:36" x14ac:dyDescent="0.25">
      <c r="B1403" s="294"/>
      <c r="C1403" s="294"/>
      <c r="D1403" s="294"/>
      <c r="E1403" s="294"/>
      <c r="F1403" s="294"/>
      <c r="G1403" s="294"/>
      <c r="H1403" s="294"/>
      <c r="I1403" s="294"/>
      <c r="J1403" s="294"/>
      <c r="L1403" s="295"/>
      <c r="M1403" s="294"/>
      <c r="R1403" s="326"/>
      <c r="S1403" s="326"/>
      <c r="T1403" s="294"/>
      <c r="U1403" s="294"/>
      <c r="V1403" s="294"/>
      <c r="W1403" s="294"/>
      <c r="X1403" s="1182"/>
      <c r="Y1403" s="1182"/>
      <c r="Z1403" s="1166"/>
      <c r="AA1403" s="1166"/>
      <c r="AB1403" s="1182"/>
      <c r="AC1403" s="294"/>
      <c r="AD1403" s="294"/>
      <c r="AE1403" s="294"/>
      <c r="AF1403" s="294"/>
      <c r="AG1403" s="294"/>
      <c r="AH1403" s="294"/>
      <c r="AI1403" s="294"/>
      <c r="AJ1403" s="294"/>
    </row>
    <row r="1404" spans="2:36" x14ac:dyDescent="0.25">
      <c r="B1404" s="294"/>
      <c r="C1404" s="294"/>
      <c r="D1404" s="294"/>
      <c r="E1404" s="294"/>
      <c r="F1404" s="294"/>
      <c r="G1404" s="294"/>
      <c r="H1404" s="294"/>
      <c r="I1404" s="294"/>
      <c r="J1404" s="294"/>
      <c r="L1404" s="295"/>
      <c r="M1404" s="294"/>
      <c r="R1404" s="326"/>
      <c r="S1404" s="326"/>
      <c r="T1404" s="294"/>
      <c r="U1404" s="294"/>
      <c r="V1404" s="294"/>
      <c r="W1404" s="294"/>
      <c r="X1404" s="1182"/>
      <c r="Y1404" s="1182"/>
      <c r="Z1404" s="1166"/>
      <c r="AA1404" s="1166"/>
      <c r="AB1404" s="1182"/>
      <c r="AC1404" s="294"/>
      <c r="AD1404" s="294"/>
      <c r="AE1404" s="294"/>
      <c r="AF1404" s="294"/>
      <c r="AG1404" s="294"/>
      <c r="AH1404" s="294"/>
      <c r="AI1404" s="294"/>
      <c r="AJ1404" s="294"/>
    </row>
    <row r="1405" spans="2:36" x14ac:dyDescent="0.25">
      <c r="B1405" s="294"/>
      <c r="C1405" s="294"/>
      <c r="D1405" s="294"/>
      <c r="E1405" s="294"/>
      <c r="F1405" s="294"/>
      <c r="G1405" s="294"/>
      <c r="H1405" s="294"/>
      <c r="I1405" s="294"/>
      <c r="J1405" s="294"/>
      <c r="L1405" s="295"/>
      <c r="M1405" s="294"/>
      <c r="R1405" s="326"/>
      <c r="S1405" s="326"/>
      <c r="T1405" s="294"/>
      <c r="U1405" s="294"/>
      <c r="V1405" s="294"/>
      <c r="W1405" s="294"/>
      <c r="X1405" s="1182"/>
      <c r="Y1405" s="1182"/>
      <c r="Z1405" s="1166"/>
      <c r="AA1405" s="1166"/>
      <c r="AB1405" s="1182"/>
      <c r="AC1405" s="294"/>
      <c r="AD1405" s="294"/>
      <c r="AE1405" s="294"/>
      <c r="AF1405" s="294"/>
      <c r="AG1405" s="294"/>
      <c r="AH1405" s="294"/>
      <c r="AI1405" s="294"/>
      <c r="AJ1405" s="294"/>
    </row>
    <row r="1406" spans="2:36" x14ac:dyDescent="0.25">
      <c r="B1406" s="294"/>
      <c r="C1406" s="294"/>
      <c r="D1406" s="294"/>
      <c r="E1406" s="294"/>
      <c r="F1406" s="294"/>
      <c r="G1406" s="294"/>
      <c r="H1406" s="294"/>
      <c r="I1406" s="294"/>
      <c r="J1406" s="294"/>
      <c r="L1406" s="295"/>
      <c r="M1406" s="294"/>
      <c r="R1406" s="326"/>
      <c r="S1406" s="326"/>
      <c r="T1406" s="294"/>
      <c r="U1406" s="294"/>
      <c r="V1406" s="294"/>
      <c r="W1406" s="294"/>
      <c r="X1406" s="1182"/>
      <c r="Y1406" s="1182"/>
      <c r="Z1406" s="1166"/>
      <c r="AA1406" s="1166"/>
      <c r="AB1406" s="1182"/>
      <c r="AC1406" s="294"/>
      <c r="AD1406" s="294"/>
      <c r="AE1406" s="294"/>
      <c r="AF1406" s="294"/>
      <c r="AG1406" s="294"/>
      <c r="AH1406" s="294"/>
      <c r="AI1406" s="294"/>
      <c r="AJ1406" s="294"/>
    </row>
    <row r="1407" spans="2:36" x14ac:dyDescent="0.25">
      <c r="B1407" s="294"/>
      <c r="C1407" s="294"/>
      <c r="D1407" s="294"/>
      <c r="E1407" s="294"/>
      <c r="F1407" s="294"/>
      <c r="G1407" s="294"/>
      <c r="H1407" s="294"/>
      <c r="I1407" s="294"/>
      <c r="J1407" s="294"/>
      <c r="L1407" s="295"/>
      <c r="M1407" s="294"/>
      <c r="R1407" s="326"/>
      <c r="S1407" s="326"/>
      <c r="T1407" s="294"/>
      <c r="U1407" s="294"/>
      <c r="V1407" s="294"/>
      <c r="W1407" s="294"/>
      <c r="X1407" s="1182"/>
      <c r="Y1407" s="1182"/>
      <c r="Z1407" s="1166"/>
      <c r="AA1407" s="1166"/>
      <c r="AB1407" s="1182"/>
      <c r="AC1407" s="294"/>
      <c r="AD1407" s="294"/>
      <c r="AE1407" s="294"/>
      <c r="AF1407" s="294"/>
      <c r="AG1407" s="294"/>
      <c r="AH1407" s="294"/>
      <c r="AI1407" s="294"/>
      <c r="AJ1407" s="294"/>
    </row>
    <row r="1408" spans="2:36" x14ac:dyDescent="0.25">
      <c r="B1408" s="294"/>
      <c r="C1408" s="294"/>
      <c r="D1408" s="294"/>
      <c r="E1408" s="294"/>
      <c r="F1408" s="294"/>
      <c r="G1408" s="294"/>
      <c r="H1408" s="294"/>
      <c r="I1408" s="294"/>
      <c r="J1408" s="294"/>
      <c r="L1408" s="295"/>
      <c r="M1408" s="294"/>
      <c r="R1408" s="326"/>
      <c r="S1408" s="326"/>
      <c r="T1408" s="294"/>
      <c r="U1408" s="294"/>
      <c r="V1408" s="294"/>
      <c r="W1408" s="294"/>
      <c r="X1408" s="1182"/>
      <c r="Y1408" s="1182"/>
      <c r="Z1408" s="1166"/>
      <c r="AA1408" s="1166"/>
      <c r="AB1408" s="1182"/>
      <c r="AC1408" s="294"/>
      <c r="AD1408" s="294"/>
      <c r="AE1408" s="294"/>
      <c r="AF1408" s="294"/>
      <c r="AG1408" s="294"/>
      <c r="AH1408" s="294"/>
      <c r="AI1408" s="294"/>
      <c r="AJ1408" s="294"/>
    </row>
    <row r="1409" spans="2:36" x14ac:dyDescent="0.25">
      <c r="B1409" s="294"/>
      <c r="C1409" s="294"/>
      <c r="D1409" s="294"/>
      <c r="E1409" s="294"/>
      <c r="F1409" s="294"/>
      <c r="G1409" s="294"/>
      <c r="H1409" s="294"/>
      <c r="I1409" s="294"/>
      <c r="J1409" s="294"/>
      <c r="L1409" s="295"/>
      <c r="M1409" s="294"/>
      <c r="R1409" s="326"/>
      <c r="S1409" s="326"/>
      <c r="T1409" s="294"/>
      <c r="U1409" s="294"/>
      <c r="V1409" s="294"/>
      <c r="W1409" s="294"/>
      <c r="X1409" s="1182"/>
      <c r="Y1409" s="1182"/>
      <c r="Z1409" s="1166"/>
      <c r="AA1409" s="1166"/>
      <c r="AB1409" s="1182"/>
      <c r="AC1409" s="294"/>
      <c r="AD1409" s="294"/>
      <c r="AE1409" s="294"/>
      <c r="AF1409" s="294"/>
      <c r="AG1409" s="294"/>
      <c r="AH1409" s="294"/>
      <c r="AI1409" s="294"/>
      <c r="AJ1409" s="294"/>
    </row>
    <row r="1410" spans="2:36" x14ac:dyDescent="0.25">
      <c r="B1410" s="294"/>
      <c r="C1410" s="294"/>
      <c r="D1410" s="294"/>
      <c r="E1410" s="294"/>
      <c r="F1410" s="294"/>
      <c r="G1410" s="294"/>
      <c r="H1410" s="294"/>
      <c r="I1410" s="294"/>
      <c r="J1410" s="294"/>
      <c r="L1410" s="295"/>
      <c r="M1410" s="294"/>
      <c r="R1410" s="326"/>
      <c r="S1410" s="326"/>
      <c r="T1410" s="294"/>
      <c r="U1410" s="294"/>
      <c r="V1410" s="294"/>
      <c r="W1410" s="294"/>
      <c r="X1410" s="1182"/>
      <c r="Y1410" s="1182"/>
      <c r="Z1410" s="1166"/>
      <c r="AA1410" s="1166"/>
      <c r="AB1410" s="1182"/>
      <c r="AC1410" s="294"/>
      <c r="AD1410" s="294"/>
      <c r="AE1410" s="294"/>
      <c r="AF1410" s="294"/>
      <c r="AG1410" s="294"/>
      <c r="AH1410" s="294"/>
      <c r="AI1410" s="294"/>
      <c r="AJ1410" s="294"/>
    </row>
    <row r="1411" spans="2:36" x14ac:dyDescent="0.25">
      <c r="B1411" s="294"/>
      <c r="C1411" s="294"/>
      <c r="D1411" s="294"/>
      <c r="E1411" s="294"/>
      <c r="F1411" s="294"/>
      <c r="G1411" s="294"/>
      <c r="H1411" s="294"/>
      <c r="I1411" s="294"/>
      <c r="J1411" s="294"/>
      <c r="L1411" s="295"/>
      <c r="M1411" s="294"/>
      <c r="R1411" s="326"/>
      <c r="S1411" s="326"/>
      <c r="T1411" s="294"/>
      <c r="U1411" s="294"/>
      <c r="V1411" s="294"/>
      <c r="W1411" s="294"/>
      <c r="X1411" s="1182"/>
      <c r="Y1411" s="1182"/>
      <c r="Z1411" s="1166"/>
      <c r="AA1411" s="1166"/>
      <c r="AB1411" s="1182"/>
      <c r="AC1411" s="294"/>
      <c r="AD1411" s="294"/>
      <c r="AE1411" s="294"/>
      <c r="AF1411" s="294"/>
      <c r="AG1411" s="294"/>
      <c r="AH1411" s="294"/>
      <c r="AI1411" s="294"/>
      <c r="AJ1411" s="294"/>
    </row>
    <row r="1412" spans="2:36" x14ac:dyDescent="0.25">
      <c r="B1412" s="294"/>
      <c r="C1412" s="294"/>
      <c r="D1412" s="294"/>
      <c r="E1412" s="294"/>
      <c r="F1412" s="294"/>
      <c r="G1412" s="294"/>
      <c r="H1412" s="294"/>
      <c r="I1412" s="294"/>
      <c r="J1412" s="294"/>
      <c r="L1412" s="295"/>
      <c r="M1412" s="294"/>
      <c r="R1412" s="326"/>
      <c r="S1412" s="326"/>
      <c r="T1412" s="294"/>
      <c r="U1412" s="294"/>
      <c r="V1412" s="294"/>
      <c r="W1412" s="294"/>
      <c r="X1412" s="1182"/>
      <c r="Y1412" s="1182"/>
      <c r="Z1412" s="1166"/>
      <c r="AA1412" s="1166"/>
      <c r="AB1412" s="1182"/>
      <c r="AC1412" s="294"/>
      <c r="AD1412" s="294"/>
      <c r="AE1412" s="294"/>
      <c r="AF1412" s="294"/>
      <c r="AG1412" s="294"/>
      <c r="AH1412" s="294"/>
      <c r="AI1412" s="294"/>
      <c r="AJ1412" s="294"/>
    </row>
    <row r="1413" spans="2:36" x14ac:dyDescent="0.25">
      <c r="B1413" s="294"/>
      <c r="C1413" s="294"/>
      <c r="D1413" s="294"/>
      <c r="E1413" s="294"/>
      <c r="F1413" s="294"/>
      <c r="G1413" s="294"/>
      <c r="H1413" s="294"/>
      <c r="I1413" s="294"/>
      <c r="J1413" s="294"/>
      <c r="L1413" s="295"/>
      <c r="M1413" s="294"/>
      <c r="R1413" s="326"/>
      <c r="S1413" s="326"/>
      <c r="T1413" s="294"/>
      <c r="U1413" s="294"/>
      <c r="V1413" s="294"/>
      <c r="W1413" s="294"/>
      <c r="X1413" s="1182"/>
      <c r="Y1413" s="1182"/>
      <c r="Z1413" s="1166"/>
      <c r="AA1413" s="1166"/>
      <c r="AB1413" s="1182"/>
      <c r="AC1413" s="294"/>
      <c r="AD1413" s="294"/>
      <c r="AE1413" s="294"/>
      <c r="AF1413" s="294"/>
      <c r="AG1413" s="294"/>
      <c r="AH1413" s="294"/>
      <c r="AI1413" s="294"/>
      <c r="AJ1413" s="294"/>
    </row>
    <row r="1414" spans="2:36" x14ac:dyDescent="0.25">
      <c r="B1414" s="294"/>
      <c r="C1414" s="294"/>
      <c r="D1414" s="294"/>
      <c r="E1414" s="294"/>
      <c r="F1414" s="294"/>
      <c r="G1414" s="294"/>
      <c r="H1414" s="294"/>
      <c r="I1414" s="294"/>
      <c r="J1414" s="294"/>
      <c r="L1414" s="295"/>
      <c r="M1414" s="294"/>
      <c r="R1414" s="326"/>
      <c r="S1414" s="326"/>
      <c r="T1414" s="294"/>
      <c r="U1414" s="294"/>
      <c r="V1414" s="294"/>
      <c r="W1414" s="294"/>
      <c r="X1414" s="1182"/>
      <c r="Y1414" s="1182"/>
      <c r="Z1414" s="1166"/>
      <c r="AA1414" s="1166"/>
      <c r="AB1414" s="1182"/>
      <c r="AC1414" s="294"/>
      <c r="AD1414" s="294"/>
      <c r="AE1414" s="294"/>
      <c r="AF1414" s="294"/>
      <c r="AG1414" s="294"/>
      <c r="AH1414" s="294"/>
      <c r="AI1414" s="294"/>
      <c r="AJ1414" s="294"/>
    </row>
    <row r="1415" spans="2:36" x14ac:dyDescent="0.25">
      <c r="B1415" s="294"/>
      <c r="C1415" s="294"/>
      <c r="D1415" s="294"/>
      <c r="E1415" s="294"/>
      <c r="F1415" s="294"/>
      <c r="G1415" s="294"/>
      <c r="H1415" s="294"/>
      <c r="I1415" s="294"/>
      <c r="J1415" s="294"/>
      <c r="L1415" s="295"/>
      <c r="M1415" s="294"/>
      <c r="R1415" s="326"/>
      <c r="S1415" s="326"/>
      <c r="T1415" s="294"/>
      <c r="U1415" s="294"/>
      <c r="V1415" s="294"/>
      <c r="W1415" s="294"/>
      <c r="X1415" s="1182"/>
      <c r="Y1415" s="1182"/>
      <c r="Z1415" s="1166"/>
      <c r="AA1415" s="1166"/>
      <c r="AB1415" s="1182"/>
      <c r="AC1415" s="294"/>
      <c r="AD1415" s="294"/>
      <c r="AE1415" s="294"/>
      <c r="AF1415" s="294"/>
      <c r="AG1415" s="294"/>
      <c r="AH1415" s="294"/>
      <c r="AI1415" s="294"/>
      <c r="AJ1415" s="294"/>
    </row>
    <row r="1416" spans="2:36" x14ac:dyDescent="0.25">
      <c r="B1416" s="294"/>
      <c r="C1416" s="294"/>
      <c r="D1416" s="294"/>
      <c r="E1416" s="294"/>
      <c r="F1416" s="294"/>
      <c r="G1416" s="294"/>
      <c r="H1416" s="294"/>
      <c r="I1416" s="294"/>
      <c r="J1416" s="294"/>
      <c r="L1416" s="295"/>
      <c r="M1416" s="294"/>
      <c r="R1416" s="326"/>
      <c r="S1416" s="326"/>
      <c r="T1416" s="294"/>
      <c r="U1416" s="294"/>
      <c r="V1416" s="294"/>
      <c r="W1416" s="294"/>
      <c r="X1416" s="1182"/>
      <c r="Y1416" s="1182"/>
      <c r="Z1416" s="1166"/>
      <c r="AA1416" s="1166"/>
      <c r="AB1416" s="1182"/>
      <c r="AC1416" s="294"/>
      <c r="AD1416" s="294"/>
      <c r="AE1416" s="294"/>
      <c r="AF1416" s="294"/>
      <c r="AG1416" s="294"/>
      <c r="AH1416" s="294"/>
      <c r="AI1416" s="294"/>
      <c r="AJ1416" s="294"/>
    </row>
    <row r="1417" spans="2:36" x14ac:dyDescent="0.25">
      <c r="B1417" s="294"/>
      <c r="C1417" s="294"/>
      <c r="D1417" s="294"/>
      <c r="E1417" s="294"/>
      <c r="F1417" s="294"/>
      <c r="G1417" s="294"/>
      <c r="H1417" s="294"/>
      <c r="I1417" s="294"/>
      <c r="J1417" s="294"/>
      <c r="L1417" s="295"/>
      <c r="M1417" s="294"/>
      <c r="R1417" s="326"/>
      <c r="S1417" s="326"/>
      <c r="T1417" s="294"/>
      <c r="U1417" s="294"/>
      <c r="V1417" s="294"/>
      <c r="W1417" s="294"/>
      <c r="X1417" s="1182"/>
      <c r="Y1417" s="1182"/>
      <c r="Z1417" s="1166"/>
      <c r="AA1417" s="1166"/>
      <c r="AB1417" s="1182"/>
      <c r="AC1417" s="294"/>
      <c r="AD1417" s="294"/>
      <c r="AE1417" s="294"/>
      <c r="AF1417" s="294"/>
      <c r="AG1417" s="294"/>
      <c r="AH1417" s="294"/>
      <c r="AI1417" s="294"/>
      <c r="AJ1417" s="294"/>
    </row>
    <row r="1418" spans="2:36" x14ac:dyDescent="0.25">
      <c r="B1418" s="294"/>
      <c r="C1418" s="294"/>
      <c r="D1418" s="294"/>
      <c r="E1418" s="294"/>
      <c r="F1418" s="294"/>
      <c r="G1418" s="294"/>
      <c r="H1418" s="294"/>
      <c r="I1418" s="294"/>
      <c r="J1418" s="294"/>
      <c r="L1418" s="295"/>
      <c r="M1418" s="294"/>
      <c r="R1418" s="326"/>
      <c r="S1418" s="326"/>
      <c r="T1418" s="294"/>
      <c r="U1418" s="294"/>
      <c r="V1418" s="294"/>
      <c r="W1418" s="294"/>
      <c r="X1418" s="1182"/>
      <c r="Y1418" s="1182"/>
      <c r="Z1418" s="1166"/>
      <c r="AA1418" s="1166"/>
      <c r="AB1418" s="1182"/>
      <c r="AC1418" s="294"/>
      <c r="AD1418" s="294"/>
      <c r="AE1418" s="294"/>
      <c r="AF1418" s="294"/>
      <c r="AG1418" s="294"/>
      <c r="AH1418" s="294"/>
      <c r="AI1418" s="294"/>
      <c r="AJ1418" s="294"/>
    </row>
    <row r="1419" spans="2:36" x14ac:dyDescent="0.25">
      <c r="B1419" s="294"/>
      <c r="C1419" s="294"/>
      <c r="D1419" s="294"/>
      <c r="E1419" s="294"/>
      <c r="F1419" s="294"/>
      <c r="G1419" s="294"/>
      <c r="H1419" s="294"/>
      <c r="I1419" s="294"/>
      <c r="J1419" s="294"/>
      <c r="L1419" s="295"/>
      <c r="M1419" s="294"/>
      <c r="R1419" s="326"/>
      <c r="S1419" s="326"/>
      <c r="T1419" s="294"/>
      <c r="U1419" s="294"/>
      <c r="V1419" s="294"/>
      <c r="W1419" s="294"/>
      <c r="X1419" s="1182"/>
      <c r="Y1419" s="1182"/>
      <c r="Z1419" s="1166"/>
      <c r="AA1419" s="1166"/>
      <c r="AB1419" s="1182"/>
      <c r="AC1419" s="294"/>
      <c r="AD1419" s="294"/>
      <c r="AE1419" s="294"/>
      <c r="AF1419" s="294"/>
      <c r="AG1419" s="294"/>
      <c r="AH1419" s="294"/>
      <c r="AI1419" s="294"/>
      <c r="AJ1419" s="294"/>
    </row>
    <row r="1420" spans="2:36" x14ac:dyDescent="0.25">
      <c r="B1420" s="294"/>
      <c r="C1420" s="294"/>
      <c r="D1420" s="294"/>
      <c r="E1420" s="294"/>
      <c r="F1420" s="294"/>
      <c r="G1420" s="294"/>
      <c r="H1420" s="294"/>
      <c r="I1420" s="294"/>
      <c r="J1420" s="294"/>
      <c r="L1420" s="295"/>
      <c r="M1420" s="294"/>
      <c r="R1420" s="326"/>
      <c r="S1420" s="326"/>
      <c r="T1420" s="294"/>
      <c r="U1420" s="294"/>
      <c r="V1420" s="294"/>
      <c r="W1420" s="294"/>
      <c r="X1420" s="1182"/>
      <c r="Y1420" s="1182"/>
      <c r="Z1420" s="1166"/>
      <c r="AA1420" s="1166"/>
      <c r="AB1420" s="1182"/>
      <c r="AC1420" s="294"/>
      <c r="AD1420" s="294"/>
      <c r="AE1420" s="294"/>
      <c r="AF1420" s="294"/>
      <c r="AG1420" s="294"/>
      <c r="AH1420" s="294"/>
      <c r="AI1420" s="294"/>
      <c r="AJ1420" s="294"/>
    </row>
    <row r="1421" spans="2:36" x14ac:dyDescent="0.25">
      <c r="B1421" s="294"/>
      <c r="C1421" s="294"/>
      <c r="D1421" s="294"/>
      <c r="E1421" s="294"/>
      <c r="F1421" s="294"/>
      <c r="G1421" s="294"/>
      <c r="H1421" s="294"/>
      <c r="I1421" s="294"/>
      <c r="J1421" s="294"/>
      <c r="L1421" s="295"/>
      <c r="M1421" s="294"/>
      <c r="R1421" s="326"/>
      <c r="S1421" s="326"/>
      <c r="T1421" s="294"/>
      <c r="U1421" s="294"/>
      <c r="V1421" s="294"/>
      <c r="W1421" s="294"/>
      <c r="X1421" s="1182"/>
      <c r="Y1421" s="1182"/>
      <c r="Z1421" s="1166"/>
      <c r="AA1421" s="1166"/>
      <c r="AB1421" s="1182"/>
      <c r="AC1421" s="294"/>
      <c r="AD1421" s="294"/>
      <c r="AE1421" s="294"/>
      <c r="AF1421" s="294"/>
      <c r="AG1421" s="294"/>
      <c r="AH1421" s="294"/>
      <c r="AI1421" s="294"/>
      <c r="AJ1421" s="294"/>
    </row>
    <row r="1422" spans="2:36" x14ac:dyDescent="0.25">
      <c r="B1422" s="294"/>
      <c r="C1422" s="294"/>
      <c r="D1422" s="294"/>
      <c r="E1422" s="294"/>
      <c r="F1422" s="294"/>
      <c r="G1422" s="294"/>
      <c r="H1422" s="294"/>
      <c r="I1422" s="294"/>
      <c r="J1422" s="294"/>
      <c r="L1422" s="295"/>
      <c r="M1422" s="294"/>
      <c r="R1422" s="326"/>
      <c r="S1422" s="326"/>
      <c r="T1422" s="294"/>
      <c r="U1422" s="294"/>
      <c r="V1422" s="294"/>
      <c r="W1422" s="294"/>
      <c r="X1422" s="1182"/>
      <c r="Y1422" s="1182"/>
      <c r="Z1422" s="1166"/>
      <c r="AA1422" s="1166"/>
      <c r="AB1422" s="1182"/>
      <c r="AC1422" s="294"/>
      <c r="AD1422" s="294"/>
      <c r="AE1422" s="294"/>
      <c r="AF1422" s="294"/>
      <c r="AG1422" s="294"/>
      <c r="AH1422" s="294"/>
      <c r="AI1422" s="294"/>
      <c r="AJ1422" s="294"/>
    </row>
    <row r="1423" spans="2:36" x14ac:dyDescent="0.25">
      <c r="B1423" s="294"/>
      <c r="C1423" s="294"/>
      <c r="D1423" s="294"/>
      <c r="E1423" s="294"/>
      <c r="F1423" s="294"/>
      <c r="G1423" s="294"/>
      <c r="H1423" s="294"/>
      <c r="I1423" s="294"/>
      <c r="J1423" s="294"/>
      <c r="L1423" s="295"/>
      <c r="M1423" s="294"/>
      <c r="R1423" s="326"/>
      <c r="S1423" s="326"/>
      <c r="T1423" s="294"/>
      <c r="U1423" s="294"/>
      <c r="V1423" s="294"/>
      <c r="W1423" s="294"/>
      <c r="X1423" s="1182"/>
      <c r="Y1423" s="1182"/>
      <c r="Z1423" s="1166"/>
      <c r="AA1423" s="1166"/>
      <c r="AB1423" s="1182"/>
      <c r="AC1423" s="294"/>
      <c r="AD1423" s="294"/>
      <c r="AE1423" s="294"/>
      <c r="AF1423" s="294"/>
      <c r="AG1423" s="294"/>
      <c r="AH1423" s="294"/>
      <c r="AI1423" s="294"/>
      <c r="AJ1423" s="294"/>
    </row>
    <row r="1424" spans="2:36" x14ac:dyDescent="0.25">
      <c r="B1424" s="294"/>
      <c r="C1424" s="294"/>
      <c r="D1424" s="294"/>
      <c r="E1424" s="294"/>
      <c r="F1424" s="294"/>
      <c r="G1424" s="294"/>
      <c r="H1424" s="294"/>
      <c r="I1424" s="294"/>
      <c r="J1424" s="294"/>
      <c r="L1424" s="295"/>
      <c r="M1424" s="294"/>
      <c r="R1424" s="326"/>
      <c r="S1424" s="326"/>
      <c r="T1424" s="294"/>
      <c r="U1424" s="294"/>
      <c r="V1424" s="294"/>
      <c r="W1424" s="294"/>
      <c r="X1424" s="1182"/>
      <c r="Y1424" s="1182"/>
      <c r="Z1424" s="1166"/>
      <c r="AA1424" s="1166"/>
      <c r="AB1424" s="1182"/>
      <c r="AC1424" s="294"/>
      <c r="AD1424" s="294"/>
      <c r="AE1424" s="294"/>
      <c r="AF1424" s="294"/>
      <c r="AG1424" s="294"/>
      <c r="AH1424" s="294"/>
      <c r="AI1424" s="294"/>
      <c r="AJ1424" s="294"/>
    </row>
    <row r="1425" spans="2:36" x14ac:dyDescent="0.25">
      <c r="B1425" s="294"/>
      <c r="C1425" s="294"/>
      <c r="D1425" s="294"/>
      <c r="E1425" s="294"/>
      <c r="F1425" s="294"/>
      <c r="G1425" s="294"/>
      <c r="H1425" s="294"/>
      <c r="I1425" s="294"/>
      <c r="J1425" s="294"/>
      <c r="L1425" s="295"/>
      <c r="M1425" s="294"/>
      <c r="R1425" s="326"/>
      <c r="S1425" s="326"/>
      <c r="T1425" s="294"/>
      <c r="U1425" s="294"/>
      <c r="V1425" s="294"/>
      <c r="W1425" s="294"/>
      <c r="X1425" s="1182"/>
      <c r="Y1425" s="1182"/>
      <c r="Z1425" s="1166"/>
      <c r="AA1425" s="1166"/>
      <c r="AB1425" s="1182"/>
      <c r="AC1425" s="294"/>
      <c r="AD1425" s="294"/>
      <c r="AE1425" s="294"/>
      <c r="AF1425" s="294"/>
      <c r="AG1425" s="294"/>
      <c r="AH1425" s="294"/>
      <c r="AI1425" s="294"/>
      <c r="AJ1425" s="294"/>
    </row>
    <row r="1426" spans="2:36" x14ac:dyDescent="0.25">
      <c r="B1426" s="294"/>
      <c r="C1426" s="294"/>
      <c r="D1426" s="294"/>
      <c r="E1426" s="294"/>
      <c r="F1426" s="294"/>
      <c r="G1426" s="294"/>
      <c r="H1426" s="294"/>
      <c r="I1426" s="294"/>
      <c r="J1426" s="294"/>
      <c r="L1426" s="295"/>
      <c r="M1426" s="294"/>
      <c r="R1426" s="326"/>
      <c r="S1426" s="326"/>
      <c r="T1426" s="294"/>
      <c r="U1426" s="294"/>
      <c r="V1426" s="294"/>
      <c r="W1426" s="294"/>
      <c r="X1426" s="1182"/>
      <c r="Y1426" s="1182"/>
      <c r="Z1426" s="1166"/>
      <c r="AA1426" s="1166"/>
      <c r="AB1426" s="1182"/>
      <c r="AC1426" s="294"/>
      <c r="AD1426" s="294"/>
      <c r="AE1426" s="294"/>
      <c r="AF1426" s="294"/>
      <c r="AG1426" s="294"/>
      <c r="AH1426" s="294"/>
      <c r="AI1426" s="294"/>
      <c r="AJ1426" s="294"/>
    </row>
    <row r="1427" spans="2:36" x14ac:dyDescent="0.25">
      <c r="B1427" s="294"/>
      <c r="C1427" s="294"/>
      <c r="D1427" s="294"/>
      <c r="E1427" s="294"/>
      <c r="F1427" s="294"/>
      <c r="G1427" s="294"/>
      <c r="H1427" s="294"/>
      <c r="I1427" s="294"/>
      <c r="J1427" s="294"/>
      <c r="L1427" s="295"/>
      <c r="M1427" s="294"/>
      <c r="R1427" s="326"/>
      <c r="S1427" s="326"/>
      <c r="T1427" s="294"/>
      <c r="U1427" s="294"/>
      <c r="V1427" s="294"/>
      <c r="W1427" s="294"/>
      <c r="X1427" s="1182"/>
      <c r="Y1427" s="1182"/>
      <c r="Z1427" s="1166"/>
      <c r="AA1427" s="1166"/>
      <c r="AB1427" s="1182"/>
      <c r="AC1427" s="294"/>
      <c r="AD1427" s="294"/>
      <c r="AE1427" s="294"/>
      <c r="AF1427" s="294"/>
      <c r="AG1427" s="294"/>
      <c r="AH1427" s="294"/>
      <c r="AI1427" s="294"/>
      <c r="AJ1427" s="294"/>
    </row>
    <row r="1428" spans="2:36" x14ac:dyDescent="0.25">
      <c r="B1428" s="294"/>
      <c r="C1428" s="294"/>
      <c r="D1428" s="294"/>
      <c r="E1428" s="294"/>
      <c r="F1428" s="294"/>
      <c r="G1428" s="294"/>
      <c r="H1428" s="294"/>
      <c r="I1428" s="294"/>
      <c r="J1428" s="294"/>
      <c r="L1428" s="295"/>
      <c r="M1428" s="294"/>
      <c r="R1428" s="326"/>
      <c r="S1428" s="326"/>
      <c r="T1428" s="294"/>
      <c r="U1428" s="294"/>
      <c r="V1428" s="294"/>
      <c r="W1428" s="294"/>
      <c r="X1428" s="1182"/>
      <c r="Y1428" s="1182"/>
      <c r="Z1428" s="1166"/>
      <c r="AA1428" s="1166"/>
      <c r="AB1428" s="1182"/>
      <c r="AC1428" s="294"/>
      <c r="AD1428" s="294"/>
      <c r="AE1428" s="294"/>
      <c r="AF1428" s="294"/>
      <c r="AG1428" s="294"/>
      <c r="AH1428" s="294"/>
      <c r="AI1428" s="294"/>
      <c r="AJ1428" s="294"/>
    </row>
    <row r="1429" spans="2:36" x14ac:dyDescent="0.25">
      <c r="B1429" s="294"/>
      <c r="C1429" s="294"/>
      <c r="D1429" s="294"/>
      <c r="E1429" s="294"/>
      <c r="F1429" s="294"/>
      <c r="G1429" s="294"/>
      <c r="H1429" s="294"/>
      <c r="I1429" s="294"/>
      <c r="J1429" s="294"/>
      <c r="L1429" s="295"/>
      <c r="M1429" s="294"/>
      <c r="R1429" s="326"/>
      <c r="S1429" s="326"/>
      <c r="T1429" s="294"/>
      <c r="U1429" s="294"/>
      <c r="V1429" s="294"/>
      <c r="W1429" s="294"/>
      <c r="X1429" s="1182"/>
      <c r="Y1429" s="1182"/>
      <c r="Z1429" s="1166"/>
      <c r="AA1429" s="1166"/>
      <c r="AB1429" s="1182"/>
      <c r="AC1429" s="294"/>
      <c r="AD1429" s="294"/>
      <c r="AE1429" s="294"/>
      <c r="AF1429" s="294"/>
      <c r="AG1429" s="294"/>
      <c r="AH1429" s="294"/>
      <c r="AI1429" s="294"/>
      <c r="AJ1429" s="294"/>
    </row>
    <row r="1430" spans="2:36" x14ac:dyDescent="0.25">
      <c r="B1430" s="294"/>
      <c r="C1430" s="294"/>
      <c r="D1430" s="294"/>
      <c r="E1430" s="294"/>
      <c r="F1430" s="294"/>
      <c r="G1430" s="294"/>
      <c r="H1430" s="294"/>
      <c r="I1430" s="294"/>
      <c r="J1430" s="294"/>
      <c r="L1430" s="295"/>
      <c r="M1430" s="294"/>
      <c r="R1430" s="326"/>
      <c r="S1430" s="326"/>
      <c r="T1430" s="294"/>
      <c r="U1430" s="294"/>
      <c r="V1430" s="294"/>
      <c r="W1430" s="294"/>
      <c r="X1430" s="1182"/>
      <c r="Y1430" s="1182"/>
      <c r="Z1430" s="1166"/>
      <c r="AA1430" s="1166"/>
      <c r="AB1430" s="1182"/>
      <c r="AC1430" s="294"/>
      <c r="AD1430" s="294"/>
      <c r="AE1430" s="294"/>
      <c r="AF1430" s="294"/>
      <c r="AG1430" s="294"/>
      <c r="AH1430" s="294"/>
      <c r="AI1430" s="294"/>
      <c r="AJ1430" s="294"/>
    </row>
    <row r="1431" spans="2:36" x14ac:dyDescent="0.25">
      <c r="B1431" s="294"/>
      <c r="C1431" s="294"/>
      <c r="D1431" s="294"/>
      <c r="E1431" s="294"/>
      <c r="F1431" s="294"/>
      <c r="G1431" s="294"/>
      <c r="H1431" s="294"/>
      <c r="I1431" s="294"/>
      <c r="J1431" s="294"/>
      <c r="L1431" s="295"/>
      <c r="M1431" s="294"/>
      <c r="R1431" s="326"/>
      <c r="S1431" s="326"/>
      <c r="T1431" s="294"/>
      <c r="U1431" s="294"/>
      <c r="V1431" s="294"/>
      <c r="W1431" s="294"/>
      <c r="X1431" s="1182"/>
      <c r="Y1431" s="1182"/>
      <c r="Z1431" s="1166"/>
      <c r="AA1431" s="1166"/>
      <c r="AB1431" s="1182"/>
      <c r="AC1431" s="294"/>
      <c r="AD1431" s="294"/>
      <c r="AE1431" s="294"/>
      <c r="AF1431" s="294"/>
      <c r="AG1431" s="294"/>
      <c r="AH1431" s="294"/>
      <c r="AI1431" s="294"/>
      <c r="AJ1431" s="294"/>
    </row>
    <row r="1432" spans="2:36" x14ac:dyDescent="0.25">
      <c r="B1432" s="294"/>
      <c r="C1432" s="294"/>
      <c r="D1432" s="294"/>
      <c r="E1432" s="294"/>
      <c r="F1432" s="294"/>
      <c r="G1432" s="294"/>
      <c r="H1432" s="294"/>
      <c r="I1432" s="294"/>
      <c r="J1432" s="294"/>
      <c r="L1432" s="295"/>
      <c r="M1432" s="294"/>
      <c r="R1432" s="326"/>
      <c r="S1432" s="326"/>
      <c r="T1432" s="294"/>
      <c r="U1432" s="294"/>
      <c r="V1432" s="294"/>
      <c r="W1432" s="294"/>
      <c r="X1432" s="1182"/>
      <c r="Y1432" s="1182"/>
      <c r="Z1432" s="1166"/>
      <c r="AA1432" s="1166"/>
      <c r="AB1432" s="1182"/>
      <c r="AC1432" s="294"/>
      <c r="AD1432" s="294"/>
      <c r="AE1432" s="294"/>
      <c r="AF1432" s="294"/>
      <c r="AG1432" s="294"/>
      <c r="AH1432" s="294"/>
      <c r="AI1432" s="294"/>
      <c r="AJ1432" s="294"/>
    </row>
    <row r="1433" spans="2:36" x14ac:dyDescent="0.25">
      <c r="B1433" s="294"/>
      <c r="C1433" s="294"/>
      <c r="D1433" s="294"/>
      <c r="E1433" s="294"/>
      <c r="F1433" s="294"/>
      <c r="G1433" s="294"/>
      <c r="H1433" s="294"/>
      <c r="I1433" s="294"/>
      <c r="J1433" s="294"/>
      <c r="L1433" s="295"/>
      <c r="M1433" s="294"/>
      <c r="R1433" s="326"/>
      <c r="S1433" s="326"/>
      <c r="T1433" s="294"/>
      <c r="U1433" s="294"/>
      <c r="V1433" s="294"/>
      <c r="W1433" s="294"/>
      <c r="X1433" s="1182"/>
      <c r="Y1433" s="1182"/>
      <c r="Z1433" s="1166"/>
      <c r="AA1433" s="1166"/>
      <c r="AB1433" s="1182"/>
      <c r="AC1433" s="294"/>
      <c r="AD1433" s="294"/>
      <c r="AE1433" s="294"/>
      <c r="AF1433" s="294"/>
      <c r="AG1433" s="294"/>
      <c r="AH1433" s="294"/>
      <c r="AI1433" s="294"/>
      <c r="AJ1433" s="294"/>
    </row>
    <row r="1434" spans="2:36" x14ac:dyDescent="0.25">
      <c r="B1434" s="294"/>
      <c r="C1434" s="294"/>
      <c r="D1434" s="294"/>
      <c r="E1434" s="294"/>
      <c r="F1434" s="294"/>
      <c r="G1434" s="294"/>
      <c r="H1434" s="294"/>
      <c r="I1434" s="294"/>
      <c r="J1434" s="294"/>
      <c r="L1434" s="295"/>
      <c r="M1434" s="294"/>
      <c r="R1434" s="326"/>
      <c r="S1434" s="326"/>
      <c r="T1434" s="294"/>
      <c r="U1434" s="294"/>
      <c r="V1434" s="294"/>
      <c r="W1434" s="294"/>
      <c r="X1434" s="1182"/>
      <c r="Y1434" s="1182"/>
      <c r="Z1434" s="1166"/>
      <c r="AA1434" s="1166"/>
      <c r="AB1434" s="1182"/>
      <c r="AC1434" s="294"/>
      <c r="AD1434" s="294"/>
      <c r="AE1434" s="294"/>
      <c r="AF1434" s="294"/>
      <c r="AG1434" s="294"/>
      <c r="AH1434" s="294"/>
      <c r="AI1434" s="294"/>
      <c r="AJ1434" s="294"/>
    </row>
    <row r="1435" spans="2:36" x14ac:dyDescent="0.25">
      <c r="B1435" s="294"/>
      <c r="C1435" s="294"/>
      <c r="D1435" s="294"/>
      <c r="E1435" s="294"/>
      <c r="F1435" s="294"/>
      <c r="G1435" s="294"/>
      <c r="H1435" s="294"/>
      <c r="I1435" s="294"/>
      <c r="J1435" s="294"/>
      <c r="L1435" s="295"/>
      <c r="M1435" s="294"/>
      <c r="R1435" s="326"/>
      <c r="S1435" s="326"/>
      <c r="T1435" s="294"/>
      <c r="U1435" s="294"/>
      <c r="V1435" s="294"/>
      <c r="W1435" s="294"/>
      <c r="X1435" s="1182"/>
      <c r="Y1435" s="1182"/>
      <c r="Z1435" s="1166"/>
      <c r="AA1435" s="1166"/>
      <c r="AB1435" s="1182"/>
      <c r="AC1435" s="294"/>
      <c r="AD1435" s="294"/>
      <c r="AE1435" s="294"/>
      <c r="AF1435" s="294"/>
      <c r="AG1435" s="294"/>
      <c r="AH1435" s="294"/>
      <c r="AI1435" s="294"/>
      <c r="AJ1435" s="294"/>
    </row>
    <row r="1436" spans="2:36" x14ac:dyDescent="0.25">
      <c r="B1436" s="294"/>
      <c r="C1436" s="294"/>
      <c r="D1436" s="294"/>
      <c r="E1436" s="294"/>
      <c r="F1436" s="294"/>
      <c r="G1436" s="294"/>
      <c r="H1436" s="294"/>
      <c r="I1436" s="294"/>
      <c r="J1436" s="294"/>
      <c r="L1436" s="295"/>
      <c r="M1436" s="294"/>
      <c r="R1436" s="326"/>
      <c r="S1436" s="326"/>
      <c r="T1436" s="294"/>
      <c r="U1436" s="294"/>
      <c r="V1436" s="294"/>
      <c r="W1436" s="294"/>
      <c r="X1436" s="1182"/>
      <c r="Y1436" s="1182"/>
      <c r="Z1436" s="1166"/>
      <c r="AA1436" s="1166"/>
      <c r="AB1436" s="1182"/>
      <c r="AC1436" s="294"/>
      <c r="AD1436" s="294"/>
      <c r="AE1436" s="294"/>
      <c r="AF1436" s="294"/>
      <c r="AG1436" s="294"/>
      <c r="AH1436" s="294"/>
      <c r="AI1436" s="294"/>
      <c r="AJ1436" s="294"/>
    </row>
    <row r="1437" spans="2:36" x14ac:dyDescent="0.25">
      <c r="B1437" s="294"/>
      <c r="C1437" s="294"/>
      <c r="D1437" s="294"/>
      <c r="E1437" s="294"/>
      <c r="F1437" s="294"/>
      <c r="G1437" s="294"/>
      <c r="H1437" s="294"/>
      <c r="I1437" s="294"/>
      <c r="J1437" s="294"/>
      <c r="L1437" s="295"/>
      <c r="M1437" s="294"/>
      <c r="R1437" s="326"/>
      <c r="S1437" s="326"/>
      <c r="T1437" s="294"/>
      <c r="U1437" s="294"/>
      <c r="V1437" s="294"/>
      <c r="W1437" s="294"/>
      <c r="X1437" s="1182"/>
      <c r="Y1437" s="1182"/>
      <c r="Z1437" s="1166"/>
      <c r="AA1437" s="1166"/>
      <c r="AB1437" s="1182"/>
      <c r="AC1437" s="294"/>
      <c r="AD1437" s="294"/>
      <c r="AE1437" s="294"/>
      <c r="AF1437" s="294"/>
      <c r="AG1437" s="294"/>
      <c r="AH1437" s="294"/>
      <c r="AI1437" s="294"/>
      <c r="AJ1437" s="294"/>
    </row>
    <row r="1438" spans="2:36" x14ac:dyDescent="0.25">
      <c r="B1438" s="294"/>
      <c r="C1438" s="294"/>
      <c r="D1438" s="294"/>
      <c r="E1438" s="294"/>
      <c r="F1438" s="294"/>
      <c r="G1438" s="294"/>
      <c r="H1438" s="294"/>
      <c r="I1438" s="294"/>
      <c r="J1438" s="294"/>
      <c r="L1438" s="295"/>
      <c r="M1438" s="294"/>
      <c r="R1438" s="326"/>
      <c r="S1438" s="326"/>
      <c r="T1438" s="294"/>
      <c r="U1438" s="294"/>
      <c r="V1438" s="294"/>
      <c r="W1438" s="294"/>
      <c r="X1438" s="1182"/>
      <c r="Y1438" s="1182"/>
      <c r="Z1438" s="1166"/>
      <c r="AA1438" s="1166"/>
      <c r="AB1438" s="1182"/>
      <c r="AC1438" s="294"/>
      <c r="AD1438" s="294"/>
      <c r="AE1438" s="294"/>
      <c r="AF1438" s="294"/>
      <c r="AG1438" s="294"/>
      <c r="AH1438" s="294"/>
      <c r="AI1438" s="294"/>
      <c r="AJ1438" s="294"/>
    </row>
    <row r="1439" spans="2:36" x14ac:dyDescent="0.25">
      <c r="B1439" s="294"/>
      <c r="C1439" s="294"/>
      <c r="D1439" s="294"/>
      <c r="E1439" s="294"/>
      <c r="F1439" s="294"/>
      <c r="G1439" s="294"/>
      <c r="H1439" s="294"/>
      <c r="I1439" s="294"/>
      <c r="J1439" s="294"/>
      <c r="L1439" s="295"/>
      <c r="M1439" s="294"/>
      <c r="R1439" s="326"/>
      <c r="S1439" s="326"/>
      <c r="T1439" s="294"/>
      <c r="U1439" s="294"/>
      <c r="V1439" s="294"/>
      <c r="W1439" s="294"/>
      <c r="X1439" s="1182"/>
      <c r="Y1439" s="1182"/>
      <c r="Z1439" s="1166"/>
      <c r="AA1439" s="1166"/>
      <c r="AB1439" s="1182"/>
      <c r="AC1439" s="294"/>
      <c r="AD1439" s="294"/>
      <c r="AE1439" s="294"/>
      <c r="AF1439" s="294"/>
      <c r="AG1439" s="294"/>
      <c r="AH1439" s="294"/>
      <c r="AI1439" s="294"/>
      <c r="AJ1439" s="294"/>
    </row>
    <row r="1440" spans="2:36" x14ac:dyDescent="0.25">
      <c r="B1440" s="294"/>
      <c r="C1440" s="294"/>
      <c r="D1440" s="294"/>
      <c r="E1440" s="294"/>
      <c r="F1440" s="294"/>
      <c r="G1440" s="294"/>
      <c r="H1440" s="294"/>
      <c r="I1440" s="294"/>
      <c r="J1440" s="294"/>
      <c r="L1440" s="295"/>
      <c r="M1440" s="294"/>
      <c r="R1440" s="326"/>
      <c r="S1440" s="326"/>
      <c r="T1440" s="294"/>
      <c r="U1440" s="294"/>
      <c r="V1440" s="294"/>
      <c r="W1440" s="294"/>
      <c r="X1440" s="1182"/>
      <c r="Y1440" s="1182"/>
      <c r="Z1440" s="1166"/>
      <c r="AA1440" s="1166"/>
      <c r="AB1440" s="1182"/>
      <c r="AC1440" s="294"/>
      <c r="AD1440" s="294"/>
      <c r="AE1440" s="294"/>
      <c r="AF1440" s="294"/>
      <c r="AG1440" s="294"/>
      <c r="AH1440" s="294"/>
      <c r="AI1440" s="294"/>
      <c r="AJ1440" s="294"/>
    </row>
    <row r="1441" spans="2:36" x14ac:dyDescent="0.25">
      <c r="B1441" s="294"/>
      <c r="C1441" s="294"/>
      <c r="D1441" s="294"/>
      <c r="E1441" s="294"/>
      <c r="F1441" s="294"/>
      <c r="G1441" s="294"/>
      <c r="H1441" s="294"/>
      <c r="I1441" s="294"/>
      <c r="J1441" s="294"/>
      <c r="L1441" s="295"/>
      <c r="M1441" s="294"/>
      <c r="R1441" s="326"/>
      <c r="S1441" s="326"/>
      <c r="T1441" s="294"/>
      <c r="U1441" s="294"/>
      <c r="V1441" s="294"/>
      <c r="W1441" s="294"/>
      <c r="X1441" s="1182"/>
      <c r="Y1441" s="1182"/>
      <c r="Z1441" s="1166"/>
      <c r="AA1441" s="1166"/>
      <c r="AB1441" s="1182"/>
      <c r="AC1441" s="294"/>
      <c r="AD1441" s="294"/>
      <c r="AE1441" s="294"/>
      <c r="AF1441" s="294"/>
      <c r="AG1441" s="294"/>
      <c r="AH1441" s="294"/>
      <c r="AI1441" s="294"/>
      <c r="AJ1441" s="294"/>
    </row>
    <row r="1442" spans="2:36" x14ac:dyDescent="0.25">
      <c r="B1442" s="294"/>
      <c r="C1442" s="294"/>
      <c r="D1442" s="294"/>
      <c r="E1442" s="294"/>
      <c r="F1442" s="294"/>
      <c r="G1442" s="294"/>
      <c r="H1442" s="294"/>
      <c r="I1442" s="294"/>
      <c r="J1442" s="294"/>
      <c r="L1442" s="295"/>
      <c r="M1442" s="294"/>
      <c r="R1442" s="326"/>
      <c r="S1442" s="326"/>
      <c r="T1442" s="294"/>
      <c r="U1442" s="294"/>
      <c r="V1442" s="294"/>
      <c r="W1442" s="294"/>
      <c r="X1442" s="1182"/>
      <c r="Y1442" s="1182"/>
      <c r="Z1442" s="1166"/>
      <c r="AA1442" s="1166"/>
      <c r="AB1442" s="1182"/>
      <c r="AC1442" s="294"/>
      <c r="AD1442" s="294"/>
      <c r="AE1442" s="294"/>
      <c r="AF1442" s="294"/>
      <c r="AG1442" s="294"/>
      <c r="AH1442" s="294"/>
      <c r="AI1442" s="294"/>
      <c r="AJ1442" s="294"/>
    </row>
    <row r="1443" spans="2:36" x14ac:dyDescent="0.25">
      <c r="B1443" s="294"/>
      <c r="C1443" s="294"/>
      <c r="D1443" s="294"/>
      <c r="E1443" s="294"/>
      <c r="F1443" s="294"/>
      <c r="G1443" s="294"/>
      <c r="H1443" s="294"/>
      <c r="I1443" s="294"/>
      <c r="J1443" s="294"/>
      <c r="L1443" s="295"/>
      <c r="M1443" s="294"/>
      <c r="R1443" s="326"/>
      <c r="S1443" s="326"/>
      <c r="T1443" s="294"/>
      <c r="U1443" s="294"/>
      <c r="V1443" s="294"/>
      <c r="W1443" s="294"/>
      <c r="X1443" s="1182"/>
      <c r="Y1443" s="1182"/>
      <c r="Z1443" s="1166"/>
      <c r="AA1443" s="1166"/>
      <c r="AB1443" s="1182"/>
      <c r="AC1443" s="294"/>
      <c r="AD1443" s="294"/>
      <c r="AE1443" s="294"/>
      <c r="AF1443" s="294"/>
      <c r="AG1443" s="294"/>
      <c r="AH1443" s="294"/>
      <c r="AI1443" s="294"/>
      <c r="AJ1443" s="294"/>
    </row>
    <row r="1444" spans="2:36" x14ac:dyDescent="0.25">
      <c r="B1444" s="294"/>
      <c r="C1444" s="294"/>
      <c r="D1444" s="294"/>
      <c r="E1444" s="294"/>
      <c r="F1444" s="294"/>
      <c r="G1444" s="294"/>
      <c r="H1444" s="294"/>
      <c r="I1444" s="294"/>
      <c r="J1444" s="294"/>
      <c r="L1444" s="295"/>
      <c r="M1444" s="294"/>
      <c r="R1444" s="326"/>
      <c r="S1444" s="326"/>
      <c r="T1444" s="294"/>
      <c r="U1444" s="294"/>
      <c r="V1444" s="294"/>
      <c r="W1444" s="294"/>
      <c r="X1444" s="1182"/>
      <c r="Y1444" s="1182"/>
      <c r="Z1444" s="1166"/>
      <c r="AA1444" s="1166"/>
      <c r="AB1444" s="1182"/>
      <c r="AC1444" s="294"/>
      <c r="AD1444" s="294"/>
      <c r="AE1444" s="294"/>
      <c r="AF1444" s="294"/>
      <c r="AG1444" s="294"/>
      <c r="AH1444" s="294"/>
      <c r="AI1444" s="294"/>
      <c r="AJ1444" s="294"/>
    </row>
    <row r="1445" spans="2:36" x14ac:dyDescent="0.25">
      <c r="B1445" s="294"/>
      <c r="C1445" s="294"/>
      <c r="D1445" s="294"/>
      <c r="E1445" s="294"/>
      <c r="F1445" s="294"/>
      <c r="G1445" s="294"/>
      <c r="H1445" s="294"/>
      <c r="I1445" s="294"/>
      <c r="J1445" s="294"/>
      <c r="L1445" s="295"/>
      <c r="M1445" s="294"/>
      <c r="R1445" s="326"/>
      <c r="S1445" s="326"/>
      <c r="T1445" s="294"/>
      <c r="U1445" s="294"/>
      <c r="V1445" s="294"/>
      <c r="W1445" s="294"/>
      <c r="X1445" s="1182"/>
      <c r="Y1445" s="1182"/>
      <c r="Z1445" s="1166"/>
      <c r="AA1445" s="1166"/>
      <c r="AB1445" s="1182"/>
      <c r="AC1445" s="294"/>
      <c r="AD1445" s="294"/>
      <c r="AE1445" s="294"/>
      <c r="AF1445" s="294"/>
      <c r="AG1445" s="294"/>
      <c r="AH1445" s="294"/>
      <c r="AI1445" s="294"/>
      <c r="AJ1445" s="294"/>
    </row>
    <row r="1446" spans="2:36" x14ac:dyDescent="0.25">
      <c r="B1446" s="294"/>
      <c r="C1446" s="294"/>
      <c r="D1446" s="294"/>
      <c r="E1446" s="294"/>
      <c r="F1446" s="294"/>
      <c r="G1446" s="294"/>
      <c r="H1446" s="294"/>
      <c r="I1446" s="294"/>
      <c r="J1446" s="294"/>
      <c r="L1446" s="295"/>
      <c r="M1446" s="294"/>
      <c r="R1446" s="326"/>
      <c r="S1446" s="326"/>
      <c r="T1446" s="294"/>
      <c r="U1446" s="294"/>
      <c r="V1446" s="294"/>
      <c r="W1446" s="294"/>
      <c r="X1446" s="1182"/>
      <c r="Y1446" s="1182"/>
      <c r="Z1446" s="1166"/>
      <c r="AA1446" s="1166"/>
      <c r="AB1446" s="1182"/>
      <c r="AC1446" s="294"/>
      <c r="AD1446" s="294"/>
      <c r="AE1446" s="294"/>
      <c r="AF1446" s="294"/>
      <c r="AG1446" s="294"/>
      <c r="AH1446" s="294"/>
      <c r="AI1446" s="294"/>
      <c r="AJ1446" s="294"/>
    </row>
    <row r="1447" spans="2:36" x14ac:dyDescent="0.25">
      <c r="B1447" s="294"/>
      <c r="C1447" s="294"/>
      <c r="D1447" s="294"/>
      <c r="E1447" s="294"/>
      <c r="F1447" s="294"/>
      <c r="G1447" s="294"/>
      <c r="H1447" s="294"/>
      <c r="I1447" s="294"/>
      <c r="J1447" s="294"/>
      <c r="L1447" s="295"/>
      <c r="M1447" s="294"/>
      <c r="R1447" s="326"/>
      <c r="S1447" s="326"/>
      <c r="T1447" s="294"/>
      <c r="U1447" s="294"/>
      <c r="V1447" s="294"/>
      <c r="W1447" s="294"/>
      <c r="X1447" s="1182"/>
      <c r="Y1447" s="1182"/>
      <c r="Z1447" s="1166"/>
      <c r="AA1447" s="1166"/>
      <c r="AB1447" s="1182"/>
      <c r="AC1447" s="294"/>
      <c r="AD1447" s="294"/>
      <c r="AE1447" s="294"/>
      <c r="AF1447" s="294"/>
      <c r="AG1447" s="294"/>
      <c r="AH1447" s="294"/>
      <c r="AI1447" s="294"/>
      <c r="AJ1447" s="294"/>
    </row>
    <row r="1448" spans="2:36" x14ac:dyDescent="0.25">
      <c r="B1448" s="294"/>
      <c r="C1448" s="294"/>
      <c r="D1448" s="294"/>
      <c r="E1448" s="294"/>
      <c r="F1448" s="294"/>
      <c r="G1448" s="294"/>
      <c r="H1448" s="294"/>
      <c r="I1448" s="294"/>
      <c r="J1448" s="294"/>
      <c r="L1448" s="295"/>
      <c r="M1448" s="294"/>
      <c r="R1448" s="326"/>
      <c r="S1448" s="326"/>
      <c r="T1448" s="294"/>
      <c r="U1448" s="294"/>
      <c r="V1448" s="294"/>
      <c r="W1448" s="294"/>
      <c r="X1448" s="1182"/>
      <c r="Y1448" s="1182"/>
      <c r="Z1448" s="1166"/>
      <c r="AA1448" s="1166"/>
      <c r="AB1448" s="1182"/>
      <c r="AC1448" s="294"/>
      <c r="AD1448" s="294"/>
      <c r="AE1448" s="294"/>
      <c r="AF1448" s="294"/>
      <c r="AG1448" s="294"/>
      <c r="AH1448" s="294"/>
      <c r="AI1448" s="294"/>
      <c r="AJ1448" s="294"/>
    </row>
    <row r="1449" spans="2:36" x14ac:dyDescent="0.25">
      <c r="B1449" s="294"/>
      <c r="C1449" s="294"/>
      <c r="D1449" s="294"/>
      <c r="E1449" s="294"/>
      <c r="F1449" s="294"/>
      <c r="G1449" s="294"/>
      <c r="H1449" s="294"/>
      <c r="I1449" s="294"/>
      <c r="J1449" s="294"/>
      <c r="L1449" s="295"/>
      <c r="M1449" s="294"/>
      <c r="R1449" s="326"/>
      <c r="S1449" s="326"/>
      <c r="T1449" s="294"/>
      <c r="U1449" s="294"/>
      <c r="V1449" s="294"/>
      <c r="W1449" s="294"/>
      <c r="X1449" s="1182"/>
      <c r="Y1449" s="1182"/>
      <c r="Z1449" s="1166"/>
      <c r="AA1449" s="1166"/>
      <c r="AB1449" s="1182"/>
      <c r="AC1449" s="294"/>
      <c r="AD1449" s="294"/>
      <c r="AE1449" s="294"/>
      <c r="AF1449" s="294"/>
      <c r="AG1449" s="294"/>
      <c r="AH1449" s="294"/>
      <c r="AI1449" s="294"/>
      <c r="AJ1449" s="294"/>
    </row>
    <row r="1450" spans="2:36" x14ac:dyDescent="0.25">
      <c r="B1450" s="294"/>
      <c r="C1450" s="294"/>
      <c r="D1450" s="294"/>
      <c r="E1450" s="294"/>
      <c r="F1450" s="294"/>
      <c r="G1450" s="294"/>
      <c r="H1450" s="294"/>
      <c r="I1450" s="294"/>
      <c r="J1450" s="294"/>
      <c r="L1450" s="295"/>
      <c r="M1450" s="294"/>
      <c r="R1450" s="326"/>
      <c r="S1450" s="326"/>
      <c r="T1450" s="294"/>
      <c r="U1450" s="294"/>
      <c r="V1450" s="294"/>
      <c r="W1450" s="294"/>
      <c r="X1450" s="1182"/>
      <c r="Y1450" s="1182"/>
      <c r="Z1450" s="1166"/>
      <c r="AA1450" s="1166"/>
      <c r="AB1450" s="1182"/>
      <c r="AC1450" s="294"/>
      <c r="AD1450" s="294"/>
      <c r="AE1450" s="294"/>
      <c r="AF1450" s="294"/>
      <c r="AG1450" s="294"/>
      <c r="AH1450" s="294"/>
      <c r="AI1450" s="294"/>
      <c r="AJ1450" s="294"/>
    </row>
    <row r="1451" spans="2:36" x14ac:dyDescent="0.25">
      <c r="B1451" s="294"/>
      <c r="C1451" s="294"/>
      <c r="D1451" s="294"/>
      <c r="E1451" s="294"/>
      <c r="F1451" s="294"/>
      <c r="G1451" s="294"/>
      <c r="H1451" s="294"/>
      <c r="I1451" s="294"/>
      <c r="J1451" s="294"/>
      <c r="L1451" s="295"/>
      <c r="M1451" s="294"/>
      <c r="R1451" s="326"/>
      <c r="S1451" s="326"/>
      <c r="T1451" s="294"/>
      <c r="U1451" s="294"/>
      <c r="V1451" s="294"/>
      <c r="W1451" s="294"/>
      <c r="X1451" s="1182"/>
      <c r="Y1451" s="1182"/>
      <c r="Z1451" s="1166"/>
      <c r="AA1451" s="1166"/>
      <c r="AB1451" s="1182"/>
      <c r="AC1451" s="294"/>
      <c r="AD1451" s="294"/>
      <c r="AE1451" s="294"/>
      <c r="AF1451" s="294"/>
      <c r="AG1451" s="294"/>
      <c r="AH1451" s="294"/>
      <c r="AI1451" s="294"/>
      <c r="AJ1451" s="294"/>
    </row>
    <row r="1452" spans="2:36" x14ac:dyDescent="0.25">
      <c r="B1452" s="294"/>
      <c r="C1452" s="294"/>
      <c r="D1452" s="294"/>
      <c r="E1452" s="294"/>
      <c r="F1452" s="294"/>
      <c r="G1452" s="294"/>
      <c r="H1452" s="294"/>
      <c r="I1452" s="294"/>
      <c r="J1452" s="294"/>
      <c r="L1452" s="295"/>
      <c r="M1452" s="294"/>
      <c r="R1452" s="326"/>
      <c r="S1452" s="326"/>
      <c r="T1452" s="294"/>
      <c r="U1452" s="294"/>
      <c r="V1452" s="294"/>
      <c r="W1452" s="294"/>
      <c r="X1452" s="1182"/>
      <c r="Y1452" s="1182"/>
      <c r="Z1452" s="1166"/>
      <c r="AA1452" s="1166"/>
      <c r="AB1452" s="1182"/>
      <c r="AC1452" s="294"/>
      <c r="AD1452" s="294"/>
      <c r="AE1452" s="294"/>
      <c r="AF1452" s="294"/>
      <c r="AG1452" s="294"/>
      <c r="AH1452" s="294"/>
      <c r="AI1452" s="294"/>
      <c r="AJ1452" s="294"/>
    </row>
    <row r="1453" spans="2:36" x14ac:dyDescent="0.25">
      <c r="B1453" s="294"/>
      <c r="C1453" s="294"/>
      <c r="D1453" s="294"/>
      <c r="E1453" s="294"/>
      <c r="F1453" s="294"/>
      <c r="G1453" s="294"/>
      <c r="H1453" s="294"/>
      <c r="I1453" s="294"/>
      <c r="J1453" s="294"/>
      <c r="L1453" s="295"/>
      <c r="M1453" s="294"/>
      <c r="R1453" s="326"/>
      <c r="S1453" s="326"/>
      <c r="T1453" s="294"/>
      <c r="U1453" s="294"/>
      <c r="V1453" s="294"/>
      <c r="W1453" s="294"/>
      <c r="X1453" s="1182"/>
      <c r="Y1453" s="1182"/>
      <c r="Z1453" s="1166"/>
      <c r="AA1453" s="1166"/>
      <c r="AB1453" s="1182"/>
      <c r="AC1453" s="294"/>
      <c r="AD1453" s="294"/>
      <c r="AE1453" s="294"/>
      <c r="AF1453" s="294"/>
      <c r="AG1453" s="294"/>
      <c r="AH1453" s="294"/>
      <c r="AI1453" s="294"/>
      <c r="AJ1453" s="294"/>
    </row>
    <row r="1454" spans="2:36" x14ac:dyDescent="0.25">
      <c r="B1454" s="294"/>
      <c r="C1454" s="294"/>
      <c r="D1454" s="294"/>
      <c r="E1454" s="294"/>
      <c r="F1454" s="294"/>
      <c r="G1454" s="294"/>
      <c r="H1454" s="294"/>
      <c r="I1454" s="294"/>
      <c r="J1454" s="294"/>
      <c r="L1454" s="295"/>
      <c r="M1454" s="294"/>
      <c r="R1454" s="326"/>
      <c r="S1454" s="326"/>
      <c r="T1454" s="294"/>
      <c r="U1454" s="294"/>
      <c r="V1454" s="294"/>
      <c r="W1454" s="294"/>
      <c r="X1454" s="1182"/>
      <c r="Y1454" s="1182"/>
      <c r="Z1454" s="1166"/>
      <c r="AA1454" s="1166"/>
      <c r="AB1454" s="1182"/>
      <c r="AC1454" s="294"/>
      <c r="AD1454" s="294"/>
      <c r="AE1454" s="294"/>
      <c r="AF1454" s="294"/>
      <c r="AG1454" s="294"/>
      <c r="AH1454" s="294"/>
      <c r="AI1454" s="294"/>
      <c r="AJ1454" s="294"/>
    </row>
    <row r="1455" spans="2:36" x14ac:dyDescent="0.25">
      <c r="B1455" s="294"/>
      <c r="C1455" s="294"/>
      <c r="D1455" s="294"/>
      <c r="E1455" s="294"/>
      <c r="F1455" s="294"/>
      <c r="G1455" s="294"/>
      <c r="H1455" s="294"/>
      <c r="I1455" s="294"/>
      <c r="J1455" s="294"/>
      <c r="L1455" s="295"/>
      <c r="M1455" s="294"/>
      <c r="R1455" s="326"/>
      <c r="S1455" s="326"/>
      <c r="T1455" s="294"/>
      <c r="U1455" s="294"/>
      <c r="V1455" s="294"/>
      <c r="W1455" s="294"/>
      <c r="X1455" s="1182"/>
      <c r="Y1455" s="1182"/>
      <c r="Z1455" s="1166"/>
      <c r="AA1455" s="1166"/>
      <c r="AB1455" s="1182"/>
      <c r="AC1455" s="294"/>
      <c r="AD1455" s="294"/>
      <c r="AE1455" s="294"/>
      <c r="AF1455" s="294"/>
      <c r="AG1455" s="294"/>
      <c r="AH1455" s="294"/>
      <c r="AI1455" s="294"/>
      <c r="AJ1455" s="294"/>
    </row>
    <row r="1456" spans="2:36" x14ac:dyDescent="0.25">
      <c r="B1456" s="294"/>
      <c r="C1456" s="294"/>
      <c r="D1456" s="294"/>
      <c r="E1456" s="294"/>
      <c r="F1456" s="294"/>
      <c r="G1456" s="294"/>
      <c r="H1456" s="294"/>
      <c r="I1456" s="294"/>
      <c r="J1456" s="294"/>
      <c r="L1456" s="295"/>
      <c r="M1456" s="294"/>
      <c r="R1456" s="326"/>
      <c r="S1456" s="326"/>
      <c r="T1456" s="294"/>
      <c r="U1456" s="294"/>
      <c r="V1456" s="294"/>
      <c r="W1456" s="294"/>
      <c r="X1456" s="1182"/>
      <c r="Y1456" s="1182"/>
      <c r="Z1456" s="1166"/>
      <c r="AA1456" s="1166"/>
      <c r="AB1456" s="1182"/>
      <c r="AC1456" s="294"/>
      <c r="AD1456" s="294"/>
      <c r="AE1456" s="294"/>
      <c r="AF1456" s="294"/>
      <c r="AG1456" s="294"/>
      <c r="AH1456" s="294"/>
      <c r="AI1456" s="294"/>
      <c r="AJ1456" s="294"/>
    </row>
    <row r="1457" spans="2:36" x14ac:dyDescent="0.25">
      <c r="B1457" s="294"/>
      <c r="C1457" s="294"/>
      <c r="D1457" s="294"/>
      <c r="E1457" s="294"/>
      <c r="F1457" s="294"/>
      <c r="G1457" s="294"/>
      <c r="H1457" s="294"/>
      <c r="I1457" s="294"/>
      <c r="J1457" s="294"/>
      <c r="L1457" s="295"/>
      <c r="M1457" s="294"/>
      <c r="R1457" s="326"/>
      <c r="S1457" s="326"/>
      <c r="T1457" s="294"/>
      <c r="U1457" s="294"/>
      <c r="V1457" s="294"/>
      <c r="W1457" s="294"/>
      <c r="X1457" s="1182"/>
      <c r="Y1457" s="1182"/>
      <c r="Z1457" s="1166"/>
      <c r="AA1457" s="1166"/>
      <c r="AB1457" s="1182"/>
      <c r="AC1457" s="294"/>
      <c r="AD1457" s="294"/>
      <c r="AE1457" s="294"/>
      <c r="AF1457" s="294"/>
      <c r="AG1457" s="294"/>
      <c r="AH1457" s="294"/>
      <c r="AI1457" s="294"/>
      <c r="AJ1457" s="294"/>
    </row>
    <row r="1458" spans="2:36" x14ac:dyDescent="0.25">
      <c r="B1458" s="294"/>
      <c r="C1458" s="294"/>
      <c r="D1458" s="294"/>
      <c r="E1458" s="294"/>
      <c r="F1458" s="294"/>
      <c r="G1458" s="294"/>
      <c r="H1458" s="294"/>
      <c r="I1458" s="294"/>
      <c r="J1458" s="294"/>
      <c r="L1458" s="295"/>
      <c r="M1458" s="294"/>
      <c r="R1458" s="326"/>
      <c r="S1458" s="326"/>
      <c r="T1458" s="294"/>
      <c r="U1458" s="294"/>
      <c r="V1458" s="294"/>
      <c r="W1458" s="294"/>
      <c r="X1458" s="1182"/>
      <c r="Y1458" s="1182"/>
      <c r="Z1458" s="1166"/>
      <c r="AA1458" s="1166"/>
      <c r="AB1458" s="1182"/>
      <c r="AC1458" s="294"/>
      <c r="AD1458" s="294"/>
      <c r="AE1458" s="294"/>
      <c r="AF1458" s="294"/>
      <c r="AG1458" s="294"/>
      <c r="AH1458" s="294"/>
      <c r="AI1458" s="294"/>
      <c r="AJ1458" s="294"/>
    </row>
    <row r="1459" spans="2:36" x14ac:dyDescent="0.25">
      <c r="B1459" s="294"/>
      <c r="C1459" s="294"/>
      <c r="D1459" s="294"/>
      <c r="E1459" s="294"/>
      <c r="F1459" s="294"/>
      <c r="G1459" s="294"/>
      <c r="H1459" s="294"/>
      <c r="I1459" s="294"/>
      <c r="J1459" s="294"/>
      <c r="L1459" s="295"/>
      <c r="M1459" s="294"/>
      <c r="R1459" s="326"/>
      <c r="S1459" s="326"/>
      <c r="T1459" s="294"/>
      <c r="U1459" s="294"/>
      <c r="V1459" s="294"/>
      <c r="W1459" s="294"/>
      <c r="X1459" s="1182"/>
      <c r="Y1459" s="1182"/>
      <c r="Z1459" s="1166"/>
      <c r="AA1459" s="1166"/>
      <c r="AB1459" s="1182"/>
      <c r="AC1459" s="294"/>
      <c r="AD1459" s="294"/>
      <c r="AE1459" s="294"/>
      <c r="AF1459" s="294"/>
      <c r="AG1459" s="294"/>
      <c r="AH1459" s="294"/>
      <c r="AI1459" s="294"/>
      <c r="AJ1459" s="294"/>
    </row>
    <row r="1460" spans="2:36" x14ac:dyDescent="0.25">
      <c r="B1460" s="294"/>
      <c r="C1460" s="294"/>
      <c r="D1460" s="294"/>
      <c r="E1460" s="294"/>
      <c r="F1460" s="294"/>
      <c r="G1460" s="294"/>
      <c r="H1460" s="294"/>
      <c r="I1460" s="294"/>
      <c r="J1460" s="294"/>
      <c r="L1460" s="295"/>
      <c r="M1460" s="294"/>
      <c r="R1460" s="326"/>
      <c r="S1460" s="326"/>
      <c r="T1460" s="294"/>
      <c r="U1460" s="294"/>
      <c r="V1460" s="294"/>
      <c r="W1460" s="294"/>
      <c r="X1460" s="1182"/>
      <c r="Y1460" s="1182"/>
      <c r="Z1460" s="1166"/>
      <c r="AA1460" s="1166"/>
      <c r="AB1460" s="1182"/>
      <c r="AC1460" s="294"/>
      <c r="AD1460" s="294"/>
      <c r="AE1460" s="294"/>
      <c r="AF1460" s="294"/>
      <c r="AG1460" s="294"/>
      <c r="AH1460" s="294"/>
      <c r="AI1460" s="294"/>
      <c r="AJ1460" s="294"/>
    </row>
    <row r="1461" spans="2:36" x14ac:dyDescent="0.25">
      <c r="B1461" s="294"/>
      <c r="C1461" s="294"/>
      <c r="D1461" s="294"/>
      <c r="E1461" s="294"/>
      <c r="F1461" s="294"/>
      <c r="G1461" s="294"/>
      <c r="H1461" s="294"/>
      <c r="I1461" s="294"/>
      <c r="J1461" s="294"/>
      <c r="L1461" s="295"/>
      <c r="M1461" s="294"/>
      <c r="R1461" s="326"/>
      <c r="S1461" s="326"/>
      <c r="T1461" s="294"/>
      <c r="U1461" s="294"/>
      <c r="V1461" s="294"/>
      <c r="W1461" s="294"/>
      <c r="X1461" s="1182"/>
      <c r="Y1461" s="1182"/>
      <c r="Z1461" s="1166"/>
      <c r="AA1461" s="1166"/>
      <c r="AB1461" s="1182"/>
      <c r="AC1461" s="294"/>
      <c r="AD1461" s="294"/>
      <c r="AE1461" s="294"/>
      <c r="AF1461" s="294"/>
      <c r="AG1461" s="294"/>
      <c r="AH1461" s="294"/>
      <c r="AI1461" s="294"/>
      <c r="AJ1461" s="294"/>
    </row>
    <row r="1462" spans="2:36" x14ac:dyDescent="0.25">
      <c r="B1462" s="294"/>
      <c r="C1462" s="294"/>
      <c r="D1462" s="294"/>
      <c r="E1462" s="294"/>
      <c r="F1462" s="294"/>
      <c r="G1462" s="294"/>
      <c r="H1462" s="294"/>
      <c r="I1462" s="294"/>
      <c r="J1462" s="294"/>
      <c r="L1462" s="295"/>
      <c r="M1462" s="294"/>
      <c r="R1462" s="326"/>
      <c r="S1462" s="326"/>
      <c r="T1462" s="294"/>
      <c r="U1462" s="294"/>
      <c r="V1462" s="294"/>
      <c r="W1462" s="294"/>
      <c r="X1462" s="1182"/>
      <c r="Y1462" s="1182"/>
      <c r="Z1462" s="1166"/>
      <c r="AA1462" s="1166"/>
      <c r="AB1462" s="1182"/>
      <c r="AC1462" s="294"/>
      <c r="AD1462" s="294"/>
      <c r="AE1462" s="294"/>
      <c r="AF1462" s="294"/>
      <c r="AG1462" s="294"/>
      <c r="AH1462" s="294"/>
      <c r="AI1462" s="294"/>
      <c r="AJ1462" s="294"/>
    </row>
    <row r="1463" spans="2:36" x14ac:dyDescent="0.25">
      <c r="B1463" s="294"/>
      <c r="C1463" s="294"/>
      <c r="D1463" s="294"/>
      <c r="E1463" s="294"/>
      <c r="F1463" s="294"/>
      <c r="G1463" s="294"/>
      <c r="H1463" s="294"/>
      <c r="I1463" s="294"/>
      <c r="J1463" s="294"/>
      <c r="L1463" s="295"/>
      <c r="M1463" s="294"/>
      <c r="R1463" s="326"/>
      <c r="S1463" s="326"/>
      <c r="T1463" s="294"/>
      <c r="U1463" s="294"/>
      <c r="V1463" s="294"/>
      <c r="W1463" s="294"/>
      <c r="X1463" s="1182"/>
      <c r="Y1463" s="1182"/>
      <c r="Z1463" s="1166"/>
      <c r="AA1463" s="1166"/>
      <c r="AB1463" s="1182"/>
      <c r="AC1463" s="294"/>
      <c r="AD1463" s="294"/>
      <c r="AE1463" s="294"/>
      <c r="AF1463" s="294"/>
      <c r="AG1463" s="294"/>
      <c r="AH1463" s="294"/>
      <c r="AI1463" s="294"/>
      <c r="AJ1463" s="294"/>
    </row>
    <row r="1464" spans="2:36" x14ac:dyDescent="0.25">
      <c r="B1464" s="294"/>
      <c r="C1464" s="294"/>
      <c r="D1464" s="294"/>
      <c r="E1464" s="294"/>
      <c r="F1464" s="294"/>
      <c r="G1464" s="294"/>
      <c r="H1464" s="294"/>
      <c r="I1464" s="294"/>
      <c r="J1464" s="294"/>
      <c r="L1464" s="295"/>
      <c r="M1464" s="294"/>
      <c r="R1464" s="326"/>
      <c r="S1464" s="326"/>
      <c r="T1464" s="294"/>
      <c r="U1464" s="294"/>
      <c r="V1464" s="294"/>
      <c r="W1464" s="294"/>
      <c r="X1464" s="1182"/>
      <c r="Y1464" s="1182"/>
      <c r="Z1464" s="1166"/>
      <c r="AA1464" s="1166"/>
      <c r="AB1464" s="1182"/>
      <c r="AC1464" s="294"/>
      <c r="AD1464" s="294"/>
      <c r="AE1464" s="294"/>
      <c r="AF1464" s="294"/>
      <c r="AG1464" s="294"/>
      <c r="AH1464" s="294"/>
      <c r="AI1464" s="294"/>
      <c r="AJ1464" s="294"/>
    </row>
    <row r="1465" spans="2:36" x14ac:dyDescent="0.25">
      <c r="B1465" s="294"/>
      <c r="C1465" s="294"/>
      <c r="D1465" s="294"/>
      <c r="E1465" s="294"/>
      <c r="F1465" s="294"/>
      <c r="G1465" s="294"/>
      <c r="H1465" s="294"/>
      <c r="I1465" s="294"/>
      <c r="J1465" s="294"/>
      <c r="L1465" s="295"/>
      <c r="M1465" s="294"/>
      <c r="R1465" s="326"/>
      <c r="S1465" s="326"/>
      <c r="T1465" s="294"/>
      <c r="U1465" s="294"/>
      <c r="V1465" s="294"/>
      <c r="W1465" s="294"/>
      <c r="X1465" s="1182"/>
      <c r="Y1465" s="1182"/>
      <c r="Z1465" s="1166"/>
      <c r="AA1465" s="1166"/>
      <c r="AB1465" s="1182"/>
      <c r="AC1465" s="294"/>
      <c r="AD1465" s="294"/>
      <c r="AE1465" s="294"/>
      <c r="AF1465" s="294"/>
      <c r="AG1465" s="294"/>
      <c r="AH1465" s="294"/>
      <c r="AI1465" s="294"/>
      <c r="AJ1465" s="294"/>
    </row>
    <row r="1466" spans="2:36" x14ac:dyDescent="0.25">
      <c r="B1466" s="294"/>
      <c r="C1466" s="294"/>
      <c r="D1466" s="294"/>
      <c r="E1466" s="294"/>
      <c r="F1466" s="294"/>
      <c r="G1466" s="294"/>
      <c r="H1466" s="294"/>
      <c r="I1466" s="294"/>
      <c r="J1466" s="294"/>
      <c r="L1466" s="295"/>
      <c r="M1466" s="294"/>
      <c r="R1466" s="326"/>
      <c r="S1466" s="326"/>
      <c r="T1466" s="294"/>
      <c r="U1466" s="294"/>
      <c r="V1466" s="294"/>
      <c r="W1466" s="294"/>
      <c r="X1466" s="1182"/>
      <c r="Y1466" s="1182"/>
      <c r="Z1466" s="1166"/>
      <c r="AA1466" s="1166"/>
      <c r="AB1466" s="1182"/>
      <c r="AC1466" s="294"/>
      <c r="AD1466" s="294"/>
      <c r="AE1466" s="294"/>
      <c r="AF1466" s="294"/>
      <c r="AG1466" s="294"/>
      <c r="AH1466" s="294"/>
      <c r="AI1466" s="294"/>
      <c r="AJ1466" s="294"/>
    </row>
    <row r="1467" spans="2:36" x14ac:dyDescent="0.25">
      <c r="B1467" s="294"/>
      <c r="C1467" s="294"/>
      <c r="D1467" s="294"/>
      <c r="E1467" s="294"/>
      <c r="F1467" s="294"/>
      <c r="G1467" s="294"/>
      <c r="H1467" s="294"/>
      <c r="I1467" s="294"/>
      <c r="J1467" s="294"/>
      <c r="L1467" s="295"/>
      <c r="M1467" s="294"/>
      <c r="R1467" s="326"/>
      <c r="S1467" s="326"/>
      <c r="T1467" s="294"/>
      <c r="U1467" s="294"/>
      <c r="V1467" s="294"/>
      <c r="W1467" s="294"/>
      <c r="X1467" s="1182"/>
      <c r="Y1467" s="1182"/>
      <c r="Z1467" s="1166"/>
      <c r="AA1467" s="1166"/>
      <c r="AB1467" s="1182"/>
      <c r="AC1467" s="294"/>
      <c r="AD1467" s="294"/>
      <c r="AE1467" s="294"/>
      <c r="AF1467" s="294"/>
      <c r="AG1467" s="294"/>
      <c r="AH1467" s="294"/>
      <c r="AI1467" s="294"/>
      <c r="AJ1467" s="294"/>
    </row>
    <row r="1468" spans="2:36" x14ac:dyDescent="0.25">
      <c r="B1468" s="294"/>
      <c r="C1468" s="294"/>
      <c r="D1468" s="294"/>
      <c r="E1468" s="294"/>
      <c r="F1468" s="294"/>
      <c r="G1468" s="294"/>
      <c r="H1468" s="294"/>
      <c r="I1468" s="294"/>
      <c r="J1468" s="294"/>
      <c r="L1468" s="295"/>
      <c r="M1468" s="294"/>
      <c r="R1468" s="326"/>
      <c r="S1468" s="326"/>
      <c r="T1468" s="294"/>
      <c r="U1468" s="294"/>
      <c r="V1468" s="294"/>
      <c r="W1468" s="294"/>
      <c r="X1468" s="1182"/>
      <c r="Y1468" s="1182"/>
      <c r="Z1468" s="1166"/>
      <c r="AA1468" s="1166"/>
      <c r="AB1468" s="1182"/>
      <c r="AC1468" s="294"/>
      <c r="AD1468" s="294"/>
      <c r="AE1468" s="294"/>
      <c r="AF1468" s="294"/>
      <c r="AG1468" s="294"/>
      <c r="AH1468" s="294"/>
      <c r="AI1468" s="294"/>
      <c r="AJ1468" s="294"/>
    </row>
    <row r="1469" spans="2:36" x14ac:dyDescent="0.25">
      <c r="B1469" s="294"/>
      <c r="C1469" s="294"/>
      <c r="D1469" s="294"/>
      <c r="E1469" s="294"/>
      <c r="F1469" s="294"/>
      <c r="G1469" s="294"/>
      <c r="H1469" s="294"/>
      <c r="I1469" s="294"/>
      <c r="J1469" s="294"/>
      <c r="L1469" s="295"/>
      <c r="M1469" s="294"/>
      <c r="R1469" s="326"/>
      <c r="S1469" s="326"/>
      <c r="T1469" s="294"/>
      <c r="U1469" s="294"/>
      <c r="V1469" s="294"/>
      <c r="W1469" s="294"/>
      <c r="X1469" s="1182"/>
      <c r="Y1469" s="1182"/>
      <c r="Z1469" s="1166"/>
      <c r="AA1469" s="1166"/>
      <c r="AB1469" s="1182"/>
      <c r="AC1469" s="294"/>
      <c r="AD1469" s="294"/>
      <c r="AE1469" s="294"/>
      <c r="AF1469" s="294"/>
      <c r="AG1469" s="294"/>
      <c r="AH1469" s="294"/>
      <c r="AI1469" s="294"/>
      <c r="AJ1469" s="294"/>
    </row>
    <row r="1470" spans="2:36" x14ac:dyDescent="0.25">
      <c r="B1470" s="294"/>
      <c r="C1470" s="294"/>
      <c r="D1470" s="294"/>
      <c r="E1470" s="294"/>
      <c r="F1470" s="294"/>
      <c r="G1470" s="294"/>
      <c r="H1470" s="294"/>
      <c r="I1470" s="294"/>
      <c r="J1470" s="294"/>
      <c r="L1470" s="295"/>
      <c r="M1470" s="294"/>
      <c r="R1470" s="326"/>
      <c r="S1470" s="326"/>
      <c r="T1470" s="294"/>
      <c r="U1470" s="294"/>
      <c r="V1470" s="294"/>
      <c r="W1470" s="294"/>
      <c r="X1470" s="1182"/>
      <c r="Y1470" s="1182"/>
      <c r="Z1470" s="1166"/>
      <c r="AA1470" s="1166"/>
      <c r="AB1470" s="1182"/>
      <c r="AC1470" s="294"/>
      <c r="AD1470" s="294"/>
      <c r="AE1470" s="294"/>
      <c r="AF1470" s="294"/>
      <c r="AG1470" s="294"/>
      <c r="AH1470" s="294"/>
      <c r="AI1470" s="294"/>
      <c r="AJ1470" s="294"/>
    </row>
    <row r="1471" spans="2:36" x14ac:dyDescent="0.25">
      <c r="B1471" s="294"/>
      <c r="C1471" s="294"/>
      <c r="D1471" s="294"/>
      <c r="E1471" s="294"/>
      <c r="F1471" s="294"/>
      <c r="G1471" s="294"/>
      <c r="H1471" s="294"/>
      <c r="I1471" s="294"/>
      <c r="J1471" s="294"/>
      <c r="L1471" s="295"/>
      <c r="M1471" s="294"/>
      <c r="R1471" s="326"/>
      <c r="S1471" s="326"/>
      <c r="T1471" s="294"/>
      <c r="U1471" s="294"/>
      <c r="V1471" s="294"/>
      <c r="W1471" s="294"/>
      <c r="X1471" s="1182"/>
      <c r="Y1471" s="1182"/>
      <c r="Z1471" s="1166"/>
      <c r="AA1471" s="1166"/>
      <c r="AB1471" s="1182"/>
      <c r="AC1471" s="294"/>
      <c r="AD1471" s="294"/>
      <c r="AE1471" s="294"/>
      <c r="AF1471" s="294"/>
      <c r="AG1471" s="294"/>
      <c r="AH1471" s="294"/>
      <c r="AI1471" s="294"/>
      <c r="AJ1471" s="294"/>
    </row>
    <row r="1472" spans="2:36" x14ac:dyDescent="0.25">
      <c r="B1472" s="294"/>
      <c r="C1472" s="294"/>
      <c r="D1472" s="294"/>
      <c r="E1472" s="294"/>
      <c r="F1472" s="294"/>
      <c r="G1472" s="294"/>
      <c r="H1472" s="294"/>
      <c r="I1472" s="294"/>
      <c r="J1472" s="294"/>
      <c r="L1472" s="295"/>
      <c r="M1472" s="294"/>
      <c r="R1472" s="326"/>
      <c r="S1472" s="326"/>
      <c r="T1472" s="294"/>
      <c r="U1472" s="294"/>
      <c r="V1472" s="294"/>
      <c r="W1472" s="294"/>
      <c r="X1472" s="1182"/>
      <c r="Y1472" s="1182"/>
      <c r="Z1472" s="1166"/>
      <c r="AA1472" s="1166"/>
      <c r="AB1472" s="1182"/>
      <c r="AC1472" s="294"/>
      <c r="AD1472" s="294"/>
      <c r="AE1472" s="294"/>
      <c r="AF1472" s="294"/>
      <c r="AG1472" s="294"/>
      <c r="AH1472" s="294"/>
      <c r="AI1472" s="294"/>
      <c r="AJ1472" s="294"/>
    </row>
    <row r="1473" spans="2:36" x14ac:dyDescent="0.25">
      <c r="B1473" s="294"/>
      <c r="C1473" s="294"/>
      <c r="D1473" s="294"/>
      <c r="E1473" s="294"/>
      <c r="F1473" s="294"/>
      <c r="G1473" s="294"/>
      <c r="H1473" s="294"/>
      <c r="I1473" s="294"/>
      <c r="J1473" s="294"/>
      <c r="L1473" s="295"/>
      <c r="M1473" s="294"/>
      <c r="R1473" s="326"/>
      <c r="S1473" s="326"/>
      <c r="T1473" s="294"/>
      <c r="U1473" s="294"/>
      <c r="V1473" s="294"/>
      <c r="W1473" s="294"/>
      <c r="X1473" s="1182"/>
      <c r="Y1473" s="1182"/>
      <c r="Z1473" s="1166"/>
      <c r="AA1473" s="1166"/>
      <c r="AB1473" s="1182"/>
      <c r="AC1473" s="294"/>
      <c r="AD1473" s="294"/>
      <c r="AE1473" s="294"/>
      <c r="AF1473" s="294"/>
      <c r="AG1473" s="294"/>
      <c r="AH1473" s="294"/>
      <c r="AI1473" s="294"/>
      <c r="AJ1473" s="294"/>
    </row>
    <row r="1474" spans="2:36" x14ac:dyDescent="0.25">
      <c r="B1474" s="294"/>
      <c r="C1474" s="294"/>
      <c r="D1474" s="294"/>
      <c r="E1474" s="294"/>
      <c r="F1474" s="294"/>
      <c r="G1474" s="294"/>
      <c r="H1474" s="294"/>
      <c r="I1474" s="294"/>
      <c r="J1474" s="294"/>
      <c r="L1474" s="295"/>
      <c r="M1474" s="294"/>
      <c r="R1474" s="326"/>
      <c r="S1474" s="326"/>
      <c r="T1474" s="294"/>
      <c r="U1474" s="294"/>
      <c r="V1474" s="294"/>
      <c r="W1474" s="294"/>
      <c r="X1474" s="1182"/>
      <c r="Y1474" s="1182"/>
      <c r="Z1474" s="1166"/>
      <c r="AA1474" s="1166"/>
      <c r="AB1474" s="1182"/>
      <c r="AC1474" s="294"/>
      <c r="AD1474" s="294"/>
      <c r="AE1474" s="294"/>
      <c r="AF1474" s="294"/>
      <c r="AG1474" s="294"/>
      <c r="AH1474" s="294"/>
      <c r="AI1474" s="294"/>
      <c r="AJ1474" s="294"/>
    </row>
    <row r="1475" spans="2:36" x14ac:dyDescent="0.25">
      <c r="B1475" s="294"/>
      <c r="C1475" s="294"/>
      <c r="D1475" s="294"/>
      <c r="E1475" s="294"/>
      <c r="F1475" s="294"/>
      <c r="G1475" s="294"/>
      <c r="H1475" s="294"/>
      <c r="I1475" s="294"/>
      <c r="J1475" s="294"/>
      <c r="L1475" s="295"/>
      <c r="M1475" s="294"/>
      <c r="R1475" s="326"/>
      <c r="S1475" s="326"/>
      <c r="T1475" s="294"/>
      <c r="U1475" s="294"/>
      <c r="V1475" s="294"/>
      <c r="W1475" s="294"/>
      <c r="X1475" s="1182"/>
      <c r="Y1475" s="1182"/>
      <c r="Z1475" s="1166"/>
      <c r="AA1475" s="1166"/>
      <c r="AB1475" s="1182"/>
      <c r="AC1475" s="294"/>
      <c r="AD1475" s="294"/>
      <c r="AE1475" s="294"/>
      <c r="AF1475" s="294"/>
      <c r="AG1475" s="294"/>
      <c r="AH1475" s="294"/>
      <c r="AI1475" s="294"/>
      <c r="AJ1475" s="294"/>
    </row>
    <row r="1476" spans="2:36" x14ac:dyDescent="0.25">
      <c r="B1476" s="294"/>
      <c r="C1476" s="294"/>
      <c r="D1476" s="294"/>
      <c r="E1476" s="294"/>
      <c r="F1476" s="294"/>
      <c r="G1476" s="294"/>
      <c r="H1476" s="294"/>
      <c r="I1476" s="294"/>
      <c r="J1476" s="294"/>
      <c r="L1476" s="295"/>
      <c r="M1476" s="294"/>
      <c r="R1476" s="326"/>
      <c r="S1476" s="326"/>
      <c r="T1476" s="294"/>
      <c r="U1476" s="294"/>
      <c r="V1476" s="294"/>
      <c r="W1476" s="294"/>
      <c r="X1476" s="1182"/>
      <c r="Y1476" s="1182"/>
      <c r="Z1476" s="1166"/>
      <c r="AA1476" s="1166"/>
      <c r="AB1476" s="1182"/>
      <c r="AC1476" s="294"/>
      <c r="AD1476" s="294"/>
      <c r="AE1476" s="294"/>
      <c r="AF1476" s="294"/>
      <c r="AG1476" s="294"/>
      <c r="AH1476" s="294"/>
      <c r="AI1476" s="294"/>
      <c r="AJ1476" s="294"/>
    </row>
    <row r="1477" spans="2:36" x14ac:dyDescent="0.25">
      <c r="B1477" s="294"/>
      <c r="C1477" s="294"/>
      <c r="D1477" s="294"/>
      <c r="E1477" s="294"/>
      <c r="F1477" s="294"/>
      <c r="G1477" s="294"/>
      <c r="H1477" s="294"/>
      <c r="I1477" s="294"/>
      <c r="J1477" s="294"/>
      <c r="L1477" s="295"/>
      <c r="M1477" s="294"/>
      <c r="R1477" s="326"/>
      <c r="S1477" s="326"/>
      <c r="T1477" s="294"/>
      <c r="U1477" s="294"/>
      <c r="V1477" s="294"/>
      <c r="W1477" s="294"/>
      <c r="X1477" s="1182"/>
      <c r="Y1477" s="1182"/>
      <c r="Z1477" s="1166"/>
      <c r="AA1477" s="1166"/>
      <c r="AB1477" s="1182"/>
      <c r="AC1477" s="294"/>
      <c r="AD1477" s="294"/>
      <c r="AE1477" s="294"/>
      <c r="AF1477" s="294"/>
      <c r="AG1477" s="294"/>
      <c r="AH1477" s="294"/>
      <c r="AI1477" s="294"/>
      <c r="AJ1477" s="294"/>
    </row>
    <row r="1478" spans="2:36" x14ac:dyDescent="0.25">
      <c r="B1478" s="294"/>
      <c r="C1478" s="294"/>
      <c r="D1478" s="294"/>
      <c r="E1478" s="294"/>
      <c r="F1478" s="294"/>
      <c r="G1478" s="294"/>
      <c r="H1478" s="294"/>
      <c r="I1478" s="294"/>
      <c r="J1478" s="294"/>
      <c r="L1478" s="295"/>
      <c r="M1478" s="294"/>
      <c r="R1478" s="326"/>
      <c r="S1478" s="326"/>
      <c r="T1478" s="294"/>
      <c r="U1478" s="294"/>
      <c r="V1478" s="294"/>
      <c r="W1478" s="294"/>
      <c r="X1478" s="1182"/>
      <c r="Y1478" s="1182"/>
      <c r="Z1478" s="1166"/>
      <c r="AA1478" s="1166"/>
      <c r="AB1478" s="1182"/>
      <c r="AC1478" s="294"/>
      <c r="AD1478" s="294"/>
      <c r="AE1478" s="294"/>
      <c r="AF1478" s="294"/>
      <c r="AG1478" s="294"/>
      <c r="AH1478" s="294"/>
      <c r="AI1478" s="294"/>
      <c r="AJ1478" s="294"/>
    </row>
    <row r="1479" spans="2:36" x14ac:dyDescent="0.25">
      <c r="B1479" s="294"/>
      <c r="C1479" s="294"/>
      <c r="D1479" s="294"/>
      <c r="E1479" s="294"/>
      <c r="F1479" s="294"/>
      <c r="G1479" s="294"/>
      <c r="H1479" s="294"/>
      <c r="I1479" s="294"/>
      <c r="J1479" s="294"/>
      <c r="L1479" s="295"/>
      <c r="M1479" s="294"/>
      <c r="R1479" s="326"/>
      <c r="S1479" s="326"/>
      <c r="T1479" s="294"/>
      <c r="U1479" s="294"/>
      <c r="V1479" s="294"/>
      <c r="W1479" s="294"/>
      <c r="X1479" s="1182"/>
      <c r="Y1479" s="1182"/>
      <c r="Z1479" s="1166"/>
      <c r="AA1479" s="1166"/>
      <c r="AB1479" s="1182"/>
      <c r="AC1479" s="294"/>
      <c r="AD1479" s="294"/>
      <c r="AE1479" s="294"/>
      <c r="AF1479" s="294"/>
      <c r="AG1479" s="294"/>
      <c r="AH1479" s="294"/>
      <c r="AI1479" s="294"/>
      <c r="AJ1479" s="294"/>
    </row>
    <row r="1480" spans="2:36" x14ac:dyDescent="0.25">
      <c r="B1480" s="294"/>
      <c r="C1480" s="294"/>
      <c r="D1480" s="294"/>
      <c r="E1480" s="294"/>
      <c r="F1480" s="294"/>
      <c r="G1480" s="294"/>
      <c r="H1480" s="294"/>
      <c r="I1480" s="294"/>
      <c r="J1480" s="294"/>
      <c r="L1480" s="295"/>
      <c r="M1480" s="294"/>
      <c r="R1480" s="326"/>
      <c r="S1480" s="326"/>
      <c r="T1480" s="294"/>
      <c r="U1480" s="294"/>
      <c r="V1480" s="294"/>
      <c r="W1480" s="294"/>
      <c r="X1480" s="1182"/>
      <c r="Y1480" s="1182"/>
      <c r="Z1480" s="1166"/>
      <c r="AA1480" s="1166"/>
      <c r="AB1480" s="1182"/>
      <c r="AC1480" s="294"/>
      <c r="AD1480" s="294"/>
      <c r="AE1480" s="294"/>
      <c r="AF1480" s="294"/>
      <c r="AG1480" s="294"/>
      <c r="AH1480" s="294"/>
      <c r="AI1480" s="294"/>
      <c r="AJ1480" s="294"/>
    </row>
    <row r="1481" spans="2:36" x14ac:dyDescent="0.25">
      <c r="B1481" s="294"/>
      <c r="C1481" s="294"/>
      <c r="D1481" s="294"/>
      <c r="E1481" s="294"/>
      <c r="F1481" s="294"/>
      <c r="G1481" s="294"/>
      <c r="H1481" s="294"/>
      <c r="I1481" s="294"/>
      <c r="J1481" s="294"/>
      <c r="L1481" s="295"/>
      <c r="M1481" s="294"/>
      <c r="R1481" s="326"/>
      <c r="S1481" s="326"/>
      <c r="T1481" s="294"/>
      <c r="U1481" s="294"/>
      <c r="V1481" s="294"/>
      <c r="W1481" s="294"/>
      <c r="X1481" s="1182"/>
      <c r="Y1481" s="1182"/>
      <c r="Z1481" s="1166"/>
      <c r="AA1481" s="1166"/>
      <c r="AB1481" s="1182"/>
      <c r="AC1481" s="294"/>
      <c r="AD1481" s="294"/>
      <c r="AE1481" s="294"/>
      <c r="AF1481" s="294"/>
      <c r="AG1481" s="294"/>
      <c r="AH1481" s="294"/>
      <c r="AI1481" s="294"/>
      <c r="AJ1481" s="294"/>
    </row>
    <row r="1482" spans="2:36" x14ac:dyDescent="0.25">
      <c r="B1482" s="294"/>
      <c r="C1482" s="294"/>
      <c r="D1482" s="294"/>
      <c r="E1482" s="294"/>
      <c r="F1482" s="294"/>
      <c r="G1482" s="294"/>
      <c r="H1482" s="294"/>
      <c r="I1482" s="294"/>
      <c r="J1482" s="294"/>
      <c r="L1482" s="295"/>
      <c r="M1482" s="294"/>
      <c r="R1482" s="326"/>
      <c r="S1482" s="326"/>
      <c r="T1482" s="294"/>
      <c r="U1482" s="294"/>
      <c r="V1482" s="294"/>
      <c r="W1482" s="294"/>
      <c r="X1482" s="1182"/>
      <c r="Y1482" s="1182"/>
      <c r="Z1482" s="1166"/>
      <c r="AA1482" s="1166"/>
      <c r="AB1482" s="1182"/>
      <c r="AC1482" s="294"/>
      <c r="AD1482" s="294"/>
      <c r="AE1482" s="294"/>
      <c r="AF1482" s="294"/>
      <c r="AG1482" s="294"/>
      <c r="AH1482" s="294"/>
      <c r="AI1482" s="294"/>
      <c r="AJ1482" s="294"/>
    </row>
    <row r="1483" spans="2:36" x14ac:dyDescent="0.25">
      <c r="B1483" s="294"/>
      <c r="C1483" s="294"/>
      <c r="D1483" s="294"/>
      <c r="E1483" s="294"/>
      <c r="F1483" s="294"/>
      <c r="G1483" s="294"/>
      <c r="H1483" s="294"/>
      <c r="I1483" s="294"/>
      <c r="J1483" s="294"/>
      <c r="L1483" s="295"/>
      <c r="M1483" s="294"/>
      <c r="R1483" s="326"/>
      <c r="S1483" s="326"/>
      <c r="T1483" s="294"/>
      <c r="U1483" s="294"/>
      <c r="V1483" s="294"/>
      <c r="W1483" s="294"/>
      <c r="X1483" s="1182"/>
      <c r="Y1483" s="1182"/>
      <c r="Z1483" s="1166"/>
      <c r="AA1483" s="1166"/>
      <c r="AB1483" s="1182"/>
      <c r="AC1483" s="294"/>
      <c r="AD1483" s="294"/>
      <c r="AE1483" s="294"/>
      <c r="AF1483" s="294"/>
      <c r="AG1483" s="294"/>
      <c r="AH1483" s="294"/>
      <c r="AI1483" s="294"/>
      <c r="AJ1483" s="294"/>
    </row>
    <row r="1484" spans="2:36" x14ac:dyDescent="0.25">
      <c r="B1484" s="294"/>
      <c r="C1484" s="294"/>
      <c r="D1484" s="294"/>
      <c r="E1484" s="294"/>
      <c r="F1484" s="294"/>
      <c r="G1484" s="294"/>
      <c r="H1484" s="294"/>
      <c r="I1484" s="294"/>
      <c r="J1484" s="294"/>
      <c r="L1484" s="295"/>
      <c r="M1484" s="294"/>
      <c r="R1484" s="326"/>
      <c r="S1484" s="326"/>
      <c r="T1484" s="294"/>
      <c r="U1484" s="294"/>
      <c r="V1484" s="294"/>
      <c r="W1484" s="294"/>
      <c r="X1484" s="1182"/>
      <c r="Y1484" s="1182"/>
      <c r="Z1484" s="1166"/>
      <c r="AA1484" s="1166"/>
      <c r="AB1484" s="1182"/>
      <c r="AC1484" s="294"/>
      <c r="AD1484" s="294"/>
      <c r="AE1484" s="294"/>
      <c r="AF1484" s="294"/>
      <c r="AG1484" s="294"/>
      <c r="AH1484" s="294"/>
      <c r="AI1484" s="294"/>
      <c r="AJ1484" s="294"/>
    </row>
    <row r="1485" spans="2:36" x14ac:dyDescent="0.25">
      <c r="B1485" s="294"/>
      <c r="C1485" s="294"/>
      <c r="D1485" s="294"/>
      <c r="E1485" s="294"/>
      <c r="F1485" s="294"/>
      <c r="G1485" s="294"/>
      <c r="H1485" s="294"/>
      <c r="I1485" s="294"/>
      <c r="J1485" s="294"/>
      <c r="L1485" s="295"/>
      <c r="M1485" s="294"/>
      <c r="R1485" s="326"/>
      <c r="S1485" s="326"/>
      <c r="T1485" s="294"/>
      <c r="U1485" s="294"/>
      <c r="V1485" s="294"/>
      <c r="W1485" s="294"/>
      <c r="X1485" s="1182"/>
      <c r="Y1485" s="1182"/>
      <c r="Z1485" s="1166"/>
      <c r="AA1485" s="1166"/>
      <c r="AB1485" s="1182"/>
      <c r="AC1485" s="294"/>
      <c r="AD1485" s="294"/>
      <c r="AE1485" s="294"/>
      <c r="AF1485" s="294"/>
      <c r="AG1485" s="294"/>
      <c r="AH1485" s="294"/>
      <c r="AI1485" s="294"/>
      <c r="AJ1485" s="294"/>
    </row>
    <row r="1486" spans="2:36" x14ac:dyDescent="0.25">
      <c r="B1486" s="294"/>
      <c r="C1486" s="294"/>
      <c r="D1486" s="294"/>
      <c r="E1486" s="294"/>
      <c r="F1486" s="294"/>
      <c r="G1486" s="294"/>
      <c r="H1486" s="294"/>
      <c r="I1486" s="294"/>
      <c r="J1486" s="294"/>
      <c r="L1486" s="295"/>
      <c r="M1486" s="294"/>
      <c r="R1486" s="326"/>
      <c r="S1486" s="326"/>
      <c r="T1486" s="294"/>
      <c r="U1486" s="294"/>
      <c r="V1486" s="294"/>
      <c r="W1486" s="294"/>
      <c r="X1486" s="1182"/>
      <c r="Y1486" s="1182"/>
      <c r="Z1486" s="1166"/>
      <c r="AA1486" s="1166"/>
      <c r="AB1486" s="1182"/>
      <c r="AC1486" s="294"/>
      <c r="AD1486" s="294"/>
      <c r="AE1486" s="294"/>
      <c r="AF1486" s="294"/>
      <c r="AG1486" s="294"/>
      <c r="AH1486" s="294"/>
      <c r="AI1486" s="294"/>
      <c r="AJ1486" s="294"/>
    </row>
    <row r="1487" spans="2:36" x14ac:dyDescent="0.25">
      <c r="B1487" s="294"/>
      <c r="C1487" s="294"/>
      <c r="D1487" s="294"/>
      <c r="E1487" s="294"/>
      <c r="F1487" s="294"/>
      <c r="G1487" s="294"/>
      <c r="H1487" s="294"/>
      <c r="I1487" s="294"/>
      <c r="J1487" s="294"/>
      <c r="L1487" s="295"/>
      <c r="M1487" s="294"/>
      <c r="R1487" s="326"/>
      <c r="S1487" s="326"/>
      <c r="T1487" s="294"/>
      <c r="U1487" s="294"/>
      <c r="V1487" s="294"/>
      <c r="W1487" s="294"/>
      <c r="X1487" s="1182"/>
      <c r="Y1487" s="1182"/>
      <c r="Z1487" s="1166"/>
      <c r="AA1487" s="1166"/>
      <c r="AB1487" s="1182"/>
      <c r="AC1487" s="294"/>
      <c r="AD1487" s="294"/>
      <c r="AE1487" s="294"/>
      <c r="AF1487" s="294"/>
      <c r="AG1487" s="294"/>
      <c r="AH1487" s="294"/>
      <c r="AI1487" s="294"/>
      <c r="AJ1487" s="294"/>
    </row>
    <row r="1488" spans="2:36" x14ac:dyDescent="0.25">
      <c r="B1488" s="294"/>
      <c r="C1488" s="294"/>
      <c r="D1488" s="294"/>
      <c r="E1488" s="294"/>
      <c r="F1488" s="294"/>
      <c r="G1488" s="294"/>
      <c r="H1488" s="294"/>
      <c r="I1488" s="294"/>
      <c r="J1488" s="294"/>
      <c r="L1488" s="295"/>
      <c r="M1488" s="294"/>
      <c r="R1488" s="326"/>
      <c r="S1488" s="326"/>
      <c r="T1488" s="294"/>
      <c r="U1488" s="294"/>
      <c r="V1488" s="294"/>
      <c r="W1488" s="294"/>
      <c r="X1488" s="1182"/>
      <c r="Y1488" s="1182"/>
      <c r="Z1488" s="1166"/>
      <c r="AA1488" s="1166"/>
      <c r="AB1488" s="1182"/>
      <c r="AC1488" s="294"/>
      <c r="AD1488" s="294"/>
      <c r="AE1488" s="294"/>
      <c r="AF1488" s="294"/>
      <c r="AG1488" s="294"/>
      <c r="AH1488" s="294"/>
      <c r="AI1488" s="294"/>
      <c r="AJ1488" s="294"/>
    </row>
    <row r="1489" spans="2:36" x14ac:dyDescent="0.25">
      <c r="B1489" s="294"/>
      <c r="C1489" s="294"/>
      <c r="D1489" s="294"/>
      <c r="E1489" s="294"/>
      <c r="F1489" s="294"/>
      <c r="G1489" s="294"/>
      <c r="H1489" s="294"/>
      <c r="I1489" s="294"/>
      <c r="J1489" s="294"/>
      <c r="L1489" s="295"/>
      <c r="M1489" s="294"/>
      <c r="R1489" s="326"/>
      <c r="S1489" s="326"/>
      <c r="T1489" s="294"/>
      <c r="U1489" s="294"/>
      <c r="V1489" s="294"/>
      <c r="W1489" s="294"/>
      <c r="X1489" s="1182"/>
      <c r="Y1489" s="1182"/>
      <c r="Z1489" s="1166"/>
      <c r="AA1489" s="1166"/>
      <c r="AB1489" s="1182"/>
      <c r="AC1489" s="294"/>
      <c r="AD1489" s="294"/>
      <c r="AE1489" s="294"/>
      <c r="AF1489" s="294"/>
      <c r="AG1489" s="294"/>
      <c r="AH1489" s="294"/>
      <c r="AI1489" s="294"/>
      <c r="AJ1489" s="294"/>
    </row>
    <row r="1490" spans="2:36" x14ac:dyDescent="0.25">
      <c r="B1490" s="294"/>
      <c r="C1490" s="294"/>
      <c r="D1490" s="294"/>
      <c r="E1490" s="294"/>
      <c r="F1490" s="294"/>
      <c r="G1490" s="294"/>
      <c r="H1490" s="294"/>
      <c r="I1490" s="294"/>
      <c r="J1490" s="294"/>
      <c r="L1490" s="295"/>
      <c r="M1490" s="294"/>
      <c r="R1490" s="326"/>
      <c r="S1490" s="326"/>
      <c r="T1490" s="294"/>
      <c r="U1490" s="294"/>
      <c r="V1490" s="294"/>
      <c r="W1490" s="294"/>
      <c r="X1490" s="1182"/>
      <c r="Y1490" s="1182"/>
      <c r="Z1490" s="1166"/>
      <c r="AA1490" s="1166"/>
      <c r="AB1490" s="1182"/>
      <c r="AC1490" s="294"/>
      <c r="AD1490" s="294"/>
      <c r="AE1490" s="294"/>
      <c r="AF1490" s="294"/>
      <c r="AG1490" s="294"/>
      <c r="AH1490" s="294"/>
      <c r="AI1490" s="294"/>
      <c r="AJ1490" s="294"/>
    </row>
    <row r="1491" spans="2:36" x14ac:dyDescent="0.25">
      <c r="B1491" s="294"/>
      <c r="C1491" s="294"/>
      <c r="D1491" s="294"/>
      <c r="E1491" s="294"/>
      <c r="F1491" s="294"/>
      <c r="G1491" s="294"/>
      <c r="H1491" s="294"/>
      <c r="I1491" s="294"/>
      <c r="J1491" s="294"/>
      <c r="L1491" s="295"/>
      <c r="M1491" s="294"/>
      <c r="R1491" s="326"/>
      <c r="S1491" s="326"/>
      <c r="T1491" s="294"/>
      <c r="U1491" s="294"/>
      <c r="V1491" s="294"/>
      <c r="W1491" s="294"/>
      <c r="X1491" s="1182"/>
      <c r="Y1491" s="1182"/>
      <c r="Z1491" s="1166"/>
      <c r="AA1491" s="1166"/>
      <c r="AB1491" s="1182"/>
      <c r="AC1491" s="294"/>
      <c r="AD1491" s="294"/>
      <c r="AE1491" s="294"/>
      <c r="AF1491" s="294"/>
      <c r="AG1491" s="294"/>
      <c r="AH1491" s="294"/>
      <c r="AI1491" s="294"/>
      <c r="AJ1491" s="294"/>
    </row>
    <row r="1492" spans="2:36" x14ac:dyDescent="0.25">
      <c r="B1492" s="294"/>
      <c r="C1492" s="294"/>
      <c r="D1492" s="294"/>
      <c r="E1492" s="294"/>
      <c r="F1492" s="294"/>
      <c r="G1492" s="294"/>
      <c r="H1492" s="294"/>
      <c r="I1492" s="294"/>
      <c r="J1492" s="294"/>
      <c r="L1492" s="295"/>
      <c r="M1492" s="294"/>
      <c r="R1492" s="326"/>
      <c r="S1492" s="326"/>
      <c r="T1492" s="294"/>
      <c r="U1492" s="294"/>
      <c r="V1492" s="294"/>
      <c r="W1492" s="294"/>
      <c r="X1492" s="1182"/>
      <c r="Y1492" s="1182"/>
      <c r="Z1492" s="1166"/>
      <c r="AA1492" s="1166"/>
      <c r="AB1492" s="1182"/>
      <c r="AC1492" s="294"/>
      <c r="AD1492" s="294"/>
      <c r="AE1492" s="294"/>
      <c r="AF1492" s="294"/>
      <c r="AG1492" s="294"/>
      <c r="AH1492" s="294"/>
      <c r="AI1492" s="294"/>
      <c r="AJ1492" s="294"/>
    </row>
    <row r="1493" spans="2:36" x14ac:dyDescent="0.25">
      <c r="B1493" s="294"/>
      <c r="C1493" s="294"/>
      <c r="D1493" s="294"/>
      <c r="E1493" s="294"/>
      <c r="F1493" s="294"/>
      <c r="G1493" s="294"/>
      <c r="H1493" s="294"/>
      <c r="I1493" s="294"/>
      <c r="J1493" s="294"/>
      <c r="L1493" s="295"/>
      <c r="M1493" s="294"/>
      <c r="R1493" s="326"/>
      <c r="S1493" s="326"/>
      <c r="T1493" s="294"/>
      <c r="U1493" s="294"/>
      <c r="V1493" s="294"/>
      <c r="W1493" s="294"/>
      <c r="X1493" s="1182"/>
      <c r="Y1493" s="1182"/>
      <c r="Z1493" s="1166"/>
      <c r="AA1493" s="1166"/>
      <c r="AB1493" s="1182"/>
      <c r="AC1493" s="294"/>
      <c r="AD1493" s="294"/>
      <c r="AE1493" s="294"/>
      <c r="AF1493" s="294"/>
      <c r="AG1493" s="294"/>
      <c r="AH1493" s="294"/>
      <c r="AI1493" s="294"/>
      <c r="AJ1493" s="294"/>
    </row>
    <row r="1494" spans="2:36" x14ac:dyDescent="0.25">
      <c r="B1494" s="294"/>
      <c r="C1494" s="294"/>
      <c r="D1494" s="294"/>
      <c r="E1494" s="294"/>
      <c r="F1494" s="294"/>
      <c r="G1494" s="294"/>
      <c r="H1494" s="294"/>
      <c r="I1494" s="294"/>
      <c r="J1494" s="294"/>
      <c r="L1494" s="295"/>
      <c r="M1494" s="294"/>
      <c r="R1494" s="326"/>
      <c r="S1494" s="326"/>
      <c r="T1494" s="294"/>
      <c r="U1494" s="294"/>
      <c r="V1494" s="294"/>
      <c r="W1494" s="294"/>
      <c r="X1494" s="1182"/>
      <c r="Y1494" s="1182"/>
      <c r="Z1494" s="1166"/>
      <c r="AA1494" s="1166"/>
      <c r="AB1494" s="1182"/>
      <c r="AC1494" s="294"/>
      <c r="AD1494" s="294"/>
      <c r="AE1494" s="294"/>
      <c r="AF1494" s="294"/>
      <c r="AG1494" s="294"/>
      <c r="AH1494" s="294"/>
      <c r="AI1494" s="294"/>
      <c r="AJ1494" s="294"/>
    </row>
    <row r="1495" spans="2:36" x14ac:dyDescent="0.25">
      <c r="B1495" s="294"/>
      <c r="C1495" s="294"/>
      <c r="D1495" s="294"/>
      <c r="E1495" s="294"/>
      <c r="F1495" s="294"/>
      <c r="G1495" s="294"/>
      <c r="H1495" s="294"/>
      <c r="I1495" s="294"/>
      <c r="J1495" s="294"/>
      <c r="L1495" s="295"/>
      <c r="M1495" s="294"/>
      <c r="R1495" s="326"/>
      <c r="S1495" s="326"/>
      <c r="T1495" s="294"/>
      <c r="U1495" s="294"/>
      <c r="V1495" s="294"/>
      <c r="W1495" s="294"/>
      <c r="X1495" s="1182"/>
      <c r="Y1495" s="1182"/>
      <c r="Z1495" s="1166"/>
      <c r="AA1495" s="1166"/>
      <c r="AB1495" s="1182"/>
      <c r="AC1495" s="294"/>
      <c r="AD1495" s="294"/>
      <c r="AE1495" s="294"/>
      <c r="AF1495" s="294"/>
      <c r="AG1495" s="294"/>
      <c r="AH1495" s="294"/>
      <c r="AI1495" s="294"/>
      <c r="AJ1495" s="294"/>
    </row>
    <row r="1496" spans="2:36" x14ac:dyDescent="0.25">
      <c r="B1496" s="294"/>
      <c r="C1496" s="294"/>
      <c r="D1496" s="294"/>
      <c r="E1496" s="294"/>
      <c r="F1496" s="294"/>
      <c r="G1496" s="294"/>
      <c r="H1496" s="294"/>
      <c r="I1496" s="294"/>
      <c r="J1496" s="294"/>
      <c r="L1496" s="295"/>
      <c r="M1496" s="294"/>
      <c r="R1496" s="326"/>
      <c r="S1496" s="326"/>
      <c r="T1496" s="294"/>
      <c r="U1496" s="294"/>
      <c r="V1496" s="294"/>
      <c r="W1496" s="294"/>
      <c r="X1496" s="1182"/>
      <c r="Y1496" s="1182"/>
      <c r="Z1496" s="1166"/>
      <c r="AA1496" s="1166"/>
      <c r="AB1496" s="1182"/>
      <c r="AC1496" s="294"/>
      <c r="AD1496" s="294"/>
      <c r="AE1496" s="294"/>
      <c r="AF1496" s="294"/>
      <c r="AG1496" s="294"/>
      <c r="AH1496" s="294"/>
      <c r="AI1496" s="294"/>
      <c r="AJ1496" s="294"/>
    </row>
    <row r="1497" spans="2:36" x14ac:dyDescent="0.25">
      <c r="B1497" s="294"/>
      <c r="C1497" s="294"/>
      <c r="D1497" s="294"/>
      <c r="E1497" s="294"/>
      <c r="F1497" s="294"/>
      <c r="G1497" s="294"/>
      <c r="H1497" s="294"/>
      <c r="I1497" s="294"/>
      <c r="J1497" s="294"/>
      <c r="L1497" s="295"/>
      <c r="M1497" s="294"/>
      <c r="R1497" s="326"/>
      <c r="S1497" s="326"/>
      <c r="T1497" s="294"/>
      <c r="U1497" s="294"/>
      <c r="V1497" s="294"/>
      <c r="W1497" s="294"/>
      <c r="X1497" s="1182"/>
      <c r="Y1497" s="1182"/>
      <c r="Z1497" s="1166"/>
      <c r="AA1497" s="1166"/>
      <c r="AB1497" s="1182"/>
      <c r="AC1497" s="294"/>
      <c r="AD1497" s="294"/>
      <c r="AE1497" s="294"/>
      <c r="AF1497" s="294"/>
      <c r="AG1497" s="294"/>
      <c r="AH1497" s="294"/>
      <c r="AI1497" s="294"/>
      <c r="AJ1497" s="294"/>
    </row>
    <row r="1498" spans="2:36" x14ac:dyDescent="0.25">
      <c r="B1498" s="294"/>
      <c r="C1498" s="294"/>
      <c r="D1498" s="294"/>
      <c r="E1498" s="294"/>
      <c r="F1498" s="294"/>
      <c r="G1498" s="294"/>
      <c r="H1498" s="294"/>
      <c r="I1498" s="294"/>
      <c r="J1498" s="294"/>
      <c r="L1498" s="295"/>
      <c r="M1498" s="294"/>
      <c r="R1498" s="326"/>
      <c r="S1498" s="326"/>
      <c r="T1498" s="294"/>
      <c r="U1498" s="294"/>
      <c r="V1498" s="294"/>
      <c r="W1498" s="294"/>
      <c r="X1498" s="1182"/>
      <c r="Y1498" s="1182"/>
      <c r="Z1498" s="1166"/>
      <c r="AA1498" s="1166"/>
      <c r="AB1498" s="1182"/>
      <c r="AC1498" s="294"/>
      <c r="AD1498" s="294"/>
      <c r="AE1498" s="294"/>
      <c r="AF1498" s="294"/>
      <c r="AG1498" s="294"/>
      <c r="AH1498" s="294"/>
      <c r="AI1498" s="294"/>
      <c r="AJ1498" s="294"/>
    </row>
    <row r="1499" spans="2:36" x14ac:dyDescent="0.25">
      <c r="B1499" s="294"/>
      <c r="C1499" s="294"/>
      <c r="D1499" s="294"/>
      <c r="E1499" s="294"/>
      <c r="F1499" s="294"/>
      <c r="G1499" s="294"/>
      <c r="H1499" s="294"/>
      <c r="I1499" s="294"/>
      <c r="J1499" s="294"/>
      <c r="L1499" s="295"/>
      <c r="M1499" s="294"/>
      <c r="R1499" s="326"/>
      <c r="S1499" s="326"/>
      <c r="T1499" s="294"/>
      <c r="U1499" s="294"/>
      <c r="V1499" s="294"/>
      <c r="W1499" s="294"/>
      <c r="X1499" s="1182"/>
      <c r="Y1499" s="1182"/>
      <c r="Z1499" s="1166"/>
      <c r="AA1499" s="1166"/>
      <c r="AB1499" s="1182"/>
      <c r="AC1499" s="294"/>
      <c r="AD1499" s="294"/>
      <c r="AE1499" s="294"/>
      <c r="AF1499" s="294"/>
      <c r="AG1499" s="294"/>
      <c r="AH1499" s="294"/>
      <c r="AI1499" s="294"/>
      <c r="AJ1499" s="294"/>
    </row>
    <row r="1500" spans="2:36" x14ac:dyDescent="0.25">
      <c r="B1500" s="294"/>
      <c r="C1500" s="294"/>
      <c r="D1500" s="294"/>
      <c r="E1500" s="294"/>
      <c r="F1500" s="294"/>
      <c r="G1500" s="294"/>
      <c r="H1500" s="294"/>
      <c r="I1500" s="294"/>
      <c r="J1500" s="294"/>
      <c r="L1500" s="295"/>
      <c r="M1500" s="294"/>
      <c r="R1500" s="326"/>
      <c r="S1500" s="326"/>
      <c r="T1500" s="294"/>
      <c r="U1500" s="294"/>
      <c r="V1500" s="294"/>
      <c r="W1500" s="294"/>
      <c r="X1500" s="1182"/>
      <c r="Y1500" s="1182"/>
      <c r="Z1500" s="1166"/>
      <c r="AA1500" s="1166"/>
      <c r="AB1500" s="1182"/>
      <c r="AC1500" s="294"/>
      <c r="AD1500" s="294"/>
      <c r="AE1500" s="294"/>
      <c r="AF1500" s="294"/>
      <c r="AG1500" s="294"/>
      <c r="AH1500" s="294"/>
      <c r="AI1500" s="294"/>
      <c r="AJ1500" s="294"/>
    </row>
    <row r="1501" spans="2:36" x14ac:dyDescent="0.25">
      <c r="B1501" s="294"/>
      <c r="C1501" s="294"/>
      <c r="D1501" s="294"/>
      <c r="E1501" s="294"/>
      <c r="F1501" s="294"/>
      <c r="G1501" s="294"/>
      <c r="H1501" s="294"/>
      <c r="I1501" s="294"/>
      <c r="J1501" s="294"/>
      <c r="L1501" s="295"/>
      <c r="M1501" s="294"/>
      <c r="R1501" s="326"/>
      <c r="S1501" s="326"/>
      <c r="T1501" s="294"/>
      <c r="U1501" s="294"/>
      <c r="V1501" s="294"/>
      <c r="W1501" s="294"/>
      <c r="X1501" s="1182"/>
      <c r="Y1501" s="1182"/>
      <c r="Z1501" s="1166"/>
      <c r="AA1501" s="1166"/>
      <c r="AB1501" s="1182"/>
      <c r="AC1501" s="294"/>
      <c r="AD1501" s="294"/>
      <c r="AE1501" s="294"/>
      <c r="AF1501" s="294"/>
      <c r="AG1501" s="294"/>
      <c r="AH1501" s="294"/>
      <c r="AI1501" s="294"/>
      <c r="AJ1501" s="294"/>
    </row>
    <row r="1502" spans="2:36" x14ac:dyDescent="0.25">
      <c r="B1502" s="294"/>
      <c r="C1502" s="294"/>
      <c r="D1502" s="294"/>
      <c r="E1502" s="294"/>
      <c r="F1502" s="294"/>
      <c r="G1502" s="294"/>
      <c r="H1502" s="294"/>
      <c r="I1502" s="294"/>
      <c r="J1502" s="294"/>
      <c r="L1502" s="295"/>
      <c r="M1502" s="294"/>
      <c r="R1502" s="326"/>
      <c r="S1502" s="326"/>
      <c r="T1502" s="294"/>
      <c r="U1502" s="294"/>
      <c r="V1502" s="294"/>
      <c r="W1502" s="294"/>
      <c r="X1502" s="1182"/>
      <c r="Y1502" s="1182"/>
      <c r="Z1502" s="1166"/>
      <c r="AA1502" s="1166"/>
      <c r="AB1502" s="1182"/>
      <c r="AC1502" s="294"/>
      <c r="AD1502" s="294"/>
      <c r="AE1502" s="294"/>
      <c r="AF1502" s="294"/>
      <c r="AG1502" s="294"/>
      <c r="AH1502" s="294"/>
      <c r="AI1502" s="294"/>
      <c r="AJ1502" s="294"/>
    </row>
    <row r="1503" spans="2:36" x14ac:dyDescent="0.25">
      <c r="B1503" s="294"/>
      <c r="C1503" s="294"/>
      <c r="D1503" s="294"/>
      <c r="E1503" s="294"/>
      <c r="F1503" s="294"/>
      <c r="G1503" s="294"/>
      <c r="H1503" s="294"/>
      <c r="I1503" s="294"/>
      <c r="J1503" s="294"/>
      <c r="L1503" s="295"/>
      <c r="M1503" s="294"/>
      <c r="R1503" s="326"/>
      <c r="S1503" s="326"/>
      <c r="T1503" s="294"/>
      <c r="U1503" s="294"/>
      <c r="V1503" s="294"/>
      <c r="W1503" s="294"/>
      <c r="X1503" s="1182"/>
      <c r="Y1503" s="1182"/>
      <c r="Z1503" s="1166"/>
      <c r="AA1503" s="1166"/>
      <c r="AB1503" s="1182"/>
      <c r="AC1503" s="294"/>
      <c r="AD1503" s="294"/>
      <c r="AE1503" s="294"/>
      <c r="AF1503" s="294"/>
      <c r="AG1503" s="294"/>
      <c r="AH1503" s="294"/>
      <c r="AI1503" s="294"/>
      <c r="AJ1503" s="294"/>
    </row>
    <row r="1504" spans="2:36" x14ac:dyDescent="0.25">
      <c r="B1504" s="294"/>
      <c r="C1504" s="294"/>
      <c r="D1504" s="294"/>
      <c r="E1504" s="294"/>
      <c r="F1504" s="294"/>
      <c r="G1504" s="294"/>
      <c r="H1504" s="294"/>
      <c r="I1504" s="294"/>
      <c r="J1504" s="294"/>
      <c r="L1504" s="295"/>
      <c r="M1504" s="294"/>
      <c r="R1504" s="326"/>
      <c r="S1504" s="326"/>
      <c r="T1504" s="294"/>
      <c r="U1504" s="294"/>
      <c r="V1504" s="294"/>
      <c r="W1504" s="294"/>
      <c r="X1504" s="1182"/>
      <c r="Y1504" s="1182"/>
      <c r="Z1504" s="1166"/>
      <c r="AA1504" s="1166"/>
      <c r="AB1504" s="1182"/>
      <c r="AC1504" s="294"/>
      <c r="AD1504" s="294"/>
      <c r="AE1504" s="294"/>
      <c r="AF1504" s="294"/>
      <c r="AG1504" s="294"/>
      <c r="AH1504" s="294"/>
      <c r="AI1504" s="294"/>
      <c r="AJ1504" s="294"/>
    </row>
    <row r="1505" spans="2:36" x14ac:dyDescent="0.25">
      <c r="B1505" s="294"/>
      <c r="C1505" s="294"/>
      <c r="D1505" s="294"/>
      <c r="E1505" s="294"/>
      <c r="F1505" s="294"/>
      <c r="G1505" s="294"/>
      <c r="H1505" s="294"/>
      <c r="I1505" s="294"/>
      <c r="J1505" s="294"/>
      <c r="L1505" s="295"/>
      <c r="M1505" s="294"/>
      <c r="R1505" s="326"/>
      <c r="S1505" s="326"/>
      <c r="T1505" s="294"/>
      <c r="U1505" s="294"/>
      <c r="V1505" s="294"/>
      <c r="W1505" s="294"/>
      <c r="X1505" s="1182"/>
      <c r="Y1505" s="1182"/>
      <c r="Z1505" s="1166"/>
      <c r="AA1505" s="1166"/>
      <c r="AB1505" s="1182"/>
      <c r="AC1505" s="294"/>
      <c r="AD1505" s="294"/>
      <c r="AE1505" s="294"/>
      <c r="AF1505" s="294"/>
      <c r="AG1505" s="294"/>
      <c r="AH1505" s="294"/>
      <c r="AI1505" s="294"/>
      <c r="AJ1505" s="294"/>
    </row>
    <row r="1506" spans="2:36" x14ac:dyDescent="0.25">
      <c r="B1506" s="294"/>
      <c r="C1506" s="294"/>
      <c r="D1506" s="294"/>
      <c r="E1506" s="294"/>
      <c r="F1506" s="294"/>
      <c r="G1506" s="294"/>
      <c r="H1506" s="294"/>
      <c r="I1506" s="294"/>
      <c r="J1506" s="294"/>
      <c r="L1506" s="295"/>
      <c r="M1506" s="294"/>
      <c r="R1506" s="326"/>
      <c r="S1506" s="326"/>
      <c r="T1506" s="294"/>
      <c r="U1506" s="294"/>
      <c r="V1506" s="294"/>
      <c r="W1506" s="294"/>
      <c r="X1506" s="1182"/>
      <c r="Y1506" s="1182"/>
      <c r="Z1506" s="1166"/>
      <c r="AA1506" s="1166"/>
      <c r="AB1506" s="1182"/>
      <c r="AC1506" s="294"/>
      <c r="AD1506" s="294"/>
      <c r="AE1506" s="294"/>
      <c r="AF1506" s="294"/>
      <c r="AG1506" s="294"/>
      <c r="AH1506" s="294"/>
      <c r="AI1506" s="294"/>
      <c r="AJ1506" s="294"/>
    </row>
    <row r="1507" spans="2:36" x14ac:dyDescent="0.25">
      <c r="B1507" s="294"/>
      <c r="C1507" s="294"/>
      <c r="D1507" s="294"/>
      <c r="E1507" s="294"/>
      <c r="F1507" s="294"/>
      <c r="G1507" s="294"/>
      <c r="H1507" s="294"/>
      <c r="I1507" s="294"/>
      <c r="J1507" s="294"/>
      <c r="L1507" s="295"/>
      <c r="M1507" s="294"/>
      <c r="R1507" s="326"/>
      <c r="S1507" s="326"/>
      <c r="T1507" s="294"/>
      <c r="U1507" s="294"/>
      <c r="V1507" s="294"/>
      <c r="W1507" s="294"/>
      <c r="X1507" s="1182"/>
      <c r="Y1507" s="1182"/>
      <c r="Z1507" s="1166"/>
      <c r="AA1507" s="1166"/>
      <c r="AB1507" s="1182"/>
      <c r="AC1507" s="294"/>
      <c r="AD1507" s="294"/>
      <c r="AE1507" s="294"/>
      <c r="AF1507" s="294"/>
      <c r="AG1507" s="294"/>
      <c r="AH1507" s="294"/>
      <c r="AI1507" s="294"/>
      <c r="AJ1507" s="294"/>
    </row>
    <row r="1508" spans="2:36" x14ac:dyDescent="0.25">
      <c r="B1508" s="294"/>
      <c r="C1508" s="294"/>
      <c r="D1508" s="294"/>
      <c r="E1508" s="294"/>
      <c r="F1508" s="294"/>
      <c r="G1508" s="294"/>
      <c r="H1508" s="294"/>
      <c r="I1508" s="294"/>
      <c r="J1508" s="294"/>
      <c r="L1508" s="295"/>
      <c r="M1508" s="294"/>
      <c r="R1508" s="326"/>
      <c r="S1508" s="326"/>
      <c r="T1508" s="294"/>
      <c r="U1508" s="294"/>
      <c r="V1508" s="294"/>
      <c r="W1508" s="294"/>
      <c r="X1508" s="1182"/>
      <c r="Y1508" s="1182"/>
      <c r="Z1508" s="1166"/>
      <c r="AA1508" s="1166"/>
      <c r="AB1508" s="1182"/>
      <c r="AC1508" s="294"/>
      <c r="AD1508" s="294"/>
      <c r="AE1508" s="294"/>
      <c r="AF1508" s="294"/>
      <c r="AG1508" s="294"/>
      <c r="AH1508" s="294"/>
      <c r="AI1508" s="294"/>
      <c r="AJ1508" s="294"/>
    </row>
    <row r="1509" spans="2:36" x14ac:dyDescent="0.25">
      <c r="B1509" s="294"/>
      <c r="C1509" s="294"/>
      <c r="D1509" s="294"/>
      <c r="E1509" s="294"/>
      <c r="F1509" s="294"/>
      <c r="G1509" s="294"/>
      <c r="H1509" s="294"/>
      <c r="I1509" s="294"/>
      <c r="J1509" s="294"/>
      <c r="L1509" s="295"/>
      <c r="M1509" s="294"/>
      <c r="R1509" s="326"/>
      <c r="S1509" s="326"/>
      <c r="T1509" s="294"/>
      <c r="U1509" s="294"/>
      <c r="V1509" s="294"/>
      <c r="W1509" s="294"/>
      <c r="X1509" s="1182"/>
      <c r="Y1509" s="1182"/>
      <c r="Z1509" s="1166"/>
      <c r="AA1509" s="1166"/>
      <c r="AB1509" s="1182"/>
      <c r="AC1509" s="294"/>
      <c r="AD1509" s="294"/>
      <c r="AE1509" s="294"/>
      <c r="AF1509" s="294"/>
      <c r="AG1509" s="294"/>
      <c r="AH1509" s="294"/>
      <c r="AI1509" s="294"/>
      <c r="AJ1509" s="294"/>
    </row>
    <row r="1510" spans="2:36" x14ac:dyDescent="0.25">
      <c r="B1510" s="294"/>
      <c r="C1510" s="294"/>
      <c r="D1510" s="294"/>
      <c r="E1510" s="294"/>
      <c r="F1510" s="294"/>
      <c r="G1510" s="294"/>
      <c r="H1510" s="294"/>
      <c r="I1510" s="294"/>
      <c r="J1510" s="294"/>
      <c r="L1510" s="295"/>
      <c r="M1510" s="294"/>
      <c r="R1510" s="326"/>
      <c r="S1510" s="326"/>
      <c r="T1510" s="294"/>
      <c r="U1510" s="294"/>
      <c r="V1510" s="294"/>
      <c r="W1510" s="294"/>
      <c r="X1510" s="1182"/>
      <c r="Y1510" s="1182"/>
      <c r="Z1510" s="1166"/>
      <c r="AA1510" s="1166"/>
      <c r="AB1510" s="1182"/>
      <c r="AC1510" s="294"/>
      <c r="AD1510" s="294"/>
      <c r="AE1510" s="294"/>
      <c r="AF1510" s="294"/>
      <c r="AG1510" s="294"/>
      <c r="AH1510" s="294"/>
      <c r="AI1510" s="294"/>
      <c r="AJ1510" s="294"/>
    </row>
    <row r="1511" spans="2:36" x14ac:dyDescent="0.25">
      <c r="B1511" s="294"/>
      <c r="C1511" s="294"/>
      <c r="D1511" s="294"/>
      <c r="E1511" s="294"/>
      <c r="F1511" s="294"/>
      <c r="G1511" s="294"/>
      <c r="H1511" s="294"/>
      <c r="I1511" s="294"/>
      <c r="J1511" s="294"/>
      <c r="L1511" s="295"/>
      <c r="M1511" s="294"/>
      <c r="R1511" s="326"/>
      <c r="S1511" s="326"/>
      <c r="T1511" s="294"/>
      <c r="U1511" s="294"/>
      <c r="V1511" s="294"/>
      <c r="W1511" s="294"/>
      <c r="X1511" s="1182"/>
      <c r="Y1511" s="1182"/>
      <c r="Z1511" s="1166"/>
      <c r="AA1511" s="1166"/>
      <c r="AB1511" s="1182"/>
      <c r="AC1511" s="294"/>
      <c r="AD1511" s="294"/>
      <c r="AE1511" s="294"/>
      <c r="AF1511" s="294"/>
      <c r="AG1511" s="294"/>
      <c r="AH1511" s="294"/>
      <c r="AI1511" s="294"/>
      <c r="AJ1511" s="294"/>
    </row>
    <row r="1512" spans="2:36" x14ac:dyDescent="0.25">
      <c r="B1512" s="294"/>
      <c r="C1512" s="294"/>
      <c r="D1512" s="294"/>
      <c r="E1512" s="294"/>
      <c r="F1512" s="294"/>
      <c r="G1512" s="294"/>
      <c r="H1512" s="294"/>
      <c r="I1512" s="294"/>
      <c r="J1512" s="294"/>
      <c r="L1512" s="295"/>
      <c r="M1512" s="294"/>
      <c r="R1512" s="326"/>
      <c r="S1512" s="326"/>
      <c r="T1512" s="294"/>
      <c r="U1512" s="294"/>
      <c r="V1512" s="294"/>
      <c r="W1512" s="294"/>
      <c r="X1512" s="1182"/>
      <c r="Y1512" s="1182"/>
      <c r="Z1512" s="1166"/>
      <c r="AA1512" s="1166"/>
      <c r="AB1512" s="1182"/>
      <c r="AC1512" s="294"/>
      <c r="AD1512" s="294"/>
      <c r="AE1512" s="294"/>
      <c r="AF1512" s="294"/>
      <c r="AG1512" s="294"/>
      <c r="AH1512" s="294"/>
      <c r="AI1512" s="294"/>
      <c r="AJ1512" s="294"/>
    </row>
    <row r="1513" spans="2:36" x14ac:dyDescent="0.25">
      <c r="B1513" s="294"/>
      <c r="C1513" s="294"/>
      <c r="D1513" s="294"/>
      <c r="E1513" s="294"/>
      <c r="F1513" s="294"/>
      <c r="G1513" s="294"/>
      <c r="H1513" s="294"/>
      <c r="I1513" s="294"/>
      <c r="J1513" s="294"/>
      <c r="L1513" s="295"/>
      <c r="M1513" s="294"/>
      <c r="R1513" s="326"/>
      <c r="S1513" s="326"/>
      <c r="T1513" s="294"/>
      <c r="U1513" s="294"/>
      <c r="V1513" s="294"/>
      <c r="W1513" s="294"/>
      <c r="X1513" s="1182"/>
      <c r="Y1513" s="1182"/>
      <c r="Z1513" s="1166"/>
      <c r="AA1513" s="1166"/>
      <c r="AB1513" s="1182"/>
      <c r="AC1513" s="294"/>
      <c r="AD1513" s="294"/>
      <c r="AE1513" s="294"/>
      <c r="AF1513" s="294"/>
      <c r="AG1513" s="294"/>
      <c r="AH1513" s="294"/>
      <c r="AI1513" s="294"/>
      <c r="AJ1513" s="294"/>
    </row>
    <row r="1514" spans="2:36" x14ac:dyDescent="0.25">
      <c r="B1514" s="294"/>
      <c r="C1514" s="294"/>
      <c r="D1514" s="294"/>
      <c r="E1514" s="294"/>
      <c r="F1514" s="294"/>
      <c r="G1514" s="294"/>
      <c r="H1514" s="294"/>
      <c r="I1514" s="294"/>
      <c r="J1514" s="294"/>
      <c r="L1514" s="295"/>
      <c r="M1514" s="294"/>
      <c r="R1514" s="326"/>
      <c r="S1514" s="326"/>
      <c r="T1514" s="294"/>
      <c r="U1514" s="294"/>
      <c r="V1514" s="294"/>
      <c r="W1514" s="294"/>
      <c r="X1514" s="1182"/>
      <c r="Y1514" s="1182"/>
      <c r="Z1514" s="1166"/>
      <c r="AA1514" s="1166"/>
      <c r="AB1514" s="1182"/>
      <c r="AC1514" s="294"/>
      <c r="AD1514" s="294"/>
      <c r="AE1514" s="294"/>
      <c r="AF1514" s="294"/>
      <c r="AG1514" s="294"/>
      <c r="AH1514" s="294"/>
      <c r="AI1514" s="294"/>
      <c r="AJ1514" s="294"/>
    </row>
    <row r="1515" spans="2:36" x14ac:dyDescent="0.25">
      <c r="B1515" s="294"/>
      <c r="C1515" s="294"/>
      <c r="D1515" s="294"/>
      <c r="E1515" s="294"/>
      <c r="F1515" s="294"/>
      <c r="G1515" s="294"/>
      <c r="H1515" s="294"/>
      <c r="I1515" s="294"/>
      <c r="J1515" s="294"/>
      <c r="L1515" s="295"/>
      <c r="M1515" s="294"/>
      <c r="R1515" s="326"/>
      <c r="S1515" s="326"/>
      <c r="T1515" s="294"/>
      <c r="U1515" s="294"/>
      <c r="V1515" s="294"/>
      <c r="W1515" s="294"/>
      <c r="X1515" s="1182"/>
      <c r="Y1515" s="1182"/>
      <c r="Z1515" s="1166"/>
      <c r="AA1515" s="1166"/>
      <c r="AB1515" s="1182"/>
      <c r="AC1515" s="294"/>
      <c r="AD1515" s="294"/>
      <c r="AE1515" s="294"/>
      <c r="AF1515" s="294"/>
      <c r="AG1515" s="294"/>
      <c r="AH1515" s="294"/>
      <c r="AI1515" s="294"/>
      <c r="AJ1515" s="294"/>
    </row>
    <row r="1516" spans="2:36" x14ac:dyDescent="0.25">
      <c r="B1516" s="294"/>
      <c r="C1516" s="294"/>
      <c r="D1516" s="294"/>
      <c r="E1516" s="294"/>
      <c r="F1516" s="294"/>
      <c r="G1516" s="294"/>
      <c r="H1516" s="294"/>
      <c r="I1516" s="294"/>
      <c r="J1516" s="294"/>
      <c r="L1516" s="295"/>
      <c r="M1516" s="294"/>
      <c r="R1516" s="326"/>
      <c r="S1516" s="326"/>
      <c r="T1516" s="294"/>
      <c r="U1516" s="294"/>
      <c r="V1516" s="294"/>
      <c r="W1516" s="294"/>
      <c r="X1516" s="1182"/>
      <c r="Y1516" s="1182"/>
      <c r="Z1516" s="1166"/>
      <c r="AA1516" s="1166"/>
      <c r="AB1516" s="1182"/>
      <c r="AC1516" s="294"/>
      <c r="AD1516" s="294"/>
      <c r="AE1516" s="294"/>
      <c r="AF1516" s="294"/>
      <c r="AG1516" s="294"/>
      <c r="AH1516" s="294"/>
      <c r="AI1516" s="294"/>
      <c r="AJ1516" s="294"/>
    </row>
    <row r="1517" spans="2:36" x14ac:dyDescent="0.25">
      <c r="B1517" s="294"/>
      <c r="C1517" s="294"/>
      <c r="D1517" s="294"/>
      <c r="E1517" s="294"/>
      <c r="F1517" s="294"/>
      <c r="G1517" s="294"/>
      <c r="H1517" s="294"/>
      <c r="I1517" s="294"/>
      <c r="J1517" s="294"/>
      <c r="L1517" s="295"/>
      <c r="M1517" s="294"/>
      <c r="R1517" s="326"/>
      <c r="S1517" s="326"/>
      <c r="T1517" s="294"/>
      <c r="U1517" s="294"/>
      <c r="V1517" s="294"/>
      <c r="W1517" s="294"/>
      <c r="X1517" s="1182"/>
      <c r="Y1517" s="1182"/>
      <c r="Z1517" s="1166"/>
      <c r="AA1517" s="1166"/>
      <c r="AB1517" s="1182"/>
      <c r="AC1517" s="294"/>
      <c r="AD1517" s="294"/>
      <c r="AE1517" s="294"/>
      <c r="AF1517" s="294"/>
      <c r="AG1517" s="294"/>
      <c r="AH1517" s="294"/>
      <c r="AI1517" s="294"/>
      <c r="AJ1517" s="294"/>
    </row>
    <row r="1518" spans="2:36" x14ac:dyDescent="0.25">
      <c r="B1518" s="294"/>
      <c r="C1518" s="294"/>
      <c r="D1518" s="294"/>
      <c r="E1518" s="294"/>
      <c r="F1518" s="294"/>
      <c r="G1518" s="294"/>
      <c r="H1518" s="294"/>
      <c r="I1518" s="294"/>
      <c r="J1518" s="294"/>
      <c r="L1518" s="295"/>
      <c r="M1518" s="294"/>
      <c r="R1518" s="326"/>
      <c r="S1518" s="326"/>
      <c r="T1518" s="294"/>
      <c r="U1518" s="294"/>
      <c r="V1518" s="294"/>
      <c r="W1518" s="294"/>
      <c r="X1518" s="1182"/>
      <c r="Y1518" s="1182"/>
      <c r="Z1518" s="1166"/>
      <c r="AA1518" s="1166"/>
      <c r="AB1518" s="1182"/>
      <c r="AC1518" s="294"/>
      <c r="AD1518" s="294"/>
      <c r="AE1518" s="294"/>
      <c r="AF1518" s="294"/>
      <c r="AG1518" s="294"/>
      <c r="AH1518" s="294"/>
      <c r="AI1518" s="294"/>
      <c r="AJ1518" s="294"/>
    </row>
    <row r="1519" spans="2:36" x14ac:dyDescent="0.25">
      <c r="B1519" s="294"/>
      <c r="C1519" s="294"/>
      <c r="D1519" s="294"/>
      <c r="E1519" s="294"/>
      <c r="F1519" s="294"/>
      <c r="G1519" s="294"/>
      <c r="H1519" s="294"/>
      <c r="I1519" s="294"/>
      <c r="J1519" s="294"/>
      <c r="L1519" s="295"/>
      <c r="M1519" s="294"/>
      <c r="R1519" s="326"/>
      <c r="S1519" s="326"/>
      <c r="T1519" s="294"/>
      <c r="U1519" s="294"/>
      <c r="V1519" s="294"/>
      <c r="W1519" s="294"/>
      <c r="X1519" s="1182"/>
      <c r="Y1519" s="1182"/>
      <c r="Z1519" s="1166"/>
      <c r="AA1519" s="1166"/>
      <c r="AB1519" s="1182"/>
      <c r="AC1519" s="294"/>
      <c r="AD1519" s="294"/>
      <c r="AE1519" s="294"/>
      <c r="AF1519" s="294"/>
      <c r="AG1519" s="294"/>
      <c r="AH1519" s="294"/>
      <c r="AI1519" s="294"/>
      <c r="AJ1519" s="294"/>
    </row>
    <row r="1520" spans="2:36" x14ac:dyDescent="0.25">
      <c r="B1520" s="294"/>
      <c r="C1520" s="294"/>
      <c r="D1520" s="294"/>
      <c r="E1520" s="294"/>
      <c r="F1520" s="294"/>
      <c r="G1520" s="294"/>
      <c r="H1520" s="294"/>
      <c r="I1520" s="294"/>
      <c r="J1520" s="294"/>
      <c r="L1520" s="295"/>
      <c r="M1520" s="294"/>
      <c r="R1520" s="326"/>
      <c r="S1520" s="326"/>
      <c r="T1520" s="294"/>
      <c r="U1520" s="294"/>
      <c r="V1520" s="294"/>
      <c r="W1520" s="294"/>
      <c r="X1520" s="1182"/>
      <c r="Y1520" s="1182"/>
      <c r="Z1520" s="1166"/>
      <c r="AA1520" s="1166"/>
      <c r="AB1520" s="1182"/>
      <c r="AC1520" s="294"/>
      <c r="AD1520" s="294"/>
      <c r="AE1520" s="294"/>
      <c r="AF1520" s="294"/>
      <c r="AG1520" s="294"/>
      <c r="AH1520" s="294"/>
      <c r="AI1520" s="294"/>
      <c r="AJ1520" s="294"/>
    </row>
    <row r="1521" spans="2:36" x14ac:dyDescent="0.25">
      <c r="B1521" s="294"/>
      <c r="C1521" s="294"/>
      <c r="D1521" s="294"/>
      <c r="E1521" s="294"/>
      <c r="F1521" s="294"/>
      <c r="G1521" s="294"/>
      <c r="H1521" s="294"/>
      <c r="I1521" s="294"/>
      <c r="J1521" s="294"/>
      <c r="L1521" s="295"/>
      <c r="M1521" s="294"/>
      <c r="R1521" s="326"/>
      <c r="S1521" s="326"/>
      <c r="T1521" s="294"/>
      <c r="U1521" s="294"/>
      <c r="V1521" s="294"/>
      <c r="W1521" s="294"/>
      <c r="X1521" s="1182"/>
      <c r="Y1521" s="1182"/>
      <c r="Z1521" s="1166"/>
      <c r="AA1521" s="1166"/>
      <c r="AB1521" s="1182"/>
      <c r="AC1521" s="294"/>
      <c r="AD1521" s="294"/>
      <c r="AE1521" s="294"/>
      <c r="AF1521" s="294"/>
      <c r="AG1521" s="294"/>
      <c r="AH1521" s="294"/>
      <c r="AI1521" s="294"/>
      <c r="AJ1521" s="294"/>
    </row>
    <row r="1522" spans="2:36" x14ac:dyDescent="0.25">
      <c r="B1522" s="294"/>
      <c r="C1522" s="294"/>
      <c r="D1522" s="294"/>
      <c r="E1522" s="294"/>
      <c r="F1522" s="294"/>
      <c r="G1522" s="294"/>
      <c r="H1522" s="294"/>
      <c r="I1522" s="294"/>
      <c r="J1522" s="294"/>
      <c r="L1522" s="295"/>
      <c r="M1522" s="294"/>
      <c r="R1522" s="326"/>
      <c r="S1522" s="326"/>
      <c r="T1522" s="294"/>
      <c r="U1522" s="294"/>
      <c r="V1522" s="294"/>
      <c r="W1522" s="294"/>
      <c r="X1522" s="1182"/>
      <c r="Y1522" s="1182"/>
      <c r="Z1522" s="1166"/>
      <c r="AA1522" s="1166"/>
      <c r="AB1522" s="1182"/>
      <c r="AC1522" s="294"/>
      <c r="AD1522" s="294"/>
      <c r="AE1522" s="294"/>
      <c r="AF1522" s="294"/>
      <c r="AG1522" s="294"/>
      <c r="AH1522" s="294"/>
      <c r="AI1522" s="294"/>
      <c r="AJ1522" s="294"/>
    </row>
    <row r="1523" spans="2:36" x14ac:dyDescent="0.25">
      <c r="B1523" s="294"/>
      <c r="C1523" s="294"/>
      <c r="D1523" s="294"/>
      <c r="E1523" s="294"/>
      <c r="F1523" s="294"/>
      <c r="G1523" s="294"/>
      <c r="H1523" s="294"/>
      <c r="I1523" s="294"/>
      <c r="J1523" s="294"/>
      <c r="L1523" s="295"/>
      <c r="M1523" s="294"/>
      <c r="R1523" s="326"/>
      <c r="S1523" s="326"/>
      <c r="T1523" s="294"/>
      <c r="U1523" s="294"/>
      <c r="V1523" s="294"/>
      <c r="W1523" s="294"/>
      <c r="X1523" s="1182"/>
      <c r="Y1523" s="1182"/>
      <c r="Z1523" s="1166"/>
      <c r="AA1523" s="1166"/>
      <c r="AB1523" s="1182"/>
      <c r="AC1523" s="294"/>
      <c r="AD1523" s="294"/>
      <c r="AE1523" s="294"/>
      <c r="AF1523" s="294"/>
      <c r="AG1523" s="294"/>
      <c r="AH1523" s="294"/>
      <c r="AI1523" s="294"/>
      <c r="AJ1523" s="294"/>
    </row>
    <row r="1524" spans="2:36" x14ac:dyDescent="0.25">
      <c r="B1524" s="294"/>
      <c r="C1524" s="294"/>
      <c r="D1524" s="294"/>
      <c r="E1524" s="294"/>
      <c r="F1524" s="294"/>
      <c r="G1524" s="294"/>
      <c r="H1524" s="294"/>
      <c r="I1524" s="294"/>
      <c r="J1524" s="294"/>
      <c r="L1524" s="295"/>
      <c r="M1524" s="294"/>
      <c r="R1524" s="326"/>
      <c r="S1524" s="326"/>
      <c r="T1524" s="294"/>
      <c r="U1524" s="294"/>
      <c r="V1524" s="294"/>
      <c r="W1524" s="294"/>
      <c r="X1524" s="1182"/>
      <c r="Y1524" s="1182"/>
      <c r="Z1524" s="1166"/>
      <c r="AA1524" s="1166"/>
      <c r="AB1524" s="1182"/>
      <c r="AC1524" s="294"/>
      <c r="AD1524" s="294"/>
      <c r="AE1524" s="294"/>
      <c r="AF1524" s="294"/>
      <c r="AG1524" s="294"/>
      <c r="AH1524" s="294"/>
      <c r="AI1524" s="294"/>
      <c r="AJ1524" s="294"/>
    </row>
    <row r="1525" spans="2:36" x14ac:dyDescent="0.25">
      <c r="B1525" s="294"/>
      <c r="C1525" s="294"/>
      <c r="D1525" s="294"/>
      <c r="E1525" s="294"/>
      <c r="F1525" s="294"/>
      <c r="G1525" s="294"/>
      <c r="H1525" s="294"/>
      <c r="I1525" s="294"/>
      <c r="J1525" s="294"/>
      <c r="L1525" s="295"/>
      <c r="M1525" s="294"/>
      <c r="R1525" s="326"/>
      <c r="S1525" s="326"/>
      <c r="T1525" s="294"/>
      <c r="U1525" s="294"/>
      <c r="V1525" s="294"/>
      <c r="W1525" s="294"/>
      <c r="X1525" s="1182"/>
      <c r="Y1525" s="1182"/>
      <c r="Z1525" s="1166"/>
      <c r="AA1525" s="1166"/>
      <c r="AB1525" s="1182"/>
      <c r="AC1525" s="294"/>
      <c r="AD1525" s="294"/>
      <c r="AE1525" s="294"/>
      <c r="AF1525" s="294"/>
      <c r="AG1525" s="294"/>
      <c r="AH1525" s="294"/>
      <c r="AI1525" s="294"/>
      <c r="AJ1525" s="294"/>
    </row>
    <row r="1526" spans="2:36" x14ac:dyDescent="0.25">
      <c r="B1526" s="294"/>
      <c r="C1526" s="294"/>
      <c r="D1526" s="294"/>
      <c r="E1526" s="294"/>
      <c r="F1526" s="294"/>
      <c r="G1526" s="294"/>
      <c r="H1526" s="294"/>
      <c r="I1526" s="294"/>
      <c r="J1526" s="294"/>
      <c r="L1526" s="295"/>
      <c r="M1526" s="294"/>
      <c r="R1526" s="326"/>
      <c r="S1526" s="326"/>
      <c r="T1526" s="294"/>
      <c r="U1526" s="294"/>
      <c r="V1526" s="294"/>
      <c r="W1526" s="294"/>
      <c r="X1526" s="1182"/>
      <c r="Y1526" s="1182"/>
      <c r="Z1526" s="1166"/>
      <c r="AA1526" s="1166"/>
      <c r="AB1526" s="1182"/>
      <c r="AC1526" s="294"/>
      <c r="AD1526" s="294"/>
      <c r="AE1526" s="294"/>
      <c r="AF1526" s="294"/>
      <c r="AG1526" s="294"/>
      <c r="AH1526" s="294"/>
      <c r="AI1526" s="294"/>
      <c r="AJ1526" s="294"/>
    </row>
    <row r="1527" spans="2:36" x14ac:dyDescent="0.25">
      <c r="B1527" s="294"/>
      <c r="C1527" s="294"/>
      <c r="D1527" s="294"/>
      <c r="E1527" s="294"/>
      <c r="F1527" s="294"/>
      <c r="G1527" s="294"/>
      <c r="H1527" s="294"/>
      <c r="I1527" s="294"/>
      <c r="J1527" s="294"/>
      <c r="L1527" s="295"/>
      <c r="M1527" s="294"/>
      <c r="R1527" s="326"/>
      <c r="S1527" s="326"/>
      <c r="T1527" s="294"/>
      <c r="U1527" s="294"/>
      <c r="V1527" s="294"/>
      <c r="W1527" s="294"/>
      <c r="X1527" s="1182"/>
      <c r="Y1527" s="1182"/>
      <c r="Z1527" s="1166"/>
      <c r="AA1527" s="1166"/>
      <c r="AB1527" s="1182"/>
      <c r="AC1527" s="294"/>
      <c r="AD1527" s="294"/>
      <c r="AE1527" s="294"/>
      <c r="AF1527" s="294"/>
      <c r="AG1527" s="294"/>
      <c r="AH1527" s="294"/>
      <c r="AI1527" s="294"/>
      <c r="AJ1527" s="294"/>
    </row>
    <row r="1528" spans="2:36" x14ac:dyDescent="0.25">
      <c r="B1528" s="294"/>
      <c r="C1528" s="294"/>
      <c r="D1528" s="294"/>
      <c r="E1528" s="294"/>
      <c r="F1528" s="294"/>
      <c r="G1528" s="294"/>
      <c r="H1528" s="294"/>
      <c r="I1528" s="294"/>
      <c r="J1528" s="294"/>
      <c r="L1528" s="295"/>
      <c r="M1528" s="294"/>
      <c r="R1528" s="326"/>
      <c r="S1528" s="326"/>
      <c r="T1528" s="294"/>
      <c r="U1528" s="294"/>
      <c r="V1528" s="294"/>
      <c r="W1528" s="294"/>
      <c r="X1528" s="1182"/>
      <c r="Y1528" s="1182"/>
      <c r="Z1528" s="1166"/>
      <c r="AA1528" s="1166"/>
      <c r="AB1528" s="1182"/>
      <c r="AC1528" s="294"/>
      <c r="AD1528" s="294"/>
      <c r="AE1528" s="294"/>
      <c r="AF1528" s="294"/>
      <c r="AG1528" s="294"/>
      <c r="AH1528" s="294"/>
      <c r="AI1528" s="294"/>
      <c r="AJ1528" s="294"/>
    </row>
    <row r="1529" spans="2:36" x14ac:dyDescent="0.25">
      <c r="B1529" s="294"/>
      <c r="C1529" s="294"/>
      <c r="D1529" s="294"/>
      <c r="E1529" s="294"/>
      <c r="F1529" s="294"/>
      <c r="G1529" s="294"/>
      <c r="H1529" s="294"/>
      <c r="I1529" s="294"/>
      <c r="J1529" s="294"/>
      <c r="L1529" s="295"/>
      <c r="M1529" s="294"/>
      <c r="R1529" s="326"/>
      <c r="S1529" s="326"/>
      <c r="T1529" s="294"/>
      <c r="U1529" s="294"/>
      <c r="V1529" s="294"/>
      <c r="W1529" s="294"/>
      <c r="X1529" s="1182"/>
      <c r="Y1529" s="1182"/>
      <c r="Z1529" s="1166"/>
      <c r="AA1529" s="1166"/>
      <c r="AB1529" s="1182"/>
      <c r="AC1529" s="294"/>
      <c r="AD1529" s="294"/>
      <c r="AE1529" s="294"/>
      <c r="AF1529" s="294"/>
      <c r="AG1529" s="294"/>
      <c r="AH1529" s="294"/>
      <c r="AI1529" s="294"/>
      <c r="AJ1529" s="294"/>
    </row>
    <row r="1530" spans="2:36" x14ac:dyDescent="0.25">
      <c r="B1530" s="294"/>
      <c r="C1530" s="294"/>
      <c r="D1530" s="294"/>
      <c r="E1530" s="294"/>
      <c r="F1530" s="294"/>
      <c r="G1530" s="294"/>
      <c r="H1530" s="294"/>
      <c r="I1530" s="294"/>
      <c r="J1530" s="294"/>
      <c r="L1530" s="295"/>
      <c r="M1530" s="294"/>
      <c r="R1530" s="326"/>
      <c r="S1530" s="326"/>
      <c r="T1530" s="294"/>
      <c r="U1530" s="294"/>
      <c r="V1530" s="294"/>
      <c r="W1530" s="294"/>
      <c r="X1530" s="1182"/>
      <c r="Y1530" s="1182"/>
      <c r="Z1530" s="1166"/>
      <c r="AA1530" s="1166"/>
      <c r="AB1530" s="1182"/>
      <c r="AC1530" s="294"/>
      <c r="AD1530" s="294"/>
      <c r="AE1530" s="294"/>
      <c r="AF1530" s="294"/>
      <c r="AG1530" s="294"/>
      <c r="AH1530" s="294"/>
      <c r="AI1530" s="294"/>
      <c r="AJ1530" s="294"/>
    </row>
    <row r="1531" spans="2:36" x14ac:dyDescent="0.25">
      <c r="B1531" s="294"/>
      <c r="C1531" s="294"/>
      <c r="D1531" s="294"/>
      <c r="E1531" s="294"/>
      <c r="F1531" s="294"/>
      <c r="G1531" s="294"/>
      <c r="H1531" s="294"/>
      <c r="I1531" s="294"/>
      <c r="J1531" s="294"/>
      <c r="L1531" s="295"/>
      <c r="M1531" s="294"/>
      <c r="R1531" s="326"/>
      <c r="S1531" s="326"/>
      <c r="T1531" s="294"/>
      <c r="U1531" s="294"/>
      <c r="V1531" s="294"/>
      <c r="W1531" s="294"/>
      <c r="X1531" s="1182"/>
      <c r="Y1531" s="1182"/>
      <c r="Z1531" s="1166"/>
      <c r="AA1531" s="1166"/>
      <c r="AB1531" s="1182"/>
      <c r="AC1531" s="294"/>
      <c r="AD1531" s="294"/>
      <c r="AE1531" s="294"/>
      <c r="AF1531" s="294"/>
      <c r="AG1531" s="294"/>
      <c r="AH1531" s="294"/>
      <c r="AI1531" s="294"/>
      <c r="AJ1531" s="294"/>
    </row>
    <row r="1532" spans="2:36" x14ac:dyDescent="0.25">
      <c r="B1532" s="294"/>
      <c r="C1532" s="294"/>
      <c r="D1532" s="294"/>
      <c r="E1532" s="294"/>
      <c r="F1532" s="294"/>
      <c r="G1532" s="294"/>
      <c r="H1532" s="294"/>
      <c r="I1532" s="294"/>
      <c r="J1532" s="294"/>
      <c r="L1532" s="295"/>
      <c r="M1532" s="294"/>
      <c r="R1532" s="326"/>
      <c r="S1532" s="326"/>
      <c r="T1532" s="294"/>
      <c r="U1532" s="294"/>
      <c r="V1532" s="294"/>
      <c r="W1532" s="294"/>
      <c r="X1532" s="1182"/>
      <c r="Y1532" s="1182"/>
      <c r="Z1532" s="1166"/>
      <c r="AA1532" s="1166"/>
      <c r="AB1532" s="1182"/>
      <c r="AC1532" s="294"/>
      <c r="AD1532" s="294"/>
      <c r="AE1532" s="294"/>
      <c r="AF1532" s="294"/>
      <c r="AG1532" s="294"/>
      <c r="AH1532" s="294"/>
      <c r="AI1532" s="294"/>
      <c r="AJ1532" s="294"/>
    </row>
    <row r="1533" spans="2:36" x14ac:dyDescent="0.25">
      <c r="B1533" s="294"/>
      <c r="C1533" s="294"/>
      <c r="D1533" s="294"/>
      <c r="E1533" s="294"/>
      <c r="F1533" s="294"/>
      <c r="G1533" s="294"/>
      <c r="H1533" s="294"/>
      <c r="I1533" s="294"/>
      <c r="J1533" s="294"/>
      <c r="L1533" s="295"/>
      <c r="M1533" s="294"/>
      <c r="R1533" s="326"/>
      <c r="S1533" s="326"/>
      <c r="T1533" s="294"/>
      <c r="U1533" s="294"/>
      <c r="V1533" s="294"/>
      <c r="W1533" s="294"/>
      <c r="X1533" s="1182"/>
      <c r="Y1533" s="1182"/>
      <c r="Z1533" s="1166"/>
      <c r="AA1533" s="1166"/>
      <c r="AB1533" s="1182"/>
      <c r="AC1533" s="294"/>
      <c r="AD1533" s="294"/>
      <c r="AE1533" s="294"/>
      <c r="AF1533" s="294"/>
      <c r="AG1533" s="294"/>
      <c r="AH1533" s="294"/>
      <c r="AI1533" s="294"/>
      <c r="AJ1533" s="294"/>
    </row>
    <row r="1534" spans="2:36" x14ac:dyDescent="0.25">
      <c r="B1534" s="294"/>
      <c r="C1534" s="294"/>
      <c r="D1534" s="294"/>
      <c r="E1534" s="294"/>
      <c r="F1534" s="294"/>
      <c r="G1534" s="294"/>
      <c r="H1534" s="294"/>
      <c r="I1534" s="294"/>
      <c r="J1534" s="294"/>
      <c r="L1534" s="295"/>
      <c r="M1534" s="294"/>
      <c r="R1534" s="326"/>
      <c r="S1534" s="326"/>
      <c r="T1534" s="294"/>
      <c r="U1534" s="294"/>
      <c r="V1534" s="294"/>
      <c r="W1534" s="294"/>
      <c r="X1534" s="1182"/>
      <c r="Y1534" s="1182"/>
      <c r="Z1534" s="1166"/>
      <c r="AA1534" s="1166"/>
      <c r="AB1534" s="1182"/>
      <c r="AC1534" s="294"/>
      <c r="AD1534" s="294"/>
      <c r="AE1534" s="294"/>
      <c r="AF1534" s="294"/>
      <c r="AG1534" s="294"/>
      <c r="AH1534" s="294"/>
      <c r="AI1534" s="294"/>
      <c r="AJ1534" s="294"/>
    </row>
    <row r="1535" spans="2:36" x14ac:dyDescent="0.25">
      <c r="B1535" s="294"/>
      <c r="C1535" s="294"/>
      <c r="D1535" s="294"/>
      <c r="E1535" s="294"/>
      <c r="F1535" s="294"/>
      <c r="G1535" s="294"/>
      <c r="H1535" s="294"/>
      <c r="I1535" s="294"/>
      <c r="J1535" s="294"/>
      <c r="L1535" s="295"/>
      <c r="M1535" s="294"/>
      <c r="R1535" s="326"/>
      <c r="S1535" s="326"/>
      <c r="T1535" s="294"/>
      <c r="U1535" s="294"/>
      <c r="V1535" s="294"/>
      <c r="W1535" s="294"/>
      <c r="X1535" s="1182"/>
      <c r="Y1535" s="1182"/>
      <c r="Z1535" s="1166"/>
      <c r="AA1535" s="1166"/>
      <c r="AB1535" s="1182"/>
      <c r="AC1535" s="294"/>
      <c r="AD1535" s="294"/>
      <c r="AE1535" s="294"/>
      <c r="AF1535" s="294"/>
      <c r="AG1535" s="294"/>
      <c r="AH1535" s="294"/>
      <c r="AI1535" s="294"/>
      <c r="AJ1535" s="294"/>
    </row>
    <row r="1536" spans="2:36" x14ac:dyDescent="0.25">
      <c r="B1536" s="294"/>
      <c r="C1536" s="294"/>
      <c r="D1536" s="294"/>
      <c r="E1536" s="294"/>
      <c r="F1536" s="294"/>
      <c r="G1536" s="294"/>
      <c r="H1536" s="294"/>
      <c r="I1536" s="294"/>
      <c r="J1536" s="294"/>
      <c r="L1536" s="295"/>
      <c r="M1536" s="294"/>
      <c r="R1536" s="326"/>
      <c r="S1536" s="326"/>
      <c r="T1536" s="294"/>
      <c r="U1536" s="294"/>
      <c r="V1536" s="294"/>
      <c r="W1536" s="294"/>
      <c r="X1536" s="1182"/>
      <c r="Y1536" s="1182"/>
      <c r="Z1536" s="1166"/>
      <c r="AA1536" s="1166"/>
      <c r="AB1536" s="1182"/>
      <c r="AC1536" s="294"/>
      <c r="AD1536" s="294"/>
      <c r="AE1536" s="294"/>
      <c r="AF1536" s="294"/>
      <c r="AG1536" s="294"/>
      <c r="AH1536" s="294"/>
      <c r="AI1536" s="294"/>
      <c r="AJ1536" s="294"/>
    </row>
    <row r="1537" spans="2:36" x14ac:dyDescent="0.25">
      <c r="B1537" s="294"/>
      <c r="C1537" s="294"/>
      <c r="D1537" s="294"/>
      <c r="E1537" s="294"/>
      <c r="F1537" s="294"/>
      <c r="G1537" s="294"/>
      <c r="H1537" s="294"/>
      <c r="I1537" s="294"/>
      <c r="J1537" s="294"/>
      <c r="L1537" s="295"/>
      <c r="M1537" s="294"/>
      <c r="R1537" s="326"/>
      <c r="S1537" s="326"/>
      <c r="T1537" s="294"/>
      <c r="U1537" s="294"/>
      <c r="V1537" s="294"/>
      <c r="W1537" s="294"/>
      <c r="X1537" s="1182"/>
      <c r="Y1537" s="1182"/>
      <c r="Z1537" s="1166"/>
      <c r="AA1537" s="1166"/>
      <c r="AB1537" s="1182"/>
      <c r="AC1537" s="294"/>
      <c r="AD1537" s="294"/>
      <c r="AE1537" s="294"/>
      <c r="AF1537" s="294"/>
      <c r="AG1537" s="294"/>
      <c r="AH1537" s="294"/>
      <c r="AI1537" s="294"/>
      <c r="AJ1537" s="294"/>
    </row>
    <row r="1538" spans="2:36" x14ac:dyDescent="0.25">
      <c r="B1538" s="294"/>
      <c r="C1538" s="294"/>
      <c r="D1538" s="294"/>
      <c r="E1538" s="294"/>
      <c r="F1538" s="294"/>
      <c r="G1538" s="294"/>
      <c r="H1538" s="294"/>
      <c r="I1538" s="294"/>
      <c r="J1538" s="294"/>
      <c r="L1538" s="295"/>
      <c r="M1538" s="294"/>
      <c r="R1538" s="326"/>
      <c r="S1538" s="326"/>
      <c r="T1538" s="294"/>
      <c r="U1538" s="294"/>
      <c r="V1538" s="294"/>
      <c r="W1538" s="294"/>
      <c r="X1538" s="1182"/>
      <c r="Y1538" s="1182"/>
      <c r="Z1538" s="1166"/>
      <c r="AA1538" s="1166"/>
      <c r="AB1538" s="1182"/>
      <c r="AC1538" s="294"/>
      <c r="AD1538" s="294"/>
      <c r="AE1538" s="294"/>
      <c r="AF1538" s="294"/>
      <c r="AG1538" s="294"/>
      <c r="AH1538" s="294"/>
      <c r="AI1538" s="294"/>
      <c r="AJ1538" s="294"/>
    </row>
    <row r="1539" spans="2:36" x14ac:dyDescent="0.25">
      <c r="B1539" s="294"/>
      <c r="C1539" s="294"/>
      <c r="D1539" s="294"/>
      <c r="E1539" s="294"/>
      <c r="F1539" s="294"/>
      <c r="G1539" s="294"/>
      <c r="H1539" s="294"/>
      <c r="I1539" s="294"/>
      <c r="J1539" s="294"/>
      <c r="L1539" s="295"/>
      <c r="M1539" s="294"/>
      <c r="R1539" s="326"/>
      <c r="S1539" s="326"/>
      <c r="T1539" s="294"/>
      <c r="U1539" s="294"/>
      <c r="V1539" s="294"/>
      <c r="W1539" s="294"/>
      <c r="X1539" s="1182"/>
      <c r="Y1539" s="1182"/>
      <c r="Z1539" s="1166"/>
      <c r="AA1539" s="1166"/>
      <c r="AB1539" s="1182"/>
      <c r="AC1539" s="294"/>
      <c r="AD1539" s="294"/>
      <c r="AE1539" s="294"/>
      <c r="AF1539" s="294"/>
      <c r="AG1539" s="294"/>
      <c r="AH1539" s="294"/>
      <c r="AI1539" s="294"/>
      <c r="AJ1539" s="294"/>
    </row>
    <row r="1540" spans="2:36" x14ac:dyDescent="0.25">
      <c r="B1540" s="294"/>
      <c r="C1540" s="294"/>
      <c r="D1540" s="294"/>
      <c r="E1540" s="294"/>
      <c r="F1540" s="294"/>
      <c r="G1540" s="294"/>
      <c r="H1540" s="294"/>
      <c r="I1540" s="294"/>
      <c r="J1540" s="294"/>
      <c r="L1540" s="295"/>
      <c r="M1540" s="294"/>
      <c r="R1540" s="326"/>
      <c r="S1540" s="326"/>
      <c r="T1540" s="294"/>
      <c r="U1540" s="294"/>
      <c r="V1540" s="294"/>
      <c r="W1540" s="294"/>
      <c r="X1540" s="1182"/>
      <c r="Y1540" s="1182"/>
      <c r="Z1540" s="1166"/>
      <c r="AA1540" s="1166"/>
      <c r="AB1540" s="1182"/>
      <c r="AC1540" s="294"/>
      <c r="AD1540" s="294"/>
      <c r="AE1540" s="294"/>
      <c r="AF1540" s="294"/>
      <c r="AG1540" s="294"/>
      <c r="AH1540" s="294"/>
      <c r="AI1540" s="294"/>
      <c r="AJ1540" s="294"/>
    </row>
    <row r="1541" spans="2:36" x14ac:dyDescent="0.25">
      <c r="B1541" s="294"/>
      <c r="C1541" s="294"/>
      <c r="D1541" s="294"/>
      <c r="E1541" s="294"/>
      <c r="F1541" s="294"/>
      <c r="G1541" s="294"/>
      <c r="H1541" s="294"/>
      <c r="I1541" s="294"/>
      <c r="J1541" s="294"/>
      <c r="L1541" s="295"/>
      <c r="M1541" s="294"/>
      <c r="R1541" s="326"/>
      <c r="S1541" s="326"/>
      <c r="T1541" s="294"/>
      <c r="U1541" s="294"/>
      <c r="V1541" s="294"/>
      <c r="W1541" s="294"/>
      <c r="X1541" s="1182"/>
      <c r="Y1541" s="1182"/>
      <c r="Z1541" s="1166"/>
      <c r="AA1541" s="1166"/>
      <c r="AB1541" s="1182"/>
      <c r="AC1541" s="294"/>
      <c r="AD1541" s="294"/>
      <c r="AE1541" s="294"/>
      <c r="AF1541" s="294"/>
      <c r="AG1541" s="294"/>
      <c r="AH1541" s="294"/>
      <c r="AI1541" s="294"/>
      <c r="AJ1541" s="294"/>
    </row>
    <row r="1542" spans="2:36" x14ac:dyDescent="0.25">
      <c r="B1542" s="294"/>
      <c r="C1542" s="294"/>
      <c r="D1542" s="294"/>
      <c r="E1542" s="294"/>
      <c r="F1542" s="294"/>
      <c r="G1542" s="294"/>
      <c r="H1542" s="294"/>
      <c r="I1542" s="294"/>
      <c r="J1542" s="294"/>
      <c r="L1542" s="295"/>
      <c r="M1542" s="294"/>
      <c r="R1542" s="326"/>
      <c r="S1542" s="326"/>
      <c r="T1542" s="294"/>
      <c r="U1542" s="294"/>
      <c r="V1542" s="294"/>
      <c r="W1542" s="294"/>
      <c r="X1542" s="1182"/>
      <c r="Y1542" s="1182"/>
      <c r="Z1542" s="1166"/>
      <c r="AA1542" s="1166"/>
      <c r="AB1542" s="1182"/>
      <c r="AC1542" s="294"/>
      <c r="AD1542" s="294"/>
      <c r="AE1542" s="294"/>
      <c r="AF1542" s="294"/>
      <c r="AG1542" s="294"/>
      <c r="AH1542" s="294"/>
      <c r="AI1542" s="294"/>
      <c r="AJ1542" s="294"/>
    </row>
    <row r="1543" spans="2:36" x14ac:dyDescent="0.25">
      <c r="B1543" s="294"/>
      <c r="C1543" s="294"/>
      <c r="D1543" s="294"/>
      <c r="E1543" s="294"/>
      <c r="F1543" s="294"/>
      <c r="G1543" s="294"/>
      <c r="H1543" s="294"/>
      <c r="I1543" s="294"/>
      <c r="J1543" s="294"/>
      <c r="L1543" s="295"/>
      <c r="M1543" s="294"/>
      <c r="R1543" s="326"/>
      <c r="S1543" s="326"/>
      <c r="T1543" s="294"/>
      <c r="U1543" s="294"/>
      <c r="V1543" s="294"/>
      <c r="W1543" s="294"/>
      <c r="X1543" s="1182"/>
      <c r="Y1543" s="1182"/>
      <c r="Z1543" s="1166"/>
      <c r="AA1543" s="1166"/>
      <c r="AB1543" s="1182"/>
      <c r="AC1543" s="294"/>
      <c r="AD1543" s="294"/>
      <c r="AE1543" s="294"/>
      <c r="AF1543" s="294"/>
      <c r="AG1543" s="294"/>
      <c r="AH1543" s="294"/>
      <c r="AI1543" s="294"/>
      <c r="AJ1543" s="294"/>
    </row>
    <row r="1544" spans="2:36" x14ac:dyDescent="0.25">
      <c r="B1544" s="294"/>
      <c r="C1544" s="294"/>
      <c r="D1544" s="294"/>
      <c r="E1544" s="294"/>
      <c r="F1544" s="294"/>
      <c r="G1544" s="294"/>
      <c r="H1544" s="294"/>
      <c r="I1544" s="294"/>
      <c r="J1544" s="294"/>
      <c r="L1544" s="295"/>
      <c r="M1544" s="294"/>
      <c r="R1544" s="326"/>
      <c r="S1544" s="326"/>
      <c r="T1544" s="294"/>
      <c r="U1544" s="294"/>
      <c r="V1544" s="294"/>
      <c r="W1544" s="294"/>
      <c r="X1544" s="1182"/>
      <c r="Y1544" s="1182"/>
      <c r="Z1544" s="1166"/>
      <c r="AA1544" s="1166"/>
      <c r="AB1544" s="1182"/>
      <c r="AC1544" s="294"/>
      <c r="AD1544" s="294"/>
      <c r="AE1544" s="294"/>
      <c r="AF1544" s="294"/>
      <c r="AG1544" s="294"/>
      <c r="AH1544" s="294"/>
      <c r="AI1544" s="294"/>
      <c r="AJ1544" s="294"/>
    </row>
    <row r="1545" spans="2:36" x14ac:dyDescent="0.25">
      <c r="B1545" s="294"/>
      <c r="C1545" s="294"/>
      <c r="D1545" s="294"/>
      <c r="E1545" s="294"/>
      <c r="F1545" s="294"/>
      <c r="G1545" s="294"/>
      <c r="H1545" s="294"/>
      <c r="I1545" s="294"/>
      <c r="J1545" s="294"/>
      <c r="L1545" s="295"/>
      <c r="M1545" s="294"/>
      <c r="R1545" s="326"/>
      <c r="S1545" s="326"/>
      <c r="T1545" s="294"/>
      <c r="U1545" s="294"/>
      <c r="V1545" s="294"/>
      <c r="W1545" s="294"/>
      <c r="X1545" s="1182"/>
      <c r="Y1545" s="1182"/>
      <c r="Z1545" s="1166"/>
      <c r="AA1545" s="1166"/>
      <c r="AB1545" s="1182"/>
      <c r="AC1545" s="294"/>
      <c r="AD1545" s="294"/>
      <c r="AE1545" s="294"/>
      <c r="AF1545" s="294"/>
      <c r="AG1545" s="294"/>
      <c r="AH1545" s="294"/>
      <c r="AI1545" s="294"/>
      <c r="AJ1545" s="294"/>
    </row>
    <row r="1546" spans="2:36" x14ac:dyDescent="0.25">
      <c r="B1546" s="294"/>
      <c r="C1546" s="294"/>
      <c r="D1546" s="294"/>
      <c r="E1546" s="294"/>
      <c r="F1546" s="294"/>
      <c r="G1546" s="294"/>
      <c r="H1546" s="294"/>
      <c r="I1546" s="294"/>
      <c r="J1546" s="294"/>
      <c r="L1546" s="295"/>
      <c r="M1546" s="294"/>
      <c r="R1546" s="326"/>
      <c r="S1546" s="326"/>
      <c r="T1546" s="294"/>
      <c r="U1546" s="294"/>
      <c r="V1546" s="294"/>
      <c r="W1546" s="294"/>
      <c r="X1546" s="1182"/>
      <c r="Y1546" s="1182"/>
      <c r="Z1546" s="1166"/>
      <c r="AA1546" s="1166"/>
      <c r="AB1546" s="1182"/>
      <c r="AC1546" s="294"/>
      <c r="AD1546" s="294"/>
      <c r="AE1546" s="294"/>
      <c r="AF1546" s="294"/>
      <c r="AG1546" s="294"/>
      <c r="AH1546" s="294"/>
      <c r="AI1546" s="294"/>
      <c r="AJ1546" s="294"/>
    </row>
    <row r="1547" spans="2:36" x14ac:dyDescent="0.25">
      <c r="B1547" s="294"/>
      <c r="C1547" s="294"/>
      <c r="D1547" s="294"/>
      <c r="E1547" s="294"/>
      <c r="F1547" s="294"/>
      <c r="G1547" s="294"/>
      <c r="H1547" s="294"/>
      <c r="I1547" s="294"/>
      <c r="J1547" s="294"/>
      <c r="L1547" s="295"/>
      <c r="M1547" s="294"/>
      <c r="R1547" s="326"/>
      <c r="S1547" s="326"/>
      <c r="T1547" s="294"/>
      <c r="U1547" s="294"/>
      <c r="V1547" s="294"/>
      <c r="W1547" s="294"/>
      <c r="X1547" s="1182"/>
      <c r="Y1547" s="1182"/>
      <c r="Z1547" s="1166"/>
      <c r="AA1547" s="1166"/>
      <c r="AB1547" s="1182"/>
      <c r="AC1547" s="294"/>
      <c r="AD1547" s="294"/>
      <c r="AE1547" s="294"/>
      <c r="AF1547" s="294"/>
      <c r="AG1547" s="294"/>
      <c r="AH1547" s="294"/>
      <c r="AI1547" s="294"/>
      <c r="AJ1547" s="294"/>
    </row>
    <row r="1548" spans="2:36" x14ac:dyDescent="0.25">
      <c r="B1548" s="294"/>
      <c r="C1548" s="294"/>
      <c r="D1548" s="294"/>
      <c r="E1548" s="294"/>
      <c r="F1548" s="294"/>
      <c r="G1548" s="294"/>
      <c r="H1548" s="294"/>
      <c r="I1548" s="294"/>
      <c r="J1548" s="294"/>
      <c r="L1548" s="295"/>
      <c r="M1548" s="294"/>
      <c r="R1548" s="326"/>
      <c r="S1548" s="326"/>
      <c r="T1548" s="294"/>
      <c r="U1548" s="294"/>
      <c r="V1548" s="294"/>
      <c r="W1548" s="294"/>
      <c r="X1548" s="1182"/>
      <c r="Y1548" s="1182"/>
      <c r="Z1548" s="1166"/>
      <c r="AA1548" s="1166"/>
      <c r="AB1548" s="1182"/>
      <c r="AC1548" s="294"/>
      <c r="AD1548" s="294"/>
      <c r="AE1548" s="294"/>
      <c r="AF1548" s="294"/>
      <c r="AG1548" s="294"/>
      <c r="AH1548" s="294"/>
      <c r="AI1548" s="294"/>
      <c r="AJ1548" s="294"/>
    </row>
    <row r="1549" spans="2:36" x14ac:dyDescent="0.25">
      <c r="B1549" s="294"/>
      <c r="C1549" s="294"/>
      <c r="D1549" s="294"/>
      <c r="E1549" s="294"/>
      <c r="F1549" s="294"/>
      <c r="G1549" s="294"/>
      <c r="H1549" s="294"/>
      <c r="I1549" s="294"/>
      <c r="J1549" s="294"/>
      <c r="L1549" s="295"/>
      <c r="M1549" s="294"/>
      <c r="R1549" s="326"/>
      <c r="S1549" s="326"/>
      <c r="T1549" s="294"/>
      <c r="U1549" s="294"/>
      <c r="V1549" s="294"/>
      <c r="W1549" s="294"/>
      <c r="X1549" s="1182"/>
      <c r="Y1549" s="1182"/>
      <c r="Z1549" s="1166"/>
      <c r="AA1549" s="1166"/>
      <c r="AB1549" s="1182"/>
      <c r="AC1549" s="294"/>
      <c r="AD1549" s="294"/>
      <c r="AE1549" s="294"/>
      <c r="AF1549" s="294"/>
      <c r="AG1549" s="294"/>
      <c r="AH1549" s="294"/>
      <c r="AI1549" s="294"/>
      <c r="AJ1549" s="294"/>
    </row>
    <row r="1550" spans="2:36" x14ac:dyDescent="0.25">
      <c r="B1550" s="294"/>
      <c r="C1550" s="294"/>
      <c r="D1550" s="294"/>
      <c r="E1550" s="294"/>
      <c r="F1550" s="294"/>
      <c r="G1550" s="294"/>
      <c r="H1550" s="294"/>
      <c r="I1550" s="294"/>
      <c r="J1550" s="294"/>
      <c r="L1550" s="295"/>
      <c r="M1550" s="294"/>
      <c r="R1550" s="326"/>
      <c r="S1550" s="326"/>
      <c r="T1550" s="294"/>
      <c r="U1550" s="294"/>
      <c r="V1550" s="294"/>
      <c r="W1550" s="294"/>
      <c r="X1550" s="1182"/>
      <c r="Y1550" s="1182"/>
      <c r="Z1550" s="1166"/>
      <c r="AA1550" s="1166"/>
      <c r="AB1550" s="1182"/>
      <c r="AC1550" s="294"/>
      <c r="AD1550" s="294"/>
      <c r="AE1550" s="294"/>
      <c r="AF1550" s="294"/>
      <c r="AG1550" s="294"/>
      <c r="AH1550" s="294"/>
      <c r="AI1550" s="294"/>
      <c r="AJ1550" s="294"/>
    </row>
    <row r="1551" spans="2:36" x14ac:dyDescent="0.25">
      <c r="B1551" s="294"/>
      <c r="C1551" s="294"/>
      <c r="D1551" s="294"/>
      <c r="E1551" s="294"/>
      <c r="F1551" s="294"/>
      <c r="G1551" s="294"/>
      <c r="H1551" s="294"/>
      <c r="I1551" s="294"/>
      <c r="J1551" s="294"/>
      <c r="L1551" s="295"/>
      <c r="M1551" s="294"/>
      <c r="R1551" s="326"/>
      <c r="S1551" s="326"/>
      <c r="T1551" s="294"/>
      <c r="U1551" s="294"/>
      <c r="V1551" s="294"/>
      <c r="W1551" s="294"/>
      <c r="X1551" s="1182"/>
      <c r="Y1551" s="1182"/>
      <c r="Z1551" s="1166"/>
      <c r="AA1551" s="1166"/>
      <c r="AB1551" s="1182"/>
      <c r="AC1551" s="294"/>
      <c r="AD1551" s="294"/>
      <c r="AE1551" s="294"/>
      <c r="AF1551" s="294"/>
      <c r="AG1551" s="294"/>
      <c r="AH1551" s="294"/>
      <c r="AI1551" s="294"/>
      <c r="AJ1551" s="294"/>
    </row>
    <row r="1552" spans="2:36" x14ac:dyDescent="0.25">
      <c r="B1552" s="294"/>
      <c r="C1552" s="294"/>
      <c r="D1552" s="294"/>
      <c r="E1552" s="294"/>
      <c r="F1552" s="294"/>
      <c r="G1552" s="294"/>
      <c r="H1552" s="294"/>
      <c r="I1552" s="294"/>
      <c r="J1552" s="294"/>
      <c r="L1552" s="295"/>
      <c r="M1552" s="294"/>
      <c r="R1552" s="326"/>
      <c r="S1552" s="326"/>
      <c r="T1552" s="294"/>
      <c r="U1552" s="294"/>
      <c r="V1552" s="294"/>
      <c r="W1552" s="294"/>
      <c r="X1552" s="1182"/>
      <c r="Y1552" s="1182"/>
      <c r="Z1552" s="1166"/>
      <c r="AA1552" s="1166"/>
      <c r="AB1552" s="1182"/>
      <c r="AC1552" s="294"/>
      <c r="AD1552" s="294"/>
      <c r="AE1552" s="294"/>
      <c r="AF1552" s="294"/>
      <c r="AG1552" s="294"/>
      <c r="AH1552" s="294"/>
      <c r="AI1552" s="294"/>
      <c r="AJ1552" s="294"/>
    </row>
    <row r="1553" spans="2:36" x14ac:dyDescent="0.25">
      <c r="B1553" s="294"/>
      <c r="C1553" s="294"/>
      <c r="D1553" s="294"/>
      <c r="E1553" s="294"/>
      <c r="F1553" s="294"/>
      <c r="G1553" s="294"/>
      <c r="H1553" s="294"/>
      <c r="I1553" s="294"/>
      <c r="J1553" s="294"/>
      <c r="L1553" s="295"/>
      <c r="M1553" s="294"/>
      <c r="R1553" s="326"/>
      <c r="S1553" s="326"/>
      <c r="T1553" s="294"/>
      <c r="U1553" s="294"/>
      <c r="V1553" s="294"/>
      <c r="W1553" s="294"/>
      <c r="X1553" s="1182"/>
      <c r="Y1553" s="1182"/>
      <c r="Z1553" s="1166"/>
      <c r="AA1553" s="1166"/>
      <c r="AB1553" s="1182"/>
      <c r="AC1553" s="294"/>
      <c r="AD1553" s="294"/>
      <c r="AE1553" s="294"/>
      <c r="AF1553" s="294"/>
      <c r="AG1553" s="294"/>
      <c r="AH1553" s="294"/>
      <c r="AI1553" s="294"/>
      <c r="AJ1553" s="294"/>
    </row>
    <row r="1554" spans="2:36" x14ac:dyDescent="0.25">
      <c r="B1554" s="294"/>
      <c r="C1554" s="294"/>
      <c r="D1554" s="294"/>
      <c r="E1554" s="294"/>
      <c r="F1554" s="294"/>
      <c r="G1554" s="294"/>
      <c r="H1554" s="294"/>
      <c r="I1554" s="294"/>
      <c r="J1554" s="294"/>
      <c r="L1554" s="295"/>
      <c r="M1554" s="294"/>
      <c r="R1554" s="326"/>
      <c r="S1554" s="326"/>
      <c r="T1554" s="294"/>
      <c r="U1554" s="294"/>
      <c r="V1554" s="294"/>
      <c r="W1554" s="294"/>
      <c r="X1554" s="1182"/>
      <c r="Y1554" s="1182"/>
      <c r="Z1554" s="1166"/>
      <c r="AA1554" s="1166"/>
      <c r="AB1554" s="1182"/>
      <c r="AC1554" s="294"/>
      <c r="AD1554" s="294"/>
      <c r="AE1554" s="294"/>
      <c r="AF1554" s="294"/>
      <c r="AG1554" s="294"/>
      <c r="AH1554" s="294"/>
      <c r="AI1554" s="294"/>
      <c r="AJ1554" s="294"/>
    </row>
    <row r="1555" spans="2:36" x14ac:dyDescent="0.25">
      <c r="B1555" s="294"/>
      <c r="C1555" s="294"/>
      <c r="D1555" s="294"/>
      <c r="E1555" s="294"/>
      <c r="F1555" s="294"/>
      <c r="G1555" s="294"/>
      <c r="H1555" s="294"/>
      <c r="I1555" s="294"/>
      <c r="J1555" s="294"/>
      <c r="L1555" s="295"/>
      <c r="M1555" s="294"/>
      <c r="R1555" s="326"/>
      <c r="S1555" s="326"/>
      <c r="T1555" s="294"/>
      <c r="U1555" s="294"/>
      <c r="V1555" s="294"/>
      <c r="W1555" s="294"/>
      <c r="X1555" s="1182"/>
      <c r="Y1555" s="1182"/>
      <c r="Z1555" s="1166"/>
      <c r="AA1555" s="1166"/>
      <c r="AB1555" s="1182"/>
      <c r="AC1555" s="294"/>
      <c r="AD1555" s="294"/>
      <c r="AE1555" s="294"/>
      <c r="AF1555" s="294"/>
      <c r="AG1555" s="294"/>
      <c r="AH1555" s="294"/>
      <c r="AI1555" s="294"/>
      <c r="AJ1555" s="294"/>
    </row>
    <row r="1556" spans="2:36" x14ac:dyDescent="0.25">
      <c r="B1556" s="294"/>
      <c r="C1556" s="294"/>
      <c r="D1556" s="294"/>
      <c r="E1556" s="294"/>
      <c r="F1556" s="294"/>
      <c r="G1556" s="294"/>
      <c r="H1556" s="294"/>
      <c r="I1556" s="294"/>
      <c r="J1556" s="294"/>
      <c r="L1556" s="295"/>
      <c r="M1556" s="294"/>
      <c r="R1556" s="326"/>
      <c r="S1556" s="326"/>
      <c r="T1556" s="294"/>
      <c r="U1556" s="294"/>
      <c r="V1556" s="294"/>
      <c r="W1556" s="294"/>
      <c r="X1556" s="1182"/>
      <c r="Y1556" s="1182"/>
      <c r="Z1556" s="1166"/>
      <c r="AA1556" s="1166"/>
      <c r="AB1556" s="1182"/>
      <c r="AC1556" s="294"/>
      <c r="AD1556" s="294"/>
      <c r="AE1556" s="294"/>
      <c r="AF1556" s="294"/>
      <c r="AG1556" s="294"/>
      <c r="AH1556" s="294"/>
      <c r="AI1556" s="294"/>
      <c r="AJ1556" s="294"/>
    </row>
    <row r="1557" spans="2:36" x14ac:dyDescent="0.25">
      <c r="B1557" s="294"/>
      <c r="C1557" s="294"/>
      <c r="D1557" s="294"/>
      <c r="E1557" s="294"/>
      <c r="F1557" s="294"/>
      <c r="G1557" s="294"/>
      <c r="H1557" s="294"/>
      <c r="I1557" s="294"/>
      <c r="J1557" s="294"/>
      <c r="L1557" s="295"/>
      <c r="M1557" s="294"/>
      <c r="R1557" s="326"/>
      <c r="S1557" s="326"/>
      <c r="T1557" s="294"/>
      <c r="U1557" s="294"/>
      <c r="V1557" s="294"/>
      <c r="W1557" s="294"/>
      <c r="X1557" s="1182"/>
      <c r="Y1557" s="1182"/>
      <c r="Z1557" s="1166"/>
      <c r="AA1557" s="1166"/>
      <c r="AB1557" s="1182"/>
      <c r="AC1557" s="294"/>
      <c r="AD1557" s="294"/>
      <c r="AE1557" s="294"/>
      <c r="AF1557" s="294"/>
      <c r="AG1557" s="294"/>
      <c r="AH1557" s="294"/>
      <c r="AI1557" s="294"/>
      <c r="AJ1557" s="294"/>
    </row>
    <row r="1558" spans="2:36" x14ac:dyDescent="0.25">
      <c r="B1558" s="294"/>
      <c r="C1558" s="294"/>
      <c r="D1558" s="294"/>
      <c r="E1558" s="294"/>
      <c r="F1558" s="294"/>
      <c r="G1558" s="294"/>
      <c r="H1558" s="294"/>
      <c r="I1558" s="294"/>
      <c r="J1558" s="294"/>
      <c r="L1558" s="295"/>
      <c r="M1558" s="294"/>
      <c r="R1558" s="326"/>
      <c r="S1558" s="326"/>
      <c r="T1558" s="294"/>
      <c r="U1558" s="294"/>
      <c r="V1558" s="294"/>
      <c r="W1558" s="294"/>
      <c r="X1558" s="1182"/>
      <c r="Y1558" s="1182"/>
      <c r="Z1558" s="1166"/>
      <c r="AA1558" s="1166"/>
      <c r="AB1558" s="1182"/>
      <c r="AC1558" s="294"/>
      <c r="AD1558" s="294"/>
      <c r="AE1558" s="294"/>
      <c r="AF1558" s="294"/>
      <c r="AG1558" s="294"/>
      <c r="AH1558" s="294"/>
      <c r="AI1558" s="294"/>
      <c r="AJ1558" s="294"/>
    </row>
    <row r="1559" spans="2:36" x14ac:dyDescent="0.25">
      <c r="B1559" s="294"/>
      <c r="C1559" s="294"/>
      <c r="D1559" s="294"/>
      <c r="E1559" s="294"/>
      <c r="F1559" s="294"/>
      <c r="G1559" s="294"/>
      <c r="H1559" s="294"/>
      <c r="I1559" s="294"/>
      <c r="J1559" s="294"/>
      <c r="L1559" s="295"/>
      <c r="M1559" s="294"/>
      <c r="R1559" s="326"/>
      <c r="S1559" s="326"/>
      <c r="T1559" s="294"/>
      <c r="U1559" s="294"/>
      <c r="V1559" s="294"/>
      <c r="W1559" s="294"/>
      <c r="X1559" s="1182"/>
      <c r="Y1559" s="1182"/>
      <c r="Z1559" s="1166"/>
      <c r="AA1559" s="1166"/>
      <c r="AB1559" s="1182"/>
      <c r="AC1559" s="294"/>
      <c r="AD1559" s="294"/>
      <c r="AE1559" s="294"/>
      <c r="AF1559" s="294"/>
      <c r="AG1559" s="294"/>
      <c r="AH1559" s="294"/>
      <c r="AI1559" s="294"/>
      <c r="AJ1559" s="294"/>
    </row>
    <row r="1560" spans="2:36" x14ac:dyDescent="0.25">
      <c r="B1560" s="294"/>
      <c r="C1560" s="294"/>
      <c r="D1560" s="294"/>
      <c r="E1560" s="294"/>
      <c r="F1560" s="294"/>
      <c r="G1560" s="294"/>
      <c r="H1560" s="294"/>
      <c r="I1560" s="294"/>
      <c r="J1560" s="294"/>
      <c r="L1560" s="295"/>
      <c r="M1560" s="294"/>
      <c r="R1560" s="326"/>
      <c r="S1560" s="326"/>
      <c r="T1560" s="294"/>
      <c r="U1560" s="294"/>
      <c r="V1560" s="294"/>
      <c r="W1560" s="294"/>
      <c r="X1560" s="1182"/>
      <c r="Y1560" s="1182"/>
      <c r="Z1560" s="1166"/>
      <c r="AA1560" s="1166"/>
      <c r="AB1560" s="1182"/>
      <c r="AC1560" s="294"/>
      <c r="AD1560" s="294"/>
      <c r="AE1560" s="294"/>
      <c r="AF1560" s="294"/>
      <c r="AG1560" s="294"/>
      <c r="AH1560" s="294"/>
      <c r="AI1560" s="294"/>
      <c r="AJ1560" s="294"/>
    </row>
    <row r="1561" spans="2:36" x14ac:dyDescent="0.25">
      <c r="B1561" s="294"/>
      <c r="C1561" s="294"/>
      <c r="D1561" s="294"/>
      <c r="E1561" s="294"/>
      <c r="F1561" s="294"/>
      <c r="G1561" s="294"/>
      <c r="H1561" s="294"/>
      <c r="I1561" s="294"/>
      <c r="J1561" s="294"/>
      <c r="L1561" s="295"/>
      <c r="M1561" s="294"/>
      <c r="R1561" s="326"/>
      <c r="S1561" s="326"/>
      <c r="T1561" s="294"/>
      <c r="U1561" s="294"/>
      <c r="V1561" s="294"/>
      <c r="W1561" s="294"/>
      <c r="X1561" s="1182"/>
      <c r="Y1561" s="1182"/>
      <c r="Z1561" s="1166"/>
      <c r="AA1561" s="1166"/>
      <c r="AB1561" s="1182"/>
      <c r="AC1561" s="294"/>
      <c r="AD1561" s="294"/>
      <c r="AE1561" s="294"/>
      <c r="AF1561" s="294"/>
      <c r="AG1561" s="294"/>
      <c r="AH1561" s="294"/>
      <c r="AI1561" s="294"/>
      <c r="AJ1561" s="294"/>
    </row>
    <row r="1562" spans="2:36" x14ac:dyDescent="0.25">
      <c r="B1562" s="294"/>
      <c r="C1562" s="294"/>
      <c r="D1562" s="294"/>
      <c r="E1562" s="294"/>
      <c r="F1562" s="294"/>
      <c r="G1562" s="294"/>
      <c r="H1562" s="294"/>
      <c r="I1562" s="294"/>
      <c r="J1562" s="294"/>
      <c r="L1562" s="295"/>
      <c r="M1562" s="294"/>
      <c r="R1562" s="326"/>
      <c r="S1562" s="326"/>
      <c r="T1562" s="294"/>
      <c r="U1562" s="294"/>
      <c r="V1562" s="294"/>
      <c r="W1562" s="294"/>
      <c r="X1562" s="1182"/>
      <c r="Y1562" s="1182"/>
      <c r="Z1562" s="1166"/>
      <c r="AA1562" s="1166"/>
      <c r="AB1562" s="1182"/>
      <c r="AC1562" s="294"/>
      <c r="AD1562" s="294"/>
      <c r="AE1562" s="294"/>
      <c r="AF1562" s="294"/>
      <c r="AG1562" s="294"/>
      <c r="AH1562" s="294"/>
      <c r="AI1562" s="294"/>
      <c r="AJ1562" s="294"/>
    </row>
    <row r="1563" spans="2:36" x14ac:dyDescent="0.25">
      <c r="B1563" s="294"/>
      <c r="C1563" s="294"/>
      <c r="D1563" s="294"/>
      <c r="E1563" s="294"/>
      <c r="F1563" s="294"/>
      <c r="G1563" s="294"/>
      <c r="H1563" s="294"/>
      <c r="I1563" s="294"/>
      <c r="J1563" s="294"/>
      <c r="L1563" s="295"/>
      <c r="M1563" s="294"/>
      <c r="R1563" s="326"/>
      <c r="S1563" s="326"/>
      <c r="T1563" s="294"/>
      <c r="U1563" s="294"/>
      <c r="V1563" s="294"/>
      <c r="W1563" s="294"/>
      <c r="X1563" s="1182"/>
      <c r="Y1563" s="1182"/>
      <c r="Z1563" s="1166"/>
      <c r="AA1563" s="1166"/>
      <c r="AB1563" s="1182"/>
      <c r="AC1563" s="294"/>
      <c r="AD1563" s="294"/>
      <c r="AE1563" s="294"/>
      <c r="AF1563" s="294"/>
      <c r="AG1563" s="294"/>
      <c r="AH1563" s="294"/>
      <c r="AI1563" s="294"/>
      <c r="AJ1563" s="294"/>
    </row>
    <row r="1564" spans="2:36" x14ac:dyDescent="0.25">
      <c r="B1564" s="294"/>
      <c r="C1564" s="294"/>
      <c r="D1564" s="294"/>
      <c r="E1564" s="294"/>
      <c r="F1564" s="294"/>
      <c r="G1564" s="294"/>
      <c r="H1564" s="294"/>
      <c r="I1564" s="294"/>
      <c r="J1564" s="294"/>
      <c r="L1564" s="295"/>
      <c r="M1564" s="294"/>
      <c r="R1564" s="326"/>
      <c r="S1564" s="326"/>
      <c r="T1564" s="294"/>
      <c r="U1564" s="294"/>
      <c r="V1564" s="294"/>
      <c r="W1564" s="294"/>
      <c r="X1564" s="1182"/>
      <c r="Y1564" s="1182"/>
      <c r="Z1564" s="1166"/>
      <c r="AA1564" s="1166"/>
      <c r="AB1564" s="1182"/>
      <c r="AC1564" s="294"/>
      <c r="AD1564" s="294"/>
      <c r="AE1564" s="294"/>
      <c r="AF1564" s="294"/>
      <c r="AG1564" s="294"/>
      <c r="AH1564" s="294"/>
      <c r="AI1564" s="294"/>
      <c r="AJ1564" s="294"/>
    </row>
    <row r="1565" spans="2:36" x14ac:dyDescent="0.25">
      <c r="B1565" s="294"/>
      <c r="C1565" s="294"/>
      <c r="D1565" s="294"/>
      <c r="E1565" s="294"/>
      <c r="F1565" s="294"/>
      <c r="G1565" s="294"/>
      <c r="H1565" s="294"/>
      <c r="I1565" s="294"/>
      <c r="J1565" s="294"/>
      <c r="L1565" s="295"/>
      <c r="M1565" s="294"/>
      <c r="R1565" s="326"/>
      <c r="S1565" s="326"/>
      <c r="T1565" s="294"/>
      <c r="U1565" s="294"/>
      <c r="V1565" s="294"/>
      <c r="W1565" s="294"/>
      <c r="X1565" s="1182"/>
      <c r="Y1565" s="1182"/>
      <c r="Z1565" s="1166"/>
      <c r="AA1565" s="1166"/>
      <c r="AB1565" s="1182"/>
      <c r="AC1565" s="294"/>
      <c r="AD1565" s="294"/>
      <c r="AE1565" s="294"/>
      <c r="AF1565" s="294"/>
      <c r="AG1565" s="294"/>
      <c r="AH1565" s="294"/>
      <c r="AI1565" s="294"/>
      <c r="AJ1565" s="294"/>
    </row>
    <row r="1566" spans="2:36" x14ac:dyDescent="0.25">
      <c r="B1566" s="294"/>
      <c r="C1566" s="294"/>
      <c r="D1566" s="294"/>
      <c r="E1566" s="294"/>
      <c r="F1566" s="294"/>
      <c r="G1566" s="294"/>
      <c r="H1566" s="294"/>
      <c r="I1566" s="294"/>
      <c r="J1566" s="294"/>
      <c r="L1566" s="295"/>
      <c r="M1566" s="294"/>
      <c r="R1566" s="326"/>
      <c r="S1566" s="326"/>
      <c r="T1566" s="294"/>
      <c r="U1566" s="294"/>
      <c r="V1566" s="294"/>
      <c r="W1566" s="294"/>
      <c r="X1566" s="1182"/>
      <c r="Y1566" s="1182"/>
      <c r="Z1566" s="1166"/>
      <c r="AA1566" s="1166"/>
      <c r="AB1566" s="1182"/>
      <c r="AC1566" s="294"/>
      <c r="AD1566" s="294"/>
      <c r="AE1566" s="294"/>
      <c r="AF1566" s="294"/>
      <c r="AG1566" s="294"/>
      <c r="AH1566" s="294"/>
      <c r="AI1566" s="294"/>
      <c r="AJ1566" s="294"/>
    </row>
    <row r="1567" spans="2:36" x14ac:dyDescent="0.25">
      <c r="B1567" s="294"/>
      <c r="C1567" s="294"/>
      <c r="D1567" s="294"/>
      <c r="E1567" s="294"/>
      <c r="F1567" s="294"/>
      <c r="G1567" s="294"/>
      <c r="H1567" s="294"/>
      <c r="I1567" s="294"/>
      <c r="J1567" s="294"/>
      <c r="L1567" s="295"/>
      <c r="M1567" s="294"/>
      <c r="R1567" s="326"/>
      <c r="S1567" s="326"/>
      <c r="T1567" s="294"/>
      <c r="U1567" s="294"/>
      <c r="V1567" s="294"/>
      <c r="W1567" s="294"/>
      <c r="X1567" s="1182"/>
      <c r="Y1567" s="1182"/>
      <c r="Z1567" s="1166"/>
      <c r="AA1567" s="1166"/>
      <c r="AB1567" s="1182"/>
      <c r="AC1567" s="294"/>
      <c r="AD1567" s="294"/>
      <c r="AE1567" s="294"/>
      <c r="AF1567" s="294"/>
      <c r="AG1567" s="294"/>
      <c r="AH1567" s="294"/>
      <c r="AI1567" s="294"/>
      <c r="AJ1567" s="294"/>
    </row>
    <row r="1568" spans="2:36" x14ac:dyDescent="0.25">
      <c r="B1568" s="294"/>
      <c r="C1568" s="294"/>
      <c r="D1568" s="294"/>
      <c r="E1568" s="294"/>
      <c r="F1568" s="294"/>
      <c r="G1568" s="294"/>
      <c r="H1568" s="294"/>
      <c r="I1568" s="294"/>
      <c r="J1568" s="294"/>
      <c r="L1568" s="295"/>
      <c r="M1568" s="294"/>
      <c r="R1568" s="326"/>
      <c r="S1568" s="326"/>
      <c r="T1568" s="294"/>
      <c r="U1568" s="294"/>
      <c r="V1568" s="294"/>
      <c r="W1568" s="294"/>
      <c r="X1568" s="1182"/>
      <c r="Y1568" s="1182"/>
      <c r="Z1568" s="1166"/>
      <c r="AA1568" s="1166"/>
      <c r="AB1568" s="1182"/>
      <c r="AC1568" s="294"/>
      <c r="AD1568" s="294"/>
      <c r="AE1568" s="294"/>
      <c r="AF1568" s="294"/>
      <c r="AG1568" s="294"/>
      <c r="AH1568" s="294"/>
      <c r="AI1568" s="294"/>
      <c r="AJ1568" s="294"/>
    </row>
    <row r="1569" spans="2:36" x14ac:dyDescent="0.25">
      <c r="B1569" s="294"/>
      <c r="C1569" s="294"/>
      <c r="D1569" s="294"/>
      <c r="E1569" s="294"/>
      <c r="F1569" s="294"/>
      <c r="G1569" s="294"/>
      <c r="H1569" s="294"/>
      <c r="I1569" s="294"/>
      <c r="J1569" s="294"/>
      <c r="L1569" s="295"/>
      <c r="M1569" s="294"/>
      <c r="R1569" s="326"/>
      <c r="S1569" s="326"/>
      <c r="T1569" s="294"/>
      <c r="U1569" s="294"/>
      <c r="V1569" s="294"/>
      <c r="W1569" s="294"/>
      <c r="X1569" s="1182"/>
      <c r="Y1569" s="1182"/>
      <c r="Z1569" s="1166"/>
      <c r="AA1569" s="1166"/>
      <c r="AB1569" s="1182"/>
      <c r="AC1569" s="294"/>
      <c r="AD1569" s="294"/>
      <c r="AE1569" s="294"/>
      <c r="AF1569" s="294"/>
      <c r="AG1569" s="294"/>
      <c r="AH1569" s="294"/>
      <c r="AI1569" s="294"/>
      <c r="AJ1569" s="294"/>
    </row>
    <row r="1570" spans="2:36" x14ac:dyDescent="0.25">
      <c r="B1570" s="294"/>
      <c r="C1570" s="294"/>
      <c r="D1570" s="294"/>
      <c r="E1570" s="294"/>
      <c r="F1570" s="294"/>
      <c r="G1570" s="294"/>
      <c r="H1570" s="294"/>
      <c r="I1570" s="294"/>
      <c r="J1570" s="294"/>
      <c r="L1570" s="295"/>
      <c r="M1570" s="294"/>
      <c r="R1570" s="326"/>
      <c r="S1570" s="326"/>
      <c r="T1570" s="294"/>
      <c r="U1570" s="294"/>
      <c r="V1570" s="294"/>
      <c r="W1570" s="294"/>
      <c r="X1570" s="1182"/>
      <c r="Y1570" s="1182"/>
      <c r="Z1570" s="1166"/>
      <c r="AA1570" s="1166"/>
      <c r="AB1570" s="1182"/>
      <c r="AC1570" s="294"/>
      <c r="AD1570" s="294"/>
      <c r="AE1570" s="294"/>
      <c r="AF1570" s="294"/>
      <c r="AG1570" s="294"/>
      <c r="AH1570" s="294"/>
      <c r="AI1570" s="294"/>
      <c r="AJ1570" s="294"/>
    </row>
    <row r="1571" spans="2:36" x14ac:dyDescent="0.25">
      <c r="B1571" s="294"/>
      <c r="C1571" s="294"/>
      <c r="D1571" s="294"/>
      <c r="E1571" s="294"/>
      <c r="F1571" s="294"/>
      <c r="G1571" s="294"/>
      <c r="H1571" s="294"/>
      <c r="I1571" s="294"/>
      <c r="J1571" s="294"/>
      <c r="L1571" s="295"/>
      <c r="M1571" s="294"/>
      <c r="R1571" s="326"/>
      <c r="S1571" s="326"/>
      <c r="T1571" s="294"/>
      <c r="U1571" s="294"/>
      <c r="V1571" s="294"/>
      <c r="W1571" s="294"/>
      <c r="X1571" s="1182"/>
      <c r="Y1571" s="1182"/>
      <c r="Z1571" s="1166"/>
      <c r="AA1571" s="1166"/>
      <c r="AB1571" s="1182"/>
      <c r="AC1571" s="294"/>
      <c r="AD1571" s="294"/>
      <c r="AE1571" s="294"/>
      <c r="AF1571" s="294"/>
      <c r="AG1571" s="294"/>
      <c r="AH1571" s="294"/>
      <c r="AI1571" s="294"/>
      <c r="AJ1571" s="294"/>
    </row>
    <row r="1572" spans="2:36" x14ac:dyDescent="0.25">
      <c r="B1572" s="294"/>
      <c r="C1572" s="294"/>
      <c r="D1572" s="294"/>
      <c r="E1572" s="294"/>
      <c r="F1572" s="294"/>
      <c r="G1572" s="294"/>
      <c r="H1572" s="294"/>
      <c r="I1572" s="294"/>
      <c r="J1572" s="294"/>
      <c r="L1572" s="295"/>
      <c r="M1572" s="294"/>
      <c r="R1572" s="326"/>
      <c r="S1572" s="326"/>
      <c r="T1572" s="294"/>
      <c r="U1572" s="294"/>
      <c r="V1572" s="294"/>
      <c r="W1572" s="294"/>
      <c r="X1572" s="1182"/>
      <c r="Y1572" s="1182"/>
      <c r="Z1572" s="1166"/>
      <c r="AA1572" s="1166"/>
      <c r="AB1572" s="1182"/>
      <c r="AC1572" s="294"/>
      <c r="AD1572" s="294"/>
      <c r="AE1572" s="294"/>
      <c r="AF1572" s="294"/>
      <c r="AG1572" s="294"/>
      <c r="AH1572" s="294"/>
      <c r="AI1572" s="294"/>
      <c r="AJ1572" s="294"/>
    </row>
    <row r="1573" spans="2:36" x14ac:dyDescent="0.25">
      <c r="B1573" s="294"/>
      <c r="C1573" s="294"/>
      <c r="D1573" s="294"/>
      <c r="E1573" s="294"/>
      <c r="F1573" s="294"/>
      <c r="G1573" s="294"/>
      <c r="H1573" s="294"/>
      <c r="I1573" s="294"/>
      <c r="J1573" s="294"/>
      <c r="L1573" s="295"/>
      <c r="M1573" s="294"/>
      <c r="R1573" s="326"/>
      <c r="S1573" s="326"/>
      <c r="T1573" s="294"/>
      <c r="U1573" s="294"/>
      <c r="V1573" s="294"/>
      <c r="W1573" s="294"/>
      <c r="X1573" s="1182"/>
      <c r="Y1573" s="1182"/>
      <c r="Z1573" s="1166"/>
      <c r="AA1573" s="1166"/>
      <c r="AB1573" s="1182"/>
      <c r="AC1573" s="294"/>
      <c r="AD1573" s="294"/>
      <c r="AE1573" s="294"/>
      <c r="AF1573" s="294"/>
      <c r="AG1573" s="294"/>
      <c r="AH1573" s="294"/>
      <c r="AI1573" s="294"/>
      <c r="AJ1573" s="294"/>
    </row>
    <row r="1574" spans="2:36" x14ac:dyDescent="0.25">
      <c r="B1574" s="294"/>
      <c r="C1574" s="294"/>
      <c r="D1574" s="294"/>
      <c r="E1574" s="294"/>
      <c r="F1574" s="294"/>
      <c r="G1574" s="294"/>
      <c r="H1574" s="294"/>
      <c r="I1574" s="294"/>
      <c r="J1574" s="294"/>
      <c r="L1574" s="295"/>
      <c r="M1574" s="294"/>
      <c r="R1574" s="326"/>
      <c r="S1574" s="326"/>
      <c r="T1574" s="294"/>
      <c r="U1574" s="294"/>
      <c r="V1574" s="294"/>
      <c r="W1574" s="294"/>
      <c r="X1574" s="1182"/>
      <c r="Y1574" s="1182"/>
      <c r="Z1574" s="1166"/>
      <c r="AA1574" s="1166"/>
      <c r="AB1574" s="1182"/>
      <c r="AC1574" s="294"/>
      <c r="AD1574" s="294"/>
      <c r="AE1574" s="294"/>
      <c r="AF1574" s="294"/>
      <c r="AG1574" s="294"/>
      <c r="AH1574" s="294"/>
      <c r="AI1574" s="294"/>
      <c r="AJ1574" s="294"/>
    </row>
    <row r="1575" spans="2:36" x14ac:dyDescent="0.25">
      <c r="B1575" s="294"/>
      <c r="C1575" s="294"/>
      <c r="D1575" s="294"/>
      <c r="E1575" s="294"/>
      <c r="F1575" s="294"/>
      <c r="G1575" s="294"/>
      <c r="H1575" s="294"/>
      <c r="I1575" s="294"/>
      <c r="J1575" s="294"/>
      <c r="L1575" s="295"/>
      <c r="M1575" s="294"/>
      <c r="R1575" s="326"/>
      <c r="S1575" s="326"/>
      <c r="T1575" s="294"/>
      <c r="U1575" s="294"/>
      <c r="V1575" s="294"/>
      <c r="W1575" s="294"/>
      <c r="X1575" s="1182"/>
      <c r="Y1575" s="1182"/>
      <c r="Z1575" s="1166"/>
      <c r="AA1575" s="1166"/>
      <c r="AB1575" s="1182"/>
      <c r="AC1575" s="294"/>
      <c r="AD1575" s="294"/>
      <c r="AE1575" s="294"/>
      <c r="AF1575" s="294"/>
      <c r="AG1575" s="294"/>
      <c r="AH1575" s="294"/>
      <c r="AI1575" s="294"/>
      <c r="AJ1575" s="294"/>
    </row>
    <row r="1576" spans="2:36" x14ac:dyDescent="0.25">
      <c r="B1576" s="294"/>
      <c r="C1576" s="294"/>
      <c r="D1576" s="294"/>
      <c r="E1576" s="294"/>
      <c r="F1576" s="294"/>
      <c r="G1576" s="294"/>
      <c r="H1576" s="294"/>
      <c r="I1576" s="294"/>
      <c r="J1576" s="294"/>
      <c r="L1576" s="295"/>
      <c r="M1576" s="294"/>
      <c r="R1576" s="326"/>
      <c r="S1576" s="326"/>
      <c r="T1576" s="294"/>
      <c r="U1576" s="294"/>
      <c r="V1576" s="294"/>
      <c r="W1576" s="294"/>
      <c r="X1576" s="1182"/>
      <c r="Y1576" s="1182"/>
      <c r="Z1576" s="1166"/>
      <c r="AA1576" s="1166"/>
      <c r="AB1576" s="1182"/>
      <c r="AC1576" s="294"/>
      <c r="AD1576" s="294"/>
      <c r="AE1576" s="294"/>
      <c r="AF1576" s="294"/>
      <c r="AG1576" s="294"/>
      <c r="AH1576" s="294"/>
      <c r="AI1576" s="294"/>
      <c r="AJ1576" s="294"/>
    </row>
    <row r="1577" spans="2:36" x14ac:dyDescent="0.25">
      <c r="B1577" s="294"/>
      <c r="C1577" s="294"/>
      <c r="D1577" s="294"/>
      <c r="E1577" s="294"/>
      <c r="F1577" s="294"/>
      <c r="G1577" s="294"/>
      <c r="H1577" s="294"/>
      <c r="I1577" s="294"/>
      <c r="J1577" s="294"/>
      <c r="L1577" s="295"/>
      <c r="M1577" s="294"/>
      <c r="R1577" s="326"/>
      <c r="S1577" s="326"/>
      <c r="T1577" s="294"/>
      <c r="U1577" s="294"/>
      <c r="V1577" s="294"/>
      <c r="W1577" s="294"/>
      <c r="X1577" s="1182"/>
      <c r="Y1577" s="1182"/>
      <c r="Z1577" s="1166"/>
      <c r="AA1577" s="1166"/>
      <c r="AB1577" s="1182"/>
      <c r="AC1577" s="294"/>
      <c r="AD1577" s="294"/>
      <c r="AE1577" s="294"/>
      <c r="AF1577" s="294"/>
      <c r="AG1577" s="294"/>
      <c r="AH1577" s="294"/>
      <c r="AI1577" s="294"/>
      <c r="AJ1577" s="294"/>
    </row>
    <row r="1578" spans="2:36" x14ac:dyDescent="0.25">
      <c r="B1578" s="294"/>
      <c r="C1578" s="294"/>
      <c r="D1578" s="294"/>
      <c r="E1578" s="294"/>
      <c r="F1578" s="294"/>
      <c r="G1578" s="294"/>
      <c r="H1578" s="294"/>
      <c r="I1578" s="294"/>
      <c r="J1578" s="294"/>
      <c r="L1578" s="295"/>
      <c r="M1578" s="294"/>
      <c r="R1578" s="326"/>
      <c r="S1578" s="326"/>
      <c r="T1578" s="294"/>
      <c r="U1578" s="294"/>
      <c r="V1578" s="294"/>
      <c r="W1578" s="294"/>
      <c r="X1578" s="1182"/>
      <c r="Y1578" s="1182"/>
      <c r="Z1578" s="1166"/>
      <c r="AA1578" s="1166"/>
      <c r="AB1578" s="1182"/>
      <c r="AC1578" s="294"/>
      <c r="AD1578" s="294"/>
      <c r="AE1578" s="294"/>
      <c r="AF1578" s="294"/>
      <c r="AG1578" s="294"/>
      <c r="AH1578" s="294"/>
      <c r="AI1578" s="294"/>
      <c r="AJ1578" s="294"/>
    </row>
    <row r="1579" spans="2:36" x14ac:dyDescent="0.25">
      <c r="B1579" s="294"/>
      <c r="C1579" s="294"/>
      <c r="D1579" s="294"/>
      <c r="E1579" s="294"/>
      <c r="F1579" s="294"/>
      <c r="G1579" s="294"/>
      <c r="H1579" s="294"/>
      <c r="I1579" s="294"/>
      <c r="J1579" s="294"/>
      <c r="L1579" s="295"/>
      <c r="M1579" s="294"/>
      <c r="R1579" s="326"/>
      <c r="S1579" s="326"/>
      <c r="T1579" s="294"/>
      <c r="U1579" s="294"/>
      <c r="V1579" s="294"/>
      <c r="W1579" s="294"/>
      <c r="X1579" s="1182"/>
      <c r="Y1579" s="1182"/>
      <c r="Z1579" s="1166"/>
      <c r="AA1579" s="1166"/>
      <c r="AB1579" s="1182"/>
      <c r="AC1579" s="294"/>
      <c r="AD1579" s="294"/>
      <c r="AE1579" s="294"/>
      <c r="AF1579" s="294"/>
      <c r="AG1579" s="294"/>
      <c r="AH1579" s="294"/>
      <c r="AI1579" s="294"/>
      <c r="AJ1579" s="294"/>
    </row>
    <row r="1580" spans="2:36" x14ac:dyDescent="0.25">
      <c r="B1580" s="294"/>
      <c r="C1580" s="294"/>
      <c r="D1580" s="294"/>
      <c r="E1580" s="294"/>
      <c r="F1580" s="294"/>
      <c r="G1580" s="294"/>
      <c r="H1580" s="294"/>
      <c r="I1580" s="294"/>
      <c r="J1580" s="294"/>
      <c r="L1580" s="295"/>
      <c r="M1580" s="294"/>
      <c r="R1580" s="326"/>
      <c r="S1580" s="326"/>
      <c r="T1580" s="294"/>
      <c r="U1580" s="294"/>
      <c r="V1580" s="294"/>
      <c r="W1580" s="294"/>
      <c r="X1580" s="1182"/>
      <c r="Y1580" s="1182"/>
      <c r="Z1580" s="1166"/>
      <c r="AA1580" s="1166"/>
      <c r="AB1580" s="1182"/>
      <c r="AC1580" s="294"/>
      <c r="AD1580" s="294"/>
      <c r="AE1580" s="294"/>
      <c r="AF1580" s="294"/>
      <c r="AG1580" s="294"/>
      <c r="AH1580" s="294"/>
      <c r="AI1580" s="294"/>
      <c r="AJ1580" s="294"/>
    </row>
    <row r="1581" spans="2:36" x14ac:dyDescent="0.25">
      <c r="B1581" s="294"/>
      <c r="C1581" s="294"/>
      <c r="D1581" s="294"/>
      <c r="E1581" s="294"/>
      <c r="F1581" s="294"/>
      <c r="G1581" s="294"/>
      <c r="H1581" s="294"/>
      <c r="I1581" s="294"/>
      <c r="J1581" s="294"/>
      <c r="L1581" s="295"/>
      <c r="M1581" s="294"/>
      <c r="R1581" s="326"/>
      <c r="S1581" s="326"/>
      <c r="T1581" s="294"/>
      <c r="U1581" s="294"/>
      <c r="V1581" s="294"/>
      <c r="W1581" s="294"/>
      <c r="X1581" s="1182"/>
      <c r="Y1581" s="1182"/>
      <c r="Z1581" s="1166"/>
      <c r="AA1581" s="1166"/>
      <c r="AB1581" s="1182"/>
      <c r="AC1581" s="294"/>
      <c r="AD1581" s="294"/>
      <c r="AE1581" s="294"/>
      <c r="AF1581" s="294"/>
      <c r="AG1581" s="294"/>
      <c r="AH1581" s="294"/>
      <c r="AI1581" s="294"/>
      <c r="AJ1581" s="294"/>
    </row>
    <row r="1582" spans="2:36" x14ac:dyDescent="0.25">
      <c r="B1582" s="294"/>
      <c r="C1582" s="294"/>
      <c r="D1582" s="294"/>
      <c r="E1582" s="294"/>
      <c r="F1582" s="294"/>
      <c r="G1582" s="294"/>
      <c r="H1582" s="294"/>
      <c r="I1582" s="294"/>
      <c r="J1582" s="294"/>
      <c r="L1582" s="295"/>
      <c r="M1582" s="294"/>
      <c r="R1582" s="326"/>
      <c r="S1582" s="326"/>
      <c r="T1582" s="294"/>
      <c r="U1582" s="294"/>
      <c r="V1582" s="294"/>
      <c r="W1582" s="294"/>
      <c r="X1582" s="1182"/>
      <c r="Y1582" s="1182"/>
      <c r="Z1582" s="1166"/>
      <c r="AA1582" s="1166"/>
      <c r="AB1582" s="1182"/>
      <c r="AC1582" s="294"/>
      <c r="AD1582" s="294"/>
      <c r="AE1582" s="294"/>
      <c r="AF1582" s="294"/>
      <c r="AG1582" s="294"/>
      <c r="AH1582" s="294"/>
      <c r="AI1582" s="294"/>
      <c r="AJ1582" s="294"/>
    </row>
    <row r="1583" spans="2:36" x14ac:dyDescent="0.25">
      <c r="B1583" s="294"/>
      <c r="C1583" s="294"/>
      <c r="D1583" s="294"/>
      <c r="E1583" s="294"/>
      <c r="F1583" s="294"/>
      <c r="G1583" s="294"/>
      <c r="H1583" s="294"/>
      <c r="I1583" s="294"/>
      <c r="J1583" s="294"/>
      <c r="L1583" s="295"/>
      <c r="M1583" s="294"/>
      <c r="R1583" s="326"/>
      <c r="S1583" s="326"/>
      <c r="T1583" s="294"/>
      <c r="U1583" s="294"/>
      <c r="V1583" s="294"/>
      <c r="W1583" s="294"/>
      <c r="X1583" s="1182"/>
      <c r="Y1583" s="1182"/>
      <c r="Z1583" s="1166"/>
      <c r="AA1583" s="1166"/>
      <c r="AB1583" s="1182"/>
      <c r="AC1583" s="294"/>
      <c r="AD1583" s="294"/>
      <c r="AE1583" s="294"/>
      <c r="AF1583" s="294"/>
      <c r="AG1583" s="294"/>
      <c r="AH1583" s="294"/>
      <c r="AI1583" s="294"/>
      <c r="AJ1583" s="294"/>
    </row>
    <row r="1584" spans="2:36" x14ac:dyDescent="0.25">
      <c r="B1584" s="294"/>
      <c r="C1584" s="294"/>
      <c r="D1584" s="294"/>
      <c r="E1584" s="294"/>
      <c r="F1584" s="294"/>
      <c r="G1584" s="294"/>
      <c r="H1584" s="294"/>
      <c r="I1584" s="294"/>
      <c r="J1584" s="294"/>
      <c r="L1584" s="295"/>
      <c r="M1584" s="294"/>
      <c r="R1584" s="326"/>
      <c r="S1584" s="326"/>
      <c r="T1584" s="294"/>
      <c r="U1584" s="294"/>
      <c r="V1584" s="294"/>
      <c r="W1584" s="294"/>
      <c r="X1584" s="1182"/>
      <c r="Y1584" s="1182"/>
      <c r="Z1584" s="1166"/>
      <c r="AA1584" s="1166"/>
      <c r="AB1584" s="1182"/>
      <c r="AC1584" s="294"/>
      <c r="AD1584" s="294"/>
      <c r="AE1584" s="294"/>
      <c r="AF1584" s="294"/>
      <c r="AG1584" s="294"/>
      <c r="AH1584" s="294"/>
      <c r="AI1584" s="294"/>
      <c r="AJ1584" s="294"/>
    </row>
    <row r="1585" spans="2:36" x14ac:dyDescent="0.25">
      <c r="B1585" s="294"/>
      <c r="C1585" s="294"/>
      <c r="D1585" s="294"/>
      <c r="E1585" s="294"/>
      <c r="F1585" s="294"/>
      <c r="G1585" s="294"/>
      <c r="H1585" s="294"/>
      <c r="I1585" s="294"/>
      <c r="J1585" s="294"/>
      <c r="L1585" s="295"/>
      <c r="M1585" s="294"/>
      <c r="R1585" s="326"/>
      <c r="S1585" s="326"/>
      <c r="T1585" s="294"/>
      <c r="U1585" s="294"/>
      <c r="V1585" s="294"/>
      <c r="W1585" s="294"/>
      <c r="X1585" s="1182"/>
      <c r="Y1585" s="1182"/>
      <c r="Z1585" s="1166"/>
      <c r="AA1585" s="1166"/>
      <c r="AB1585" s="1182"/>
      <c r="AC1585" s="294"/>
      <c r="AD1585" s="294"/>
      <c r="AE1585" s="294"/>
      <c r="AF1585" s="294"/>
      <c r="AG1585" s="294"/>
      <c r="AH1585" s="294"/>
      <c r="AI1585" s="294"/>
      <c r="AJ1585" s="294"/>
    </row>
    <row r="1586" spans="2:36" x14ac:dyDescent="0.25">
      <c r="B1586" s="294"/>
      <c r="C1586" s="294"/>
      <c r="D1586" s="294"/>
      <c r="E1586" s="294"/>
      <c r="F1586" s="294"/>
      <c r="G1586" s="294"/>
      <c r="H1586" s="294"/>
      <c r="I1586" s="294"/>
      <c r="J1586" s="294"/>
      <c r="L1586" s="295"/>
      <c r="M1586" s="294"/>
      <c r="R1586" s="326"/>
      <c r="S1586" s="326"/>
      <c r="T1586" s="294"/>
      <c r="U1586" s="294"/>
      <c r="V1586" s="294"/>
      <c r="W1586" s="294"/>
      <c r="X1586" s="1182"/>
      <c r="Y1586" s="1182"/>
      <c r="Z1586" s="1166"/>
      <c r="AA1586" s="1166"/>
      <c r="AB1586" s="1182"/>
      <c r="AC1586" s="294"/>
      <c r="AD1586" s="294"/>
      <c r="AE1586" s="294"/>
      <c r="AF1586" s="294"/>
      <c r="AG1586" s="294"/>
      <c r="AH1586" s="294"/>
      <c r="AI1586" s="294"/>
      <c r="AJ1586" s="294"/>
    </row>
    <row r="1587" spans="2:36" x14ac:dyDescent="0.25">
      <c r="B1587" s="294"/>
      <c r="C1587" s="294"/>
      <c r="D1587" s="294"/>
      <c r="E1587" s="294"/>
      <c r="F1587" s="294"/>
      <c r="G1587" s="294"/>
      <c r="H1587" s="294"/>
      <c r="I1587" s="294"/>
      <c r="J1587" s="294"/>
      <c r="L1587" s="295"/>
      <c r="M1587" s="294"/>
      <c r="R1587" s="326"/>
      <c r="S1587" s="326"/>
      <c r="T1587" s="294"/>
      <c r="U1587" s="294"/>
      <c r="V1587" s="294"/>
      <c r="W1587" s="294"/>
      <c r="X1587" s="1182"/>
      <c r="Y1587" s="1182"/>
      <c r="Z1587" s="1166"/>
      <c r="AA1587" s="1166"/>
      <c r="AB1587" s="1182"/>
      <c r="AC1587" s="294"/>
      <c r="AD1587" s="294"/>
      <c r="AE1587" s="294"/>
      <c r="AF1587" s="294"/>
      <c r="AG1587" s="294"/>
      <c r="AH1587" s="294"/>
      <c r="AI1587" s="294"/>
      <c r="AJ1587" s="294"/>
    </row>
    <row r="1588" spans="2:36" x14ac:dyDescent="0.25">
      <c r="B1588" s="294"/>
      <c r="C1588" s="294"/>
      <c r="D1588" s="294"/>
      <c r="E1588" s="294"/>
      <c r="F1588" s="294"/>
      <c r="G1588" s="294"/>
      <c r="H1588" s="294"/>
      <c r="I1588" s="294"/>
      <c r="J1588" s="294"/>
      <c r="L1588" s="295"/>
      <c r="M1588" s="294"/>
      <c r="R1588" s="326"/>
      <c r="S1588" s="326"/>
      <c r="T1588" s="294"/>
      <c r="U1588" s="294"/>
      <c r="V1588" s="294"/>
      <c r="W1588" s="294"/>
      <c r="X1588" s="1182"/>
      <c r="Y1588" s="1182"/>
      <c r="Z1588" s="1166"/>
      <c r="AA1588" s="1166"/>
      <c r="AB1588" s="1182"/>
      <c r="AC1588" s="294"/>
      <c r="AD1588" s="294"/>
      <c r="AE1588" s="294"/>
      <c r="AF1588" s="294"/>
      <c r="AG1588" s="294"/>
      <c r="AH1588" s="294"/>
      <c r="AI1588" s="294"/>
      <c r="AJ1588" s="294"/>
    </row>
    <row r="1589" spans="2:36" x14ac:dyDescent="0.25">
      <c r="B1589" s="294"/>
      <c r="C1589" s="294"/>
      <c r="D1589" s="294"/>
      <c r="E1589" s="294"/>
      <c r="F1589" s="294"/>
      <c r="G1589" s="294"/>
      <c r="H1589" s="294"/>
      <c r="I1589" s="294"/>
      <c r="J1589" s="294"/>
      <c r="L1589" s="295"/>
      <c r="M1589" s="294"/>
      <c r="R1589" s="326"/>
      <c r="S1589" s="326"/>
      <c r="T1589" s="294"/>
      <c r="U1589" s="294"/>
      <c r="V1589" s="294"/>
      <c r="W1589" s="294"/>
      <c r="X1589" s="1182"/>
      <c r="Y1589" s="1182"/>
      <c r="Z1589" s="1166"/>
      <c r="AA1589" s="1166"/>
      <c r="AB1589" s="1182"/>
      <c r="AC1589" s="294"/>
      <c r="AD1589" s="294"/>
      <c r="AE1589" s="294"/>
      <c r="AF1589" s="294"/>
      <c r="AG1589" s="294"/>
      <c r="AH1589" s="294"/>
      <c r="AI1589" s="294"/>
      <c r="AJ1589" s="294"/>
    </row>
    <row r="1590" spans="2:36" x14ac:dyDescent="0.25">
      <c r="B1590" s="294"/>
      <c r="C1590" s="294"/>
      <c r="D1590" s="294"/>
      <c r="E1590" s="294"/>
      <c r="F1590" s="294"/>
      <c r="G1590" s="294"/>
      <c r="H1590" s="294"/>
      <c r="I1590" s="294"/>
      <c r="J1590" s="294"/>
      <c r="L1590" s="295"/>
      <c r="M1590" s="294"/>
      <c r="R1590" s="326"/>
      <c r="S1590" s="326"/>
      <c r="T1590" s="294"/>
      <c r="U1590" s="294"/>
      <c r="V1590" s="294"/>
      <c r="W1590" s="294"/>
      <c r="X1590" s="1182"/>
      <c r="Y1590" s="1182"/>
      <c r="Z1590" s="1166"/>
      <c r="AA1590" s="1166"/>
      <c r="AB1590" s="1182"/>
      <c r="AC1590" s="294"/>
      <c r="AD1590" s="294"/>
      <c r="AE1590" s="294"/>
      <c r="AF1590" s="294"/>
      <c r="AG1590" s="294"/>
      <c r="AH1590" s="294"/>
      <c r="AI1590" s="294"/>
      <c r="AJ1590" s="294"/>
    </row>
    <row r="1591" spans="2:36" x14ac:dyDescent="0.25">
      <c r="B1591" s="294"/>
      <c r="C1591" s="294"/>
      <c r="D1591" s="294"/>
      <c r="E1591" s="294"/>
      <c r="F1591" s="294"/>
      <c r="G1591" s="294"/>
      <c r="H1591" s="294"/>
      <c r="I1591" s="294"/>
      <c r="J1591" s="294"/>
      <c r="L1591" s="295"/>
      <c r="M1591" s="294"/>
      <c r="R1591" s="326"/>
      <c r="S1591" s="326"/>
      <c r="T1591" s="294"/>
      <c r="U1591" s="294"/>
      <c r="V1591" s="294"/>
      <c r="W1591" s="294"/>
      <c r="X1591" s="1182"/>
      <c r="Y1591" s="1182"/>
      <c r="Z1591" s="1166"/>
      <c r="AA1591" s="1166"/>
      <c r="AB1591" s="1182"/>
      <c r="AC1591" s="294"/>
      <c r="AD1591" s="294"/>
      <c r="AE1591" s="294"/>
      <c r="AF1591" s="294"/>
      <c r="AG1591" s="294"/>
      <c r="AH1591" s="294"/>
      <c r="AI1591" s="294"/>
      <c r="AJ1591" s="294"/>
    </row>
    <row r="1592" spans="2:36" x14ac:dyDescent="0.25">
      <c r="B1592" s="294"/>
      <c r="C1592" s="294"/>
      <c r="D1592" s="294"/>
      <c r="E1592" s="294"/>
      <c r="F1592" s="294"/>
      <c r="G1592" s="294"/>
      <c r="H1592" s="294"/>
      <c r="I1592" s="294"/>
      <c r="J1592" s="294"/>
      <c r="L1592" s="295"/>
      <c r="M1592" s="294"/>
      <c r="R1592" s="326"/>
      <c r="S1592" s="326"/>
      <c r="T1592" s="294"/>
      <c r="U1592" s="294"/>
      <c r="V1592" s="294"/>
      <c r="W1592" s="294"/>
      <c r="X1592" s="1182"/>
      <c r="Y1592" s="1182"/>
      <c r="Z1592" s="1166"/>
      <c r="AA1592" s="1166"/>
      <c r="AB1592" s="1182"/>
      <c r="AC1592" s="294"/>
      <c r="AD1592" s="294"/>
      <c r="AE1592" s="294"/>
      <c r="AF1592" s="294"/>
      <c r="AG1592" s="294"/>
      <c r="AH1592" s="294"/>
      <c r="AI1592" s="294"/>
      <c r="AJ1592" s="294"/>
    </row>
    <row r="1593" spans="2:36" x14ac:dyDescent="0.25">
      <c r="B1593" s="294"/>
      <c r="C1593" s="294"/>
      <c r="D1593" s="294"/>
      <c r="E1593" s="294"/>
      <c r="F1593" s="294"/>
      <c r="G1593" s="294"/>
      <c r="H1593" s="294"/>
      <c r="I1593" s="294"/>
      <c r="J1593" s="294"/>
      <c r="L1593" s="295"/>
      <c r="M1593" s="294"/>
      <c r="R1593" s="326"/>
      <c r="S1593" s="326"/>
      <c r="T1593" s="294"/>
      <c r="U1593" s="294"/>
      <c r="V1593" s="294"/>
      <c r="W1593" s="294"/>
      <c r="X1593" s="1182"/>
      <c r="Y1593" s="1182"/>
      <c r="Z1593" s="1166"/>
      <c r="AA1593" s="1166"/>
      <c r="AB1593" s="1182"/>
      <c r="AC1593" s="294"/>
      <c r="AD1593" s="294"/>
      <c r="AE1593" s="294"/>
      <c r="AF1593" s="294"/>
      <c r="AG1593" s="294"/>
      <c r="AH1593" s="294"/>
      <c r="AI1593" s="294"/>
      <c r="AJ1593" s="294"/>
    </row>
    <row r="1594" spans="2:36" x14ac:dyDescent="0.25">
      <c r="B1594" s="294"/>
      <c r="C1594" s="294"/>
      <c r="D1594" s="294"/>
      <c r="E1594" s="294"/>
      <c r="F1594" s="294"/>
      <c r="G1594" s="294"/>
      <c r="H1594" s="294"/>
      <c r="I1594" s="294"/>
      <c r="J1594" s="294"/>
      <c r="L1594" s="295"/>
      <c r="M1594" s="294"/>
      <c r="R1594" s="326"/>
      <c r="S1594" s="326"/>
      <c r="T1594" s="294"/>
      <c r="U1594" s="294"/>
      <c r="V1594" s="294"/>
      <c r="W1594" s="294"/>
      <c r="X1594" s="1182"/>
      <c r="Y1594" s="1182"/>
      <c r="Z1594" s="1166"/>
      <c r="AA1594" s="1166"/>
      <c r="AB1594" s="1182"/>
      <c r="AC1594" s="294"/>
      <c r="AD1594" s="294"/>
      <c r="AE1594" s="294"/>
      <c r="AF1594" s="294"/>
      <c r="AG1594" s="294"/>
      <c r="AH1594" s="294"/>
      <c r="AI1594" s="294"/>
      <c r="AJ1594" s="294"/>
    </row>
    <row r="1595" spans="2:36" x14ac:dyDescent="0.25">
      <c r="B1595" s="294"/>
      <c r="C1595" s="294"/>
      <c r="D1595" s="294"/>
      <c r="E1595" s="294"/>
      <c r="F1595" s="294"/>
      <c r="G1595" s="294"/>
      <c r="H1595" s="294"/>
      <c r="I1595" s="294"/>
      <c r="J1595" s="294"/>
      <c r="L1595" s="295"/>
      <c r="M1595" s="294"/>
      <c r="R1595" s="326"/>
      <c r="S1595" s="326"/>
      <c r="T1595" s="294"/>
      <c r="U1595" s="294"/>
      <c r="V1595" s="294"/>
      <c r="W1595" s="294"/>
      <c r="X1595" s="1182"/>
      <c r="Y1595" s="1182"/>
      <c r="Z1595" s="1166"/>
      <c r="AA1595" s="1166"/>
      <c r="AB1595" s="1182"/>
      <c r="AC1595" s="294"/>
      <c r="AD1595" s="294"/>
      <c r="AE1595" s="294"/>
      <c r="AF1595" s="294"/>
      <c r="AG1595" s="294"/>
      <c r="AH1595" s="294"/>
      <c r="AI1595" s="294"/>
      <c r="AJ1595" s="294"/>
    </row>
    <row r="1596" spans="2:36" x14ac:dyDescent="0.25">
      <c r="B1596" s="294"/>
      <c r="C1596" s="294"/>
      <c r="D1596" s="294"/>
      <c r="E1596" s="294"/>
      <c r="F1596" s="294"/>
      <c r="G1596" s="294"/>
      <c r="H1596" s="294"/>
      <c r="I1596" s="294"/>
      <c r="J1596" s="294"/>
      <c r="L1596" s="295"/>
      <c r="M1596" s="294"/>
      <c r="R1596" s="326"/>
      <c r="S1596" s="326"/>
      <c r="T1596" s="294"/>
      <c r="U1596" s="294"/>
      <c r="V1596" s="294"/>
      <c r="W1596" s="294"/>
      <c r="X1596" s="1182"/>
      <c r="Y1596" s="1182"/>
      <c r="Z1596" s="1166"/>
      <c r="AA1596" s="1166"/>
      <c r="AB1596" s="1182"/>
      <c r="AC1596" s="294"/>
      <c r="AD1596" s="294"/>
      <c r="AE1596" s="294"/>
      <c r="AF1596" s="294"/>
      <c r="AG1596" s="294"/>
      <c r="AH1596" s="294"/>
      <c r="AI1596" s="294"/>
      <c r="AJ1596" s="294"/>
    </row>
    <row r="1597" spans="2:36" x14ac:dyDescent="0.25">
      <c r="B1597" s="294"/>
      <c r="C1597" s="294"/>
      <c r="D1597" s="294"/>
      <c r="E1597" s="294"/>
      <c r="F1597" s="294"/>
      <c r="G1597" s="294"/>
      <c r="H1597" s="294"/>
      <c r="I1597" s="294"/>
      <c r="J1597" s="294"/>
      <c r="L1597" s="295"/>
      <c r="M1597" s="294"/>
      <c r="R1597" s="326"/>
      <c r="S1597" s="326"/>
      <c r="T1597" s="294"/>
      <c r="U1597" s="294"/>
      <c r="V1597" s="294"/>
      <c r="W1597" s="294"/>
      <c r="X1597" s="1182"/>
      <c r="Y1597" s="1182"/>
      <c r="Z1597" s="1166"/>
      <c r="AA1597" s="1166"/>
      <c r="AB1597" s="1182"/>
      <c r="AC1597" s="294"/>
      <c r="AD1597" s="294"/>
      <c r="AE1597" s="294"/>
      <c r="AF1597" s="294"/>
      <c r="AG1597" s="294"/>
      <c r="AH1597" s="294"/>
      <c r="AI1597" s="294"/>
      <c r="AJ1597" s="294"/>
    </row>
    <row r="1598" spans="2:36" x14ac:dyDescent="0.25">
      <c r="B1598" s="294"/>
      <c r="C1598" s="294"/>
      <c r="D1598" s="294"/>
      <c r="E1598" s="294"/>
      <c r="F1598" s="294"/>
      <c r="G1598" s="294"/>
      <c r="H1598" s="294"/>
      <c r="I1598" s="294"/>
      <c r="J1598" s="294"/>
      <c r="L1598" s="295"/>
      <c r="M1598" s="294"/>
      <c r="R1598" s="326"/>
      <c r="S1598" s="326"/>
      <c r="T1598" s="294"/>
      <c r="U1598" s="294"/>
      <c r="V1598" s="294"/>
      <c r="W1598" s="294"/>
      <c r="X1598" s="1182"/>
      <c r="Y1598" s="1182"/>
      <c r="Z1598" s="1166"/>
      <c r="AA1598" s="1166"/>
      <c r="AB1598" s="1182"/>
      <c r="AC1598" s="294"/>
      <c r="AD1598" s="294"/>
      <c r="AE1598" s="294"/>
      <c r="AF1598" s="294"/>
      <c r="AG1598" s="294"/>
      <c r="AH1598" s="294"/>
      <c r="AI1598" s="294"/>
      <c r="AJ1598" s="294"/>
    </row>
    <row r="1599" spans="2:36" x14ac:dyDescent="0.25">
      <c r="B1599" s="294"/>
      <c r="C1599" s="294"/>
      <c r="D1599" s="294"/>
      <c r="E1599" s="294"/>
      <c r="F1599" s="294"/>
      <c r="G1599" s="294"/>
      <c r="H1599" s="294"/>
      <c r="I1599" s="294"/>
      <c r="J1599" s="294"/>
      <c r="L1599" s="295"/>
      <c r="M1599" s="294"/>
      <c r="R1599" s="326"/>
      <c r="S1599" s="326"/>
      <c r="T1599" s="294"/>
      <c r="U1599" s="294"/>
      <c r="V1599" s="294"/>
      <c r="W1599" s="294"/>
      <c r="X1599" s="1182"/>
      <c r="Y1599" s="1182"/>
      <c r="Z1599" s="1166"/>
      <c r="AA1599" s="1166"/>
      <c r="AB1599" s="1182"/>
      <c r="AC1599" s="294"/>
      <c r="AD1599" s="294"/>
      <c r="AE1599" s="294"/>
      <c r="AF1599" s="294"/>
      <c r="AG1599" s="294"/>
      <c r="AH1599" s="294"/>
      <c r="AI1599" s="294"/>
      <c r="AJ1599" s="294"/>
    </row>
    <row r="1600" spans="2:36" x14ac:dyDescent="0.25">
      <c r="B1600" s="294"/>
      <c r="C1600" s="294"/>
      <c r="D1600" s="294"/>
      <c r="E1600" s="294"/>
      <c r="F1600" s="294"/>
      <c r="G1600" s="294"/>
      <c r="H1600" s="294"/>
      <c r="I1600" s="294"/>
      <c r="J1600" s="294"/>
      <c r="L1600" s="295"/>
      <c r="M1600" s="294"/>
      <c r="R1600" s="326"/>
      <c r="S1600" s="326"/>
      <c r="T1600" s="294"/>
      <c r="U1600" s="294"/>
      <c r="V1600" s="294"/>
      <c r="W1600" s="294"/>
      <c r="X1600" s="1182"/>
      <c r="Y1600" s="1182"/>
      <c r="Z1600" s="1166"/>
      <c r="AA1600" s="1166"/>
      <c r="AB1600" s="1182"/>
      <c r="AC1600" s="294"/>
      <c r="AD1600" s="294"/>
      <c r="AE1600" s="294"/>
      <c r="AF1600" s="294"/>
      <c r="AG1600" s="294"/>
      <c r="AH1600" s="294"/>
      <c r="AI1600" s="294"/>
      <c r="AJ1600" s="294"/>
    </row>
    <row r="1601" spans="2:36" x14ac:dyDescent="0.25">
      <c r="B1601" s="294"/>
      <c r="C1601" s="294"/>
      <c r="D1601" s="294"/>
      <c r="E1601" s="294"/>
      <c r="F1601" s="294"/>
      <c r="G1601" s="294"/>
      <c r="H1601" s="294"/>
      <c r="I1601" s="294"/>
      <c r="J1601" s="294"/>
      <c r="L1601" s="295"/>
      <c r="M1601" s="294"/>
      <c r="R1601" s="326"/>
      <c r="S1601" s="326"/>
      <c r="T1601" s="294"/>
      <c r="U1601" s="294"/>
      <c r="V1601" s="294"/>
      <c r="W1601" s="294"/>
      <c r="X1601" s="1182"/>
      <c r="Y1601" s="1182"/>
      <c r="Z1601" s="1166"/>
      <c r="AA1601" s="1166"/>
      <c r="AB1601" s="1182"/>
      <c r="AC1601" s="294"/>
      <c r="AD1601" s="294"/>
      <c r="AE1601" s="294"/>
      <c r="AF1601" s="294"/>
      <c r="AG1601" s="294"/>
      <c r="AH1601" s="294"/>
      <c r="AI1601" s="294"/>
      <c r="AJ1601" s="294"/>
    </row>
    <row r="1602" spans="2:36" x14ac:dyDescent="0.25">
      <c r="B1602" s="294"/>
      <c r="C1602" s="294"/>
      <c r="D1602" s="294"/>
      <c r="E1602" s="294"/>
      <c r="F1602" s="294"/>
      <c r="G1602" s="294"/>
      <c r="H1602" s="294"/>
      <c r="I1602" s="294"/>
      <c r="J1602" s="294"/>
      <c r="L1602" s="295"/>
      <c r="M1602" s="294"/>
      <c r="R1602" s="326"/>
      <c r="S1602" s="326"/>
      <c r="T1602" s="294"/>
      <c r="U1602" s="294"/>
      <c r="V1602" s="294"/>
      <c r="W1602" s="294"/>
      <c r="X1602" s="1182"/>
      <c r="Y1602" s="1182"/>
      <c r="Z1602" s="1166"/>
      <c r="AA1602" s="1166"/>
      <c r="AB1602" s="1182"/>
      <c r="AC1602" s="294"/>
      <c r="AD1602" s="294"/>
      <c r="AE1602" s="294"/>
      <c r="AF1602" s="294"/>
      <c r="AG1602" s="294"/>
      <c r="AH1602" s="294"/>
      <c r="AI1602" s="294"/>
      <c r="AJ1602" s="294"/>
    </row>
    <row r="1603" spans="2:36" x14ac:dyDescent="0.25">
      <c r="B1603" s="294"/>
      <c r="C1603" s="294"/>
      <c r="D1603" s="294"/>
      <c r="E1603" s="294"/>
      <c r="F1603" s="294"/>
      <c r="G1603" s="294"/>
      <c r="H1603" s="294"/>
      <c r="I1603" s="294"/>
      <c r="J1603" s="294"/>
      <c r="L1603" s="295"/>
      <c r="M1603" s="294"/>
      <c r="R1603" s="326"/>
      <c r="S1603" s="326"/>
      <c r="T1603" s="294"/>
      <c r="U1603" s="294"/>
      <c r="V1603" s="294"/>
      <c r="W1603" s="294"/>
      <c r="X1603" s="1182"/>
      <c r="Y1603" s="1182"/>
      <c r="Z1603" s="1166"/>
      <c r="AA1603" s="1166"/>
      <c r="AB1603" s="1182"/>
      <c r="AC1603" s="294"/>
      <c r="AD1603" s="294"/>
      <c r="AE1603" s="294"/>
      <c r="AF1603" s="294"/>
      <c r="AG1603" s="294"/>
      <c r="AH1603" s="294"/>
      <c r="AI1603" s="294"/>
      <c r="AJ1603" s="294"/>
    </row>
    <row r="1604" spans="2:36" x14ac:dyDescent="0.25">
      <c r="B1604" s="294"/>
      <c r="C1604" s="294"/>
      <c r="D1604" s="294"/>
      <c r="E1604" s="294"/>
      <c r="F1604" s="294"/>
      <c r="G1604" s="294"/>
      <c r="H1604" s="294"/>
      <c r="I1604" s="294"/>
      <c r="J1604" s="294"/>
      <c r="L1604" s="295"/>
      <c r="M1604" s="294"/>
      <c r="R1604" s="326"/>
      <c r="S1604" s="326"/>
      <c r="T1604" s="294"/>
      <c r="U1604" s="294"/>
      <c r="V1604" s="294"/>
      <c r="W1604" s="294"/>
      <c r="X1604" s="1182"/>
      <c r="Y1604" s="1182"/>
      <c r="Z1604" s="1166"/>
      <c r="AA1604" s="1166"/>
      <c r="AB1604" s="1182"/>
      <c r="AC1604" s="294"/>
      <c r="AD1604" s="294"/>
      <c r="AE1604" s="294"/>
      <c r="AF1604" s="294"/>
      <c r="AG1604" s="294"/>
      <c r="AH1604" s="294"/>
      <c r="AI1604" s="294"/>
      <c r="AJ1604" s="294"/>
    </row>
    <row r="1605" spans="2:36" x14ac:dyDescent="0.25">
      <c r="B1605" s="294"/>
      <c r="C1605" s="294"/>
      <c r="D1605" s="294"/>
      <c r="E1605" s="294"/>
      <c r="F1605" s="294"/>
      <c r="G1605" s="294"/>
      <c r="H1605" s="294"/>
      <c r="I1605" s="294"/>
      <c r="J1605" s="294"/>
      <c r="L1605" s="295"/>
      <c r="M1605" s="294"/>
      <c r="R1605" s="326"/>
      <c r="S1605" s="326"/>
      <c r="T1605" s="294"/>
      <c r="U1605" s="294"/>
      <c r="V1605" s="294"/>
      <c r="W1605" s="294"/>
      <c r="X1605" s="1182"/>
      <c r="Y1605" s="1182"/>
      <c r="Z1605" s="1166"/>
      <c r="AA1605" s="1166"/>
      <c r="AB1605" s="1182"/>
      <c r="AC1605" s="294"/>
      <c r="AD1605" s="294"/>
      <c r="AE1605" s="294"/>
      <c r="AF1605" s="294"/>
      <c r="AG1605" s="294"/>
      <c r="AH1605" s="294"/>
      <c r="AI1605" s="294"/>
      <c r="AJ1605" s="294"/>
    </row>
    <row r="1606" spans="2:36" x14ac:dyDescent="0.25">
      <c r="B1606" s="294"/>
      <c r="C1606" s="294"/>
      <c r="D1606" s="294"/>
      <c r="E1606" s="294"/>
      <c r="F1606" s="294"/>
      <c r="G1606" s="294"/>
      <c r="H1606" s="294"/>
      <c r="I1606" s="294"/>
      <c r="J1606" s="294"/>
      <c r="L1606" s="295"/>
      <c r="M1606" s="294"/>
      <c r="R1606" s="326"/>
      <c r="S1606" s="326"/>
      <c r="T1606" s="294"/>
      <c r="U1606" s="294"/>
      <c r="V1606" s="294"/>
      <c r="W1606" s="294"/>
      <c r="X1606" s="1182"/>
      <c r="Y1606" s="1182"/>
      <c r="Z1606" s="1166"/>
      <c r="AA1606" s="1166"/>
      <c r="AB1606" s="1182"/>
      <c r="AC1606" s="294"/>
      <c r="AD1606" s="294"/>
      <c r="AE1606" s="294"/>
      <c r="AF1606" s="294"/>
      <c r="AG1606" s="294"/>
      <c r="AH1606" s="294"/>
      <c r="AI1606" s="294"/>
      <c r="AJ1606" s="294"/>
    </row>
    <row r="1607" spans="2:36" x14ac:dyDescent="0.25">
      <c r="B1607" s="294"/>
      <c r="C1607" s="294"/>
      <c r="D1607" s="294"/>
      <c r="E1607" s="294"/>
      <c r="F1607" s="294"/>
      <c r="G1607" s="294"/>
      <c r="H1607" s="294"/>
      <c r="I1607" s="294"/>
      <c r="J1607" s="294"/>
      <c r="L1607" s="295"/>
      <c r="M1607" s="294"/>
      <c r="R1607" s="326"/>
      <c r="S1607" s="326"/>
      <c r="T1607" s="294"/>
      <c r="U1607" s="294"/>
      <c r="V1607" s="294"/>
      <c r="W1607" s="294"/>
      <c r="X1607" s="1182"/>
      <c r="Y1607" s="1182"/>
      <c r="Z1607" s="1166"/>
      <c r="AA1607" s="1166"/>
      <c r="AB1607" s="1182"/>
      <c r="AC1607" s="294"/>
      <c r="AD1607" s="294"/>
      <c r="AE1607" s="294"/>
      <c r="AF1607" s="294"/>
      <c r="AG1607" s="294"/>
      <c r="AH1607" s="294"/>
      <c r="AI1607" s="294"/>
      <c r="AJ1607" s="294"/>
    </row>
    <row r="1608" spans="2:36" x14ac:dyDescent="0.25">
      <c r="B1608" s="294"/>
      <c r="C1608" s="294"/>
      <c r="D1608" s="294"/>
      <c r="E1608" s="294"/>
      <c r="F1608" s="294"/>
      <c r="G1608" s="294"/>
      <c r="H1608" s="294"/>
      <c r="I1608" s="294"/>
      <c r="J1608" s="294"/>
      <c r="L1608" s="295"/>
      <c r="M1608" s="294"/>
      <c r="R1608" s="326"/>
      <c r="S1608" s="326"/>
      <c r="T1608" s="294"/>
      <c r="U1608" s="294"/>
      <c r="V1608" s="294"/>
      <c r="W1608" s="294"/>
      <c r="X1608" s="1182"/>
      <c r="Y1608" s="1182"/>
      <c r="Z1608" s="1166"/>
      <c r="AA1608" s="1166"/>
      <c r="AB1608" s="1182"/>
      <c r="AC1608" s="294"/>
      <c r="AD1608" s="294"/>
      <c r="AE1608" s="294"/>
      <c r="AF1608" s="294"/>
      <c r="AG1608" s="294"/>
      <c r="AH1608" s="294"/>
      <c r="AI1608" s="294"/>
      <c r="AJ1608" s="294"/>
    </row>
    <row r="1609" spans="2:36" x14ac:dyDescent="0.25">
      <c r="B1609" s="294"/>
      <c r="C1609" s="294"/>
      <c r="D1609" s="294"/>
      <c r="E1609" s="294"/>
      <c r="F1609" s="294"/>
      <c r="G1609" s="294"/>
      <c r="H1609" s="294"/>
      <c r="I1609" s="294"/>
      <c r="J1609" s="294"/>
      <c r="L1609" s="295"/>
      <c r="M1609" s="294"/>
      <c r="R1609" s="326"/>
      <c r="S1609" s="326"/>
      <c r="T1609" s="294"/>
      <c r="U1609" s="294"/>
      <c r="V1609" s="294"/>
      <c r="W1609" s="294"/>
      <c r="X1609" s="1182"/>
      <c r="Y1609" s="1182"/>
      <c r="Z1609" s="1166"/>
      <c r="AA1609" s="1166"/>
      <c r="AB1609" s="1182"/>
      <c r="AC1609" s="294"/>
      <c r="AD1609" s="294"/>
      <c r="AE1609" s="294"/>
      <c r="AF1609" s="294"/>
      <c r="AG1609" s="294"/>
      <c r="AH1609" s="294"/>
      <c r="AI1609" s="294"/>
      <c r="AJ1609" s="294"/>
    </row>
    <row r="1610" spans="2:36" x14ac:dyDescent="0.25">
      <c r="B1610" s="294"/>
      <c r="C1610" s="294"/>
      <c r="D1610" s="294"/>
      <c r="E1610" s="294"/>
      <c r="F1610" s="294"/>
      <c r="G1610" s="294"/>
      <c r="H1610" s="294"/>
      <c r="I1610" s="294"/>
      <c r="J1610" s="294"/>
      <c r="L1610" s="295"/>
      <c r="M1610" s="294"/>
      <c r="R1610" s="326"/>
      <c r="S1610" s="326"/>
      <c r="T1610" s="294"/>
      <c r="U1610" s="294"/>
      <c r="V1610" s="294"/>
      <c r="W1610" s="294"/>
      <c r="X1610" s="1182"/>
      <c r="Y1610" s="1182"/>
      <c r="Z1610" s="1166"/>
      <c r="AA1610" s="1166"/>
      <c r="AB1610" s="1182"/>
      <c r="AC1610" s="294"/>
      <c r="AD1610" s="294"/>
      <c r="AE1610" s="294"/>
      <c r="AF1610" s="294"/>
      <c r="AG1610" s="294"/>
      <c r="AH1610" s="294"/>
      <c r="AI1610" s="294"/>
      <c r="AJ1610" s="294"/>
    </row>
    <row r="1611" spans="2:36" x14ac:dyDescent="0.25">
      <c r="B1611" s="294"/>
      <c r="C1611" s="294"/>
      <c r="D1611" s="294"/>
      <c r="E1611" s="294"/>
      <c r="F1611" s="294"/>
      <c r="G1611" s="294"/>
      <c r="H1611" s="294"/>
      <c r="I1611" s="294"/>
      <c r="J1611" s="294"/>
      <c r="L1611" s="295"/>
      <c r="M1611" s="294"/>
      <c r="R1611" s="326"/>
      <c r="S1611" s="326"/>
      <c r="T1611" s="294"/>
      <c r="U1611" s="294"/>
      <c r="V1611" s="294"/>
      <c r="W1611" s="294"/>
      <c r="X1611" s="1182"/>
      <c r="Y1611" s="1182"/>
      <c r="Z1611" s="1166"/>
      <c r="AA1611" s="1166"/>
      <c r="AB1611" s="1182"/>
      <c r="AC1611" s="294"/>
      <c r="AD1611" s="294"/>
      <c r="AE1611" s="294"/>
      <c r="AF1611" s="294"/>
      <c r="AG1611" s="294"/>
      <c r="AH1611" s="294"/>
      <c r="AI1611" s="294"/>
      <c r="AJ1611" s="294"/>
    </row>
    <row r="1612" spans="2:36" x14ac:dyDescent="0.25">
      <c r="B1612" s="294"/>
      <c r="C1612" s="294"/>
      <c r="D1612" s="294"/>
      <c r="E1612" s="294"/>
      <c r="F1612" s="294"/>
      <c r="G1612" s="294"/>
      <c r="H1612" s="294"/>
      <c r="I1612" s="294"/>
      <c r="J1612" s="294"/>
      <c r="L1612" s="295"/>
      <c r="M1612" s="294"/>
      <c r="R1612" s="326"/>
      <c r="S1612" s="326"/>
      <c r="T1612" s="294"/>
      <c r="U1612" s="294"/>
      <c r="V1612" s="294"/>
      <c r="W1612" s="294"/>
      <c r="X1612" s="1182"/>
      <c r="Y1612" s="1182"/>
      <c r="Z1612" s="1166"/>
      <c r="AA1612" s="1166"/>
      <c r="AB1612" s="1182"/>
      <c r="AC1612" s="294"/>
      <c r="AD1612" s="294"/>
      <c r="AE1612" s="294"/>
      <c r="AF1612" s="294"/>
      <c r="AG1612" s="294"/>
      <c r="AH1612" s="294"/>
      <c r="AI1612" s="294"/>
      <c r="AJ1612" s="294"/>
    </row>
    <row r="1613" spans="2:36" x14ac:dyDescent="0.25">
      <c r="B1613" s="294"/>
      <c r="C1613" s="294"/>
      <c r="D1613" s="294"/>
      <c r="E1613" s="294"/>
      <c r="F1613" s="294"/>
      <c r="G1613" s="294"/>
      <c r="H1613" s="294"/>
      <c r="I1613" s="294"/>
      <c r="J1613" s="294"/>
      <c r="L1613" s="295"/>
      <c r="M1613" s="294"/>
      <c r="R1613" s="326"/>
      <c r="S1613" s="326"/>
      <c r="T1613" s="294"/>
      <c r="U1613" s="294"/>
      <c r="V1613" s="294"/>
      <c r="W1613" s="294"/>
      <c r="X1613" s="1182"/>
      <c r="Y1613" s="1182"/>
      <c r="Z1613" s="1166"/>
      <c r="AA1613" s="1166"/>
      <c r="AB1613" s="1182"/>
      <c r="AC1613" s="294"/>
      <c r="AD1613" s="294"/>
      <c r="AE1613" s="294"/>
      <c r="AF1613" s="294"/>
      <c r="AG1613" s="294"/>
      <c r="AH1613" s="294"/>
      <c r="AI1613" s="294"/>
      <c r="AJ1613" s="294"/>
    </row>
    <row r="1614" spans="2:36" x14ac:dyDescent="0.25">
      <c r="B1614" s="294"/>
      <c r="C1614" s="294"/>
      <c r="D1614" s="294"/>
      <c r="E1614" s="294"/>
      <c r="F1614" s="294"/>
      <c r="G1614" s="294"/>
      <c r="H1614" s="294"/>
      <c r="I1614" s="294"/>
      <c r="J1614" s="294"/>
      <c r="L1614" s="295"/>
      <c r="M1614" s="294"/>
      <c r="R1614" s="326"/>
      <c r="S1614" s="326"/>
      <c r="T1614" s="294"/>
      <c r="U1614" s="294"/>
      <c r="V1614" s="294"/>
      <c r="W1614" s="294"/>
      <c r="X1614" s="1182"/>
      <c r="Y1614" s="1182"/>
      <c r="Z1614" s="1166"/>
      <c r="AA1614" s="1166"/>
      <c r="AB1614" s="1182"/>
      <c r="AC1614" s="294"/>
      <c r="AD1614" s="294"/>
      <c r="AE1614" s="294"/>
      <c r="AF1614" s="294"/>
      <c r="AG1614" s="294"/>
      <c r="AH1614" s="294"/>
      <c r="AI1614" s="294"/>
      <c r="AJ1614" s="294"/>
    </row>
    <row r="1615" spans="2:36" x14ac:dyDescent="0.25">
      <c r="B1615" s="294"/>
      <c r="C1615" s="294"/>
      <c r="D1615" s="294"/>
      <c r="E1615" s="294"/>
      <c r="F1615" s="294"/>
      <c r="G1615" s="294"/>
      <c r="H1615" s="294"/>
      <c r="I1615" s="294"/>
      <c r="J1615" s="294"/>
      <c r="L1615" s="295"/>
      <c r="M1615" s="294"/>
      <c r="R1615" s="326"/>
      <c r="S1615" s="326"/>
      <c r="T1615" s="294"/>
      <c r="U1615" s="294"/>
      <c r="V1615" s="294"/>
      <c r="W1615" s="294"/>
      <c r="X1615" s="1182"/>
      <c r="Y1615" s="1182"/>
      <c r="Z1615" s="1166"/>
      <c r="AA1615" s="1166"/>
      <c r="AB1615" s="1182"/>
      <c r="AC1615" s="294"/>
      <c r="AD1615" s="294"/>
      <c r="AE1615" s="294"/>
      <c r="AF1615" s="294"/>
      <c r="AG1615" s="294"/>
      <c r="AH1615" s="294"/>
      <c r="AI1615" s="294"/>
      <c r="AJ1615" s="294"/>
    </row>
    <row r="1616" spans="2:36" x14ac:dyDescent="0.25">
      <c r="B1616" s="294"/>
      <c r="C1616" s="294"/>
      <c r="D1616" s="294"/>
      <c r="E1616" s="294"/>
      <c r="F1616" s="294"/>
      <c r="G1616" s="294"/>
      <c r="H1616" s="294"/>
      <c r="I1616" s="294"/>
      <c r="J1616" s="294"/>
      <c r="L1616" s="295"/>
      <c r="M1616" s="294"/>
      <c r="R1616" s="326"/>
      <c r="S1616" s="326"/>
      <c r="T1616" s="294"/>
      <c r="U1616" s="294"/>
      <c r="V1616" s="294"/>
      <c r="W1616" s="294"/>
      <c r="X1616" s="1182"/>
      <c r="Y1616" s="1182"/>
      <c r="Z1616" s="1166"/>
      <c r="AA1616" s="1166"/>
      <c r="AB1616" s="1182"/>
      <c r="AC1616" s="294"/>
      <c r="AD1616" s="294"/>
      <c r="AE1616" s="294"/>
      <c r="AF1616" s="294"/>
      <c r="AG1616" s="294"/>
      <c r="AH1616" s="294"/>
      <c r="AI1616" s="294"/>
      <c r="AJ1616" s="294"/>
    </row>
    <row r="1617" spans="2:36" x14ac:dyDescent="0.25">
      <c r="B1617" s="294"/>
      <c r="C1617" s="294"/>
      <c r="D1617" s="294"/>
      <c r="E1617" s="294"/>
      <c r="F1617" s="294"/>
      <c r="G1617" s="294"/>
      <c r="H1617" s="294"/>
      <c r="I1617" s="294"/>
      <c r="J1617" s="294"/>
      <c r="L1617" s="295"/>
      <c r="M1617" s="294"/>
      <c r="R1617" s="326"/>
      <c r="S1617" s="326"/>
      <c r="T1617" s="294"/>
      <c r="U1617" s="294"/>
      <c r="V1617" s="294"/>
      <c r="W1617" s="294"/>
      <c r="X1617" s="1182"/>
      <c r="Y1617" s="1182"/>
      <c r="Z1617" s="1166"/>
      <c r="AA1617" s="1166"/>
      <c r="AB1617" s="1182"/>
      <c r="AC1617" s="294"/>
      <c r="AD1617" s="294"/>
      <c r="AE1617" s="294"/>
      <c r="AF1617" s="294"/>
      <c r="AG1617" s="294"/>
      <c r="AH1617" s="294"/>
      <c r="AI1617" s="294"/>
      <c r="AJ1617" s="294"/>
    </row>
    <row r="1618" spans="2:36" x14ac:dyDescent="0.25">
      <c r="B1618" s="294"/>
      <c r="C1618" s="294"/>
      <c r="D1618" s="294"/>
      <c r="E1618" s="294"/>
      <c r="F1618" s="294"/>
      <c r="G1618" s="294"/>
      <c r="H1618" s="294"/>
      <c r="I1618" s="294"/>
      <c r="J1618" s="294"/>
      <c r="L1618" s="295"/>
      <c r="M1618" s="294"/>
      <c r="R1618" s="326"/>
      <c r="S1618" s="326"/>
      <c r="T1618" s="294"/>
      <c r="U1618" s="294"/>
      <c r="V1618" s="294"/>
      <c r="W1618" s="294"/>
      <c r="X1618" s="1182"/>
      <c r="Y1618" s="1182"/>
      <c r="Z1618" s="1166"/>
      <c r="AA1618" s="1166"/>
      <c r="AB1618" s="1182"/>
      <c r="AC1618" s="294"/>
      <c r="AD1618" s="294"/>
      <c r="AE1618" s="294"/>
      <c r="AF1618" s="294"/>
      <c r="AG1618" s="294"/>
      <c r="AH1618" s="294"/>
      <c r="AI1618" s="294"/>
      <c r="AJ1618" s="294"/>
    </row>
    <row r="1619" spans="2:36" x14ac:dyDescent="0.25">
      <c r="B1619" s="294"/>
      <c r="C1619" s="294"/>
      <c r="D1619" s="294"/>
      <c r="E1619" s="294"/>
      <c r="F1619" s="294"/>
      <c r="G1619" s="294"/>
      <c r="H1619" s="294"/>
      <c r="I1619" s="294"/>
      <c r="J1619" s="294"/>
      <c r="L1619" s="295"/>
      <c r="M1619" s="294"/>
      <c r="R1619" s="326"/>
      <c r="S1619" s="326"/>
      <c r="T1619" s="294"/>
      <c r="U1619" s="294"/>
      <c r="V1619" s="294"/>
      <c r="W1619" s="294"/>
      <c r="X1619" s="1182"/>
      <c r="Y1619" s="1182"/>
      <c r="Z1619" s="1166"/>
      <c r="AA1619" s="1166"/>
      <c r="AB1619" s="1182"/>
      <c r="AC1619" s="294"/>
      <c r="AD1619" s="294"/>
      <c r="AE1619" s="294"/>
      <c r="AF1619" s="294"/>
      <c r="AG1619" s="294"/>
      <c r="AH1619" s="294"/>
      <c r="AI1619" s="294"/>
      <c r="AJ1619" s="294"/>
    </row>
    <row r="1620" spans="2:36" x14ac:dyDescent="0.25">
      <c r="B1620" s="294"/>
      <c r="C1620" s="294"/>
      <c r="D1620" s="294"/>
      <c r="E1620" s="294"/>
      <c r="F1620" s="294"/>
      <c r="G1620" s="294"/>
      <c r="H1620" s="294"/>
      <c r="I1620" s="294"/>
      <c r="J1620" s="294"/>
      <c r="L1620" s="295"/>
      <c r="M1620" s="294"/>
      <c r="R1620" s="326"/>
      <c r="S1620" s="326"/>
      <c r="T1620" s="294"/>
      <c r="U1620" s="294"/>
      <c r="V1620" s="294"/>
      <c r="W1620" s="294"/>
      <c r="X1620" s="1182"/>
      <c r="Y1620" s="1182"/>
      <c r="Z1620" s="1166"/>
      <c r="AA1620" s="1166"/>
      <c r="AB1620" s="1182"/>
      <c r="AC1620" s="294"/>
      <c r="AD1620" s="294"/>
      <c r="AE1620" s="294"/>
      <c r="AF1620" s="294"/>
      <c r="AG1620" s="294"/>
      <c r="AH1620" s="294"/>
      <c r="AI1620" s="294"/>
      <c r="AJ1620" s="294"/>
    </row>
    <row r="1621" spans="2:36" x14ac:dyDescent="0.25">
      <c r="B1621" s="294"/>
      <c r="C1621" s="294"/>
      <c r="D1621" s="294"/>
      <c r="E1621" s="294"/>
      <c r="F1621" s="294"/>
      <c r="G1621" s="294"/>
      <c r="H1621" s="294"/>
      <c r="I1621" s="294"/>
      <c r="J1621" s="294"/>
      <c r="L1621" s="295"/>
      <c r="M1621" s="294"/>
      <c r="R1621" s="326"/>
      <c r="S1621" s="326"/>
      <c r="T1621" s="294"/>
      <c r="U1621" s="294"/>
      <c r="V1621" s="294"/>
      <c r="W1621" s="294"/>
      <c r="X1621" s="1182"/>
      <c r="Y1621" s="1182"/>
      <c r="Z1621" s="1166"/>
      <c r="AA1621" s="1166"/>
      <c r="AB1621" s="1182"/>
      <c r="AC1621" s="294"/>
      <c r="AD1621" s="294"/>
      <c r="AE1621" s="294"/>
      <c r="AF1621" s="294"/>
      <c r="AG1621" s="294"/>
      <c r="AH1621" s="294"/>
      <c r="AI1621" s="294"/>
      <c r="AJ1621" s="294"/>
    </row>
    <row r="1622" spans="2:36" x14ac:dyDescent="0.25">
      <c r="B1622" s="294"/>
      <c r="C1622" s="294"/>
      <c r="D1622" s="294"/>
      <c r="E1622" s="294"/>
      <c r="F1622" s="294"/>
      <c r="G1622" s="294"/>
      <c r="H1622" s="294"/>
      <c r="I1622" s="294"/>
      <c r="J1622" s="294"/>
      <c r="L1622" s="295"/>
      <c r="M1622" s="294"/>
      <c r="R1622" s="326"/>
      <c r="S1622" s="326"/>
      <c r="T1622" s="294"/>
      <c r="U1622" s="294"/>
      <c r="V1622" s="294"/>
      <c r="W1622" s="294"/>
      <c r="X1622" s="1182"/>
      <c r="Y1622" s="1182"/>
      <c r="Z1622" s="1166"/>
      <c r="AA1622" s="1166"/>
      <c r="AB1622" s="1182"/>
      <c r="AC1622" s="294"/>
      <c r="AD1622" s="294"/>
      <c r="AE1622" s="294"/>
      <c r="AF1622" s="294"/>
      <c r="AG1622" s="294"/>
      <c r="AH1622" s="294"/>
      <c r="AI1622" s="294"/>
      <c r="AJ1622" s="294"/>
    </row>
    <row r="1623" spans="2:36" x14ac:dyDescent="0.25">
      <c r="B1623" s="294"/>
      <c r="C1623" s="294"/>
      <c r="D1623" s="294"/>
      <c r="E1623" s="294"/>
      <c r="F1623" s="294"/>
      <c r="G1623" s="294"/>
      <c r="H1623" s="294"/>
      <c r="I1623" s="294"/>
      <c r="J1623" s="294"/>
      <c r="L1623" s="295"/>
      <c r="M1623" s="294"/>
      <c r="R1623" s="326"/>
      <c r="S1623" s="326"/>
      <c r="T1623" s="294"/>
      <c r="U1623" s="294"/>
      <c r="V1623" s="294"/>
      <c r="W1623" s="294"/>
      <c r="X1623" s="1182"/>
      <c r="Y1623" s="1182"/>
      <c r="Z1623" s="1166"/>
      <c r="AA1623" s="1166"/>
      <c r="AB1623" s="1182"/>
      <c r="AC1623" s="294"/>
      <c r="AD1623" s="294"/>
      <c r="AE1623" s="294"/>
      <c r="AF1623" s="294"/>
      <c r="AG1623" s="294"/>
      <c r="AH1623" s="294"/>
      <c r="AI1623" s="294"/>
      <c r="AJ1623" s="294"/>
    </row>
    <row r="1624" spans="2:36" x14ac:dyDescent="0.25">
      <c r="B1624" s="294"/>
      <c r="C1624" s="294"/>
      <c r="D1624" s="294"/>
      <c r="E1624" s="294"/>
      <c r="F1624" s="294"/>
      <c r="G1624" s="294"/>
      <c r="H1624" s="294"/>
      <c r="I1624" s="294"/>
      <c r="J1624" s="294"/>
      <c r="L1624" s="295"/>
      <c r="M1624" s="294"/>
      <c r="R1624" s="326"/>
      <c r="S1624" s="326"/>
      <c r="T1624" s="294"/>
      <c r="U1624" s="294"/>
      <c r="V1624" s="294"/>
      <c r="W1624" s="294"/>
      <c r="X1624" s="1182"/>
      <c r="Y1624" s="1182"/>
      <c r="Z1624" s="1166"/>
      <c r="AA1624" s="1166"/>
      <c r="AB1624" s="1182"/>
      <c r="AC1624" s="294"/>
      <c r="AD1624" s="294"/>
      <c r="AE1624" s="294"/>
      <c r="AF1624" s="294"/>
      <c r="AG1624" s="294"/>
      <c r="AH1624" s="294"/>
      <c r="AI1624" s="294"/>
      <c r="AJ1624" s="294"/>
    </row>
    <row r="1625" spans="2:36" x14ac:dyDescent="0.25">
      <c r="B1625" s="294"/>
      <c r="C1625" s="294"/>
      <c r="D1625" s="294"/>
      <c r="E1625" s="294"/>
      <c r="F1625" s="294"/>
      <c r="G1625" s="294"/>
      <c r="H1625" s="294"/>
      <c r="I1625" s="294"/>
      <c r="J1625" s="294"/>
      <c r="L1625" s="295"/>
      <c r="M1625" s="294"/>
      <c r="R1625" s="326"/>
      <c r="S1625" s="326"/>
      <c r="T1625" s="294"/>
      <c r="U1625" s="294"/>
      <c r="V1625" s="294"/>
      <c r="W1625" s="294"/>
      <c r="X1625" s="1182"/>
      <c r="Y1625" s="1182"/>
      <c r="Z1625" s="1166"/>
      <c r="AA1625" s="1166"/>
      <c r="AB1625" s="1182"/>
      <c r="AC1625" s="294"/>
      <c r="AD1625" s="294"/>
      <c r="AE1625" s="294"/>
      <c r="AF1625" s="294"/>
      <c r="AG1625" s="294"/>
      <c r="AH1625" s="294"/>
      <c r="AI1625" s="294"/>
      <c r="AJ1625" s="294"/>
    </row>
    <row r="1626" spans="2:36" x14ac:dyDescent="0.25">
      <c r="B1626" s="294"/>
      <c r="C1626" s="294"/>
      <c r="D1626" s="294"/>
      <c r="E1626" s="294"/>
      <c r="F1626" s="294"/>
      <c r="G1626" s="294"/>
      <c r="H1626" s="294"/>
      <c r="I1626" s="294"/>
      <c r="J1626" s="294"/>
      <c r="L1626" s="295"/>
      <c r="M1626" s="294"/>
      <c r="R1626" s="326"/>
      <c r="S1626" s="326"/>
      <c r="T1626" s="294"/>
      <c r="U1626" s="294"/>
      <c r="V1626" s="294"/>
      <c r="W1626" s="294"/>
      <c r="X1626" s="1182"/>
      <c r="Y1626" s="1182"/>
      <c r="Z1626" s="1166"/>
      <c r="AA1626" s="1166"/>
      <c r="AB1626" s="1182"/>
      <c r="AC1626" s="294"/>
      <c r="AD1626" s="294"/>
      <c r="AE1626" s="294"/>
      <c r="AF1626" s="294"/>
      <c r="AG1626" s="294"/>
      <c r="AH1626" s="294"/>
      <c r="AI1626" s="294"/>
      <c r="AJ1626" s="294"/>
    </row>
    <row r="1627" spans="2:36" x14ac:dyDescent="0.25">
      <c r="B1627" s="294"/>
      <c r="C1627" s="294"/>
      <c r="D1627" s="294"/>
      <c r="E1627" s="294"/>
      <c r="F1627" s="294"/>
      <c r="G1627" s="294"/>
      <c r="H1627" s="294"/>
      <c r="I1627" s="294"/>
      <c r="J1627" s="294"/>
      <c r="L1627" s="295"/>
      <c r="M1627" s="294"/>
      <c r="R1627" s="326"/>
      <c r="S1627" s="326"/>
      <c r="T1627" s="294"/>
      <c r="U1627" s="294"/>
      <c r="V1627" s="294"/>
      <c r="W1627" s="294"/>
      <c r="X1627" s="1182"/>
      <c r="Y1627" s="1182"/>
      <c r="Z1627" s="1166"/>
      <c r="AA1627" s="1166"/>
      <c r="AB1627" s="1182"/>
      <c r="AC1627" s="294"/>
      <c r="AD1627" s="294"/>
      <c r="AE1627" s="294"/>
      <c r="AF1627" s="294"/>
      <c r="AG1627" s="294"/>
      <c r="AH1627" s="294"/>
      <c r="AI1627" s="294"/>
      <c r="AJ1627" s="294"/>
    </row>
    <row r="1628" spans="2:36" x14ac:dyDescent="0.25">
      <c r="B1628" s="294"/>
      <c r="C1628" s="294"/>
      <c r="D1628" s="294"/>
      <c r="E1628" s="294"/>
      <c r="F1628" s="294"/>
      <c r="G1628" s="294"/>
      <c r="H1628" s="294"/>
      <c r="I1628" s="294"/>
      <c r="J1628" s="294"/>
      <c r="L1628" s="295"/>
      <c r="M1628" s="294"/>
      <c r="R1628" s="326"/>
      <c r="S1628" s="326"/>
      <c r="T1628" s="294"/>
      <c r="U1628" s="294"/>
      <c r="V1628" s="294"/>
      <c r="W1628" s="294"/>
      <c r="X1628" s="1182"/>
      <c r="Y1628" s="1182"/>
      <c r="Z1628" s="1166"/>
      <c r="AA1628" s="1166"/>
      <c r="AB1628" s="1182"/>
      <c r="AC1628" s="294"/>
      <c r="AD1628" s="294"/>
      <c r="AE1628" s="294"/>
      <c r="AF1628" s="294"/>
      <c r="AG1628" s="294"/>
      <c r="AH1628" s="294"/>
      <c r="AI1628" s="294"/>
      <c r="AJ1628" s="294"/>
    </row>
    <row r="1629" spans="2:36" x14ac:dyDescent="0.25">
      <c r="B1629" s="294"/>
      <c r="C1629" s="294"/>
      <c r="D1629" s="294"/>
      <c r="E1629" s="294"/>
      <c r="F1629" s="294"/>
      <c r="G1629" s="294"/>
      <c r="H1629" s="294"/>
      <c r="I1629" s="294"/>
      <c r="J1629" s="294"/>
      <c r="L1629" s="295"/>
      <c r="M1629" s="294"/>
      <c r="R1629" s="326"/>
      <c r="S1629" s="326"/>
      <c r="T1629" s="294"/>
      <c r="U1629" s="294"/>
      <c r="V1629" s="294"/>
      <c r="W1629" s="294"/>
      <c r="X1629" s="1182"/>
      <c r="Y1629" s="1182"/>
      <c r="Z1629" s="1166"/>
      <c r="AA1629" s="1166"/>
      <c r="AB1629" s="1182"/>
      <c r="AC1629" s="294"/>
      <c r="AD1629" s="294"/>
      <c r="AE1629" s="294"/>
      <c r="AF1629" s="294"/>
      <c r="AG1629" s="294"/>
      <c r="AH1629" s="294"/>
      <c r="AI1629" s="294"/>
      <c r="AJ1629" s="294"/>
    </row>
    <row r="1630" spans="2:36" x14ac:dyDescent="0.25">
      <c r="B1630" s="294"/>
      <c r="C1630" s="294"/>
      <c r="D1630" s="294"/>
      <c r="E1630" s="294"/>
      <c r="F1630" s="294"/>
      <c r="G1630" s="294"/>
      <c r="H1630" s="294"/>
      <c r="I1630" s="294"/>
      <c r="J1630" s="294"/>
      <c r="L1630" s="295"/>
      <c r="M1630" s="294"/>
      <c r="R1630" s="326"/>
      <c r="S1630" s="326"/>
      <c r="T1630" s="294"/>
      <c r="U1630" s="294"/>
      <c r="V1630" s="294"/>
      <c r="W1630" s="294"/>
      <c r="X1630" s="1182"/>
      <c r="Y1630" s="1182"/>
      <c r="Z1630" s="1166"/>
      <c r="AA1630" s="1166"/>
      <c r="AB1630" s="1182"/>
      <c r="AC1630" s="294"/>
      <c r="AD1630" s="294"/>
      <c r="AE1630" s="294"/>
      <c r="AF1630" s="294"/>
      <c r="AG1630" s="294"/>
      <c r="AH1630" s="294"/>
      <c r="AI1630" s="294"/>
      <c r="AJ1630" s="294"/>
    </row>
    <row r="1631" spans="2:36" x14ac:dyDescent="0.25">
      <c r="B1631" s="294"/>
      <c r="C1631" s="294"/>
      <c r="D1631" s="294"/>
      <c r="E1631" s="294"/>
      <c r="F1631" s="294"/>
      <c r="G1631" s="294"/>
      <c r="H1631" s="294"/>
      <c r="I1631" s="294"/>
      <c r="J1631" s="294"/>
      <c r="L1631" s="295"/>
      <c r="M1631" s="294"/>
      <c r="R1631" s="326"/>
      <c r="S1631" s="326"/>
      <c r="T1631" s="294"/>
      <c r="U1631" s="294"/>
      <c r="V1631" s="294"/>
      <c r="W1631" s="294"/>
      <c r="X1631" s="1182"/>
      <c r="Y1631" s="1182"/>
      <c r="Z1631" s="1166"/>
      <c r="AA1631" s="1166"/>
      <c r="AB1631" s="1182"/>
      <c r="AC1631" s="294"/>
      <c r="AD1631" s="294"/>
      <c r="AE1631" s="294"/>
      <c r="AF1631" s="294"/>
      <c r="AG1631" s="294"/>
      <c r="AH1631" s="294"/>
      <c r="AI1631" s="294"/>
      <c r="AJ1631" s="294"/>
    </row>
    <row r="1632" spans="2:36" x14ac:dyDescent="0.25">
      <c r="B1632" s="294"/>
      <c r="C1632" s="294"/>
      <c r="D1632" s="294"/>
      <c r="E1632" s="294"/>
      <c r="F1632" s="294"/>
      <c r="G1632" s="294"/>
      <c r="H1632" s="294"/>
      <c r="I1632" s="294"/>
      <c r="J1632" s="294"/>
      <c r="L1632" s="295"/>
      <c r="M1632" s="294"/>
      <c r="R1632" s="326"/>
      <c r="S1632" s="326"/>
      <c r="T1632" s="294"/>
      <c r="U1632" s="294"/>
      <c r="V1632" s="294"/>
      <c r="W1632" s="294"/>
      <c r="X1632" s="1182"/>
      <c r="Y1632" s="1182"/>
      <c r="Z1632" s="1166"/>
      <c r="AA1632" s="1166"/>
      <c r="AB1632" s="1182"/>
      <c r="AC1632" s="294"/>
      <c r="AD1632" s="294"/>
      <c r="AE1632" s="294"/>
      <c r="AF1632" s="294"/>
      <c r="AG1632" s="294"/>
      <c r="AH1632" s="294"/>
      <c r="AI1632" s="294"/>
      <c r="AJ1632" s="294"/>
    </row>
    <row r="1633" spans="2:36" x14ac:dyDescent="0.25">
      <c r="B1633" s="294"/>
      <c r="C1633" s="294"/>
      <c r="D1633" s="294"/>
      <c r="E1633" s="294"/>
      <c r="F1633" s="294"/>
      <c r="G1633" s="294"/>
      <c r="H1633" s="294"/>
      <c r="I1633" s="294"/>
      <c r="J1633" s="294"/>
      <c r="L1633" s="295"/>
      <c r="M1633" s="294"/>
      <c r="R1633" s="326"/>
      <c r="S1633" s="326"/>
      <c r="T1633" s="294"/>
      <c r="U1633" s="294"/>
      <c r="V1633" s="294"/>
      <c r="W1633" s="294"/>
      <c r="X1633" s="1182"/>
      <c r="Y1633" s="1182"/>
      <c r="Z1633" s="1166"/>
      <c r="AA1633" s="1166"/>
      <c r="AB1633" s="1182"/>
      <c r="AC1633" s="294"/>
      <c r="AD1633" s="294"/>
      <c r="AE1633" s="294"/>
      <c r="AF1633" s="294"/>
      <c r="AG1633" s="294"/>
      <c r="AH1633" s="294"/>
      <c r="AI1633" s="294"/>
      <c r="AJ1633" s="294"/>
    </row>
    <row r="1634" spans="2:36" x14ac:dyDescent="0.25">
      <c r="B1634" s="294"/>
      <c r="C1634" s="294"/>
      <c r="D1634" s="294"/>
      <c r="E1634" s="294"/>
      <c r="F1634" s="294"/>
      <c r="G1634" s="294"/>
      <c r="H1634" s="294"/>
      <c r="I1634" s="294"/>
      <c r="J1634" s="294"/>
      <c r="L1634" s="295"/>
      <c r="M1634" s="294"/>
      <c r="R1634" s="326"/>
      <c r="S1634" s="326"/>
      <c r="T1634" s="294"/>
      <c r="U1634" s="294"/>
      <c r="V1634" s="294"/>
      <c r="W1634" s="294"/>
      <c r="X1634" s="1182"/>
      <c r="Y1634" s="1182"/>
      <c r="Z1634" s="1166"/>
      <c r="AA1634" s="1166"/>
      <c r="AB1634" s="1182"/>
      <c r="AC1634" s="294"/>
      <c r="AD1634" s="294"/>
      <c r="AE1634" s="294"/>
      <c r="AF1634" s="294"/>
      <c r="AG1634" s="294"/>
      <c r="AH1634" s="294"/>
      <c r="AI1634" s="294"/>
      <c r="AJ1634" s="294"/>
    </row>
    <row r="1635" spans="2:36" x14ac:dyDescent="0.25">
      <c r="B1635" s="294"/>
      <c r="C1635" s="294"/>
      <c r="D1635" s="294"/>
      <c r="E1635" s="294"/>
      <c r="F1635" s="294"/>
      <c r="G1635" s="294"/>
      <c r="H1635" s="294"/>
      <c r="I1635" s="294"/>
      <c r="J1635" s="294"/>
      <c r="L1635" s="295"/>
      <c r="M1635" s="294"/>
      <c r="R1635" s="326"/>
      <c r="S1635" s="326"/>
      <c r="T1635" s="294"/>
      <c r="U1635" s="294"/>
      <c r="V1635" s="294"/>
      <c r="W1635" s="294"/>
      <c r="X1635" s="1182"/>
      <c r="Y1635" s="1182"/>
      <c r="Z1635" s="1166"/>
      <c r="AA1635" s="1166"/>
      <c r="AB1635" s="1182"/>
      <c r="AC1635" s="294"/>
      <c r="AD1635" s="294"/>
      <c r="AE1635" s="294"/>
      <c r="AF1635" s="294"/>
      <c r="AG1635" s="294"/>
      <c r="AH1635" s="294"/>
      <c r="AI1635" s="294"/>
      <c r="AJ1635" s="294"/>
    </row>
    <row r="1636" spans="2:36" x14ac:dyDescent="0.25">
      <c r="B1636" s="294"/>
      <c r="C1636" s="294"/>
      <c r="D1636" s="294"/>
      <c r="E1636" s="294"/>
      <c r="F1636" s="294"/>
      <c r="G1636" s="294"/>
      <c r="H1636" s="294"/>
      <c r="I1636" s="294"/>
      <c r="J1636" s="294"/>
      <c r="L1636" s="295"/>
      <c r="M1636" s="294"/>
      <c r="R1636" s="326"/>
      <c r="S1636" s="326"/>
      <c r="T1636" s="294"/>
      <c r="U1636" s="294"/>
      <c r="V1636" s="294"/>
      <c r="W1636" s="294"/>
      <c r="X1636" s="1182"/>
      <c r="Y1636" s="1182"/>
      <c r="Z1636" s="1166"/>
      <c r="AA1636" s="1166"/>
      <c r="AB1636" s="1182"/>
      <c r="AC1636" s="294"/>
      <c r="AD1636" s="294"/>
      <c r="AE1636" s="294"/>
      <c r="AF1636" s="294"/>
      <c r="AG1636" s="294"/>
      <c r="AH1636" s="294"/>
      <c r="AI1636" s="294"/>
      <c r="AJ1636" s="294"/>
    </row>
    <row r="1637" spans="2:36" x14ac:dyDescent="0.25">
      <c r="B1637" s="294"/>
      <c r="C1637" s="294"/>
      <c r="D1637" s="294"/>
      <c r="E1637" s="294"/>
      <c r="F1637" s="294"/>
      <c r="G1637" s="294"/>
      <c r="H1637" s="294"/>
      <c r="I1637" s="294"/>
      <c r="J1637" s="294"/>
      <c r="L1637" s="295"/>
      <c r="M1637" s="294"/>
      <c r="R1637" s="326"/>
      <c r="S1637" s="326"/>
      <c r="T1637" s="294"/>
      <c r="U1637" s="294"/>
      <c r="V1637" s="294"/>
      <c r="W1637" s="294"/>
      <c r="X1637" s="1182"/>
      <c r="Y1637" s="1182"/>
      <c r="Z1637" s="1166"/>
      <c r="AA1637" s="1166"/>
      <c r="AB1637" s="1182"/>
      <c r="AC1637" s="294"/>
      <c r="AD1637" s="294"/>
      <c r="AE1637" s="294"/>
      <c r="AF1637" s="294"/>
      <c r="AG1637" s="294"/>
      <c r="AH1637" s="294"/>
      <c r="AI1637" s="294"/>
      <c r="AJ1637" s="294"/>
    </row>
    <row r="1638" spans="2:36" x14ac:dyDescent="0.25">
      <c r="B1638" s="294"/>
      <c r="C1638" s="294"/>
      <c r="D1638" s="294"/>
      <c r="E1638" s="294"/>
      <c r="F1638" s="294"/>
      <c r="G1638" s="294"/>
      <c r="H1638" s="294"/>
      <c r="I1638" s="294"/>
      <c r="J1638" s="294"/>
      <c r="L1638" s="295"/>
      <c r="M1638" s="294"/>
      <c r="R1638" s="326"/>
      <c r="S1638" s="326"/>
      <c r="T1638" s="294"/>
      <c r="U1638" s="294"/>
      <c r="V1638" s="294"/>
      <c r="W1638" s="294"/>
      <c r="X1638" s="1182"/>
      <c r="Y1638" s="1182"/>
      <c r="Z1638" s="1166"/>
      <c r="AA1638" s="1166"/>
      <c r="AB1638" s="1182"/>
      <c r="AC1638" s="294"/>
      <c r="AD1638" s="294"/>
      <c r="AE1638" s="294"/>
      <c r="AF1638" s="294"/>
      <c r="AG1638" s="294"/>
      <c r="AH1638" s="294"/>
      <c r="AI1638" s="294"/>
      <c r="AJ1638" s="294"/>
    </row>
    <row r="1639" spans="2:36" x14ac:dyDescent="0.25">
      <c r="B1639" s="294"/>
      <c r="C1639" s="294"/>
      <c r="D1639" s="294"/>
      <c r="E1639" s="294"/>
      <c r="F1639" s="294"/>
      <c r="G1639" s="294"/>
      <c r="H1639" s="294"/>
      <c r="I1639" s="294"/>
      <c r="J1639" s="294"/>
      <c r="L1639" s="295"/>
      <c r="M1639" s="294"/>
      <c r="R1639" s="326"/>
      <c r="S1639" s="326"/>
      <c r="T1639" s="294"/>
      <c r="U1639" s="294"/>
      <c r="V1639" s="294"/>
      <c r="W1639" s="294"/>
      <c r="X1639" s="1182"/>
      <c r="Y1639" s="1182"/>
      <c r="Z1639" s="1166"/>
      <c r="AA1639" s="1166"/>
      <c r="AB1639" s="1182"/>
      <c r="AC1639" s="294"/>
      <c r="AD1639" s="294"/>
      <c r="AE1639" s="294"/>
      <c r="AF1639" s="294"/>
      <c r="AG1639" s="294"/>
      <c r="AH1639" s="294"/>
      <c r="AI1639" s="294"/>
      <c r="AJ1639" s="294"/>
    </row>
    <row r="1640" spans="2:36" x14ac:dyDescent="0.25">
      <c r="B1640" s="294"/>
      <c r="C1640" s="294"/>
      <c r="D1640" s="294"/>
      <c r="E1640" s="294"/>
      <c r="F1640" s="294"/>
      <c r="G1640" s="294"/>
      <c r="H1640" s="294"/>
      <c r="I1640" s="294"/>
      <c r="J1640" s="294"/>
      <c r="L1640" s="295"/>
      <c r="M1640" s="294"/>
      <c r="R1640" s="326"/>
      <c r="S1640" s="326"/>
      <c r="T1640" s="294"/>
      <c r="U1640" s="294"/>
      <c r="V1640" s="294"/>
      <c r="W1640" s="294"/>
      <c r="X1640" s="1182"/>
      <c r="Y1640" s="1182"/>
      <c r="Z1640" s="1166"/>
      <c r="AA1640" s="1166"/>
      <c r="AB1640" s="1182"/>
      <c r="AC1640" s="294"/>
      <c r="AD1640" s="294"/>
      <c r="AE1640" s="294"/>
      <c r="AF1640" s="294"/>
      <c r="AG1640" s="294"/>
      <c r="AH1640" s="294"/>
      <c r="AI1640" s="294"/>
      <c r="AJ1640" s="294"/>
    </row>
    <row r="1641" spans="2:36" x14ac:dyDescent="0.25">
      <c r="B1641" s="294"/>
      <c r="C1641" s="294"/>
      <c r="D1641" s="294"/>
      <c r="E1641" s="294"/>
      <c r="F1641" s="294"/>
      <c r="G1641" s="294"/>
      <c r="H1641" s="294"/>
      <c r="I1641" s="294"/>
      <c r="J1641" s="294"/>
      <c r="L1641" s="295"/>
      <c r="M1641" s="294"/>
      <c r="R1641" s="326"/>
      <c r="S1641" s="326"/>
      <c r="T1641" s="294"/>
      <c r="U1641" s="294"/>
      <c r="V1641" s="294"/>
      <c r="W1641" s="294"/>
      <c r="X1641" s="1182"/>
      <c r="Y1641" s="1182"/>
      <c r="Z1641" s="1166"/>
      <c r="AA1641" s="1166"/>
      <c r="AB1641" s="1182"/>
      <c r="AC1641" s="294"/>
      <c r="AD1641" s="294"/>
      <c r="AE1641" s="294"/>
      <c r="AF1641" s="294"/>
      <c r="AG1641" s="294"/>
      <c r="AH1641" s="294"/>
      <c r="AI1641" s="294"/>
      <c r="AJ1641" s="294"/>
    </row>
    <row r="1642" spans="2:36" x14ac:dyDescent="0.25">
      <c r="B1642" s="294"/>
      <c r="C1642" s="294"/>
      <c r="D1642" s="294"/>
      <c r="E1642" s="294"/>
      <c r="F1642" s="294"/>
      <c r="G1642" s="294"/>
      <c r="H1642" s="294"/>
      <c r="I1642" s="294"/>
      <c r="J1642" s="294"/>
      <c r="L1642" s="295"/>
      <c r="M1642" s="294"/>
      <c r="R1642" s="326"/>
      <c r="S1642" s="326"/>
      <c r="T1642" s="294"/>
      <c r="U1642" s="294"/>
      <c r="V1642" s="294"/>
      <c r="W1642" s="294"/>
      <c r="X1642" s="1182"/>
      <c r="Y1642" s="1182"/>
      <c r="Z1642" s="1166"/>
      <c r="AA1642" s="1166"/>
      <c r="AB1642" s="1182"/>
      <c r="AC1642" s="294"/>
      <c r="AD1642" s="294"/>
      <c r="AE1642" s="294"/>
      <c r="AF1642" s="294"/>
      <c r="AG1642" s="294"/>
      <c r="AH1642" s="294"/>
      <c r="AI1642" s="294"/>
      <c r="AJ1642" s="294"/>
    </row>
    <row r="1643" spans="2:36" x14ac:dyDescent="0.25">
      <c r="B1643" s="294"/>
      <c r="C1643" s="294"/>
      <c r="D1643" s="294"/>
      <c r="E1643" s="294"/>
      <c r="F1643" s="294"/>
      <c r="G1643" s="294"/>
      <c r="H1643" s="294"/>
      <c r="I1643" s="294"/>
      <c r="J1643" s="294"/>
      <c r="L1643" s="295"/>
      <c r="M1643" s="294"/>
      <c r="R1643" s="326"/>
      <c r="S1643" s="326"/>
      <c r="T1643" s="294"/>
      <c r="U1643" s="294"/>
      <c r="V1643" s="294"/>
      <c r="W1643" s="294"/>
      <c r="X1643" s="1182"/>
      <c r="Y1643" s="1182"/>
      <c r="Z1643" s="1166"/>
      <c r="AA1643" s="1166"/>
      <c r="AB1643" s="1182"/>
      <c r="AC1643" s="294"/>
      <c r="AD1643" s="294"/>
      <c r="AE1643" s="294"/>
      <c r="AF1643" s="294"/>
      <c r="AG1643" s="294"/>
      <c r="AH1643" s="294"/>
      <c r="AI1643" s="294"/>
      <c r="AJ1643" s="294"/>
    </row>
    <row r="1644" spans="2:36" x14ac:dyDescent="0.25">
      <c r="B1644" s="294"/>
      <c r="C1644" s="294"/>
      <c r="D1644" s="294"/>
      <c r="E1644" s="294"/>
      <c r="F1644" s="294"/>
      <c r="G1644" s="294"/>
      <c r="H1644" s="294"/>
      <c r="I1644" s="294"/>
      <c r="J1644" s="294"/>
      <c r="L1644" s="295"/>
      <c r="M1644" s="294"/>
      <c r="R1644" s="326"/>
      <c r="S1644" s="326"/>
      <c r="T1644" s="294"/>
      <c r="U1644" s="294"/>
      <c r="V1644" s="294"/>
      <c r="W1644" s="294"/>
      <c r="X1644" s="1182"/>
      <c r="Y1644" s="1182"/>
      <c r="Z1644" s="1166"/>
      <c r="AA1644" s="1166"/>
      <c r="AB1644" s="1182"/>
      <c r="AC1644" s="294"/>
      <c r="AD1644" s="294"/>
      <c r="AE1644" s="294"/>
      <c r="AF1644" s="294"/>
      <c r="AG1644" s="294"/>
      <c r="AH1644" s="294"/>
      <c r="AI1644" s="294"/>
      <c r="AJ1644" s="294"/>
    </row>
    <row r="1645" spans="2:36" x14ac:dyDescent="0.25">
      <c r="B1645" s="294"/>
      <c r="C1645" s="294"/>
      <c r="D1645" s="294"/>
      <c r="E1645" s="294"/>
      <c r="F1645" s="294"/>
      <c r="G1645" s="294"/>
      <c r="H1645" s="294"/>
      <c r="I1645" s="294"/>
      <c r="J1645" s="294"/>
      <c r="L1645" s="295"/>
      <c r="M1645" s="294"/>
      <c r="R1645" s="326"/>
      <c r="S1645" s="326"/>
      <c r="T1645" s="294"/>
      <c r="U1645" s="294"/>
      <c r="V1645" s="294"/>
      <c r="W1645" s="294"/>
      <c r="X1645" s="1182"/>
      <c r="Y1645" s="1182"/>
      <c r="Z1645" s="1166"/>
      <c r="AA1645" s="1166"/>
      <c r="AB1645" s="1182"/>
      <c r="AC1645" s="294"/>
      <c r="AD1645" s="294"/>
      <c r="AE1645" s="294"/>
      <c r="AF1645" s="294"/>
      <c r="AG1645" s="294"/>
      <c r="AH1645" s="294"/>
      <c r="AI1645" s="294"/>
      <c r="AJ1645" s="294"/>
    </row>
    <row r="1646" spans="2:36" x14ac:dyDescent="0.25">
      <c r="B1646" s="294"/>
      <c r="C1646" s="294"/>
      <c r="D1646" s="294"/>
      <c r="E1646" s="294"/>
      <c r="F1646" s="294"/>
      <c r="G1646" s="294"/>
      <c r="H1646" s="294"/>
      <c r="I1646" s="294"/>
      <c r="J1646" s="294"/>
      <c r="L1646" s="295"/>
      <c r="M1646" s="294"/>
      <c r="R1646" s="326"/>
      <c r="S1646" s="326"/>
      <c r="T1646" s="294"/>
      <c r="U1646" s="294"/>
      <c r="V1646" s="294"/>
      <c r="W1646" s="294"/>
      <c r="X1646" s="1182"/>
      <c r="Y1646" s="1182"/>
      <c r="Z1646" s="1166"/>
      <c r="AA1646" s="1166"/>
      <c r="AB1646" s="1182"/>
      <c r="AC1646" s="294"/>
      <c r="AD1646" s="294"/>
      <c r="AE1646" s="294"/>
      <c r="AF1646" s="294"/>
      <c r="AG1646" s="294"/>
      <c r="AH1646" s="294"/>
      <c r="AI1646" s="294"/>
      <c r="AJ1646" s="294"/>
    </row>
    <row r="1647" spans="2:36" x14ac:dyDescent="0.25">
      <c r="B1647" s="294"/>
      <c r="C1647" s="294"/>
      <c r="D1647" s="294"/>
      <c r="E1647" s="294"/>
      <c r="F1647" s="294"/>
      <c r="G1647" s="294"/>
      <c r="H1647" s="294"/>
      <c r="I1647" s="294"/>
      <c r="J1647" s="294"/>
      <c r="L1647" s="295"/>
      <c r="M1647" s="294"/>
      <c r="R1647" s="326"/>
      <c r="S1647" s="326"/>
      <c r="T1647" s="294"/>
      <c r="U1647" s="294"/>
      <c r="V1647" s="294"/>
      <c r="W1647" s="294"/>
      <c r="X1647" s="1182"/>
      <c r="Y1647" s="1182"/>
      <c r="Z1647" s="1166"/>
      <c r="AA1647" s="1166"/>
      <c r="AB1647" s="1182"/>
      <c r="AC1647" s="294"/>
      <c r="AD1647" s="294"/>
      <c r="AE1647" s="294"/>
      <c r="AF1647" s="294"/>
      <c r="AG1647" s="294"/>
      <c r="AH1647" s="294"/>
      <c r="AI1647" s="294"/>
      <c r="AJ1647" s="294"/>
    </row>
    <row r="1648" spans="2:36" x14ac:dyDescent="0.25">
      <c r="B1648" s="294"/>
      <c r="C1648" s="294"/>
      <c r="D1648" s="294"/>
      <c r="E1648" s="294"/>
      <c r="F1648" s="294"/>
      <c r="G1648" s="294"/>
      <c r="H1648" s="294"/>
      <c r="I1648" s="294"/>
      <c r="J1648" s="294"/>
      <c r="L1648" s="295"/>
      <c r="M1648" s="294"/>
      <c r="R1648" s="326"/>
      <c r="S1648" s="326"/>
      <c r="T1648" s="294"/>
      <c r="U1648" s="294"/>
      <c r="V1648" s="294"/>
      <c r="W1648" s="294"/>
      <c r="X1648" s="1182"/>
      <c r="Y1648" s="1182"/>
      <c r="Z1648" s="1166"/>
      <c r="AA1648" s="1166"/>
      <c r="AB1648" s="1182"/>
      <c r="AC1648" s="294"/>
      <c r="AD1648" s="294"/>
      <c r="AE1648" s="294"/>
      <c r="AF1648" s="294"/>
      <c r="AG1648" s="294"/>
      <c r="AH1648" s="294"/>
      <c r="AI1648" s="294"/>
      <c r="AJ1648" s="294"/>
    </row>
    <row r="1649" spans="2:36" x14ac:dyDescent="0.25">
      <c r="B1649" s="294"/>
      <c r="C1649" s="294"/>
      <c r="D1649" s="294"/>
      <c r="E1649" s="294"/>
      <c r="F1649" s="294"/>
      <c r="G1649" s="294"/>
      <c r="H1649" s="294"/>
      <c r="I1649" s="294"/>
      <c r="J1649" s="294"/>
      <c r="L1649" s="295"/>
      <c r="M1649" s="294"/>
      <c r="R1649" s="326"/>
      <c r="S1649" s="326"/>
      <c r="T1649" s="294"/>
      <c r="U1649" s="294"/>
      <c r="V1649" s="294"/>
      <c r="W1649" s="294"/>
      <c r="X1649" s="1182"/>
      <c r="Y1649" s="1182"/>
      <c r="Z1649" s="1166"/>
      <c r="AA1649" s="1166"/>
      <c r="AB1649" s="1182"/>
      <c r="AC1649" s="294"/>
      <c r="AD1649" s="294"/>
      <c r="AE1649" s="294"/>
      <c r="AF1649" s="294"/>
      <c r="AG1649" s="294"/>
      <c r="AH1649" s="294"/>
      <c r="AI1649" s="294"/>
      <c r="AJ1649" s="294"/>
    </row>
    <row r="1650" spans="2:36" x14ac:dyDescent="0.25">
      <c r="B1650" s="294"/>
      <c r="C1650" s="294"/>
      <c r="D1650" s="294"/>
      <c r="E1650" s="294"/>
      <c r="F1650" s="294"/>
      <c r="G1650" s="294"/>
      <c r="H1650" s="294"/>
      <c r="I1650" s="294"/>
      <c r="J1650" s="294"/>
      <c r="L1650" s="295"/>
      <c r="M1650" s="294"/>
      <c r="R1650" s="326"/>
      <c r="S1650" s="326"/>
      <c r="T1650" s="294"/>
      <c r="U1650" s="294"/>
      <c r="V1650" s="294"/>
      <c r="W1650" s="294"/>
      <c r="X1650" s="1182"/>
      <c r="Y1650" s="1182"/>
      <c r="Z1650" s="1166"/>
      <c r="AA1650" s="1166"/>
      <c r="AB1650" s="1182"/>
      <c r="AC1650" s="294"/>
      <c r="AD1650" s="294"/>
      <c r="AE1650" s="294"/>
      <c r="AF1650" s="294"/>
      <c r="AG1650" s="294"/>
      <c r="AH1650" s="294"/>
      <c r="AI1650" s="294"/>
      <c r="AJ1650" s="294"/>
    </row>
    <row r="1651" spans="2:36" x14ac:dyDescent="0.25">
      <c r="B1651" s="294"/>
      <c r="C1651" s="294"/>
      <c r="D1651" s="294"/>
      <c r="E1651" s="294"/>
      <c r="F1651" s="294"/>
      <c r="G1651" s="294"/>
      <c r="H1651" s="294"/>
      <c r="I1651" s="294"/>
      <c r="J1651" s="294"/>
      <c r="L1651" s="295"/>
      <c r="M1651" s="294"/>
      <c r="R1651" s="326"/>
      <c r="S1651" s="326"/>
      <c r="T1651" s="294"/>
      <c r="U1651" s="294"/>
      <c r="V1651" s="294"/>
      <c r="W1651" s="294"/>
      <c r="X1651" s="1182"/>
      <c r="Y1651" s="1182"/>
      <c r="Z1651" s="1166"/>
      <c r="AA1651" s="1166"/>
      <c r="AB1651" s="1182"/>
      <c r="AC1651" s="294"/>
      <c r="AD1651" s="294"/>
      <c r="AE1651" s="294"/>
      <c r="AF1651" s="294"/>
      <c r="AG1651" s="294"/>
      <c r="AH1651" s="294"/>
      <c r="AI1651" s="294"/>
      <c r="AJ1651" s="294"/>
    </row>
    <row r="1652" spans="2:36" x14ac:dyDescent="0.25">
      <c r="B1652" s="294"/>
      <c r="C1652" s="294"/>
      <c r="D1652" s="294"/>
      <c r="E1652" s="294"/>
      <c r="F1652" s="294"/>
      <c r="G1652" s="294"/>
      <c r="H1652" s="294"/>
      <c r="I1652" s="294"/>
      <c r="J1652" s="294"/>
      <c r="L1652" s="295"/>
      <c r="M1652" s="294"/>
      <c r="R1652" s="326"/>
      <c r="S1652" s="326"/>
      <c r="T1652" s="294"/>
      <c r="U1652" s="294"/>
      <c r="V1652" s="294"/>
      <c r="W1652" s="294"/>
      <c r="X1652" s="1182"/>
      <c r="Y1652" s="1182"/>
      <c r="Z1652" s="1166"/>
      <c r="AA1652" s="1166"/>
      <c r="AB1652" s="1182"/>
      <c r="AC1652" s="294"/>
      <c r="AD1652" s="294"/>
      <c r="AE1652" s="294"/>
      <c r="AF1652" s="294"/>
      <c r="AG1652" s="294"/>
      <c r="AH1652" s="294"/>
      <c r="AI1652" s="294"/>
      <c r="AJ1652" s="294"/>
    </row>
    <row r="1653" spans="2:36" x14ac:dyDescent="0.25">
      <c r="B1653" s="294"/>
      <c r="C1653" s="294"/>
      <c r="D1653" s="294"/>
      <c r="E1653" s="294"/>
      <c r="F1653" s="294"/>
      <c r="G1653" s="294"/>
      <c r="H1653" s="294"/>
      <c r="I1653" s="294"/>
      <c r="J1653" s="294"/>
      <c r="L1653" s="295"/>
      <c r="M1653" s="294"/>
      <c r="R1653" s="326"/>
      <c r="S1653" s="326"/>
      <c r="T1653" s="294"/>
      <c r="U1653" s="294"/>
      <c r="V1653" s="294"/>
      <c r="W1653" s="294"/>
      <c r="X1653" s="1182"/>
      <c r="Y1653" s="1182"/>
      <c r="Z1653" s="1166"/>
      <c r="AA1653" s="1166"/>
      <c r="AB1653" s="1182"/>
      <c r="AC1653" s="294"/>
      <c r="AD1653" s="294"/>
      <c r="AE1653" s="294"/>
      <c r="AF1653" s="294"/>
      <c r="AG1653" s="294"/>
      <c r="AH1653" s="294"/>
      <c r="AI1653" s="294"/>
      <c r="AJ1653" s="294"/>
    </row>
    <row r="1654" spans="2:36" x14ac:dyDescent="0.25">
      <c r="B1654" s="294"/>
      <c r="C1654" s="294"/>
      <c r="D1654" s="294"/>
      <c r="E1654" s="294"/>
      <c r="F1654" s="294"/>
      <c r="G1654" s="294"/>
      <c r="H1654" s="294"/>
      <c r="I1654" s="294"/>
      <c r="J1654" s="294"/>
      <c r="L1654" s="295"/>
      <c r="M1654" s="294"/>
      <c r="R1654" s="326"/>
      <c r="S1654" s="326"/>
      <c r="T1654" s="294"/>
      <c r="U1654" s="294"/>
      <c r="V1654" s="294"/>
      <c r="W1654" s="294"/>
      <c r="X1654" s="1182"/>
      <c r="Y1654" s="1182"/>
      <c r="Z1654" s="1166"/>
      <c r="AA1654" s="1166"/>
      <c r="AB1654" s="1182"/>
      <c r="AC1654" s="294"/>
      <c r="AD1654" s="294"/>
      <c r="AE1654" s="294"/>
      <c r="AF1654" s="294"/>
      <c r="AG1654" s="294"/>
      <c r="AH1654" s="294"/>
      <c r="AI1654" s="294"/>
      <c r="AJ1654" s="294"/>
    </row>
    <row r="1655" spans="2:36" x14ac:dyDescent="0.25">
      <c r="B1655" s="294"/>
      <c r="C1655" s="294"/>
      <c r="D1655" s="294"/>
      <c r="E1655" s="294"/>
      <c r="F1655" s="294"/>
      <c r="G1655" s="294"/>
      <c r="H1655" s="294"/>
      <c r="I1655" s="294"/>
      <c r="J1655" s="294"/>
      <c r="L1655" s="295"/>
      <c r="M1655" s="294"/>
      <c r="R1655" s="326"/>
      <c r="S1655" s="326"/>
      <c r="T1655" s="294"/>
      <c r="U1655" s="294"/>
      <c r="V1655" s="294"/>
      <c r="W1655" s="294"/>
      <c r="X1655" s="1182"/>
      <c r="Y1655" s="1182"/>
      <c r="Z1655" s="1166"/>
      <c r="AA1655" s="1166"/>
      <c r="AB1655" s="1182"/>
      <c r="AC1655" s="294"/>
      <c r="AD1655" s="294"/>
      <c r="AE1655" s="294"/>
      <c r="AF1655" s="294"/>
      <c r="AG1655" s="294"/>
      <c r="AH1655" s="294"/>
      <c r="AI1655" s="294"/>
      <c r="AJ1655" s="294"/>
    </row>
    <row r="1656" spans="2:36" x14ac:dyDescent="0.25">
      <c r="B1656" s="294"/>
      <c r="C1656" s="294"/>
      <c r="D1656" s="294"/>
      <c r="E1656" s="294"/>
      <c r="F1656" s="294"/>
      <c r="G1656" s="294"/>
      <c r="H1656" s="294"/>
      <c r="I1656" s="294"/>
      <c r="J1656" s="294"/>
      <c r="L1656" s="295"/>
      <c r="M1656" s="294"/>
      <c r="R1656" s="326"/>
      <c r="S1656" s="326"/>
      <c r="T1656" s="294"/>
      <c r="U1656" s="294"/>
      <c r="V1656" s="294"/>
      <c r="W1656" s="294"/>
      <c r="X1656" s="1182"/>
      <c r="Y1656" s="1182"/>
      <c r="Z1656" s="1166"/>
      <c r="AA1656" s="1166"/>
      <c r="AB1656" s="1182"/>
      <c r="AC1656" s="294"/>
      <c r="AD1656" s="294"/>
      <c r="AE1656" s="294"/>
      <c r="AF1656" s="294"/>
      <c r="AG1656" s="294"/>
      <c r="AH1656" s="294"/>
      <c r="AI1656" s="294"/>
      <c r="AJ1656" s="294"/>
    </row>
    <row r="1657" spans="2:36" x14ac:dyDescent="0.25">
      <c r="B1657" s="294"/>
      <c r="C1657" s="294"/>
      <c r="D1657" s="294"/>
      <c r="E1657" s="294"/>
      <c r="F1657" s="294"/>
      <c r="G1657" s="294"/>
      <c r="H1657" s="294"/>
      <c r="I1657" s="294"/>
      <c r="J1657" s="294"/>
      <c r="L1657" s="295"/>
      <c r="M1657" s="294"/>
      <c r="R1657" s="326"/>
      <c r="S1657" s="326"/>
      <c r="T1657" s="294"/>
      <c r="U1657" s="294"/>
      <c r="V1657" s="294"/>
      <c r="W1657" s="294"/>
      <c r="X1657" s="1182"/>
      <c r="Y1657" s="1182"/>
      <c r="Z1657" s="1166"/>
      <c r="AA1657" s="1166"/>
      <c r="AB1657" s="1182"/>
      <c r="AC1657" s="294"/>
      <c r="AD1657" s="294"/>
      <c r="AE1657" s="294"/>
      <c r="AF1657" s="294"/>
      <c r="AG1657" s="294"/>
      <c r="AH1657" s="294"/>
      <c r="AI1657" s="294"/>
      <c r="AJ1657" s="294"/>
    </row>
    <row r="1658" spans="2:36" x14ac:dyDescent="0.25">
      <c r="B1658" s="294"/>
      <c r="C1658" s="294"/>
      <c r="D1658" s="294"/>
      <c r="E1658" s="294"/>
      <c r="F1658" s="294"/>
      <c r="G1658" s="294"/>
      <c r="H1658" s="294"/>
      <c r="I1658" s="294"/>
      <c r="J1658" s="294"/>
      <c r="L1658" s="295"/>
      <c r="M1658" s="294"/>
      <c r="R1658" s="326"/>
      <c r="S1658" s="326"/>
      <c r="T1658" s="294"/>
      <c r="U1658" s="294"/>
      <c r="V1658" s="294"/>
      <c r="W1658" s="294"/>
      <c r="X1658" s="1182"/>
      <c r="Y1658" s="1182"/>
      <c r="Z1658" s="1166"/>
      <c r="AA1658" s="1166"/>
      <c r="AB1658" s="1182"/>
      <c r="AC1658" s="294"/>
      <c r="AD1658" s="294"/>
      <c r="AE1658" s="294"/>
      <c r="AF1658" s="294"/>
      <c r="AG1658" s="294"/>
      <c r="AH1658" s="294"/>
      <c r="AI1658" s="294"/>
      <c r="AJ1658" s="294"/>
    </row>
    <row r="1659" spans="2:36" x14ac:dyDescent="0.25">
      <c r="B1659" s="294"/>
      <c r="C1659" s="294"/>
      <c r="D1659" s="294"/>
      <c r="E1659" s="294"/>
      <c r="F1659" s="294"/>
      <c r="G1659" s="294"/>
      <c r="H1659" s="294"/>
      <c r="I1659" s="294"/>
      <c r="J1659" s="294"/>
      <c r="L1659" s="295"/>
      <c r="M1659" s="294"/>
      <c r="R1659" s="326"/>
      <c r="S1659" s="326"/>
      <c r="T1659" s="294"/>
      <c r="U1659" s="294"/>
      <c r="V1659" s="294"/>
      <c r="W1659" s="294"/>
      <c r="X1659" s="1182"/>
      <c r="Y1659" s="1182"/>
      <c r="Z1659" s="1166"/>
      <c r="AA1659" s="1166"/>
      <c r="AB1659" s="1182"/>
      <c r="AC1659" s="294"/>
      <c r="AD1659" s="294"/>
      <c r="AE1659" s="294"/>
      <c r="AF1659" s="294"/>
      <c r="AG1659" s="294"/>
      <c r="AH1659" s="294"/>
      <c r="AI1659" s="294"/>
      <c r="AJ1659" s="294"/>
    </row>
    <row r="1660" spans="2:36" x14ac:dyDescent="0.25">
      <c r="B1660" s="294"/>
      <c r="C1660" s="294"/>
      <c r="D1660" s="294"/>
      <c r="E1660" s="294"/>
      <c r="F1660" s="294"/>
      <c r="G1660" s="294"/>
      <c r="H1660" s="294"/>
      <c r="I1660" s="294"/>
      <c r="J1660" s="294"/>
      <c r="L1660" s="295"/>
      <c r="M1660" s="294"/>
      <c r="R1660" s="326"/>
      <c r="S1660" s="326"/>
      <c r="T1660" s="294"/>
      <c r="U1660" s="294"/>
      <c r="V1660" s="294"/>
      <c r="W1660" s="294"/>
      <c r="X1660" s="1182"/>
      <c r="Y1660" s="1182"/>
      <c r="Z1660" s="1166"/>
      <c r="AA1660" s="1166"/>
      <c r="AB1660" s="1182"/>
      <c r="AC1660" s="294"/>
      <c r="AD1660" s="294"/>
      <c r="AE1660" s="294"/>
      <c r="AF1660" s="294"/>
      <c r="AG1660" s="294"/>
      <c r="AH1660" s="294"/>
      <c r="AI1660" s="294"/>
      <c r="AJ1660" s="294"/>
    </row>
    <row r="1661" spans="2:36" x14ac:dyDescent="0.25">
      <c r="B1661" s="294"/>
      <c r="C1661" s="294"/>
      <c r="D1661" s="294"/>
      <c r="E1661" s="294"/>
      <c r="F1661" s="294"/>
      <c r="G1661" s="294"/>
      <c r="H1661" s="294"/>
      <c r="I1661" s="294"/>
      <c r="J1661" s="294"/>
      <c r="L1661" s="295"/>
      <c r="M1661" s="294"/>
      <c r="R1661" s="326"/>
      <c r="S1661" s="326"/>
      <c r="T1661" s="294"/>
      <c r="U1661" s="294"/>
      <c r="V1661" s="294"/>
      <c r="W1661" s="294"/>
      <c r="X1661" s="1182"/>
      <c r="Y1661" s="1182"/>
      <c r="Z1661" s="1166"/>
      <c r="AA1661" s="1166"/>
      <c r="AB1661" s="1182"/>
      <c r="AC1661" s="294"/>
      <c r="AD1661" s="294"/>
      <c r="AE1661" s="294"/>
      <c r="AF1661" s="294"/>
      <c r="AG1661" s="294"/>
      <c r="AH1661" s="294"/>
      <c r="AI1661" s="294"/>
      <c r="AJ1661" s="294"/>
    </row>
    <row r="1662" spans="2:36" x14ac:dyDescent="0.25">
      <c r="B1662" s="294"/>
      <c r="C1662" s="294"/>
      <c r="D1662" s="294"/>
      <c r="E1662" s="294"/>
      <c r="F1662" s="294"/>
      <c r="G1662" s="294"/>
      <c r="H1662" s="294"/>
      <c r="I1662" s="294"/>
      <c r="J1662" s="294"/>
      <c r="L1662" s="295"/>
      <c r="M1662" s="294"/>
      <c r="R1662" s="326"/>
      <c r="S1662" s="326"/>
      <c r="T1662" s="294"/>
      <c r="U1662" s="294"/>
      <c r="V1662" s="294"/>
      <c r="W1662" s="294"/>
      <c r="X1662" s="1182"/>
      <c r="Y1662" s="1182"/>
      <c r="Z1662" s="1166"/>
      <c r="AA1662" s="1166"/>
      <c r="AB1662" s="1182"/>
      <c r="AC1662" s="294"/>
      <c r="AD1662" s="294"/>
      <c r="AE1662" s="294"/>
      <c r="AF1662" s="294"/>
      <c r="AG1662" s="294"/>
      <c r="AH1662" s="294"/>
      <c r="AI1662" s="294"/>
      <c r="AJ1662" s="294"/>
    </row>
    <row r="1663" spans="2:36" x14ac:dyDescent="0.25">
      <c r="B1663" s="294"/>
      <c r="C1663" s="294"/>
      <c r="D1663" s="294"/>
      <c r="E1663" s="294"/>
      <c r="F1663" s="294"/>
      <c r="G1663" s="294"/>
      <c r="H1663" s="294"/>
      <c r="I1663" s="294"/>
      <c r="J1663" s="294"/>
      <c r="L1663" s="295"/>
      <c r="M1663" s="294"/>
      <c r="R1663" s="326"/>
      <c r="S1663" s="326"/>
      <c r="T1663" s="294"/>
      <c r="U1663" s="294"/>
      <c r="V1663" s="294"/>
      <c r="W1663" s="294"/>
      <c r="X1663" s="1182"/>
      <c r="Y1663" s="1182"/>
      <c r="Z1663" s="1166"/>
      <c r="AA1663" s="1166"/>
      <c r="AB1663" s="1182"/>
      <c r="AC1663" s="294"/>
      <c r="AD1663" s="294"/>
      <c r="AE1663" s="294"/>
      <c r="AF1663" s="294"/>
      <c r="AG1663" s="294"/>
      <c r="AH1663" s="294"/>
      <c r="AI1663" s="294"/>
      <c r="AJ1663" s="294"/>
    </row>
    <row r="1664" spans="2:36" x14ac:dyDescent="0.25">
      <c r="B1664" s="294"/>
      <c r="C1664" s="294"/>
      <c r="D1664" s="294"/>
      <c r="E1664" s="294"/>
      <c r="F1664" s="294"/>
      <c r="G1664" s="294"/>
      <c r="H1664" s="294"/>
      <c r="I1664" s="294"/>
      <c r="J1664" s="294"/>
      <c r="L1664" s="295"/>
      <c r="M1664" s="294"/>
      <c r="R1664" s="326"/>
      <c r="S1664" s="326"/>
      <c r="T1664" s="294"/>
      <c r="U1664" s="294"/>
      <c r="V1664" s="294"/>
      <c r="W1664" s="294"/>
      <c r="X1664" s="1182"/>
      <c r="Y1664" s="1182"/>
      <c r="Z1664" s="1166"/>
      <c r="AA1664" s="1166"/>
      <c r="AB1664" s="1182"/>
      <c r="AC1664" s="294"/>
      <c r="AD1664" s="294"/>
      <c r="AE1664" s="294"/>
      <c r="AF1664" s="294"/>
      <c r="AG1664" s="294"/>
      <c r="AH1664" s="294"/>
      <c r="AI1664" s="294"/>
      <c r="AJ1664" s="294"/>
    </row>
    <row r="1665" spans="2:36" x14ac:dyDescent="0.25">
      <c r="B1665" s="294"/>
      <c r="C1665" s="294"/>
      <c r="D1665" s="294"/>
      <c r="E1665" s="294"/>
      <c r="F1665" s="294"/>
      <c r="G1665" s="294"/>
      <c r="H1665" s="294"/>
      <c r="I1665" s="294"/>
      <c r="J1665" s="294"/>
      <c r="L1665" s="295"/>
      <c r="M1665" s="294"/>
      <c r="R1665" s="326"/>
      <c r="S1665" s="326"/>
      <c r="T1665" s="294"/>
      <c r="U1665" s="294"/>
      <c r="V1665" s="294"/>
      <c r="W1665" s="294"/>
      <c r="X1665" s="1182"/>
      <c r="Y1665" s="1182"/>
      <c r="Z1665" s="1166"/>
      <c r="AA1665" s="1166"/>
      <c r="AB1665" s="1182"/>
      <c r="AC1665" s="294"/>
      <c r="AD1665" s="294"/>
      <c r="AE1665" s="294"/>
      <c r="AF1665" s="294"/>
      <c r="AG1665" s="294"/>
      <c r="AH1665" s="294"/>
      <c r="AI1665" s="294"/>
      <c r="AJ1665" s="294"/>
    </row>
    <row r="1666" spans="2:36" x14ac:dyDescent="0.25">
      <c r="B1666" s="294"/>
      <c r="C1666" s="294"/>
      <c r="D1666" s="294"/>
      <c r="E1666" s="294"/>
      <c r="F1666" s="294"/>
      <c r="G1666" s="294"/>
      <c r="H1666" s="294"/>
      <c r="I1666" s="294"/>
      <c r="J1666" s="294"/>
      <c r="L1666" s="295"/>
      <c r="M1666" s="294"/>
      <c r="R1666" s="326"/>
      <c r="S1666" s="326"/>
      <c r="T1666" s="294"/>
      <c r="U1666" s="294"/>
      <c r="V1666" s="294"/>
      <c r="W1666" s="294"/>
      <c r="X1666" s="1182"/>
      <c r="Y1666" s="1182"/>
      <c r="Z1666" s="1166"/>
      <c r="AA1666" s="1166"/>
      <c r="AB1666" s="1182"/>
      <c r="AC1666" s="294"/>
      <c r="AD1666" s="294"/>
      <c r="AE1666" s="294"/>
      <c r="AF1666" s="294"/>
      <c r="AG1666" s="294"/>
      <c r="AH1666" s="294"/>
      <c r="AI1666" s="294"/>
      <c r="AJ1666" s="294"/>
    </row>
    <row r="1667" spans="2:36" x14ac:dyDescent="0.25">
      <c r="B1667" s="294"/>
      <c r="C1667" s="294"/>
      <c r="D1667" s="294"/>
      <c r="E1667" s="294"/>
      <c r="F1667" s="294"/>
      <c r="G1667" s="294"/>
      <c r="H1667" s="294"/>
      <c r="I1667" s="294"/>
      <c r="J1667" s="294"/>
      <c r="L1667" s="295"/>
      <c r="M1667" s="294"/>
      <c r="R1667" s="326"/>
      <c r="S1667" s="326"/>
      <c r="T1667" s="294"/>
      <c r="U1667" s="294"/>
      <c r="V1667" s="294"/>
      <c r="W1667" s="294"/>
      <c r="X1667" s="1182"/>
      <c r="Y1667" s="1182"/>
      <c r="Z1667" s="1166"/>
      <c r="AA1667" s="1166"/>
      <c r="AB1667" s="1182"/>
      <c r="AC1667" s="294"/>
      <c r="AD1667" s="294"/>
      <c r="AE1667" s="294"/>
      <c r="AF1667" s="294"/>
      <c r="AG1667" s="294"/>
      <c r="AH1667" s="294"/>
      <c r="AI1667" s="294"/>
      <c r="AJ1667" s="294"/>
    </row>
    <row r="1668" spans="2:36" x14ac:dyDescent="0.25">
      <c r="B1668" s="294"/>
      <c r="C1668" s="294"/>
      <c r="D1668" s="294"/>
      <c r="E1668" s="294"/>
      <c r="F1668" s="294"/>
      <c r="G1668" s="294"/>
      <c r="H1668" s="294"/>
      <c r="I1668" s="294"/>
      <c r="J1668" s="294"/>
      <c r="L1668" s="295"/>
      <c r="M1668" s="294"/>
      <c r="R1668" s="326"/>
      <c r="S1668" s="326"/>
      <c r="T1668" s="294"/>
      <c r="U1668" s="294"/>
      <c r="V1668" s="294"/>
      <c r="W1668" s="294"/>
      <c r="X1668" s="1182"/>
      <c r="Y1668" s="1182"/>
      <c r="Z1668" s="1166"/>
      <c r="AA1668" s="1166"/>
      <c r="AB1668" s="1182"/>
      <c r="AC1668" s="294"/>
      <c r="AD1668" s="294"/>
      <c r="AE1668" s="294"/>
      <c r="AF1668" s="294"/>
      <c r="AG1668" s="294"/>
      <c r="AH1668" s="294"/>
      <c r="AI1668" s="294"/>
      <c r="AJ1668" s="294"/>
    </row>
    <row r="1669" spans="2:36" x14ac:dyDescent="0.25">
      <c r="B1669" s="294"/>
      <c r="C1669" s="294"/>
      <c r="D1669" s="294"/>
      <c r="E1669" s="294"/>
      <c r="F1669" s="294"/>
      <c r="G1669" s="294"/>
      <c r="H1669" s="294"/>
      <c r="I1669" s="294"/>
      <c r="J1669" s="294"/>
      <c r="L1669" s="295"/>
      <c r="M1669" s="294"/>
      <c r="R1669" s="326"/>
      <c r="S1669" s="326"/>
      <c r="T1669" s="294"/>
      <c r="U1669" s="294"/>
      <c r="V1669" s="294"/>
      <c r="W1669" s="294"/>
      <c r="X1669" s="1182"/>
      <c r="Y1669" s="1182"/>
      <c r="Z1669" s="1166"/>
      <c r="AA1669" s="1166"/>
      <c r="AB1669" s="1182"/>
      <c r="AC1669" s="294"/>
      <c r="AD1669" s="294"/>
      <c r="AE1669" s="294"/>
      <c r="AF1669" s="294"/>
      <c r="AG1669" s="294"/>
      <c r="AH1669" s="294"/>
      <c r="AI1669" s="294"/>
      <c r="AJ1669" s="294"/>
    </row>
    <row r="1670" spans="2:36" x14ac:dyDescent="0.25">
      <c r="B1670" s="294"/>
      <c r="C1670" s="294"/>
      <c r="D1670" s="294"/>
      <c r="E1670" s="294"/>
      <c r="F1670" s="294"/>
      <c r="G1670" s="294"/>
      <c r="H1670" s="294"/>
      <c r="I1670" s="294"/>
      <c r="J1670" s="294"/>
      <c r="L1670" s="295"/>
      <c r="M1670" s="294"/>
      <c r="R1670" s="326"/>
      <c r="S1670" s="326"/>
      <c r="T1670" s="294"/>
      <c r="U1670" s="294"/>
      <c r="V1670" s="294"/>
      <c r="W1670" s="294"/>
      <c r="X1670" s="1182"/>
      <c r="Y1670" s="1182"/>
      <c r="Z1670" s="1166"/>
      <c r="AA1670" s="1166"/>
      <c r="AB1670" s="1182"/>
      <c r="AC1670" s="294"/>
      <c r="AD1670" s="294"/>
      <c r="AE1670" s="294"/>
      <c r="AF1670" s="294"/>
      <c r="AG1670" s="294"/>
      <c r="AH1670" s="294"/>
      <c r="AI1670" s="294"/>
      <c r="AJ1670" s="294"/>
    </row>
    <row r="1671" spans="2:36" x14ac:dyDescent="0.25">
      <c r="B1671" s="294"/>
      <c r="C1671" s="294"/>
      <c r="D1671" s="294"/>
      <c r="E1671" s="294"/>
      <c r="F1671" s="294"/>
      <c r="G1671" s="294"/>
      <c r="H1671" s="294"/>
      <c r="I1671" s="294"/>
      <c r="J1671" s="294"/>
      <c r="L1671" s="295"/>
      <c r="M1671" s="294"/>
      <c r="R1671" s="326"/>
      <c r="S1671" s="326"/>
      <c r="T1671" s="294"/>
      <c r="U1671" s="294"/>
      <c r="V1671" s="294"/>
      <c r="W1671" s="294"/>
      <c r="X1671" s="1182"/>
      <c r="Y1671" s="1182"/>
      <c r="Z1671" s="1166"/>
      <c r="AA1671" s="1166"/>
      <c r="AB1671" s="1182"/>
      <c r="AC1671" s="294"/>
      <c r="AD1671" s="294"/>
      <c r="AE1671" s="294"/>
      <c r="AF1671" s="294"/>
      <c r="AG1671" s="294"/>
      <c r="AH1671" s="294"/>
      <c r="AI1671" s="294"/>
      <c r="AJ1671" s="294"/>
    </row>
    <row r="1672" spans="2:36" x14ac:dyDescent="0.25">
      <c r="B1672" s="294"/>
      <c r="C1672" s="294"/>
      <c r="D1672" s="294"/>
      <c r="E1672" s="294"/>
      <c r="F1672" s="294"/>
      <c r="G1672" s="294"/>
      <c r="H1672" s="294"/>
      <c r="I1672" s="294"/>
      <c r="J1672" s="294"/>
      <c r="L1672" s="295"/>
      <c r="M1672" s="294"/>
      <c r="R1672" s="326"/>
      <c r="S1672" s="326"/>
      <c r="T1672" s="294"/>
      <c r="U1672" s="294"/>
      <c r="V1672" s="294"/>
      <c r="W1672" s="294"/>
      <c r="X1672" s="1182"/>
      <c r="Y1672" s="1182"/>
      <c r="Z1672" s="1166"/>
      <c r="AA1672" s="1166"/>
      <c r="AB1672" s="1182"/>
      <c r="AC1672" s="294"/>
      <c r="AD1672" s="294"/>
      <c r="AE1672" s="294"/>
      <c r="AF1672" s="294"/>
      <c r="AG1672" s="294"/>
      <c r="AH1672" s="294"/>
      <c r="AI1672" s="294"/>
      <c r="AJ1672" s="294"/>
    </row>
    <row r="1673" spans="2:36" x14ac:dyDescent="0.25">
      <c r="B1673" s="294"/>
      <c r="C1673" s="294"/>
      <c r="D1673" s="294"/>
      <c r="E1673" s="294"/>
      <c r="F1673" s="294"/>
      <c r="G1673" s="294"/>
      <c r="H1673" s="294"/>
      <c r="I1673" s="294"/>
      <c r="J1673" s="294"/>
      <c r="L1673" s="295"/>
      <c r="M1673" s="294"/>
      <c r="R1673" s="326"/>
      <c r="S1673" s="326"/>
      <c r="T1673" s="294"/>
      <c r="U1673" s="294"/>
      <c r="V1673" s="294"/>
      <c r="W1673" s="294"/>
      <c r="X1673" s="1182"/>
      <c r="Y1673" s="1182"/>
      <c r="Z1673" s="1166"/>
      <c r="AA1673" s="1166"/>
      <c r="AB1673" s="1182"/>
      <c r="AC1673" s="294"/>
      <c r="AD1673" s="294"/>
      <c r="AE1673" s="294"/>
      <c r="AF1673" s="294"/>
      <c r="AG1673" s="294"/>
      <c r="AH1673" s="294"/>
      <c r="AI1673" s="294"/>
      <c r="AJ1673" s="294"/>
    </row>
    <row r="1674" spans="2:36" x14ac:dyDescent="0.25">
      <c r="B1674" s="294"/>
      <c r="C1674" s="294"/>
      <c r="D1674" s="294"/>
      <c r="E1674" s="294"/>
      <c r="F1674" s="294"/>
      <c r="G1674" s="294"/>
      <c r="H1674" s="294"/>
      <c r="I1674" s="294"/>
      <c r="J1674" s="294"/>
      <c r="L1674" s="295"/>
      <c r="M1674" s="294"/>
      <c r="R1674" s="326"/>
      <c r="S1674" s="326"/>
      <c r="T1674" s="294"/>
      <c r="U1674" s="294"/>
      <c r="V1674" s="294"/>
      <c r="W1674" s="294"/>
      <c r="X1674" s="1182"/>
      <c r="Y1674" s="1182"/>
      <c r="Z1674" s="1166"/>
      <c r="AA1674" s="1166"/>
      <c r="AB1674" s="1182"/>
      <c r="AC1674" s="294"/>
      <c r="AD1674" s="294"/>
      <c r="AE1674" s="294"/>
      <c r="AF1674" s="294"/>
      <c r="AG1674" s="294"/>
      <c r="AH1674" s="294"/>
      <c r="AI1674" s="294"/>
      <c r="AJ1674" s="294"/>
    </row>
    <row r="1675" spans="2:36" x14ac:dyDescent="0.25">
      <c r="B1675" s="294"/>
      <c r="C1675" s="294"/>
      <c r="D1675" s="294"/>
      <c r="E1675" s="294"/>
      <c r="F1675" s="294"/>
      <c r="G1675" s="294"/>
      <c r="H1675" s="294"/>
      <c r="I1675" s="294"/>
      <c r="J1675" s="294"/>
      <c r="L1675" s="295"/>
      <c r="M1675" s="294"/>
      <c r="R1675" s="326"/>
      <c r="S1675" s="326"/>
      <c r="T1675" s="294"/>
      <c r="U1675" s="294"/>
      <c r="V1675" s="294"/>
      <c r="W1675" s="294"/>
      <c r="X1675" s="1182"/>
      <c r="Y1675" s="1182"/>
      <c r="Z1675" s="1166"/>
      <c r="AA1675" s="1166"/>
      <c r="AB1675" s="1182"/>
      <c r="AC1675" s="294"/>
      <c r="AD1675" s="294"/>
      <c r="AE1675" s="294"/>
      <c r="AF1675" s="294"/>
      <c r="AG1675" s="294"/>
      <c r="AH1675" s="294"/>
      <c r="AI1675" s="294"/>
      <c r="AJ1675" s="294"/>
    </row>
    <row r="1676" spans="2:36" x14ac:dyDescent="0.25">
      <c r="B1676" s="294"/>
      <c r="C1676" s="294"/>
      <c r="D1676" s="294"/>
      <c r="E1676" s="294"/>
      <c r="F1676" s="294"/>
      <c r="G1676" s="294"/>
      <c r="H1676" s="294"/>
      <c r="I1676" s="294"/>
      <c r="J1676" s="294"/>
      <c r="L1676" s="295"/>
      <c r="M1676" s="294"/>
      <c r="R1676" s="326"/>
      <c r="S1676" s="326"/>
      <c r="T1676" s="294"/>
      <c r="U1676" s="294"/>
      <c r="V1676" s="294"/>
      <c r="W1676" s="294"/>
      <c r="X1676" s="1182"/>
      <c r="Y1676" s="1182"/>
      <c r="Z1676" s="1166"/>
      <c r="AA1676" s="1166"/>
      <c r="AB1676" s="1182"/>
      <c r="AC1676" s="294"/>
      <c r="AD1676" s="294"/>
      <c r="AE1676" s="294"/>
      <c r="AF1676" s="294"/>
      <c r="AG1676" s="294"/>
      <c r="AH1676" s="294"/>
      <c r="AI1676" s="294"/>
      <c r="AJ1676" s="294"/>
    </row>
    <row r="1677" spans="2:36" x14ac:dyDescent="0.25">
      <c r="B1677" s="294"/>
      <c r="C1677" s="294"/>
      <c r="D1677" s="294"/>
      <c r="E1677" s="294"/>
      <c r="F1677" s="294"/>
      <c r="G1677" s="294"/>
      <c r="H1677" s="294"/>
      <c r="I1677" s="294"/>
      <c r="J1677" s="294"/>
      <c r="L1677" s="295"/>
      <c r="M1677" s="294"/>
      <c r="R1677" s="326"/>
      <c r="S1677" s="326"/>
      <c r="T1677" s="294"/>
      <c r="U1677" s="294"/>
      <c r="V1677" s="294"/>
      <c r="W1677" s="294"/>
      <c r="X1677" s="1182"/>
      <c r="Y1677" s="1182"/>
      <c r="Z1677" s="1166"/>
      <c r="AA1677" s="1166"/>
      <c r="AB1677" s="1182"/>
      <c r="AC1677" s="294"/>
      <c r="AD1677" s="294"/>
      <c r="AE1677" s="294"/>
      <c r="AF1677" s="294"/>
      <c r="AG1677" s="294"/>
      <c r="AH1677" s="294"/>
      <c r="AI1677" s="294"/>
      <c r="AJ1677" s="294"/>
    </row>
    <row r="1678" spans="2:36" x14ac:dyDescent="0.25">
      <c r="B1678" s="294"/>
      <c r="C1678" s="294"/>
      <c r="D1678" s="294"/>
      <c r="E1678" s="294"/>
      <c r="F1678" s="294"/>
      <c r="G1678" s="294"/>
      <c r="H1678" s="294"/>
      <c r="I1678" s="294"/>
      <c r="J1678" s="294"/>
      <c r="L1678" s="295"/>
      <c r="M1678" s="294"/>
      <c r="R1678" s="326"/>
      <c r="S1678" s="326"/>
      <c r="T1678" s="294"/>
      <c r="U1678" s="294"/>
      <c r="V1678" s="294"/>
      <c r="W1678" s="294"/>
      <c r="X1678" s="1182"/>
      <c r="Y1678" s="1182"/>
      <c r="Z1678" s="1166"/>
      <c r="AA1678" s="1166"/>
      <c r="AB1678" s="1182"/>
      <c r="AC1678" s="294"/>
      <c r="AD1678" s="294"/>
      <c r="AE1678" s="294"/>
      <c r="AF1678" s="294"/>
      <c r="AG1678" s="294"/>
      <c r="AH1678" s="294"/>
      <c r="AI1678" s="294"/>
      <c r="AJ1678" s="294"/>
    </row>
    <row r="1679" spans="2:36" x14ac:dyDescent="0.25">
      <c r="B1679" s="294"/>
      <c r="C1679" s="294"/>
      <c r="D1679" s="294"/>
      <c r="E1679" s="294"/>
      <c r="F1679" s="294"/>
      <c r="G1679" s="294"/>
      <c r="H1679" s="294"/>
      <c r="I1679" s="294"/>
      <c r="J1679" s="294"/>
      <c r="L1679" s="295"/>
      <c r="M1679" s="294"/>
      <c r="R1679" s="326"/>
      <c r="S1679" s="326"/>
      <c r="T1679" s="294"/>
      <c r="U1679" s="294"/>
      <c r="V1679" s="294"/>
      <c r="W1679" s="294"/>
      <c r="X1679" s="1182"/>
      <c r="Y1679" s="1182"/>
      <c r="Z1679" s="1166"/>
      <c r="AA1679" s="1166"/>
      <c r="AB1679" s="1182"/>
      <c r="AC1679" s="294"/>
      <c r="AD1679" s="294"/>
      <c r="AE1679" s="294"/>
      <c r="AF1679" s="294"/>
      <c r="AG1679" s="294"/>
      <c r="AH1679" s="294"/>
      <c r="AI1679" s="294"/>
      <c r="AJ1679" s="294"/>
    </row>
    <row r="1680" spans="2:36" x14ac:dyDescent="0.25">
      <c r="B1680" s="294"/>
      <c r="C1680" s="294"/>
      <c r="D1680" s="294"/>
      <c r="E1680" s="294"/>
      <c r="F1680" s="294"/>
      <c r="G1680" s="294"/>
      <c r="H1680" s="294"/>
      <c r="I1680" s="294"/>
      <c r="J1680" s="294"/>
      <c r="L1680" s="295"/>
      <c r="M1680" s="294"/>
      <c r="R1680" s="326"/>
      <c r="S1680" s="326"/>
      <c r="T1680" s="294"/>
      <c r="U1680" s="294"/>
      <c r="V1680" s="294"/>
      <c r="W1680" s="294"/>
      <c r="X1680" s="1182"/>
      <c r="Y1680" s="1182"/>
      <c r="Z1680" s="1166"/>
      <c r="AA1680" s="1166"/>
      <c r="AB1680" s="1182"/>
      <c r="AC1680" s="294"/>
      <c r="AD1680" s="294"/>
      <c r="AE1680" s="294"/>
      <c r="AF1680" s="294"/>
      <c r="AG1680" s="294"/>
      <c r="AH1680" s="294"/>
      <c r="AI1680" s="294"/>
      <c r="AJ1680" s="294"/>
    </row>
    <row r="1681" spans="2:36" x14ac:dyDescent="0.25">
      <c r="B1681" s="294"/>
      <c r="C1681" s="294"/>
      <c r="D1681" s="294"/>
      <c r="E1681" s="294"/>
      <c r="F1681" s="294"/>
      <c r="G1681" s="294"/>
      <c r="H1681" s="294"/>
      <c r="I1681" s="294"/>
      <c r="J1681" s="294"/>
      <c r="L1681" s="295"/>
      <c r="M1681" s="294"/>
      <c r="R1681" s="326"/>
      <c r="S1681" s="326"/>
      <c r="T1681" s="294"/>
      <c r="U1681" s="294"/>
      <c r="V1681" s="294"/>
      <c r="W1681" s="294"/>
      <c r="X1681" s="1182"/>
      <c r="Y1681" s="1182"/>
      <c r="Z1681" s="1166"/>
      <c r="AA1681" s="1166"/>
      <c r="AB1681" s="1182"/>
      <c r="AC1681" s="294"/>
      <c r="AD1681" s="294"/>
      <c r="AE1681" s="294"/>
      <c r="AF1681" s="294"/>
      <c r="AG1681" s="294"/>
      <c r="AH1681" s="294"/>
      <c r="AI1681" s="294"/>
      <c r="AJ1681" s="294"/>
    </row>
    <row r="1682" spans="2:36" x14ac:dyDescent="0.25">
      <c r="B1682" s="294"/>
      <c r="C1682" s="294"/>
      <c r="D1682" s="294"/>
      <c r="E1682" s="294"/>
      <c r="F1682" s="294"/>
      <c r="G1682" s="294"/>
      <c r="H1682" s="294"/>
      <c r="I1682" s="294"/>
      <c r="J1682" s="294"/>
      <c r="L1682" s="295"/>
      <c r="M1682" s="294"/>
      <c r="R1682" s="326"/>
      <c r="S1682" s="326"/>
      <c r="T1682" s="294"/>
      <c r="U1682" s="294"/>
      <c r="V1682" s="294"/>
      <c r="W1682" s="294"/>
      <c r="X1682" s="1182"/>
      <c r="Y1682" s="1182"/>
      <c r="Z1682" s="1166"/>
      <c r="AA1682" s="1166"/>
      <c r="AB1682" s="1182"/>
      <c r="AC1682" s="294"/>
      <c r="AD1682" s="294"/>
      <c r="AE1682" s="294"/>
      <c r="AF1682" s="294"/>
      <c r="AG1682" s="294"/>
      <c r="AH1682" s="294"/>
      <c r="AI1682" s="294"/>
      <c r="AJ1682" s="294"/>
    </row>
    <row r="1683" spans="2:36" x14ac:dyDescent="0.25">
      <c r="B1683" s="294"/>
      <c r="C1683" s="294"/>
      <c r="D1683" s="294"/>
      <c r="E1683" s="294"/>
      <c r="F1683" s="294"/>
      <c r="G1683" s="294"/>
      <c r="H1683" s="294"/>
      <c r="I1683" s="294"/>
      <c r="J1683" s="294"/>
      <c r="L1683" s="295"/>
      <c r="M1683" s="294"/>
      <c r="R1683" s="326"/>
      <c r="S1683" s="326"/>
      <c r="T1683" s="294"/>
      <c r="U1683" s="294"/>
      <c r="V1683" s="294"/>
      <c r="W1683" s="294"/>
      <c r="X1683" s="1182"/>
      <c r="Y1683" s="1182"/>
      <c r="Z1683" s="1166"/>
      <c r="AA1683" s="1166"/>
      <c r="AB1683" s="1182"/>
      <c r="AC1683" s="294"/>
      <c r="AD1683" s="294"/>
      <c r="AE1683" s="294"/>
      <c r="AF1683" s="294"/>
      <c r="AG1683" s="294"/>
      <c r="AH1683" s="294"/>
      <c r="AI1683" s="294"/>
      <c r="AJ1683" s="294"/>
    </row>
    <row r="1684" spans="2:36" x14ac:dyDescent="0.25">
      <c r="B1684" s="294"/>
      <c r="C1684" s="294"/>
      <c r="D1684" s="294"/>
      <c r="E1684" s="294"/>
      <c r="F1684" s="294"/>
      <c r="G1684" s="294"/>
      <c r="H1684" s="294"/>
      <c r="I1684" s="294"/>
      <c r="J1684" s="294"/>
      <c r="L1684" s="295"/>
      <c r="M1684" s="294"/>
      <c r="R1684" s="326"/>
      <c r="S1684" s="326"/>
      <c r="T1684" s="294"/>
      <c r="U1684" s="294"/>
      <c r="V1684" s="294"/>
      <c r="W1684" s="294"/>
      <c r="X1684" s="1182"/>
      <c r="Y1684" s="1182"/>
      <c r="Z1684" s="1166"/>
      <c r="AA1684" s="1166"/>
      <c r="AB1684" s="1182"/>
      <c r="AC1684" s="294"/>
      <c r="AD1684" s="294"/>
      <c r="AE1684" s="294"/>
      <c r="AF1684" s="294"/>
      <c r="AG1684" s="294"/>
      <c r="AH1684" s="294"/>
      <c r="AI1684" s="294"/>
      <c r="AJ1684" s="294"/>
    </row>
    <row r="1685" spans="2:36" x14ac:dyDescent="0.25">
      <c r="B1685" s="294"/>
      <c r="C1685" s="294"/>
      <c r="D1685" s="294"/>
      <c r="E1685" s="294"/>
      <c r="F1685" s="294"/>
      <c r="G1685" s="294"/>
      <c r="H1685" s="294"/>
      <c r="I1685" s="294"/>
      <c r="J1685" s="294"/>
      <c r="L1685" s="295"/>
      <c r="M1685" s="294"/>
      <c r="R1685" s="326"/>
      <c r="S1685" s="326"/>
      <c r="T1685" s="294"/>
      <c r="U1685" s="294"/>
      <c r="V1685" s="294"/>
      <c r="W1685" s="294"/>
      <c r="X1685" s="1182"/>
      <c r="Y1685" s="1182"/>
      <c r="Z1685" s="1166"/>
      <c r="AA1685" s="1166"/>
      <c r="AB1685" s="1182"/>
      <c r="AC1685" s="294"/>
      <c r="AD1685" s="294"/>
      <c r="AE1685" s="294"/>
      <c r="AF1685" s="294"/>
      <c r="AG1685" s="294"/>
      <c r="AH1685" s="294"/>
      <c r="AI1685" s="294"/>
      <c r="AJ1685" s="294"/>
    </row>
    <row r="1686" spans="2:36" x14ac:dyDescent="0.25">
      <c r="B1686" s="294"/>
      <c r="C1686" s="294"/>
      <c r="D1686" s="294"/>
      <c r="E1686" s="294"/>
      <c r="F1686" s="294"/>
      <c r="G1686" s="294"/>
      <c r="H1686" s="294"/>
      <c r="I1686" s="294"/>
      <c r="J1686" s="294"/>
      <c r="L1686" s="295"/>
      <c r="M1686" s="294"/>
      <c r="R1686" s="326"/>
      <c r="S1686" s="326"/>
      <c r="T1686" s="294"/>
      <c r="U1686" s="294"/>
      <c r="V1686" s="294"/>
      <c r="W1686" s="294"/>
      <c r="X1686" s="1182"/>
      <c r="Y1686" s="1182"/>
      <c r="Z1686" s="1166"/>
      <c r="AA1686" s="1166"/>
      <c r="AB1686" s="1182"/>
      <c r="AC1686" s="294"/>
      <c r="AD1686" s="294"/>
      <c r="AE1686" s="294"/>
      <c r="AF1686" s="294"/>
      <c r="AG1686" s="294"/>
      <c r="AH1686" s="294"/>
      <c r="AI1686" s="294"/>
      <c r="AJ1686" s="294"/>
    </row>
    <row r="1687" spans="2:36" x14ac:dyDescent="0.25">
      <c r="B1687" s="294"/>
      <c r="C1687" s="294"/>
      <c r="D1687" s="294"/>
      <c r="E1687" s="294"/>
      <c r="F1687" s="294"/>
      <c r="G1687" s="294"/>
      <c r="H1687" s="294"/>
      <c r="I1687" s="294"/>
      <c r="J1687" s="294"/>
      <c r="L1687" s="295"/>
      <c r="M1687" s="294"/>
      <c r="R1687" s="326"/>
      <c r="S1687" s="326"/>
      <c r="T1687" s="294"/>
      <c r="U1687" s="294"/>
      <c r="V1687" s="294"/>
      <c r="W1687" s="294"/>
      <c r="X1687" s="1182"/>
      <c r="Y1687" s="1182"/>
      <c r="Z1687" s="1166"/>
      <c r="AA1687" s="1166"/>
      <c r="AB1687" s="1182"/>
      <c r="AC1687" s="294"/>
      <c r="AD1687" s="294"/>
      <c r="AE1687" s="294"/>
      <c r="AF1687" s="294"/>
      <c r="AG1687" s="294"/>
      <c r="AH1687" s="294"/>
      <c r="AI1687" s="294"/>
      <c r="AJ1687" s="294"/>
    </row>
    <row r="1688" spans="2:36" x14ac:dyDescent="0.25">
      <c r="B1688" s="294"/>
      <c r="C1688" s="294"/>
      <c r="D1688" s="294"/>
      <c r="E1688" s="294"/>
      <c r="F1688" s="294"/>
      <c r="G1688" s="294"/>
      <c r="H1688" s="294"/>
      <c r="I1688" s="294"/>
      <c r="J1688" s="294"/>
      <c r="L1688" s="295"/>
      <c r="M1688" s="294"/>
      <c r="R1688" s="326"/>
      <c r="S1688" s="326"/>
      <c r="T1688" s="294"/>
      <c r="U1688" s="294"/>
      <c r="V1688" s="294"/>
      <c r="W1688" s="294"/>
      <c r="X1688" s="1182"/>
      <c r="Y1688" s="1182"/>
      <c r="Z1688" s="1166"/>
      <c r="AA1688" s="1166"/>
      <c r="AB1688" s="1182"/>
      <c r="AC1688" s="294"/>
      <c r="AD1688" s="294"/>
      <c r="AE1688" s="294"/>
      <c r="AF1688" s="294"/>
      <c r="AG1688" s="294"/>
      <c r="AH1688" s="294"/>
      <c r="AI1688" s="294"/>
      <c r="AJ1688" s="294"/>
    </row>
    <row r="1689" spans="2:36" x14ac:dyDescent="0.25">
      <c r="B1689" s="294"/>
      <c r="C1689" s="294"/>
      <c r="D1689" s="294"/>
      <c r="E1689" s="294"/>
      <c r="F1689" s="294"/>
      <c r="G1689" s="294"/>
      <c r="H1689" s="294"/>
      <c r="I1689" s="294"/>
      <c r="J1689" s="294"/>
      <c r="L1689" s="295"/>
      <c r="M1689" s="294"/>
      <c r="R1689" s="326"/>
      <c r="S1689" s="326"/>
      <c r="T1689" s="294"/>
      <c r="U1689" s="294"/>
      <c r="V1689" s="294"/>
      <c r="W1689" s="294"/>
      <c r="X1689" s="1182"/>
      <c r="Y1689" s="1182"/>
      <c r="Z1689" s="1166"/>
      <c r="AA1689" s="1166"/>
      <c r="AB1689" s="1182"/>
      <c r="AC1689" s="294"/>
      <c r="AD1689" s="294"/>
      <c r="AE1689" s="294"/>
      <c r="AF1689" s="294"/>
      <c r="AG1689" s="294"/>
      <c r="AH1689" s="294"/>
      <c r="AI1689" s="294"/>
      <c r="AJ1689" s="294"/>
    </row>
    <row r="1690" spans="2:36" x14ac:dyDescent="0.25">
      <c r="B1690" s="294"/>
      <c r="C1690" s="294"/>
      <c r="D1690" s="294"/>
      <c r="E1690" s="294"/>
      <c r="F1690" s="294"/>
      <c r="G1690" s="294"/>
      <c r="H1690" s="294"/>
      <c r="I1690" s="294"/>
      <c r="J1690" s="294"/>
      <c r="L1690" s="295"/>
      <c r="M1690" s="294"/>
      <c r="R1690" s="326"/>
      <c r="S1690" s="326"/>
      <c r="T1690" s="294"/>
      <c r="U1690" s="294"/>
      <c r="V1690" s="294"/>
      <c r="W1690" s="294"/>
      <c r="X1690" s="1182"/>
      <c r="Y1690" s="1182"/>
      <c r="Z1690" s="1166"/>
      <c r="AA1690" s="1166"/>
      <c r="AB1690" s="1182"/>
      <c r="AC1690" s="294"/>
      <c r="AD1690" s="294"/>
      <c r="AE1690" s="294"/>
      <c r="AF1690" s="294"/>
      <c r="AG1690" s="294"/>
      <c r="AH1690" s="294"/>
      <c r="AI1690" s="294"/>
      <c r="AJ1690" s="294"/>
    </row>
    <row r="1691" spans="2:36" x14ac:dyDescent="0.25">
      <c r="B1691" s="294"/>
      <c r="C1691" s="294"/>
      <c r="D1691" s="294"/>
      <c r="E1691" s="294"/>
      <c r="F1691" s="294"/>
      <c r="G1691" s="294"/>
      <c r="H1691" s="294"/>
      <c r="I1691" s="294"/>
      <c r="J1691" s="294"/>
      <c r="L1691" s="295"/>
      <c r="M1691" s="294"/>
      <c r="R1691" s="326"/>
      <c r="S1691" s="326"/>
      <c r="T1691" s="294"/>
      <c r="U1691" s="294"/>
      <c r="V1691" s="294"/>
      <c r="W1691" s="294"/>
      <c r="X1691" s="1182"/>
      <c r="Y1691" s="1182"/>
      <c r="Z1691" s="1166"/>
      <c r="AA1691" s="1166"/>
      <c r="AB1691" s="1182"/>
      <c r="AC1691" s="294"/>
      <c r="AD1691" s="294"/>
      <c r="AE1691" s="294"/>
      <c r="AF1691" s="294"/>
      <c r="AG1691" s="294"/>
      <c r="AH1691" s="294"/>
      <c r="AI1691" s="294"/>
      <c r="AJ1691" s="294"/>
    </row>
    <row r="1692" spans="2:36" x14ac:dyDescent="0.25">
      <c r="B1692" s="294"/>
      <c r="C1692" s="294"/>
      <c r="D1692" s="294"/>
      <c r="E1692" s="294"/>
      <c r="F1692" s="294"/>
      <c r="G1692" s="294"/>
      <c r="H1692" s="294"/>
      <c r="I1692" s="294"/>
      <c r="J1692" s="294"/>
      <c r="L1692" s="295"/>
      <c r="M1692" s="294"/>
      <c r="R1692" s="326"/>
      <c r="S1692" s="326"/>
      <c r="T1692" s="294"/>
      <c r="U1692" s="294"/>
      <c r="V1692" s="294"/>
      <c r="W1692" s="294"/>
      <c r="X1692" s="1182"/>
      <c r="Y1692" s="1182"/>
      <c r="Z1692" s="1166"/>
      <c r="AA1692" s="1166"/>
      <c r="AB1692" s="1182"/>
      <c r="AC1692" s="294"/>
      <c r="AD1692" s="294"/>
      <c r="AE1692" s="294"/>
      <c r="AF1692" s="294"/>
      <c r="AG1692" s="294"/>
      <c r="AH1692" s="294"/>
      <c r="AI1692" s="294"/>
      <c r="AJ1692" s="294"/>
    </row>
    <row r="1693" spans="2:36" x14ac:dyDescent="0.25">
      <c r="B1693" s="294"/>
      <c r="C1693" s="294"/>
      <c r="D1693" s="294"/>
      <c r="E1693" s="294"/>
      <c r="F1693" s="294"/>
      <c r="G1693" s="294"/>
      <c r="H1693" s="294"/>
      <c r="I1693" s="294"/>
      <c r="J1693" s="294"/>
      <c r="L1693" s="295"/>
      <c r="M1693" s="294"/>
      <c r="R1693" s="326"/>
      <c r="S1693" s="326"/>
      <c r="T1693" s="294"/>
      <c r="U1693" s="294"/>
      <c r="V1693" s="294"/>
      <c r="W1693" s="294"/>
      <c r="X1693" s="1182"/>
      <c r="Y1693" s="1182"/>
      <c r="Z1693" s="1166"/>
      <c r="AA1693" s="1166"/>
      <c r="AB1693" s="1182"/>
      <c r="AC1693" s="294"/>
      <c r="AD1693" s="294"/>
      <c r="AE1693" s="294"/>
      <c r="AF1693" s="294"/>
      <c r="AG1693" s="294"/>
      <c r="AH1693" s="294"/>
      <c r="AI1693" s="294"/>
      <c r="AJ1693" s="294"/>
    </row>
    <row r="1694" spans="2:36" x14ac:dyDescent="0.25">
      <c r="B1694" s="294"/>
      <c r="C1694" s="294"/>
      <c r="D1694" s="294"/>
      <c r="E1694" s="294"/>
      <c r="F1694" s="294"/>
      <c r="G1694" s="294"/>
      <c r="H1694" s="294"/>
      <c r="I1694" s="294"/>
      <c r="J1694" s="294"/>
      <c r="L1694" s="295"/>
      <c r="M1694" s="294"/>
      <c r="R1694" s="326"/>
      <c r="S1694" s="326"/>
      <c r="T1694" s="294"/>
      <c r="U1694" s="294"/>
      <c r="V1694" s="294"/>
      <c r="W1694" s="294"/>
      <c r="X1694" s="1182"/>
      <c r="Y1694" s="1182"/>
      <c r="Z1694" s="1166"/>
      <c r="AA1694" s="1166"/>
      <c r="AB1694" s="1182"/>
      <c r="AC1694" s="294"/>
      <c r="AD1694" s="294"/>
      <c r="AE1694" s="294"/>
      <c r="AF1694" s="294"/>
      <c r="AG1694" s="294"/>
      <c r="AH1694" s="294"/>
      <c r="AI1694" s="294"/>
      <c r="AJ1694" s="294"/>
    </row>
    <row r="1695" spans="2:36" x14ac:dyDescent="0.25">
      <c r="B1695" s="294"/>
      <c r="C1695" s="294"/>
      <c r="D1695" s="294"/>
      <c r="E1695" s="294"/>
      <c r="F1695" s="294"/>
      <c r="G1695" s="294"/>
      <c r="H1695" s="294"/>
      <c r="I1695" s="294"/>
      <c r="J1695" s="294"/>
      <c r="L1695" s="295"/>
      <c r="M1695" s="294"/>
      <c r="R1695" s="326"/>
      <c r="S1695" s="326"/>
      <c r="T1695" s="294"/>
      <c r="U1695" s="294"/>
      <c r="V1695" s="294"/>
      <c r="W1695" s="294"/>
      <c r="X1695" s="1182"/>
      <c r="Y1695" s="1182"/>
      <c r="Z1695" s="1166"/>
      <c r="AA1695" s="1166"/>
      <c r="AB1695" s="1182"/>
      <c r="AC1695" s="294"/>
      <c r="AD1695" s="294"/>
      <c r="AE1695" s="294"/>
      <c r="AF1695" s="294"/>
      <c r="AG1695" s="294"/>
      <c r="AH1695" s="294"/>
      <c r="AI1695" s="294"/>
      <c r="AJ1695" s="294"/>
    </row>
    <row r="1696" spans="2:36" x14ac:dyDescent="0.25">
      <c r="B1696" s="294"/>
      <c r="C1696" s="294"/>
      <c r="D1696" s="294"/>
      <c r="E1696" s="294"/>
      <c r="F1696" s="294"/>
      <c r="G1696" s="294"/>
      <c r="H1696" s="294"/>
      <c r="I1696" s="294"/>
      <c r="J1696" s="294"/>
      <c r="L1696" s="295"/>
      <c r="M1696" s="294"/>
      <c r="R1696" s="326"/>
      <c r="S1696" s="326"/>
      <c r="T1696" s="294"/>
      <c r="U1696" s="294"/>
      <c r="V1696" s="294"/>
      <c r="W1696" s="294"/>
      <c r="X1696" s="1182"/>
      <c r="Y1696" s="1182"/>
      <c r="Z1696" s="1166"/>
      <c r="AA1696" s="1166"/>
      <c r="AB1696" s="1182"/>
      <c r="AC1696" s="294"/>
      <c r="AD1696" s="294"/>
      <c r="AE1696" s="294"/>
      <c r="AF1696" s="294"/>
      <c r="AG1696" s="294"/>
      <c r="AH1696" s="294"/>
      <c r="AI1696" s="294"/>
      <c r="AJ1696" s="294"/>
    </row>
    <row r="1697" spans="2:36" x14ac:dyDescent="0.25">
      <c r="B1697" s="294"/>
      <c r="C1697" s="294"/>
      <c r="D1697" s="294"/>
      <c r="E1697" s="294"/>
      <c r="F1697" s="294"/>
      <c r="G1697" s="294"/>
      <c r="H1697" s="294"/>
      <c r="I1697" s="294"/>
      <c r="J1697" s="294"/>
      <c r="L1697" s="295"/>
      <c r="M1697" s="294"/>
      <c r="R1697" s="326"/>
      <c r="S1697" s="326"/>
      <c r="T1697" s="294"/>
      <c r="U1697" s="294"/>
      <c r="V1697" s="294"/>
      <c r="W1697" s="294"/>
      <c r="X1697" s="1182"/>
      <c r="Y1697" s="1182"/>
      <c r="Z1697" s="1166"/>
      <c r="AA1697" s="1166"/>
      <c r="AB1697" s="1182"/>
      <c r="AC1697" s="294"/>
      <c r="AD1697" s="294"/>
      <c r="AE1697" s="294"/>
      <c r="AF1697" s="294"/>
      <c r="AG1697" s="294"/>
      <c r="AH1697" s="294"/>
      <c r="AI1697" s="294"/>
      <c r="AJ1697" s="294"/>
    </row>
    <row r="1698" spans="2:36" x14ac:dyDescent="0.25">
      <c r="B1698" s="294"/>
      <c r="C1698" s="294"/>
      <c r="D1698" s="294"/>
      <c r="E1698" s="294"/>
      <c r="F1698" s="294"/>
      <c r="G1698" s="294"/>
      <c r="H1698" s="294"/>
      <c r="I1698" s="294"/>
      <c r="J1698" s="294"/>
      <c r="L1698" s="295"/>
      <c r="M1698" s="294"/>
      <c r="R1698" s="326"/>
      <c r="S1698" s="326"/>
      <c r="T1698" s="294"/>
      <c r="U1698" s="294"/>
      <c r="V1698" s="294"/>
      <c r="W1698" s="294"/>
      <c r="X1698" s="1182"/>
      <c r="Y1698" s="1182"/>
      <c r="Z1698" s="1166"/>
      <c r="AA1698" s="1166"/>
      <c r="AB1698" s="1182"/>
      <c r="AC1698" s="294"/>
      <c r="AD1698" s="294"/>
      <c r="AE1698" s="294"/>
      <c r="AF1698" s="294"/>
      <c r="AG1698" s="294"/>
      <c r="AH1698" s="294"/>
      <c r="AI1698" s="294"/>
      <c r="AJ1698" s="294"/>
    </row>
    <row r="1699" spans="2:36" x14ac:dyDescent="0.25">
      <c r="B1699" s="294"/>
      <c r="C1699" s="294"/>
      <c r="D1699" s="294"/>
      <c r="E1699" s="294"/>
      <c r="F1699" s="294"/>
      <c r="G1699" s="294"/>
      <c r="H1699" s="294"/>
      <c r="I1699" s="294"/>
      <c r="J1699" s="294"/>
      <c r="L1699" s="295"/>
      <c r="M1699" s="294"/>
      <c r="R1699" s="326"/>
      <c r="S1699" s="326"/>
      <c r="T1699" s="294"/>
      <c r="U1699" s="294"/>
      <c r="V1699" s="294"/>
      <c r="W1699" s="294"/>
      <c r="X1699" s="1182"/>
      <c r="Y1699" s="1182"/>
      <c r="Z1699" s="1166"/>
      <c r="AA1699" s="1166"/>
      <c r="AB1699" s="1182"/>
      <c r="AC1699" s="294"/>
      <c r="AD1699" s="294"/>
      <c r="AE1699" s="294"/>
      <c r="AF1699" s="294"/>
      <c r="AG1699" s="294"/>
      <c r="AH1699" s="294"/>
      <c r="AI1699" s="294"/>
      <c r="AJ1699" s="294"/>
    </row>
    <row r="1700" spans="2:36" x14ac:dyDescent="0.25">
      <c r="B1700" s="294"/>
      <c r="C1700" s="294"/>
      <c r="D1700" s="294"/>
      <c r="E1700" s="294"/>
      <c r="F1700" s="294"/>
      <c r="G1700" s="294"/>
      <c r="H1700" s="294"/>
      <c r="I1700" s="294"/>
      <c r="J1700" s="294"/>
      <c r="L1700" s="295"/>
      <c r="M1700" s="294"/>
      <c r="R1700" s="326"/>
      <c r="S1700" s="326"/>
      <c r="T1700" s="294"/>
      <c r="U1700" s="294"/>
      <c r="V1700" s="294"/>
      <c r="W1700" s="294"/>
      <c r="X1700" s="1182"/>
      <c r="Y1700" s="1182"/>
      <c r="Z1700" s="1166"/>
      <c r="AA1700" s="1166"/>
      <c r="AB1700" s="1182"/>
      <c r="AC1700" s="294"/>
      <c r="AD1700" s="294"/>
      <c r="AE1700" s="294"/>
      <c r="AF1700" s="294"/>
      <c r="AG1700" s="294"/>
      <c r="AH1700" s="294"/>
      <c r="AI1700" s="294"/>
      <c r="AJ1700" s="294"/>
    </row>
    <row r="1701" spans="2:36" x14ac:dyDescent="0.25">
      <c r="B1701" s="294"/>
      <c r="C1701" s="294"/>
      <c r="D1701" s="294"/>
      <c r="E1701" s="294"/>
      <c r="F1701" s="294"/>
      <c r="G1701" s="294"/>
      <c r="H1701" s="294"/>
      <c r="I1701" s="294"/>
      <c r="J1701" s="294"/>
      <c r="L1701" s="295"/>
      <c r="M1701" s="294"/>
      <c r="R1701" s="326"/>
      <c r="S1701" s="326"/>
      <c r="T1701" s="294"/>
      <c r="U1701" s="294"/>
      <c r="V1701" s="294"/>
      <c r="W1701" s="294"/>
      <c r="X1701" s="1182"/>
      <c r="Y1701" s="1182"/>
      <c r="Z1701" s="1166"/>
      <c r="AA1701" s="1166"/>
      <c r="AB1701" s="1182"/>
      <c r="AC1701" s="294"/>
      <c r="AD1701" s="294"/>
      <c r="AE1701" s="294"/>
      <c r="AF1701" s="294"/>
      <c r="AG1701" s="294"/>
      <c r="AH1701" s="294"/>
      <c r="AI1701" s="294"/>
      <c r="AJ1701" s="294"/>
    </row>
    <row r="1702" spans="2:36" x14ac:dyDescent="0.25">
      <c r="B1702" s="294"/>
      <c r="C1702" s="294"/>
      <c r="D1702" s="294"/>
      <c r="E1702" s="294"/>
      <c r="F1702" s="294"/>
      <c r="G1702" s="294"/>
      <c r="H1702" s="294"/>
      <c r="I1702" s="294"/>
      <c r="J1702" s="294"/>
      <c r="L1702" s="295"/>
      <c r="M1702" s="294"/>
      <c r="R1702" s="326"/>
      <c r="S1702" s="326"/>
      <c r="T1702" s="294"/>
      <c r="U1702" s="294"/>
      <c r="V1702" s="294"/>
      <c r="W1702" s="294"/>
      <c r="X1702" s="1182"/>
      <c r="Y1702" s="1182"/>
      <c r="Z1702" s="1166"/>
      <c r="AA1702" s="1166"/>
      <c r="AB1702" s="1182"/>
      <c r="AC1702" s="294"/>
      <c r="AD1702" s="294"/>
      <c r="AE1702" s="294"/>
      <c r="AF1702" s="294"/>
      <c r="AG1702" s="294"/>
      <c r="AH1702" s="294"/>
      <c r="AI1702" s="294"/>
      <c r="AJ1702" s="294"/>
    </row>
    <row r="1703" spans="2:36" x14ac:dyDescent="0.25">
      <c r="B1703" s="294"/>
      <c r="C1703" s="294"/>
      <c r="D1703" s="294"/>
      <c r="E1703" s="294"/>
      <c r="F1703" s="294"/>
      <c r="G1703" s="294"/>
      <c r="H1703" s="294"/>
      <c r="I1703" s="294"/>
      <c r="J1703" s="294"/>
      <c r="L1703" s="295"/>
      <c r="M1703" s="294"/>
      <c r="R1703" s="326"/>
      <c r="S1703" s="326"/>
      <c r="T1703" s="294"/>
      <c r="U1703" s="294"/>
      <c r="V1703" s="294"/>
      <c r="W1703" s="294"/>
      <c r="X1703" s="1182"/>
      <c r="Y1703" s="1182"/>
      <c r="Z1703" s="1166"/>
      <c r="AA1703" s="1166"/>
      <c r="AB1703" s="1182"/>
      <c r="AC1703" s="294"/>
      <c r="AD1703" s="294"/>
      <c r="AE1703" s="294"/>
      <c r="AF1703" s="294"/>
      <c r="AG1703" s="294"/>
      <c r="AH1703" s="294"/>
      <c r="AI1703" s="294"/>
      <c r="AJ1703" s="294"/>
    </row>
    <row r="1704" spans="2:36" x14ac:dyDescent="0.25">
      <c r="B1704" s="294"/>
      <c r="C1704" s="294"/>
      <c r="D1704" s="294"/>
      <c r="E1704" s="294"/>
      <c r="F1704" s="294"/>
      <c r="G1704" s="294"/>
      <c r="H1704" s="294"/>
      <c r="I1704" s="294"/>
      <c r="J1704" s="294"/>
      <c r="L1704" s="295"/>
      <c r="M1704" s="294"/>
      <c r="R1704" s="326"/>
      <c r="S1704" s="326"/>
      <c r="T1704" s="294"/>
      <c r="U1704" s="294"/>
      <c r="V1704" s="294"/>
      <c r="W1704" s="294"/>
      <c r="X1704" s="1182"/>
      <c r="Y1704" s="1182"/>
      <c r="Z1704" s="1166"/>
      <c r="AA1704" s="1166"/>
      <c r="AB1704" s="1182"/>
      <c r="AC1704" s="294"/>
      <c r="AD1704" s="294"/>
      <c r="AE1704" s="294"/>
      <c r="AF1704" s="294"/>
      <c r="AG1704" s="294"/>
      <c r="AH1704" s="294"/>
      <c r="AI1704" s="294"/>
      <c r="AJ1704" s="294"/>
    </row>
    <row r="1705" spans="2:36" x14ac:dyDescent="0.25">
      <c r="B1705" s="294"/>
      <c r="C1705" s="294"/>
      <c r="D1705" s="294"/>
      <c r="E1705" s="294"/>
      <c r="F1705" s="294"/>
      <c r="G1705" s="294"/>
      <c r="H1705" s="294"/>
      <c r="I1705" s="294"/>
      <c r="J1705" s="294"/>
      <c r="L1705" s="295"/>
      <c r="M1705" s="294"/>
      <c r="R1705" s="326"/>
      <c r="S1705" s="326"/>
      <c r="T1705" s="294"/>
      <c r="U1705" s="294"/>
      <c r="V1705" s="294"/>
      <c r="W1705" s="294"/>
      <c r="X1705" s="1182"/>
      <c r="Y1705" s="1182"/>
      <c r="Z1705" s="1166"/>
      <c r="AA1705" s="1166"/>
      <c r="AB1705" s="1182"/>
      <c r="AC1705" s="294"/>
      <c r="AD1705" s="294"/>
      <c r="AE1705" s="294"/>
      <c r="AF1705" s="294"/>
      <c r="AG1705" s="294"/>
      <c r="AH1705" s="294"/>
      <c r="AI1705" s="294"/>
      <c r="AJ1705" s="294"/>
    </row>
    <row r="1706" spans="2:36" x14ac:dyDescent="0.25">
      <c r="B1706" s="294"/>
      <c r="C1706" s="294"/>
      <c r="D1706" s="294"/>
      <c r="E1706" s="294"/>
      <c r="F1706" s="294"/>
      <c r="G1706" s="294"/>
      <c r="H1706" s="294"/>
      <c r="I1706" s="294"/>
      <c r="J1706" s="294"/>
      <c r="L1706" s="295"/>
      <c r="M1706" s="294"/>
      <c r="R1706" s="326"/>
      <c r="S1706" s="326"/>
      <c r="T1706" s="294"/>
      <c r="U1706" s="294"/>
      <c r="V1706" s="294"/>
      <c r="W1706" s="294"/>
      <c r="X1706" s="1182"/>
      <c r="Y1706" s="1182"/>
      <c r="Z1706" s="1166"/>
      <c r="AA1706" s="1166"/>
      <c r="AB1706" s="1182"/>
      <c r="AC1706" s="294"/>
      <c r="AD1706" s="294"/>
      <c r="AE1706" s="294"/>
      <c r="AF1706" s="294"/>
      <c r="AG1706" s="294"/>
      <c r="AH1706" s="294"/>
      <c r="AI1706" s="294"/>
      <c r="AJ1706" s="294"/>
    </row>
    <row r="1707" spans="2:36" x14ac:dyDescent="0.25">
      <c r="B1707" s="294"/>
      <c r="C1707" s="294"/>
      <c r="D1707" s="294"/>
      <c r="E1707" s="294"/>
      <c r="F1707" s="294"/>
      <c r="G1707" s="294"/>
      <c r="H1707" s="294"/>
      <c r="I1707" s="294"/>
      <c r="J1707" s="294"/>
      <c r="L1707" s="295"/>
      <c r="M1707" s="294"/>
      <c r="R1707" s="326"/>
      <c r="S1707" s="326"/>
      <c r="T1707" s="294"/>
      <c r="U1707" s="294"/>
      <c r="V1707" s="294"/>
      <c r="W1707" s="294"/>
      <c r="X1707" s="1182"/>
      <c r="Y1707" s="1182"/>
      <c r="Z1707" s="1166"/>
      <c r="AA1707" s="1166"/>
      <c r="AB1707" s="1182"/>
      <c r="AC1707" s="294"/>
      <c r="AD1707" s="294"/>
      <c r="AE1707" s="294"/>
      <c r="AF1707" s="294"/>
      <c r="AG1707" s="294"/>
      <c r="AH1707" s="294"/>
      <c r="AI1707" s="294"/>
      <c r="AJ1707" s="294"/>
    </row>
    <row r="1708" spans="2:36" x14ac:dyDescent="0.25">
      <c r="B1708" s="294"/>
      <c r="C1708" s="294"/>
      <c r="D1708" s="294"/>
      <c r="E1708" s="294"/>
      <c r="F1708" s="294"/>
      <c r="G1708" s="294"/>
      <c r="H1708" s="294"/>
      <c r="I1708" s="294"/>
      <c r="J1708" s="294"/>
      <c r="L1708" s="295"/>
      <c r="M1708" s="294"/>
      <c r="R1708" s="326"/>
      <c r="S1708" s="326"/>
      <c r="T1708" s="294"/>
      <c r="U1708" s="294"/>
      <c r="V1708" s="294"/>
      <c r="W1708" s="294"/>
      <c r="X1708" s="1182"/>
      <c r="Y1708" s="1182"/>
      <c r="Z1708" s="1166"/>
      <c r="AA1708" s="1166"/>
      <c r="AB1708" s="1182"/>
      <c r="AC1708" s="294"/>
      <c r="AD1708" s="294"/>
      <c r="AE1708" s="294"/>
      <c r="AF1708" s="294"/>
      <c r="AG1708" s="294"/>
      <c r="AH1708" s="294"/>
      <c r="AI1708" s="294"/>
      <c r="AJ1708" s="294"/>
    </row>
    <row r="1709" spans="2:36" x14ac:dyDescent="0.25">
      <c r="B1709" s="294"/>
      <c r="C1709" s="294"/>
      <c r="D1709" s="294"/>
      <c r="E1709" s="294"/>
      <c r="F1709" s="294"/>
      <c r="G1709" s="294"/>
      <c r="H1709" s="294"/>
      <c r="I1709" s="294"/>
      <c r="J1709" s="294"/>
      <c r="L1709" s="295"/>
      <c r="M1709" s="294"/>
      <c r="R1709" s="326"/>
      <c r="S1709" s="326"/>
      <c r="T1709" s="294"/>
      <c r="U1709" s="294"/>
      <c r="V1709" s="294"/>
      <c r="W1709" s="294"/>
      <c r="X1709" s="1182"/>
      <c r="Y1709" s="1182"/>
      <c r="Z1709" s="1166"/>
      <c r="AA1709" s="1166"/>
      <c r="AB1709" s="1182"/>
      <c r="AC1709" s="294"/>
      <c r="AD1709" s="294"/>
      <c r="AE1709" s="294"/>
      <c r="AF1709" s="294"/>
      <c r="AG1709" s="294"/>
      <c r="AH1709" s="294"/>
      <c r="AI1709" s="294"/>
      <c r="AJ1709" s="294"/>
    </row>
    <row r="1710" spans="2:36" x14ac:dyDescent="0.25">
      <c r="B1710" s="294"/>
      <c r="C1710" s="294"/>
      <c r="D1710" s="294"/>
      <c r="E1710" s="294"/>
      <c r="F1710" s="294"/>
      <c r="G1710" s="294"/>
      <c r="H1710" s="294"/>
      <c r="I1710" s="294"/>
      <c r="J1710" s="294"/>
      <c r="L1710" s="295"/>
      <c r="M1710" s="294"/>
      <c r="R1710" s="326"/>
      <c r="S1710" s="326"/>
      <c r="T1710" s="294"/>
      <c r="U1710" s="294"/>
      <c r="V1710" s="294"/>
      <c r="W1710" s="294"/>
      <c r="X1710" s="1182"/>
      <c r="Y1710" s="1182"/>
      <c r="Z1710" s="1166"/>
      <c r="AA1710" s="1166"/>
      <c r="AB1710" s="1182"/>
      <c r="AC1710" s="294"/>
      <c r="AD1710" s="294"/>
      <c r="AE1710" s="294"/>
      <c r="AF1710" s="294"/>
      <c r="AG1710" s="294"/>
      <c r="AH1710" s="294"/>
      <c r="AI1710" s="294"/>
      <c r="AJ1710" s="294"/>
    </row>
    <row r="1711" spans="2:36" x14ac:dyDescent="0.25">
      <c r="B1711" s="294"/>
      <c r="C1711" s="294"/>
      <c r="D1711" s="294"/>
      <c r="E1711" s="294"/>
      <c r="F1711" s="294"/>
      <c r="G1711" s="294"/>
      <c r="H1711" s="294"/>
      <c r="I1711" s="294"/>
      <c r="J1711" s="294"/>
      <c r="L1711" s="295"/>
      <c r="M1711" s="294"/>
      <c r="R1711" s="326"/>
      <c r="S1711" s="326"/>
      <c r="T1711" s="294"/>
      <c r="U1711" s="294"/>
      <c r="V1711" s="294"/>
      <c r="W1711" s="294"/>
      <c r="X1711" s="1182"/>
      <c r="Y1711" s="1182"/>
      <c r="Z1711" s="1166"/>
      <c r="AA1711" s="1166"/>
      <c r="AB1711" s="1182"/>
      <c r="AC1711" s="294"/>
      <c r="AD1711" s="294"/>
      <c r="AE1711" s="294"/>
      <c r="AF1711" s="294"/>
      <c r="AG1711" s="294"/>
      <c r="AH1711" s="294"/>
      <c r="AI1711" s="294"/>
      <c r="AJ1711" s="294"/>
    </row>
    <row r="1712" spans="2:36" x14ac:dyDescent="0.25">
      <c r="B1712" s="294"/>
      <c r="C1712" s="294"/>
      <c r="D1712" s="294"/>
      <c r="E1712" s="294"/>
      <c r="F1712" s="294"/>
      <c r="G1712" s="294"/>
      <c r="H1712" s="294"/>
      <c r="I1712" s="294"/>
      <c r="J1712" s="294"/>
      <c r="L1712" s="295"/>
      <c r="M1712" s="294"/>
      <c r="R1712" s="326"/>
      <c r="S1712" s="326"/>
      <c r="T1712" s="294"/>
      <c r="U1712" s="294"/>
      <c r="V1712" s="294"/>
      <c r="W1712" s="294"/>
      <c r="X1712" s="1182"/>
      <c r="Y1712" s="1182"/>
      <c r="Z1712" s="1166"/>
      <c r="AA1712" s="1166"/>
      <c r="AB1712" s="1182"/>
      <c r="AC1712" s="294"/>
      <c r="AD1712" s="294"/>
      <c r="AE1712" s="294"/>
      <c r="AF1712" s="294"/>
      <c r="AG1712" s="294"/>
      <c r="AH1712" s="294"/>
      <c r="AI1712" s="294"/>
      <c r="AJ1712" s="294"/>
    </row>
    <row r="1713" spans="2:36" x14ac:dyDescent="0.25">
      <c r="B1713" s="294"/>
      <c r="C1713" s="294"/>
      <c r="D1713" s="294"/>
      <c r="E1713" s="294"/>
      <c r="F1713" s="294"/>
      <c r="G1713" s="294"/>
      <c r="H1713" s="294"/>
      <c r="I1713" s="294"/>
      <c r="J1713" s="294"/>
      <c r="L1713" s="295"/>
      <c r="M1713" s="294"/>
      <c r="R1713" s="326"/>
      <c r="S1713" s="326"/>
      <c r="T1713" s="294"/>
      <c r="U1713" s="294"/>
      <c r="V1713" s="294"/>
      <c r="W1713" s="294"/>
      <c r="X1713" s="1182"/>
      <c r="Y1713" s="1182"/>
      <c r="Z1713" s="1166"/>
      <c r="AA1713" s="1166"/>
      <c r="AB1713" s="1182"/>
      <c r="AC1713" s="294"/>
      <c r="AD1713" s="294"/>
      <c r="AE1713" s="294"/>
      <c r="AF1713" s="294"/>
      <c r="AG1713" s="294"/>
      <c r="AH1713" s="294"/>
      <c r="AI1713" s="294"/>
      <c r="AJ1713" s="294"/>
    </row>
    <row r="1714" spans="2:36" x14ac:dyDescent="0.25">
      <c r="B1714" s="294"/>
      <c r="C1714" s="294"/>
      <c r="D1714" s="294"/>
      <c r="E1714" s="294"/>
      <c r="F1714" s="294"/>
      <c r="G1714" s="294"/>
      <c r="H1714" s="294"/>
      <c r="I1714" s="294"/>
      <c r="J1714" s="294"/>
      <c r="L1714" s="295"/>
      <c r="M1714" s="294"/>
      <c r="R1714" s="326"/>
      <c r="S1714" s="326"/>
      <c r="T1714" s="294"/>
      <c r="U1714" s="294"/>
      <c r="V1714" s="294"/>
      <c r="W1714" s="294"/>
      <c r="X1714" s="1182"/>
      <c r="Y1714" s="1182"/>
      <c r="Z1714" s="1166"/>
      <c r="AA1714" s="1166"/>
      <c r="AB1714" s="1182"/>
      <c r="AC1714" s="294"/>
      <c r="AD1714" s="294"/>
      <c r="AE1714" s="294"/>
      <c r="AF1714" s="294"/>
      <c r="AG1714" s="294"/>
      <c r="AH1714" s="294"/>
      <c r="AI1714" s="294"/>
      <c r="AJ1714" s="294"/>
    </row>
    <row r="1715" spans="2:36" x14ac:dyDescent="0.25">
      <c r="B1715" s="294"/>
      <c r="C1715" s="294"/>
      <c r="D1715" s="294"/>
      <c r="E1715" s="294"/>
      <c r="F1715" s="294"/>
      <c r="G1715" s="294"/>
      <c r="H1715" s="294"/>
      <c r="I1715" s="294"/>
      <c r="J1715" s="294"/>
      <c r="L1715" s="295"/>
      <c r="M1715" s="294"/>
      <c r="R1715" s="326"/>
      <c r="S1715" s="326"/>
      <c r="T1715" s="294"/>
      <c r="U1715" s="294"/>
      <c r="V1715" s="294"/>
      <c r="W1715" s="294"/>
      <c r="X1715" s="1182"/>
      <c r="Y1715" s="1182"/>
      <c r="Z1715" s="1166"/>
      <c r="AA1715" s="1166"/>
      <c r="AB1715" s="1182"/>
      <c r="AC1715" s="294"/>
      <c r="AD1715" s="294"/>
      <c r="AE1715" s="294"/>
      <c r="AF1715" s="294"/>
      <c r="AG1715" s="294"/>
      <c r="AH1715" s="294"/>
      <c r="AI1715" s="294"/>
      <c r="AJ1715" s="294"/>
    </row>
    <row r="1716" spans="2:36" x14ac:dyDescent="0.25">
      <c r="B1716" s="294"/>
      <c r="C1716" s="294"/>
      <c r="D1716" s="294"/>
      <c r="E1716" s="294"/>
      <c r="F1716" s="294"/>
      <c r="G1716" s="294"/>
      <c r="H1716" s="294"/>
      <c r="I1716" s="294"/>
      <c r="J1716" s="294"/>
      <c r="L1716" s="295"/>
      <c r="M1716" s="294"/>
      <c r="R1716" s="326"/>
      <c r="S1716" s="326"/>
      <c r="T1716" s="294"/>
      <c r="U1716" s="294"/>
      <c r="V1716" s="294"/>
      <c r="W1716" s="294"/>
      <c r="X1716" s="1182"/>
      <c r="Y1716" s="1182"/>
      <c r="Z1716" s="1166"/>
      <c r="AA1716" s="1166"/>
      <c r="AB1716" s="1182"/>
      <c r="AC1716" s="294"/>
      <c r="AD1716" s="294"/>
      <c r="AE1716" s="294"/>
      <c r="AF1716" s="294"/>
      <c r="AG1716" s="294"/>
      <c r="AH1716" s="294"/>
      <c r="AI1716" s="294"/>
      <c r="AJ1716" s="294"/>
    </row>
    <row r="1717" spans="2:36" x14ac:dyDescent="0.25">
      <c r="B1717" s="294"/>
      <c r="C1717" s="294"/>
      <c r="D1717" s="294"/>
      <c r="E1717" s="294"/>
      <c r="F1717" s="294"/>
      <c r="G1717" s="294"/>
      <c r="H1717" s="294"/>
      <c r="I1717" s="294"/>
      <c r="J1717" s="294"/>
      <c r="L1717" s="295"/>
      <c r="M1717" s="294"/>
      <c r="R1717" s="326"/>
      <c r="S1717" s="326"/>
      <c r="T1717" s="294"/>
      <c r="U1717" s="294"/>
      <c r="V1717" s="294"/>
      <c r="W1717" s="294"/>
      <c r="X1717" s="1182"/>
      <c r="Y1717" s="1182"/>
      <c r="Z1717" s="1166"/>
      <c r="AA1717" s="1166"/>
      <c r="AB1717" s="1182"/>
      <c r="AC1717" s="294"/>
      <c r="AD1717" s="294"/>
      <c r="AE1717" s="294"/>
      <c r="AF1717" s="294"/>
      <c r="AG1717" s="294"/>
      <c r="AH1717" s="294"/>
      <c r="AI1717" s="294"/>
      <c r="AJ1717" s="294"/>
    </row>
    <row r="1718" spans="2:36" x14ac:dyDescent="0.25">
      <c r="B1718" s="294"/>
      <c r="C1718" s="294"/>
      <c r="D1718" s="294"/>
      <c r="E1718" s="294"/>
      <c r="F1718" s="294"/>
      <c r="G1718" s="294"/>
      <c r="H1718" s="294"/>
      <c r="I1718" s="294"/>
      <c r="J1718" s="294"/>
      <c r="L1718" s="295"/>
      <c r="M1718" s="294"/>
      <c r="R1718" s="326"/>
      <c r="S1718" s="326"/>
      <c r="T1718" s="294"/>
      <c r="U1718" s="294"/>
      <c r="V1718" s="294"/>
      <c r="W1718" s="294"/>
      <c r="X1718" s="1182"/>
      <c r="Y1718" s="1182"/>
      <c r="Z1718" s="1166"/>
      <c r="AA1718" s="1166"/>
      <c r="AB1718" s="1182"/>
      <c r="AC1718" s="294"/>
      <c r="AD1718" s="294"/>
      <c r="AE1718" s="294"/>
      <c r="AF1718" s="294"/>
      <c r="AG1718" s="294"/>
      <c r="AH1718" s="294"/>
      <c r="AI1718" s="294"/>
      <c r="AJ1718" s="294"/>
    </row>
    <row r="1719" spans="2:36" x14ac:dyDescent="0.25">
      <c r="B1719" s="294"/>
      <c r="C1719" s="294"/>
      <c r="D1719" s="294"/>
      <c r="E1719" s="294"/>
      <c r="F1719" s="294"/>
      <c r="G1719" s="294"/>
      <c r="H1719" s="294"/>
      <c r="I1719" s="294"/>
      <c r="J1719" s="294"/>
      <c r="L1719" s="295"/>
      <c r="M1719" s="294"/>
      <c r="R1719" s="326"/>
      <c r="S1719" s="326"/>
      <c r="T1719" s="294"/>
      <c r="U1719" s="294"/>
      <c r="V1719" s="294"/>
      <c r="W1719" s="294"/>
      <c r="X1719" s="1182"/>
      <c r="Y1719" s="1182"/>
      <c r="Z1719" s="1166"/>
      <c r="AA1719" s="1166"/>
      <c r="AB1719" s="1182"/>
      <c r="AC1719" s="294"/>
      <c r="AD1719" s="294"/>
      <c r="AE1719" s="294"/>
      <c r="AF1719" s="294"/>
      <c r="AG1719" s="294"/>
      <c r="AH1719" s="294"/>
      <c r="AI1719" s="294"/>
      <c r="AJ1719" s="294"/>
    </row>
    <row r="1720" spans="2:36" x14ac:dyDescent="0.25">
      <c r="B1720" s="294"/>
      <c r="C1720" s="294"/>
      <c r="D1720" s="294"/>
      <c r="E1720" s="294"/>
      <c r="F1720" s="294"/>
      <c r="G1720" s="294"/>
      <c r="H1720" s="294"/>
      <c r="I1720" s="294"/>
      <c r="J1720" s="294"/>
      <c r="L1720" s="295"/>
      <c r="M1720" s="294"/>
      <c r="R1720" s="326"/>
      <c r="S1720" s="326"/>
      <c r="T1720" s="294"/>
      <c r="U1720" s="294"/>
      <c r="V1720" s="294"/>
      <c r="W1720" s="294"/>
      <c r="X1720" s="1182"/>
      <c r="Y1720" s="1182"/>
      <c r="Z1720" s="1166"/>
      <c r="AA1720" s="1166"/>
      <c r="AB1720" s="1182"/>
      <c r="AC1720" s="294"/>
      <c r="AD1720" s="294"/>
      <c r="AE1720" s="294"/>
      <c r="AF1720" s="294"/>
      <c r="AG1720" s="294"/>
      <c r="AH1720" s="294"/>
      <c r="AI1720" s="294"/>
      <c r="AJ1720" s="294"/>
    </row>
    <row r="1721" spans="2:36" x14ac:dyDescent="0.25">
      <c r="B1721" s="294"/>
      <c r="C1721" s="294"/>
      <c r="D1721" s="294"/>
      <c r="E1721" s="294"/>
      <c r="F1721" s="294"/>
      <c r="G1721" s="294"/>
      <c r="H1721" s="294"/>
      <c r="I1721" s="294"/>
      <c r="J1721" s="294"/>
      <c r="L1721" s="295"/>
      <c r="M1721" s="294"/>
      <c r="R1721" s="326"/>
      <c r="S1721" s="326"/>
      <c r="T1721" s="294"/>
      <c r="U1721" s="294"/>
      <c r="V1721" s="294"/>
      <c r="W1721" s="294"/>
      <c r="X1721" s="1182"/>
      <c r="Y1721" s="1182"/>
      <c r="Z1721" s="1166"/>
      <c r="AA1721" s="1166"/>
      <c r="AB1721" s="1182"/>
      <c r="AC1721" s="294"/>
      <c r="AD1721" s="294"/>
      <c r="AE1721" s="294"/>
      <c r="AF1721" s="294"/>
      <c r="AG1721" s="294"/>
      <c r="AH1721" s="294"/>
      <c r="AI1721" s="294"/>
      <c r="AJ1721" s="294"/>
    </row>
    <row r="1722" spans="2:36" x14ac:dyDescent="0.25">
      <c r="B1722" s="294"/>
      <c r="C1722" s="294"/>
      <c r="D1722" s="294"/>
      <c r="E1722" s="294"/>
      <c r="F1722" s="294"/>
      <c r="G1722" s="294"/>
      <c r="H1722" s="294"/>
      <c r="I1722" s="294"/>
      <c r="J1722" s="294"/>
      <c r="L1722" s="295"/>
      <c r="M1722" s="294"/>
      <c r="R1722" s="326"/>
      <c r="S1722" s="326"/>
      <c r="T1722" s="294"/>
      <c r="U1722" s="294"/>
      <c r="V1722" s="294"/>
      <c r="W1722" s="294"/>
      <c r="X1722" s="1182"/>
      <c r="Y1722" s="1182"/>
      <c r="Z1722" s="1166"/>
      <c r="AA1722" s="1166"/>
      <c r="AB1722" s="1182"/>
      <c r="AC1722" s="294"/>
      <c r="AD1722" s="294"/>
      <c r="AE1722" s="294"/>
      <c r="AF1722" s="294"/>
      <c r="AG1722" s="294"/>
      <c r="AH1722" s="294"/>
      <c r="AI1722" s="294"/>
      <c r="AJ1722" s="294"/>
    </row>
    <row r="1723" spans="2:36" x14ac:dyDescent="0.25">
      <c r="B1723" s="294"/>
      <c r="C1723" s="294"/>
      <c r="D1723" s="294"/>
      <c r="E1723" s="294"/>
      <c r="F1723" s="294"/>
      <c r="G1723" s="294"/>
      <c r="H1723" s="294"/>
      <c r="I1723" s="294"/>
      <c r="J1723" s="294"/>
      <c r="L1723" s="295"/>
      <c r="M1723" s="294"/>
      <c r="R1723" s="326"/>
      <c r="S1723" s="326"/>
      <c r="T1723" s="294"/>
      <c r="U1723" s="294"/>
      <c r="V1723" s="294"/>
      <c r="W1723" s="294"/>
      <c r="X1723" s="1182"/>
      <c r="Y1723" s="1182"/>
      <c r="Z1723" s="1166"/>
      <c r="AA1723" s="1166"/>
      <c r="AB1723" s="1182"/>
      <c r="AC1723" s="294"/>
      <c r="AD1723" s="294"/>
      <c r="AE1723" s="294"/>
      <c r="AF1723" s="294"/>
      <c r="AG1723" s="294"/>
      <c r="AH1723" s="294"/>
      <c r="AI1723" s="294"/>
      <c r="AJ1723" s="294"/>
    </row>
    <row r="1724" spans="2:36" x14ac:dyDescent="0.25">
      <c r="B1724" s="294"/>
      <c r="C1724" s="294"/>
      <c r="D1724" s="294"/>
      <c r="E1724" s="294"/>
      <c r="F1724" s="294"/>
      <c r="G1724" s="294"/>
      <c r="H1724" s="294"/>
      <c r="I1724" s="294"/>
      <c r="J1724" s="294"/>
      <c r="L1724" s="295"/>
      <c r="M1724" s="294"/>
      <c r="R1724" s="326"/>
      <c r="S1724" s="326"/>
      <c r="T1724" s="294"/>
      <c r="U1724" s="294"/>
      <c r="V1724" s="294"/>
      <c r="W1724" s="294"/>
      <c r="X1724" s="1182"/>
      <c r="Y1724" s="1182"/>
      <c r="Z1724" s="1166"/>
      <c r="AA1724" s="1166"/>
      <c r="AB1724" s="1182"/>
      <c r="AC1724" s="294"/>
      <c r="AD1724" s="294"/>
      <c r="AE1724" s="294"/>
      <c r="AF1724" s="294"/>
      <c r="AG1724" s="294"/>
      <c r="AH1724" s="294"/>
      <c r="AI1724" s="294"/>
      <c r="AJ1724" s="294"/>
    </row>
    <row r="1725" spans="2:36" x14ac:dyDescent="0.25">
      <c r="B1725" s="294"/>
      <c r="C1725" s="294"/>
      <c r="D1725" s="294"/>
      <c r="E1725" s="294"/>
      <c r="F1725" s="294"/>
      <c r="G1725" s="294"/>
      <c r="H1725" s="294"/>
      <c r="I1725" s="294"/>
      <c r="J1725" s="294"/>
      <c r="L1725" s="295"/>
      <c r="M1725" s="294"/>
      <c r="R1725" s="326"/>
      <c r="S1725" s="326"/>
      <c r="T1725" s="294"/>
      <c r="U1725" s="294"/>
      <c r="V1725" s="294"/>
      <c r="W1725" s="294"/>
      <c r="X1725" s="1182"/>
      <c r="Y1725" s="1182"/>
      <c r="Z1725" s="1166"/>
      <c r="AA1725" s="1166"/>
      <c r="AB1725" s="1182"/>
      <c r="AC1725" s="294"/>
      <c r="AD1725" s="294"/>
      <c r="AE1725" s="294"/>
      <c r="AF1725" s="294"/>
      <c r="AG1725" s="294"/>
      <c r="AH1725" s="294"/>
      <c r="AI1725" s="294"/>
      <c r="AJ1725" s="294"/>
    </row>
    <row r="1726" spans="2:36" x14ac:dyDescent="0.25">
      <c r="B1726" s="294"/>
      <c r="C1726" s="294"/>
      <c r="D1726" s="294"/>
      <c r="E1726" s="294"/>
      <c r="F1726" s="294"/>
      <c r="G1726" s="294"/>
      <c r="H1726" s="294"/>
      <c r="I1726" s="294"/>
      <c r="J1726" s="294"/>
      <c r="L1726" s="295"/>
      <c r="M1726" s="294"/>
      <c r="R1726" s="326"/>
      <c r="S1726" s="326"/>
      <c r="T1726" s="294"/>
      <c r="U1726" s="294"/>
      <c r="V1726" s="294"/>
      <c r="W1726" s="294"/>
      <c r="X1726" s="1182"/>
      <c r="Y1726" s="1182"/>
      <c r="Z1726" s="1166"/>
      <c r="AA1726" s="1166"/>
      <c r="AB1726" s="1182"/>
      <c r="AC1726" s="294"/>
      <c r="AD1726" s="294"/>
      <c r="AE1726" s="294"/>
      <c r="AF1726" s="294"/>
      <c r="AG1726" s="294"/>
      <c r="AH1726" s="294"/>
      <c r="AI1726" s="294"/>
      <c r="AJ1726" s="294"/>
    </row>
    <row r="1727" spans="2:36" x14ac:dyDescent="0.25">
      <c r="B1727" s="294"/>
      <c r="C1727" s="294"/>
      <c r="D1727" s="294"/>
      <c r="E1727" s="294"/>
      <c r="F1727" s="294"/>
      <c r="G1727" s="294"/>
      <c r="H1727" s="294"/>
      <c r="I1727" s="294"/>
      <c r="J1727" s="294"/>
      <c r="L1727" s="295"/>
      <c r="M1727" s="294"/>
      <c r="R1727" s="326"/>
      <c r="S1727" s="326"/>
      <c r="T1727" s="294"/>
      <c r="U1727" s="294"/>
      <c r="V1727" s="294"/>
      <c r="W1727" s="294"/>
      <c r="X1727" s="1182"/>
      <c r="Y1727" s="1182"/>
      <c r="Z1727" s="1166"/>
      <c r="AA1727" s="1166"/>
      <c r="AB1727" s="1182"/>
      <c r="AC1727" s="294"/>
      <c r="AD1727" s="294"/>
      <c r="AE1727" s="294"/>
      <c r="AF1727" s="294"/>
      <c r="AG1727" s="294"/>
      <c r="AH1727" s="294"/>
      <c r="AI1727" s="294"/>
      <c r="AJ1727" s="294"/>
    </row>
    <row r="1728" spans="2:36" x14ac:dyDescent="0.25">
      <c r="B1728" s="294"/>
      <c r="C1728" s="294"/>
      <c r="D1728" s="294"/>
      <c r="E1728" s="294"/>
      <c r="F1728" s="294"/>
      <c r="G1728" s="294"/>
      <c r="H1728" s="294"/>
      <c r="I1728" s="294"/>
      <c r="J1728" s="294"/>
      <c r="L1728" s="295"/>
      <c r="M1728" s="294"/>
      <c r="R1728" s="326"/>
      <c r="S1728" s="326"/>
      <c r="T1728" s="294"/>
      <c r="U1728" s="294"/>
      <c r="V1728" s="294"/>
      <c r="W1728" s="294"/>
      <c r="X1728" s="1182"/>
      <c r="Y1728" s="1182"/>
      <c r="Z1728" s="1166"/>
      <c r="AA1728" s="1166"/>
      <c r="AB1728" s="1182"/>
      <c r="AC1728" s="294"/>
      <c r="AD1728" s="294"/>
      <c r="AE1728" s="294"/>
      <c r="AF1728" s="294"/>
      <c r="AG1728" s="294"/>
      <c r="AH1728" s="294"/>
      <c r="AI1728" s="294"/>
      <c r="AJ1728" s="294"/>
    </row>
    <row r="1729" spans="2:36" x14ac:dyDescent="0.25">
      <c r="B1729" s="294"/>
      <c r="C1729" s="294"/>
      <c r="D1729" s="294"/>
      <c r="E1729" s="294"/>
      <c r="F1729" s="294"/>
      <c r="G1729" s="294"/>
      <c r="H1729" s="294"/>
      <c r="I1729" s="294"/>
      <c r="J1729" s="294"/>
      <c r="L1729" s="295"/>
      <c r="M1729" s="294"/>
      <c r="R1729" s="326"/>
      <c r="S1729" s="326"/>
      <c r="T1729" s="294"/>
      <c r="U1729" s="294"/>
      <c r="V1729" s="294"/>
      <c r="W1729" s="294"/>
      <c r="X1729" s="1182"/>
      <c r="Y1729" s="1182"/>
      <c r="Z1729" s="1166"/>
      <c r="AA1729" s="1166"/>
      <c r="AB1729" s="1182"/>
      <c r="AC1729" s="294"/>
      <c r="AD1729" s="294"/>
      <c r="AE1729" s="294"/>
      <c r="AF1729" s="294"/>
      <c r="AG1729" s="294"/>
      <c r="AH1729" s="294"/>
      <c r="AI1729" s="294"/>
      <c r="AJ1729" s="294"/>
    </row>
    <row r="1730" spans="2:36" x14ac:dyDescent="0.25">
      <c r="B1730" s="294"/>
      <c r="C1730" s="294"/>
      <c r="D1730" s="294"/>
      <c r="E1730" s="294"/>
      <c r="F1730" s="294"/>
      <c r="G1730" s="294"/>
      <c r="H1730" s="294"/>
      <c r="I1730" s="294"/>
      <c r="J1730" s="294"/>
      <c r="L1730" s="295"/>
      <c r="M1730" s="294"/>
      <c r="R1730" s="326"/>
      <c r="S1730" s="326"/>
      <c r="T1730" s="294"/>
      <c r="U1730" s="294"/>
      <c r="V1730" s="294"/>
      <c r="W1730" s="294"/>
      <c r="X1730" s="1182"/>
      <c r="Y1730" s="1182"/>
      <c r="Z1730" s="1166"/>
      <c r="AA1730" s="1166"/>
      <c r="AB1730" s="1182"/>
      <c r="AC1730" s="294"/>
      <c r="AD1730" s="294"/>
      <c r="AE1730" s="294"/>
      <c r="AF1730" s="294"/>
      <c r="AG1730" s="294"/>
      <c r="AH1730" s="294"/>
      <c r="AI1730" s="294"/>
      <c r="AJ1730" s="294"/>
    </row>
    <row r="1731" spans="2:36" x14ac:dyDescent="0.25">
      <c r="B1731" s="294"/>
      <c r="C1731" s="294"/>
      <c r="D1731" s="294"/>
      <c r="E1731" s="294"/>
      <c r="F1731" s="294"/>
      <c r="G1731" s="294"/>
      <c r="H1731" s="294"/>
      <c r="I1731" s="294"/>
      <c r="J1731" s="294"/>
      <c r="L1731" s="295"/>
      <c r="M1731" s="294"/>
      <c r="R1731" s="326"/>
      <c r="S1731" s="326"/>
      <c r="T1731" s="294"/>
      <c r="U1731" s="294"/>
      <c r="V1731" s="294"/>
      <c r="W1731" s="294"/>
      <c r="X1731" s="1182"/>
      <c r="Y1731" s="1182"/>
      <c r="Z1731" s="1166"/>
      <c r="AA1731" s="1166"/>
      <c r="AB1731" s="1182"/>
      <c r="AC1731" s="294"/>
      <c r="AD1731" s="294"/>
      <c r="AE1731" s="294"/>
      <c r="AF1731" s="294"/>
      <c r="AG1731" s="294"/>
      <c r="AH1731" s="294"/>
      <c r="AI1731" s="294"/>
      <c r="AJ1731" s="294"/>
    </row>
    <row r="1732" spans="2:36" x14ac:dyDescent="0.25">
      <c r="B1732" s="294"/>
      <c r="C1732" s="294"/>
      <c r="D1732" s="294"/>
      <c r="E1732" s="294"/>
      <c r="F1732" s="294"/>
      <c r="G1732" s="294"/>
      <c r="H1732" s="294"/>
      <c r="I1732" s="294"/>
      <c r="J1732" s="294"/>
      <c r="L1732" s="295"/>
      <c r="M1732" s="294"/>
      <c r="R1732" s="326"/>
      <c r="S1732" s="326"/>
      <c r="T1732" s="294"/>
      <c r="U1732" s="294"/>
      <c r="V1732" s="294"/>
      <c r="W1732" s="294"/>
      <c r="X1732" s="1182"/>
      <c r="Y1732" s="1182"/>
      <c r="Z1732" s="1166"/>
      <c r="AA1732" s="1166"/>
      <c r="AB1732" s="1182"/>
      <c r="AC1732" s="294"/>
      <c r="AD1732" s="294"/>
      <c r="AE1732" s="294"/>
      <c r="AF1732" s="294"/>
      <c r="AG1732" s="294"/>
      <c r="AH1732" s="294"/>
      <c r="AI1732" s="294"/>
      <c r="AJ1732" s="294"/>
    </row>
    <row r="1733" spans="2:36" x14ac:dyDescent="0.25">
      <c r="B1733" s="294"/>
      <c r="C1733" s="294"/>
      <c r="D1733" s="294"/>
      <c r="E1733" s="294"/>
      <c r="F1733" s="294"/>
      <c r="G1733" s="294"/>
      <c r="H1733" s="294"/>
      <c r="I1733" s="294"/>
      <c r="J1733" s="294"/>
      <c r="L1733" s="295"/>
      <c r="M1733" s="294"/>
      <c r="R1733" s="326"/>
      <c r="S1733" s="326"/>
      <c r="T1733" s="294"/>
      <c r="U1733" s="294"/>
      <c r="V1733" s="294"/>
      <c r="W1733" s="294"/>
      <c r="X1733" s="1182"/>
      <c r="Y1733" s="1182"/>
      <c r="Z1733" s="1166"/>
      <c r="AA1733" s="1166"/>
      <c r="AB1733" s="1182"/>
      <c r="AC1733" s="294"/>
      <c r="AD1733" s="294"/>
      <c r="AE1733" s="294"/>
      <c r="AF1733" s="294"/>
      <c r="AG1733" s="294"/>
      <c r="AH1733" s="294"/>
      <c r="AI1733" s="294"/>
      <c r="AJ1733" s="294"/>
    </row>
    <row r="1734" spans="2:36" x14ac:dyDescent="0.25">
      <c r="B1734" s="294"/>
      <c r="C1734" s="294"/>
      <c r="D1734" s="294"/>
      <c r="E1734" s="294"/>
      <c r="F1734" s="294"/>
      <c r="G1734" s="294"/>
      <c r="H1734" s="294"/>
      <c r="I1734" s="294"/>
      <c r="J1734" s="294"/>
      <c r="L1734" s="295"/>
      <c r="M1734" s="294"/>
      <c r="R1734" s="326"/>
      <c r="S1734" s="326"/>
      <c r="T1734" s="294"/>
      <c r="U1734" s="294"/>
      <c r="V1734" s="294"/>
      <c r="W1734" s="294"/>
      <c r="X1734" s="1182"/>
      <c r="Y1734" s="1182"/>
      <c r="Z1734" s="1166"/>
      <c r="AA1734" s="1166"/>
      <c r="AB1734" s="1182"/>
      <c r="AC1734" s="294"/>
      <c r="AD1734" s="294"/>
      <c r="AE1734" s="294"/>
      <c r="AF1734" s="294"/>
      <c r="AG1734" s="294"/>
      <c r="AH1734" s="294"/>
      <c r="AI1734" s="294"/>
      <c r="AJ1734" s="294"/>
    </row>
    <row r="1735" spans="2:36" x14ac:dyDescent="0.25">
      <c r="B1735" s="294"/>
      <c r="C1735" s="294"/>
      <c r="D1735" s="294"/>
      <c r="E1735" s="294"/>
      <c r="F1735" s="294"/>
      <c r="G1735" s="294"/>
      <c r="H1735" s="294"/>
      <c r="I1735" s="294"/>
      <c r="J1735" s="294"/>
      <c r="L1735" s="295"/>
      <c r="M1735" s="294"/>
      <c r="R1735" s="326"/>
      <c r="S1735" s="326"/>
      <c r="T1735" s="294"/>
      <c r="U1735" s="294"/>
      <c r="V1735" s="294"/>
      <c r="W1735" s="294"/>
      <c r="X1735" s="1182"/>
      <c r="Y1735" s="1182"/>
      <c r="Z1735" s="1166"/>
      <c r="AA1735" s="1166"/>
      <c r="AB1735" s="1182"/>
      <c r="AC1735" s="294"/>
      <c r="AD1735" s="294"/>
      <c r="AE1735" s="294"/>
      <c r="AF1735" s="294"/>
      <c r="AG1735" s="294"/>
      <c r="AH1735" s="294"/>
      <c r="AI1735" s="294"/>
      <c r="AJ1735" s="294"/>
    </row>
    <row r="1736" spans="2:36" x14ac:dyDescent="0.25">
      <c r="B1736" s="294"/>
      <c r="C1736" s="294"/>
      <c r="D1736" s="294"/>
      <c r="E1736" s="294"/>
      <c r="F1736" s="294"/>
      <c r="G1736" s="294"/>
      <c r="H1736" s="294"/>
      <c r="I1736" s="294"/>
      <c r="J1736" s="294"/>
      <c r="L1736" s="295"/>
      <c r="M1736" s="294"/>
      <c r="R1736" s="326"/>
      <c r="S1736" s="326"/>
      <c r="T1736" s="294"/>
      <c r="U1736" s="294"/>
      <c r="V1736" s="294"/>
      <c r="W1736" s="294"/>
      <c r="X1736" s="1182"/>
      <c r="Y1736" s="1182"/>
      <c r="Z1736" s="1166"/>
      <c r="AA1736" s="1166"/>
      <c r="AB1736" s="1182"/>
      <c r="AC1736" s="294"/>
      <c r="AD1736" s="294"/>
      <c r="AE1736" s="294"/>
      <c r="AF1736" s="294"/>
      <c r="AG1736" s="294"/>
      <c r="AH1736" s="294"/>
      <c r="AI1736" s="294"/>
      <c r="AJ1736" s="294"/>
    </row>
    <row r="1737" spans="2:36" x14ac:dyDescent="0.25">
      <c r="B1737" s="294"/>
      <c r="C1737" s="294"/>
      <c r="D1737" s="294"/>
      <c r="E1737" s="294"/>
      <c r="F1737" s="294"/>
      <c r="G1737" s="294"/>
      <c r="H1737" s="294"/>
      <c r="I1737" s="294"/>
      <c r="J1737" s="294"/>
      <c r="L1737" s="295"/>
      <c r="M1737" s="294"/>
      <c r="R1737" s="326"/>
      <c r="S1737" s="326"/>
      <c r="T1737" s="294"/>
      <c r="U1737" s="294"/>
      <c r="V1737" s="294"/>
      <c r="W1737" s="294"/>
      <c r="X1737" s="1182"/>
      <c r="Y1737" s="1182"/>
      <c r="Z1737" s="1166"/>
      <c r="AA1737" s="1166"/>
      <c r="AB1737" s="1182"/>
      <c r="AC1737" s="294"/>
      <c r="AD1737" s="294"/>
      <c r="AE1737" s="294"/>
      <c r="AF1737" s="294"/>
      <c r="AG1737" s="294"/>
      <c r="AH1737" s="294"/>
      <c r="AI1737" s="294"/>
      <c r="AJ1737" s="294"/>
    </row>
    <row r="1738" spans="2:36" x14ac:dyDescent="0.25">
      <c r="B1738" s="294"/>
      <c r="C1738" s="294"/>
      <c r="D1738" s="294"/>
      <c r="E1738" s="294"/>
      <c r="F1738" s="294"/>
      <c r="G1738" s="294"/>
      <c r="H1738" s="294"/>
      <c r="I1738" s="294"/>
      <c r="J1738" s="294"/>
      <c r="L1738" s="295"/>
      <c r="M1738" s="294"/>
      <c r="R1738" s="326"/>
      <c r="S1738" s="326"/>
      <c r="T1738" s="294"/>
      <c r="U1738" s="294"/>
      <c r="V1738" s="294"/>
      <c r="W1738" s="294"/>
      <c r="X1738" s="1182"/>
      <c r="Y1738" s="1182"/>
      <c r="Z1738" s="1166"/>
      <c r="AA1738" s="1166"/>
      <c r="AB1738" s="1182"/>
      <c r="AC1738" s="294"/>
      <c r="AD1738" s="294"/>
      <c r="AE1738" s="294"/>
      <c r="AF1738" s="294"/>
      <c r="AG1738" s="294"/>
      <c r="AH1738" s="294"/>
      <c r="AI1738" s="294"/>
      <c r="AJ1738" s="294"/>
    </row>
    <row r="1739" spans="2:36" x14ac:dyDescent="0.25">
      <c r="B1739" s="294"/>
      <c r="C1739" s="294"/>
      <c r="D1739" s="294"/>
      <c r="E1739" s="294"/>
      <c r="F1739" s="294"/>
      <c r="G1739" s="294"/>
      <c r="H1739" s="294"/>
      <c r="I1739" s="294"/>
      <c r="J1739" s="294"/>
      <c r="L1739" s="295"/>
      <c r="M1739" s="294"/>
      <c r="R1739" s="326"/>
      <c r="S1739" s="326"/>
      <c r="T1739" s="294"/>
      <c r="U1739" s="294"/>
      <c r="V1739" s="294"/>
      <c r="W1739" s="294"/>
      <c r="X1739" s="1182"/>
      <c r="Y1739" s="1182"/>
      <c r="Z1739" s="1166"/>
      <c r="AA1739" s="1166"/>
      <c r="AB1739" s="1182"/>
      <c r="AC1739" s="294"/>
      <c r="AD1739" s="294"/>
      <c r="AE1739" s="294"/>
      <c r="AF1739" s="294"/>
      <c r="AG1739" s="294"/>
      <c r="AH1739" s="294"/>
      <c r="AI1739" s="294"/>
      <c r="AJ1739" s="294"/>
    </row>
    <row r="1740" spans="2:36" x14ac:dyDescent="0.25">
      <c r="B1740" s="294"/>
      <c r="C1740" s="294"/>
      <c r="D1740" s="294"/>
      <c r="E1740" s="294"/>
      <c r="F1740" s="294"/>
      <c r="G1740" s="294"/>
      <c r="H1740" s="294"/>
      <c r="I1740" s="294"/>
      <c r="J1740" s="294"/>
      <c r="L1740" s="295"/>
      <c r="M1740" s="294"/>
      <c r="R1740" s="326"/>
      <c r="S1740" s="326"/>
      <c r="T1740" s="294"/>
      <c r="U1740" s="294"/>
      <c r="V1740" s="294"/>
      <c r="W1740" s="294"/>
      <c r="X1740" s="1182"/>
      <c r="Y1740" s="1182"/>
      <c r="Z1740" s="1166"/>
      <c r="AA1740" s="1166"/>
      <c r="AB1740" s="1182"/>
      <c r="AC1740" s="294"/>
      <c r="AD1740" s="294"/>
      <c r="AE1740" s="294"/>
      <c r="AF1740" s="294"/>
      <c r="AG1740" s="294"/>
      <c r="AH1740" s="294"/>
      <c r="AI1740" s="294"/>
      <c r="AJ1740" s="294"/>
    </row>
    <row r="1741" spans="2:36" x14ac:dyDescent="0.25">
      <c r="B1741" s="294"/>
      <c r="C1741" s="294"/>
      <c r="D1741" s="294"/>
      <c r="E1741" s="294"/>
      <c r="F1741" s="294"/>
      <c r="G1741" s="294"/>
      <c r="H1741" s="294"/>
      <c r="I1741" s="294"/>
      <c r="J1741" s="294"/>
      <c r="L1741" s="295"/>
      <c r="M1741" s="294"/>
      <c r="R1741" s="326"/>
      <c r="S1741" s="326"/>
      <c r="T1741" s="294"/>
      <c r="U1741" s="294"/>
      <c r="V1741" s="294"/>
      <c r="W1741" s="294"/>
      <c r="X1741" s="1182"/>
      <c r="Y1741" s="1182"/>
      <c r="Z1741" s="1166"/>
      <c r="AA1741" s="1166"/>
      <c r="AB1741" s="1182"/>
      <c r="AC1741" s="294"/>
      <c r="AD1741" s="294"/>
      <c r="AE1741" s="294"/>
      <c r="AF1741" s="294"/>
      <c r="AG1741" s="294"/>
      <c r="AH1741" s="294"/>
      <c r="AI1741" s="294"/>
      <c r="AJ1741" s="294"/>
    </row>
    <row r="1742" spans="2:36" x14ac:dyDescent="0.25">
      <c r="B1742" s="294"/>
      <c r="C1742" s="294"/>
      <c r="D1742" s="294"/>
      <c r="E1742" s="294"/>
      <c r="F1742" s="294"/>
      <c r="G1742" s="294"/>
      <c r="H1742" s="294"/>
      <c r="I1742" s="294"/>
      <c r="J1742" s="294"/>
      <c r="L1742" s="295"/>
      <c r="M1742" s="294"/>
      <c r="R1742" s="326"/>
      <c r="S1742" s="326"/>
      <c r="T1742" s="294"/>
      <c r="U1742" s="294"/>
      <c r="V1742" s="294"/>
      <c r="W1742" s="294"/>
      <c r="X1742" s="1182"/>
      <c r="Y1742" s="1182"/>
      <c r="Z1742" s="1166"/>
      <c r="AA1742" s="1166"/>
      <c r="AB1742" s="1182"/>
      <c r="AC1742" s="294"/>
      <c r="AD1742" s="294"/>
      <c r="AE1742" s="294"/>
      <c r="AF1742" s="294"/>
      <c r="AG1742" s="294"/>
      <c r="AH1742" s="294"/>
      <c r="AI1742" s="294"/>
      <c r="AJ1742" s="294"/>
    </row>
    <row r="1743" spans="2:36" x14ac:dyDescent="0.25">
      <c r="B1743" s="294"/>
      <c r="C1743" s="294"/>
      <c r="D1743" s="294"/>
      <c r="E1743" s="294"/>
      <c r="F1743" s="294"/>
      <c r="G1743" s="294"/>
      <c r="H1743" s="294"/>
      <c r="I1743" s="294"/>
      <c r="J1743" s="294"/>
      <c r="L1743" s="295"/>
      <c r="M1743" s="294"/>
      <c r="R1743" s="326"/>
      <c r="S1743" s="326"/>
      <c r="T1743" s="294"/>
      <c r="U1743" s="294"/>
      <c r="V1743" s="294"/>
      <c r="W1743" s="294"/>
      <c r="X1743" s="1182"/>
      <c r="Y1743" s="1182"/>
      <c r="Z1743" s="1166"/>
      <c r="AA1743" s="1166"/>
      <c r="AB1743" s="1182"/>
      <c r="AC1743" s="294"/>
      <c r="AD1743" s="294"/>
      <c r="AE1743" s="294"/>
      <c r="AF1743" s="294"/>
      <c r="AG1743" s="294"/>
      <c r="AH1743" s="294"/>
      <c r="AI1743" s="294"/>
      <c r="AJ1743" s="294"/>
    </row>
    <row r="1744" spans="2:36" x14ac:dyDescent="0.25">
      <c r="B1744" s="294"/>
      <c r="C1744" s="294"/>
      <c r="D1744" s="294"/>
      <c r="E1744" s="294"/>
      <c r="F1744" s="294"/>
      <c r="G1744" s="294"/>
      <c r="H1744" s="294"/>
      <c r="I1744" s="294"/>
      <c r="J1744" s="294"/>
      <c r="L1744" s="295"/>
      <c r="M1744" s="294"/>
      <c r="R1744" s="326"/>
      <c r="S1744" s="326"/>
      <c r="T1744" s="294"/>
      <c r="U1744" s="294"/>
      <c r="V1744" s="294"/>
      <c r="W1744" s="294"/>
      <c r="X1744" s="1182"/>
      <c r="Y1744" s="1182"/>
      <c r="Z1744" s="1166"/>
      <c r="AA1744" s="1166"/>
      <c r="AB1744" s="1182"/>
      <c r="AC1744" s="294"/>
      <c r="AD1744" s="294"/>
      <c r="AE1744" s="294"/>
      <c r="AF1744" s="294"/>
      <c r="AG1744" s="294"/>
      <c r="AH1744" s="294"/>
      <c r="AI1744" s="294"/>
      <c r="AJ1744" s="294"/>
    </row>
    <row r="1745" spans="2:36" x14ac:dyDescent="0.25">
      <c r="B1745" s="294"/>
      <c r="C1745" s="294"/>
      <c r="D1745" s="294"/>
      <c r="E1745" s="294"/>
      <c r="F1745" s="294"/>
      <c r="G1745" s="294"/>
      <c r="H1745" s="294"/>
      <c r="I1745" s="294"/>
      <c r="J1745" s="294"/>
      <c r="L1745" s="295"/>
      <c r="M1745" s="294"/>
      <c r="R1745" s="326"/>
      <c r="S1745" s="326"/>
      <c r="T1745" s="294"/>
      <c r="U1745" s="294"/>
      <c r="V1745" s="294"/>
      <c r="W1745" s="294"/>
      <c r="X1745" s="1182"/>
      <c r="Y1745" s="1182"/>
      <c r="Z1745" s="1166"/>
      <c r="AA1745" s="1166"/>
      <c r="AB1745" s="1182"/>
      <c r="AC1745" s="294"/>
      <c r="AD1745" s="294"/>
      <c r="AE1745" s="294"/>
      <c r="AF1745" s="294"/>
      <c r="AG1745" s="294"/>
      <c r="AH1745" s="294"/>
      <c r="AI1745" s="294"/>
      <c r="AJ1745" s="294"/>
    </row>
    <row r="1746" spans="2:36" x14ac:dyDescent="0.25">
      <c r="B1746" s="294"/>
      <c r="C1746" s="294"/>
      <c r="D1746" s="294"/>
      <c r="E1746" s="294"/>
      <c r="F1746" s="294"/>
      <c r="G1746" s="294"/>
      <c r="H1746" s="294"/>
      <c r="I1746" s="294"/>
      <c r="J1746" s="294"/>
      <c r="L1746" s="295"/>
      <c r="M1746" s="294"/>
      <c r="R1746" s="326"/>
      <c r="S1746" s="326"/>
      <c r="T1746" s="294"/>
      <c r="U1746" s="294"/>
      <c r="V1746" s="294"/>
      <c r="W1746" s="294"/>
      <c r="X1746" s="1182"/>
      <c r="Y1746" s="1182"/>
      <c r="Z1746" s="1166"/>
      <c r="AA1746" s="1166"/>
      <c r="AB1746" s="1182"/>
      <c r="AC1746" s="294"/>
      <c r="AD1746" s="294"/>
      <c r="AE1746" s="294"/>
      <c r="AF1746" s="294"/>
      <c r="AG1746" s="294"/>
      <c r="AH1746" s="294"/>
      <c r="AI1746" s="294"/>
      <c r="AJ1746" s="294"/>
    </row>
    <row r="1747" spans="2:36" x14ac:dyDescent="0.25">
      <c r="B1747" s="294"/>
      <c r="C1747" s="294"/>
      <c r="D1747" s="294"/>
      <c r="E1747" s="294"/>
      <c r="F1747" s="294"/>
      <c r="G1747" s="294"/>
      <c r="H1747" s="294"/>
      <c r="I1747" s="294"/>
      <c r="J1747" s="294"/>
      <c r="L1747" s="295"/>
      <c r="M1747" s="294"/>
      <c r="R1747" s="326"/>
      <c r="S1747" s="326"/>
      <c r="T1747" s="294"/>
      <c r="U1747" s="294"/>
      <c r="V1747" s="294"/>
      <c r="W1747" s="294"/>
      <c r="X1747" s="1182"/>
      <c r="Y1747" s="1182"/>
      <c r="Z1747" s="1166"/>
      <c r="AA1747" s="1166"/>
      <c r="AB1747" s="1182"/>
      <c r="AC1747" s="294"/>
      <c r="AD1747" s="294"/>
      <c r="AE1747" s="294"/>
      <c r="AF1747" s="294"/>
      <c r="AG1747" s="294"/>
      <c r="AH1747" s="294"/>
      <c r="AI1747" s="294"/>
      <c r="AJ1747" s="294"/>
    </row>
    <row r="1748" spans="2:36" x14ac:dyDescent="0.25">
      <c r="B1748" s="294"/>
      <c r="C1748" s="294"/>
      <c r="D1748" s="294"/>
      <c r="E1748" s="294"/>
      <c r="F1748" s="294"/>
      <c r="G1748" s="294"/>
      <c r="H1748" s="294"/>
      <c r="I1748" s="294"/>
      <c r="J1748" s="294"/>
      <c r="L1748" s="295"/>
      <c r="M1748" s="294"/>
      <c r="R1748" s="326"/>
      <c r="S1748" s="326"/>
      <c r="T1748" s="294"/>
      <c r="U1748" s="294"/>
      <c r="V1748" s="294"/>
      <c r="W1748" s="294"/>
      <c r="X1748" s="1182"/>
      <c r="Y1748" s="1182"/>
      <c r="Z1748" s="1166"/>
      <c r="AA1748" s="1166"/>
      <c r="AB1748" s="1182"/>
      <c r="AC1748" s="294"/>
      <c r="AD1748" s="294"/>
      <c r="AE1748" s="294"/>
      <c r="AF1748" s="294"/>
      <c r="AG1748" s="294"/>
      <c r="AH1748" s="294"/>
      <c r="AI1748" s="294"/>
      <c r="AJ1748" s="294"/>
    </row>
    <row r="1749" spans="2:36" x14ac:dyDescent="0.25">
      <c r="B1749" s="294"/>
      <c r="C1749" s="294"/>
      <c r="D1749" s="294"/>
      <c r="E1749" s="294"/>
      <c r="F1749" s="294"/>
      <c r="G1749" s="294"/>
      <c r="H1749" s="294"/>
      <c r="I1749" s="294"/>
      <c r="J1749" s="294"/>
      <c r="L1749" s="295"/>
      <c r="M1749" s="294"/>
      <c r="R1749" s="326"/>
      <c r="S1749" s="326"/>
      <c r="T1749" s="294"/>
      <c r="U1749" s="294"/>
      <c r="V1749" s="294"/>
      <c r="W1749" s="294"/>
      <c r="X1749" s="1182"/>
      <c r="Y1749" s="1182"/>
      <c r="Z1749" s="1166"/>
      <c r="AA1749" s="1166"/>
      <c r="AB1749" s="1182"/>
      <c r="AC1749" s="294"/>
      <c r="AD1749" s="294"/>
      <c r="AE1749" s="294"/>
      <c r="AF1749" s="294"/>
      <c r="AG1749" s="294"/>
      <c r="AH1749" s="294"/>
      <c r="AI1749" s="294"/>
      <c r="AJ1749" s="294"/>
    </row>
    <row r="1750" spans="2:36" x14ac:dyDescent="0.25">
      <c r="B1750" s="294"/>
      <c r="C1750" s="294"/>
      <c r="D1750" s="294"/>
      <c r="E1750" s="294"/>
      <c r="F1750" s="294"/>
      <c r="G1750" s="294"/>
      <c r="H1750" s="294"/>
      <c r="I1750" s="294"/>
      <c r="J1750" s="294"/>
      <c r="L1750" s="295"/>
      <c r="M1750" s="294"/>
      <c r="R1750" s="326"/>
      <c r="S1750" s="326"/>
      <c r="T1750" s="294"/>
      <c r="U1750" s="294"/>
      <c r="V1750" s="294"/>
      <c r="W1750" s="294"/>
      <c r="X1750" s="1182"/>
      <c r="Y1750" s="1182"/>
      <c r="Z1750" s="1166"/>
      <c r="AA1750" s="1166"/>
      <c r="AB1750" s="1182"/>
      <c r="AC1750" s="294"/>
      <c r="AD1750" s="294"/>
      <c r="AE1750" s="294"/>
      <c r="AF1750" s="294"/>
      <c r="AG1750" s="294"/>
      <c r="AH1750" s="294"/>
      <c r="AI1750" s="294"/>
      <c r="AJ1750" s="294"/>
    </row>
    <row r="1751" spans="2:36" x14ac:dyDescent="0.25">
      <c r="B1751" s="294"/>
      <c r="C1751" s="294"/>
      <c r="D1751" s="294"/>
      <c r="E1751" s="294"/>
      <c r="F1751" s="294"/>
      <c r="G1751" s="294"/>
      <c r="H1751" s="294"/>
      <c r="I1751" s="294"/>
      <c r="J1751" s="294"/>
      <c r="L1751" s="295"/>
      <c r="M1751" s="294"/>
      <c r="R1751" s="326"/>
      <c r="S1751" s="326"/>
      <c r="T1751" s="294"/>
      <c r="U1751" s="294"/>
      <c r="V1751" s="294"/>
      <c r="W1751" s="294"/>
      <c r="X1751" s="1182"/>
      <c r="Y1751" s="1182"/>
      <c r="Z1751" s="1166"/>
      <c r="AA1751" s="1166"/>
      <c r="AB1751" s="1182"/>
      <c r="AC1751" s="294"/>
      <c r="AD1751" s="294"/>
      <c r="AE1751" s="294"/>
      <c r="AF1751" s="294"/>
      <c r="AG1751" s="294"/>
      <c r="AH1751" s="294"/>
      <c r="AI1751" s="294"/>
      <c r="AJ1751" s="294"/>
    </row>
    <row r="1752" spans="2:36" x14ac:dyDescent="0.25">
      <c r="B1752" s="294"/>
      <c r="C1752" s="294"/>
      <c r="D1752" s="294"/>
      <c r="E1752" s="294"/>
      <c r="F1752" s="294"/>
      <c r="G1752" s="294"/>
      <c r="H1752" s="294"/>
      <c r="I1752" s="294"/>
      <c r="J1752" s="294"/>
      <c r="L1752" s="295"/>
      <c r="M1752" s="294"/>
      <c r="R1752" s="326"/>
      <c r="S1752" s="326"/>
      <c r="T1752" s="294"/>
      <c r="U1752" s="294"/>
      <c r="V1752" s="294"/>
      <c r="W1752" s="294"/>
      <c r="X1752" s="1182"/>
      <c r="Y1752" s="1182"/>
      <c r="Z1752" s="1166"/>
      <c r="AA1752" s="1166"/>
      <c r="AB1752" s="1182"/>
      <c r="AC1752" s="294"/>
      <c r="AD1752" s="294"/>
      <c r="AE1752" s="294"/>
      <c r="AF1752" s="294"/>
      <c r="AG1752" s="294"/>
      <c r="AH1752" s="294"/>
      <c r="AI1752" s="294"/>
      <c r="AJ1752" s="294"/>
    </row>
    <row r="1753" spans="2:36" x14ac:dyDescent="0.25">
      <c r="B1753" s="294"/>
      <c r="C1753" s="294"/>
      <c r="D1753" s="294"/>
      <c r="E1753" s="294"/>
      <c r="F1753" s="294"/>
      <c r="G1753" s="294"/>
      <c r="H1753" s="294"/>
      <c r="I1753" s="294"/>
      <c r="J1753" s="294"/>
      <c r="L1753" s="295"/>
      <c r="M1753" s="294"/>
      <c r="R1753" s="326"/>
      <c r="S1753" s="326"/>
      <c r="T1753" s="294"/>
      <c r="U1753" s="294"/>
      <c r="V1753" s="294"/>
      <c r="W1753" s="294"/>
      <c r="X1753" s="1182"/>
      <c r="Y1753" s="1182"/>
      <c r="Z1753" s="1166"/>
      <c r="AA1753" s="1166"/>
      <c r="AB1753" s="1182"/>
      <c r="AC1753" s="294"/>
      <c r="AD1753" s="294"/>
      <c r="AE1753" s="294"/>
      <c r="AF1753" s="294"/>
      <c r="AG1753" s="294"/>
      <c r="AH1753" s="294"/>
      <c r="AI1753" s="294"/>
      <c r="AJ1753" s="294"/>
    </row>
    <row r="1754" spans="2:36" x14ac:dyDescent="0.25">
      <c r="B1754" s="294"/>
      <c r="C1754" s="294"/>
      <c r="D1754" s="294"/>
      <c r="E1754" s="294"/>
      <c r="F1754" s="294"/>
      <c r="G1754" s="294"/>
      <c r="H1754" s="294"/>
      <c r="I1754" s="294"/>
      <c r="J1754" s="294"/>
      <c r="L1754" s="295"/>
      <c r="M1754" s="294"/>
      <c r="R1754" s="326"/>
      <c r="S1754" s="326"/>
      <c r="T1754" s="294"/>
      <c r="U1754" s="294"/>
      <c r="V1754" s="294"/>
      <c r="W1754" s="294"/>
      <c r="X1754" s="1182"/>
      <c r="Y1754" s="1182"/>
      <c r="Z1754" s="1166"/>
      <c r="AA1754" s="1166"/>
      <c r="AB1754" s="1182"/>
      <c r="AC1754" s="294"/>
      <c r="AD1754" s="294"/>
      <c r="AE1754" s="294"/>
      <c r="AF1754" s="294"/>
      <c r="AG1754" s="294"/>
      <c r="AH1754" s="294"/>
      <c r="AI1754" s="294"/>
      <c r="AJ1754" s="294"/>
    </row>
    <row r="1755" spans="2:36" x14ac:dyDescent="0.25">
      <c r="B1755" s="294"/>
      <c r="C1755" s="294"/>
      <c r="D1755" s="294"/>
      <c r="E1755" s="294"/>
      <c r="F1755" s="294"/>
      <c r="G1755" s="294"/>
      <c r="H1755" s="294"/>
      <c r="I1755" s="294"/>
      <c r="J1755" s="294"/>
      <c r="L1755" s="295"/>
      <c r="M1755" s="294"/>
      <c r="R1755" s="326"/>
      <c r="S1755" s="326"/>
      <c r="T1755" s="294"/>
      <c r="U1755" s="294"/>
      <c r="V1755" s="294"/>
      <c r="W1755" s="294"/>
      <c r="X1755" s="1182"/>
      <c r="Y1755" s="1182"/>
      <c r="Z1755" s="1166"/>
      <c r="AA1755" s="1166"/>
      <c r="AB1755" s="1182"/>
      <c r="AC1755" s="294"/>
      <c r="AD1755" s="294"/>
      <c r="AE1755" s="294"/>
      <c r="AF1755" s="294"/>
      <c r="AG1755" s="294"/>
      <c r="AH1755" s="294"/>
      <c r="AI1755" s="294"/>
      <c r="AJ1755" s="294"/>
    </row>
    <row r="1756" spans="2:36" x14ac:dyDescent="0.25">
      <c r="B1756" s="294"/>
      <c r="C1756" s="294"/>
      <c r="D1756" s="294"/>
      <c r="E1756" s="294"/>
      <c r="F1756" s="294"/>
      <c r="G1756" s="294"/>
      <c r="H1756" s="294"/>
      <c r="I1756" s="294"/>
      <c r="J1756" s="294"/>
      <c r="L1756" s="295"/>
      <c r="M1756" s="294"/>
      <c r="R1756" s="326"/>
      <c r="S1756" s="326"/>
      <c r="T1756" s="294"/>
      <c r="U1756" s="294"/>
      <c r="V1756" s="294"/>
      <c r="W1756" s="294"/>
      <c r="X1756" s="1182"/>
      <c r="Y1756" s="1182"/>
      <c r="Z1756" s="1166"/>
      <c r="AA1756" s="1166"/>
      <c r="AB1756" s="1182"/>
      <c r="AC1756" s="294"/>
      <c r="AD1756" s="294"/>
      <c r="AE1756" s="294"/>
      <c r="AF1756" s="294"/>
      <c r="AG1756" s="294"/>
      <c r="AH1756" s="294"/>
      <c r="AI1756" s="294"/>
      <c r="AJ1756" s="294"/>
    </row>
    <row r="1757" spans="2:36" x14ac:dyDescent="0.25">
      <c r="B1757" s="294"/>
      <c r="C1757" s="294"/>
      <c r="D1757" s="294"/>
      <c r="E1757" s="294"/>
      <c r="F1757" s="294"/>
      <c r="G1757" s="294"/>
      <c r="H1757" s="294"/>
      <c r="I1757" s="294"/>
      <c r="J1757" s="294"/>
      <c r="L1757" s="295"/>
      <c r="M1757" s="294"/>
      <c r="R1757" s="326"/>
      <c r="S1757" s="326"/>
      <c r="T1757" s="294"/>
      <c r="U1757" s="294"/>
      <c r="V1757" s="294"/>
      <c r="W1757" s="294"/>
      <c r="X1757" s="1182"/>
      <c r="Y1757" s="1182"/>
      <c r="Z1757" s="1166"/>
      <c r="AA1757" s="1166"/>
      <c r="AB1757" s="1182"/>
      <c r="AC1757" s="294"/>
      <c r="AD1757" s="294"/>
      <c r="AE1757" s="294"/>
      <c r="AF1757" s="294"/>
      <c r="AG1757" s="294"/>
      <c r="AH1757" s="294"/>
      <c r="AI1757" s="294"/>
      <c r="AJ1757" s="294"/>
    </row>
    <row r="1758" spans="2:36" x14ac:dyDescent="0.25">
      <c r="B1758" s="294"/>
      <c r="C1758" s="294"/>
      <c r="D1758" s="294"/>
      <c r="E1758" s="294"/>
      <c r="F1758" s="294"/>
      <c r="G1758" s="294"/>
      <c r="H1758" s="294"/>
      <c r="I1758" s="294"/>
      <c r="J1758" s="294"/>
      <c r="L1758" s="295"/>
      <c r="M1758" s="294"/>
      <c r="R1758" s="326"/>
      <c r="S1758" s="326"/>
      <c r="T1758" s="294"/>
      <c r="U1758" s="294"/>
      <c r="V1758" s="294"/>
      <c r="W1758" s="294"/>
      <c r="X1758" s="1182"/>
      <c r="Y1758" s="1182"/>
      <c r="Z1758" s="1166"/>
      <c r="AA1758" s="1166"/>
      <c r="AB1758" s="1182"/>
      <c r="AC1758" s="294"/>
      <c r="AD1758" s="294"/>
      <c r="AE1758" s="294"/>
      <c r="AF1758" s="294"/>
      <c r="AG1758" s="294"/>
      <c r="AH1758" s="294"/>
      <c r="AI1758" s="294"/>
      <c r="AJ1758" s="294"/>
    </row>
    <row r="1759" spans="2:36" x14ac:dyDescent="0.25">
      <c r="B1759" s="294"/>
      <c r="C1759" s="294"/>
      <c r="D1759" s="294"/>
      <c r="E1759" s="294"/>
      <c r="F1759" s="294"/>
      <c r="G1759" s="294"/>
      <c r="H1759" s="294"/>
      <c r="I1759" s="294"/>
      <c r="J1759" s="294"/>
      <c r="L1759" s="295"/>
      <c r="M1759" s="294"/>
      <c r="R1759" s="326"/>
      <c r="S1759" s="326"/>
      <c r="T1759" s="294"/>
      <c r="U1759" s="294"/>
      <c r="V1759" s="294"/>
      <c r="W1759" s="294"/>
      <c r="X1759" s="1182"/>
      <c r="Y1759" s="1182"/>
      <c r="Z1759" s="1166"/>
      <c r="AA1759" s="1166"/>
      <c r="AB1759" s="1182"/>
      <c r="AC1759" s="294"/>
      <c r="AD1759" s="294"/>
      <c r="AE1759" s="294"/>
      <c r="AF1759" s="294"/>
      <c r="AG1759" s="294"/>
      <c r="AH1759" s="294"/>
      <c r="AI1759" s="294"/>
      <c r="AJ1759" s="294"/>
    </row>
    <row r="1760" spans="2:36" x14ac:dyDescent="0.25">
      <c r="B1760" s="294"/>
      <c r="C1760" s="294"/>
      <c r="D1760" s="294"/>
      <c r="E1760" s="294"/>
      <c r="F1760" s="294"/>
      <c r="G1760" s="294"/>
      <c r="H1760" s="294"/>
      <c r="I1760" s="294"/>
      <c r="J1760" s="294"/>
      <c r="L1760" s="295"/>
      <c r="M1760" s="294"/>
      <c r="R1760" s="326"/>
      <c r="S1760" s="326"/>
      <c r="T1760" s="294"/>
      <c r="U1760" s="294"/>
      <c r="V1760" s="294"/>
      <c r="W1760" s="294"/>
      <c r="X1760" s="1182"/>
      <c r="Y1760" s="1182"/>
      <c r="Z1760" s="1166"/>
      <c r="AA1760" s="1166"/>
      <c r="AB1760" s="1182"/>
      <c r="AC1760" s="294"/>
      <c r="AD1760" s="294"/>
      <c r="AE1760" s="294"/>
      <c r="AF1760" s="294"/>
      <c r="AG1760" s="294"/>
      <c r="AH1760" s="294"/>
      <c r="AI1760" s="294"/>
      <c r="AJ1760" s="294"/>
    </row>
    <row r="1761" spans="2:36" x14ac:dyDescent="0.25">
      <c r="B1761" s="294"/>
      <c r="C1761" s="294"/>
      <c r="D1761" s="294"/>
      <c r="E1761" s="294"/>
      <c r="F1761" s="294"/>
      <c r="G1761" s="294"/>
      <c r="H1761" s="294"/>
      <c r="I1761" s="294"/>
      <c r="J1761" s="294"/>
      <c r="L1761" s="295"/>
      <c r="M1761" s="294"/>
      <c r="R1761" s="326"/>
      <c r="S1761" s="326"/>
      <c r="T1761" s="294"/>
      <c r="U1761" s="294"/>
      <c r="V1761" s="294"/>
      <c r="W1761" s="294"/>
      <c r="X1761" s="1182"/>
      <c r="Y1761" s="1182"/>
      <c r="Z1761" s="1166"/>
      <c r="AA1761" s="1166"/>
      <c r="AB1761" s="1182"/>
      <c r="AC1761" s="294"/>
      <c r="AD1761" s="294"/>
      <c r="AE1761" s="294"/>
      <c r="AF1761" s="294"/>
      <c r="AG1761" s="294"/>
      <c r="AH1761" s="294"/>
      <c r="AI1761" s="294"/>
      <c r="AJ1761" s="294"/>
    </row>
    <row r="1762" spans="2:36" x14ac:dyDescent="0.25">
      <c r="B1762" s="294"/>
      <c r="C1762" s="294"/>
      <c r="D1762" s="294"/>
      <c r="E1762" s="294"/>
      <c r="F1762" s="294"/>
      <c r="G1762" s="294"/>
      <c r="H1762" s="294"/>
      <c r="I1762" s="294"/>
      <c r="J1762" s="294"/>
      <c r="L1762" s="295"/>
      <c r="M1762" s="294"/>
      <c r="R1762" s="326"/>
      <c r="S1762" s="326"/>
      <c r="T1762" s="294"/>
      <c r="U1762" s="294"/>
      <c r="V1762" s="294"/>
      <c r="W1762" s="294"/>
      <c r="X1762" s="1182"/>
      <c r="Y1762" s="1182"/>
      <c r="Z1762" s="1166"/>
      <c r="AA1762" s="1166"/>
      <c r="AB1762" s="1182"/>
      <c r="AC1762" s="294"/>
      <c r="AD1762" s="294"/>
      <c r="AE1762" s="294"/>
      <c r="AF1762" s="294"/>
      <c r="AG1762" s="294"/>
      <c r="AH1762" s="294"/>
      <c r="AI1762" s="294"/>
      <c r="AJ1762" s="294"/>
    </row>
    <row r="1763" spans="2:36" x14ac:dyDescent="0.25">
      <c r="B1763" s="294"/>
      <c r="C1763" s="294"/>
      <c r="D1763" s="294"/>
      <c r="E1763" s="294"/>
      <c r="F1763" s="294"/>
      <c r="G1763" s="294"/>
      <c r="H1763" s="294"/>
      <c r="I1763" s="294"/>
      <c r="J1763" s="294"/>
      <c r="L1763" s="295"/>
      <c r="M1763" s="294"/>
      <c r="R1763" s="326"/>
      <c r="S1763" s="326"/>
      <c r="T1763" s="294"/>
      <c r="U1763" s="294"/>
      <c r="V1763" s="294"/>
      <c r="W1763" s="294"/>
      <c r="X1763" s="1182"/>
      <c r="Y1763" s="1182"/>
      <c r="Z1763" s="1166"/>
      <c r="AA1763" s="1166"/>
      <c r="AB1763" s="1182"/>
      <c r="AC1763" s="294"/>
      <c r="AD1763" s="294"/>
      <c r="AE1763" s="294"/>
      <c r="AF1763" s="294"/>
      <c r="AG1763" s="294"/>
      <c r="AH1763" s="294"/>
      <c r="AI1763" s="294"/>
      <c r="AJ1763" s="294"/>
    </row>
    <row r="1764" spans="2:36" x14ac:dyDescent="0.25">
      <c r="B1764" s="294"/>
      <c r="C1764" s="294"/>
      <c r="D1764" s="294"/>
      <c r="E1764" s="294"/>
      <c r="F1764" s="294"/>
      <c r="G1764" s="294"/>
      <c r="H1764" s="294"/>
      <c r="I1764" s="294"/>
      <c r="J1764" s="294"/>
      <c r="L1764" s="295"/>
      <c r="M1764" s="294"/>
      <c r="R1764" s="326"/>
      <c r="S1764" s="326"/>
      <c r="T1764" s="294"/>
      <c r="U1764" s="294"/>
      <c r="V1764" s="294"/>
      <c r="W1764" s="294"/>
      <c r="X1764" s="1182"/>
      <c r="Y1764" s="1182"/>
      <c r="Z1764" s="1166"/>
      <c r="AA1764" s="1166"/>
      <c r="AB1764" s="1182"/>
      <c r="AC1764" s="294"/>
      <c r="AD1764" s="294"/>
      <c r="AE1764" s="294"/>
      <c r="AF1764" s="294"/>
      <c r="AG1764" s="294"/>
      <c r="AH1764" s="294"/>
      <c r="AI1764" s="294"/>
      <c r="AJ1764" s="294"/>
    </row>
    <row r="1765" spans="2:36" x14ac:dyDescent="0.25">
      <c r="B1765" s="294"/>
      <c r="C1765" s="294"/>
      <c r="D1765" s="294"/>
      <c r="E1765" s="294"/>
      <c r="F1765" s="294"/>
      <c r="G1765" s="294"/>
      <c r="H1765" s="294"/>
      <c r="I1765" s="294"/>
      <c r="J1765" s="294"/>
      <c r="L1765" s="295"/>
      <c r="M1765" s="294"/>
      <c r="R1765" s="326"/>
      <c r="S1765" s="326"/>
      <c r="T1765" s="294"/>
      <c r="U1765" s="294"/>
      <c r="V1765" s="294"/>
      <c r="W1765" s="294"/>
      <c r="X1765" s="1182"/>
      <c r="Y1765" s="1182"/>
      <c r="Z1765" s="1166"/>
      <c r="AA1765" s="1166"/>
      <c r="AB1765" s="1182"/>
      <c r="AC1765" s="294"/>
      <c r="AD1765" s="294"/>
      <c r="AE1765" s="294"/>
      <c r="AF1765" s="294"/>
      <c r="AG1765" s="294"/>
      <c r="AH1765" s="294"/>
      <c r="AI1765" s="294"/>
      <c r="AJ1765" s="294"/>
    </row>
    <row r="1766" spans="2:36" x14ac:dyDescent="0.25">
      <c r="B1766" s="294"/>
      <c r="C1766" s="294"/>
      <c r="D1766" s="294"/>
      <c r="E1766" s="294"/>
      <c r="F1766" s="294"/>
      <c r="G1766" s="294"/>
      <c r="H1766" s="294"/>
      <c r="I1766" s="294"/>
      <c r="J1766" s="294"/>
      <c r="L1766" s="295"/>
      <c r="M1766" s="294"/>
      <c r="R1766" s="326"/>
      <c r="S1766" s="326"/>
      <c r="T1766" s="294"/>
      <c r="U1766" s="294"/>
      <c r="V1766" s="294"/>
      <c r="W1766" s="294"/>
      <c r="X1766" s="1182"/>
      <c r="Y1766" s="1182"/>
      <c r="Z1766" s="1166"/>
      <c r="AA1766" s="1166"/>
      <c r="AB1766" s="1182"/>
      <c r="AC1766" s="294"/>
      <c r="AD1766" s="294"/>
      <c r="AE1766" s="294"/>
      <c r="AF1766" s="294"/>
      <c r="AG1766" s="294"/>
      <c r="AH1766" s="294"/>
      <c r="AI1766" s="294"/>
      <c r="AJ1766" s="294"/>
    </row>
    <row r="1767" spans="2:36" x14ac:dyDescent="0.25">
      <c r="B1767" s="294"/>
      <c r="C1767" s="294"/>
      <c r="D1767" s="294"/>
      <c r="E1767" s="294"/>
      <c r="F1767" s="294"/>
      <c r="G1767" s="294"/>
      <c r="H1767" s="294"/>
      <c r="I1767" s="294"/>
      <c r="J1767" s="294"/>
      <c r="L1767" s="295"/>
      <c r="M1767" s="294"/>
      <c r="R1767" s="326"/>
      <c r="S1767" s="326"/>
      <c r="T1767" s="294"/>
      <c r="U1767" s="294"/>
      <c r="V1767" s="294"/>
      <c r="W1767" s="294"/>
      <c r="X1767" s="1182"/>
      <c r="Y1767" s="1182"/>
      <c r="Z1767" s="1166"/>
      <c r="AA1767" s="1166"/>
      <c r="AB1767" s="1182"/>
      <c r="AC1767" s="294"/>
      <c r="AD1767" s="294"/>
      <c r="AE1767" s="294"/>
      <c r="AF1767" s="294"/>
      <c r="AG1767" s="294"/>
      <c r="AH1767" s="294"/>
      <c r="AI1767" s="294"/>
      <c r="AJ1767" s="294"/>
    </row>
    <row r="1768" spans="2:36" x14ac:dyDescent="0.25">
      <c r="B1768" s="294"/>
      <c r="C1768" s="294"/>
      <c r="D1768" s="294"/>
      <c r="E1768" s="294"/>
      <c r="F1768" s="294"/>
      <c r="G1768" s="294"/>
      <c r="H1768" s="294"/>
      <c r="I1768" s="294"/>
      <c r="J1768" s="294"/>
      <c r="L1768" s="295"/>
      <c r="M1768" s="294"/>
      <c r="R1768" s="326"/>
      <c r="S1768" s="326"/>
      <c r="T1768" s="294"/>
      <c r="U1768" s="294"/>
      <c r="V1768" s="294"/>
      <c r="W1768" s="294"/>
      <c r="X1768" s="1182"/>
      <c r="Y1768" s="1182"/>
      <c r="Z1768" s="1166"/>
      <c r="AA1768" s="1166"/>
      <c r="AB1768" s="1182"/>
      <c r="AC1768" s="294"/>
      <c r="AD1768" s="294"/>
      <c r="AE1768" s="294"/>
      <c r="AF1768" s="294"/>
      <c r="AG1768" s="294"/>
      <c r="AH1768" s="294"/>
      <c r="AI1768" s="294"/>
      <c r="AJ1768" s="294"/>
    </row>
    <row r="1769" spans="2:36" x14ac:dyDescent="0.25">
      <c r="B1769" s="294"/>
      <c r="C1769" s="294"/>
      <c r="D1769" s="294"/>
      <c r="E1769" s="294"/>
      <c r="F1769" s="294"/>
      <c r="G1769" s="294"/>
      <c r="H1769" s="294"/>
      <c r="I1769" s="294"/>
      <c r="J1769" s="294"/>
      <c r="L1769" s="295"/>
      <c r="M1769" s="294"/>
      <c r="R1769" s="326"/>
      <c r="S1769" s="326"/>
      <c r="T1769" s="294"/>
      <c r="U1769" s="294"/>
      <c r="V1769" s="294"/>
      <c r="W1769" s="294"/>
      <c r="X1769" s="1182"/>
      <c r="Y1769" s="1182"/>
      <c r="Z1769" s="1166"/>
      <c r="AA1769" s="1166"/>
      <c r="AB1769" s="1182"/>
      <c r="AC1769" s="294"/>
      <c r="AD1769" s="294"/>
      <c r="AE1769" s="294"/>
      <c r="AF1769" s="294"/>
      <c r="AG1769" s="294"/>
      <c r="AH1769" s="294"/>
      <c r="AI1769" s="294"/>
      <c r="AJ1769" s="294"/>
    </row>
    <row r="1770" spans="2:36" x14ac:dyDescent="0.25">
      <c r="B1770" s="294"/>
      <c r="C1770" s="294"/>
      <c r="D1770" s="294"/>
      <c r="E1770" s="294"/>
      <c r="F1770" s="294"/>
      <c r="G1770" s="294"/>
      <c r="H1770" s="294"/>
      <c r="I1770" s="294"/>
      <c r="J1770" s="294"/>
      <c r="L1770" s="295"/>
      <c r="M1770" s="294"/>
      <c r="R1770" s="326"/>
      <c r="S1770" s="326"/>
      <c r="T1770" s="294"/>
      <c r="U1770" s="294"/>
      <c r="V1770" s="294"/>
      <c r="W1770" s="294"/>
      <c r="X1770" s="1182"/>
      <c r="Y1770" s="1182"/>
      <c r="Z1770" s="1166"/>
      <c r="AA1770" s="1166"/>
      <c r="AB1770" s="1182"/>
      <c r="AC1770" s="294"/>
      <c r="AD1770" s="294"/>
      <c r="AE1770" s="294"/>
      <c r="AF1770" s="294"/>
      <c r="AG1770" s="294"/>
      <c r="AH1770" s="294"/>
      <c r="AI1770" s="294"/>
      <c r="AJ1770" s="294"/>
    </row>
    <row r="1771" spans="2:36" x14ac:dyDescent="0.25">
      <c r="B1771" s="294"/>
      <c r="C1771" s="294"/>
      <c r="D1771" s="294"/>
      <c r="E1771" s="294"/>
      <c r="F1771" s="294"/>
      <c r="G1771" s="294"/>
      <c r="H1771" s="294"/>
      <c r="I1771" s="294"/>
      <c r="J1771" s="294"/>
      <c r="L1771" s="295"/>
      <c r="M1771" s="294"/>
      <c r="R1771" s="326"/>
      <c r="S1771" s="326"/>
      <c r="T1771" s="294"/>
      <c r="U1771" s="294"/>
      <c r="V1771" s="294"/>
      <c r="W1771" s="294"/>
      <c r="X1771" s="1182"/>
      <c r="Y1771" s="1182"/>
      <c r="Z1771" s="1166"/>
      <c r="AA1771" s="1166"/>
      <c r="AB1771" s="1182"/>
      <c r="AC1771" s="294"/>
      <c r="AD1771" s="294"/>
      <c r="AE1771" s="294"/>
      <c r="AF1771" s="294"/>
      <c r="AG1771" s="294"/>
      <c r="AH1771" s="294"/>
      <c r="AI1771" s="294"/>
      <c r="AJ1771" s="294"/>
    </row>
    <row r="1772" spans="2:36" x14ac:dyDescent="0.25">
      <c r="B1772" s="294"/>
      <c r="C1772" s="294"/>
      <c r="D1772" s="294"/>
      <c r="E1772" s="294"/>
      <c r="F1772" s="294"/>
      <c r="G1772" s="294"/>
      <c r="H1772" s="294"/>
      <c r="I1772" s="294"/>
      <c r="J1772" s="294"/>
      <c r="L1772" s="295"/>
      <c r="M1772" s="294"/>
      <c r="R1772" s="326"/>
      <c r="S1772" s="326"/>
      <c r="T1772" s="294"/>
      <c r="U1772" s="294"/>
      <c r="V1772" s="294"/>
      <c r="W1772" s="294"/>
      <c r="X1772" s="1182"/>
      <c r="Y1772" s="1182"/>
      <c r="Z1772" s="1166"/>
      <c r="AA1772" s="1166"/>
      <c r="AB1772" s="1182"/>
      <c r="AC1772" s="294"/>
      <c r="AD1772" s="294"/>
      <c r="AE1772" s="294"/>
      <c r="AF1772" s="294"/>
      <c r="AG1772" s="294"/>
      <c r="AH1772" s="294"/>
      <c r="AI1772" s="294"/>
      <c r="AJ1772" s="294"/>
    </row>
    <row r="1773" spans="2:36" x14ac:dyDescent="0.25">
      <c r="B1773" s="294"/>
      <c r="C1773" s="294"/>
      <c r="D1773" s="294"/>
      <c r="E1773" s="294"/>
      <c r="F1773" s="294"/>
      <c r="G1773" s="294"/>
      <c r="H1773" s="294"/>
      <c r="I1773" s="294"/>
      <c r="J1773" s="294"/>
      <c r="L1773" s="295"/>
      <c r="M1773" s="294"/>
      <c r="R1773" s="326"/>
      <c r="S1773" s="326"/>
      <c r="T1773" s="294"/>
      <c r="U1773" s="294"/>
      <c r="V1773" s="294"/>
      <c r="W1773" s="294"/>
      <c r="X1773" s="1182"/>
      <c r="Y1773" s="1182"/>
      <c r="Z1773" s="1166"/>
      <c r="AA1773" s="1166"/>
      <c r="AB1773" s="1182"/>
      <c r="AC1773" s="294"/>
      <c r="AD1773" s="294"/>
      <c r="AE1773" s="294"/>
      <c r="AF1773" s="294"/>
      <c r="AG1773" s="294"/>
      <c r="AH1773" s="294"/>
      <c r="AI1773" s="294"/>
      <c r="AJ1773" s="294"/>
    </row>
    <row r="1774" spans="2:36" x14ac:dyDescent="0.25">
      <c r="B1774" s="294"/>
      <c r="C1774" s="294"/>
      <c r="D1774" s="294"/>
      <c r="E1774" s="294"/>
      <c r="F1774" s="294"/>
      <c r="G1774" s="294"/>
      <c r="H1774" s="294"/>
      <c r="I1774" s="294"/>
      <c r="J1774" s="294"/>
      <c r="L1774" s="295"/>
      <c r="M1774" s="294"/>
      <c r="R1774" s="326"/>
      <c r="S1774" s="326"/>
      <c r="T1774" s="294"/>
      <c r="U1774" s="294"/>
      <c r="V1774" s="294"/>
      <c r="W1774" s="294"/>
      <c r="X1774" s="1182"/>
      <c r="Y1774" s="1182"/>
      <c r="Z1774" s="1166"/>
      <c r="AA1774" s="1166"/>
      <c r="AB1774" s="1182"/>
      <c r="AC1774" s="294"/>
      <c r="AD1774" s="294"/>
      <c r="AE1774" s="294"/>
      <c r="AF1774" s="294"/>
      <c r="AG1774" s="294"/>
      <c r="AH1774" s="294"/>
      <c r="AI1774" s="294"/>
      <c r="AJ1774" s="294"/>
    </row>
    <row r="1775" spans="2:36" x14ac:dyDescent="0.25">
      <c r="B1775" s="294"/>
      <c r="C1775" s="294"/>
      <c r="D1775" s="294"/>
      <c r="E1775" s="294"/>
      <c r="F1775" s="294"/>
      <c r="G1775" s="294"/>
      <c r="H1775" s="294"/>
      <c r="I1775" s="294"/>
      <c r="J1775" s="294"/>
      <c r="L1775" s="295"/>
      <c r="M1775" s="294"/>
      <c r="R1775" s="326"/>
      <c r="S1775" s="326"/>
      <c r="T1775" s="294"/>
      <c r="U1775" s="294"/>
      <c r="V1775" s="294"/>
      <c r="W1775" s="294"/>
      <c r="X1775" s="1182"/>
      <c r="Y1775" s="1182"/>
      <c r="Z1775" s="1166"/>
      <c r="AA1775" s="1166"/>
      <c r="AB1775" s="1182"/>
      <c r="AC1775" s="294"/>
      <c r="AD1775" s="294"/>
      <c r="AE1775" s="294"/>
      <c r="AF1775" s="294"/>
      <c r="AG1775" s="294"/>
      <c r="AH1775" s="294"/>
      <c r="AI1775" s="294"/>
      <c r="AJ1775" s="294"/>
    </row>
    <row r="1776" spans="2:36" x14ac:dyDescent="0.25">
      <c r="B1776" s="294"/>
      <c r="C1776" s="294"/>
      <c r="D1776" s="294"/>
      <c r="E1776" s="294"/>
      <c r="F1776" s="294"/>
      <c r="G1776" s="294"/>
      <c r="H1776" s="294"/>
      <c r="I1776" s="294"/>
      <c r="J1776" s="294"/>
      <c r="L1776" s="295"/>
      <c r="M1776" s="294"/>
      <c r="R1776" s="326"/>
      <c r="S1776" s="326"/>
      <c r="T1776" s="294"/>
      <c r="U1776" s="294"/>
      <c r="V1776" s="294"/>
      <c r="W1776" s="294"/>
      <c r="X1776" s="1182"/>
      <c r="Y1776" s="1182"/>
      <c r="Z1776" s="1166"/>
      <c r="AA1776" s="1166"/>
      <c r="AB1776" s="1182"/>
      <c r="AC1776" s="294"/>
      <c r="AD1776" s="294"/>
      <c r="AE1776" s="294"/>
      <c r="AF1776" s="294"/>
      <c r="AG1776" s="294"/>
      <c r="AH1776" s="294"/>
      <c r="AI1776" s="294"/>
      <c r="AJ1776" s="294"/>
    </row>
    <row r="1777" spans="2:36" x14ac:dyDescent="0.25">
      <c r="B1777" s="294"/>
      <c r="C1777" s="294"/>
      <c r="D1777" s="294"/>
      <c r="E1777" s="294"/>
      <c r="F1777" s="294"/>
      <c r="G1777" s="294"/>
      <c r="H1777" s="294"/>
      <c r="I1777" s="294"/>
      <c r="J1777" s="294"/>
      <c r="L1777" s="295"/>
      <c r="M1777" s="294"/>
      <c r="R1777" s="326"/>
      <c r="S1777" s="326"/>
      <c r="T1777" s="294"/>
      <c r="U1777" s="294"/>
      <c r="V1777" s="294"/>
      <c r="W1777" s="294"/>
      <c r="X1777" s="1182"/>
      <c r="Y1777" s="1182"/>
      <c r="Z1777" s="1166"/>
      <c r="AA1777" s="1166"/>
      <c r="AB1777" s="1182"/>
      <c r="AC1777" s="294"/>
      <c r="AD1777" s="294"/>
      <c r="AE1777" s="294"/>
      <c r="AF1777" s="294"/>
      <c r="AG1777" s="294"/>
      <c r="AH1777" s="294"/>
      <c r="AI1777" s="294"/>
      <c r="AJ1777" s="294"/>
    </row>
    <row r="1778" spans="2:36" x14ac:dyDescent="0.25">
      <c r="B1778" s="294"/>
      <c r="C1778" s="294"/>
      <c r="D1778" s="294"/>
      <c r="E1778" s="294"/>
      <c r="F1778" s="294"/>
      <c r="G1778" s="294"/>
      <c r="H1778" s="294"/>
      <c r="I1778" s="294"/>
      <c r="J1778" s="294"/>
      <c r="L1778" s="295"/>
      <c r="M1778" s="294"/>
      <c r="R1778" s="326"/>
      <c r="S1778" s="326"/>
      <c r="T1778" s="294"/>
      <c r="U1778" s="294"/>
      <c r="V1778" s="294"/>
      <c r="W1778" s="294"/>
      <c r="X1778" s="1182"/>
      <c r="Y1778" s="1182"/>
      <c r="Z1778" s="1166"/>
      <c r="AA1778" s="1166"/>
      <c r="AB1778" s="1182"/>
      <c r="AC1778" s="294"/>
      <c r="AD1778" s="294"/>
      <c r="AE1778" s="294"/>
      <c r="AF1778" s="294"/>
      <c r="AG1778" s="294"/>
      <c r="AH1778" s="294"/>
      <c r="AI1778" s="294"/>
      <c r="AJ1778" s="294"/>
    </row>
    <row r="1779" spans="2:36" x14ac:dyDescent="0.25">
      <c r="B1779" s="294"/>
      <c r="C1779" s="294"/>
      <c r="D1779" s="294"/>
      <c r="E1779" s="294"/>
      <c r="F1779" s="294"/>
      <c r="G1779" s="294"/>
      <c r="H1779" s="294"/>
      <c r="I1779" s="294"/>
      <c r="J1779" s="294"/>
      <c r="L1779" s="295"/>
      <c r="M1779" s="294"/>
      <c r="R1779" s="326"/>
      <c r="S1779" s="326"/>
      <c r="T1779" s="294"/>
      <c r="U1779" s="294"/>
      <c r="V1779" s="294"/>
      <c r="W1779" s="294"/>
      <c r="X1779" s="1182"/>
      <c r="Y1779" s="1182"/>
      <c r="Z1779" s="1166"/>
      <c r="AA1779" s="1166"/>
      <c r="AB1779" s="1182"/>
      <c r="AC1779" s="294"/>
      <c r="AD1779" s="294"/>
      <c r="AE1779" s="294"/>
      <c r="AF1779" s="294"/>
      <c r="AG1779" s="294"/>
      <c r="AH1779" s="294"/>
      <c r="AI1779" s="294"/>
      <c r="AJ1779" s="294"/>
    </row>
    <row r="1780" spans="2:36" x14ac:dyDescent="0.25">
      <c r="B1780" s="294"/>
      <c r="C1780" s="294"/>
      <c r="D1780" s="294"/>
      <c r="E1780" s="294"/>
      <c r="F1780" s="294"/>
      <c r="G1780" s="294"/>
      <c r="H1780" s="294"/>
      <c r="I1780" s="294"/>
      <c r="J1780" s="294"/>
      <c r="L1780" s="295"/>
      <c r="M1780" s="294"/>
      <c r="R1780" s="326"/>
      <c r="S1780" s="326"/>
      <c r="T1780" s="294"/>
      <c r="U1780" s="294"/>
      <c r="V1780" s="294"/>
      <c r="W1780" s="294"/>
      <c r="X1780" s="1182"/>
      <c r="Y1780" s="1182"/>
      <c r="Z1780" s="1166"/>
      <c r="AA1780" s="1166"/>
      <c r="AB1780" s="1182"/>
      <c r="AC1780" s="294"/>
      <c r="AD1780" s="294"/>
      <c r="AE1780" s="294"/>
      <c r="AF1780" s="294"/>
      <c r="AG1780" s="294"/>
      <c r="AH1780" s="294"/>
      <c r="AI1780" s="294"/>
      <c r="AJ1780" s="294"/>
    </row>
    <row r="1781" spans="2:36" x14ac:dyDescent="0.25">
      <c r="B1781" s="294"/>
      <c r="C1781" s="294"/>
      <c r="D1781" s="294"/>
      <c r="E1781" s="294"/>
      <c r="F1781" s="294"/>
      <c r="G1781" s="294"/>
      <c r="H1781" s="294"/>
      <c r="I1781" s="294"/>
      <c r="J1781" s="294"/>
      <c r="L1781" s="295"/>
      <c r="M1781" s="294"/>
      <c r="R1781" s="326"/>
      <c r="S1781" s="326"/>
      <c r="T1781" s="294"/>
      <c r="U1781" s="294"/>
      <c r="V1781" s="294"/>
      <c r="W1781" s="294"/>
      <c r="X1781" s="1182"/>
      <c r="Y1781" s="1182"/>
      <c r="Z1781" s="1166"/>
      <c r="AA1781" s="1166"/>
      <c r="AB1781" s="1182"/>
      <c r="AC1781" s="294"/>
      <c r="AD1781" s="294"/>
      <c r="AE1781" s="294"/>
      <c r="AF1781" s="294"/>
      <c r="AG1781" s="294"/>
      <c r="AH1781" s="294"/>
      <c r="AI1781" s="294"/>
      <c r="AJ1781" s="294"/>
    </row>
    <row r="1782" spans="2:36" x14ac:dyDescent="0.25">
      <c r="B1782" s="294"/>
      <c r="C1782" s="294"/>
      <c r="D1782" s="294"/>
      <c r="E1782" s="294"/>
      <c r="F1782" s="294"/>
      <c r="G1782" s="294"/>
      <c r="H1782" s="294"/>
      <c r="I1782" s="294"/>
      <c r="J1782" s="294"/>
      <c r="L1782" s="295"/>
      <c r="M1782" s="294"/>
      <c r="R1782" s="326"/>
      <c r="S1782" s="326"/>
      <c r="T1782" s="294"/>
      <c r="U1782" s="294"/>
      <c r="V1782" s="294"/>
      <c r="W1782" s="294"/>
      <c r="X1782" s="1182"/>
      <c r="Y1782" s="1182"/>
      <c r="Z1782" s="1166"/>
      <c r="AA1782" s="1166"/>
      <c r="AB1782" s="1182"/>
      <c r="AC1782" s="294"/>
      <c r="AD1782" s="294"/>
      <c r="AE1782" s="294"/>
      <c r="AF1782" s="294"/>
      <c r="AG1782" s="294"/>
      <c r="AH1782" s="294"/>
      <c r="AI1782" s="294"/>
      <c r="AJ1782" s="294"/>
    </row>
    <row r="1783" spans="2:36" x14ac:dyDescent="0.25">
      <c r="B1783" s="294"/>
      <c r="C1783" s="294"/>
      <c r="D1783" s="294"/>
      <c r="E1783" s="294"/>
      <c r="F1783" s="294"/>
      <c r="G1783" s="294"/>
      <c r="H1783" s="294"/>
      <c r="I1783" s="294"/>
      <c r="J1783" s="294"/>
      <c r="L1783" s="295"/>
      <c r="M1783" s="294"/>
      <c r="R1783" s="326"/>
      <c r="S1783" s="326"/>
      <c r="T1783" s="294"/>
      <c r="U1783" s="294"/>
      <c r="V1783" s="294"/>
      <c r="W1783" s="294"/>
      <c r="X1783" s="1182"/>
      <c r="Y1783" s="1182"/>
      <c r="Z1783" s="1166"/>
      <c r="AA1783" s="1166"/>
      <c r="AB1783" s="1182"/>
      <c r="AC1783" s="294"/>
      <c r="AD1783" s="294"/>
      <c r="AE1783" s="294"/>
      <c r="AF1783" s="294"/>
      <c r="AG1783" s="294"/>
      <c r="AH1783" s="294"/>
      <c r="AI1783" s="294"/>
      <c r="AJ1783" s="294"/>
    </row>
    <row r="1784" spans="2:36" x14ac:dyDescent="0.25">
      <c r="B1784" s="294"/>
      <c r="C1784" s="294"/>
      <c r="D1784" s="294"/>
      <c r="E1784" s="294"/>
      <c r="F1784" s="294"/>
      <c r="G1784" s="294"/>
      <c r="H1784" s="294"/>
      <c r="I1784" s="294"/>
      <c r="J1784" s="294"/>
      <c r="L1784" s="295"/>
      <c r="M1784" s="294"/>
      <c r="R1784" s="326"/>
      <c r="S1784" s="326"/>
      <c r="T1784" s="294"/>
      <c r="U1784" s="294"/>
      <c r="V1784" s="294"/>
      <c r="W1784" s="294"/>
      <c r="X1784" s="1182"/>
      <c r="Y1784" s="1182"/>
      <c r="Z1784" s="1166"/>
      <c r="AA1784" s="1166"/>
      <c r="AB1784" s="1182"/>
      <c r="AC1784" s="294"/>
      <c r="AD1784" s="294"/>
      <c r="AE1784" s="294"/>
      <c r="AF1784" s="294"/>
      <c r="AG1784" s="294"/>
      <c r="AH1784" s="294"/>
      <c r="AI1784" s="294"/>
      <c r="AJ1784" s="294"/>
    </row>
    <row r="1785" spans="2:36" x14ac:dyDescent="0.25">
      <c r="B1785" s="294"/>
      <c r="C1785" s="294"/>
      <c r="D1785" s="294"/>
      <c r="E1785" s="294"/>
      <c r="F1785" s="294"/>
      <c r="G1785" s="294"/>
      <c r="H1785" s="294"/>
      <c r="I1785" s="294"/>
      <c r="J1785" s="294"/>
      <c r="L1785" s="295"/>
      <c r="M1785" s="294"/>
      <c r="R1785" s="326"/>
      <c r="S1785" s="326"/>
      <c r="T1785" s="294"/>
      <c r="U1785" s="294"/>
      <c r="V1785" s="294"/>
      <c r="W1785" s="294"/>
      <c r="X1785" s="1182"/>
      <c r="Y1785" s="1182"/>
      <c r="Z1785" s="1166"/>
      <c r="AA1785" s="1166"/>
      <c r="AB1785" s="1182"/>
      <c r="AC1785" s="294"/>
      <c r="AD1785" s="294"/>
      <c r="AE1785" s="294"/>
      <c r="AF1785" s="294"/>
      <c r="AG1785" s="294"/>
      <c r="AH1785" s="294"/>
      <c r="AI1785" s="294"/>
      <c r="AJ1785" s="294"/>
    </row>
    <row r="1786" spans="2:36" x14ac:dyDescent="0.25">
      <c r="B1786" s="294"/>
      <c r="C1786" s="294"/>
      <c r="D1786" s="294"/>
      <c r="E1786" s="294"/>
      <c r="F1786" s="294"/>
      <c r="G1786" s="294"/>
      <c r="H1786" s="294"/>
      <c r="I1786" s="294"/>
      <c r="J1786" s="294"/>
      <c r="L1786" s="295"/>
      <c r="M1786" s="294"/>
      <c r="R1786" s="326"/>
      <c r="S1786" s="326"/>
      <c r="T1786" s="294"/>
      <c r="U1786" s="294"/>
      <c r="V1786" s="294"/>
      <c r="W1786" s="294"/>
      <c r="X1786" s="1182"/>
      <c r="Y1786" s="1182"/>
      <c r="Z1786" s="1166"/>
      <c r="AA1786" s="1166"/>
      <c r="AB1786" s="1182"/>
      <c r="AC1786" s="294"/>
      <c r="AD1786" s="294"/>
      <c r="AE1786" s="294"/>
      <c r="AF1786" s="294"/>
      <c r="AG1786" s="294"/>
      <c r="AH1786" s="294"/>
      <c r="AI1786" s="294"/>
      <c r="AJ1786" s="294"/>
    </row>
    <row r="1787" spans="2:36" x14ac:dyDescent="0.25">
      <c r="B1787" s="294"/>
      <c r="C1787" s="294"/>
      <c r="D1787" s="294"/>
      <c r="E1787" s="294"/>
      <c r="F1787" s="294"/>
      <c r="G1787" s="294"/>
      <c r="H1787" s="294"/>
      <c r="I1787" s="294"/>
      <c r="J1787" s="294"/>
      <c r="L1787" s="295"/>
      <c r="M1787" s="294"/>
      <c r="R1787" s="326"/>
      <c r="S1787" s="326"/>
      <c r="T1787" s="294"/>
      <c r="U1787" s="294"/>
      <c r="V1787" s="294"/>
      <c r="W1787" s="294"/>
      <c r="X1787" s="1182"/>
      <c r="Y1787" s="1182"/>
      <c r="Z1787" s="1166"/>
      <c r="AA1787" s="1166"/>
      <c r="AB1787" s="1182"/>
      <c r="AC1787" s="294"/>
      <c r="AD1787" s="294"/>
      <c r="AE1787" s="294"/>
      <c r="AF1787" s="294"/>
      <c r="AG1787" s="294"/>
      <c r="AH1787" s="294"/>
      <c r="AI1787" s="294"/>
      <c r="AJ1787" s="294"/>
    </row>
    <row r="1788" spans="2:36" x14ac:dyDescent="0.25">
      <c r="B1788" s="294"/>
      <c r="C1788" s="294"/>
      <c r="D1788" s="294"/>
      <c r="E1788" s="294"/>
      <c r="F1788" s="294"/>
      <c r="G1788" s="294"/>
      <c r="H1788" s="294"/>
      <c r="I1788" s="294"/>
      <c r="J1788" s="294"/>
      <c r="L1788" s="295"/>
      <c r="M1788" s="294"/>
      <c r="R1788" s="326"/>
      <c r="S1788" s="326"/>
      <c r="T1788" s="294"/>
      <c r="U1788" s="294"/>
      <c r="V1788" s="294"/>
      <c r="W1788" s="294"/>
      <c r="X1788" s="1182"/>
      <c r="Y1788" s="1182"/>
      <c r="Z1788" s="1166"/>
      <c r="AA1788" s="1166"/>
      <c r="AB1788" s="1182"/>
      <c r="AC1788" s="294"/>
      <c r="AD1788" s="294"/>
      <c r="AE1788" s="294"/>
      <c r="AF1788" s="294"/>
      <c r="AG1788" s="294"/>
      <c r="AH1788" s="294"/>
      <c r="AI1788" s="294"/>
      <c r="AJ1788" s="294"/>
    </row>
    <row r="1789" spans="2:36" x14ac:dyDescent="0.25">
      <c r="B1789" s="294"/>
      <c r="C1789" s="294"/>
      <c r="D1789" s="294"/>
      <c r="E1789" s="294"/>
      <c r="F1789" s="294"/>
      <c r="G1789" s="294"/>
      <c r="H1789" s="294"/>
      <c r="I1789" s="294"/>
      <c r="J1789" s="294"/>
      <c r="L1789" s="295"/>
      <c r="M1789" s="294"/>
      <c r="R1789" s="326"/>
      <c r="S1789" s="326"/>
      <c r="T1789" s="294"/>
      <c r="U1789" s="294"/>
      <c r="V1789" s="294"/>
      <c r="W1789" s="294"/>
      <c r="X1789" s="1182"/>
      <c r="Y1789" s="1182"/>
      <c r="Z1789" s="1166"/>
      <c r="AA1789" s="1166"/>
      <c r="AB1789" s="1182"/>
      <c r="AC1789" s="294"/>
      <c r="AD1789" s="294"/>
      <c r="AE1789" s="294"/>
      <c r="AF1789" s="294"/>
      <c r="AG1789" s="294"/>
      <c r="AH1789" s="294"/>
      <c r="AI1789" s="294"/>
      <c r="AJ1789" s="294"/>
    </row>
    <row r="1790" spans="2:36" x14ac:dyDescent="0.25">
      <c r="B1790" s="294"/>
      <c r="C1790" s="294"/>
      <c r="D1790" s="294"/>
      <c r="E1790" s="294"/>
      <c r="F1790" s="294"/>
      <c r="G1790" s="294"/>
      <c r="H1790" s="294"/>
      <c r="I1790" s="294"/>
      <c r="J1790" s="294"/>
      <c r="L1790" s="295"/>
      <c r="M1790" s="294"/>
      <c r="R1790" s="326"/>
      <c r="S1790" s="326"/>
      <c r="T1790" s="294"/>
      <c r="U1790" s="294"/>
      <c r="V1790" s="294"/>
      <c r="W1790" s="294"/>
      <c r="X1790" s="1182"/>
      <c r="Y1790" s="1182"/>
      <c r="Z1790" s="1166"/>
      <c r="AA1790" s="1166"/>
      <c r="AB1790" s="1182"/>
      <c r="AC1790" s="294"/>
      <c r="AD1790" s="294"/>
      <c r="AE1790" s="294"/>
      <c r="AF1790" s="294"/>
      <c r="AG1790" s="294"/>
      <c r="AH1790" s="294"/>
      <c r="AI1790" s="294"/>
      <c r="AJ1790" s="294"/>
    </row>
    <row r="1791" spans="2:36" x14ac:dyDescent="0.25">
      <c r="B1791" s="294"/>
      <c r="C1791" s="294"/>
      <c r="D1791" s="294"/>
      <c r="E1791" s="294"/>
      <c r="F1791" s="294"/>
      <c r="G1791" s="294"/>
      <c r="H1791" s="294"/>
      <c r="I1791" s="294"/>
      <c r="J1791" s="294"/>
      <c r="L1791" s="295"/>
      <c r="M1791" s="294"/>
      <c r="R1791" s="326"/>
      <c r="S1791" s="326"/>
      <c r="T1791" s="294"/>
      <c r="U1791" s="294"/>
      <c r="V1791" s="294"/>
      <c r="W1791" s="294"/>
      <c r="X1791" s="1182"/>
      <c r="Y1791" s="1182"/>
      <c r="Z1791" s="1166"/>
      <c r="AA1791" s="1166"/>
      <c r="AB1791" s="1182"/>
      <c r="AC1791" s="294"/>
      <c r="AD1791" s="294"/>
      <c r="AE1791" s="294"/>
      <c r="AF1791" s="294"/>
      <c r="AG1791" s="294"/>
      <c r="AH1791" s="294"/>
      <c r="AI1791" s="294"/>
      <c r="AJ1791" s="294"/>
    </row>
    <row r="1792" spans="2:36" x14ac:dyDescent="0.25">
      <c r="B1792" s="294"/>
      <c r="C1792" s="294"/>
      <c r="D1792" s="294"/>
      <c r="E1792" s="294"/>
      <c r="F1792" s="294"/>
      <c r="G1792" s="294"/>
      <c r="H1792" s="294"/>
      <c r="I1792" s="294"/>
      <c r="J1792" s="294"/>
      <c r="L1792" s="295"/>
      <c r="M1792" s="294"/>
      <c r="R1792" s="326"/>
      <c r="S1792" s="326"/>
      <c r="T1792" s="294"/>
      <c r="U1792" s="294"/>
      <c r="V1792" s="294"/>
      <c r="W1792" s="294"/>
      <c r="X1792" s="1182"/>
      <c r="Y1792" s="1182"/>
      <c r="Z1792" s="1166"/>
      <c r="AA1792" s="1166"/>
      <c r="AB1792" s="1182"/>
      <c r="AC1792" s="294"/>
      <c r="AD1792" s="294"/>
      <c r="AE1792" s="294"/>
      <c r="AF1792" s="294"/>
      <c r="AG1792" s="294"/>
      <c r="AH1792" s="294"/>
      <c r="AI1792" s="294"/>
      <c r="AJ1792" s="294"/>
    </row>
    <row r="1793" spans="2:36" x14ac:dyDescent="0.25">
      <c r="B1793" s="294"/>
      <c r="C1793" s="294"/>
      <c r="D1793" s="294"/>
      <c r="E1793" s="294"/>
      <c r="F1793" s="294"/>
      <c r="G1793" s="294"/>
      <c r="H1793" s="294"/>
      <c r="I1793" s="294"/>
      <c r="J1793" s="294"/>
      <c r="L1793" s="295"/>
      <c r="M1793" s="294"/>
      <c r="R1793" s="326"/>
      <c r="S1793" s="326"/>
      <c r="T1793" s="294"/>
      <c r="U1793" s="294"/>
      <c r="V1793" s="294"/>
      <c r="W1793" s="294"/>
      <c r="X1793" s="1182"/>
      <c r="Y1793" s="1182"/>
      <c r="Z1793" s="1166"/>
      <c r="AA1793" s="1166"/>
      <c r="AB1793" s="1182"/>
      <c r="AC1793" s="294"/>
      <c r="AD1793" s="294"/>
      <c r="AE1793" s="294"/>
      <c r="AF1793" s="294"/>
      <c r="AG1793" s="294"/>
      <c r="AH1793" s="294"/>
      <c r="AI1793" s="294"/>
      <c r="AJ1793" s="294"/>
    </row>
    <row r="1794" spans="2:36" x14ac:dyDescent="0.25">
      <c r="B1794" s="294"/>
      <c r="C1794" s="294"/>
      <c r="D1794" s="294"/>
      <c r="E1794" s="294"/>
      <c r="F1794" s="294"/>
      <c r="G1794" s="294"/>
      <c r="H1794" s="294"/>
      <c r="I1794" s="294"/>
      <c r="J1794" s="294"/>
      <c r="L1794" s="295"/>
      <c r="M1794" s="294"/>
      <c r="R1794" s="326"/>
      <c r="S1794" s="326"/>
      <c r="T1794" s="294"/>
      <c r="U1794" s="294"/>
      <c r="V1794" s="294"/>
      <c r="W1794" s="294"/>
      <c r="X1794" s="1182"/>
      <c r="Y1794" s="1182"/>
      <c r="Z1794" s="1166"/>
      <c r="AA1794" s="1166"/>
      <c r="AB1794" s="1182"/>
      <c r="AC1794" s="294"/>
      <c r="AD1794" s="294"/>
      <c r="AE1794" s="294"/>
      <c r="AF1794" s="294"/>
      <c r="AG1794" s="294"/>
      <c r="AH1794" s="294"/>
      <c r="AI1794" s="294"/>
      <c r="AJ1794" s="294"/>
    </row>
    <row r="1795" spans="2:36" x14ac:dyDescent="0.25">
      <c r="B1795" s="294"/>
      <c r="C1795" s="294"/>
      <c r="D1795" s="294"/>
      <c r="E1795" s="294"/>
      <c r="F1795" s="294"/>
      <c r="G1795" s="294"/>
      <c r="H1795" s="294"/>
      <c r="I1795" s="294"/>
      <c r="J1795" s="294"/>
      <c r="L1795" s="295"/>
      <c r="M1795" s="294"/>
      <c r="R1795" s="326"/>
      <c r="S1795" s="326"/>
      <c r="T1795" s="294"/>
      <c r="U1795" s="294"/>
      <c r="V1795" s="294"/>
      <c r="W1795" s="294"/>
      <c r="X1795" s="1182"/>
      <c r="Y1795" s="1182"/>
      <c r="Z1795" s="1166"/>
      <c r="AA1795" s="1166"/>
      <c r="AB1795" s="1182"/>
      <c r="AC1795" s="294"/>
      <c r="AD1795" s="294"/>
      <c r="AE1795" s="294"/>
      <c r="AF1795" s="294"/>
      <c r="AG1795" s="294"/>
      <c r="AH1795" s="294"/>
      <c r="AI1795" s="294"/>
      <c r="AJ1795" s="294"/>
    </row>
    <row r="1796" spans="2:36" x14ac:dyDescent="0.25">
      <c r="B1796" s="294"/>
      <c r="C1796" s="294"/>
      <c r="D1796" s="294"/>
      <c r="E1796" s="294"/>
      <c r="F1796" s="294"/>
      <c r="G1796" s="294"/>
      <c r="H1796" s="294"/>
      <c r="I1796" s="294"/>
      <c r="J1796" s="294"/>
      <c r="L1796" s="295"/>
      <c r="M1796" s="294"/>
      <c r="R1796" s="326"/>
      <c r="S1796" s="326"/>
      <c r="T1796" s="294"/>
      <c r="U1796" s="294"/>
      <c r="V1796" s="294"/>
      <c r="W1796" s="294"/>
      <c r="X1796" s="1182"/>
      <c r="Y1796" s="1182"/>
      <c r="Z1796" s="1166"/>
      <c r="AA1796" s="1166"/>
      <c r="AB1796" s="1182"/>
      <c r="AC1796" s="294"/>
      <c r="AD1796" s="294"/>
      <c r="AE1796" s="294"/>
      <c r="AF1796" s="294"/>
      <c r="AG1796" s="294"/>
      <c r="AH1796" s="294"/>
      <c r="AI1796" s="294"/>
      <c r="AJ1796" s="294"/>
    </row>
    <row r="1797" spans="2:36" x14ac:dyDescent="0.25">
      <c r="B1797" s="294"/>
      <c r="C1797" s="294"/>
      <c r="D1797" s="294"/>
      <c r="E1797" s="294"/>
      <c r="F1797" s="294"/>
      <c r="G1797" s="294"/>
      <c r="H1797" s="294"/>
      <c r="I1797" s="294"/>
      <c r="J1797" s="294"/>
      <c r="L1797" s="295"/>
      <c r="M1797" s="294"/>
      <c r="R1797" s="326"/>
      <c r="S1797" s="326"/>
      <c r="T1797" s="294"/>
      <c r="U1797" s="294"/>
      <c r="V1797" s="294"/>
      <c r="W1797" s="294"/>
      <c r="X1797" s="1182"/>
      <c r="Y1797" s="1182"/>
      <c r="Z1797" s="1166"/>
      <c r="AA1797" s="1166"/>
      <c r="AB1797" s="1182"/>
      <c r="AC1797" s="294"/>
      <c r="AD1797" s="294"/>
      <c r="AE1797" s="294"/>
      <c r="AF1797" s="294"/>
      <c r="AG1797" s="294"/>
      <c r="AH1797" s="294"/>
      <c r="AI1797" s="294"/>
      <c r="AJ1797" s="294"/>
    </row>
    <row r="1798" spans="2:36" x14ac:dyDescent="0.25">
      <c r="B1798" s="294"/>
      <c r="C1798" s="294"/>
      <c r="D1798" s="294"/>
      <c r="E1798" s="294"/>
      <c r="F1798" s="294"/>
      <c r="G1798" s="294"/>
      <c r="H1798" s="294"/>
      <c r="I1798" s="294"/>
      <c r="J1798" s="294"/>
      <c r="L1798" s="295"/>
      <c r="M1798" s="294"/>
      <c r="R1798" s="326"/>
      <c r="S1798" s="326"/>
      <c r="T1798" s="294"/>
      <c r="U1798" s="294"/>
      <c r="V1798" s="294"/>
      <c r="W1798" s="294"/>
      <c r="X1798" s="1182"/>
      <c r="Y1798" s="1182"/>
      <c r="Z1798" s="1166"/>
      <c r="AA1798" s="1166"/>
      <c r="AB1798" s="1182"/>
      <c r="AC1798" s="294"/>
      <c r="AD1798" s="294"/>
      <c r="AE1798" s="294"/>
      <c r="AF1798" s="294"/>
      <c r="AG1798" s="294"/>
      <c r="AH1798" s="294"/>
      <c r="AI1798" s="294"/>
      <c r="AJ1798" s="294"/>
    </row>
    <row r="1799" spans="2:36" x14ac:dyDescent="0.25">
      <c r="B1799" s="294"/>
      <c r="C1799" s="294"/>
      <c r="D1799" s="294"/>
      <c r="E1799" s="294"/>
      <c r="F1799" s="294"/>
      <c r="G1799" s="294"/>
      <c r="H1799" s="294"/>
      <c r="I1799" s="294"/>
      <c r="J1799" s="294"/>
      <c r="L1799" s="295"/>
      <c r="M1799" s="294"/>
      <c r="R1799" s="326"/>
      <c r="S1799" s="326"/>
      <c r="T1799" s="294"/>
      <c r="U1799" s="294"/>
      <c r="V1799" s="294"/>
      <c r="W1799" s="294"/>
      <c r="X1799" s="1182"/>
      <c r="Y1799" s="1182"/>
      <c r="Z1799" s="1166"/>
      <c r="AA1799" s="1166"/>
      <c r="AB1799" s="1182"/>
      <c r="AC1799" s="294"/>
      <c r="AD1799" s="294"/>
      <c r="AE1799" s="294"/>
      <c r="AF1799" s="294"/>
      <c r="AG1799" s="294"/>
      <c r="AH1799" s="294"/>
      <c r="AI1799" s="294"/>
      <c r="AJ1799" s="294"/>
    </row>
    <row r="1800" spans="2:36" x14ac:dyDescent="0.25">
      <c r="B1800" s="294"/>
      <c r="C1800" s="294"/>
      <c r="D1800" s="294"/>
      <c r="E1800" s="294"/>
      <c r="F1800" s="294"/>
      <c r="G1800" s="294"/>
      <c r="H1800" s="294"/>
      <c r="I1800" s="294"/>
      <c r="J1800" s="294"/>
      <c r="L1800" s="295"/>
      <c r="M1800" s="294"/>
      <c r="R1800" s="326"/>
      <c r="S1800" s="326"/>
      <c r="T1800" s="294"/>
      <c r="U1800" s="294"/>
      <c r="V1800" s="294"/>
      <c r="W1800" s="294"/>
      <c r="X1800" s="1182"/>
      <c r="Y1800" s="1182"/>
      <c r="Z1800" s="1166"/>
      <c r="AA1800" s="1166"/>
      <c r="AB1800" s="1182"/>
      <c r="AC1800" s="294"/>
      <c r="AD1800" s="294"/>
      <c r="AE1800" s="294"/>
      <c r="AF1800" s="294"/>
      <c r="AG1800" s="294"/>
      <c r="AH1800" s="294"/>
      <c r="AI1800" s="294"/>
      <c r="AJ1800" s="294"/>
    </row>
    <row r="1801" spans="2:36" x14ac:dyDescent="0.25">
      <c r="B1801" s="294"/>
      <c r="C1801" s="294"/>
      <c r="D1801" s="294"/>
      <c r="E1801" s="294"/>
      <c r="F1801" s="294"/>
      <c r="G1801" s="294"/>
      <c r="H1801" s="294"/>
      <c r="I1801" s="294"/>
      <c r="J1801" s="294"/>
      <c r="L1801" s="295"/>
      <c r="M1801" s="294"/>
      <c r="R1801" s="326"/>
      <c r="S1801" s="326"/>
      <c r="T1801" s="294"/>
      <c r="U1801" s="294"/>
      <c r="V1801" s="294"/>
      <c r="W1801" s="294"/>
      <c r="X1801" s="1182"/>
      <c r="Y1801" s="1182"/>
      <c r="Z1801" s="1166"/>
      <c r="AA1801" s="1166"/>
      <c r="AB1801" s="1182"/>
      <c r="AC1801" s="294"/>
      <c r="AD1801" s="294"/>
      <c r="AE1801" s="294"/>
      <c r="AF1801" s="294"/>
      <c r="AG1801" s="294"/>
      <c r="AH1801" s="294"/>
      <c r="AI1801" s="294"/>
      <c r="AJ1801" s="294"/>
    </row>
    <row r="1802" spans="2:36" x14ac:dyDescent="0.25">
      <c r="B1802" s="294"/>
      <c r="C1802" s="294"/>
      <c r="D1802" s="294"/>
      <c r="E1802" s="294"/>
      <c r="F1802" s="294"/>
      <c r="G1802" s="294"/>
      <c r="H1802" s="294"/>
      <c r="I1802" s="294"/>
      <c r="J1802" s="294"/>
      <c r="L1802" s="295"/>
      <c r="M1802" s="294"/>
      <c r="R1802" s="326"/>
      <c r="S1802" s="326"/>
      <c r="T1802" s="294"/>
      <c r="U1802" s="294"/>
      <c r="V1802" s="294"/>
      <c r="W1802" s="294"/>
      <c r="X1802" s="1182"/>
      <c r="Y1802" s="1182"/>
      <c r="Z1802" s="1166"/>
      <c r="AA1802" s="1166"/>
      <c r="AB1802" s="1182"/>
      <c r="AC1802" s="294"/>
      <c r="AD1802" s="294"/>
      <c r="AE1802" s="294"/>
      <c r="AF1802" s="294"/>
      <c r="AG1802" s="294"/>
      <c r="AH1802" s="294"/>
      <c r="AI1802" s="294"/>
      <c r="AJ1802" s="294"/>
    </row>
    <row r="1803" spans="2:36" x14ac:dyDescent="0.25">
      <c r="B1803" s="294"/>
      <c r="C1803" s="294"/>
      <c r="D1803" s="294"/>
      <c r="E1803" s="294"/>
      <c r="F1803" s="294"/>
      <c r="G1803" s="294"/>
      <c r="H1803" s="294"/>
      <c r="I1803" s="294"/>
      <c r="J1803" s="294"/>
      <c r="L1803" s="295"/>
      <c r="M1803" s="294"/>
      <c r="R1803" s="326"/>
      <c r="S1803" s="326"/>
      <c r="T1803" s="294"/>
      <c r="U1803" s="294"/>
      <c r="V1803" s="294"/>
      <c r="W1803" s="294"/>
      <c r="X1803" s="1182"/>
      <c r="Y1803" s="1182"/>
      <c r="Z1803" s="1166"/>
      <c r="AA1803" s="1166"/>
      <c r="AB1803" s="1182"/>
      <c r="AC1803" s="294"/>
      <c r="AD1803" s="294"/>
      <c r="AE1803" s="294"/>
      <c r="AF1803" s="294"/>
      <c r="AG1803" s="294"/>
      <c r="AH1803" s="294"/>
      <c r="AI1803" s="294"/>
      <c r="AJ1803" s="294"/>
    </row>
    <row r="1804" spans="2:36" x14ac:dyDescent="0.25">
      <c r="B1804" s="294"/>
      <c r="C1804" s="294"/>
      <c r="D1804" s="294"/>
      <c r="E1804" s="294"/>
      <c r="F1804" s="294"/>
      <c r="G1804" s="294"/>
      <c r="H1804" s="294"/>
      <c r="I1804" s="294"/>
      <c r="J1804" s="294"/>
      <c r="L1804" s="295"/>
      <c r="M1804" s="294"/>
      <c r="R1804" s="326"/>
      <c r="S1804" s="326"/>
      <c r="T1804" s="294"/>
      <c r="U1804" s="294"/>
      <c r="V1804" s="294"/>
      <c r="W1804" s="294"/>
      <c r="X1804" s="1182"/>
      <c r="Y1804" s="1182"/>
      <c r="Z1804" s="1166"/>
      <c r="AA1804" s="1166"/>
      <c r="AB1804" s="1182"/>
      <c r="AC1804" s="294"/>
      <c r="AD1804" s="294"/>
      <c r="AE1804" s="294"/>
      <c r="AF1804" s="294"/>
      <c r="AG1804" s="294"/>
      <c r="AH1804" s="294"/>
      <c r="AI1804" s="294"/>
      <c r="AJ1804" s="294"/>
    </row>
    <row r="1805" spans="2:36" x14ac:dyDescent="0.25">
      <c r="B1805" s="294"/>
      <c r="C1805" s="294"/>
      <c r="D1805" s="294"/>
      <c r="E1805" s="294"/>
      <c r="F1805" s="294"/>
      <c r="G1805" s="294"/>
      <c r="H1805" s="294"/>
      <c r="I1805" s="294"/>
      <c r="J1805" s="294"/>
      <c r="L1805" s="295"/>
      <c r="M1805" s="294"/>
      <c r="R1805" s="326"/>
      <c r="S1805" s="326"/>
      <c r="T1805" s="294"/>
      <c r="U1805" s="294"/>
      <c r="V1805" s="294"/>
      <c r="W1805" s="294"/>
      <c r="X1805" s="1182"/>
      <c r="Y1805" s="1182"/>
      <c r="Z1805" s="1166"/>
      <c r="AA1805" s="1166"/>
      <c r="AB1805" s="1182"/>
      <c r="AC1805" s="294"/>
      <c r="AD1805" s="294"/>
      <c r="AE1805" s="294"/>
      <c r="AF1805" s="294"/>
      <c r="AG1805" s="294"/>
      <c r="AH1805" s="294"/>
      <c r="AI1805" s="294"/>
      <c r="AJ1805" s="294"/>
    </row>
    <row r="1806" spans="2:36" x14ac:dyDescent="0.25">
      <c r="B1806" s="294"/>
      <c r="C1806" s="294"/>
      <c r="D1806" s="294"/>
      <c r="E1806" s="294"/>
      <c r="F1806" s="294"/>
      <c r="G1806" s="294"/>
      <c r="H1806" s="294"/>
      <c r="I1806" s="294"/>
      <c r="J1806" s="294"/>
      <c r="L1806" s="295"/>
      <c r="M1806" s="294"/>
      <c r="R1806" s="326"/>
      <c r="S1806" s="326"/>
      <c r="T1806" s="294"/>
      <c r="U1806" s="294"/>
      <c r="V1806" s="294"/>
      <c r="W1806" s="294"/>
      <c r="X1806" s="1182"/>
      <c r="Y1806" s="1182"/>
      <c r="Z1806" s="1166"/>
      <c r="AA1806" s="1166"/>
      <c r="AB1806" s="1182"/>
      <c r="AC1806" s="294"/>
      <c r="AD1806" s="294"/>
      <c r="AE1806" s="294"/>
      <c r="AF1806" s="294"/>
      <c r="AG1806" s="294"/>
      <c r="AH1806" s="294"/>
      <c r="AI1806" s="294"/>
      <c r="AJ1806" s="294"/>
    </row>
    <row r="1807" spans="2:36" x14ac:dyDescent="0.25">
      <c r="B1807" s="294"/>
      <c r="C1807" s="294"/>
      <c r="D1807" s="294"/>
      <c r="E1807" s="294"/>
      <c r="F1807" s="294"/>
      <c r="G1807" s="294"/>
      <c r="H1807" s="294"/>
      <c r="I1807" s="294"/>
      <c r="J1807" s="294"/>
      <c r="L1807" s="295"/>
      <c r="M1807" s="294"/>
      <c r="R1807" s="326"/>
      <c r="S1807" s="326"/>
      <c r="T1807" s="294"/>
      <c r="U1807" s="294"/>
      <c r="V1807" s="294"/>
      <c r="W1807" s="294"/>
      <c r="X1807" s="1182"/>
      <c r="Y1807" s="1182"/>
      <c r="Z1807" s="1166"/>
      <c r="AA1807" s="1166"/>
      <c r="AB1807" s="1182"/>
      <c r="AC1807" s="294"/>
      <c r="AD1807" s="294"/>
      <c r="AE1807" s="294"/>
      <c r="AF1807" s="294"/>
      <c r="AG1807" s="294"/>
      <c r="AH1807" s="294"/>
      <c r="AI1807" s="294"/>
      <c r="AJ1807" s="294"/>
    </row>
    <row r="1808" spans="2:36" x14ac:dyDescent="0.25">
      <c r="B1808" s="294"/>
      <c r="C1808" s="294"/>
      <c r="D1808" s="294"/>
      <c r="E1808" s="294"/>
      <c r="F1808" s="294"/>
      <c r="G1808" s="294"/>
      <c r="H1808" s="294"/>
      <c r="I1808" s="294"/>
      <c r="J1808" s="294"/>
      <c r="L1808" s="295"/>
      <c r="M1808" s="294"/>
      <c r="R1808" s="326"/>
      <c r="S1808" s="326"/>
      <c r="T1808" s="294"/>
      <c r="U1808" s="294"/>
      <c r="V1808" s="294"/>
      <c r="W1808" s="294"/>
      <c r="X1808" s="1182"/>
      <c r="Y1808" s="1182"/>
      <c r="Z1808" s="1166"/>
      <c r="AA1808" s="1166"/>
      <c r="AB1808" s="1182"/>
      <c r="AC1808" s="294"/>
      <c r="AD1808" s="294"/>
      <c r="AE1808" s="294"/>
      <c r="AF1808" s="294"/>
      <c r="AG1808" s="294"/>
      <c r="AH1808" s="294"/>
      <c r="AI1808" s="294"/>
      <c r="AJ1808" s="294"/>
    </row>
    <row r="1809" spans="2:36" x14ac:dyDescent="0.25">
      <c r="B1809" s="294"/>
      <c r="C1809" s="294"/>
      <c r="D1809" s="294"/>
      <c r="E1809" s="294"/>
      <c r="F1809" s="294"/>
      <c r="G1809" s="294"/>
      <c r="H1809" s="294"/>
      <c r="I1809" s="294"/>
      <c r="J1809" s="294"/>
      <c r="L1809" s="295"/>
      <c r="M1809" s="294"/>
      <c r="R1809" s="326"/>
      <c r="S1809" s="326"/>
      <c r="T1809" s="294"/>
      <c r="U1809" s="294"/>
      <c r="V1809" s="294"/>
      <c r="W1809" s="294"/>
      <c r="X1809" s="1182"/>
      <c r="Y1809" s="1182"/>
      <c r="Z1809" s="1166"/>
      <c r="AA1809" s="1166"/>
      <c r="AB1809" s="1182"/>
      <c r="AC1809" s="294"/>
      <c r="AD1809" s="294"/>
      <c r="AE1809" s="294"/>
      <c r="AF1809" s="294"/>
      <c r="AG1809" s="294"/>
      <c r="AH1809" s="294"/>
      <c r="AI1809" s="294"/>
      <c r="AJ1809" s="294"/>
    </row>
    <row r="1810" spans="2:36" x14ac:dyDescent="0.25">
      <c r="B1810" s="294"/>
      <c r="C1810" s="294"/>
      <c r="D1810" s="294"/>
      <c r="E1810" s="294"/>
      <c r="F1810" s="294"/>
      <c r="G1810" s="294"/>
      <c r="H1810" s="294"/>
      <c r="I1810" s="294"/>
      <c r="J1810" s="294"/>
      <c r="L1810" s="295"/>
      <c r="M1810" s="294"/>
      <c r="R1810" s="326"/>
      <c r="S1810" s="326"/>
      <c r="T1810" s="294"/>
      <c r="U1810" s="294"/>
      <c r="V1810" s="294"/>
      <c r="W1810" s="294"/>
      <c r="X1810" s="1182"/>
      <c r="Y1810" s="1182"/>
      <c r="Z1810" s="1166"/>
      <c r="AA1810" s="1166"/>
      <c r="AB1810" s="1182"/>
      <c r="AC1810" s="294"/>
      <c r="AD1810" s="294"/>
      <c r="AE1810" s="294"/>
      <c r="AF1810" s="294"/>
      <c r="AG1810" s="294"/>
      <c r="AH1810" s="294"/>
      <c r="AI1810" s="294"/>
      <c r="AJ1810" s="294"/>
    </row>
    <row r="1811" spans="2:36" x14ac:dyDescent="0.25">
      <c r="B1811" s="294"/>
      <c r="C1811" s="294"/>
      <c r="D1811" s="294"/>
      <c r="E1811" s="294"/>
      <c r="F1811" s="294"/>
      <c r="G1811" s="294"/>
      <c r="H1811" s="294"/>
      <c r="I1811" s="294"/>
      <c r="J1811" s="294"/>
      <c r="L1811" s="295"/>
      <c r="M1811" s="294"/>
      <c r="R1811" s="326"/>
      <c r="S1811" s="326"/>
      <c r="T1811" s="294"/>
      <c r="U1811" s="294"/>
      <c r="V1811" s="294"/>
      <c r="W1811" s="294"/>
      <c r="X1811" s="1182"/>
      <c r="Y1811" s="1182"/>
      <c r="Z1811" s="1166"/>
      <c r="AA1811" s="1166"/>
      <c r="AB1811" s="1182"/>
      <c r="AC1811" s="294"/>
      <c r="AD1811" s="294"/>
      <c r="AE1811" s="294"/>
      <c r="AF1811" s="294"/>
      <c r="AG1811" s="294"/>
      <c r="AH1811" s="294"/>
      <c r="AI1811" s="294"/>
      <c r="AJ1811" s="294"/>
    </row>
    <row r="1812" spans="2:36" x14ac:dyDescent="0.25">
      <c r="B1812" s="294"/>
      <c r="C1812" s="294"/>
      <c r="D1812" s="294"/>
      <c r="E1812" s="294"/>
      <c r="F1812" s="294"/>
      <c r="G1812" s="294"/>
      <c r="H1812" s="294"/>
      <c r="I1812" s="294"/>
      <c r="J1812" s="294"/>
      <c r="L1812" s="295"/>
      <c r="M1812" s="294"/>
      <c r="R1812" s="326"/>
      <c r="S1812" s="326"/>
      <c r="T1812" s="294"/>
      <c r="U1812" s="294"/>
      <c r="V1812" s="294"/>
      <c r="W1812" s="294"/>
      <c r="X1812" s="1182"/>
      <c r="Y1812" s="1182"/>
      <c r="Z1812" s="1166"/>
      <c r="AA1812" s="1166"/>
      <c r="AB1812" s="1182"/>
      <c r="AC1812" s="294"/>
      <c r="AD1812" s="294"/>
      <c r="AE1812" s="294"/>
      <c r="AF1812" s="294"/>
      <c r="AG1812" s="294"/>
      <c r="AH1812" s="294"/>
      <c r="AI1812" s="294"/>
      <c r="AJ1812" s="294"/>
    </row>
    <row r="1813" spans="2:36" x14ac:dyDescent="0.25">
      <c r="B1813" s="294"/>
      <c r="C1813" s="294"/>
      <c r="D1813" s="294"/>
      <c r="E1813" s="294"/>
      <c r="F1813" s="294"/>
      <c r="G1813" s="294"/>
      <c r="H1813" s="294"/>
      <c r="I1813" s="294"/>
      <c r="J1813" s="294"/>
      <c r="L1813" s="295"/>
      <c r="M1813" s="294"/>
      <c r="R1813" s="326"/>
      <c r="S1813" s="326"/>
      <c r="T1813" s="294"/>
      <c r="U1813" s="294"/>
      <c r="V1813" s="294"/>
      <c r="W1813" s="294"/>
      <c r="X1813" s="1182"/>
      <c r="Y1813" s="1182"/>
      <c r="Z1813" s="1166"/>
      <c r="AA1813" s="1166"/>
      <c r="AB1813" s="1182"/>
      <c r="AC1813" s="294"/>
      <c r="AD1813" s="294"/>
      <c r="AE1813" s="294"/>
      <c r="AF1813" s="294"/>
      <c r="AG1813" s="294"/>
      <c r="AH1813" s="294"/>
      <c r="AI1813" s="294"/>
      <c r="AJ1813" s="294"/>
    </row>
    <row r="1814" spans="2:36" x14ac:dyDescent="0.25">
      <c r="B1814" s="294"/>
      <c r="C1814" s="294"/>
      <c r="D1814" s="294"/>
      <c r="E1814" s="294"/>
      <c r="F1814" s="294"/>
      <c r="G1814" s="294"/>
      <c r="H1814" s="294"/>
      <c r="I1814" s="294"/>
      <c r="J1814" s="294"/>
      <c r="L1814" s="295"/>
      <c r="M1814" s="294"/>
      <c r="R1814" s="326"/>
      <c r="S1814" s="326"/>
      <c r="T1814" s="294"/>
      <c r="U1814" s="294"/>
      <c r="V1814" s="294"/>
      <c r="W1814" s="294"/>
      <c r="X1814" s="1182"/>
      <c r="Y1814" s="1182"/>
      <c r="Z1814" s="1166"/>
      <c r="AA1814" s="1166"/>
      <c r="AB1814" s="1182"/>
      <c r="AC1814" s="294"/>
      <c r="AD1814" s="294"/>
      <c r="AE1814" s="294"/>
      <c r="AF1814" s="294"/>
      <c r="AG1814" s="294"/>
      <c r="AH1814" s="294"/>
      <c r="AI1814" s="294"/>
      <c r="AJ1814" s="294"/>
    </row>
    <row r="1815" spans="2:36" x14ac:dyDescent="0.25">
      <c r="B1815" s="294"/>
      <c r="C1815" s="294"/>
      <c r="D1815" s="294"/>
      <c r="E1815" s="294"/>
      <c r="F1815" s="294"/>
      <c r="G1815" s="294"/>
      <c r="H1815" s="294"/>
      <c r="I1815" s="294"/>
      <c r="J1815" s="294"/>
      <c r="L1815" s="295"/>
      <c r="M1815" s="294"/>
      <c r="R1815" s="326"/>
      <c r="S1815" s="326"/>
      <c r="T1815" s="294"/>
      <c r="U1815" s="294"/>
      <c r="V1815" s="294"/>
      <c r="W1815" s="294"/>
      <c r="X1815" s="1182"/>
      <c r="Y1815" s="1182"/>
      <c r="Z1815" s="1166"/>
      <c r="AA1815" s="1166"/>
      <c r="AB1815" s="1182"/>
      <c r="AC1815" s="294"/>
      <c r="AD1815" s="294"/>
      <c r="AE1815" s="294"/>
      <c r="AF1815" s="294"/>
      <c r="AG1815" s="294"/>
      <c r="AH1815" s="294"/>
      <c r="AI1815" s="294"/>
      <c r="AJ1815" s="294"/>
    </row>
    <row r="1816" spans="2:36" x14ac:dyDescent="0.25">
      <c r="B1816" s="294"/>
      <c r="C1816" s="294"/>
      <c r="D1816" s="294"/>
      <c r="E1816" s="294"/>
      <c r="F1816" s="294"/>
      <c r="G1816" s="294"/>
      <c r="H1816" s="294"/>
      <c r="I1816" s="294"/>
      <c r="J1816" s="294"/>
      <c r="L1816" s="295"/>
      <c r="M1816" s="294"/>
      <c r="R1816" s="326"/>
      <c r="S1816" s="326"/>
      <c r="T1816" s="294"/>
      <c r="U1816" s="294"/>
      <c r="V1816" s="294"/>
      <c r="W1816" s="294"/>
      <c r="X1816" s="1182"/>
      <c r="Y1816" s="1182"/>
      <c r="Z1816" s="1166"/>
      <c r="AA1816" s="1166"/>
      <c r="AB1816" s="1182"/>
      <c r="AC1816" s="294"/>
      <c r="AD1816" s="294"/>
      <c r="AE1816" s="294"/>
      <c r="AF1816" s="294"/>
      <c r="AG1816" s="294"/>
      <c r="AH1816" s="294"/>
      <c r="AI1816" s="294"/>
      <c r="AJ1816" s="294"/>
    </row>
    <row r="1817" spans="2:36" x14ac:dyDescent="0.25">
      <c r="B1817" s="294"/>
      <c r="C1817" s="294"/>
      <c r="D1817" s="294"/>
      <c r="E1817" s="294"/>
      <c r="F1817" s="294"/>
      <c r="G1817" s="294"/>
      <c r="H1817" s="294"/>
      <c r="I1817" s="294"/>
      <c r="J1817" s="294"/>
      <c r="L1817" s="295"/>
      <c r="M1817" s="294"/>
      <c r="R1817" s="326"/>
      <c r="S1817" s="326"/>
      <c r="T1817" s="294"/>
      <c r="U1817" s="294"/>
      <c r="V1817" s="294"/>
      <c r="W1817" s="294"/>
      <c r="X1817" s="1182"/>
      <c r="Y1817" s="1182"/>
      <c r="Z1817" s="1166"/>
      <c r="AA1817" s="1166"/>
      <c r="AB1817" s="1182"/>
      <c r="AC1817" s="294"/>
      <c r="AD1817" s="294"/>
      <c r="AE1817" s="294"/>
      <c r="AF1817" s="294"/>
      <c r="AG1817" s="294"/>
      <c r="AH1817" s="294"/>
      <c r="AI1817" s="294"/>
      <c r="AJ1817" s="294"/>
    </row>
    <row r="1818" spans="2:36" x14ac:dyDescent="0.25">
      <c r="B1818" s="294"/>
      <c r="C1818" s="294"/>
      <c r="D1818" s="294"/>
      <c r="E1818" s="294"/>
      <c r="F1818" s="294"/>
      <c r="G1818" s="294"/>
      <c r="H1818" s="294"/>
      <c r="I1818" s="294"/>
      <c r="J1818" s="294"/>
      <c r="L1818" s="295"/>
      <c r="M1818" s="294"/>
      <c r="R1818" s="326"/>
      <c r="S1818" s="326"/>
      <c r="T1818" s="294"/>
      <c r="U1818" s="294"/>
      <c r="V1818" s="294"/>
      <c r="W1818" s="294"/>
      <c r="X1818" s="1182"/>
      <c r="Y1818" s="1182"/>
      <c r="Z1818" s="1166"/>
      <c r="AA1818" s="1166"/>
      <c r="AB1818" s="1182"/>
      <c r="AC1818" s="294"/>
      <c r="AD1818" s="294"/>
      <c r="AE1818" s="294"/>
      <c r="AF1818" s="294"/>
      <c r="AG1818" s="294"/>
      <c r="AH1818" s="294"/>
      <c r="AI1818" s="294"/>
      <c r="AJ1818" s="294"/>
    </row>
    <row r="1819" spans="2:36" x14ac:dyDescent="0.25">
      <c r="B1819" s="294"/>
      <c r="C1819" s="294"/>
      <c r="D1819" s="294"/>
      <c r="E1819" s="294"/>
      <c r="F1819" s="294"/>
      <c r="G1819" s="294"/>
      <c r="H1819" s="294"/>
      <c r="I1819" s="294"/>
      <c r="J1819" s="294"/>
      <c r="L1819" s="295"/>
      <c r="M1819" s="294"/>
      <c r="R1819" s="326"/>
      <c r="S1819" s="326"/>
      <c r="T1819" s="294"/>
      <c r="U1819" s="294"/>
      <c r="V1819" s="294"/>
      <c r="W1819" s="294"/>
      <c r="X1819" s="1182"/>
      <c r="Y1819" s="1182"/>
      <c r="Z1819" s="1166"/>
      <c r="AA1819" s="1166"/>
      <c r="AB1819" s="1182"/>
      <c r="AC1819" s="294"/>
      <c r="AD1819" s="294"/>
      <c r="AE1819" s="294"/>
      <c r="AF1819" s="294"/>
      <c r="AG1819" s="294"/>
      <c r="AH1819" s="294"/>
      <c r="AI1819" s="294"/>
      <c r="AJ1819" s="294"/>
    </row>
    <row r="1820" spans="2:36" x14ac:dyDescent="0.25">
      <c r="B1820" s="294"/>
      <c r="C1820" s="294"/>
      <c r="D1820" s="294"/>
      <c r="E1820" s="294"/>
      <c r="F1820" s="294"/>
      <c r="G1820" s="294"/>
      <c r="H1820" s="294"/>
      <c r="I1820" s="294"/>
      <c r="J1820" s="294"/>
      <c r="L1820" s="295"/>
      <c r="M1820" s="294"/>
      <c r="R1820" s="326"/>
      <c r="S1820" s="326"/>
      <c r="T1820" s="294"/>
      <c r="U1820" s="294"/>
      <c r="V1820" s="294"/>
      <c r="W1820" s="294"/>
      <c r="X1820" s="1182"/>
      <c r="Y1820" s="1182"/>
      <c r="Z1820" s="1166"/>
      <c r="AA1820" s="1166"/>
      <c r="AB1820" s="1182"/>
      <c r="AC1820" s="294"/>
      <c r="AD1820" s="294"/>
      <c r="AE1820" s="294"/>
      <c r="AF1820" s="294"/>
      <c r="AG1820" s="294"/>
      <c r="AH1820" s="294"/>
      <c r="AI1820" s="294"/>
      <c r="AJ1820" s="294"/>
    </row>
    <row r="1821" spans="2:36" x14ac:dyDescent="0.25">
      <c r="B1821" s="294"/>
      <c r="C1821" s="294"/>
      <c r="D1821" s="294"/>
      <c r="E1821" s="294"/>
      <c r="F1821" s="294"/>
      <c r="G1821" s="294"/>
      <c r="H1821" s="294"/>
      <c r="I1821" s="294"/>
      <c r="J1821" s="294"/>
      <c r="L1821" s="295"/>
      <c r="M1821" s="294"/>
      <c r="R1821" s="326"/>
      <c r="S1821" s="326"/>
      <c r="T1821" s="294"/>
      <c r="U1821" s="294"/>
      <c r="V1821" s="294"/>
      <c r="W1821" s="294"/>
      <c r="X1821" s="1182"/>
      <c r="Y1821" s="1182"/>
      <c r="Z1821" s="1166"/>
      <c r="AA1821" s="1166"/>
      <c r="AB1821" s="1182"/>
      <c r="AC1821" s="294"/>
      <c r="AD1821" s="294"/>
      <c r="AE1821" s="294"/>
      <c r="AF1821" s="294"/>
      <c r="AG1821" s="294"/>
      <c r="AH1821" s="294"/>
      <c r="AI1821" s="294"/>
      <c r="AJ1821" s="294"/>
    </row>
    <row r="1822" spans="2:36" x14ac:dyDescent="0.25">
      <c r="B1822" s="294"/>
      <c r="C1822" s="294"/>
      <c r="D1822" s="294"/>
      <c r="E1822" s="294"/>
      <c r="F1822" s="294"/>
      <c r="G1822" s="294"/>
      <c r="H1822" s="294"/>
      <c r="I1822" s="294"/>
      <c r="J1822" s="294"/>
      <c r="L1822" s="295"/>
      <c r="M1822" s="294"/>
      <c r="R1822" s="326"/>
      <c r="S1822" s="326"/>
      <c r="T1822" s="294"/>
      <c r="U1822" s="294"/>
      <c r="V1822" s="294"/>
      <c r="W1822" s="294"/>
      <c r="X1822" s="1182"/>
      <c r="Y1822" s="1182"/>
      <c r="Z1822" s="1166"/>
      <c r="AA1822" s="1166"/>
      <c r="AB1822" s="1182"/>
      <c r="AC1822" s="294"/>
      <c r="AD1822" s="294"/>
      <c r="AE1822" s="294"/>
      <c r="AF1822" s="294"/>
      <c r="AG1822" s="294"/>
      <c r="AH1822" s="294"/>
      <c r="AI1822" s="294"/>
      <c r="AJ1822" s="294"/>
    </row>
    <row r="1823" spans="2:36" x14ac:dyDescent="0.25">
      <c r="B1823" s="294"/>
      <c r="C1823" s="294"/>
      <c r="D1823" s="294"/>
      <c r="E1823" s="294"/>
      <c r="F1823" s="294"/>
      <c r="G1823" s="294"/>
      <c r="H1823" s="294"/>
      <c r="I1823" s="294"/>
      <c r="J1823" s="294"/>
      <c r="L1823" s="295"/>
      <c r="M1823" s="294"/>
      <c r="R1823" s="326"/>
      <c r="S1823" s="326"/>
      <c r="T1823" s="294"/>
      <c r="U1823" s="294"/>
      <c r="V1823" s="294"/>
      <c r="W1823" s="294"/>
      <c r="X1823" s="1182"/>
      <c r="Y1823" s="1182"/>
      <c r="Z1823" s="1166"/>
      <c r="AA1823" s="1166"/>
      <c r="AB1823" s="1182"/>
      <c r="AC1823" s="294"/>
      <c r="AD1823" s="294"/>
      <c r="AE1823" s="294"/>
      <c r="AF1823" s="294"/>
      <c r="AG1823" s="294"/>
      <c r="AH1823" s="294"/>
      <c r="AI1823" s="294"/>
      <c r="AJ1823" s="294"/>
    </row>
    <row r="1824" spans="2:36" x14ac:dyDescent="0.25">
      <c r="B1824" s="294"/>
      <c r="C1824" s="294"/>
      <c r="D1824" s="294"/>
      <c r="E1824" s="294"/>
      <c r="F1824" s="294"/>
      <c r="G1824" s="294"/>
      <c r="H1824" s="294"/>
      <c r="I1824" s="294"/>
      <c r="J1824" s="294"/>
      <c r="L1824" s="295"/>
      <c r="M1824" s="294"/>
      <c r="R1824" s="326"/>
      <c r="S1824" s="326"/>
      <c r="T1824" s="294"/>
      <c r="U1824" s="294"/>
      <c r="V1824" s="294"/>
      <c r="W1824" s="294"/>
      <c r="X1824" s="1182"/>
      <c r="Y1824" s="1182"/>
      <c r="Z1824" s="1166"/>
      <c r="AA1824" s="1166"/>
      <c r="AB1824" s="1182"/>
      <c r="AC1824" s="294"/>
      <c r="AD1824" s="294"/>
      <c r="AE1824" s="294"/>
      <c r="AF1824" s="294"/>
      <c r="AG1824" s="294"/>
      <c r="AH1824" s="294"/>
      <c r="AI1824" s="294"/>
      <c r="AJ1824" s="294"/>
    </row>
    <row r="1825" spans="2:36" x14ac:dyDescent="0.25">
      <c r="B1825" s="294"/>
      <c r="C1825" s="294"/>
      <c r="D1825" s="294"/>
      <c r="E1825" s="294"/>
      <c r="F1825" s="294"/>
      <c r="G1825" s="294"/>
      <c r="H1825" s="294"/>
      <c r="I1825" s="294"/>
      <c r="J1825" s="294"/>
      <c r="L1825" s="295"/>
      <c r="M1825" s="294"/>
      <c r="R1825" s="326"/>
      <c r="S1825" s="326"/>
      <c r="T1825" s="294"/>
      <c r="U1825" s="294"/>
      <c r="V1825" s="294"/>
      <c r="W1825" s="294"/>
      <c r="X1825" s="1182"/>
      <c r="Y1825" s="1182"/>
      <c r="Z1825" s="1166"/>
      <c r="AA1825" s="1166"/>
      <c r="AB1825" s="1182"/>
      <c r="AC1825" s="294"/>
      <c r="AD1825" s="294"/>
      <c r="AE1825" s="294"/>
      <c r="AF1825" s="294"/>
      <c r="AG1825" s="294"/>
      <c r="AH1825" s="294"/>
      <c r="AI1825" s="294"/>
      <c r="AJ1825" s="294"/>
    </row>
    <row r="1826" spans="2:36" x14ac:dyDescent="0.25">
      <c r="B1826" s="294"/>
      <c r="C1826" s="294"/>
      <c r="D1826" s="294"/>
      <c r="E1826" s="294"/>
      <c r="F1826" s="294"/>
      <c r="G1826" s="294"/>
      <c r="H1826" s="294"/>
      <c r="I1826" s="294"/>
      <c r="J1826" s="294"/>
      <c r="L1826" s="295"/>
      <c r="M1826" s="294"/>
      <c r="R1826" s="326"/>
      <c r="S1826" s="326"/>
      <c r="T1826" s="294"/>
      <c r="U1826" s="294"/>
      <c r="V1826" s="294"/>
      <c r="W1826" s="294"/>
      <c r="X1826" s="1182"/>
      <c r="Y1826" s="1182"/>
      <c r="Z1826" s="1166"/>
      <c r="AA1826" s="1166"/>
      <c r="AB1826" s="1182"/>
      <c r="AC1826" s="294"/>
      <c r="AD1826" s="294"/>
      <c r="AE1826" s="294"/>
      <c r="AF1826" s="294"/>
      <c r="AG1826" s="294"/>
      <c r="AH1826" s="294"/>
      <c r="AI1826" s="294"/>
      <c r="AJ1826" s="294"/>
    </row>
    <row r="1827" spans="2:36" x14ac:dyDescent="0.25">
      <c r="B1827" s="294"/>
      <c r="C1827" s="294"/>
      <c r="D1827" s="294"/>
      <c r="E1827" s="294"/>
      <c r="F1827" s="294"/>
      <c r="G1827" s="294"/>
      <c r="H1827" s="294"/>
      <c r="I1827" s="294"/>
      <c r="J1827" s="294"/>
      <c r="L1827" s="295"/>
      <c r="M1827" s="294"/>
      <c r="R1827" s="326"/>
      <c r="S1827" s="326"/>
      <c r="T1827" s="294"/>
      <c r="U1827" s="294"/>
      <c r="V1827" s="294"/>
      <c r="W1827" s="294"/>
      <c r="X1827" s="1182"/>
      <c r="Y1827" s="1182"/>
      <c r="Z1827" s="1166"/>
      <c r="AA1827" s="1166"/>
      <c r="AB1827" s="1182"/>
      <c r="AC1827" s="294"/>
      <c r="AD1827" s="294"/>
      <c r="AE1827" s="294"/>
      <c r="AF1827" s="294"/>
      <c r="AG1827" s="294"/>
      <c r="AH1827" s="294"/>
      <c r="AI1827" s="294"/>
      <c r="AJ1827" s="294"/>
    </row>
    <row r="1828" spans="2:36" x14ac:dyDescent="0.25">
      <c r="B1828" s="294"/>
      <c r="C1828" s="294"/>
      <c r="D1828" s="294"/>
      <c r="E1828" s="294"/>
      <c r="F1828" s="294"/>
      <c r="G1828" s="294"/>
      <c r="H1828" s="294"/>
      <c r="I1828" s="294"/>
      <c r="J1828" s="294"/>
      <c r="L1828" s="295"/>
      <c r="M1828" s="294"/>
      <c r="R1828" s="326"/>
      <c r="S1828" s="326"/>
      <c r="T1828" s="294"/>
      <c r="U1828" s="294"/>
      <c r="V1828" s="294"/>
      <c r="W1828" s="294"/>
      <c r="X1828" s="1182"/>
      <c r="Y1828" s="1182"/>
      <c r="Z1828" s="1166"/>
      <c r="AA1828" s="1166"/>
      <c r="AB1828" s="1182"/>
      <c r="AC1828" s="294"/>
      <c r="AD1828" s="294"/>
      <c r="AE1828" s="294"/>
      <c r="AF1828" s="294"/>
      <c r="AG1828" s="294"/>
      <c r="AH1828" s="294"/>
      <c r="AI1828" s="294"/>
      <c r="AJ1828" s="294"/>
    </row>
    <row r="1829" spans="2:36" x14ac:dyDescent="0.25">
      <c r="B1829" s="294"/>
      <c r="C1829" s="294"/>
      <c r="D1829" s="294"/>
      <c r="E1829" s="294"/>
      <c r="F1829" s="294"/>
      <c r="G1829" s="294"/>
      <c r="H1829" s="294"/>
      <c r="I1829" s="294"/>
      <c r="J1829" s="294"/>
      <c r="L1829" s="295"/>
      <c r="M1829" s="294"/>
      <c r="R1829" s="326"/>
      <c r="S1829" s="326"/>
      <c r="T1829" s="294"/>
      <c r="U1829" s="294"/>
      <c r="V1829" s="294"/>
      <c r="W1829" s="294"/>
      <c r="X1829" s="1182"/>
      <c r="Y1829" s="1182"/>
      <c r="Z1829" s="1166"/>
      <c r="AA1829" s="1166"/>
      <c r="AB1829" s="1182"/>
      <c r="AC1829" s="294"/>
      <c r="AD1829" s="294"/>
      <c r="AE1829" s="294"/>
      <c r="AF1829" s="294"/>
      <c r="AG1829" s="294"/>
      <c r="AH1829" s="294"/>
      <c r="AI1829" s="294"/>
      <c r="AJ1829" s="294"/>
    </row>
    <row r="1830" spans="2:36" x14ac:dyDescent="0.25">
      <c r="B1830" s="294"/>
      <c r="C1830" s="294"/>
      <c r="D1830" s="294"/>
      <c r="E1830" s="294"/>
      <c r="F1830" s="294"/>
      <c r="G1830" s="294"/>
      <c r="H1830" s="294"/>
      <c r="I1830" s="294"/>
      <c r="J1830" s="294"/>
      <c r="L1830" s="295"/>
      <c r="M1830" s="294"/>
      <c r="R1830" s="326"/>
      <c r="S1830" s="326"/>
      <c r="T1830" s="294"/>
      <c r="U1830" s="294"/>
      <c r="V1830" s="294"/>
      <c r="W1830" s="294"/>
      <c r="X1830" s="1182"/>
      <c r="Y1830" s="1182"/>
      <c r="Z1830" s="1166"/>
      <c r="AA1830" s="1166"/>
      <c r="AB1830" s="1182"/>
      <c r="AC1830" s="294"/>
      <c r="AD1830" s="294"/>
      <c r="AE1830" s="294"/>
      <c r="AF1830" s="294"/>
      <c r="AG1830" s="294"/>
      <c r="AH1830" s="294"/>
      <c r="AI1830" s="294"/>
      <c r="AJ1830" s="294"/>
    </row>
    <row r="1831" spans="2:36" x14ac:dyDescent="0.25">
      <c r="B1831" s="294"/>
      <c r="C1831" s="294"/>
      <c r="D1831" s="294"/>
      <c r="E1831" s="294"/>
      <c r="F1831" s="294"/>
      <c r="G1831" s="294"/>
      <c r="H1831" s="294"/>
      <c r="I1831" s="294"/>
      <c r="J1831" s="294"/>
      <c r="L1831" s="295"/>
      <c r="M1831" s="294"/>
      <c r="R1831" s="326"/>
      <c r="S1831" s="326"/>
      <c r="T1831" s="294"/>
      <c r="U1831" s="294"/>
      <c r="V1831" s="294"/>
      <c r="W1831" s="294"/>
      <c r="X1831" s="1182"/>
      <c r="Y1831" s="1182"/>
      <c r="Z1831" s="1166"/>
      <c r="AA1831" s="1166"/>
      <c r="AB1831" s="1182"/>
      <c r="AC1831" s="294"/>
      <c r="AD1831" s="294"/>
      <c r="AE1831" s="294"/>
      <c r="AF1831" s="294"/>
      <c r="AG1831" s="294"/>
      <c r="AH1831" s="294"/>
      <c r="AI1831" s="294"/>
      <c r="AJ1831" s="294"/>
    </row>
    <row r="1832" spans="2:36" x14ac:dyDescent="0.25">
      <c r="B1832" s="294"/>
      <c r="C1832" s="294"/>
      <c r="D1832" s="294"/>
      <c r="E1832" s="294"/>
      <c r="F1832" s="294"/>
      <c r="G1832" s="294"/>
      <c r="H1832" s="294"/>
      <c r="I1832" s="294"/>
      <c r="J1832" s="294"/>
      <c r="L1832" s="295"/>
      <c r="M1832" s="294"/>
      <c r="R1832" s="326"/>
      <c r="S1832" s="326"/>
      <c r="T1832" s="294"/>
      <c r="U1832" s="294"/>
      <c r="V1832" s="294"/>
      <c r="W1832" s="294"/>
      <c r="X1832" s="1182"/>
      <c r="Y1832" s="1182"/>
      <c r="Z1832" s="1166"/>
      <c r="AA1832" s="1166"/>
      <c r="AB1832" s="1182"/>
      <c r="AC1832" s="294"/>
      <c r="AD1832" s="294"/>
      <c r="AE1832" s="294"/>
      <c r="AF1832" s="294"/>
      <c r="AG1832" s="294"/>
      <c r="AH1832" s="294"/>
      <c r="AI1832" s="294"/>
      <c r="AJ1832" s="294"/>
    </row>
    <row r="1833" spans="2:36" x14ac:dyDescent="0.25">
      <c r="B1833" s="294"/>
      <c r="C1833" s="294"/>
      <c r="D1833" s="294"/>
      <c r="E1833" s="294"/>
      <c r="F1833" s="294"/>
      <c r="G1833" s="294"/>
      <c r="H1833" s="294"/>
      <c r="I1833" s="294"/>
      <c r="J1833" s="294"/>
      <c r="L1833" s="295"/>
      <c r="M1833" s="294"/>
      <c r="R1833" s="326"/>
      <c r="S1833" s="326"/>
      <c r="T1833" s="294"/>
      <c r="U1833" s="294"/>
      <c r="V1833" s="294"/>
      <c r="W1833" s="294"/>
      <c r="X1833" s="1182"/>
      <c r="Y1833" s="1182"/>
      <c r="Z1833" s="1166"/>
      <c r="AA1833" s="1166"/>
      <c r="AB1833" s="1182"/>
      <c r="AC1833" s="294"/>
      <c r="AD1833" s="294"/>
      <c r="AE1833" s="294"/>
      <c r="AF1833" s="294"/>
      <c r="AG1833" s="294"/>
      <c r="AH1833" s="294"/>
      <c r="AI1833" s="294"/>
      <c r="AJ1833" s="294"/>
    </row>
    <row r="1834" spans="2:36" x14ac:dyDescent="0.25">
      <c r="B1834" s="294"/>
      <c r="C1834" s="294"/>
      <c r="D1834" s="294"/>
      <c r="E1834" s="294"/>
      <c r="F1834" s="294"/>
      <c r="G1834" s="294"/>
      <c r="H1834" s="294"/>
      <c r="I1834" s="294"/>
      <c r="J1834" s="294"/>
      <c r="L1834" s="295"/>
      <c r="M1834" s="294"/>
      <c r="R1834" s="326"/>
      <c r="S1834" s="326"/>
      <c r="T1834" s="294"/>
      <c r="U1834" s="294"/>
      <c r="V1834" s="294"/>
      <c r="W1834" s="294"/>
      <c r="X1834" s="1182"/>
      <c r="Y1834" s="1182"/>
      <c r="Z1834" s="1166"/>
      <c r="AA1834" s="1166"/>
      <c r="AB1834" s="1182"/>
      <c r="AC1834" s="294"/>
      <c r="AD1834" s="294"/>
      <c r="AE1834" s="294"/>
      <c r="AF1834" s="294"/>
      <c r="AG1834" s="294"/>
      <c r="AH1834" s="294"/>
      <c r="AI1834" s="294"/>
      <c r="AJ1834" s="294"/>
    </row>
    <row r="1835" spans="2:36" x14ac:dyDescent="0.25">
      <c r="B1835" s="294"/>
      <c r="C1835" s="294"/>
      <c r="D1835" s="294"/>
      <c r="E1835" s="294"/>
      <c r="F1835" s="294"/>
      <c r="G1835" s="294"/>
      <c r="H1835" s="294"/>
      <c r="I1835" s="294"/>
      <c r="J1835" s="294"/>
      <c r="L1835" s="295"/>
      <c r="M1835" s="294"/>
      <c r="R1835" s="326"/>
      <c r="S1835" s="326"/>
      <c r="T1835" s="294"/>
      <c r="U1835" s="294"/>
      <c r="V1835" s="294"/>
      <c r="W1835" s="294"/>
      <c r="X1835" s="1182"/>
      <c r="Y1835" s="1182"/>
      <c r="Z1835" s="1166"/>
      <c r="AA1835" s="1166"/>
      <c r="AB1835" s="1182"/>
      <c r="AC1835" s="294"/>
      <c r="AD1835" s="294"/>
      <c r="AE1835" s="294"/>
      <c r="AF1835" s="294"/>
      <c r="AG1835" s="294"/>
      <c r="AH1835" s="294"/>
      <c r="AI1835" s="294"/>
      <c r="AJ1835" s="294"/>
    </row>
    <row r="1836" spans="2:36" x14ac:dyDescent="0.25">
      <c r="B1836" s="294"/>
      <c r="C1836" s="294"/>
      <c r="D1836" s="294"/>
      <c r="E1836" s="294"/>
      <c r="F1836" s="294"/>
      <c r="G1836" s="294"/>
      <c r="H1836" s="294"/>
      <c r="I1836" s="294"/>
      <c r="J1836" s="294"/>
      <c r="L1836" s="295"/>
      <c r="M1836" s="294"/>
      <c r="R1836" s="326"/>
      <c r="S1836" s="326"/>
      <c r="T1836" s="294"/>
      <c r="U1836" s="294"/>
      <c r="V1836" s="294"/>
      <c r="W1836" s="294"/>
      <c r="X1836" s="1182"/>
      <c r="Y1836" s="1182"/>
      <c r="Z1836" s="1166"/>
      <c r="AA1836" s="1166"/>
      <c r="AB1836" s="1182"/>
      <c r="AC1836" s="294"/>
      <c r="AD1836" s="294"/>
      <c r="AE1836" s="294"/>
      <c r="AF1836" s="294"/>
      <c r="AG1836" s="294"/>
      <c r="AH1836" s="294"/>
      <c r="AI1836" s="294"/>
      <c r="AJ1836" s="294"/>
    </row>
    <row r="1837" spans="2:36" x14ac:dyDescent="0.25">
      <c r="B1837" s="294"/>
      <c r="C1837" s="294"/>
      <c r="D1837" s="294"/>
      <c r="E1837" s="294"/>
      <c r="F1837" s="294"/>
      <c r="G1837" s="294"/>
      <c r="H1837" s="294"/>
      <c r="I1837" s="294"/>
      <c r="J1837" s="294"/>
      <c r="L1837" s="295"/>
      <c r="M1837" s="294"/>
      <c r="R1837" s="326"/>
      <c r="S1837" s="326"/>
      <c r="T1837" s="294"/>
      <c r="U1837" s="294"/>
      <c r="V1837" s="294"/>
      <c r="W1837" s="294"/>
      <c r="X1837" s="1182"/>
      <c r="Y1837" s="1182"/>
      <c r="Z1837" s="1166"/>
      <c r="AA1837" s="1166"/>
      <c r="AB1837" s="1182"/>
      <c r="AC1837" s="294"/>
      <c r="AD1837" s="294"/>
      <c r="AE1837" s="294"/>
      <c r="AF1837" s="294"/>
      <c r="AG1837" s="294"/>
      <c r="AH1837" s="294"/>
      <c r="AI1837" s="294"/>
      <c r="AJ1837" s="294"/>
    </row>
    <row r="1838" spans="2:36" x14ac:dyDescent="0.25">
      <c r="B1838" s="294"/>
      <c r="C1838" s="294"/>
      <c r="D1838" s="294"/>
      <c r="E1838" s="294"/>
      <c r="F1838" s="294"/>
      <c r="G1838" s="294"/>
      <c r="H1838" s="294"/>
      <c r="I1838" s="294"/>
      <c r="J1838" s="294"/>
      <c r="L1838" s="295"/>
      <c r="M1838" s="294"/>
      <c r="R1838" s="326"/>
      <c r="S1838" s="326"/>
      <c r="T1838" s="294"/>
      <c r="U1838" s="294"/>
      <c r="V1838" s="294"/>
      <c r="W1838" s="294"/>
      <c r="X1838" s="1182"/>
      <c r="Y1838" s="1182"/>
      <c r="Z1838" s="1166"/>
      <c r="AA1838" s="1166"/>
      <c r="AB1838" s="1182"/>
      <c r="AC1838" s="294"/>
      <c r="AD1838" s="294"/>
      <c r="AE1838" s="294"/>
      <c r="AF1838" s="294"/>
      <c r="AG1838" s="294"/>
      <c r="AH1838" s="294"/>
      <c r="AI1838" s="294"/>
      <c r="AJ1838" s="294"/>
    </row>
    <row r="1839" spans="2:36" x14ac:dyDescent="0.25">
      <c r="B1839" s="294"/>
      <c r="C1839" s="294"/>
      <c r="D1839" s="294"/>
      <c r="E1839" s="294"/>
      <c r="F1839" s="294"/>
      <c r="G1839" s="294"/>
      <c r="H1839" s="294"/>
      <c r="I1839" s="294"/>
      <c r="J1839" s="294"/>
      <c r="L1839" s="295"/>
      <c r="M1839" s="294"/>
      <c r="R1839" s="326"/>
      <c r="S1839" s="326"/>
      <c r="T1839" s="294"/>
      <c r="U1839" s="294"/>
      <c r="V1839" s="294"/>
      <c r="W1839" s="294"/>
      <c r="X1839" s="1182"/>
      <c r="Y1839" s="1182"/>
      <c r="Z1839" s="1166"/>
      <c r="AA1839" s="1166"/>
      <c r="AB1839" s="1182"/>
      <c r="AC1839" s="294"/>
      <c r="AD1839" s="294"/>
      <c r="AE1839" s="294"/>
      <c r="AF1839" s="294"/>
      <c r="AG1839" s="294"/>
      <c r="AH1839" s="294"/>
      <c r="AI1839" s="294"/>
      <c r="AJ1839" s="294"/>
    </row>
    <row r="1840" spans="2:36" x14ac:dyDescent="0.25">
      <c r="B1840" s="294"/>
      <c r="C1840" s="294"/>
      <c r="D1840" s="294"/>
      <c r="E1840" s="294"/>
      <c r="F1840" s="294"/>
      <c r="G1840" s="294"/>
      <c r="H1840" s="294"/>
      <c r="I1840" s="294"/>
      <c r="J1840" s="294"/>
      <c r="L1840" s="295"/>
      <c r="M1840" s="294"/>
      <c r="R1840" s="326"/>
      <c r="S1840" s="326"/>
      <c r="T1840" s="294"/>
      <c r="U1840" s="294"/>
      <c r="V1840" s="294"/>
      <c r="W1840" s="294"/>
      <c r="X1840" s="1182"/>
      <c r="Y1840" s="1182"/>
      <c r="Z1840" s="1166"/>
      <c r="AA1840" s="1166"/>
      <c r="AB1840" s="1182"/>
      <c r="AC1840" s="294"/>
      <c r="AD1840" s="294"/>
      <c r="AE1840" s="294"/>
      <c r="AF1840" s="294"/>
      <c r="AG1840" s="294"/>
      <c r="AH1840" s="294"/>
      <c r="AI1840" s="294"/>
      <c r="AJ1840" s="294"/>
    </row>
    <row r="1841" spans="2:36" x14ac:dyDescent="0.25">
      <c r="B1841" s="294"/>
      <c r="C1841" s="294"/>
      <c r="D1841" s="294"/>
      <c r="E1841" s="294"/>
      <c r="F1841" s="294"/>
      <c r="G1841" s="294"/>
      <c r="H1841" s="294"/>
      <c r="I1841" s="294"/>
      <c r="J1841" s="294"/>
      <c r="L1841" s="295"/>
      <c r="M1841" s="294"/>
      <c r="R1841" s="326"/>
      <c r="S1841" s="326"/>
      <c r="T1841" s="294"/>
      <c r="U1841" s="294"/>
      <c r="V1841" s="294"/>
      <c r="W1841" s="294"/>
      <c r="X1841" s="1182"/>
      <c r="Y1841" s="1182"/>
      <c r="Z1841" s="1166"/>
      <c r="AA1841" s="1166"/>
      <c r="AB1841" s="1182"/>
      <c r="AC1841" s="294"/>
      <c r="AD1841" s="294"/>
      <c r="AE1841" s="294"/>
      <c r="AF1841" s="294"/>
      <c r="AG1841" s="294"/>
      <c r="AH1841" s="294"/>
      <c r="AI1841" s="294"/>
      <c r="AJ1841" s="294"/>
    </row>
    <row r="1842" spans="2:36" x14ac:dyDescent="0.25">
      <c r="B1842" s="294"/>
      <c r="C1842" s="294"/>
      <c r="D1842" s="294"/>
      <c r="E1842" s="294"/>
      <c r="F1842" s="294"/>
      <c r="G1842" s="294"/>
      <c r="H1842" s="294"/>
      <c r="I1842" s="294"/>
      <c r="J1842" s="294"/>
      <c r="L1842" s="295"/>
      <c r="M1842" s="294"/>
      <c r="R1842" s="326"/>
      <c r="S1842" s="326"/>
      <c r="T1842" s="294"/>
      <c r="U1842" s="294"/>
      <c r="V1842" s="294"/>
      <c r="W1842" s="294"/>
      <c r="X1842" s="1182"/>
      <c r="Y1842" s="1182"/>
      <c r="Z1842" s="1166"/>
      <c r="AA1842" s="1166"/>
      <c r="AB1842" s="1182"/>
      <c r="AC1842" s="294"/>
      <c r="AD1842" s="294"/>
      <c r="AE1842" s="294"/>
      <c r="AF1842" s="294"/>
      <c r="AG1842" s="294"/>
      <c r="AH1842" s="294"/>
      <c r="AI1842" s="294"/>
      <c r="AJ1842" s="294"/>
    </row>
    <row r="1843" spans="2:36" x14ac:dyDescent="0.25">
      <c r="B1843" s="294"/>
      <c r="C1843" s="294"/>
      <c r="D1843" s="294"/>
      <c r="E1843" s="294"/>
      <c r="F1843" s="294"/>
      <c r="G1843" s="294"/>
      <c r="H1843" s="294"/>
      <c r="I1843" s="294"/>
      <c r="J1843" s="294"/>
      <c r="L1843" s="295"/>
      <c r="M1843" s="294"/>
      <c r="R1843" s="326"/>
      <c r="S1843" s="326"/>
      <c r="T1843" s="294"/>
      <c r="U1843" s="294"/>
      <c r="V1843" s="294"/>
      <c r="W1843" s="294"/>
      <c r="X1843" s="1182"/>
      <c r="Y1843" s="1182"/>
      <c r="Z1843" s="1166"/>
      <c r="AA1843" s="1166"/>
      <c r="AB1843" s="1182"/>
      <c r="AC1843" s="294"/>
      <c r="AD1843" s="294"/>
      <c r="AE1843" s="294"/>
      <c r="AF1843" s="294"/>
      <c r="AG1843" s="294"/>
      <c r="AH1843" s="294"/>
      <c r="AI1843" s="294"/>
      <c r="AJ1843" s="294"/>
    </row>
    <row r="1844" spans="2:36" x14ac:dyDescent="0.25">
      <c r="B1844" s="294"/>
      <c r="C1844" s="294"/>
      <c r="D1844" s="294"/>
      <c r="E1844" s="294"/>
      <c r="F1844" s="294"/>
      <c r="G1844" s="294"/>
      <c r="H1844" s="294"/>
      <c r="I1844" s="294"/>
      <c r="J1844" s="294"/>
      <c r="L1844" s="295"/>
      <c r="M1844" s="294"/>
      <c r="R1844" s="326"/>
      <c r="S1844" s="326"/>
      <c r="T1844" s="294"/>
      <c r="U1844" s="294"/>
      <c r="V1844" s="294"/>
      <c r="W1844" s="294"/>
      <c r="X1844" s="1182"/>
      <c r="Y1844" s="1182"/>
      <c r="Z1844" s="1166"/>
      <c r="AA1844" s="1166"/>
      <c r="AB1844" s="1182"/>
      <c r="AC1844" s="294"/>
      <c r="AD1844" s="294"/>
      <c r="AE1844" s="294"/>
      <c r="AF1844" s="294"/>
      <c r="AG1844" s="294"/>
      <c r="AH1844" s="294"/>
      <c r="AI1844" s="294"/>
      <c r="AJ1844" s="294"/>
    </row>
    <row r="1845" spans="2:36" x14ac:dyDescent="0.25">
      <c r="B1845" s="294"/>
      <c r="C1845" s="294"/>
      <c r="D1845" s="294"/>
      <c r="E1845" s="294"/>
      <c r="F1845" s="294"/>
      <c r="G1845" s="294"/>
      <c r="H1845" s="294"/>
      <c r="I1845" s="294"/>
      <c r="J1845" s="294"/>
      <c r="L1845" s="295"/>
      <c r="M1845" s="294"/>
      <c r="R1845" s="326"/>
      <c r="S1845" s="326"/>
      <c r="T1845" s="294"/>
      <c r="U1845" s="294"/>
      <c r="V1845" s="294"/>
      <c r="W1845" s="294"/>
      <c r="X1845" s="1182"/>
      <c r="Y1845" s="1182"/>
      <c r="Z1845" s="1166"/>
      <c r="AA1845" s="1166"/>
      <c r="AB1845" s="1182"/>
      <c r="AC1845" s="294"/>
      <c r="AD1845" s="294"/>
      <c r="AE1845" s="294"/>
      <c r="AF1845" s="294"/>
      <c r="AG1845" s="294"/>
      <c r="AH1845" s="294"/>
      <c r="AI1845" s="294"/>
      <c r="AJ1845" s="294"/>
    </row>
    <row r="1846" spans="2:36" x14ac:dyDescent="0.25">
      <c r="B1846" s="294"/>
      <c r="C1846" s="294"/>
      <c r="D1846" s="294"/>
      <c r="E1846" s="294"/>
      <c r="F1846" s="294"/>
      <c r="G1846" s="294"/>
      <c r="H1846" s="294"/>
      <c r="I1846" s="294"/>
      <c r="J1846" s="294"/>
      <c r="L1846" s="295"/>
      <c r="M1846" s="294"/>
      <c r="R1846" s="326"/>
      <c r="S1846" s="326"/>
      <c r="T1846" s="294"/>
      <c r="U1846" s="294"/>
      <c r="V1846" s="294"/>
      <c r="W1846" s="294"/>
      <c r="X1846" s="1182"/>
      <c r="Y1846" s="1182"/>
      <c r="Z1846" s="1166"/>
      <c r="AA1846" s="1166"/>
      <c r="AB1846" s="1182"/>
      <c r="AC1846" s="294"/>
      <c r="AD1846" s="294"/>
      <c r="AE1846" s="294"/>
      <c r="AF1846" s="294"/>
      <c r="AG1846" s="294"/>
      <c r="AH1846" s="294"/>
      <c r="AI1846" s="294"/>
      <c r="AJ1846" s="294"/>
    </row>
    <row r="1847" spans="2:36" x14ac:dyDescent="0.25">
      <c r="B1847" s="294"/>
      <c r="C1847" s="294"/>
      <c r="D1847" s="294"/>
      <c r="E1847" s="294"/>
      <c r="F1847" s="294"/>
      <c r="G1847" s="294"/>
      <c r="H1847" s="294"/>
      <c r="I1847" s="294"/>
      <c r="J1847" s="294"/>
      <c r="L1847" s="295"/>
      <c r="M1847" s="294"/>
      <c r="R1847" s="326"/>
      <c r="S1847" s="326"/>
      <c r="T1847" s="294"/>
      <c r="U1847" s="294"/>
      <c r="V1847" s="294"/>
      <c r="W1847" s="294"/>
      <c r="X1847" s="1182"/>
      <c r="Y1847" s="1182"/>
      <c r="Z1847" s="1166"/>
      <c r="AA1847" s="1166"/>
      <c r="AB1847" s="1182"/>
      <c r="AC1847" s="294"/>
      <c r="AD1847" s="294"/>
      <c r="AE1847" s="294"/>
      <c r="AF1847" s="294"/>
      <c r="AG1847" s="294"/>
      <c r="AH1847" s="294"/>
      <c r="AI1847" s="294"/>
      <c r="AJ1847" s="294"/>
    </row>
    <row r="1848" spans="2:36" x14ac:dyDescent="0.25">
      <c r="B1848" s="294"/>
      <c r="C1848" s="294"/>
      <c r="D1848" s="294"/>
      <c r="E1848" s="294"/>
      <c r="F1848" s="294"/>
      <c r="G1848" s="294"/>
      <c r="H1848" s="294"/>
      <c r="I1848" s="294"/>
      <c r="J1848" s="294"/>
      <c r="L1848" s="295"/>
      <c r="M1848" s="294"/>
      <c r="R1848" s="326"/>
      <c r="S1848" s="326"/>
      <c r="T1848" s="294"/>
      <c r="U1848" s="294"/>
      <c r="V1848" s="294"/>
      <c r="W1848" s="294"/>
      <c r="X1848" s="1182"/>
      <c r="Y1848" s="1182"/>
      <c r="Z1848" s="1166"/>
      <c r="AA1848" s="1166"/>
      <c r="AB1848" s="1182"/>
      <c r="AC1848" s="294"/>
      <c r="AD1848" s="294"/>
      <c r="AE1848" s="294"/>
      <c r="AF1848" s="294"/>
      <c r="AG1848" s="294"/>
      <c r="AH1848" s="294"/>
      <c r="AI1848" s="294"/>
      <c r="AJ1848" s="294"/>
    </row>
    <row r="1849" spans="2:36" x14ac:dyDescent="0.25">
      <c r="B1849" s="294"/>
      <c r="C1849" s="294"/>
      <c r="D1849" s="294"/>
      <c r="E1849" s="294"/>
      <c r="F1849" s="294"/>
      <c r="G1849" s="294"/>
      <c r="H1849" s="294"/>
      <c r="I1849" s="294"/>
      <c r="J1849" s="294"/>
      <c r="L1849" s="295"/>
      <c r="M1849" s="294"/>
      <c r="R1849" s="326"/>
      <c r="S1849" s="326"/>
      <c r="T1849" s="294"/>
      <c r="U1849" s="294"/>
      <c r="V1849" s="294"/>
      <c r="W1849" s="294"/>
      <c r="X1849" s="1182"/>
      <c r="Y1849" s="1182"/>
      <c r="Z1849" s="1166"/>
      <c r="AA1849" s="1166"/>
      <c r="AB1849" s="1182"/>
      <c r="AC1849" s="294"/>
      <c r="AD1849" s="294"/>
      <c r="AE1849" s="294"/>
      <c r="AF1849" s="294"/>
      <c r="AG1849" s="294"/>
      <c r="AH1849" s="294"/>
      <c r="AI1849" s="294"/>
      <c r="AJ1849" s="294"/>
    </row>
    <row r="1850" spans="2:36" x14ac:dyDescent="0.25">
      <c r="B1850" s="294"/>
      <c r="C1850" s="294"/>
      <c r="D1850" s="294"/>
      <c r="E1850" s="294"/>
      <c r="F1850" s="294"/>
      <c r="G1850" s="294"/>
      <c r="H1850" s="294"/>
      <c r="I1850" s="294"/>
      <c r="J1850" s="294"/>
      <c r="L1850" s="295"/>
      <c r="M1850" s="294"/>
      <c r="R1850" s="326"/>
      <c r="S1850" s="326"/>
      <c r="T1850" s="294"/>
      <c r="U1850" s="294"/>
      <c r="V1850" s="294"/>
      <c r="W1850" s="294"/>
      <c r="X1850" s="1182"/>
      <c r="Y1850" s="1182"/>
      <c r="Z1850" s="1166"/>
      <c r="AA1850" s="1166"/>
      <c r="AB1850" s="1182"/>
      <c r="AC1850" s="294"/>
      <c r="AD1850" s="294"/>
      <c r="AE1850" s="294"/>
      <c r="AF1850" s="294"/>
      <c r="AG1850" s="294"/>
      <c r="AH1850" s="294"/>
      <c r="AI1850" s="294"/>
      <c r="AJ1850" s="294"/>
    </row>
    <row r="1851" spans="2:36" x14ac:dyDescent="0.25">
      <c r="B1851" s="294"/>
      <c r="C1851" s="294"/>
      <c r="D1851" s="294"/>
      <c r="E1851" s="294"/>
      <c r="F1851" s="294"/>
      <c r="G1851" s="294"/>
      <c r="H1851" s="294"/>
      <c r="I1851" s="294"/>
      <c r="J1851" s="294"/>
      <c r="L1851" s="295"/>
      <c r="M1851" s="294"/>
      <c r="R1851" s="326"/>
      <c r="S1851" s="326"/>
      <c r="T1851" s="294"/>
      <c r="U1851" s="294"/>
      <c r="V1851" s="294"/>
      <c r="W1851" s="294"/>
      <c r="X1851" s="1182"/>
      <c r="Y1851" s="1182"/>
      <c r="Z1851" s="1166"/>
      <c r="AA1851" s="1166"/>
      <c r="AB1851" s="1182"/>
      <c r="AC1851" s="294"/>
      <c r="AD1851" s="294"/>
      <c r="AE1851" s="294"/>
      <c r="AF1851" s="294"/>
      <c r="AG1851" s="294"/>
      <c r="AH1851" s="294"/>
      <c r="AI1851" s="294"/>
      <c r="AJ1851" s="294"/>
    </row>
    <row r="1852" spans="2:36" x14ac:dyDescent="0.25">
      <c r="B1852" s="294"/>
      <c r="C1852" s="294"/>
      <c r="D1852" s="294"/>
      <c r="E1852" s="294"/>
      <c r="F1852" s="294"/>
      <c r="G1852" s="294"/>
      <c r="H1852" s="294"/>
      <c r="I1852" s="294"/>
      <c r="J1852" s="294"/>
      <c r="L1852" s="295"/>
      <c r="M1852" s="294"/>
      <c r="R1852" s="326"/>
      <c r="S1852" s="326"/>
      <c r="T1852" s="294"/>
      <c r="U1852" s="294"/>
      <c r="V1852" s="294"/>
      <c r="W1852" s="294"/>
      <c r="X1852" s="1182"/>
      <c r="Y1852" s="1182"/>
      <c r="Z1852" s="1166"/>
      <c r="AA1852" s="1166"/>
      <c r="AB1852" s="1182"/>
      <c r="AC1852" s="294"/>
      <c r="AD1852" s="294"/>
      <c r="AE1852" s="294"/>
      <c r="AF1852" s="294"/>
      <c r="AG1852" s="294"/>
      <c r="AH1852" s="294"/>
      <c r="AI1852" s="294"/>
      <c r="AJ1852" s="294"/>
    </row>
    <row r="1853" spans="2:36" x14ac:dyDescent="0.25">
      <c r="B1853" s="294"/>
      <c r="C1853" s="294"/>
      <c r="D1853" s="294"/>
      <c r="E1853" s="294"/>
      <c r="F1853" s="294"/>
      <c r="G1853" s="294"/>
      <c r="H1853" s="294"/>
      <c r="I1853" s="294"/>
      <c r="J1853" s="294"/>
      <c r="L1853" s="295"/>
      <c r="M1853" s="294"/>
      <c r="R1853" s="326"/>
      <c r="S1853" s="326"/>
      <c r="T1853" s="294"/>
      <c r="U1853" s="294"/>
      <c r="V1853" s="294"/>
      <c r="W1853" s="294"/>
      <c r="X1853" s="1182"/>
      <c r="Y1853" s="1182"/>
      <c r="Z1853" s="1166"/>
      <c r="AA1853" s="1166"/>
      <c r="AB1853" s="1182"/>
      <c r="AC1853" s="294"/>
      <c r="AD1853" s="294"/>
      <c r="AE1853" s="294"/>
      <c r="AF1853" s="294"/>
      <c r="AG1853" s="294"/>
      <c r="AH1853" s="294"/>
      <c r="AI1853" s="294"/>
      <c r="AJ1853" s="294"/>
    </row>
    <row r="1854" spans="2:36" x14ac:dyDescent="0.25">
      <c r="B1854" s="294"/>
      <c r="C1854" s="294"/>
      <c r="D1854" s="294"/>
      <c r="E1854" s="294"/>
      <c r="F1854" s="294"/>
      <c r="G1854" s="294"/>
      <c r="H1854" s="294"/>
      <c r="I1854" s="294"/>
      <c r="J1854" s="294"/>
      <c r="L1854" s="295"/>
      <c r="M1854" s="294"/>
      <c r="R1854" s="326"/>
      <c r="S1854" s="326"/>
      <c r="T1854" s="294"/>
      <c r="U1854" s="294"/>
      <c r="V1854" s="294"/>
      <c r="W1854" s="294"/>
      <c r="X1854" s="1182"/>
      <c r="Y1854" s="1182"/>
      <c r="Z1854" s="1166"/>
      <c r="AA1854" s="1166"/>
      <c r="AB1854" s="1182"/>
      <c r="AC1854" s="294"/>
      <c r="AD1854" s="294"/>
      <c r="AE1854" s="294"/>
      <c r="AF1854" s="294"/>
      <c r="AG1854" s="294"/>
      <c r="AH1854" s="294"/>
      <c r="AI1854" s="294"/>
      <c r="AJ1854" s="294"/>
    </row>
    <row r="1855" spans="2:36" x14ac:dyDescent="0.25">
      <c r="B1855" s="294"/>
      <c r="C1855" s="294"/>
      <c r="D1855" s="294"/>
      <c r="E1855" s="294"/>
      <c r="F1855" s="294"/>
      <c r="G1855" s="294"/>
      <c r="H1855" s="294"/>
      <c r="I1855" s="294"/>
      <c r="J1855" s="294"/>
      <c r="L1855" s="295"/>
      <c r="M1855" s="294"/>
      <c r="R1855" s="326"/>
      <c r="S1855" s="326"/>
      <c r="T1855" s="294"/>
      <c r="U1855" s="294"/>
      <c r="V1855" s="294"/>
      <c r="W1855" s="294"/>
      <c r="X1855" s="1182"/>
      <c r="Y1855" s="1182"/>
      <c r="Z1855" s="1166"/>
      <c r="AA1855" s="1166"/>
      <c r="AB1855" s="1182"/>
      <c r="AC1855" s="294"/>
      <c r="AD1855" s="294"/>
      <c r="AE1855" s="294"/>
      <c r="AF1855" s="294"/>
      <c r="AG1855" s="294"/>
      <c r="AH1855" s="294"/>
      <c r="AI1855" s="294"/>
      <c r="AJ1855" s="294"/>
    </row>
    <row r="1856" spans="2:36" x14ac:dyDescent="0.25">
      <c r="B1856" s="294"/>
      <c r="C1856" s="294"/>
      <c r="D1856" s="294"/>
      <c r="E1856" s="294"/>
      <c r="F1856" s="294"/>
      <c r="G1856" s="294"/>
      <c r="H1856" s="294"/>
      <c r="I1856" s="294"/>
      <c r="J1856" s="294"/>
      <c r="L1856" s="295"/>
      <c r="M1856" s="294"/>
      <c r="R1856" s="326"/>
      <c r="S1856" s="326"/>
      <c r="T1856" s="294"/>
      <c r="U1856" s="294"/>
      <c r="V1856" s="294"/>
      <c r="W1856" s="294"/>
      <c r="X1856" s="1182"/>
      <c r="Y1856" s="1182"/>
      <c r="Z1856" s="1166"/>
      <c r="AA1856" s="1166"/>
      <c r="AB1856" s="1182"/>
      <c r="AC1856" s="294"/>
      <c r="AD1856" s="294"/>
      <c r="AE1856" s="294"/>
      <c r="AF1856" s="294"/>
      <c r="AG1856" s="294"/>
      <c r="AH1856" s="294"/>
      <c r="AI1856" s="294"/>
      <c r="AJ1856" s="294"/>
    </row>
    <row r="1857" spans="2:36" x14ac:dyDescent="0.25">
      <c r="B1857" s="294"/>
      <c r="C1857" s="294"/>
      <c r="D1857" s="294"/>
      <c r="E1857" s="294"/>
      <c r="F1857" s="294"/>
      <c r="G1857" s="294"/>
      <c r="H1857" s="294"/>
      <c r="I1857" s="294"/>
      <c r="J1857" s="294"/>
      <c r="L1857" s="295"/>
      <c r="M1857" s="294"/>
      <c r="R1857" s="326"/>
      <c r="S1857" s="326"/>
      <c r="T1857" s="294"/>
      <c r="U1857" s="294"/>
      <c r="V1857" s="294"/>
      <c r="W1857" s="294"/>
      <c r="X1857" s="1182"/>
      <c r="Y1857" s="1182"/>
      <c r="Z1857" s="1166"/>
      <c r="AA1857" s="1166"/>
      <c r="AB1857" s="1182"/>
      <c r="AC1857" s="294"/>
      <c r="AD1857" s="294"/>
      <c r="AE1857" s="294"/>
      <c r="AF1857" s="294"/>
      <c r="AG1857" s="294"/>
      <c r="AH1857" s="294"/>
      <c r="AI1857" s="294"/>
      <c r="AJ1857" s="294"/>
    </row>
    <row r="1858" spans="2:36" x14ac:dyDescent="0.25">
      <c r="B1858" s="294"/>
      <c r="C1858" s="294"/>
      <c r="D1858" s="294"/>
      <c r="E1858" s="294"/>
      <c r="F1858" s="294"/>
      <c r="G1858" s="294"/>
      <c r="H1858" s="294"/>
      <c r="I1858" s="294"/>
      <c r="J1858" s="294"/>
      <c r="L1858" s="295"/>
      <c r="M1858" s="294"/>
      <c r="R1858" s="326"/>
      <c r="S1858" s="326"/>
      <c r="T1858" s="294"/>
      <c r="U1858" s="294"/>
      <c r="V1858" s="294"/>
      <c r="W1858" s="294"/>
      <c r="X1858" s="1182"/>
      <c r="Y1858" s="1182"/>
      <c r="Z1858" s="1166"/>
      <c r="AA1858" s="1166"/>
      <c r="AB1858" s="1182"/>
      <c r="AC1858" s="294"/>
      <c r="AD1858" s="294"/>
      <c r="AE1858" s="294"/>
      <c r="AF1858" s="294"/>
      <c r="AG1858" s="294"/>
      <c r="AH1858" s="294"/>
      <c r="AI1858" s="294"/>
      <c r="AJ1858" s="294"/>
    </row>
    <row r="1859" spans="2:36" x14ac:dyDescent="0.25">
      <c r="B1859" s="294"/>
      <c r="C1859" s="294"/>
      <c r="D1859" s="294"/>
      <c r="E1859" s="294"/>
      <c r="F1859" s="294"/>
      <c r="G1859" s="294"/>
      <c r="H1859" s="294"/>
      <c r="I1859" s="294"/>
      <c r="J1859" s="294"/>
      <c r="L1859" s="295"/>
      <c r="M1859" s="294"/>
      <c r="R1859" s="326"/>
      <c r="S1859" s="326"/>
      <c r="T1859" s="294"/>
      <c r="U1859" s="294"/>
      <c r="V1859" s="294"/>
      <c r="W1859" s="294"/>
      <c r="X1859" s="1182"/>
      <c r="Y1859" s="1182"/>
      <c r="Z1859" s="1166"/>
      <c r="AA1859" s="1166"/>
      <c r="AB1859" s="1182"/>
      <c r="AC1859" s="294"/>
      <c r="AD1859" s="294"/>
      <c r="AE1859" s="294"/>
      <c r="AF1859" s="294"/>
      <c r="AG1859" s="294"/>
      <c r="AH1859" s="294"/>
      <c r="AI1859" s="294"/>
      <c r="AJ1859" s="294"/>
    </row>
    <row r="1860" spans="2:36" x14ac:dyDescent="0.25">
      <c r="B1860" s="294"/>
      <c r="C1860" s="294"/>
      <c r="D1860" s="294"/>
      <c r="E1860" s="294"/>
      <c r="F1860" s="294"/>
      <c r="G1860" s="294"/>
      <c r="H1860" s="294"/>
      <c r="I1860" s="294"/>
      <c r="J1860" s="294"/>
      <c r="L1860" s="295"/>
      <c r="M1860" s="294"/>
      <c r="R1860" s="326"/>
      <c r="S1860" s="326"/>
      <c r="T1860" s="294"/>
      <c r="U1860" s="294"/>
      <c r="V1860" s="294"/>
      <c r="W1860" s="294"/>
      <c r="X1860" s="1182"/>
      <c r="Y1860" s="1182"/>
      <c r="Z1860" s="1166"/>
      <c r="AA1860" s="1166"/>
      <c r="AB1860" s="1182"/>
      <c r="AC1860" s="294"/>
      <c r="AD1860" s="294"/>
      <c r="AE1860" s="294"/>
      <c r="AF1860" s="294"/>
      <c r="AG1860" s="294"/>
      <c r="AH1860" s="294"/>
      <c r="AI1860" s="294"/>
      <c r="AJ1860" s="294"/>
    </row>
    <row r="1861" spans="2:36" x14ac:dyDescent="0.25">
      <c r="B1861" s="294"/>
      <c r="C1861" s="294"/>
      <c r="D1861" s="294"/>
      <c r="E1861" s="294"/>
      <c r="F1861" s="294"/>
      <c r="G1861" s="294"/>
      <c r="H1861" s="294"/>
      <c r="I1861" s="294"/>
      <c r="J1861" s="294"/>
      <c r="L1861" s="295"/>
      <c r="M1861" s="294"/>
      <c r="R1861" s="326"/>
      <c r="S1861" s="326"/>
      <c r="T1861" s="294"/>
      <c r="U1861" s="294"/>
      <c r="V1861" s="294"/>
      <c r="W1861" s="294"/>
      <c r="X1861" s="1182"/>
      <c r="Y1861" s="1182"/>
      <c r="Z1861" s="1166"/>
      <c r="AA1861" s="1166"/>
      <c r="AB1861" s="1182"/>
      <c r="AC1861" s="294"/>
      <c r="AD1861" s="294"/>
      <c r="AE1861" s="294"/>
      <c r="AF1861" s="294"/>
      <c r="AG1861" s="294"/>
      <c r="AH1861" s="294"/>
      <c r="AI1861" s="294"/>
      <c r="AJ1861" s="294"/>
    </row>
    <row r="1862" spans="2:36" x14ac:dyDescent="0.25">
      <c r="B1862" s="294"/>
      <c r="C1862" s="294"/>
      <c r="D1862" s="294"/>
      <c r="E1862" s="294"/>
      <c r="F1862" s="294"/>
      <c r="G1862" s="294"/>
      <c r="H1862" s="294"/>
      <c r="I1862" s="294"/>
      <c r="J1862" s="294"/>
      <c r="L1862" s="295"/>
      <c r="M1862" s="294"/>
      <c r="R1862" s="326"/>
      <c r="S1862" s="326"/>
      <c r="T1862" s="294"/>
      <c r="U1862" s="294"/>
      <c r="V1862" s="294"/>
      <c r="W1862" s="294"/>
      <c r="X1862" s="1182"/>
      <c r="Y1862" s="1182"/>
      <c r="Z1862" s="1166"/>
      <c r="AA1862" s="1166"/>
      <c r="AB1862" s="1182"/>
      <c r="AC1862" s="294"/>
      <c r="AD1862" s="294"/>
      <c r="AE1862" s="294"/>
      <c r="AF1862" s="294"/>
      <c r="AG1862" s="294"/>
      <c r="AH1862" s="294"/>
      <c r="AI1862" s="294"/>
      <c r="AJ1862" s="294"/>
    </row>
    <row r="1863" spans="2:36" x14ac:dyDescent="0.25">
      <c r="B1863" s="294"/>
      <c r="C1863" s="294"/>
      <c r="D1863" s="294"/>
      <c r="E1863" s="294"/>
      <c r="F1863" s="294"/>
      <c r="G1863" s="294"/>
      <c r="H1863" s="294"/>
      <c r="I1863" s="294"/>
      <c r="J1863" s="294"/>
      <c r="L1863" s="295"/>
      <c r="M1863" s="294"/>
      <c r="R1863" s="326"/>
      <c r="S1863" s="326"/>
      <c r="T1863" s="294"/>
      <c r="U1863" s="294"/>
      <c r="V1863" s="294"/>
      <c r="W1863" s="294"/>
      <c r="X1863" s="1182"/>
      <c r="Y1863" s="1182"/>
      <c r="Z1863" s="1166"/>
      <c r="AA1863" s="1166"/>
      <c r="AB1863" s="1182"/>
      <c r="AC1863" s="294"/>
      <c r="AD1863" s="294"/>
      <c r="AE1863" s="294"/>
      <c r="AF1863" s="294"/>
      <c r="AG1863" s="294"/>
      <c r="AH1863" s="294"/>
      <c r="AI1863" s="294"/>
      <c r="AJ1863" s="294"/>
    </row>
    <row r="1864" spans="2:36" x14ac:dyDescent="0.25">
      <c r="B1864" s="294"/>
      <c r="C1864" s="294"/>
      <c r="D1864" s="294"/>
      <c r="E1864" s="294"/>
      <c r="F1864" s="294"/>
      <c r="G1864" s="294"/>
      <c r="H1864" s="294"/>
      <c r="I1864" s="294"/>
      <c r="J1864" s="294"/>
      <c r="L1864" s="295"/>
      <c r="M1864" s="294"/>
      <c r="R1864" s="326"/>
      <c r="S1864" s="326"/>
      <c r="T1864" s="294"/>
      <c r="U1864" s="294"/>
      <c r="V1864" s="294"/>
      <c r="W1864" s="294"/>
      <c r="X1864" s="1182"/>
      <c r="Y1864" s="1182"/>
      <c r="Z1864" s="1166"/>
      <c r="AA1864" s="1166"/>
      <c r="AB1864" s="1182"/>
      <c r="AC1864" s="294"/>
      <c r="AD1864" s="294"/>
      <c r="AE1864" s="294"/>
      <c r="AF1864" s="294"/>
      <c r="AG1864" s="294"/>
      <c r="AH1864" s="294"/>
      <c r="AI1864" s="294"/>
      <c r="AJ1864" s="294"/>
    </row>
    <row r="1865" spans="2:36" x14ac:dyDescent="0.25">
      <c r="B1865" s="294"/>
      <c r="C1865" s="294"/>
      <c r="D1865" s="294"/>
      <c r="E1865" s="294"/>
      <c r="F1865" s="294"/>
      <c r="G1865" s="294"/>
      <c r="H1865" s="294"/>
      <c r="I1865" s="294"/>
      <c r="J1865" s="294"/>
      <c r="L1865" s="295"/>
      <c r="M1865" s="294"/>
      <c r="R1865" s="326"/>
      <c r="S1865" s="326"/>
      <c r="T1865" s="294"/>
      <c r="U1865" s="294"/>
      <c r="V1865" s="294"/>
      <c r="W1865" s="294"/>
      <c r="X1865" s="1182"/>
      <c r="Y1865" s="1182"/>
      <c r="Z1865" s="1166"/>
      <c r="AA1865" s="1166"/>
      <c r="AB1865" s="1182"/>
      <c r="AC1865" s="294"/>
      <c r="AD1865" s="294"/>
      <c r="AE1865" s="294"/>
      <c r="AF1865" s="294"/>
      <c r="AG1865" s="294"/>
      <c r="AH1865" s="294"/>
      <c r="AI1865" s="294"/>
      <c r="AJ1865" s="294"/>
    </row>
    <row r="1866" spans="2:36" x14ac:dyDescent="0.25">
      <c r="B1866" s="294"/>
      <c r="C1866" s="294"/>
      <c r="D1866" s="294"/>
      <c r="E1866" s="294"/>
      <c r="F1866" s="294"/>
      <c r="G1866" s="294"/>
      <c r="H1866" s="294"/>
      <c r="I1866" s="294"/>
      <c r="J1866" s="294"/>
      <c r="L1866" s="295"/>
      <c r="M1866" s="294"/>
      <c r="R1866" s="326"/>
      <c r="S1866" s="326"/>
      <c r="T1866" s="294"/>
      <c r="U1866" s="294"/>
      <c r="V1866" s="294"/>
      <c r="W1866" s="294"/>
      <c r="X1866" s="1182"/>
      <c r="Y1866" s="1182"/>
      <c r="Z1866" s="1166"/>
      <c r="AA1866" s="1166"/>
      <c r="AB1866" s="1182"/>
      <c r="AC1866" s="294"/>
      <c r="AD1866" s="294"/>
      <c r="AE1866" s="294"/>
      <c r="AF1866" s="294"/>
      <c r="AG1866" s="294"/>
      <c r="AH1866" s="294"/>
      <c r="AI1866" s="294"/>
      <c r="AJ1866" s="294"/>
    </row>
    <row r="1867" spans="2:36" x14ac:dyDescent="0.25">
      <c r="B1867" s="294"/>
      <c r="C1867" s="294"/>
      <c r="D1867" s="294"/>
      <c r="E1867" s="294"/>
      <c r="F1867" s="294"/>
      <c r="G1867" s="294"/>
      <c r="H1867" s="294"/>
      <c r="I1867" s="294"/>
      <c r="J1867" s="294"/>
      <c r="L1867" s="295"/>
      <c r="M1867" s="294"/>
      <c r="R1867" s="326"/>
      <c r="S1867" s="326"/>
      <c r="T1867" s="294"/>
      <c r="U1867" s="294"/>
      <c r="V1867" s="294"/>
      <c r="W1867" s="294"/>
      <c r="X1867" s="1182"/>
      <c r="Y1867" s="1182"/>
      <c r="Z1867" s="1166"/>
      <c r="AA1867" s="1166"/>
      <c r="AB1867" s="1182"/>
      <c r="AC1867" s="294"/>
      <c r="AD1867" s="294"/>
      <c r="AE1867" s="294"/>
      <c r="AF1867" s="294"/>
      <c r="AG1867" s="294"/>
      <c r="AH1867" s="294"/>
      <c r="AI1867" s="294"/>
      <c r="AJ1867" s="294"/>
    </row>
    <row r="1868" spans="2:36" x14ac:dyDescent="0.25">
      <c r="B1868" s="294"/>
      <c r="C1868" s="294"/>
      <c r="D1868" s="294"/>
      <c r="E1868" s="294"/>
      <c r="F1868" s="294"/>
      <c r="G1868" s="294"/>
      <c r="H1868" s="294"/>
      <c r="I1868" s="294"/>
      <c r="J1868" s="294"/>
      <c r="L1868" s="295"/>
      <c r="M1868" s="294"/>
      <c r="R1868" s="326"/>
      <c r="S1868" s="326"/>
      <c r="T1868" s="294"/>
      <c r="U1868" s="294"/>
      <c r="V1868" s="294"/>
      <c r="W1868" s="294"/>
      <c r="X1868" s="1182"/>
      <c r="Y1868" s="1182"/>
      <c r="Z1868" s="1166"/>
      <c r="AA1868" s="1166"/>
      <c r="AB1868" s="1182"/>
      <c r="AC1868" s="294"/>
      <c r="AD1868" s="294"/>
      <c r="AE1868" s="294"/>
      <c r="AF1868" s="294"/>
      <c r="AG1868" s="294"/>
      <c r="AH1868" s="294"/>
      <c r="AI1868" s="294"/>
      <c r="AJ1868" s="294"/>
    </row>
    <row r="1869" spans="2:36" x14ac:dyDescent="0.25">
      <c r="B1869" s="294"/>
      <c r="C1869" s="294"/>
      <c r="D1869" s="294"/>
      <c r="E1869" s="294"/>
      <c r="F1869" s="294"/>
      <c r="G1869" s="294"/>
      <c r="H1869" s="294"/>
      <c r="I1869" s="294"/>
      <c r="J1869" s="294"/>
      <c r="L1869" s="295"/>
      <c r="M1869" s="294"/>
      <c r="R1869" s="326"/>
      <c r="S1869" s="326"/>
      <c r="T1869" s="294"/>
      <c r="U1869" s="294"/>
      <c r="V1869" s="294"/>
      <c r="W1869" s="294"/>
      <c r="X1869" s="1182"/>
      <c r="Y1869" s="1182"/>
      <c r="Z1869" s="1166"/>
      <c r="AA1869" s="1166"/>
      <c r="AB1869" s="1182"/>
      <c r="AC1869" s="294"/>
      <c r="AD1869" s="294"/>
      <c r="AE1869" s="294"/>
      <c r="AF1869" s="294"/>
      <c r="AG1869" s="294"/>
      <c r="AH1869" s="294"/>
      <c r="AI1869" s="294"/>
      <c r="AJ1869" s="294"/>
    </row>
    <row r="1870" spans="2:36" x14ac:dyDescent="0.25">
      <c r="B1870" s="294"/>
      <c r="C1870" s="294"/>
      <c r="D1870" s="294"/>
      <c r="E1870" s="294"/>
      <c r="F1870" s="294"/>
      <c r="G1870" s="294"/>
      <c r="H1870" s="294"/>
      <c r="I1870" s="294"/>
      <c r="J1870" s="294"/>
      <c r="L1870" s="295"/>
      <c r="M1870" s="294"/>
      <c r="R1870" s="326"/>
      <c r="S1870" s="326"/>
      <c r="T1870" s="294"/>
      <c r="U1870" s="294"/>
      <c r="V1870" s="294"/>
      <c r="W1870" s="294"/>
      <c r="X1870" s="1182"/>
      <c r="Y1870" s="1182"/>
      <c r="Z1870" s="1166"/>
      <c r="AA1870" s="1166"/>
      <c r="AB1870" s="1182"/>
      <c r="AC1870" s="294"/>
      <c r="AD1870" s="294"/>
      <c r="AE1870" s="294"/>
      <c r="AF1870" s="294"/>
      <c r="AG1870" s="294"/>
      <c r="AH1870" s="294"/>
      <c r="AI1870" s="294"/>
      <c r="AJ1870" s="294"/>
    </row>
    <row r="1871" spans="2:36" x14ac:dyDescent="0.25">
      <c r="B1871" s="294"/>
      <c r="C1871" s="294"/>
      <c r="D1871" s="294"/>
      <c r="E1871" s="294"/>
      <c r="F1871" s="294"/>
      <c r="G1871" s="294"/>
      <c r="H1871" s="294"/>
      <c r="I1871" s="294"/>
      <c r="J1871" s="294"/>
      <c r="L1871" s="295"/>
      <c r="M1871" s="294"/>
      <c r="R1871" s="326"/>
      <c r="S1871" s="326"/>
      <c r="T1871" s="294"/>
      <c r="U1871" s="294"/>
      <c r="V1871" s="294"/>
      <c r="W1871" s="294"/>
      <c r="X1871" s="1182"/>
      <c r="Y1871" s="1182"/>
      <c r="Z1871" s="1166"/>
      <c r="AA1871" s="1166"/>
      <c r="AB1871" s="1182"/>
      <c r="AC1871" s="294"/>
      <c r="AD1871" s="294"/>
      <c r="AE1871" s="294"/>
      <c r="AF1871" s="294"/>
      <c r="AG1871" s="294"/>
      <c r="AH1871" s="294"/>
      <c r="AI1871" s="294"/>
      <c r="AJ1871" s="294"/>
    </row>
    <row r="1872" spans="2:36" x14ac:dyDescent="0.25">
      <c r="B1872" s="294"/>
      <c r="C1872" s="294"/>
      <c r="D1872" s="294"/>
      <c r="E1872" s="294"/>
      <c r="F1872" s="294"/>
      <c r="G1872" s="294"/>
      <c r="H1872" s="294"/>
      <c r="I1872" s="294"/>
      <c r="J1872" s="294"/>
      <c r="L1872" s="295"/>
      <c r="M1872" s="294"/>
      <c r="R1872" s="326"/>
      <c r="S1872" s="326"/>
      <c r="T1872" s="294"/>
      <c r="U1872" s="294"/>
      <c r="V1872" s="294"/>
      <c r="W1872" s="294"/>
      <c r="X1872" s="1182"/>
      <c r="Y1872" s="1182"/>
      <c r="Z1872" s="1166"/>
      <c r="AA1872" s="1166"/>
      <c r="AB1872" s="1182"/>
      <c r="AC1872" s="294"/>
      <c r="AD1872" s="294"/>
      <c r="AE1872" s="294"/>
      <c r="AF1872" s="294"/>
      <c r="AG1872" s="294"/>
      <c r="AH1872" s="294"/>
      <c r="AI1872" s="294"/>
      <c r="AJ1872" s="294"/>
    </row>
    <row r="1873" spans="2:36" x14ac:dyDescent="0.25">
      <c r="B1873" s="294"/>
      <c r="C1873" s="294"/>
      <c r="D1873" s="294"/>
      <c r="E1873" s="294"/>
      <c r="F1873" s="294"/>
      <c r="G1873" s="294"/>
      <c r="H1873" s="294"/>
      <c r="I1873" s="294"/>
      <c r="J1873" s="294"/>
      <c r="L1873" s="295"/>
      <c r="M1873" s="294"/>
      <c r="R1873" s="326"/>
      <c r="S1873" s="326"/>
      <c r="T1873" s="294"/>
      <c r="U1873" s="294"/>
      <c r="V1873" s="294"/>
      <c r="W1873" s="294"/>
      <c r="X1873" s="1182"/>
      <c r="Y1873" s="1182"/>
      <c r="Z1873" s="1166"/>
      <c r="AA1873" s="1166"/>
      <c r="AB1873" s="1182"/>
      <c r="AC1873" s="294"/>
      <c r="AD1873" s="294"/>
      <c r="AE1873" s="294"/>
      <c r="AF1873" s="294"/>
      <c r="AG1873" s="294"/>
      <c r="AH1873" s="294"/>
      <c r="AI1873" s="294"/>
      <c r="AJ1873" s="294"/>
    </row>
    <row r="1874" spans="2:36" x14ac:dyDescent="0.25">
      <c r="B1874" s="294"/>
      <c r="C1874" s="294"/>
      <c r="D1874" s="294"/>
      <c r="E1874" s="294"/>
      <c r="F1874" s="294"/>
      <c r="G1874" s="294"/>
      <c r="H1874" s="294"/>
      <c r="I1874" s="294"/>
      <c r="J1874" s="294"/>
      <c r="L1874" s="295"/>
      <c r="M1874" s="294"/>
      <c r="R1874" s="326"/>
      <c r="S1874" s="326"/>
      <c r="T1874" s="294"/>
      <c r="U1874" s="294"/>
      <c r="V1874" s="294"/>
      <c r="W1874" s="294"/>
      <c r="X1874" s="1182"/>
      <c r="Y1874" s="1182"/>
      <c r="Z1874" s="1166"/>
      <c r="AA1874" s="1166"/>
      <c r="AB1874" s="1182"/>
      <c r="AC1874" s="294"/>
      <c r="AD1874" s="294"/>
      <c r="AE1874" s="294"/>
      <c r="AF1874" s="294"/>
      <c r="AG1874" s="294"/>
      <c r="AH1874" s="294"/>
      <c r="AI1874" s="294"/>
      <c r="AJ1874" s="294"/>
    </row>
    <row r="1875" spans="2:36" x14ac:dyDescent="0.25">
      <c r="B1875" s="294"/>
      <c r="C1875" s="294"/>
      <c r="D1875" s="294"/>
      <c r="E1875" s="294"/>
      <c r="F1875" s="294"/>
      <c r="G1875" s="294"/>
      <c r="H1875" s="294"/>
      <c r="I1875" s="294"/>
      <c r="J1875" s="294"/>
      <c r="L1875" s="295"/>
      <c r="M1875" s="294"/>
      <c r="R1875" s="326"/>
      <c r="S1875" s="326"/>
      <c r="T1875" s="294"/>
      <c r="U1875" s="294"/>
      <c r="V1875" s="294"/>
      <c r="W1875" s="294"/>
      <c r="X1875" s="1182"/>
      <c r="Y1875" s="1182"/>
      <c r="Z1875" s="1166"/>
      <c r="AA1875" s="1166"/>
      <c r="AB1875" s="1182"/>
      <c r="AC1875" s="294"/>
      <c r="AD1875" s="294"/>
      <c r="AE1875" s="294"/>
      <c r="AF1875" s="294"/>
      <c r="AG1875" s="294"/>
      <c r="AH1875" s="294"/>
      <c r="AI1875" s="294"/>
      <c r="AJ1875" s="294"/>
    </row>
    <row r="1876" spans="2:36" x14ac:dyDescent="0.25">
      <c r="B1876" s="294"/>
      <c r="C1876" s="294"/>
      <c r="D1876" s="294"/>
      <c r="E1876" s="294"/>
      <c r="F1876" s="294"/>
      <c r="G1876" s="294"/>
      <c r="H1876" s="294"/>
      <c r="I1876" s="294"/>
      <c r="J1876" s="294"/>
      <c r="L1876" s="295"/>
      <c r="M1876" s="294"/>
      <c r="R1876" s="326"/>
      <c r="S1876" s="326"/>
      <c r="T1876" s="294"/>
      <c r="U1876" s="294"/>
      <c r="V1876" s="294"/>
      <c r="W1876" s="294"/>
      <c r="X1876" s="1182"/>
      <c r="Y1876" s="1182"/>
      <c r="Z1876" s="1166"/>
      <c r="AA1876" s="1166"/>
      <c r="AB1876" s="1182"/>
      <c r="AC1876" s="294"/>
      <c r="AD1876" s="294"/>
      <c r="AE1876" s="294"/>
      <c r="AF1876" s="294"/>
      <c r="AG1876" s="294"/>
      <c r="AH1876" s="294"/>
      <c r="AI1876" s="294"/>
      <c r="AJ1876" s="294"/>
    </row>
    <row r="1877" spans="2:36" x14ac:dyDescent="0.25">
      <c r="B1877" s="294"/>
      <c r="C1877" s="294"/>
      <c r="D1877" s="294"/>
      <c r="E1877" s="294"/>
      <c r="F1877" s="294"/>
      <c r="G1877" s="294"/>
      <c r="H1877" s="294"/>
      <c r="I1877" s="294"/>
      <c r="J1877" s="294"/>
      <c r="L1877" s="295"/>
      <c r="M1877" s="294"/>
      <c r="R1877" s="326"/>
      <c r="S1877" s="326"/>
      <c r="T1877" s="294"/>
      <c r="U1877" s="294"/>
      <c r="V1877" s="294"/>
      <c r="W1877" s="294"/>
      <c r="X1877" s="1182"/>
      <c r="Y1877" s="1182"/>
      <c r="Z1877" s="1166"/>
      <c r="AA1877" s="1166"/>
      <c r="AB1877" s="1182"/>
      <c r="AC1877" s="294"/>
      <c r="AD1877" s="294"/>
      <c r="AE1877" s="294"/>
      <c r="AF1877" s="294"/>
      <c r="AG1877" s="294"/>
      <c r="AH1877" s="294"/>
      <c r="AI1877" s="294"/>
      <c r="AJ1877" s="294"/>
    </row>
    <row r="1878" spans="2:36" x14ac:dyDescent="0.25">
      <c r="B1878" s="294"/>
      <c r="C1878" s="294"/>
      <c r="D1878" s="294"/>
      <c r="E1878" s="294"/>
      <c r="F1878" s="294"/>
      <c r="G1878" s="294"/>
      <c r="H1878" s="294"/>
      <c r="I1878" s="294"/>
      <c r="J1878" s="294"/>
      <c r="L1878" s="295"/>
      <c r="M1878" s="294"/>
      <c r="R1878" s="326"/>
      <c r="S1878" s="326"/>
      <c r="T1878" s="294"/>
      <c r="U1878" s="294"/>
      <c r="V1878" s="294"/>
      <c r="W1878" s="294"/>
      <c r="X1878" s="1182"/>
      <c r="Y1878" s="1182"/>
      <c r="Z1878" s="1166"/>
      <c r="AA1878" s="1166"/>
      <c r="AB1878" s="1182"/>
      <c r="AC1878" s="294"/>
      <c r="AD1878" s="294"/>
      <c r="AE1878" s="294"/>
      <c r="AF1878" s="294"/>
      <c r="AG1878" s="294"/>
      <c r="AH1878" s="294"/>
      <c r="AI1878" s="294"/>
      <c r="AJ1878" s="294"/>
    </row>
    <row r="1879" spans="2:36" x14ac:dyDescent="0.25">
      <c r="B1879" s="294"/>
      <c r="C1879" s="294"/>
      <c r="D1879" s="294"/>
      <c r="E1879" s="294"/>
      <c r="F1879" s="294"/>
      <c r="G1879" s="294"/>
      <c r="H1879" s="294"/>
      <c r="I1879" s="294"/>
      <c r="J1879" s="294"/>
      <c r="L1879" s="295"/>
      <c r="M1879" s="294"/>
      <c r="R1879" s="326"/>
      <c r="S1879" s="326"/>
      <c r="T1879" s="294"/>
      <c r="U1879" s="294"/>
      <c r="V1879" s="294"/>
      <c r="W1879" s="294"/>
      <c r="X1879" s="1182"/>
      <c r="Y1879" s="1182"/>
      <c r="Z1879" s="1166"/>
      <c r="AA1879" s="1166"/>
      <c r="AB1879" s="1182"/>
      <c r="AC1879" s="294"/>
      <c r="AD1879" s="294"/>
      <c r="AE1879" s="294"/>
      <c r="AF1879" s="294"/>
      <c r="AG1879" s="294"/>
      <c r="AH1879" s="294"/>
      <c r="AI1879" s="294"/>
      <c r="AJ1879" s="294"/>
    </row>
    <row r="1880" spans="2:36" x14ac:dyDescent="0.25">
      <c r="B1880" s="294"/>
      <c r="C1880" s="294"/>
      <c r="D1880" s="294"/>
      <c r="E1880" s="294"/>
      <c r="F1880" s="294"/>
      <c r="G1880" s="294"/>
      <c r="H1880" s="294"/>
      <c r="I1880" s="294"/>
      <c r="J1880" s="294"/>
      <c r="L1880" s="295"/>
      <c r="M1880" s="294"/>
      <c r="R1880" s="326"/>
      <c r="S1880" s="326"/>
      <c r="T1880" s="294"/>
      <c r="U1880" s="294"/>
      <c r="V1880" s="294"/>
      <c r="W1880" s="294"/>
      <c r="X1880" s="1182"/>
      <c r="Y1880" s="1182"/>
      <c r="Z1880" s="1166"/>
      <c r="AA1880" s="1166"/>
      <c r="AB1880" s="1182"/>
      <c r="AC1880" s="294"/>
      <c r="AD1880" s="294"/>
      <c r="AE1880" s="294"/>
      <c r="AF1880" s="294"/>
      <c r="AG1880" s="294"/>
      <c r="AH1880" s="294"/>
      <c r="AI1880" s="294"/>
      <c r="AJ1880" s="294"/>
    </row>
    <row r="1881" spans="2:36" x14ac:dyDescent="0.25">
      <c r="B1881" s="294"/>
      <c r="C1881" s="294"/>
      <c r="D1881" s="294"/>
      <c r="E1881" s="294"/>
      <c r="F1881" s="294"/>
      <c r="G1881" s="294"/>
      <c r="H1881" s="294"/>
      <c r="I1881" s="294"/>
      <c r="J1881" s="294"/>
      <c r="L1881" s="295"/>
      <c r="M1881" s="294"/>
      <c r="R1881" s="326"/>
      <c r="S1881" s="326"/>
      <c r="T1881" s="294"/>
      <c r="U1881" s="294"/>
      <c r="V1881" s="294"/>
      <c r="W1881" s="294"/>
      <c r="X1881" s="1182"/>
      <c r="Y1881" s="1182"/>
      <c r="Z1881" s="1166"/>
      <c r="AA1881" s="1166"/>
      <c r="AB1881" s="1182"/>
      <c r="AC1881" s="294"/>
      <c r="AD1881" s="294"/>
      <c r="AE1881" s="294"/>
      <c r="AF1881" s="294"/>
      <c r="AG1881" s="294"/>
      <c r="AH1881" s="294"/>
      <c r="AI1881" s="294"/>
      <c r="AJ1881" s="294"/>
    </row>
    <row r="1882" spans="2:36" x14ac:dyDescent="0.25">
      <c r="B1882" s="294"/>
      <c r="C1882" s="294"/>
      <c r="D1882" s="294"/>
      <c r="E1882" s="294"/>
      <c r="F1882" s="294"/>
      <c r="G1882" s="294"/>
      <c r="H1882" s="294"/>
      <c r="I1882" s="294"/>
      <c r="J1882" s="294"/>
      <c r="L1882" s="295"/>
      <c r="M1882" s="294"/>
      <c r="R1882" s="326"/>
      <c r="S1882" s="326"/>
      <c r="T1882" s="294"/>
      <c r="U1882" s="294"/>
      <c r="V1882" s="294"/>
      <c r="W1882" s="294"/>
      <c r="X1882" s="1182"/>
      <c r="Y1882" s="1182"/>
      <c r="Z1882" s="1166"/>
      <c r="AA1882" s="1166"/>
      <c r="AB1882" s="1182"/>
      <c r="AC1882" s="294"/>
      <c r="AD1882" s="294"/>
      <c r="AE1882" s="294"/>
      <c r="AF1882" s="294"/>
      <c r="AG1882" s="294"/>
      <c r="AH1882" s="294"/>
      <c r="AI1882" s="294"/>
      <c r="AJ1882" s="294"/>
    </row>
    <row r="1883" spans="2:36" x14ac:dyDescent="0.25">
      <c r="B1883" s="294"/>
      <c r="C1883" s="294"/>
      <c r="D1883" s="294"/>
      <c r="E1883" s="294"/>
      <c r="F1883" s="294"/>
      <c r="G1883" s="294"/>
      <c r="H1883" s="294"/>
      <c r="I1883" s="294"/>
      <c r="J1883" s="294"/>
      <c r="L1883" s="295"/>
      <c r="M1883" s="294"/>
      <c r="R1883" s="326"/>
      <c r="S1883" s="326"/>
      <c r="T1883" s="294"/>
      <c r="U1883" s="294"/>
      <c r="V1883" s="294"/>
      <c r="W1883" s="294"/>
      <c r="X1883" s="1182"/>
      <c r="Y1883" s="1182"/>
      <c r="Z1883" s="1166"/>
      <c r="AA1883" s="1166"/>
      <c r="AB1883" s="1182"/>
      <c r="AC1883" s="294"/>
      <c r="AD1883" s="294"/>
      <c r="AE1883" s="294"/>
      <c r="AF1883" s="294"/>
      <c r="AG1883" s="294"/>
      <c r="AH1883" s="294"/>
      <c r="AI1883" s="294"/>
      <c r="AJ1883" s="294"/>
    </row>
    <row r="1884" spans="2:36" x14ac:dyDescent="0.25">
      <c r="B1884" s="294"/>
      <c r="C1884" s="294"/>
      <c r="D1884" s="294"/>
      <c r="E1884" s="294"/>
      <c r="F1884" s="294"/>
      <c r="G1884" s="294"/>
      <c r="H1884" s="294"/>
      <c r="I1884" s="294"/>
      <c r="J1884" s="294"/>
      <c r="L1884" s="295"/>
      <c r="M1884" s="294"/>
      <c r="R1884" s="326"/>
      <c r="S1884" s="326"/>
      <c r="T1884" s="294"/>
      <c r="U1884" s="294"/>
      <c r="V1884" s="294"/>
      <c r="W1884" s="294"/>
      <c r="X1884" s="1182"/>
      <c r="Y1884" s="1182"/>
      <c r="Z1884" s="1166"/>
      <c r="AA1884" s="1166"/>
      <c r="AB1884" s="1182"/>
      <c r="AC1884" s="294"/>
      <c r="AD1884" s="294"/>
      <c r="AE1884" s="294"/>
      <c r="AF1884" s="294"/>
      <c r="AG1884" s="294"/>
      <c r="AH1884" s="294"/>
      <c r="AI1884" s="294"/>
      <c r="AJ1884" s="294"/>
    </row>
    <row r="1885" spans="2:36" x14ac:dyDescent="0.25">
      <c r="B1885" s="294"/>
      <c r="C1885" s="294"/>
      <c r="D1885" s="294"/>
      <c r="E1885" s="294"/>
      <c r="F1885" s="294"/>
      <c r="G1885" s="294"/>
      <c r="H1885" s="294"/>
      <c r="I1885" s="294"/>
      <c r="J1885" s="294"/>
      <c r="L1885" s="295"/>
      <c r="M1885" s="294"/>
      <c r="R1885" s="326"/>
      <c r="S1885" s="326"/>
      <c r="T1885" s="294"/>
      <c r="U1885" s="294"/>
      <c r="V1885" s="294"/>
      <c r="W1885" s="294"/>
      <c r="X1885" s="1182"/>
      <c r="Y1885" s="1182"/>
      <c r="Z1885" s="1166"/>
      <c r="AA1885" s="1166"/>
      <c r="AB1885" s="1182"/>
      <c r="AC1885" s="294"/>
      <c r="AD1885" s="294"/>
      <c r="AE1885" s="294"/>
      <c r="AF1885" s="294"/>
      <c r="AG1885" s="294"/>
      <c r="AH1885" s="294"/>
      <c r="AI1885" s="294"/>
      <c r="AJ1885" s="294"/>
    </row>
    <row r="1886" spans="2:36" x14ac:dyDescent="0.25">
      <c r="B1886" s="294"/>
      <c r="C1886" s="294"/>
      <c r="D1886" s="294"/>
      <c r="E1886" s="294"/>
      <c r="F1886" s="294"/>
      <c r="G1886" s="294"/>
      <c r="H1886" s="294"/>
      <c r="I1886" s="294"/>
      <c r="J1886" s="294"/>
      <c r="L1886" s="295"/>
      <c r="M1886" s="294"/>
      <c r="R1886" s="326"/>
      <c r="S1886" s="326"/>
      <c r="T1886" s="294"/>
      <c r="U1886" s="294"/>
      <c r="V1886" s="294"/>
      <c r="W1886" s="294"/>
      <c r="X1886" s="1182"/>
      <c r="Y1886" s="1182"/>
      <c r="Z1886" s="1166"/>
      <c r="AA1886" s="1166"/>
      <c r="AB1886" s="1182"/>
      <c r="AC1886" s="294"/>
      <c r="AD1886" s="294"/>
      <c r="AE1886" s="294"/>
      <c r="AF1886" s="294"/>
      <c r="AG1886" s="294"/>
      <c r="AH1886" s="294"/>
      <c r="AI1886" s="294"/>
      <c r="AJ1886" s="294"/>
    </row>
    <row r="1887" spans="2:36" x14ac:dyDescent="0.25">
      <c r="B1887" s="294"/>
      <c r="C1887" s="294"/>
      <c r="D1887" s="294"/>
      <c r="E1887" s="294"/>
      <c r="F1887" s="294"/>
      <c r="G1887" s="294"/>
      <c r="H1887" s="294"/>
      <c r="I1887" s="294"/>
      <c r="J1887" s="294"/>
      <c r="L1887" s="295"/>
      <c r="M1887" s="294"/>
      <c r="R1887" s="326"/>
      <c r="S1887" s="326"/>
      <c r="T1887" s="294"/>
      <c r="U1887" s="294"/>
      <c r="V1887" s="294"/>
      <c r="W1887" s="294"/>
      <c r="X1887" s="1182"/>
      <c r="Y1887" s="1182"/>
      <c r="Z1887" s="1166"/>
      <c r="AA1887" s="1166"/>
      <c r="AB1887" s="1182"/>
      <c r="AC1887" s="294"/>
      <c r="AD1887" s="294"/>
      <c r="AE1887" s="294"/>
      <c r="AF1887" s="294"/>
      <c r="AG1887" s="294"/>
      <c r="AH1887" s="294"/>
      <c r="AI1887" s="294"/>
      <c r="AJ1887" s="294"/>
    </row>
    <row r="1888" spans="2:36" x14ac:dyDescent="0.25">
      <c r="B1888" s="294"/>
      <c r="C1888" s="294"/>
      <c r="D1888" s="294"/>
      <c r="E1888" s="294"/>
      <c r="F1888" s="294"/>
      <c r="G1888" s="294"/>
      <c r="H1888" s="294"/>
      <c r="I1888" s="294"/>
      <c r="J1888" s="294"/>
      <c r="L1888" s="295"/>
      <c r="M1888" s="294"/>
      <c r="R1888" s="326"/>
      <c r="S1888" s="326"/>
      <c r="T1888" s="294"/>
      <c r="U1888" s="294"/>
      <c r="V1888" s="294"/>
      <c r="W1888" s="294"/>
      <c r="X1888" s="1182"/>
      <c r="Y1888" s="1182"/>
      <c r="Z1888" s="1166"/>
      <c r="AA1888" s="1166"/>
      <c r="AB1888" s="1182"/>
      <c r="AC1888" s="294"/>
      <c r="AD1888" s="294"/>
      <c r="AE1888" s="294"/>
      <c r="AF1888" s="294"/>
      <c r="AG1888" s="294"/>
      <c r="AH1888" s="294"/>
      <c r="AI1888" s="294"/>
      <c r="AJ1888" s="294"/>
    </row>
    <row r="1889" spans="2:36" x14ac:dyDescent="0.25">
      <c r="B1889" s="294"/>
      <c r="C1889" s="294"/>
      <c r="D1889" s="294"/>
      <c r="E1889" s="294"/>
      <c r="F1889" s="294"/>
      <c r="G1889" s="294"/>
      <c r="H1889" s="294"/>
      <c r="I1889" s="294"/>
      <c r="J1889" s="294"/>
      <c r="L1889" s="295"/>
      <c r="M1889" s="294"/>
      <c r="R1889" s="326"/>
      <c r="S1889" s="326"/>
      <c r="T1889" s="294"/>
      <c r="U1889" s="294"/>
      <c r="V1889" s="294"/>
      <c r="W1889" s="294"/>
      <c r="X1889" s="1182"/>
      <c r="Y1889" s="1182"/>
      <c r="Z1889" s="1166"/>
      <c r="AA1889" s="1166"/>
      <c r="AB1889" s="1182"/>
      <c r="AC1889" s="294"/>
      <c r="AD1889" s="294"/>
      <c r="AE1889" s="294"/>
      <c r="AF1889" s="294"/>
      <c r="AG1889" s="294"/>
      <c r="AH1889" s="294"/>
      <c r="AI1889" s="294"/>
      <c r="AJ1889" s="294"/>
    </row>
    <row r="1890" spans="2:36" x14ac:dyDescent="0.25">
      <c r="B1890" s="294"/>
      <c r="C1890" s="294"/>
      <c r="D1890" s="294"/>
      <c r="E1890" s="294"/>
      <c r="F1890" s="294"/>
      <c r="G1890" s="294"/>
      <c r="H1890" s="294"/>
      <c r="I1890" s="294"/>
      <c r="J1890" s="294"/>
      <c r="L1890" s="295"/>
      <c r="M1890" s="294"/>
      <c r="R1890" s="326"/>
      <c r="S1890" s="326"/>
      <c r="T1890" s="294"/>
      <c r="U1890" s="294"/>
      <c r="V1890" s="294"/>
      <c r="W1890" s="294"/>
      <c r="X1890" s="1182"/>
      <c r="Y1890" s="1182"/>
      <c r="Z1890" s="1166"/>
      <c r="AA1890" s="1166"/>
      <c r="AB1890" s="1182"/>
      <c r="AC1890" s="294"/>
      <c r="AD1890" s="294"/>
      <c r="AE1890" s="294"/>
      <c r="AF1890" s="294"/>
      <c r="AG1890" s="294"/>
      <c r="AH1890" s="294"/>
      <c r="AI1890" s="294"/>
      <c r="AJ1890" s="294"/>
    </row>
    <row r="1891" spans="2:36" x14ac:dyDescent="0.25">
      <c r="B1891" s="294"/>
      <c r="C1891" s="294"/>
      <c r="D1891" s="294"/>
      <c r="E1891" s="294"/>
      <c r="F1891" s="294"/>
      <c r="G1891" s="294"/>
      <c r="H1891" s="294"/>
      <c r="I1891" s="294"/>
      <c r="J1891" s="294"/>
      <c r="L1891" s="295"/>
      <c r="M1891" s="294"/>
      <c r="R1891" s="326"/>
      <c r="S1891" s="326"/>
      <c r="T1891" s="294"/>
      <c r="U1891" s="294"/>
      <c r="V1891" s="294"/>
      <c r="W1891" s="294"/>
      <c r="X1891" s="1182"/>
      <c r="Y1891" s="1182"/>
      <c r="Z1891" s="1166"/>
      <c r="AA1891" s="1166"/>
      <c r="AB1891" s="1182"/>
      <c r="AC1891" s="294"/>
      <c r="AD1891" s="294"/>
      <c r="AE1891" s="294"/>
      <c r="AF1891" s="294"/>
      <c r="AG1891" s="294"/>
      <c r="AH1891" s="294"/>
      <c r="AI1891" s="294"/>
      <c r="AJ1891" s="294"/>
    </row>
    <row r="1892" spans="2:36" x14ac:dyDescent="0.25">
      <c r="B1892" s="294"/>
      <c r="C1892" s="294"/>
      <c r="D1892" s="294"/>
      <c r="E1892" s="294"/>
      <c r="F1892" s="294"/>
      <c r="G1892" s="294"/>
      <c r="H1892" s="294"/>
      <c r="I1892" s="294"/>
      <c r="J1892" s="294"/>
      <c r="L1892" s="295"/>
      <c r="M1892" s="294"/>
      <c r="R1892" s="326"/>
      <c r="S1892" s="326"/>
      <c r="T1892" s="294"/>
      <c r="U1892" s="294"/>
      <c r="V1892" s="294"/>
      <c r="W1892" s="294"/>
      <c r="X1892" s="1182"/>
      <c r="Y1892" s="1182"/>
      <c r="Z1892" s="1166"/>
      <c r="AA1892" s="1166"/>
      <c r="AB1892" s="1182"/>
      <c r="AC1892" s="294"/>
      <c r="AD1892" s="294"/>
      <c r="AE1892" s="294"/>
      <c r="AF1892" s="294"/>
      <c r="AG1892" s="294"/>
      <c r="AH1892" s="294"/>
      <c r="AI1892" s="294"/>
      <c r="AJ1892" s="294"/>
    </row>
    <row r="1893" spans="2:36" x14ac:dyDescent="0.25">
      <c r="B1893" s="294"/>
      <c r="C1893" s="294"/>
      <c r="D1893" s="294"/>
      <c r="E1893" s="294"/>
      <c r="F1893" s="294"/>
      <c r="G1893" s="294"/>
      <c r="H1893" s="294"/>
      <c r="I1893" s="294"/>
      <c r="J1893" s="294"/>
      <c r="L1893" s="295"/>
      <c r="M1893" s="294"/>
      <c r="R1893" s="326"/>
      <c r="S1893" s="326"/>
      <c r="T1893" s="294"/>
      <c r="U1893" s="294"/>
      <c r="V1893" s="294"/>
      <c r="W1893" s="294"/>
      <c r="X1893" s="1182"/>
      <c r="Y1893" s="1182"/>
      <c r="Z1893" s="1166"/>
      <c r="AA1893" s="1166"/>
      <c r="AB1893" s="1182"/>
      <c r="AC1893" s="294"/>
      <c r="AD1893" s="294"/>
      <c r="AE1893" s="294"/>
      <c r="AF1893" s="294"/>
      <c r="AG1893" s="294"/>
      <c r="AH1893" s="294"/>
      <c r="AI1893" s="294"/>
      <c r="AJ1893" s="294"/>
    </row>
    <row r="1894" spans="2:36" x14ac:dyDescent="0.25">
      <c r="B1894" s="294"/>
      <c r="C1894" s="294"/>
      <c r="D1894" s="294"/>
      <c r="E1894" s="294"/>
      <c r="F1894" s="294"/>
      <c r="G1894" s="294"/>
      <c r="H1894" s="294"/>
      <c r="I1894" s="294"/>
      <c r="J1894" s="294"/>
      <c r="L1894" s="295"/>
      <c r="M1894" s="294"/>
      <c r="R1894" s="326"/>
      <c r="S1894" s="326"/>
      <c r="T1894" s="294"/>
      <c r="U1894" s="294"/>
      <c r="V1894" s="294"/>
      <c r="W1894" s="294"/>
      <c r="X1894" s="1182"/>
      <c r="Y1894" s="1182"/>
      <c r="Z1894" s="1166"/>
      <c r="AA1894" s="1166"/>
      <c r="AB1894" s="1182"/>
      <c r="AC1894" s="294"/>
      <c r="AD1894" s="294"/>
      <c r="AE1894" s="294"/>
      <c r="AF1894" s="294"/>
      <c r="AG1894" s="294"/>
      <c r="AH1894" s="294"/>
      <c r="AI1894" s="294"/>
      <c r="AJ1894" s="294"/>
    </row>
    <row r="1895" spans="2:36" x14ac:dyDescent="0.25">
      <c r="B1895" s="294"/>
      <c r="C1895" s="294"/>
      <c r="D1895" s="294"/>
      <c r="E1895" s="294"/>
      <c r="F1895" s="294"/>
      <c r="G1895" s="294"/>
      <c r="H1895" s="294"/>
      <c r="I1895" s="294"/>
      <c r="J1895" s="294"/>
      <c r="L1895" s="295"/>
      <c r="M1895" s="294"/>
      <c r="R1895" s="326"/>
      <c r="S1895" s="326"/>
      <c r="T1895" s="294"/>
      <c r="U1895" s="294"/>
      <c r="V1895" s="294"/>
      <c r="W1895" s="294"/>
      <c r="X1895" s="1182"/>
      <c r="Y1895" s="1182"/>
      <c r="Z1895" s="1166"/>
      <c r="AA1895" s="1166"/>
      <c r="AB1895" s="1182"/>
      <c r="AC1895" s="294"/>
      <c r="AD1895" s="294"/>
      <c r="AE1895" s="294"/>
      <c r="AF1895" s="294"/>
      <c r="AG1895" s="294"/>
      <c r="AH1895" s="294"/>
      <c r="AI1895" s="294"/>
      <c r="AJ1895" s="294"/>
    </row>
    <row r="1896" spans="2:36" x14ac:dyDescent="0.25">
      <c r="B1896" s="294"/>
      <c r="C1896" s="294"/>
      <c r="D1896" s="294"/>
      <c r="E1896" s="294"/>
      <c r="F1896" s="294"/>
      <c r="G1896" s="294"/>
      <c r="H1896" s="294"/>
      <c r="I1896" s="294"/>
      <c r="J1896" s="294"/>
      <c r="L1896" s="295"/>
      <c r="M1896" s="294"/>
      <c r="R1896" s="326"/>
      <c r="S1896" s="326"/>
      <c r="T1896" s="294"/>
      <c r="U1896" s="294"/>
      <c r="V1896" s="294"/>
      <c r="W1896" s="294"/>
      <c r="X1896" s="1182"/>
      <c r="Y1896" s="1182"/>
      <c r="Z1896" s="1166"/>
      <c r="AA1896" s="1166"/>
      <c r="AB1896" s="1182"/>
      <c r="AC1896" s="294"/>
      <c r="AD1896" s="294"/>
      <c r="AE1896" s="294"/>
      <c r="AF1896" s="294"/>
      <c r="AG1896" s="294"/>
      <c r="AH1896" s="294"/>
      <c r="AI1896" s="294"/>
      <c r="AJ1896" s="294"/>
    </row>
    <row r="1897" spans="2:36" x14ac:dyDescent="0.25">
      <c r="B1897" s="294"/>
      <c r="C1897" s="294"/>
      <c r="D1897" s="294"/>
      <c r="E1897" s="294"/>
      <c r="F1897" s="294"/>
      <c r="G1897" s="294"/>
      <c r="H1897" s="294"/>
      <c r="I1897" s="294"/>
      <c r="J1897" s="294"/>
      <c r="L1897" s="295"/>
      <c r="M1897" s="294"/>
      <c r="R1897" s="326"/>
      <c r="S1897" s="326"/>
      <c r="T1897" s="294"/>
      <c r="U1897" s="294"/>
      <c r="V1897" s="294"/>
      <c r="W1897" s="294"/>
      <c r="X1897" s="1182"/>
      <c r="Y1897" s="1182"/>
      <c r="Z1897" s="1166"/>
      <c r="AA1897" s="1166"/>
      <c r="AB1897" s="1182"/>
      <c r="AC1897" s="294"/>
      <c r="AD1897" s="294"/>
      <c r="AE1897" s="294"/>
      <c r="AF1897" s="294"/>
      <c r="AG1897" s="294"/>
      <c r="AH1897" s="294"/>
      <c r="AI1897" s="294"/>
      <c r="AJ1897" s="294"/>
    </row>
    <row r="1898" spans="2:36" x14ac:dyDescent="0.25">
      <c r="B1898" s="294"/>
      <c r="C1898" s="294"/>
      <c r="D1898" s="294"/>
      <c r="E1898" s="294"/>
      <c r="F1898" s="294"/>
      <c r="G1898" s="294"/>
      <c r="H1898" s="294"/>
      <c r="I1898" s="294"/>
      <c r="J1898" s="294"/>
      <c r="L1898" s="295"/>
      <c r="M1898" s="294"/>
      <c r="R1898" s="326"/>
      <c r="S1898" s="326"/>
      <c r="T1898" s="294"/>
      <c r="U1898" s="294"/>
      <c r="V1898" s="294"/>
      <c r="W1898" s="294"/>
      <c r="X1898" s="1182"/>
      <c r="Y1898" s="1182"/>
      <c r="Z1898" s="1166"/>
      <c r="AA1898" s="1166"/>
      <c r="AB1898" s="1182"/>
      <c r="AC1898" s="294"/>
      <c r="AD1898" s="294"/>
      <c r="AE1898" s="294"/>
      <c r="AF1898" s="294"/>
      <c r="AG1898" s="294"/>
      <c r="AH1898" s="294"/>
      <c r="AI1898" s="294"/>
      <c r="AJ1898" s="294"/>
    </row>
    <row r="1899" spans="2:36" x14ac:dyDescent="0.25">
      <c r="B1899" s="294"/>
      <c r="C1899" s="294"/>
      <c r="D1899" s="294"/>
      <c r="E1899" s="294"/>
      <c r="F1899" s="294"/>
      <c r="G1899" s="294"/>
      <c r="H1899" s="294"/>
      <c r="I1899" s="294"/>
      <c r="J1899" s="294"/>
      <c r="L1899" s="295"/>
      <c r="M1899" s="294"/>
      <c r="R1899" s="326"/>
      <c r="S1899" s="326"/>
      <c r="T1899" s="294"/>
      <c r="U1899" s="294"/>
      <c r="V1899" s="294"/>
      <c r="W1899" s="294"/>
      <c r="X1899" s="1182"/>
      <c r="Y1899" s="1182"/>
      <c r="Z1899" s="1166"/>
      <c r="AA1899" s="1166"/>
      <c r="AB1899" s="1182"/>
      <c r="AC1899" s="294"/>
      <c r="AD1899" s="294"/>
      <c r="AE1899" s="294"/>
      <c r="AF1899" s="294"/>
      <c r="AG1899" s="294"/>
      <c r="AH1899" s="294"/>
      <c r="AI1899" s="294"/>
      <c r="AJ1899" s="294"/>
    </row>
    <row r="1900" spans="2:36" x14ac:dyDescent="0.25">
      <c r="B1900" s="294"/>
      <c r="C1900" s="294"/>
      <c r="D1900" s="294"/>
      <c r="E1900" s="294"/>
      <c r="F1900" s="294"/>
      <c r="G1900" s="294"/>
      <c r="H1900" s="294"/>
      <c r="I1900" s="294"/>
      <c r="J1900" s="294"/>
      <c r="L1900" s="295"/>
      <c r="M1900" s="294"/>
      <c r="R1900" s="326"/>
      <c r="S1900" s="326"/>
      <c r="T1900" s="294"/>
      <c r="U1900" s="294"/>
      <c r="V1900" s="294"/>
      <c r="W1900" s="294"/>
      <c r="X1900" s="1182"/>
      <c r="Y1900" s="1182"/>
      <c r="Z1900" s="1166"/>
      <c r="AA1900" s="1166"/>
      <c r="AB1900" s="1182"/>
      <c r="AC1900" s="294"/>
      <c r="AD1900" s="294"/>
      <c r="AE1900" s="294"/>
      <c r="AF1900" s="294"/>
      <c r="AG1900" s="294"/>
      <c r="AH1900" s="294"/>
      <c r="AI1900" s="294"/>
      <c r="AJ1900" s="294"/>
    </row>
    <row r="1901" spans="2:36" x14ac:dyDescent="0.25">
      <c r="B1901" s="294"/>
      <c r="C1901" s="294"/>
      <c r="D1901" s="294"/>
      <c r="E1901" s="294"/>
      <c r="F1901" s="294"/>
      <c r="G1901" s="294"/>
      <c r="H1901" s="294"/>
      <c r="I1901" s="294"/>
      <c r="J1901" s="294"/>
      <c r="L1901" s="295"/>
      <c r="M1901" s="294"/>
      <c r="R1901" s="326"/>
      <c r="S1901" s="326"/>
      <c r="T1901" s="294"/>
      <c r="U1901" s="294"/>
      <c r="V1901" s="294"/>
      <c r="W1901" s="294"/>
      <c r="X1901" s="1182"/>
      <c r="Y1901" s="1182"/>
      <c r="Z1901" s="1166"/>
      <c r="AA1901" s="1166"/>
      <c r="AB1901" s="1182"/>
      <c r="AC1901" s="294"/>
      <c r="AD1901" s="294"/>
      <c r="AE1901" s="294"/>
      <c r="AF1901" s="294"/>
      <c r="AG1901" s="294"/>
      <c r="AH1901" s="294"/>
      <c r="AI1901" s="294"/>
      <c r="AJ1901" s="294"/>
    </row>
    <row r="1902" spans="2:36" x14ac:dyDescent="0.25">
      <c r="B1902" s="294"/>
      <c r="C1902" s="294"/>
      <c r="D1902" s="294"/>
      <c r="E1902" s="294"/>
      <c r="F1902" s="294"/>
      <c r="G1902" s="294"/>
      <c r="H1902" s="294"/>
      <c r="I1902" s="294"/>
      <c r="J1902" s="294"/>
      <c r="L1902" s="295"/>
      <c r="M1902" s="294"/>
      <c r="R1902" s="326"/>
      <c r="S1902" s="326"/>
      <c r="T1902" s="294"/>
      <c r="U1902" s="294"/>
      <c r="V1902" s="294"/>
      <c r="W1902" s="294"/>
      <c r="X1902" s="1182"/>
      <c r="Y1902" s="1182"/>
      <c r="Z1902" s="1166"/>
      <c r="AA1902" s="1166"/>
      <c r="AB1902" s="1182"/>
      <c r="AC1902" s="294"/>
      <c r="AD1902" s="294"/>
      <c r="AE1902" s="294"/>
      <c r="AF1902" s="294"/>
      <c r="AG1902" s="294"/>
      <c r="AH1902" s="294"/>
      <c r="AI1902" s="294"/>
      <c r="AJ1902" s="294"/>
    </row>
    <row r="1903" spans="2:36" x14ac:dyDescent="0.25">
      <c r="B1903" s="294"/>
      <c r="C1903" s="294"/>
      <c r="D1903" s="294"/>
      <c r="E1903" s="294"/>
      <c r="F1903" s="294"/>
      <c r="G1903" s="294"/>
      <c r="H1903" s="294"/>
      <c r="I1903" s="294"/>
      <c r="J1903" s="294"/>
      <c r="L1903" s="295"/>
      <c r="M1903" s="294"/>
      <c r="R1903" s="326"/>
      <c r="S1903" s="326"/>
      <c r="T1903" s="294"/>
      <c r="U1903" s="294"/>
      <c r="V1903" s="294"/>
      <c r="W1903" s="294"/>
      <c r="X1903" s="1182"/>
      <c r="Y1903" s="1182"/>
      <c r="Z1903" s="1166"/>
      <c r="AA1903" s="1166"/>
      <c r="AB1903" s="1182"/>
      <c r="AC1903" s="294"/>
      <c r="AD1903" s="294"/>
      <c r="AE1903" s="294"/>
      <c r="AF1903" s="294"/>
      <c r="AG1903" s="294"/>
      <c r="AH1903" s="294"/>
      <c r="AI1903" s="294"/>
      <c r="AJ1903" s="294"/>
    </row>
    <row r="1904" spans="2:36" x14ac:dyDescent="0.25">
      <c r="B1904" s="294"/>
      <c r="C1904" s="294"/>
      <c r="D1904" s="294"/>
      <c r="E1904" s="294"/>
      <c r="F1904" s="294"/>
      <c r="G1904" s="294"/>
      <c r="H1904" s="294"/>
      <c r="I1904" s="294"/>
      <c r="J1904" s="294"/>
      <c r="L1904" s="295"/>
      <c r="M1904" s="294"/>
      <c r="R1904" s="326"/>
      <c r="S1904" s="326"/>
      <c r="T1904" s="294"/>
      <c r="U1904" s="294"/>
      <c r="V1904" s="294"/>
      <c r="W1904" s="294"/>
      <c r="X1904" s="1182"/>
      <c r="Y1904" s="1182"/>
      <c r="Z1904" s="1166"/>
      <c r="AA1904" s="1166"/>
      <c r="AB1904" s="1182"/>
      <c r="AC1904" s="294"/>
      <c r="AD1904" s="294"/>
      <c r="AE1904" s="294"/>
      <c r="AF1904" s="294"/>
      <c r="AG1904" s="294"/>
      <c r="AH1904" s="294"/>
      <c r="AI1904" s="294"/>
      <c r="AJ1904" s="294"/>
    </row>
    <row r="1905" spans="2:36" x14ac:dyDescent="0.25">
      <c r="B1905" s="294"/>
      <c r="C1905" s="294"/>
      <c r="D1905" s="294"/>
      <c r="E1905" s="294"/>
      <c r="F1905" s="294"/>
      <c r="G1905" s="294"/>
      <c r="H1905" s="294"/>
      <c r="I1905" s="294"/>
      <c r="J1905" s="294"/>
      <c r="L1905" s="295"/>
      <c r="M1905" s="294"/>
      <c r="R1905" s="326"/>
      <c r="S1905" s="326"/>
      <c r="T1905" s="294"/>
      <c r="U1905" s="294"/>
      <c r="V1905" s="294"/>
      <c r="W1905" s="294"/>
      <c r="X1905" s="1182"/>
      <c r="Y1905" s="1182"/>
      <c r="Z1905" s="1166"/>
      <c r="AA1905" s="1166"/>
      <c r="AB1905" s="1182"/>
      <c r="AC1905" s="294"/>
      <c r="AD1905" s="294"/>
      <c r="AE1905" s="294"/>
      <c r="AF1905" s="294"/>
      <c r="AG1905" s="294"/>
      <c r="AH1905" s="294"/>
      <c r="AI1905" s="294"/>
      <c r="AJ1905" s="294"/>
    </row>
    <row r="1906" spans="2:36" x14ac:dyDescent="0.25">
      <c r="B1906" s="294"/>
      <c r="C1906" s="294"/>
      <c r="D1906" s="294"/>
      <c r="E1906" s="294"/>
      <c r="F1906" s="294"/>
      <c r="G1906" s="294"/>
      <c r="H1906" s="294"/>
      <c r="I1906" s="294"/>
      <c r="J1906" s="294"/>
      <c r="L1906" s="295"/>
      <c r="M1906" s="294"/>
      <c r="R1906" s="326"/>
      <c r="S1906" s="326"/>
      <c r="T1906" s="294"/>
      <c r="U1906" s="294"/>
      <c r="V1906" s="294"/>
      <c r="W1906" s="294"/>
      <c r="X1906" s="1182"/>
      <c r="Y1906" s="1182"/>
      <c r="Z1906" s="1166"/>
      <c r="AA1906" s="1166"/>
      <c r="AB1906" s="1182"/>
      <c r="AC1906" s="294"/>
      <c r="AD1906" s="294"/>
      <c r="AE1906" s="294"/>
      <c r="AF1906" s="294"/>
      <c r="AG1906" s="294"/>
      <c r="AH1906" s="294"/>
      <c r="AI1906" s="294"/>
      <c r="AJ1906" s="294"/>
    </row>
    <row r="1907" spans="2:36" x14ac:dyDescent="0.25">
      <c r="B1907" s="294"/>
      <c r="C1907" s="294"/>
      <c r="D1907" s="294"/>
      <c r="E1907" s="294"/>
      <c r="F1907" s="294"/>
      <c r="G1907" s="294"/>
      <c r="H1907" s="294"/>
      <c r="I1907" s="294"/>
      <c r="J1907" s="294"/>
      <c r="L1907" s="295"/>
      <c r="M1907" s="294"/>
      <c r="R1907" s="326"/>
      <c r="S1907" s="326"/>
      <c r="T1907" s="294"/>
      <c r="U1907" s="294"/>
      <c r="V1907" s="294"/>
      <c r="W1907" s="294"/>
      <c r="X1907" s="1182"/>
      <c r="Y1907" s="1182"/>
      <c r="Z1907" s="1166"/>
      <c r="AA1907" s="1166"/>
      <c r="AB1907" s="1182"/>
      <c r="AC1907" s="294"/>
      <c r="AD1907" s="294"/>
      <c r="AE1907" s="294"/>
      <c r="AF1907" s="294"/>
      <c r="AG1907" s="294"/>
      <c r="AH1907" s="294"/>
      <c r="AI1907" s="294"/>
      <c r="AJ1907" s="294"/>
    </row>
    <row r="1908" spans="2:36" x14ac:dyDescent="0.25">
      <c r="B1908" s="294"/>
      <c r="C1908" s="294"/>
      <c r="D1908" s="294"/>
      <c r="E1908" s="294"/>
      <c r="F1908" s="294"/>
      <c r="G1908" s="294"/>
      <c r="H1908" s="294"/>
      <c r="I1908" s="294"/>
      <c r="J1908" s="294"/>
      <c r="L1908" s="295"/>
      <c r="M1908" s="294"/>
      <c r="R1908" s="326"/>
      <c r="S1908" s="326"/>
      <c r="T1908" s="294"/>
      <c r="U1908" s="294"/>
      <c r="V1908" s="294"/>
      <c r="W1908" s="294"/>
      <c r="X1908" s="1182"/>
      <c r="Y1908" s="1182"/>
      <c r="Z1908" s="1166"/>
      <c r="AA1908" s="1166"/>
      <c r="AB1908" s="1182"/>
      <c r="AC1908" s="294"/>
      <c r="AD1908" s="294"/>
      <c r="AE1908" s="294"/>
      <c r="AF1908" s="294"/>
      <c r="AG1908" s="294"/>
      <c r="AH1908" s="294"/>
      <c r="AI1908" s="294"/>
      <c r="AJ1908" s="294"/>
    </row>
    <row r="1909" spans="2:36" x14ac:dyDescent="0.25">
      <c r="B1909" s="294"/>
      <c r="C1909" s="294"/>
      <c r="D1909" s="294"/>
      <c r="E1909" s="294"/>
      <c r="F1909" s="294"/>
      <c r="G1909" s="294"/>
      <c r="H1909" s="294"/>
      <c r="I1909" s="294"/>
      <c r="J1909" s="294"/>
      <c r="L1909" s="295"/>
      <c r="M1909" s="294"/>
      <c r="R1909" s="326"/>
      <c r="S1909" s="326"/>
      <c r="T1909" s="294"/>
      <c r="U1909" s="294"/>
      <c r="V1909" s="294"/>
      <c r="W1909" s="294"/>
      <c r="X1909" s="1182"/>
      <c r="Y1909" s="1182"/>
      <c r="Z1909" s="1166"/>
      <c r="AA1909" s="1166"/>
      <c r="AB1909" s="1182"/>
      <c r="AC1909" s="294"/>
      <c r="AD1909" s="294"/>
      <c r="AE1909" s="294"/>
      <c r="AF1909" s="294"/>
      <c r="AG1909" s="294"/>
      <c r="AH1909" s="294"/>
      <c r="AI1909" s="294"/>
      <c r="AJ1909" s="294"/>
    </row>
    <row r="1910" spans="2:36" x14ac:dyDescent="0.25">
      <c r="B1910" s="294"/>
      <c r="C1910" s="294"/>
      <c r="D1910" s="294"/>
      <c r="E1910" s="294"/>
      <c r="F1910" s="294"/>
      <c r="G1910" s="294"/>
      <c r="H1910" s="294"/>
      <c r="I1910" s="294"/>
      <c r="J1910" s="294"/>
      <c r="L1910" s="295"/>
      <c r="M1910" s="294"/>
      <c r="R1910" s="326"/>
      <c r="S1910" s="326"/>
      <c r="T1910" s="294"/>
      <c r="U1910" s="294"/>
      <c r="V1910" s="294"/>
      <c r="W1910" s="294"/>
      <c r="X1910" s="1182"/>
      <c r="Y1910" s="1182"/>
      <c r="Z1910" s="1166"/>
      <c r="AA1910" s="1166"/>
      <c r="AB1910" s="1182"/>
      <c r="AC1910" s="294"/>
      <c r="AD1910" s="294"/>
      <c r="AE1910" s="294"/>
      <c r="AF1910" s="294"/>
      <c r="AG1910" s="294"/>
      <c r="AH1910" s="294"/>
      <c r="AI1910" s="294"/>
      <c r="AJ1910" s="294"/>
    </row>
    <row r="1911" spans="2:36" x14ac:dyDescent="0.25">
      <c r="B1911" s="294"/>
      <c r="C1911" s="294"/>
      <c r="D1911" s="294"/>
      <c r="E1911" s="294"/>
      <c r="F1911" s="294"/>
      <c r="G1911" s="294"/>
      <c r="H1911" s="294"/>
      <c r="I1911" s="294"/>
      <c r="J1911" s="294"/>
      <c r="L1911" s="295"/>
      <c r="M1911" s="294"/>
      <c r="R1911" s="326"/>
      <c r="S1911" s="326"/>
      <c r="T1911" s="294"/>
      <c r="U1911" s="294"/>
      <c r="V1911" s="294"/>
      <c r="W1911" s="294"/>
      <c r="X1911" s="1182"/>
      <c r="Y1911" s="1182"/>
      <c r="Z1911" s="1166"/>
      <c r="AA1911" s="1166"/>
      <c r="AB1911" s="1182"/>
      <c r="AC1911" s="294"/>
      <c r="AD1911" s="294"/>
      <c r="AE1911" s="294"/>
      <c r="AF1911" s="294"/>
      <c r="AG1911" s="294"/>
      <c r="AH1911" s="294"/>
      <c r="AI1911" s="294"/>
      <c r="AJ1911" s="294"/>
    </row>
    <row r="1912" spans="2:36" x14ac:dyDescent="0.25">
      <c r="B1912" s="294"/>
      <c r="C1912" s="294"/>
      <c r="D1912" s="294"/>
      <c r="E1912" s="294"/>
      <c r="F1912" s="294"/>
      <c r="G1912" s="294"/>
      <c r="H1912" s="294"/>
      <c r="I1912" s="294"/>
      <c r="J1912" s="294"/>
      <c r="L1912" s="295"/>
      <c r="M1912" s="294"/>
      <c r="R1912" s="326"/>
      <c r="S1912" s="326"/>
      <c r="T1912" s="294"/>
      <c r="U1912" s="294"/>
      <c r="V1912" s="294"/>
      <c r="W1912" s="294"/>
      <c r="X1912" s="1182"/>
      <c r="Y1912" s="1182"/>
      <c r="Z1912" s="1166"/>
      <c r="AA1912" s="1166"/>
      <c r="AB1912" s="1182"/>
      <c r="AC1912" s="294"/>
      <c r="AD1912" s="294"/>
      <c r="AE1912" s="294"/>
      <c r="AF1912" s="294"/>
      <c r="AG1912" s="294"/>
      <c r="AH1912" s="294"/>
      <c r="AI1912" s="294"/>
      <c r="AJ1912" s="294"/>
    </row>
  </sheetData>
  <mergeCells count="18">
    <mergeCell ref="C220:E220"/>
    <mergeCell ref="G220:I220"/>
    <mergeCell ref="B1:M1"/>
    <mergeCell ref="B3:M3"/>
    <mergeCell ref="B5:M5"/>
    <mergeCell ref="B7:M7"/>
    <mergeCell ref="M114:N114"/>
    <mergeCell ref="Z114:AA114"/>
    <mergeCell ref="G245:I245"/>
    <mergeCell ref="R114:S114"/>
    <mergeCell ref="X114:Y114"/>
    <mergeCell ref="V114:W114"/>
    <mergeCell ref="G303:I303"/>
    <mergeCell ref="C268:E268"/>
    <mergeCell ref="G271:I271"/>
    <mergeCell ref="C285:E285"/>
    <mergeCell ref="C302:E302"/>
    <mergeCell ref="G287:I287"/>
  </mergeCells>
  <pageMargins left="0.51181102362204722" right="0.31496062992125984" top="0.78740157480314965" bottom="0.59055118110236227" header="0.31496062992125984" footer="0.31496062992125984"/>
  <pageSetup paperSize="9" scale="50" orientation="landscape" horizontalDpi="0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"/>
  <sheetViews>
    <sheetView topLeftCell="A46" workbookViewId="0">
      <selection activeCell="D263" sqref="D263"/>
    </sheetView>
  </sheetViews>
  <sheetFormatPr defaultColWidth="6.42578125" defaultRowHeight="15" x14ac:dyDescent="0.25"/>
  <cols>
    <col min="1" max="1" width="6.42578125" style="372"/>
    <col min="2" max="2" width="9.28515625" style="330" customWidth="1"/>
    <col min="3" max="3" width="26.42578125" style="372" customWidth="1"/>
    <col min="4" max="4" width="65.5703125" style="372" customWidth="1"/>
    <col min="5" max="5" width="13.42578125" style="291" customWidth="1"/>
    <col min="6" max="16384" width="6.42578125" style="372"/>
  </cols>
  <sheetData>
    <row r="1" spans="1:5" s="410" customFormat="1" ht="21" x14ac:dyDescent="0.35">
      <c r="B1" s="1466" t="str">
        <f>'MANUAL PLANILHAS'!A$1</f>
        <v>Estado do Rio Grande do Sul</v>
      </c>
      <c r="C1" s="1466"/>
      <c r="D1" s="1466"/>
      <c r="E1" s="1466"/>
    </row>
    <row r="2" spans="1:5" s="410" customFormat="1" ht="12" customHeight="1" x14ac:dyDescent="0.35">
      <c r="B2" s="411"/>
      <c r="E2" s="412"/>
    </row>
    <row r="3" spans="1:5" s="410" customFormat="1" ht="21" x14ac:dyDescent="0.35">
      <c r="B3" s="1466" t="str">
        <f>'MANUAL PLANILHAS'!A$3</f>
        <v>Município de Chuvisca</v>
      </c>
      <c r="C3" s="1466"/>
      <c r="D3" s="1466"/>
      <c r="E3" s="1466"/>
    </row>
    <row r="4" spans="1:5" s="410" customFormat="1" ht="13.5" customHeight="1" x14ac:dyDescent="0.35">
      <c r="B4" s="411"/>
      <c r="E4" s="412"/>
    </row>
    <row r="5" spans="1:5" s="410" customFormat="1" ht="21" x14ac:dyDescent="0.35">
      <c r="B5" s="1470" t="str">
        <f>'MANUAL PLANILHAS'!A$5</f>
        <v>Proposta Orçamentária para o Exercício de 2020</v>
      </c>
      <c r="C5" s="1466"/>
      <c r="D5" s="1466"/>
      <c r="E5" s="1466"/>
    </row>
    <row r="7" spans="1:5" ht="45" customHeight="1" x14ac:dyDescent="0.25">
      <c r="A7" s="303"/>
      <c r="B7" s="303" t="s">
        <v>0</v>
      </c>
      <c r="C7" s="303" t="s">
        <v>1403</v>
      </c>
      <c r="D7" s="303" t="s">
        <v>1839</v>
      </c>
      <c r="E7" s="303" t="s">
        <v>1840</v>
      </c>
    </row>
    <row r="8" spans="1:5" ht="45" customHeight="1" x14ac:dyDescent="0.25">
      <c r="A8" s="398"/>
      <c r="B8" s="398">
        <v>1</v>
      </c>
      <c r="C8" s="399" t="s">
        <v>1370</v>
      </c>
      <c r="D8" s="399" t="s">
        <v>1841</v>
      </c>
      <c r="E8" s="398">
        <v>1001</v>
      </c>
    </row>
    <row r="9" spans="1:5" ht="45" customHeight="1" x14ac:dyDescent="0.25">
      <c r="A9" s="398"/>
      <c r="B9" s="398">
        <v>20</v>
      </c>
      <c r="C9" s="399" t="s">
        <v>1371</v>
      </c>
      <c r="D9" s="399" t="s">
        <v>1842</v>
      </c>
      <c r="E9" s="398">
        <v>1111</v>
      </c>
    </row>
    <row r="10" spans="1:5" ht="45" customHeight="1" x14ac:dyDescent="0.25">
      <c r="A10" s="398"/>
      <c r="B10" s="398">
        <v>30</v>
      </c>
      <c r="C10" s="399" t="s">
        <v>1843</v>
      </c>
      <c r="D10" s="399" t="s">
        <v>1844</v>
      </c>
      <c r="E10" s="398">
        <v>1112</v>
      </c>
    </row>
    <row r="11" spans="1:5" ht="45" customHeight="1" x14ac:dyDescent="0.25">
      <c r="A11" s="398"/>
      <c r="B11" s="398">
        <v>31</v>
      </c>
      <c r="C11" s="399" t="s">
        <v>1845</v>
      </c>
      <c r="D11" s="399" t="s">
        <v>1846</v>
      </c>
      <c r="E11" s="398">
        <v>1112</v>
      </c>
    </row>
    <row r="12" spans="1:5" ht="45" customHeight="1" x14ac:dyDescent="0.25">
      <c r="A12" s="398"/>
      <c r="B12" s="398">
        <v>40</v>
      </c>
      <c r="C12" s="399" t="s">
        <v>1847</v>
      </c>
      <c r="D12" s="399" t="s">
        <v>1848</v>
      </c>
      <c r="E12" s="398">
        <v>1211</v>
      </c>
    </row>
    <row r="13" spans="1:5" s="402" customFormat="1" ht="45" customHeight="1" x14ac:dyDescent="0.25">
      <c r="A13" s="400"/>
      <c r="B13" s="400">
        <v>1001</v>
      </c>
      <c r="C13" s="401" t="s">
        <v>1849</v>
      </c>
      <c r="D13" s="401" t="s">
        <v>1850</v>
      </c>
      <c r="E13" s="400">
        <v>1001</v>
      </c>
    </row>
    <row r="14" spans="1:5" ht="45" customHeight="1" x14ac:dyDescent="0.25">
      <c r="A14" s="398"/>
      <c r="B14" s="398">
        <v>1002</v>
      </c>
      <c r="C14" s="399" t="s">
        <v>1851</v>
      </c>
      <c r="D14" s="399" t="s">
        <v>1852</v>
      </c>
      <c r="E14" s="398">
        <v>1001</v>
      </c>
    </row>
    <row r="15" spans="1:5" ht="45" customHeight="1" x14ac:dyDescent="0.25">
      <c r="A15" s="398"/>
      <c r="B15" s="398">
        <v>1003</v>
      </c>
      <c r="C15" s="399" t="s">
        <v>1853</v>
      </c>
      <c r="D15" s="399" t="s">
        <v>1854</v>
      </c>
      <c r="E15" s="398">
        <v>1001</v>
      </c>
    </row>
    <row r="16" spans="1:5" s="402" customFormat="1" ht="45" customHeight="1" x14ac:dyDescent="0.25">
      <c r="A16" s="400"/>
      <c r="B16" s="400">
        <v>1004</v>
      </c>
      <c r="C16" s="401" t="s">
        <v>1855</v>
      </c>
      <c r="D16" s="401" t="s">
        <v>1856</v>
      </c>
      <c r="E16" s="400">
        <v>1212</v>
      </c>
    </row>
    <row r="17" spans="1:5" s="402" customFormat="1" ht="45" customHeight="1" x14ac:dyDescent="0.25">
      <c r="A17" s="400"/>
      <c r="B17" s="400">
        <v>1005</v>
      </c>
      <c r="C17" s="401" t="s">
        <v>1857</v>
      </c>
      <c r="D17" s="401" t="s">
        <v>1858</v>
      </c>
      <c r="E17" s="400">
        <v>1212</v>
      </c>
    </row>
    <row r="18" spans="1:5" s="402" customFormat="1" ht="45" customHeight="1" x14ac:dyDescent="0.25">
      <c r="A18" s="400"/>
      <c r="B18" s="400">
        <v>1006</v>
      </c>
      <c r="C18" s="401" t="s">
        <v>1859</v>
      </c>
      <c r="D18" s="401" t="s">
        <v>1860</v>
      </c>
      <c r="E18" s="400">
        <v>1212</v>
      </c>
    </row>
    <row r="19" spans="1:5" s="402" customFormat="1" ht="45" customHeight="1" x14ac:dyDescent="0.25">
      <c r="A19" s="400"/>
      <c r="B19" s="400">
        <v>1007</v>
      </c>
      <c r="C19" s="401" t="s">
        <v>1861</v>
      </c>
      <c r="D19" s="401" t="s">
        <v>1862</v>
      </c>
      <c r="E19" s="400">
        <v>1212</v>
      </c>
    </row>
    <row r="20" spans="1:5" ht="45" customHeight="1" x14ac:dyDescent="0.25">
      <c r="A20" s="398"/>
      <c r="B20" s="398">
        <v>1008</v>
      </c>
      <c r="C20" s="399" t="s">
        <v>1863</v>
      </c>
      <c r="D20" s="399" t="s">
        <v>1864</v>
      </c>
      <c r="E20" s="398">
        <v>1121</v>
      </c>
    </row>
    <row r="21" spans="1:5" ht="45" customHeight="1" x14ac:dyDescent="0.25">
      <c r="A21" s="398"/>
      <c r="B21" s="398">
        <v>1009</v>
      </c>
      <c r="C21" s="399" t="s">
        <v>1865</v>
      </c>
      <c r="D21" s="399" t="s">
        <v>1866</v>
      </c>
      <c r="E21" s="398">
        <v>1122</v>
      </c>
    </row>
    <row r="22" spans="1:5" s="402" customFormat="1" ht="45" customHeight="1" x14ac:dyDescent="0.25">
      <c r="A22" s="400"/>
      <c r="B22" s="403">
        <v>1010</v>
      </c>
      <c r="C22" s="404" t="s">
        <v>1867</v>
      </c>
      <c r="D22" s="404" t="s">
        <v>1868</v>
      </c>
      <c r="E22" s="403">
        <v>1940</v>
      </c>
    </row>
    <row r="23" spans="1:5" ht="45" customHeight="1" x14ac:dyDescent="0.25">
      <c r="A23" s="398"/>
      <c r="B23" s="398">
        <v>1011</v>
      </c>
      <c r="C23" s="399" t="s">
        <v>1869</v>
      </c>
      <c r="D23" s="399" t="s">
        <v>1870</v>
      </c>
      <c r="E23" s="398">
        <v>1124</v>
      </c>
    </row>
    <row r="24" spans="1:5" ht="45" customHeight="1" x14ac:dyDescent="0.25">
      <c r="A24" s="398"/>
      <c r="B24" s="398">
        <v>1012</v>
      </c>
      <c r="C24" s="399" t="s">
        <v>1871</v>
      </c>
      <c r="D24" s="399" t="s">
        <v>1872</v>
      </c>
      <c r="E24" s="398">
        <v>1001</v>
      </c>
    </row>
    <row r="25" spans="1:5" ht="45" customHeight="1" x14ac:dyDescent="0.25">
      <c r="A25" s="398"/>
      <c r="B25" s="398">
        <v>1013</v>
      </c>
      <c r="C25" s="399" t="s">
        <v>1873</v>
      </c>
      <c r="D25" s="399" t="s">
        <v>1874</v>
      </c>
      <c r="E25" s="398">
        <v>1125</v>
      </c>
    </row>
    <row r="26" spans="1:5" s="402" customFormat="1" ht="45" customHeight="1" x14ac:dyDescent="0.25">
      <c r="A26" s="400"/>
      <c r="B26" s="400">
        <v>1014</v>
      </c>
      <c r="C26" s="401" t="s">
        <v>1875</v>
      </c>
      <c r="D26" s="401" t="s">
        <v>1876</v>
      </c>
      <c r="E26" s="400">
        <v>1212</v>
      </c>
    </row>
    <row r="27" spans="1:5" s="402" customFormat="1" ht="45" customHeight="1" x14ac:dyDescent="0.25">
      <c r="A27" s="400"/>
      <c r="B27" s="400">
        <v>1015</v>
      </c>
      <c r="C27" s="401" t="s">
        <v>1877</v>
      </c>
      <c r="D27" s="401" t="s">
        <v>1878</v>
      </c>
      <c r="E27" s="400">
        <v>1212</v>
      </c>
    </row>
    <row r="28" spans="1:5" s="402" customFormat="1" ht="45" customHeight="1" x14ac:dyDescent="0.25">
      <c r="A28" s="400"/>
      <c r="B28" s="400">
        <v>1016</v>
      </c>
      <c r="C28" s="401" t="s">
        <v>1879</v>
      </c>
      <c r="D28" s="401" t="s">
        <v>1880</v>
      </c>
      <c r="E28" s="400">
        <v>1212</v>
      </c>
    </row>
    <row r="29" spans="1:5" s="402" customFormat="1" ht="45" customHeight="1" x14ac:dyDescent="0.25">
      <c r="A29" s="400"/>
      <c r="B29" s="400">
        <v>1017</v>
      </c>
      <c r="C29" s="401" t="s">
        <v>1881</v>
      </c>
      <c r="D29" s="401" t="s">
        <v>1882</v>
      </c>
      <c r="E29" s="400">
        <v>1212</v>
      </c>
    </row>
    <row r="30" spans="1:5" ht="45" customHeight="1" x14ac:dyDescent="0.25">
      <c r="A30" s="398"/>
      <c r="B30" s="398">
        <v>1018</v>
      </c>
      <c r="C30" s="399" t="s">
        <v>1883</v>
      </c>
      <c r="D30" s="399" t="s">
        <v>1884</v>
      </c>
      <c r="E30" s="398">
        <v>1001</v>
      </c>
    </row>
    <row r="31" spans="1:5" ht="45" customHeight="1" x14ac:dyDescent="0.25">
      <c r="A31" s="398"/>
      <c r="B31" s="403">
        <v>1019</v>
      </c>
      <c r="C31" s="404" t="s">
        <v>90</v>
      </c>
      <c r="D31" s="404" t="s">
        <v>1885</v>
      </c>
      <c r="E31" s="403">
        <v>1940</v>
      </c>
    </row>
    <row r="32" spans="1:5" ht="45" customHeight="1" x14ac:dyDescent="0.25">
      <c r="A32" s="398"/>
      <c r="B32" s="403">
        <v>1020</v>
      </c>
      <c r="C32" s="404" t="s">
        <v>1886</v>
      </c>
      <c r="D32" s="404" t="s">
        <v>1887</v>
      </c>
      <c r="E32" s="403">
        <v>1940</v>
      </c>
    </row>
    <row r="33" spans="1:8" ht="45" customHeight="1" x14ac:dyDescent="0.25">
      <c r="A33" s="398"/>
      <c r="B33" s="403">
        <v>1021</v>
      </c>
      <c r="C33" s="404" t="s">
        <v>1888</v>
      </c>
      <c r="D33" s="404" t="s">
        <v>1889</v>
      </c>
      <c r="E33" s="403">
        <v>1940</v>
      </c>
    </row>
    <row r="34" spans="1:8" s="402" customFormat="1" ht="45" customHeight="1" x14ac:dyDescent="0.25">
      <c r="A34" s="400"/>
      <c r="B34" s="400">
        <v>1022</v>
      </c>
      <c r="C34" s="401" t="s">
        <v>1890</v>
      </c>
      <c r="D34" s="401" t="s">
        <v>1891</v>
      </c>
      <c r="E34" s="400">
        <v>1123</v>
      </c>
    </row>
    <row r="35" spans="1:8" s="402" customFormat="1" ht="45" customHeight="1" x14ac:dyDescent="0.25">
      <c r="A35" s="400"/>
      <c r="B35" s="400">
        <v>1023</v>
      </c>
      <c r="C35" s="401" t="s">
        <v>1892</v>
      </c>
      <c r="D35" s="401" t="s">
        <v>1893</v>
      </c>
      <c r="E35" s="400">
        <v>1213</v>
      </c>
    </row>
    <row r="36" spans="1:8" ht="45" customHeight="1" x14ac:dyDescent="0.25">
      <c r="A36" s="398"/>
      <c r="B36" s="403">
        <v>1024</v>
      </c>
      <c r="C36" s="404" t="s">
        <v>1894</v>
      </c>
      <c r="D36" s="404" t="s">
        <v>1895</v>
      </c>
      <c r="E36" s="403">
        <v>1940</v>
      </c>
    </row>
    <row r="37" spans="1:8" ht="45" customHeight="1" x14ac:dyDescent="0.25">
      <c r="A37" s="398"/>
      <c r="B37" s="403">
        <v>1025</v>
      </c>
      <c r="C37" s="404" t="s">
        <v>1896</v>
      </c>
      <c r="D37" s="404" t="s">
        <v>1897</v>
      </c>
      <c r="E37" s="403">
        <v>1940</v>
      </c>
    </row>
    <row r="38" spans="1:8" ht="45" customHeight="1" x14ac:dyDescent="0.25">
      <c r="A38" s="398"/>
      <c r="B38" s="403">
        <v>1026</v>
      </c>
      <c r="C38" s="404" t="s">
        <v>1898</v>
      </c>
      <c r="D38" s="404" t="s">
        <v>1899</v>
      </c>
      <c r="E38" s="403">
        <v>1940</v>
      </c>
    </row>
    <row r="39" spans="1:8" ht="45" customHeight="1" x14ac:dyDescent="0.25">
      <c r="A39" s="398"/>
      <c r="B39" s="403">
        <v>1027</v>
      </c>
      <c r="C39" s="404" t="s">
        <v>1900</v>
      </c>
      <c r="D39" s="404" t="s">
        <v>1901</v>
      </c>
      <c r="E39" s="403">
        <v>1311</v>
      </c>
    </row>
    <row r="40" spans="1:8" s="402" customFormat="1" ht="45" customHeight="1" x14ac:dyDescent="0.25">
      <c r="A40" s="400"/>
      <c r="B40" s="400">
        <v>1028</v>
      </c>
      <c r="C40" s="401" t="s">
        <v>1902</v>
      </c>
      <c r="D40" s="401" t="s">
        <v>1903</v>
      </c>
      <c r="E40" s="400">
        <v>1312</v>
      </c>
    </row>
    <row r="41" spans="1:8" s="402" customFormat="1" ht="45" customHeight="1" x14ac:dyDescent="0.25">
      <c r="A41" s="400"/>
      <c r="B41" s="400">
        <v>1029</v>
      </c>
      <c r="C41" s="401" t="s">
        <v>2254</v>
      </c>
      <c r="D41" s="401" t="s">
        <v>2255</v>
      </c>
      <c r="E41" s="400">
        <v>1990</v>
      </c>
    </row>
    <row r="42" spans="1:8" s="402" customFormat="1" ht="45" customHeight="1" x14ac:dyDescent="0.25">
      <c r="A42" s="400"/>
      <c r="B42" s="400">
        <v>1030</v>
      </c>
      <c r="C42" s="401" t="s">
        <v>2262</v>
      </c>
      <c r="D42" s="401" t="s">
        <v>2263</v>
      </c>
      <c r="E42" s="400">
        <v>1990</v>
      </c>
    </row>
    <row r="43" spans="1:8" ht="45" customHeight="1" x14ac:dyDescent="0.25">
      <c r="A43" s="398"/>
      <c r="B43" s="403">
        <v>1031</v>
      </c>
      <c r="C43" s="404" t="s">
        <v>1904</v>
      </c>
      <c r="D43" s="404" t="s">
        <v>1905</v>
      </c>
      <c r="E43" s="403">
        <v>1940</v>
      </c>
    </row>
    <row r="44" spans="1:8" ht="45" customHeight="1" x14ac:dyDescent="0.25">
      <c r="A44" s="398"/>
      <c r="B44" s="403">
        <v>1032</v>
      </c>
      <c r="C44" s="404" t="s">
        <v>2267</v>
      </c>
      <c r="D44" s="404" t="s">
        <v>2264</v>
      </c>
      <c r="E44" s="403">
        <v>1990</v>
      </c>
    </row>
    <row r="45" spans="1:8" ht="45" customHeight="1" x14ac:dyDescent="0.25">
      <c r="A45" s="398"/>
      <c r="B45" s="403">
        <v>1033</v>
      </c>
      <c r="C45" s="404" t="s">
        <v>1906</v>
      </c>
      <c r="D45" s="404" t="s">
        <v>1907</v>
      </c>
      <c r="E45" s="403">
        <v>1940</v>
      </c>
    </row>
    <row r="46" spans="1:8" ht="45" customHeight="1" x14ac:dyDescent="0.25">
      <c r="A46" s="398"/>
      <c r="B46" s="398">
        <v>1034</v>
      </c>
      <c r="C46" s="399" t="s">
        <v>1908</v>
      </c>
      <c r="D46" s="399" t="s">
        <v>1909</v>
      </c>
      <c r="E46" s="398">
        <v>1001</v>
      </c>
    </row>
    <row r="47" spans="1:8" ht="45" customHeight="1" x14ac:dyDescent="0.25">
      <c r="A47" s="398"/>
      <c r="B47" s="398">
        <v>1035</v>
      </c>
      <c r="C47" s="399" t="s">
        <v>2271</v>
      </c>
      <c r="D47" s="399" t="s">
        <v>2270</v>
      </c>
      <c r="E47" s="398">
        <v>1990</v>
      </c>
    </row>
    <row r="48" spans="1:8" ht="45" customHeight="1" x14ac:dyDescent="0.25">
      <c r="A48" s="568"/>
      <c r="B48" s="568">
        <v>1036</v>
      </c>
      <c r="C48" s="569" t="s">
        <v>3381</v>
      </c>
      <c r="D48" s="569" t="s">
        <v>3383</v>
      </c>
      <c r="E48" s="568">
        <v>1190</v>
      </c>
      <c r="H48" s="71"/>
    </row>
    <row r="49" spans="1:8" ht="45" customHeight="1" x14ac:dyDescent="0.25">
      <c r="A49" s="568"/>
      <c r="B49" s="568">
        <v>1037</v>
      </c>
      <c r="C49" s="569" t="s">
        <v>3382</v>
      </c>
      <c r="D49" s="569" t="s">
        <v>3384</v>
      </c>
      <c r="E49" s="568">
        <v>1001</v>
      </c>
      <c r="H49" s="71"/>
    </row>
    <row r="50" spans="1:8" s="497" customFormat="1" ht="45" customHeight="1" x14ac:dyDescent="0.25">
      <c r="A50" s="635"/>
      <c r="B50" s="635">
        <v>1038</v>
      </c>
      <c r="C50" s="565" t="s">
        <v>4739</v>
      </c>
      <c r="D50" s="565" t="s">
        <v>4738</v>
      </c>
      <c r="E50" s="635">
        <v>1990</v>
      </c>
      <c r="H50" s="622"/>
    </row>
    <row r="51" spans="1:8" s="497" customFormat="1" ht="45" customHeight="1" x14ac:dyDescent="0.25">
      <c r="A51" s="635"/>
      <c r="B51" s="635">
        <v>1039</v>
      </c>
      <c r="C51" s="565" t="s">
        <v>4740</v>
      </c>
      <c r="D51" s="565" t="s">
        <v>4741</v>
      </c>
      <c r="E51" s="635">
        <v>1990</v>
      </c>
      <c r="H51" s="622"/>
    </row>
    <row r="52" spans="1:8" ht="45" customHeight="1" x14ac:dyDescent="0.25">
      <c r="A52" s="398"/>
      <c r="B52" s="403">
        <v>1044</v>
      </c>
      <c r="C52" s="404" t="s">
        <v>1910</v>
      </c>
      <c r="D52" s="404" t="s">
        <v>1911</v>
      </c>
      <c r="E52" s="403">
        <v>1940</v>
      </c>
    </row>
    <row r="53" spans="1:8" s="408" customFormat="1" ht="45" customHeight="1" x14ac:dyDescent="0.25">
      <c r="A53" s="405"/>
      <c r="B53" s="406">
        <v>1046</v>
      </c>
      <c r="C53" s="407" t="s">
        <v>1877</v>
      </c>
      <c r="D53" s="407" t="s">
        <v>1912</v>
      </c>
      <c r="E53" s="406">
        <v>1213</v>
      </c>
    </row>
    <row r="54" spans="1:8" s="408" customFormat="1" ht="45" customHeight="1" x14ac:dyDescent="0.25">
      <c r="A54" s="405"/>
      <c r="B54" s="406">
        <v>1047</v>
      </c>
      <c r="C54" s="407" t="s">
        <v>1913</v>
      </c>
      <c r="D54" s="407" t="s">
        <v>1914</v>
      </c>
      <c r="E54" s="406">
        <v>1940</v>
      </c>
    </row>
    <row r="55" spans="1:8" ht="45" customHeight="1" x14ac:dyDescent="0.25">
      <c r="A55" s="398"/>
      <c r="B55" s="403">
        <v>1048</v>
      </c>
      <c r="C55" s="404" t="s">
        <v>90</v>
      </c>
      <c r="D55" s="404" t="s">
        <v>1915</v>
      </c>
      <c r="E55" s="403">
        <v>1940</v>
      </c>
    </row>
    <row r="56" spans="1:8" ht="45" customHeight="1" x14ac:dyDescent="0.25">
      <c r="A56" s="398"/>
      <c r="B56" s="398">
        <v>1049</v>
      </c>
      <c r="C56" s="399" t="s">
        <v>1916</v>
      </c>
      <c r="D56" s="399" t="s">
        <v>1917</v>
      </c>
      <c r="E56" s="398">
        <v>1123</v>
      </c>
    </row>
    <row r="57" spans="1:8" ht="45" customHeight="1" x14ac:dyDescent="0.25">
      <c r="A57" s="398"/>
      <c r="B57" s="398">
        <v>1050</v>
      </c>
      <c r="C57" s="399" t="s">
        <v>91</v>
      </c>
      <c r="D57" s="399" t="s">
        <v>1918</v>
      </c>
      <c r="E57" s="398">
        <v>1001</v>
      </c>
    </row>
    <row r="58" spans="1:8" ht="45" customHeight="1" x14ac:dyDescent="0.25">
      <c r="A58" s="398"/>
      <c r="B58" s="403">
        <v>1051</v>
      </c>
      <c r="C58" s="404" t="s">
        <v>1919</v>
      </c>
      <c r="D58" s="404" t="s">
        <v>1920</v>
      </c>
      <c r="E58" s="403">
        <v>1940</v>
      </c>
    </row>
    <row r="59" spans="1:8" s="402" customFormat="1" ht="45" customHeight="1" x14ac:dyDescent="0.25">
      <c r="A59" s="400"/>
      <c r="B59" s="400">
        <v>1052</v>
      </c>
      <c r="C59" s="401" t="s">
        <v>1921</v>
      </c>
      <c r="D59" s="401" t="s">
        <v>1922</v>
      </c>
      <c r="E59" s="400">
        <v>1212</v>
      </c>
    </row>
    <row r="60" spans="1:8" ht="45" customHeight="1" x14ac:dyDescent="0.25">
      <c r="A60" s="398"/>
      <c r="B60" s="398">
        <v>1053</v>
      </c>
      <c r="C60" s="399" t="s">
        <v>1374</v>
      </c>
      <c r="D60" s="399" t="s">
        <v>1923</v>
      </c>
      <c r="E60" s="398">
        <v>1940</v>
      </c>
    </row>
    <row r="61" spans="1:8" ht="45" customHeight="1" x14ac:dyDescent="0.25">
      <c r="A61" s="398"/>
      <c r="B61" s="403">
        <v>1054</v>
      </c>
      <c r="C61" s="404" t="s">
        <v>1924</v>
      </c>
      <c r="D61" s="404" t="s">
        <v>1925</v>
      </c>
      <c r="E61" s="403">
        <v>1125</v>
      </c>
    </row>
    <row r="62" spans="1:8" s="402" customFormat="1" ht="45" customHeight="1" x14ac:dyDescent="0.25">
      <c r="A62" s="400"/>
      <c r="B62" s="400">
        <v>1055</v>
      </c>
      <c r="C62" s="401" t="s">
        <v>1926</v>
      </c>
      <c r="D62" s="401" t="s">
        <v>1927</v>
      </c>
      <c r="E62" s="400">
        <v>1212</v>
      </c>
    </row>
    <row r="63" spans="1:8" s="402" customFormat="1" ht="45" customHeight="1" x14ac:dyDescent="0.25">
      <c r="A63" s="400"/>
      <c r="B63" s="400">
        <v>1056</v>
      </c>
      <c r="C63" s="401" t="s">
        <v>1928</v>
      </c>
      <c r="D63" s="401" t="s">
        <v>1929</v>
      </c>
      <c r="E63" s="400">
        <v>1212</v>
      </c>
    </row>
    <row r="64" spans="1:8" s="402" customFormat="1" ht="45" customHeight="1" x14ac:dyDescent="0.25">
      <c r="A64" s="400"/>
      <c r="B64" s="400">
        <v>1057</v>
      </c>
      <c r="C64" s="401" t="s">
        <v>1930</v>
      </c>
      <c r="D64" s="401" t="s">
        <v>1931</v>
      </c>
      <c r="E64" s="400">
        <v>1213</v>
      </c>
    </row>
    <row r="65" spans="1:5" s="402" customFormat="1" ht="45" customHeight="1" x14ac:dyDescent="0.25">
      <c r="A65" s="400"/>
      <c r="B65" s="400">
        <v>1058</v>
      </c>
      <c r="C65" s="401" t="s">
        <v>1932</v>
      </c>
      <c r="D65" s="401" t="s">
        <v>1933</v>
      </c>
      <c r="E65" s="400">
        <v>1213</v>
      </c>
    </row>
    <row r="66" spans="1:5" s="409" customFormat="1" ht="45" customHeight="1" x14ac:dyDescent="0.25">
      <c r="A66" s="403"/>
      <c r="B66" s="403">
        <v>1059</v>
      </c>
      <c r="C66" s="404" t="s">
        <v>1934</v>
      </c>
      <c r="D66" s="404" t="s">
        <v>1935</v>
      </c>
      <c r="E66" s="403">
        <v>1390</v>
      </c>
    </row>
    <row r="67" spans="1:5" s="409" customFormat="1" ht="45" customHeight="1" x14ac:dyDescent="0.25">
      <c r="A67" s="403"/>
      <c r="B67" s="403">
        <v>1060</v>
      </c>
      <c r="C67" s="404" t="s">
        <v>1936</v>
      </c>
      <c r="D67" s="404" t="s">
        <v>1937</v>
      </c>
      <c r="E67" s="403">
        <v>1312</v>
      </c>
    </row>
    <row r="68" spans="1:5" s="409" customFormat="1" ht="45" customHeight="1" x14ac:dyDescent="0.25">
      <c r="A68" s="403"/>
      <c r="B68" s="403">
        <v>1061</v>
      </c>
      <c r="C68" s="404" t="s">
        <v>1938</v>
      </c>
      <c r="D68" s="404" t="s">
        <v>1939</v>
      </c>
      <c r="E68" s="403">
        <v>1312</v>
      </c>
    </row>
    <row r="69" spans="1:5" s="409" customFormat="1" ht="45" customHeight="1" x14ac:dyDescent="0.25">
      <c r="A69" s="403"/>
      <c r="B69" s="403">
        <v>1062</v>
      </c>
      <c r="C69" s="404" t="s">
        <v>1940</v>
      </c>
      <c r="D69" s="404" t="s">
        <v>1941</v>
      </c>
      <c r="E69" s="403">
        <v>1940</v>
      </c>
    </row>
    <row r="70" spans="1:5" ht="45" customHeight="1" x14ac:dyDescent="0.25">
      <c r="A70" s="398"/>
      <c r="B70" s="403">
        <v>1063</v>
      </c>
      <c r="C70" s="404" t="s">
        <v>1942</v>
      </c>
      <c r="D70" s="404" t="s">
        <v>1943</v>
      </c>
      <c r="E70" s="403">
        <v>1940</v>
      </c>
    </row>
    <row r="71" spans="1:5" ht="45" customHeight="1" x14ac:dyDescent="0.25">
      <c r="A71" s="398"/>
      <c r="B71" s="403">
        <v>1064</v>
      </c>
      <c r="C71" s="404" t="s">
        <v>1942</v>
      </c>
      <c r="D71" s="404" t="s">
        <v>1944</v>
      </c>
      <c r="E71" s="403">
        <v>1940</v>
      </c>
    </row>
    <row r="72" spans="1:5" ht="45" customHeight="1" x14ac:dyDescent="0.25">
      <c r="A72" s="398"/>
      <c r="B72" s="403">
        <v>1065</v>
      </c>
      <c r="C72" s="404" t="s">
        <v>1945</v>
      </c>
      <c r="D72" s="404" t="s">
        <v>1946</v>
      </c>
      <c r="E72" s="403">
        <v>1940</v>
      </c>
    </row>
    <row r="73" spans="1:5" ht="45" customHeight="1" x14ac:dyDescent="0.25">
      <c r="A73" s="398"/>
      <c r="B73" s="403">
        <v>1066</v>
      </c>
      <c r="C73" s="404" t="s">
        <v>1947</v>
      </c>
      <c r="D73" s="404" t="s">
        <v>1948</v>
      </c>
      <c r="E73" s="403">
        <v>1212</v>
      </c>
    </row>
    <row r="74" spans="1:5" ht="45" customHeight="1" x14ac:dyDescent="0.25">
      <c r="A74" s="398"/>
      <c r="B74" s="403">
        <v>1067</v>
      </c>
      <c r="C74" s="404" t="s">
        <v>1949</v>
      </c>
      <c r="D74" s="404" t="s">
        <v>1950</v>
      </c>
      <c r="E74" s="403">
        <v>1124</v>
      </c>
    </row>
    <row r="75" spans="1:5" ht="45" customHeight="1" x14ac:dyDescent="0.25">
      <c r="A75" s="398"/>
      <c r="B75" s="403">
        <v>1068</v>
      </c>
      <c r="C75" s="404" t="s">
        <v>1951</v>
      </c>
      <c r="D75" s="404" t="s">
        <v>1952</v>
      </c>
      <c r="E75" s="403">
        <v>1220</v>
      </c>
    </row>
    <row r="76" spans="1:5" ht="45" customHeight="1" x14ac:dyDescent="0.25">
      <c r="A76" s="398"/>
      <c r="B76" s="398">
        <v>1069</v>
      </c>
      <c r="C76" s="399" t="s">
        <v>1953</v>
      </c>
      <c r="D76" s="399" t="s">
        <v>1954</v>
      </c>
      <c r="E76" s="398">
        <v>1001</v>
      </c>
    </row>
    <row r="77" spans="1:5" ht="45" customHeight="1" x14ac:dyDescent="0.25">
      <c r="A77" s="398"/>
      <c r="B77" s="403">
        <v>1070</v>
      </c>
      <c r="C77" s="404" t="s">
        <v>1955</v>
      </c>
      <c r="D77" s="404" t="s">
        <v>1956</v>
      </c>
      <c r="E77" s="403">
        <v>1940</v>
      </c>
    </row>
    <row r="78" spans="1:5" ht="45" customHeight="1" x14ac:dyDescent="0.25">
      <c r="A78" s="398"/>
      <c r="B78" s="403">
        <v>1071</v>
      </c>
      <c r="C78" s="404" t="s">
        <v>1957</v>
      </c>
      <c r="D78" s="404" t="s">
        <v>1958</v>
      </c>
      <c r="E78" s="403">
        <v>1212</v>
      </c>
    </row>
    <row r="79" spans="1:5" ht="45" customHeight="1" x14ac:dyDescent="0.25">
      <c r="A79" s="398"/>
      <c r="B79" s="403">
        <v>1072</v>
      </c>
      <c r="C79" s="404" t="s">
        <v>1959</v>
      </c>
      <c r="D79" s="404" t="s">
        <v>1960</v>
      </c>
      <c r="E79" s="403">
        <v>1311</v>
      </c>
    </row>
    <row r="80" spans="1:5" ht="45" customHeight="1" x14ac:dyDescent="0.25">
      <c r="A80" s="398"/>
      <c r="B80" s="403">
        <v>1073</v>
      </c>
      <c r="C80" s="404" t="s">
        <v>1961</v>
      </c>
      <c r="D80" s="404" t="s">
        <v>1962</v>
      </c>
      <c r="E80" s="403">
        <v>1311</v>
      </c>
    </row>
    <row r="81" spans="1:5" ht="45" customHeight="1" x14ac:dyDescent="0.25">
      <c r="A81" s="398"/>
      <c r="B81" s="403">
        <v>1074</v>
      </c>
      <c r="C81" s="404" t="s">
        <v>1963</v>
      </c>
      <c r="D81" s="404" t="s">
        <v>1964</v>
      </c>
      <c r="E81" s="403">
        <v>1311</v>
      </c>
    </row>
    <row r="82" spans="1:5" ht="45" customHeight="1" x14ac:dyDescent="0.25">
      <c r="A82" s="398"/>
      <c r="B82" s="403">
        <v>1075</v>
      </c>
      <c r="C82" s="404" t="s">
        <v>1965</v>
      </c>
      <c r="D82" s="404" t="s">
        <v>1966</v>
      </c>
      <c r="E82" s="403">
        <v>1311</v>
      </c>
    </row>
    <row r="83" spans="1:5" ht="45" customHeight="1" x14ac:dyDescent="0.25">
      <c r="A83" s="398"/>
      <c r="B83" s="398">
        <v>1076</v>
      </c>
      <c r="C83" s="399" t="s">
        <v>1375</v>
      </c>
      <c r="D83" s="399" t="s">
        <v>1967</v>
      </c>
      <c r="E83" s="398">
        <v>1125</v>
      </c>
    </row>
    <row r="84" spans="1:5" s="409" customFormat="1" ht="45" customHeight="1" x14ac:dyDescent="0.25">
      <c r="A84" s="403"/>
      <c r="B84" s="403">
        <v>1077</v>
      </c>
      <c r="C84" s="404" t="s">
        <v>1968</v>
      </c>
      <c r="D84" s="404" t="s">
        <v>1969</v>
      </c>
      <c r="E84" s="403">
        <v>1940</v>
      </c>
    </row>
    <row r="85" spans="1:5" ht="45" customHeight="1" x14ac:dyDescent="0.25">
      <c r="A85" s="398"/>
      <c r="B85" s="398">
        <v>1078</v>
      </c>
      <c r="C85" s="399" t="s">
        <v>1970</v>
      </c>
      <c r="D85" s="399" t="s">
        <v>1971</v>
      </c>
      <c r="E85" s="398">
        <v>1213</v>
      </c>
    </row>
    <row r="86" spans="1:5" ht="45" customHeight="1" x14ac:dyDescent="0.25">
      <c r="A86" s="398"/>
      <c r="B86" s="398">
        <v>1079</v>
      </c>
      <c r="C86" s="399" t="s">
        <v>1972</v>
      </c>
      <c r="D86" s="399" t="s">
        <v>1973</v>
      </c>
      <c r="E86" s="398">
        <v>1212</v>
      </c>
    </row>
    <row r="87" spans="1:5" ht="45" customHeight="1" x14ac:dyDescent="0.25">
      <c r="A87" s="398"/>
      <c r="B87" s="398">
        <v>1080</v>
      </c>
      <c r="C87" s="399" t="s">
        <v>1974</v>
      </c>
      <c r="D87" s="399" t="s">
        <v>1975</v>
      </c>
      <c r="E87" s="398">
        <v>1390</v>
      </c>
    </row>
    <row r="88" spans="1:5" ht="45" customHeight="1" x14ac:dyDescent="0.25">
      <c r="A88" s="398"/>
      <c r="B88" s="398">
        <v>1081</v>
      </c>
      <c r="C88" s="399" t="s">
        <v>1976</v>
      </c>
      <c r="D88" s="399" t="s">
        <v>1977</v>
      </c>
      <c r="E88" s="398">
        <v>1940</v>
      </c>
    </row>
    <row r="89" spans="1:5" ht="45" customHeight="1" x14ac:dyDescent="0.25">
      <c r="A89" s="398"/>
      <c r="B89" s="398">
        <v>1082</v>
      </c>
      <c r="C89" s="399" t="s">
        <v>1978</v>
      </c>
      <c r="D89" s="399" t="s">
        <v>1979</v>
      </c>
      <c r="E89" s="398">
        <v>1213</v>
      </c>
    </row>
    <row r="90" spans="1:5" ht="45" customHeight="1" x14ac:dyDescent="0.25">
      <c r="A90" s="398"/>
      <c r="B90" s="398">
        <v>1083</v>
      </c>
      <c r="C90" s="399" t="s">
        <v>1980</v>
      </c>
      <c r="D90" s="399" t="s">
        <v>1981</v>
      </c>
      <c r="E90" s="398">
        <v>1125</v>
      </c>
    </row>
    <row r="91" spans="1:5" ht="45" customHeight="1" x14ac:dyDescent="0.25">
      <c r="A91" s="398"/>
      <c r="B91" s="398">
        <v>1084</v>
      </c>
      <c r="C91" s="399" t="s">
        <v>1972</v>
      </c>
      <c r="D91" s="399" t="s">
        <v>1982</v>
      </c>
      <c r="E91" s="398">
        <v>1212</v>
      </c>
    </row>
    <row r="92" spans="1:5" ht="45" customHeight="1" x14ac:dyDescent="0.25">
      <c r="A92" s="398"/>
      <c r="B92" s="398">
        <v>1085</v>
      </c>
      <c r="C92" s="399" t="s">
        <v>1983</v>
      </c>
      <c r="D92" s="399" t="s">
        <v>1984</v>
      </c>
      <c r="E92" s="398">
        <v>1213</v>
      </c>
    </row>
    <row r="93" spans="1:5" ht="45" customHeight="1" x14ac:dyDescent="0.25">
      <c r="A93" s="398"/>
      <c r="B93" s="398">
        <v>1086</v>
      </c>
      <c r="C93" s="399" t="s">
        <v>1985</v>
      </c>
      <c r="D93" s="399" t="s">
        <v>1986</v>
      </c>
      <c r="E93" s="398">
        <v>1125</v>
      </c>
    </row>
    <row r="94" spans="1:5" ht="45" customHeight="1" x14ac:dyDescent="0.25">
      <c r="A94" s="398"/>
      <c r="B94" s="398">
        <v>1087</v>
      </c>
      <c r="C94" s="399" t="s">
        <v>1987</v>
      </c>
      <c r="D94" s="399" t="s">
        <v>1988</v>
      </c>
      <c r="E94" s="398">
        <v>1001</v>
      </c>
    </row>
    <row r="95" spans="1:5" ht="45" customHeight="1" x14ac:dyDescent="0.25">
      <c r="A95" s="398"/>
      <c r="B95" s="398">
        <v>1088</v>
      </c>
      <c r="C95" s="399" t="s">
        <v>1989</v>
      </c>
      <c r="D95" s="399" t="s">
        <v>1990</v>
      </c>
      <c r="E95" s="398">
        <v>1940</v>
      </c>
    </row>
    <row r="96" spans="1:5" ht="45" customHeight="1" x14ac:dyDescent="0.25">
      <c r="A96" s="398"/>
      <c r="B96" s="398">
        <v>1089</v>
      </c>
      <c r="C96" s="399" t="s">
        <v>1991</v>
      </c>
      <c r="D96" s="399" t="s">
        <v>1992</v>
      </c>
      <c r="E96" s="398">
        <v>1940</v>
      </c>
    </row>
    <row r="97" spans="1:5" ht="45" customHeight="1" x14ac:dyDescent="0.25">
      <c r="A97" s="398"/>
      <c r="B97" s="398">
        <v>1090</v>
      </c>
      <c r="C97" s="399" t="s">
        <v>1945</v>
      </c>
      <c r="D97" s="399" t="s">
        <v>1993</v>
      </c>
      <c r="E97" s="398">
        <v>1940</v>
      </c>
    </row>
    <row r="98" spans="1:5" ht="45" customHeight="1" x14ac:dyDescent="0.25">
      <c r="A98" s="398"/>
      <c r="B98" s="398">
        <v>1091</v>
      </c>
      <c r="C98" s="399" t="s">
        <v>1994</v>
      </c>
      <c r="D98" s="399" t="s">
        <v>1995</v>
      </c>
      <c r="E98" s="398">
        <v>1940</v>
      </c>
    </row>
    <row r="99" spans="1:5" ht="45" customHeight="1" x14ac:dyDescent="0.25">
      <c r="A99" s="398"/>
      <c r="B99" s="398">
        <v>1092</v>
      </c>
      <c r="C99" s="399" t="s">
        <v>1996</v>
      </c>
      <c r="D99" s="399" t="s">
        <v>1997</v>
      </c>
      <c r="E99" s="398">
        <v>1940</v>
      </c>
    </row>
    <row r="100" spans="1:5" ht="45" customHeight="1" x14ac:dyDescent="0.25">
      <c r="A100" s="398"/>
      <c r="B100" s="398">
        <v>1093</v>
      </c>
      <c r="C100" s="399" t="s">
        <v>1998</v>
      </c>
      <c r="D100" s="399" t="s">
        <v>1999</v>
      </c>
      <c r="E100" s="398">
        <v>1940</v>
      </c>
    </row>
    <row r="101" spans="1:5" ht="45" customHeight="1" x14ac:dyDescent="0.25">
      <c r="A101" s="398"/>
      <c r="B101" s="398">
        <v>1094</v>
      </c>
      <c r="C101" s="399" t="s">
        <v>2000</v>
      </c>
      <c r="D101" s="399" t="s">
        <v>2001</v>
      </c>
      <c r="E101" s="398">
        <v>1940</v>
      </c>
    </row>
    <row r="102" spans="1:5" ht="45" customHeight="1" x14ac:dyDescent="0.25">
      <c r="A102" s="398"/>
      <c r="B102" s="398">
        <v>1095</v>
      </c>
      <c r="C102" s="399" t="s">
        <v>2002</v>
      </c>
      <c r="D102" s="399" t="s">
        <v>2003</v>
      </c>
      <c r="E102" s="398">
        <v>1390</v>
      </c>
    </row>
    <row r="103" spans="1:5" ht="45" customHeight="1" x14ac:dyDescent="0.25">
      <c r="A103" s="398"/>
      <c r="B103" s="398">
        <v>1096</v>
      </c>
      <c r="C103" s="399" t="s">
        <v>2004</v>
      </c>
      <c r="D103" s="399" t="s">
        <v>2005</v>
      </c>
      <c r="E103" s="398">
        <v>1940</v>
      </c>
    </row>
    <row r="104" spans="1:5" ht="45" customHeight="1" x14ac:dyDescent="0.25">
      <c r="A104" s="398"/>
      <c r="B104" s="398">
        <v>1097</v>
      </c>
      <c r="C104" s="399" t="s">
        <v>2006</v>
      </c>
      <c r="D104" s="399" t="s">
        <v>2007</v>
      </c>
      <c r="E104" s="398">
        <v>1940</v>
      </c>
    </row>
    <row r="105" spans="1:5" ht="45" customHeight="1" x14ac:dyDescent="0.25">
      <c r="A105" s="398"/>
      <c r="B105" s="398">
        <v>1098</v>
      </c>
      <c r="C105" s="399" t="s">
        <v>2008</v>
      </c>
      <c r="D105" s="399" t="s">
        <v>2009</v>
      </c>
      <c r="E105" s="398">
        <v>1124</v>
      </c>
    </row>
    <row r="106" spans="1:5" ht="45" customHeight="1" x14ac:dyDescent="0.25">
      <c r="A106" s="398"/>
      <c r="B106" s="398">
        <v>1099</v>
      </c>
      <c r="C106" s="399" t="s">
        <v>2010</v>
      </c>
      <c r="D106" s="399" t="s">
        <v>2011</v>
      </c>
      <c r="E106" s="398">
        <v>1390</v>
      </c>
    </row>
    <row r="107" spans="1:5" ht="45" customHeight="1" x14ac:dyDescent="0.25">
      <c r="A107" s="398"/>
      <c r="B107" s="398">
        <v>1100</v>
      </c>
      <c r="C107" s="399" t="s">
        <v>2012</v>
      </c>
      <c r="D107" s="399" t="s">
        <v>2013</v>
      </c>
      <c r="E107" s="398">
        <v>1940</v>
      </c>
    </row>
    <row r="108" spans="1:5" ht="45" customHeight="1" x14ac:dyDescent="0.25">
      <c r="A108" s="398"/>
      <c r="B108" s="398">
        <v>1101</v>
      </c>
      <c r="C108" s="399" t="s">
        <v>2014</v>
      </c>
      <c r="D108" s="399" t="s">
        <v>2015</v>
      </c>
      <c r="E108" s="398">
        <v>1940</v>
      </c>
    </row>
    <row r="109" spans="1:5" ht="45" customHeight="1" x14ac:dyDescent="0.25">
      <c r="A109" s="398"/>
      <c r="B109" s="398">
        <v>1102</v>
      </c>
      <c r="C109" s="399" t="s">
        <v>2016</v>
      </c>
      <c r="D109" s="399" t="s">
        <v>2017</v>
      </c>
      <c r="E109" s="398">
        <v>1940</v>
      </c>
    </row>
    <row r="110" spans="1:5" ht="45" customHeight="1" x14ac:dyDescent="0.25">
      <c r="A110" s="398"/>
      <c r="B110" s="398">
        <v>1103</v>
      </c>
      <c r="C110" s="399" t="s">
        <v>2018</v>
      </c>
      <c r="D110" s="399" t="s">
        <v>2019</v>
      </c>
      <c r="E110" s="398">
        <v>1940</v>
      </c>
    </row>
    <row r="111" spans="1:5" ht="45" customHeight="1" x14ac:dyDescent="0.25">
      <c r="A111" s="398"/>
      <c r="B111" s="398">
        <v>1104</v>
      </c>
      <c r="C111" s="399" t="s">
        <v>2020</v>
      </c>
      <c r="D111" s="399" t="s">
        <v>2021</v>
      </c>
      <c r="E111" s="398">
        <v>1940</v>
      </c>
    </row>
    <row r="112" spans="1:5" ht="45" customHeight="1" x14ac:dyDescent="0.25">
      <c r="A112" s="398"/>
      <c r="B112" s="398">
        <v>1105</v>
      </c>
      <c r="C112" s="399" t="s">
        <v>2022</v>
      </c>
      <c r="D112" s="399" t="s">
        <v>2023</v>
      </c>
      <c r="E112" s="398">
        <v>1940</v>
      </c>
    </row>
    <row r="113" spans="1:5" ht="45" customHeight="1" x14ac:dyDescent="0.25">
      <c r="A113" s="398"/>
      <c r="B113" s="398">
        <v>1106</v>
      </c>
      <c r="C113" s="399" t="s">
        <v>2024</v>
      </c>
      <c r="D113" s="399" t="s">
        <v>2025</v>
      </c>
      <c r="E113" s="398">
        <v>1311</v>
      </c>
    </row>
    <row r="114" spans="1:5" ht="45" customHeight="1" x14ac:dyDescent="0.25">
      <c r="A114" s="398"/>
      <c r="B114" s="398">
        <v>1107</v>
      </c>
      <c r="C114" s="399" t="s">
        <v>2026</v>
      </c>
      <c r="D114" s="399" t="s">
        <v>2027</v>
      </c>
      <c r="E114" s="398">
        <v>1940</v>
      </c>
    </row>
    <row r="115" spans="1:5" ht="45" customHeight="1" x14ac:dyDescent="0.25">
      <c r="A115" s="398"/>
      <c r="B115" s="398">
        <v>1108</v>
      </c>
      <c r="C115" s="399" t="s">
        <v>2028</v>
      </c>
      <c r="D115" s="399" t="s">
        <v>2029</v>
      </c>
      <c r="E115" s="398">
        <v>1940</v>
      </c>
    </row>
    <row r="116" spans="1:5" ht="45" customHeight="1" x14ac:dyDescent="0.25">
      <c r="A116" s="398"/>
      <c r="B116" s="398">
        <v>1109</v>
      </c>
      <c r="C116" s="399" t="s">
        <v>2030</v>
      </c>
      <c r="D116" s="399" t="s">
        <v>2031</v>
      </c>
      <c r="E116" s="398">
        <v>1311</v>
      </c>
    </row>
    <row r="117" spans="1:5" ht="45" customHeight="1" x14ac:dyDescent="0.25">
      <c r="A117" s="398"/>
      <c r="B117" s="398">
        <v>1110</v>
      </c>
      <c r="C117" s="399" t="s">
        <v>2032</v>
      </c>
      <c r="D117" s="399" t="s">
        <v>2033</v>
      </c>
      <c r="E117" s="398">
        <v>1311</v>
      </c>
    </row>
    <row r="118" spans="1:5" ht="45" customHeight="1" x14ac:dyDescent="0.25">
      <c r="A118" s="398"/>
      <c r="B118" s="398">
        <v>1111</v>
      </c>
      <c r="C118" s="399" t="s">
        <v>2034</v>
      </c>
      <c r="D118" s="399" t="s">
        <v>2035</v>
      </c>
      <c r="E118" s="398">
        <v>1125</v>
      </c>
    </row>
    <row r="119" spans="1:5" ht="45" customHeight="1" x14ac:dyDescent="0.25">
      <c r="A119" s="398"/>
      <c r="B119" s="398">
        <v>1112</v>
      </c>
      <c r="C119" s="399" t="s">
        <v>2036</v>
      </c>
      <c r="D119" s="399" t="s">
        <v>2037</v>
      </c>
      <c r="E119" s="398">
        <v>1390</v>
      </c>
    </row>
    <row r="120" spans="1:5" ht="45" customHeight="1" x14ac:dyDescent="0.25">
      <c r="A120" s="398"/>
      <c r="B120" s="398">
        <v>1113</v>
      </c>
      <c r="C120" s="399" t="s">
        <v>2038</v>
      </c>
      <c r="D120" s="399" t="s">
        <v>2039</v>
      </c>
      <c r="E120" s="398">
        <v>1940</v>
      </c>
    </row>
    <row r="121" spans="1:5" ht="45" customHeight="1" x14ac:dyDescent="0.25">
      <c r="A121" s="398"/>
      <c r="B121" s="398">
        <v>1114</v>
      </c>
      <c r="C121" s="399" t="s">
        <v>2040</v>
      </c>
      <c r="D121" s="399" t="s">
        <v>2041</v>
      </c>
      <c r="E121" s="398">
        <v>1940</v>
      </c>
    </row>
    <row r="122" spans="1:5" ht="45" customHeight="1" x14ac:dyDescent="0.25">
      <c r="A122" s="398"/>
      <c r="B122" s="398">
        <v>1115</v>
      </c>
      <c r="C122" s="399" t="s">
        <v>2042</v>
      </c>
      <c r="D122" s="399" t="s">
        <v>2043</v>
      </c>
      <c r="E122" s="398">
        <v>1940</v>
      </c>
    </row>
    <row r="123" spans="1:5" ht="45" customHeight="1" x14ac:dyDescent="0.25">
      <c r="A123" s="398"/>
      <c r="B123" s="398">
        <v>1116</v>
      </c>
      <c r="C123" s="399" t="s">
        <v>2044</v>
      </c>
      <c r="D123" s="399" t="s">
        <v>2045</v>
      </c>
      <c r="E123" s="398">
        <v>1940</v>
      </c>
    </row>
    <row r="124" spans="1:5" ht="45" customHeight="1" x14ac:dyDescent="0.25">
      <c r="A124" s="398"/>
      <c r="B124" s="398">
        <v>1117</v>
      </c>
      <c r="C124" s="399" t="s">
        <v>2046</v>
      </c>
      <c r="D124" s="399" t="s">
        <v>2047</v>
      </c>
      <c r="E124" s="398">
        <v>1940</v>
      </c>
    </row>
    <row r="125" spans="1:5" ht="45" customHeight="1" x14ac:dyDescent="0.25">
      <c r="A125" s="398"/>
      <c r="B125" s="398">
        <v>1118</v>
      </c>
      <c r="C125" s="399" t="s">
        <v>2048</v>
      </c>
      <c r="D125" s="399" t="s">
        <v>2049</v>
      </c>
      <c r="E125" s="398">
        <v>1940</v>
      </c>
    </row>
    <row r="126" spans="1:5" ht="45" customHeight="1" x14ac:dyDescent="0.25">
      <c r="A126" s="398"/>
      <c r="B126" s="398">
        <v>1119</v>
      </c>
      <c r="C126" s="399" t="s">
        <v>2050</v>
      </c>
      <c r="D126" s="399" t="s">
        <v>2051</v>
      </c>
      <c r="E126" s="398">
        <v>1940</v>
      </c>
    </row>
    <row r="127" spans="1:5" ht="45" customHeight="1" x14ac:dyDescent="0.25">
      <c r="A127" s="398"/>
      <c r="B127" s="398">
        <v>1120</v>
      </c>
      <c r="C127" s="399" t="s">
        <v>2052</v>
      </c>
      <c r="D127" s="399" t="s">
        <v>2053</v>
      </c>
      <c r="E127" s="398">
        <v>1311</v>
      </c>
    </row>
    <row r="128" spans="1:5" ht="45" customHeight="1" x14ac:dyDescent="0.25">
      <c r="A128" s="398"/>
      <c r="B128" s="398">
        <v>1121</v>
      </c>
      <c r="C128" s="399" t="s">
        <v>2054</v>
      </c>
      <c r="D128" s="399" t="s">
        <v>2055</v>
      </c>
      <c r="E128" s="398">
        <v>1940</v>
      </c>
    </row>
    <row r="129" spans="1:5" ht="45" customHeight="1" x14ac:dyDescent="0.25">
      <c r="A129" s="398"/>
      <c r="B129" s="398">
        <v>1122</v>
      </c>
      <c r="C129" s="399" t="s">
        <v>2056</v>
      </c>
      <c r="D129" s="399" t="s">
        <v>2055</v>
      </c>
      <c r="E129" s="398">
        <v>1940</v>
      </c>
    </row>
    <row r="130" spans="1:5" ht="45" customHeight="1" x14ac:dyDescent="0.25">
      <c r="A130" s="398"/>
      <c r="B130" s="398">
        <v>1123</v>
      </c>
      <c r="C130" s="399" t="s">
        <v>2057</v>
      </c>
      <c r="D130" s="399" t="s">
        <v>2055</v>
      </c>
      <c r="E130" s="398">
        <v>1940</v>
      </c>
    </row>
    <row r="131" spans="1:5" ht="45" customHeight="1" x14ac:dyDescent="0.25">
      <c r="A131" s="398"/>
      <c r="B131" s="398">
        <v>1124</v>
      </c>
      <c r="C131" s="399" t="s">
        <v>2058</v>
      </c>
      <c r="D131" s="399" t="s">
        <v>2059</v>
      </c>
      <c r="E131" s="398">
        <v>1940</v>
      </c>
    </row>
    <row r="132" spans="1:5" ht="45" customHeight="1" x14ac:dyDescent="0.25">
      <c r="A132" s="398"/>
      <c r="B132" s="398">
        <v>1125</v>
      </c>
      <c r="C132" s="399" t="s">
        <v>2060</v>
      </c>
      <c r="D132" s="399" t="s">
        <v>2061</v>
      </c>
      <c r="E132" s="398">
        <v>1940</v>
      </c>
    </row>
    <row r="133" spans="1:5" ht="45" customHeight="1" x14ac:dyDescent="0.25">
      <c r="A133" s="398"/>
      <c r="B133" s="398">
        <v>1126</v>
      </c>
      <c r="C133" s="399" t="s">
        <v>2062</v>
      </c>
      <c r="D133" s="399" t="s">
        <v>2063</v>
      </c>
      <c r="E133" s="398">
        <v>1940</v>
      </c>
    </row>
    <row r="134" spans="1:5" ht="45" customHeight="1" x14ac:dyDescent="0.25">
      <c r="A134" s="398"/>
      <c r="B134" s="398">
        <v>1127</v>
      </c>
      <c r="C134" s="399" t="s">
        <v>1376</v>
      </c>
      <c r="D134" s="399" t="s">
        <v>2064</v>
      </c>
      <c r="E134" s="398">
        <v>1220</v>
      </c>
    </row>
    <row r="135" spans="1:5" ht="45" customHeight="1" x14ac:dyDescent="0.25">
      <c r="A135" s="398"/>
      <c r="B135" s="398">
        <v>1128</v>
      </c>
      <c r="C135" s="399" t="s">
        <v>2065</v>
      </c>
      <c r="D135" s="399" t="s">
        <v>2066</v>
      </c>
      <c r="E135" s="398">
        <v>1311</v>
      </c>
    </row>
    <row r="136" spans="1:5" ht="45" customHeight="1" x14ac:dyDescent="0.25">
      <c r="A136" s="398"/>
      <c r="B136" s="398">
        <v>1129</v>
      </c>
      <c r="C136" s="399" t="s">
        <v>2067</v>
      </c>
      <c r="D136" s="399" t="s">
        <v>2068</v>
      </c>
      <c r="E136" s="398">
        <v>1125</v>
      </c>
    </row>
    <row r="137" spans="1:5" ht="45" customHeight="1" x14ac:dyDescent="0.25">
      <c r="A137" s="398"/>
      <c r="B137" s="398">
        <v>1130</v>
      </c>
      <c r="C137" s="399" t="s">
        <v>2069</v>
      </c>
      <c r="D137" s="399" t="s">
        <v>2070</v>
      </c>
      <c r="E137" s="398">
        <v>1940</v>
      </c>
    </row>
    <row r="138" spans="1:5" ht="45" customHeight="1" x14ac:dyDescent="0.25">
      <c r="A138" s="398"/>
      <c r="B138" s="398">
        <v>1131</v>
      </c>
      <c r="C138" s="399" t="s">
        <v>2071</v>
      </c>
      <c r="D138" s="399" t="s">
        <v>2072</v>
      </c>
      <c r="E138" s="398">
        <v>1940</v>
      </c>
    </row>
    <row r="139" spans="1:5" ht="45" customHeight="1" x14ac:dyDescent="0.25">
      <c r="A139" s="398"/>
      <c r="B139" s="398">
        <v>1132</v>
      </c>
      <c r="C139" s="399" t="s">
        <v>2073</v>
      </c>
      <c r="D139" s="399" t="s">
        <v>2074</v>
      </c>
      <c r="E139" s="398">
        <v>1940</v>
      </c>
    </row>
    <row r="140" spans="1:5" ht="45" customHeight="1" x14ac:dyDescent="0.25">
      <c r="A140" s="398"/>
      <c r="B140" s="398">
        <v>1133</v>
      </c>
      <c r="C140" s="399" t="s">
        <v>2075</v>
      </c>
      <c r="D140" s="399" t="s">
        <v>2074</v>
      </c>
      <c r="E140" s="398">
        <v>1940</v>
      </c>
    </row>
    <row r="141" spans="1:5" ht="45" customHeight="1" x14ac:dyDescent="0.25">
      <c r="A141" s="398"/>
      <c r="B141" s="398">
        <v>1134</v>
      </c>
      <c r="C141" s="399" t="s">
        <v>2076</v>
      </c>
      <c r="D141" s="399" t="s">
        <v>2074</v>
      </c>
      <c r="E141" s="398">
        <v>1940</v>
      </c>
    </row>
    <row r="142" spans="1:5" ht="45" customHeight="1" x14ac:dyDescent="0.25">
      <c r="A142" s="398"/>
      <c r="B142" s="398">
        <v>1135</v>
      </c>
      <c r="C142" s="399" t="s">
        <v>2077</v>
      </c>
      <c r="D142" s="399" t="s">
        <v>2078</v>
      </c>
      <c r="E142" s="398">
        <v>1940</v>
      </c>
    </row>
    <row r="143" spans="1:5" ht="45" customHeight="1" x14ac:dyDescent="0.25">
      <c r="A143" s="398"/>
      <c r="B143" s="398">
        <v>1136</v>
      </c>
      <c r="C143" s="399" t="s">
        <v>2079</v>
      </c>
      <c r="D143" s="399" t="s">
        <v>2074</v>
      </c>
      <c r="E143" s="398">
        <v>1940</v>
      </c>
    </row>
    <row r="144" spans="1:5" ht="45" customHeight="1" x14ac:dyDescent="0.25">
      <c r="A144" s="398"/>
      <c r="B144" s="398">
        <v>1137</v>
      </c>
      <c r="C144" s="399" t="s">
        <v>2080</v>
      </c>
      <c r="D144" s="399" t="s">
        <v>1999</v>
      </c>
      <c r="E144" s="398">
        <v>1940</v>
      </c>
    </row>
    <row r="145" spans="1:5" ht="45" customHeight="1" x14ac:dyDescent="0.25">
      <c r="A145" s="398"/>
      <c r="B145" s="398">
        <v>1138</v>
      </c>
      <c r="C145" s="399" t="s">
        <v>2081</v>
      </c>
      <c r="D145" s="399" t="s">
        <v>2023</v>
      </c>
      <c r="E145" s="398">
        <v>1940</v>
      </c>
    </row>
    <row r="146" spans="1:5" ht="45" customHeight="1" x14ac:dyDescent="0.25">
      <c r="A146" s="398"/>
      <c r="B146" s="398">
        <v>1139</v>
      </c>
      <c r="C146" s="399" t="s">
        <v>2082</v>
      </c>
      <c r="D146" s="399" t="s">
        <v>2083</v>
      </c>
      <c r="E146" s="398">
        <v>1940</v>
      </c>
    </row>
    <row r="147" spans="1:5" ht="45" customHeight="1" x14ac:dyDescent="0.25">
      <c r="A147" s="398"/>
      <c r="B147" s="398">
        <v>1140</v>
      </c>
      <c r="C147" s="399" t="s">
        <v>2084</v>
      </c>
      <c r="D147" s="399" t="s">
        <v>2085</v>
      </c>
      <c r="E147" s="398">
        <v>1220</v>
      </c>
    </row>
    <row r="148" spans="1:5" ht="45" customHeight="1" x14ac:dyDescent="0.25">
      <c r="A148" s="398"/>
      <c r="B148" s="398">
        <v>1141</v>
      </c>
      <c r="C148" s="399" t="s">
        <v>2086</v>
      </c>
      <c r="D148" s="399" t="s">
        <v>2087</v>
      </c>
      <c r="E148" s="398">
        <v>1220</v>
      </c>
    </row>
    <row r="149" spans="1:5" ht="45" customHeight="1" x14ac:dyDescent="0.25">
      <c r="A149" s="398"/>
      <c r="B149" s="398">
        <v>1142</v>
      </c>
      <c r="C149" s="399" t="s">
        <v>2088</v>
      </c>
      <c r="D149" s="399" t="s">
        <v>2089</v>
      </c>
      <c r="E149" s="398">
        <v>1940</v>
      </c>
    </row>
    <row r="150" spans="1:5" ht="45" customHeight="1" x14ac:dyDescent="0.25">
      <c r="A150" s="398"/>
      <c r="B150" s="398">
        <v>1143</v>
      </c>
      <c r="C150" s="399" t="s">
        <v>2090</v>
      </c>
      <c r="D150" s="399" t="s">
        <v>2091</v>
      </c>
      <c r="E150" s="398">
        <v>1220</v>
      </c>
    </row>
    <row r="151" spans="1:5" ht="45" customHeight="1" x14ac:dyDescent="0.25">
      <c r="A151" s="398"/>
      <c r="B151" s="398">
        <v>1144</v>
      </c>
      <c r="C151" s="399" t="s">
        <v>2092</v>
      </c>
      <c r="D151" s="399" t="s">
        <v>2093</v>
      </c>
      <c r="E151" s="398">
        <v>1220</v>
      </c>
    </row>
    <row r="152" spans="1:5" ht="45" customHeight="1" x14ac:dyDescent="0.25">
      <c r="A152" s="398"/>
      <c r="B152" s="398">
        <v>1145</v>
      </c>
      <c r="C152" s="399" t="s">
        <v>2094</v>
      </c>
      <c r="D152" s="399" t="s">
        <v>2095</v>
      </c>
      <c r="E152" s="398">
        <v>1940</v>
      </c>
    </row>
    <row r="153" spans="1:5" ht="45" customHeight="1" x14ac:dyDescent="0.25">
      <c r="A153" s="398"/>
      <c r="B153" s="398">
        <v>1146</v>
      </c>
      <c r="C153" s="399" t="s">
        <v>2096</v>
      </c>
      <c r="D153" s="399" t="s">
        <v>2097</v>
      </c>
      <c r="E153" s="398">
        <v>1940</v>
      </c>
    </row>
    <row r="154" spans="1:5" ht="45" customHeight="1" x14ac:dyDescent="0.25">
      <c r="A154" s="398"/>
      <c r="B154" s="398">
        <v>1147</v>
      </c>
      <c r="C154" s="399" t="s">
        <v>2098</v>
      </c>
      <c r="D154" s="399" t="s">
        <v>2099</v>
      </c>
      <c r="E154" s="398">
        <v>1940</v>
      </c>
    </row>
    <row r="155" spans="1:5" ht="45" customHeight="1" x14ac:dyDescent="0.25">
      <c r="A155" s="398"/>
      <c r="B155" s="398">
        <v>1148</v>
      </c>
      <c r="C155" s="399" t="s">
        <v>2100</v>
      </c>
      <c r="D155" s="399" t="s">
        <v>2101</v>
      </c>
      <c r="E155" s="398">
        <v>1940</v>
      </c>
    </row>
    <row r="156" spans="1:5" ht="45" customHeight="1" x14ac:dyDescent="0.25">
      <c r="A156" s="398"/>
      <c r="B156" s="398">
        <v>1149</v>
      </c>
      <c r="C156" s="399" t="s">
        <v>1377</v>
      </c>
      <c r="D156" s="399" t="s">
        <v>2102</v>
      </c>
      <c r="E156" s="398">
        <v>1311</v>
      </c>
    </row>
    <row r="157" spans="1:5" ht="45" customHeight="1" x14ac:dyDescent="0.25">
      <c r="A157" s="398"/>
      <c r="B157" s="398">
        <v>1150</v>
      </c>
      <c r="C157" s="399" t="s">
        <v>2103</v>
      </c>
      <c r="D157" s="399" t="s">
        <v>2104</v>
      </c>
      <c r="E157" s="398">
        <v>1940</v>
      </c>
    </row>
    <row r="158" spans="1:5" ht="45" customHeight="1" x14ac:dyDescent="0.25">
      <c r="A158" s="398"/>
      <c r="B158" s="398">
        <v>1151</v>
      </c>
      <c r="C158" s="399" t="s">
        <v>2105</v>
      </c>
      <c r="D158" s="399" t="s">
        <v>2106</v>
      </c>
      <c r="E158" s="398">
        <v>1125</v>
      </c>
    </row>
    <row r="159" spans="1:5" ht="45" customHeight="1" x14ac:dyDescent="0.25">
      <c r="A159" s="398"/>
      <c r="B159" s="398">
        <v>1152</v>
      </c>
      <c r="C159" s="399" t="s">
        <v>2107</v>
      </c>
      <c r="D159" s="399" t="s">
        <v>2108</v>
      </c>
      <c r="E159" s="398">
        <v>1390</v>
      </c>
    </row>
    <row r="160" spans="1:5" ht="45" customHeight="1" x14ac:dyDescent="0.25">
      <c r="A160" s="398"/>
      <c r="B160" s="398">
        <v>1153</v>
      </c>
      <c r="C160" s="399" t="s">
        <v>2109</v>
      </c>
      <c r="D160" s="399" t="s">
        <v>2110</v>
      </c>
      <c r="E160" s="398">
        <v>1390</v>
      </c>
    </row>
    <row r="161" spans="1:5" ht="45" customHeight="1" x14ac:dyDescent="0.25">
      <c r="A161" s="398"/>
      <c r="B161" s="398">
        <v>1155</v>
      </c>
      <c r="C161" s="399" t="s">
        <v>2111</v>
      </c>
      <c r="D161" s="399" t="s">
        <v>2112</v>
      </c>
      <c r="E161" s="398">
        <v>1390</v>
      </c>
    </row>
    <row r="162" spans="1:5" ht="45" customHeight="1" x14ac:dyDescent="0.25">
      <c r="A162" s="398"/>
      <c r="B162" s="398">
        <v>1156</v>
      </c>
      <c r="C162" s="399" t="s">
        <v>1378</v>
      </c>
      <c r="D162" s="399" t="s">
        <v>2113</v>
      </c>
      <c r="E162" s="398">
        <v>1940</v>
      </c>
    </row>
    <row r="163" spans="1:5" ht="45" customHeight="1" x14ac:dyDescent="0.25">
      <c r="A163" s="398"/>
      <c r="B163" s="398">
        <v>1157</v>
      </c>
      <c r="C163" s="399" t="s">
        <v>1379</v>
      </c>
      <c r="D163" s="399" t="s">
        <v>2114</v>
      </c>
      <c r="E163" s="398">
        <v>1940</v>
      </c>
    </row>
    <row r="164" spans="1:5" ht="45" customHeight="1" x14ac:dyDescent="0.25">
      <c r="A164" s="398"/>
      <c r="B164" s="398">
        <v>1158</v>
      </c>
      <c r="C164" s="399" t="s">
        <v>2115</v>
      </c>
      <c r="D164" s="399" t="s">
        <v>2116</v>
      </c>
      <c r="E164" s="398">
        <v>1190</v>
      </c>
    </row>
    <row r="165" spans="1:5" ht="45" customHeight="1" x14ac:dyDescent="0.25">
      <c r="A165" s="398"/>
      <c r="B165" s="398">
        <v>1159</v>
      </c>
      <c r="C165" s="399" t="s">
        <v>2117</v>
      </c>
      <c r="D165" s="399" t="s">
        <v>2118</v>
      </c>
      <c r="E165" s="398">
        <v>1940</v>
      </c>
    </row>
    <row r="166" spans="1:5" ht="45" customHeight="1" x14ac:dyDescent="0.25">
      <c r="A166" s="398"/>
      <c r="B166" s="398">
        <v>1160</v>
      </c>
      <c r="C166" s="399" t="s">
        <v>2119</v>
      </c>
      <c r="D166" s="399" t="s">
        <v>2120</v>
      </c>
      <c r="E166" s="398">
        <v>1940</v>
      </c>
    </row>
    <row r="167" spans="1:5" ht="45" customHeight="1" x14ac:dyDescent="0.25">
      <c r="A167" s="398"/>
      <c r="B167" s="398">
        <v>1161</v>
      </c>
      <c r="C167" s="399" t="s">
        <v>2121</v>
      </c>
      <c r="D167" s="399" t="s">
        <v>2122</v>
      </c>
      <c r="E167" s="398">
        <v>1311</v>
      </c>
    </row>
    <row r="168" spans="1:5" ht="45" customHeight="1" x14ac:dyDescent="0.25">
      <c r="A168" s="398"/>
      <c r="B168" s="398">
        <v>1162</v>
      </c>
      <c r="C168" s="399" t="s">
        <v>1380</v>
      </c>
      <c r="D168" s="399" t="s">
        <v>2123</v>
      </c>
      <c r="E168" s="398">
        <v>1311</v>
      </c>
    </row>
    <row r="169" spans="1:5" ht="45" customHeight="1" x14ac:dyDescent="0.25">
      <c r="A169" s="398"/>
      <c r="B169" s="398">
        <v>1163</v>
      </c>
      <c r="C169" s="399" t="s">
        <v>1381</v>
      </c>
      <c r="D169" s="399" t="s">
        <v>2124</v>
      </c>
      <c r="E169" s="398">
        <v>1311</v>
      </c>
    </row>
    <row r="170" spans="1:5" ht="45" customHeight="1" x14ac:dyDescent="0.25">
      <c r="A170" s="398"/>
      <c r="B170" s="398">
        <v>1164</v>
      </c>
      <c r="C170" s="399" t="s">
        <v>1382</v>
      </c>
      <c r="D170" s="399" t="s">
        <v>2125</v>
      </c>
      <c r="E170" s="398">
        <v>1311</v>
      </c>
    </row>
    <row r="171" spans="1:5" ht="45" customHeight="1" x14ac:dyDescent="0.25">
      <c r="A171" s="398"/>
      <c r="B171" s="398">
        <v>1165</v>
      </c>
      <c r="C171" s="399" t="s">
        <v>1383</v>
      </c>
      <c r="D171" s="399" t="s">
        <v>2126</v>
      </c>
      <c r="E171" s="398">
        <v>1990</v>
      </c>
    </row>
    <row r="172" spans="1:5" ht="45" customHeight="1" x14ac:dyDescent="0.25">
      <c r="A172" s="398"/>
      <c r="B172" s="398">
        <v>1166</v>
      </c>
      <c r="C172" s="399" t="s">
        <v>1384</v>
      </c>
      <c r="D172" s="399" t="s">
        <v>2127</v>
      </c>
      <c r="E172" s="398">
        <v>1990</v>
      </c>
    </row>
    <row r="173" spans="1:5" ht="45" customHeight="1" x14ac:dyDescent="0.25">
      <c r="A173" s="398"/>
      <c r="B173" s="398">
        <v>1167</v>
      </c>
      <c r="C173" s="399" t="s">
        <v>1385</v>
      </c>
      <c r="D173" s="399" t="s">
        <v>2128</v>
      </c>
      <c r="E173" s="398">
        <v>1312</v>
      </c>
    </row>
    <row r="174" spans="1:5" ht="45" customHeight="1" x14ac:dyDescent="0.25">
      <c r="A174" s="398"/>
      <c r="B174" s="398">
        <v>1168</v>
      </c>
      <c r="C174" s="399" t="s">
        <v>1386</v>
      </c>
      <c r="D174" s="399" t="s">
        <v>2129</v>
      </c>
      <c r="E174" s="398">
        <v>1990</v>
      </c>
    </row>
    <row r="175" spans="1:5" ht="45" customHeight="1" x14ac:dyDescent="0.25">
      <c r="A175" s="398"/>
      <c r="B175" s="398">
        <v>1169</v>
      </c>
      <c r="C175" s="399" t="s">
        <v>2130</v>
      </c>
      <c r="D175" s="399" t="s">
        <v>2131</v>
      </c>
      <c r="E175" s="398">
        <v>1990</v>
      </c>
    </row>
    <row r="176" spans="1:5" ht="45" customHeight="1" x14ac:dyDescent="0.25">
      <c r="A176" s="398"/>
      <c r="B176" s="398">
        <v>1170</v>
      </c>
      <c r="C176" s="399" t="s">
        <v>1387</v>
      </c>
      <c r="D176" s="399" t="s">
        <v>2132</v>
      </c>
      <c r="E176" s="398">
        <v>1190</v>
      </c>
    </row>
    <row r="177" spans="1:5" ht="45" customHeight="1" x14ac:dyDescent="0.25">
      <c r="A177" s="398"/>
      <c r="B177" s="398">
        <v>1171</v>
      </c>
      <c r="C177" s="399" t="s">
        <v>1388</v>
      </c>
      <c r="D177" s="399" t="s">
        <v>2133</v>
      </c>
      <c r="E177" s="398">
        <v>1990</v>
      </c>
    </row>
    <row r="178" spans="1:5" ht="45" customHeight="1" x14ac:dyDescent="0.25">
      <c r="A178" s="398"/>
      <c r="B178" s="398">
        <v>1172</v>
      </c>
      <c r="C178" s="399" t="s">
        <v>1389</v>
      </c>
      <c r="D178" s="399" t="s">
        <v>2134</v>
      </c>
      <c r="E178" s="398">
        <v>1111</v>
      </c>
    </row>
    <row r="179" spans="1:5" ht="45" customHeight="1" x14ac:dyDescent="0.25">
      <c r="A179" s="398"/>
      <c r="B179" s="398">
        <v>1173</v>
      </c>
      <c r="C179" s="399" t="s">
        <v>1390</v>
      </c>
      <c r="D179" s="399" t="s">
        <v>2135</v>
      </c>
      <c r="E179" s="398">
        <v>1390</v>
      </c>
    </row>
    <row r="180" spans="1:5" ht="45" customHeight="1" x14ac:dyDescent="0.25">
      <c r="A180" s="398"/>
      <c r="B180" s="398">
        <v>4000</v>
      </c>
      <c r="C180" s="399" t="s">
        <v>2136</v>
      </c>
      <c r="D180" s="399" t="s">
        <v>2137</v>
      </c>
      <c r="E180" s="398">
        <v>1213</v>
      </c>
    </row>
    <row r="181" spans="1:5" ht="45" customHeight="1" x14ac:dyDescent="0.25">
      <c r="A181" s="568"/>
      <c r="B181" s="568">
        <v>4002</v>
      </c>
      <c r="C181" s="569" t="s">
        <v>3379</v>
      </c>
      <c r="D181" s="569" t="s">
        <v>3380</v>
      </c>
      <c r="E181" s="568">
        <v>1220</v>
      </c>
    </row>
    <row r="182" spans="1:5" ht="45" customHeight="1" x14ac:dyDescent="0.25">
      <c r="A182" s="398"/>
      <c r="B182" s="398">
        <v>4010</v>
      </c>
      <c r="C182" s="399" t="s">
        <v>1978</v>
      </c>
      <c r="D182" s="399" t="s">
        <v>2138</v>
      </c>
      <c r="E182" s="398">
        <v>1213</v>
      </c>
    </row>
    <row r="183" spans="1:5" ht="45" customHeight="1" x14ac:dyDescent="0.25">
      <c r="A183" s="398"/>
      <c r="B183" s="398">
        <v>4011</v>
      </c>
      <c r="C183" s="399" t="s">
        <v>2139</v>
      </c>
      <c r="D183" s="399" t="s">
        <v>2140</v>
      </c>
      <c r="E183" s="398">
        <v>1213</v>
      </c>
    </row>
    <row r="184" spans="1:5" ht="45" customHeight="1" x14ac:dyDescent="0.25">
      <c r="A184" s="398"/>
      <c r="B184" s="398">
        <v>4020</v>
      </c>
      <c r="C184" s="399" t="s">
        <v>2141</v>
      </c>
      <c r="D184" s="399" t="s">
        <v>2142</v>
      </c>
      <c r="E184" s="398">
        <v>1213</v>
      </c>
    </row>
    <row r="185" spans="1:5" ht="45" customHeight="1" x14ac:dyDescent="0.25">
      <c r="A185" s="398"/>
      <c r="B185" s="398">
        <v>4030</v>
      </c>
      <c r="C185" s="399" t="s">
        <v>2143</v>
      </c>
      <c r="D185" s="399" t="s">
        <v>2144</v>
      </c>
      <c r="E185" s="398">
        <v>1213</v>
      </c>
    </row>
    <row r="186" spans="1:5" ht="45" customHeight="1" x14ac:dyDescent="0.25">
      <c r="A186" s="398"/>
      <c r="B186" s="398">
        <v>4050</v>
      </c>
      <c r="C186" s="399" t="s">
        <v>2145</v>
      </c>
      <c r="D186" s="399" t="s">
        <v>2146</v>
      </c>
      <c r="E186" s="398">
        <v>1213</v>
      </c>
    </row>
    <row r="187" spans="1:5" ht="45" customHeight="1" x14ac:dyDescent="0.25">
      <c r="A187" s="398"/>
      <c r="B187" s="398">
        <v>4051</v>
      </c>
      <c r="C187" s="399" t="s">
        <v>1391</v>
      </c>
      <c r="D187" s="399" t="s">
        <v>2147</v>
      </c>
      <c r="E187" s="398">
        <v>1213</v>
      </c>
    </row>
    <row r="188" spans="1:5" ht="45" customHeight="1" x14ac:dyDescent="0.25">
      <c r="A188" s="398"/>
      <c r="B188" s="398">
        <v>4070</v>
      </c>
      <c r="C188" s="399" t="s">
        <v>1392</v>
      </c>
      <c r="D188" s="399" t="s">
        <v>2148</v>
      </c>
      <c r="E188" s="398">
        <v>1213</v>
      </c>
    </row>
    <row r="189" spans="1:5" ht="45" customHeight="1" x14ac:dyDescent="0.25">
      <c r="A189" s="398"/>
      <c r="B189" s="398">
        <v>4080</v>
      </c>
      <c r="C189" s="399" t="s">
        <v>1857</v>
      </c>
      <c r="D189" s="399" t="s">
        <v>2149</v>
      </c>
      <c r="E189" s="398">
        <v>1213</v>
      </c>
    </row>
    <row r="190" spans="1:5" ht="45" customHeight="1" x14ac:dyDescent="0.25">
      <c r="A190" s="398"/>
      <c r="B190" s="398">
        <v>4090</v>
      </c>
      <c r="C190" s="399" t="s">
        <v>1393</v>
      </c>
      <c r="D190" s="399" t="s">
        <v>2150</v>
      </c>
      <c r="E190" s="398">
        <v>1213</v>
      </c>
    </row>
    <row r="191" spans="1:5" ht="45" customHeight="1" x14ac:dyDescent="0.25">
      <c r="A191" s="398"/>
      <c r="B191" s="398">
        <v>4110</v>
      </c>
      <c r="C191" s="399" t="s">
        <v>2151</v>
      </c>
      <c r="D191" s="399" t="s">
        <v>2152</v>
      </c>
      <c r="E191" s="398">
        <v>1213</v>
      </c>
    </row>
    <row r="192" spans="1:5" ht="45" customHeight="1" x14ac:dyDescent="0.25">
      <c r="A192" s="398"/>
      <c r="B192" s="398">
        <v>4160</v>
      </c>
      <c r="C192" s="399" t="s">
        <v>2153</v>
      </c>
      <c r="D192" s="399" t="s">
        <v>2154</v>
      </c>
      <c r="E192" s="398">
        <v>1213</v>
      </c>
    </row>
    <row r="193" spans="1:5" ht="45" customHeight="1" x14ac:dyDescent="0.25">
      <c r="A193" s="398"/>
      <c r="B193" s="398">
        <v>4190</v>
      </c>
      <c r="C193" s="399" t="s">
        <v>1394</v>
      </c>
      <c r="D193" s="399" t="s">
        <v>2155</v>
      </c>
      <c r="E193" s="398">
        <v>1213</v>
      </c>
    </row>
    <row r="194" spans="1:5" ht="45" customHeight="1" x14ac:dyDescent="0.25">
      <c r="A194" s="398"/>
      <c r="B194" s="398">
        <v>4230</v>
      </c>
      <c r="C194" s="399" t="s">
        <v>1395</v>
      </c>
      <c r="D194" s="399" t="s">
        <v>2156</v>
      </c>
      <c r="E194" s="398">
        <v>1213</v>
      </c>
    </row>
    <row r="195" spans="1:5" ht="45" customHeight="1" x14ac:dyDescent="0.25">
      <c r="A195" s="398"/>
      <c r="B195" s="398">
        <v>4231</v>
      </c>
      <c r="C195" s="399" t="s">
        <v>2157</v>
      </c>
      <c r="D195" s="399" t="s">
        <v>2158</v>
      </c>
      <c r="E195" s="398">
        <v>1213</v>
      </c>
    </row>
    <row r="196" spans="1:5" ht="45" customHeight="1" x14ac:dyDescent="0.25">
      <c r="A196" s="398"/>
      <c r="B196" s="398">
        <v>4232</v>
      </c>
      <c r="C196" s="399" t="s">
        <v>2159</v>
      </c>
      <c r="D196" s="399" t="s">
        <v>2160</v>
      </c>
      <c r="E196" s="398">
        <v>1213</v>
      </c>
    </row>
    <row r="197" spans="1:5" ht="45" customHeight="1" x14ac:dyDescent="0.25">
      <c r="A197" s="398"/>
      <c r="B197" s="398">
        <v>4241</v>
      </c>
      <c r="C197" s="399" t="s">
        <v>1396</v>
      </c>
      <c r="D197" s="399" t="s">
        <v>2161</v>
      </c>
      <c r="E197" s="398">
        <v>1213</v>
      </c>
    </row>
    <row r="198" spans="1:5" ht="45" customHeight="1" x14ac:dyDescent="0.25">
      <c r="A198" s="398"/>
      <c r="B198" s="398">
        <v>4260</v>
      </c>
      <c r="C198" s="399" t="s">
        <v>2162</v>
      </c>
      <c r="D198" s="399" t="s">
        <v>2163</v>
      </c>
      <c r="E198" s="398">
        <v>1213</v>
      </c>
    </row>
    <row r="199" spans="1:5" ht="45" customHeight="1" x14ac:dyDescent="0.25">
      <c r="A199" s="398"/>
      <c r="B199" s="398">
        <v>4281</v>
      </c>
      <c r="C199" s="399" t="s">
        <v>2164</v>
      </c>
      <c r="D199" s="399" t="s">
        <v>2165</v>
      </c>
      <c r="E199" s="398">
        <v>1213</v>
      </c>
    </row>
    <row r="200" spans="1:5" ht="45" customHeight="1" x14ac:dyDescent="0.25">
      <c r="A200" s="398"/>
      <c r="B200" s="398">
        <v>4292</v>
      </c>
      <c r="C200" s="399" t="s">
        <v>2166</v>
      </c>
      <c r="D200" s="399" t="s">
        <v>2167</v>
      </c>
      <c r="E200" s="398">
        <v>1213</v>
      </c>
    </row>
    <row r="201" spans="1:5" ht="45" customHeight="1" x14ac:dyDescent="0.25">
      <c r="A201" s="398"/>
      <c r="B201" s="398">
        <v>4293</v>
      </c>
      <c r="C201" s="399" t="s">
        <v>2168</v>
      </c>
      <c r="D201" s="399" t="s">
        <v>2169</v>
      </c>
      <c r="E201" s="398">
        <v>1213</v>
      </c>
    </row>
    <row r="202" spans="1:5" ht="45" customHeight="1" x14ac:dyDescent="0.25">
      <c r="A202" s="1468"/>
      <c r="B202" s="1468">
        <v>4295</v>
      </c>
      <c r="C202" s="1469" t="s">
        <v>2170</v>
      </c>
      <c r="D202" s="399" t="s">
        <v>2171</v>
      </c>
      <c r="E202" s="1468">
        <v>1213</v>
      </c>
    </row>
    <row r="203" spans="1:5" ht="45" customHeight="1" x14ac:dyDescent="0.25">
      <c r="A203" s="1468"/>
      <c r="B203" s="1468"/>
      <c r="C203" s="1469"/>
      <c r="D203" s="399" t="s">
        <v>2172</v>
      </c>
      <c r="E203" s="1468"/>
    </row>
    <row r="204" spans="1:5" ht="45" customHeight="1" x14ac:dyDescent="0.25">
      <c r="A204" s="398"/>
      <c r="B204" s="398">
        <v>4300</v>
      </c>
      <c r="C204" s="399" t="s">
        <v>1972</v>
      </c>
      <c r="D204" s="399" t="s">
        <v>2173</v>
      </c>
      <c r="E204" s="398">
        <v>1213</v>
      </c>
    </row>
    <row r="205" spans="1:5" ht="45" customHeight="1" x14ac:dyDescent="0.25">
      <c r="A205" s="398"/>
      <c r="B205" s="398">
        <v>4510</v>
      </c>
      <c r="C205" s="399" t="s">
        <v>1397</v>
      </c>
      <c r="D205" s="399" t="s">
        <v>2174</v>
      </c>
      <c r="E205" s="398">
        <v>1212</v>
      </c>
    </row>
    <row r="206" spans="1:5" ht="45" customHeight="1" x14ac:dyDescent="0.25">
      <c r="A206" s="398"/>
      <c r="B206" s="398">
        <v>4520</v>
      </c>
      <c r="C206" s="399" t="s">
        <v>1855</v>
      </c>
      <c r="D206" s="399" t="s">
        <v>2175</v>
      </c>
      <c r="E206" s="398">
        <v>1212</v>
      </c>
    </row>
    <row r="207" spans="1:5" ht="45" customHeight="1" x14ac:dyDescent="0.25">
      <c r="A207" s="398"/>
      <c r="B207" s="398">
        <v>4530</v>
      </c>
      <c r="C207" s="399" t="s">
        <v>1857</v>
      </c>
      <c r="D207" s="399" t="s">
        <v>2176</v>
      </c>
      <c r="E207" s="398">
        <v>1212</v>
      </c>
    </row>
    <row r="208" spans="1:5" ht="45" customHeight="1" x14ac:dyDescent="0.25">
      <c r="A208" s="398"/>
      <c r="B208" s="398">
        <v>4580</v>
      </c>
      <c r="C208" s="399" t="s">
        <v>1398</v>
      </c>
      <c r="D208" s="399" t="s">
        <v>2177</v>
      </c>
      <c r="E208" s="398">
        <v>1212</v>
      </c>
    </row>
    <row r="209" spans="1:5" ht="45" customHeight="1" x14ac:dyDescent="0.25">
      <c r="A209" s="398"/>
      <c r="B209" s="398">
        <v>4710</v>
      </c>
      <c r="C209" s="399" t="s">
        <v>2178</v>
      </c>
      <c r="D209" s="399" t="s">
        <v>2179</v>
      </c>
      <c r="E209" s="398">
        <v>1212</v>
      </c>
    </row>
    <row r="210" spans="1:5" ht="45" customHeight="1" x14ac:dyDescent="0.25">
      <c r="A210" s="398"/>
      <c r="B210" s="398">
        <v>4770</v>
      </c>
      <c r="C210" s="399" t="s">
        <v>1399</v>
      </c>
      <c r="D210" s="399" t="s">
        <v>2180</v>
      </c>
      <c r="E210" s="398">
        <v>1212</v>
      </c>
    </row>
    <row r="211" spans="1:5" ht="45" customHeight="1" x14ac:dyDescent="0.25">
      <c r="A211" s="398"/>
      <c r="B211" s="398">
        <v>4780</v>
      </c>
      <c r="C211" s="399" t="s">
        <v>2181</v>
      </c>
      <c r="D211" s="399" t="s">
        <v>2182</v>
      </c>
      <c r="E211" s="398">
        <v>1212</v>
      </c>
    </row>
    <row r="212" spans="1:5" ht="45" customHeight="1" x14ac:dyDescent="0.25">
      <c r="A212" s="398"/>
      <c r="B212" s="398">
        <v>4911</v>
      </c>
      <c r="C212" s="399" t="s">
        <v>1400</v>
      </c>
      <c r="D212" s="399" t="s">
        <v>2183</v>
      </c>
      <c r="E212" s="398">
        <v>1212</v>
      </c>
    </row>
    <row r="213" spans="1:5" ht="45" customHeight="1" x14ac:dyDescent="0.25">
      <c r="A213" s="398"/>
      <c r="B213" s="398">
        <v>4931</v>
      </c>
      <c r="C213" s="399" t="s">
        <v>1401</v>
      </c>
      <c r="D213" s="399" t="s">
        <v>2184</v>
      </c>
      <c r="E213" s="398">
        <v>1212</v>
      </c>
    </row>
    <row r="214" spans="1:5" ht="45" customHeight="1" x14ac:dyDescent="0.25">
      <c r="A214" s="398"/>
      <c r="B214" s="398">
        <v>4935</v>
      </c>
      <c r="C214" s="399" t="s">
        <v>1402</v>
      </c>
      <c r="D214" s="399" t="s">
        <v>2185</v>
      </c>
      <c r="E214" s="398">
        <v>1212</v>
      </c>
    </row>
    <row r="215" spans="1:5" ht="45" customHeight="1" x14ac:dyDescent="0.25">
      <c r="A215" s="398"/>
      <c r="B215" s="398">
        <v>4937</v>
      </c>
      <c r="C215" s="399" t="s">
        <v>2186</v>
      </c>
      <c r="D215" s="399" t="s">
        <v>2187</v>
      </c>
      <c r="E215" s="398">
        <v>1212</v>
      </c>
    </row>
    <row r="216" spans="1:5" ht="45" customHeight="1" x14ac:dyDescent="0.25">
      <c r="A216" s="398"/>
      <c r="B216" s="398">
        <v>4940</v>
      </c>
      <c r="C216" s="399" t="s">
        <v>2188</v>
      </c>
      <c r="D216" s="399" t="s">
        <v>2189</v>
      </c>
      <c r="E216" s="398">
        <v>1212</v>
      </c>
    </row>
    <row r="217" spans="1:5" ht="45" customHeight="1" x14ac:dyDescent="0.25">
      <c r="A217" s="398"/>
      <c r="B217" s="398">
        <v>8001</v>
      </c>
      <c r="C217" s="399" t="s">
        <v>1370</v>
      </c>
      <c r="D217" s="399" t="s">
        <v>2190</v>
      </c>
      <c r="E217" s="398">
        <v>1970</v>
      </c>
    </row>
    <row r="218" spans="1:5" ht="45" customHeight="1" x14ac:dyDescent="0.25">
      <c r="A218" s="398"/>
      <c r="B218" s="398">
        <v>8006</v>
      </c>
      <c r="C218" s="399" t="s">
        <v>1859</v>
      </c>
      <c r="D218" s="399" t="s">
        <v>2191</v>
      </c>
      <c r="E218" s="398">
        <v>1970</v>
      </c>
    </row>
    <row r="219" spans="1:5" ht="45" customHeight="1" x14ac:dyDescent="0.25">
      <c r="A219" s="398"/>
      <c r="B219" s="398">
        <v>8009</v>
      </c>
      <c r="C219" s="399" t="s">
        <v>2192</v>
      </c>
      <c r="D219" s="399" t="s">
        <v>2193</v>
      </c>
      <c r="E219" s="398">
        <v>1970</v>
      </c>
    </row>
    <row r="220" spans="1:5" ht="45" customHeight="1" x14ac:dyDescent="0.25">
      <c r="A220" s="398"/>
      <c r="B220" s="398">
        <v>8011</v>
      </c>
      <c r="C220" s="399" t="s">
        <v>2194</v>
      </c>
      <c r="D220" s="399" t="s">
        <v>2195</v>
      </c>
      <c r="E220" s="398">
        <v>1970</v>
      </c>
    </row>
    <row r="221" spans="1:5" ht="45" customHeight="1" x14ac:dyDescent="0.25">
      <c r="A221" s="398"/>
      <c r="B221" s="398">
        <v>8012</v>
      </c>
      <c r="C221" s="399" t="s">
        <v>2196</v>
      </c>
      <c r="D221" s="399" t="s">
        <v>2197</v>
      </c>
      <c r="E221" s="398">
        <v>1970</v>
      </c>
    </row>
    <row r="222" spans="1:5" ht="45" customHeight="1" x14ac:dyDescent="0.25">
      <c r="A222" s="398"/>
      <c r="B222" s="398">
        <v>8013</v>
      </c>
      <c r="C222" s="399" t="s">
        <v>2198</v>
      </c>
      <c r="D222" s="399" t="s">
        <v>2199</v>
      </c>
      <c r="E222" s="398">
        <v>1970</v>
      </c>
    </row>
    <row r="223" spans="1:5" ht="45" customHeight="1" x14ac:dyDescent="0.25">
      <c r="A223" s="398"/>
      <c r="B223" s="398">
        <v>8015</v>
      </c>
      <c r="C223" s="399" t="s">
        <v>2200</v>
      </c>
      <c r="D223" s="399" t="s">
        <v>2140</v>
      </c>
      <c r="E223" s="398">
        <v>1970</v>
      </c>
    </row>
    <row r="224" spans="1:5" ht="45" customHeight="1" x14ac:dyDescent="0.25">
      <c r="A224" s="398"/>
      <c r="B224" s="398">
        <v>8019</v>
      </c>
      <c r="C224" s="399" t="s">
        <v>90</v>
      </c>
      <c r="D224" s="399" t="s">
        <v>2201</v>
      </c>
      <c r="E224" s="398">
        <v>1970</v>
      </c>
    </row>
    <row r="225" spans="1:5" ht="45" customHeight="1" x14ac:dyDescent="0.25">
      <c r="A225" s="398"/>
      <c r="B225" s="398">
        <v>8020</v>
      </c>
      <c r="C225" s="399" t="s">
        <v>1371</v>
      </c>
      <c r="D225" s="399" t="s">
        <v>2202</v>
      </c>
      <c r="E225" s="398">
        <v>1970</v>
      </c>
    </row>
    <row r="226" spans="1:5" ht="45" customHeight="1" x14ac:dyDescent="0.25">
      <c r="A226" s="398"/>
      <c r="B226" s="398">
        <v>8023</v>
      </c>
      <c r="C226" s="399" t="s">
        <v>1394</v>
      </c>
      <c r="D226" s="399" t="s">
        <v>2203</v>
      </c>
      <c r="E226" s="398">
        <v>1970</v>
      </c>
    </row>
    <row r="227" spans="1:5" ht="45" customHeight="1" x14ac:dyDescent="0.25">
      <c r="A227" s="398"/>
      <c r="B227" s="398">
        <v>8030</v>
      </c>
      <c r="C227" s="399" t="s">
        <v>1843</v>
      </c>
      <c r="D227" s="399" t="s">
        <v>2204</v>
      </c>
      <c r="E227" s="398">
        <v>1970</v>
      </c>
    </row>
    <row r="228" spans="1:5" ht="45" customHeight="1" x14ac:dyDescent="0.25">
      <c r="A228" s="398"/>
      <c r="B228" s="398">
        <v>8031</v>
      </c>
      <c r="C228" s="399" t="s">
        <v>1372</v>
      </c>
      <c r="D228" s="399" t="s">
        <v>2205</v>
      </c>
      <c r="E228" s="398">
        <v>1970</v>
      </c>
    </row>
    <row r="229" spans="1:5" ht="45" customHeight="1" x14ac:dyDescent="0.25">
      <c r="A229" s="398"/>
      <c r="B229" s="398">
        <v>8034</v>
      </c>
      <c r="C229" s="399" t="s">
        <v>1908</v>
      </c>
      <c r="D229" s="399" t="s">
        <v>2206</v>
      </c>
      <c r="E229" s="398">
        <v>1970</v>
      </c>
    </row>
    <row r="230" spans="1:5" ht="45" customHeight="1" x14ac:dyDescent="0.25">
      <c r="A230" s="398"/>
      <c r="B230" s="398">
        <v>8035</v>
      </c>
      <c r="C230" s="399" t="s">
        <v>1402</v>
      </c>
      <c r="D230" s="399" t="s">
        <v>2207</v>
      </c>
      <c r="E230" s="398">
        <v>1970</v>
      </c>
    </row>
    <row r="231" spans="1:5" ht="45" customHeight="1" x14ac:dyDescent="0.25">
      <c r="A231" s="398"/>
      <c r="B231" s="398">
        <v>8040</v>
      </c>
      <c r="C231" s="399" t="s">
        <v>1373</v>
      </c>
      <c r="D231" s="399" t="s">
        <v>2208</v>
      </c>
      <c r="E231" s="398">
        <v>1970</v>
      </c>
    </row>
    <row r="232" spans="1:5" ht="45" customHeight="1" x14ac:dyDescent="0.25">
      <c r="A232" s="398"/>
      <c r="B232" s="398">
        <v>8047</v>
      </c>
      <c r="C232" s="399" t="s">
        <v>1913</v>
      </c>
      <c r="D232" s="399" t="s">
        <v>2209</v>
      </c>
      <c r="E232" s="398">
        <v>1970</v>
      </c>
    </row>
    <row r="233" spans="1:5" ht="45" customHeight="1" x14ac:dyDescent="0.25">
      <c r="A233" s="398"/>
      <c r="B233" s="398">
        <v>8049</v>
      </c>
      <c r="C233" s="399" t="s">
        <v>1890</v>
      </c>
      <c r="D233" s="399" t="s">
        <v>2210</v>
      </c>
      <c r="E233" s="398">
        <v>1970</v>
      </c>
    </row>
    <row r="234" spans="1:5" ht="45" customHeight="1" x14ac:dyDescent="0.25">
      <c r="A234" s="398"/>
      <c r="B234" s="398">
        <v>8050</v>
      </c>
      <c r="C234" s="399" t="s">
        <v>2211</v>
      </c>
      <c r="D234" s="399" t="s">
        <v>2212</v>
      </c>
      <c r="E234" s="398">
        <v>1970</v>
      </c>
    </row>
    <row r="235" spans="1:5" ht="45" customHeight="1" x14ac:dyDescent="0.25">
      <c r="A235" s="398"/>
      <c r="B235" s="398">
        <v>8052</v>
      </c>
      <c r="C235" s="399" t="s">
        <v>1921</v>
      </c>
      <c r="D235" s="399" t="s">
        <v>2213</v>
      </c>
      <c r="E235" s="398">
        <v>1970</v>
      </c>
    </row>
    <row r="236" spans="1:5" ht="45" customHeight="1" x14ac:dyDescent="0.25">
      <c r="A236" s="398"/>
      <c r="B236" s="398">
        <v>8063</v>
      </c>
      <c r="C236" s="399" t="s">
        <v>2214</v>
      </c>
      <c r="D236" s="399" t="s">
        <v>2215</v>
      </c>
      <c r="E236" s="398">
        <v>1970</v>
      </c>
    </row>
    <row r="237" spans="1:5" ht="45" customHeight="1" x14ac:dyDescent="0.25">
      <c r="A237" s="398"/>
      <c r="B237" s="398">
        <v>8067</v>
      </c>
      <c r="C237" s="399" t="s">
        <v>1949</v>
      </c>
      <c r="D237" s="399" t="s">
        <v>2216</v>
      </c>
      <c r="E237" s="398">
        <v>1970</v>
      </c>
    </row>
    <row r="238" spans="1:5" ht="45" customHeight="1" x14ac:dyDescent="0.25">
      <c r="A238" s="398"/>
      <c r="B238" s="398">
        <v>8070</v>
      </c>
      <c r="C238" s="399" t="s">
        <v>2217</v>
      </c>
      <c r="D238" s="399" t="s">
        <v>2218</v>
      </c>
      <c r="E238" s="398">
        <v>1970</v>
      </c>
    </row>
    <row r="239" spans="1:5" ht="45" customHeight="1" x14ac:dyDescent="0.25">
      <c r="A239" s="398"/>
      <c r="B239" s="398">
        <v>8080</v>
      </c>
      <c r="C239" s="399" t="s">
        <v>2219</v>
      </c>
      <c r="D239" s="399" t="s">
        <v>2220</v>
      </c>
      <c r="E239" s="398">
        <v>1970</v>
      </c>
    </row>
    <row r="240" spans="1:5" ht="45" customHeight="1" x14ac:dyDescent="0.25">
      <c r="A240" s="398"/>
      <c r="B240" s="398">
        <v>8081</v>
      </c>
      <c r="C240" s="399" t="s">
        <v>1976</v>
      </c>
      <c r="D240" s="399" t="s">
        <v>2221</v>
      </c>
      <c r="E240" s="398">
        <v>1970</v>
      </c>
    </row>
    <row r="241" spans="1:5" ht="45" customHeight="1" x14ac:dyDescent="0.25">
      <c r="A241" s="398"/>
      <c r="B241" s="398">
        <v>8089</v>
      </c>
      <c r="C241" s="399" t="s">
        <v>1991</v>
      </c>
      <c r="D241" s="399" t="s">
        <v>2222</v>
      </c>
      <c r="E241" s="398">
        <v>1970</v>
      </c>
    </row>
    <row r="242" spans="1:5" ht="45" customHeight="1" x14ac:dyDescent="0.25">
      <c r="A242" s="398"/>
      <c r="B242" s="398">
        <v>8091</v>
      </c>
      <c r="C242" s="399" t="s">
        <v>1994</v>
      </c>
      <c r="D242" s="399" t="s">
        <v>2223</v>
      </c>
      <c r="E242" s="398">
        <v>1970</v>
      </c>
    </row>
    <row r="243" spans="1:5" ht="45" customHeight="1" x14ac:dyDescent="0.25">
      <c r="A243" s="398"/>
      <c r="B243" s="398">
        <v>8093</v>
      </c>
      <c r="C243" s="399" t="s">
        <v>1998</v>
      </c>
      <c r="D243" s="399" t="s">
        <v>2218</v>
      </c>
      <c r="E243" s="398">
        <v>1970</v>
      </c>
    </row>
    <row r="244" spans="1:5" ht="45" customHeight="1" x14ac:dyDescent="0.25">
      <c r="A244" s="398"/>
      <c r="B244" s="398">
        <v>8097</v>
      </c>
      <c r="C244" s="399" t="s">
        <v>2006</v>
      </c>
      <c r="D244" s="399" t="s">
        <v>2224</v>
      </c>
      <c r="E244" s="398">
        <v>1970</v>
      </c>
    </row>
    <row r="245" spans="1:5" ht="45" customHeight="1" x14ac:dyDescent="0.25">
      <c r="A245" s="398"/>
      <c r="B245" s="398">
        <v>8099</v>
      </c>
      <c r="C245" s="399" t="s">
        <v>2225</v>
      </c>
      <c r="D245" s="399" t="s">
        <v>2226</v>
      </c>
      <c r="E245" s="398">
        <v>1970</v>
      </c>
    </row>
    <row r="246" spans="1:5" ht="45" customHeight="1" x14ac:dyDescent="0.25">
      <c r="A246" s="398"/>
      <c r="B246" s="398">
        <v>8102</v>
      </c>
      <c r="C246" s="399" t="s">
        <v>2227</v>
      </c>
      <c r="D246" s="399" t="s">
        <v>2017</v>
      </c>
      <c r="E246" s="398">
        <v>1970</v>
      </c>
    </row>
    <row r="247" spans="1:5" ht="45" customHeight="1" x14ac:dyDescent="0.25">
      <c r="A247" s="398"/>
      <c r="B247" s="398">
        <v>8107</v>
      </c>
      <c r="C247" s="399" t="s">
        <v>2026</v>
      </c>
      <c r="D247" s="399" t="s">
        <v>2190</v>
      </c>
      <c r="E247" s="398">
        <v>1970</v>
      </c>
    </row>
    <row r="248" spans="1:5" ht="45" customHeight="1" x14ac:dyDescent="0.25">
      <c r="A248" s="398"/>
      <c r="B248" s="398">
        <v>8108</v>
      </c>
      <c r="C248" s="399" t="s">
        <v>2028</v>
      </c>
      <c r="D248" s="399" t="s">
        <v>2029</v>
      </c>
      <c r="E248" s="398">
        <v>1970</v>
      </c>
    </row>
    <row r="249" spans="1:5" ht="45" customHeight="1" x14ac:dyDescent="0.25">
      <c r="A249" s="398"/>
      <c r="B249" s="398">
        <v>8109</v>
      </c>
      <c r="C249" s="399" t="s">
        <v>2228</v>
      </c>
      <c r="D249" s="399" t="s">
        <v>2229</v>
      </c>
      <c r="E249" s="398">
        <v>1970</v>
      </c>
    </row>
    <row r="250" spans="1:5" ht="45" customHeight="1" x14ac:dyDescent="0.25">
      <c r="A250" s="398"/>
      <c r="B250" s="398">
        <v>8110</v>
      </c>
      <c r="C250" s="399" t="s">
        <v>2230</v>
      </c>
      <c r="D250" s="399" t="s">
        <v>2033</v>
      </c>
      <c r="E250" s="398">
        <v>1970</v>
      </c>
    </row>
    <row r="251" spans="1:5" ht="45" customHeight="1" x14ac:dyDescent="0.25">
      <c r="A251" s="398"/>
      <c r="B251" s="398">
        <v>8127</v>
      </c>
      <c r="C251" s="399" t="s">
        <v>1376</v>
      </c>
      <c r="D251" s="399" t="s">
        <v>2231</v>
      </c>
      <c r="E251" s="398">
        <v>1970</v>
      </c>
    </row>
    <row r="252" spans="1:5" ht="45" customHeight="1" x14ac:dyDescent="0.25">
      <c r="A252" s="398"/>
      <c r="B252" s="398">
        <v>8161</v>
      </c>
      <c r="C252" s="399" t="s">
        <v>2232</v>
      </c>
      <c r="D252" s="399" t="s">
        <v>2233</v>
      </c>
      <c r="E252" s="398">
        <v>1970</v>
      </c>
    </row>
    <row r="253" spans="1:5" ht="45" customHeight="1" x14ac:dyDescent="0.25">
      <c r="A253" s="398"/>
      <c r="B253" s="398">
        <v>8162</v>
      </c>
      <c r="C253" s="399" t="s">
        <v>2234</v>
      </c>
      <c r="D253" s="399" t="s">
        <v>2235</v>
      </c>
      <c r="E253" s="398">
        <v>1970</v>
      </c>
    </row>
    <row r="254" spans="1:5" ht="45" customHeight="1" x14ac:dyDescent="0.25">
      <c r="A254" s="398"/>
      <c r="B254" s="398">
        <v>8163</v>
      </c>
      <c r="C254" s="399" t="s">
        <v>2214</v>
      </c>
      <c r="D254" s="399" t="s">
        <v>2236</v>
      </c>
      <c r="E254" s="398">
        <v>1970</v>
      </c>
    </row>
  </sheetData>
  <mergeCells count="7">
    <mergeCell ref="A202:A203"/>
    <mergeCell ref="B202:B203"/>
    <mergeCell ref="C202:C203"/>
    <mergeCell ref="E202:E203"/>
    <mergeCell ref="B1:E1"/>
    <mergeCell ref="B3:E3"/>
    <mergeCell ref="B5:E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2383"/>
  <sheetViews>
    <sheetView topLeftCell="A358" zoomScale="90" zoomScaleNormal="90" workbookViewId="0">
      <selection activeCell="F382" sqref="F382"/>
    </sheetView>
  </sheetViews>
  <sheetFormatPr defaultRowHeight="15" x14ac:dyDescent="0.25"/>
  <cols>
    <col min="1" max="1" width="2" style="294" customWidth="1"/>
    <col min="2" max="2" width="12.28515625" style="291" customWidth="1"/>
    <col min="3" max="3" width="36.5703125" style="292" customWidth="1"/>
    <col min="4" max="4" width="17.7109375" style="292" customWidth="1"/>
    <col min="5" max="5" width="16.140625" style="292" customWidth="1"/>
    <col min="6" max="6" width="18.28515625" style="292" customWidth="1"/>
    <col min="7" max="7" width="34.85546875" style="293" customWidth="1"/>
    <col min="8" max="8" width="25.28515625" style="291" customWidth="1"/>
    <col min="9" max="9" width="16.42578125" style="291" customWidth="1"/>
    <col min="10" max="10" width="12.28515625" style="291" customWidth="1"/>
    <col min="11" max="11" width="13.5703125" style="294" customWidth="1"/>
    <col min="12" max="12" width="13.5703125" style="327" customWidth="1"/>
    <col min="13" max="13" width="13.5703125" style="291" customWidth="1"/>
    <col min="14" max="14" width="19" style="299" bestFit="1" customWidth="1"/>
    <col min="15" max="15" width="17.7109375" style="676" customWidth="1"/>
    <col min="16" max="16" width="19.140625" style="299" customWidth="1"/>
    <col min="17" max="17" width="19.42578125" style="299" customWidth="1"/>
    <col min="18" max="18" width="16.85546875" style="299" customWidth="1"/>
    <col min="19" max="19" width="13.5703125" style="328" customWidth="1"/>
    <col min="20" max="20" width="18.140625" style="329" bestFit="1" customWidth="1"/>
    <col min="21" max="21" width="15.42578125" style="298" bestFit="1" customWidth="1"/>
    <col min="22" max="22" width="18.140625" style="329" customWidth="1"/>
    <col min="23" max="23" width="13.5703125" style="329" customWidth="1"/>
    <col min="24" max="24" width="13.5703125" style="298" customWidth="1"/>
    <col min="25" max="25" width="15.42578125" style="329" bestFit="1" customWidth="1"/>
    <col min="26" max="26" width="13.5703125" style="298" customWidth="1"/>
    <col min="27" max="27" width="16.7109375" style="329" bestFit="1" customWidth="1"/>
    <col min="28" max="28" width="13.85546875" style="329" customWidth="1"/>
    <col min="29" max="29" width="16.7109375" style="299" bestFit="1" customWidth="1"/>
    <col min="30" max="30" width="16.42578125" style="299" customWidth="1"/>
    <col min="31" max="31" width="17.85546875" style="299" customWidth="1"/>
    <col min="32" max="32" width="16.42578125" style="299" customWidth="1"/>
    <col min="33" max="16384" width="9.140625" style="294"/>
  </cols>
  <sheetData>
    <row r="1" spans="2:58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679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</row>
    <row r="2" spans="2:58" s="410" customFormat="1" ht="12.75" customHeight="1" x14ac:dyDescent="0.35">
      <c r="C2" s="412"/>
      <c r="D2" s="411"/>
      <c r="G2" s="412"/>
      <c r="O2" s="680"/>
      <c r="P2" s="412"/>
      <c r="Q2" s="411"/>
      <c r="T2" s="412"/>
      <c r="AM2" s="412"/>
      <c r="AN2" s="411"/>
      <c r="AQ2" s="412"/>
    </row>
    <row r="3" spans="2:58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679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</row>
    <row r="4" spans="2:58" s="410" customFormat="1" ht="10.5" customHeight="1" x14ac:dyDescent="0.35">
      <c r="C4" s="412"/>
      <c r="D4" s="411"/>
      <c r="G4" s="412"/>
      <c r="O4" s="680"/>
      <c r="P4" s="412"/>
      <c r="Q4" s="411"/>
      <c r="T4" s="412"/>
      <c r="AM4" s="412"/>
      <c r="AN4" s="411"/>
      <c r="AQ4" s="412"/>
    </row>
    <row r="5" spans="2:58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681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</row>
    <row r="6" spans="2:58" s="5" customFormat="1" ht="30" customHeight="1" x14ac:dyDescent="0.25">
      <c r="B6" s="354"/>
      <c r="C6" s="270"/>
      <c r="D6" s="270"/>
      <c r="E6" s="270"/>
      <c r="F6" s="270"/>
      <c r="G6" s="352"/>
      <c r="H6" s="354"/>
      <c r="I6" s="354"/>
      <c r="J6" s="354"/>
      <c r="L6" s="277"/>
      <c r="M6" s="354"/>
      <c r="N6" s="354"/>
      <c r="O6" s="682"/>
      <c r="P6" s="270"/>
      <c r="Q6" s="270"/>
      <c r="R6" s="270"/>
      <c r="S6" s="270"/>
      <c r="T6" s="352"/>
      <c r="U6" s="354"/>
      <c r="V6" s="354"/>
      <c r="W6" s="354"/>
      <c r="Y6" s="277"/>
      <c r="Z6" s="354"/>
      <c r="AA6" s="354"/>
      <c r="AB6" s="354"/>
      <c r="AD6" s="354"/>
      <c r="AF6" s="272"/>
      <c r="AG6" s="272"/>
      <c r="AH6" s="272"/>
      <c r="AI6" s="272"/>
      <c r="AJ6" s="272"/>
      <c r="AM6" s="270"/>
      <c r="AN6" s="270"/>
      <c r="AO6" s="270"/>
      <c r="AP6" s="270"/>
      <c r="AQ6" s="352"/>
      <c r="AR6" s="354"/>
      <c r="AS6" s="354"/>
      <c r="AT6" s="354"/>
      <c r="AV6" s="277"/>
      <c r="AW6" s="354"/>
      <c r="BA6" s="272"/>
      <c r="BB6" s="272"/>
      <c r="BC6" s="272"/>
      <c r="BD6" s="272"/>
      <c r="BE6" s="272"/>
    </row>
    <row r="7" spans="2:58" s="5" customFormat="1" ht="30" customHeight="1" x14ac:dyDescent="0.25">
      <c r="B7" s="1543" t="s">
        <v>7191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683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6"/>
      <c r="AC7" s="526"/>
      <c r="AD7" s="526"/>
      <c r="AE7" s="526"/>
      <c r="AF7" s="526"/>
      <c r="AG7" s="526"/>
      <c r="AH7" s="526"/>
      <c r="AI7" s="526"/>
      <c r="AJ7" s="526"/>
      <c r="AK7" s="526"/>
      <c r="AL7" s="526"/>
      <c r="AM7" s="526"/>
      <c r="AN7" s="526"/>
      <c r="AO7" s="526"/>
      <c r="AP7" s="526"/>
      <c r="AQ7" s="526"/>
      <c r="AR7" s="526"/>
      <c r="AS7" s="526"/>
      <c r="AT7" s="526"/>
      <c r="AU7" s="526"/>
      <c r="AV7" s="526"/>
      <c r="AW7" s="526"/>
      <c r="AX7" s="526"/>
      <c r="AY7" s="526"/>
      <c r="AZ7" s="526"/>
      <c r="BA7" s="526"/>
      <c r="BB7" s="526"/>
      <c r="BC7" s="526"/>
      <c r="BD7" s="526"/>
      <c r="BE7" s="526"/>
      <c r="BF7" s="526"/>
    </row>
    <row r="8" spans="2:58" x14ac:dyDescent="0.25">
      <c r="L8" s="295"/>
    </row>
    <row r="9" spans="2:58" s="397" customFormat="1" ht="32.25" customHeight="1" x14ac:dyDescent="0.25">
      <c r="B9" s="1109" t="s">
        <v>7136</v>
      </c>
      <c r="C9" s="1110" t="s">
        <v>7137</v>
      </c>
      <c r="D9" s="1110" t="s">
        <v>7138</v>
      </c>
      <c r="E9" s="1110" t="s">
        <v>7139</v>
      </c>
      <c r="F9" s="1110" t="s">
        <v>7140</v>
      </c>
      <c r="G9" s="1110" t="s">
        <v>7141</v>
      </c>
      <c r="H9" s="1110" t="s">
        <v>7142</v>
      </c>
      <c r="I9" s="1110" t="s">
        <v>7143</v>
      </c>
      <c r="J9" s="1110" t="s">
        <v>7144</v>
      </c>
      <c r="K9" s="1110" t="s">
        <v>7145</v>
      </c>
      <c r="L9" s="1110" t="s">
        <v>7146</v>
      </c>
      <c r="M9" s="1110" t="s">
        <v>7147</v>
      </c>
      <c r="N9" s="1110" t="s">
        <v>7148</v>
      </c>
      <c r="O9" s="1110" t="s">
        <v>7149</v>
      </c>
      <c r="P9" s="1110" t="s">
        <v>7150</v>
      </c>
      <c r="Q9" s="1110" t="s">
        <v>7151</v>
      </c>
      <c r="R9" s="1110" t="s">
        <v>7152</v>
      </c>
      <c r="S9" s="1110" t="s">
        <v>7153</v>
      </c>
      <c r="T9" s="1110" t="s">
        <v>7154</v>
      </c>
      <c r="U9" s="1110" t="s">
        <v>7155</v>
      </c>
      <c r="V9" s="1110" t="s">
        <v>7156</v>
      </c>
      <c r="W9" s="1110" t="s">
        <v>7157</v>
      </c>
      <c r="X9" s="1110" t="s">
        <v>7158</v>
      </c>
      <c r="Y9" s="1110" t="s">
        <v>7159</v>
      </c>
      <c r="Z9" s="1110" t="s">
        <v>7160</v>
      </c>
      <c r="AA9" s="1110" t="s">
        <v>7161</v>
      </c>
      <c r="AB9" s="1110" t="s">
        <v>7162</v>
      </c>
      <c r="AC9" s="1110" t="s">
        <v>7163</v>
      </c>
      <c r="AD9" s="1110" t="s">
        <v>7164</v>
      </c>
      <c r="AE9" s="1110" t="s">
        <v>7165</v>
      </c>
      <c r="AF9" s="1108" t="s">
        <v>7166</v>
      </c>
    </row>
    <row r="10" spans="2:58" s="397" customFormat="1" ht="18.75" customHeight="1" x14ac:dyDescent="0.25">
      <c r="B10" s="1274"/>
      <c r="C10" s="1110" t="s">
        <v>7276</v>
      </c>
      <c r="D10" s="1110"/>
      <c r="E10" s="1110"/>
      <c r="F10" s="1110"/>
      <c r="G10" s="1110"/>
      <c r="H10" s="1110"/>
      <c r="I10" s="1110"/>
      <c r="J10" s="1110"/>
      <c r="K10" s="1110"/>
      <c r="L10" s="1110"/>
      <c r="M10" s="1110"/>
      <c r="N10" s="1110"/>
      <c r="O10" s="1110"/>
      <c r="P10" s="1110"/>
      <c r="Q10" s="1110"/>
      <c r="R10" s="1110"/>
      <c r="S10" s="1110"/>
      <c r="T10" s="1110"/>
      <c r="U10" s="1110"/>
      <c r="V10" s="1110"/>
      <c r="W10" s="1110"/>
      <c r="X10" s="1110"/>
      <c r="Y10" s="1110"/>
      <c r="Z10" s="1110"/>
      <c r="AA10" s="1110"/>
      <c r="AB10" s="1110"/>
      <c r="AC10" s="1110"/>
      <c r="AD10" s="1110"/>
      <c r="AE10" s="1110"/>
      <c r="AF10" s="1108">
        <v>639.66999999999996</v>
      </c>
    </row>
    <row r="11" spans="2:58" s="1098" customFormat="1" ht="77.25" customHeight="1" x14ac:dyDescent="0.25">
      <c r="B11" s="1275" t="s">
        <v>2719</v>
      </c>
      <c r="C11" s="1102" t="s">
        <v>7255</v>
      </c>
      <c r="D11" s="1102" t="s">
        <v>2624</v>
      </c>
      <c r="E11" s="1102" t="s">
        <v>2722</v>
      </c>
      <c r="F11" s="1102" t="s">
        <v>2593</v>
      </c>
      <c r="G11" s="1101" t="s">
        <v>2765</v>
      </c>
      <c r="H11" s="1102" t="s">
        <v>2729</v>
      </c>
      <c r="I11" s="1102" t="s">
        <v>3113</v>
      </c>
      <c r="J11" s="1273" t="s">
        <v>2836</v>
      </c>
      <c r="K11" s="1273" t="s">
        <v>2839</v>
      </c>
      <c r="L11" s="1102" t="s">
        <v>7256</v>
      </c>
      <c r="M11" s="1102" t="s">
        <v>7257</v>
      </c>
      <c r="N11" s="1093" t="s">
        <v>7258</v>
      </c>
      <c r="O11" s="1095" t="s">
        <v>7259</v>
      </c>
      <c r="P11" s="594" t="s">
        <v>7260</v>
      </c>
      <c r="Q11" s="594" t="s">
        <v>7261</v>
      </c>
      <c r="R11" s="1104" t="s">
        <v>7262</v>
      </c>
      <c r="S11" s="1093" t="s">
        <v>7263</v>
      </c>
      <c r="T11" s="1093" t="s">
        <v>7264</v>
      </c>
      <c r="U11" s="1093" t="s">
        <v>7265</v>
      </c>
      <c r="V11" s="1093" t="s">
        <v>7266</v>
      </c>
      <c r="W11" s="1093" t="s">
        <v>7267</v>
      </c>
      <c r="X11" s="1093" t="s">
        <v>7268</v>
      </c>
      <c r="Y11" s="1093" t="s">
        <v>7269</v>
      </c>
      <c r="Z11" s="1093" t="s">
        <v>7270</v>
      </c>
      <c r="AA11" s="1093" t="s">
        <v>7271</v>
      </c>
      <c r="AB11" s="1093" t="s">
        <v>7272</v>
      </c>
      <c r="AC11" s="1098" t="s">
        <v>7273</v>
      </c>
      <c r="AD11" s="1098" t="str">
        <f>UPPER("Anuênio S/1/3 de Férias S/Salario")</f>
        <v>ANUÊNIO S/1/3 DE FÉRIAS S/SALARIO</v>
      </c>
      <c r="AE11" s="1098" t="s">
        <v>7274</v>
      </c>
      <c r="AF11" s="1098" t="s">
        <v>7275</v>
      </c>
    </row>
    <row r="12" spans="2:58" s="1280" customFormat="1" ht="24" customHeight="1" x14ac:dyDescent="0.25">
      <c r="B12" s="1264" t="s">
        <v>7279</v>
      </c>
      <c r="C12" s="1281"/>
      <c r="D12" s="1281"/>
      <c r="E12" s="1281"/>
      <c r="F12" s="1281"/>
      <c r="G12" s="1282"/>
      <c r="H12" s="1281"/>
      <c r="I12" s="1281"/>
      <c r="J12" s="1283"/>
      <c r="K12" s="1283"/>
      <c r="L12" s="1281"/>
      <c r="M12" s="1281"/>
      <c r="N12" s="1284"/>
      <c r="O12" s="1284"/>
      <c r="P12" s="1285"/>
      <c r="Q12" s="1285"/>
      <c r="R12" s="1286"/>
      <c r="S12" s="1284"/>
      <c r="T12" s="1284"/>
      <c r="U12" s="1284"/>
      <c r="V12" s="1284"/>
      <c r="W12" s="1284"/>
      <c r="X12" s="1284"/>
      <c r="Y12" s="1284"/>
      <c r="Z12" s="1284"/>
      <c r="AA12" s="1284"/>
      <c r="AB12" s="1284"/>
    </row>
    <row r="13" spans="2:58" s="299" customFormat="1" ht="31.5" x14ac:dyDescent="0.25">
      <c r="B13" s="314">
        <v>2323</v>
      </c>
      <c r="C13" s="304" t="s">
        <v>7277</v>
      </c>
      <c r="D13" s="304" t="s">
        <v>2796</v>
      </c>
      <c r="E13" s="304" t="s">
        <v>2757</v>
      </c>
      <c r="F13" s="304" t="s">
        <v>2787</v>
      </c>
      <c r="G13" s="304" t="s">
        <v>7278</v>
      </c>
      <c r="H13" s="305">
        <v>31</v>
      </c>
      <c r="I13" s="295">
        <v>20</v>
      </c>
      <c r="J13" s="295" t="s">
        <v>2636</v>
      </c>
      <c r="K13" s="295">
        <v>2</v>
      </c>
      <c r="L13" s="306">
        <v>43530</v>
      </c>
      <c r="M13" s="316">
        <v>2.0499999999999998</v>
      </c>
      <c r="N13" s="1105">
        <f>M13*AF10</f>
        <v>1311.3234999999997</v>
      </c>
      <c r="O13" s="684">
        <f>H$234</f>
        <v>1278.8699999999999</v>
      </c>
      <c r="P13" s="1107">
        <f>G241*AF10</f>
        <v>991.48849999999993</v>
      </c>
      <c r="Q13" s="1107">
        <v>0</v>
      </c>
      <c r="R13" s="1107">
        <f>N13-P13</f>
        <v>319.83499999999981</v>
      </c>
      <c r="S13" s="333">
        <v>0</v>
      </c>
      <c r="T13" s="334">
        <f>P13*S13</f>
        <v>0</v>
      </c>
      <c r="U13" s="311">
        <v>0</v>
      </c>
      <c r="V13" s="334">
        <v>0</v>
      </c>
      <c r="W13" s="334">
        <v>0</v>
      </c>
      <c r="X13" s="312">
        <f>76.76/N13</f>
        <v>5.8536280330521051E-2</v>
      </c>
      <c r="Y13" s="334">
        <f>N13*X13</f>
        <v>76.760000000000005</v>
      </c>
      <c r="Z13" s="312">
        <f>0/N13</f>
        <v>0</v>
      </c>
      <c r="AA13" s="334">
        <f>N13*Z13</f>
        <v>0</v>
      </c>
      <c r="AB13" s="334">
        <v>0</v>
      </c>
      <c r="AC13" s="335">
        <f>(P13+Q13+R13+U13+V13)/3</f>
        <v>437.10783333333325</v>
      </c>
      <c r="AD13" s="335">
        <f>AC13*S13</f>
        <v>0</v>
      </c>
      <c r="AE13" s="335">
        <f>(P13+Q13+R13+U13+V13)</f>
        <v>1311.3234999999997</v>
      </c>
      <c r="AF13" s="335">
        <f>AE13*S13</f>
        <v>0</v>
      </c>
    </row>
    <row r="14" spans="2:58" s="1276" customFormat="1" x14ac:dyDescent="0.25">
      <c r="B14" s="1264" t="s">
        <v>7280</v>
      </c>
      <c r="C14" s="1267"/>
      <c r="D14" s="1267"/>
      <c r="E14" s="1267"/>
      <c r="F14" s="1267"/>
      <c r="G14" s="1267"/>
      <c r="H14" s="1267"/>
      <c r="I14" s="1267"/>
      <c r="J14" s="1267"/>
      <c r="K14" s="1267"/>
      <c r="L14" s="1267"/>
      <c r="M14" s="1267"/>
      <c r="N14" s="1277">
        <f>SUM(N13:N13)</f>
        <v>1311.3234999999997</v>
      </c>
      <c r="O14" s="1277"/>
      <c r="P14" s="1277">
        <f>SUM(P13:P13)</f>
        <v>991.48849999999993</v>
      </c>
      <c r="Q14" s="1277">
        <f>SUM(Q13:Q13)</f>
        <v>0</v>
      </c>
      <c r="R14" s="1277">
        <f>SUM(R13:R13)</f>
        <v>319.83499999999981</v>
      </c>
      <c r="S14" s="1278"/>
      <c r="T14" s="1277">
        <f>SUM(T13:T13)</f>
        <v>0</v>
      </c>
      <c r="U14" s="1277">
        <f>SUM(U13:U13)</f>
        <v>0</v>
      </c>
      <c r="V14" s="1277">
        <f>SUM(V13:V13)</f>
        <v>0</v>
      </c>
      <c r="W14" s="1277">
        <f>SUM(W13:W13)</f>
        <v>0</v>
      </c>
      <c r="X14" s="1279"/>
      <c r="Y14" s="1277">
        <f>SUM(Y13:Y13)</f>
        <v>76.760000000000005</v>
      </c>
      <c r="Z14" s="1279"/>
      <c r="AA14" s="1277">
        <f>SUM(AA13:AA13)</f>
        <v>0</v>
      </c>
      <c r="AB14" s="1277">
        <f>SUM(AB13:AB13)</f>
        <v>0</v>
      </c>
      <c r="AC14" s="1277">
        <f t="shared" ref="AC14:AF14" si="0">SUM(AC13:AC13)</f>
        <v>437.10783333333325</v>
      </c>
      <c r="AD14" s="1277">
        <f t="shared" si="0"/>
        <v>0</v>
      </c>
      <c r="AE14" s="1277">
        <f t="shared" si="0"/>
        <v>1311.3234999999997</v>
      </c>
      <c r="AF14" s="1277">
        <f t="shared" si="0"/>
        <v>0</v>
      </c>
    </row>
    <row r="15" spans="2:58" s="1276" customFormat="1" x14ac:dyDescent="0.25">
      <c r="B15" s="1264"/>
      <c r="C15" s="1267"/>
      <c r="D15" s="1267"/>
      <c r="E15" s="1267"/>
      <c r="F15" s="1267"/>
      <c r="G15" s="1267"/>
      <c r="H15" s="1267"/>
      <c r="I15" s="1267"/>
      <c r="J15" s="1267"/>
      <c r="K15" s="1267"/>
      <c r="L15" s="1267"/>
      <c r="M15" s="1267"/>
      <c r="N15" s="1277"/>
      <c r="O15" s="1277"/>
      <c r="P15" s="1277"/>
      <c r="Q15" s="1277"/>
      <c r="R15" s="1277"/>
      <c r="S15" s="1278"/>
      <c r="T15" s="1277"/>
      <c r="U15" s="1277"/>
      <c r="V15" s="1277"/>
      <c r="W15" s="1277"/>
      <c r="X15" s="1279"/>
      <c r="Y15" s="1277"/>
      <c r="Z15" s="1279"/>
      <c r="AA15" s="1277"/>
      <c r="AB15" s="1277"/>
      <c r="AC15" s="1277"/>
      <c r="AD15" s="1277"/>
      <c r="AE15" s="1277"/>
      <c r="AF15" s="1277"/>
    </row>
    <row r="16" spans="2:58" s="299" customFormat="1" ht="31.5" x14ac:dyDescent="0.25">
      <c r="B16" s="314">
        <v>1218</v>
      </c>
      <c r="C16" s="304" t="s">
        <v>2809</v>
      </c>
      <c r="D16" s="304" t="s">
        <v>2876</v>
      </c>
      <c r="E16" s="304" t="s">
        <v>2739</v>
      </c>
      <c r="F16" s="304" t="s">
        <v>2787</v>
      </c>
      <c r="G16" s="304" t="s">
        <v>2808</v>
      </c>
      <c r="H16" s="305">
        <v>31</v>
      </c>
      <c r="I16" s="295">
        <v>40</v>
      </c>
      <c r="J16" s="295" t="s">
        <v>2634</v>
      </c>
      <c r="K16" s="295">
        <v>2</v>
      </c>
      <c r="L16" s="306">
        <v>43334</v>
      </c>
      <c r="M16" s="316">
        <v>5.21</v>
      </c>
      <c r="N16" s="1105">
        <f>M16*AF10</f>
        <v>3332.6806999999999</v>
      </c>
      <c r="O16" s="684">
        <f>G234</f>
        <v>2557.7399999999998</v>
      </c>
      <c r="P16" s="1107">
        <f>G269*AF10</f>
        <v>2878.5149999999999</v>
      </c>
      <c r="Q16" s="1107" t="str">
        <f>IF(P16&gt;O16,"0,00",(O16-P16))</f>
        <v>0,00</v>
      </c>
      <c r="R16" s="1107">
        <f>N16-O16</f>
        <v>774.94070000000011</v>
      </c>
      <c r="S16" s="333">
        <v>0.12</v>
      </c>
      <c r="T16" s="334">
        <f>(((((((O16)*(1+4.12%)))))*S16))</f>
        <v>319.57426655999996</v>
      </c>
      <c r="U16" s="311">
        <v>0</v>
      </c>
      <c r="V16" s="334">
        <v>0</v>
      </c>
      <c r="W16" s="334">
        <v>0</v>
      </c>
      <c r="X16" s="312">
        <f>51.18/N16</f>
        <v>1.5357006748351261E-2</v>
      </c>
      <c r="Y16" s="334">
        <f t="shared" ref="Y16:Y41" si="1">N16*X16</f>
        <v>51.18</v>
      </c>
      <c r="Z16" s="312">
        <f t="shared" ref="Z16:Z37" si="2">0/N16</f>
        <v>0</v>
      </c>
      <c r="AA16" s="334">
        <f t="shared" ref="AA16:AA41" si="3">N16*Z16</f>
        <v>0</v>
      </c>
      <c r="AB16" s="334">
        <v>0</v>
      </c>
      <c r="AC16" s="335">
        <f t="shared" ref="AC16:AC32" si="4">(P16+Q16+R16+U16+V16)/3</f>
        <v>1217.8185666666666</v>
      </c>
      <c r="AD16" s="335">
        <f t="shared" ref="AD16:AD32" si="5">AC16*S16</f>
        <v>146.138228</v>
      </c>
      <c r="AE16" s="335">
        <f t="shared" ref="AE16:AE32" si="6">(P16+Q16+R16+U16+V16)</f>
        <v>3653.4557</v>
      </c>
      <c r="AF16" s="335">
        <f t="shared" ref="AF16:AF32" si="7">AE16*S16</f>
        <v>438.41468399999997</v>
      </c>
    </row>
    <row r="17" spans="2:32" s="299" customFormat="1" ht="31.5" x14ac:dyDescent="0.25">
      <c r="B17" s="314">
        <v>1225</v>
      </c>
      <c r="C17" s="314" t="s">
        <v>2810</v>
      </c>
      <c r="D17" s="304" t="s">
        <v>2796</v>
      </c>
      <c r="E17" s="304" t="s">
        <v>2739</v>
      </c>
      <c r="F17" s="304" t="s">
        <v>2787</v>
      </c>
      <c r="G17" s="304" t="s">
        <v>2808</v>
      </c>
      <c r="H17" s="305">
        <v>31</v>
      </c>
      <c r="I17" s="295">
        <v>20</v>
      </c>
      <c r="J17" s="295" t="s">
        <v>7248</v>
      </c>
      <c r="K17" s="295">
        <v>3</v>
      </c>
      <c r="L17" s="306">
        <v>43337</v>
      </c>
      <c r="M17" s="316">
        <v>2.46</v>
      </c>
      <c r="N17" s="1105">
        <f>M17*AF10</f>
        <v>1573.5881999999999</v>
      </c>
      <c r="O17" s="684">
        <f>H234</f>
        <v>1278.8699999999999</v>
      </c>
      <c r="P17" s="1107">
        <f>G241*AF10</f>
        <v>991.48849999999993</v>
      </c>
      <c r="Q17" s="1107">
        <f>IF(P17&gt;O17,"0,00",(O17-P17))</f>
        <v>287.38149999999996</v>
      </c>
      <c r="R17" s="1107">
        <f>N17-O17</f>
        <v>294.71820000000002</v>
      </c>
      <c r="S17" s="333">
        <v>0.12</v>
      </c>
      <c r="T17" s="334">
        <f>(((((((O17)*(1+4.12%)))))*S17))</f>
        <v>159.78713327999998</v>
      </c>
      <c r="U17" s="311">
        <v>0</v>
      </c>
      <c r="V17" s="334">
        <v>0</v>
      </c>
      <c r="W17" s="334">
        <v>0</v>
      </c>
      <c r="X17" s="312">
        <f>76.76/N17</f>
        <v>4.8780233608767536E-2</v>
      </c>
      <c r="Y17" s="334">
        <f t="shared" si="1"/>
        <v>76.760000000000005</v>
      </c>
      <c r="Z17" s="312">
        <f t="shared" si="2"/>
        <v>0</v>
      </c>
      <c r="AA17" s="334">
        <f t="shared" si="3"/>
        <v>0</v>
      </c>
      <c r="AB17" s="334">
        <v>0</v>
      </c>
      <c r="AC17" s="335">
        <f t="shared" si="4"/>
        <v>524.52940000000001</v>
      </c>
      <c r="AD17" s="335">
        <f t="shared" si="5"/>
        <v>62.943528000000001</v>
      </c>
      <c r="AE17" s="335">
        <f t="shared" si="6"/>
        <v>1573.5881999999999</v>
      </c>
      <c r="AF17" s="335">
        <f t="shared" si="7"/>
        <v>188.83058399999999</v>
      </c>
    </row>
    <row r="18" spans="2:32" s="299" customFormat="1" ht="31.5" x14ac:dyDescent="0.25">
      <c r="B18" s="314">
        <v>184</v>
      </c>
      <c r="C18" s="314" t="s">
        <v>2811</v>
      </c>
      <c r="D18" s="304" t="s">
        <v>2796</v>
      </c>
      <c r="E18" s="304" t="s">
        <v>2739</v>
      </c>
      <c r="F18" s="304" t="s">
        <v>2787</v>
      </c>
      <c r="G18" s="304" t="s">
        <v>2808</v>
      </c>
      <c r="H18" s="305">
        <v>31</v>
      </c>
      <c r="I18" s="295">
        <v>25</v>
      </c>
      <c r="J18" s="295" t="s">
        <v>2638</v>
      </c>
      <c r="K18" s="295">
        <v>3</v>
      </c>
      <c r="L18" s="306">
        <v>43224</v>
      </c>
      <c r="M18" s="316">
        <v>3.2</v>
      </c>
      <c r="N18" s="1105">
        <f>M18*AF10</f>
        <v>2046.944</v>
      </c>
      <c r="O18" s="684">
        <f>M$234</f>
        <v>1598.59</v>
      </c>
      <c r="P18" s="1107">
        <f>G259*AF10</f>
        <v>1234.5630999999998</v>
      </c>
      <c r="Q18" s="1107">
        <f>IF(P18&gt;O18,"0,00",(O18-P18))</f>
        <v>364.02690000000007</v>
      </c>
      <c r="R18" s="1107">
        <f>N18-O18</f>
        <v>448.35400000000004</v>
      </c>
      <c r="S18" s="333">
        <v>0.22</v>
      </c>
      <c r="T18" s="334">
        <f>(((((((O18)*(1+4.12%))))*(1+4.12%)))*(1+4.12%))*S18</f>
        <v>396.97417154250132</v>
      </c>
      <c r="U18" s="311">
        <v>0</v>
      </c>
      <c r="V18" s="334">
        <v>0</v>
      </c>
      <c r="W18" s="334">
        <v>0</v>
      </c>
      <c r="X18" s="312">
        <f>0/N18</f>
        <v>0</v>
      </c>
      <c r="Y18" s="334">
        <f t="shared" si="1"/>
        <v>0</v>
      </c>
      <c r="Z18" s="312">
        <f t="shared" si="2"/>
        <v>0</v>
      </c>
      <c r="AA18" s="334">
        <f t="shared" si="3"/>
        <v>0</v>
      </c>
      <c r="AB18" s="334">
        <v>0</v>
      </c>
      <c r="AC18" s="335">
        <f t="shared" si="4"/>
        <v>682.31466666666665</v>
      </c>
      <c r="AD18" s="335">
        <f t="shared" si="5"/>
        <v>150.10922666666667</v>
      </c>
      <c r="AE18" s="335">
        <f t="shared" si="6"/>
        <v>2046.944</v>
      </c>
      <c r="AF18" s="335">
        <f t="shared" si="7"/>
        <v>450.32767999999999</v>
      </c>
    </row>
    <row r="19" spans="2:32" s="299" customFormat="1" ht="31.5" x14ac:dyDescent="0.25">
      <c r="B19" s="314">
        <v>866</v>
      </c>
      <c r="C19" s="314" t="s">
        <v>2812</v>
      </c>
      <c r="D19" s="304" t="s">
        <v>2796</v>
      </c>
      <c r="E19" s="304" t="s">
        <v>2739</v>
      </c>
      <c r="F19" s="304" t="s">
        <v>2787</v>
      </c>
      <c r="G19" s="304" t="s">
        <v>2808</v>
      </c>
      <c r="H19" s="305">
        <v>31</v>
      </c>
      <c r="I19" s="295">
        <v>25</v>
      </c>
      <c r="J19" s="295" t="s">
        <v>2648</v>
      </c>
      <c r="K19" s="295">
        <v>3</v>
      </c>
      <c r="L19" s="306">
        <v>43348</v>
      </c>
      <c r="M19" s="295">
        <v>3.07</v>
      </c>
      <c r="N19" s="1105">
        <f>M19*AF10</f>
        <v>1963.7868999999998</v>
      </c>
      <c r="O19" s="684">
        <f>M$234</f>
        <v>1598.59</v>
      </c>
      <c r="P19" s="1107">
        <f>G259*AF10</f>
        <v>1234.5630999999998</v>
      </c>
      <c r="Q19" s="1107">
        <f>IF(P19&gt;O19,"0,00",(O19-P19))</f>
        <v>364.02690000000007</v>
      </c>
      <c r="R19" s="1107">
        <f>N19-O19</f>
        <v>365.19689999999991</v>
      </c>
      <c r="S19" s="333">
        <v>0.15</v>
      </c>
      <c r="T19" s="334">
        <f>(((((((O19)*(1+4.12%))))*(1+4.12%))))*S19</f>
        <v>259.95409899143993</v>
      </c>
      <c r="U19" s="311">
        <v>0</v>
      </c>
      <c r="V19" s="334">
        <v>0</v>
      </c>
      <c r="W19" s="334">
        <v>0</v>
      </c>
      <c r="X19" s="312">
        <f>76.76/N19</f>
        <v>3.9087744194647604E-2</v>
      </c>
      <c r="Y19" s="334">
        <f t="shared" si="1"/>
        <v>76.760000000000005</v>
      </c>
      <c r="Z19" s="312">
        <f t="shared" si="2"/>
        <v>0</v>
      </c>
      <c r="AA19" s="334">
        <f t="shared" si="3"/>
        <v>0</v>
      </c>
      <c r="AB19" s="334">
        <v>0</v>
      </c>
      <c r="AC19" s="335">
        <f t="shared" si="4"/>
        <v>654.59563333333324</v>
      </c>
      <c r="AD19" s="335">
        <f t="shared" si="5"/>
        <v>98.189344999999989</v>
      </c>
      <c r="AE19" s="335">
        <f t="shared" si="6"/>
        <v>1963.7868999999998</v>
      </c>
      <c r="AF19" s="335">
        <f t="shared" si="7"/>
        <v>294.56803499999995</v>
      </c>
    </row>
    <row r="20" spans="2:32" s="299" customFormat="1" ht="31.5" x14ac:dyDescent="0.25">
      <c r="B20" s="314">
        <v>1534</v>
      </c>
      <c r="C20" s="314" t="s">
        <v>2813</v>
      </c>
      <c r="D20" s="304" t="s">
        <v>2796</v>
      </c>
      <c r="E20" s="304" t="s">
        <v>2739</v>
      </c>
      <c r="F20" s="304" t="s">
        <v>2787</v>
      </c>
      <c r="G20" s="304" t="s">
        <v>2808</v>
      </c>
      <c r="H20" s="305">
        <v>31</v>
      </c>
      <c r="I20" s="295">
        <v>20</v>
      </c>
      <c r="J20" s="295" t="s">
        <v>2634</v>
      </c>
      <c r="K20" s="295">
        <v>3</v>
      </c>
      <c r="L20" s="306">
        <v>43366</v>
      </c>
      <c r="M20" s="295">
        <v>2.36</v>
      </c>
      <c r="N20" s="1105">
        <f>M20*AF10</f>
        <v>1509.6211999999998</v>
      </c>
      <c r="O20" s="684">
        <f>H$234</f>
        <v>1278.8699999999999</v>
      </c>
      <c r="P20" s="1107">
        <f>G241*AF10</f>
        <v>991.48849999999993</v>
      </c>
      <c r="Q20" s="1107">
        <f>IF(P20&gt;O20,"0,00",(O20-P20))</f>
        <v>287.38149999999996</v>
      </c>
      <c r="R20" s="1107">
        <f>N20-O20</f>
        <v>230.75119999999993</v>
      </c>
      <c r="S20" s="333">
        <v>0.09</v>
      </c>
      <c r="T20" s="334">
        <f>(((((((O20)*(1+4.12%)))))*S20))</f>
        <v>119.84034995999997</v>
      </c>
      <c r="U20" s="311">
        <f>AF10*0.8</f>
        <v>511.73599999999999</v>
      </c>
      <c r="V20" s="334">
        <f>O20/20*20</f>
        <v>1278.8699999999999</v>
      </c>
      <c r="W20" s="334">
        <v>0</v>
      </c>
      <c r="X20" s="312">
        <f>76.76/N20</f>
        <v>5.0847192659986502E-2</v>
      </c>
      <c r="Y20" s="334">
        <f t="shared" si="1"/>
        <v>76.760000000000005</v>
      </c>
      <c r="Z20" s="312">
        <f t="shared" si="2"/>
        <v>0</v>
      </c>
      <c r="AA20" s="334">
        <f t="shared" si="3"/>
        <v>0</v>
      </c>
      <c r="AB20" s="334">
        <v>0</v>
      </c>
      <c r="AC20" s="335">
        <f t="shared" si="4"/>
        <v>1100.0757333333333</v>
      </c>
      <c r="AD20" s="335">
        <f t="shared" si="5"/>
        <v>99.006816000000001</v>
      </c>
      <c r="AE20" s="335">
        <f t="shared" si="6"/>
        <v>3300.2271999999998</v>
      </c>
      <c r="AF20" s="335">
        <f t="shared" si="7"/>
        <v>297.02044799999999</v>
      </c>
    </row>
    <row r="21" spans="2:32" s="299" customFormat="1" ht="31.5" x14ac:dyDescent="0.25">
      <c r="B21" s="314">
        <v>402</v>
      </c>
      <c r="C21" s="314" t="s">
        <v>2815</v>
      </c>
      <c r="D21" s="304" t="s">
        <v>2796</v>
      </c>
      <c r="E21" s="304" t="s">
        <v>2739</v>
      </c>
      <c r="F21" s="304" t="s">
        <v>2787</v>
      </c>
      <c r="G21" s="304" t="s">
        <v>2808</v>
      </c>
      <c r="H21" s="305">
        <v>31</v>
      </c>
      <c r="I21" s="295">
        <v>25</v>
      </c>
      <c r="J21" s="295" t="s">
        <v>2638</v>
      </c>
      <c r="K21" s="295">
        <v>3</v>
      </c>
      <c r="L21" s="306">
        <v>36962</v>
      </c>
      <c r="M21" s="295">
        <v>3.2</v>
      </c>
      <c r="N21" s="1105">
        <f>M21*AF10</f>
        <v>2046.944</v>
      </c>
      <c r="O21" s="684">
        <f>M$234</f>
        <v>1598.59</v>
      </c>
      <c r="P21" s="1107">
        <f>G259*AF10</f>
        <v>1234.5630999999998</v>
      </c>
      <c r="Q21" s="1107">
        <f t="shared" ref="Q21:Q22" si="8">IF(P21&gt;O21,"0,00",(O21-P21))</f>
        <v>364.02690000000007</v>
      </c>
      <c r="R21" s="1107">
        <f t="shared" ref="R21:R30" si="9">N21-O21</f>
        <v>448.35400000000004</v>
      </c>
      <c r="S21" s="333">
        <v>0.19</v>
      </c>
      <c r="T21" s="334">
        <f t="shared" ref="T21:T22" si="10">(((((((O21)*(1+4.12%))))*(1+4.12%)))*(1+4.12%))*S21</f>
        <v>342.84132996852384</v>
      </c>
      <c r="U21" s="311">
        <v>0</v>
      </c>
      <c r="V21" s="336">
        <v>0</v>
      </c>
      <c r="W21" s="334">
        <v>0</v>
      </c>
      <c r="X21" s="312">
        <f>76.76/N21</f>
        <v>3.7499804586740043E-2</v>
      </c>
      <c r="Y21" s="334">
        <f t="shared" si="1"/>
        <v>76.760000000000005</v>
      </c>
      <c r="Z21" s="312">
        <f t="shared" si="2"/>
        <v>0</v>
      </c>
      <c r="AA21" s="334">
        <f t="shared" si="3"/>
        <v>0</v>
      </c>
      <c r="AB21" s="334">
        <v>0</v>
      </c>
      <c r="AC21" s="335">
        <f t="shared" si="4"/>
        <v>682.31466666666665</v>
      </c>
      <c r="AD21" s="335">
        <f t="shared" si="5"/>
        <v>129.63978666666665</v>
      </c>
      <c r="AE21" s="335">
        <f t="shared" si="6"/>
        <v>2046.944</v>
      </c>
      <c r="AF21" s="335">
        <f t="shared" si="7"/>
        <v>388.91935999999998</v>
      </c>
    </row>
    <row r="22" spans="2:32" s="299" customFormat="1" ht="31.5" x14ac:dyDescent="0.25">
      <c r="B22" s="314">
        <v>455</v>
      </c>
      <c r="C22" s="314" t="s">
        <v>2816</v>
      </c>
      <c r="D22" s="304" t="s">
        <v>2796</v>
      </c>
      <c r="E22" s="304" t="s">
        <v>2739</v>
      </c>
      <c r="F22" s="304" t="s">
        <v>2787</v>
      </c>
      <c r="G22" s="304" t="s">
        <v>2808</v>
      </c>
      <c r="H22" s="305">
        <v>31</v>
      </c>
      <c r="I22" s="295">
        <v>25</v>
      </c>
      <c r="J22" s="295" t="s">
        <v>2638</v>
      </c>
      <c r="K22" s="295">
        <v>3</v>
      </c>
      <c r="L22" s="306">
        <v>37032</v>
      </c>
      <c r="M22" s="295">
        <v>3.2</v>
      </c>
      <c r="N22" s="1105">
        <f>M22*AF10</f>
        <v>2046.944</v>
      </c>
      <c r="O22" s="684">
        <f>M$234</f>
        <v>1598.59</v>
      </c>
      <c r="P22" s="1107">
        <f>G$259*AF10</f>
        <v>1234.5630999999998</v>
      </c>
      <c r="Q22" s="1107">
        <f t="shared" si="8"/>
        <v>364.02690000000007</v>
      </c>
      <c r="R22" s="1107">
        <f t="shared" si="9"/>
        <v>448.35400000000004</v>
      </c>
      <c r="S22" s="333">
        <v>0.19</v>
      </c>
      <c r="T22" s="334">
        <f t="shared" si="10"/>
        <v>342.84132996852384</v>
      </c>
      <c r="U22" s="311">
        <f>AF10*0.8</f>
        <v>511.73599999999999</v>
      </c>
      <c r="V22" s="334">
        <f>O22/I22*15</f>
        <v>959.154</v>
      </c>
      <c r="W22" s="334">
        <v>0</v>
      </c>
      <c r="X22" s="312">
        <f>0/N22</f>
        <v>0</v>
      </c>
      <c r="Y22" s="334">
        <f t="shared" si="1"/>
        <v>0</v>
      </c>
      <c r="Z22" s="312">
        <f t="shared" si="2"/>
        <v>0</v>
      </c>
      <c r="AA22" s="334">
        <f t="shared" si="3"/>
        <v>0</v>
      </c>
      <c r="AB22" s="334">
        <v>0</v>
      </c>
      <c r="AC22" s="335">
        <f t="shared" si="4"/>
        <v>1172.6113333333333</v>
      </c>
      <c r="AD22" s="335">
        <f t="shared" si="5"/>
        <v>222.79615333333334</v>
      </c>
      <c r="AE22" s="335">
        <f t="shared" si="6"/>
        <v>3517.8339999999998</v>
      </c>
      <c r="AF22" s="335">
        <f t="shared" si="7"/>
        <v>668.38846000000001</v>
      </c>
    </row>
    <row r="23" spans="2:32" s="299" customFormat="1" ht="31.5" x14ac:dyDescent="0.25">
      <c r="B23" s="314">
        <v>1235</v>
      </c>
      <c r="C23" s="314" t="s">
        <v>2817</v>
      </c>
      <c r="D23" s="304" t="s">
        <v>2796</v>
      </c>
      <c r="E23" s="304" t="s">
        <v>2739</v>
      </c>
      <c r="F23" s="304" t="s">
        <v>2787</v>
      </c>
      <c r="G23" s="304" t="s">
        <v>2808</v>
      </c>
      <c r="H23" s="305">
        <v>31</v>
      </c>
      <c r="I23" s="295">
        <v>20</v>
      </c>
      <c r="J23" s="295" t="s">
        <v>2648</v>
      </c>
      <c r="K23" s="295">
        <v>3</v>
      </c>
      <c r="L23" s="306">
        <v>39720</v>
      </c>
      <c r="M23" s="295">
        <v>2.46</v>
      </c>
      <c r="N23" s="1105">
        <f>M23*AF10</f>
        <v>1573.5881999999999</v>
      </c>
      <c r="O23" s="684">
        <f>H$234</f>
        <v>1278.8699999999999</v>
      </c>
      <c r="P23" s="1107">
        <f>G$241*AF10</f>
        <v>991.48849999999993</v>
      </c>
      <c r="Q23" s="1107">
        <f t="shared" ref="Q23:Q41" si="11">IF(P23&gt;O23,"0,00",(O23-P23))</f>
        <v>287.38149999999996</v>
      </c>
      <c r="R23" s="1107">
        <f t="shared" si="9"/>
        <v>294.71820000000002</v>
      </c>
      <c r="S23" s="333">
        <v>0.12</v>
      </c>
      <c r="T23" s="334">
        <f>(((((((O23)*(1+4.12%))))))*S23)</f>
        <v>159.78713327999998</v>
      </c>
      <c r="U23" s="311">
        <v>0</v>
      </c>
      <c r="V23" s="334">
        <f t="shared" ref="V23:V29" si="12">N23/I23*0</f>
        <v>0</v>
      </c>
      <c r="W23" s="334">
        <v>0</v>
      </c>
      <c r="X23" s="312">
        <f>76.76/N23</f>
        <v>4.8780233608767536E-2</v>
      </c>
      <c r="Y23" s="334">
        <f t="shared" si="1"/>
        <v>76.760000000000005</v>
      </c>
      <c r="Z23" s="312">
        <f t="shared" si="2"/>
        <v>0</v>
      </c>
      <c r="AA23" s="334">
        <f t="shared" si="3"/>
        <v>0</v>
      </c>
      <c r="AB23" s="334">
        <v>0</v>
      </c>
      <c r="AC23" s="335">
        <f t="shared" si="4"/>
        <v>524.52940000000001</v>
      </c>
      <c r="AD23" s="335">
        <f t="shared" si="5"/>
        <v>62.943528000000001</v>
      </c>
      <c r="AE23" s="335">
        <f t="shared" si="6"/>
        <v>1573.5881999999999</v>
      </c>
      <c r="AF23" s="335">
        <f t="shared" si="7"/>
        <v>188.83058399999999</v>
      </c>
    </row>
    <row r="24" spans="2:32" s="299" customFormat="1" ht="31.5" x14ac:dyDescent="0.25">
      <c r="B24" s="314">
        <v>889</v>
      </c>
      <c r="C24" s="314" t="s">
        <v>2818</v>
      </c>
      <c r="D24" s="304" t="s">
        <v>2796</v>
      </c>
      <c r="E24" s="304" t="s">
        <v>2739</v>
      </c>
      <c r="F24" s="304" t="s">
        <v>2787</v>
      </c>
      <c r="G24" s="304" t="s">
        <v>2808</v>
      </c>
      <c r="H24" s="305">
        <v>31</v>
      </c>
      <c r="I24" s="295">
        <v>22</v>
      </c>
      <c r="J24" s="295" t="s">
        <v>2648</v>
      </c>
      <c r="K24" s="295">
        <v>3</v>
      </c>
      <c r="L24" s="306">
        <v>38761</v>
      </c>
      <c r="M24" s="316">
        <v>2.71</v>
      </c>
      <c r="N24" s="1105">
        <f>M24*AF10</f>
        <v>1733.5056999999999</v>
      </c>
      <c r="O24" s="684">
        <f>J234</f>
        <v>1406.7569999999998</v>
      </c>
      <c r="P24" s="1107">
        <f>G$250*AF10</f>
        <v>1087.4389999999999</v>
      </c>
      <c r="Q24" s="1107">
        <f t="shared" si="11"/>
        <v>319.31799999999998</v>
      </c>
      <c r="R24" s="1107">
        <f t="shared" si="9"/>
        <v>326.7487000000001</v>
      </c>
      <c r="S24" s="333">
        <v>0.14000000000000001</v>
      </c>
      <c r="T24" s="334">
        <f>(((((((O24)*(1+4.12%))))*(1+4.12%))))*S24</f>
        <v>213.50863273629116</v>
      </c>
      <c r="U24" s="311">
        <v>0</v>
      </c>
      <c r="V24" s="334">
        <f t="shared" si="12"/>
        <v>0</v>
      </c>
      <c r="W24" s="334">
        <v>0</v>
      </c>
      <c r="X24" s="312">
        <f>76.76/N24</f>
        <v>4.4280212058143226E-2</v>
      </c>
      <c r="Y24" s="334">
        <f t="shared" si="1"/>
        <v>76.760000000000005</v>
      </c>
      <c r="Z24" s="312">
        <f t="shared" si="2"/>
        <v>0</v>
      </c>
      <c r="AA24" s="334">
        <f t="shared" si="3"/>
        <v>0</v>
      </c>
      <c r="AB24" s="334">
        <v>0</v>
      </c>
      <c r="AC24" s="335">
        <f t="shared" si="4"/>
        <v>577.83523333333335</v>
      </c>
      <c r="AD24" s="335">
        <f t="shared" si="5"/>
        <v>80.896932666666672</v>
      </c>
      <c r="AE24" s="335">
        <f t="shared" si="6"/>
        <v>1733.5056999999999</v>
      </c>
      <c r="AF24" s="335">
        <f t="shared" si="7"/>
        <v>242.690798</v>
      </c>
    </row>
    <row r="25" spans="2:32" s="299" customFormat="1" ht="31.5" x14ac:dyDescent="0.25">
      <c r="B25" s="314">
        <v>1917</v>
      </c>
      <c r="C25" s="314" t="s">
        <v>2818</v>
      </c>
      <c r="D25" s="304" t="s">
        <v>2796</v>
      </c>
      <c r="E25" s="304" t="s">
        <v>2739</v>
      </c>
      <c r="F25" s="304" t="s">
        <v>2787</v>
      </c>
      <c r="G25" s="304" t="s">
        <v>2808</v>
      </c>
      <c r="H25" s="305">
        <v>31</v>
      </c>
      <c r="I25" s="295">
        <v>25</v>
      </c>
      <c r="J25" s="295" t="s">
        <v>2636</v>
      </c>
      <c r="K25" s="295">
        <v>3</v>
      </c>
      <c r="L25" s="306">
        <v>42065</v>
      </c>
      <c r="M25" s="295">
        <v>2.84</v>
      </c>
      <c r="N25" s="1105">
        <f>M25*AF10</f>
        <v>1816.6627999999998</v>
      </c>
      <c r="O25" s="684">
        <f>M$234</f>
        <v>1598.59</v>
      </c>
      <c r="P25" s="1107">
        <f>G$259*AF10</f>
        <v>1234.5630999999998</v>
      </c>
      <c r="Q25" s="1107">
        <f t="shared" si="11"/>
        <v>364.02690000000007</v>
      </c>
      <c r="R25" s="1107">
        <f t="shared" si="9"/>
        <v>218.07279999999992</v>
      </c>
      <c r="S25" s="333">
        <v>0.05</v>
      </c>
      <c r="T25" s="334">
        <f>O25*S25</f>
        <v>79.929500000000004</v>
      </c>
      <c r="U25" s="311">
        <v>0</v>
      </c>
      <c r="V25" s="334">
        <f t="shared" si="12"/>
        <v>0</v>
      </c>
      <c r="W25" s="334">
        <v>0</v>
      </c>
      <c r="X25" s="312">
        <f>0/N25</f>
        <v>0</v>
      </c>
      <c r="Y25" s="334">
        <f t="shared" si="1"/>
        <v>0</v>
      </c>
      <c r="Z25" s="312">
        <f t="shared" si="2"/>
        <v>0</v>
      </c>
      <c r="AA25" s="334">
        <f t="shared" si="3"/>
        <v>0</v>
      </c>
      <c r="AB25" s="334">
        <v>0</v>
      </c>
      <c r="AC25" s="335">
        <f t="shared" si="4"/>
        <v>605.55426666666665</v>
      </c>
      <c r="AD25" s="335">
        <f t="shared" si="5"/>
        <v>30.277713333333335</v>
      </c>
      <c r="AE25" s="335">
        <f t="shared" si="6"/>
        <v>1816.6627999999998</v>
      </c>
      <c r="AF25" s="335">
        <f t="shared" si="7"/>
        <v>90.83314</v>
      </c>
    </row>
    <row r="26" spans="2:32" s="299" customFormat="1" ht="31.5" x14ac:dyDescent="0.25">
      <c r="B26" s="314">
        <v>2254</v>
      </c>
      <c r="C26" s="314" t="s">
        <v>2819</v>
      </c>
      <c r="D26" s="304" t="s">
        <v>2796</v>
      </c>
      <c r="E26" s="304" t="s">
        <v>2739</v>
      </c>
      <c r="F26" s="304" t="s">
        <v>2787</v>
      </c>
      <c r="G26" s="304" t="s">
        <v>2808</v>
      </c>
      <c r="H26" s="305">
        <v>31</v>
      </c>
      <c r="I26" s="295">
        <v>20</v>
      </c>
      <c r="J26" s="295" t="s">
        <v>2636</v>
      </c>
      <c r="K26" s="295">
        <v>3</v>
      </c>
      <c r="L26" s="306">
        <v>43228</v>
      </c>
      <c r="M26" s="295">
        <v>2.27</v>
      </c>
      <c r="N26" s="1105">
        <f>M26*AF10</f>
        <v>1452.0509</v>
      </c>
      <c r="O26" s="684">
        <f>H$234</f>
        <v>1278.8699999999999</v>
      </c>
      <c r="P26" s="1107">
        <f>G$241*AF10</f>
        <v>991.48849999999993</v>
      </c>
      <c r="Q26" s="1107">
        <f t="shared" si="11"/>
        <v>287.38149999999996</v>
      </c>
      <c r="R26" s="1107">
        <f t="shared" si="9"/>
        <v>173.18090000000007</v>
      </c>
      <c r="S26" s="333">
        <v>0.02</v>
      </c>
      <c r="T26" s="334">
        <f>O26*S26</f>
        <v>25.577399999999997</v>
      </c>
      <c r="U26" s="311">
        <v>0</v>
      </c>
      <c r="V26" s="334">
        <f>N26/I26*20</f>
        <v>1452.0508999999997</v>
      </c>
      <c r="W26" s="334">
        <v>0</v>
      </c>
      <c r="X26" s="312">
        <f t="shared" ref="X26:X32" si="13">76.76/N26</f>
        <v>5.2863160650911074E-2</v>
      </c>
      <c r="Y26" s="334">
        <f t="shared" si="1"/>
        <v>76.760000000000005</v>
      </c>
      <c r="Z26" s="312">
        <f t="shared" si="2"/>
        <v>0</v>
      </c>
      <c r="AA26" s="334">
        <f t="shared" si="3"/>
        <v>0</v>
      </c>
      <c r="AB26" s="334">
        <v>0</v>
      </c>
      <c r="AC26" s="335">
        <f t="shared" si="4"/>
        <v>968.03393333333315</v>
      </c>
      <c r="AD26" s="335">
        <f t="shared" si="5"/>
        <v>19.360678666666665</v>
      </c>
      <c r="AE26" s="335">
        <f t="shared" si="6"/>
        <v>2904.1017999999995</v>
      </c>
      <c r="AF26" s="335">
        <f t="shared" si="7"/>
        <v>58.082035999999988</v>
      </c>
    </row>
    <row r="27" spans="2:32" s="299" customFormat="1" ht="31.5" x14ac:dyDescent="0.25">
      <c r="B27" s="314">
        <v>1212</v>
      </c>
      <c r="C27" s="314" t="s">
        <v>2820</v>
      </c>
      <c r="D27" s="304" t="s">
        <v>2796</v>
      </c>
      <c r="E27" s="304" t="s">
        <v>2739</v>
      </c>
      <c r="F27" s="304" t="s">
        <v>2787</v>
      </c>
      <c r="G27" s="304" t="s">
        <v>2808</v>
      </c>
      <c r="H27" s="305">
        <v>31</v>
      </c>
      <c r="I27" s="295">
        <v>20</v>
      </c>
      <c r="J27" s="295" t="s">
        <v>2634</v>
      </c>
      <c r="K27" s="295">
        <v>4</v>
      </c>
      <c r="L27" s="306">
        <v>43331</v>
      </c>
      <c r="M27" s="295">
        <v>2.6</v>
      </c>
      <c r="N27" s="1105">
        <f>M27*AF10</f>
        <v>1663.1420000000001</v>
      </c>
      <c r="O27" s="684">
        <f>H$234</f>
        <v>1278.8699999999999</v>
      </c>
      <c r="P27" s="1107">
        <f>G$241*AF10</f>
        <v>991.48849999999993</v>
      </c>
      <c r="Q27" s="1107">
        <f t="shared" si="11"/>
        <v>287.38149999999996</v>
      </c>
      <c r="R27" s="1107">
        <f t="shared" si="9"/>
        <v>384.27200000000016</v>
      </c>
      <c r="S27" s="333">
        <v>0.12</v>
      </c>
      <c r="T27" s="334">
        <f>O27*S27</f>
        <v>153.46439999999998</v>
      </c>
      <c r="U27" s="311">
        <v>0</v>
      </c>
      <c r="V27" s="334">
        <f t="shared" si="12"/>
        <v>0</v>
      </c>
      <c r="W27" s="334">
        <v>0</v>
      </c>
      <c r="X27" s="312">
        <f t="shared" si="13"/>
        <v>4.6153605645218511E-2</v>
      </c>
      <c r="Y27" s="334">
        <f t="shared" si="1"/>
        <v>76.760000000000005</v>
      </c>
      <c r="Z27" s="312">
        <f t="shared" si="2"/>
        <v>0</v>
      </c>
      <c r="AA27" s="334">
        <f t="shared" si="3"/>
        <v>0</v>
      </c>
      <c r="AB27" s="334">
        <v>0</v>
      </c>
      <c r="AC27" s="335">
        <f t="shared" si="4"/>
        <v>554.38066666666668</v>
      </c>
      <c r="AD27" s="335">
        <f t="shared" si="5"/>
        <v>66.525679999999994</v>
      </c>
      <c r="AE27" s="335">
        <f t="shared" si="6"/>
        <v>1663.1420000000001</v>
      </c>
      <c r="AF27" s="335">
        <f t="shared" si="7"/>
        <v>199.57704000000001</v>
      </c>
    </row>
    <row r="28" spans="2:32" s="299" customFormat="1" ht="31.5" x14ac:dyDescent="0.25">
      <c r="B28" s="314">
        <v>1907</v>
      </c>
      <c r="C28" s="314" t="s">
        <v>2821</v>
      </c>
      <c r="D28" s="304" t="s">
        <v>2796</v>
      </c>
      <c r="E28" s="304" t="s">
        <v>2739</v>
      </c>
      <c r="F28" s="304" t="s">
        <v>2787</v>
      </c>
      <c r="G28" s="304" t="s">
        <v>2808</v>
      </c>
      <c r="H28" s="305">
        <v>31</v>
      </c>
      <c r="I28" s="295">
        <v>20</v>
      </c>
      <c r="J28" s="295" t="s">
        <v>2636</v>
      </c>
      <c r="K28" s="295">
        <v>3</v>
      </c>
      <c r="L28" s="306">
        <v>42054</v>
      </c>
      <c r="M28" s="295">
        <v>2.27</v>
      </c>
      <c r="N28" s="1105">
        <f>M28*AF10</f>
        <v>1452.0509</v>
      </c>
      <c r="O28" s="684">
        <f>H$234</f>
        <v>1278.8699999999999</v>
      </c>
      <c r="P28" s="1107">
        <f>G$241*AF10</f>
        <v>991.48849999999993</v>
      </c>
      <c r="Q28" s="1107">
        <f t="shared" si="11"/>
        <v>287.38149999999996</v>
      </c>
      <c r="R28" s="1107">
        <f t="shared" si="9"/>
        <v>173.18090000000007</v>
      </c>
      <c r="S28" s="333">
        <v>0.05</v>
      </c>
      <c r="T28" s="334">
        <f>O28*S28</f>
        <v>63.9435</v>
      </c>
      <c r="U28" s="311">
        <v>0</v>
      </c>
      <c r="V28" s="334">
        <f t="shared" si="12"/>
        <v>0</v>
      </c>
      <c r="W28" s="334">
        <v>0</v>
      </c>
      <c r="X28" s="312">
        <f t="shared" si="13"/>
        <v>5.2863160650911074E-2</v>
      </c>
      <c r="Y28" s="334">
        <f t="shared" si="1"/>
        <v>76.760000000000005</v>
      </c>
      <c r="Z28" s="312">
        <f t="shared" si="2"/>
        <v>0</v>
      </c>
      <c r="AA28" s="334">
        <f t="shared" si="3"/>
        <v>0</v>
      </c>
      <c r="AB28" s="334">
        <v>0</v>
      </c>
      <c r="AC28" s="335">
        <f t="shared" si="4"/>
        <v>484.01696666666663</v>
      </c>
      <c r="AD28" s="335">
        <f t="shared" si="5"/>
        <v>24.200848333333333</v>
      </c>
      <c r="AE28" s="335">
        <f t="shared" si="6"/>
        <v>1452.0509</v>
      </c>
      <c r="AF28" s="335">
        <f t="shared" si="7"/>
        <v>72.602545000000006</v>
      </c>
    </row>
    <row r="29" spans="2:32" s="299" customFormat="1" ht="31.5" x14ac:dyDescent="0.25">
      <c r="B29" s="314">
        <v>2009</v>
      </c>
      <c r="C29" s="314" t="s">
        <v>2822</v>
      </c>
      <c r="D29" s="304" t="s">
        <v>2796</v>
      </c>
      <c r="E29" s="304" t="s">
        <v>2739</v>
      </c>
      <c r="F29" s="304" t="s">
        <v>2787</v>
      </c>
      <c r="G29" s="304" t="s">
        <v>2808</v>
      </c>
      <c r="H29" s="305">
        <v>31</v>
      </c>
      <c r="I29" s="295">
        <v>25</v>
      </c>
      <c r="J29" s="295" t="s">
        <v>2636</v>
      </c>
      <c r="K29" s="295">
        <v>3</v>
      </c>
      <c r="L29" s="306">
        <v>42054</v>
      </c>
      <c r="M29" s="295">
        <v>2.84</v>
      </c>
      <c r="N29" s="1105">
        <f>M29*AF10</f>
        <v>1816.6627999999998</v>
      </c>
      <c r="O29" s="684">
        <f>M$234</f>
        <v>1598.59</v>
      </c>
      <c r="P29" s="1107">
        <f>G$259*AF10</f>
        <v>1234.5630999999998</v>
      </c>
      <c r="Q29" s="1107">
        <f t="shared" si="11"/>
        <v>364.02690000000007</v>
      </c>
      <c r="R29" s="1107">
        <f t="shared" si="9"/>
        <v>218.07279999999992</v>
      </c>
      <c r="S29" s="333">
        <v>0.04</v>
      </c>
      <c r="T29" s="334">
        <f>O29*S29</f>
        <v>63.943599999999996</v>
      </c>
      <c r="U29" s="311">
        <v>0</v>
      </c>
      <c r="V29" s="334">
        <f t="shared" si="12"/>
        <v>0</v>
      </c>
      <c r="W29" s="334">
        <v>0</v>
      </c>
      <c r="X29" s="312">
        <f t="shared" si="13"/>
        <v>4.2253300942805681E-2</v>
      </c>
      <c r="Y29" s="334">
        <f t="shared" si="1"/>
        <v>76.760000000000005</v>
      </c>
      <c r="Z29" s="312">
        <f t="shared" si="2"/>
        <v>0</v>
      </c>
      <c r="AA29" s="334">
        <f t="shared" si="3"/>
        <v>0</v>
      </c>
      <c r="AB29" s="334">
        <v>0</v>
      </c>
      <c r="AC29" s="335">
        <f t="shared" si="4"/>
        <v>605.55426666666665</v>
      </c>
      <c r="AD29" s="335">
        <f t="shared" si="5"/>
        <v>24.222170666666667</v>
      </c>
      <c r="AE29" s="335">
        <f t="shared" si="6"/>
        <v>1816.6627999999998</v>
      </c>
      <c r="AF29" s="335">
        <f t="shared" si="7"/>
        <v>72.666511999999997</v>
      </c>
    </row>
    <row r="30" spans="2:32" s="299" customFormat="1" ht="31.5" x14ac:dyDescent="0.25">
      <c r="B30" s="314">
        <v>1311</v>
      </c>
      <c r="C30" s="314" t="s">
        <v>2823</v>
      </c>
      <c r="D30" s="304" t="s">
        <v>2796</v>
      </c>
      <c r="E30" s="304" t="s">
        <v>2739</v>
      </c>
      <c r="F30" s="304" t="s">
        <v>2787</v>
      </c>
      <c r="G30" s="304" t="s">
        <v>2808</v>
      </c>
      <c r="H30" s="305">
        <v>31</v>
      </c>
      <c r="I30" s="295">
        <v>20</v>
      </c>
      <c r="J30" s="295" t="s">
        <v>2634</v>
      </c>
      <c r="K30" s="295">
        <v>2</v>
      </c>
      <c r="L30" s="306">
        <v>39946</v>
      </c>
      <c r="M30" s="295">
        <v>2.13</v>
      </c>
      <c r="N30" s="1105">
        <f>M30*AF10</f>
        <v>1362.4970999999998</v>
      </c>
      <c r="O30" s="684">
        <f>H$234</f>
        <v>1278.8699999999999</v>
      </c>
      <c r="P30" s="1107">
        <f>G$241*AF10</f>
        <v>991.48849999999993</v>
      </c>
      <c r="Q30" s="1107">
        <f t="shared" si="11"/>
        <v>287.38149999999996</v>
      </c>
      <c r="R30" s="1107">
        <f t="shared" si="9"/>
        <v>83.627099999999928</v>
      </c>
      <c r="S30" s="333">
        <v>0.11</v>
      </c>
      <c r="T30" s="334">
        <f>(((((((O30)*(1+4.12%))))*(1+4.12%))))*S30</f>
        <v>152.50616624020796</v>
      </c>
      <c r="U30" s="311">
        <v>0</v>
      </c>
      <c r="V30" s="334">
        <f>O30/I30*0</f>
        <v>0</v>
      </c>
      <c r="W30" s="334">
        <v>0</v>
      </c>
      <c r="X30" s="312">
        <f t="shared" si="13"/>
        <v>5.6337734590407577E-2</v>
      </c>
      <c r="Y30" s="334">
        <f t="shared" si="1"/>
        <v>76.760000000000005</v>
      </c>
      <c r="Z30" s="312">
        <f t="shared" si="2"/>
        <v>0</v>
      </c>
      <c r="AA30" s="334">
        <f t="shared" si="3"/>
        <v>0</v>
      </c>
      <c r="AB30" s="334">
        <v>0</v>
      </c>
      <c r="AC30" s="335">
        <f t="shared" si="4"/>
        <v>454.16569999999996</v>
      </c>
      <c r="AD30" s="335">
        <f t="shared" si="5"/>
        <v>49.958226999999994</v>
      </c>
      <c r="AE30" s="335">
        <f t="shared" si="6"/>
        <v>1362.4970999999998</v>
      </c>
      <c r="AF30" s="335">
        <f t="shared" si="7"/>
        <v>149.87468099999998</v>
      </c>
    </row>
    <row r="31" spans="2:32" s="299" customFormat="1" ht="47.25" x14ac:dyDescent="0.25">
      <c r="B31" s="314">
        <v>1596</v>
      </c>
      <c r="C31" s="314" t="s">
        <v>2824</v>
      </c>
      <c r="D31" s="304" t="s">
        <v>2796</v>
      </c>
      <c r="E31" s="304" t="s">
        <v>2739</v>
      </c>
      <c r="F31" s="304" t="s">
        <v>2787</v>
      </c>
      <c r="G31" s="304" t="s">
        <v>2825</v>
      </c>
      <c r="H31" s="305">
        <v>31</v>
      </c>
      <c r="I31" s="295">
        <v>20</v>
      </c>
      <c r="J31" s="295" t="s">
        <v>2636</v>
      </c>
      <c r="K31" s="295">
        <v>3</v>
      </c>
      <c r="L31" s="306">
        <v>40982</v>
      </c>
      <c r="M31" s="295">
        <v>2.27</v>
      </c>
      <c r="N31" s="1105">
        <f>M31*AF10</f>
        <v>1452.0509</v>
      </c>
      <c r="O31" s="684">
        <f>H$234</f>
        <v>1278.8699999999999</v>
      </c>
      <c r="P31" s="1107">
        <f>G$241*AF10</f>
        <v>991.48849999999993</v>
      </c>
      <c r="Q31" s="1107">
        <f>IF(P31&gt;O31,"0,00",(O31-P31))</f>
        <v>287.38149999999996</v>
      </c>
      <c r="R31" s="1107">
        <f t="shared" ref="R31:R36" si="14">N31-O31</f>
        <v>173.18090000000007</v>
      </c>
      <c r="S31" s="333">
        <v>0.08</v>
      </c>
      <c r="T31" s="334">
        <f>(((((((O31))*S31)))))</f>
        <v>102.30959999999999</v>
      </c>
      <c r="U31" s="311">
        <v>0</v>
      </c>
      <c r="V31" s="334">
        <f>O31/I31*0</f>
        <v>0</v>
      </c>
      <c r="W31" s="334">
        <v>0</v>
      </c>
      <c r="X31" s="312">
        <f t="shared" si="13"/>
        <v>5.2863160650911074E-2</v>
      </c>
      <c r="Y31" s="334">
        <f>N31*X31</f>
        <v>76.760000000000005</v>
      </c>
      <c r="Z31" s="312">
        <v>0</v>
      </c>
      <c r="AA31" s="334">
        <f>N31*Z31</f>
        <v>0</v>
      </c>
      <c r="AB31" s="334">
        <v>0</v>
      </c>
      <c r="AC31" s="335">
        <f>(P31+Q31+R31+U31+V31)/3</f>
        <v>484.01696666666663</v>
      </c>
      <c r="AD31" s="335">
        <f>AC31*S31</f>
        <v>38.72135733333333</v>
      </c>
      <c r="AE31" s="335">
        <f>(P31+Q31+R31+U31+V31)</f>
        <v>1452.0509</v>
      </c>
      <c r="AF31" s="335">
        <f>AE31*S31</f>
        <v>116.164072</v>
      </c>
    </row>
    <row r="32" spans="2:32" s="299" customFormat="1" ht="31.5" x14ac:dyDescent="0.25">
      <c r="B32" s="314">
        <v>393</v>
      </c>
      <c r="C32" s="314" t="s">
        <v>2845</v>
      </c>
      <c r="D32" s="304" t="s">
        <v>2796</v>
      </c>
      <c r="E32" s="304" t="s">
        <v>2739</v>
      </c>
      <c r="F32" s="304" t="s">
        <v>2787</v>
      </c>
      <c r="G32" s="304" t="s">
        <v>2808</v>
      </c>
      <c r="H32" s="305">
        <v>31</v>
      </c>
      <c r="I32" s="295">
        <v>25</v>
      </c>
      <c r="J32" s="295" t="s">
        <v>2638</v>
      </c>
      <c r="K32" s="295">
        <v>3</v>
      </c>
      <c r="L32" s="306">
        <v>36952</v>
      </c>
      <c r="M32" s="316">
        <v>3.2</v>
      </c>
      <c r="N32" s="1105">
        <f>M32*AF10</f>
        <v>2046.944</v>
      </c>
      <c r="O32" s="684">
        <f>M$234</f>
        <v>1598.59</v>
      </c>
      <c r="P32" s="1107">
        <f>G$259*AF10</f>
        <v>1234.5630999999998</v>
      </c>
      <c r="Q32" s="1107">
        <f t="shared" si="11"/>
        <v>364.02690000000007</v>
      </c>
      <c r="R32" s="1107">
        <f t="shared" si="14"/>
        <v>448.35400000000004</v>
      </c>
      <c r="S32" s="333">
        <v>0.19</v>
      </c>
      <c r="T32" s="334">
        <f t="shared" ref="T32" si="15">(((((((O32)*(1+4.12%))))*(1+4.12%)))*(1+4.12%))*S32</f>
        <v>342.84132996852384</v>
      </c>
      <c r="U32" s="311">
        <v>0</v>
      </c>
      <c r="V32" s="334">
        <f>O32/I32*0</f>
        <v>0</v>
      </c>
      <c r="W32" s="334">
        <v>0</v>
      </c>
      <c r="X32" s="312">
        <f t="shared" si="13"/>
        <v>3.7499804586740043E-2</v>
      </c>
      <c r="Y32" s="334">
        <f t="shared" si="1"/>
        <v>76.760000000000005</v>
      </c>
      <c r="Z32" s="312">
        <f t="shared" si="2"/>
        <v>0</v>
      </c>
      <c r="AA32" s="334">
        <f t="shared" si="3"/>
        <v>0</v>
      </c>
      <c r="AB32" s="334">
        <v>0</v>
      </c>
      <c r="AC32" s="335">
        <f t="shared" si="4"/>
        <v>682.31466666666665</v>
      </c>
      <c r="AD32" s="335">
        <f t="shared" si="5"/>
        <v>129.63978666666665</v>
      </c>
      <c r="AE32" s="335">
        <f t="shared" si="6"/>
        <v>2046.944</v>
      </c>
      <c r="AF32" s="335">
        <f t="shared" si="7"/>
        <v>388.91935999999998</v>
      </c>
    </row>
    <row r="33" spans="2:32" s="299" customFormat="1" ht="31.5" x14ac:dyDescent="0.25">
      <c r="B33" s="314">
        <v>890</v>
      </c>
      <c r="C33" s="314" t="s">
        <v>2845</v>
      </c>
      <c r="D33" s="304" t="s">
        <v>2796</v>
      </c>
      <c r="E33" s="304" t="s">
        <v>2739</v>
      </c>
      <c r="F33" s="304" t="s">
        <v>2787</v>
      </c>
      <c r="G33" s="304" t="s">
        <v>2808</v>
      </c>
      <c r="H33" s="305">
        <v>31</v>
      </c>
      <c r="I33" s="295">
        <v>25</v>
      </c>
      <c r="J33" s="295" t="s">
        <v>2648</v>
      </c>
      <c r="K33" s="295">
        <v>3</v>
      </c>
      <c r="L33" s="306">
        <v>38761</v>
      </c>
      <c r="M33" s="316">
        <v>3.07</v>
      </c>
      <c r="N33" s="1105">
        <f>M33*AF10</f>
        <v>1963.7868999999998</v>
      </c>
      <c r="O33" s="684">
        <f>M$234</f>
        <v>1598.59</v>
      </c>
      <c r="P33" s="1107">
        <f>G$259*AF10</f>
        <v>1234.5630999999998</v>
      </c>
      <c r="Q33" s="1107">
        <f t="shared" si="11"/>
        <v>364.02690000000007</v>
      </c>
      <c r="R33" s="1107">
        <f t="shared" si="14"/>
        <v>365.19689999999991</v>
      </c>
      <c r="S33" s="333">
        <v>0.14000000000000001</v>
      </c>
      <c r="T33" s="334">
        <f>(((((((O33)*(1+4.12%))))*(1+4.12%))))*S33</f>
        <v>242.62382572534398</v>
      </c>
      <c r="U33" s="311">
        <v>0</v>
      </c>
      <c r="V33" s="334">
        <f>O33/I33*0</f>
        <v>0</v>
      </c>
      <c r="W33" s="334">
        <v>0</v>
      </c>
      <c r="X33" s="312">
        <v>0</v>
      </c>
      <c r="Y33" s="334">
        <f t="shared" si="1"/>
        <v>0</v>
      </c>
      <c r="Z33" s="312">
        <f t="shared" si="2"/>
        <v>0</v>
      </c>
      <c r="AA33" s="334">
        <f t="shared" si="3"/>
        <v>0</v>
      </c>
      <c r="AB33" s="334">
        <v>0</v>
      </c>
      <c r="AC33" s="335">
        <f t="shared" ref="AC33:AC37" si="16">(P33+Q33+R33+U33+V33)/3</f>
        <v>654.59563333333324</v>
      </c>
      <c r="AD33" s="335">
        <f t="shared" ref="AD33:AD37" si="17">AC33*S33</f>
        <v>91.643388666666667</v>
      </c>
      <c r="AE33" s="335">
        <f t="shared" ref="AE33:AE37" si="18">(P33+Q33+R33+U33+V33)</f>
        <v>1963.7868999999998</v>
      </c>
      <c r="AF33" s="335">
        <f t="shared" ref="AF33:AF37" si="19">AE33*S33</f>
        <v>274.93016599999999</v>
      </c>
    </row>
    <row r="34" spans="2:32" s="299" customFormat="1" ht="31.5" x14ac:dyDescent="0.25">
      <c r="B34" s="314">
        <v>2042</v>
      </c>
      <c r="C34" s="314" t="s">
        <v>2846</v>
      </c>
      <c r="D34" s="304" t="s">
        <v>2796</v>
      </c>
      <c r="E34" s="304" t="s">
        <v>2739</v>
      </c>
      <c r="F34" s="304" t="s">
        <v>2787</v>
      </c>
      <c r="G34" s="304" t="s">
        <v>2808</v>
      </c>
      <c r="H34" s="305">
        <v>31</v>
      </c>
      <c r="I34" s="295">
        <v>25</v>
      </c>
      <c r="J34" s="295" t="s">
        <v>2636</v>
      </c>
      <c r="K34" s="295">
        <v>3</v>
      </c>
      <c r="L34" s="306">
        <v>42468</v>
      </c>
      <c r="M34" s="316">
        <v>2.84</v>
      </c>
      <c r="N34" s="1105">
        <f>M34*AF10</f>
        <v>1816.6627999999998</v>
      </c>
      <c r="O34" s="684">
        <f>M$234</f>
        <v>1598.59</v>
      </c>
      <c r="P34" s="1107">
        <f>G$259*AF10</f>
        <v>1234.5630999999998</v>
      </c>
      <c r="Q34" s="1107">
        <f t="shared" si="11"/>
        <v>364.02690000000007</v>
      </c>
      <c r="R34" s="1107">
        <f t="shared" si="14"/>
        <v>218.07279999999992</v>
      </c>
      <c r="S34" s="333">
        <v>0.04</v>
      </c>
      <c r="T34" s="334">
        <f>O34*S34</f>
        <v>63.943599999999996</v>
      </c>
      <c r="U34" s="311">
        <v>0</v>
      </c>
      <c r="V34" s="334">
        <f>N34/I34*0</f>
        <v>0</v>
      </c>
      <c r="W34" s="334">
        <v>0</v>
      </c>
      <c r="X34" s="312">
        <f t="shared" ref="X34:X40" si="20">76.76/N34</f>
        <v>4.2253300942805681E-2</v>
      </c>
      <c r="Y34" s="334">
        <f t="shared" si="1"/>
        <v>76.760000000000005</v>
      </c>
      <c r="Z34" s="312">
        <f t="shared" si="2"/>
        <v>0</v>
      </c>
      <c r="AA34" s="334">
        <f t="shared" si="3"/>
        <v>0</v>
      </c>
      <c r="AB34" s="334">
        <v>0</v>
      </c>
      <c r="AC34" s="335">
        <f t="shared" si="16"/>
        <v>605.55426666666665</v>
      </c>
      <c r="AD34" s="335">
        <f t="shared" si="17"/>
        <v>24.222170666666667</v>
      </c>
      <c r="AE34" s="335">
        <f t="shared" si="18"/>
        <v>1816.6627999999998</v>
      </c>
      <c r="AF34" s="335">
        <f t="shared" si="19"/>
        <v>72.666511999999997</v>
      </c>
    </row>
    <row r="35" spans="2:32" s="299" customFormat="1" ht="31.5" x14ac:dyDescent="0.25">
      <c r="B35" s="314">
        <v>531</v>
      </c>
      <c r="C35" s="314" t="s">
        <v>2847</v>
      </c>
      <c r="D35" s="304" t="s">
        <v>2796</v>
      </c>
      <c r="E35" s="304" t="s">
        <v>2739</v>
      </c>
      <c r="F35" s="304" t="s">
        <v>2787</v>
      </c>
      <c r="G35" s="304" t="s">
        <v>2808</v>
      </c>
      <c r="H35" s="305">
        <v>31</v>
      </c>
      <c r="I35" s="295">
        <v>22</v>
      </c>
      <c r="J35" s="295" t="s">
        <v>2638</v>
      </c>
      <c r="K35" s="295">
        <v>4</v>
      </c>
      <c r="L35" s="306">
        <v>37368</v>
      </c>
      <c r="M35" s="316">
        <v>3.1</v>
      </c>
      <c r="N35" s="1105">
        <f>M35*AF10</f>
        <v>1982.9769999999999</v>
      </c>
      <c r="O35" s="684">
        <f>J234</f>
        <v>1406.7569999999998</v>
      </c>
      <c r="P35" s="1107">
        <f>G$250*AF10</f>
        <v>1087.4389999999999</v>
      </c>
      <c r="Q35" s="1107">
        <f t="shared" si="11"/>
        <v>319.31799999999998</v>
      </c>
      <c r="R35" s="1107">
        <f t="shared" si="14"/>
        <v>576.22</v>
      </c>
      <c r="S35" s="333">
        <v>0.18</v>
      </c>
      <c r="T35" s="334">
        <f>(((((((O35)*(1+4.12%))))*(1+4.12%))))*S35</f>
        <v>274.51109923237431</v>
      </c>
      <c r="U35" s="311">
        <v>0</v>
      </c>
      <c r="V35" s="334">
        <f>N35/I35*0</f>
        <v>0</v>
      </c>
      <c r="W35" s="334">
        <v>0</v>
      </c>
      <c r="X35" s="312">
        <f t="shared" si="20"/>
        <v>3.8709475702441334E-2</v>
      </c>
      <c r="Y35" s="334">
        <f t="shared" si="1"/>
        <v>76.760000000000005</v>
      </c>
      <c r="Z35" s="312">
        <f t="shared" si="2"/>
        <v>0</v>
      </c>
      <c r="AA35" s="334">
        <f t="shared" si="3"/>
        <v>0</v>
      </c>
      <c r="AB35" s="334">
        <v>0</v>
      </c>
      <c r="AC35" s="335">
        <f t="shared" si="16"/>
        <v>660.99233333333325</v>
      </c>
      <c r="AD35" s="335">
        <f t="shared" si="17"/>
        <v>118.97861999999998</v>
      </c>
      <c r="AE35" s="335">
        <f t="shared" si="18"/>
        <v>1982.9769999999999</v>
      </c>
      <c r="AF35" s="335">
        <f t="shared" si="19"/>
        <v>356.93585999999993</v>
      </c>
    </row>
    <row r="36" spans="2:32" s="299" customFormat="1" ht="31.5" x14ac:dyDescent="0.25">
      <c r="B36" s="314">
        <v>401</v>
      </c>
      <c r="C36" s="314" t="s">
        <v>2848</v>
      </c>
      <c r="D36" s="304" t="s">
        <v>2796</v>
      </c>
      <c r="E36" s="304" t="s">
        <v>2739</v>
      </c>
      <c r="F36" s="304" t="s">
        <v>2787</v>
      </c>
      <c r="G36" s="304" t="s">
        <v>2808</v>
      </c>
      <c r="H36" s="305">
        <v>31</v>
      </c>
      <c r="I36" s="295">
        <v>25</v>
      </c>
      <c r="J36" s="295" t="s">
        <v>2638</v>
      </c>
      <c r="K36" s="295">
        <v>2</v>
      </c>
      <c r="L36" s="306">
        <v>36958</v>
      </c>
      <c r="M36" s="316">
        <v>2.88</v>
      </c>
      <c r="N36" s="1105">
        <f>M36*AF10</f>
        <v>1842.2495999999999</v>
      </c>
      <c r="O36" s="684">
        <f>M$234</f>
        <v>1598.59</v>
      </c>
      <c r="P36" s="1107">
        <f>G259*AF10</f>
        <v>1234.5630999999998</v>
      </c>
      <c r="Q36" s="1107">
        <f t="shared" si="11"/>
        <v>364.02690000000007</v>
      </c>
      <c r="R36" s="1107">
        <f t="shared" si="14"/>
        <v>243.65959999999995</v>
      </c>
      <c r="S36" s="333">
        <v>0.19</v>
      </c>
      <c r="T36" s="334">
        <f>(((((((O36)*(1+4.12%))))*(1+4.12%)))*(1+4.12%))*S36</f>
        <v>342.84132996852384</v>
      </c>
      <c r="U36" s="311">
        <v>0</v>
      </c>
      <c r="V36" s="334">
        <v>0</v>
      </c>
      <c r="W36" s="334">
        <v>0</v>
      </c>
      <c r="X36" s="312">
        <f t="shared" si="20"/>
        <v>4.166644954082227E-2</v>
      </c>
      <c r="Y36" s="334">
        <f t="shared" si="1"/>
        <v>76.760000000000005</v>
      </c>
      <c r="Z36" s="312">
        <f t="shared" si="2"/>
        <v>0</v>
      </c>
      <c r="AA36" s="334">
        <f t="shared" si="3"/>
        <v>0</v>
      </c>
      <c r="AB36" s="334">
        <v>0</v>
      </c>
      <c r="AC36" s="335">
        <f t="shared" si="16"/>
        <v>614.08319999999992</v>
      </c>
      <c r="AD36" s="335">
        <f t="shared" si="17"/>
        <v>116.67580799999999</v>
      </c>
      <c r="AE36" s="335">
        <f t="shared" si="18"/>
        <v>1842.2495999999999</v>
      </c>
      <c r="AF36" s="335">
        <f t="shared" si="19"/>
        <v>350.027424</v>
      </c>
    </row>
    <row r="37" spans="2:32" s="299" customFormat="1" ht="31.5" x14ac:dyDescent="0.25">
      <c r="B37" s="314">
        <v>2012</v>
      </c>
      <c r="C37" s="314" t="s">
        <v>2849</v>
      </c>
      <c r="D37" s="304" t="s">
        <v>2796</v>
      </c>
      <c r="E37" s="304" t="s">
        <v>2739</v>
      </c>
      <c r="F37" s="304" t="s">
        <v>2787</v>
      </c>
      <c r="G37" s="304" t="s">
        <v>2808</v>
      </c>
      <c r="H37" s="305">
        <v>31</v>
      </c>
      <c r="I37" s="295">
        <v>20</v>
      </c>
      <c r="J37" s="295" t="s">
        <v>2636</v>
      </c>
      <c r="K37" s="295">
        <v>3</v>
      </c>
      <c r="L37" s="306">
        <v>43331</v>
      </c>
      <c r="M37" s="295">
        <v>2.27</v>
      </c>
      <c r="N37" s="1105">
        <f>M37*AF10</f>
        <v>1452.0509</v>
      </c>
      <c r="O37" s="684">
        <f>H$234</f>
        <v>1278.8699999999999</v>
      </c>
      <c r="P37" s="1107">
        <f>G$241*AF10</f>
        <v>991.48849999999993</v>
      </c>
      <c r="Q37" s="1107">
        <f t="shared" si="11"/>
        <v>287.38149999999996</v>
      </c>
      <c r="R37" s="1107">
        <f t="shared" ref="R37" si="21">N37-O37</f>
        <v>173.18090000000007</v>
      </c>
      <c r="S37" s="333">
        <v>0.04</v>
      </c>
      <c r="T37" s="334">
        <f>O37*S37</f>
        <v>51.154799999999994</v>
      </c>
      <c r="U37" s="311">
        <v>0</v>
      </c>
      <c r="V37" s="334">
        <f>N37/I37*0</f>
        <v>0</v>
      </c>
      <c r="W37" s="334">
        <v>0</v>
      </c>
      <c r="X37" s="312">
        <f t="shared" si="20"/>
        <v>5.2863160650911074E-2</v>
      </c>
      <c r="Y37" s="334">
        <f t="shared" si="1"/>
        <v>76.760000000000005</v>
      </c>
      <c r="Z37" s="312">
        <f t="shared" si="2"/>
        <v>0</v>
      </c>
      <c r="AA37" s="334">
        <f t="shared" si="3"/>
        <v>0</v>
      </c>
      <c r="AB37" s="334">
        <v>0</v>
      </c>
      <c r="AC37" s="335">
        <f t="shared" si="16"/>
        <v>484.01696666666663</v>
      </c>
      <c r="AD37" s="335">
        <f t="shared" si="17"/>
        <v>19.360678666666665</v>
      </c>
      <c r="AE37" s="335">
        <f t="shared" si="18"/>
        <v>1452.0509</v>
      </c>
      <c r="AF37" s="335">
        <f t="shared" si="19"/>
        <v>58.082036000000002</v>
      </c>
    </row>
    <row r="38" spans="2:32" s="299" customFormat="1" ht="31.5" x14ac:dyDescent="0.25">
      <c r="B38" s="314">
        <v>710</v>
      </c>
      <c r="C38" s="314" t="s">
        <v>2850</v>
      </c>
      <c r="D38" s="304" t="s">
        <v>2796</v>
      </c>
      <c r="E38" s="304" t="s">
        <v>2739</v>
      </c>
      <c r="F38" s="304" t="s">
        <v>2787</v>
      </c>
      <c r="G38" s="304" t="s">
        <v>2808</v>
      </c>
      <c r="H38" s="305">
        <v>31</v>
      </c>
      <c r="I38" s="295">
        <v>25</v>
      </c>
      <c r="J38" s="295" t="s">
        <v>2648</v>
      </c>
      <c r="K38" s="295">
        <v>3</v>
      </c>
      <c r="L38" s="306">
        <v>38085</v>
      </c>
      <c r="M38" s="316">
        <f>I261</f>
        <v>3.0684247295999993</v>
      </c>
      <c r="N38" s="1105">
        <f>M38*AF10</f>
        <v>1962.7792467832314</v>
      </c>
      <c r="O38" s="684">
        <f>M$234</f>
        <v>1598.59</v>
      </c>
      <c r="P38" s="1107">
        <f>G$250*AF10</f>
        <v>1087.4389999999999</v>
      </c>
      <c r="Q38" s="1107">
        <f t="shared" si="11"/>
        <v>511.15100000000007</v>
      </c>
      <c r="R38" s="1107">
        <f>N38-O38</f>
        <v>364.18924678323151</v>
      </c>
      <c r="S38" s="333">
        <v>0.16</v>
      </c>
      <c r="T38" s="334">
        <f>(((((((O38)*(1+4.12%))))*(1+4.12%))))*S38</f>
        <v>277.28437225753595</v>
      </c>
      <c r="U38" s="311">
        <v>0</v>
      </c>
      <c r="V38" s="334">
        <f>N38/I38*0</f>
        <v>0</v>
      </c>
      <c r="W38" s="334">
        <v>0</v>
      </c>
      <c r="X38" s="312">
        <f t="shared" si="20"/>
        <v>3.9107811092765926E-2</v>
      </c>
      <c r="Y38" s="334">
        <f t="shared" si="1"/>
        <v>76.760000000000005</v>
      </c>
      <c r="Z38" s="312">
        <v>0</v>
      </c>
      <c r="AA38" s="334">
        <f t="shared" si="3"/>
        <v>0</v>
      </c>
      <c r="AB38" s="334">
        <v>0</v>
      </c>
      <c r="AC38" s="335">
        <f t="shared" ref="AC38" si="22">(P38+Q38+R38+U38+V38)/3</f>
        <v>654.25974892774377</v>
      </c>
      <c r="AD38" s="335">
        <f t="shared" ref="AD38" si="23">AC38*S38</f>
        <v>104.68155982843901</v>
      </c>
      <c r="AE38" s="335">
        <f t="shared" ref="AE38" si="24">(P38+Q38+R38+U38+V38)</f>
        <v>1962.7792467832314</v>
      </c>
      <c r="AF38" s="335">
        <f t="shared" ref="AF38" si="25">AE38*S38</f>
        <v>314.04467948531703</v>
      </c>
    </row>
    <row r="39" spans="2:32" s="299" customFormat="1" ht="31.5" x14ac:dyDescent="0.25">
      <c r="B39" s="314">
        <v>1902</v>
      </c>
      <c r="C39" s="314" t="s">
        <v>2852</v>
      </c>
      <c r="D39" s="304" t="s">
        <v>2876</v>
      </c>
      <c r="E39" s="304" t="s">
        <v>2739</v>
      </c>
      <c r="F39" s="304" t="s">
        <v>2787</v>
      </c>
      <c r="G39" s="304" t="s">
        <v>2808</v>
      </c>
      <c r="H39" s="305">
        <v>31</v>
      </c>
      <c r="I39" s="295">
        <v>40</v>
      </c>
      <c r="J39" s="295" t="s">
        <v>2636</v>
      </c>
      <c r="K39" s="295">
        <v>3</v>
      </c>
      <c r="L39" s="306">
        <v>42054</v>
      </c>
      <c r="M39" s="316">
        <v>5.5</v>
      </c>
      <c r="N39" s="1105">
        <f>M39*AF10</f>
        <v>3518.1849999999999</v>
      </c>
      <c r="O39" s="684">
        <f>G234</f>
        <v>2557.7399999999998</v>
      </c>
      <c r="P39" s="1107">
        <f>G269*AF10</f>
        <v>2878.5149999999999</v>
      </c>
      <c r="Q39" s="1107" t="str">
        <f t="shared" si="11"/>
        <v>0,00</v>
      </c>
      <c r="R39" s="1107">
        <f>N39-O39</f>
        <v>960.44500000000016</v>
      </c>
      <c r="S39" s="333">
        <v>0.05</v>
      </c>
      <c r="T39" s="334">
        <f>(((((((O39)))))*S39))</f>
        <v>127.887</v>
      </c>
      <c r="U39" s="311">
        <v>0</v>
      </c>
      <c r="V39" s="334">
        <f>N39/I39*0</f>
        <v>0</v>
      </c>
      <c r="W39" s="334">
        <v>0</v>
      </c>
      <c r="X39" s="312">
        <f t="shared" si="20"/>
        <v>2.1818068123194204E-2</v>
      </c>
      <c r="Y39" s="334">
        <f t="shared" si="1"/>
        <v>76.760000000000005</v>
      </c>
      <c r="Z39" s="312">
        <v>0</v>
      </c>
      <c r="AA39" s="334">
        <f t="shared" si="3"/>
        <v>0</v>
      </c>
      <c r="AB39" s="334">
        <v>0</v>
      </c>
      <c r="AC39" s="335">
        <f t="shared" ref="AC39" si="26">(P39+Q39+R39+U39+V39)/3</f>
        <v>1279.6533333333334</v>
      </c>
      <c r="AD39" s="335">
        <f t="shared" ref="AD39" si="27">AC39*S39</f>
        <v>63.982666666666674</v>
      </c>
      <c r="AE39" s="335">
        <f t="shared" ref="AE39" si="28">(P39+Q39+R39+U39+V39)</f>
        <v>3838.96</v>
      </c>
      <c r="AF39" s="335">
        <f t="shared" ref="AF39" si="29">AE39*S39</f>
        <v>191.94800000000001</v>
      </c>
    </row>
    <row r="40" spans="2:32" s="299" customFormat="1" ht="31.5" x14ac:dyDescent="0.25">
      <c r="B40" s="314">
        <v>2081</v>
      </c>
      <c r="C40" s="314" t="s">
        <v>2853</v>
      </c>
      <c r="D40" s="304" t="s">
        <v>2796</v>
      </c>
      <c r="E40" s="304" t="s">
        <v>2739</v>
      </c>
      <c r="F40" s="304" t="s">
        <v>2787</v>
      </c>
      <c r="G40" s="304" t="s">
        <v>2808</v>
      </c>
      <c r="H40" s="305">
        <v>31</v>
      </c>
      <c r="I40" s="295">
        <v>20</v>
      </c>
      <c r="J40" s="295" t="s">
        <v>2636</v>
      </c>
      <c r="K40" s="295">
        <v>2</v>
      </c>
      <c r="L40" s="306">
        <v>42565</v>
      </c>
      <c r="M40" s="316">
        <f>G242</f>
        <v>2.0499999999999998</v>
      </c>
      <c r="N40" s="1105">
        <f>M40*AF10</f>
        <v>1311.3234999999997</v>
      </c>
      <c r="O40" s="684">
        <f>H234</f>
        <v>1278.8699999999999</v>
      </c>
      <c r="P40" s="1107">
        <f>G$250*AF10</f>
        <v>1087.4389999999999</v>
      </c>
      <c r="Q40" s="1107">
        <f t="shared" si="11"/>
        <v>191.43100000000004</v>
      </c>
      <c r="R40" s="1107">
        <f>N40-O40</f>
        <v>32.453499999999849</v>
      </c>
      <c r="S40" s="333">
        <v>0.04</v>
      </c>
      <c r="T40" s="334">
        <f>(((((((O40)*S40))))))</f>
        <v>51.154799999999994</v>
      </c>
      <c r="U40" s="311">
        <v>0</v>
      </c>
      <c r="V40" s="334">
        <f>N40/I40*15</f>
        <v>983.49262499999986</v>
      </c>
      <c r="W40" s="334">
        <v>0</v>
      </c>
      <c r="X40" s="312">
        <f t="shared" si="20"/>
        <v>5.8536280330521051E-2</v>
      </c>
      <c r="Y40" s="334">
        <f t="shared" si="1"/>
        <v>76.760000000000005</v>
      </c>
      <c r="Z40" s="312">
        <v>0</v>
      </c>
      <c r="AA40" s="334">
        <f t="shared" si="3"/>
        <v>0</v>
      </c>
      <c r="AB40" s="334">
        <v>0</v>
      </c>
      <c r="AC40" s="335">
        <f t="shared" ref="AC40" si="30">(P40+Q40+R40+U40+V40)/3</f>
        <v>764.93870833333312</v>
      </c>
      <c r="AD40" s="335">
        <f t="shared" ref="AD40" si="31">AC40*S40</f>
        <v>30.597548333333325</v>
      </c>
      <c r="AE40" s="335">
        <f t="shared" ref="AE40" si="32">(P40+Q40+R40+U40+V40)</f>
        <v>2294.8161249999994</v>
      </c>
      <c r="AF40" s="335">
        <f t="shared" ref="AF40" si="33">AE40*S40</f>
        <v>91.792644999999979</v>
      </c>
    </row>
    <row r="41" spans="2:32" s="299" customFormat="1" ht="24.75" customHeight="1" x14ac:dyDescent="0.25">
      <c r="B41" s="314">
        <v>6</v>
      </c>
      <c r="C41" s="314" t="s">
        <v>2854</v>
      </c>
      <c r="D41" s="304" t="s">
        <v>2796</v>
      </c>
      <c r="E41" s="304" t="s">
        <v>2739</v>
      </c>
      <c r="F41" s="304" t="s">
        <v>2787</v>
      </c>
      <c r="G41" s="304" t="s">
        <v>2808</v>
      </c>
      <c r="H41" s="305">
        <v>31</v>
      </c>
      <c r="I41" s="295">
        <v>22</v>
      </c>
      <c r="J41" s="295" t="s">
        <v>2837</v>
      </c>
      <c r="K41" s="295">
        <v>1</v>
      </c>
      <c r="L41" s="306">
        <v>35431</v>
      </c>
      <c r="M41" s="316">
        <f>M250</f>
        <v>2.0802700598541355</v>
      </c>
      <c r="N41" s="1105">
        <f>M41*AF10</f>
        <v>1330.6863491868949</v>
      </c>
      <c r="O41" s="684">
        <f>J234</f>
        <v>1406.7569999999998</v>
      </c>
      <c r="P41" s="1107">
        <f>G$250*AF10</f>
        <v>1087.4389999999999</v>
      </c>
      <c r="Q41" s="1107">
        <f t="shared" si="11"/>
        <v>319.31799999999998</v>
      </c>
      <c r="R41" s="1107">
        <f>N41-O41</f>
        <v>-76.070650813104976</v>
      </c>
      <c r="S41" s="333">
        <v>0.22</v>
      </c>
      <c r="T41" s="334">
        <f>(((((((O41)*(1+4.12%))))*(1+4.12%)))*(1+4.12%))*(1+4.12%)*(1+4.12%)*S36</f>
        <v>327.07208766596625</v>
      </c>
      <c r="U41" s="311">
        <v>0</v>
      </c>
      <c r="V41" s="334">
        <f>N41/I41*20</f>
        <v>1209.7148628971772</v>
      </c>
      <c r="W41" s="334">
        <v>115.62</v>
      </c>
      <c r="X41" s="312">
        <f>127.94/N41</f>
        <v>9.6145872450090666E-2</v>
      </c>
      <c r="Y41" s="334">
        <f t="shared" si="1"/>
        <v>127.94</v>
      </c>
      <c r="Z41" s="312">
        <v>0</v>
      </c>
      <c r="AA41" s="334">
        <f t="shared" si="3"/>
        <v>0</v>
      </c>
      <c r="AB41" s="334">
        <v>0</v>
      </c>
      <c r="AC41" s="335">
        <f>(P41+Q41+R41+U41+V41+W41)/3</f>
        <v>885.34040402802395</v>
      </c>
      <c r="AD41" s="335">
        <f t="shared" ref="AD41" si="34">AC41*S41</f>
        <v>194.77488888616526</v>
      </c>
      <c r="AE41" s="335">
        <f>(P41+Q41+R41+U41+V41+W41)</f>
        <v>2656.021212084072</v>
      </c>
      <c r="AF41" s="335">
        <f t="shared" ref="AF41" si="35">AE41*S41</f>
        <v>584.32466665849586</v>
      </c>
    </row>
    <row r="42" spans="2:32" s="1272" customFormat="1" x14ac:dyDescent="0.25">
      <c r="B42" s="1264" t="s">
        <v>7281</v>
      </c>
      <c r="C42" s="1267"/>
      <c r="D42" s="1267"/>
      <c r="E42" s="1267"/>
      <c r="F42" s="1267"/>
      <c r="G42" s="1267"/>
      <c r="H42" s="1267"/>
      <c r="I42" s="1267"/>
      <c r="J42" s="1267"/>
      <c r="K42" s="1267"/>
      <c r="L42" s="1267"/>
      <c r="M42" s="1267"/>
      <c r="N42" s="1277">
        <f>SUM(N16:N41)</f>
        <v>48070.365595970114</v>
      </c>
      <c r="O42" s="1277">
        <f>SUM(O16:O41)</f>
        <v>39708.940999999992</v>
      </c>
      <c r="P42" s="1277">
        <f>SUM(P16:P41)</f>
        <v>32463.252499999984</v>
      </c>
      <c r="Q42" s="1277">
        <f>SUM(Q16:Q41)</f>
        <v>7887.2385000000004</v>
      </c>
      <c r="R42" s="1277">
        <f>SUM(R16:R41)</f>
        <v>8361.4245959701293</v>
      </c>
      <c r="S42" s="1278"/>
      <c r="T42" s="1277">
        <f>SUM(T16:T41)</f>
        <v>5058.0968573457567</v>
      </c>
      <c r="U42" s="1277">
        <f>SUM(U16:U41)</f>
        <v>1023.472</v>
      </c>
      <c r="V42" s="1277">
        <f>SUM(V16:V41)</f>
        <v>5883.2823878971767</v>
      </c>
      <c r="W42" s="1277">
        <f>SUM(W16:W41)</f>
        <v>115.62</v>
      </c>
      <c r="X42" s="1279"/>
      <c r="Y42" s="1277">
        <f>SUM(Y16:Y41)</f>
        <v>1714.32</v>
      </c>
      <c r="Z42" s="1279"/>
      <c r="AA42" s="1277">
        <f t="shared" ref="AA42:AF42" si="36">SUM(AA16:AA41)</f>
        <v>0</v>
      </c>
      <c r="AB42" s="1277">
        <f t="shared" si="36"/>
        <v>0</v>
      </c>
      <c r="AC42" s="1277">
        <f t="shared" si="36"/>
        <v>18578.096661289095</v>
      </c>
      <c r="AD42" s="1277">
        <f t="shared" si="36"/>
        <v>2200.4873360479378</v>
      </c>
      <c r="AE42" s="1277">
        <f t="shared" si="36"/>
        <v>55734.289983867304</v>
      </c>
      <c r="AF42" s="1277">
        <f t="shared" si="36"/>
        <v>6601.4620081438115</v>
      </c>
    </row>
    <row r="43" spans="2:32" s="299" customFormat="1" x14ac:dyDescent="0.25">
      <c r="B43" s="1103"/>
      <c r="C43" s="1091"/>
      <c r="D43" s="1091"/>
      <c r="E43" s="1091"/>
      <c r="F43" s="1091"/>
      <c r="G43" s="1091"/>
      <c r="H43" s="1091"/>
      <c r="I43" s="1091"/>
      <c r="J43" s="1091"/>
      <c r="K43" s="1091"/>
      <c r="L43" s="1091"/>
      <c r="M43" s="1091"/>
      <c r="N43" s="1107"/>
      <c r="O43" s="1106"/>
      <c r="P43" s="1107"/>
      <c r="Q43" s="1107"/>
      <c r="R43" s="1107"/>
      <c r="S43" s="1092"/>
      <c r="T43" s="1107"/>
      <c r="U43" s="1107"/>
      <c r="V43" s="1107"/>
      <c r="W43" s="1107"/>
      <c r="X43" s="315"/>
      <c r="Y43" s="1107"/>
      <c r="Z43" s="315"/>
      <c r="AA43" s="1107"/>
      <c r="AB43" s="1107"/>
      <c r="AC43" s="1107"/>
      <c r="AD43" s="1107"/>
      <c r="AE43" s="1107"/>
      <c r="AF43" s="1107"/>
    </row>
    <row r="44" spans="2:32" s="299" customFormat="1" ht="31.5" x14ac:dyDescent="0.25">
      <c r="B44" s="314">
        <v>1385</v>
      </c>
      <c r="C44" s="314" t="s">
        <v>2855</v>
      </c>
      <c r="D44" s="304" t="s">
        <v>2796</v>
      </c>
      <c r="E44" s="304" t="s">
        <v>2739</v>
      </c>
      <c r="F44" s="304" t="s">
        <v>2787</v>
      </c>
      <c r="G44" s="304" t="s">
        <v>2856</v>
      </c>
      <c r="H44" s="305">
        <v>31</v>
      </c>
      <c r="I44" s="295">
        <v>25</v>
      </c>
      <c r="J44" s="295" t="s">
        <v>2634</v>
      </c>
      <c r="K44" s="295">
        <v>3</v>
      </c>
      <c r="L44" s="306">
        <v>40318</v>
      </c>
      <c r="M44" s="316">
        <v>2.95</v>
      </c>
      <c r="N44" s="1105">
        <f>M44*AF10</f>
        <v>1887.0264999999999</v>
      </c>
      <c r="O44" s="684">
        <f>M$234</f>
        <v>1598.59</v>
      </c>
      <c r="P44" s="1107">
        <f>G$250*AF10</f>
        <v>1087.4389999999999</v>
      </c>
      <c r="Q44" s="1107">
        <f>IF(P44&gt;O44,"0,00",(O44-P44))</f>
        <v>511.15100000000007</v>
      </c>
      <c r="R44" s="1107">
        <f>N44-O44</f>
        <v>288.43650000000002</v>
      </c>
      <c r="S44" s="333">
        <v>0.1</v>
      </c>
      <c r="T44" s="334">
        <f>(((((((O44)*(1+4.12%)))))))*S44</f>
        <v>166.44519079999998</v>
      </c>
      <c r="U44" s="311">
        <v>0</v>
      </c>
      <c r="V44" s="334">
        <f>N44/I44*0</f>
        <v>0</v>
      </c>
      <c r="W44" s="334">
        <v>0</v>
      </c>
      <c r="X44" s="312">
        <f>76.76/N44</f>
        <v>4.0677754127989199E-2</v>
      </c>
      <c r="Y44" s="334">
        <f>N44*X44</f>
        <v>76.760000000000005</v>
      </c>
      <c r="Z44" s="312">
        <v>0</v>
      </c>
      <c r="AA44" s="334">
        <f>N44*Z44</f>
        <v>0</v>
      </c>
      <c r="AB44" s="334">
        <v>0</v>
      </c>
      <c r="AC44" s="335">
        <f t="shared" ref="AC44" si="37">(P44+Q44+R44+U44+V44)/3</f>
        <v>629.00883333333331</v>
      </c>
      <c r="AD44" s="335">
        <f t="shared" ref="AD44" si="38">AC44*S44</f>
        <v>62.900883333333333</v>
      </c>
      <c r="AE44" s="335">
        <f t="shared" ref="AE44" si="39">(P44+Q44+R44+U44+V44)</f>
        <v>1887.0264999999999</v>
      </c>
      <c r="AF44" s="335">
        <f t="shared" ref="AF44" si="40">AE44*S44</f>
        <v>188.70265000000001</v>
      </c>
    </row>
    <row r="45" spans="2:32" s="299" customFormat="1" ht="31.5" x14ac:dyDescent="0.25">
      <c r="B45" s="314">
        <v>2022</v>
      </c>
      <c r="C45" s="314" t="s">
        <v>2857</v>
      </c>
      <c r="D45" s="304" t="s">
        <v>2796</v>
      </c>
      <c r="E45" s="304" t="s">
        <v>2739</v>
      </c>
      <c r="F45" s="304" t="s">
        <v>2787</v>
      </c>
      <c r="G45" s="304" t="s">
        <v>2856</v>
      </c>
      <c r="H45" s="305">
        <v>31</v>
      </c>
      <c r="I45" s="295">
        <v>25</v>
      </c>
      <c r="J45" s="295" t="s">
        <v>2636</v>
      </c>
      <c r="K45" s="295">
        <v>3</v>
      </c>
      <c r="L45" s="306">
        <v>42431</v>
      </c>
      <c r="M45" s="316">
        <v>2.84</v>
      </c>
      <c r="N45" s="1105">
        <f>M45*AF10</f>
        <v>1816.6627999999998</v>
      </c>
      <c r="O45" s="684">
        <f>M$234</f>
        <v>1598.59</v>
      </c>
      <c r="P45" s="1107">
        <f>G$250*AF10</f>
        <v>1087.4389999999999</v>
      </c>
      <c r="Q45" s="1107">
        <f>IF(P45&gt;O45,"0,00",(O45-P45))</f>
        <v>511.15100000000007</v>
      </c>
      <c r="R45" s="1107">
        <f>N45-O45</f>
        <v>218.07279999999992</v>
      </c>
      <c r="S45" s="333">
        <v>7.0000000000000007E-2</v>
      </c>
      <c r="T45" s="334">
        <f>((O45)*S45)</f>
        <v>111.90130000000001</v>
      </c>
      <c r="U45" s="311">
        <v>0</v>
      </c>
      <c r="V45" s="334">
        <f>N45/I45*15</f>
        <v>1089.9976799999999</v>
      </c>
      <c r="W45" s="334">
        <v>0</v>
      </c>
      <c r="X45" s="312">
        <f>76.76/N45</f>
        <v>4.2253300942805681E-2</v>
      </c>
      <c r="Y45" s="334">
        <f>N45*X45</f>
        <v>76.760000000000005</v>
      </c>
      <c r="Z45" s="312">
        <v>0</v>
      </c>
      <c r="AA45" s="334">
        <f>N45*Z45</f>
        <v>0</v>
      </c>
      <c r="AB45" s="334">
        <v>0</v>
      </c>
      <c r="AC45" s="335">
        <f t="shared" ref="AC45" si="41">(P45+Q45+R45+U45+V45)/3</f>
        <v>968.88682666666648</v>
      </c>
      <c r="AD45" s="335">
        <f t="shared" ref="AD45" si="42">AC45*S45</f>
        <v>67.82207786666666</v>
      </c>
      <c r="AE45" s="335">
        <f t="shared" ref="AE45" si="43">(P45+Q45+R45+U45+V45)</f>
        <v>2906.6604799999996</v>
      </c>
      <c r="AF45" s="335">
        <f t="shared" ref="AF45" si="44">AE45*S45</f>
        <v>203.46623359999998</v>
      </c>
    </row>
    <row r="46" spans="2:32" s="299" customFormat="1" ht="31.5" x14ac:dyDescent="0.25">
      <c r="B46" s="314">
        <v>2026</v>
      </c>
      <c r="C46" s="314" t="s">
        <v>2858</v>
      </c>
      <c r="D46" s="304" t="s">
        <v>2796</v>
      </c>
      <c r="E46" s="304" t="s">
        <v>2739</v>
      </c>
      <c r="F46" s="304" t="s">
        <v>2787</v>
      </c>
      <c r="G46" s="304" t="s">
        <v>2856</v>
      </c>
      <c r="H46" s="305">
        <v>31</v>
      </c>
      <c r="I46" s="295">
        <v>25</v>
      </c>
      <c r="J46" s="295" t="s">
        <v>2636</v>
      </c>
      <c r="K46" s="295">
        <v>2</v>
      </c>
      <c r="L46" s="306">
        <v>42443</v>
      </c>
      <c r="M46" s="316">
        <v>2.5499999999999998</v>
      </c>
      <c r="N46" s="1105">
        <f>M46*AF10</f>
        <v>1631.1584999999998</v>
      </c>
      <c r="O46" s="684">
        <f>M$234</f>
        <v>1598.59</v>
      </c>
      <c r="P46" s="1107">
        <f>G$250*AF10</f>
        <v>1087.4389999999999</v>
      </c>
      <c r="Q46" s="1107">
        <f>IF(P46&gt;O46,"0,00",(O46-P46))</f>
        <v>511.15100000000007</v>
      </c>
      <c r="R46" s="1107">
        <f>N46-O46</f>
        <v>32.568499999999858</v>
      </c>
      <c r="S46" s="333">
        <v>0.04</v>
      </c>
      <c r="T46" s="334">
        <f>((O46)*S46)</f>
        <v>63.943599999999996</v>
      </c>
      <c r="U46" s="311">
        <v>0</v>
      </c>
      <c r="V46" s="334">
        <f>N46/I46*0</f>
        <v>0</v>
      </c>
      <c r="W46" s="334">
        <v>0</v>
      </c>
      <c r="X46" s="312">
        <f>76.76/N46</f>
        <v>4.7058578304928683E-2</v>
      </c>
      <c r="Y46" s="334">
        <f>N46*X46</f>
        <v>76.760000000000005</v>
      </c>
      <c r="Z46" s="312">
        <v>0</v>
      </c>
      <c r="AA46" s="334">
        <f>N46*Z46</f>
        <v>0</v>
      </c>
      <c r="AB46" s="334">
        <v>0</v>
      </c>
      <c r="AC46" s="335">
        <f t="shared" ref="AC46" si="45">(P46+Q46+R46+U46+V46)/3</f>
        <v>543.71949999999993</v>
      </c>
      <c r="AD46" s="335">
        <f t="shared" ref="AD46" si="46">AC46*S46</f>
        <v>21.748779999999996</v>
      </c>
      <c r="AE46" s="335">
        <f t="shared" ref="AE46" si="47">(P46+Q46+R46+U46+V46)</f>
        <v>1631.1584999999998</v>
      </c>
      <c r="AF46" s="335">
        <f t="shared" ref="AF46" si="48">AE46*S46</f>
        <v>65.246339999999989</v>
      </c>
    </row>
    <row r="47" spans="2:32" s="299" customFormat="1" ht="31.5" x14ac:dyDescent="0.25">
      <c r="B47" s="314">
        <v>1592</v>
      </c>
      <c r="C47" s="314" t="s">
        <v>2859</v>
      </c>
      <c r="D47" s="304" t="s">
        <v>2796</v>
      </c>
      <c r="E47" s="304" t="s">
        <v>2739</v>
      </c>
      <c r="F47" s="304" t="s">
        <v>2787</v>
      </c>
      <c r="G47" s="304" t="s">
        <v>2856</v>
      </c>
      <c r="H47" s="305">
        <v>31</v>
      </c>
      <c r="I47" s="295">
        <v>25</v>
      </c>
      <c r="J47" s="295" t="s">
        <v>2634</v>
      </c>
      <c r="K47" s="295">
        <v>3</v>
      </c>
      <c r="L47" s="306">
        <v>40969</v>
      </c>
      <c r="M47" s="316">
        <v>2.95</v>
      </c>
      <c r="N47" s="1105">
        <f>M47*AF10</f>
        <v>1887.0264999999999</v>
      </c>
      <c r="O47" s="684">
        <f>M$234</f>
        <v>1598.59</v>
      </c>
      <c r="P47" s="1107">
        <f>G$250*AF10</f>
        <v>1087.4389999999999</v>
      </c>
      <c r="Q47" s="1107">
        <f>IF(P47&gt;O47,"0,00",(O47-P47))</f>
        <v>511.15100000000007</v>
      </c>
      <c r="R47" s="1107">
        <f>N47-O47</f>
        <v>288.43650000000002</v>
      </c>
      <c r="S47" s="333">
        <v>0.08</v>
      </c>
      <c r="T47" s="334">
        <f>(((((((O47)*(1+4.12%)))))))*S47</f>
        <v>133.15615263999999</v>
      </c>
      <c r="U47" s="311">
        <v>0</v>
      </c>
      <c r="V47" s="334">
        <f>N47/I47*0</f>
        <v>0</v>
      </c>
      <c r="W47" s="334">
        <v>0</v>
      </c>
      <c r="X47" s="312">
        <f>76.76/N47</f>
        <v>4.0677754127989199E-2</v>
      </c>
      <c r="Y47" s="334">
        <f>N47*X47</f>
        <v>76.760000000000005</v>
      </c>
      <c r="Z47" s="312">
        <v>0</v>
      </c>
      <c r="AA47" s="334">
        <f>N47*Z47</f>
        <v>0</v>
      </c>
      <c r="AB47" s="334">
        <v>0</v>
      </c>
      <c r="AC47" s="335">
        <f t="shared" ref="AC47:AC48" si="49">(P47+Q47+R47+U47+V47)/3</f>
        <v>629.00883333333331</v>
      </c>
      <c r="AD47" s="335">
        <f t="shared" ref="AD47:AD48" si="50">AC47*S47</f>
        <v>50.320706666666666</v>
      </c>
      <c r="AE47" s="335">
        <f t="shared" ref="AE47:AE48" si="51">(P47+Q47+R47+U47+V47)</f>
        <v>1887.0264999999999</v>
      </c>
      <c r="AF47" s="335">
        <f t="shared" ref="AF47:AF48" si="52">AE47*S47</f>
        <v>150.96212</v>
      </c>
    </row>
    <row r="48" spans="2:32" s="299" customFormat="1" ht="24.75" customHeight="1" x14ac:dyDescent="0.25">
      <c r="B48" s="314">
        <v>1905</v>
      </c>
      <c r="C48" s="314" t="s">
        <v>2860</v>
      </c>
      <c r="D48" s="304" t="s">
        <v>2796</v>
      </c>
      <c r="E48" s="304" t="s">
        <v>2739</v>
      </c>
      <c r="F48" s="304" t="s">
        <v>2787</v>
      </c>
      <c r="G48" s="304" t="s">
        <v>2856</v>
      </c>
      <c r="H48" s="305">
        <v>31</v>
      </c>
      <c r="I48" s="295">
        <v>25</v>
      </c>
      <c r="J48" s="295" t="s">
        <v>2636</v>
      </c>
      <c r="K48" s="295">
        <v>3</v>
      </c>
      <c r="L48" s="306">
        <v>42431</v>
      </c>
      <c r="M48" s="316">
        <v>2.84</v>
      </c>
      <c r="N48" s="1105">
        <f>M48*AF10</f>
        <v>1816.6627999999998</v>
      </c>
      <c r="O48" s="684">
        <f>M$234</f>
        <v>1598.59</v>
      </c>
      <c r="P48" s="1107">
        <f>G$250*AF10</f>
        <v>1087.4389999999999</v>
      </c>
      <c r="Q48" s="1107">
        <f>IF(P48&gt;O48,"0,00",(O48-P48))</f>
        <v>511.15100000000007</v>
      </c>
      <c r="R48" s="1107">
        <f>N48-O48</f>
        <v>218.07279999999992</v>
      </c>
      <c r="S48" s="333">
        <v>0.05</v>
      </c>
      <c r="T48" s="334">
        <f>((O48)*S48)</f>
        <v>79.929500000000004</v>
      </c>
      <c r="U48" s="311">
        <v>0</v>
      </c>
      <c r="V48" s="334">
        <f>N48/I48*0</f>
        <v>0</v>
      </c>
      <c r="W48" s="334">
        <v>0</v>
      </c>
      <c r="X48" s="312">
        <f>76.76/N48</f>
        <v>4.2253300942805681E-2</v>
      </c>
      <c r="Y48" s="334">
        <f>N48*X48</f>
        <v>76.760000000000005</v>
      </c>
      <c r="Z48" s="312">
        <v>0</v>
      </c>
      <c r="AA48" s="334">
        <f>N48*Z48</f>
        <v>0</v>
      </c>
      <c r="AB48" s="334">
        <v>0</v>
      </c>
      <c r="AC48" s="335">
        <f t="shared" si="49"/>
        <v>605.55426666666665</v>
      </c>
      <c r="AD48" s="335">
        <f t="shared" si="50"/>
        <v>30.277713333333335</v>
      </c>
      <c r="AE48" s="335">
        <f t="shared" si="51"/>
        <v>1816.6627999999998</v>
      </c>
      <c r="AF48" s="335">
        <f t="shared" si="52"/>
        <v>90.83314</v>
      </c>
    </row>
    <row r="49" spans="2:32" s="1272" customFormat="1" x14ac:dyDescent="0.25">
      <c r="B49" s="1264" t="s">
        <v>7282</v>
      </c>
      <c r="C49" s="1267"/>
      <c r="D49" s="1267"/>
      <c r="E49" s="1267"/>
      <c r="F49" s="1267"/>
      <c r="G49" s="1267"/>
      <c r="H49" s="1267"/>
      <c r="I49" s="1267"/>
      <c r="J49" s="1267"/>
      <c r="K49" s="1267"/>
      <c r="L49" s="1267"/>
      <c r="M49" s="1267"/>
      <c r="N49" s="1277">
        <f>SUM(N44:N48)</f>
        <v>9038.5370999999996</v>
      </c>
      <c r="O49" s="1277">
        <f>SUM(O44:O48)</f>
        <v>7992.95</v>
      </c>
      <c r="P49" s="1277">
        <f>SUM(P44:P48)</f>
        <v>5437.1949999999997</v>
      </c>
      <c r="Q49" s="1277">
        <f>SUM(Q44:Q48)</f>
        <v>2555.7550000000001</v>
      </c>
      <c r="R49" s="1277">
        <f>SUM(R44:R48)</f>
        <v>1045.5870999999997</v>
      </c>
      <c r="S49" s="1278"/>
      <c r="T49" s="1277">
        <f>SUM(T44:T48)</f>
        <v>555.37574343999995</v>
      </c>
      <c r="U49" s="1277">
        <f t="shared" ref="U49:V49" si="53">SUM(U44:U48)</f>
        <v>0</v>
      </c>
      <c r="V49" s="1277">
        <f t="shared" si="53"/>
        <v>1089.9976799999999</v>
      </c>
      <c r="W49" s="1277">
        <f>SUM(W44:W48)</f>
        <v>0</v>
      </c>
      <c r="X49" s="1279"/>
      <c r="Y49" s="1277">
        <f>SUM(Y44:Y48)</f>
        <v>383.8</v>
      </c>
      <c r="Z49" s="1279"/>
      <c r="AA49" s="1277">
        <f>SUM(AA44:AA48)</f>
        <v>0</v>
      </c>
      <c r="AB49" s="1277">
        <f>SUM(AB44:AB48)</f>
        <v>0</v>
      </c>
      <c r="AC49" s="1277">
        <f t="shared" ref="AC49:AF49" si="54">SUM(AC44:AC48)</f>
        <v>3376.1782599999992</v>
      </c>
      <c r="AD49" s="1277">
        <f t="shared" si="54"/>
        <v>233.0701612</v>
      </c>
      <c r="AE49" s="1277">
        <f t="shared" si="54"/>
        <v>10128.53478</v>
      </c>
      <c r="AF49" s="1277">
        <f t="shared" si="54"/>
        <v>699.21048359999986</v>
      </c>
    </row>
    <row r="50" spans="2:32" s="1272" customFormat="1" x14ac:dyDescent="0.25">
      <c r="B50" s="1264"/>
      <c r="C50" s="1267"/>
      <c r="D50" s="1267"/>
      <c r="E50" s="1267"/>
      <c r="F50" s="1267"/>
      <c r="G50" s="1267"/>
      <c r="H50" s="1267"/>
      <c r="I50" s="1267"/>
      <c r="J50" s="1267"/>
      <c r="K50" s="1267"/>
      <c r="L50" s="1267"/>
      <c r="M50" s="1267"/>
      <c r="N50" s="1277"/>
      <c r="O50" s="1277"/>
      <c r="P50" s="1277"/>
      <c r="Q50" s="1277"/>
      <c r="R50" s="1277"/>
      <c r="S50" s="1278"/>
      <c r="T50" s="1277"/>
      <c r="U50" s="1277"/>
      <c r="V50" s="1277"/>
      <c r="W50" s="1277"/>
      <c r="X50" s="1279"/>
      <c r="Y50" s="1277"/>
      <c r="Z50" s="1279"/>
      <c r="AA50" s="1277"/>
      <c r="AB50" s="1277"/>
      <c r="AC50" s="1277"/>
      <c r="AD50" s="1277"/>
      <c r="AE50" s="1277"/>
      <c r="AF50" s="1277"/>
    </row>
    <row r="51" spans="2:32" s="299" customFormat="1" ht="24.75" customHeight="1" x14ac:dyDescent="0.25">
      <c r="B51" s="314">
        <v>1904</v>
      </c>
      <c r="C51" s="314" t="s">
        <v>2861</v>
      </c>
      <c r="D51" s="304" t="s">
        <v>2796</v>
      </c>
      <c r="E51" s="304" t="s">
        <v>2739</v>
      </c>
      <c r="F51" s="304" t="s">
        <v>2787</v>
      </c>
      <c r="G51" s="304" t="s">
        <v>2862</v>
      </c>
      <c r="H51" s="305">
        <v>31</v>
      </c>
      <c r="I51" s="295">
        <v>25</v>
      </c>
      <c r="J51" s="295" t="s">
        <v>2636</v>
      </c>
      <c r="K51" s="295">
        <v>2</v>
      </c>
      <c r="L51" s="306">
        <v>42054</v>
      </c>
      <c r="M51" s="316">
        <f>G260</f>
        <v>2.5499999999999998</v>
      </c>
      <c r="N51" s="1105">
        <f>M51*AF10</f>
        <v>1631.1584999999998</v>
      </c>
      <c r="O51" s="684">
        <f>M$234</f>
        <v>1598.59</v>
      </c>
      <c r="P51" s="1107">
        <f>G$250*AF10</f>
        <v>1087.4389999999999</v>
      </c>
      <c r="Q51" s="1107">
        <f>IF(P51&gt;O51,"0,00",(O51-P51))</f>
        <v>511.15100000000007</v>
      </c>
      <c r="R51" s="1107">
        <f>N51-O51</f>
        <v>32.568499999999858</v>
      </c>
      <c r="S51" s="333">
        <v>0.05</v>
      </c>
      <c r="T51" s="334">
        <f>((O51)*S51)</f>
        <v>79.929500000000004</v>
      </c>
      <c r="U51" s="311">
        <v>0</v>
      </c>
      <c r="V51" s="334">
        <f>N51/I51*0</f>
        <v>0</v>
      </c>
      <c r="W51" s="334">
        <v>0</v>
      </c>
      <c r="X51" s="312">
        <f>76.76/N51</f>
        <v>4.7058578304928683E-2</v>
      </c>
      <c r="Y51" s="334">
        <f>N51*X51</f>
        <v>76.760000000000005</v>
      </c>
      <c r="Z51" s="312">
        <v>0</v>
      </c>
      <c r="AA51" s="334">
        <f>N51*Z51</f>
        <v>0</v>
      </c>
      <c r="AB51" s="334">
        <v>0</v>
      </c>
      <c r="AC51" s="335">
        <f t="shared" ref="AC51" si="55">(P51+Q51+R51+U51+V51)/3</f>
        <v>543.71949999999993</v>
      </c>
      <c r="AD51" s="335">
        <f t="shared" ref="AD51" si="56">AC51*S51</f>
        <v>27.185974999999999</v>
      </c>
      <c r="AE51" s="335">
        <f t="shared" ref="AE51" si="57">(P51+Q51+R51+U51+V51)</f>
        <v>1631.1584999999998</v>
      </c>
      <c r="AF51" s="335">
        <f t="shared" ref="AF51" si="58">AE51*S51</f>
        <v>81.557924999999997</v>
      </c>
    </row>
    <row r="52" spans="2:32" s="1272" customFormat="1" x14ac:dyDescent="0.25">
      <c r="B52" s="1264" t="s">
        <v>7283</v>
      </c>
      <c r="C52" s="1267"/>
      <c r="D52" s="1267"/>
      <c r="E52" s="1267"/>
      <c r="F52" s="1267"/>
      <c r="G52" s="1267"/>
      <c r="H52" s="1267"/>
      <c r="I52" s="1267"/>
      <c r="J52" s="1267"/>
      <c r="K52" s="1267"/>
      <c r="L52" s="1267"/>
      <c r="M52" s="1267"/>
      <c r="N52" s="1277">
        <f>SUM(N51:N51)</f>
        <v>1631.1584999999998</v>
      </c>
      <c r="O52" s="1277">
        <f>SUM(O51:O51)</f>
        <v>1598.59</v>
      </c>
      <c r="P52" s="1277">
        <f>SUM(P51:P51)</f>
        <v>1087.4389999999999</v>
      </c>
      <c r="Q52" s="1277">
        <f>SUM(Q51:Q51)</f>
        <v>511.15100000000007</v>
      </c>
      <c r="R52" s="1277">
        <f>SUM(R51:R51)</f>
        <v>32.568499999999858</v>
      </c>
      <c r="S52" s="1278"/>
      <c r="T52" s="1277">
        <f>SUM(T51:T51)</f>
        <v>79.929500000000004</v>
      </c>
      <c r="U52" s="1277">
        <f t="shared" ref="U52:W52" si="59">SUM(U51:U51)</f>
        <v>0</v>
      </c>
      <c r="V52" s="1277">
        <f t="shared" si="59"/>
        <v>0</v>
      </c>
      <c r="W52" s="1277">
        <f t="shared" si="59"/>
        <v>0</v>
      </c>
      <c r="X52" s="1279"/>
      <c r="Y52" s="1277">
        <f>SUM(Y51:Y51)</f>
        <v>76.760000000000005</v>
      </c>
      <c r="Z52" s="1279"/>
      <c r="AA52" s="1277">
        <f t="shared" ref="AA52:AF52" si="60">SUM(AA51:AA51)</f>
        <v>0</v>
      </c>
      <c r="AB52" s="1277">
        <f t="shared" si="60"/>
        <v>0</v>
      </c>
      <c r="AC52" s="1277">
        <f>SUM(AC51:AC51)</f>
        <v>543.71949999999993</v>
      </c>
      <c r="AD52" s="1277">
        <f t="shared" si="60"/>
        <v>27.185974999999999</v>
      </c>
      <c r="AE52" s="1277">
        <f t="shared" si="60"/>
        <v>1631.1584999999998</v>
      </c>
      <c r="AF52" s="1277">
        <f t="shared" si="60"/>
        <v>81.557924999999997</v>
      </c>
    </row>
    <row r="53" spans="2:32" s="1272" customFormat="1" x14ac:dyDescent="0.25">
      <c r="B53" s="1264"/>
      <c r="C53" s="1267"/>
      <c r="D53" s="1267"/>
      <c r="E53" s="1267"/>
      <c r="F53" s="1267"/>
      <c r="G53" s="1267"/>
      <c r="H53" s="1267"/>
      <c r="I53" s="1267"/>
      <c r="J53" s="1267"/>
      <c r="K53" s="1267"/>
      <c r="L53" s="1267"/>
      <c r="M53" s="1267"/>
      <c r="N53" s="1277"/>
      <c r="O53" s="1277"/>
      <c r="P53" s="1277"/>
      <c r="Q53" s="1277"/>
      <c r="R53" s="1277"/>
      <c r="S53" s="1278"/>
      <c r="T53" s="1277"/>
      <c r="U53" s="1277"/>
      <c r="V53" s="1277"/>
      <c r="W53" s="1277"/>
      <c r="X53" s="1279"/>
      <c r="Y53" s="1277"/>
      <c r="Z53" s="1279"/>
      <c r="AA53" s="1277"/>
      <c r="AB53" s="1277"/>
      <c r="AC53" s="1277"/>
      <c r="AD53" s="1277"/>
      <c r="AE53" s="1277"/>
      <c r="AF53" s="1277"/>
    </row>
    <row r="54" spans="2:32" s="299" customFormat="1" ht="31.5" x14ac:dyDescent="0.25">
      <c r="B54" s="314">
        <v>711</v>
      </c>
      <c r="C54" s="314" t="s">
        <v>2863</v>
      </c>
      <c r="D54" s="304" t="s">
        <v>2796</v>
      </c>
      <c r="E54" s="304" t="s">
        <v>2739</v>
      </c>
      <c r="F54" s="304" t="s">
        <v>2787</v>
      </c>
      <c r="G54" s="304" t="s">
        <v>2864</v>
      </c>
      <c r="H54" s="305">
        <v>31</v>
      </c>
      <c r="I54" s="295">
        <v>25</v>
      </c>
      <c r="J54" s="295" t="s">
        <v>2648</v>
      </c>
      <c r="K54" s="295">
        <v>3</v>
      </c>
      <c r="L54" s="306">
        <v>38085</v>
      </c>
      <c r="M54" s="316">
        <v>3.07</v>
      </c>
      <c r="N54" s="1105">
        <f>M54*AF10</f>
        <v>1963.7868999999998</v>
      </c>
      <c r="O54" s="684">
        <f>M$234</f>
        <v>1598.59</v>
      </c>
      <c r="P54" s="1107">
        <f>G$259*AF10</f>
        <v>1234.5630999999998</v>
      </c>
      <c r="Q54" s="1107">
        <f>IF(P54&gt;O54,"0,00",(O54-P54))</f>
        <v>364.02690000000007</v>
      </c>
      <c r="R54" s="1107">
        <f>N54-O54</f>
        <v>365.19689999999991</v>
      </c>
      <c r="S54" s="333">
        <v>0.16</v>
      </c>
      <c r="T54" s="334">
        <f>(((((((O54)*(1+4.12%))))*(1+4.12%))))*S54</f>
        <v>277.28437225753595</v>
      </c>
      <c r="U54" s="311">
        <v>0</v>
      </c>
      <c r="V54" s="334">
        <f>O54/I54*0</f>
        <v>0</v>
      </c>
      <c r="W54" s="334">
        <v>0</v>
      </c>
      <c r="X54" s="312">
        <f>76.76/N54</f>
        <v>3.9087744194647604E-2</v>
      </c>
      <c r="Y54" s="334">
        <f>N54*X54</f>
        <v>76.760000000000005</v>
      </c>
      <c r="Z54" s="312">
        <f>0/N54</f>
        <v>0</v>
      </c>
      <c r="AA54" s="334">
        <f>N54*Z54</f>
        <v>0</v>
      </c>
      <c r="AB54" s="334">
        <v>0</v>
      </c>
      <c r="AC54" s="335">
        <f t="shared" ref="AC54" si="61">(P54+Q54+R54+U54+V54)/3</f>
        <v>654.59563333333324</v>
      </c>
      <c r="AD54" s="335">
        <f t="shared" ref="AD54" si="62">AC54*S54</f>
        <v>104.73530133333333</v>
      </c>
      <c r="AE54" s="335">
        <f t="shared" ref="AE54" si="63">(P54+Q54+R54+U54+V54)</f>
        <v>1963.7868999999998</v>
      </c>
      <c r="AF54" s="335">
        <f t="shared" ref="AF54" si="64">AE54*S54</f>
        <v>314.20590399999998</v>
      </c>
    </row>
    <row r="55" spans="2:32" s="299" customFormat="1" ht="31.5" x14ac:dyDescent="0.25">
      <c r="B55" s="314">
        <v>8</v>
      </c>
      <c r="C55" s="314" t="s">
        <v>2865</v>
      </c>
      <c r="D55" s="304" t="s">
        <v>2796</v>
      </c>
      <c r="E55" s="304" t="s">
        <v>2739</v>
      </c>
      <c r="F55" s="304" t="s">
        <v>2787</v>
      </c>
      <c r="G55" s="304" t="s">
        <v>2864</v>
      </c>
      <c r="H55" s="305">
        <v>31</v>
      </c>
      <c r="I55" s="295">
        <v>25</v>
      </c>
      <c r="J55" s="295" t="s">
        <v>2837</v>
      </c>
      <c r="K55" s="295">
        <v>3</v>
      </c>
      <c r="L55" s="306">
        <v>35431</v>
      </c>
      <c r="M55" s="316">
        <v>3.34</v>
      </c>
      <c r="N55" s="1105">
        <f>M55*AF10</f>
        <v>2136.4977999999996</v>
      </c>
      <c r="O55" s="684">
        <f>M$234</f>
        <v>1598.59</v>
      </c>
      <c r="P55" s="1107">
        <f>G$259*AF10</f>
        <v>1234.5630999999998</v>
      </c>
      <c r="Q55" s="1107">
        <f>IF(P55&gt;O55,"0,00",(O55-P55))</f>
        <v>364.02690000000007</v>
      </c>
      <c r="R55" s="1107">
        <f>N55-O55</f>
        <v>537.90779999999972</v>
      </c>
      <c r="S55" s="333">
        <v>0.22</v>
      </c>
      <c r="T55" s="334">
        <f>(((((((O55)*(1+4.12%))))*(1+4.12%)))*(1+4.12%))*(1+4.12%)*(1+4.12%)*S36</f>
        <v>371.6734081450719</v>
      </c>
      <c r="U55" s="311">
        <v>0</v>
      </c>
      <c r="V55" s="334">
        <f>O55/I55*0</f>
        <v>0</v>
      </c>
      <c r="W55" s="334">
        <v>20.09</v>
      </c>
      <c r="X55" s="312">
        <f>76.76/N55</f>
        <v>3.5927956490289868E-2</v>
      </c>
      <c r="Y55" s="334">
        <f>N55*X55</f>
        <v>76.760000000000005</v>
      </c>
      <c r="Z55" s="312">
        <f>0/N55</f>
        <v>0</v>
      </c>
      <c r="AA55" s="334">
        <f>N55*Z55</f>
        <v>0</v>
      </c>
      <c r="AB55" s="334">
        <v>0</v>
      </c>
      <c r="AC55" s="335">
        <f t="shared" ref="AC55:AC58" si="65">(P55+Q55+R55+U55+V55)/3</f>
        <v>712.16593333333321</v>
      </c>
      <c r="AD55" s="335">
        <f t="shared" ref="AD55:AD58" si="66">AC55*S55</f>
        <v>156.6765053333333</v>
      </c>
      <c r="AE55" s="335">
        <f t="shared" ref="AE55:AE58" si="67">(P55+Q55+R55+U55+V55)</f>
        <v>2136.4977999999996</v>
      </c>
      <c r="AF55" s="335">
        <f t="shared" ref="AF55:AF58" si="68">AE55*S55</f>
        <v>470.02951599999994</v>
      </c>
    </row>
    <row r="56" spans="2:32" s="299" customFormat="1" ht="31.5" x14ac:dyDescent="0.25">
      <c r="B56" s="314">
        <v>1534</v>
      </c>
      <c r="C56" s="314" t="s">
        <v>2866</v>
      </c>
      <c r="D56" s="304" t="s">
        <v>2796</v>
      </c>
      <c r="E56" s="304" t="s">
        <v>2739</v>
      </c>
      <c r="F56" s="304" t="s">
        <v>2787</v>
      </c>
      <c r="G56" s="304" t="s">
        <v>2864</v>
      </c>
      <c r="H56" s="305">
        <v>31</v>
      </c>
      <c r="I56" s="295">
        <v>20</v>
      </c>
      <c r="J56" s="295" t="s">
        <v>2634</v>
      </c>
      <c r="K56" s="295">
        <v>3</v>
      </c>
      <c r="L56" s="306">
        <v>39682</v>
      </c>
      <c r="M56" s="316">
        <f>H243</f>
        <v>2.363524</v>
      </c>
      <c r="N56" s="1105">
        <f>M56*AF10</f>
        <v>1511.8753970799999</v>
      </c>
      <c r="O56" s="684">
        <f>H$234</f>
        <v>1278.8699999999999</v>
      </c>
      <c r="P56" s="1107">
        <f>G241*AF10</f>
        <v>991.48849999999993</v>
      </c>
      <c r="Q56" s="1107">
        <f>IF(P56&gt;O56,"0,00",(O56-P56))</f>
        <v>287.38149999999996</v>
      </c>
      <c r="R56" s="1107">
        <f>N56-O56</f>
        <v>233.00539707999997</v>
      </c>
      <c r="S56" s="333">
        <v>0.11</v>
      </c>
      <c r="T56" s="334">
        <f>(((((((O56)*(1+4.12%)))))*S56))</f>
        <v>146.47153883999997</v>
      </c>
      <c r="U56" s="311">
        <v>0</v>
      </c>
      <c r="V56" s="334">
        <f>O56/20*0</f>
        <v>0</v>
      </c>
      <c r="W56" s="334">
        <v>0</v>
      </c>
      <c r="X56" s="312">
        <f>76.76/N56</f>
        <v>5.0771379803026387E-2</v>
      </c>
      <c r="Y56" s="334">
        <f>N56*X56</f>
        <v>76.760000000000005</v>
      </c>
      <c r="Z56" s="312">
        <f>0/N56</f>
        <v>0</v>
      </c>
      <c r="AA56" s="334">
        <f>N56*Z56</f>
        <v>0</v>
      </c>
      <c r="AB56" s="334">
        <v>0</v>
      </c>
      <c r="AC56" s="335">
        <f t="shared" si="65"/>
        <v>503.95846569333327</v>
      </c>
      <c r="AD56" s="335">
        <f t="shared" si="66"/>
        <v>55.435431226266658</v>
      </c>
      <c r="AE56" s="335">
        <f t="shared" si="67"/>
        <v>1511.8753970799999</v>
      </c>
      <c r="AF56" s="335">
        <f t="shared" si="68"/>
        <v>166.30629367879999</v>
      </c>
    </row>
    <row r="57" spans="2:32" s="299" customFormat="1" ht="31.5" x14ac:dyDescent="0.25">
      <c r="B57" s="314">
        <v>533</v>
      </c>
      <c r="C57" s="314" t="s">
        <v>2867</v>
      </c>
      <c r="D57" s="304" t="s">
        <v>2796</v>
      </c>
      <c r="E57" s="304" t="s">
        <v>2739</v>
      </c>
      <c r="F57" s="304" t="s">
        <v>2787</v>
      </c>
      <c r="G57" s="304" t="s">
        <v>2864</v>
      </c>
      <c r="H57" s="305">
        <v>31</v>
      </c>
      <c r="I57" s="295">
        <v>22</v>
      </c>
      <c r="J57" s="295" t="s">
        <v>2638</v>
      </c>
      <c r="K57" s="295">
        <v>2</v>
      </c>
      <c r="L57" s="306">
        <v>37370</v>
      </c>
      <c r="M57" s="316">
        <v>2.54</v>
      </c>
      <c r="N57" s="1105">
        <f>M57*AF10</f>
        <v>1624.7618</v>
      </c>
      <c r="O57" s="684">
        <f>M$234</f>
        <v>1598.59</v>
      </c>
      <c r="P57" s="1107">
        <f>G250*AF10</f>
        <v>1087.4389999999999</v>
      </c>
      <c r="Q57" s="1107">
        <f>IF(P57&gt;O57,"0,00",(O57-P57))</f>
        <v>511.15100000000007</v>
      </c>
      <c r="R57" s="1107">
        <f>N57-O57</f>
        <v>26.171800000000076</v>
      </c>
      <c r="S57" s="333">
        <v>0.18</v>
      </c>
      <c r="T57" s="334">
        <f>(((((((O57)*(1+4.12%))))*(1+4.12%))))*S57</f>
        <v>311.94491878972792</v>
      </c>
      <c r="U57" s="311">
        <v>0</v>
      </c>
      <c r="V57" s="334">
        <f>O57/I57*0</f>
        <v>0</v>
      </c>
      <c r="W57" s="334">
        <v>0</v>
      </c>
      <c r="X57" s="312">
        <f>76.76/N57</f>
        <v>4.7243848298255169E-2</v>
      </c>
      <c r="Y57" s="334">
        <f>N57*X57</f>
        <v>76.760000000000005</v>
      </c>
      <c r="Z57" s="312">
        <f>0/N57</f>
        <v>0</v>
      </c>
      <c r="AA57" s="334">
        <f>N57*Z57</f>
        <v>0</v>
      </c>
      <c r="AB57" s="334">
        <f>AF10</f>
        <v>639.66999999999996</v>
      </c>
      <c r="AC57" s="335">
        <f t="shared" si="65"/>
        <v>541.58726666666666</v>
      </c>
      <c r="AD57" s="335">
        <f>AC57*S57</f>
        <v>97.485708000000002</v>
      </c>
      <c r="AE57" s="335">
        <f t="shared" si="67"/>
        <v>1624.7618</v>
      </c>
      <c r="AF57" s="335">
        <f t="shared" si="68"/>
        <v>292.45712399999996</v>
      </c>
    </row>
    <row r="58" spans="2:32" s="299" customFormat="1" ht="24.75" customHeight="1" x14ac:dyDescent="0.25">
      <c r="B58" s="314">
        <v>1334</v>
      </c>
      <c r="C58" s="314" t="s">
        <v>2868</v>
      </c>
      <c r="D58" s="304" t="s">
        <v>2796</v>
      </c>
      <c r="E58" s="304" t="s">
        <v>2739</v>
      </c>
      <c r="F58" s="304" t="s">
        <v>2787</v>
      </c>
      <c r="G58" s="304" t="s">
        <v>2864</v>
      </c>
      <c r="H58" s="305">
        <v>31</v>
      </c>
      <c r="I58" s="295">
        <v>20</v>
      </c>
      <c r="J58" s="295" t="s">
        <v>2636</v>
      </c>
      <c r="K58" s="295">
        <v>2</v>
      </c>
      <c r="L58" s="306">
        <v>40095</v>
      </c>
      <c r="M58" s="316">
        <f>G242</f>
        <v>2.0499999999999998</v>
      </c>
      <c r="N58" s="1105">
        <f>M58*AF10</f>
        <v>1311.3234999999997</v>
      </c>
      <c r="O58" s="684">
        <f>H$234</f>
        <v>1278.8699999999999</v>
      </c>
      <c r="P58" s="1107">
        <f>G$241*AF10</f>
        <v>991.48849999999993</v>
      </c>
      <c r="Q58" s="1107">
        <f>IF(P58&gt;O58,"0,00",(O58-P58))</f>
        <v>287.38149999999996</v>
      </c>
      <c r="R58" s="1107">
        <f t="shared" ref="R58" si="69">N58-O58</f>
        <v>32.453499999999849</v>
      </c>
      <c r="S58" s="333">
        <v>0.11</v>
      </c>
      <c r="T58" s="334">
        <f>O58*S58</f>
        <v>140.67569999999998</v>
      </c>
      <c r="U58" s="334">
        <f>AF10*0</f>
        <v>0</v>
      </c>
      <c r="V58" s="334">
        <f>N58/I58*0</f>
        <v>0</v>
      </c>
      <c r="W58" s="334">
        <v>0</v>
      </c>
      <c r="X58" s="312">
        <f>76.76/N58</f>
        <v>5.8536280330521051E-2</v>
      </c>
      <c r="Y58" s="334">
        <f>N58*X58</f>
        <v>76.760000000000005</v>
      </c>
      <c r="Z58" s="312">
        <f>0/N58</f>
        <v>0</v>
      </c>
      <c r="AA58" s="334">
        <f>N58*Z58</f>
        <v>0</v>
      </c>
      <c r="AB58" s="334">
        <v>0</v>
      </c>
      <c r="AC58" s="335">
        <f t="shared" si="65"/>
        <v>437.10783333333325</v>
      </c>
      <c r="AD58" s="335">
        <f t="shared" si="66"/>
        <v>48.081861666666654</v>
      </c>
      <c r="AE58" s="335">
        <f t="shared" si="67"/>
        <v>1311.3234999999997</v>
      </c>
      <c r="AF58" s="335">
        <f t="shared" si="68"/>
        <v>144.24558499999998</v>
      </c>
    </row>
    <row r="59" spans="2:32" s="1272" customFormat="1" x14ac:dyDescent="0.25">
      <c r="B59" s="1264" t="s">
        <v>7284</v>
      </c>
      <c r="C59" s="1267"/>
      <c r="D59" s="1267"/>
      <c r="E59" s="1267"/>
      <c r="F59" s="1267"/>
      <c r="G59" s="1267"/>
      <c r="H59" s="1267"/>
      <c r="I59" s="1267"/>
      <c r="J59" s="1267"/>
      <c r="K59" s="1267"/>
      <c r="L59" s="1267"/>
      <c r="M59" s="1267"/>
      <c r="N59" s="1277">
        <f>SUM(N54:N58)</f>
        <v>8548.2453970799997</v>
      </c>
      <c r="O59" s="1277">
        <f t="shared" ref="O59:R59" si="70">SUM(O54:O58)</f>
        <v>7353.5099999999993</v>
      </c>
      <c r="P59" s="1277">
        <f t="shared" si="70"/>
        <v>5539.5421999999999</v>
      </c>
      <c r="Q59" s="1277">
        <f t="shared" si="70"/>
        <v>1813.9678000000001</v>
      </c>
      <c r="R59" s="1277">
        <f t="shared" si="70"/>
        <v>1194.7353970799995</v>
      </c>
      <c r="S59" s="1278"/>
      <c r="T59" s="1277">
        <f t="shared" ref="T59:AF59" si="71">SUM(T54:T58)</f>
        <v>1248.0499380323356</v>
      </c>
      <c r="U59" s="1277">
        <f t="shared" si="71"/>
        <v>0</v>
      </c>
      <c r="V59" s="1277">
        <f t="shared" si="71"/>
        <v>0</v>
      </c>
      <c r="W59" s="1277">
        <f t="shared" si="71"/>
        <v>20.09</v>
      </c>
      <c r="X59" s="1279"/>
      <c r="Y59" s="1277">
        <f t="shared" si="71"/>
        <v>383.8</v>
      </c>
      <c r="Z59" s="1279"/>
      <c r="AA59" s="1277">
        <f t="shared" si="71"/>
        <v>0</v>
      </c>
      <c r="AB59" s="1277">
        <f t="shared" si="71"/>
        <v>639.66999999999996</v>
      </c>
      <c r="AC59" s="1277">
        <f t="shared" si="71"/>
        <v>2849.4151323599999</v>
      </c>
      <c r="AD59" s="1277">
        <f>SUM(AD54:AD58)</f>
        <v>462.41480755959992</v>
      </c>
      <c r="AE59" s="1277">
        <f t="shared" si="71"/>
        <v>8548.2453970799997</v>
      </c>
      <c r="AF59" s="1277">
        <f t="shared" si="71"/>
        <v>1387.2444226787998</v>
      </c>
    </row>
    <row r="60" spans="2:32" s="1272" customFormat="1" x14ac:dyDescent="0.25">
      <c r="B60" s="1264"/>
      <c r="C60" s="1267"/>
      <c r="D60" s="1267"/>
      <c r="E60" s="1267"/>
      <c r="F60" s="1267"/>
      <c r="G60" s="1267"/>
      <c r="H60" s="1267"/>
      <c r="I60" s="1267"/>
      <c r="J60" s="1267"/>
      <c r="K60" s="1267"/>
      <c r="L60" s="1267"/>
      <c r="M60" s="1267"/>
      <c r="N60" s="1277"/>
      <c r="O60" s="1277"/>
      <c r="P60" s="1277"/>
      <c r="Q60" s="1277"/>
      <c r="R60" s="1277"/>
      <c r="S60" s="1278"/>
      <c r="T60" s="1277"/>
      <c r="U60" s="1277"/>
      <c r="V60" s="1277"/>
      <c r="W60" s="1277"/>
      <c r="X60" s="1279"/>
      <c r="Y60" s="1277"/>
      <c r="Z60" s="1279"/>
      <c r="AA60" s="1277"/>
      <c r="AB60" s="1277"/>
      <c r="AC60" s="1277"/>
      <c r="AD60" s="1277"/>
      <c r="AE60" s="1277"/>
      <c r="AF60" s="1277"/>
    </row>
    <row r="61" spans="2:32" s="1272" customFormat="1" x14ac:dyDescent="0.25">
      <c r="B61" s="1264" t="s">
        <v>7285</v>
      </c>
      <c r="C61" s="1267"/>
      <c r="D61" s="1267"/>
      <c r="E61" s="1267"/>
      <c r="F61" s="1267"/>
      <c r="G61" s="1267"/>
      <c r="H61" s="1267"/>
      <c r="I61" s="1267"/>
      <c r="J61" s="1267"/>
      <c r="K61" s="1267"/>
      <c r="L61" s="1267"/>
      <c r="M61" s="1267"/>
      <c r="N61" s="1277">
        <f>N59+N52+N49+N42+N14</f>
        <v>68599.630093050102</v>
      </c>
      <c r="O61" s="1277">
        <f t="shared" ref="O61:R61" si="72">O59+O52+O49+O42+O14</f>
        <v>56653.990999999995</v>
      </c>
      <c r="P61" s="1277">
        <f t="shared" si="72"/>
        <v>45518.917199999982</v>
      </c>
      <c r="Q61" s="1277">
        <f t="shared" si="72"/>
        <v>12768.112300000001</v>
      </c>
      <c r="R61" s="1277">
        <f t="shared" si="72"/>
        <v>10954.150593050128</v>
      </c>
      <c r="S61" s="1278"/>
      <c r="T61" s="1277">
        <f t="shared" ref="T61:W61" si="73">T59+T52+T49+T42+T14</f>
        <v>6941.4520388180918</v>
      </c>
      <c r="U61" s="1277">
        <f t="shared" si="73"/>
        <v>1023.472</v>
      </c>
      <c r="V61" s="1277">
        <f t="shared" si="73"/>
        <v>6973.2800678971762</v>
      </c>
      <c r="W61" s="1277">
        <f t="shared" si="73"/>
        <v>135.71</v>
      </c>
      <c r="X61" s="1279"/>
      <c r="Y61" s="1277">
        <f>Y59+Y52+Y49+Y42+Y14</f>
        <v>2635.44</v>
      </c>
      <c r="Z61" s="1279"/>
      <c r="AA61" s="1277">
        <f t="shared" ref="AA61:AF61" si="74">AA59+AA52+AA49+AA42+AA14</f>
        <v>0</v>
      </c>
      <c r="AB61" s="1277">
        <f t="shared" si="74"/>
        <v>639.66999999999996</v>
      </c>
      <c r="AC61" s="1277">
        <f t="shared" si="74"/>
        <v>25784.517386982425</v>
      </c>
      <c r="AD61" s="1277">
        <f t="shared" si="74"/>
        <v>2923.1582798075378</v>
      </c>
      <c r="AE61" s="1277">
        <f t="shared" si="74"/>
        <v>77353.552160947293</v>
      </c>
      <c r="AF61" s="1277">
        <f t="shared" si="74"/>
        <v>8769.4748394226117</v>
      </c>
    </row>
    <row r="62" spans="2:32" s="1272" customFormat="1" x14ac:dyDescent="0.25">
      <c r="B62" s="1264"/>
      <c r="C62" s="1267"/>
      <c r="D62" s="1267"/>
      <c r="E62" s="1267"/>
      <c r="F62" s="1267"/>
      <c r="G62" s="1267"/>
      <c r="H62" s="1267"/>
      <c r="I62" s="1267"/>
      <c r="J62" s="1267"/>
      <c r="K62" s="1267"/>
      <c r="L62" s="1267"/>
      <c r="M62" s="1267"/>
      <c r="N62" s="1277"/>
      <c r="O62" s="1277"/>
      <c r="P62" s="1277"/>
      <c r="Q62" s="1277"/>
      <c r="R62" s="1277"/>
      <c r="S62" s="1278"/>
      <c r="T62" s="1277"/>
      <c r="U62" s="1277"/>
      <c r="V62" s="1277"/>
      <c r="W62" s="1277"/>
      <c r="X62" s="1279"/>
      <c r="Y62" s="1277"/>
      <c r="Z62" s="1279"/>
      <c r="AA62" s="1277"/>
      <c r="AB62" s="1277"/>
      <c r="AC62" s="1277"/>
      <c r="AD62" s="1277"/>
      <c r="AE62" s="1277"/>
      <c r="AF62" s="1277"/>
    </row>
    <row r="63" spans="2:32" s="1272" customFormat="1" x14ac:dyDescent="0.25">
      <c r="B63" s="1264" t="s">
        <v>7286</v>
      </c>
      <c r="C63" s="1267"/>
      <c r="D63" s="1267"/>
      <c r="E63" s="1267"/>
      <c r="F63" s="1267"/>
      <c r="G63" s="1267"/>
      <c r="H63" s="1267"/>
      <c r="I63" s="1267"/>
      <c r="J63" s="1267"/>
      <c r="K63" s="1267"/>
      <c r="L63" s="1267"/>
      <c r="M63" s="1267"/>
      <c r="N63" s="1277"/>
      <c r="O63" s="1277"/>
      <c r="P63" s="1277"/>
      <c r="Q63" s="1277"/>
      <c r="R63" s="1277"/>
      <c r="S63" s="1278"/>
      <c r="T63" s="1277"/>
      <c r="U63" s="1277"/>
      <c r="V63" s="1277"/>
      <c r="W63" s="1277"/>
      <c r="X63" s="1279"/>
      <c r="Y63" s="1277"/>
      <c r="Z63" s="1279"/>
      <c r="AA63" s="1277"/>
      <c r="AB63" s="1277"/>
      <c r="AC63" s="1277"/>
      <c r="AD63" s="1277"/>
      <c r="AE63" s="1277"/>
      <c r="AF63" s="1277"/>
    </row>
    <row r="64" spans="2:32" s="1272" customFormat="1" x14ac:dyDescent="0.25">
      <c r="B64" s="1264"/>
      <c r="C64" s="1267"/>
      <c r="D64" s="1267"/>
      <c r="E64" s="1267"/>
      <c r="F64" s="1267"/>
      <c r="G64" s="1267"/>
      <c r="H64" s="1267"/>
      <c r="I64" s="1267"/>
      <c r="J64" s="1267"/>
      <c r="K64" s="1267"/>
      <c r="L64" s="1267"/>
      <c r="M64" s="1267"/>
      <c r="N64" s="1277"/>
      <c r="O64" s="1277"/>
      <c r="P64" s="1277"/>
      <c r="Q64" s="1277"/>
      <c r="R64" s="1277"/>
      <c r="S64" s="1278"/>
      <c r="T64" s="1277"/>
      <c r="U64" s="1277"/>
      <c r="V64" s="1277"/>
      <c r="W64" s="1277"/>
      <c r="X64" s="1279"/>
      <c r="Y64" s="1277"/>
      <c r="Z64" s="1279"/>
      <c r="AA64" s="1277"/>
      <c r="AB64" s="1277"/>
      <c r="AC64" s="1277"/>
      <c r="AD64" s="1277"/>
      <c r="AE64" s="1277"/>
      <c r="AF64" s="1277"/>
    </row>
    <row r="65" spans="2:32" s="299" customFormat="1" ht="47.25" x14ac:dyDescent="0.25">
      <c r="B65" s="314">
        <v>2320</v>
      </c>
      <c r="C65" s="314" t="s">
        <v>7287</v>
      </c>
      <c r="D65" s="304" t="s">
        <v>2796</v>
      </c>
      <c r="E65" s="304" t="s">
        <v>2757</v>
      </c>
      <c r="F65" s="304" t="s">
        <v>2787</v>
      </c>
      <c r="G65" s="304" t="s">
        <v>2825</v>
      </c>
      <c r="H65" s="305">
        <v>31</v>
      </c>
      <c r="I65" s="295">
        <v>20</v>
      </c>
      <c r="J65" s="295" t="s">
        <v>2636</v>
      </c>
      <c r="K65" s="295">
        <v>2</v>
      </c>
      <c r="L65" s="306">
        <v>43530</v>
      </c>
      <c r="M65" s="316">
        <v>2.0499999999999998</v>
      </c>
      <c r="N65" s="1105">
        <f>M65*AF10</f>
        <v>1311.3234999999997</v>
      </c>
      <c r="O65" s="684">
        <f>H$234</f>
        <v>1278.8699999999999</v>
      </c>
      <c r="P65" s="1107">
        <f>G$259*AF10</f>
        <v>1234.5630999999998</v>
      </c>
      <c r="Q65" s="1107">
        <f t="shared" ref="Q65:Q69" si="75">IF(P65&gt;O65,"0,00",(O65-P65))</f>
        <v>44.306900000000041</v>
      </c>
      <c r="R65" s="1107">
        <f t="shared" ref="R65:R69" si="76">N65-O65</f>
        <v>32.453499999999849</v>
      </c>
      <c r="S65" s="333">
        <v>0</v>
      </c>
      <c r="T65" s="334">
        <f t="shared" ref="T65:T69" si="77">(((((((O65)*(1+4.12%))))*(1+4.12%))))*S65</f>
        <v>0</v>
      </c>
      <c r="U65" s="311">
        <v>0</v>
      </c>
      <c r="V65" s="334">
        <f t="shared" ref="V65:V69" si="78">N65/I65*0</f>
        <v>0</v>
      </c>
      <c r="W65" s="334">
        <v>0</v>
      </c>
      <c r="X65" s="312">
        <f>76.76/N65</f>
        <v>5.8536280330521051E-2</v>
      </c>
      <c r="Y65" s="334">
        <f t="shared" ref="Y65:Y69" si="79">N65*X65</f>
        <v>76.760000000000005</v>
      </c>
      <c r="Z65" s="312">
        <v>0.2</v>
      </c>
      <c r="AA65" s="334">
        <f t="shared" ref="AA65:AA69" si="80">N65*Z65</f>
        <v>262.26469999999995</v>
      </c>
      <c r="AB65" s="334">
        <v>0</v>
      </c>
      <c r="AC65" s="335">
        <f t="shared" ref="AC65:AC69" si="81">(P65+Q65+R65+U65+V65)/3</f>
        <v>437.10783333333325</v>
      </c>
      <c r="AD65" s="335">
        <f t="shared" ref="AD65:AD69" si="82">AC65*S65</f>
        <v>0</v>
      </c>
      <c r="AE65" s="335">
        <f t="shared" ref="AE65:AE69" si="83">(P65+Q65+R65+U65+V65)</f>
        <v>1311.3234999999997</v>
      </c>
      <c r="AF65" s="335">
        <f t="shared" ref="AF65:AF69" si="84">AE65*S65</f>
        <v>0</v>
      </c>
    </row>
    <row r="66" spans="2:32" s="299" customFormat="1" ht="47.25" x14ac:dyDescent="0.25">
      <c r="B66" s="314">
        <v>2363</v>
      </c>
      <c r="C66" s="314" t="s">
        <v>7288</v>
      </c>
      <c r="D66" s="304" t="s">
        <v>2796</v>
      </c>
      <c r="E66" s="304" t="s">
        <v>2757</v>
      </c>
      <c r="F66" s="304" t="s">
        <v>2787</v>
      </c>
      <c r="G66" s="304" t="s">
        <v>2825</v>
      </c>
      <c r="H66" s="305">
        <v>31</v>
      </c>
      <c r="I66" s="295">
        <v>20</v>
      </c>
      <c r="J66" s="295" t="s">
        <v>2636</v>
      </c>
      <c r="K66" s="295">
        <v>2</v>
      </c>
      <c r="L66" s="306">
        <v>43623</v>
      </c>
      <c r="M66" s="316">
        <v>2.0499999999999998</v>
      </c>
      <c r="N66" s="1105">
        <f>M66*AF10</f>
        <v>1311.3234999999997</v>
      </c>
      <c r="O66" s="684">
        <f>H$234</f>
        <v>1278.8699999999999</v>
      </c>
      <c r="P66" s="1107">
        <f>G$241*AF10</f>
        <v>991.48849999999993</v>
      </c>
      <c r="Q66" s="1107">
        <f t="shared" si="75"/>
        <v>287.38149999999996</v>
      </c>
      <c r="R66" s="1107">
        <f t="shared" si="76"/>
        <v>32.453499999999849</v>
      </c>
      <c r="S66" s="333">
        <v>0</v>
      </c>
      <c r="T66" s="334">
        <f t="shared" si="77"/>
        <v>0</v>
      </c>
      <c r="U66" s="311">
        <v>0</v>
      </c>
      <c r="V66" s="334">
        <f t="shared" si="78"/>
        <v>0</v>
      </c>
      <c r="W66" s="334">
        <v>0</v>
      </c>
      <c r="X66" s="312">
        <f>76.76/N66</f>
        <v>5.8536280330521051E-2</v>
      </c>
      <c r="Y66" s="334">
        <f t="shared" si="79"/>
        <v>76.760000000000005</v>
      </c>
      <c r="Z66" s="312">
        <v>0.2</v>
      </c>
      <c r="AA66" s="334">
        <f t="shared" si="80"/>
        <v>262.26469999999995</v>
      </c>
      <c r="AB66" s="334">
        <v>0</v>
      </c>
      <c r="AC66" s="335">
        <f t="shared" si="81"/>
        <v>437.10783333333325</v>
      </c>
      <c r="AD66" s="335">
        <f t="shared" si="82"/>
        <v>0</v>
      </c>
      <c r="AE66" s="335">
        <f t="shared" si="83"/>
        <v>1311.3234999999997</v>
      </c>
      <c r="AF66" s="335">
        <f t="shared" si="84"/>
        <v>0</v>
      </c>
    </row>
    <row r="67" spans="2:32" s="299" customFormat="1" ht="47.25" x14ac:dyDescent="0.25">
      <c r="B67" s="314">
        <v>2329</v>
      </c>
      <c r="C67" s="314" t="s">
        <v>7289</v>
      </c>
      <c r="D67" s="304" t="s">
        <v>2796</v>
      </c>
      <c r="E67" s="304" t="s">
        <v>2757</v>
      </c>
      <c r="F67" s="304" t="s">
        <v>2787</v>
      </c>
      <c r="G67" s="304" t="s">
        <v>2825</v>
      </c>
      <c r="H67" s="305">
        <v>31</v>
      </c>
      <c r="I67" s="295">
        <v>25</v>
      </c>
      <c r="J67" s="295" t="s">
        <v>2636</v>
      </c>
      <c r="K67" s="295">
        <v>2</v>
      </c>
      <c r="L67" s="306">
        <v>43536</v>
      </c>
      <c r="M67" s="316">
        <v>2.5499999999999998</v>
      </c>
      <c r="N67" s="1105">
        <f>M67*AF10</f>
        <v>1631.1584999999998</v>
      </c>
      <c r="O67" s="684">
        <f>M$234</f>
        <v>1598.59</v>
      </c>
      <c r="P67" s="1107">
        <f>G$259*AF10</f>
        <v>1234.5630999999998</v>
      </c>
      <c r="Q67" s="1107">
        <f t="shared" si="75"/>
        <v>364.02690000000007</v>
      </c>
      <c r="R67" s="1107">
        <f t="shared" si="76"/>
        <v>32.568499999999858</v>
      </c>
      <c r="S67" s="333">
        <v>0</v>
      </c>
      <c r="T67" s="334">
        <f t="shared" si="77"/>
        <v>0</v>
      </c>
      <c r="U67" s="311">
        <v>0</v>
      </c>
      <c r="V67" s="334">
        <f t="shared" si="78"/>
        <v>0</v>
      </c>
      <c r="W67" s="334">
        <v>0</v>
      </c>
      <c r="X67" s="312">
        <f>76.76/N67</f>
        <v>4.7058578304928683E-2</v>
      </c>
      <c r="Y67" s="334">
        <f t="shared" si="79"/>
        <v>76.760000000000005</v>
      </c>
      <c r="Z67" s="312">
        <v>0.2</v>
      </c>
      <c r="AA67" s="334">
        <f t="shared" si="80"/>
        <v>326.23169999999999</v>
      </c>
      <c r="AB67" s="334">
        <v>0</v>
      </c>
      <c r="AC67" s="335">
        <f t="shared" si="81"/>
        <v>543.71949999999993</v>
      </c>
      <c r="AD67" s="335">
        <f t="shared" si="82"/>
        <v>0</v>
      </c>
      <c r="AE67" s="335">
        <f t="shared" si="83"/>
        <v>1631.1584999999998</v>
      </c>
      <c r="AF67" s="335">
        <f t="shared" si="84"/>
        <v>0</v>
      </c>
    </row>
    <row r="68" spans="2:32" s="299" customFormat="1" ht="47.25" x14ac:dyDescent="0.25">
      <c r="B68" s="314">
        <v>2321</v>
      </c>
      <c r="C68" s="314" t="s">
        <v>7290</v>
      </c>
      <c r="D68" s="304" t="s">
        <v>2796</v>
      </c>
      <c r="E68" s="304" t="s">
        <v>2757</v>
      </c>
      <c r="F68" s="304" t="s">
        <v>2787</v>
      </c>
      <c r="G68" s="304" t="s">
        <v>2825</v>
      </c>
      <c r="H68" s="305">
        <v>31</v>
      </c>
      <c r="I68" s="295">
        <v>25</v>
      </c>
      <c r="J68" s="295" t="s">
        <v>2636</v>
      </c>
      <c r="K68" s="295">
        <v>2</v>
      </c>
      <c r="L68" s="306">
        <v>43530</v>
      </c>
      <c r="M68" s="316">
        <v>2.5499999999999998</v>
      </c>
      <c r="N68" s="1105">
        <f>M68*AF10</f>
        <v>1631.1584999999998</v>
      </c>
      <c r="O68" s="684">
        <f>H$234</f>
        <v>1278.8699999999999</v>
      </c>
      <c r="P68" s="1107">
        <f>G$241*AF10</f>
        <v>991.48849999999993</v>
      </c>
      <c r="Q68" s="1107">
        <f t="shared" si="75"/>
        <v>287.38149999999996</v>
      </c>
      <c r="R68" s="1107">
        <f t="shared" si="76"/>
        <v>352.28849999999989</v>
      </c>
      <c r="S68" s="333">
        <v>0</v>
      </c>
      <c r="T68" s="334">
        <f t="shared" si="77"/>
        <v>0</v>
      </c>
      <c r="U68" s="311">
        <v>0</v>
      </c>
      <c r="V68" s="334">
        <f t="shared" si="78"/>
        <v>0</v>
      </c>
      <c r="W68" s="334">
        <v>0</v>
      </c>
      <c r="X68" s="312">
        <f>76.76/N68</f>
        <v>4.7058578304928683E-2</v>
      </c>
      <c r="Y68" s="334">
        <f t="shared" si="79"/>
        <v>76.760000000000005</v>
      </c>
      <c r="Z68" s="312">
        <v>0.2</v>
      </c>
      <c r="AA68" s="334">
        <f t="shared" si="80"/>
        <v>326.23169999999999</v>
      </c>
      <c r="AB68" s="334">
        <v>0</v>
      </c>
      <c r="AC68" s="335">
        <f t="shared" si="81"/>
        <v>543.71949999999993</v>
      </c>
      <c r="AD68" s="335">
        <f t="shared" si="82"/>
        <v>0</v>
      </c>
      <c r="AE68" s="335">
        <f t="shared" si="83"/>
        <v>1631.1584999999998</v>
      </c>
      <c r="AF68" s="335">
        <f t="shared" si="84"/>
        <v>0</v>
      </c>
    </row>
    <row r="69" spans="2:32" s="299" customFormat="1" ht="47.25" x14ac:dyDescent="0.25">
      <c r="B69" s="314">
        <v>2328</v>
      </c>
      <c r="C69" s="314" t="s">
        <v>7291</v>
      </c>
      <c r="D69" s="304" t="s">
        <v>2796</v>
      </c>
      <c r="E69" s="304" t="s">
        <v>2757</v>
      </c>
      <c r="F69" s="304" t="s">
        <v>2787</v>
      </c>
      <c r="G69" s="304" t="s">
        <v>2825</v>
      </c>
      <c r="H69" s="305">
        <v>31</v>
      </c>
      <c r="I69" s="295">
        <v>20</v>
      </c>
      <c r="J69" s="295" t="s">
        <v>2636</v>
      </c>
      <c r="K69" s="295">
        <v>2</v>
      </c>
      <c r="L69" s="306">
        <v>43535</v>
      </c>
      <c r="M69" s="316">
        <v>2.0499999999999998</v>
      </c>
      <c r="N69" s="1105">
        <f>M69*AF10</f>
        <v>1311.3234999999997</v>
      </c>
      <c r="O69" s="684">
        <f>H$234</f>
        <v>1278.8699999999999</v>
      </c>
      <c r="P69" s="1107">
        <f>G$241*AF10</f>
        <v>991.48849999999993</v>
      </c>
      <c r="Q69" s="1107">
        <f t="shared" si="75"/>
        <v>287.38149999999996</v>
      </c>
      <c r="R69" s="1107">
        <f t="shared" si="76"/>
        <v>32.453499999999849</v>
      </c>
      <c r="S69" s="333">
        <v>0</v>
      </c>
      <c r="T69" s="334">
        <f t="shared" si="77"/>
        <v>0</v>
      </c>
      <c r="U69" s="311">
        <v>0</v>
      </c>
      <c r="V69" s="334">
        <f t="shared" si="78"/>
        <v>0</v>
      </c>
      <c r="W69" s="334">
        <v>0</v>
      </c>
      <c r="X69" s="312">
        <f>76.76/N69</f>
        <v>5.8536280330521051E-2</v>
      </c>
      <c r="Y69" s="334">
        <f t="shared" si="79"/>
        <v>76.760000000000005</v>
      </c>
      <c r="Z69" s="312">
        <v>0.2</v>
      </c>
      <c r="AA69" s="334">
        <f t="shared" si="80"/>
        <v>262.26469999999995</v>
      </c>
      <c r="AB69" s="334">
        <v>0</v>
      </c>
      <c r="AC69" s="335">
        <f t="shared" si="81"/>
        <v>437.10783333333325</v>
      </c>
      <c r="AD69" s="335">
        <f t="shared" si="82"/>
        <v>0</v>
      </c>
      <c r="AE69" s="335">
        <f t="shared" si="83"/>
        <v>1311.3234999999997</v>
      </c>
      <c r="AF69" s="335">
        <f t="shared" si="84"/>
        <v>0</v>
      </c>
    </row>
    <row r="70" spans="2:32" s="1272" customFormat="1" x14ac:dyDescent="0.25">
      <c r="B70" s="1264" t="s">
        <v>7280</v>
      </c>
      <c r="C70" s="1267"/>
      <c r="D70" s="1267"/>
      <c r="E70" s="1267"/>
      <c r="F70" s="1267"/>
      <c r="G70" s="1267"/>
      <c r="H70" s="1267"/>
      <c r="I70" s="1267"/>
      <c r="J70" s="1267"/>
      <c r="K70" s="1267"/>
      <c r="L70" s="1267"/>
      <c r="M70" s="1267"/>
      <c r="N70" s="1277">
        <f>SUM(N65:N69)</f>
        <v>7196.2874999999985</v>
      </c>
      <c r="O70" s="1277">
        <f>SUM(O65:O69)</f>
        <v>6714.07</v>
      </c>
      <c r="P70" s="1277">
        <f>SUM(P65:P69)</f>
        <v>5443.591699999999</v>
      </c>
      <c r="Q70" s="1277">
        <f>SUM(Q65:Q69)</f>
        <v>1270.4783</v>
      </c>
      <c r="R70" s="1277">
        <f>SUM(R65:R69)</f>
        <v>482.21749999999929</v>
      </c>
      <c r="S70" s="1278"/>
      <c r="T70" s="1277">
        <f>SUM(T65:T69)</f>
        <v>0</v>
      </c>
      <c r="U70" s="1277">
        <f>SUM(U65:U69)</f>
        <v>0</v>
      </c>
      <c r="V70" s="1277">
        <f>SUM(V65:V69)</f>
        <v>0</v>
      </c>
      <c r="W70" s="1277">
        <f>SUM(W65:W69)</f>
        <v>0</v>
      </c>
      <c r="X70" s="1279"/>
      <c r="Y70" s="1277">
        <f>SUM(Y65:Y69)</f>
        <v>383.8</v>
      </c>
      <c r="Z70" s="1279"/>
      <c r="AA70" s="1277">
        <f t="shared" ref="AA70:AF70" si="85">SUM(AA65:AA69)</f>
        <v>1439.2574999999999</v>
      </c>
      <c r="AB70" s="1277">
        <f t="shared" si="85"/>
        <v>0</v>
      </c>
      <c r="AC70" s="1277">
        <f t="shared" si="85"/>
        <v>2398.7624999999998</v>
      </c>
      <c r="AD70" s="1277">
        <f t="shared" si="85"/>
        <v>0</v>
      </c>
      <c r="AE70" s="1277">
        <f t="shared" si="85"/>
        <v>7196.2874999999985</v>
      </c>
      <c r="AF70" s="1277">
        <f t="shared" si="85"/>
        <v>0</v>
      </c>
    </row>
    <row r="71" spans="2:32" s="1272" customFormat="1" x14ac:dyDescent="0.25">
      <c r="B71" s="1264"/>
      <c r="C71" s="1267"/>
      <c r="D71" s="1267"/>
      <c r="E71" s="1267"/>
      <c r="F71" s="1267"/>
      <c r="G71" s="1267"/>
      <c r="H71" s="1267"/>
      <c r="I71" s="1267"/>
      <c r="J71" s="1267"/>
      <c r="K71" s="1267"/>
      <c r="L71" s="1267"/>
      <c r="M71" s="1267"/>
      <c r="N71" s="1277"/>
      <c r="O71" s="1277"/>
      <c r="P71" s="1277"/>
      <c r="Q71" s="1277"/>
      <c r="R71" s="1277"/>
      <c r="S71" s="1278"/>
      <c r="T71" s="1277"/>
      <c r="U71" s="1277"/>
      <c r="V71" s="1277"/>
      <c r="W71" s="1277"/>
      <c r="X71" s="1279"/>
      <c r="Y71" s="1277"/>
      <c r="Z71" s="1279"/>
      <c r="AA71" s="1277"/>
      <c r="AB71" s="1277"/>
      <c r="AC71" s="1277"/>
      <c r="AD71" s="1277"/>
      <c r="AE71" s="1277"/>
      <c r="AF71" s="1277"/>
    </row>
    <row r="72" spans="2:32" s="299" customFormat="1" ht="47.25" x14ac:dyDescent="0.25">
      <c r="B72" s="314">
        <v>861</v>
      </c>
      <c r="C72" s="314" t="s">
        <v>2869</v>
      </c>
      <c r="D72" s="304" t="s">
        <v>2796</v>
      </c>
      <c r="E72" s="304" t="s">
        <v>2739</v>
      </c>
      <c r="F72" s="304" t="s">
        <v>2787</v>
      </c>
      <c r="G72" s="304" t="s">
        <v>2825</v>
      </c>
      <c r="H72" s="305">
        <v>31</v>
      </c>
      <c r="I72" s="295">
        <v>25</v>
      </c>
      <c r="J72" s="295" t="s">
        <v>2648</v>
      </c>
      <c r="K72" s="295">
        <v>3</v>
      </c>
      <c r="L72" s="306">
        <v>38600</v>
      </c>
      <c r="M72" s="316">
        <v>3.07</v>
      </c>
      <c r="N72" s="1105">
        <f>M72*AF10</f>
        <v>1963.7868999999998</v>
      </c>
      <c r="O72" s="684">
        <f>M234</f>
        <v>1598.59</v>
      </c>
      <c r="P72" s="1107">
        <f>G259*AF10</f>
        <v>1234.5630999999998</v>
      </c>
      <c r="Q72" s="1107">
        <f t="shared" ref="Q72:Q78" si="86">IF(P72&gt;O72,"0,00",(O72-P72))</f>
        <v>364.02690000000007</v>
      </c>
      <c r="R72" s="1107">
        <f t="shared" ref="R72" si="87">N72-O72</f>
        <v>365.19689999999991</v>
      </c>
      <c r="S72" s="333">
        <v>0.15</v>
      </c>
      <c r="T72" s="334">
        <f t="shared" ref="T72:T78" si="88">(((((((O72)*(1+4.12%))))*(1+4.12%))))*S72</f>
        <v>259.95409899143993</v>
      </c>
      <c r="U72" s="311">
        <f>AF10*0</f>
        <v>0</v>
      </c>
      <c r="V72" s="334">
        <f t="shared" ref="V72:V78" si="89">N72/I72*0</f>
        <v>0</v>
      </c>
      <c r="W72" s="334">
        <v>0</v>
      </c>
      <c r="X72" s="312">
        <f>76.76/N72</f>
        <v>3.9087744194647604E-2</v>
      </c>
      <c r="Y72" s="334">
        <f t="shared" ref="Y72:Y90" si="90">N72*X72</f>
        <v>76.760000000000005</v>
      </c>
      <c r="Z72" s="312">
        <v>0.2</v>
      </c>
      <c r="AA72" s="334">
        <f t="shared" ref="AA72:AA90" si="91">N72*Z72</f>
        <v>392.75738000000001</v>
      </c>
      <c r="AB72" s="334">
        <v>0</v>
      </c>
      <c r="AC72" s="335">
        <f t="shared" ref="AC72" si="92">(P72+Q72+R72+U72+V72)/3</f>
        <v>654.59563333333324</v>
      </c>
      <c r="AD72" s="335">
        <f t="shared" ref="AD72" si="93">AC72*S72</f>
        <v>98.189344999999989</v>
      </c>
      <c r="AE72" s="335">
        <f t="shared" ref="AE72" si="94">(P72+Q72+R72+U72+V72)</f>
        <v>1963.7868999999998</v>
      </c>
      <c r="AF72" s="335">
        <f t="shared" ref="AF72" si="95">AE72*S72</f>
        <v>294.56803499999995</v>
      </c>
    </row>
    <row r="73" spans="2:32" s="299" customFormat="1" ht="47.25" x14ac:dyDescent="0.25">
      <c r="B73" s="314">
        <v>2253</v>
      </c>
      <c r="C73" s="314" t="s">
        <v>2869</v>
      </c>
      <c r="D73" s="304" t="s">
        <v>2796</v>
      </c>
      <c r="E73" s="304" t="s">
        <v>2739</v>
      </c>
      <c r="F73" s="304" t="s">
        <v>2787</v>
      </c>
      <c r="G73" s="304" t="s">
        <v>2825</v>
      </c>
      <c r="H73" s="305">
        <v>31</v>
      </c>
      <c r="I73" s="295">
        <v>20</v>
      </c>
      <c r="J73" s="295" t="s">
        <v>2636</v>
      </c>
      <c r="K73" s="295">
        <v>3</v>
      </c>
      <c r="L73" s="306">
        <v>43224</v>
      </c>
      <c r="M73" s="316">
        <v>2.27</v>
      </c>
      <c r="N73" s="1105">
        <f>M73*AF10</f>
        <v>1452.0509</v>
      </c>
      <c r="O73" s="684">
        <f>H234</f>
        <v>1278.8699999999999</v>
      </c>
      <c r="P73" s="1107">
        <f>G241*AF10</f>
        <v>991.48849999999993</v>
      </c>
      <c r="Q73" s="1107">
        <f t="shared" si="86"/>
        <v>287.38149999999996</v>
      </c>
      <c r="R73" s="1107">
        <f t="shared" ref="R73:R74" si="96">N73-O73</f>
        <v>173.18090000000007</v>
      </c>
      <c r="S73" s="333">
        <v>0.02</v>
      </c>
      <c r="T73" s="334">
        <f t="shared" si="88"/>
        <v>27.728393861855995</v>
      </c>
      <c r="U73" s="311">
        <v>0</v>
      </c>
      <c r="V73" s="334">
        <f t="shared" si="89"/>
        <v>0</v>
      </c>
      <c r="W73" s="334">
        <v>0</v>
      </c>
      <c r="X73" s="312">
        <v>0</v>
      </c>
      <c r="Y73" s="334">
        <f t="shared" si="90"/>
        <v>0</v>
      </c>
      <c r="Z73" s="312">
        <v>0</v>
      </c>
      <c r="AA73" s="334">
        <f t="shared" si="91"/>
        <v>0</v>
      </c>
      <c r="AB73" s="334">
        <v>0</v>
      </c>
      <c r="AC73" s="335">
        <f t="shared" ref="AC73:AC75" si="97">(P73+Q73+R73+U73+V73)/3</f>
        <v>484.01696666666663</v>
      </c>
      <c r="AD73" s="335">
        <f t="shared" ref="AD73:AD75" si="98">AC73*S73</f>
        <v>9.6803393333333325</v>
      </c>
      <c r="AE73" s="335">
        <f t="shared" ref="AE73:AE75" si="99">(P73+Q73+R73+U73+V73)</f>
        <v>1452.0509</v>
      </c>
      <c r="AF73" s="335">
        <f t="shared" ref="AF73:AF75" si="100">AE73*S73</f>
        <v>29.041018000000001</v>
      </c>
    </row>
    <row r="74" spans="2:32" s="299" customFormat="1" ht="47.25" x14ac:dyDescent="0.25">
      <c r="B74" s="314">
        <v>865</v>
      </c>
      <c r="C74" s="314" t="s">
        <v>2870</v>
      </c>
      <c r="D74" s="304" t="s">
        <v>2796</v>
      </c>
      <c r="E74" s="304" t="s">
        <v>2739</v>
      </c>
      <c r="F74" s="304" t="s">
        <v>2787</v>
      </c>
      <c r="G74" s="304" t="s">
        <v>2825</v>
      </c>
      <c r="H74" s="305">
        <v>31</v>
      </c>
      <c r="I74" s="295">
        <v>25</v>
      </c>
      <c r="J74" s="295" t="s">
        <v>2648</v>
      </c>
      <c r="K74" s="295">
        <v>3</v>
      </c>
      <c r="L74" s="306">
        <v>38600</v>
      </c>
      <c r="M74" s="316">
        <v>3.07</v>
      </c>
      <c r="N74" s="1105">
        <f>M74*AF10</f>
        <v>1963.7868999999998</v>
      </c>
      <c r="O74" s="684">
        <f>M234</f>
        <v>1598.59</v>
      </c>
      <c r="P74" s="1107">
        <f>G259*AF10</f>
        <v>1234.5630999999998</v>
      </c>
      <c r="Q74" s="1107">
        <f t="shared" si="86"/>
        <v>364.02690000000007</v>
      </c>
      <c r="R74" s="1107">
        <f t="shared" si="96"/>
        <v>365.19689999999991</v>
      </c>
      <c r="S74" s="333">
        <v>0.14000000000000001</v>
      </c>
      <c r="T74" s="334">
        <f t="shared" si="88"/>
        <v>242.62382572534398</v>
      </c>
      <c r="U74" s="311">
        <v>0</v>
      </c>
      <c r="V74" s="334">
        <f>N74/I74*15</f>
        <v>1178.2721399999998</v>
      </c>
      <c r="W74" s="334">
        <v>0</v>
      </c>
      <c r="X74" s="312">
        <f>76.76/N74</f>
        <v>3.9087744194647604E-2</v>
      </c>
      <c r="Y74" s="334">
        <f t="shared" si="90"/>
        <v>76.760000000000005</v>
      </c>
      <c r="Z74" s="312">
        <v>0.2</v>
      </c>
      <c r="AA74" s="334">
        <f t="shared" si="91"/>
        <v>392.75738000000001</v>
      </c>
      <c r="AB74" s="334">
        <v>0</v>
      </c>
      <c r="AC74" s="335">
        <f t="shared" si="97"/>
        <v>1047.3530133333331</v>
      </c>
      <c r="AD74" s="335">
        <f t="shared" si="98"/>
        <v>146.62942186666666</v>
      </c>
      <c r="AE74" s="335">
        <f t="shared" si="99"/>
        <v>3142.0590399999996</v>
      </c>
      <c r="AF74" s="335">
        <f t="shared" si="100"/>
        <v>439.88826560000001</v>
      </c>
    </row>
    <row r="75" spans="2:32" s="299" customFormat="1" ht="47.25" x14ac:dyDescent="0.25">
      <c r="B75" s="314">
        <v>717</v>
      </c>
      <c r="C75" s="314" t="s">
        <v>2871</v>
      </c>
      <c r="D75" s="304" t="s">
        <v>2796</v>
      </c>
      <c r="E75" s="304" t="s">
        <v>2739</v>
      </c>
      <c r="F75" s="304" t="s">
        <v>2787</v>
      </c>
      <c r="G75" s="304" t="s">
        <v>2825</v>
      </c>
      <c r="H75" s="305">
        <v>31</v>
      </c>
      <c r="I75" s="295">
        <v>22</v>
      </c>
      <c r="J75" s="295" t="s">
        <v>2648</v>
      </c>
      <c r="K75" s="295">
        <v>3</v>
      </c>
      <c r="L75" s="306">
        <v>38085</v>
      </c>
      <c r="M75" s="316">
        <v>2.71</v>
      </c>
      <c r="N75" s="1105">
        <f>M75*AF10</f>
        <v>1733.5056999999999</v>
      </c>
      <c r="O75" s="684">
        <f>J234</f>
        <v>1406.7569999999998</v>
      </c>
      <c r="P75" s="1107">
        <f>G$250*AF10</f>
        <v>1087.4389999999999</v>
      </c>
      <c r="Q75" s="1107">
        <f t="shared" si="86"/>
        <v>319.31799999999998</v>
      </c>
      <c r="R75" s="1107">
        <f>N75-O75</f>
        <v>326.7487000000001</v>
      </c>
      <c r="S75" s="333">
        <v>0.16</v>
      </c>
      <c r="T75" s="334">
        <f t="shared" si="88"/>
        <v>244.00986598433272</v>
      </c>
      <c r="U75" s="311">
        <v>0</v>
      </c>
      <c r="V75" s="334">
        <f t="shared" si="89"/>
        <v>0</v>
      </c>
      <c r="W75" s="334">
        <v>0</v>
      </c>
      <c r="X75" s="312">
        <f>76.76/N75</f>
        <v>4.4280212058143226E-2</v>
      </c>
      <c r="Y75" s="334">
        <f t="shared" si="90"/>
        <v>76.760000000000005</v>
      </c>
      <c r="Z75" s="312">
        <v>0.2</v>
      </c>
      <c r="AA75" s="334">
        <f t="shared" si="91"/>
        <v>346.70114000000001</v>
      </c>
      <c r="AB75" s="334">
        <v>0</v>
      </c>
      <c r="AC75" s="335">
        <f t="shared" si="97"/>
        <v>577.83523333333335</v>
      </c>
      <c r="AD75" s="335">
        <f t="shared" si="98"/>
        <v>92.453637333333333</v>
      </c>
      <c r="AE75" s="335">
        <f t="shared" si="99"/>
        <v>1733.5056999999999</v>
      </c>
      <c r="AF75" s="335">
        <f t="shared" si="100"/>
        <v>277.36091199999998</v>
      </c>
    </row>
    <row r="76" spans="2:32" s="299" customFormat="1" ht="47.25" x14ac:dyDescent="0.25">
      <c r="B76" s="314">
        <v>457</v>
      </c>
      <c r="C76" s="314" t="s">
        <v>2872</v>
      </c>
      <c r="D76" s="304" t="s">
        <v>2796</v>
      </c>
      <c r="E76" s="304" t="s">
        <v>2739</v>
      </c>
      <c r="F76" s="304" t="s">
        <v>2787</v>
      </c>
      <c r="G76" s="304" t="s">
        <v>2825</v>
      </c>
      <c r="H76" s="305">
        <v>31</v>
      </c>
      <c r="I76" s="295">
        <v>25</v>
      </c>
      <c r="J76" s="295" t="s">
        <v>2648</v>
      </c>
      <c r="K76" s="295">
        <v>3</v>
      </c>
      <c r="L76" s="306">
        <v>37082</v>
      </c>
      <c r="M76" s="316">
        <v>3.07</v>
      </c>
      <c r="N76" s="1105">
        <f>M76*AF10</f>
        <v>1963.7868999999998</v>
      </c>
      <c r="O76" s="684">
        <f>M234</f>
        <v>1598.59</v>
      </c>
      <c r="P76" s="1107">
        <f>G259*AF10</f>
        <v>1234.5630999999998</v>
      </c>
      <c r="Q76" s="1107">
        <f t="shared" si="86"/>
        <v>364.02690000000007</v>
      </c>
      <c r="R76" s="1107">
        <f t="shared" ref="R76" si="101">N76-O76</f>
        <v>365.19689999999991</v>
      </c>
      <c r="S76" s="333">
        <v>0.19</v>
      </c>
      <c r="T76" s="334">
        <f t="shared" si="88"/>
        <v>329.27519205582394</v>
      </c>
      <c r="U76" s="311">
        <v>0</v>
      </c>
      <c r="V76" s="334">
        <f t="shared" si="89"/>
        <v>0</v>
      </c>
      <c r="W76" s="334">
        <v>0</v>
      </c>
      <c r="X76" s="312">
        <f>76.76/N76</f>
        <v>3.9087744194647604E-2</v>
      </c>
      <c r="Y76" s="334">
        <f t="shared" si="90"/>
        <v>76.760000000000005</v>
      </c>
      <c r="Z76" s="312">
        <v>0.2</v>
      </c>
      <c r="AA76" s="334">
        <f t="shared" si="91"/>
        <v>392.75738000000001</v>
      </c>
      <c r="AB76" s="334">
        <v>0</v>
      </c>
      <c r="AC76" s="335">
        <f t="shared" ref="AC76" si="102">(P76+Q76+R76+U76+V76)/3</f>
        <v>654.59563333333324</v>
      </c>
      <c r="AD76" s="335">
        <f t="shared" ref="AD76" si="103">AC76*S76</f>
        <v>124.37317033333332</v>
      </c>
      <c r="AE76" s="335">
        <f t="shared" ref="AE76" si="104">(P76+Q76+R76+U76+V76)</f>
        <v>1963.7868999999998</v>
      </c>
      <c r="AF76" s="335">
        <f t="shared" ref="AF76" si="105">AE76*S76</f>
        <v>373.11951099999999</v>
      </c>
    </row>
    <row r="77" spans="2:32" s="299" customFormat="1" ht="47.25" x14ac:dyDescent="0.25">
      <c r="B77" s="314">
        <v>708</v>
      </c>
      <c r="C77" s="314" t="s">
        <v>2872</v>
      </c>
      <c r="D77" s="304" t="s">
        <v>2796</v>
      </c>
      <c r="E77" s="304" t="s">
        <v>2739</v>
      </c>
      <c r="F77" s="304" t="s">
        <v>2787</v>
      </c>
      <c r="G77" s="304" t="s">
        <v>2825</v>
      </c>
      <c r="H77" s="305">
        <v>31</v>
      </c>
      <c r="I77" s="295">
        <v>25</v>
      </c>
      <c r="J77" s="295" t="s">
        <v>2648</v>
      </c>
      <c r="K77" s="295">
        <v>3</v>
      </c>
      <c r="L77" s="306">
        <v>38090</v>
      </c>
      <c r="M77" s="316">
        <v>3.07</v>
      </c>
      <c r="N77" s="1105">
        <f>M77*AF10</f>
        <v>1963.7868999999998</v>
      </c>
      <c r="O77" s="684">
        <f>M234</f>
        <v>1598.59</v>
      </c>
      <c r="P77" s="1107">
        <f>G259*AF10</f>
        <v>1234.5630999999998</v>
      </c>
      <c r="Q77" s="1107">
        <f t="shared" si="86"/>
        <v>364.02690000000007</v>
      </c>
      <c r="R77" s="1107">
        <f t="shared" ref="R77" si="106">N77-O77</f>
        <v>365.19689999999991</v>
      </c>
      <c r="S77" s="333">
        <v>0.16</v>
      </c>
      <c r="T77" s="334">
        <f t="shared" si="88"/>
        <v>277.28437225753595</v>
      </c>
      <c r="U77" s="311">
        <v>0</v>
      </c>
      <c r="V77" s="334">
        <f t="shared" si="89"/>
        <v>0</v>
      </c>
      <c r="W77" s="334">
        <v>0</v>
      </c>
      <c r="X77" s="312">
        <v>0</v>
      </c>
      <c r="Y77" s="334">
        <f t="shared" si="90"/>
        <v>0</v>
      </c>
      <c r="Z77" s="312">
        <v>0</v>
      </c>
      <c r="AA77" s="334">
        <f t="shared" si="91"/>
        <v>0</v>
      </c>
      <c r="AB77" s="334">
        <v>0</v>
      </c>
      <c r="AC77" s="335">
        <f t="shared" ref="AC77" si="107">(P77+Q77+R77+U77+V77)/3</f>
        <v>654.59563333333324</v>
      </c>
      <c r="AD77" s="335">
        <f t="shared" ref="AD77" si="108">AC77*S77</f>
        <v>104.73530133333333</v>
      </c>
      <c r="AE77" s="335">
        <f t="shared" ref="AE77" si="109">(P77+Q77+R77+U77+V77)</f>
        <v>1963.7868999999998</v>
      </c>
      <c r="AF77" s="335">
        <f t="shared" ref="AF77" si="110">AE77*S77</f>
        <v>314.20590399999998</v>
      </c>
    </row>
    <row r="78" spans="2:32" s="299" customFormat="1" ht="47.25" x14ac:dyDescent="0.25">
      <c r="B78" s="314">
        <v>862</v>
      </c>
      <c r="C78" s="314" t="s">
        <v>2873</v>
      </c>
      <c r="D78" s="304" t="s">
        <v>2796</v>
      </c>
      <c r="E78" s="304" t="s">
        <v>2739</v>
      </c>
      <c r="F78" s="304" t="s">
        <v>2787</v>
      </c>
      <c r="G78" s="304" t="s">
        <v>2825</v>
      </c>
      <c r="H78" s="305">
        <v>31</v>
      </c>
      <c r="I78" s="295">
        <v>25</v>
      </c>
      <c r="J78" s="295" t="s">
        <v>2648</v>
      </c>
      <c r="K78" s="295">
        <v>3</v>
      </c>
      <c r="L78" s="306">
        <v>38600</v>
      </c>
      <c r="M78" s="316">
        <v>3.07</v>
      </c>
      <c r="N78" s="1105">
        <f>M78*AF10</f>
        <v>1963.7868999999998</v>
      </c>
      <c r="O78" s="684">
        <f>M234</f>
        <v>1598.59</v>
      </c>
      <c r="P78" s="1107">
        <f>G259*AF10</f>
        <v>1234.5630999999998</v>
      </c>
      <c r="Q78" s="1107">
        <f t="shared" si="86"/>
        <v>364.02690000000007</v>
      </c>
      <c r="R78" s="1107">
        <f t="shared" ref="R78" si="111">N78-O78</f>
        <v>365.19689999999991</v>
      </c>
      <c r="S78" s="333">
        <v>0.16</v>
      </c>
      <c r="T78" s="334">
        <f t="shared" si="88"/>
        <v>277.28437225753595</v>
      </c>
      <c r="U78" s="311">
        <v>0</v>
      </c>
      <c r="V78" s="334">
        <f t="shared" si="89"/>
        <v>0</v>
      </c>
      <c r="W78" s="334">
        <v>0</v>
      </c>
      <c r="X78" s="312">
        <f>76.76/N78</f>
        <v>3.9087744194647604E-2</v>
      </c>
      <c r="Y78" s="334">
        <f t="shared" si="90"/>
        <v>76.760000000000005</v>
      </c>
      <c r="Z78" s="312">
        <v>0.2</v>
      </c>
      <c r="AA78" s="334">
        <f t="shared" si="91"/>
        <v>392.75738000000001</v>
      </c>
      <c r="AB78" s="334">
        <v>0</v>
      </c>
      <c r="AC78" s="335">
        <f t="shared" ref="AC78:AC80" si="112">(P78+Q78+R78+U78+V78)/3</f>
        <v>654.59563333333324</v>
      </c>
      <c r="AD78" s="335">
        <f t="shared" ref="AD78:AD80" si="113">AC78*S78</f>
        <v>104.73530133333333</v>
      </c>
      <c r="AE78" s="335">
        <f t="shared" ref="AE78:AE80" si="114">(P78+Q78+R78+U78+V78)</f>
        <v>1963.7868999999998</v>
      </c>
      <c r="AF78" s="335">
        <f t="shared" ref="AF78:AF80" si="115">AE78*S78</f>
        <v>314.20590399999998</v>
      </c>
    </row>
    <row r="79" spans="2:32" s="299" customFormat="1" ht="47.25" x14ac:dyDescent="0.25">
      <c r="B79" s="314">
        <v>406</v>
      </c>
      <c r="C79" s="314" t="s">
        <v>2874</v>
      </c>
      <c r="D79" s="304" t="s">
        <v>2796</v>
      </c>
      <c r="E79" s="304" t="s">
        <v>2739</v>
      </c>
      <c r="F79" s="304" t="s">
        <v>2787</v>
      </c>
      <c r="G79" s="304" t="s">
        <v>2825</v>
      </c>
      <c r="H79" s="305">
        <v>31</v>
      </c>
      <c r="I79" s="295">
        <v>25</v>
      </c>
      <c r="J79" s="295" t="s">
        <v>2638</v>
      </c>
      <c r="K79" s="295">
        <v>3</v>
      </c>
      <c r="L79" s="306">
        <v>36962</v>
      </c>
      <c r="M79" s="316">
        <v>3.2</v>
      </c>
      <c r="N79" s="1105">
        <f>M79*AF10</f>
        <v>2046.944</v>
      </c>
      <c r="O79" s="684">
        <f>M$234</f>
        <v>1598.59</v>
      </c>
      <c r="P79" s="1107">
        <f>G259*AF10</f>
        <v>1234.5630999999998</v>
      </c>
      <c r="Q79" s="1107">
        <f t="shared" ref="Q79" si="116">IF(P79&gt;O79,"0,00",(O79-P79))</f>
        <v>364.02690000000007</v>
      </c>
      <c r="R79" s="1107">
        <f>N79-O79</f>
        <v>448.35400000000004</v>
      </c>
      <c r="S79" s="333">
        <v>0.19</v>
      </c>
      <c r="T79" s="334">
        <f t="shared" ref="T79" si="117">(((((((O79)*(1+4.12%))))*(1+4.12%)))*(1+4.12%))*S79</f>
        <v>342.84132996852384</v>
      </c>
      <c r="U79" s="311">
        <v>0</v>
      </c>
      <c r="V79" s="334">
        <f>N79/I79*15</f>
        <v>1228.1663999999998</v>
      </c>
      <c r="W79" s="334">
        <v>0</v>
      </c>
      <c r="X79" s="312">
        <f>76.76/N79</f>
        <v>3.7499804586740043E-2</v>
      </c>
      <c r="Y79" s="334">
        <f t="shared" si="90"/>
        <v>76.760000000000005</v>
      </c>
      <c r="Z79" s="312">
        <v>0.2</v>
      </c>
      <c r="AA79" s="334">
        <f t="shared" si="91"/>
        <v>409.3888</v>
      </c>
      <c r="AB79" s="334">
        <v>0</v>
      </c>
      <c r="AC79" s="335">
        <f t="shared" si="112"/>
        <v>1091.7034666666666</v>
      </c>
      <c r="AD79" s="335">
        <f t="shared" si="113"/>
        <v>207.42365866666665</v>
      </c>
      <c r="AE79" s="335">
        <f t="shared" si="114"/>
        <v>3275.1103999999996</v>
      </c>
      <c r="AF79" s="335">
        <f t="shared" si="115"/>
        <v>622.27097599999991</v>
      </c>
    </row>
    <row r="80" spans="2:32" s="299" customFormat="1" ht="47.25" x14ac:dyDescent="0.25">
      <c r="B80" s="314">
        <v>1901</v>
      </c>
      <c r="C80" s="314" t="s">
        <v>2875</v>
      </c>
      <c r="D80" s="304" t="s">
        <v>2876</v>
      </c>
      <c r="E80" s="304" t="s">
        <v>2739</v>
      </c>
      <c r="F80" s="304" t="s">
        <v>2787</v>
      </c>
      <c r="G80" s="304" t="s">
        <v>2825</v>
      </c>
      <c r="H80" s="305">
        <v>31</v>
      </c>
      <c r="I80" s="295">
        <v>40</v>
      </c>
      <c r="J80" s="295" t="s">
        <v>2636</v>
      </c>
      <c r="K80" s="295">
        <v>3</v>
      </c>
      <c r="L80" s="306">
        <v>42054</v>
      </c>
      <c r="M80" s="316">
        <v>5</v>
      </c>
      <c r="N80" s="1105">
        <f>M80*AF10</f>
        <v>3198.35</v>
      </c>
      <c r="O80" s="684">
        <f>G$234</f>
        <v>2557.7399999999998</v>
      </c>
      <c r="P80" s="1107">
        <f>G269*AF10</f>
        <v>2878.5149999999999</v>
      </c>
      <c r="Q80" s="1107" t="str">
        <f t="shared" ref="Q80:Q90" si="118">IF(P80&gt;O80,"0,00",(O80-P80))</f>
        <v>0,00</v>
      </c>
      <c r="R80" s="1107">
        <f t="shared" ref="R80:R90" si="119">N80-O80</f>
        <v>640.61000000000013</v>
      </c>
      <c r="S80" s="333">
        <v>0.05</v>
      </c>
      <c r="T80" s="334">
        <f>(((((((O80)))))*S80))</f>
        <v>127.887</v>
      </c>
      <c r="U80" s="311">
        <v>0</v>
      </c>
      <c r="V80" s="334">
        <f>N80/I80*0</f>
        <v>0</v>
      </c>
      <c r="W80" s="334">
        <v>0</v>
      </c>
      <c r="X80" s="312">
        <f>51.18/N80</f>
        <v>1.6002001031782013E-2</v>
      </c>
      <c r="Y80" s="334">
        <f t="shared" si="90"/>
        <v>51.18</v>
      </c>
      <c r="Z80" s="312">
        <v>0.2</v>
      </c>
      <c r="AA80" s="334">
        <f t="shared" si="91"/>
        <v>639.67000000000007</v>
      </c>
      <c r="AB80" s="334">
        <v>0</v>
      </c>
      <c r="AC80" s="335">
        <f t="shared" si="112"/>
        <v>1173.0416666666667</v>
      </c>
      <c r="AD80" s="335">
        <f t="shared" si="113"/>
        <v>58.652083333333337</v>
      </c>
      <c r="AE80" s="335">
        <f t="shared" si="114"/>
        <v>3519.125</v>
      </c>
      <c r="AF80" s="335">
        <f t="shared" si="115"/>
        <v>175.95625000000001</v>
      </c>
    </row>
    <row r="81" spans="2:32" s="299" customFormat="1" ht="47.25" x14ac:dyDescent="0.25">
      <c r="B81" s="314">
        <v>1310</v>
      </c>
      <c r="C81" s="314" t="s">
        <v>2877</v>
      </c>
      <c r="D81" s="304" t="s">
        <v>2876</v>
      </c>
      <c r="E81" s="304" t="s">
        <v>2739</v>
      </c>
      <c r="F81" s="304" t="s">
        <v>2787</v>
      </c>
      <c r="G81" s="304" t="s">
        <v>2825</v>
      </c>
      <c r="H81" s="305">
        <v>31</v>
      </c>
      <c r="I81" s="295">
        <v>40</v>
      </c>
      <c r="J81" s="295" t="s">
        <v>2634</v>
      </c>
      <c r="K81" s="295">
        <v>3</v>
      </c>
      <c r="L81" s="306">
        <v>39940</v>
      </c>
      <c r="M81" s="316">
        <v>5.21</v>
      </c>
      <c r="N81" s="1105">
        <f>M81*AF10</f>
        <v>3332.6806999999999</v>
      </c>
      <c r="O81" s="684">
        <f>G$234</f>
        <v>2557.7399999999998</v>
      </c>
      <c r="P81" s="1107">
        <f>G269*AF10</f>
        <v>2878.5149999999999</v>
      </c>
      <c r="Q81" s="1107" t="str">
        <f t="shared" si="118"/>
        <v>0,00</v>
      </c>
      <c r="R81" s="1107">
        <f t="shared" si="119"/>
        <v>774.94070000000011</v>
      </c>
      <c r="S81" s="333">
        <v>0.11</v>
      </c>
      <c r="T81" s="334">
        <f>(((((((O81)*(1+4.12%))))))*S81)</f>
        <v>292.94307767999993</v>
      </c>
      <c r="U81" s="311">
        <f>AF10*1.3+0.02</f>
        <v>831.59100000000001</v>
      </c>
      <c r="V81" s="334">
        <f>N81/I81*0</f>
        <v>0</v>
      </c>
      <c r="W81" s="334">
        <v>0</v>
      </c>
      <c r="X81" s="312">
        <f>51.18/N81</f>
        <v>1.5357006748351261E-2</v>
      </c>
      <c r="Y81" s="334">
        <f t="shared" si="90"/>
        <v>51.18</v>
      </c>
      <c r="Z81" s="312">
        <v>0.2</v>
      </c>
      <c r="AA81" s="334">
        <f t="shared" si="91"/>
        <v>666.53614000000005</v>
      </c>
      <c r="AB81" s="334">
        <v>0</v>
      </c>
      <c r="AC81" s="335">
        <f t="shared" ref="AC81" si="120">(P81+Q81+R81+U81+V81)/3</f>
        <v>1495.0155666666667</v>
      </c>
      <c r="AD81" s="335">
        <f t="shared" ref="AD81" si="121">AC81*S81</f>
        <v>164.45171233333335</v>
      </c>
      <c r="AE81" s="335">
        <f t="shared" ref="AE81" si="122">(P81+Q81+R81+U81+V81)</f>
        <v>4485.0466999999999</v>
      </c>
      <c r="AF81" s="335">
        <f t="shared" ref="AF81" si="123">AE81*S81</f>
        <v>493.35513700000001</v>
      </c>
    </row>
    <row r="82" spans="2:32" s="299" customFormat="1" ht="47.25" x14ac:dyDescent="0.25">
      <c r="B82" s="314">
        <v>715</v>
      </c>
      <c r="C82" s="314" t="s">
        <v>2878</v>
      </c>
      <c r="D82" s="304" t="s">
        <v>2796</v>
      </c>
      <c r="E82" s="304" t="s">
        <v>2739</v>
      </c>
      <c r="F82" s="304" t="s">
        <v>2787</v>
      </c>
      <c r="G82" s="304" t="s">
        <v>2825</v>
      </c>
      <c r="H82" s="305">
        <v>31</v>
      </c>
      <c r="I82" s="295">
        <v>22</v>
      </c>
      <c r="J82" s="295" t="s">
        <v>2648</v>
      </c>
      <c r="K82" s="295">
        <v>2</v>
      </c>
      <c r="L82" s="306">
        <v>38085</v>
      </c>
      <c r="M82" s="316">
        <v>2.44</v>
      </c>
      <c r="N82" s="1105">
        <f>M82*AF10</f>
        <v>1560.7947999999999</v>
      </c>
      <c r="O82" s="684">
        <f>J$234</f>
        <v>1406.7569999999998</v>
      </c>
      <c r="P82" s="1107">
        <f>G250*AF10</f>
        <v>1087.4389999999999</v>
      </c>
      <c r="Q82" s="1107">
        <f t="shared" si="118"/>
        <v>319.31799999999998</v>
      </c>
      <c r="R82" s="1107">
        <f t="shared" si="119"/>
        <v>154.03780000000006</v>
      </c>
      <c r="S82" s="333">
        <v>0.15</v>
      </c>
      <c r="T82" s="334">
        <f>(((((((O82)*(1+4.12%))))*(1+4.12%))))*S82</f>
        <v>228.75924936031191</v>
      </c>
      <c r="U82" s="311">
        <v>0</v>
      </c>
      <c r="V82" s="334">
        <f>N82/I82*0</f>
        <v>0</v>
      </c>
      <c r="W82" s="334">
        <v>0</v>
      </c>
      <c r="X82" s="312">
        <f>76.76/N82</f>
        <v>4.9180071589167269E-2</v>
      </c>
      <c r="Y82" s="334">
        <f t="shared" si="90"/>
        <v>76.760000000000005</v>
      </c>
      <c r="Z82" s="312">
        <v>0.2</v>
      </c>
      <c r="AA82" s="334">
        <f t="shared" si="91"/>
        <v>312.15895999999998</v>
      </c>
      <c r="AB82" s="334">
        <v>0</v>
      </c>
      <c r="AC82" s="335">
        <f t="shared" ref="AC82" si="124">(P82+Q82+R82+U82+V82)/3</f>
        <v>520.26493333333326</v>
      </c>
      <c r="AD82" s="335">
        <f t="shared" ref="AD82" si="125">AC82*S82</f>
        <v>78.039739999999981</v>
      </c>
      <c r="AE82" s="335">
        <f t="shared" ref="AE82" si="126">(P82+Q82+R82+U82+V82)</f>
        <v>1560.7947999999999</v>
      </c>
      <c r="AF82" s="335">
        <f t="shared" ref="AF82" si="127">AE82*S82</f>
        <v>234.11921999999998</v>
      </c>
    </row>
    <row r="83" spans="2:32" s="299" customFormat="1" ht="47.25" x14ac:dyDescent="0.25">
      <c r="B83" s="314">
        <v>456</v>
      </c>
      <c r="C83" s="314" t="s">
        <v>2879</v>
      </c>
      <c r="D83" s="304" t="s">
        <v>2796</v>
      </c>
      <c r="E83" s="304" t="s">
        <v>2739</v>
      </c>
      <c r="F83" s="304" t="s">
        <v>2787</v>
      </c>
      <c r="G83" s="304" t="s">
        <v>2825</v>
      </c>
      <c r="H83" s="305">
        <v>31</v>
      </c>
      <c r="I83" s="295">
        <v>25</v>
      </c>
      <c r="J83" s="295" t="s">
        <v>2638</v>
      </c>
      <c r="K83" s="295">
        <v>2</v>
      </c>
      <c r="L83" s="306">
        <v>37060</v>
      </c>
      <c r="M83" s="316">
        <v>2.88</v>
      </c>
      <c r="N83" s="1105">
        <f>M83*AF10</f>
        <v>1842.2495999999999</v>
      </c>
      <c r="O83" s="684">
        <f>M$234</f>
        <v>1598.59</v>
      </c>
      <c r="P83" s="1107">
        <f>G259*AF10</f>
        <v>1234.5630999999998</v>
      </c>
      <c r="Q83" s="1107">
        <f t="shared" si="118"/>
        <v>364.02690000000007</v>
      </c>
      <c r="R83" s="1107">
        <f t="shared" si="119"/>
        <v>243.65959999999995</v>
      </c>
      <c r="S83" s="333">
        <v>0.19</v>
      </c>
      <c r="T83" s="334">
        <f>(((((((O83)*(1+4.12%))))*(1+4.12%))))*S83</f>
        <v>329.27519205582394</v>
      </c>
      <c r="U83" s="311">
        <f>AF10</f>
        <v>639.66999999999996</v>
      </c>
      <c r="V83" s="334">
        <f>N83/I83*15</f>
        <v>1105.3497599999998</v>
      </c>
      <c r="W83" s="334">
        <v>0</v>
      </c>
      <c r="X83" s="312">
        <f>76.76/N83</f>
        <v>4.166644954082227E-2</v>
      </c>
      <c r="Y83" s="334">
        <f t="shared" si="90"/>
        <v>76.760000000000005</v>
      </c>
      <c r="Z83" s="312">
        <v>0.2</v>
      </c>
      <c r="AA83" s="334">
        <f t="shared" si="91"/>
        <v>368.44992000000002</v>
      </c>
      <c r="AB83" s="334">
        <v>0</v>
      </c>
      <c r="AC83" s="335">
        <f>(P83+Q83+R83+U83+V83)/3</f>
        <v>1195.7564533333332</v>
      </c>
      <c r="AD83" s="335">
        <f t="shared" ref="AD83:AD85" si="128">AC83*S83</f>
        <v>227.19372613333331</v>
      </c>
      <c r="AE83" s="335">
        <f>(P83+Q83+R83+U83+V83)</f>
        <v>3587.2693599999993</v>
      </c>
      <c r="AF83" s="335">
        <f t="shared" ref="AF83:AF85" si="129">AE83*S83</f>
        <v>681.58117839999989</v>
      </c>
    </row>
    <row r="84" spans="2:32" s="299" customFormat="1" ht="47.25" x14ac:dyDescent="0.25">
      <c r="B84" s="314">
        <v>1906</v>
      </c>
      <c r="C84" s="314" t="s">
        <v>2880</v>
      </c>
      <c r="D84" s="304" t="s">
        <v>2796</v>
      </c>
      <c r="E84" s="304" t="s">
        <v>2739</v>
      </c>
      <c r="F84" s="304" t="s">
        <v>2787</v>
      </c>
      <c r="G84" s="304" t="s">
        <v>2825</v>
      </c>
      <c r="H84" s="305">
        <v>31</v>
      </c>
      <c r="I84" s="295">
        <v>20</v>
      </c>
      <c r="J84" s="295" t="s">
        <v>2636</v>
      </c>
      <c r="K84" s="295">
        <v>3</v>
      </c>
      <c r="L84" s="306">
        <v>42054</v>
      </c>
      <c r="M84" s="316">
        <v>2.27</v>
      </c>
      <c r="N84" s="1105">
        <f>M84*AF10</f>
        <v>1452.0509</v>
      </c>
      <c r="O84" s="684">
        <f>J$234</f>
        <v>1406.7569999999998</v>
      </c>
      <c r="P84" s="1107">
        <f>G241*AF10</f>
        <v>991.48849999999993</v>
      </c>
      <c r="Q84" s="1107">
        <f t="shared" si="118"/>
        <v>415.2684999999999</v>
      </c>
      <c r="R84" s="1107">
        <f t="shared" si="119"/>
        <v>45.293900000000122</v>
      </c>
      <c r="S84" s="333">
        <v>0.05</v>
      </c>
      <c r="T84" s="334">
        <f>(((((((O84))))*S84)))</f>
        <v>70.337849999999989</v>
      </c>
      <c r="U84" s="311">
        <v>0</v>
      </c>
      <c r="V84" s="334">
        <f>N84/I84*10</f>
        <v>726.02544999999986</v>
      </c>
      <c r="W84" s="334">
        <v>0</v>
      </c>
      <c r="X84" s="312">
        <v>0</v>
      </c>
      <c r="Y84" s="334">
        <f t="shared" si="90"/>
        <v>0</v>
      </c>
      <c r="Z84" s="312">
        <v>0.2</v>
      </c>
      <c r="AA84" s="334">
        <f t="shared" si="91"/>
        <v>290.41018000000003</v>
      </c>
      <c r="AB84" s="334">
        <v>0</v>
      </c>
      <c r="AC84" s="335">
        <f t="shared" ref="AC84:AC85" si="130">(P84+Q84+R84+U84+V84)/3</f>
        <v>726.02544999999998</v>
      </c>
      <c r="AD84" s="335">
        <f t="shared" si="128"/>
        <v>36.301272500000003</v>
      </c>
      <c r="AE84" s="335">
        <f t="shared" ref="AE84:AE85" si="131">(P84+Q84+R84+U84+V84)</f>
        <v>2178.0763499999998</v>
      </c>
      <c r="AF84" s="335">
        <f t="shared" si="129"/>
        <v>108.9038175</v>
      </c>
    </row>
    <row r="85" spans="2:32" s="299" customFormat="1" ht="47.25" x14ac:dyDescent="0.25">
      <c r="B85" s="314">
        <v>2010</v>
      </c>
      <c r="C85" s="314" t="s">
        <v>2881</v>
      </c>
      <c r="D85" s="304" t="s">
        <v>2796</v>
      </c>
      <c r="E85" s="304" t="s">
        <v>2739</v>
      </c>
      <c r="F85" s="304" t="s">
        <v>2787</v>
      </c>
      <c r="G85" s="304" t="s">
        <v>2825</v>
      </c>
      <c r="H85" s="305">
        <v>31</v>
      </c>
      <c r="I85" s="295">
        <v>25</v>
      </c>
      <c r="J85" s="295" t="s">
        <v>2636</v>
      </c>
      <c r="K85" s="295">
        <v>3</v>
      </c>
      <c r="L85" s="306">
        <v>42417</v>
      </c>
      <c r="M85" s="316">
        <v>2.84</v>
      </c>
      <c r="N85" s="1105">
        <f>M85*AF10</f>
        <v>1816.6627999999998</v>
      </c>
      <c r="O85" s="684">
        <f>M$234</f>
        <v>1598.59</v>
      </c>
      <c r="P85" s="1107">
        <f>G259*AF10</f>
        <v>1234.5630999999998</v>
      </c>
      <c r="Q85" s="1107">
        <f t="shared" si="118"/>
        <v>364.02690000000007</v>
      </c>
      <c r="R85" s="1107">
        <f t="shared" si="119"/>
        <v>218.07279999999992</v>
      </c>
      <c r="S85" s="333">
        <v>0.04</v>
      </c>
      <c r="T85" s="334">
        <f>(((((((O85)))))*S85))</f>
        <v>63.943599999999996</v>
      </c>
      <c r="U85" s="311">
        <v>0</v>
      </c>
      <c r="V85" s="334">
        <f>N85/I85*0</f>
        <v>0</v>
      </c>
      <c r="W85" s="334">
        <v>0</v>
      </c>
      <c r="X85" s="312">
        <f t="shared" ref="X85:X90" si="132">76.76/N85</f>
        <v>4.2253300942805681E-2</v>
      </c>
      <c r="Y85" s="334">
        <f t="shared" si="90"/>
        <v>76.760000000000005</v>
      </c>
      <c r="Z85" s="312">
        <v>0.2</v>
      </c>
      <c r="AA85" s="334">
        <f t="shared" si="91"/>
        <v>363.33256</v>
      </c>
      <c r="AB85" s="334">
        <v>0</v>
      </c>
      <c r="AC85" s="335">
        <f t="shared" si="130"/>
        <v>605.55426666666665</v>
      </c>
      <c r="AD85" s="335">
        <f t="shared" si="128"/>
        <v>24.222170666666667</v>
      </c>
      <c r="AE85" s="335">
        <f t="shared" si="131"/>
        <v>1816.6627999999998</v>
      </c>
      <c r="AF85" s="335">
        <f t="shared" si="129"/>
        <v>72.666511999999997</v>
      </c>
    </row>
    <row r="86" spans="2:32" s="299" customFormat="1" ht="47.25" x14ac:dyDescent="0.25">
      <c r="B86" s="314">
        <v>1208</v>
      </c>
      <c r="C86" s="314" t="s">
        <v>2882</v>
      </c>
      <c r="D86" s="304" t="s">
        <v>2796</v>
      </c>
      <c r="E86" s="304" t="s">
        <v>2739</v>
      </c>
      <c r="F86" s="304" t="s">
        <v>2787</v>
      </c>
      <c r="G86" s="304" t="s">
        <v>2825</v>
      </c>
      <c r="H86" s="305">
        <v>31</v>
      </c>
      <c r="I86" s="295">
        <v>20</v>
      </c>
      <c r="J86" s="295" t="s">
        <v>2636</v>
      </c>
      <c r="K86" s="295">
        <v>2</v>
      </c>
      <c r="L86" s="306">
        <v>39667</v>
      </c>
      <c r="M86" s="316">
        <v>2.13</v>
      </c>
      <c r="N86" s="1105">
        <f>M86*AF10</f>
        <v>1362.4970999999998</v>
      </c>
      <c r="O86" s="684">
        <f>H$234</f>
        <v>1278.8699999999999</v>
      </c>
      <c r="P86" s="1107">
        <f>G$241*AF10</f>
        <v>991.48849999999993</v>
      </c>
      <c r="Q86" s="1107">
        <f t="shared" si="118"/>
        <v>287.38149999999996</v>
      </c>
      <c r="R86" s="1107">
        <f t="shared" si="119"/>
        <v>83.627099999999928</v>
      </c>
      <c r="S86" s="333">
        <v>0.12</v>
      </c>
      <c r="T86" s="334">
        <f>(((((((O86))*S86)))))</f>
        <v>153.46439999999998</v>
      </c>
      <c r="U86" s="311">
        <v>0</v>
      </c>
      <c r="V86" s="334">
        <f>O86/I86*0</f>
        <v>0</v>
      </c>
      <c r="W86" s="334">
        <v>0</v>
      </c>
      <c r="X86" s="312">
        <f t="shared" si="132"/>
        <v>5.6337734590407577E-2</v>
      </c>
      <c r="Y86" s="334">
        <f t="shared" si="90"/>
        <v>76.760000000000005</v>
      </c>
      <c r="Z86" s="312">
        <v>0.2</v>
      </c>
      <c r="AA86" s="334">
        <f t="shared" si="91"/>
        <v>272.49941999999999</v>
      </c>
      <c r="AB86" s="334">
        <v>0</v>
      </c>
      <c r="AC86" s="335">
        <f>(P86+Q86+R86+U86+V86)/3</f>
        <v>454.16569999999996</v>
      </c>
      <c r="AD86" s="335">
        <f>AC86*S86</f>
        <v>54.499883999999994</v>
      </c>
      <c r="AE86" s="335">
        <f>(P86+Q86+R86+U86+V86)</f>
        <v>1362.4970999999998</v>
      </c>
      <c r="AF86" s="335">
        <f>AE86*S86</f>
        <v>163.49965199999997</v>
      </c>
    </row>
    <row r="87" spans="2:32" s="299" customFormat="1" ht="47.25" x14ac:dyDescent="0.25">
      <c r="B87" s="314">
        <v>864</v>
      </c>
      <c r="C87" s="314" t="s">
        <v>2883</v>
      </c>
      <c r="D87" s="304" t="s">
        <v>2796</v>
      </c>
      <c r="E87" s="304" t="s">
        <v>2739</v>
      </c>
      <c r="F87" s="304" t="s">
        <v>2787</v>
      </c>
      <c r="G87" s="304" t="s">
        <v>2825</v>
      </c>
      <c r="H87" s="305">
        <v>31</v>
      </c>
      <c r="I87" s="295">
        <v>25</v>
      </c>
      <c r="J87" s="295" t="s">
        <v>2648</v>
      </c>
      <c r="K87" s="295">
        <v>2</v>
      </c>
      <c r="L87" s="306">
        <v>38600</v>
      </c>
      <c r="M87" s="316">
        <v>2.77</v>
      </c>
      <c r="N87" s="1105">
        <f>M87*AF10</f>
        <v>1771.8859</v>
      </c>
      <c r="O87" s="684">
        <f>M$234</f>
        <v>1598.59</v>
      </c>
      <c r="P87" s="1107">
        <f>G259*AF10</f>
        <v>1234.5630999999998</v>
      </c>
      <c r="Q87" s="1107">
        <f t="shared" si="118"/>
        <v>364.02690000000007</v>
      </c>
      <c r="R87" s="1107">
        <f t="shared" si="119"/>
        <v>173.29590000000007</v>
      </c>
      <c r="S87" s="333">
        <v>0.15</v>
      </c>
      <c r="T87" s="334">
        <f t="shared" ref="T87:T89" si="133">(((((((O87)*(1+4.12%))))*(1+4.12%))))*S87</f>
        <v>259.95409899143993</v>
      </c>
      <c r="U87" s="311">
        <v>0</v>
      </c>
      <c r="V87" s="334">
        <f>N87/I87*0</f>
        <v>0</v>
      </c>
      <c r="W87" s="334">
        <v>0</v>
      </c>
      <c r="X87" s="312">
        <f t="shared" si="132"/>
        <v>4.3321073890818816E-2</v>
      </c>
      <c r="Y87" s="334">
        <f t="shared" si="90"/>
        <v>76.760000000000005</v>
      </c>
      <c r="Z87" s="312">
        <v>0.2</v>
      </c>
      <c r="AA87" s="334">
        <f t="shared" si="91"/>
        <v>354.37718000000001</v>
      </c>
      <c r="AB87" s="334">
        <v>0</v>
      </c>
      <c r="AC87" s="335">
        <f t="shared" ref="AC87:AC88" si="134">(P87+Q87+R87+U87+V87)/3</f>
        <v>590.62863333333337</v>
      </c>
      <c r="AD87" s="335">
        <f t="shared" ref="AD87:AD88" si="135">AC87*S87</f>
        <v>88.594295000000002</v>
      </c>
      <c r="AE87" s="335">
        <f t="shared" ref="AE87:AE88" si="136">(P87+Q87+R87+U87+V87)</f>
        <v>1771.8859</v>
      </c>
      <c r="AF87" s="335">
        <f t="shared" ref="AF87:AF88" si="137">AE87*S87</f>
        <v>265.78288499999996</v>
      </c>
    </row>
    <row r="88" spans="2:32" s="299" customFormat="1" ht="47.25" x14ac:dyDescent="0.25">
      <c r="B88" s="314">
        <v>1903</v>
      </c>
      <c r="C88" s="314" t="s">
        <v>2885</v>
      </c>
      <c r="D88" s="304" t="s">
        <v>2796</v>
      </c>
      <c r="E88" s="304" t="s">
        <v>2739</v>
      </c>
      <c r="F88" s="304" t="s">
        <v>2787</v>
      </c>
      <c r="G88" s="304" t="s">
        <v>2825</v>
      </c>
      <c r="H88" s="305">
        <v>31</v>
      </c>
      <c r="I88" s="295">
        <v>25</v>
      </c>
      <c r="J88" s="295" t="s">
        <v>2636</v>
      </c>
      <c r="K88" s="295">
        <v>3</v>
      </c>
      <c r="L88" s="306">
        <v>42054</v>
      </c>
      <c r="M88" s="316">
        <v>2.84</v>
      </c>
      <c r="N88" s="1105">
        <f>M88*AF10</f>
        <v>1816.6627999999998</v>
      </c>
      <c r="O88" s="684">
        <f>M$234</f>
        <v>1598.59</v>
      </c>
      <c r="P88" s="1107">
        <f>G259*AF10</f>
        <v>1234.5630999999998</v>
      </c>
      <c r="Q88" s="1107">
        <f t="shared" si="118"/>
        <v>364.02690000000007</v>
      </c>
      <c r="R88" s="1107">
        <f t="shared" si="119"/>
        <v>218.07279999999992</v>
      </c>
      <c r="S88" s="333">
        <v>0.05</v>
      </c>
      <c r="T88" s="334">
        <f>(((((((O88))))*S88)))</f>
        <v>79.929500000000004</v>
      </c>
      <c r="U88" s="311">
        <v>0</v>
      </c>
      <c r="V88" s="334">
        <f>N88/I88*0</f>
        <v>0</v>
      </c>
      <c r="W88" s="334">
        <v>0</v>
      </c>
      <c r="X88" s="312">
        <f t="shared" si="132"/>
        <v>4.2253300942805681E-2</v>
      </c>
      <c r="Y88" s="334">
        <f t="shared" si="90"/>
        <v>76.760000000000005</v>
      </c>
      <c r="Z88" s="312">
        <v>0.2</v>
      </c>
      <c r="AA88" s="334">
        <f t="shared" si="91"/>
        <v>363.33256</v>
      </c>
      <c r="AB88" s="334">
        <v>0</v>
      </c>
      <c r="AC88" s="335">
        <f t="shared" si="134"/>
        <v>605.55426666666665</v>
      </c>
      <c r="AD88" s="335">
        <f t="shared" si="135"/>
        <v>30.277713333333335</v>
      </c>
      <c r="AE88" s="335">
        <f t="shared" si="136"/>
        <v>1816.6627999999998</v>
      </c>
      <c r="AF88" s="335">
        <f t="shared" si="137"/>
        <v>90.83314</v>
      </c>
    </row>
    <row r="89" spans="2:32" s="299" customFormat="1" ht="47.25" x14ac:dyDescent="0.25">
      <c r="B89" s="314">
        <v>449</v>
      </c>
      <c r="C89" s="314" t="s">
        <v>2884</v>
      </c>
      <c r="D89" s="304" t="s">
        <v>2796</v>
      </c>
      <c r="E89" s="304" t="s">
        <v>2739</v>
      </c>
      <c r="F89" s="304" t="s">
        <v>2787</v>
      </c>
      <c r="G89" s="304" t="s">
        <v>2825</v>
      </c>
      <c r="H89" s="305">
        <v>31</v>
      </c>
      <c r="I89" s="295">
        <v>25</v>
      </c>
      <c r="J89" s="295" t="s">
        <v>2648</v>
      </c>
      <c r="K89" s="295">
        <v>3</v>
      </c>
      <c r="L89" s="306">
        <v>36976</v>
      </c>
      <c r="M89" s="316">
        <v>3.07</v>
      </c>
      <c r="N89" s="1105">
        <f>M89*AF10</f>
        <v>1963.7868999999998</v>
      </c>
      <c r="O89" s="684">
        <f>M$234</f>
        <v>1598.59</v>
      </c>
      <c r="P89" s="1107">
        <f>G259*AF10</f>
        <v>1234.5630999999998</v>
      </c>
      <c r="Q89" s="1107">
        <f t="shared" si="118"/>
        <v>364.02690000000007</v>
      </c>
      <c r="R89" s="1107">
        <f t="shared" si="119"/>
        <v>365.19689999999991</v>
      </c>
      <c r="S89" s="333">
        <v>0.19</v>
      </c>
      <c r="T89" s="334">
        <f t="shared" si="133"/>
        <v>329.27519205582394</v>
      </c>
      <c r="U89" s="311">
        <v>0</v>
      </c>
      <c r="V89" s="334">
        <f>N89/I89*10</f>
        <v>785.51475999999991</v>
      </c>
      <c r="W89" s="334">
        <v>0</v>
      </c>
      <c r="X89" s="312">
        <f t="shared" si="132"/>
        <v>3.9087744194647604E-2</v>
      </c>
      <c r="Y89" s="334">
        <f t="shared" si="90"/>
        <v>76.760000000000005</v>
      </c>
      <c r="Z89" s="312">
        <v>0.2</v>
      </c>
      <c r="AA89" s="334">
        <f t="shared" si="91"/>
        <v>392.75738000000001</v>
      </c>
      <c r="AB89" s="334">
        <v>0</v>
      </c>
      <c r="AC89" s="335">
        <f t="shared" ref="AC89" si="138">(P89+Q89+R89+U89+V89)/3</f>
        <v>916.43388666666658</v>
      </c>
      <c r="AD89" s="335">
        <f t="shared" ref="AD89" si="139">AC89*S89</f>
        <v>174.12243846666667</v>
      </c>
      <c r="AE89" s="335">
        <f t="shared" ref="AE89" si="140">(P89+Q89+R89+U89+V89)</f>
        <v>2749.3016599999996</v>
      </c>
      <c r="AF89" s="335">
        <f t="shared" ref="AF89" si="141">AE89*S89</f>
        <v>522.36731539999994</v>
      </c>
    </row>
    <row r="90" spans="2:32" s="299" customFormat="1" ht="24.75" customHeight="1" x14ac:dyDescent="0.25">
      <c r="B90" s="314">
        <v>719</v>
      </c>
      <c r="C90" s="314" t="s">
        <v>2851</v>
      </c>
      <c r="D90" s="304" t="s">
        <v>2796</v>
      </c>
      <c r="E90" s="304" t="s">
        <v>2739</v>
      </c>
      <c r="F90" s="304" t="s">
        <v>2787</v>
      </c>
      <c r="G90" s="304" t="s">
        <v>2825</v>
      </c>
      <c r="H90" s="305">
        <v>31</v>
      </c>
      <c r="I90" s="295">
        <v>22</v>
      </c>
      <c r="J90" s="295" t="s">
        <v>2648</v>
      </c>
      <c r="K90" s="295">
        <v>3</v>
      </c>
      <c r="L90" s="306">
        <v>38085</v>
      </c>
      <c r="M90" s="316">
        <v>2.71</v>
      </c>
      <c r="N90" s="1105">
        <f>M90*AF10</f>
        <v>1733.5056999999999</v>
      </c>
      <c r="O90" s="684">
        <f>J234</f>
        <v>1406.7569999999998</v>
      </c>
      <c r="P90" s="1107">
        <f>G$250*AF10</f>
        <v>1087.4389999999999</v>
      </c>
      <c r="Q90" s="1107">
        <f t="shared" si="118"/>
        <v>319.31799999999998</v>
      </c>
      <c r="R90" s="1107">
        <f t="shared" si="119"/>
        <v>326.7487000000001</v>
      </c>
      <c r="S90" s="333">
        <v>0.16</v>
      </c>
      <c r="T90" s="334">
        <f>(((((((O90)*(1+4.12%))))*(1+4.12%))))*S90</f>
        <v>244.00986598433272</v>
      </c>
      <c r="U90" s="311">
        <v>0</v>
      </c>
      <c r="V90" s="334">
        <f>N90/I90*0</f>
        <v>0</v>
      </c>
      <c r="W90" s="334">
        <v>0</v>
      </c>
      <c r="X90" s="312">
        <f t="shared" si="132"/>
        <v>4.4280212058143226E-2</v>
      </c>
      <c r="Y90" s="334">
        <f t="shared" si="90"/>
        <v>76.760000000000005</v>
      </c>
      <c r="Z90" s="312">
        <v>0.2</v>
      </c>
      <c r="AA90" s="334">
        <f t="shared" si="91"/>
        <v>346.70114000000001</v>
      </c>
      <c r="AB90" s="334">
        <v>0</v>
      </c>
      <c r="AC90" s="335">
        <f>(P90+Q90+R90+U90+V90)/3</f>
        <v>577.83523333333335</v>
      </c>
      <c r="AD90" s="335">
        <f>AC90*S90</f>
        <v>92.453637333333333</v>
      </c>
      <c r="AE90" s="335">
        <f>(P90+Q90+R90+U90+V90)</f>
        <v>1733.5056999999999</v>
      </c>
      <c r="AF90" s="335">
        <f>AE90*S90</f>
        <v>277.36091199999998</v>
      </c>
    </row>
    <row r="91" spans="2:32" s="1272" customFormat="1" x14ac:dyDescent="0.25">
      <c r="B91" s="1264" t="s">
        <v>7281</v>
      </c>
      <c r="C91" s="1267"/>
      <c r="D91" s="1267"/>
      <c r="E91" s="1267"/>
      <c r="F91" s="1267"/>
      <c r="G91" s="1267"/>
      <c r="H91" s="1267"/>
      <c r="I91" s="1267"/>
      <c r="J91" s="1267"/>
      <c r="K91" s="1267"/>
      <c r="L91" s="1267"/>
      <c r="M91" s="1267"/>
      <c r="N91" s="1277">
        <f>SUM(N72:N90)</f>
        <v>36902.562299999998</v>
      </c>
      <c r="O91" s="1277">
        <f>SUM(O72:O90)</f>
        <v>30884.738000000001</v>
      </c>
      <c r="P91" s="1277">
        <f>SUM(P72:P90)</f>
        <v>25574.006599999993</v>
      </c>
      <c r="Q91" s="1277">
        <f>SUM(Q72:Q90)</f>
        <v>5952.2813999999998</v>
      </c>
      <c r="R91" s="1277">
        <f>SUM(R72:R90)</f>
        <v>6017.8243000000002</v>
      </c>
      <c r="S91" s="1278"/>
      <c r="T91" s="1277">
        <f>SUM(T72:T90)</f>
        <v>4180.7804772301251</v>
      </c>
      <c r="U91" s="1277">
        <f>SUM(U72:U90)</f>
        <v>1471.261</v>
      </c>
      <c r="V91" s="1277">
        <f>SUM(V72:V90)</f>
        <v>5023.3285099999994</v>
      </c>
      <c r="W91" s="1277">
        <f>SUM(W72:W90)</f>
        <v>0</v>
      </c>
      <c r="X91" s="1279"/>
      <c r="Y91" s="1277">
        <f>SUM(Y72:Y90)</f>
        <v>1177</v>
      </c>
      <c r="Z91" s="1279"/>
      <c r="AA91" s="1277">
        <f t="shared" ref="AA91:AF91" si="142">SUM(AA72:AA90)</f>
        <v>6697.344900000001</v>
      </c>
      <c r="AB91" s="1277">
        <f t="shared" si="142"/>
        <v>0</v>
      </c>
      <c r="AC91" s="1277">
        <f t="shared" si="142"/>
        <v>14679.567269999998</v>
      </c>
      <c r="AD91" s="1277">
        <f t="shared" si="142"/>
        <v>1917.0288482999999</v>
      </c>
      <c r="AE91" s="1277">
        <f t="shared" si="142"/>
        <v>44038.701809999991</v>
      </c>
      <c r="AF91" s="1277">
        <f t="shared" si="142"/>
        <v>5751.0865448999984</v>
      </c>
    </row>
    <row r="92" spans="2:32" s="299" customFormat="1" x14ac:dyDescent="0.25">
      <c r="B92" s="1103"/>
      <c r="C92" s="1091"/>
      <c r="D92" s="1091"/>
      <c r="E92" s="1091"/>
      <c r="F92" s="1091"/>
      <c r="G92" s="1091"/>
      <c r="H92" s="1091"/>
      <c r="I92" s="1091"/>
      <c r="J92" s="1091"/>
      <c r="K92" s="1091"/>
      <c r="L92" s="1091"/>
      <c r="M92" s="1091"/>
      <c r="N92" s="1107"/>
      <c r="O92" s="1106"/>
      <c r="P92" s="1107"/>
      <c r="Q92" s="1107"/>
      <c r="R92" s="1107"/>
      <c r="S92" s="1092"/>
      <c r="T92" s="1107"/>
      <c r="U92" s="1107"/>
      <c r="V92" s="1107"/>
      <c r="W92" s="1107"/>
      <c r="X92" s="315"/>
      <c r="Y92" s="1107"/>
      <c r="Z92" s="315"/>
      <c r="AA92" s="1107"/>
      <c r="AB92" s="1107"/>
      <c r="AC92" s="1107"/>
      <c r="AD92" s="1107"/>
      <c r="AE92" s="1107"/>
      <c r="AF92" s="1107"/>
    </row>
    <row r="93" spans="2:32" s="299" customFormat="1" ht="24.75" customHeight="1" x14ac:dyDescent="0.25">
      <c r="B93" s="314">
        <v>1529</v>
      </c>
      <c r="C93" s="314" t="s">
        <v>2887</v>
      </c>
      <c r="D93" s="304" t="s">
        <v>2796</v>
      </c>
      <c r="E93" s="304" t="s">
        <v>2739</v>
      </c>
      <c r="F93" s="304" t="s">
        <v>2787</v>
      </c>
      <c r="G93" s="304" t="s">
        <v>2886</v>
      </c>
      <c r="H93" s="305">
        <v>31</v>
      </c>
      <c r="I93" s="295">
        <v>25</v>
      </c>
      <c r="J93" s="295" t="s">
        <v>2634</v>
      </c>
      <c r="K93" s="295">
        <v>2</v>
      </c>
      <c r="L93" s="306">
        <v>40772</v>
      </c>
      <c r="M93" s="316">
        <v>2.65</v>
      </c>
      <c r="N93" s="1105">
        <f>M93*AF10</f>
        <v>1695.1254999999999</v>
      </c>
      <c r="O93" s="684">
        <f>M234</f>
        <v>1598.59</v>
      </c>
      <c r="P93" s="1107">
        <f>G$259*AF10</f>
        <v>1234.5630999999998</v>
      </c>
      <c r="Q93" s="1107">
        <f>IF(P93&gt;O93,"0,00",(O93-P93))</f>
        <v>364.02690000000007</v>
      </c>
      <c r="R93" s="1107">
        <f>N93-O93</f>
        <v>96.535499999999956</v>
      </c>
      <c r="S93" s="333">
        <v>0.09</v>
      </c>
      <c r="T93" s="334">
        <f>(((((((O93)*(1+4.12%))))))*S93)</f>
        <v>149.80067171999997</v>
      </c>
      <c r="U93" s="311">
        <v>0</v>
      </c>
      <c r="V93" s="334">
        <f>N93/I93*0</f>
        <v>0</v>
      </c>
      <c r="W93" s="334">
        <v>0</v>
      </c>
      <c r="X93" s="312">
        <f>76.76/N93</f>
        <v>4.5282782897195527E-2</v>
      </c>
      <c r="Y93" s="334">
        <f>N93*X93</f>
        <v>76.760000000000005</v>
      </c>
      <c r="Z93" s="312">
        <v>0.2</v>
      </c>
      <c r="AA93" s="334">
        <f>N93*Z93</f>
        <v>339.02510000000001</v>
      </c>
      <c r="AB93" s="334">
        <v>0</v>
      </c>
      <c r="AC93" s="335">
        <f>(P93+Q93+R93+U93+V93)/3</f>
        <v>565.04183333333333</v>
      </c>
      <c r="AD93" s="335">
        <f>AC93*S93</f>
        <v>50.853764999999996</v>
      </c>
      <c r="AE93" s="335">
        <f>(P93+Q93+R93+U93+V93)</f>
        <v>1695.1254999999999</v>
      </c>
      <c r="AF93" s="335">
        <f>AE93*S93</f>
        <v>152.56129499999997</v>
      </c>
    </row>
    <row r="94" spans="2:32" s="1272" customFormat="1" x14ac:dyDescent="0.25">
      <c r="B94" s="1264" t="s">
        <v>7282</v>
      </c>
      <c r="C94" s="1267"/>
      <c r="D94" s="1267"/>
      <c r="E94" s="1267"/>
      <c r="F94" s="1267"/>
      <c r="G94" s="1267"/>
      <c r="H94" s="1267"/>
      <c r="I94" s="1267"/>
      <c r="J94" s="1267"/>
      <c r="K94" s="1267"/>
      <c r="L94" s="1267"/>
      <c r="M94" s="1267"/>
      <c r="N94" s="1277">
        <f>SUM(N93:N93)</f>
        <v>1695.1254999999999</v>
      </c>
      <c r="O94" s="1277">
        <f>SUM(O93:O93)</f>
        <v>1598.59</v>
      </c>
      <c r="P94" s="1277">
        <f>SUM(P93:P93)</f>
        <v>1234.5630999999998</v>
      </c>
      <c r="Q94" s="1277">
        <f>SUM(Q93:Q93)</f>
        <v>364.02690000000007</v>
      </c>
      <c r="R94" s="1277">
        <f>SUM(R93:R93)</f>
        <v>96.535499999999956</v>
      </c>
      <c r="S94" s="1278"/>
      <c r="T94" s="1277">
        <f>SUM(T93:T93)</f>
        <v>149.80067171999997</v>
      </c>
      <c r="U94" s="1277">
        <f>SUM(U93:U93)</f>
        <v>0</v>
      </c>
      <c r="V94" s="1277">
        <f>SUM(V93:V93)</f>
        <v>0</v>
      </c>
      <c r="W94" s="1277">
        <f>SUM(W93:W93)</f>
        <v>0</v>
      </c>
      <c r="X94" s="1279"/>
      <c r="Y94" s="1277">
        <f>SUM(Y93:Y93)</f>
        <v>76.760000000000005</v>
      </c>
      <c r="Z94" s="1277"/>
      <c r="AA94" s="1277">
        <f t="shared" ref="AA94:AF94" si="143">SUM(AA93:AA93)</f>
        <v>339.02510000000001</v>
      </c>
      <c r="AB94" s="1277">
        <f t="shared" si="143"/>
        <v>0</v>
      </c>
      <c r="AC94" s="1277">
        <f t="shared" si="143"/>
        <v>565.04183333333333</v>
      </c>
      <c r="AD94" s="1277">
        <f t="shared" si="143"/>
        <v>50.853764999999996</v>
      </c>
      <c r="AE94" s="1277">
        <f t="shared" si="143"/>
        <v>1695.1254999999999</v>
      </c>
      <c r="AF94" s="1277">
        <f t="shared" si="143"/>
        <v>152.56129499999997</v>
      </c>
    </row>
    <row r="95" spans="2:32" s="1272" customFormat="1" x14ac:dyDescent="0.25">
      <c r="B95" s="1264"/>
      <c r="C95" s="1267"/>
      <c r="D95" s="1267"/>
      <c r="E95" s="1267"/>
      <c r="F95" s="1267"/>
      <c r="G95" s="1267"/>
      <c r="H95" s="1267"/>
      <c r="I95" s="1267"/>
      <c r="J95" s="1267"/>
      <c r="K95" s="1267"/>
      <c r="L95" s="1267"/>
      <c r="M95" s="1267"/>
      <c r="N95" s="1277"/>
      <c r="O95" s="1277"/>
      <c r="P95" s="1277"/>
      <c r="Q95" s="1277"/>
      <c r="R95" s="1277"/>
      <c r="S95" s="1278"/>
      <c r="T95" s="1277"/>
      <c r="U95" s="1277"/>
      <c r="V95" s="1277"/>
      <c r="W95" s="1277"/>
      <c r="X95" s="1279"/>
      <c r="Y95" s="1277"/>
      <c r="Z95" s="1277"/>
      <c r="AA95" s="1277"/>
      <c r="AB95" s="1277"/>
      <c r="AC95" s="1277"/>
      <c r="AD95" s="1277"/>
      <c r="AE95" s="1277"/>
      <c r="AF95" s="1277"/>
    </row>
    <row r="96" spans="2:32" s="299" customFormat="1" ht="24.75" customHeight="1" x14ac:dyDescent="0.25">
      <c r="B96" s="314">
        <v>1957</v>
      </c>
      <c r="C96" s="314" t="s">
        <v>2889</v>
      </c>
      <c r="D96" s="304" t="s">
        <v>2796</v>
      </c>
      <c r="E96" s="304" t="s">
        <v>2739</v>
      </c>
      <c r="F96" s="304" t="s">
        <v>2787</v>
      </c>
      <c r="G96" s="304" t="s">
        <v>2888</v>
      </c>
      <c r="H96" s="305">
        <v>31</v>
      </c>
      <c r="I96" s="295">
        <v>25</v>
      </c>
      <c r="J96" s="295" t="s">
        <v>2636</v>
      </c>
      <c r="K96" s="295">
        <v>3</v>
      </c>
      <c r="L96" s="306">
        <v>42157</v>
      </c>
      <c r="M96" s="316">
        <v>2.84</v>
      </c>
      <c r="N96" s="1105">
        <f>M96*AF10</f>
        <v>1816.6627999999998</v>
      </c>
      <c r="O96" s="684">
        <f>M234</f>
        <v>1598.59</v>
      </c>
      <c r="P96" s="1107">
        <f>G$259*AF10</f>
        <v>1234.5630999999998</v>
      </c>
      <c r="Q96" s="1107">
        <f>IF(P96&gt;O96,"0,00",(O96-P96))</f>
        <v>364.02690000000007</v>
      </c>
      <c r="R96" s="1107">
        <f>N96-O96</f>
        <v>218.07279999999992</v>
      </c>
      <c r="S96" s="333">
        <v>0.05</v>
      </c>
      <c r="T96" s="334">
        <f>(((((((O96))))*S96)))</f>
        <v>79.929500000000004</v>
      </c>
      <c r="U96" s="311">
        <v>0</v>
      </c>
      <c r="V96" s="334">
        <f>N96/I96*0</f>
        <v>0</v>
      </c>
      <c r="W96" s="334">
        <v>0</v>
      </c>
      <c r="X96" s="312">
        <f>76.76/N96</f>
        <v>4.2253300942805681E-2</v>
      </c>
      <c r="Y96" s="334">
        <f>N96*X96</f>
        <v>76.760000000000005</v>
      </c>
      <c r="Z96" s="312">
        <v>0.2</v>
      </c>
      <c r="AA96" s="334">
        <f>N96*Z96</f>
        <v>363.33256</v>
      </c>
      <c r="AB96" s="334">
        <v>0</v>
      </c>
      <c r="AC96" s="335">
        <f>(P96+Q96+R96+U96+V96)/3</f>
        <v>605.55426666666665</v>
      </c>
      <c r="AD96" s="335">
        <f>AC96*S96</f>
        <v>30.277713333333335</v>
      </c>
      <c r="AE96" s="335">
        <f>(P96+Q96+R96+U96+V96)</f>
        <v>1816.6627999999998</v>
      </c>
      <c r="AF96" s="335">
        <f>AE96*S96</f>
        <v>90.83314</v>
      </c>
    </row>
    <row r="97" spans="2:32" s="1272" customFormat="1" x14ac:dyDescent="0.25">
      <c r="B97" s="1264" t="s">
        <v>7283</v>
      </c>
      <c r="C97" s="1267"/>
      <c r="D97" s="1267"/>
      <c r="E97" s="1267"/>
      <c r="F97" s="1267"/>
      <c r="G97" s="1267"/>
      <c r="H97" s="1267"/>
      <c r="I97" s="1267"/>
      <c r="J97" s="1267"/>
      <c r="K97" s="1267"/>
      <c r="L97" s="1267"/>
      <c r="M97" s="1267"/>
      <c r="N97" s="1277">
        <f>SUM(N96:N96)</f>
        <v>1816.6627999999998</v>
      </c>
      <c r="O97" s="1277">
        <f>SUM(O96:O96)</f>
        <v>1598.59</v>
      </c>
      <c r="P97" s="1277">
        <f>SUM(P96:P96)</f>
        <v>1234.5630999999998</v>
      </c>
      <c r="Q97" s="1277">
        <f>SUM(Q96:Q96)</f>
        <v>364.02690000000007</v>
      </c>
      <c r="R97" s="1277">
        <f>SUM(R96:R96)</f>
        <v>218.07279999999992</v>
      </c>
      <c r="S97" s="1278"/>
      <c r="T97" s="1277">
        <f>SUM(T96:T96)</f>
        <v>79.929500000000004</v>
      </c>
      <c r="U97" s="1277">
        <f>SUM(U96:U96)</f>
        <v>0</v>
      </c>
      <c r="V97" s="1277">
        <f>SUM(V96:V96)</f>
        <v>0</v>
      </c>
      <c r="W97" s="1277">
        <f>SUM(W96:W96)</f>
        <v>0</v>
      </c>
      <c r="X97" s="1279"/>
      <c r="Y97" s="1277">
        <f>SUM(Y96:Y96)</f>
        <v>76.760000000000005</v>
      </c>
      <c r="Z97" s="1277"/>
      <c r="AA97" s="1277">
        <f t="shared" ref="AA97:AF97" si="144">SUM(AA96:AA96)</f>
        <v>363.33256</v>
      </c>
      <c r="AB97" s="1277">
        <f t="shared" si="144"/>
        <v>0</v>
      </c>
      <c r="AC97" s="1277">
        <f t="shared" si="144"/>
        <v>605.55426666666665</v>
      </c>
      <c r="AD97" s="1277">
        <f t="shared" si="144"/>
        <v>30.277713333333335</v>
      </c>
      <c r="AE97" s="1277">
        <f t="shared" si="144"/>
        <v>1816.6627999999998</v>
      </c>
      <c r="AF97" s="1277">
        <f t="shared" si="144"/>
        <v>90.83314</v>
      </c>
    </row>
    <row r="98" spans="2:32" s="299" customFormat="1" x14ac:dyDescent="0.25">
      <c r="B98" s="1103"/>
      <c r="C98" s="1091"/>
      <c r="D98" s="1091"/>
      <c r="E98" s="1091"/>
      <c r="F98" s="1091"/>
      <c r="G98" s="1091"/>
      <c r="H98" s="1091"/>
      <c r="I98" s="1091"/>
      <c r="J98" s="1091"/>
      <c r="K98" s="1091"/>
      <c r="L98" s="1091"/>
      <c r="M98" s="1091"/>
      <c r="N98" s="1107"/>
      <c r="O98" s="1106"/>
      <c r="P98" s="1107"/>
      <c r="Q98" s="1107"/>
      <c r="R98" s="1107"/>
      <c r="S98" s="1092"/>
      <c r="T98" s="1107"/>
      <c r="U98" s="1107"/>
      <c r="V98" s="1107"/>
      <c r="W98" s="1107"/>
      <c r="X98" s="315"/>
      <c r="Y98" s="1107"/>
      <c r="Z98" s="1107"/>
      <c r="AA98" s="1107"/>
      <c r="AB98" s="1107"/>
      <c r="AC98" s="1107"/>
      <c r="AD98" s="1107"/>
      <c r="AE98" s="1107"/>
      <c r="AF98" s="1107"/>
    </row>
    <row r="99" spans="2:32" s="1272" customFormat="1" x14ac:dyDescent="0.25">
      <c r="B99" s="1264" t="s">
        <v>7292</v>
      </c>
      <c r="C99" s="1267"/>
      <c r="D99" s="1267"/>
      <c r="E99" s="1267"/>
      <c r="F99" s="1267"/>
      <c r="G99" s="1267"/>
      <c r="H99" s="1267"/>
      <c r="I99" s="1267"/>
      <c r="J99" s="1267"/>
      <c r="K99" s="1267"/>
      <c r="L99" s="1267"/>
      <c r="M99" s="1267"/>
      <c r="N99" s="1277">
        <f>N97+N94+N91+N70</f>
        <v>47610.638099999996</v>
      </c>
      <c r="O99" s="1277">
        <f t="shared" ref="O99:R99" si="145">O97+O94+O91+O70</f>
        <v>40795.987999999998</v>
      </c>
      <c r="P99" s="1277">
        <f t="shared" si="145"/>
        <v>33486.724499999989</v>
      </c>
      <c r="Q99" s="1277">
        <f t="shared" si="145"/>
        <v>7950.8134999999993</v>
      </c>
      <c r="R99" s="1277">
        <f t="shared" si="145"/>
        <v>6814.6500999999989</v>
      </c>
      <c r="S99" s="1278"/>
      <c r="T99" s="1277">
        <f t="shared" ref="T99:W99" si="146">T97+T94+T91+T70</f>
        <v>4410.510648950125</v>
      </c>
      <c r="U99" s="1277">
        <f t="shared" si="146"/>
        <v>1471.261</v>
      </c>
      <c r="V99" s="1277">
        <f t="shared" si="146"/>
        <v>5023.3285099999994</v>
      </c>
      <c r="W99" s="1277">
        <f t="shared" si="146"/>
        <v>0</v>
      </c>
      <c r="X99" s="1279"/>
      <c r="Y99" s="1277">
        <f>Y97+Y94+Y91+Y70</f>
        <v>1714.32</v>
      </c>
      <c r="Z99" s="1277"/>
      <c r="AA99" s="1277">
        <f t="shared" ref="AA99:AF99" si="147">AA97+AA94+AA91+AA70</f>
        <v>8838.9600600000012</v>
      </c>
      <c r="AB99" s="1277">
        <f t="shared" si="147"/>
        <v>0</v>
      </c>
      <c r="AC99" s="1277">
        <f t="shared" si="147"/>
        <v>18248.925869999999</v>
      </c>
      <c r="AD99" s="1277">
        <f t="shared" si="147"/>
        <v>1998.1603266333332</v>
      </c>
      <c r="AE99" s="1277">
        <f t="shared" si="147"/>
        <v>54746.77760999999</v>
      </c>
      <c r="AF99" s="1277">
        <f t="shared" si="147"/>
        <v>5994.4809798999986</v>
      </c>
    </row>
    <row r="100" spans="2:32" s="1272" customFormat="1" x14ac:dyDescent="0.25">
      <c r="B100" s="1264"/>
      <c r="C100" s="1267"/>
      <c r="D100" s="1267"/>
      <c r="E100" s="1267"/>
      <c r="F100" s="1267"/>
      <c r="G100" s="1267"/>
      <c r="H100" s="1267"/>
      <c r="I100" s="1267"/>
      <c r="J100" s="1267"/>
      <c r="K100" s="1267"/>
      <c r="L100" s="1267"/>
      <c r="M100" s="1267"/>
      <c r="N100" s="1277"/>
      <c r="O100" s="1277"/>
      <c r="P100" s="1277"/>
      <c r="Q100" s="1277"/>
      <c r="R100" s="1277"/>
      <c r="S100" s="1278"/>
      <c r="T100" s="1277"/>
      <c r="U100" s="1277"/>
      <c r="V100" s="1277"/>
      <c r="W100" s="1277"/>
      <c r="X100" s="1279"/>
      <c r="Y100" s="1277"/>
      <c r="Z100" s="1277"/>
      <c r="AA100" s="1277"/>
      <c r="AB100" s="1277"/>
      <c r="AC100" s="1277"/>
      <c r="AD100" s="1277"/>
      <c r="AE100" s="1277"/>
      <c r="AF100" s="1277"/>
    </row>
    <row r="101" spans="2:32" s="1272" customFormat="1" x14ac:dyDescent="0.25">
      <c r="B101" s="1264"/>
      <c r="C101" s="1267"/>
      <c r="D101" s="1267"/>
      <c r="E101" s="1267"/>
      <c r="F101" s="1267"/>
      <c r="G101" s="1267"/>
      <c r="H101" s="1267"/>
      <c r="I101" s="1267"/>
      <c r="J101" s="1267"/>
      <c r="K101" s="1267"/>
      <c r="L101" s="1267"/>
      <c r="M101" s="1267"/>
      <c r="N101" s="1277"/>
      <c r="O101" s="1277"/>
      <c r="P101" s="1277"/>
      <c r="Q101" s="1277"/>
      <c r="R101" s="1277"/>
      <c r="S101" s="1278"/>
      <c r="T101" s="1277"/>
      <c r="U101" s="1277"/>
      <c r="V101" s="1277"/>
      <c r="W101" s="1277"/>
      <c r="X101" s="1279"/>
      <c r="Y101" s="1277"/>
      <c r="Z101" s="1277"/>
      <c r="AA101" s="1277"/>
      <c r="AB101" s="1277"/>
      <c r="AC101" s="1277"/>
      <c r="AD101" s="1277"/>
      <c r="AE101" s="1277"/>
      <c r="AF101" s="1277"/>
    </row>
    <row r="102" spans="2:32" s="1272" customFormat="1" x14ac:dyDescent="0.25">
      <c r="B102" s="1264" t="s">
        <v>7293</v>
      </c>
      <c r="C102" s="1267"/>
      <c r="D102" s="1267"/>
      <c r="E102" s="1267"/>
      <c r="F102" s="1267"/>
      <c r="G102" s="1267"/>
      <c r="H102" s="1267"/>
      <c r="I102" s="1267"/>
      <c r="J102" s="1267"/>
      <c r="K102" s="1267"/>
      <c r="L102" s="1267"/>
      <c r="M102" s="1267"/>
      <c r="N102" s="1277"/>
      <c r="O102" s="1277"/>
      <c r="P102" s="1277"/>
      <c r="Q102" s="1277"/>
      <c r="R102" s="1277"/>
      <c r="S102" s="1278"/>
      <c r="T102" s="1277"/>
      <c r="U102" s="1277"/>
      <c r="V102" s="1277"/>
      <c r="W102" s="1277"/>
      <c r="X102" s="1279"/>
      <c r="Y102" s="1277"/>
      <c r="Z102" s="1277"/>
      <c r="AA102" s="1277"/>
      <c r="AB102" s="1277"/>
      <c r="AC102" s="1277"/>
      <c r="AD102" s="1277"/>
      <c r="AE102" s="1277"/>
      <c r="AF102" s="1277"/>
    </row>
    <row r="103" spans="2:32" s="1272" customFormat="1" x14ac:dyDescent="0.25">
      <c r="B103" s="1264"/>
      <c r="C103" s="1267"/>
      <c r="D103" s="1267"/>
      <c r="E103" s="1267"/>
      <c r="F103" s="1267"/>
      <c r="G103" s="1267"/>
      <c r="H103" s="1267"/>
      <c r="I103" s="1267"/>
      <c r="J103" s="1267"/>
      <c r="K103" s="1267"/>
      <c r="L103" s="1267"/>
      <c r="M103" s="1267"/>
      <c r="N103" s="1277"/>
      <c r="O103" s="1277"/>
      <c r="P103" s="1277"/>
      <c r="Q103" s="1277"/>
      <c r="R103" s="1277"/>
      <c r="S103" s="1278"/>
      <c r="T103" s="1277"/>
      <c r="U103" s="1277"/>
      <c r="V103" s="1277"/>
      <c r="W103" s="1277"/>
      <c r="X103" s="1279"/>
      <c r="Y103" s="1277"/>
      <c r="Z103" s="1277"/>
      <c r="AA103" s="1277"/>
      <c r="AB103" s="1277"/>
      <c r="AC103" s="1277"/>
      <c r="AD103" s="1277"/>
      <c r="AE103" s="1277"/>
      <c r="AF103" s="1277"/>
    </row>
    <row r="104" spans="2:32" s="299" customFormat="1" ht="31.5" x14ac:dyDescent="0.25">
      <c r="B104" s="314">
        <v>2007</v>
      </c>
      <c r="C104" s="314" t="s">
        <v>2891</v>
      </c>
      <c r="D104" s="304" t="s">
        <v>2796</v>
      </c>
      <c r="E104" s="304" t="s">
        <v>2739</v>
      </c>
      <c r="F104" s="304" t="s">
        <v>2787</v>
      </c>
      <c r="G104" s="304" t="s">
        <v>2892</v>
      </c>
      <c r="H104" s="305">
        <v>31</v>
      </c>
      <c r="I104" s="295">
        <v>25</v>
      </c>
      <c r="J104" s="295" t="s">
        <v>2636</v>
      </c>
      <c r="K104" s="295">
        <v>3</v>
      </c>
      <c r="L104" s="306">
        <v>42417</v>
      </c>
      <c r="M104" s="316">
        <v>2.84</v>
      </c>
      <c r="N104" s="1105">
        <f>M104*AF10</f>
        <v>1816.6627999999998</v>
      </c>
      <c r="O104" s="684">
        <f>M$234</f>
        <v>1598.59</v>
      </c>
      <c r="P104" s="1107">
        <f>G$259*AF10</f>
        <v>1234.5630999999998</v>
      </c>
      <c r="Q104" s="1107">
        <f>IF(P104&gt;O104,"0,00",(O104-P104))</f>
        <v>364.02690000000007</v>
      </c>
      <c r="R104" s="1107">
        <f>N104-O104</f>
        <v>218.07279999999992</v>
      </c>
      <c r="S104" s="333">
        <v>0.04</v>
      </c>
      <c r="T104" s="334">
        <f>(((((((O104))))*S104)))</f>
        <v>63.943599999999996</v>
      </c>
      <c r="U104" s="311">
        <v>0</v>
      </c>
      <c r="V104" s="334">
        <f t="shared" ref="V104:V109" si="148">N104/I104*0</f>
        <v>0</v>
      </c>
      <c r="W104" s="334">
        <v>0</v>
      </c>
      <c r="X104" s="312">
        <f>76.76/N104</f>
        <v>4.2253300942805681E-2</v>
      </c>
      <c r="Y104" s="334">
        <f t="shared" ref="Y104:Y109" si="149">N104*X104</f>
        <v>76.760000000000005</v>
      </c>
      <c r="Z104" s="312">
        <v>0</v>
      </c>
      <c r="AA104" s="334">
        <f t="shared" ref="AA104:AA109" si="150">N104*Z104</f>
        <v>0</v>
      </c>
      <c r="AB104" s="334">
        <v>0</v>
      </c>
      <c r="AC104" s="335">
        <f t="shared" ref="AC104:AC109" si="151">(P104+Q104+R104+U104+V104)/3</f>
        <v>605.55426666666665</v>
      </c>
      <c r="AD104" s="335">
        <f t="shared" ref="AD104:AD109" si="152">AC104*S104</f>
        <v>24.222170666666667</v>
      </c>
      <c r="AE104" s="335">
        <f t="shared" ref="AE104:AE109" si="153">(P104+Q104+R104+U104+V104)</f>
        <v>1816.6627999999998</v>
      </c>
      <c r="AF104" s="335">
        <f t="shared" ref="AF104:AF109" si="154">AE104*S104</f>
        <v>72.666511999999997</v>
      </c>
    </row>
    <row r="105" spans="2:32" s="299" customFormat="1" ht="31.5" x14ac:dyDescent="0.25">
      <c r="B105" s="314">
        <v>2003</v>
      </c>
      <c r="C105" s="314" t="s">
        <v>2893</v>
      </c>
      <c r="D105" s="304" t="s">
        <v>2796</v>
      </c>
      <c r="E105" s="304" t="s">
        <v>2739</v>
      </c>
      <c r="F105" s="304" t="s">
        <v>2787</v>
      </c>
      <c r="G105" s="304" t="s">
        <v>2892</v>
      </c>
      <c r="H105" s="305">
        <v>31</v>
      </c>
      <c r="I105" s="295">
        <v>25</v>
      </c>
      <c r="J105" s="295" t="s">
        <v>2636</v>
      </c>
      <c r="K105" s="295">
        <v>3</v>
      </c>
      <c r="L105" s="306">
        <v>42391</v>
      </c>
      <c r="M105" s="316">
        <v>2.84</v>
      </c>
      <c r="N105" s="1105">
        <f>M105*AF10</f>
        <v>1816.6627999999998</v>
      </c>
      <c r="O105" s="684">
        <f>M$234</f>
        <v>1598.59</v>
      </c>
      <c r="P105" s="1107">
        <f>G$259*AF10</f>
        <v>1234.5630999999998</v>
      </c>
      <c r="Q105" s="1107">
        <f t="shared" ref="Q105:Q109" si="155">IF(P105&gt;O105,"0,00",(O105-P105))</f>
        <v>364.02690000000007</v>
      </c>
      <c r="R105" s="1107">
        <f t="shared" ref="R105:R109" si="156">N105-O105</f>
        <v>218.07279999999992</v>
      </c>
      <c r="S105" s="333">
        <v>0.04</v>
      </c>
      <c r="T105" s="334">
        <f>(((((((O105))))*S105)))</f>
        <v>63.943599999999996</v>
      </c>
      <c r="U105" s="311">
        <v>0</v>
      </c>
      <c r="V105" s="334">
        <f t="shared" si="148"/>
        <v>0</v>
      </c>
      <c r="W105" s="334">
        <v>0</v>
      </c>
      <c r="X105" s="312">
        <f>76.76/N105</f>
        <v>4.2253300942805681E-2</v>
      </c>
      <c r="Y105" s="334">
        <f t="shared" si="149"/>
        <v>76.760000000000005</v>
      </c>
      <c r="Z105" s="312">
        <v>0</v>
      </c>
      <c r="AA105" s="334">
        <f t="shared" si="150"/>
        <v>0</v>
      </c>
      <c r="AB105" s="334">
        <v>0</v>
      </c>
      <c r="AC105" s="335">
        <f t="shared" si="151"/>
        <v>605.55426666666665</v>
      </c>
      <c r="AD105" s="335">
        <f t="shared" si="152"/>
        <v>24.222170666666667</v>
      </c>
      <c r="AE105" s="335">
        <f t="shared" si="153"/>
        <v>1816.6627999999998</v>
      </c>
      <c r="AF105" s="335">
        <f t="shared" si="154"/>
        <v>72.666511999999997</v>
      </c>
    </row>
    <row r="106" spans="2:32" s="299" customFormat="1" ht="31.5" x14ac:dyDescent="0.25">
      <c r="B106" s="314">
        <v>1307</v>
      </c>
      <c r="C106" s="314" t="s">
        <v>2894</v>
      </c>
      <c r="D106" s="304" t="s">
        <v>2796</v>
      </c>
      <c r="E106" s="304" t="s">
        <v>2739</v>
      </c>
      <c r="F106" s="304" t="s">
        <v>2787</v>
      </c>
      <c r="G106" s="304" t="s">
        <v>2892</v>
      </c>
      <c r="H106" s="305">
        <v>31</v>
      </c>
      <c r="I106" s="295">
        <v>25</v>
      </c>
      <c r="J106" s="295" t="s">
        <v>2634</v>
      </c>
      <c r="K106" s="295">
        <v>3</v>
      </c>
      <c r="L106" s="306">
        <v>39905</v>
      </c>
      <c r="M106" s="316">
        <v>2.95</v>
      </c>
      <c r="N106" s="1105">
        <f>M106*AF10</f>
        <v>1887.0264999999999</v>
      </c>
      <c r="O106" s="684">
        <f>M$234</f>
        <v>1598.59</v>
      </c>
      <c r="P106" s="1107">
        <f>G$259*AF10</f>
        <v>1234.5630999999998</v>
      </c>
      <c r="Q106" s="1107">
        <f t="shared" si="155"/>
        <v>364.02690000000007</v>
      </c>
      <c r="R106" s="1107">
        <f t="shared" si="156"/>
        <v>288.43650000000002</v>
      </c>
      <c r="S106" s="333">
        <v>0.11</v>
      </c>
      <c r="T106" s="334">
        <f>(((((((O106)*(1+4.12%)))))))*S106</f>
        <v>183.08970987999999</v>
      </c>
      <c r="U106" s="311">
        <v>0</v>
      </c>
      <c r="V106" s="334">
        <f t="shared" si="148"/>
        <v>0</v>
      </c>
      <c r="W106" s="334">
        <v>0</v>
      </c>
      <c r="X106" s="312">
        <f>51.18/N106</f>
        <v>2.7122035647088157E-2</v>
      </c>
      <c r="Y106" s="334">
        <f t="shared" si="149"/>
        <v>51.18</v>
      </c>
      <c r="Z106" s="312">
        <v>0</v>
      </c>
      <c r="AA106" s="334">
        <f t="shared" si="150"/>
        <v>0</v>
      </c>
      <c r="AB106" s="334">
        <v>0</v>
      </c>
      <c r="AC106" s="335">
        <f t="shared" si="151"/>
        <v>629.00883333333331</v>
      </c>
      <c r="AD106" s="335">
        <f t="shared" si="152"/>
        <v>69.19097166666667</v>
      </c>
      <c r="AE106" s="335">
        <f t="shared" si="153"/>
        <v>1887.0264999999999</v>
      </c>
      <c r="AF106" s="335">
        <f t="shared" si="154"/>
        <v>207.57291499999999</v>
      </c>
    </row>
    <row r="107" spans="2:32" s="299" customFormat="1" ht="31.5" x14ac:dyDescent="0.25">
      <c r="B107" s="314">
        <v>763</v>
      </c>
      <c r="C107" s="314" t="s">
        <v>2895</v>
      </c>
      <c r="D107" s="304" t="s">
        <v>2876</v>
      </c>
      <c r="E107" s="304" t="s">
        <v>2739</v>
      </c>
      <c r="F107" s="304" t="s">
        <v>2787</v>
      </c>
      <c r="G107" s="304" t="s">
        <v>2892</v>
      </c>
      <c r="H107" s="305">
        <v>31</v>
      </c>
      <c r="I107" s="295">
        <v>40</v>
      </c>
      <c r="J107" s="295" t="s">
        <v>2648</v>
      </c>
      <c r="K107" s="295">
        <v>3</v>
      </c>
      <c r="L107" s="306">
        <v>38170</v>
      </c>
      <c r="M107" s="316">
        <v>5.42</v>
      </c>
      <c r="N107" s="1105">
        <f>M107*AF10</f>
        <v>3467.0113999999999</v>
      </c>
      <c r="O107" s="684">
        <f>G$234</f>
        <v>2557.7399999999998</v>
      </c>
      <c r="P107" s="1107">
        <f>G$269*AF10</f>
        <v>2878.5149999999999</v>
      </c>
      <c r="Q107" s="1107" t="str">
        <f t="shared" si="155"/>
        <v>0,00</v>
      </c>
      <c r="R107" s="1107">
        <f t="shared" si="156"/>
        <v>909.27140000000009</v>
      </c>
      <c r="S107" s="333">
        <v>0.16</v>
      </c>
      <c r="T107" s="334">
        <f>(((((((O107)*(1+4.12%))))*(1+4.12%))))*S107</f>
        <v>443.65430178969592</v>
      </c>
      <c r="U107" s="311">
        <v>0</v>
      </c>
      <c r="V107" s="334">
        <f t="shared" si="148"/>
        <v>0</v>
      </c>
      <c r="W107" s="334">
        <v>0</v>
      </c>
      <c r="X107" s="312">
        <f>51.18/N107</f>
        <v>1.4761993571754624E-2</v>
      </c>
      <c r="Y107" s="334">
        <f t="shared" si="149"/>
        <v>51.18</v>
      </c>
      <c r="Z107" s="312">
        <v>0</v>
      </c>
      <c r="AA107" s="334">
        <f t="shared" si="150"/>
        <v>0</v>
      </c>
      <c r="AB107" s="334">
        <v>0</v>
      </c>
      <c r="AC107" s="335">
        <f t="shared" si="151"/>
        <v>1262.5954666666667</v>
      </c>
      <c r="AD107" s="335">
        <f t="shared" si="152"/>
        <v>202.01527466666667</v>
      </c>
      <c r="AE107" s="335">
        <f t="shared" si="153"/>
        <v>3787.7864</v>
      </c>
      <c r="AF107" s="335">
        <f t="shared" si="154"/>
        <v>606.04582400000004</v>
      </c>
    </row>
    <row r="108" spans="2:32" s="299" customFormat="1" ht="31.5" x14ac:dyDescent="0.25">
      <c r="B108" s="314">
        <v>1386</v>
      </c>
      <c r="C108" s="314" t="s">
        <v>2896</v>
      </c>
      <c r="D108" s="304" t="s">
        <v>2796</v>
      </c>
      <c r="E108" s="304" t="s">
        <v>2739</v>
      </c>
      <c r="F108" s="304" t="s">
        <v>2787</v>
      </c>
      <c r="G108" s="304" t="s">
        <v>2892</v>
      </c>
      <c r="H108" s="305">
        <v>31</v>
      </c>
      <c r="I108" s="295">
        <v>25</v>
      </c>
      <c r="J108" s="295" t="s">
        <v>2634</v>
      </c>
      <c r="K108" s="295">
        <v>3</v>
      </c>
      <c r="L108" s="306">
        <v>40318</v>
      </c>
      <c r="M108" s="316">
        <v>2.95</v>
      </c>
      <c r="N108" s="1105">
        <f>M108*AF10</f>
        <v>1887.0264999999999</v>
      </c>
      <c r="O108" s="684">
        <f>M$234</f>
        <v>1598.59</v>
      </c>
      <c r="P108" s="1107">
        <f>G$259*AF10</f>
        <v>1234.5630999999998</v>
      </c>
      <c r="Q108" s="1107">
        <f t="shared" si="155"/>
        <v>364.02690000000007</v>
      </c>
      <c r="R108" s="1107">
        <f t="shared" si="156"/>
        <v>288.43650000000002</v>
      </c>
      <c r="S108" s="333">
        <v>0.1</v>
      </c>
      <c r="T108" s="334">
        <f>(((((((O108)*(1+4.12%))))*S108)))</f>
        <v>166.44519079999998</v>
      </c>
      <c r="U108" s="311">
        <v>0</v>
      </c>
      <c r="V108" s="334">
        <f t="shared" si="148"/>
        <v>0</v>
      </c>
      <c r="W108" s="334">
        <v>0</v>
      </c>
      <c r="X108" s="312">
        <f>76.76/N108</f>
        <v>4.0677754127989199E-2</v>
      </c>
      <c r="Y108" s="334">
        <f t="shared" si="149"/>
        <v>76.760000000000005</v>
      </c>
      <c r="Z108" s="312">
        <v>0</v>
      </c>
      <c r="AA108" s="334">
        <f t="shared" si="150"/>
        <v>0</v>
      </c>
      <c r="AB108" s="334">
        <v>0</v>
      </c>
      <c r="AC108" s="335">
        <f t="shared" si="151"/>
        <v>629.00883333333331</v>
      </c>
      <c r="AD108" s="335">
        <f t="shared" si="152"/>
        <v>62.900883333333333</v>
      </c>
      <c r="AE108" s="335">
        <f t="shared" si="153"/>
        <v>1887.0264999999999</v>
      </c>
      <c r="AF108" s="335">
        <f t="shared" si="154"/>
        <v>188.70265000000001</v>
      </c>
    </row>
    <row r="109" spans="2:32" s="299" customFormat="1" ht="24.75" customHeight="1" x14ac:dyDescent="0.25">
      <c r="B109" s="314">
        <v>2008</v>
      </c>
      <c r="C109" s="314" t="s">
        <v>2897</v>
      </c>
      <c r="D109" s="304" t="s">
        <v>2796</v>
      </c>
      <c r="E109" s="304" t="s">
        <v>2739</v>
      </c>
      <c r="F109" s="304" t="s">
        <v>2787</v>
      </c>
      <c r="G109" s="304" t="s">
        <v>2892</v>
      </c>
      <c r="H109" s="305">
        <v>31</v>
      </c>
      <c r="I109" s="295">
        <v>25</v>
      </c>
      <c r="J109" s="295" t="s">
        <v>2636</v>
      </c>
      <c r="K109" s="295">
        <v>2</v>
      </c>
      <c r="L109" s="306">
        <v>42417</v>
      </c>
      <c r="M109" s="316">
        <v>2.5499999999999998</v>
      </c>
      <c r="N109" s="1105">
        <f>M109*AF10</f>
        <v>1631.1584999999998</v>
      </c>
      <c r="O109" s="684">
        <f>M$234</f>
        <v>1598.59</v>
      </c>
      <c r="P109" s="1107">
        <f>G$259*AF10</f>
        <v>1234.5630999999998</v>
      </c>
      <c r="Q109" s="1107">
        <f t="shared" si="155"/>
        <v>364.02690000000007</v>
      </c>
      <c r="R109" s="1107">
        <f t="shared" si="156"/>
        <v>32.568499999999858</v>
      </c>
      <c r="S109" s="333">
        <v>0.04</v>
      </c>
      <c r="T109" s="334">
        <f>(((((((O109)))))*S109))</f>
        <v>63.943599999999996</v>
      </c>
      <c r="U109" s="311">
        <v>0</v>
      </c>
      <c r="V109" s="334">
        <f t="shared" si="148"/>
        <v>0</v>
      </c>
      <c r="W109" s="334">
        <v>0</v>
      </c>
      <c r="X109" s="312">
        <f>76.76/N109</f>
        <v>4.7058578304928683E-2</v>
      </c>
      <c r="Y109" s="334">
        <f t="shared" si="149"/>
        <v>76.760000000000005</v>
      </c>
      <c r="Z109" s="312">
        <v>0</v>
      </c>
      <c r="AA109" s="334">
        <f t="shared" si="150"/>
        <v>0</v>
      </c>
      <c r="AB109" s="334">
        <v>0</v>
      </c>
      <c r="AC109" s="335">
        <f t="shared" si="151"/>
        <v>543.71949999999993</v>
      </c>
      <c r="AD109" s="335">
        <f t="shared" si="152"/>
        <v>21.748779999999996</v>
      </c>
      <c r="AE109" s="335">
        <f t="shared" si="153"/>
        <v>1631.1584999999998</v>
      </c>
      <c r="AF109" s="335">
        <f t="shared" si="154"/>
        <v>65.246339999999989</v>
      </c>
    </row>
    <row r="110" spans="2:32" s="1272" customFormat="1" x14ac:dyDescent="0.25">
      <c r="B110" s="1264" t="s">
        <v>7294</v>
      </c>
      <c r="C110" s="1267"/>
      <c r="D110" s="1267"/>
      <c r="E110" s="1267"/>
      <c r="F110" s="1267"/>
      <c r="G110" s="1267"/>
      <c r="H110" s="1267"/>
      <c r="I110" s="1267"/>
      <c r="J110" s="1267"/>
      <c r="K110" s="1267"/>
      <c r="L110" s="1267"/>
      <c r="M110" s="1267"/>
      <c r="N110" s="1277">
        <f>SUM(N104:N109)</f>
        <v>12505.548499999999</v>
      </c>
      <c r="O110" s="1277">
        <f>SUM(O104:O109)</f>
        <v>10550.689999999999</v>
      </c>
      <c r="P110" s="1277">
        <f>SUM(P104:P109)</f>
        <v>9051.3304999999982</v>
      </c>
      <c r="Q110" s="1277">
        <f>SUM(Q104:Q109)</f>
        <v>1820.1345000000003</v>
      </c>
      <c r="R110" s="1277">
        <f>SUM(R104:R109)</f>
        <v>1954.8584999999998</v>
      </c>
      <c r="S110" s="1278"/>
      <c r="T110" s="1277">
        <f>SUM(T104:T109)</f>
        <v>985.02000246969578</v>
      </c>
      <c r="U110" s="1277">
        <f>SUM(U104:U109)</f>
        <v>0</v>
      </c>
      <c r="V110" s="1277">
        <f>SUM(V104:V109)</f>
        <v>0</v>
      </c>
      <c r="W110" s="1277">
        <f>SUM(W104:W109)</f>
        <v>0</v>
      </c>
      <c r="X110" s="1279"/>
      <c r="Y110" s="1277">
        <f>SUM(Y104:Y109)</f>
        <v>409.40000000000003</v>
      </c>
      <c r="Z110" s="1277"/>
      <c r="AA110" s="1277">
        <f>SUM(AA104:AA109)</f>
        <v>0</v>
      </c>
      <c r="AB110" s="1277">
        <f t="shared" ref="AB110:AF110" si="157">SUM(AB104:AB109)</f>
        <v>0</v>
      </c>
      <c r="AC110" s="1277">
        <f t="shared" si="157"/>
        <v>4275.4411666666665</v>
      </c>
      <c r="AD110" s="1277">
        <f t="shared" si="157"/>
        <v>404.300251</v>
      </c>
      <c r="AE110" s="1277">
        <f t="shared" si="157"/>
        <v>12826.3235</v>
      </c>
      <c r="AF110" s="1277">
        <f t="shared" si="157"/>
        <v>1212.9007529999999</v>
      </c>
    </row>
    <row r="111" spans="2:32" s="1272" customFormat="1" x14ac:dyDescent="0.25">
      <c r="B111" s="1264"/>
      <c r="C111" s="1267"/>
      <c r="D111" s="1267"/>
      <c r="E111" s="1267"/>
      <c r="F111" s="1267"/>
      <c r="G111" s="1267"/>
      <c r="H111" s="1267"/>
      <c r="I111" s="1267"/>
      <c r="J111" s="1267"/>
      <c r="K111" s="1267"/>
      <c r="L111" s="1267"/>
      <c r="M111" s="1267"/>
      <c r="N111" s="1277"/>
      <c r="O111" s="1277"/>
      <c r="P111" s="1277"/>
      <c r="Q111" s="1277"/>
      <c r="R111" s="1277"/>
      <c r="S111" s="1278"/>
      <c r="T111" s="1277"/>
      <c r="U111" s="1277"/>
      <c r="V111" s="1277"/>
      <c r="W111" s="1277"/>
      <c r="X111" s="1279"/>
      <c r="Y111" s="1277"/>
      <c r="Z111" s="1277"/>
      <c r="AA111" s="1277"/>
      <c r="AB111" s="1277"/>
      <c r="AC111" s="1277"/>
      <c r="AD111" s="1277"/>
      <c r="AE111" s="1277"/>
      <c r="AF111" s="1277"/>
    </row>
    <row r="112" spans="2:32" s="1272" customFormat="1" x14ac:dyDescent="0.25">
      <c r="B112" s="1264" t="s">
        <v>7295</v>
      </c>
      <c r="C112" s="1267"/>
      <c r="D112" s="1267"/>
      <c r="E112" s="1267"/>
      <c r="F112" s="1267"/>
      <c r="G112" s="1267"/>
      <c r="H112" s="1267"/>
      <c r="I112" s="1267"/>
      <c r="J112" s="1267"/>
      <c r="K112" s="1267"/>
      <c r="L112" s="1267"/>
      <c r="M112" s="1267"/>
      <c r="N112" s="1277">
        <f>N110</f>
        <v>12505.548499999999</v>
      </c>
      <c r="O112" s="1277">
        <f t="shared" ref="O112:R112" si="158">O110</f>
        <v>10550.689999999999</v>
      </c>
      <c r="P112" s="1277">
        <f t="shared" si="158"/>
        <v>9051.3304999999982</v>
      </c>
      <c r="Q112" s="1277">
        <f t="shared" si="158"/>
        <v>1820.1345000000003</v>
      </c>
      <c r="R112" s="1277">
        <f t="shared" si="158"/>
        <v>1954.8584999999998</v>
      </c>
      <c r="S112" s="1278"/>
      <c r="T112" s="1277">
        <f t="shared" ref="T112:W112" si="159">T110</f>
        <v>985.02000246969578</v>
      </c>
      <c r="U112" s="1277">
        <f t="shared" si="159"/>
        <v>0</v>
      </c>
      <c r="V112" s="1277">
        <f t="shared" si="159"/>
        <v>0</v>
      </c>
      <c r="W112" s="1277">
        <f t="shared" si="159"/>
        <v>0</v>
      </c>
      <c r="X112" s="1279"/>
      <c r="Y112" s="1277">
        <f>Y110</f>
        <v>409.40000000000003</v>
      </c>
      <c r="Z112" s="1277"/>
      <c r="AA112" s="1277">
        <f t="shared" ref="AA112:AF112" si="160">AA110</f>
        <v>0</v>
      </c>
      <c r="AB112" s="1277">
        <f t="shared" si="160"/>
        <v>0</v>
      </c>
      <c r="AC112" s="1277">
        <f t="shared" si="160"/>
        <v>4275.4411666666665</v>
      </c>
      <c r="AD112" s="1277">
        <f t="shared" si="160"/>
        <v>404.300251</v>
      </c>
      <c r="AE112" s="1277">
        <f t="shared" si="160"/>
        <v>12826.3235</v>
      </c>
      <c r="AF112" s="1277">
        <f t="shared" si="160"/>
        <v>1212.9007529999999</v>
      </c>
    </row>
    <row r="113" spans="2:32" s="1272" customFormat="1" x14ac:dyDescent="0.25">
      <c r="B113" s="1264"/>
      <c r="C113" s="1267"/>
      <c r="D113" s="1267"/>
      <c r="E113" s="1267"/>
      <c r="F113" s="1267"/>
      <c r="G113" s="1267"/>
      <c r="H113" s="1267"/>
      <c r="I113" s="1267"/>
      <c r="J113" s="1267"/>
      <c r="K113" s="1267"/>
      <c r="L113" s="1267"/>
      <c r="M113" s="1267"/>
      <c r="N113" s="1277"/>
      <c r="O113" s="1277"/>
      <c r="P113" s="1277"/>
      <c r="Q113" s="1277"/>
      <c r="R113" s="1277"/>
      <c r="S113" s="1278"/>
      <c r="T113" s="1277"/>
      <c r="U113" s="1277"/>
      <c r="V113" s="1277"/>
      <c r="W113" s="1277"/>
      <c r="X113" s="1279"/>
      <c r="Y113" s="1277"/>
      <c r="Z113" s="1277"/>
      <c r="AA113" s="1277"/>
      <c r="AB113" s="1277"/>
      <c r="AC113" s="1277"/>
      <c r="AD113" s="1277"/>
      <c r="AE113" s="1277"/>
      <c r="AF113" s="1277"/>
    </row>
    <row r="114" spans="2:32" s="1272" customFormat="1" x14ac:dyDescent="0.25">
      <c r="B114" s="1264" t="s">
        <v>7295</v>
      </c>
      <c r="C114" s="1267"/>
      <c r="D114" s="1267"/>
      <c r="E114" s="1267"/>
      <c r="F114" s="1267"/>
      <c r="G114" s="1267"/>
      <c r="H114" s="1267"/>
      <c r="I114" s="1267"/>
      <c r="J114" s="1267"/>
      <c r="K114" s="1267"/>
      <c r="L114" s="1267"/>
      <c r="M114" s="1267"/>
      <c r="N114" s="1277">
        <f>N112+N99+N61</f>
        <v>128715.81669305009</v>
      </c>
      <c r="O114" s="1277">
        <f>O112+O99+O61</f>
        <v>108000.66899999999</v>
      </c>
      <c r="P114" s="1277">
        <f>P112+P99+P61</f>
        <v>88056.97219999996</v>
      </c>
      <c r="Q114" s="1277">
        <f>Q112+Q99+Q61</f>
        <v>22539.060300000001</v>
      </c>
      <c r="R114" s="1277">
        <f>R112+R99+R61</f>
        <v>19723.659193050127</v>
      </c>
      <c r="S114" s="1278"/>
      <c r="T114" s="1277">
        <f>T112+T99+T61</f>
        <v>12336.982690237914</v>
      </c>
      <c r="U114" s="1277">
        <f>U112+U99+U61</f>
        <v>2494.7330000000002</v>
      </c>
      <c r="V114" s="1277">
        <f>V112+V99+V61</f>
        <v>11996.608577897176</v>
      </c>
      <c r="W114" s="1277">
        <f>W112+W99+W61</f>
        <v>135.71</v>
      </c>
      <c r="X114" s="1279"/>
      <c r="Y114" s="1277">
        <f>Y112+Y99+Y61</f>
        <v>4759.16</v>
      </c>
      <c r="Z114" s="1277"/>
      <c r="AA114" s="1277">
        <f t="shared" ref="AA114:AF114" si="161">AA112+AA99+AA61</f>
        <v>8838.9600600000012</v>
      </c>
      <c r="AB114" s="1277">
        <f t="shared" si="161"/>
        <v>639.66999999999996</v>
      </c>
      <c r="AC114" s="1277">
        <f t="shared" si="161"/>
        <v>48308.884423649091</v>
      </c>
      <c r="AD114" s="1277">
        <f t="shared" si="161"/>
        <v>5325.6188574408716</v>
      </c>
      <c r="AE114" s="1277">
        <f t="shared" si="161"/>
        <v>144926.65327094728</v>
      </c>
      <c r="AF114" s="1277">
        <f t="shared" si="161"/>
        <v>15976.856572322609</v>
      </c>
    </row>
    <row r="115" spans="2:32" s="299" customFormat="1" ht="24.75" customHeight="1" x14ac:dyDescent="0.25"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2"/>
      <c r="O115" s="1550"/>
      <c r="P115" s="1550"/>
      <c r="Q115" s="1550"/>
      <c r="R115" s="302"/>
      <c r="S115" s="300"/>
      <c r="T115" s="302"/>
      <c r="U115" s="302"/>
      <c r="V115" s="302"/>
      <c r="W115" s="302"/>
      <c r="X115" s="315"/>
      <c r="Y115" s="302"/>
      <c r="Z115" s="302"/>
      <c r="AA115" s="302"/>
      <c r="AB115" s="302"/>
      <c r="AC115" s="302"/>
      <c r="AD115" s="302"/>
      <c r="AE115" s="302"/>
      <c r="AF115" s="302"/>
    </row>
    <row r="116" spans="2:32" s="1399" customFormat="1" ht="77.25" customHeight="1" x14ac:dyDescent="0.25">
      <c r="B116" s="1275" t="s">
        <v>2719</v>
      </c>
      <c r="C116" s="1400" t="s">
        <v>7255</v>
      </c>
      <c r="D116" s="1400" t="s">
        <v>2624</v>
      </c>
      <c r="E116" s="1400" t="s">
        <v>2722</v>
      </c>
      <c r="F116" s="1400" t="s">
        <v>2593</v>
      </c>
      <c r="G116" s="1397" t="s">
        <v>2765</v>
      </c>
      <c r="H116" s="1400" t="s">
        <v>2729</v>
      </c>
      <c r="I116" s="1400" t="s">
        <v>3113</v>
      </c>
      <c r="J116" s="1273" t="s">
        <v>2836</v>
      </c>
      <c r="K116" s="1273" t="s">
        <v>2839</v>
      </c>
      <c r="L116" s="1400" t="s">
        <v>7256</v>
      </c>
      <c r="M116" s="1400" t="s">
        <v>7257</v>
      </c>
      <c r="N116" s="1396" t="s">
        <v>7258</v>
      </c>
      <c r="O116" s="1095" t="s">
        <v>7259</v>
      </c>
      <c r="P116" s="594" t="s">
        <v>7260</v>
      </c>
      <c r="Q116" s="594" t="s">
        <v>7261</v>
      </c>
      <c r="R116" s="1398" t="s">
        <v>7262</v>
      </c>
      <c r="S116" s="1396" t="s">
        <v>7263</v>
      </c>
      <c r="T116" s="1396" t="s">
        <v>7264</v>
      </c>
      <c r="U116" s="1396" t="s">
        <v>7265</v>
      </c>
      <c r="V116" s="1396" t="s">
        <v>7266</v>
      </c>
      <c r="W116" s="1396" t="s">
        <v>7267</v>
      </c>
      <c r="X116" s="1396" t="s">
        <v>7268</v>
      </c>
      <c r="Y116" s="1396" t="s">
        <v>7269</v>
      </c>
      <c r="Z116" s="1396" t="s">
        <v>7270</v>
      </c>
      <c r="AA116" s="1396" t="s">
        <v>7271</v>
      </c>
      <c r="AB116" s="1396" t="s">
        <v>7272</v>
      </c>
      <c r="AC116" s="1399" t="s">
        <v>7273</v>
      </c>
      <c r="AD116" s="1399" t="str">
        <f>UPPER("Anuênio S/1/3 de Férias S/Salario")</f>
        <v>ANUÊNIO S/1/3 DE FÉRIAS S/SALARIO</v>
      </c>
      <c r="AE116" s="1399" t="s">
        <v>7274</v>
      </c>
      <c r="AF116" s="1399" t="s">
        <v>7275</v>
      </c>
    </row>
    <row r="117" spans="2:32" s="1090" customFormat="1" ht="32.25" customHeight="1" x14ac:dyDescent="0.25">
      <c r="B117" s="1109" t="s">
        <v>7136</v>
      </c>
      <c r="C117" s="1110" t="s">
        <v>7137</v>
      </c>
      <c r="D117" s="1110" t="s">
        <v>7138</v>
      </c>
      <c r="E117" s="1110" t="s">
        <v>7139</v>
      </c>
      <c r="F117" s="1110" t="s">
        <v>7140</v>
      </c>
      <c r="G117" s="1110" t="s">
        <v>7141</v>
      </c>
      <c r="H117" s="1110" t="s">
        <v>7142</v>
      </c>
      <c r="I117" s="1110" t="s">
        <v>7143</v>
      </c>
      <c r="J117" s="1110" t="s">
        <v>7144</v>
      </c>
      <c r="K117" s="1110" t="s">
        <v>7145</v>
      </c>
      <c r="L117" s="1110" t="s">
        <v>7146</v>
      </c>
      <c r="M117" s="1110" t="s">
        <v>7147</v>
      </c>
      <c r="N117" s="1110" t="s">
        <v>7148</v>
      </c>
      <c r="O117" s="1110" t="s">
        <v>7149</v>
      </c>
      <c r="P117" s="1110" t="s">
        <v>7150</v>
      </c>
      <c r="Q117" s="1110" t="s">
        <v>7151</v>
      </c>
      <c r="R117" s="1110" t="s">
        <v>7152</v>
      </c>
      <c r="S117" s="1110" t="s">
        <v>7153</v>
      </c>
      <c r="T117" s="1110" t="s">
        <v>7154</v>
      </c>
      <c r="U117" s="1110" t="s">
        <v>7155</v>
      </c>
      <c r="V117" s="1110" t="s">
        <v>7156</v>
      </c>
      <c r="W117" s="1110" t="s">
        <v>7157</v>
      </c>
      <c r="X117" s="1110" t="s">
        <v>7158</v>
      </c>
      <c r="Y117" s="1110" t="s">
        <v>7159</v>
      </c>
      <c r="Z117" s="1110" t="s">
        <v>7160</v>
      </c>
      <c r="AA117" s="1110" t="s">
        <v>7161</v>
      </c>
      <c r="AB117" s="1110" t="s">
        <v>7162</v>
      </c>
      <c r="AC117" s="1110" t="s">
        <v>7163</v>
      </c>
      <c r="AD117" s="1110" t="s">
        <v>7164</v>
      </c>
      <c r="AE117" s="1110" t="s">
        <v>7165</v>
      </c>
      <c r="AF117" s="1108" t="s">
        <v>7166</v>
      </c>
    </row>
    <row r="118" spans="2:32" s="1090" customFormat="1" ht="18.75" hidden="1" customHeight="1" x14ac:dyDescent="0.25">
      <c r="B118" s="1274"/>
      <c r="C118" s="1110" t="s">
        <v>7276</v>
      </c>
      <c r="D118" s="1110"/>
      <c r="E118" s="1110"/>
      <c r="F118" s="1110"/>
      <c r="G118" s="1110"/>
      <c r="H118" s="1110"/>
      <c r="I118" s="1110"/>
      <c r="J118" s="1110"/>
      <c r="K118" s="1110"/>
      <c r="L118" s="1110"/>
      <c r="M118" s="1110"/>
      <c r="N118" s="1110"/>
      <c r="O118" s="1110"/>
      <c r="P118" s="1110"/>
      <c r="Q118" s="1110"/>
      <c r="R118" s="1110"/>
      <c r="S118" s="1110"/>
      <c r="T118" s="1110"/>
      <c r="U118" s="1110"/>
      <c r="V118" s="1110"/>
      <c r="W118" s="1110"/>
      <c r="X118" s="1110"/>
      <c r="Y118" s="1110"/>
      <c r="Z118" s="1110"/>
      <c r="AA118" s="1110"/>
      <c r="AB118" s="1110"/>
      <c r="AC118" s="1110"/>
      <c r="AD118" s="1110"/>
      <c r="AE118" s="1110"/>
      <c r="AF118" s="1108">
        <f>PUCFD!E17</f>
        <v>695.43992848243033</v>
      </c>
    </row>
    <row r="119" spans="2:32" s="1098" customFormat="1" ht="77.25" hidden="1" customHeight="1" x14ac:dyDescent="0.25">
      <c r="B119" s="1275" t="s">
        <v>2719</v>
      </c>
      <c r="C119" s="1102" t="s">
        <v>7255</v>
      </c>
      <c r="D119" s="1102" t="s">
        <v>2624</v>
      </c>
      <c r="E119" s="1102" t="s">
        <v>2722</v>
      </c>
      <c r="F119" s="1102" t="s">
        <v>2593</v>
      </c>
      <c r="G119" s="1101" t="s">
        <v>2765</v>
      </c>
      <c r="H119" s="1102" t="s">
        <v>2729</v>
      </c>
      <c r="I119" s="1102" t="s">
        <v>3113</v>
      </c>
      <c r="J119" s="1273" t="s">
        <v>2836</v>
      </c>
      <c r="K119" s="1273" t="s">
        <v>2839</v>
      </c>
      <c r="L119" s="1102" t="s">
        <v>7256</v>
      </c>
      <c r="M119" s="1102" t="s">
        <v>7257</v>
      </c>
      <c r="N119" s="1093" t="s">
        <v>7258</v>
      </c>
      <c r="O119" s="1095" t="s">
        <v>7259</v>
      </c>
      <c r="P119" s="594" t="s">
        <v>7260</v>
      </c>
      <c r="Q119" s="594" t="s">
        <v>7261</v>
      </c>
      <c r="R119" s="1104" t="s">
        <v>7262</v>
      </c>
      <c r="S119" s="1093" t="s">
        <v>7263</v>
      </c>
      <c r="T119" s="1093" t="s">
        <v>7264</v>
      </c>
      <c r="U119" s="1093" t="s">
        <v>7265</v>
      </c>
      <c r="V119" s="1093" t="s">
        <v>7266</v>
      </c>
      <c r="W119" s="1093" t="s">
        <v>7267</v>
      </c>
      <c r="X119" s="1093" t="s">
        <v>7268</v>
      </c>
      <c r="Y119" s="1093" t="s">
        <v>7269</v>
      </c>
      <c r="Z119" s="1093" t="s">
        <v>7270</v>
      </c>
      <c r="AA119" s="1093" t="s">
        <v>7271</v>
      </c>
      <c r="AB119" s="1093" t="s">
        <v>7272</v>
      </c>
      <c r="AC119" s="1098" t="s">
        <v>7273</v>
      </c>
      <c r="AD119" s="1098" t="str">
        <f>UPPER("Anuênio S/1/3 de Férias S/Salario")</f>
        <v>ANUÊNIO S/1/3 DE FÉRIAS S/SALARIO</v>
      </c>
      <c r="AE119" s="1098" t="s">
        <v>7274</v>
      </c>
      <c r="AF119" s="1098" t="s">
        <v>7275</v>
      </c>
    </row>
    <row r="120" spans="2:32" s="1280" customFormat="1" ht="24" hidden="1" customHeight="1" x14ac:dyDescent="0.25">
      <c r="B120" s="1264" t="s">
        <v>7279</v>
      </c>
      <c r="C120" s="1281"/>
      <c r="D120" s="1281"/>
      <c r="E120" s="1281"/>
      <c r="F120" s="1281"/>
      <c r="G120" s="1282"/>
      <c r="H120" s="1281"/>
      <c r="I120" s="1281"/>
      <c r="J120" s="1283"/>
      <c r="K120" s="1283"/>
      <c r="L120" s="1281"/>
      <c r="M120" s="1281"/>
      <c r="N120" s="1284"/>
      <c r="O120" s="1284"/>
      <c r="P120" s="1285"/>
      <c r="Q120" s="1285"/>
      <c r="R120" s="1286"/>
      <c r="S120" s="1284"/>
      <c r="T120" s="1284"/>
      <c r="U120" s="1284"/>
      <c r="V120" s="1284"/>
      <c r="W120" s="1284"/>
      <c r="X120" s="1284"/>
      <c r="Y120" s="1284"/>
      <c r="Z120" s="1284"/>
      <c r="AA120" s="1284"/>
      <c r="AB120" s="1284"/>
    </row>
    <row r="121" spans="2:32" s="299" customFormat="1" ht="31.5" hidden="1" x14ac:dyDescent="0.25">
      <c r="B121" s="314">
        <v>2323</v>
      </c>
      <c r="C121" s="304" t="s">
        <v>7277</v>
      </c>
      <c r="D121" s="304" t="s">
        <v>2796</v>
      </c>
      <c r="E121" s="304" t="s">
        <v>2757</v>
      </c>
      <c r="F121" s="304" t="s">
        <v>2787</v>
      </c>
      <c r="G121" s="304" t="s">
        <v>7278</v>
      </c>
      <c r="H121" s="305">
        <v>31</v>
      </c>
      <c r="I121" s="295">
        <v>20</v>
      </c>
      <c r="J121" s="295" t="s">
        <v>2636</v>
      </c>
      <c r="K121" s="295">
        <v>2</v>
      </c>
      <c r="L121" s="306">
        <v>43530</v>
      </c>
      <c r="M121" s="316">
        <v>2.0499999999999998</v>
      </c>
      <c r="N121" s="1105">
        <f>M121*AF118</f>
        <v>1425.6518533889821</v>
      </c>
      <c r="O121" s="684">
        <f>H$235</f>
        <v>1278.89085</v>
      </c>
      <c r="P121" s="1107">
        <f>G241*AF118</f>
        <v>1077.9318891477672</v>
      </c>
      <c r="Q121" s="1107">
        <v>0</v>
      </c>
      <c r="R121" s="1107">
        <f>N121-P121</f>
        <v>347.71996424121494</v>
      </c>
      <c r="S121" s="333">
        <v>0</v>
      </c>
      <c r="T121" s="334">
        <f>P121*S121</f>
        <v>0</v>
      </c>
      <c r="U121" s="311">
        <v>0</v>
      </c>
      <c r="V121" s="334">
        <v>0</v>
      </c>
      <c r="W121" s="334">
        <v>0</v>
      </c>
      <c r="X121" s="312">
        <f>76.76/N121</f>
        <v>5.3842037112728683E-2</v>
      </c>
      <c r="Y121" s="334">
        <f>N121*X121</f>
        <v>76.760000000000005</v>
      </c>
      <c r="Z121" s="312">
        <f>0/N121</f>
        <v>0</v>
      </c>
      <c r="AA121" s="334">
        <f>N121*Z121</f>
        <v>0</v>
      </c>
      <c r="AB121" s="334">
        <v>0</v>
      </c>
      <c r="AC121" s="335">
        <f>(P121+Q121+R121+U121+V121)/3</f>
        <v>475.21728446299403</v>
      </c>
      <c r="AD121" s="335">
        <f>AC121*S121</f>
        <v>0</v>
      </c>
      <c r="AE121" s="335">
        <f>(P121+Q121+R121+U121+V121)</f>
        <v>1425.6518533889821</v>
      </c>
      <c r="AF121" s="335">
        <f>AE121*S121</f>
        <v>0</v>
      </c>
    </row>
    <row r="122" spans="2:32" s="1276" customFormat="1" hidden="1" x14ac:dyDescent="0.25">
      <c r="B122" s="1264" t="s">
        <v>7280</v>
      </c>
      <c r="C122" s="1267"/>
      <c r="D122" s="1267"/>
      <c r="E122" s="1267"/>
      <c r="F122" s="1267"/>
      <c r="G122" s="1267"/>
      <c r="H122" s="1267"/>
      <c r="I122" s="1267"/>
      <c r="J122" s="1267"/>
      <c r="K122" s="1267"/>
      <c r="L122" s="1267"/>
      <c r="M122" s="1267"/>
      <c r="N122" s="1277">
        <f>SUM(N121:N121)</f>
        <v>1425.6518533889821</v>
      </c>
      <c r="O122" s="1277"/>
      <c r="P122" s="1277">
        <f>SUM(P121:P121)</f>
        <v>1077.9318891477672</v>
      </c>
      <c r="Q122" s="1277">
        <f>SUM(Q121:Q121)</f>
        <v>0</v>
      </c>
      <c r="R122" s="1277">
        <f>SUM(R121:R121)</f>
        <v>347.71996424121494</v>
      </c>
      <c r="S122" s="1278"/>
      <c r="T122" s="1277">
        <f>SUM(T121:T121)</f>
        <v>0</v>
      </c>
      <c r="U122" s="1277">
        <f>SUM(U121:U121)</f>
        <v>0</v>
      </c>
      <c r="V122" s="1277">
        <f>SUM(V121:V121)</f>
        <v>0</v>
      </c>
      <c r="W122" s="1277">
        <f>SUM(W121:W121)</f>
        <v>0</v>
      </c>
      <c r="X122" s="1279"/>
      <c r="Y122" s="1277">
        <f>SUM(Y121:Y121)</f>
        <v>76.760000000000005</v>
      </c>
      <c r="Z122" s="1279"/>
      <c r="AA122" s="1277">
        <f>SUM(AA121:AA121)</f>
        <v>0</v>
      </c>
      <c r="AB122" s="1277">
        <f>SUM(AB121:AB121)</f>
        <v>0</v>
      </c>
      <c r="AC122" s="1277">
        <f t="shared" ref="AC122:AF122" si="162">SUM(AC121:AC121)</f>
        <v>475.21728446299403</v>
      </c>
      <c r="AD122" s="1277">
        <f t="shared" si="162"/>
        <v>0</v>
      </c>
      <c r="AE122" s="1277">
        <f t="shared" si="162"/>
        <v>1425.6518533889821</v>
      </c>
      <c r="AF122" s="1277">
        <f t="shared" si="162"/>
        <v>0</v>
      </c>
    </row>
    <row r="123" spans="2:32" s="1276" customFormat="1" hidden="1" x14ac:dyDescent="0.25">
      <c r="B123" s="1264"/>
      <c r="C123" s="1267"/>
      <c r="D123" s="1267"/>
      <c r="E123" s="1267"/>
      <c r="F123" s="1267"/>
      <c r="G123" s="1267"/>
      <c r="H123" s="1267"/>
      <c r="I123" s="1267"/>
      <c r="J123" s="1267"/>
      <c r="K123" s="1267"/>
      <c r="L123" s="1267"/>
      <c r="M123" s="1267"/>
      <c r="N123" s="1277"/>
      <c r="O123" s="1277"/>
      <c r="P123" s="1277"/>
      <c r="Q123" s="1277"/>
      <c r="R123" s="1277"/>
      <c r="S123" s="1278"/>
      <c r="T123" s="1277"/>
      <c r="U123" s="1277"/>
      <c r="V123" s="1277"/>
      <c r="W123" s="1277"/>
      <c r="X123" s="1279"/>
      <c r="Y123" s="1277"/>
      <c r="Z123" s="1279"/>
      <c r="AA123" s="1277"/>
      <c r="AB123" s="1277"/>
      <c r="AC123" s="1277"/>
      <c r="AD123" s="1277"/>
      <c r="AE123" s="1277"/>
      <c r="AF123" s="1277"/>
    </row>
    <row r="124" spans="2:32" s="299" customFormat="1" ht="31.5" hidden="1" x14ac:dyDescent="0.25">
      <c r="B124" s="314">
        <v>1218</v>
      </c>
      <c r="C124" s="304" t="s">
        <v>2809</v>
      </c>
      <c r="D124" s="304" t="s">
        <v>2876</v>
      </c>
      <c r="E124" s="304" t="s">
        <v>2739</v>
      </c>
      <c r="F124" s="304" t="s">
        <v>2787</v>
      </c>
      <c r="G124" s="304" t="s">
        <v>2808</v>
      </c>
      <c r="H124" s="305">
        <v>31</v>
      </c>
      <c r="I124" s="295">
        <v>40</v>
      </c>
      <c r="J124" s="295" t="s">
        <v>2634</v>
      </c>
      <c r="K124" s="295">
        <v>2</v>
      </c>
      <c r="L124" s="306">
        <v>43334</v>
      </c>
      <c r="M124" s="316">
        <v>5.21</v>
      </c>
      <c r="N124" s="1105">
        <f>M124*AF118</f>
        <v>3623.2420273934622</v>
      </c>
      <c r="O124" s="684">
        <f>G235</f>
        <v>2557.7817</v>
      </c>
      <c r="P124" s="1107">
        <f>G269*AF118</f>
        <v>3129.4796781709365</v>
      </c>
      <c r="Q124" s="1107" t="str">
        <f>IF(P124&gt;O124,"0,00",(O124-P124))</f>
        <v>0,00</v>
      </c>
      <c r="R124" s="1107">
        <f>N124-O124</f>
        <v>1065.4603273934622</v>
      </c>
      <c r="S124" s="333">
        <v>0.12</v>
      </c>
      <c r="T124" s="334">
        <f>(((((((O124)*(1+4.12%)))))*S124))</f>
        <v>319.57947672479997</v>
      </c>
      <c r="U124" s="311">
        <v>0</v>
      </c>
      <c r="V124" s="334">
        <v>0</v>
      </c>
      <c r="W124" s="334">
        <v>0</v>
      </c>
      <c r="X124" s="312">
        <f>51.18/N124</f>
        <v>1.4125470949236746E-2</v>
      </c>
      <c r="Y124" s="334">
        <f t="shared" ref="Y124:Y138" si="163">N124*X124</f>
        <v>51.18</v>
      </c>
      <c r="Z124" s="312">
        <f t="shared" ref="Z124:Z138" si="164">0/N124</f>
        <v>0</v>
      </c>
      <c r="AA124" s="334">
        <f t="shared" ref="AA124:AA138" si="165">N124*Z124</f>
        <v>0</v>
      </c>
      <c r="AB124" s="334">
        <v>0</v>
      </c>
      <c r="AC124" s="335">
        <f t="shared" ref="AC124:AC138" si="166">(P124+Q124+R124+U124+V124)/3</f>
        <v>1398.3133351881327</v>
      </c>
      <c r="AD124" s="335">
        <f t="shared" ref="AD124:AD138" si="167">AC124*S124</f>
        <v>167.79760022257591</v>
      </c>
      <c r="AE124" s="335">
        <f t="shared" ref="AE124:AE138" si="168">(P124+Q124+R124+U124+V124)</f>
        <v>4194.9400055643982</v>
      </c>
      <c r="AF124" s="335">
        <f t="shared" ref="AF124:AF138" si="169">AE124*S124</f>
        <v>503.39280066772778</v>
      </c>
    </row>
    <row r="125" spans="2:32" s="299" customFormat="1" ht="31.5" hidden="1" x14ac:dyDescent="0.25">
      <c r="B125" s="314">
        <v>1225</v>
      </c>
      <c r="C125" s="314" t="s">
        <v>2810</v>
      </c>
      <c r="D125" s="304" t="s">
        <v>2796</v>
      </c>
      <c r="E125" s="304" t="s">
        <v>2739</v>
      </c>
      <c r="F125" s="304" t="s">
        <v>2787</v>
      </c>
      <c r="G125" s="304" t="s">
        <v>2808</v>
      </c>
      <c r="H125" s="305">
        <v>31</v>
      </c>
      <c r="I125" s="295">
        <v>20</v>
      </c>
      <c r="J125" s="295" t="s">
        <v>7248</v>
      </c>
      <c r="K125" s="295">
        <v>3</v>
      </c>
      <c r="L125" s="306">
        <v>43337</v>
      </c>
      <c r="M125" s="316">
        <v>2.46</v>
      </c>
      <c r="N125" s="1105">
        <f>M125*AF118</f>
        <v>1710.7822240667786</v>
      </c>
      <c r="O125" s="684">
        <f>H235</f>
        <v>1278.89085</v>
      </c>
      <c r="P125" s="1107">
        <f>G241*AF118</f>
        <v>1077.9318891477672</v>
      </c>
      <c r="Q125" s="1107">
        <f>IF(P125&gt;O125,"0,00",(O125-P125))</f>
        <v>200.95896085223285</v>
      </c>
      <c r="R125" s="1107">
        <f>N125-O125</f>
        <v>431.89137406677855</v>
      </c>
      <c r="S125" s="333">
        <v>0.12</v>
      </c>
      <c r="T125" s="334">
        <f>(((((((O125)*(1+4.12%)))))*S125))</f>
        <v>159.78973836239999</v>
      </c>
      <c r="U125" s="311">
        <v>0</v>
      </c>
      <c r="V125" s="334">
        <v>0</v>
      </c>
      <c r="W125" s="334">
        <v>0</v>
      </c>
      <c r="X125" s="312">
        <f>76.76/N125</f>
        <v>4.4868364260607238E-2</v>
      </c>
      <c r="Y125" s="334">
        <f t="shared" si="163"/>
        <v>76.760000000000005</v>
      </c>
      <c r="Z125" s="312">
        <f t="shared" si="164"/>
        <v>0</v>
      </c>
      <c r="AA125" s="334">
        <f t="shared" si="165"/>
        <v>0</v>
      </c>
      <c r="AB125" s="334">
        <v>0</v>
      </c>
      <c r="AC125" s="335">
        <f t="shared" si="166"/>
        <v>570.26074135559281</v>
      </c>
      <c r="AD125" s="335">
        <f t="shared" si="167"/>
        <v>68.431288962671132</v>
      </c>
      <c r="AE125" s="335">
        <f t="shared" si="168"/>
        <v>1710.7822240667786</v>
      </c>
      <c r="AF125" s="335">
        <f t="shared" si="169"/>
        <v>205.29386688801341</v>
      </c>
    </row>
    <row r="126" spans="2:32" s="299" customFormat="1" ht="31.5" hidden="1" x14ac:dyDescent="0.25">
      <c r="B126" s="314">
        <v>184</v>
      </c>
      <c r="C126" s="314" t="s">
        <v>2811</v>
      </c>
      <c r="D126" s="304" t="s">
        <v>2796</v>
      </c>
      <c r="E126" s="304" t="s">
        <v>2739</v>
      </c>
      <c r="F126" s="304" t="s">
        <v>2787</v>
      </c>
      <c r="G126" s="304" t="s">
        <v>2808</v>
      </c>
      <c r="H126" s="305">
        <v>31</v>
      </c>
      <c r="I126" s="295">
        <v>25</v>
      </c>
      <c r="J126" s="295" t="s">
        <v>2638</v>
      </c>
      <c r="K126" s="295">
        <v>3</v>
      </c>
      <c r="L126" s="306">
        <v>43224</v>
      </c>
      <c r="M126" s="316">
        <v>3.2</v>
      </c>
      <c r="N126" s="1105">
        <f>M126*AF118</f>
        <v>2225.4077711437772</v>
      </c>
      <c r="O126" s="684">
        <f>M235</f>
        <v>1598.6135624999999</v>
      </c>
      <c r="P126" s="1107">
        <f>G259*AF118</f>
        <v>1342.1990619710905</v>
      </c>
      <c r="Q126" s="1107">
        <f>IF(P126&gt;O126,"0,00",(O126-P126))</f>
        <v>256.41450052890946</v>
      </c>
      <c r="R126" s="1107">
        <f>N126-O126</f>
        <v>626.79420864377721</v>
      </c>
      <c r="S126" s="333">
        <v>0.22</v>
      </c>
      <c r="T126" s="334">
        <f>(((((((O126)*(1+4.12%))))*(1+4.12%)))*(1+4.12%))*S126</f>
        <v>396.98002276383824</v>
      </c>
      <c r="U126" s="311">
        <v>0</v>
      </c>
      <c r="V126" s="334">
        <v>0</v>
      </c>
      <c r="W126" s="334">
        <v>0</v>
      </c>
      <c r="X126" s="312">
        <f>0/N126</f>
        <v>0</v>
      </c>
      <c r="Y126" s="334">
        <f t="shared" si="163"/>
        <v>0</v>
      </c>
      <c r="Z126" s="312">
        <f t="shared" si="164"/>
        <v>0</v>
      </c>
      <c r="AA126" s="334">
        <f t="shared" si="165"/>
        <v>0</v>
      </c>
      <c r="AB126" s="334">
        <v>0</v>
      </c>
      <c r="AC126" s="335">
        <f t="shared" si="166"/>
        <v>741.80259038125905</v>
      </c>
      <c r="AD126" s="335">
        <f t="shared" si="167"/>
        <v>163.196569883877</v>
      </c>
      <c r="AE126" s="335">
        <f t="shared" si="168"/>
        <v>2225.4077711437772</v>
      </c>
      <c r="AF126" s="335">
        <f t="shared" si="169"/>
        <v>489.58970965163098</v>
      </c>
    </row>
    <row r="127" spans="2:32" s="299" customFormat="1" ht="31.5" hidden="1" x14ac:dyDescent="0.25">
      <c r="B127" s="314">
        <v>866</v>
      </c>
      <c r="C127" s="314" t="s">
        <v>2812</v>
      </c>
      <c r="D127" s="304" t="s">
        <v>2796</v>
      </c>
      <c r="E127" s="304" t="s">
        <v>2739</v>
      </c>
      <c r="F127" s="304" t="s">
        <v>2787</v>
      </c>
      <c r="G127" s="304" t="s">
        <v>2808</v>
      </c>
      <c r="H127" s="305">
        <v>31</v>
      </c>
      <c r="I127" s="295">
        <v>25</v>
      </c>
      <c r="J127" s="295" t="s">
        <v>2648</v>
      </c>
      <c r="K127" s="295">
        <v>3</v>
      </c>
      <c r="L127" s="306">
        <v>43348</v>
      </c>
      <c r="M127" s="295">
        <v>3.07</v>
      </c>
      <c r="N127" s="1105">
        <f>M127*AF118</f>
        <v>2135.0005804410612</v>
      </c>
      <c r="O127" s="684">
        <f>M235</f>
        <v>1598.6135624999999</v>
      </c>
      <c r="P127" s="1107">
        <f>G259*AF118</f>
        <v>1342.1990619710905</v>
      </c>
      <c r="Q127" s="1107">
        <f>IF(P127&gt;O127,"0,00",(O127-P127))</f>
        <v>256.41450052890946</v>
      </c>
      <c r="R127" s="1107">
        <f>N127-O127</f>
        <v>536.38701794106123</v>
      </c>
      <c r="S127" s="333">
        <v>0.15</v>
      </c>
      <c r="T127" s="334">
        <f>(((((((O127)*(1+4.12%))))*(1+4.12%))))*S127</f>
        <v>259.95793059832943</v>
      </c>
      <c r="U127" s="311">
        <v>0</v>
      </c>
      <c r="V127" s="334">
        <v>0</v>
      </c>
      <c r="W127" s="334">
        <v>0</v>
      </c>
      <c r="X127" s="312">
        <f>76.76/N127</f>
        <v>3.595315181794586E-2</v>
      </c>
      <c r="Y127" s="334">
        <f t="shared" si="163"/>
        <v>76.760000000000005</v>
      </c>
      <c r="Z127" s="312">
        <f t="shared" si="164"/>
        <v>0</v>
      </c>
      <c r="AA127" s="334">
        <f t="shared" si="165"/>
        <v>0</v>
      </c>
      <c r="AB127" s="334">
        <v>0</v>
      </c>
      <c r="AC127" s="335">
        <f t="shared" si="166"/>
        <v>711.66686014702043</v>
      </c>
      <c r="AD127" s="335">
        <f t="shared" si="167"/>
        <v>106.75002902205306</v>
      </c>
      <c r="AE127" s="335">
        <f t="shared" si="168"/>
        <v>2135.0005804410612</v>
      </c>
      <c r="AF127" s="335">
        <f t="shared" si="169"/>
        <v>320.25008706615915</v>
      </c>
    </row>
    <row r="128" spans="2:32" s="299" customFormat="1" ht="31.5" hidden="1" x14ac:dyDescent="0.25">
      <c r="B128" s="314">
        <v>1534</v>
      </c>
      <c r="C128" s="314" t="s">
        <v>2813</v>
      </c>
      <c r="D128" s="304" t="s">
        <v>2796</v>
      </c>
      <c r="E128" s="304" t="s">
        <v>2739</v>
      </c>
      <c r="F128" s="304" t="s">
        <v>2787</v>
      </c>
      <c r="G128" s="304" t="s">
        <v>2808</v>
      </c>
      <c r="H128" s="305">
        <v>31</v>
      </c>
      <c r="I128" s="295">
        <v>20</v>
      </c>
      <c r="J128" s="295" t="s">
        <v>2634</v>
      </c>
      <c r="K128" s="295">
        <v>3</v>
      </c>
      <c r="L128" s="306">
        <v>43366</v>
      </c>
      <c r="M128" s="295">
        <v>2.36</v>
      </c>
      <c r="N128" s="1105">
        <f>M128*AF118</f>
        <v>1641.2382312185355</v>
      </c>
      <c r="O128" s="684">
        <f>H235</f>
        <v>1278.89085</v>
      </c>
      <c r="P128" s="1107">
        <f>G241*AF118</f>
        <v>1077.9318891477672</v>
      </c>
      <c r="Q128" s="1107">
        <f>IF(P128&gt;O128,"0,00",(O128-P128))</f>
        <v>200.95896085223285</v>
      </c>
      <c r="R128" s="1107">
        <f>N128-O128</f>
        <v>362.34738121853547</v>
      </c>
      <c r="S128" s="333">
        <v>0.09</v>
      </c>
      <c r="T128" s="334">
        <f>(((((((O128)*(1+4.12%)))))*S128))</f>
        <v>119.84230377179999</v>
      </c>
      <c r="U128" s="311">
        <f>AF118*0.8</f>
        <v>556.35194278594429</v>
      </c>
      <c r="V128" s="334">
        <f>O128/20*20</f>
        <v>1278.89085</v>
      </c>
      <c r="W128" s="334">
        <v>0</v>
      </c>
      <c r="X128" s="312">
        <f>76.76/N128</f>
        <v>4.6769566136056692E-2</v>
      </c>
      <c r="Y128" s="334">
        <f t="shared" si="163"/>
        <v>76.760000000000005</v>
      </c>
      <c r="Z128" s="312">
        <f t="shared" si="164"/>
        <v>0</v>
      </c>
      <c r="AA128" s="334">
        <f t="shared" si="165"/>
        <v>0</v>
      </c>
      <c r="AB128" s="334">
        <v>0</v>
      </c>
      <c r="AC128" s="335">
        <f t="shared" si="166"/>
        <v>1158.8270080014934</v>
      </c>
      <c r="AD128" s="335">
        <f t="shared" si="167"/>
        <v>104.2944307201344</v>
      </c>
      <c r="AE128" s="335">
        <f t="shared" si="168"/>
        <v>3476.4810240044799</v>
      </c>
      <c r="AF128" s="335">
        <f t="shared" si="169"/>
        <v>312.88329216040319</v>
      </c>
    </row>
    <row r="129" spans="2:32" s="299" customFormat="1" ht="31.5" hidden="1" x14ac:dyDescent="0.25">
      <c r="B129" s="314">
        <v>402</v>
      </c>
      <c r="C129" s="314" t="s">
        <v>2815</v>
      </c>
      <c r="D129" s="304" t="s">
        <v>2796</v>
      </c>
      <c r="E129" s="304" t="s">
        <v>2739</v>
      </c>
      <c r="F129" s="304" t="s">
        <v>2787</v>
      </c>
      <c r="G129" s="304" t="s">
        <v>2808</v>
      </c>
      <c r="H129" s="305">
        <v>31</v>
      </c>
      <c r="I129" s="295">
        <v>25</v>
      </c>
      <c r="J129" s="295" t="s">
        <v>2638</v>
      </c>
      <c r="K129" s="295">
        <v>3</v>
      </c>
      <c r="L129" s="306">
        <v>36962</v>
      </c>
      <c r="M129" s="295">
        <v>3.2</v>
      </c>
      <c r="N129" s="1105">
        <f>M129*AF118</f>
        <v>2225.4077711437772</v>
      </c>
      <c r="O129" s="684">
        <f>M235</f>
        <v>1598.6135624999999</v>
      </c>
      <c r="P129" s="1107">
        <f>G259*AF118</f>
        <v>1342.1990619710905</v>
      </c>
      <c r="Q129" s="1107">
        <f t="shared" ref="Q129:Q138" si="170">IF(P129&gt;O129,"0,00",(O129-P129))</f>
        <v>256.41450052890946</v>
      </c>
      <c r="R129" s="1107">
        <f t="shared" ref="R129:R138" si="171">N129-O129</f>
        <v>626.79420864377721</v>
      </c>
      <c r="S129" s="333">
        <v>0.19</v>
      </c>
      <c r="T129" s="334">
        <f t="shared" ref="T129:T130" si="172">(((((((O129)*(1+4.12%))))*(1+4.12%)))*(1+4.12%))*S129</f>
        <v>342.84638329604212</v>
      </c>
      <c r="U129" s="311">
        <v>0</v>
      </c>
      <c r="V129" s="336">
        <v>0</v>
      </c>
      <c r="W129" s="334">
        <v>0</v>
      </c>
      <c r="X129" s="312">
        <f>76.76/N129</f>
        <v>3.4492555025341806E-2</v>
      </c>
      <c r="Y129" s="334">
        <f t="shared" si="163"/>
        <v>76.760000000000005</v>
      </c>
      <c r="Z129" s="312">
        <f t="shared" si="164"/>
        <v>0</v>
      </c>
      <c r="AA129" s="334">
        <f t="shared" si="165"/>
        <v>0</v>
      </c>
      <c r="AB129" s="334">
        <v>0</v>
      </c>
      <c r="AC129" s="335">
        <f t="shared" si="166"/>
        <v>741.80259038125905</v>
      </c>
      <c r="AD129" s="335">
        <f t="shared" si="167"/>
        <v>140.94249217243922</v>
      </c>
      <c r="AE129" s="335">
        <f t="shared" si="168"/>
        <v>2225.4077711437772</v>
      </c>
      <c r="AF129" s="335">
        <f t="shared" si="169"/>
        <v>422.82747651731768</v>
      </c>
    </row>
    <row r="130" spans="2:32" s="299" customFormat="1" ht="31.5" hidden="1" x14ac:dyDescent="0.25">
      <c r="B130" s="314">
        <v>455</v>
      </c>
      <c r="C130" s="314" t="s">
        <v>2816</v>
      </c>
      <c r="D130" s="304" t="s">
        <v>2796</v>
      </c>
      <c r="E130" s="304" t="s">
        <v>2739</v>
      </c>
      <c r="F130" s="304" t="s">
        <v>2787</v>
      </c>
      <c r="G130" s="304" t="s">
        <v>2808</v>
      </c>
      <c r="H130" s="305">
        <v>31</v>
      </c>
      <c r="I130" s="295">
        <v>25</v>
      </c>
      <c r="J130" s="295" t="s">
        <v>2638</v>
      </c>
      <c r="K130" s="295">
        <v>3</v>
      </c>
      <c r="L130" s="306">
        <v>37032</v>
      </c>
      <c r="M130" s="295">
        <v>3.2</v>
      </c>
      <c r="N130" s="1105">
        <f>M130*AF118</f>
        <v>2225.4077711437772</v>
      </c>
      <c r="O130" s="684">
        <f>M235</f>
        <v>1598.6135624999999</v>
      </c>
      <c r="P130" s="1107">
        <f>G$259*AF118</f>
        <v>1342.1990619710905</v>
      </c>
      <c r="Q130" s="1107">
        <f t="shared" si="170"/>
        <v>256.41450052890946</v>
      </c>
      <c r="R130" s="1107">
        <f t="shared" si="171"/>
        <v>626.79420864377721</v>
      </c>
      <c r="S130" s="333">
        <v>0.19</v>
      </c>
      <c r="T130" s="334">
        <f t="shared" si="172"/>
        <v>342.84638329604212</v>
      </c>
      <c r="U130" s="311">
        <f>AF118*0.8</f>
        <v>556.35194278594429</v>
      </c>
      <c r="V130" s="334">
        <f>O130/I130*15</f>
        <v>959.16813749999994</v>
      </c>
      <c r="W130" s="334">
        <v>0</v>
      </c>
      <c r="X130" s="312">
        <f>0/N130</f>
        <v>0</v>
      </c>
      <c r="Y130" s="334">
        <f t="shared" si="163"/>
        <v>0</v>
      </c>
      <c r="Z130" s="312">
        <f t="shared" si="164"/>
        <v>0</v>
      </c>
      <c r="AA130" s="334">
        <f t="shared" si="165"/>
        <v>0</v>
      </c>
      <c r="AB130" s="334">
        <v>0</v>
      </c>
      <c r="AC130" s="335">
        <f t="shared" si="166"/>
        <v>1246.9759504765736</v>
      </c>
      <c r="AD130" s="335">
        <f t="shared" si="167"/>
        <v>236.92543059054898</v>
      </c>
      <c r="AE130" s="335">
        <f t="shared" si="168"/>
        <v>3740.9278514297212</v>
      </c>
      <c r="AF130" s="335">
        <f t="shared" si="169"/>
        <v>710.77629177164704</v>
      </c>
    </row>
    <row r="131" spans="2:32" s="299" customFormat="1" ht="31.5" hidden="1" x14ac:dyDescent="0.25">
      <c r="B131" s="314">
        <v>1235</v>
      </c>
      <c r="C131" s="314" t="s">
        <v>2817</v>
      </c>
      <c r="D131" s="304" t="s">
        <v>2796</v>
      </c>
      <c r="E131" s="304" t="s">
        <v>2739</v>
      </c>
      <c r="F131" s="304" t="s">
        <v>2787</v>
      </c>
      <c r="G131" s="304" t="s">
        <v>2808</v>
      </c>
      <c r="H131" s="305">
        <v>31</v>
      </c>
      <c r="I131" s="295">
        <v>20</v>
      </c>
      <c r="J131" s="295" t="s">
        <v>2648</v>
      </c>
      <c r="K131" s="295">
        <v>3</v>
      </c>
      <c r="L131" s="306">
        <v>39720</v>
      </c>
      <c r="M131" s="295">
        <v>2.46</v>
      </c>
      <c r="N131" s="1105">
        <f>M131*AF118</f>
        <v>1710.7822240667786</v>
      </c>
      <c r="O131" s="684">
        <f>H235</f>
        <v>1278.89085</v>
      </c>
      <c r="P131" s="1107">
        <f>G$241*AF118</f>
        <v>1077.9318891477672</v>
      </c>
      <c r="Q131" s="1107">
        <f t="shared" si="170"/>
        <v>200.95896085223285</v>
      </c>
      <c r="R131" s="1107">
        <f t="shared" si="171"/>
        <v>431.89137406677855</v>
      </c>
      <c r="S131" s="333">
        <v>0.12</v>
      </c>
      <c r="T131" s="334">
        <f>(((((((O131)*(1+4.12%))))))*S131)</f>
        <v>159.78973836239999</v>
      </c>
      <c r="U131" s="311">
        <v>0</v>
      </c>
      <c r="V131" s="334">
        <f t="shared" ref="V131:V133" si="173">N131/I131*0</f>
        <v>0</v>
      </c>
      <c r="W131" s="334">
        <v>0</v>
      </c>
      <c r="X131" s="312">
        <f>76.76/N131</f>
        <v>4.4868364260607238E-2</v>
      </c>
      <c r="Y131" s="334">
        <f t="shared" si="163"/>
        <v>76.760000000000005</v>
      </c>
      <c r="Z131" s="312">
        <f t="shared" si="164"/>
        <v>0</v>
      </c>
      <c r="AA131" s="334">
        <f t="shared" si="165"/>
        <v>0</v>
      </c>
      <c r="AB131" s="334">
        <v>0</v>
      </c>
      <c r="AC131" s="335">
        <f t="shared" si="166"/>
        <v>570.26074135559281</v>
      </c>
      <c r="AD131" s="335">
        <f t="shared" si="167"/>
        <v>68.431288962671132</v>
      </c>
      <c r="AE131" s="335">
        <f t="shared" si="168"/>
        <v>1710.7822240667786</v>
      </c>
      <c r="AF131" s="335">
        <f t="shared" si="169"/>
        <v>205.29386688801341</v>
      </c>
    </row>
    <row r="132" spans="2:32" s="299" customFormat="1" ht="31.5" hidden="1" x14ac:dyDescent="0.25">
      <c r="B132" s="314">
        <v>889</v>
      </c>
      <c r="C132" s="314" t="s">
        <v>2818</v>
      </c>
      <c r="D132" s="304" t="s">
        <v>2796</v>
      </c>
      <c r="E132" s="304" t="s">
        <v>2739</v>
      </c>
      <c r="F132" s="304" t="s">
        <v>2787</v>
      </c>
      <c r="G132" s="304" t="s">
        <v>2808</v>
      </c>
      <c r="H132" s="305">
        <v>31</v>
      </c>
      <c r="I132" s="295">
        <v>22</v>
      </c>
      <c r="J132" s="295" t="s">
        <v>2648</v>
      </c>
      <c r="K132" s="295">
        <v>3</v>
      </c>
      <c r="L132" s="306">
        <v>38761</v>
      </c>
      <c r="M132" s="316">
        <v>2.71</v>
      </c>
      <c r="N132" s="1105">
        <f>M132*AF118</f>
        <v>1884.6422061873861</v>
      </c>
      <c r="O132" s="684">
        <f>J235</f>
        <v>1406.779935</v>
      </c>
      <c r="P132" s="1107">
        <f>G$250*AF118</f>
        <v>1182.2478784201314</v>
      </c>
      <c r="Q132" s="1107">
        <f t="shared" si="170"/>
        <v>224.53205657986859</v>
      </c>
      <c r="R132" s="1107">
        <f t="shared" si="171"/>
        <v>477.86227118738611</v>
      </c>
      <c r="S132" s="333">
        <v>0.14000000000000001</v>
      </c>
      <c r="T132" s="334">
        <f>(((((((O132)*(1+4.12%))))*(1+4.12%))))*S132</f>
        <v>213.51211366476127</v>
      </c>
      <c r="U132" s="311">
        <v>0</v>
      </c>
      <c r="V132" s="334">
        <f t="shared" si="173"/>
        <v>0</v>
      </c>
      <c r="W132" s="334">
        <v>0</v>
      </c>
      <c r="X132" s="312">
        <f>76.76/N132</f>
        <v>4.072921626608627E-2</v>
      </c>
      <c r="Y132" s="334">
        <f t="shared" si="163"/>
        <v>76.760000000000005</v>
      </c>
      <c r="Z132" s="312">
        <f t="shared" si="164"/>
        <v>0</v>
      </c>
      <c r="AA132" s="334">
        <f t="shared" si="165"/>
        <v>0</v>
      </c>
      <c r="AB132" s="334">
        <v>0</v>
      </c>
      <c r="AC132" s="335">
        <f t="shared" si="166"/>
        <v>628.21406872912871</v>
      </c>
      <c r="AD132" s="335">
        <f t="shared" si="167"/>
        <v>87.949969622078029</v>
      </c>
      <c r="AE132" s="335">
        <f t="shared" si="168"/>
        <v>1884.6422061873861</v>
      </c>
      <c r="AF132" s="335">
        <f t="shared" si="169"/>
        <v>263.8499088662341</v>
      </c>
    </row>
    <row r="133" spans="2:32" s="299" customFormat="1" ht="31.5" hidden="1" x14ac:dyDescent="0.25">
      <c r="B133" s="314">
        <v>1917</v>
      </c>
      <c r="C133" s="314" t="s">
        <v>2818</v>
      </c>
      <c r="D133" s="304" t="s">
        <v>2796</v>
      </c>
      <c r="E133" s="304" t="s">
        <v>2739</v>
      </c>
      <c r="F133" s="304" t="s">
        <v>2787</v>
      </c>
      <c r="G133" s="304" t="s">
        <v>2808</v>
      </c>
      <c r="H133" s="305">
        <v>31</v>
      </c>
      <c r="I133" s="295">
        <v>25</v>
      </c>
      <c r="J133" s="295" t="s">
        <v>2636</v>
      </c>
      <c r="K133" s="295">
        <v>3</v>
      </c>
      <c r="L133" s="306">
        <v>42065</v>
      </c>
      <c r="M133" s="295">
        <v>2.84</v>
      </c>
      <c r="N133" s="1105">
        <f>M133*AF118</f>
        <v>1975.0493968901021</v>
      </c>
      <c r="O133" s="684">
        <f>M235</f>
        <v>1598.6135624999999</v>
      </c>
      <c r="P133" s="1107">
        <f>G$259*AF118</f>
        <v>1342.1990619710905</v>
      </c>
      <c r="Q133" s="1107">
        <f t="shared" si="170"/>
        <v>256.41450052890946</v>
      </c>
      <c r="R133" s="1107">
        <f t="shared" si="171"/>
        <v>376.43583439010217</v>
      </c>
      <c r="S133" s="333">
        <v>0.05</v>
      </c>
      <c r="T133" s="334">
        <f>O133*S133</f>
        <v>79.930678125</v>
      </c>
      <c r="U133" s="311">
        <v>0</v>
      </c>
      <c r="V133" s="334">
        <f t="shared" si="173"/>
        <v>0</v>
      </c>
      <c r="W133" s="334">
        <v>0</v>
      </c>
      <c r="X133" s="312">
        <f>0/N133</f>
        <v>0</v>
      </c>
      <c r="Y133" s="334">
        <f t="shared" si="163"/>
        <v>0</v>
      </c>
      <c r="Z133" s="312">
        <f t="shared" si="164"/>
        <v>0</v>
      </c>
      <c r="AA133" s="334">
        <f t="shared" si="165"/>
        <v>0</v>
      </c>
      <c r="AB133" s="334">
        <v>0</v>
      </c>
      <c r="AC133" s="335">
        <f t="shared" si="166"/>
        <v>658.34979896336733</v>
      </c>
      <c r="AD133" s="335">
        <f t="shared" si="167"/>
        <v>32.917489948168367</v>
      </c>
      <c r="AE133" s="335">
        <f t="shared" si="168"/>
        <v>1975.0493968901021</v>
      </c>
      <c r="AF133" s="335">
        <f t="shared" si="169"/>
        <v>98.752469844505114</v>
      </c>
    </row>
    <row r="134" spans="2:32" s="299" customFormat="1" ht="31.5" hidden="1" x14ac:dyDescent="0.25">
      <c r="B134" s="314">
        <v>2254</v>
      </c>
      <c r="C134" s="314" t="s">
        <v>2819</v>
      </c>
      <c r="D134" s="304" t="s">
        <v>2796</v>
      </c>
      <c r="E134" s="304" t="s">
        <v>2739</v>
      </c>
      <c r="F134" s="304" t="s">
        <v>2787</v>
      </c>
      <c r="G134" s="304" t="s">
        <v>2808</v>
      </c>
      <c r="H134" s="305">
        <v>31</v>
      </c>
      <c r="I134" s="295">
        <v>20</v>
      </c>
      <c r="J134" s="295" t="s">
        <v>2636</v>
      </c>
      <c r="K134" s="295">
        <v>3</v>
      </c>
      <c r="L134" s="306">
        <v>43228</v>
      </c>
      <c r="M134" s="295">
        <v>2.27</v>
      </c>
      <c r="N134" s="1105">
        <f>M134*AF118</f>
        <v>1578.6486376551168</v>
      </c>
      <c r="O134" s="684">
        <f>H235</f>
        <v>1278.89085</v>
      </c>
      <c r="P134" s="1107">
        <f>G$241*AF118</f>
        <v>1077.9318891477672</v>
      </c>
      <c r="Q134" s="1107">
        <f t="shared" si="170"/>
        <v>200.95896085223285</v>
      </c>
      <c r="R134" s="1107">
        <f t="shared" si="171"/>
        <v>299.75778765511677</v>
      </c>
      <c r="S134" s="333">
        <v>0.02</v>
      </c>
      <c r="T134" s="334">
        <f>O134*S134</f>
        <v>25.577817</v>
      </c>
      <c r="U134" s="311">
        <v>0</v>
      </c>
      <c r="V134" s="334">
        <f>N134/I134*20</f>
        <v>1578.6486376551168</v>
      </c>
      <c r="W134" s="334">
        <v>0</v>
      </c>
      <c r="X134" s="312">
        <f t="shared" ref="X134:X140" si="174">76.76/N134</f>
        <v>4.8623866115019294E-2</v>
      </c>
      <c r="Y134" s="334">
        <f t="shared" si="163"/>
        <v>76.760000000000005</v>
      </c>
      <c r="Z134" s="312">
        <f t="shared" si="164"/>
        <v>0</v>
      </c>
      <c r="AA134" s="334">
        <f t="shared" si="165"/>
        <v>0</v>
      </c>
      <c r="AB134" s="334">
        <v>0</v>
      </c>
      <c r="AC134" s="335">
        <f t="shared" si="166"/>
        <v>1052.4324251034111</v>
      </c>
      <c r="AD134" s="335">
        <f t="shared" si="167"/>
        <v>21.048648502068222</v>
      </c>
      <c r="AE134" s="335">
        <f t="shared" si="168"/>
        <v>3157.2972753102335</v>
      </c>
      <c r="AF134" s="335">
        <f t="shared" si="169"/>
        <v>63.145945506204676</v>
      </c>
    </row>
    <row r="135" spans="2:32" s="299" customFormat="1" ht="31.5" hidden="1" x14ac:dyDescent="0.25">
      <c r="B135" s="314">
        <v>1212</v>
      </c>
      <c r="C135" s="314" t="s">
        <v>2820</v>
      </c>
      <c r="D135" s="304" t="s">
        <v>2796</v>
      </c>
      <c r="E135" s="304" t="s">
        <v>2739</v>
      </c>
      <c r="F135" s="304" t="s">
        <v>2787</v>
      </c>
      <c r="G135" s="304" t="s">
        <v>2808</v>
      </c>
      <c r="H135" s="305">
        <v>31</v>
      </c>
      <c r="I135" s="295">
        <v>20</v>
      </c>
      <c r="J135" s="295" t="s">
        <v>2634</v>
      </c>
      <c r="K135" s="295">
        <v>4</v>
      </c>
      <c r="L135" s="306">
        <v>43331</v>
      </c>
      <c r="M135" s="295">
        <v>2.6</v>
      </c>
      <c r="N135" s="1105">
        <f>M135*AF118</f>
        <v>1808.1438140543189</v>
      </c>
      <c r="O135" s="684">
        <f>H235</f>
        <v>1278.89085</v>
      </c>
      <c r="P135" s="1107">
        <f>G$241*AF118</f>
        <v>1077.9318891477672</v>
      </c>
      <c r="Q135" s="1107">
        <f t="shared" si="170"/>
        <v>200.95896085223285</v>
      </c>
      <c r="R135" s="1107">
        <f t="shared" si="171"/>
        <v>529.25296405431891</v>
      </c>
      <c r="S135" s="333">
        <v>0.12</v>
      </c>
      <c r="T135" s="334">
        <f>O135*S135</f>
        <v>153.466902</v>
      </c>
      <c r="U135" s="311">
        <v>0</v>
      </c>
      <c r="V135" s="334">
        <f t="shared" ref="V135:V137" si="175">N135/I135*0</f>
        <v>0</v>
      </c>
      <c r="W135" s="334">
        <v>0</v>
      </c>
      <c r="X135" s="312">
        <f t="shared" si="174"/>
        <v>4.2452375415805307E-2</v>
      </c>
      <c r="Y135" s="334">
        <f t="shared" si="163"/>
        <v>76.760000000000005</v>
      </c>
      <c r="Z135" s="312">
        <f t="shared" si="164"/>
        <v>0</v>
      </c>
      <c r="AA135" s="334">
        <f t="shared" si="165"/>
        <v>0</v>
      </c>
      <c r="AB135" s="334">
        <v>0</v>
      </c>
      <c r="AC135" s="335">
        <f t="shared" si="166"/>
        <v>602.71460468477301</v>
      </c>
      <c r="AD135" s="335">
        <f t="shared" si="167"/>
        <v>72.325752562172752</v>
      </c>
      <c r="AE135" s="335">
        <f t="shared" si="168"/>
        <v>1808.1438140543189</v>
      </c>
      <c r="AF135" s="335">
        <f t="shared" si="169"/>
        <v>216.97725768651827</v>
      </c>
    </row>
    <row r="136" spans="2:32" s="299" customFormat="1" ht="31.5" hidden="1" x14ac:dyDescent="0.25">
      <c r="B136" s="314">
        <v>1907</v>
      </c>
      <c r="C136" s="314" t="s">
        <v>2821</v>
      </c>
      <c r="D136" s="304" t="s">
        <v>2796</v>
      </c>
      <c r="E136" s="304" t="s">
        <v>2739</v>
      </c>
      <c r="F136" s="304" t="s">
        <v>2787</v>
      </c>
      <c r="G136" s="304" t="s">
        <v>2808</v>
      </c>
      <c r="H136" s="305">
        <v>31</v>
      </c>
      <c r="I136" s="295">
        <v>20</v>
      </c>
      <c r="J136" s="295" t="s">
        <v>2636</v>
      </c>
      <c r="K136" s="295">
        <v>3</v>
      </c>
      <c r="L136" s="306">
        <v>42054</v>
      </c>
      <c r="M136" s="295">
        <v>2.27</v>
      </c>
      <c r="N136" s="1105">
        <f>M136*AF118</f>
        <v>1578.6486376551168</v>
      </c>
      <c r="O136" s="684">
        <f>H$235</f>
        <v>1278.89085</v>
      </c>
      <c r="P136" s="1107">
        <f>G$241*AF118</f>
        <v>1077.9318891477672</v>
      </c>
      <c r="Q136" s="1107">
        <f t="shared" si="170"/>
        <v>200.95896085223285</v>
      </c>
      <c r="R136" s="1107">
        <f t="shared" si="171"/>
        <v>299.75778765511677</v>
      </c>
      <c r="S136" s="333">
        <v>0.05</v>
      </c>
      <c r="T136" s="334">
        <f>O136*S136</f>
        <v>63.944542500000004</v>
      </c>
      <c r="U136" s="311">
        <v>0</v>
      </c>
      <c r="V136" s="334">
        <f t="shared" si="175"/>
        <v>0</v>
      </c>
      <c r="W136" s="334">
        <v>0</v>
      </c>
      <c r="X136" s="312">
        <f t="shared" si="174"/>
        <v>4.8623866115019294E-2</v>
      </c>
      <c r="Y136" s="334">
        <f t="shared" si="163"/>
        <v>76.760000000000005</v>
      </c>
      <c r="Z136" s="312">
        <f t="shared" si="164"/>
        <v>0</v>
      </c>
      <c r="AA136" s="334">
        <f t="shared" si="165"/>
        <v>0</v>
      </c>
      <c r="AB136" s="334">
        <v>0</v>
      </c>
      <c r="AC136" s="335">
        <f t="shared" si="166"/>
        <v>526.21621255170555</v>
      </c>
      <c r="AD136" s="335">
        <f t="shared" si="167"/>
        <v>26.31081062758528</v>
      </c>
      <c r="AE136" s="335">
        <f t="shared" si="168"/>
        <v>1578.6486376551168</v>
      </c>
      <c r="AF136" s="335">
        <f t="shared" si="169"/>
        <v>78.93243188275585</v>
      </c>
    </row>
    <row r="137" spans="2:32" s="299" customFormat="1" ht="31.5" hidden="1" x14ac:dyDescent="0.25">
      <c r="B137" s="314">
        <v>2009</v>
      </c>
      <c r="C137" s="314" t="s">
        <v>2822</v>
      </c>
      <c r="D137" s="304" t="s">
        <v>2796</v>
      </c>
      <c r="E137" s="304" t="s">
        <v>2739</v>
      </c>
      <c r="F137" s="304" t="s">
        <v>2787</v>
      </c>
      <c r="G137" s="304" t="s">
        <v>2808</v>
      </c>
      <c r="H137" s="305">
        <v>31</v>
      </c>
      <c r="I137" s="295">
        <v>25</v>
      </c>
      <c r="J137" s="295" t="s">
        <v>2636</v>
      </c>
      <c r="K137" s="295">
        <v>3</v>
      </c>
      <c r="L137" s="306">
        <v>42054</v>
      </c>
      <c r="M137" s="295">
        <v>2.84</v>
      </c>
      <c r="N137" s="1105">
        <f>M137*AF118</f>
        <v>1975.0493968901021</v>
      </c>
      <c r="O137" s="684">
        <f>M$235</f>
        <v>1598.6135624999999</v>
      </c>
      <c r="P137" s="1107">
        <f>G$259*AF118</f>
        <v>1342.1990619710905</v>
      </c>
      <c r="Q137" s="1107">
        <f t="shared" si="170"/>
        <v>256.41450052890946</v>
      </c>
      <c r="R137" s="1107">
        <f t="shared" si="171"/>
        <v>376.43583439010217</v>
      </c>
      <c r="S137" s="333">
        <v>0.04</v>
      </c>
      <c r="T137" s="334">
        <f>O137*S137</f>
        <v>63.944542499999997</v>
      </c>
      <c r="U137" s="311">
        <v>0</v>
      </c>
      <c r="V137" s="334">
        <f t="shared" si="175"/>
        <v>0</v>
      </c>
      <c r="W137" s="334">
        <v>0</v>
      </c>
      <c r="X137" s="312">
        <f t="shared" si="174"/>
        <v>3.8864850732779503E-2</v>
      </c>
      <c r="Y137" s="334">
        <f t="shared" si="163"/>
        <v>76.760000000000005</v>
      </c>
      <c r="Z137" s="312">
        <f t="shared" si="164"/>
        <v>0</v>
      </c>
      <c r="AA137" s="334">
        <f t="shared" si="165"/>
        <v>0</v>
      </c>
      <c r="AB137" s="334">
        <v>0</v>
      </c>
      <c r="AC137" s="335">
        <f t="shared" si="166"/>
        <v>658.34979896336733</v>
      </c>
      <c r="AD137" s="335">
        <f t="shared" si="167"/>
        <v>26.333991958534693</v>
      </c>
      <c r="AE137" s="335">
        <f t="shared" si="168"/>
        <v>1975.0493968901021</v>
      </c>
      <c r="AF137" s="335">
        <f t="shared" si="169"/>
        <v>79.001975875604089</v>
      </c>
    </row>
    <row r="138" spans="2:32" s="299" customFormat="1" ht="31.5" hidden="1" x14ac:dyDescent="0.25">
      <c r="B138" s="314">
        <v>1311</v>
      </c>
      <c r="C138" s="314" t="s">
        <v>2823</v>
      </c>
      <c r="D138" s="304" t="s">
        <v>2796</v>
      </c>
      <c r="E138" s="304" t="s">
        <v>2739</v>
      </c>
      <c r="F138" s="304" t="s">
        <v>2787</v>
      </c>
      <c r="G138" s="304" t="s">
        <v>2808</v>
      </c>
      <c r="H138" s="305">
        <v>31</v>
      </c>
      <c r="I138" s="295">
        <v>20</v>
      </c>
      <c r="J138" s="295" t="s">
        <v>2634</v>
      </c>
      <c r="K138" s="295">
        <v>2</v>
      </c>
      <c r="L138" s="306">
        <v>39946</v>
      </c>
      <c r="M138" s="295">
        <v>2.13</v>
      </c>
      <c r="N138" s="1105">
        <f>M138*AF118</f>
        <v>1481.2870476675766</v>
      </c>
      <c r="O138" s="684">
        <f>H$235</f>
        <v>1278.89085</v>
      </c>
      <c r="P138" s="1107">
        <f>G$241*AF118</f>
        <v>1077.9318891477672</v>
      </c>
      <c r="Q138" s="1107">
        <f t="shared" si="170"/>
        <v>200.95896085223285</v>
      </c>
      <c r="R138" s="1107">
        <f t="shared" si="171"/>
        <v>202.39619766757664</v>
      </c>
      <c r="S138" s="333">
        <v>0.11</v>
      </c>
      <c r="T138" s="334">
        <f>(((((((O138)*(1+4.12%))))*(1+4.12%))))*S138</f>
        <v>152.50865261768661</v>
      </c>
      <c r="U138" s="311">
        <v>0</v>
      </c>
      <c r="V138" s="334">
        <f>O138/I138*0</f>
        <v>0</v>
      </c>
      <c r="W138" s="334">
        <v>0</v>
      </c>
      <c r="X138" s="312">
        <f t="shared" si="174"/>
        <v>5.1819800977039338E-2</v>
      </c>
      <c r="Y138" s="334">
        <f t="shared" si="163"/>
        <v>76.760000000000005</v>
      </c>
      <c r="Z138" s="312">
        <f t="shared" si="164"/>
        <v>0</v>
      </c>
      <c r="AA138" s="334">
        <f t="shared" si="165"/>
        <v>0</v>
      </c>
      <c r="AB138" s="334">
        <v>0</v>
      </c>
      <c r="AC138" s="335">
        <f t="shared" si="166"/>
        <v>493.76234922252553</v>
      </c>
      <c r="AD138" s="335">
        <f t="shared" si="167"/>
        <v>54.313858414477806</v>
      </c>
      <c r="AE138" s="335">
        <f t="shared" si="168"/>
        <v>1481.2870476675766</v>
      </c>
      <c r="AF138" s="335">
        <f t="shared" si="169"/>
        <v>162.94157524343342</v>
      </c>
    </row>
    <row r="139" spans="2:32" s="299" customFormat="1" ht="47.25" hidden="1" x14ac:dyDescent="0.25">
      <c r="B139" s="314">
        <v>1596</v>
      </c>
      <c r="C139" s="314" t="s">
        <v>2824</v>
      </c>
      <c r="D139" s="304" t="s">
        <v>2796</v>
      </c>
      <c r="E139" s="304" t="s">
        <v>2739</v>
      </c>
      <c r="F139" s="304" t="s">
        <v>2787</v>
      </c>
      <c r="G139" s="304" t="s">
        <v>2825</v>
      </c>
      <c r="H139" s="305">
        <v>31</v>
      </c>
      <c r="I139" s="295">
        <v>20</v>
      </c>
      <c r="J139" s="295" t="s">
        <v>2636</v>
      </c>
      <c r="K139" s="295">
        <v>3</v>
      </c>
      <c r="L139" s="306">
        <v>40982</v>
      </c>
      <c r="M139" s="295">
        <v>2.27</v>
      </c>
      <c r="N139" s="1105">
        <f>M139*AF118</f>
        <v>1578.6486376551168</v>
      </c>
      <c r="O139" s="684">
        <f>H$235</f>
        <v>1278.89085</v>
      </c>
      <c r="P139" s="1107">
        <f>G$241*AF118</f>
        <v>1077.9318891477672</v>
      </c>
      <c r="Q139" s="1107">
        <f>IF(P139&gt;O139,"0,00",(O139-P139))</f>
        <v>200.95896085223285</v>
      </c>
      <c r="R139" s="1107">
        <f t="shared" ref="R139:R144" si="176">N139-O139</f>
        <v>299.75778765511677</v>
      </c>
      <c r="S139" s="333">
        <v>0.08</v>
      </c>
      <c r="T139" s="334">
        <f>(((((((O139))*S139)))))</f>
        <v>102.311268</v>
      </c>
      <c r="U139" s="311">
        <v>0</v>
      </c>
      <c r="V139" s="334">
        <f>O139/I139*0</f>
        <v>0</v>
      </c>
      <c r="W139" s="334">
        <v>0</v>
      </c>
      <c r="X139" s="312">
        <f t="shared" si="174"/>
        <v>4.8623866115019294E-2</v>
      </c>
      <c r="Y139" s="334">
        <f>N139*X139</f>
        <v>76.760000000000005</v>
      </c>
      <c r="Z139" s="312">
        <v>0</v>
      </c>
      <c r="AA139" s="334">
        <f>N139*Z139</f>
        <v>0</v>
      </c>
      <c r="AB139" s="334">
        <v>0</v>
      </c>
      <c r="AC139" s="335">
        <f>(P139+Q139+R139+U139+V139)/3</f>
        <v>526.21621255170555</v>
      </c>
      <c r="AD139" s="335">
        <f>AC139*S139</f>
        <v>42.097297004136443</v>
      </c>
      <c r="AE139" s="335">
        <f>(P139+Q139+R139+U139+V139)</f>
        <v>1578.6486376551168</v>
      </c>
      <c r="AF139" s="335">
        <f>AE139*S139</f>
        <v>126.29189101240935</v>
      </c>
    </row>
    <row r="140" spans="2:32" s="299" customFormat="1" ht="31.5" hidden="1" x14ac:dyDescent="0.25">
      <c r="B140" s="314">
        <v>393</v>
      </c>
      <c r="C140" s="314" t="s">
        <v>2845</v>
      </c>
      <c r="D140" s="304" t="s">
        <v>2796</v>
      </c>
      <c r="E140" s="304" t="s">
        <v>2739</v>
      </c>
      <c r="F140" s="304" t="s">
        <v>2787</v>
      </c>
      <c r="G140" s="304" t="s">
        <v>2808</v>
      </c>
      <c r="H140" s="305">
        <v>31</v>
      </c>
      <c r="I140" s="295">
        <v>25</v>
      </c>
      <c r="J140" s="295" t="s">
        <v>2638</v>
      </c>
      <c r="K140" s="295">
        <v>3</v>
      </c>
      <c r="L140" s="306">
        <v>36952</v>
      </c>
      <c r="M140" s="316">
        <v>3.2</v>
      </c>
      <c r="N140" s="1105">
        <f>M140*AF118</f>
        <v>2225.4077711437772</v>
      </c>
      <c r="O140" s="684">
        <f>M$235</f>
        <v>1598.6135624999999</v>
      </c>
      <c r="P140" s="1107">
        <f>G$259*AF118</f>
        <v>1342.1990619710905</v>
      </c>
      <c r="Q140" s="1107">
        <f t="shared" ref="Q140:Q149" si="177">IF(P140&gt;O140,"0,00",(O140-P140))</f>
        <v>256.41450052890946</v>
      </c>
      <c r="R140" s="1107">
        <f t="shared" si="176"/>
        <v>626.79420864377721</v>
      </c>
      <c r="S140" s="333">
        <v>0.19</v>
      </c>
      <c r="T140" s="334">
        <f t="shared" ref="T140" si="178">(((((((O140)*(1+4.12%))))*(1+4.12%)))*(1+4.12%))*S140</f>
        <v>342.84638329604212</v>
      </c>
      <c r="U140" s="311">
        <v>0</v>
      </c>
      <c r="V140" s="334">
        <f>O140/I140*0</f>
        <v>0</v>
      </c>
      <c r="W140" s="334">
        <v>0</v>
      </c>
      <c r="X140" s="312">
        <f t="shared" si="174"/>
        <v>3.4492555025341806E-2</v>
      </c>
      <c r="Y140" s="334">
        <f t="shared" ref="Y140:Y149" si="179">N140*X140</f>
        <v>76.760000000000005</v>
      </c>
      <c r="Z140" s="312">
        <f t="shared" ref="Z140:Z145" si="180">0/N140</f>
        <v>0</v>
      </c>
      <c r="AA140" s="334">
        <f t="shared" ref="AA140:AA149" si="181">N140*Z140</f>
        <v>0</v>
      </c>
      <c r="AB140" s="334">
        <v>0</v>
      </c>
      <c r="AC140" s="335">
        <f t="shared" ref="AC140:AC148" si="182">(P140+Q140+R140+U140+V140)/3</f>
        <v>741.80259038125905</v>
      </c>
      <c r="AD140" s="335">
        <f t="shared" ref="AD140:AD149" si="183">AC140*S140</f>
        <v>140.94249217243922</v>
      </c>
      <c r="AE140" s="335">
        <f t="shared" ref="AE140:AE148" si="184">(P140+Q140+R140+U140+V140)</f>
        <v>2225.4077711437772</v>
      </c>
      <c r="AF140" s="335">
        <f t="shared" ref="AF140:AF149" si="185">AE140*S140</f>
        <v>422.82747651731768</v>
      </c>
    </row>
    <row r="141" spans="2:32" s="299" customFormat="1" ht="31.5" hidden="1" x14ac:dyDescent="0.25">
      <c r="B141" s="314">
        <v>890</v>
      </c>
      <c r="C141" s="314" t="s">
        <v>2845</v>
      </c>
      <c r="D141" s="304" t="s">
        <v>2796</v>
      </c>
      <c r="E141" s="304" t="s">
        <v>2739</v>
      </c>
      <c r="F141" s="304" t="s">
        <v>2787</v>
      </c>
      <c r="G141" s="304" t="s">
        <v>2808</v>
      </c>
      <c r="H141" s="305">
        <v>31</v>
      </c>
      <c r="I141" s="295">
        <v>25</v>
      </c>
      <c r="J141" s="295" t="s">
        <v>2648</v>
      </c>
      <c r="K141" s="295">
        <v>3</v>
      </c>
      <c r="L141" s="306">
        <v>38761</v>
      </c>
      <c r="M141" s="316">
        <v>3.07</v>
      </c>
      <c r="N141" s="1105">
        <f>M141*AF118</f>
        <v>2135.0005804410612</v>
      </c>
      <c r="O141" s="684">
        <f>M$235</f>
        <v>1598.6135624999999</v>
      </c>
      <c r="P141" s="1107">
        <f>G$259*AF118</f>
        <v>1342.1990619710905</v>
      </c>
      <c r="Q141" s="1107">
        <f t="shared" si="177"/>
        <v>256.41450052890946</v>
      </c>
      <c r="R141" s="1107">
        <f t="shared" si="176"/>
        <v>536.38701794106123</v>
      </c>
      <c r="S141" s="333">
        <v>0.14000000000000001</v>
      </c>
      <c r="T141" s="334">
        <f>(((((((O141)*(1+4.12%))))*(1+4.12%))))*S141</f>
        <v>242.62740189177418</v>
      </c>
      <c r="U141" s="311">
        <v>0</v>
      </c>
      <c r="V141" s="334">
        <f>O141/I141*0</f>
        <v>0</v>
      </c>
      <c r="W141" s="334">
        <v>0</v>
      </c>
      <c r="X141" s="312">
        <v>0</v>
      </c>
      <c r="Y141" s="334">
        <f t="shared" si="179"/>
        <v>0</v>
      </c>
      <c r="Z141" s="312">
        <f t="shared" si="180"/>
        <v>0</v>
      </c>
      <c r="AA141" s="334">
        <f t="shared" si="181"/>
        <v>0</v>
      </c>
      <c r="AB141" s="334">
        <v>0</v>
      </c>
      <c r="AC141" s="335">
        <f t="shared" si="182"/>
        <v>711.66686014702043</v>
      </c>
      <c r="AD141" s="335">
        <f t="shared" si="183"/>
        <v>99.633360420582875</v>
      </c>
      <c r="AE141" s="335">
        <f t="shared" si="184"/>
        <v>2135.0005804410612</v>
      </c>
      <c r="AF141" s="335">
        <f t="shared" si="185"/>
        <v>298.9000812617486</v>
      </c>
    </row>
    <row r="142" spans="2:32" s="299" customFormat="1" ht="31.5" hidden="1" x14ac:dyDescent="0.25">
      <c r="B142" s="314">
        <v>2042</v>
      </c>
      <c r="C142" s="314" t="s">
        <v>2846</v>
      </c>
      <c r="D142" s="304" t="s">
        <v>2796</v>
      </c>
      <c r="E142" s="304" t="s">
        <v>2739</v>
      </c>
      <c r="F142" s="304" t="s">
        <v>2787</v>
      </c>
      <c r="G142" s="304" t="s">
        <v>2808</v>
      </c>
      <c r="H142" s="305">
        <v>31</v>
      </c>
      <c r="I142" s="295">
        <v>25</v>
      </c>
      <c r="J142" s="295" t="s">
        <v>2636</v>
      </c>
      <c r="K142" s="295">
        <v>3</v>
      </c>
      <c r="L142" s="306">
        <v>42468</v>
      </c>
      <c r="M142" s="316">
        <v>2.84</v>
      </c>
      <c r="N142" s="1105">
        <f>M142*AF118</f>
        <v>1975.0493968901021</v>
      </c>
      <c r="O142" s="684">
        <f>M$235</f>
        <v>1598.6135624999999</v>
      </c>
      <c r="P142" s="1107">
        <f>G$259*AF118</f>
        <v>1342.1990619710905</v>
      </c>
      <c r="Q142" s="1107">
        <f t="shared" si="177"/>
        <v>256.41450052890946</v>
      </c>
      <c r="R142" s="1107">
        <f t="shared" si="176"/>
        <v>376.43583439010217</v>
      </c>
      <c r="S142" s="333">
        <v>0.04</v>
      </c>
      <c r="T142" s="334">
        <f>O142*S142</f>
        <v>63.944542499999997</v>
      </c>
      <c r="U142" s="311">
        <v>0</v>
      </c>
      <c r="V142" s="334">
        <f>N142/I142*0</f>
        <v>0</v>
      </c>
      <c r="W142" s="334">
        <v>0</v>
      </c>
      <c r="X142" s="312">
        <f t="shared" ref="X142:X148" si="186">76.76/N142</f>
        <v>3.8864850732779503E-2</v>
      </c>
      <c r="Y142" s="334">
        <f t="shared" si="179"/>
        <v>76.760000000000005</v>
      </c>
      <c r="Z142" s="312">
        <f t="shared" si="180"/>
        <v>0</v>
      </c>
      <c r="AA142" s="334">
        <f t="shared" si="181"/>
        <v>0</v>
      </c>
      <c r="AB142" s="334">
        <v>0</v>
      </c>
      <c r="AC142" s="335">
        <f t="shared" si="182"/>
        <v>658.34979896336733</v>
      </c>
      <c r="AD142" s="335">
        <f t="shared" si="183"/>
        <v>26.333991958534693</v>
      </c>
      <c r="AE142" s="335">
        <f t="shared" si="184"/>
        <v>1975.0493968901021</v>
      </c>
      <c r="AF142" s="335">
        <f t="shared" si="185"/>
        <v>79.001975875604089</v>
      </c>
    </row>
    <row r="143" spans="2:32" s="299" customFormat="1" ht="31.5" hidden="1" x14ac:dyDescent="0.25">
      <c r="B143" s="314">
        <v>531</v>
      </c>
      <c r="C143" s="314" t="s">
        <v>2847</v>
      </c>
      <c r="D143" s="304" t="s">
        <v>2796</v>
      </c>
      <c r="E143" s="304" t="s">
        <v>2739</v>
      </c>
      <c r="F143" s="304" t="s">
        <v>2787</v>
      </c>
      <c r="G143" s="304" t="s">
        <v>2808</v>
      </c>
      <c r="H143" s="305">
        <v>31</v>
      </c>
      <c r="I143" s="295">
        <v>22</v>
      </c>
      <c r="J143" s="295" t="s">
        <v>2638</v>
      </c>
      <c r="K143" s="295">
        <v>4</v>
      </c>
      <c r="L143" s="306">
        <v>37368</v>
      </c>
      <c r="M143" s="316">
        <v>3.1</v>
      </c>
      <c r="N143" s="1105">
        <f>M143*AF118</f>
        <v>2155.8637782955343</v>
      </c>
      <c r="O143" s="684">
        <f>J235</f>
        <v>1406.779935</v>
      </c>
      <c r="P143" s="1107">
        <f>G$250*AF118</f>
        <v>1182.2478784201314</v>
      </c>
      <c r="Q143" s="1107">
        <f t="shared" si="177"/>
        <v>224.53205657986859</v>
      </c>
      <c r="R143" s="1107">
        <f t="shared" si="176"/>
        <v>749.08384329553428</v>
      </c>
      <c r="S143" s="333">
        <v>0.18</v>
      </c>
      <c r="T143" s="334">
        <f>(((((((O143)*(1+4.12%))))*(1+4.12%))))*S143</f>
        <v>274.51557471183588</v>
      </c>
      <c r="U143" s="311">
        <v>0</v>
      </c>
      <c r="V143" s="334">
        <f>N143/I143*0</f>
        <v>0</v>
      </c>
      <c r="W143" s="334">
        <v>0</v>
      </c>
      <c r="X143" s="312">
        <f t="shared" si="186"/>
        <v>3.5605218090675413E-2</v>
      </c>
      <c r="Y143" s="334">
        <f t="shared" si="179"/>
        <v>76.760000000000005</v>
      </c>
      <c r="Z143" s="312">
        <f t="shared" si="180"/>
        <v>0</v>
      </c>
      <c r="AA143" s="334">
        <f t="shared" si="181"/>
        <v>0</v>
      </c>
      <c r="AB143" s="334">
        <v>0</v>
      </c>
      <c r="AC143" s="335">
        <f t="shared" si="182"/>
        <v>718.62125943184481</v>
      </c>
      <c r="AD143" s="335">
        <f t="shared" si="183"/>
        <v>129.35182669773206</v>
      </c>
      <c r="AE143" s="335">
        <f t="shared" si="184"/>
        <v>2155.8637782955343</v>
      </c>
      <c r="AF143" s="335">
        <f t="shared" si="185"/>
        <v>388.05548009319614</v>
      </c>
    </row>
    <row r="144" spans="2:32" s="299" customFormat="1" ht="31.5" hidden="1" x14ac:dyDescent="0.25">
      <c r="B144" s="314">
        <v>401</v>
      </c>
      <c r="C144" s="314" t="s">
        <v>2848</v>
      </c>
      <c r="D144" s="304" t="s">
        <v>2796</v>
      </c>
      <c r="E144" s="304" t="s">
        <v>2739</v>
      </c>
      <c r="F144" s="304" t="s">
        <v>2787</v>
      </c>
      <c r="G144" s="304" t="s">
        <v>2808</v>
      </c>
      <c r="H144" s="305">
        <v>31</v>
      </c>
      <c r="I144" s="295">
        <v>25</v>
      </c>
      <c r="J144" s="295" t="s">
        <v>2638</v>
      </c>
      <c r="K144" s="295">
        <v>2</v>
      </c>
      <c r="L144" s="306">
        <v>36958</v>
      </c>
      <c r="M144" s="316">
        <v>2.88</v>
      </c>
      <c r="N144" s="1105">
        <f>M144*AF118</f>
        <v>2002.8669940293994</v>
      </c>
      <c r="O144" s="684">
        <f>M$235</f>
        <v>1598.6135624999999</v>
      </c>
      <c r="P144" s="1107">
        <f>G259*AF118</f>
        <v>1342.1990619710905</v>
      </c>
      <c r="Q144" s="1107">
        <f t="shared" si="177"/>
        <v>256.41450052890946</v>
      </c>
      <c r="R144" s="1107">
        <f t="shared" si="176"/>
        <v>404.25343152939945</v>
      </c>
      <c r="S144" s="333">
        <v>0.19</v>
      </c>
      <c r="T144" s="334">
        <f>(((((((O144)*(1+4.12%))))*(1+4.12%)))*(1+4.12%))*S144</f>
        <v>342.84638329604212</v>
      </c>
      <c r="U144" s="311">
        <v>0</v>
      </c>
      <c r="V144" s="334">
        <v>0</v>
      </c>
      <c r="W144" s="334">
        <v>0</v>
      </c>
      <c r="X144" s="312">
        <f t="shared" si="186"/>
        <v>3.832506113926868E-2</v>
      </c>
      <c r="Y144" s="334">
        <f t="shared" si="179"/>
        <v>76.760000000000005</v>
      </c>
      <c r="Z144" s="312">
        <f t="shared" si="180"/>
        <v>0</v>
      </c>
      <c r="AA144" s="334">
        <f t="shared" si="181"/>
        <v>0</v>
      </c>
      <c r="AB144" s="334">
        <v>0</v>
      </c>
      <c r="AC144" s="335">
        <f t="shared" si="182"/>
        <v>667.62233134313317</v>
      </c>
      <c r="AD144" s="335">
        <f t="shared" si="183"/>
        <v>126.8482429551953</v>
      </c>
      <c r="AE144" s="335">
        <f t="shared" si="184"/>
        <v>2002.8669940293994</v>
      </c>
      <c r="AF144" s="335">
        <f t="shared" si="185"/>
        <v>380.54472886558591</v>
      </c>
    </row>
    <row r="145" spans="2:32" s="299" customFormat="1" ht="31.5" hidden="1" x14ac:dyDescent="0.25">
      <c r="B145" s="314">
        <v>2012</v>
      </c>
      <c r="C145" s="314" t="s">
        <v>2849</v>
      </c>
      <c r="D145" s="304" t="s">
        <v>2796</v>
      </c>
      <c r="E145" s="304" t="s">
        <v>2739</v>
      </c>
      <c r="F145" s="304" t="s">
        <v>2787</v>
      </c>
      <c r="G145" s="304" t="s">
        <v>2808</v>
      </c>
      <c r="H145" s="305">
        <v>31</v>
      </c>
      <c r="I145" s="295">
        <v>20</v>
      </c>
      <c r="J145" s="295" t="s">
        <v>2636</v>
      </c>
      <c r="K145" s="295">
        <v>3</v>
      </c>
      <c r="L145" s="306">
        <v>43331</v>
      </c>
      <c r="M145" s="295">
        <v>2.27</v>
      </c>
      <c r="N145" s="1105">
        <f>M145*AF118</f>
        <v>1578.6486376551168</v>
      </c>
      <c r="O145" s="684">
        <f>H$235</f>
        <v>1278.89085</v>
      </c>
      <c r="P145" s="1107">
        <f>G$241*AF118</f>
        <v>1077.9318891477672</v>
      </c>
      <c r="Q145" s="1107">
        <f t="shared" si="177"/>
        <v>200.95896085223285</v>
      </c>
      <c r="R145" s="1107">
        <f t="shared" ref="R145" si="187">N145-O145</f>
        <v>299.75778765511677</v>
      </c>
      <c r="S145" s="333">
        <v>0.04</v>
      </c>
      <c r="T145" s="334">
        <f>O145*S145</f>
        <v>51.155633999999999</v>
      </c>
      <c r="U145" s="311">
        <v>0</v>
      </c>
      <c r="V145" s="334">
        <f>N145/I145*0</f>
        <v>0</v>
      </c>
      <c r="W145" s="334">
        <v>0</v>
      </c>
      <c r="X145" s="312">
        <f t="shared" si="186"/>
        <v>4.8623866115019294E-2</v>
      </c>
      <c r="Y145" s="334">
        <f t="shared" si="179"/>
        <v>76.760000000000005</v>
      </c>
      <c r="Z145" s="312">
        <f t="shared" si="180"/>
        <v>0</v>
      </c>
      <c r="AA145" s="334">
        <f t="shared" si="181"/>
        <v>0</v>
      </c>
      <c r="AB145" s="334">
        <v>0</v>
      </c>
      <c r="AC145" s="335">
        <f t="shared" si="182"/>
        <v>526.21621255170555</v>
      </c>
      <c r="AD145" s="335">
        <f t="shared" si="183"/>
        <v>21.048648502068222</v>
      </c>
      <c r="AE145" s="335">
        <f t="shared" si="184"/>
        <v>1578.6486376551168</v>
      </c>
      <c r="AF145" s="335">
        <f t="shared" si="185"/>
        <v>63.145945506204676</v>
      </c>
    </row>
    <row r="146" spans="2:32" s="299" customFormat="1" ht="31.5" hidden="1" x14ac:dyDescent="0.25">
      <c r="B146" s="314">
        <v>710</v>
      </c>
      <c r="C146" s="314" t="s">
        <v>2850</v>
      </c>
      <c r="D146" s="304" t="s">
        <v>2796</v>
      </c>
      <c r="E146" s="304" t="s">
        <v>2739</v>
      </c>
      <c r="F146" s="304" t="s">
        <v>2787</v>
      </c>
      <c r="G146" s="304" t="s">
        <v>2808</v>
      </c>
      <c r="H146" s="305">
        <v>31</v>
      </c>
      <c r="I146" s="295">
        <v>25</v>
      </c>
      <c r="J146" s="295" t="s">
        <v>2648</v>
      </c>
      <c r="K146" s="295">
        <v>3</v>
      </c>
      <c r="L146" s="306">
        <v>38085</v>
      </c>
      <c r="M146" s="316">
        <v>3.07</v>
      </c>
      <c r="N146" s="1105">
        <f>M146*AF118</f>
        <v>2135.0005804410612</v>
      </c>
      <c r="O146" s="684">
        <f>M$235</f>
        <v>1598.6135624999999</v>
      </c>
      <c r="P146" s="1107">
        <f>G$250*AF118</f>
        <v>1182.2478784201314</v>
      </c>
      <c r="Q146" s="1107">
        <f t="shared" si="177"/>
        <v>416.36568407986852</v>
      </c>
      <c r="R146" s="1107">
        <f>N146-O146</f>
        <v>536.38701794106123</v>
      </c>
      <c r="S146" s="333">
        <v>0.16</v>
      </c>
      <c r="T146" s="334">
        <f>(((((((O146)*(1+4.12%))))*(1+4.12%))))*S146</f>
        <v>277.28845930488473</v>
      </c>
      <c r="U146" s="311">
        <v>0</v>
      </c>
      <c r="V146" s="334">
        <f>N146/I146*0</f>
        <v>0</v>
      </c>
      <c r="W146" s="334">
        <v>0</v>
      </c>
      <c r="X146" s="312">
        <f t="shared" si="186"/>
        <v>3.595315181794586E-2</v>
      </c>
      <c r="Y146" s="334">
        <f t="shared" si="179"/>
        <v>76.760000000000005</v>
      </c>
      <c r="Z146" s="312">
        <v>0</v>
      </c>
      <c r="AA146" s="334">
        <f t="shared" si="181"/>
        <v>0</v>
      </c>
      <c r="AB146" s="334">
        <v>0</v>
      </c>
      <c r="AC146" s="335">
        <f t="shared" si="182"/>
        <v>711.66686014702043</v>
      </c>
      <c r="AD146" s="335">
        <f t="shared" si="183"/>
        <v>113.86669762352327</v>
      </c>
      <c r="AE146" s="335">
        <f t="shared" si="184"/>
        <v>2135.0005804410612</v>
      </c>
      <c r="AF146" s="335">
        <f t="shared" si="185"/>
        <v>341.60009287056977</v>
      </c>
    </row>
    <row r="147" spans="2:32" s="299" customFormat="1" ht="31.5" hidden="1" x14ac:dyDescent="0.25">
      <c r="B147" s="314">
        <v>1902</v>
      </c>
      <c r="C147" s="314" t="s">
        <v>2852</v>
      </c>
      <c r="D147" s="304" t="s">
        <v>2876</v>
      </c>
      <c r="E147" s="304" t="s">
        <v>2739</v>
      </c>
      <c r="F147" s="304" t="s">
        <v>2787</v>
      </c>
      <c r="G147" s="304" t="s">
        <v>2808</v>
      </c>
      <c r="H147" s="305">
        <v>31</v>
      </c>
      <c r="I147" s="295">
        <v>40</v>
      </c>
      <c r="J147" s="295" t="s">
        <v>2636</v>
      </c>
      <c r="K147" s="295">
        <v>3</v>
      </c>
      <c r="L147" s="306">
        <v>42054</v>
      </c>
      <c r="M147" s="316">
        <v>5.5</v>
      </c>
      <c r="N147" s="1105">
        <f>M147*AF118</f>
        <v>3824.9196066533668</v>
      </c>
      <c r="O147" s="684">
        <f>G235</f>
        <v>2557.7817</v>
      </c>
      <c r="P147" s="1107">
        <f>G269*AF118</f>
        <v>3129.4796781709365</v>
      </c>
      <c r="Q147" s="1107" t="str">
        <f t="shared" si="177"/>
        <v>0,00</v>
      </c>
      <c r="R147" s="1107">
        <f>N147-O147</f>
        <v>1267.1379066533668</v>
      </c>
      <c r="S147" s="333">
        <v>0.05</v>
      </c>
      <c r="T147" s="334">
        <f>(((((((O147)))))*S147))</f>
        <v>127.88908500000001</v>
      </c>
      <c r="U147" s="311">
        <v>0</v>
      </c>
      <c r="V147" s="334">
        <f>N147/I147*0</f>
        <v>0</v>
      </c>
      <c r="W147" s="334">
        <v>0</v>
      </c>
      <c r="X147" s="312">
        <f t="shared" si="186"/>
        <v>2.0068395651107962E-2</v>
      </c>
      <c r="Y147" s="334">
        <f t="shared" si="179"/>
        <v>76.760000000000005</v>
      </c>
      <c r="Z147" s="312">
        <v>0</v>
      </c>
      <c r="AA147" s="334">
        <f t="shared" si="181"/>
        <v>0</v>
      </c>
      <c r="AB147" s="334">
        <v>0</v>
      </c>
      <c r="AC147" s="335">
        <f t="shared" si="182"/>
        <v>1465.5391949414345</v>
      </c>
      <c r="AD147" s="335">
        <f t="shared" si="183"/>
        <v>73.276959747071729</v>
      </c>
      <c r="AE147" s="335">
        <f t="shared" si="184"/>
        <v>4396.6175848243038</v>
      </c>
      <c r="AF147" s="335">
        <f t="shared" si="185"/>
        <v>219.8308792412152</v>
      </c>
    </row>
    <row r="148" spans="2:32" s="299" customFormat="1" ht="31.5" hidden="1" x14ac:dyDescent="0.25">
      <c r="B148" s="314">
        <v>2081</v>
      </c>
      <c r="C148" s="314" t="s">
        <v>2853</v>
      </c>
      <c r="D148" s="304" t="s">
        <v>2796</v>
      </c>
      <c r="E148" s="304" t="s">
        <v>2739</v>
      </c>
      <c r="F148" s="304" t="s">
        <v>2787</v>
      </c>
      <c r="G148" s="304" t="s">
        <v>2808</v>
      </c>
      <c r="H148" s="305">
        <v>31</v>
      </c>
      <c r="I148" s="295">
        <v>20</v>
      </c>
      <c r="J148" s="295" t="s">
        <v>2636</v>
      </c>
      <c r="K148" s="295">
        <v>2</v>
      </c>
      <c r="L148" s="306">
        <v>42565</v>
      </c>
      <c r="M148" s="316">
        <v>2.0499999999999998</v>
      </c>
      <c r="N148" s="1105">
        <f>M148*AF118</f>
        <v>1425.6518533889821</v>
      </c>
      <c r="O148" s="684">
        <f>H235</f>
        <v>1278.89085</v>
      </c>
      <c r="P148" s="1107">
        <f>G$250*AF118</f>
        <v>1182.2478784201314</v>
      </c>
      <c r="Q148" s="1107">
        <f t="shared" si="177"/>
        <v>96.642971579868572</v>
      </c>
      <c r="R148" s="1107">
        <f>N148-O148</f>
        <v>146.76100338898209</v>
      </c>
      <c r="S148" s="333">
        <v>0.04</v>
      </c>
      <c r="T148" s="334">
        <f>(((((((O148)*S148))))))</f>
        <v>51.155633999999999</v>
      </c>
      <c r="U148" s="311">
        <v>0</v>
      </c>
      <c r="V148" s="334">
        <f>N148/I148*15</f>
        <v>1069.2388900417366</v>
      </c>
      <c r="W148" s="334">
        <v>0</v>
      </c>
      <c r="X148" s="312">
        <f t="shared" si="186"/>
        <v>5.3842037112728683E-2</v>
      </c>
      <c r="Y148" s="334">
        <f t="shared" si="179"/>
        <v>76.760000000000005</v>
      </c>
      <c r="Z148" s="312">
        <v>0</v>
      </c>
      <c r="AA148" s="334">
        <f t="shared" si="181"/>
        <v>0</v>
      </c>
      <c r="AB148" s="334">
        <v>0</v>
      </c>
      <c r="AC148" s="335">
        <f t="shared" si="182"/>
        <v>831.63024781023944</v>
      </c>
      <c r="AD148" s="335">
        <f t="shared" si="183"/>
        <v>33.265209912409581</v>
      </c>
      <c r="AE148" s="335">
        <f t="shared" si="184"/>
        <v>2494.8907434307184</v>
      </c>
      <c r="AF148" s="335">
        <f t="shared" si="185"/>
        <v>99.795629737228737</v>
      </c>
    </row>
    <row r="149" spans="2:32" s="299" customFormat="1" ht="24.75" hidden="1" customHeight="1" x14ac:dyDescent="0.25">
      <c r="B149" s="314">
        <v>6</v>
      </c>
      <c r="C149" s="314" t="s">
        <v>2854</v>
      </c>
      <c r="D149" s="304" t="s">
        <v>2796</v>
      </c>
      <c r="E149" s="304" t="s">
        <v>2739</v>
      </c>
      <c r="F149" s="304" t="s">
        <v>2787</v>
      </c>
      <c r="G149" s="304" t="s">
        <v>2808</v>
      </c>
      <c r="H149" s="305">
        <v>31</v>
      </c>
      <c r="I149" s="295">
        <v>22</v>
      </c>
      <c r="J149" s="295" t="s">
        <v>2837</v>
      </c>
      <c r="K149" s="295">
        <v>1</v>
      </c>
      <c r="L149" s="306">
        <v>35431</v>
      </c>
      <c r="M149" s="316">
        <v>2.08</v>
      </c>
      <c r="N149" s="1105">
        <f>M149*AF118</f>
        <v>1446.5150512434552</v>
      </c>
      <c r="O149" s="684">
        <f>J235</f>
        <v>1406.779935</v>
      </c>
      <c r="P149" s="1107">
        <f>G$250*AF118</f>
        <v>1182.2478784201314</v>
      </c>
      <c r="Q149" s="1107">
        <f t="shared" si="177"/>
        <v>224.53205657986859</v>
      </c>
      <c r="R149" s="1107">
        <f>N149-O149</f>
        <v>39.735116243455195</v>
      </c>
      <c r="S149" s="333">
        <v>0.22</v>
      </c>
      <c r="T149" s="334">
        <f>(((((((O149)*(1+4.12%))))*(1+4.12%)))*(1+4.12%))*(1+4.12%)*(1+4.12%)*S144</f>
        <v>327.07742007115814</v>
      </c>
      <c r="U149" s="311">
        <v>0</v>
      </c>
      <c r="V149" s="334">
        <f>N149/I149*20</f>
        <v>1315.0136829485955</v>
      </c>
      <c r="W149" s="334">
        <v>115.62</v>
      </c>
      <c r="X149" s="312">
        <f>127.94/N149</f>
        <v>8.8447057560873663E-2</v>
      </c>
      <c r="Y149" s="334">
        <f t="shared" si="179"/>
        <v>127.94</v>
      </c>
      <c r="Z149" s="312">
        <v>0</v>
      </c>
      <c r="AA149" s="334">
        <f t="shared" si="181"/>
        <v>0</v>
      </c>
      <c r="AB149" s="334">
        <v>0</v>
      </c>
      <c r="AC149" s="335">
        <f>(P149+Q149+R149+U149+V149+W149)/3</f>
        <v>959.04957806401683</v>
      </c>
      <c r="AD149" s="335">
        <f t="shared" si="183"/>
        <v>210.9909071740837</v>
      </c>
      <c r="AE149" s="335">
        <f>(P149+Q149+R149+U149+V149+W149)</f>
        <v>2877.1487341920506</v>
      </c>
      <c r="AF149" s="335">
        <f t="shared" si="185"/>
        <v>632.97272152225116</v>
      </c>
    </row>
    <row r="150" spans="2:32" s="1272" customFormat="1" hidden="1" x14ac:dyDescent="0.25">
      <c r="B150" s="1264" t="s">
        <v>7281</v>
      </c>
      <c r="C150" s="1267"/>
      <c r="D150" s="1267"/>
      <c r="E150" s="1267"/>
      <c r="F150" s="1267"/>
      <c r="G150" s="1267"/>
      <c r="H150" s="1267"/>
      <c r="I150" s="1267"/>
      <c r="J150" s="1267"/>
      <c r="K150" s="1267"/>
      <c r="L150" s="1267"/>
      <c r="M150" s="1267"/>
      <c r="N150" s="1277">
        <f>SUM(N124:N149)</f>
        <v>52262.310625454644</v>
      </c>
      <c r="O150" s="1277">
        <f>SUM(O124:O149)</f>
        <v>39709.560892499998</v>
      </c>
      <c r="P150" s="1277">
        <f>SUM(P124:P149)</f>
        <v>35293.576370483344</v>
      </c>
      <c r="Q150" s="1277">
        <f>SUM(Q124:Q149)</f>
        <v>5559.3804783585319</v>
      </c>
      <c r="R150" s="1277">
        <f>SUM(R124:R149)</f>
        <v>12552.749732954639</v>
      </c>
      <c r="S150" s="1278"/>
      <c r="T150" s="1277">
        <f>SUM(T124:T149)</f>
        <v>5058.1750116548365</v>
      </c>
      <c r="U150" s="1277">
        <f>SUM(U124:U149)</f>
        <v>1112.7038855718886</v>
      </c>
      <c r="V150" s="1277">
        <f>SUM(V124:V149)</f>
        <v>6200.9601981454489</v>
      </c>
      <c r="W150" s="1277">
        <f>SUM(W124:W149)</f>
        <v>115.62</v>
      </c>
      <c r="X150" s="1279"/>
      <c r="Y150" s="1277">
        <f>SUM(Y124:Y149)</f>
        <v>1714.32</v>
      </c>
      <c r="Z150" s="1279"/>
      <c r="AA150" s="1277">
        <f t="shared" ref="AA150:AF150" si="188">SUM(AA124:AA149)</f>
        <v>0</v>
      </c>
      <c r="AB150" s="1277">
        <f t="shared" si="188"/>
        <v>0</v>
      </c>
      <c r="AC150" s="1277">
        <f t="shared" si="188"/>
        <v>20278.330221837947</v>
      </c>
      <c r="AD150" s="1277">
        <f t="shared" si="188"/>
        <v>2395.6252863398331</v>
      </c>
      <c r="AE150" s="1277">
        <f t="shared" si="188"/>
        <v>60834.99066551384</v>
      </c>
      <c r="AF150" s="1277">
        <f t="shared" si="188"/>
        <v>7186.8758590194984</v>
      </c>
    </row>
    <row r="151" spans="2:32" s="299" customFormat="1" hidden="1" x14ac:dyDescent="0.25">
      <c r="B151" s="1103"/>
      <c r="C151" s="1091"/>
      <c r="D151" s="1091"/>
      <c r="E151" s="1091"/>
      <c r="F151" s="1091"/>
      <c r="G151" s="1091"/>
      <c r="H151" s="1091"/>
      <c r="I151" s="1091"/>
      <c r="J151" s="1091"/>
      <c r="K151" s="1091"/>
      <c r="L151" s="1091"/>
      <c r="M151" s="1091"/>
      <c r="N151" s="1107"/>
      <c r="O151" s="1106"/>
      <c r="P151" s="1107"/>
      <c r="Q151" s="1107"/>
      <c r="R151" s="1107"/>
      <c r="S151" s="1092"/>
      <c r="T151" s="1107"/>
      <c r="U151" s="1107"/>
      <c r="V151" s="1107"/>
      <c r="W151" s="1107"/>
      <c r="X151" s="315"/>
      <c r="Y151" s="1107"/>
      <c r="Z151" s="315"/>
      <c r="AA151" s="1107"/>
      <c r="AB151" s="1107"/>
      <c r="AC151" s="1107"/>
      <c r="AD151" s="1107"/>
      <c r="AE151" s="1107"/>
      <c r="AF151" s="1107"/>
    </row>
    <row r="152" spans="2:32" s="299" customFormat="1" ht="31.5" hidden="1" x14ac:dyDescent="0.25">
      <c r="B152" s="314">
        <v>1385</v>
      </c>
      <c r="C152" s="314" t="s">
        <v>2855</v>
      </c>
      <c r="D152" s="304" t="s">
        <v>2796</v>
      </c>
      <c r="E152" s="304" t="s">
        <v>2739</v>
      </c>
      <c r="F152" s="304" t="s">
        <v>2787</v>
      </c>
      <c r="G152" s="304" t="s">
        <v>2856</v>
      </c>
      <c r="H152" s="305">
        <v>31</v>
      </c>
      <c r="I152" s="295">
        <v>25</v>
      </c>
      <c r="J152" s="295" t="s">
        <v>2634</v>
      </c>
      <c r="K152" s="295">
        <v>3</v>
      </c>
      <c r="L152" s="306">
        <v>40318</v>
      </c>
      <c r="M152" s="316">
        <v>2.95</v>
      </c>
      <c r="N152" s="1105">
        <f>M152*AF118</f>
        <v>2051.5477890231696</v>
      </c>
      <c r="O152" s="684">
        <f>M$235</f>
        <v>1598.6135624999999</v>
      </c>
      <c r="P152" s="1107">
        <f>G$250*AF118</f>
        <v>1182.2478784201314</v>
      </c>
      <c r="Q152" s="1107">
        <f>IF(P152&gt;O152,"0,00",(O152-P152))</f>
        <v>416.36568407986852</v>
      </c>
      <c r="R152" s="1107">
        <f>N152-O152</f>
        <v>452.93422652316963</v>
      </c>
      <c r="S152" s="333">
        <v>0.1</v>
      </c>
      <c r="T152" s="334">
        <f>(((((((O152)*(1+4.12%)))))))*S152</f>
        <v>166.44764412749998</v>
      </c>
      <c r="U152" s="311">
        <v>0</v>
      </c>
      <c r="V152" s="334">
        <f>N152/I152*0</f>
        <v>0</v>
      </c>
      <c r="W152" s="334">
        <v>0</v>
      </c>
      <c r="X152" s="312">
        <f>76.76/N152</f>
        <v>3.7415652908845354E-2</v>
      </c>
      <c r="Y152" s="334">
        <f>N152*X152</f>
        <v>76.760000000000005</v>
      </c>
      <c r="Z152" s="312">
        <v>0</v>
      </c>
      <c r="AA152" s="334">
        <f>N152*Z152</f>
        <v>0</v>
      </c>
      <c r="AB152" s="334">
        <v>0</v>
      </c>
      <c r="AC152" s="335">
        <f t="shared" ref="AC152:AC156" si="189">(P152+Q152+R152+U152+V152)/3</f>
        <v>683.84926300772315</v>
      </c>
      <c r="AD152" s="335">
        <f t="shared" ref="AD152:AD156" si="190">AC152*S152</f>
        <v>68.384926300772321</v>
      </c>
      <c r="AE152" s="335">
        <f t="shared" ref="AE152:AE156" si="191">(P152+Q152+R152+U152+V152)</f>
        <v>2051.5477890231696</v>
      </c>
      <c r="AF152" s="335">
        <f t="shared" ref="AF152:AF156" si="192">AE152*S152</f>
        <v>205.15477890231696</v>
      </c>
    </row>
    <row r="153" spans="2:32" s="299" customFormat="1" ht="31.5" hidden="1" x14ac:dyDescent="0.25">
      <c r="B153" s="314">
        <v>2022</v>
      </c>
      <c r="C153" s="314" t="s">
        <v>2857</v>
      </c>
      <c r="D153" s="304" t="s">
        <v>2796</v>
      </c>
      <c r="E153" s="304" t="s">
        <v>2739</v>
      </c>
      <c r="F153" s="304" t="s">
        <v>2787</v>
      </c>
      <c r="G153" s="304" t="s">
        <v>2856</v>
      </c>
      <c r="H153" s="305">
        <v>31</v>
      </c>
      <c r="I153" s="295">
        <v>25</v>
      </c>
      <c r="J153" s="295" t="s">
        <v>2636</v>
      </c>
      <c r="K153" s="295">
        <v>3</v>
      </c>
      <c r="L153" s="306">
        <v>42431</v>
      </c>
      <c r="M153" s="316">
        <v>2.84</v>
      </c>
      <c r="N153" s="1105">
        <f>M153*AF118</f>
        <v>1975.0493968901021</v>
      </c>
      <c r="O153" s="684">
        <f>M$235</f>
        <v>1598.6135624999999</v>
      </c>
      <c r="P153" s="1107">
        <f>G$250*AF118</f>
        <v>1182.2478784201314</v>
      </c>
      <c r="Q153" s="1107">
        <f>IF(P153&gt;O153,"0,00",(O153-P153))</f>
        <v>416.36568407986852</v>
      </c>
      <c r="R153" s="1107">
        <f>N153-O153</f>
        <v>376.43583439010217</v>
      </c>
      <c r="S153" s="333">
        <v>7.0000000000000007E-2</v>
      </c>
      <c r="T153" s="334">
        <f>((O153)*S153)</f>
        <v>111.90294937500001</v>
      </c>
      <c r="U153" s="311">
        <v>0</v>
      </c>
      <c r="V153" s="334">
        <f>N153/I153*15</f>
        <v>1185.0296381340613</v>
      </c>
      <c r="W153" s="334">
        <v>0</v>
      </c>
      <c r="X153" s="312">
        <f>76.76/N153</f>
        <v>3.8864850732779503E-2</v>
      </c>
      <c r="Y153" s="334">
        <f>N153*X153</f>
        <v>76.760000000000005</v>
      </c>
      <c r="Z153" s="312">
        <v>0</v>
      </c>
      <c r="AA153" s="334">
        <f>N153*Z153</f>
        <v>0</v>
      </c>
      <c r="AB153" s="334">
        <v>0</v>
      </c>
      <c r="AC153" s="335">
        <f t="shared" si="189"/>
        <v>1053.3596783413877</v>
      </c>
      <c r="AD153" s="335">
        <f t="shared" si="190"/>
        <v>73.735177483897147</v>
      </c>
      <c r="AE153" s="335">
        <f t="shared" si="191"/>
        <v>3160.0790350241632</v>
      </c>
      <c r="AF153" s="335">
        <f t="shared" si="192"/>
        <v>221.20553245169145</v>
      </c>
    </row>
    <row r="154" spans="2:32" s="299" customFormat="1" ht="31.5" hidden="1" x14ac:dyDescent="0.25">
      <c r="B154" s="314">
        <v>2026</v>
      </c>
      <c r="C154" s="314" t="s">
        <v>2858</v>
      </c>
      <c r="D154" s="304" t="s">
        <v>2796</v>
      </c>
      <c r="E154" s="304" t="s">
        <v>2739</v>
      </c>
      <c r="F154" s="304" t="s">
        <v>2787</v>
      </c>
      <c r="G154" s="304" t="s">
        <v>2856</v>
      </c>
      <c r="H154" s="305">
        <v>31</v>
      </c>
      <c r="I154" s="295">
        <v>25</v>
      </c>
      <c r="J154" s="295" t="s">
        <v>2636</v>
      </c>
      <c r="K154" s="295">
        <v>2</v>
      </c>
      <c r="L154" s="306">
        <v>42443</v>
      </c>
      <c r="M154" s="316">
        <v>2.5499999999999998</v>
      </c>
      <c r="N154" s="1105">
        <f>M154*AF118</f>
        <v>1773.3718176301973</v>
      </c>
      <c r="O154" s="684">
        <f>M$235</f>
        <v>1598.6135624999999</v>
      </c>
      <c r="P154" s="1107">
        <f>G$250*AF118</f>
        <v>1182.2478784201314</v>
      </c>
      <c r="Q154" s="1107">
        <f>IF(P154&gt;O154,"0,00",(O154-P154))</f>
        <v>416.36568407986852</v>
      </c>
      <c r="R154" s="1107">
        <f>N154-O154</f>
        <v>174.75825513019731</v>
      </c>
      <c r="S154" s="333">
        <v>0.04</v>
      </c>
      <c r="T154" s="334">
        <f>((O154)*S154)</f>
        <v>63.944542499999997</v>
      </c>
      <c r="U154" s="311">
        <v>0</v>
      </c>
      <c r="V154" s="334">
        <f>N154/I154*0</f>
        <v>0</v>
      </c>
      <c r="W154" s="334">
        <v>0</v>
      </c>
      <c r="X154" s="312">
        <f>76.76/N154</f>
        <v>4.3284774933762274E-2</v>
      </c>
      <c r="Y154" s="334">
        <f>N154*X154</f>
        <v>76.760000000000005</v>
      </c>
      <c r="Z154" s="312">
        <v>0</v>
      </c>
      <c r="AA154" s="334">
        <f>N154*Z154</f>
        <v>0</v>
      </c>
      <c r="AB154" s="334">
        <v>0</v>
      </c>
      <c r="AC154" s="335">
        <f t="shared" si="189"/>
        <v>591.12393921006571</v>
      </c>
      <c r="AD154" s="335">
        <f t="shared" si="190"/>
        <v>23.644957568402628</v>
      </c>
      <c r="AE154" s="335">
        <f t="shared" si="191"/>
        <v>1773.3718176301973</v>
      </c>
      <c r="AF154" s="335">
        <f t="shared" si="192"/>
        <v>70.934872705207894</v>
      </c>
    </row>
    <row r="155" spans="2:32" s="299" customFormat="1" ht="31.5" hidden="1" x14ac:dyDescent="0.25">
      <c r="B155" s="314">
        <v>1592</v>
      </c>
      <c r="C155" s="314" t="s">
        <v>2859</v>
      </c>
      <c r="D155" s="304" t="s">
        <v>2796</v>
      </c>
      <c r="E155" s="304" t="s">
        <v>2739</v>
      </c>
      <c r="F155" s="304" t="s">
        <v>2787</v>
      </c>
      <c r="G155" s="304" t="s">
        <v>2856</v>
      </c>
      <c r="H155" s="305">
        <v>31</v>
      </c>
      <c r="I155" s="295">
        <v>25</v>
      </c>
      <c r="J155" s="295" t="s">
        <v>2634</v>
      </c>
      <c r="K155" s="295">
        <v>3</v>
      </c>
      <c r="L155" s="306">
        <v>40969</v>
      </c>
      <c r="M155" s="316">
        <v>2.95</v>
      </c>
      <c r="N155" s="1105">
        <f>M155*AF118</f>
        <v>2051.5477890231696</v>
      </c>
      <c r="O155" s="684">
        <f>M$235</f>
        <v>1598.6135624999999</v>
      </c>
      <c r="P155" s="1107">
        <f>G$250*AF118</f>
        <v>1182.2478784201314</v>
      </c>
      <c r="Q155" s="1107">
        <f>IF(P155&gt;O155,"0,00",(O155-P155))</f>
        <v>416.36568407986852</v>
      </c>
      <c r="R155" s="1107">
        <f>N155-O155</f>
        <v>452.93422652316963</v>
      </c>
      <c r="S155" s="333">
        <v>0.08</v>
      </c>
      <c r="T155" s="334">
        <f>(((((((O155)*(1+4.12%)))))))*S155</f>
        <v>133.158115302</v>
      </c>
      <c r="U155" s="311">
        <v>0</v>
      </c>
      <c r="V155" s="334">
        <f>N155/I155*0</f>
        <v>0</v>
      </c>
      <c r="W155" s="334">
        <v>0</v>
      </c>
      <c r="X155" s="312">
        <f>76.76/N155</f>
        <v>3.7415652908845354E-2</v>
      </c>
      <c r="Y155" s="334">
        <f>N155*X155</f>
        <v>76.760000000000005</v>
      </c>
      <c r="Z155" s="312">
        <v>0</v>
      </c>
      <c r="AA155" s="334">
        <f>N155*Z155</f>
        <v>0</v>
      </c>
      <c r="AB155" s="334">
        <v>0</v>
      </c>
      <c r="AC155" s="335">
        <f t="shared" si="189"/>
        <v>683.84926300772315</v>
      </c>
      <c r="AD155" s="335">
        <f t="shared" si="190"/>
        <v>54.707941040617854</v>
      </c>
      <c r="AE155" s="335">
        <f t="shared" si="191"/>
        <v>2051.5477890231696</v>
      </c>
      <c r="AF155" s="335">
        <f t="shared" si="192"/>
        <v>164.12382312185358</v>
      </c>
    </row>
    <row r="156" spans="2:32" s="299" customFormat="1" ht="24.75" hidden="1" customHeight="1" x14ac:dyDescent="0.25">
      <c r="B156" s="314">
        <v>1905</v>
      </c>
      <c r="C156" s="314" t="s">
        <v>2860</v>
      </c>
      <c r="D156" s="304" t="s">
        <v>2796</v>
      </c>
      <c r="E156" s="304" t="s">
        <v>2739</v>
      </c>
      <c r="F156" s="304" t="s">
        <v>2787</v>
      </c>
      <c r="G156" s="304" t="s">
        <v>2856</v>
      </c>
      <c r="H156" s="305">
        <v>31</v>
      </c>
      <c r="I156" s="295">
        <v>25</v>
      </c>
      <c r="J156" s="295" t="s">
        <v>2636</v>
      </c>
      <c r="K156" s="295">
        <v>3</v>
      </c>
      <c r="L156" s="306">
        <v>42431</v>
      </c>
      <c r="M156" s="316">
        <v>2.84</v>
      </c>
      <c r="N156" s="1105">
        <f>M156*AF118</f>
        <v>1975.0493968901021</v>
      </c>
      <c r="O156" s="684">
        <f>M$235</f>
        <v>1598.6135624999999</v>
      </c>
      <c r="P156" s="1107">
        <f>G$250*AF118</f>
        <v>1182.2478784201314</v>
      </c>
      <c r="Q156" s="1107">
        <f>IF(P156&gt;O156,"0,00",(O156-P156))</f>
        <v>416.36568407986852</v>
      </c>
      <c r="R156" s="1107">
        <f>N156-O156</f>
        <v>376.43583439010217</v>
      </c>
      <c r="S156" s="333">
        <v>0.05</v>
      </c>
      <c r="T156" s="334">
        <f>((O156)*S156)</f>
        <v>79.930678125</v>
      </c>
      <c r="U156" s="311">
        <v>0</v>
      </c>
      <c r="V156" s="334">
        <f>N156/I156*0</f>
        <v>0</v>
      </c>
      <c r="W156" s="334">
        <v>0</v>
      </c>
      <c r="X156" s="312">
        <f>76.76/N156</f>
        <v>3.8864850732779503E-2</v>
      </c>
      <c r="Y156" s="334">
        <f>N156*X156</f>
        <v>76.760000000000005</v>
      </c>
      <c r="Z156" s="312">
        <v>0</v>
      </c>
      <c r="AA156" s="334">
        <f>N156*Z156</f>
        <v>0</v>
      </c>
      <c r="AB156" s="334">
        <v>0</v>
      </c>
      <c r="AC156" s="335">
        <f t="shared" si="189"/>
        <v>658.34979896336733</v>
      </c>
      <c r="AD156" s="335">
        <f t="shared" si="190"/>
        <v>32.917489948168367</v>
      </c>
      <c r="AE156" s="335">
        <f t="shared" si="191"/>
        <v>1975.0493968901021</v>
      </c>
      <c r="AF156" s="335">
        <f t="shared" si="192"/>
        <v>98.752469844505114</v>
      </c>
    </row>
    <row r="157" spans="2:32" s="1272" customFormat="1" hidden="1" x14ac:dyDescent="0.25">
      <c r="B157" s="1264" t="s">
        <v>7282</v>
      </c>
      <c r="C157" s="1267"/>
      <c r="D157" s="1267"/>
      <c r="E157" s="1267"/>
      <c r="F157" s="1267"/>
      <c r="G157" s="1267"/>
      <c r="H157" s="1267"/>
      <c r="I157" s="1267"/>
      <c r="J157" s="1267"/>
      <c r="K157" s="1267"/>
      <c r="L157" s="1267"/>
      <c r="M157" s="1267"/>
      <c r="N157" s="1277">
        <f>SUM(N152:N156)</f>
        <v>9826.5661894567402</v>
      </c>
      <c r="O157" s="1277">
        <f>SUM(O152:O156)</f>
        <v>7993.0678124999995</v>
      </c>
      <c r="P157" s="1277">
        <f>SUM(P152:P156)</f>
        <v>5911.2393921006569</v>
      </c>
      <c r="Q157" s="1277">
        <f>SUM(Q152:Q156)</f>
        <v>2081.8284203993426</v>
      </c>
      <c r="R157" s="1277">
        <f>SUM(R152:R156)</f>
        <v>1833.4983769567409</v>
      </c>
      <c r="S157" s="1278"/>
      <c r="T157" s="1277">
        <f>SUM(T152:T156)</f>
        <v>555.38392942949997</v>
      </c>
      <c r="U157" s="1277">
        <f t="shared" ref="U157:V157" si="193">SUM(U152:U156)</f>
        <v>0</v>
      </c>
      <c r="V157" s="1277">
        <f t="shared" si="193"/>
        <v>1185.0296381340613</v>
      </c>
      <c r="W157" s="1277">
        <f>SUM(W152:W156)</f>
        <v>0</v>
      </c>
      <c r="X157" s="1279"/>
      <c r="Y157" s="1277">
        <f>SUM(Y152:Y156)</f>
        <v>383.8</v>
      </c>
      <c r="Z157" s="1279"/>
      <c r="AA157" s="1277">
        <f>SUM(AA152:AA156)</f>
        <v>0</v>
      </c>
      <c r="AB157" s="1277">
        <f>SUM(AB152:AB156)</f>
        <v>0</v>
      </c>
      <c r="AC157" s="1277">
        <f t="shared" ref="AC157:AF157" si="194">SUM(AC152:AC156)</f>
        <v>3670.5319425302669</v>
      </c>
      <c r="AD157" s="1277">
        <f t="shared" si="194"/>
        <v>253.39049234185833</v>
      </c>
      <c r="AE157" s="1277">
        <f t="shared" si="194"/>
        <v>11011.595827590801</v>
      </c>
      <c r="AF157" s="1277">
        <f t="shared" si="194"/>
        <v>760.17147702557497</v>
      </c>
    </row>
    <row r="158" spans="2:32" s="1272" customFormat="1" hidden="1" x14ac:dyDescent="0.25">
      <c r="B158" s="1264"/>
      <c r="C158" s="1267"/>
      <c r="D158" s="1267"/>
      <c r="E158" s="1267"/>
      <c r="F158" s="1267"/>
      <c r="G158" s="1267"/>
      <c r="H158" s="1267"/>
      <c r="I158" s="1267"/>
      <c r="J158" s="1267"/>
      <c r="K158" s="1267"/>
      <c r="L158" s="1267"/>
      <c r="M158" s="1267"/>
      <c r="N158" s="1277"/>
      <c r="O158" s="1277"/>
      <c r="P158" s="1277"/>
      <c r="Q158" s="1277"/>
      <c r="R158" s="1277"/>
      <c r="S158" s="1278"/>
      <c r="T158" s="1277"/>
      <c r="U158" s="1277"/>
      <c r="V158" s="1277"/>
      <c r="W158" s="1277"/>
      <c r="X158" s="1279"/>
      <c r="Y158" s="1277"/>
      <c r="Z158" s="1279"/>
      <c r="AA158" s="1277"/>
      <c r="AB158" s="1277"/>
      <c r="AC158" s="1277"/>
      <c r="AD158" s="1277"/>
      <c r="AE158" s="1277"/>
      <c r="AF158" s="1277"/>
    </row>
    <row r="159" spans="2:32" s="299" customFormat="1" ht="24.75" hidden="1" customHeight="1" x14ac:dyDescent="0.25">
      <c r="B159" s="314">
        <v>1904</v>
      </c>
      <c r="C159" s="314" t="s">
        <v>2861</v>
      </c>
      <c r="D159" s="304" t="s">
        <v>2796</v>
      </c>
      <c r="E159" s="304" t="s">
        <v>2739</v>
      </c>
      <c r="F159" s="304" t="s">
        <v>2787</v>
      </c>
      <c r="G159" s="304" t="s">
        <v>2862</v>
      </c>
      <c r="H159" s="305">
        <v>31</v>
      </c>
      <c r="I159" s="295">
        <v>25</v>
      </c>
      <c r="J159" s="295" t="s">
        <v>2636</v>
      </c>
      <c r="K159" s="295">
        <v>2</v>
      </c>
      <c r="L159" s="306">
        <v>42054</v>
      </c>
      <c r="M159" s="316">
        <v>2.5499999999999998</v>
      </c>
      <c r="N159" s="1105">
        <f>M159*AF118</f>
        <v>1773.3718176301973</v>
      </c>
      <c r="O159" s="684">
        <f>M$235</f>
        <v>1598.6135624999999</v>
      </c>
      <c r="P159" s="1107">
        <f>G$250*AF118</f>
        <v>1182.2478784201314</v>
      </c>
      <c r="Q159" s="1107">
        <f>IF(P159&gt;O159,"0,00",(O159-P159))</f>
        <v>416.36568407986852</v>
      </c>
      <c r="R159" s="1107">
        <f>N159-O159</f>
        <v>174.75825513019731</v>
      </c>
      <c r="S159" s="333">
        <v>0.05</v>
      </c>
      <c r="T159" s="334">
        <f>((O159)*S159)</f>
        <v>79.930678125</v>
      </c>
      <c r="U159" s="311">
        <v>0</v>
      </c>
      <c r="V159" s="334">
        <f>N159/I159*0</f>
        <v>0</v>
      </c>
      <c r="W159" s="334">
        <v>0</v>
      </c>
      <c r="X159" s="312">
        <f>76.76/N159</f>
        <v>4.3284774933762274E-2</v>
      </c>
      <c r="Y159" s="334">
        <f>N159*X159</f>
        <v>76.760000000000005</v>
      </c>
      <c r="Z159" s="312">
        <v>0</v>
      </c>
      <c r="AA159" s="334">
        <f>N159*Z159</f>
        <v>0</v>
      </c>
      <c r="AB159" s="334">
        <v>0</v>
      </c>
      <c r="AC159" s="335">
        <f t="shared" ref="AC159" si="195">(P159+Q159+R159+U159+V159)/3</f>
        <v>591.12393921006571</v>
      </c>
      <c r="AD159" s="335">
        <f t="shared" ref="AD159" si="196">AC159*S159</f>
        <v>29.556196960503286</v>
      </c>
      <c r="AE159" s="335">
        <f t="shared" ref="AE159" si="197">(P159+Q159+R159+U159+V159)</f>
        <v>1773.3718176301973</v>
      </c>
      <c r="AF159" s="335">
        <f t="shared" ref="AF159" si="198">AE159*S159</f>
        <v>88.668590881509871</v>
      </c>
    </row>
    <row r="160" spans="2:32" s="1272" customFormat="1" hidden="1" x14ac:dyDescent="0.25">
      <c r="B160" s="1264" t="s">
        <v>7283</v>
      </c>
      <c r="C160" s="1267"/>
      <c r="D160" s="1267"/>
      <c r="E160" s="1267"/>
      <c r="F160" s="1267"/>
      <c r="G160" s="1267"/>
      <c r="H160" s="1267"/>
      <c r="I160" s="1267"/>
      <c r="J160" s="1267"/>
      <c r="K160" s="1267"/>
      <c r="L160" s="1267"/>
      <c r="M160" s="1267"/>
      <c r="N160" s="1277">
        <f>SUM(N159:N159)</f>
        <v>1773.3718176301973</v>
      </c>
      <c r="O160" s="1277">
        <f>SUM(O159:O159)</f>
        <v>1598.6135624999999</v>
      </c>
      <c r="P160" s="1277">
        <f>SUM(P159:P159)</f>
        <v>1182.2478784201314</v>
      </c>
      <c r="Q160" s="1277">
        <f>SUM(Q159:Q159)</f>
        <v>416.36568407986852</v>
      </c>
      <c r="R160" s="1277">
        <f>SUM(R159:R159)</f>
        <v>174.75825513019731</v>
      </c>
      <c r="S160" s="1278"/>
      <c r="T160" s="1277">
        <f>SUM(T159:T159)</f>
        <v>79.930678125</v>
      </c>
      <c r="U160" s="1277">
        <f t="shared" ref="U160:W160" si="199">SUM(U159:U159)</f>
        <v>0</v>
      </c>
      <c r="V160" s="1277">
        <f t="shared" si="199"/>
        <v>0</v>
      </c>
      <c r="W160" s="1277">
        <f t="shared" si="199"/>
        <v>0</v>
      </c>
      <c r="X160" s="1279"/>
      <c r="Y160" s="1277">
        <f>SUM(Y159:Y159)</f>
        <v>76.760000000000005</v>
      </c>
      <c r="Z160" s="1279"/>
      <c r="AA160" s="1277">
        <f t="shared" ref="AA160:AB160" si="200">SUM(AA159:AA159)</f>
        <v>0</v>
      </c>
      <c r="AB160" s="1277">
        <f t="shared" si="200"/>
        <v>0</v>
      </c>
      <c r="AC160" s="1277">
        <f>SUM(AC159:AC159)</f>
        <v>591.12393921006571</v>
      </c>
      <c r="AD160" s="1277">
        <f t="shared" ref="AD160:AF160" si="201">SUM(AD159:AD159)</f>
        <v>29.556196960503286</v>
      </c>
      <c r="AE160" s="1277">
        <f t="shared" si="201"/>
        <v>1773.3718176301973</v>
      </c>
      <c r="AF160" s="1277">
        <f t="shared" si="201"/>
        <v>88.668590881509871</v>
      </c>
    </row>
    <row r="161" spans="2:32" s="1272" customFormat="1" hidden="1" x14ac:dyDescent="0.25">
      <c r="B161" s="1264"/>
      <c r="C161" s="1267"/>
      <c r="D161" s="1267"/>
      <c r="E161" s="1267"/>
      <c r="F161" s="1267"/>
      <c r="G161" s="1267"/>
      <c r="H161" s="1267"/>
      <c r="I161" s="1267"/>
      <c r="J161" s="1267"/>
      <c r="K161" s="1267"/>
      <c r="L161" s="1267"/>
      <c r="M161" s="1267"/>
      <c r="N161" s="1277"/>
      <c r="O161" s="1277"/>
      <c r="P161" s="1277"/>
      <c r="Q161" s="1277"/>
      <c r="R161" s="1277"/>
      <c r="S161" s="1278"/>
      <c r="T161" s="1277"/>
      <c r="U161" s="1277"/>
      <c r="V161" s="1277"/>
      <c r="W161" s="1277"/>
      <c r="X161" s="1279"/>
      <c r="Y161" s="1277"/>
      <c r="Z161" s="1279"/>
      <c r="AA161" s="1277"/>
      <c r="AB161" s="1277"/>
      <c r="AC161" s="1277"/>
      <c r="AD161" s="1277"/>
      <c r="AE161" s="1277"/>
      <c r="AF161" s="1277"/>
    </row>
    <row r="162" spans="2:32" s="299" customFormat="1" ht="31.5" hidden="1" x14ac:dyDescent="0.25">
      <c r="B162" s="314">
        <v>711</v>
      </c>
      <c r="C162" s="314" t="s">
        <v>2863</v>
      </c>
      <c r="D162" s="304" t="s">
        <v>2796</v>
      </c>
      <c r="E162" s="304" t="s">
        <v>2739</v>
      </c>
      <c r="F162" s="304" t="s">
        <v>2787</v>
      </c>
      <c r="G162" s="304" t="s">
        <v>2864</v>
      </c>
      <c r="H162" s="305">
        <v>31</v>
      </c>
      <c r="I162" s="295">
        <v>25</v>
      </c>
      <c r="J162" s="295" t="s">
        <v>2648</v>
      </c>
      <c r="K162" s="295">
        <v>3</v>
      </c>
      <c r="L162" s="306">
        <v>38085</v>
      </c>
      <c r="M162" s="316">
        <v>3.07</v>
      </c>
      <c r="N162" s="1105">
        <f>M162*AF118</f>
        <v>2135.0005804410612</v>
      </c>
      <c r="O162" s="684">
        <f>M$235</f>
        <v>1598.6135624999999</v>
      </c>
      <c r="P162" s="1107">
        <f>G$259*AF118</f>
        <v>1342.1990619710905</v>
      </c>
      <c r="Q162" s="1107">
        <f>IF(P162&gt;O162,"0,00",(O162-P162))</f>
        <v>256.41450052890946</v>
      </c>
      <c r="R162" s="1107">
        <f>N162-O162</f>
        <v>536.38701794106123</v>
      </c>
      <c r="S162" s="333">
        <v>0.16</v>
      </c>
      <c r="T162" s="334">
        <f>(((((((O162)*(1+4.12%))))*(1+4.12%))))*S162</f>
        <v>277.28845930488473</v>
      </c>
      <c r="U162" s="311">
        <v>0</v>
      </c>
      <c r="V162" s="334">
        <f>O162/I162*0</f>
        <v>0</v>
      </c>
      <c r="W162" s="334">
        <v>0</v>
      </c>
      <c r="X162" s="312">
        <f>76.76/N162</f>
        <v>3.595315181794586E-2</v>
      </c>
      <c r="Y162" s="334">
        <f>N162*X162</f>
        <v>76.760000000000005</v>
      </c>
      <c r="Z162" s="312">
        <f>0/N162</f>
        <v>0</v>
      </c>
      <c r="AA162" s="334">
        <f>N162*Z162</f>
        <v>0</v>
      </c>
      <c r="AB162" s="334">
        <v>0</v>
      </c>
      <c r="AC162" s="335">
        <f t="shared" ref="AC162:AC166" si="202">(P162+Q162+R162+U162+V162)/3</f>
        <v>711.66686014702043</v>
      </c>
      <c r="AD162" s="335">
        <f t="shared" ref="AD162:AD164" si="203">AC162*S162</f>
        <v>113.86669762352327</v>
      </c>
      <c r="AE162" s="335">
        <f t="shared" ref="AE162:AE166" si="204">(P162+Q162+R162+U162+V162)</f>
        <v>2135.0005804410612</v>
      </c>
      <c r="AF162" s="335">
        <f t="shared" ref="AF162:AF166" si="205">AE162*S162</f>
        <v>341.60009287056977</v>
      </c>
    </row>
    <row r="163" spans="2:32" s="299" customFormat="1" ht="31.5" hidden="1" x14ac:dyDescent="0.25">
      <c r="B163" s="314">
        <v>8</v>
      </c>
      <c r="C163" s="314" t="s">
        <v>2865</v>
      </c>
      <c r="D163" s="304" t="s">
        <v>2796</v>
      </c>
      <c r="E163" s="304" t="s">
        <v>2739</v>
      </c>
      <c r="F163" s="304" t="s">
        <v>2787</v>
      </c>
      <c r="G163" s="304" t="s">
        <v>2864</v>
      </c>
      <c r="H163" s="305">
        <v>31</v>
      </c>
      <c r="I163" s="295">
        <v>25</v>
      </c>
      <c r="J163" s="295" t="s">
        <v>2837</v>
      </c>
      <c r="K163" s="295">
        <v>3</v>
      </c>
      <c r="L163" s="306">
        <v>35431</v>
      </c>
      <c r="M163" s="316">
        <v>3.34</v>
      </c>
      <c r="N163" s="1105">
        <f>M163*AF118</f>
        <v>2322.7693611313171</v>
      </c>
      <c r="O163" s="684">
        <f>M$235</f>
        <v>1598.6135624999999</v>
      </c>
      <c r="P163" s="1107">
        <f>G$259*AF118</f>
        <v>1342.1990619710905</v>
      </c>
      <c r="Q163" s="1107">
        <f>IF(P163&gt;O163,"0,00",(O163-P163))</f>
        <v>256.41450052890946</v>
      </c>
      <c r="R163" s="1107">
        <f>N163-O163</f>
        <v>724.15579863131711</v>
      </c>
      <c r="S163" s="333">
        <v>0.22</v>
      </c>
      <c r="T163" s="334">
        <f>(((((((O163)*(1+4.12%))))*(1+4.12%)))*(1+4.12%))*(1+4.12%)*(1+4.12%)*S144</f>
        <v>371.67888644449789</v>
      </c>
      <c r="U163" s="311">
        <v>0</v>
      </c>
      <c r="V163" s="334">
        <f>O163/I163*0</f>
        <v>0</v>
      </c>
      <c r="W163" s="334">
        <v>20.09</v>
      </c>
      <c r="X163" s="312">
        <f>76.76/N163</f>
        <v>3.3046759305716711E-2</v>
      </c>
      <c r="Y163" s="334">
        <f>N163*X163</f>
        <v>76.760000000000005</v>
      </c>
      <c r="Z163" s="312">
        <f>0/N163</f>
        <v>0</v>
      </c>
      <c r="AA163" s="334">
        <f>N163*Z163</f>
        <v>0</v>
      </c>
      <c r="AB163" s="334">
        <v>0</v>
      </c>
      <c r="AC163" s="335">
        <f t="shared" si="202"/>
        <v>774.25645371043902</v>
      </c>
      <c r="AD163" s="335">
        <f t="shared" si="203"/>
        <v>170.3364198162966</v>
      </c>
      <c r="AE163" s="335">
        <f t="shared" si="204"/>
        <v>2322.7693611313171</v>
      </c>
      <c r="AF163" s="335">
        <f t="shared" si="205"/>
        <v>511.00925944888974</v>
      </c>
    </row>
    <row r="164" spans="2:32" s="299" customFormat="1" ht="31.5" hidden="1" x14ac:dyDescent="0.25">
      <c r="B164" s="314">
        <v>1534</v>
      </c>
      <c r="C164" s="314" t="s">
        <v>2866</v>
      </c>
      <c r="D164" s="304" t="s">
        <v>2796</v>
      </c>
      <c r="E164" s="304" t="s">
        <v>2739</v>
      </c>
      <c r="F164" s="304" t="s">
        <v>2787</v>
      </c>
      <c r="G164" s="304" t="s">
        <v>2864</v>
      </c>
      <c r="H164" s="305">
        <v>31</v>
      </c>
      <c r="I164" s="295">
        <v>20</v>
      </c>
      <c r="J164" s="295" t="s">
        <v>2634</v>
      </c>
      <c r="K164" s="295">
        <v>3</v>
      </c>
      <c r="L164" s="306">
        <v>39682</v>
      </c>
      <c r="M164" s="316">
        <v>2.36</v>
      </c>
      <c r="N164" s="1105">
        <f>M164*AF118</f>
        <v>1641.2382312185355</v>
      </c>
      <c r="O164" s="684">
        <f>H$235</f>
        <v>1278.89085</v>
      </c>
      <c r="P164" s="1107">
        <f>G241*AF118</f>
        <v>1077.9318891477672</v>
      </c>
      <c r="Q164" s="1107">
        <f>IF(P164&gt;O164,"0,00",(O164-P164))</f>
        <v>200.95896085223285</v>
      </c>
      <c r="R164" s="1107">
        <f>N164-O164</f>
        <v>362.34738121853547</v>
      </c>
      <c r="S164" s="333">
        <v>0.11</v>
      </c>
      <c r="T164" s="334">
        <f>(((((((O164)*(1+4.12%)))))*S164))</f>
        <v>146.47392683219999</v>
      </c>
      <c r="U164" s="311">
        <v>0</v>
      </c>
      <c r="V164" s="334">
        <f>O164/20*0</f>
        <v>0</v>
      </c>
      <c r="W164" s="334">
        <v>0</v>
      </c>
      <c r="X164" s="312">
        <f>76.76/N164</f>
        <v>4.6769566136056692E-2</v>
      </c>
      <c r="Y164" s="334">
        <f>N164*X164</f>
        <v>76.760000000000005</v>
      </c>
      <c r="Z164" s="312">
        <f>0/N164</f>
        <v>0</v>
      </c>
      <c r="AA164" s="334">
        <f>N164*Z164</f>
        <v>0</v>
      </c>
      <c r="AB164" s="334">
        <v>0</v>
      </c>
      <c r="AC164" s="335">
        <f t="shared" si="202"/>
        <v>547.07941040617845</v>
      </c>
      <c r="AD164" s="335">
        <f t="shared" si="203"/>
        <v>60.178735144679628</v>
      </c>
      <c r="AE164" s="335">
        <f t="shared" si="204"/>
        <v>1641.2382312185355</v>
      </c>
      <c r="AF164" s="335">
        <f t="shared" si="205"/>
        <v>180.53620543403889</v>
      </c>
    </row>
    <row r="165" spans="2:32" s="299" customFormat="1" ht="31.5" hidden="1" x14ac:dyDescent="0.25">
      <c r="B165" s="314">
        <v>533</v>
      </c>
      <c r="C165" s="314" t="s">
        <v>2867</v>
      </c>
      <c r="D165" s="304" t="s">
        <v>2796</v>
      </c>
      <c r="E165" s="304" t="s">
        <v>2739</v>
      </c>
      <c r="F165" s="304" t="s">
        <v>2787</v>
      </c>
      <c r="G165" s="304" t="s">
        <v>2864</v>
      </c>
      <c r="H165" s="305">
        <v>31</v>
      </c>
      <c r="I165" s="295">
        <v>22</v>
      </c>
      <c r="J165" s="295" t="s">
        <v>2638</v>
      </c>
      <c r="K165" s="295">
        <v>2</v>
      </c>
      <c r="L165" s="306">
        <v>37370</v>
      </c>
      <c r="M165" s="316">
        <v>2.54</v>
      </c>
      <c r="N165" s="1105">
        <f>M165*AF118</f>
        <v>1766.4174183453731</v>
      </c>
      <c r="O165" s="684">
        <f>M$235</f>
        <v>1598.6135624999999</v>
      </c>
      <c r="P165" s="1107">
        <f>G250*AF118</f>
        <v>1182.2478784201314</v>
      </c>
      <c r="Q165" s="1107">
        <f>IF(P165&gt;O165,"0,00",(O165-P165))</f>
        <v>416.36568407986852</v>
      </c>
      <c r="R165" s="1107">
        <f>N165-O165</f>
        <v>167.80385584537316</v>
      </c>
      <c r="S165" s="333">
        <v>0.18</v>
      </c>
      <c r="T165" s="334">
        <f>(((((((O165)*(1+4.12%))))*(1+4.12%))))*S165</f>
        <v>311.94951671799532</v>
      </c>
      <c r="U165" s="311">
        <v>0</v>
      </c>
      <c r="V165" s="334">
        <f>O165/I165*0</f>
        <v>0</v>
      </c>
      <c r="W165" s="334">
        <v>0</v>
      </c>
      <c r="X165" s="312">
        <f>76.76/N165</f>
        <v>4.3455187433501491E-2</v>
      </c>
      <c r="Y165" s="334">
        <f>N165*X165</f>
        <v>76.760000000000005</v>
      </c>
      <c r="Z165" s="312">
        <f>0/N165</f>
        <v>0</v>
      </c>
      <c r="AA165" s="334">
        <f>N165*Z165</f>
        <v>0</v>
      </c>
      <c r="AB165" s="334">
        <f>AF118</f>
        <v>695.43992848243033</v>
      </c>
      <c r="AC165" s="335">
        <f t="shared" si="202"/>
        <v>588.80580611512437</v>
      </c>
      <c r="AD165" s="335">
        <f>AC165*S165</f>
        <v>105.98504510072239</v>
      </c>
      <c r="AE165" s="335">
        <f t="shared" si="204"/>
        <v>1766.4174183453731</v>
      </c>
      <c r="AF165" s="335">
        <f t="shared" si="205"/>
        <v>317.95513530216715</v>
      </c>
    </row>
    <row r="166" spans="2:32" s="299" customFormat="1" ht="24.75" hidden="1" customHeight="1" x14ac:dyDescent="0.25">
      <c r="B166" s="314">
        <v>1334</v>
      </c>
      <c r="C166" s="314" t="s">
        <v>2868</v>
      </c>
      <c r="D166" s="304" t="s">
        <v>2796</v>
      </c>
      <c r="E166" s="304" t="s">
        <v>2739</v>
      </c>
      <c r="F166" s="304" t="s">
        <v>2787</v>
      </c>
      <c r="G166" s="304" t="s">
        <v>2864</v>
      </c>
      <c r="H166" s="305">
        <v>31</v>
      </c>
      <c r="I166" s="295">
        <v>20</v>
      </c>
      <c r="J166" s="295" t="s">
        <v>2636</v>
      </c>
      <c r="K166" s="295">
        <v>2</v>
      </c>
      <c r="L166" s="306">
        <v>40095</v>
      </c>
      <c r="M166" s="316">
        <v>2.0499999999999998</v>
      </c>
      <c r="N166" s="1105">
        <f>M166*AF118</f>
        <v>1425.6518533889821</v>
      </c>
      <c r="O166" s="684">
        <f>H$235</f>
        <v>1278.89085</v>
      </c>
      <c r="P166" s="1107">
        <f>G$241*AF118</f>
        <v>1077.9318891477672</v>
      </c>
      <c r="Q166" s="1107">
        <f>IF(P166&gt;O166,"0,00",(O166-P166))</f>
        <v>200.95896085223285</v>
      </c>
      <c r="R166" s="1107">
        <f t="shared" ref="R166" si="206">N166-O166</f>
        <v>146.76100338898209</v>
      </c>
      <c r="S166" s="333">
        <v>0.11</v>
      </c>
      <c r="T166" s="334">
        <f>O166*S166</f>
        <v>140.67799350000001</v>
      </c>
      <c r="U166" s="334">
        <f>AF118*0</f>
        <v>0</v>
      </c>
      <c r="V166" s="334">
        <f>N166/I166*0</f>
        <v>0</v>
      </c>
      <c r="W166" s="334">
        <v>0</v>
      </c>
      <c r="X166" s="312">
        <f>76.76/N166</f>
        <v>5.3842037112728683E-2</v>
      </c>
      <c r="Y166" s="334">
        <f>N166*X166</f>
        <v>76.760000000000005</v>
      </c>
      <c r="Z166" s="312">
        <f>0/N166</f>
        <v>0</v>
      </c>
      <c r="AA166" s="334">
        <f>N166*Z166</f>
        <v>0</v>
      </c>
      <c r="AB166" s="334">
        <v>0</v>
      </c>
      <c r="AC166" s="335">
        <f t="shared" si="202"/>
        <v>475.21728446299403</v>
      </c>
      <c r="AD166" s="335">
        <f t="shared" ref="AD166" si="207">AC166*S166</f>
        <v>52.273901290929345</v>
      </c>
      <c r="AE166" s="335">
        <f t="shared" si="204"/>
        <v>1425.6518533889821</v>
      </c>
      <c r="AF166" s="335">
        <f t="shared" si="205"/>
        <v>156.82170387278802</v>
      </c>
    </row>
    <row r="167" spans="2:32" s="1272" customFormat="1" hidden="1" x14ac:dyDescent="0.25">
      <c r="B167" s="1264" t="s">
        <v>7284</v>
      </c>
      <c r="C167" s="1267"/>
      <c r="D167" s="1267"/>
      <c r="E167" s="1267"/>
      <c r="F167" s="1267"/>
      <c r="G167" s="1267"/>
      <c r="H167" s="1267"/>
      <c r="I167" s="1267"/>
      <c r="J167" s="1267"/>
      <c r="K167" s="1267"/>
      <c r="L167" s="1267"/>
      <c r="M167" s="1267"/>
      <c r="N167" s="1277">
        <f>SUM(N162:N166)</f>
        <v>9291.0774445252682</v>
      </c>
      <c r="O167" s="1277">
        <f t="shared" ref="O167:R167" si="208">SUM(O162:O166)</f>
        <v>7353.6223874999996</v>
      </c>
      <c r="P167" s="1277">
        <f t="shared" si="208"/>
        <v>6022.509780657846</v>
      </c>
      <c r="Q167" s="1277">
        <f t="shared" si="208"/>
        <v>1331.1126068421531</v>
      </c>
      <c r="R167" s="1277">
        <f t="shared" si="208"/>
        <v>1937.4550570252691</v>
      </c>
      <c r="S167" s="1278"/>
      <c r="T167" s="1277">
        <f t="shared" ref="T167:W167" si="209">SUM(T162:T166)</f>
        <v>1248.0687827995778</v>
      </c>
      <c r="U167" s="1277">
        <f t="shared" si="209"/>
        <v>0</v>
      </c>
      <c r="V167" s="1277">
        <f t="shared" si="209"/>
        <v>0</v>
      </c>
      <c r="W167" s="1277">
        <f t="shared" si="209"/>
        <v>20.09</v>
      </c>
      <c r="X167" s="1279"/>
      <c r="Y167" s="1277">
        <f t="shared" ref="Y167" si="210">SUM(Y162:Y166)</f>
        <v>383.8</v>
      </c>
      <c r="Z167" s="1279"/>
      <c r="AA167" s="1277">
        <f t="shared" ref="AA167:AC167" si="211">SUM(AA162:AA166)</f>
        <v>0</v>
      </c>
      <c r="AB167" s="1277">
        <f t="shared" si="211"/>
        <v>695.43992848243033</v>
      </c>
      <c r="AC167" s="1277">
        <f t="shared" si="211"/>
        <v>3097.0258148417561</v>
      </c>
      <c r="AD167" s="1277">
        <f>SUM(AD162:AD166)</f>
        <v>502.64079897615125</v>
      </c>
      <c r="AE167" s="1277">
        <f t="shared" ref="AE167:AF167" si="212">SUM(AE162:AE166)</f>
        <v>9291.0774445252682</v>
      </c>
      <c r="AF167" s="1277">
        <f t="shared" si="212"/>
        <v>1507.9223969284535</v>
      </c>
    </row>
    <row r="168" spans="2:32" s="1272" customFormat="1" hidden="1" x14ac:dyDescent="0.25">
      <c r="B168" s="1264"/>
      <c r="C168" s="1267"/>
      <c r="D168" s="1267"/>
      <c r="E168" s="1267"/>
      <c r="F168" s="1267"/>
      <c r="G168" s="1267"/>
      <c r="H168" s="1267"/>
      <c r="I168" s="1267"/>
      <c r="J168" s="1267"/>
      <c r="K168" s="1267"/>
      <c r="L168" s="1267"/>
      <c r="M168" s="1267"/>
      <c r="N168" s="1277"/>
      <c r="O168" s="1277"/>
      <c r="P168" s="1277"/>
      <c r="Q168" s="1277"/>
      <c r="R168" s="1277"/>
      <c r="S168" s="1278"/>
      <c r="T168" s="1277"/>
      <c r="U168" s="1277"/>
      <c r="V168" s="1277"/>
      <c r="W168" s="1277"/>
      <c r="X168" s="1279"/>
      <c r="Y168" s="1277"/>
      <c r="Z168" s="1279"/>
      <c r="AA168" s="1277"/>
      <c r="AB168" s="1277"/>
      <c r="AC168" s="1277"/>
      <c r="AD168" s="1277"/>
      <c r="AE168" s="1277"/>
      <c r="AF168" s="1277"/>
    </row>
    <row r="169" spans="2:32" s="1272" customFormat="1" hidden="1" x14ac:dyDescent="0.25">
      <c r="B169" s="1264" t="s">
        <v>7285</v>
      </c>
      <c r="C169" s="1267"/>
      <c r="D169" s="1267"/>
      <c r="E169" s="1267"/>
      <c r="F169" s="1267"/>
      <c r="G169" s="1267"/>
      <c r="H169" s="1267"/>
      <c r="I169" s="1267"/>
      <c r="J169" s="1267"/>
      <c r="K169" s="1267"/>
      <c r="L169" s="1267"/>
      <c r="M169" s="1267"/>
      <c r="N169" s="1277">
        <f>N167+N160+N157+N150+N122</f>
        <v>74578.977930455832</v>
      </c>
      <c r="O169" s="1277">
        <f t="shared" ref="O169:R169" si="213">O167+O160+O157+O150+O122</f>
        <v>56654.864654999998</v>
      </c>
      <c r="P169" s="1277">
        <f t="shared" si="213"/>
        <v>49487.505310809742</v>
      </c>
      <c r="Q169" s="1277">
        <f t="shared" si="213"/>
        <v>9388.6871896798966</v>
      </c>
      <c r="R169" s="1277">
        <f t="shared" si="213"/>
        <v>16846.181386308061</v>
      </c>
      <c r="S169" s="1278"/>
      <c r="T169" s="1277">
        <f t="shared" ref="T169:W169" si="214">T167+T160+T157+T150+T122</f>
        <v>6941.5584020089136</v>
      </c>
      <c r="U169" s="1277">
        <f t="shared" si="214"/>
        <v>1112.7038855718886</v>
      </c>
      <c r="V169" s="1277">
        <f t="shared" si="214"/>
        <v>7385.9898362795102</v>
      </c>
      <c r="W169" s="1277">
        <f t="shared" si="214"/>
        <v>135.71</v>
      </c>
      <c r="X169" s="1279"/>
      <c r="Y169" s="1277">
        <f>Y167+Y160+Y157+Y150+Y122</f>
        <v>2635.44</v>
      </c>
      <c r="Z169" s="1279"/>
      <c r="AA169" s="1277">
        <f t="shared" ref="AA169:AF169" si="215">AA167+AA160+AA157+AA150+AA122</f>
        <v>0</v>
      </c>
      <c r="AB169" s="1277">
        <f t="shared" si="215"/>
        <v>695.43992848243033</v>
      </c>
      <c r="AC169" s="1277">
        <f t="shared" si="215"/>
        <v>28112.229202883031</v>
      </c>
      <c r="AD169" s="1277">
        <f t="shared" si="215"/>
        <v>3181.212774618346</v>
      </c>
      <c r="AE169" s="1277">
        <f t="shared" si="215"/>
        <v>84336.687608649081</v>
      </c>
      <c r="AF169" s="1277">
        <f t="shared" si="215"/>
        <v>9543.638323855037</v>
      </c>
    </row>
    <row r="170" spans="2:32" s="1272" customFormat="1" hidden="1" x14ac:dyDescent="0.25">
      <c r="B170" s="1264"/>
      <c r="C170" s="1267"/>
      <c r="D170" s="1267"/>
      <c r="E170" s="1267"/>
      <c r="F170" s="1267"/>
      <c r="G170" s="1267"/>
      <c r="H170" s="1267"/>
      <c r="I170" s="1267"/>
      <c r="J170" s="1267"/>
      <c r="K170" s="1267"/>
      <c r="L170" s="1267"/>
      <c r="M170" s="1267"/>
      <c r="N170" s="1277"/>
      <c r="O170" s="1277"/>
      <c r="P170" s="1277"/>
      <c r="Q170" s="1277"/>
      <c r="R170" s="1277"/>
      <c r="S170" s="1278"/>
      <c r="T170" s="1277"/>
      <c r="U170" s="1277"/>
      <c r="V170" s="1277"/>
      <c r="W170" s="1277"/>
      <c r="X170" s="1279"/>
      <c r="Y170" s="1277"/>
      <c r="Z170" s="1279"/>
      <c r="AA170" s="1277"/>
      <c r="AB170" s="1277"/>
      <c r="AC170" s="1277"/>
      <c r="AD170" s="1277"/>
      <c r="AE170" s="1277"/>
      <c r="AF170" s="1277"/>
    </row>
    <row r="171" spans="2:32" s="1272" customFormat="1" hidden="1" x14ac:dyDescent="0.25">
      <c r="B171" s="1264" t="s">
        <v>7286</v>
      </c>
      <c r="C171" s="1267"/>
      <c r="D171" s="1267"/>
      <c r="E171" s="1267"/>
      <c r="F171" s="1267"/>
      <c r="G171" s="1267"/>
      <c r="H171" s="1267"/>
      <c r="I171" s="1267"/>
      <c r="J171" s="1267"/>
      <c r="K171" s="1267"/>
      <c r="L171" s="1267"/>
      <c r="M171" s="1267"/>
      <c r="N171" s="1277"/>
      <c r="O171" s="1277"/>
      <c r="P171" s="1277"/>
      <c r="Q171" s="1277"/>
      <c r="R171" s="1277"/>
      <c r="S171" s="1278"/>
      <c r="T171" s="1277"/>
      <c r="U171" s="1277"/>
      <c r="V171" s="1277"/>
      <c r="W171" s="1277"/>
      <c r="X171" s="1279"/>
      <c r="Y171" s="1277"/>
      <c r="Z171" s="1279"/>
      <c r="AA171" s="1277"/>
      <c r="AB171" s="1277"/>
      <c r="AC171" s="1277"/>
      <c r="AD171" s="1277"/>
      <c r="AE171" s="1277"/>
      <c r="AF171" s="1277"/>
    </row>
    <row r="172" spans="2:32" s="1272" customFormat="1" hidden="1" x14ac:dyDescent="0.25">
      <c r="B172" s="1264"/>
      <c r="C172" s="1267"/>
      <c r="D172" s="1267"/>
      <c r="E172" s="1267"/>
      <c r="F172" s="1267"/>
      <c r="G172" s="1267"/>
      <c r="H172" s="1267"/>
      <c r="I172" s="1267"/>
      <c r="J172" s="1267"/>
      <c r="K172" s="1267"/>
      <c r="L172" s="1267"/>
      <c r="M172" s="1267"/>
      <c r="N172" s="1277"/>
      <c r="O172" s="1277"/>
      <c r="P172" s="1277"/>
      <c r="Q172" s="1277"/>
      <c r="R172" s="1277"/>
      <c r="S172" s="1278"/>
      <c r="T172" s="1277"/>
      <c r="U172" s="1277"/>
      <c r="V172" s="1277"/>
      <c r="W172" s="1277"/>
      <c r="X172" s="1279"/>
      <c r="Y172" s="1277"/>
      <c r="Z172" s="1279"/>
      <c r="AA172" s="1277"/>
      <c r="AB172" s="1277"/>
      <c r="AC172" s="1277"/>
      <c r="AD172" s="1277"/>
      <c r="AE172" s="1277"/>
      <c r="AF172" s="1277"/>
    </row>
    <row r="173" spans="2:32" s="299" customFormat="1" ht="47.25" hidden="1" x14ac:dyDescent="0.25">
      <c r="B173" s="314">
        <v>2320</v>
      </c>
      <c r="C173" s="314" t="s">
        <v>7287</v>
      </c>
      <c r="D173" s="304" t="s">
        <v>2796</v>
      </c>
      <c r="E173" s="304" t="s">
        <v>2757</v>
      </c>
      <c r="F173" s="304" t="s">
        <v>2787</v>
      </c>
      <c r="G173" s="304" t="s">
        <v>2825</v>
      </c>
      <c r="H173" s="305">
        <v>31</v>
      </c>
      <c r="I173" s="295">
        <v>20</v>
      </c>
      <c r="J173" s="295" t="s">
        <v>2636</v>
      </c>
      <c r="K173" s="295">
        <v>2</v>
      </c>
      <c r="L173" s="306">
        <v>43530</v>
      </c>
      <c r="M173" s="316">
        <v>2.0499999999999998</v>
      </c>
      <c r="N173" s="1105">
        <f>M173*AF118</f>
        <v>1425.6518533889821</v>
      </c>
      <c r="O173" s="684">
        <f>H$235</f>
        <v>1278.89085</v>
      </c>
      <c r="P173" s="1107">
        <f>G$259*AF118</f>
        <v>1342.1990619710905</v>
      </c>
      <c r="Q173" s="1107" t="str">
        <f t="shared" ref="Q173:Q177" si="216">IF(P173&gt;O173,"0,00",(O173-P173))</f>
        <v>0,00</v>
      </c>
      <c r="R173" s="1107">
        <f t="shared" ref="R173:R177" si="217">N173-O173</f>
        <v>146.76100338898209</v>
      </c>
      <c r="S173" s="333">
        <v>0</v>
      </c>
      <c r="T173" s="334">
        <f t="shared" ref="T173:T177" si="218">(((((((O173)*(1+4.12%))))*(1+4.12%))))*S173</f>
        <v>0</v>
      </c>
      <c r="U173" s="311">
        <v>0</v>
      </c>
      <c r="V173" s="334">
        <f t="shared" ref="V173:V177" si="219">N173/I173*0</f>
        <v>0</v>
      </c>
      <c r="W173" s="334">
        <v>0</v>
      </c>
      <c r="X173" s="312">
        <f>76.76/N173</f>
        <v>5.3842037112728683E-2</v>
      </c>
      <c r="Y173" s="334">
        <f t="shared" ref="Y173:Y177" si="220">N173*X173</f>
        <v>76.760000000000005</v>
      </c>
      <c r="Z173" s="312">
        <v>0.2</v>
      </c>
      <c r="AA173" s="334">
        <f t="shared" ref="AA173:AA177" si="221">N173*Z173</f>
        <v>285.13037067779641</v>
      </c>
      <c r="AB173" s="334">
        <v>0</v>
      </c>
      <c r="AC173" s="335">
        <f t="shared" ref="AC173:AC177" si="222">(P173+Q173+R173+U173+V173)/3</f>
        <v>496.32002178669086</v>
      </c>
      <c r="AD173" s="335">
        <f t="shared" ref="AD173:AD177" si="223">AC173*S173</f>
        <v>0</v>
      </c>
      <c r="AE173" s="335">
        <f t="shared" ref="AE173:AE177" si="224">(P173+Q173+R173+U173+V173)</f>
        <v>1488.9600653600726</v>
      </c>
      <c r="AF173" s="335">
        <f t="shared" ref="AF173:AF177" si="225">AE173*S173</f>
        <v>0</v>
      </c>
    </row>
    <row r="174" spans="2:32" s="299" customFormat="1" ht="47.25" hidden="1" x14ac:dyDescent="0.25">
      <c r="B174" s="314">
        <v>2363</v>
      </c>
      <c r="C174" s="314" t="s">
        <v>7288</v>
      </c>
      <c r="D174" s="304" t="s">
        <v>2796</v>
      </c>
      <c r="E174" s="304" t="s">
        <v>2757</v>
      </c>
      <c r="F174" s="304" t="s">
        <v>2787</v>
      </c>
      <c r="G174" s="304" t="s">
        <v>2825</v>
      </c>
      <c r="H174" s="305">
        <v>31</v>
      </c>
      <c r="I174" s="295">
        <v>20</v>
      </c>
      <c r="J174" s="295" t="s">
        <v>2636</v>
      </c>
      <c r="K174" s="295">
        <v>2</v>
      </c>
      <c r="L174" s="306">
        <v>43623</v>
      </c>
      <c r="M174" s="316">
        <v>2.0499999999999998</v>
      </c>
      <c r="N174" s="1105">
        <f>M174*AF118</f>
        <v>1425.6518533889821</v>
      </c>
      <c r="O174" s="684">
        <f>H$235</f>
        <v>1278.89085</v>
      </c>
      <c r="P174" s="1107">
        <f>G$241*AF118</f>
        <v>1077.9318891477672</v>
      </c>
      <c r="Q174" s="1107">
        <f t="shared" si="216"/>
        <v>200.95896085223285</v>
      </c>
      <c r="R174" s="1107">
        <f t="shared" si="217"/>
        <v>146.76100338898209</v>
      </c>
      <c r="S174" s="333">
        <v>0</v>
      </c>
      <c r="T174" s="334">
        <f t="shared" si="218"/>
        <v>0</v>
      </c>
      <c r="U174" s="311">
        <v>0</v>
      </c>
      <c r="V174" s="334">
        <f t="shared" si="219"/>
        <v>0</v>
      </c>
      <c r="W174" s="334">
        <v>0</v>
      </c>
      <c r="X174" s="312">
        <f>76.76/N174</f>
        <v>5.3842037112728683E-2</v>
      </c>
      <c r="Y174" s="334">
        <f t="shared" si="220"/>
        <v>76.760000000000005</v>
      </c>
      <c r="Z174" s="312">
        <v>0.2</v>
      </c>
      <c r="AA174" s="334">
        <f t="shared" si="221"/>
        <v>285.13037067779641</v>
      </c>
      <c r="AB174" s="334">
        <v>0</v>
      </c>
      <c r="AC174" s="335">
        <f t="shared" si="222"/>
        <v>475.21728446299403</v>
      </c>
      <c r="AD174" s="335">
        <f t="shared" si="223"/>
        <v>0</v>
      </c>
      <c r="AE174" s="335">
        <f t="shared" si="224"/>
        <v>1425.6518533889821</v>
      </c>
      <c r="AF174" s="335">
        <f t="shared" si="225"/>
        <v>0</v>
      </c>
    </row>
    <row r="175" spans="2:32" s="299" customFormat="1" ht="47.25" hidden="1" x14ac:dyDescent="0.25">
      <c r="B175" s="314">
        <v>2329</v>
      </c>
      <c r="C175" s="314" t="s">
        <v>7289</v>
      </c>
      <c r="D175" s="304" t="s">
        <v>2796</v>
      </c>
      <c r="E175" s="304" t="s">
        <v>2757</v>
      </c>
      <c r="F175" s="304" t="s">
        <v>2787</v>
      </c>
      <c r="G175" s="304" t="s">
        <v>2825</v>
      </c>
      <c r="H175" s="305">
        <v>31</v>
      </c>
      <c r="I175" s="295">
        <v>25</v>
      </c>
      <c r="J175" s="295" t="s">
        <v>2636</v>
      </c>
      <c r="K175" s="295">
        <v>2</v>
      </c>
      <c r="L175" s="306">
        <v>43536</v>
      </c>
      <c r="M175" s="316">
        <v>2.5499999999999998</v>
      </c>
      <c r="N175" s="1105">
        <f>M175*AF118</f>
        <v>1773.3718176301973</v>
      </c>
      <c r="O175" s="684">
        <f>M$235</f>
        <v>1598.6135624999999</v>
      </c>
      <c r="P175" s="1107">
        <f>G$259*AF118</f>
        <v>1342.1990619710905</v>
      </c>
      <c r="Q175" s="1107">
        <f t="shared" si="216"/>
        <v>256.41450052890946</v>
      </c>
      <c r="R175" s="1107">
        <f t="shared" si="217"/>
        <v>174.75825513019731</v>
      </c>
      <c r="S175" s="333">
        <v>0</v>
      </c>
      <c r="T175" s="334">
        <f t="shared" si="218"/>
        <v>0</v>
      </c>
      <c r="U175" s="311">
        <v>0</v>
      </c>
      <c r="V175" s="334">
        <f t="shared" si="219"/>
        <v>0</v>
      </c>
      <c r="W175" s="334">
        <v>0</v>
      </c>
      <c r="X175" s="312">
        <f>76.76/N175</f>
        <v>4.3284774933762274E-2</v>
      </c>
      <c r="Y175" s="334">
        <f t="shared" si="220"/>
        <v>76.760000000000005</v>
      </c>
      <c r="Z175" s="312">
        <v>0.2</v>
      </c>
      <c r="AA175" s="334">
        <f t="shared" si="221"/>
        <v>354.67436352603949</v>
      </c>
      <c r="AB175" s="334">
        <v>0</v>
      </c>
      <c r="AC175" s="335">
        <f t="shared" si="222"/>
        <v>591.12393921006571</v>
      </c>
      <c r="AD175" s="335">
        <f t="shared" si="223"/>
        <v>0</v>
      </c>
      <c r="AE175" s="335">
        <f t="shared" si="224"/>
        <v>1773.3718176301973</v>
      </c>
      <c r="AF175" s="335">
        <f t="shared" si="225"/>
        <v>0</v>
      </c>
    </row>
    <row r="176" spans="2:32" s="299" customFormat="1" ht="47.25" hidden="1" x14ac:dyDescent="0.25">
      <c r="B176" s="314">
        <v>2321</v>
      </c>
      <c r="C176" s="314" t="s">
        <v>7290</v>
      </c>
      <c r="D176" s="304" t="s">
        <v>2796</v>
      </c>
      <c r="E176" s="304" t="s">
        <v>2757</v>
      </c>
      <c r="F176" s="304" t="s">
        <v>2787</v>
      </c>
      <c r="G176" s="304" t="s">
        <v>2825</v>
      </c>
      <c r="H176" s="305">
        <v>31</v>
      </c>
      <c r="I176" s="295">
        <v>25</v>
      </c>
      <c r="J176" s="295" t="s">
        <v>2636</v>
      </c>
      <c r="K176" s="295">
        <v>2</v>
      </c>
      <c r="L176" s="306">
        <v>43530</v>
      </c>
      <c r="M176" s="316">
        <v>2.5499999999999998</v>
      </c>
      <c r="N176" s="1105">
        <f>M176*AF118</f>
        <v>1773.3718176301973</v>
      </c>
      <c r="O176" s="684">
        <f>H$235</f>
        <v>1278.89085</v>
      </c>
      <c r="P176" s="1107">
        <f>G$241*AF118</f>
        <v>1077.9318891477672</v>
      </c>
      <c r="Q176" s="1107">
        <f t="shared" si="216"/>
        <v>200.95896085223285</v>
      </c>
      <c r="R176" s="1107">
        <f t="shared" si="217"/>
        <v>494.48096763019726</v>
      </c>
      <c r="S176" s="333">
        <v>0</v>
      </c>
      <c r="T176" s="334">
        <f t="shared" si="218"/>
        <v>0</v>
      </c>
      <c r="U176" s="311">
        <v>0</v>
      </c>
      <c r="V176" s="334">
        <f t="shared" si="219"/>
        <v>0</v>
      </c>
      <c r="W176" s="334">
        <v>0</v>
      </c>
      <c r="X176" s="312">
        <f>76.76/N176</f>
        <v>4.3284774933762274E-2</v>
      </c>
      <c r="Y176" s="334">
        <f t="shared" si="220"/>
        <v>76.760000000000005</v>
      </c>
      <c r="Z176" s="312">
        <v>0.2</v>
      </c>
      <c r="AA176" s="334">
        <f t="shared" si="221"/>
        <v>354.67436352603949</v>
      </c>
      <c r="AB176" s="334">
        <v>0</v>
      </c>
      <c r="AC176" s="335">
        <f t="shared" si="222"/>
        <v>591.12393921006571</v>
      </c>
      <c r="AD176" s="335">
        <f t="shared" si="223"/>
        <v>0</v>
      </c>
      <c r="AE176" s="335">
        <f t="shared" si="224"/>
        <v>1773.3718176301973</v>
      </c>
      <c r="AF176" s="335">
        <f t="shared" si="225"/>
        <v>0</v>
      </c>
    </row>
    <row r="177" spans="2:32" s="299" customFormat="1" ht="47.25" hidden="1" x14ac:dyDescent="0.25">
      <c r="B177" s="314">
        <v>2328</v>
      </c>
      <c r="C177" s="314" t="s">
        <v>7291</v>
      </c>
      <c r="D177" s="304" t="s">
        <v>2796</v>
      </c>
      <c r="E177" s="304" t="s">
        <v>2757</v>
      </c>
      <c r="F177" s="304" t="s">
        <v>2787</v>
      </c>
      <c r="G177" s="304" t="s">
        <v>2825</v>
      </c>
      <c r="H177" s="305">
        <v>31</v>
      </c>
      <c r="I177" s="295">
        <v>20</v>
      </c>
      <c r="J177" s="295" t="s">
        <v>2636</v>
      </c>
      <c r="K177" s="295">
        <v>2</v>
      </c>
      <c r="L177" s="306">
        <v>43535</v>
      </c>
      <c r="M177" s="316">
        <v>2.0499999999999998</v>
      </c>
      <c r="N177" s="1105">
        <f>M177*AF118</f>
        <v>1425.6518533889821</v>
      </c>
      <c r="O177" s="684">
        <f>H$235</f>
        <v>1278.89085</v>
      </c>
      <c r="P177" s="1107">
        <f>G$241*AF118</f>
        <v>1077.9318891477672</v>
      </c>
      <c r="Q177" s="1107">
        <f t="shared" si="216"/>
        <v>200.95896085223285</v>
      </c>
      <c r="R177" s="1107">
        <f t="shared" si="217"/>
        <v>146.76100338898209</v>
      </c>
      <c r="S177" s="333">
        <v>0</v>
      </c>
      <c r="T177" s="334">
        <f t="shared" si="218"/>
        <v>0</v>
      </c>
      <c r="U177" s="311">
        <v>0</v>
      </c>
      <c r="V177" s="334">
        <f t="shared" si="219"/>
        <v>0</v>
      </c>
      <c r="W177" s="334">
        <v>0</v>
      </c>
      <c r="X177" s="312">
        <f>76.76/N177</f>
        <v>5.3842037112728683E-2</v>
      </c>
      <c r="Y177" s="334">
        <f t="shared" si="220"/>
        <v>76.760000000000005</v>
      </c>
      <c r="Z177" s="312">
        <v>0.2</v>
      </c>
      <c r="AA177" s="334">
        <f t="shared" si="221"/>
        <v>285.13037067779641</v>
      </c>
      <c r="AB177" s="334">
        <v>0</v>
      </c>
      <c r="AC177" s="335">
        <f t="shared" si="222"/>
        <v>475.21728446299403</v>
      </c>
      <c r="AD177" s="335">
        <f t="shared" si="223"/>
        <v>0</v>
      </c>
      <c r="AE177" s="335">
        <f t="shared" si="224"/>
        <v>1425.6518533889821</v>
      </c>
      <c r="AF177" s="335">
        <f t="shared" si="225"/>
        <v>0</v>
      </c>
    </row>
    <row r="178" spans="2:32" s="1272" customFormat="1" hidden="1" x14ac:dyDescent="0.25">
      <c r="B178" s="1264" t="s">
        <v>7280</v>
      </c>
      <c r="C178" s="1267"/>
      <c r="D178" s="1267"/>
      <c r="E178" s="1267"/>
      <c r="F178" s="1267"/>
      <c r="G178" s="1267"/>
      <c r="H178" s="1267"/>
      <c r="I178" s="1267"/>
      <c r="J178" s="1267"/>
      <c r="K178" s="1267"/>
      <c r="L178" s="1267"/>
      <c r="M178" s="1267"/>
      <c r="N178" s="1277">
        <f>SUM(N173:N177)</f>
        <v>7823.6991954273408</v>
      </c>
      <c r="O178" s="1277">
        <f>SUM(O173:O177)</f>
        <v>6714.1769624999997</v>
      </c>
      <c r="P178" s="1277">
        <f>SUM(P173:P177)</f>
        <v>5918.1937913854817</v>
      </c>
      <c r="Q178" s="1277">
        <f>SUM(Q173:Q177)</f>
        <v>859.291383085608</v>
      </c>
      <c r="R178" s="1277">
        <f>SUM(R173:R177)</f>
        <v>1109.5222329273408</v>
      </c>
      <c r="S178" s="1278"/>
      <c r="T178" s="1277">
        <f>SUM(T173:T177)</f>
        <v>0</v>
      </c>
      <c r="U178" s="1277">
        <f>SUM(U173:U177)</f>
        <v>0</v>
      </c>
      <c r="V178" s="1277">
        <f>SUM(V173:V177)</f>
        <v>0</v>
      </c>
      <c r="W178" s="1277">
        <f>SUM(W173:W177)</f>
        <v>0</v>
      </c>
      <c r="X178" s="1279"/>
      <c r="Y178" s="1277">
        <f>SUM(Y173:Y177)</f>
        <v>383.8</v>
      </c>
      <c r="Z178" s="1279"/>
      <c r="AA178" s="1277">
        <f t="shared" ref="AA178:AF178" si="226">SUM(AA173:AA177)</f>
        <v>1564.7398390854682</v>
      </c>
      <c r="AB178" s="1277">
        <f t="shared" si="226"/>
        <v>0</v>
      </c>
      <c r="AC178" s="1277">
        <f t="shared" si="226"/>
        <v>2629.0024691328103</v>
      </c>
      <c r="AD178" s="1277">
        <f t="shared" si="226"/>
        <v>0</v>
      </c>
      <c r="AE178" s="1277">
        <f t="shared" si="226"/>
        <v>7887.0074073984315</v>
      </c>
      <c r="AF178" s="1277">
        <f t="shared" si="226"/>
        <v>0</v>
      </c>
    </row>
    <row r="179" spans="2:32" s="1272" customFormat="1" hidden="1" x14ac:dyDescent="0.25">
      <c r="B179" s="1264"/>
      <c r="C179" s="1267"/>
      <c r="D179" s="1267"/>
      <c r="E179" s="1267"/>
      <c r="F179" s="1267"/>
      <c r="G179" s="1267"/>
      <c r="H179" s="1267"/>
      <c r="I179" s="1267"/>
      <c r="J179" s="1267"/>
      <c r="K179" s="1267"/>
      <c r="L179" s="1267"/>
      <c r="M179" s="1267"/>
      <c r="N179" s="1277"/>
      <c r="O179" s="1277"/>
      <c r="P179" s="1277"/>
      <c r="Q179" s="1277"/>
      <c r="R179" s="1277"/>
      <c r="S179" s="1278"/>
      <c r="T179" s="1277"/>
      <c r="U179" s="1277"/>
      <c r="V179" s="1277"/>
      <c r="W179" s="1277"/>
      <c r="X179" s="1279"/>
      <c r="Y179" s="1277"/>
      <c r="Z179" s="1279"/>
      <c r="AA179" s="1277"/>
      <c r="AB179" s="1277"/>
      <c r="AC179" s="1277"/>
      <c r="AD179" s="1277"/>
      <c r="AE179" s="1277"/>
      <c r="AF179" s="1277"/>
    </row>
    <row r="180" spans="2:32" s="299" customFormat="1" ht="47.25" hidden="1" x14ac:dyDescent="0.25">
      <c r="B180" s="314">
        <v>861</v>
      </c>
      <c r="C180" s="314" t="s">
        <v>2869</v>
      </c>
      <c r="D180" s="304" t="s">
        <v>2796</v>
      </c>
      <c r="E180" s="304" t="s">
        <v>2739</v>
      </c>
      <c r="F180" s="304" t="s">
        <v>2787</v>
      </c>
      <c r="G180" s="304" t="s">
        <v>2825</v>
      </c>
      <c r="H180" s="305">
        <v>31</v>
      </c>
      <c r="I180" s="295">
        <v>25</v>
      </c>
      <c r="J180" s="295" t="s">
        <v>2648</v>
      </c>
      <c r="K180" s="295">
        <v>3</v>
      </c>
      <c r="L180" s="306">
        <v>38600</v>
      </c>
      <c r="M180" s="316">
        <v>3.07</v>
      </c>
      <c r="N180" s="1105">
        <f>M180*AF118</f>
        <v>2135.0005804410612</v>
      </c>
      <c r="O180" s="684">
        <f>M235</f>
        <v>1598.6135624999999</v>
      </c>
      <c r="P180" s="1107">
        <f>G259*AF118</f>
        <v>1342.1990619710905</v>
      </c>
      <c r="Q180" s="1107">
        <f t="shared" ref="Q180:Q198" si="227">IF(P180&gt;O180,"0,00",(O180-P180))</f>
        <v>256.41450052890946</v>
      </c>
      <c r="R180" s="1107">
        <f t="shared" ref="R180:R182" si="228">N180-O180</f>
        <v>536.38701794106123</v>
      </c>
      <c r="S180" s="333">
        <v>0.15</v>
      </c>
      <c r="T180" s="334">
        <f t="shared" ref="T180:T186" si="229">(((((((O180)*(1+4.12%))))*(1+4.12%))))*S180</f>
        <v>259.95793059832943</v>
      </c>
      <c r="U180" s="311">
        <f>AF118*0</f>
        <v>0</v>
      </c>
      <c r="V180" s="334">
        <f t="shared" ref="V180:V181" si="230">N180/I180*0</f>
        <v>0</v>
      </c>
      <c r="W180" s="334">
        <v>0</v>
      </c>
      <c r="X180" s="312">
        <f>76.76/N180</f>
        <v>3.595315181794586E-2</v>
      </c>
      <c r="Y180" s="334">
        <f t="shared" ref="Y180:Y198" si="231">N180*X180</f>
        <v>76.760000000000005</v>
      </c>
      <c r="Z180" s="312">
        <v>0.2</v>
      </c>
      <c r="AA180" s="334">
        <f t="shared" ref="AA180:AA198" si="232">N180*Z180</f>
        <v>427.00011608821228</v>
      </c>
      <c r="AB180" s="334">
        <v>0</v>
      </c>
      <c r="AC180" s="335">
        <f t="shared" ref="AC180:AC190" si="233">(P180+Q180+R180+U180+V180)/3</f>
        <v>711.66686014702043</v>
      </c>
      <c r="AD180" s="335">
        <f t="shared" ref="AD180:AD193" si="234">AC180*S180</f>
        <v>106.75002902205306</v>
      </c>
      <c r="AE180" s="335">
        <f t="shared" ref="AE180:AE190" si="235">(P180+Q180+R180+U180+V180)</f>
        <v>2135.0005804410612</v>
      </c>
      <c r="AF180" s="335">
        <f t="shared" ref="AF180:AF193" si="236">AE180*S180</f>
        <v>320.25008706615915</v>
      </c>
    </row>
    <row r="181" spans="2:32" s="299" customFormat="1" ht="47.25" hidden="1" x14ac:dyDescent="0.25">
      <c r="B181" s="314">
        <v>2253</v>
      </c>
      <c r="C181" s="314" t="s">
        <v>2869</v>
      </c>
      <c r="D181" s="304" t="s">
        <v>2796</v>
      </c>
      <c r="E181" s="304" t="s">
        <v>2739</v>
      </c>
      <c r="F181" s="304" t="s">
        <v>2787</v>
      </c>
      <c r="G181" s="304" t="s">
        <v>2825</v>
      </c>
      <c r="H181" s="305">
        <v>31</v>
      </c>
      <c r="I181" s="295">
        <v>20</v>
      </c>
      <c r="J181" s="295" t="s">
        <v>2636</v>
      </c>
      <c r="K181" s="295">
        <v>3</v>
      </c>
      <c r="L181" s="306">
        <v>43224</v>
      </c>
      <c r="M181" s="316">
        <v>2.27</v>
      </c>
      <c r="N181" s="1105">
        <f>M181*AF118</f>
        <v>1578.6486376551168</v>
      </c>
      <c r="O181" s="684">
        <f>H235</f>
        <v>1278.89085</v>
      </c>
      <c r="P181" s="1107">
        <f>G241*AF118</f>
        <v>1077.9318891477672</v>
      </c>
      <c r="Q181" s="1107">
        <f t="shared" si="227"/>
        <v>200.95896085223285</v>
      </c>
      <c r="R181" s="1107">
        <f t="shared" si="228"/>
        <v>299.75778765511677</v>
      </c>
      <c r="S181" s="333">
        <v>0.02</v>
      </c>
      <c r="T181" s="334">
        <f t="shared" si="229"/>
        <v>27.728845930488475</v>
      </c>
      <c r="U181" s="311">
        <v>0</v>
      </c>
      <c r="V181" s="334">
        <f t="shared" si="230"/>
        <v>0</v>
      </c>
      <c r="W181" s="334">
        <v>0</v>
      </c>
      <c r="X181" s="312">
        <v>0</v>
      </c>
      <c r="Y181" s="334">
        <f t="shared" si="231"/>
        <v>0</v>
      </c>
      <c r="Z181" s="312">
        <v>0</v>
      </c>
      <c r="AA181" s="334">
        <f t="shared" si="232"/>
        <v>0</v>
      </c>
      <c r="AB181" s="334">
        <v>0</v>
      </c>
      <c r="AC181" s="335">
        <f t="shared" si="233"/>
        <v>526.21621255170555</v>
      </c>
      <c r="AD181" s="335">
        <f t="shared" si="234"/>
        <v>10.524324251034111</v>
      </c>
      <c r="AE181" s="335">
        <f t="shared" si="235"/>
        <v>1578.6486376551168</v>
      </c>
      <c r="AF181" s="335">
        <f t="shared" si="236"/>
        <v>31.572972753102338</v>
      </c>
    </row>
    <row r="182" spans="2:32" s="299" customFormat="1" ht="47.25" hidden="1" x14ac:dyDescent="0.25">
      <c r="B182" s="314">
        <v>865</v>
      </c>
      <c r="C182" s="314" t="s">
        <v>2870</v>
      </c>
      <c r="D182" s="304" t="s">
        <v>2796</v>
      </c>
      <c r="E182" s="304" t="s">
        <v>2739</v>
      </c>
      <c r="F182" s="304" t="s">
        <v>2787</v>
      </c>
      <c r="G182" s="304" t="s">
        <v>2825</v>
      </c>
      <c r="H182" s="305">
        <v>31</v>
      </c>
      <c r="I182" s="295">
        <v>25</v>
      </c>
      <c r="J182" s="295" t="s">
        <v>2648</v>
      </c>
      <c r="K182" s="295">
        <v>3</v>
      </c>
      <c r="L182" s="306">
        <v>38600</v>
      </c>
      <c r="M182" s="316">
        <v>3.07</v>
      </c>
      <c r="N182" s="1105">
        <f>M182*AF118</f>
        <v>2135.0005804410612</v>
      </c>
      <c r="O182" s="684">
        <f>M235</f>
        <v>1598.6135624999999</v>
      </c>
      <c r="P182" s="1107">
        <f>G259*AF118</f>
        <v>1342.1990619710905</v>
      </c>
      <c r="Q182" s="1107">
        <f t="shared" si="227"/>
        <v>256.41450052890946</v>
      </c>
      <c r="R182" s="1107">
        <f t="shared" si="228"/>
        <v>536.38701794106123</v>
      </c>
      <c r="S182" s="333">
        <v>0.14000000000000001</v>
      </c>
      <c r="T182" s="334">
        <f t="shared" si="229"/>
        <v>242.62740189177418</v>
      </c>
      <c r="U182" s="311">
        <v>0</v>
      </c>
      <c r="V182" s="334">
        <f>N182/I182*15</f>
        <v>1281.0003482646366</v>
      </c>
      <c r="W182" s="334">
        <v>0</v>
      </c>
      <c r="X182" s="312">
        <f>76.76/N182</f>
        <v>3.595315181794586E-2</v>
      </c>
      <c r="Y182" s="334">
        <f t="shared" si="231"/>
        <v>76.760000000000005</v>
      </c>
      <c r="Z182" s="312">
        <v>0.2</v>
      </c>
      <c r="AA182" s="334">
        <f t="shared" si="232"/>
        <v>427.00011608821228</v>
      </c>
      <c r="AB182" s="334">
        <v>0</v>
      </c>
      <c r="AC182" s="335">
        <f t="shared" si="233"/>
        <v>1138.6669762352326</v>
      </c>
      <c r="AD182" s="335">
        <f t="shared" si="234"/>
        <v>159.41337667293257</v>
      </c>
      <c r="AE182" s="335">
        <f t="shared" si="235"/>
        <v>3416.0009287056978</v>
      </c>
      <c r="AF182" s="335">
        <f t="shared" si="236"/>
        <v>478.24013001879774</v>
      </c>
    </row>
    <row r="183" spans="2:32" s="299" customFormat="1" ht="47.25" hidden="1" x14ac:dyDescent="0.25">
      <c r="B183" s="314">
        <v>717</v>
      </c>
      <c r="C183" s="314" t="s">
        <v>2871</v>
      </c>
      <c r="D183" s="304" t="s">
        <v>2796</v>
      </c>
      <c r="E183" s="304" t="s">
        <v>2739</v>
      </c>
      <c r="F183" s="304" t="s">
        <v>2787</v>
      </c>
      <c r="G183" s="304" t="s">
        <v>2825</v>
      </c>
      <c r="H183" s="305">
        <v>31</v>
      </c>
      <c r="I183" s="295">
        <v>22</v>
      </c>
      <c r="J183" s="295" t="s">
        <v>2648</v>
      </c>
      <c r="K183" s="295">
        <v>3</v>
      </c>
      <c r="L183" s="306">
        <v>38085</v>
      </c>
      <c r="M183" s="316">
        <v>2.71</v>
      </c>
      <c r="N183" s="1105">
        <f>M183*AF118</f>
        <v>1884.6422061873861</v>
      </c>
      <c r="O183" s="684">
        <f>J235</f>
        <v>1406.779935</v>
      </c>
      <c r="P183" s="1107">
        <f>G$250*AF118</f>
        <v>1182.2478784201314</v>
      </c>
      <c r="Q183" s="1107">
        <f t="shared" si="227"/>
        <v>224.53205657986859</v>
      </c>
      <c r="R183" s="1107">
        <f>N183-O183</f>
        <v>477.86227118738611</v>
      </c>
      <c r="S183" s="333">
        <v>0.16</v>
      </c>
      <c r="T183" s="334">
        <f t="shared" si="229"/>
        <v>244.01384418829858</v>
      </c>
      <c r="U183" s="311">
        <v>0</v>
      </c>
      <c r="V183" s="334">
        <f t="shared" ref="V183:V186" si="237">N183/I183*0</f>
        <v>0</v>
      </c>
      <c r="W183" s="334">
        <v>0</v>
      </c>
      <c r="X183" s="312">
        <f>76.76/N183</f>
        <v>4.072921626608627E-2</v>
      </c>
      <c r="Y183" s="334">
        <f t="shared" si="231"/>
        <v>76.760000000000005</v>
      </c>
      <c r="Z183" s="312">
        <v>0.2</v>
      </c>
      <c r="AA183" s="334">
        <f t="shared" si="232"/>
        <v>376.92844123747727</v>
      </c>
      <c r="AB183" s="334">
        <v>0</v>
      </c>
      <c r="AC183" s="335">
        <f t="shared" si="233"/>
        <v>628.21406872912871</v>
      </c>
      <c r="AD183" s="335">
        <f t="shared" si="234"/>
        <v>100.51425099666059</v>
      </c>
      <c r="AE183" s="335">
        <f t="shared" si="235"/>
        <v>1884.6422061873861</v>
      </c>
      <c r="AF183" s="335">
        <f t="shared" si="236"/>
        <v>301.54275298998181</v>
      </c>
    </row>
    <row r="184" spans="2:32" s="299" customFormat="1" ht="47.25" hidden="1" x14ac:dyDescent="0.25">
      <c r="B184" s="314">
        <v>457</v>
      </c>
      <c r="C184" s="314" t="s">
        <v>2872</v>
      </c>
      <c r="D184" s="304" t="s">
        <v>2796</v>
      </c>
      <c r="E184" s="304" t="s">
        <v>2739</v>
      </c>
      <c r="F184" s="304" t="s">
        <v>2787</v>
      </c>
      <c r="G184" s="304" t="s">
        <v>2825</v>
      </c>
      <c r="H184" s="305">
        <v>31</v>
      </c>
      <c r="I184" s="295">
        <v>25</v>
      </c>
      <c r="J184" s="295" t="s">
        <v>2648</v>
      </c>
      <c r="K184" s="295">
        <v>3</v>
      </c>
      <c r="L184" s="306">
        <v>37082</v>
      </c>
      <c r="M184" s="316">
        <v>3.07</v>
      </c>
      <c r="N184" s="1105">
        <f>M184*AF118</f>
        <v>2135.0005804410612</v>
      </c>
      <c r="O184" s="684">
        <f>M235</f>
        <v>1598.6135624999999</v>
      </c>
      <c r="P184" s="1107">
        <f>G259*AF118</f>
        <v>1342.1990619710905</v>
      </c>
      <c r="Q184" s="1107">
        <f t="shared" si="227"/>
        <v>256.41450052890946</v>
      </c>
      <c r="R184" s="1107">
        <f t="shared" ref="R184:R186" si="238">N184-O184</f>
        <v>536.38701794106123</v>
      </c>
      <c r="S184" s="333">
        <v>0.19</v>
      </c>
      <c r="T184" s="334">
        <f t="shared" si="229"/>
        <v>329.28004542455062</v>
      </c>
      <c r="U184" s="311">
        <v>0</v>
      </c>
      <c r="V184" s="334">
        <f t="shared" si="237"/>
        <v>0</v>
      </c>
      <c r="W184" s="334">
        <v>0</v>
      </c>
      <c r="X184" s="312">
        <f>76.76/N184</f>
        <v>3.595315181794586E-2</v>
      </c>
      <c r="Y184" s="334">
        <f t="shared" si="231"/>
        <v>76.760000000000005</v>
      </c>
      <c r="Z184" s="312">
        <v>0.2</v>
      </c>
      <c r="AA184" s="334">
        <f t="shared" si="232"/>
        <v>427.00011608821228</v>
      </c>
      <c r="AB184" s="334">
        <v>0</v>
      </c>
      <c r="AC184" s="335">
        <f t="shared" si="233"/>
        <v>711.66686014702043</v>
      </c>
      <c r="AD184" s="335">
        <f t="shared" si="234"/>
        <v>135.21670342793388</v>
      </c>
      <c r="AE184" s="335">
        <f t="shared" si="235"/>
        <v>2135.0005804410612</v>
      </c>
      <c r="AF184" s="335">
        <f t="shared" si="236"/>
        <v>405.65011028380161</v>
      </c>
    </row>
    <row r="185" spans="2:32" s="299" customFormat="1" ht="47.25" hidden="1" x14ac:dyDescent="0.25">
      <c r="B185" s="314">
        <v>708</v>
      </c>
      <c r="C185" s="314" t="s">
        <v>2872</v>
      </c>
      <c r="D185" s="304" t="s">
        <v>2796</v>
      </c>
      <c r="E185" s="304" t="s">
        <v>2739</v>
      </c>
      <c r="F185" s="304" t="s">
        <v>2787</v>
      </c>
      <c r="G185" s="304" t="s">
        <v>2825</v>
      </c>
      <c r="H185" s="305">
        <v>31</v>
      </c>
      <c r="I185" s="295">
        <v>25</v>
      </c>
      <c r="J185" s="295" t="s">
        <v>2648</v>
      </c>
      <c r="K185" s="295">
        <v>3</v>
      </c>
      <c r="L185" s="306">
        <v>38090</v>
      </c>
      <c r="M185" s="316">
        <v>3.07</v>
      </c>
      <c r="N185" s="1105">
        <f>M185*AF118</f>
        <v>2135.0005804410612</v>
      </c>
      <c r="O185" s="684">
        <f>M235</f>
        <v>1598.6135624999999</v>
      </c>
      <c r="P185" s="1107">
        <f>G259*AF118</f>
        <v>1342.1990619710905</v>
      </c>
      <c r="Q185" s="1107">
        <f t="shared" si="227"/>
        <v>256.41450052890946</v>
      </c>
      <c r="R185" s="1107">
        <f t="shared" si="238"/>
        <v>536.38701794106123</v>
      </c>
      <c r="S185" s="333">
        <v>0.16</v>
      </c>
      <c r="T185" s="334">
        <f t="shared" si="229"/>
        <v>277.28845930488473</v>
      </c>
      <c r="U185" s="311">
        <v>0</v>
      </c>
      <c r="V185" s="334">
        <f t="shared" si="237"/>
        <v>0</v>
      </c>
      <c r="W185" s="334">
        <v>0</v>
      </c>
      <c r="X185" s="312">
        <v>0</v>
      </c>
      <c r="Y185" s="334">
        <f t="shared" si="231"/>
        <v>0</v>
      </c>
      <c r="Z185" s="312">
        <v>0</v>
      </c>
      <c r="AA185" s="334">
        <f t="shared" si="232"/>
        <v>0</v>
      </c>
      <c r="AB185" s="334">
        <v>0</v>
      </c>
      <c r="AC185" s="335">
        <f t="shared" si="233"/>
        <v>711.66686014702043</v>
      </c>
      <c r="AD185" s="335">
        <f t="shared" si="234"/>
        <v>113.86669762352327</v>
      </c>
      <c r="AE185" s="335">
        <f t="shared" si="235"/>
        <v>2135.0005804410612</v>
      </c>
      <c r="AF185" s="335">
        <f t="shared" si="236"/>
        <v>341.60009287056977</v>
      </c>
    </row>
    <row r="186" spans="2:32" s="299" customFormat="1" ht="47.25" hidden="1" x14ac:dyDescent="0.25">
      <c r="B186" s="314">
        <v>862</v>
      </c>
      <c r="C186" s="314" t="s">
        <v>2873</v>
      </c>
      <c r="D186" s="304" t="s">
        <v>2796</v>
      </c>
      <c r="E186" s="304" t="s">
        <v>2739</v>
      </c>
      <c r="F186" s="304" t="s">
        <v>2787</v>
      </c>
      <c r="G186" s="304" t="s">
        <v>2825</v>
      </c>
      <c r="H186" s="305">
        <v>31</v>
      </c>
      <c r="I186" s="295">
        <v>25</v>
      </c>
      <c r="J186" s="295" t="s">
        <v>2648</v>
      </c>
      <c r="K186" s="295">
        <v>3</v>
      </c>
      <c r="L186" s="306">
        <v>38600</v>
      </c>
      <c r="M186" s="316">
        <v>3.07</v>
      </c>
      <c r="N186" s="1105">
        <f>M186*AF118</f>
        <v>2135.0005804410612</v>
      </c>
      <c r="O186" s="684">
        <f>M235</f>
        <v>1598.6135624999999</v>
      </c>
      <c r="P186" s="1107">
        <f>G259*AF118</f>
        <v>1342.1990619710905</v>
      </c>
      <c r="Q186" s="1107">
        <f t="shared" si="227"/>
        <v>256.41450052890946</v>
      </c>
      <c r="R186" s="1107">
        <f t="shared" si="238"/>
        <v>536.38701794106123</v>
      </c>
      <c r="S186" s="333">
        <v>0.16</v>
      </c>
      <c r="T186" s="334">
        <f t="shared" si="229"/>
        <v>277.28845930488473</v>
      </c>
      <c r="U186" s="311">
        <v>0</v>
      </c>
      <c r="V186" s="334">
        <f t="shared" si="237"/>
        <v>0</v>
      </c>
      <c r="W186" s="334">
        <v>0</v>
      </c>
      <c r="X186" s="312">
        <f>76.76/N186</f>
        <v>3.595315181794586E-2</v>
      </c>
      <c r="Y186" s="334">
        <f t="shared" si="231"/>
        <v>76.760000000000005</v>
      </c>
      <c r="Z186" s="312">
        <v>0.2</v>
      </c>
      <c r="AA186" s="334">
        <f t="shared" si="232"/>
        <v>427.00011608821228</v>
      </c>
      <c r="AB186" s="334">
        <v>0</v>
      </c>
      <c r="AC186" s="335">
        <f t="shared" si="233"/>
        <v>711.66686014702043</v>
      </c>
      <c r="AD186" s="335">
        <f t="shared" si="234"/>
        <v>113.86669762352327</v>
      </c>
      <c r="AE186" s="335">
        <f t="shared" si="235"/>
        <v>2135.0005804410612</v>
      </c>
      <c r="AF186" s="335">
        <f t="shared" si="236"/>
        <v>341.60009287056977</v>
      </c>
    </row>
    <row r="187" spans="2:32" s="299" customFormat="1" ht="47.25" hidden="1" x14ac:dyDescent="0.25">
      <c r="B187" s="314">
        <v>406</v>
      </c>
      <c r="C187" s="314" t="s">
        <v>2874</v>
      </c>
      <c r="D187" s="304" t="s">
        <v>2796</v>
      </c>
      <c r="E187" s="304" t="s">
        <v>2739</v>
      </c>
      <c r="F187" s="304" t="s">
        <v>2787</v>
      </c>
      <c r="G187" s="304" t="s">
        <v>2825</v>
      </c>
      <c r="H187" s="305">
        <v>31</v>
      </c>
      <c r="I187" s="295">
        <v>25</v>
      </c>
      <c r="J187" s="295" t="s">
        <v>2638</v>
      </c>
      <c r="K187" s="295">
        <v>3</v>
      </c>
      <c r="L187" s="306">
        <v>36962</v>
      </c>
      <c r="M187" s="316">
        <v>3.2</v>
      </c>
      <c r="N187" s="1105">
        <f>M187*AF118</f>
        <v>2225.4077711437772</v>
      </c>
      <c r="O187" s="684">
        <f>M$235</f>
        <v>1598.6135624999999</v>
      </c>
      <c r="P187" s="1107">
        <f>G259*AF118</f>
        <v>1342.1990619710905</v>
      </c>
      <c r="Q187" s="1107">
        <f t="shared" si="227"/>
        <v>256.41450052890946</v>
      </c>
      <c r="R187" s="1107">
        <f>N187-O187</f>
        <v>626.79420864377721</v>
      </c>
      <c r="S187" s="333">
        <v>0.19</v>
      </c>
      <c r="T187" s="334">
        <f t="shared" ref="T187" si="239">(((((((O187)*(1+4.12%))))*(1+4.12%)))*(1+4.12%))*S187</f>
        <v>342.84638329604212</v>
      </c>
      <c r="U187" s="311">
        <v>0</v>
      </c>
      <c r="V187" s="334">
        <f>N187/I187*15</f>
        <v>1335.2446626862663</v>
      </c>
      <c r="W187" s="334">
        <v>0</v>
      </c>
      <c r="X187" s="312">
        <f>76.76/N187</f>
        <v>3.4492555025341806E-2</v>
      </c>
      <c r="Y187" s="334">
        <f t="shared" si="231"/>
        <v>76.760000000000005</v>
      </c>
      <c r="Z187" s="312">
        <v>0.2</v>
      </c>
      <c r="AA187" s="334">
        <f t="shared" si="232"/>
        <v>445.08155422875546</v>
      </c>
      <c r="AB187" s="334">
        <v>0</v>
      </c>
      <c r="AC187" s="335">
        <f t="shared" si="233"/>
        <v>1186.8841446100143</v>
      </c>
      <c r="AD187" s="335">
        <f t="shared" si="234"/>
        <v>225.50798747590272</v>
      </c>
      <c r="AE187" s="335">
        <f t="shared" si="235"/>
        <v>3560.6524338300433</v>
      </c>
      <c r="AF187" s="335">
        <f t="shared" si="236"/>
        <v>676.52396242770828</v>
      </c>
    </row>
    <row r="188" spans="2:32" s="299" customFormat="1" ht="47.25" hidden="1" x14ac:dyDescent="0.25">
      <c r="B188" s="314">
        <v>1901</v>
      </c>
      <c r="C188" s="314" t="s">
        <v>2875</v>
      </c>
      <c r="D188" s="304" t="s">
        <v>2876</v>
      </c>
      <c r="E188" s="304" t="s">
        <v>2739</v>
      </c>
      <c r="F188" s="304" t="s">
        <v>2787</v>
      </c>
      <c r="G188" s="304" t="s">
        <v>2825</v>
      </c>
      <c r="H188" s="305">
        <v>31</v>
      </c>
      <c r="I188" s="295">
        <v>40</v>
      </c>
      <c r="J188" s="295" t="s">
        <v>2636</v>
      </c>
      <c r="K188" s="295">
        <v>3</v>
      </c>
      <c r="L188" s="306">
        <v>42054</v>
      </c>
      <c r="M188" s="316">
        <v>5</v>
      </c>
      <c r="N188" s="1105">
        <f>M188*AF118</f>
        <v>3477.1996424121517</v>
      </c>
      <c r="O188" s="684">
        <f>G$235</f>
        <v>2557.7817</v>
      </c>
      <c r="P188" s="1107">
        <f>G269*AF118</f>
        <v>3129.4796781709365</v>
      </c>
      <c r="Q188" s="1107" t="str">
        <f t="shared" si="227"/>
        <v>0,00</v>
      </c>
      <c r="R188" s="1107">
        <f t="shared" ref="R188:R198" si="240">N188-O188</f>
        <v>919.41794241215166</v>
      </c>
      <c r="S188" s="333">
        <v>0.05</v>
      </c>
      <c r="T188" s="334">
        <f>(((((((O188)))))*S188))</f>
        <v>127.88908500000001</v>
      </c>
      <c r="U188" s="311">
        <v>0</v>
      </c>
      <c r="V188" s="334">
        <f>N188/I188*0</f>
        <v>0</v>
      </c>
      <c r="W188" s="334">
        <v>0</v>
      </c>
      <c r="X188" s="312">
        <f>51.18/N188</f>
        <v>1.4718740729104689E-2</v>
      </c>
      <c r="Y188" s="334">
        <f t="shared" si="231"/>
        <v>51.18</v>
      </c>
      <c r="Z188" s="312">
        <v>0.2</v>
      </c>
      <c r="AA188" s="334">
        <f t="shared" si="232"/>
        <v>695.43992848243033</v>
      </c>
      <c r="AB188" s="334">
        <v>0</v>
      </c>
      <c r="AC188" s="335">
        <f t="shared" si="233"/>
        <v>1349.6325401943627</v>
      </c>
      <c r="AD188" s="335">
        <f t="shared" si="234"/>
        <v>67.481627009718139</v>
      </c>
      <c r="AE188" s="335">
        <f t="shared" si="235"/>
        <v>4048.8976205830882</v>
      </c>
      <c r="AF188" s="335">
        <f t="shared" si="236"/>
        <v>202.44488102915443</v>
      </c>
    </row>
    <row r="189" spans="2:32" s="299" customFormat="1" ht="47.25" hidden="1" x14ac:dyDescent="0.25">
      <c r="B189" s="314">
        <v>1310</v>
      </c>
      <c r="C189" s="314" t="s">
        <v>2877</v>
      </c>
      <c r="D189" s="304" t="s">
        <v>2876</v>
      </c>
      <c r="E189" s="304" t="s">
        <v>2739</v>
      </c>
      <c r="F189" s="304" t="s">
        <v>2787</v>
      </c>
      <c r="G189" s="304" t="s">
        <v>2825</v>
      </c>
      <c r="H189" s="305">
        <v>31</v>
      </c>
      <c r="I189" s="295">
        <v>40</v>
      </c>
      <c r="J189" s="295" t="s">
        <v>2634</v>
      </c>
      <c r="K189" s="295">
        <v>3</v>
      </c>
      <c r="L189" s="306">
        <v>39940</v>
      </c>
      <c r="M189" s="316">
        <v>5.21</v>
      </c>
      <c r="N189" s="1105">
        <f>M189*AF118</f>
        <v>3623.2420273934622</v>
      </c>
      <c r="O189" s="684">
        <f>G$235</f>
        <v>2557.7817</v>
      </c>
      <c r="P189" s="1107">
        <f>G269*AF118</f>
        <v>3129.4796781709365</v>
      </c>
      <c r="Q189" s="1107" t="str">
        <f t="shared" si="227"/>
        <v>0,00</v>
      </c>
      <c r="R189" s="1107">
        <f t="shared" si="240"/>
        <v>1065.4603273934622</v>
      </c>
      <c r="S189" s="333">
        <v>0.11</v>
      </c>
      <c r="T189" s="334">
        <f>(((((((O189)*(1+4.12%))))))*S189)</f>
        <v>292.94785366439999</v>
      </c>
      <c r="U189" s="311">
        <f>AF118*1.3+0.02</f>
        <v>904.09190702715944</v>
      </c>
      <c r="V189" s="334">
        <f>N189/I189*0</f>
        <v>0</v>
      </c>
      <c r="W189" s="334">
        <v>0</v>
      </c>
      <c r="X189" s="312">
        <f>51.18/N189</f>
        <v>1.4125470949236746E-2</v>
      </c>
      <c r="Y189" s="334">
        <f t="shared" si="231"/>
        <v>51.18</v>
      </c>
      <c r="Z189" s="312">
        <v>0.2</v>
      </c>
      <c r="AA189" s="334">
        <f t="shared" si="232"/>
        <v>724.64840547869244</v>
      </c>
      <c r="AB189" s="334">
        <v>0</v>
      </c>
      <c r="AC189" s="335">
        <f t="shared" si="233"/>
        <v>1699.6773041971858</v>
      </c>
      <c r="AD189" s="335">
        <f t="shared" si="234"/>
        <v>186.96450346169044</v>
      </c>
      <c r="AE189" s="335">
        <f t="shared" si="235"/>
        <v>5099.0319125915576</v>
      </c>
      <c r="AF189" s="335">
        <f t="shared" si="236"/>
        <v>560.89351038507129</v>
      </c>
    </row>
    <row r="190" spans="2:32" s="299" customFormat="1" ht="47.25" hidden="1" x14ac:dyDescent="0.25">
      <c r="B190" s="314">
        <v>715</v>
      </c>
      <c r="C190" s="314" t="s">
        <v>2878</v>
      </c>
      <c r="D190" s="304" t="s">
        <v>2796</v>
      </c>
      <c r="E190" s="304" t="s">
        <v>2739</v>
      </c>
      <c r="F190" s="304" t="s">
        <v>2787</v>
      </c>
      <c r="G190" s="304" t="s">
        <v>2825</v>
      </c>
      <c r="H190" s="305">
        <v>31</v>
      </c>
      <c r="I190" s="295">
        <v>22</v>
      </c>
      <c r="J190" s="295" t="s">
        <v>2648</v>
      </c>
      <c r="K190" s="295">
        <v>2</v>
      </c>
      <c r="L190" s="306">
        <v>38085</v>
      </c>
      <c r="M190" s="316">
        <v>2.44</v>
      </c>
      <c r="N190" s="1105">
        <f>M190*AF118</f>
        <v>1696.87342549713</v>
      </c>
      <c r="O190" s="684">
        <f>J$235</f>
        <v>1406.779935</v>
      </c>
      <c r="P190" s="1107">
        <f>G250*AF118</f>
        <v>1182.2478784201314</v>
      </c>
      <c r="Q190" s="1107">
        <f t="shared" si="227"/>
        <v>224.53205657986859</v>
      </c>
      <c r="R190" s="1107">
        <f t="shared" si="240"/>
        <v>290.09349049713001</v>
      </c>
      <c r="S190" s="333">
        <v>0.15</v>
      </c>
      <c r="T190" s="334">
        <f>(((((((O190)*(1+4.12%))))*(1+4.12%))))*S190</f>
        <v>228.76297892652991</v>
      </c>
      <c r="U190" s="311">
        <v>0</v>
      </c>
      <c r="V190" s="334">
        <f>N190/I190*0</f>
        <v>0</v>
      </c>
      <c r="W190" s="334">
        <v>0</v>
      </c>
      <c r="X190" s="312">
        <f>76.76/N190</f>
        <v>4.5236137738153194E-2</v>
      </c>
      <c r="Y190" s="334">
        <f t="shared" si="231"/>
        <v>76.760000000000005</v>
      </c>
      <c r="Z190" s="312">
        <v>0.2</v>
      </c>
      <c r="AA190" s="334">
        <f t="shared" si="232"/>
        <v>339.37468509942602</v>
      </c>
      <c r="AB190" s="334">
        <v>0</v>
      </c>
      <c r="AC190" s="335">
        <f t="shared" si="233"/>
        <v>565.62447516571001</v>
      </c>
      <c r="AD190" s="335">
        <f t="shared" si="234"/>
        <v>84.843671274856504</v>
      </c>
      <c r="AE190" s="335">
        <f t="shared" si="235"/>
        <v>1696.87342549713</v>
      </c>
      <c r="AF190" s="335">
        <f t="shared" si="236"/>
        <v>254.5310138245695</v>
      </c>
    </row>
    <row r="191" spans="2:32" s="299" customFormat="1" ht="47.25" hidden="1" x14ac:dyDescent="0.25">
      <c r="B191" s="314">
        <v>456</v>
      </c>
      <c r="C191" s="314" t="s">
        <v>2879</v>
      </c>
      <c r="D191" s="304" t="s">
        <v>2796</v>
      </c>
      <c r="E191" s="304" t="s">
        <v>2739</v>
      </c>
      <c r="F191" s="304" t="s">
        <v>2787</v>
      </c>
      <c r="G191" s="304" t="s">
        <v>2825</v>
      </c>
      <c r="H191" s="305">
        <v>31</v>
      </c>
      <c r="I191" s="295">
        <v>25</v>
      </c>
      <c r="J191" s="295" t="s">
        <v>2638</v>
      </c>
      <c r="K191" s="295">
        <v>2</v>
      </c>
      <c r="L191" s="306">
        <v>37060</v>
      </c>
      <c r="M191" s="316">
        <v>2.88</v>
      </c>
      <c r="N191" s="1105">
        <f>M191*AF118</f>
        <v>2002.8669940293994</v>
      </c>
      <c r="O191" s="684">
        <f>M$235</f>
        <v>1598.6135624999999</v>
      </c>
      <c r="P191" s="1107">
        <f>G259*AF118</f>
        <v>1342.1990619710905</v>
      </c>
      <c r="Q191" s="1107">
        <f t="shared" si="227"/>
        <v>256.41450052890946</v>
      </c>
      <c r="R191" s="1107">
        <f t="shared" si="240"/>
        <v>404.25343152939945</v>
      </c>
      <c r="S191" s="333">
        <v>0.19</v>
      </c>
      <c r="T191" s="334">
        <f>(((((((O191)*(1+4.12%))))*(1+4.12%))))*S191</f>
        <v>329.28004542455062</v>
      </c>
      <c r="U191" s="311">
        <f>AF118</f>
        <v>695.43992848243033</v>
      </c>
      <c r="V191" s="334">
        <f>N191/I191*15</f>
        <v>1201.7201964176397</v>
      </c>
      <c r="W191" s="334">
        <v>0</v>
      </c>
      <c r="X191" s="312">
        <f>76.76/N191</f>
        <v>3.832506113926868E-2</v>
      </c>
      <c r="Y191" s="334">
        <f t="shared" si="231"/>
        <v>76.760000000000005</v>
      </c>
      <c r="Z191" s="312">
        <v>0.2</v>
      </c>
      <c r="AA191" s="334">
        <f t="shared" si="232"/>
        <v>400.57339880587989</v>
      </c>
      <c r="AB191" s="334">
        <v>0</v>
      </c>
      <c r="AC191" s="335">
        <f>(P191+Q191+R191+U191+V191)/3</f>
        <v>1300.0090396431565</v>
      </c>
      <c r="AD191" s="335">
        <f t="shared" si="234"/>
        <v>247.00171753219973</v>
      </c>
      <c r="AE191" s="335">
        <f>(P191+Q191+R191+U191+V191)</f>
        <v>3900.0271189294695</v>
      </c>
      <c r="AF191" s="335">
        <f t="shared" si="236"/>
        <v>741.00515259659926</v>
      </c>
    </row>
    <row r="192" spans="2:32" s="299" customFormat="1" ht="47.25" hidden="1" x14ac:dyDescent="0.25">
      <c r="B192" s="314">
        <v>1906</v>
      </c>
      <c r="C192" s="314" t="s">
        <v>2880</v>
      </c>
      <c r="D192" s="304" t="s">
        <v>2796</v>
      </c>
      <c r="E192" s="304" t="s">
        <v>2739</v>
      </c>
      <c r="F192" s="304" t="s">
        <v>2787</v>
      </c>
      <c r="G192" s="304" t="s">
        <v>2825</v>
      </c>
      <c r="H192" s="305">
        <v>31</v>
      </c>
      <c r="I192" s="295">
        <v>20</v>
      </c>
      <c r="J192" s="295" t="s">
        <v>2636</v>
      </c>
      <c r="K192" s="295">
        <v>3</v>
      </c>
      <c r="L192" s="306">
        <v>42054</v>
      </c>
      <c r="M192" s="316">
        <v>2.27</v>
      </c>
      <c r="N192" s="1105">
        <f>M192*AF118</f>
        <v>1578.6486376551168</v>
      </c>
      <c r="O192" s="684">
        <f>J$235</f>
        <v>1406.779935</v>
      </c>
      <c r="P192" s="1107">
        <f>G241*AF118</f>
        <v>1077.9318891477672</v>
      </c>
      <c r="Q192" s="1107">
        <f t="shared" si="227"/>
        <v>328.84804585223287</v>
      </c>
      <c r="R192" s="1107">
        <f t="shared" si="240"/>
        <v>171.86870265511675</v>
      </c>
      <c r="S192" s="333">
        <v>0.05</v>
      </c>
      <c r="T192" s="334">
        <f>(((((((O192))))*S192)))</f>
        <v>70.338996750000007</v>
      </c>
      <c r="U192" s="311">
        <v>0</v>
      </c>
      <c r="V192" s="334">
        <f>N192/I192*10</f>
        <v>789.32431882755839</v>
      </c>
      <c r="W192" s="334">
        <v>0</v>
      </c>
      <c r="X192" s="312">
        <v>0</v>
      </c>
      <c r="Y192" s="334">
        <f t="shared" si="231"/>
        <v>0</v>
      </c>
      <c r="Z192" s="312">
        <v>0.2</v>
      </c>
      <c r="AA192" s="334">
        <f t="shared" si="232"/>
        <v>315.7297275310234</v>
      </c>
      <c r="AB192" s="334">
        <v>0</v>
      </c>
      <c r="AC192" s="335">
        <f t="shared" ref="AC192:AC193" si="241">(P192+Q192+R192+U192+V192)/3</f>
        <v>789.32431882755839</v>
      </c>
      <c r="AD192" s="335">
        <f t="shared" si="234"/>
        <v>39.466215941377925</v>
      </c>
      <c r="AE192" s="335">
        <f t="shared" ref="AE192:AE193" si="242">(P192+Q192+R192+U192+V192)</f>
        <v>2367.9729564826753</v>
      </c>
      <c r="AF192" s="335">
        <f t="shared" si="236"/>
        <v>118.39864782413377</v>
      </c>
    </row>
    <row r="193" spans="2:32" s="299" customFormat="1" ht="47.25" hidden="1" x14ac:dyDescent="0.25">
      <c r="B193" s="314">
        <v>2010</v>
      </c>
      <c r="C193" s="314" t="s">
        <v>2881</v>
      </c>
      <c r="D193" s="304" t="s">
        <v>2796</v>
      </c>
      <c r="E193" s="304" t="s">
        <v>2739</v>
      </c>
      <c r="F193" s="304" t="s">
        <v>2787</v>
      </c>
      <c r="G193" s="304" t="s">
        <v>2825</v>
      </c>
      <c r="H193" s="305">
        <v>31</v>
      </c>
      <c r="I193" s="295">
        <v>25</v>
      </c>
      <c r="J193" s="295" t="s">
        <v>2636</v>
      </c>
      <c r="K193" s="295">
        <v>3</v>
      </c>
      <c r="L193" s="306">
        <v>42417</v>
      </c>
      <c r="M193" s="316">
        <v>2.84</v>
      </c>
      <c r="N193" s="1105">
        <f>M193*AF118</f>
        <v>1975.0493968901021</v>
      </c>
      <c r="O193" s="684">
        <f>M$235</f>
        <v>1598.6135624999999</v>
      </c>
      <c r="P193" s="1107">
        <f>G259*AF118</f>
        <v>1342.1990619710905</v>
      </c>
      <c r="Q193" s="1107">
        <f t="shared" si="227"/>
        <v>256.41450052890946</v>
      </c>
      <c r="R193" s="1107">
        <f t="shared" si="240"/>
        <v>376.43583439010217</v>
      </c>
      <c r="S193" s="333">
        <v>0.04</v>
      </c>
      <c r="T193" s="334">
        <f>(((((((O193)))))*S193))</f>
        <v>63.944542499999997</v>
      </c>
      <c r="U193" s="311">
        <v>0</v>
      </c>
      <c r="V193" s="334">
        <f>N193/I193*0</f>
        <v>0</v>
      </c>
      <c r="W193" s="334">
        <v>0</v>
      </c>
      <c r="X193" s="312">
        <f t="shared" ref="X193:X198" si="243">76.76/N193</f>
        <v>3.8864850732779503E-2</v>
      </c>
      <c r="Y193" s="334">
        <f t="shared" si="231"/>
        <v>76.760000000000005</v>
      </c>
      <c r="Z193" s="312">
        <v>0.2</v>
      </c>
      <c r="AA193" s="334">
        <f t="shared" si="232"/>
        <v>395.00987937802046</v>
      </c>
      <c r="AB193" s="334">
        <v>0</v>
      </c>
      <c r="AC193" s="335">
        <f t="shared" si="241"/>
        <v>658.34979896336733</v>
      </c>
      <c r="AD193" s="335">
        <f t="shared" si="234"/>
        <v>26.333991958534693</v>
      </c>
      <c r="AE193" s="335">
        <f t="shared" si="242"/>
        <v>1975.0493968901021</v>
      </c>
      <c r="AF193" s="335">
        <f t="shared" si="236"/>
        <v>79.001975875604089</v>
      </c>
    </row>
    <row r="194" spans="2:32" s="299" customFormat="1" ht="47.25" hidden="1" x14ac:dyDescent="0.25">
      <c r="B194" s="314">
        <v>1208</v>
      </c>
      <c r="C194" s="314" t="s">
        <v>2882</v>
      </c>
      <c r="D194" s="304" t="s">
        <v>2796</v>
      </c>
      <c r="E194" s="304" t="s">
        <v>2739</v>
      </c>
      <c r="F194" s="304" t="s">
        <v>2787</v>
      </c>
      <c r="G194" s="304" t="s">
        <v>2825</v>
      </c>
      <c r="H194" s="305">
        <v>31</v>
      </c>
      <c r="I194" s="295">
        <v>20</v>
      </c>
      <c r="J194" s="295" t="s">
        <v>2636</v>
      </c>
      <c r="K194" s="295">
        <v>2</v>
      </c>
      <c r="L194" s="306">
        <v>39667</v>
      </c>
      <c r="M194" s="316">
        <v>2.13</v>
      </c>
      <c r="N194" s="1105">
        <f>M194*AF118</f>
        <v>1481.2870476675766</v>
      </c>
      <c r="O194" s="684">
        <f>H$235</f>
        <v>1278.89085</v>
      </c>
      <c r="P194" s="1107">
        <f>G$241*AF118</f>
        <v>1077.9318891477672</v>
      </c>
      <c r="Q194" s="1107">
        <f t="shared" si="227"/>
        <v>200.95896085223285</v>
      </c>
      <c r="R194" s="1107">
        <f t="shared" si="240"/>
        <v>202.39619766757664</v>
      </c>
      <c r="S194" s="333">
        <v>0.12</v>
      </c>
      <c r="T194" s="334">
        <f>(((((((O194))*S194)))))</f>
        <v>153.466902</v>
      </c>
      <c r="U194" s="311">
        <v>0</v>
      </c>
      <c r="V194" s="334">
        <f>O194/I194*0</f>
        <v>0</v>
      </c>
      <c r="W194" s="334">
        <v>0</v>
      </c>
      <c r="X194" s="312">
        <f t="shared" si="243"/>
        <v>5.1819800977039338E-2</v>
      </c>
      <c r="Y194" s="334">
        <f t="shared" si="231"/>
        <v>76.760000000000005</v>
      </c>
      <c r="Z194" s="312">
        <v>0.2</v>
      </c>
      <c r="AA194" s="334">
        <f t="shared" si="232"/>
        <v>296.25740953351533</v>
      </c>
      <c r="AB194" s="334">
        <v>0</v>
      </c>
      <c r="AC194" s="335">
        <f>(P194+Q194+R194+U194+V194)/3</f>
        <v>493.76234922252553</v>
      </c>
      <c r="AD194" s="335">
        <f>AC194*S194</f>
        <v>59.251481906703063</v>
      </c>
      <c r="AE194" s="335">
        <f>(P194+Q194+R194+U194+V194)</f>
        <v>1481.2870476675766</v>
      </c>
      <c r="AF194" s="335">
        <f>AE194*S194</f>
        <v>177.7544457201092</v>
      </c>
    </row>
    <row r="195" spans="2:32" s="299" customFormat="1" ht="47.25" hidden="1" x14ac:dyDescent="0.25">
      <c r="B195" s="314">
        <v>864</v>
      </c>
      <c r="C195" s="314" t="s">
        <v>2883</v>
      </c>
      <c r="D195" s="304" t="s">
        <v>2796</v>
      </c>
      <c r="E195" s="304" t="s">
        <v>2739</v>
      </c>
      <c r="F195" s="304" t="s">
        <v>2787</v>
      </c>
      <c r="G195" s="304" t="s">
        <v>2825</v>
      </c>
      <c r="H195" s="305">
        <v>31</v>
      </c>
      <c r="I195" s="295">
        <v>25</v>
      </c>
      <c r="J195" s="295" t="s">
        <v>2648</v>
      </c>
      <c r="K195" s="295">
        <v>2</v>
      </c>
      <c r="L195" s="306">
        <v>38600</v>
      </c>
      <c r="M195" s="316">
        <v>2.77</v>
      </c>
      <c r="N195" s="1105">
        <f>M195*AF118</f>
        <v>1926.3686018963319</v>
      </c>
      <c r="O195" s="684">
        <f>M$235</f>
        <v>1598.6135624999999</v>
      </c>
      <c r="P195" s="1107">
        <f>G259*AF118</f>
        <v>1342.1990619710905</v>
      </c>
      <c r="Q195" s="1107">
        <f t="shared" si="227"/>
        <v>256.41450052890946</v>
      </c>
      <c r="R195" s="1107">
        <f t="shared" si="240"/>
        <v>327.75503939633199</v>
      </c>
      <c r="S195" s="333">
        <v>0.15</v>
      </c>
      <c r="T195" s="334">
        <f t="shared" ref="T195" si="244">(((((((O195)*(1+4.12%))))*(1+4.12%))))*S195</f>
        <v>259.95793059832943</v>
      </c>
      <c r="U195" s="311">
        <v>0</v>
      </c>
      <c r="V195" s="334">
        <f>N195/I195*0</f>
        <v>0</v>
      </c>
      <c r="W195" s="334">
        <v>0</v>
      </c>
      <c r="X195" s="312">
        <f t="shared" si="243"/>
        <v>3.9846994975124117E-2</v>
      </c>
      <c r="Y195" s="334">
        <f t="shared" si="231"/>
        <v>76.760000000000005</v>
      </c>
      <c r="Z195" s="312">
        <v>0.2</v>
      </c>
      <c r="AA195" s="334">
        <f t="shared" si="232"/>
        <v>385.27372037926642</v>
      </c>
      <c r="AB195" s="334">
        <v>0</v>
      </c>
      <c r="AC195" s="335">
        <f t="shared" ref="AC195:AC197" si="245">(P195+Q195+R195+U195+V195)/3</f>
        <v>642.12286729877735</v>
      </c>
      <c r="AD195" s="335">
        <f t="shared" ref="AD195:AD197" si="246">AC195*S195</f>
        <v>96.318430094816605</v>
      </c>
      <c r="AE195" s="335">
        <f t="shared" ref="AE195:AE197" si="247">(P195+Q195+R195+U195+V195)</f>
        <v>1926.3686018963319</v>
      </c>
      <c r="AF195" s="335">
        <f t="shared" ref="AF195:AF197" si="248">AE195*S195</f>
        <v>288.9552902844498</v>
      </c>
    </row>
    <row r="196" spans="2:32" s="299" customFormat="1" ht="47.25" hidden="1" x14ac:dyDescent="0.25">
      <c r="B196" s="314">
        <v>1903</v>
      </c>
      <c r="C196" s="314" t="s">
        <v>2885</v>
      </c>
      <c r="D196" s="304" t="s">
        <v>2796</v>
      </c>
      <c r="E196" s="304" t="s">
        <v>2739</v>
      </c>
      <c r="F196" s="304" t="s">
        <v>2787</v>
      </c>
      <c r="G196" s="304" t="s">
        <v>2825</v>
      </c>
      <c r="H196" s="305">
        <v>31</v>
      </c>
      <c r="I196" s="295">
        <v>25</v>
      </c>
      <c r="J196" s="295" t="s">
        <v>2636</v>
      </c>
      <c r="K196" s="295">
        <v>3</v>
      </c>
      <c r="L196" s="306">
        <v>42054</v>
      </c>
      <c r="M196" s="316">
        <v>2.84</v>
      </c>
      <c r="N196" s="1105">
        <f>M196*AF118</f>
        <v>1975.0493968901021</v>
      </c>
      <c r="O196" s="684">
        <f>M$235</f>
        <v>1598.6135624999999</v>
      </c>
      <c r="P196" s="1107">
        <f>G259*AF118</f>
        <v>1342.1990619710905</v>
      </c>
      <c r="Q196" s="1107">
        <f t="shared" si="227"/>
        <v>256.41450052890946</v>
      </c>
      <c r="R196" s="1107">
        <f t="shared" si="240"/>
        <v>376.43583439010217</v>
      </c>
      <c r="S196" s="333">
        <v>0.05</v>
      </c>
      <c r="T196" s="334">
        <f>(((((((O196))))*S196)))</f>
        <v>79.930678125</v>
      </c>
      <c r="U196" s="311">
        <v>0</v>
      </c>
      <c r="V196" s="334">
        <f>N196/I196*0</f>
        <v>0</v>
      </c>
      <c r="W196" s="334">
        <v>0</v>
      </c>
      <c r="X196" s="312">
        <f t="shared" si="243"/>
        <v>3.8864850732779503E-2</v>
      </c>
      <c r="Y196" s="334">
        <f t="shared" si="231"/>
        <v>76.760000000000005</v>
      </c>
      <c r="Z196" s="312">
        <v>0.2</v>
      </c>
      <c r="AA196" s="334">
        <f t="shared" si="232"/>
        <v>395.00987937802046</v>
      </c>
      <c r="AB196" s="334">
        <v>0</v>
      </c>
      <c r="AC196" s="335">
        <f t="shared" si="245"/>
        <v>658.34979896336733</v>
      </c>
      <c r="AD196" s="335">
        <f t="shared" si="246"/>
        <v>32.917489948168367</v>
      </c>
      <c r="AE196" s="335">
        <f t="shared" si="247"/>
        <v>1975.0493968901021</v>
      </c>
      <c r="AF196" s="335">
        <f t="shared" si="248"/>
        <v>98.752469844505114</v>
      </c>
    </row>
    <row r="197" spans="2:32" s="299" customFormat="1" ht="47.25" hidden="1" x14ac:dyDescent="0.25">
      <c r="B197" s="314">
        <v>449</v>
      </c>
      <c r="C197" s="314" t="s">
        <v>2884</v>
      </c>
      <c r="D197" s="304" t="s">
        <v>2796</v>
      </c>
      <c r="E197" s="304" t="s">
        <v>2739</v>
      </c>
      <c r="F197" s="304" t="s">
        <v>2787</v>
      </c>
      <c r="G197" s="304" t="s">
        <v>2825</v>
      </c>
      <c r="H197" s="305">
        <v>31</v>
      </c>
      <c r="I197" s="295">
        <v>25</v>
      </c>
      <c r="J197" s="295" t="s">
        <v>2648</v>
      </c>
      <c r="K197" s="295">
        <v>3</v>
      </c>
      <c r="L197" s="306">
        <v>36976</v>
      </c>
      <c r="M197" s="316">
        <v>3.07</v>
      </c>
      <c r="N197" s="1105">
        <f>M197*AF118</f>
        <v>2135.0005804410612</v>
      </c>
      <c r="O197" s="684">
        <f>M$235</f>
        <v>1598.6135624999999</v>
      </c>
      <c r="P197" s="1107">
        <f>G259*AF118</f>
        <v>1342.1990619710905</v>
      </c>
      <c r="Q197" s="1107">
        <f t="shared" si="227"/>
        <v>256.41450052890946</v>
      </c>
      <c r="R197" s="1107">
        <f t="shared" si="240"/>
        <v>536.38701794106123</v>
      </c>
      <c r="S197" s="333">
        <v>0.19</v>
      </c>
      <c r="T197" s="334">
        <f t="shared" ref="T197" si="249">(((((((O197)*(1+4.12%))))*(1+4.12%))))*S197</f>
        <v>329.28004542455062</v>
      </c>
      <c r="U197" s="311">
        <v>0</v>
      </c>
      <c r="V197" s="334">
        <f>N197/I197*10</f>
        <v>854.00023217642445</v>
      </c>
      <c r="W197" s="334">
        <v>0</v>
      </c>
      <c r="X197" s="312">
        <f t="shared" si="243"/>
        <v>3.595315181794586E-2</v>
      </c>
      <c r="Y197" s="334">
        <f t="shared" si="231"/>
        <v>76.760000000000005</v>
      </c>
      <c r="Z197" s="312">
        <v>0.2</v>
      </c>
      <c r="AA197" s="334">
        <f t="shared" si="232"/>
        <v>427.00011608821228</v>
      </c>
      <c r="AB197" s="334">
        <v>0</v>
      </c>
      <c r="AC197" s="335">
        <f t="shared" si="245"/>
        <v>996.33360420582858</v>
      </c>
      <c r="AD197" s="335">
        <f t="shared" si="246"/>
        <v>189.30338479910742</v>
      </c>
      <c r="AE197" s="335">
        <f t="shared" si="247"/>
        <v>2989.0008126174857</v>
      </c>
      <c r="AF197" s="335">
        <f t="shared" si="248"/>
        <v>567.91015439732234</v>
      </c>
    </row>
    <row r="198" spans="2:32" s="299" customFormat="1" ht="24.75" hidden="1" customHeight="1" x14ac:dyDescent="0.25">
      <c r="B198" s="314">
        <v>719</v>
      </c>
      <c r="C198" s="314" t="s">
        <v>2851</v>
      </c>
      <c r="D198" s="304" t="s">
        <v>2796</v>
      </c>
      <c r="E198" s="304" t="s">
        <v>2739</v>
      </c>
      <c r="F198" s="304" t="s">
        <v>2787</v>
      </c>
      <c r="G198" s="304" t="s">
        <v>2825</v>
      </c>
      <c r="H198" s="305">
        <v>31</v>
      </c>
      <c r="I198" s="295">
        <v>22</v>
      </c>
      <c r="J198" s="295" t="s">
        <v>2648</v>
      </c>
      <c r="K198" s="295">
        <v>3</v>
      </c>
      <c r="L198" s="306">
        <v>38085</v>
      </c>
      <c r="M198" s="316">
        <v>2.71</v>
      </c>
      <c r="N198" s="1105">
        <f>M198*AF118</f>
        <v>1884.6422061873861</v>
      </c>
      <c r="O198" s="684">
        <f>J235</f>
        <v>1406.779935</v>
      </c>
      <c r="P198" s="1107">
        <f>G$250*AF118</f>
        <v>1182.2478784201314</v>
      </c>
      <c r="Q198" s="1107">
        <f t="shared" si="227"/>
        <v>224.53205657986859</v>
      </c>
      <c r="R198" s="1107">
        <f t="shared" si="240"/>
        <v>477.86227118738611</v>
      </c>
      <c r="S198" s="333">
        <v>0.16</v>
      </c>
      <c r="T198" s="334">
        <f>(((((((O198)*(1+4.12%))))*(1+4.12%))))*S198</f>
        <v>244.01384418829858</v>
      </c>
      <c r="U198" s="311">
        <v>0</v>
      </c>
      <c r="V198" s="334">
        <f>N198/I198*0</f>
        <v>0</v>
      </c>
      <c r="W198" s="334">
        <v>0</v>
      </c>
      <c r="X198" s="312">
        <f t="shared" si="243"/>
        <v>4.072921626608627E-2</v>
      </c>
      <c r="Y198" s="334">
        <f t="shared" si="231"/>
        <v>76.760000000000005</v>
      </c>
      <c r="Z198" s="312">
        <v>0.2</v>
      </c>
      <c r="AA198" s="334">
        <f t="shared" si="232"/>
        <v>376.92844123747727</v>
      </c>
      <c r="AB198" s="334">
        <v>0</v>
      </c>
      <c r="AC198" s="335">
        <f>(P198+Q198+R198+U198+V198)/3</f>
        <v>628.21406872912871</v>
      </c>
      <c r="AD198" s="335">
        <f>AC198*S198</f>
        <v>100.51425099666059</v>
      </c>
      <c r="AE198" s="335">
        <f>(P198+Q198+R198+U198+V198)</f>
        <v>1884.6422061873861</v>
      </c>
      <c r="AF198" s="335">
        <f>AE198*S198</f>
        <v>301.54275298998181</v>
      </c>
    </row>
    <row r="199" spans="2:32" s="1272" customFormat="1" hidden="1" x14ac:dyDescent="0.25">
      <c r="B199" s="1264" t="s">
        <v>7281</v>
      </c>
      <c r="C199" s="1267"/>
      <c r="D199" s="1267"/>
      <c r="E199" s="1267"/>
      <c r="F199" s="1267"/>
      <c r="G199" s="1267"/>
      <c r="H199" s="1267"/>
      <c r="I199" s="1267"/>
      <c r="J199" s="1267"/>
      <c r="K199" s="1267"/>
      <c r="L199" s="1267"/>
      <c r="M199" s="1267"/>
      <c r="N199" s="1277">
        <f>SUM(N180:N198)</f>
        <v>40119.92947415141</v>
      </c>
      <c r="O199" s="1277">
        <f>SUM(O180:O198)</f>
        <v>30885.214027499991</v>
      </c>
      <c r="P199" s="1277">
        <f>SUM(P180:P198)</f>
        <v>27803.688340727567</v>
      </c>
      <c r="Q199" s="1277">
        <f>SUM(Q180:Q198)</f>
        <v>4224.9216431143068</v>
      </c>
      <c r="R199" s="1277">
        <f>SUM(R180:R198)</f>
        <v>9234.7154466514075</v>
      </c>
      <c r="S199" s="1278"/>
      <c r="T199" s="1277">
        <f>SUM(T180:T198)</f>
        <v>4180.8442725409122</v>
      </c>
      <c r="U199" s="1277">
        <f>SUM(U180:U198)</f>
        <v>1599.5318355095897</v>
      </c>
      <c r="V199" s="1277">
        <f>SUM(V180:V198)</f>
        <v>5461.2897583725253</v>
      </c>
      <c r="W199" s="1277">
        <f>SUM(W180:W198)</f>
        <v>0</v>
      </c>
      <c r="X199" s="1279"/>
      <c r="Y199" s="1277">
        <f>SUM(Y180:Y198)</f>
        <v>1177</v>
      </c>
      <c r="Z199" s="1279"/>
      <c r="AA199" s="1277">
        <f t="shared" ref="AA199:AF199" si="250">SUM(AA180:AA198)</f>
        <v>7281.2560512110467</v>
      </c>
      <c r="AB199" s="1277">
        <f t="shared" si="250"/>
        <v>0</v>
      </c>
      <c r="AC199" s="1277">
        <f t="shared" si="250"/>
        <v>16108.049008125132</v>
      </c>
      <c r="AD199" s="1277">
        <f t="shared" si="250"/>
        <v>2096.0568320173966</v>
      </c>
      <c r="AE199" s="1277">
        <f t="shared" si="250"/>
        <v>48324.147024375394</v>
      </c>
      <c r="AF199" s="1277">
        <f t="shared" si="250"/>
        <v>6288.170496052192</v>
      </c>
    </row>
    <row r="200" spans="2:32" s="299" customFormat="1" hidden="1" x14ac:dyDescent="0.25">
      <c r="B200" s="1103"/>
      <c r="C200" s="1091"/>
      <c r="D200" s="1091"/>
      <c r="E200" s="1091"/>
      <c r="F200" s="1091"/>
      <c r="G200" s="1091"/>
      <c r="H200" s="1091"/>
      <c r="I200" s="1091"/>
      <c r="J200" s="1091"/>
      <c r="K200" s="1091"/>
      <c r="L200" s="1091"/>
      <c r="M200" s="1091"/>
      <c r="N200" s="1107"/>
      <c r="O200" s="1106"/>
      <c r="P200" s="1107"/>
      <c r="Q200" s="1107"/>
      <c r="R200" s="1107"/>
      <c r="S200" s="1092"/>
      <c r="T200" s="1107"/>
      <c r="U200" s="1107"/>
      <c r="V200" s="1107"/>
      <c r="W200" s="1107"/>
      <c r="X200" s="315"/>
      <c r="Y200" s="1107"/>
      <c r="Z200" s="315"/>
      <c r="AA200" s="1107"/>
      <c r="AB200" s="1107"/>
      <c r="AC200" s="1107"/>
      <c r="AD200" s="1107"/>
      <c r="AE200" s="1107"/>
      <c r="AF200" s="1107"/>
    </row>
    <row r="201" spans="2:32" s="299" customFormat="1" ht="24.75" hidden="1" customHeight="1" x14ac:dyDescent="0.25">
      <c r="B201" s="314">
        <v>1529</v>
      </c>
      <c r="C201" s="314" t="s">
        <v>2887</v>
      </c>
      <c r="D201" s="304" t="s">
        <v>2796</v>
      </c>
      <c r="E201" s="304" t="s">
        <v>2739</v>
      </c>
      <c r="F201" s="304" t="s">
        <v>2787</v>
      </c>
      <c r="G201" s="304" t="s">
        <v>2886</v>
      </c>
      <c r="H201" s="305">
        <v>31</v>
      </c>
      <c r="I201" s="295">
        <v>25</v>
      </c>
      <c r="J201" s="295" t="s">
        <v>2634</v>
      </c>
      <c r="K201" s="295">
        <v>2</v>
      </c>
      <c r="L201" s="306">
        <v>40772</v>
      </c>
      <c r="M201" s="316">
        <v>2.65</v>
      </c>
      <c r="N201" s="1105">
        <f>M201*AF118</f>
        <v>1842.9158104784403</v>
      </c>
      <c r="O201" s="684">
        <f>M235</f>
        <v>1598.6135624999999</v>
      </c>
      <c r="P201" s="1107">
        <f>G$259*AF118</f>
        <v>1342.1990619710905</v>
      </c>
      <c r="Q201" s="1107">
        <f>IF(P201&gt;O201,"0,00",(O201-P201))</f>
        <v>256.41450052890946</v>
      </c>
      <c r="R201" s="1107">
        <f>N201-O201</f>
        <v>244.30224797844039</v>
      </c>
      <c r="S201" s="333">
        <v>0.09</v>
      </c>
      <c r="T201" s="334">
        <f>(((((((O201)*(1+4.12%))))))*S201)</f>
        <v>149.80287971474999</v>
      </c>
      <c r="U201" s="311">
        <v>0</v>
      </c>
      <c r="V201" s="334">
        <f>N201/I201*0</f>
        <v>0</v>
      </c>
      <c r="W201" s="334">
        <v>0</v>
      </c>
      <c r="X201" s="312">
        <f>76.76/N201</f>
        <v>4.1651387200412754E-2</v>
      </c>
      <c r="Y201" s="334">
        <f>N201*X201</f>
        <v>76.760000000000005</v>
      </c>
      <c r="Z201" s="312">
        <v>0.2</v>
      </c>
      <c r="AA201" s="334">
        <f>N201*Z201</f>
        <v>368.58316209568807</v>
      </c>
      <c r="AB201" s="334">
        <v>0</v>
      </c>
      <c r="AC201" s="335">
        <f>(P201+Q201+R201+U201+V201)/3</f>
        <v>614.30527015948007</v>
      </c>
      <c r="AD201" s="335">
        <f>AC201*S201</f>
        <v>55.287474314353204</v>
      </c>
      <c r="AE201" s="335">
        <f>(P201+Q201+R201+U201+V201)</f>
        <v>1842.9158104784403</v>
      </c>
      <c r="AF201" s="335">
        <f>AE201*S201</f>
        <v>165.86242294305961</v>
      </c>
    </row>
    <row r="202" spans="2:32" s="1272" customFormat="1" hidden="1" x14ac:dyDescent="0.25">
      <c r="B202" s="1264" t="s">
        <v>7282</v>
      </c>
      <c r="C202" s="1267"/>
      <c r="D202" s="1267"/>
      <c r="E202" s="1267"/>
      <c r="F202" s="1267"/>
      <c r="G202" s="1267"/>
      <c r="H202" s="1267"/>
      <c r="I202" s="1267"/>
      <c r="J202" s="1267"/>
      <c r="K202" s="1267"/>
      <c r="L202" s="1267"/>
      <c r="M202" s="1267"/>
      <c r="N202" s="1277">
        <f>SUM(N201:N201)</f>
        <v>1842.9158104784403</v>
      </c>
      <c r="O202" s="1277">
        <f>SUM(O201:O201)</f>
        <v>1598.6135624999999</v>
      </c>
      <c r="P202" s="1277">
        <f>SUM(P201:P201)</f>
        <v>1342.1990619710905</v>
      </c>
      <c r="Q202" s="1277">
        <f>SUM(Q201:Q201)</f>
        <v>256.41450052890946</v>
      </c>
      <c r="R202" s="1277">
        <f>SUM(R201:R201)</f>
        <v>244.30224797844039</v>
      </c>
      <c r="S202" s="1278"/>
      <c r="T202" s="1277">
        <f>SUM(T201:T201)</f>
        <v>149.80287971474999</v>
      </c>
      <c r="U202" s="1277">
        <f>SUM(U201:U201)</f>
        <v>0</v>
      </c>
      <c r="V202" s="1277">
        <f>SUM(V201:V201)</f>
        <v>0</v>
      </c>
      <c r="W202" s="1277">
        <f>SUM(W201:W201)</f>
        <v>0</v>
      </c>
      <c r="X202" s="1279"/>
      <c r="Y202" s="1277">
        <f>SUM(Y201:Y201)</f>
        <v>76.760000000000005</v>
      </c>
      <c r="Z202" s="1277"/>
      <c r="AA202" s="1277">
        <f t="shared" ref="AA202:AF202" si="251">SUM(AA201:AA201)</f>
        <v>368.58316209568807</v>
      </c>
      <c r="AB202" s="1277">
        <f t="shared" si="251"/>
        <v>0</v>
      </c>
      <c r="AC202" s="1277">
        <f t="shared" si="251"/>
        <v>614.30527015948007</v>
      </c>
      <c r="AD202" s="1277">
        <f t="shared" si="251"/>
        <v>55.287474314353204</v>
      </c>
      <c r="AE202" s="1277">
        <f t="shared" si="251"/>
        <v>1842.9158104784403</v>
      </c>
      <c r="AF202" s="1277">
        <f t="shared" si="251"/>
        <v>165.86242294305961</v>
      </c>
    </row>
    <row r="203" spans="2:32" s="1272" customFormat="1" hidden="1" x14ac:dyDescent="0.25">
      <c r="B203" s="1264"/>
      <c r="C203" s="1267"/>
      <c r="D203" s="1267"/>
      <c r="E203" s="1267"/>
      <c r="F203" s="1267"/>
      <c r="G203" s="1267"/>
      <c r="H203" s="1267"/>
      <c r="I203" s="1267"/>
      <c r="J203" s="1267"/>
      <c r="K203" s="1267"/>
      <c r="L203" s="1267"/>
      <c r="M203" s="1267"/>
      <c r="N203" s="1277"/>
      <c r="O203" s="1277"/>
      <c r="P203" s="1277"/>
      <c r="Q203" s="1277"/>
      <c r="R203" s="1277"/>
      <c r="S203" s="1278"/>
      <c r="T203" s="1277"/>
      <c r="U203" s="1277"/>
      <c r="V203" s="1277"/>
      <c r="W203" s="1277"/>
      <c r="X203" s="1279"/>
      <c r="Y203" s="1277"/>
      <c r="Z203" s="1277"/>
      <c r="AA203" s="1277"/>
      <c r="AB203" s="1277"/>
      <c r="AC203" s="1277"/>
      <c r="AD203" s="1277"/>
      <c r="AE203" s="1277"/>
      <c r="AF203" s="1277"/>
    </row>
    <row r="204" spans="2:32" s="299" customFormat="1" ht="24.75" hidden="1" customHeight="1" x14ac:dyDescent="0.25">
      <c r="B204" s="314">
        <v>1957</v>
      </c>
      <c r="C204" s="314" t="s">
        <v>2889</v>
      </c>
      <c r="D204" s="304" t="s">
        <v>2796</v>
      </c>
      <c r="E204" s="304" t="s">
        <v>2739</v>
      </c>
      <c r="F204" s="304" t="s">
        <v>2787</v>
      </c>
      <c r="G204" s="304" t="s">
        <v>2888</v>
      </c>
      <c r="H204" s="305">
        <v>31</v>
      </c>
      <c r="I204" s="295">
        <v>25</v>
      </c>
      <c r="J204" s="295" t="s">
        <v>2636</v>
      </c>
      <c r="K204" s="295">
        <v>3</v>
      </c>
      <c r="L204" s="306">
        <v>42157</v>
      </c>
      <c r="M204" s="316">
        <v>2.84</v>
      </c>
      <c r="N204" s="1105">
        <f>M204*AF118</f>
        <v>1975.0493968901021</v>
      </c>
      <c r="O204" s="684">
        <f>M235</f>
        <v>1598.6135624999999</v>
      </c>
      <c r="P204" s="1107">
        <f>G$259*AF118</f>
        <v>1342.1990619710905</v>
      </c>
      <c r="Q204" s="1107">
        <f>IF(P204&gt;O204,"0,00",(O204-P204))</f>
        <v>256.41450052890946</v>
      </c>
      <c r="R204" s="1107">
        <f>N204-O204</f>
        <v>376.43583439010217</v>
      </c>
      <c r="S204" s="333">
        <v>0.05</v>
      </c>
      <c r="T204" s="334">
        <f>(((((((O204))))*S204)))</f>
        <v>79.930678125</v>
      </c>
      <c r="U204" s="311">
        <v>0</v>
      </c>
      <c r="V204" s="334">
        <f>N204/I204*0</f>
        <v>0</v>
      </c>
      <c r="W204" s="334">
        <v>0</v>
      </c>
      <c r="X204" s="312">
        <f>76.76/N204</f>
        <v>3.8864850732779503E-2</v>
      </c>
      <c r="Y204" s="334">
        <f>N204*X204</f>
        <v>76.760000000000005</v>
      </c>
      <c r="Z204" s="312">
        <v>0.2</v>
      </c>
      <c r="AA204" s="334">
        <f>N204*Z204</f>
        <v>395.00987937802046</v>
      </c>
      <c r="AB204" s="334">
        <v>0</v>
      </c>
      <c r="AC204" s="335">
        <f>(P204+Q204+R204+U204+V204)/3</f>
        <v>658.34979896336733</v>
      </c>
      <c r="AD204" s="335">
        <f>AC204*S204</f>
        <v>32.917489948168367</v>
      </c>
      <c r="AE204" s="335">
        <f>(P204+Q204+R204+U204+V204)</f>
        <v>1975.0493968901021</v>
      </c>
      <c r="AF204" s="335">
        <f>AE204*S204</f>
        <v>98.752469844505114</v>
      </c>
    </row>
    <row r="205" spans="2:32" s="1272" customFormat="1" hidden="1" x14ac:dyDescent="0.25">
      <c r="B205" s="1264" t="s">
        <v>7283</v>
      </c>
      <c r="C205" s="1267"/>
      <c r="D205" s="1267"/>
      <c r="E205" s="1267"/>
      <c r="F205" s="1267"/>
      <c r="G205" s="1267"/>
      <c r="H205" s="1267"/>
      <c r="I205" s="1267"/>
      <c r="J205" s="1267"/>
      <c r="K205" s="1267"/>
      <c r="L205" s="1267"/>
      <c r="M205" s="1267"/>
      <c r="N205" s="1277">
        <f>SUM(N204:N204)</f>
        <v>1975.0493968901021</v>
      </c>
      <c r="O205" s="1277">
        <f>SUM(O204:O204)</f>
        <v>1598.6135624999999</v>
      </c>
      <c r="P205" s="1277">
        <f>SUM(P204:P204)</f>
        <v>1342.1990619710905</v>
      </c>
      <c r="Q205" s="1277">
        <f>SUM(Q204:Q204)</f>
        <v>256.41450052890946</v>
      </c>
      <c r="R205" s="1277">
        <f>SUM(R204:R204)</f>
        <v>376.43583439010217</v>
      </c>
      <c r="S205" s="1278"/>
      <c r="T205" s="1277">
        <f>SUM(T204:T204)</f>
        <v>79.930678125</v>
      </c>
      <c r="U205" s="1277">
        <f>SUM(U204:U204)</f>
        <v>0</v>
      </c>
      <c r="V205" s="1277">
        <f>SUM(V204:V204)</f>
        <v>0</v>
      </c>
      <c r="W205" s="1277">
        <f>SUM(W204:W204)</f>
        <v>0</v>
      </c>
      <c r="X205" s="1279"/>
      <c r="Y205" s="1277">
        <f>SUM(Y204:Y204)</f>
        <v>76.760000000000005</v>
      </c>
      <c r="Z205" s="1277"/>
      <c r="AA205" s="1277">
        <f t="shared" ref="AA205:AF205" si="252">SUM(AA204:AA204)</f>
        <v>395.00987937802046</v>
      </c>
      <c r="AB205" s="1277">
        <f t="shared" si="252"/>
        <v>0</v>
      </c>
      <c r="AC205" s="1277">
        <f t="shared" si="252"/>
        <v>658.34979896336733</v>
      </c>
      <c r="AD205" s="1277">
        <f t="shared" si="252"/>
        <v>32.917489948168367</v>
      </c>
      <c r="AE205" s="1277">
        <f t="shared" si="252"/>
        <v>1975.0493968901021</v>
      </c>
      <c r="AF205" s="1277">
        <f t="shared" si="252"/>
        <v>98.752469844505114</v>
      </c>
    </row>
    <row r="206" spans="2:32" s="299" customFormat="1" hidden="1" x14ac:dyDescent="0.25">
      <c r="B206" s="1103"/>
      <c r="C206" s="1091"/>
      <c r="D206" s="1091"/>
      <c r="E206" s="1091"/>
      <c r="F206" s="1091"/>
      <c r="G206" s="1091"/>
      <c r="H206" s="1091"/>
      <c r="I206" s="1091"/>
      <c r="J206" s="1091"/>
      <c r="K206" s="1091"/>
      <c r="L206" s="1091"/>
      <c r="M206" s="1091"/>
      <c r="N206" s="1107"/>
      <c r="O206" s="1106"/>
      <c r="P206" s="1107"/>
      <c r="Q206" s="1107"/>
      <c r="R206" s="1107"/>
      <c r="S206" s="1092"/>
      <c r="T206" s="1107"/>
      <c r="U206" s="1107"/>
      <c r="V206" s="1107"/>
      <c r="W206" s="1107"/>
      <c r="X206" s="315"/>
      <c r="Y206" s="1107"/>
      <c r="Z206" s="1107"/>
      <c r="AA206" s="1107"/>
      <c r="AB206" s="1107"/>
      <c r="AC206" s="1107"/>
      <c r="AD206" s="1107"/>
      <c r="AE206" s="1107"/>
      <c r="AF206" s="1107"/>
    </row>
    <row r="207" spans="2:32" s="1272" customFormat="1" hidden="1" x14ac:dyDescent="0.25">
      <c r="B207" s="1264" t="s">
        <v>7292</v>
      </c>
      <c r="C207" s="1267"/>
      <c r="D207" s="1267"/>
      <c r="E207" s="1267"/>
      <c r="F207" s="1267"/>
      <c r="G207" s="1267"/>
      <c r="H207" s="1267"/>
      <c r="I207" s="1267"/>
      <c r="J207" s="1267"/>
      <c r="K207" s="1267"/>
      <c r="L207" s="1267"/>
      <c r="M207" s="1267"/>
      <c r="N207" s="1277">
        <f>N205+N202+N199+N178</f>
        <v>51761.593876947292</v>
      </c>
      <c r="O207" s="1277">
        <f t="shared" ref="O207:R207" si="253">O205+O202+O199+O178</f>
        <v>40796.61811499999</v>
      </c>
      <c r="P207" s="1277">
        <f t="shared" si="253"/>
        <v>36406.28025605523</v>
      </c>
      <c r="Q207" s="1277">
        <f t="shared" si="253"/>
        <v>5597.042027257733</v>
      </c>
      <c r="R207" s="1277">
        <f t="shared" si="253"/>
        <v>10964.975761947289</v>
      </c>
      <c r="S207" s="1278"/>
      <c r="T207" s="1277">
        <f t="shared" ref="T207:W207" si="254">T205+T202+T199+T178</f>
        <v>4410.5778303806619</v>
      </c>
      <c r="U207" s="1277">
        <f t="shared" si="254"/>
        <v>1599.5318355095897</v>
      </c>
      <c r="V207" s="1277">
        <f t="shared" si="254"/>
        <v>5461.2897583725253</v>
      </c>
      <c r="W207" s="1277">
        <f t="shared" si="254"/>
        <v>0</v>
      </c>
      <c r="X207" s="1279"/>
      <c r="Y207" s="1277">
        <f>Y205+Y202+Y199+Y178</f>
        <v>1714.32</v>
      </c>
      <c r="Z207" s="1277"/>
      <c r="AA207" s="1277">
        <f t="shared" ref="AA207:AF207" si="255">AA205+AA202+AA199+AA178</f>
        <v>9609.588931770224</v>
      </c>
      <c r="AB207" s="1277">
        <f t="shared" si="255"/>
        <v>0</v>
      </c>
      <c r="AC207" s="1277">
        <f t="shared" si="255"/>
        <v>20009.706546380788</v>
      </c>
      <c r="AD207" s="1277">
        <f t="shared" si="255"/>
        <v>2184.2617962799181</v>
      </c>
      <c r="AE207" s="1277">
        <f t="shared" si="255"/>
        <v>60029.119639142365</v>
      </c>
      <c r="AF207" s="1277">
        <f t="shared" si="255"/>
        <v>6552.7853888397567</v>
      </c>
    </row>
    <row r="208" spans="2:32" s="1272" customFormat="1" hidden="1" x14ac:dyDescent="0.25">
      <c r="B208" s="1264"/>
      <c r="C208" s="1267"/>
      <c r="D208" s="1267"/>
      <c r="E208" s="1267"/>
      <c r="F208" s="1267"/>
      <c r="G208" s="1267"/>
      <c r="H208" s="1267"/>
      <c r="I208" s="1267"/>
      <c r="J208" s="1267"/>
      <c r="K208" s="1267"/>
      <c r="L208" s="1267"/>
      <c r="M208" s="1267"/>
      <c r="N208" s="1277"/>
      <c r="O208" s="1277"/>
      <c r="P208" s="1277"/>
      <c r="Q208" s="1277"/>
      <c r="R208" s="1277"/>
      <c r="S208" s="1278"/>
      <c r="T208" s="1277"/>
      <c r="U208" s="1277"/>
      <c r="V208" s="1277"/>
      <c r="W208" s="1277"/>
      <c r="X208" s="1279"/>
      <c r="Y208" s="1277"/>
      <c r="Z208" s="1277"/>
      <c r="AA208" s="1277"/>
      <c r="AB208" s="1277"/>
      <c r="AC208" s="1277"/>
      <c r="AD208" s="1277"/>
      <c r="AE208" s="1277"/>
      <c r="AF208" s="1277"/>
    </row>
    <row r="209" spans="2:32" s="1272" customFormat="1" hidden="1" x14ac:dyDescent="0.25">
      <c r="B209" s="1264"/>
      <c r="C209" s="1267"/>
      <c r="D209" s="1267"/>
      <c r="E209" s="1267"/>
      <c r="F209" s="1267"/>
      <c r="G209" s="1267"/>
      <c r="H209" s="1267"/>
      <c r="I209" s="1267"/>
      <c r="J209" s="1267"/>
      <c r="K209" s="1267"/>
      <c r="L209" s="1267"/>
      <c r="M209" s="1267"/>
      <c r="N209" s="1277"/>
      <c r="O209" s="1277"/>
      <c r="P209" s="1277"/>
      <c r="Q209" s="1277"/>
      <c r="R209" s="1277"/>
      <c r="S209" s="1278"/>
      <c r="T209" s="1277"/>
      <c r="U209" s="1277"/>
      <c r="V209" s="1277"/>
      <c r="W209" s="1277"/>
      <c r="X209" s="1279"/>
      <c r="Y209" s="1277"/>
      <c r="Z209" s="1277"/>
      <c r="AA209" s="1277"/>
      <c r="AB209" s="1277"/>
      <c r="AC209" s="1277"/>
      <c r="AD209" s="1277"/>
      <c r="AE209" s="1277"/>
      <c r="AF209" s="1277"/>
    </row>
    <row r="210" spans="2:32" s="1272" customFormat="1" hidden="1" x14ac:dyDescent="0.25">
      <c r="B210" s="1264" t="s">
        <v>7293</v>
      </c>
      <c r="C210" s="1267"/>
      <c r="D210" s="1267"/>
      <c r="E210" s="1267"/>
      <c r="F210" s="1267"/>
      <c r="G210" s="1267"/>
      <c r="H210" s="1267"/>
      <c r="I210" s="1267"/>
      <c r="J210" s="1267"/>
      <c r="K210" s="1267"/>
      <c r="L210" s="1267"/>
      <c r="M210" s="1267"/>
      <c r="N210" s="1277"/>
      <c r="O210" s="1277"/>
      <c r="P210" s="1277"/>
      <c r="Q210" s="1277"/>
      <c r="R210" s="1277"/>
      <c r="S210" s="1278"/>
      <c r="T210" s="1277"/>
      <c r="U210" s="1277"/>
      <c r="V210" s="1277"/>
      <c r="W210" s="1277"/>
      <c r="X210" s="1279"/>
      <c r="Y210" s="1277"/>
      <c r="Z210" s="1277"/>
      <c r="AA210" s="1277"/>
      <c r="AB210" s="1277"/>
      <c r="AC210" s="1277"/>
      <c r="AD210" s="1277"/>
      <c r="AE210" s="1277"/>
      <c r="AF210" s="1277"/>
    </row>
    <row r="211" spans="2:32" s="1272" customFormat="1" hidden="1" x14ac:dyDescent="0.25">
      <c r="B211" s="1264"/>
      <c r="C211" s="1267"/>
      <c r="D211" s="1267"/>
      <c r="E211" s="1267"/>
      <c r="F211" s="1267"/>
      <c r="G211" s="1267"/>
      <c r="H211" s="1267"/>
      <c r="I211" s="1267"/>
      <c r="J211" s="1267"/>
      <c r="K211" s="1267"/>
      <c r="L211" s="1267"/>
      <c r="M211" s="1267"/>
      <c r="N211" s="1277"/>
      <c r="O211" s="1277"/>
      <c r="P211" s="1277"/>
      <c r="Q211" s="1277"/>
      <c r="R211" s="1277"/>
      <c r="S211" s="1278"/>
      <c r="T211" s="1277"/>
      <c r="U211" s="1277"/>
      <c r="V211" s="1277"/>
      <c r="W211" s="1277"/>
      <c r="X211" s="1279"/>
      <c r="Y211" s="1277"/>
      <c r="Z211" s="1277"/>
      <c r="AA211" s="1277"/>
      <c r="AB211" s="1277"/>
      <c r="AC211" s="1277"/>
      <c r="AD211" s="1277"/>
      <c r="AE211" s="1277"/>
      <c r="AF211" s="1277"/>
    </row>
    <row r="212" spans="2:32" s="299" customFormat="1" ht="31.5" x14ac:dyDescent="0.25">
      <c r="B212" s="314">
        <v>2007</v>
      </c>
      <c r="C212" s="314" t="s">
        <v>2891</v>
      </c>
      <c r="D212" s="304" t="s">
        <v>2796</v>
      </c>
      <c r="E212" s="304" t="s">
        <v>2739</v>
      </c>
      <c r="F212" s="304" t="s">
        <v>2787</v>
      </c>
      <c r="G212" s="304" t="s">
        <v>2892</v>
      </c>
      <c r="H212" s="305">
        <v>31</v>
      </c>
      <c r="I212" s="295">
        <v>25</v>
      </c>
      <c r="J212" s="295" t="s">
        <v>2636</v>
      </c>
      <c r="K212" s="295">
        <v>3</v>
      </c>
      <c r="L212" s="306">
        <v>42417</v>
      </c>
      <c r="M212" s="316">
        <v>2.84</v>
      </c>
      <c r="N212" s="1105">
        <f>M212*AF118</f>
        <v>1975.0493968901021</v>
      </c>
      <c r="O212" s="684">
        <f>M$235</f>
        <v>1598.6135624999999</v>
      </c>
      <c r="P212" s="1107">
        <f>G$259*AF118</f>
        <v>1342.1990619710905</v>
      </c>
      <c r="Q212" s="1107">
        <f>IF(P212&gt;O212,"0,00",(O212-P212))</f>
        <v>256.41450052890946</v>
      </c>
      <c r="R212" s="1107">
        <f>N212-O212</f>
        <v>376.43583439010217</v>
      </c>
      <c r="S212" s="333">
        <v>0.04</v>
      </c>
      <c r="T212" s="334">
        <f>(((((((O212))))*S212)))</f>
        <v>63.944542499999997</v>
      </c>
      <c r="U212" s="311">
        <v>0</v>
      </c>
      <c r="V212" s="334">
        <f t="shared" ref="V212:V217" si="256">N212/I212*0</f>
        <v>0</v>
      </c>
      <c r="W212" s="334">
        <v>0</v>
      </c>
      <c r="X212" s="312">
        <f>76.76/N212</f>
        <v>3.8864850732779503E-2</v>
      </c>
      <c r="Y212" s="334">
        <f t="shared" ref="Y212:Y217" si="257">N212*X212</f>
        <v>76.760000000000005</v>
      </c>
      <c r="Z212" s="312">
        <v>0</v>
      </c>
      <c r="AA212" s="334">
        <f t="shared" ref="AA212:AA217" si="258">N212*Z212</f>
        <v>0</v>
      </c>
      <c r="AB212" s="334">
        <v>0</v>
      </c>
      <c r="AC212" s="335">
        <f t="shared" ref="AC212:AC217" si="259">(P212+Q212+R212+U212+V212)/3</f>
        <v>658.34979896336733</v>
      </c>
      <c r="AD212" s="335">
        <f t="shared" ref="AD212:AD217" si="260">AC212*S212</f>
        <v>26.333991958534693</v>
      </c>
      <c r="AE212" s="335">
        <f t="shared" ref="AE212:AE217" si="261">(P212+Q212+R212+U212+V212)</f>
        <v>1975.0493968901021</v>
      </c>
      <c r="AF212" s="335">
        <f t="shared" ref="AF212:AF217" si="262">AE212*S212</f>
        <v>79.001975875604089</v>
      </c>
    </row>
    <row r="213" spans="2:32" s="299" customFormat="1" ht="31.5" x14ac:dyDescent="0.25">
      <c r="B213" s="314">
        <v>2003</v>
      </c>
      <c r="C213" s="314" t="s">
        <v>2893</v>
      </c>
      <c r="D213" s="304" t="s">
        <v>2796</v>
      </c>
      <c r="E213" s="304" t="s">
        <v>2739</v>
      </c>
      <c r="F213" s="304" t="s">
        <v>2787</v>
      </c>
      <c r="G213" s="304" t="s">
        <v>2892</v>
      </c>
      <c r="H213" s="305">
        <v>31</v>
      </c>
      <c r="I213" s="295">
        <v>25</v>
      </c>
      <c r="J213" s="295" t="s">
        <v>2636</v>
      </c>
      <c r="K213" s="295">
        <v>3</v>
      </c>
      <c r="L213" s="306">
        <v>42391</v>
      </c>
      <c r="M213" s="316">
        <v>2.84</v>
      </c>
      <c r="N213" s="1105">
        <f>M213*AF118</f>
        <v>1975.0493968901021</v>
      </c>
      <c r="O213" s="684">
        <f>M$235</f>
        <v>1598.6135624999999</v>
      </c>
      <c r="P213" s="1107">
        <f>G$259*AF118</f>
        <v>1342.1990619710905</v>
      </c>
      <c r="Q213" s="1107">
        <f t="shared" ref="Q213:Q217" si="263">IF(P213&gt;O213,"0,00",(O213-P213))</f>
        <v>256.41450052890946</v>
      </c>
      <c r="R213" s="1107">
        <f t="shared" ref="R213:R217" si="264">N213-O213</f>
        <v>376.43583439010217</v>
      </c>
      <c r="S213" s="333">
        <v>0.04</v>
      </c>
      <c r="T213" s="334">
        <f>(((((((O213))))*S213)))</f>
        <v>63.944542499999997</v>
      </c>
      <c r="U213" s="311">
        <v>0</v>
      </c>
      <c r="V213" s="334">
        <f t="shared" si="256"/>
        <v>0</v>
      </c>
      <c r="W213" s="334">
        <v>0</v>
      </c>
      <c r="X213" s="312">
        <f>76.76/N213</f>
        <v>3.8864850732779503E-2</v>
      </c>
      <c r="Y213" s="334">
        <f t="shared" si="257"/>
        <v>76.760000000000005</v>
      </c>
      <c r="Z213" s="312">
        <v>0</v>
      </c>
      <c r="AA213" s="334">
        <f t="shared" si="258"/>
        <v>0</v>
      </c>
      <c r="AB213" s="334">
        <v>0</v>
      </c>
      <c r="AC213" s="335">
        <f t="shared" si="259"/>
        <v>658.34979896336733</v>
      </c>
      <c r="AD213" s="335">
        <f t="shared" si="260"/>
        <v>26.333991958534693</v>
      </c>
      <c r="AE213" s="335">
        <f t="shared" si="261"/>
        <v>1975.0493968901021</v>
      </c>
      <c r="AF213" s="335">
        <f t="shared" si="262"/>
        <v>79.001975875604089</v>
      </c>
    </row>
    <row r="214" spans="2:32" s="299" customFormat="1" ht="31.5" x14ac:dyDescent="0.25">
      <c r="B214" s="314">
        <v>1307</v>
      </c>
      <c r="C214" s="314" t="s">
        <v>2894</v>
      </c>
      <c r="D214" s="304" t="s">
        <v>2796</v>
      </c>
      <c r="E214" s="304" t="s">
        <v>2739</v>
      </c>
      <c r="F214" s="304" t="s">
        <v>2787</v>
      </c>
      <c r="G214" s="304" t="s">
        <v>2892</v>
      </c>
      <c r="H214" s="305">
        <v>31</v>
      </c>
      <c r="I214" s="295">
        <v>25</v>
      </c>
      <c r="J214" s="295" t="s">
        <v>2634</v>
      </c>
      <c r="K214" s="295">
        <v>3</v>
      </c>
      <c r="L214" s="306">
        <v>39905</v>
      </c>
      <c r="M214" s="316">
        <v>2.95</v>
      </c>
      <c r="N214" s="1105">
        <f>M214*AF118</f>
        <v>2051.5477890231696</v>
      </c>
      <c r="O214" s="684">
        <f>M$235</f>
        <v>1598.6135624999999</v>
      </c>
      <c r="P214" s="1107">
        <f>G$259*AF118</f>
        <v>1342.1990619710905</v>
      </c>
      <c r="Q214" s="1107">
        <f t="shared" si="263"/>
        <v>256.41450052890946</v>
      </c>
      <c r="R214" s="1107">
        <f t="shared" si="264"/>
        <v>452.93422652316963</v>
      </c>
      <c r="S214" s="333">
        <v>0.11</v>
      </c>
      <c r="T214" s="334">
        <f>(((((((O214)*(1+4.12%)))))))*S214</f>
        <v>183.09240854024998</v>
      </c>
      <c r="U214" s="311">
        <v>0</v>
      </c>
      <c r="V214" s="334">
        <f t="shared" si="256"/>
        <v>0</v>
      </c>
      <c r="W214" s="334">
        <v>0</v>
      </c>
      <c r="X214" s="312">
        <f>51.18/N214</f>
        <v>2.4947018184923203E-2</v>
      </c>
      <c r="Y214" s="334">
        <f t="shared" si="257"/>
        <v>51.18</v>
      </c>
      <c r="Z214" s="312">
        <v>0</v>
      </c>
      <c r="AA214" s="334">
        <f t="shared" si="258"/>
        <v>0</v>
      </c>
      <c r="AB214" s="334">
        <v>0</v>
      </c>
      <c r="AC214" s="335">
        <f t="shared" si="259"/>
        <v>683.84926300772315</v>
      </c>
      <c r="AD214" s="335">
        <f t="shared" si="260"/>
        <v>75.223418930849547</v>
      </c>
      <c r="AE214" s="335">
        <f t="shared" si="261"/>
        <v>2051.5477890231696</v>
      </c>
      <c r="AF214" s="335">
        <f t="shared" si="262"/>
        <v>225.67025679254866</v>
      </c>
    </row>
    <row r="215" spans="2:32" s="299" customFormat="1" ht="31.5" x14ac:dyDescent="0.25">
      <c r="B215" s="314">
        <v>763</v>
      </c>
      <c r="C215" s="314" t="s">
        <v>2895</v>
      </c>
      <c r="D215" s="304" t="s">
        <v>2876</v>
      </c>
      <c r="E215" s="304" t="s">
        <v>2739</v>
      </c>
      <c r="F215" s="304" t="s">
        <v>2787</v>
      </c>
      <c r="G215" s="304" t="s">
        <v>2892</v>
      </c>
      <c r="H215" s="305">
        <v>31</v>
      </c>
      <c r="I215" s="295">
        <v>40</v>
      </c>
      <c r="J215" s="295" t="s">
        <v>2648</v>
      </c>
      <c r="K215" s="295">
        <v>3</v>
      </c>
      <c r="L215" s="306">
        <v>38170</v>
      </c>
      <c r="M215" s="316">
        <v>5.42</v>
      </c>
      <c r="N215" s="1105">
        <f>M215*AF118</f>
        <v>3769.2844123747723</v>
      </c>
      <c r="O215" s="684">
        <f>G$235</f>
        <v>2557.7817</v>
      </c>
      <c r="P215" s="1107">
        <f>G$269*AF118</f>
        <v>3129.4796781709365</v>
      </c>
      <c r="Q215" s="1107" t="str">
        <f t="shared" si="263"/>
        <v>0,00</v>
      </c>
      <c r="R215" s="1107">
        <f t="shared" si="264"/>
        <v>1211.5027123747723</v>
      </c>
      <c r="S215" s="333">
        <v>0.16</v>
      </c>
      <c r="T215" s="334">
        <f>(((((((O215)*(1+4.12%))))*(1+4.12%))))*S215</f>
        <v>443.66153488781561</v>
      </c>
      <c r="U215" s="311">
        <v>0</v>
      </c>
      <c r="V215" s="334">
        <f t="shared" si="256"/>
        <v>0</v>
      </c>
      <c r="W215" s="334">
        <v>0</v>
      </c>
      <c r="X215" s="312">
        <f>51.18/N215</f>
        <v>1.357817410434012E-2</v>
      </c>
      <c r="Y215" s="334">
        <f t="shared" si="257"/>
        <v>51.18</v>
      </c>
      <c r="Z215" s="312">
        <v>0</v>
      </c>
      <c r="AA215" s="334">
        <f t="shared" si="258"/>
        <v>0</v>
      </c>
      <c r="AB215" s="334">
        <v>0</v>
      </c>
      <c r="AC215" s="335">
        <f t="shared" si="259"/>
        <v>1446.9941301819028</v>
      </c>
      <c r="AD215" s="335">
        <f t="shared" si="260"/>
        <v>231.51906082910446</v>
      </c>
      <c r="AE215" s="335">
        <f t="shared" si="261"/>
        <v>4340.9823905457088</v>
      </c>
      <c r="AF215" s="335">
        <f t="shared" si="262"/>
        <v>694.55718248731341</v>
      </c>
    </row>
    <row r="216" spans="2:32" s="299" customFormat="1" ht="31.5" x14ac:dyDescent="0.25">
      <c r="B216" s="314">
        <v>1386</v>
      </c>
      <c r="C216" s="314" t="s">
        <v>2896</v>
      </c>
      <c r="D216" s="304" t="s">
        <v>2796</v>
      </c>
      <c r="E216" s="304" t="s">
        <v>2739</v>
      </c>
      <c r="F216" s="304" t="s">
        <v>2787</v>
      </c>
      <c r="G216" s="304" t="s">
        <v>2892</v>
      </c>
      <c r="H216" s="305">
        <v>31</v>
      </c>
      <c r="I216" s="295">
        <v>25</v>
      </c>
      <c r="J216" s="295" t="s">
        <v>2634</v>
      </c>
      <c r="K216" s="295">
        <v>3</v>
      </c>
      <c r="L216" s="306">
        <v>40318</v>
      </c>
      <c r="M216" s="316">
        <v>2.95</v>
      </c>
      <c r="N216" s="1105">
        <f>M216*AF118</f>
        <v>2051.5477890231696</v>
      </c>
      <c r="O216" s="684">
        <f>M$235</f>
        <v>1598.6135624999999</v>
      </c>
      <c r="P216" s="1107">
        <f>G$259*AF118</f>
        <v>1342.1990619710905</v>
      </c>
      <c r="Q216" s="1107">
        <f t="shared" si="263"/>
        <v>256.41450052890946</v>
      </c>
      <c r="R216" s="1107">
        <f t="shared" si="264"/>
        <v>452.93422652316963</v>
      </c>
      <c r="S216" s="333">
        <v>0.1</v>
      </c>
      <c r="T216" s="334">
        <f>(((((((O216)*(1+4.12%))))*S216)))</f>
        <v>166.44764412749998</v>
      </c>
      <c r="U216" s="311">
        <v>0</v>
      </c>
      <c r="V216" s="334">
        <f t="shared" si="256"/>
        <v>0</v>
      </c>
      <c r="W216" s="334">
        <v>0</v>
      </c>
      <c r="X216" s="312">
        <f>76.76/N216</f>
        <v>3.7415652908845354E-2</v>
      </c>
      <c r="Y216" s="334">
        <f t="shared" si="257"/>
        <v>76.760000000000005</v>
      </c>
      <c r="Z216" s="312">
        <v>0</v>
      </c>
      <c r="AA216" s="334">
        <f t="shared" si="258"/>
        <v>0</v>
      </c>
      <c r="AB216" s="334">
        <v>0</v>
      </c>
      <c r="AC216" s="335">
        <f t="shared" si="259"/>
        <v>683.84926300772315</v>
      </c>
      <c r="AD216" s="335">
        <f t="shared" si="260"/>
        <v>68.384926300772321</v>
      </c>
      <c r="AE216" s="335">
        <f t="shared" si="261"/>
        <v>2051.5477890231696</v>
      </c>
      <c r="AF216" s="335">
        <f t="shared" si="262"/>
        <v>205.15477890231696</v>
      </c>
    </row>
    <row r="217" spans="2:32" s="299" customFormat="1" ht="24.75" customHeight="1" x14ac:dyDescent="0.25">
      <c r="B217" s="314">
        <v>2008</v>
      </c>
      <c r="C217" s="314" t="s">
        <v>2897</v>
      </c>
      <c r="D217" s="304" t="s">
        <v>2796</v>
      </c>
      <c r="E217" s="304" t="s">
        <v>2739</v>
      </c>
      <c r="F217" s="304" t="s">
        <v>2787</v>
      </c>
      <c r="G217" s="304" t="s">
        <v>2892</v>
      </c>
      <c r="H217" s="305">
        <v>31</v>
      </c>
      <c r="I217" s="295">
        <v>25</v>
      </c>
      <c r="J217" s="295" t="s">
        <v>2636</v>
      </c>
      <c r="K217" s="295">
        <v>2</v>
      </c>
      <c r="L217" s="306">
        <v>42417</v>
      </c>
      <c r="M217" s="316">
        <v>2.5499999999999998</v>
      </c>
      <c r="N217" s="1105">
        <f>M217*AF118</f>
        <v>1773.3718176301973</v>
      </c>
      <c r="O217" s="684">
        <f>M$235</f>
        <v>1598.6135624999999</v>
      </c>
      <c r="P217" s="1107">
        <f>G$259*AF118</f>
        <v>1342.1990619710905</v>
      </c>
      <c r="Q217" s="1107">
        <f t="shared" si="263"/>
        <v>256.41450052890946</v>
      </c>
      <c r="R217" s="1107">
        <f t="shared" si="264"/>
        <v>174.75825513019731</v>
      </c>
      <c r="S217" s="333">
        <v>0.04</v>
      </c>
      <c r="T217" s="334">
        <f>(((((((O217)))))*S217))</f>
        <v>63.944542499999997</v>
      </c>
      <c r="U217" s="311">
        <v>0</v>
      </c>
      <c r="V217" s="334">
        <f t="shared" si="256"/>
        <v>0</v>
      </c>
      <c r="W217" s="334">
        <v>0</v>
      </c>
      <c r="X217" s="312">
        <f>76.76/N217</f>
        <v>4.3284774933762274E-2</v>
      </c>
      <c r="Y217" s="334">
        <f t="shared" si="257"/>
        <v>76.760000000000005</v>
      </c>
      <c r="Z217" s="312">
        <v>0</v>
      </c>
      <c r="AA217" s="334">
        <f t="shared" si="258"/>
        <v>0</v>
      </c>
      <c r="AB217" s="334">
        <v>0</v>
      </c>
      <c r="AC217" s="335">
        <f t="shared" si="259"/>
        <v>591.12393921006571</v>
      </c>
      <c r="AD217" s="335">
        <f t="shared" si="260"/>
        <v>23.644957568402628</v>
      </c>
      <c r="AE217" s="335">
        <f t="shared" si="261"/>
        <v>1773.3718176301973</v>
      </c>
      <c r="AF217" s="335">
        <f t="shared" si="262"/>
        <v>70.934872705207894</v>
      </c>
    </row>
    <row r="218" spans="2:32" s="1272" customFormat="1" hidden="1" x14ac:dyDescent="0.25">
      <c r="B218" s="1264" t="s">
        <v>7294</v>
      </c>
      <c r="C218" s="1267"/>
      <c r="D218" s="1267"/>
      <c r="E218" s="1267"/>
      <c r="F218" s="1267"/>
      <c r="G218" s="1267"/>
      <c r="H218" s="1267"/>
      <c r="I218" s="1267"/>
      <c r="J218" s="1267"/>
      <c r="K218" s="1267"/>
      <c r="L218" s="1267"/>
      <c r="M218" s="1267"/>
      <c r="N218" s="1277">
        <f>SUM(N212:N217)</f>
        <v>13595.850601831515</v>
      </c>
      <c r="O218" s="1277">
        <f>SUM(O212:O217)</f>
        <v>10550.849512500001</v>
      </c>
      <c r="P218" s="1277">
        <f>SUM(P212:P217)</f>
        <v>9840.4749880263898</v>
      </c>
      <c r="Q218" s="1277">
        <f>SUM(Q212:Q217)</f>
        <v>1282.0725026445473</v>
      </c>
      <c r="R218" s="1277">
        <f>SUM(R212:R217)</f>
        <v>3045.0010893315139</v>
      </c>
      <c r="S218" s="1278"/>
      <c r="T218" s="1277">
        <f>SUM(T212:T217)</f>
        <v>985.03521505556557</v>
      </c>
      <c r="U218" s="1277">
        <f>SUM(U212:U217)</f>
        <v>0</v>
      </c>
      <c r="V218" s="1277">
        <f>SUM(V212:V217)</f>
        <v>0</v>
      </c>
      <c r="W218" s="1277">
        <f>SUM(W212:W217)</f>
        <v>0</v>
      </c>
      <c r="X218" s="1279"/>
      <c r="Y218" s="1277">
        <f>SUM(Y212:Y217)</f>
        <v>409.40000000000003</v>
      </c>
      <c r="Z218" s="1277"/>
      <c r="AA218" s="1277">
        <f>SUM(AA212:AA217)</f>
        <v>0</v>
      </c>
      <c r="AB218" s="1277">
        <f t="shared" ref="AB218:AF218" si="265">SUM(AB212:AB217)</f>
        <v>0</v>
      </c>
      <c r="AC218" s="1277">
        <f t="shared" si="265"/>
        <v>4722.5161933341506</v>
      </c>
      <c r="AD218" s="1277">
        <f t="shared" si="265"/>
        <v>451.44034754619832</v>
      </c>
      <c r="AE218" s="1277">
        <f t="shared" si="265"/>
        <v>14167.548580002449</v>
      </c>
      <c r="AF218" s="1277">
        <f t="shared" si="265"/>
        <v>1354.3210426385951</v>
      </c>
    </row>
    <row r="219" spans="2:32" s="1272" customFormat="1" hidden="1" x14ac:dyDescent="0.25">
      <c r="B219" s="1264"/>
      <c r="C219" s="1267"/>
      <c r="D219" s="1267"/>
      <c r="E219" s="1267"/>
      <c r="F219" s="1267"/>
      <c r="G219" s="1267"/>
      <c r="H219" s="1267"/>
      <c r="I219" s="1267"/>
      <c r="J219" s="1267"/>
      <c r="K219" s="1267"/>
      <c r="L219" s="1267"/>
      <c r="M219" s="1267"/>
      <c r="N219" s="1277"/>
      <c r="O219" s="1277"/>
      <c r="P219" s="1277"/>
      <c r="Q219" s="1277"/>
      <c r="R219" s="1277"/>
      <c r="S219" s="1278"/>
      <c r="T219" s="1277"/>
      <c r="U219" s="1277"/>
      <c r="V219" s="1277"/>
      <c r="W219" s="1277"/>
      <c r="X219" s="1279"/>
      <c r="Y219" s="1277"/>
      <c r="Z219" s="1277"/>
      <c r="AA219" s="1277"/>
      <c r="AB219" s="1277"/>
      <c r="AC219" s="1277"/>
      <c r="AD219" s="1277"/>
      <c r="AE219" s="1277"/>
      <c r="AF219" s="1277"/>
    </row>
    <row r="220" spans="2:32" s="1272" customFormat="1" hidden="1" x14ac:dyDescent="0.25">
      <c r="B220" s="1264" t="s">
        <v>7295</v>
      </c>
      <c r="C220" s="1267"/>
      <c r="D220" s="1267"/>
      <c r="E220" s="1267"/>
      <c r="F220" s="1267"/>
      <c r="G220" s="1267"/>
      <c r="H220" s="1267"/>
      <c r="I220" s="1267"/>
      <c r="J220" s="1267"/>
      <c r="K220" s="1267"/>
      <c r="L220" s="1267"/>
      <c r="M220" s="1267"/>
      <c r="N220" s="1277">
        <f>N218</f>
        <v>13595.850601831515</v>
      </c>
      <c r="O220" s="1277">
        <f t="shared" ref="O220:R220" si="266">O218</f>
        <v>10550.849512500001</v>
      </c>
      <c r="P220" s="1277">
        <f t="shared" si="266"/>
        <v>9840.4749880263898</v>
      </c>
      <c r="Q220" s="1277">
        <f t="shared" si="266"/>
        <v>1282.0725026445473</v>
      </c>
      <c r="R220" s="1277">
        <f t="shared" si="266"/>
        <v>3045.0010893315139</v>
      </c>
      <c r="S220" s="1278"/>
      <c r="T220" s="1277">
        <f t="shared" ref="T220:W220" si="267">T218</f>
        <v>985.03521505556557</v>
      </c>
      <c r="U220" s="1277">
        <f t="shared" si="267"/>
        <v>0</v>
      </c>
      <c r="V220" s="1277">
        <f t="shared" si="267"/>
        <v>0</v>
      </c>
      <c r="W220" s="1277">
        <f t="shared" si="267"/>
        <v>0</v>
      </c>
      <c r="X220" s="1279"/>
      <c r="Y220" s="1277">
        <f>Y218</f>
        <v>409.40000000000003</v>
      </c>
      <c r="Z220" s="1277"/>
      <c r="AA220" s="1277">
        <f t="shared" ref="AA220:AF220" si="268">AA218</f>
        <v>0</v>
      </c>
      <c r="AB220" s="1277">
        <f t="shared" si="268"/>
        <v>0</v>
      </c>
      <c r="AC220" s="1277">
        <f t="shared" si="268"/>
        <v>4722.5161933341506</v>
      </c>
      <c r="AD220" s="1277">
        <f t="shared" si="268"/>
        <v>451.44034754619832</v>
      </c>
      <c r="AE220" s="1277">
        <f t="shared" si="268"/>
        <v>14167.548580002449</v>
      </c>
      <c r="AF220" s="1277">
        <f t="shared" si="268"/>
        <v>1354.3210426385951</v>
      </c>
    </row>
    <row r="221" spans="2:32" s="1272" customFormat="1" hidden="1" x14ac:dyDescent="0.25">
      <c r="B221" s="1264"/>
      <c r="C221" s="1267"/>
      <c r="D221" s="1267"/>
      <c r="E221" s="1267"/>
      <c r="F221" s="1267"/>
      <c r="G221" s="1267"/>
      <c r="H221" s="1267"/>
      <c r="I221" s="1267"/>
      <c r="J221" s="1267"/>
      <c r="K221" s="1267"/>
      <c r="L221" s="1267"/>
      <c r="M221" s="1267"/>
      <c r="N221" s="1277"/>
      <c r="O221" s="1277"/>
      <c r="P221" s="1277"/>
      <c r="Q221" s="1277"/>
      <c r="R221" s="1277"/>
      <c r="S221" s="1278"/>
      <c r="T221" s="1277"/>
      <c r="U221" s="1277"/>
      <c r="V221" s="1277"/>
      <c r="W221" s="1277"/>
      <c r="X221" s="1279"/>
      <c r="Y221" s="1277"/>
      <c r="Z221" s="1277"/>
      <c r="AA221" s="1277"/>
      <c r="AB221" s="1277"/>
      <c r="AC221" s="1277"/>
      <c r="AD221" s="1277"/>
      <c r="AE221" s="1277"/>
      <c r="AF221" s="1277"/>
    </row>
    <row r="222" spans="2:32" s="1272" customFormat="1" hidden="1" x14ac:dyDescent="0.25">
      <c r="B222" s="1264" t="s">
        <v>7295</v>
      </c>
      <c r="C222" s="1267"/>
      <c r="D222" s="1267"/>
      <c r="E222" s="1267"/>
      <c r="F222" s="1267"/>
      <c r="G222" s="1267"/>
      <c r="H222" s="1267"/>
      <c r="I222" s="1267"/>
      <c r="J222" s="1267"/>
      <c r="K222" s="1267"/>
      <c r="L222" s="1267"/>
      <c r="M222" s="1267"/>
      <c r="N222" s="1277">
        <f>N220+N207+N169</f>
        <v>139936.42240923463</v>
      </c>
      <c r="O222" s="1277">
        <f>O220+O207+O169</f>
        <v>108002.33228249999</v>
      </c>
      <c r="P222" s="1277">
        <f>P220+P207+P169</f>
        <v>95734.260554891371</v>
      </c>
      <c r="Q222" s="1277">
        <f>Q220+Q207+Q169</f>
        <v>16267.801719582178</v>
      </c>
      <c r="R222" s="1277">
        <f>R220+R207+R169</f>
        <v>30856.158237586864</v>
      </c>
      <c r="S222" s="1278"/>
      <c r="T222" s="1277">
        <f>T220+T207+T169</f>
        <v>12337.17144744514</v>
      </c>
      <c r="U222" s="1277">
        <f>U220+U207+U169</f>
        <v>2712.235721081478</v>
      </c>
      <c r="V222" s="1277">
        <f>V220+V207+V169</f>
        <v>12847.279594652035</v>
      </c>
      <c r="W222" s="1277">
        <f>W220+W207+W169</f>
        <v>135.71</v>
      </c>
      <c r="X222" s="1279"/>
      <c r="Y222" s="1277">
        <f>Y220+Y207+Y169</f>
        <v>4759.16</v>
      </c>
      <c r="Z222" s="1277"/>
      <c r="AA222" s="1277">
        <f t="shared" ref="AA222:AF222" si="269">AA220+AA207+AA169</f>
        <v>9609.588931770224</v>
      </c>
      <c r="AB222" s="1277">
        <f t="shared" si="269"/>
        <v>695.43992848243033</v>
      </c>
      <c r="AC222" s="1277">
        <f t="shared" si="269"/>
        <v>52844.451942597967</v>
      </c>
      <c r="AD222" s="1277">
        <f t="shared" si="269"/>
        <v>5816.9149184444623</v>
      </c>
      <c r="AE222" s="1277">
        <f t="shared" si="269"/>
        <v>158533.35582779389</v>
      </c>
      <c r="AF222" s="1277">
        <f t="shared" si="269"/>
        <v>17450.744755333388</v>
      </c>
    </row>
    <row r="223" spans="2:32" s="299" customFormat="1" ht="24.75" customHeight="1" x14ac:dyDescent="0.25">
      <c r="B223" s="1091"/>
      <c r="C223" s="1091"/>
      <c r="D223" s="1091"/>
      <c r="E223" s="1091"/>
      <c r="F223" s="1091"/>
      <c r="G223" s="1091"/>
      <c r="H223" s="1091"/>
      <c r="I223" s="1091"/>
      <c r="J223" s="1091"/>
      <c r="K223" s="1091"/>
      <c r="L223" s="1091"/>
      <c r="M223" s="1091"/>
      <c r="N223" s="1107"/>
      <c r="O223" s="1106"/>
      <c r="P223" s="1106"/>
      <c r="Q223" s="1106"/>
      <c r="R223" s="1107"/>
      <c r="S223" s="1092"/>
      <c r="T223" s="1107"/>
      <c r="U223" s="1107"/>
      <c r="V223" s="1107"/>
      <c r="W223" s="1107"/>
      <c r="X223" s="315"/>
      <c r="Y223" s="1107"/>
      <c r="Z223" s="1107"/>
      <c r="AA223" s="1107"/>
      <c r="AB223" s="1107"/>
      <c r="AC223" s="1107"/>
      <c r="AD223" s="1107"/>
      <c r="AE223" s="1107"/>
      <c r="AF223" s="1107"/>
    </row>
    <row r="224" spans="2:32" s="299" customFormat="1" ht="24.75" customHeight="1" x14ac:dyDescent="0.25">
      <c r="B224" s="1091"/>
      <c r="C224" s="1091"/>
      <c r="D224" s="1091"/>
      <c r="E224" s="1091"/>
      <c r="F224" s="1091"/>
      <c r="G224" s="1091"/>
      <c r="H224" s="1091"/>
      <c r="I224" s="1091"/>
      <c r="J224" s="1091"/>
      <c r="K224" s="1091"/>
      <c r="L224" s="1091"/>
      <c r="M224" s="1091"/>
      <c r="N224" s="1107"/>
      <c r="O224" s="1106"/>
      <c r="P224" s="1106"/>
      <c r="Q224" s="1106"/>
      <c r="R224" s="1107"/>
      <c r="S224" s="1092"/>
      <c r="T224" s="1107"/>
      <c r="U224" s="1107"/>
      <c r="V224" s="1107"/>
      <c r="W224" s="1107"/>
      <c r="X224" s="315"/>
      <c r="Y224" s="1107"/>
      <c r="Z224" s="1107"/>
      <c r="AA224" s="1107"/>
      <c r="AB224" s="1107"/>
      <c r="AC224" s="1107"/>
      <c r="AD224" s="1107"/>
      <c r="AE224" s="1107"/>
      <c r="AF224" s="1107"/>
    </row>
    <row r="225" spans="2:32" s="299" customFormat="1" ht="15.75" x14ac:dyDescent="0.25">
      <c r="B225" s="295"/>
      <c r="C225" s="314"/>
      <c r="D225" s="304"/>
      <c r="E225" s="304"/>
      <c r="F225" s="1471" t="s">
        <v>2830</v>
      </c>
      <c r="G225" s="1471"/>
      <c r="H225" s="1471"/>
      <c r="I225" s="1471"/>
      <c r="J225" s="1471"/>
      <c r="K225" s="1471"/>
      <c r="L225" s="1471"/>
      <c r="M225" s="1471"/>
      <c r="N225" s="1471"/>
      <c r="O225" s="685"/>
      <c r="P225" s="332"/>
      <c r="Q225" s="332"/>
      <c r="R225" s="332"/>
      <c r="S225" s="333"/>
      <c r="T225" s="334"/>
      <c r="U225" s="311"/>
      <c r="V225" s="334"/>
      <c r="W225" s="334"/>
      <c r="X225" s="312"/>
      <c r="Y225" s="334"/>
      <c r="Z225" s="312"/>
      <c r="AA225" s="334"/>
      <c r="AB225" s="334"/>
      <c r="AC225" s="335"/>
      <c r="AD225" s="335"/>
      <c r="AE225" s="335"/>
      <c r="AF225" s="335"/>
    </row>
    <row r="226" spans="2:32" s="299" customFormat="1" ht="15.75" x14ac:dyDescent="0.25">
      <c r="B226" s="295"/>
      <c r="C226" s="314"/>
      <c r="D226" s="304"/>
      <c r="E226" s="304"/>
      <c r="F226" s="331" t="s">
        <v>2831</v>
      </c>
      <c r="G226" s="331" t="s">
        <v>2832</v>
      </c>
      <c r="H226" s="1471" t="s">
        <v>2833</v>
      </c>
      <c r="I226" s="1471"/>
      <c r="J226" s="1471" t="s">
        <v>2834</v>
      </c>
      <c r="K226" s="1471"/>
      <c r="L226" s="1471"/>
      <c r="M226" s="1471" t="s">
        <v>2835</v>
      </c>
      <c r="N226" s="1471"/>
      <c r="O226" s="685"/>
      <c r="P226" s="301"/>
      <c r="Q226" s="332"/>
      <c r="R226" s="332"/>
      <c r="S226" s="333"/>
      <c r="T226" s="334"/>
      <c r="U226" s="311"/>
      <c r="V226" s="334"/>
      <c r="W226" s="334"/>
      <c r="X226" s="312"/>
      <c r="Y226" s="334"/>
      <c r="Z226" s="312"/>
      <c r="AA226" s="334"/>
      <c r="AB226" s="334"/>
      <c r="AC226" s="335"/>
      <c r="AD226" s="335"/>
      <c r="AE226" s="335"/>
      <c r="AF226" s="335"/>
    </row>
    <row r="227" spans="2:32" s="299" customFormat="1" ht="15.75" x14ac:dyDescent="0.25">
      <c r="B227" s="295"/>
      <c r="C227" s="314"/>
      <c r="D227" s="304"/>
      <c r="E227" s="304"/>
      <c r="F227" s="337">
        <v>2012</v>
      </c>
      <c r="G227" s="338">
        <v>1451</v>
      </c>
      <c r="H227" s="1557">
        <v>725.5</v>
      </c>
      <c r="I227" s="1557"/>
      <c r="J227" s="1557">
        <v>798.05</v>
      </c>
      <c r="K227" s="1557"/>
      <c r="L227" s="1557"/>
      <c r="M227" s="1557">
        <v>906.88</v>
      </c>
      <c r="N227" s="1557"/>
      <c r="O227" s="686"/>
      <c r="P227" s="301"/>
      <c r="Q227" s="332"/>
      <c r="R227" s="332"/>
      <c r="S227" s="333"/>
      <c r="T227" s="334"/>
      <c r="U227" s="311"/>
      <c r="V227" s="334"/>
      <c r="W227" s="334"/>
      <c r="X227" s="312"/>
      <c r="Y227" s="334"/>
      <c r="Z227" s="312"/>
      <c r="AA227" s="334"/>
      <c r="AB227" s="334"/>
      <c r="AC227" s="335"/>
      <c r="AD227" s="335"/>
      <c r="AE227" s="335"/>
      <c r="AF227" s="335"/>
    </row>
    <row r="228" spans="2:32" s="299" customFormat="1" ht="15.75" x14ac:dyDescent="0.25">
      <c r="B228" s="295"/>
      <c r="C228" s="314"/>
      <c r="D228" s="304"/>
      <c r="E228" s="304"/>
      <c r="F228" s="337">
        <v>2013</v>
      </c>
      <c r="G228" s="338">
        <v>1567</v>
      </c>
      <c r="H228" s="1557">
        <v>783.5</v>
      </c>
      <c r="I228" s="1557"/>
      <c r="J228" s="1557">
        <v>861.85</v>
      </c>
      <c r="K228" s="1557"/>
      <c r="L228" s="1557"/>
      <c r="M228" s="1557">
        <v>979.38</v>
      </c>
      <c r="N228" s="1557"/>
      <c r="O228" s="686"/>
      <c r="P228" s="301"/>
      <c r="Q228" s="332"/>
      <c r="R228" s="332"/>
      <c r="S228" s="333"/>
      <c r="T228" s="334"/>
      <c r="U228" s="311"/>
      <c r="V228" s="334"/>
      <c r="W228" s="334"/>
      <c r="X228" s="312"/>
      <c r="Y228" s="334"/>
      <c r="Z228" s="312"/>
      <c r="AA228" s="334"/>
      <c r="AB228" s="334"/>
      <c r="AC228" s="335"/>
      <c r="AD228" s="335"/>
      <c r="AE228" s="335"/>
      <c r="AF228" s="335"/>
    </row>
    <row r="229" spans="2:32" s="299" customFormat="1" ht="15.75" x14ac:dyDescent="0.25">
      <c r="B229" s="295"/>
      <c r="C229" s="314"/>
      <c r="D229" s="304"/>
      <c r="E229" s="304"/>
      <c r="F229" s="337">
        <v>2014</v>
      </c>
      <c r="G229" s="338">
        <v>1697.37</v>
      </c>
      <c r="H229" s="1557">
        <v>848.69</v>
      </c>
      <c r="I229" s="1557"/>
      <c r="J229" s="1557">
        <v>933.55</v>
      </c>
      <c r="K229" s="1557"/>
      <c r="L229" s="1557"/>
      <c r="M229" s="1557">
        <v>1060.8599999999999</v>
      </c>
      <c r="N229" s="1557"/>
      <c r="O229" s="686"/>
      <c r="P229" s="301"/>
      <c r="Q229" s="332"/>
      <c r="R229" s="332"/>
      <c r="S229" s="333"/>
      <c r="T229" s="334"/>
      <c r="U229" s="311"/>
      <c r="V229" s="334"/>
      <c r="W229" s="334"/>
      <c r="X229" s="312"/>
      <c r="Y229" s="334"/>
      <c r="Z229" s="312"/>
      <c r="AA229" s="334"/>
      <c r="AB229" s="334"/>
      <c r="AC229" s="335"/>
      <c r="AD229" s="335"/>
      <c r="AE229" s="335"/>
      <c r="AF229" s="335"/>
    </row>
    <row r="230" spans="2:32" s="299" customFormat="1" ht="15.75" x14ac:dyDescent="0.25">
      <c r="B230" s="295"/>
      <c r="C230" s="314"/>
      <c r="D230" s="304"/>
      <c r="E230" s="304"/>
      <c r="F230" s="337">
        <v>2015</v>
      </c>
      <c r="G230" s="338">
        <v>1917.78</v>
      </c>
      <c r="H230" s="1557">
        <v>958.89</v>
      </c>
      <c r="I230" s="1557"/>
      <c r="J230" s="1557">
        <v>1054.78</v>
      </c>
      <c r="K230" s="1557"/>
      <c r="L230" s="1557"/>
      <c r="M230" s="1557">
        <v>1198.6099999999999</v>
      </c>
      <c r="N230" s="1557"/>
      <c r="O230" s="686"/>
      <c r="P230" s="301"/>
      <c r="Q230" s="332"/>
      <c r="R230" s="332"/>
      <c r="S230" s="333"/>
      <c r="T230" s="334"/>
      <c r="U230" s="311"/>
      <c r="V230" s="334"/>
      <c r="W230" s="334"/>
      <c r="X230" s="312"/>
      <c r="Y230" s="334"/>
      <c r="Z230" s="312"/>
      <c r="AA230" s="334"/>
      <c r="AB230" s="334"/>
      <c r="AC230" s="335"/>
      <c r="AD230" s="335"/>
      <c r="AE230" s="335"/>
      <c r="AF230" s="335"/>
    </row>
    <row r="231" spans="2:32" s="299" customFormat="1" ht="15.75" x14ac:dyDescent="0.25">
      <c r="B231" s="295"/>
      <c r="C231" s="314"/>
      <c r="D231" s="304"/>
      <c r="E231" s="304"/>
      <c r="F231" s="337">
        <v>2016</v>
      </c>
      <c r="G231" s="338">
        <v>2135.34</v>
      </c>
      <c r="H231" s="1557">
        <v>1067.67</v>
      </c>
      <c r="I231" s="1557"/>
      <c r="J231" s="1557">
        <v>1174.44</v>
      </c>
      <c r="K231" s="1557"/>
      <c r="L231" s="1557"/>
      <c r="M231" s="1557">
        <v>1334.59</v>
      </c>
      <c r="N231" s="1557"/>
      <c r="O231" s="686"/>
      <c r="P231" s="301"/>
      <c r="Q231" s="332"/>
      <c r="R231" s="332"/>
      <c r="S231" s="333"/>
      <c r="T231" s="334"/>
      <c r="U231" s="311"/>
      <c r="V231" s="334"/>
      <c r="W231" s="334"/>
      <c r="X231" s="312"/>
      <c r="Y231" s="334"/>
      <c r="Z231" s="312"/>
      <c r="AA231" s="334"/>
      <c r="AB231" s="334"/>
      <c r="AC231" s="335"/>
      <c r="AD231" s="335"/>
      <c r="AE231" s="335"/>
      <c r="AF231" s="335"/>
    </row>
    <row r="232" spans="2:32" s="299" customFormat="1" ht="15.75" x14ac:dyDescent="0.25">
      <c r="B232" s="295"/>
      <c r="C232" s="314"/>
      <c r="D232" s="304"/>
      <c r="E232" s="304"/>
      <c r="F232" s="337">
        <v>2017</v>
      </c>
      <c r="G232" s="338">
        <v>2298.8000000000002</v>
      </c>
      <c r="H232" s="1557">
        <v>1149.4000000000001</v>
      </c>
      <c r="I232" s="1557"/>
      <c r="J232" s="1557">
        <v>1264.3399999999999</v>
      </c>
      <c r="K232" s="1557"/>
      <c r="L232" s="1557"/>
      <c r="M232" s="1557">
        <v>1436.75</v>
      </c>
      <c r="N232" s="1557"/>
      <c r="O232" s="686"/>
      <c r="P232" s="301"/>
      <c r="Q232" s="332"/>
      <c r="R232" s="332"/>
      <c r="S232" s="333"/>
      <c r="T232" s="334"/>
      <c r="U232" s="311"/>
      <c r="V232" s="334"/>
      <c r="W232" s="334"/>
      <c r="X232" s="312"/>
      <c r="Y232" s="334"/>
      <c r="Z232" s="312"/>
      <c r="AA232" s="334"/>
      <c r="AB232" s="334"/>
      <c r="AC232" s="335"/>
      <c r="AD232" s="335"/>
      <c r="AE232" s="335"/>
      <c r="AF232" s="335"/>
    </row>
    <row r="233" spans="2:32" s="299" customFormat="1" ht="15.75" x14ac:dyDescent="0.25">
      <c r="B233" s="295"/>
      <c r="C233" s="314"/>
      <c r="D233" s="304"/>
      <c r="E233" s="304"/>
      <c r="F233" s="337">
        <v>2018</v>
      </c>
      <c r="G233" s="339">
        <f>1227.67+1227.67+0.01</f>
        <v>2455.3500000000004</v>
      </c>
      <c r="H233" s="1557">
        <v>1227.67</v>
      </c>
      <c r="I233" s="1557"/>
      <c r="J233" s="1557">
        <v>1350.44</v>
      </c>
      <c r="K233" s="1557"/>
      <c r="L233" s="1557"/>
      <c r="M233" s="1557">
        <v>1534.59</v>
      </c>
      <c r="N233" s="1557"/>
      <c r="O233" s="686"/>
      <c r="P233" s="301"/>
      <c r="Q233" s="332"/>
      <c r="R233" s="332"/>
      <c r="S233" s="333"/>
      <c r="T233" s="334"/>
      <c r="U233" s="311"/>
      <c r="V233" s="334"/>
      <c r="W233" s="334"/>
      <c r="X233" s="312"/>
      <c r="Y233" s="334"/>
      <c r="Z233" s="312"/>
      <c r="AA233" s="334"/>
      <c r="AB233" s="334"/>
      <c r="AC233" s="335"/>
      <c r="AD233" s="335"/>
      <c r="AE233" s="335"/>
      <c r="AF233" s="335"/>
    </row>
    <row r="234" spans="2:32" s="299" customFormat="1" ht="15.75" x14ac:dyDescent="0.25">
      <c r="B234" s="295"/>
      <c r="C234" s="314"/>
      <c r="D234" s="304"/>
      <c r="E234" s="304"/>
      <c r="F234" s="337">
        <v>2019</v>
      </c>
      <c r="G234" s="339">
        <v>2557.7399999999998</v>
      </c>
      <c r="H234" s="1557">
        <v>1278.8699999999999</v>
      </c>
      <c r="I234" s="1557"/>
      <c r="J234" s="1557">
        <f>G234/40*22</f>
        <v>1406.7569999999998</v>
      </c>
      <c r="K234" s="1557"/>
      <c r="L234" s="1557"/>
      <c r="M234" s="1557">
        <v>1598.59</v>
      </c>
      <c r="N234" s="1557"/>
      <c r="O234" s="686"/>
      <c r="P234" s="301"/>
      <c r="Q234" s="332"/>
      <c r="R234" s="332"/>
      <c r="S234" s="333"/>
      <c r="T234" s="334"/>
      <c r="U234" s="311"/>
      <c r="V234" s="334"/>
      <c r="W234" s="334"/>
      <c r="X234" s="312"/>
      <c r="Y234" s="334"/>
      <c r="Z234" s="312"/>
      <c r="AA234" s="334"/>
      <c r="AB234" s="334"/>
      <c r="AC234" s="335"/>
      <c r="AD234" s="335"/>
      <c r="AE234" s="335"/>
      <c r="AF234" s="335"/>
    </row>
    <row r="235" spans="2:32" s="299" customFormat="1" ht="15.75" x14ac:dyDescent="0.25">
      <c r="B235" s="295"/>
      <c r="C235" s="314"/>
      <c r="D235" s="304"/>
      <c r="E235" s="304"/>
      <c r="F235" s="337">
        <v>2020</v>
      </c>
      <c r="G235" s="339">
        <f>G234*1+4.17%</f>
        <v>2557.7817</v>
      </c>
      <c r="H235" s="1557">
        <f>G235/40*20</f>
        <v>1278.89085</v>
      </c>
      <c r="I235" s="1557"/>
      <c r="J235" s="1557">
        <f>G235/40*22</f>
        <v>1406.779935</v>
      </c>
      <c r="K235" s="1557"/>
      <c r="L235" s="1557"/>
      <c r="M235" s="1557">
        <f>G235/40*25</f>
        <v>1598.6135624999999</v>
      </c>
      <c r="N235" s="1557"/>
      <c r="O235" s="686"/>
      <c r="P235" s="301"/>
      <c r="Q235" s="332"/>
      <c r="R235" s="332"/>
      <c r="S235" s="333"/>
      <c r="T235" s="334"/>
      <c r="U235" s="311"/>
      <c r="V235" s="334"/>
      <c r="W235" s="334"/>
      <c r="X235" s="312"/>
      <c r="Y235" s="334"/>
      <c r="Z235" s="312"/>
      <c r="AA235" s="334"/>
      <c r="AB235" s="334"/>
      <c r="AC235" s="335"/>
      <c r="AD235" s="335"/>
      <c r="AE235" s="335"/>
      <c r="AF235" s="335"/>
    </row>
    <row r="236" spans="2:32" s="299" customFormat="1" ht="15.75" x14ac:dyDescent="0.25">
      <c r="B236" s="295"/>
      <c r="C236" s="314"/>
      <c r="D236" s="304"/>
      <c r="E236" s="304"/>
      <c r="F236" s="337"/>
      <c r="G236" s="339"/>
      <c r="H236" s="339"/>
      <c r="I236" s="339"/>
      <c r="J236" s="339"/>
      <c r="K236" s="339"/>
      <c r="L236" s="339"/>
      <c r="M236" s="339"/>
      <c r="N236" s="339"/>
      <c r="O236" s="686"/>
      <c r="P236" s="301"/>
      <c r="Q236" s="332"/>
      <c r="R236" s="332"/>
      <c r="S236" s="333"/>
      <c r="T236" s="334"/>
      <c r="U236" s="311"/>
      <c r="V236" s="334"/>
      <c r="W236" s="334"/>
      <c r="X236" s="312"/>
      <c r="Y236" s="334"/>
      <c r="Z236" s="312"/>
      <c r="AA236" s="334"/>
      <c r="AB236" s="334"/>
      <c r="AC236" s="335"/>
      <c r="AD236" s="335"/>
      <c r="AE236" s="335"/>
      <c r="AF236" s="335"/>
    </row>
    <row r="237" spans="2:32" s="299" customFormat="1" ht="16.5" thickBot="1" x14ac:dyDescent="0.3">
      <c r="B237" s="295"/>
      <c r="C237" s="314"/>
      <c r="D237" s="304"/>
      <c r="E237" s="304"/>
      <c r="F237" s="337" t="s">
        <v>2840</v>
      </c>
      <c r="G237" s="339"/>
      <c r="H237" s="1558" t="s">
        <v>2843</v>
      </c>
      <c r="I237" s="1558"/>
      <c r="J237" s="1558"/>
      <c r="K237" s="1558"/>
      <c r="L237" s="340">
        <v>4.1200000000000001E-2</v>
      </c>
      <c r="M237" s="339"/>
      <c r="N237" s="339"/>
      <c r="O237" s="686"/>
      <c r="P237" s="301"/>
      <c r="Q237" s="332"/>
      <c r="R237" s="332"/>
      <c r="S237" s="333"/>
      <c r="T237" s="334"/>
      <c r="U237" s="311"/>
      <c r="V237" s="334"/>
      <c r="W237" s="334"/>
      <c r="X237" s="312"/>
      <c r="Y237" s="334"/>
      <c r="Z237" s="312"/>
      <c r="AA237" s="334"/>
      <c r="AB237" s="334"/>
      <c r="AC237" s="335"/>
      <c r="AD237" s="335"/>
      <c r="AE237" s="335"/>
      <c r="AF237" s="335"/>
    </row>
    <row r="238" spans="2:32" s="299" customFormat="1" ht="15.75" x14ac:dyDescent="0.25">
      <c r="B238" s="295"/>
      <c r="C238" s="314"/>
      <c r="D238" s="304"/>
      <c r="E238" s="304"/>
      <c r="F238" s="341" t="s">
        <v>2836</v>
      </c>
      <c r="G238" s="1552" t="s">
        <v>2636</v>
      </c>
      <c r="H238" s="1552" t="s">
        <v>2634</v>
      </c>
      <c r="I238" s="1552" t="s">
        <v>2648</v>
      </c>
      <c r="J238" s="1552" t="s">
        <v>2638</v>
      </c>
      <c r="K238" s="1552"/>
      <c r="L238" s="1552" t="s">
        <v>2837</v>
      </c>
      <c r="M238" s="1554" t="s">
        <v>2838</v>
      </c>
      <c r="O238" s="676"/>
      <c r="P238" s="342"/>
      <c r="Q238" s="332"/>
      <c r="R238" s="332"/>
      <c r="S238" s="333"/>
      <c r="T238" s="334"/>
      <c r="U238" s="311"/>
      <c r="V238" s="334"/>
      <c r="W238" s="334"/>
      <c r="X238" s="312"/>
      <c r="Y238" s="334"/>
      <c r="Z238" s="312"/>
      <c r="AA238" s="334"/>
      <c r="AB238" s="334"/>
      <c r="AC238" s="335"/>
      <c r="AD238" s="335"/>
      <c r="AE238" s="335"/>
      <c r="AF238" s="335"/>
    </row>
    <row r="239" spans="2:32" s="299" customFormat="1" ht="15.75" x14ac:dyDescent="0.25">
      <c r="B239" s="295"/>
      <c r="C239" s="314"/>
      <c r="D239" s="304"/>
      <c r="E239" s="304"/>
      <c r="F239" s="343"/>
      <c r="G239" s="1553"/>
      <c r="H239" s="1553"/>
      <c r="I239" s="1553"/>
      <c r="J239" s="1553"/>
      <c r="K239" s="1553"/>
      <c r="L239" s="1553"/>
      <c r="M239" s="1555"/>
      <c r="O239" s="676"/>
      <c r="P239" s="301"/>
      <c r="Q239" s="332"/>
      <c r="R239" s="332"/>
      <c r="S239" s="333"/>
      <c r="T239" s="334"/>
      <c r="U239" s="311"/>
      <c r="V239" s="334"/>
      <c r="W239" s="334"/>
      <c r="X239" s="312"/>
      <c r="Y239" s="334"/>
      <c r="Z239" s="312"/>
      <c r="AA239" s="334"/>
      <c r="AB239" s="334"/>
      <c r="AC239" s="335"/>
      <c r="AD239" s="335"/>
      <c r="AE239" s="335"/>
      <c r="AF239" s="335"/>
    </row>
    <row r="240" spans="2:32" s="299" customFormat="1" ht="15.75" x14ac:dyDescent="0.25">
      <c r="B240" s="295"/>
      <c r="C240" s="314"/>
      <c r="D240" s="304"/>
      <c r="E240" s="304"/>
      <c r="F240" s="344" t="s">
        <v>2839</v>
      </c>
      <c r="G240" s="1553"/>
      <c r="H240" s="1553"/>
      <c r="I240" s="1553"/>
      <c r="J240" s="1553"/>
      <c r="K240" s="1553"/>
      <c r="L240" s="1553"/>
      <c r="M240" s="1556"/>
      <c r="O240" s="676"/>
      <c r="P240" s="345"/>
      <c r="Q240" s="332"/>
      <c r="R240" s="332"/>
      <c r="S240" s="333"/>
      <c r="T240" s="334"/>
      <c r="U240" s="311"/>
      <c r="V240" s="334"/>
      <c r="W240" s="334"/>
      <c r="X240" s="312"/>
      <c r="Y240" s="334"/>
      <c r="Z240" s="312"/>
      <c r="AA240" s="334"/>
      <c r="AB240" s="334"/>
      <c r="AC240" s="335"/>
      <c r="AD240" s="335"/>
      <c r="AE240" s="335"/>
      <c r="AF240" s="335"/>
    </row>
    <row r="241" spans="2:32" s="299" customFormat="1" ht="17.25" x14ac:dyDescent="0.25">
      <c r="B241" s="295"/>
      <c r="C241" s="314"/>
      <c r="D241" s="304"/>
      <c r="E241" s="304"/>
      <c r="F241" s="346">
        <v>1</v>
      </c>
      <c r="G241" s="347">
        <v>1.55</v>
      </c>
      <c r="H241" s="347">
        <f>G241*(1+$L$237)</f>
        <v>1.6138599999999999</v>
      </c>
      <c r="I241" s="347">
        <f>H241*(1+$L$237)-0.01</f>
        <v>1.6703510319999997</v>
      </c>
      <c r="J241" s="1559">
        <f>I241*(1+$L$237)</f>
        <v>1.7391694945183995</v>
      </c>
      <c r="K241" s="1560"/>
      <c r="L241" s="347">
        <f>J241*(1+$L$237)</f>
        <v>1.8108232776925575</v>
      </c>
      <c r="M241" s="348">
        <f>L241*(1+$L$237)</f>
        <v>1.8854291967334906</v>
      </c>
      <c r="O241" s="676"/>
      <c r="P241" s="301"/>
      <c r="Q241" s="332"/>
      <c r="R241" s="332"/>
      <c r="S241" s="333"/>
      <c r="T241" s="334"/>
      <c r="U241" s="311"/>
      <c r="V241" s="334"/>
      <c r="W241" s="334"/>
      <c r="X241" s="312"/>
      <c r="Y241" s="334"/>
      <c r="Z241" s="312"/>
      <c r="AA241" s="334"/>
      <c r="AB241" s="334"/>
      <c r="AC241" s="335"/>
      <c r="AD241" s="335"/>
      <c r="AE241" s="335"/>
      <c r="AF241" s="335"/>
    </row>
    <row r="242" spans="2:32" s="299" customFormat="1" ht="17.25" x14ac:dyDescent="0.25">
      <c r="B242" s="295"/>
      <c r="C242" s="314"/>
      <c r="D242" s="304"/>
      <c r="E242" s="304"/>
      <c r="F242" s="346">
        <v>2</v>
      </c>
      <c r="G242" s="347">
        <v>2.0499999999999998</v>
      </c>
      <c r="H242" s="347">
        <f>G242*(1+$L$237)</f>
        <v>2.1344599999999998</v>
      </c>
      <c r="I242" s="347">
        <f>H242*(1+$L$237)</f>
        <v>2.2223997519999994</v>
      </c>
      <c r="J242" s="1559">
        <f>I242*(1+$L$237)</f>
        <v>2.313962621782399</v>
      </c>
      <c r="K242" s="1560"/>
      <c r="L242" s="347">
        <f>J242*(1+$L$237)</f>
        <v>2.4092978817998336</v>
      </c>
      <c r="M242" s="348">
        <f>L242*(1+$L$237)</f>
        <v>2.5085609545299867</v>
      </c>
      <c r="O242" s="676"/>
      <c r="P242" s="301"/>
      <c r="Q242" s="332"/>
      <c r="R242" s="332"/>
      <c r="S242" s="333"/>
      <c r="T242" s="334"/>
      <c r="U242" s="311"/>
      <c r="V242" s="334"/>
      <c r="W242" s="334"/>
      <c r="X242" s="312"/>
      <c r="Y242" s="334"/>
      <c r="Z242" s="312"/>
      <c r="AA242" s="334"/>
      <c r="AB242" s="334"/>
      <c r="AC242" s="335"/>
      <c r="AD242" s="335"/>
      <c r="AE242" s="335"/>
      <c r="AF242" s="335"/>
    </row>
    <row r="243" spans="2:32" s="299" customFormat="1" ht="17.25" x14ac:dyDescent="0.25">
      <c r="B243" s="295"/>
      <c r="C243" s="314"/>
      <c r="D243" s="304"/>
      <c r="E243" s="304"/>
      <c r="F243" s="346">
        <v>3</v>
      </c>
      <c r="G243" s="347">
        <v>2.27</v>
      </c>
      <c r="H243" s="347">
        <f>G243*(1+$L$237)</f>
        <v>2.363524</v>
      </c>
      <c r="I243" s="347">
        <f>H243*(1+$L$237)</f>
        <v>2.4609011887999999</v>
      </c>
      <c r="J243" s="1559">
        <f>I243*(1+$L$237)</f>
        <v>2.5622903177785594</v>
      </c>
      <c r="K243" s="1560"/>
      <c r="L243" s="347">
        <f>J243*(1+$L$237)</f>
        <v>2.6678566788710358</v>
      </c>
      <c r="M243" s="348">
        <f>L243*(1+$L$237)</f>
        <v>2.7777723740405222</v>
      </c>
      <c r="O243" s="676"/>
      <c r="P243" s="301"/>
      <c r="Q243" s="332"/>
      <c r="R243" s="332"/>
      <c r="S243" s="333"/>
      <c r="T243" s="334"/>
      <c r="U243" s="311"/>
      <c r="V243" s="334"/>
      <c r="W243" s="334"/>
      <c r="X243" s="312"/>
      <c r="Y243" s="334"/>
      <c r="Z243" s="312"/>
      <c r="AA243" s="334"/>
      <c r="AB243" s="334"/>
      <c r="AC243" s="335"/>
      <c r="AD243" s="335"/>
      <c r="AE243" s="335"/>
      <c r="AF243" s="335"/>
    </row>
    <row r="244" spans="2:32" s="299" customFormat="1" ht="18" thickBot="1" x14ac:dyDescent="0.3">
      <c r="B244" s="295"/>
      <c r="C244" s="314"/>
      <c r="D244" s="304"/>
      <c r="E244" s="304"/>
      <c r="F244" s="349">
        <v>4</v>
      </c>
      <c r="G244" s="350">
        <v>2.5</v>
      </c>
      <c r="H244" s="350">
        <f>G244*(1+$L$237)</f>
        <v>2.6029999999999998</v>
      </c>
      <c r="I244" s="350">
        <f>H244*(1+$L$237)</f>
        <v>2.7102435999999996</v>
      </c>
      <c r="J244" s="1561">
        <f>I244*(1+$L$237)</f>
        <v>2.8219056363199995</v>
      </c>
      <c r="K244" s="1562"/>
      <c r="L244" s="350">
        <f>J244*(1+$L$237)</f>
        <v>2.9381681485363833</v>
      </c>
      <c r="M244" s="351">
        <f>L244*(1+$L$237)</f>
        <v>3.0592206762560821</v>
      </c>
      <c r="O244" s="676"/>
      <c r="P244" s="301"/>
      <c r="Q244" s="332"/>
      <c r="R244" s="332"/>
      <c r="S244" s="333"/>
      <c r="T244" s="334"/>
      <c r="U244" s="311"/>
      <c r="V244" s="334"/>
      <c r="W244" s="334"/>
      <c r="X244" s="312"/>
      <c r="Y244" s="334"/>
      <c r="Z244" s="312"/>
      <c r="AA244" s="334"/>
      <c r="AB244" s="334"/>
      <c r="AC244" s="335"/>
      <c r="AD244" s="335"/>
      <c r="AE244" s="335"/>
      <c r="AF244" s="335"/>
    </row>
    <row r="245" spans="2:32" s="299" customFormat="1" ht="15.75" x14ac:dyDescent="0.25">
      <c r="B245" s="295"/>
      <c r="C245" s="314"/>
      <c r="D245" s="304"/>
      <c r="E245" s="304"/>
      <c r="F245" s="337"/>
      <c r="G245" s="339"/>
      <c r="H245" s="339"/>
      <c r="I245" s="339"/>
      <c r="J245" s="339"/>
      <c r="K245" s="339"/>
      <c r="L245" s="339"/>
      <c r="M245" s="339"/>
      <c r="N245" s="339"/>
      <c r="O245" s="686"/>
      <c r="P245" s="301"/>
      <c r="Q245" s="332"/>
      <c r="R245" s="332"/>
      <c r="S245" s="333"/>
      <c r="T245" s="334"/>
      <c r="U245" s="311"/>
      <c r="V245" s="334"/>
      <c r="W245" s="334"/>
      <c r="X245" s="312"/>
      <c r="Y245" s="334"/>
      <c r="Z245" s="312"/>
      <c r="AA245" s="334"/>
      <c r="AB245" s="334"/>
      <c r="AC245" s="335"/>
      <c r="AD245" s="335"/>
      <c r="AE245" s="335"/>
      <c r="AF245" s="335"/>
    </row>
    <row r="246" spans="2:32" s="299" customFormat="1" ht="16.5" thickBot="1" x14ac:dyDescent="0.3">
      <c r="B246" s="295"/>
      <c r="C246" s="314"/>
      <c r="D246" s="304"/>
      <c r="E246" s="304"/>
      <c r="F246" s="337" t="s">
        <v>2841</v>
      </c>
      <c r="G246" s="339"/>
      <c r="H246" s="339"/>
      <c r="I246" s="339"/>
      <c r="J246" s="339"/>
      <c r="K246" s="339"/>
      <c r="L246" s="339"/>
      <c r="M246" s="339"/>
      <c r="N246" s="339"/>
      <c r="O246" s="686"/>
      <c r="P246" s="301"/>
      <c r="Q246" s="332"/>
      <c r="R246" s="332"/>
      <c r="S246" s="333"/>
      <c r="T246" s="334"/>
      <c r="U246" s="311"/>
      <c r="V246" s="334"/>
      <c r="W246" s="334"/>
      <c r="X246" s="312"/>
      <c r="Y246" s="334"/>
      <c r="Z246" s="312"/>
      <c r="AA246" s="334"/>
      <c r="AB246" s="334"/>
      <c r="AC246" s="335"/>
      <c r="AD246" s="335"/>
      <c r="AE246" s="335"/>
      <c r="AF246" s="335"/>
    </row>
    <row r="247" spans="2:32" s="299" customFormat="1" ht="15.75" x14ac:dyDescent="0.25">
      <c r="B247" s="295"/>
      <c r="C247" s="314"/>
      <c r="D247" s="304"/>
      <c r="E247" s="304"/>
      <c r="F247" s="341" t="s">
        <v>2836</v>
      </c>
      <c r="G247" s="1552" t="s">
        <v>2636</v>
      </c>
      <c r="H247" s="1552" t="s">
        <v>2634</v>
      </c>
      <c r="I247" s="1552" t="s">
        <v>2648</v>
      </c>
      <c r="J247" s="1552" t="s">
        <v>2638</v>
      </c>
      <c r="K247" s="1552"/>
      <c r="L247" s="1552" t="s">
        <v>2837</v>
      </c>
      <c r="M247" s="1554" t="s">
        <v>2838</v>
      </c>
      <c r="N247" s="339"/>
      <c r="O247" s="686"/>
      <c r="P247" s="301"/>
      <c r="Q247" s="332"/>
      <c r="R247" s="332"/>
      <c r="S247" s="333"/>
      <c r="T247" s="334"/>
      <c r="U247" s="311"/>
      <c r="V247" s="334"/>
      <c r="W247" s="334"/>
      <c r="X247" s="312"/>
      <c r="Y247" s="334"/>
      <c r="Z247" s="312"/>
      <c r="AA247" s="334"/>
      <c r="AB247" s="334"/>
      <c r="AC247" s="335"/>
      <c r="AD247" s="335"/>
      <c r="AE247" s="335"/>
      <c r="AF247" s="335"/>
    </row>
    <row r="248" spans="2:32" s="299" customFormat="1" ht="15.75" x14ac:dyDescent="0.25">
      <c r="B248" s="295"/>
      <c r="C248" s="314"/>
      <c r="D248" s="304"/>
      <c r="E248" s="304"/>
      <c r="F248" s="343"/>
      <c r="G248" s="1553"/>
      <c r="H248" s="1553"/>
      <c r="I248" s="1553"/>
      <c r="J248" s="1553"/>
      <c r="K248" s="1553"/>
      <c r="L248" s="1553"/>
      <c r="M248" s="1555"/>
      <c r="N248" s="339"/>
      <c r="O248" s="686"/>
      <c r="P248" s="301"/>
      <c r="Q248" s="332"/>
      <c r="R248" s="332"/>
      <c r="S248" s="333"/>
      <c r="T248" s="334"/>
      <c r="U248" s="311"/>
      <c r="V248" s="334"/>
      <c r="W248" s="334"/>
      <c r="X248" s="312"/>
      <c r="Y248" s="334"/>
      <c r="Z248" s="312"/>
      <c r="AA248" s="334"/>
      <c r="AB248" s="334"/>
      <c r="AC248" s="335"/>
      <c r="AD248" s="335"/>
      <c r="AE248" s="335"/>
      <c r="AF248" s="335"/>
    </row>
    <row r="249" spans="2:32" s="299" customFormat="1" ht="15.75" x14ac:dyDescent="0.25">
      <c r="B249" s="295"/>
      <c r="C249" s="314"/>
      <c r="D249" s="304"/>
      <c r="E249" s="304"/>
      <c r="F249" s="344" t="s">
        <v>2839</v>
      </c>
      <c r="G249" s="1553"/>
      <c r="H249" s="1553"/>
      <c r="I249" s="1553"/>
      <c r="J249" s="1553"/>
      <c r="K249" s="1553"/>
      <c r="L249" s="1553"/>
      <c r="M249" s="1556"/>
      <c r="N249" s="339"/>
      <c r="O249" s="686"/>
      <c r="P249" s="301"/>
      <c r="Q249" s="332"/>
      <c r="R249" s="332"/>
      <c r="S249" s="333"/>
      <c r="T249" s="334"/>
      <c r="U249" s="311"/>
      <c r="V249" s="334"/>
      <c r="W249" s="334"/>
      <c r="X249" s="312"/>
      <c r="Y249" s="334"/>
      <c r="Z249" s="312"/>
      <c r="AA249" s="334"/>
      <c r="AB249" s="334"/>
      <c r="AC249" s="335"/>
      <c r="AD249" s="335"/>
      <c r="AE249" s="335"/>
      <c r="AF249" s="335"/>
    </row>
    <row r="250" spans="2:32" s="299" customFormat="1" ht="17.25" x14ac:dyDescent="0.25">
      <c r="B250" s="295"/>
      <c r="C250" s="314"/>
      <c r="D250" s="304"/>
      <c r="E250" s="304"/>
      <c r="F250" s="346">
        <v>1</v>
      </c>
      <c r="G250" s="347">
        <v>1.7</v>
      </c>
      <c r="H250" s="347">
        <f t="shared" ref="H250:H251" si="270">G250*(1+$L$237)</f>
        <v>1.7700399999999998</v>
      </c>
      <c r="I250" s="347">
        <f t="shared" ref="I250:J253" si="271">H250*(1+$L$237)</f>
        <v>1.8429656479999996</v>
      </c>
      <c r="J250" s="1559">
        <f t="shared" si="271"/>
        <v>1.9188958326975993</v>
      </c>
      <c r="K250" s="1560"/>
      <c r="L250" s="347">
        <f>J250*(1+$L$237)</f>
        <v>1.9979543410047402</v>
      </c>
      <c r="M250" s="348">
        <f>L250*(1+$L$237)</f>
        <v>2.0802700598541355</v>
      </c>
      <c r="N250" s="339"/>
      <c r="O250" s="686"/>
      <c r="P250" s="301"/>
      <c r="Q250" s="332"/>
      <c r="R250" s="332"/>
      <c r="S250" s="333"/>
      <c r="T250" s="334"/>
      <c r="U250" s="311"/>
      <c r="V250" s="334"/>
      <c r="W250" s="334"/>
      <c r="X250" s="312"/>
      <c r="Y250" s="334"/>
      <c r="Z250" s="312"/>
      <c r="AA250" s="334"/>
      <c r="AB250" s="334"/>
      <c r="AC250" s="335"/>
      <c r="AD250" s="335"/>
      <c r="AE250" s="335"/>
      <c r="AF250" s="335"/>
    </row>
    <row r="251" spans="2:32" s="299" customFormat="1" ht="17.25" x14ac:dyDescent="0.25">
      <c r="B251" s="295"/>
      <c r="C251" s="314"/>
      <c r="D251" s="304"/>
      <c r="E251" s="304"/>
      <c r="F251" s="346">
        <v>2</v>
      </c>
      <c r="G251" s="347">
        <v>2.25</v>
      </c>
      <c r="H251" s="347">
        <f t="shared" si="270"/>
        <v>2.3426999999999998</v>
      </c>
      <c r="I251" s="347">
        <f t="shared" si="271"/>
        <v>2.4392192399999995</v>
      </c>
      <c r="J251" s="1559">
        <f t="shared" si="271"/>
        <v>2.5397150726879993</v>
      </c>
      <c r="K251" s="1560"/>
      <c r="L251" s="347">
        <f>J251*(1+$L$237)</f>
        <v>2.6443513336827449</v>
      </c>
      <c r="M251" s="348">
        <f>L251*(1+$L$237)</f>
        <v>2.7532986086304736</v>
      </c>
      <c r="N251" s="339"/>
      <c r="O251" s="686"/>
      <c r="P251" s="301"/>
      <c r="Q251" s="332"/>
      <c r="R251" s="332"/>
      <c r="S251" s="333"/>
      <c r="T251" s="334"/>
      <c r="U251" s="311"/>
      <c r="V251" s="334"/>
      <c r="W251" s="334"/>
      <c r="X251" s="312"/>
      <c r="Y251" s="334"/>
      <c r="Z251" s="312"/>
      <c r="AA251" s="334"/>
      <c r="AB251" s="334"/>
      <c r="AC251" s="335"/>
      <c r="AD251" s="335"/>
      <c r="AE251" s="335"/>
      <c r="AF251" s="335"/>
    </row>
    <row r="252" spans="2:32" s="299" customFormat="1" ht="17.25" x14ac:dyDescent="0.25">
      <c r="B252" s="295"/>
      <c r="C252" s="314"/>
      <c r="D252" s="304"/>
      <c r="E252" s="304"/>
      <c r="F252" s="346">
        <v>3</v>
      </c>
      <c r="G252" s="347">
        <v>2.5</v>
      </c>
      <c r="H252" s="347">
        <f>G252*(1+$L$237)</f>
        <v>2.6029999999999998</v>
      </c>
      <c r="I252" s="347">
        <f t="shared" si="271"/>
        <v>2.7102435999999996</v>
      </c>
      <c r="J252" s="1559">
        <f t="shared" si="271"/>
        <v>2.8219056363199995</v>
      </c>
      <c r="K252" s="1560"/>
      <c r="L252" s="347">
        <f>J252*(1+$L$237)</f>
        <v>2.9381681485363833</v>
      </c>
      <c r="M252" s="348">
        <f>L252*(1+$L$237)</f>
        <v>3.0592206762560821</v>
      </c>
      <c r="N252" s="339"/>
      <c r="O252" s="686"/>
      <c r="P252" s="301"/>
      <c r="Q252" s="332"/>
      <c r="R252" s="332"/>
      <c r="S252" s="333"/>
      <c r="T252" s="334"/>
      <c r="U252" s="311"/>
      <c r="V252" s="334"/>
      <c r="W252" s="334"/>
      <c r="X252" s="312"/>
      <c r="Y252" s="334"/>
      <c r="Z252" s="312"/>
      <c r="AA252" s="334"/>
      <c r="AB252" s="334"/>
      <c r="AC252" s="335"/>
      <c r="AD252" s="335"/>
      <c r="AE252" s="335"/>
      <c r="AF252" s="335"/>
    </row>
    <row r="253" spans="2:32" s="299" customFormat="1" ht="18" thickBot="1" x14ac:dyDescent="0.3">
      <c r="B253" s="295"/>
      <c r="C253" s="314"/>
      <c r="D253" s="304"/>
      <c r="E253" s="304"/>
      <c r="F253" s="349">
        <v>4</v>
      </c>
      <c r="G253" s="350">
        <v>2.75</v>
      </c>
      <c r="H253" s="350">
        <f>G253*(1+$L$237)</f>
        <v>2.8632999999999997</v>
      </c>
      <c r="I253" s="350">
        <f t="shared" si="271"/>
        <v>2.9812679599999994</v>
      </c>
      <c r="J253" s="1561">
        <f t="shared" si="271"/>
        <v>3.1040961999519991</v>
      </c>
      <c r="K253" s="1562"/>
      <c r="L253" s="350">
        <f>J253*(1+$L$237)</f>
        <v>3.2319849633900213</v>
      </c>
      <c r="M253" s="351">
        <f>L253*(1+$L$237)</f>
        <v>3.3651427438816897</v>
      </c>
      <c r="N253" s="339"/>
      <c r="O253" s="686"/>
      <c r="P253" s="301"/>
      <c r="Q253" s="332"/>
      <c r="R253" s="332"/>
      <c r="S253" s="333"/>
      <c r="T253" s="334"/>
      <c r="U253" s="311"/>
      <c r="V253" s="334"/>
      <c r="W253" s="334"/>
      <c r="X253" s="312"/>
      <c r="Y253" s="334"/>
      <c r="Z253" s="312"/>
      <c r="AA253" s="334"/>
      <c r="AB253" s="334"/>
      <c r="AC253" s="335"/>
      <c r="AD253" s="335"/>
      <c r="AE253" s="335"/>
      <c r="AF253" s="335"/>
    </row>
    <row r="254" spans="2:32" s="299" customFormat="1" ht="15.75" x14ac:dyDescent="0.25">
      <c r="B254" s="295"/>
      <c r="C254" s="314"/>
      <c r="D254" s="304"/>
      <c r="E254" s="304"/>
      <c r="F254" s="337"/>
      <c r="G254" s="339"/>
      <c r="H254" s="339"/>
      <c r="I254" s="339"/>
      <c r="J254" s="339"/>
      <c r="K254" s="339"/>
      <c r="L254" s="339"/>
      <c r="M254" s="339"/>
      <c r="N254" s="339"/>
      <c r="O254" s="686"/>
      <c r="P254" s="301"/>
      <c r="Q254" s="332"/>
      <c r="R254" s="332"/>
      <c r="S254" s="333"/>
      <c r="T254" s="334"/>
      <c r="U254" s="311"/>
      <c r="V254" s="334"/>
      <c r="W254" s="334"/>
      <c r="X254" s="312"/>
      <c r="Y254" s="334"/>
      <c r="Z254" s="312"/>
      <c r="AA254" s="334"/>
      <c r="AB254" s="334"/>
      <c r="AC254" s="335"/>
      <c r="AD254" s="335"/>
      <c r="AE254" s="335"/>
      <c r="AF254" s="335"/>
    </row>
    <row r="255" spans="2:32" s="299" customFormat="1" ht="16.5" thickBot="1" x14ac:dyDescent="0.3">
      <c r="B255" s="295"/>
      <c r="C255" s="314"/>
      <c r="D255" s="304"/>
      <c r="E255" s="304"/>
      <c r="F255" s="337" t="s">
        <v>2842</v>
      </c>
      <c r="G255" s="339"/>
      <c r="H255" s="339"/>
      <c r="I255" s="339"/>
      <c r="J255" s="339"/>
      <c r="K255" s="339"/>
      <c r="L255" s="339"/>
      <c r="M255" s="339"/>
      <c r="N255" s="339"/>
      <c r="O255" s="686"/>
      <c r="P255" s="301"/>
      <c r="Q255" s="332"/>
      <c r="R255" s="332"/>
      <c r="S255" s="333"/>
      <c r="T255" s="334"/>
      <c r="U255" s="311"/>
      <c r="V255" s="334"/>
      <c r="W255" s="334"/>
      <c r="X255" s="312"/>
      <c r="Y255" s="334"/>
      <c r="Z255" s="312"/>
      <c r="AA255" s="334"/>
      <c r="AB255" s="334"/>
      <c r="AC255" s="335"/>
      <c r="AD255" s="335"/>
      <c r="AE255" s="335"/>
      <c r="AF255" s="335"/>
    </row>
    <row r="256" spans="2:32" s="299" customFormat="1" ht="15.75" x14ac:dyDescent="0.25">
      <c r="B256" s="295"/>
      <c r="C256" s="314"/>
      <c r="D256" s="304"/>
      <c r="E256" s="304"/>
      <c r="F256" s="341" t="s">
        <v>2836</v>
      </c>
      <c r="G256" s="1552" t="s">
        <v>2636</v>
      </c>
      <c r="H256" s="1552" t="s">
        <v>2634</v>
      </c>
      <c r="I256" s="1552" t="s">
        <v>2648</v>
      </c>
      <c r="J256" s="1552" t="s">
        <v>2638</v>
      </c>
      <c r="K256" s="1552"/>
      <c r="L256" s="1552" t="s">
        <v>2837</v>
      </c>
      <c r="M256" s="1554" t="s">
        <v>2838</v>
      </c>
      <c r="N256" s="339"/>
      <c r="O256" s="686"/>
      <c r="P256" s="301"/>
      <c r="Q256" s="332"/>
      <c r="R256" s="332"/>
      <c r="S256" s="333"/>
      <c r="T256" s="334"/>
      <c r="U256" s="311"/>
      <c r="V256" s="334"/>
      <c r="W256" s="334"/>
      <c r="X256" s="312"/>
      <c r="Y256" s="334"/>
      <c r="Z256" s="312"/>
      <c r="AA256" s="334"/>
      <c r="AB256" s="334"/>
      <c r="AC256" s="335"/>
      <c r="AD256" s="335"/>
      <c r="AE256" s="335"/>
      <c r="AF256" s="335"/>
    </row>
    <row r="257" spans="2:32" s="299" customFormat="1" ht="15.75" x14ac:dyDescent="0.25">
      <c r="B257" s="295"/>
      <c r="C257" s="314"/>
      <c r="D257" s="304"/>
      <c r="E257" s="304"/>
      <c r="F257" s="343"/>
      <c r="G257" s="1553"/>
      <c r="H257" s="1553"/>
      <c r="I257" s="1553"/>
      <c r="J257" s="1553"/>
      <c r="K257" s="1553"/>
      <c r="L257" s="1553"/>
      <c r="M257" s="1555"/>
      <c r="N257" s="339"/>
      <c r="O257" s="686"/>
      <c r="P257" s="301"/>
      <c r="Q257" s="332"/>
      <c r="R257" s="332"/>
      <c r="S257" s="333"/>
      <c r="T257" s="334"/>
      <c r="U257" s="311"/>
      <c r="V257" s="334"/>
      <c r="W257" s="334"/>
      <c r="X257" s="312"/>
      <c r="Y257" s="334"/>
      <c r="Z257" s="312"/>
      <c r="AA257" s="334"/>
      <c r="AB257" s="334"/>
      <c r="AC257" s="335"/>
      <c r="AD257" s="335"/>
      <c r="AE257" s="335"/>
      <c r="AF257" s="335"/>
    </row>
    <row r="258" spans="2:32" s="299" customFormat="1" ht="15.75" x14ac:dyDescent="0.25">
      <c r="B258" s="295"/>
      <c r="C258" s="314"/>
      <c r="D258" s="304"/>
      <c r="E258" s="304"/>
      <c r="F258" s="344" t="s">
        <v>2839</v>
      </c>
      <c r="G258" s="1553"/>
      <c r="H258" s="1553"/>
      <c r="I258" s="1553"/>
      <c r="J258" s="1553"/>
      <c r="K258" s="1553"/>
      <c r="L258" s="1553"/>
      <c r="M258" s="1556"/>
      <c r="N258" s="339"/>
      <c r="O258" s="686"/>
      <c r="P258" s="301"/>
      <c r="Q258" s="332"/>
      <c r="R258" s="332"/>
      <c r="S258" s="333"/>
      <c r="T258" s="334"/>
      <c r="U258" s="311"/>
      <c r="V258" s="334"/>
      <c r="W258" s="334"/>
      <c r="X258" s="312"/>
      <c r="Y258" s="334"/>
      <c r="Z258" s="312"/>
      <c r="AA258" s="334"/>
      <c r="AB258" s="334"/>
      <c r="AC258" s="335"/>
      <c r="AD258" s="335"/>
      <c r="AE258" s="335"/>
      <c r="AF258" s="335"/>
    </row>
    <row r="259" spans="2:32" s="299" customFormat="1" ht="17.25" x14ac:dyDescent="0.25">
      <c r="B259" s="295"/>
      <c r="C259" s="314"/>
      <c r="D259" s="304"/>
      <c r="E259" s="304"/>
      <c r="F259" s="346">
        <v>1</v>
      </c>
      <c r="G259" s="347">
        <v>1.93</v>
      </c>
      <c r="H259" s="347">
        <f>G259*(1+$L$237)-0.01</f>
        <v>1.9995159999999996</v>
      </c>
      <c r="I259" s="347">
        <f>H259*(1+$L$237)+0.01</f>
        <v>2.0918960591999993</v>
      </c>
      <c r="J259" s="1559">
        <f>I259*(1+$L$237)-0.01</f>
        <v>2.1680821768390395</v>
      </c>
      <c r="K259" s="1560"/>
      <c r="L259" s="347">
        <f>J259*(1+$L$237)+0.01</f>
        <v>2.2674071625248073</v>
      </c>
      <c r="M259" s="348">
        <f>L259*(1+$L$237)</f>
        <v>2.3608243376208291</v>
      </c>
      <c r="N259" s="339"/>
      <c r="O259" s="686"/>
      <c r="P259" s="301"/>
      <c r="Q259" s="332"/>
      <c r="R259" s="332"/>
      <c r="S259" s="333"/>
      <c r="T259" s="334"/>
      <c r="U259" s="311"/>
      <c r="V259" s="334"/>
      <c r="W259" s="334"/>
      <c r="X259" s="312"/>
      <c r="Y259" s="334"/>
      <c r="Z259" s="312"/>
      <c r="AA259" s="334"/>
      <c r="AB259" s="334"/>
      <c r="AC259" s="335"/>
      <c r="AD259" s="335"/>
      <c r="AE259" s="335"/>
      <c r="AF259" s="335"/>
    </row>
    <row r="260" spans="2:32" s="299" customFormat="1" ht="17.25" x14ac:dyDescent="0.25">
      <c r="B260" s="295"/>
      <c r="C260" s="314"/>
      <c r="D260" s="304"/>
      <c r="E260" s="304"/>
      <c r="F260" s="346">
        <v>2</v>
      </c>
      <c r="G260" s="347">
        <v>2.5499999999999998</v>
      </c>
      <c r="H260" s="347">
        <f>G260*(1+$L$237)-0.01</f>
        <v>2.64506</v>
      </c>
      <c r="I260" s="347">
        <f>H260*(1+$L$237)+0.02</f>
        <v>2.7740364719999997</v>
      </c>
      <c r="J260" s="1559">
        <f>I260*(1+$L$237)-0.01</f>
        <v>2.8783267746463994</v>
      </c>
      <c r="K260" s="1560"/>
      <c r="L260" s="347">
        <f>J260*(1+$L$237)</f>
        <v>2.9969138377618307</v>
      </c>
      <c r="M260" s="348">
        <f>L260*(1+$L$237)</f>
        <v>3.1203866878776179</v>
      </c>
      <c r="N260" s="339"/>
      <c r="O260" s="686"/>
      <c r="P260" s="301"/>
      <c r="Q260" s="332"/>
      <c r="R260" s="332"/>
      <c r="S260" s="333"/>
      <c r="T260" s="334"/>
      <c r="U260" s="311"/>
      <c r="V260" s="334"/>
      <c r="W260" s="334"/>
      <c r="X260" s="312"/>
      <c r="Y260" s="334"/>
      <c r="Z260" s="312"/>
      <c r="AA260" s="334"/>
      <c r="AB260" s="334"/>
      <c r="AC260" s="335"/>
      <c r="AD260" s="335"/>
      <c r="AE260" s="335"/>
      <c r="AF260" s="335"/>
    </row>
    <row r="261" spans="2:32" s="299" customFormat="1" ht="17.25" x14ac:dyDescent="0.25">
      <c r="B261" s="295"/>
      <c r="C261" s="314"/>
      <c r="D261" s="304"/>
      <c r="E261" s="304"/>
      <c r="F261" s="346">
        <v>3</v>
      </c>
      <c r="G261" s="347">
        <v>2.84</v>
      </c>
      <c r="H261" s="347">
        <f>G261*(1+$L$237)-0.01</f>
        <v>2.9470079999999998</v>
      </c>
      <c r="I261" s="347">
        <f>H261*(1+$L$237)</f>
        <v>3.0684247295999993</v>
      </c>
      <c r="J261" s="1559">
        <f>I261*(1+$L$237)+0.01</f>
        <v>3.2048438284595187</v>
      </c>
      <c r="K261" s="1560"/>
      <c r="L261" s="347">
        <f>J261*(1+$L$237)</f>
        <v>3.3368833941920504</v>
      </c>
      <c r="M261" s="348">
        <f>L261*(1+$L$237)</f>
        <v>3.4743629900327626</v>
      </c>
      <c r="N261" s="339"/>
      <c r="O261" s="686"/>
      <c r="P261" s="301"/>
      <c r="Q261" s="332"/>
      <c r="R261" s="332"/>
      <c r="S261" s="333"/>
      <c r="T261" s="334"/>
      <c r="U261" s="311"/>
      <c r="V261" s="334"/>
      <c r="W261" s="334"/>
      <c r="X261" s="312"/>
      <c r="Y261" s="334"/>
      <c r="Z261" s="312"/>
      <c r="AA261" s="334"/>
      <c r="AB261" s="334"/>
      <c r="AC261" s="335"/>
      <c r="AD261" s="335"/>
      <c r="AE261" s="335"/>
      <c r="AF261" s="335"/>
    </row>
    <row r="262" spans="2:32" s="299" customFormat="1" ht="18" thickBot="1" x14ac:dyDescent="0.3">
      <c r="B262" s="295"/>
      <c r="C262" s="314"/>
      <c r="D262" s="304"/>
      <c r="E262" s="304"/>
      <c r="F262" s="349">
        <v>4</v>
      </c>
      <c r="G262" s="350">
        <v>3.12</v>
      </c>
      <c r="H262" s="347">
        <f>G262*(1+$L$237)</f>
        <v>3.2485439999999999</v>
      </c>
      <c r="I262" s="347">
        <f>H262*(1+$L$237)</f>
        <v>3.3823840127999993</v>
      </c>
      <c r="J262" s="1559">
        <f>I262*(1+$L$237)</f>
        <v>3.5217382341273589</v>
      </c>
      <c r="K262" s="1560"/>
      <c r="L262" s="347">
        <f>J262*(1+$L$237)</f>
        <v>3.6668338493734058</v>
      </c>
      <c r="M262" s="348">
        <f>L262*(1+$L$237)</f>
        <v>3.81790740396759</v>
      </c>
      <c r="N262" s="339"/>
      <c r="O262" s="686"/>
      <c r="P262" s="301"/>
      <c r="Q262" s="332"/>
      <c r="R262" s="332"/>
      <c r="S262" s="333"/>
      <c r="T262" s="334"/>
      <c r="U262" s="311"/>
      <c r="V262" s="334"/>
      <c r="W262" s="334"/>
      <c r="X262" s="312"/>
      <c r="Y262" s="334"/>
      <c r="Z262" s="312"/>
      <c r="AA262" s="334"/>
      <c r="AB262" s="334"/>
      <c r="AC262" s="335"/>
      <c r="AD262" s="335"/>
      <c r="AE262" s="335"/>
      <c r="AF262" s="335"/>
    </row>
    <row r="263" spans="2:32" s="299" customFormat="1" ht="15.75" x14ac:dyDescent="0.25">
      <c r="B263" s="295"/>
      <c r="C263" s="314"/>
      <c r="D263" s="304"/>
      <c r="E263" s="304"/>
      <c r="F263" s="337"/>
      <c r="G263" s="339"/>
      <c r="H263" s="339"/>
      <c r="I263" s="339"/>
      <c r="J263" s="339"/>
      <c r="K263" s="339"/>
      <c r="L263" s="339"/>
      <c r="M263" s="339"/>
      <c r="N263" s="339"/>
      <c r="O263" s="686"/>
      <c r="P263" s="301"/>
      <c r="Q263" s="332"/>
      <c r="R263" s="332"/>
      <c r="S263" s="333"/>
      <c r="T263" s="334"/>
      <c r="U263" s="311"/>
      <c r="V263" s="334"/>
      <c r="W263" s="334"/>
      <c r="X263" s="312"/>
      <c r="Y263" s="334"/>
      <c r="Z263" s="312"/>
      <c r="AA263" s="334"/>
      <c r="AB263" s="334"/>
      <c r="AC263" s="335"/>
      <c r="AD263" s="335"/>
      <c r="AE263" s="335"/>
      <c r="AF263" s="335"/>
    </row>
    <row r="264" spans="2:32" s="299" customFormat="1" ht="15.75" x14ac:dyDescent="0.25">
      <c r="B264" s="295"/>
      <c r="C264" s="314"/>
      <c r="D264" s="304"/>
      <c r="E264" s="304"/>
      <c r="F264" s="337"/>
      <c r="G264" s="339"/>
      <c r="H264" s="339"/>
      <c r="I264" s="339"/>
      <c r="J264" s="339"/>
      <c r="K264" s="339"/>
      <c r="L264" s="339"/>
      <c r="M264" s="339"/>
      <c r="N264" s="339"/>
      <c r="O264" s="686"/>
      <c r="P264" s="301"/>
      <c r="Q264" s="332"/>
      <c r="R264" s="332"/>
      <c r="S264" s="333"/>
      <c r="T264" s="334"/>
      <c r="U264" s="311"/>
      <c r="V264" s="334"/>
      <c r="W264" s="334"/>
      <c r="X264" s="312"/>
      <c r="Y264" s="334"/>
      <c r="Z264" s="312"/>
      <c r="AA264" s="334"/>
      <c r="AB264" s="334"/>
      <c r="AC264" s="335"/>
      <c r="AD264" s="335"/>
      <c r="AE264" s="335"/>
      <c r="AF264" s="335"/>
    </row>
    <row r="265" spans="2:32" s="299" customFormat="1" ht="16.5" thickBot="1" x14ac:dyDescent="0.3">
      <c r="B265" s="295"/>
      <c r="C265" s="314"/>
      <c r="D265" s="304"/>
      <c r="E265" s="304"/>
      <c r="F265" s="337" t="s">
        <v>2844</v>
      </c>
      <c r="G265" s="339"/>
      <c r="H265" s="339"/>
      <c r="I265" s="339"/>
      <c r="J265" s="339"/>
      <c r="K265" s="339"/>
      <c r="L265" s="339"/>
      <c r="M265" s="339"/>
      <c r="N265" s="339"/>
      <c r="O265" s="686"/>
      <c r="P265" s="301"/>
      <c r="Q265" s="332"/>
      <c r="R265" s="332"/>
      <c r="S265" s="333"/>
      <c r="T265" s="334"/>
      <c r="U265" s="311"/>
      <c r="V265" s="334"/>
      <c r="W265" s="334"/>
      <c r="X265" s="312"/>
      <c r="Y265" s="334"/>
      <c r="Z265" s="312"/>
      <c r="AA265" s="334"/>
      <c r="AB265" s="334"/>
      <c r="AC265" s="335"/>
      <c r="AD265" s="335"/>
      <c r="AE265" s="335"/>
      <c r="AF265" s="335"/>
    </row>
    <row r="266" spans="2:32" s="299" customFormat="1" ht="15.75" x14ac:dyDescent="0.25">
      <c r="B266" s="295"/>
      <c r="C266" s="314"/>
      <c r="D266" s="304"/>
      <c r="E266" s="304"/>
      <c r="F266" s="341" t="s">
        <v>2836</v>
      </c>
      <c r="G266" s="1552" t="s">
        <v>2636</v>
      </c>
      <c r="H266" s="1552" t="s">
        <v>2634</v>
      </c>
      <c r="I266" s="1552" t="s">
        <v>2648</v>
      </c>
      <c r="J266" s="1552" t="s">
        <v>2638</v>
      </c>
      <c r="K266" s="1552"/>
      <c r="L266" s="1552" t="s">
        <v>2837</v>
      </c>
      <c r="M266" s="1554" t="s">
        <v>2838</v>
      </c>
      <c r="N266" s="339"/>
      <c r="O266" s="686"/>
      <c r="P266" s="301"/>
      <c r="Q266" s="332"/>
      <c r="R266" s="332"/>
      <c r="S266" s="333"/>
      <c r="T266" s="334"/>
      <c r="U266" s="311"/>
      <c r="V266" s="334"/>
      <c r="W266" s="334"/>
      <c r="X266" s="312"/>
      <c r="Y266" s="334"/>
      <c r="Z266" s="312"/>
      <c r="AA266" s="334"/>
      <c r="AB266" s="334"/>
      <c r="AC266" s="335"/>
      <c r="AD266" s="335"/>
      <c r="AE266" s="335"/>
      <c r="AF266" s="335"/>
    </row>
    <row r="267" spans="2:32" s="299" customFormat="1" ht="15.75" x14ac:dyDescent="0.25">
      <c r="B267" s="295"/>
      <c r="C267" s="314"/>
      <c r="D267" s="304"/>
      <c r="E267" s="304"/>
      <c r="F267" s="343"/>
      <c r="G267" s="1553"/>
      <c r="H267" s="1553"/>
      <c r="I267" s="1553"/>
      <c r="J267" s="1553"/>
      <c r="K267" s="1553"/>
      <c r="L267" s="1553"/>
      <c r="M267" s="1555"/>
      <c r="N267" s="339"/>
      <c r="O267" s="686"/>
      <c r="P267" s="301"/>
      <c r="Q267" s="332"/>
      <c r="R267" s="332"/>
      <c r="S267" s="333"/>
      <c r="T267" s="334"/>
      <c r="U267" s="311"/>
      <c r="V267" s="334"/>
      <c r="W267" s="334"/>
      <c r="X267" s="312"/>
      <c r="Y267" s="334"/>
      <c r="Z267" s="312"/>
      <c r="AA267" s="334"/>
      <c r="AB267" s="334"/>
      <c r="AC267" s="335"/>
      <c r="AD267" s="335"/>
      <c r="AE267" s="335"/>
      <c r="AF267" s="335"/>
    </row>
    <row r="268" spans="2:32" s="299" customFormat="1" ht="15.75" x14ac:dyDescent="0.25">
      <c r="B268" s="295"/>
      <c r="C268" s="314"/>
      <c r="D268" s="304"/>
      <c r="E268" s="304"/>
      <c r="F268" s="344" t="s">
        <v>2839</v>
      </c>
      <c r="G268" s="1553"/>
      <c r="H268" s="1553"/>
      <c r="I268" s="1553"/>
      <c r="J268" s="1553"/>
      <c r="K268" s="1553"/>
      <c r="L268" s="1553"/>
      <c r="M268" s="1556"/>
      <c r="N268" s="339"/>
      <c r="O268" s="686"/>
      <c r="P268" s="301"/>
      <c r="Q268" s="332"/>
      <c r="R268" s="332"/>
      <c r="S268" s="333"/>
      <c r="T268" s="334"/>
      <c r="U268" s="311"/>
      <c r="V268" s="334"/>
      <c r="W268" s="334"/>
      <c r="X268" s="312"/>
      <c r="Y268" s="334"/>
      <c r="Z268" s="312"/>
      <c r="AA268" s="334"/>
      <c r="AB268" s="334"/>
      <c r="AC268" s="335"/>
      <c r="AD268" s="335"/>
      <c r="AE268" s="335"/>
      <c r="AF268" s="335"/>
    </row>
    <row r="269" spans="2:32" s="299" customFormat="1" ht="17.25" x14ac:dyDescent="0.25">
      <c r="B269" s="295"/>
      <c r="C269" s="314"/>
      <c r="D269" s="304"/>
      <c r="E269" s="304"/>
      <c r="F269" s="346">
        <v>1</v>
      </c>
      <c r="G269" s="347">
        <v>4.5</v>
      </c>
      <c r="H269" s="347">
        <v>4.6900000000000004</v>
      </c>
      <c r="I269" s="347">
        <f t="shared" ref="I269:J271" si="272">H269*(1+$L$237)</f>
        <v>4.8832279999999999</v>
      </c>
      <c r="J269" s="1559">
        <f t="shared" si="272"/>
        <v>5.0844169935999997</v>
      </c>
      <c r="K269" s="1560"/>
      <c r="L269" s="347">
        <f>J269*(1+$L$237)</f>
        <v>5.293894973736319</v>
      </c>
      <c r="M269" s="348">
        <f>L269*(1+$L$237)</f>
        <v>5.5120034466542549</v>
      </c>
      <c r="N269" s="339"/>
      <c r="O269" s="686"/>
      <c r="P269" s="301"/>
      <c r="Q269" s="332"/>
      <c r="R269" s="332"/>
      <c r="S269" s="333"/>
      <c r="T269" s="334"/>
      <c r="U269" s="311"/>
      <c r="V269" s="334"/>
      <c r="W269" s="334"/>
      <c r="X269" s="312"/>
      <c r="Y269" s="334"/>
      <c r="Z269" s="312"/>
      <c r="AA269" s="334"/>
      <c r="AB269" s="334"/>
      <c r="AC269" s="335"/>
      <c r="AD269" s="335"/>
      <c r="AE269" s="335"/>
      <c r="AF269" s="335"/>
    </row>
    <row r="270" spans="2:32" s="299" customFormat="1" ht="17.25" x14ac:dyDescent="0.25">
      <c r="B270" s="295"/>
      <c r="C270" s="314"/>
      <c r="D270" s="304"/>
      <c r="E270" s="304"/>
      <c r="F270" s="346">
        <v>2</v>
      </c>
      <c r="G270" s="347">
        <v>5</v>
      </c>
      <c r="H270" s="347">
        <v>5.21</v>
      </c>
      <c r="I270" s="347">
        <f t="shared" si="272"/>
        <v>5.4246519999999991</v>
      </c>
      <c r="J270" s="1559">
        <f t="shared" si="272"/>
        <v>5.6481476623999987</v>
      </c>
      <c r="K270" s="1560"/>
      <c r="L270" s="347">
        <f>J270*(1+$L$237)</f>
        <v>5.8808513460908785</v>
      </c>
      <c r="M270" s="348">
        <f>L270*(1+$L$237)</f>
        <v>6.1231424215498222</v>
      </c>
      <c r="N270" s="339"/>
      <c r="O270" s="686"/>
      <c r="P270" s="301"/>
      <c r="Q270" s="332"/>
      <c r="R270" s="332"/>
      <c r="S270" s="333"/>
      <c r="T270" s="334"/>
      <c r="U270" s="311"/>
      <c r="V270" s="334"/>
      <c r="W270" s="334"/>
      <c r="X270" s="312"/>
      <c r="Y270" s="334"/>
      <c r="Z270" s="312"/>
      <c r="AA270" s="334"/>
      <c r="AB270" s="334"/>
      <c r="AC270" s="335"/>
      <c r="AD270" s="335"/>
      <c r="AE270" s="335"/>
      <c r="AF270" s="335"/>
    </row>
    <row r="271" spans="2:32" s="299" customFormat="1" ht="18" thickBot="1" x14ac:dyDescent="0.3">
      <c r="B271" s="295"/>
      <c r="C271" s="314"/>
      <c r="D271" s="304"/>
      <c r="E271" s="304"/>
      <c r="F271" s="349">
        <v>3</v>
      </c>
      <c r="G271" s="350">
        <v>5.5</v>
      </c>
      <c r="H271" s="347">
        <v>5.73</v>
      </c>
      <c r="I271" s="347">
        <f t="shared" si="272"/>
        <v>5.9660760000000002</v>
      </c>
      <c r="J271" s="1559">
        <f t="shared" si="272"/>
        <v>6.2118783311999994</v>
      </c>
      <c r="K271" s="1560"/>
      <c r="L271" s="347">
        <f>J271*(1+$L$237)</f>
        <v>6.4678077184454388</v>
      </c>
      <c r="M271" s="348">
        <f>L271*(1+$L$237)</f>
        <v>6.7342813964453905</v>
      </c>
      <c r="N271" s="339"/>
      <c r="O271" s="686"/>
      <c r="P271" s="301"/>
      <c r="Q271" s="332"/>
      <c r="R271" s="332"/>
      <c r="S271" s="333"/>
      <c r="T271" s="334"/>
      <c r="U271" s="311"/>
      <c r="V271" s="334"/>
      <c r="W271" s="334"/>
      <c r="X271" s="312"/>
      <c r="Y271" s="334"/>
      <c r="Z271" s="312"/>
      <c r="AA271" s="334"/>
      <c r="AB271" s="334"/>
      <c r="AC271" s="335"/>
      <c r="AD271" s="335"/>
      <c r="AE271" s="335"/>
      <c r="AF271" s="335"/>
    </row>
    <row r="272" spans="2:32" s="299" customFormat="1" ht="15.75" x14ac:dyDescent="0.25">
      <c r="B272" s="295"/>
      <c r="C272" s="314"/>
      <c r="D272" s="304"/>
      <c r="E272" s="304"/>
      <c r="F272" s="337"/>
      <c r="G272" s="339"/>
      <c r="H272" s="339"/>
      <c r="I272" s="339"/>
      <c r="J272" s="339"/>
      <c r="K272" s="339"/>
      <c r="L272" s="339"/>
      <c r="M272" s="339"/>
      <c r="N272" s="339"/>
      <c r="O272" s="686"/>
      <c r="P272" s="301"/>
      <c r="Q272" s="332"/>
      <c r="R272" s="332"/>
      <c r="S272" s="333"/>
      <c r="T272" s="334"/>
      <c r="U272" s="311"/>
      <c r="V272" s="334"/>
      <c r="W272" s="334"/>
      <c r="X272" s="312"/>
      <c r="Y272" s="334"/>
      <c r="Z272" s="312"/>
      <c r="AA272" s="334"/>
      <c r="AB272" s="334"/>
      <c r="AC272" s="335"/>
      <c r="AD272" s="335"/>
      <c r="AE272" s="335"/>
      <c r="AF272" s="335"/>
    </row>
    <row r="273" spans="2:32" s="299" customFormat="1" ht="15.75" x14ac:dyDescent="0.25">
      <c r="B273" s="295"/>
      <c r="C273" s="314"/>
      <c r="D273" s="304"/>
      <c r="E273" s="304"/>
      <c r="F273" s="337"/>
      <c r="G273" s="339"/>
      <c r="H273" s="339"/>
      <c r="I273" s="339"/>
      <c r="J273" s="339"/>
      <c r="K273" s="339"/>
      <c r="L273" s="339"/>
      <c r="M273" s="339"/>
      <c r="N273" s="339"/>
      <c r="O273" s="686"/>
      <c r="P273" s="301"/>
      <c r="Q273" s="332"/>
      <c r="R273" s="332"/>
      <c r="S273" s="333"/>
      <c r="T273" s="334"/>
      <c r="U273" s="311"/>
      <c r="V273" s="334"/>
      <c r="W273" s="334"/>
      <c r="X273" s="312"/>
      <c r="Y273" s="334"/>
      <c r="Z273" s="312"/>
      <c r="AA273" s="334"/>
      <c r="AB273" s="334"/>
      <c r="AC273" s="335"/>
      <c r="AD273" s="335"/>
      <c r="AE273" s="335"/>
      <c r="AF273" s="335"/>
    </row>
    <row r="274" spans="2:32" s="299" customFormat="1" x14ac:dyDescent="0.25">
      <c r="B274" s="295"/>
      <c r="C274" s="5" t="s">
        <v>7326</v>
      </c>
      <c r="D274" s="5" t="s">
        <v>7327</v>
      </c>
      <c r="F274" s="337"/>
      <c r="G274" s="5" t="s">
        <v>1574</v>
      </c>
      <c r="H274" s="339"/>
      <c r="I274" s="339"/>
      <c r="J274" s="339"/>
      <c r="K274" s="339"/>
      <c r="L274" s="339"/>
      <c r="M274" s="339"/>
      <c r="N274" s="339"/>
      <c r="O274" s="686"/>
      <c r="P274" s="301"/>
      <c r="Q274" s="332"/>
      <c r="R274" s="332"/>
      <c r="S274" s="333"/>
      <c r="T274" s="334"/>
      <c r="U274" s="311"/>
      <c r="V274" s="334"/>
      <c r="W274" s="334"/>
      <c r="X274" s="312"/>
      <c r="Y274" s="334"/>
      <c r="Z274" s="312"/>
      <c r="AA274" s="334"/>
      <c r="AB274" s="334"/>
      <c r="AC274" s="335"/>
      <c r="AD274" s="335"/>
      <c r="AE274" s="335"/>
      <c r="AF274" s="335"/>
    </row>
    <row r="275" spans="2:32" s="291" customFormat="1" ht="17.25" customHeight="1" x14ac:dyDescent="0.25">
      <c r="B275" s="295"/>
      <c r="C275" s="5" t="s">
        <v>7328</v>
      </c>
      <c r="D275" s="5" t="s">
        <v>7333</v>
      </c>
      <c r="F275" s="337"/>
      <c r="G275" s="585">
        <f>AB222</f>
        <v>695.43992848243033</v>
      </c>
      <c r="H275" s="1330"/>
      <c r="I275" s="1330"/>
      <c r="J275" s="1330"/>
      <c r="K275" s="1330"/>
      <c r="L275" s="1330"/>
      <c r="M275" s="1330"/>
      <c r="N275" s="1330"/>
      <c r="O275" s="686"/>
      <c r="P275" s="301"/>
      <c r="Q275" s="332"/>
      <c r="R275" s="332"/>
      <c r="S275" s="333"/>
      <c r="T275" s="334"/>
      <c r="U275" s="311"/>
      <c r="V275" s="334"/>
      <c r="W275" s="334"/>
      <c r="X275" s="312"/>
      <c r="Y275" s="334"/>
      <c r="Z275" s="312"/>
      <c r="AA275" s="334"/>
      <c r="AB275" s="334"/>
      <c r="AC275" s="335"/>
      <c r="AD275" s="335"/>
      <c r="AE275" s="335"/>
      <c r="AF275" s="335"/>
    </row>
    <row r="276" spans="2:32" s="299" customFormat="1" ht="15.75" x14ac:dyDescent="0.25">
      <c r="B276" s="295"/>
      <c r="D276" s="314"/>
      <c r="E276" s="1333"/>
      <c r="F276" s="677"/>
      <c r="G276" s="304"/>
      <c r="H276" s="305"/>
      <c r="I276" s="295"/>
      <c r="J276" s="295"/>
      <c r="K276" s="295"/>
      <c r="L276" s="306"/>
      <c r="M276" s="295"/>
      <c r="N276" s="1331"/>
      <c r="O276" s="684"/>
      <c r="P276" s="697"/>
      <c r="Q276" s="697"/>
      <c r="R276" s="697"/>
      <c r="S276" s="333"/>
      <c r="T276" s="334"/>
      <c r="U276" s="311"/>
      <c r="V276" s="334"/>
      <c r="W276" s="334"/>
      <c r="X276" s="312"/>
      <c r="Y276" s="334"/>
      <c r="Z276" s="312"/>
      <c r="AA276" s="334"/>
      <c r="AB276" s="334"/>
      <c r="AC276" s="335"/>
      <c r="AD276" s="335"/>
      <c r="AE276" s="335"/>
      <c r="AF276" s="335"/>
    </row>
    <row r="277" spans="2:32" s="299" customFormat="1" ht="15.75" x14ac:dyDescent="0.25">
      <c r="B277" s="295"/>
      <c r="C277" s="299" t="s">
        <v>4768</v>
      </c>
      <c r="D277" s="314"/>
      <c r="E277" s="1333"/>
      <c r="F277" s="678"/>
      <c r="G277" s="299" t="s">
        <v>7815</v>
      </c>
      <c r="H277" s="314"/>
      <c r="I277" s="1333"/>
      <c r="J277" s="295"/>
      <c r="K277" s="295"/>
      <c r="L277" s="306"/>
      <c r="M277" s="295"/>
      <c r="N277" s="1331"/>
      <c r="O277" s="684"/>
      <c r="P277" s="661"/>
      <c r="Q277" s="661"/>
      <c r="R277" s="661"/>
      <c r="S277" s="333"/>
      <c r="T277" s="334"/>
      <c r="U277" s="311"/>
      <c r="V277" s="334"/>
      <c r="W277" s="334"/>
      <c r="X277" s="312"/>
      <c r="Y277" s="334"/>
      <c r="Z277" s="312"/>
      <c r="AA277" s="334"/>
      <c r="AB277" s="334"/>
      <c r="AC277" s="335"/>
      <c r="AD277" s="335"/>
      <c r="AE277" s="335"/>
      <c r="AF277" s="335"/>
    </row>
    <row r="278" spans="2:32" s="299" customFormat="1" ht="15.75" x14ac:dyDescent="0.25">
      <c r="B278" s="295"/>
      <c r="C278" s="299" t="s">
        <v>7808</v>
      </c>
      <c r="D278" s="314"/>
      <c r="E278" s="1333"/>
      <c r="F278" s="304"/>
      <c r="G278" s="299" t="s">
        <v>7808</v>
      </c>
      <c r="H278" s="314"/>
      <c r="I278" s="1333"/>
      <c r="J278" s="295"/>
      <c r="K278" s="295"/>
      <c r="L278" s="306"/>
      <c r="M278" s="295"/>
      <c r="N278" s="1331"/>
      <c r="O278" s="684"/>
      <c r="P278" s="661"/>
      <c r="Q278" s="661"/>
      <c r="R278" s="661"/>
      <c r="S278" s="333"/>
      <c r="T278" s="334"/>
      <c r="U278" s="311"/>
      <c r="V278" s="334"/>
      <c r="W278" s="334"/>
      <c r="X278" s="312"/>
      <c r="Y278" s="334"/>
      <c r="Z278" s="312"/>
      <c r="AA278" s="334"/>
      <c r="AB278" s="334"/>
      <c r="AC278" s="335"/>
      <c r="AD278" s="335"/>
      <c r="AE278" s="335"/>
      <c r="AF278" s="335"/>
    </row>
    <row r="279" spans="2:32" s="299" customFormat="1" ht="15.75" x14ac:dyDescent="0.25">
      <c r="B279" s="295"/>
      <c r="D279" s="314"/>
      <c r="E279" s="1333"/>
      <c r="F279" s="304"/>
      <c r="H279" s="314"/>
      <c r="I279" s="1333"/>
      <c r="J279" s="295"/>
      <c r="K279" s="295"/>
      <c r="L279" s="306"/>
      <c r="M279" s="295"/>
      <c r="N279" s="1331"/>
      <c r="O279" s="684"/>
      <c r="P279" s="661"/>
      <c r="Q279" s="661"/>
      <c r="R279" s="661"/>
      <c r="S279" s="333"/>
      <c r="T279" s="334"/>
      <c r="U279" s="1549"/>
      <c r="V279" s="1549"/>
      <c r="W279" s="334"/>
      <c r="X279" s="312"/>
      <c r="Y279" s="334"/>
      <c r="Z279" s="312"/>
      <c r="AA279" s="334"/>
      <c r="AB279" s="334"/>
      <c r="AC279" s="335"/>
      <c r="AD279" s="335"/>
      <c r="AE279" s="335"/>
      <c r="AF279" s="335"/>
    </row>
    <row r="280" spans="2:32" s="299" customFormat="1" ht="15.75" x14ac:dyDescent="0.25">
      <c r="B280" s="295"/>
      <c r="D280" s="294" t="s">
        <v>7811</v>
      </c>
      <c r="E280" s="1333">
        <f>P121+P173+P174+P175+P176+P177</f>
        <v>6996.1256805332487</v>
      </c>
      <c r="F280" s="304"/>
      <c r="H280" s="294" t="s">
        <v>7811</v>
      </c>
      <c r="I280" s="1333">
        <v>0</v>
      </c>
      <c r="J280" s="295"/>
      <c r="K280" s="295"/>
      <c r="L280" s="306"/>
      <c r="M280" s="295"/>
      <c r="N280" s="1401"/>
      <c r="O280" s="684"/>
      <c r="P280" s="1402"/>
      <c r="Q280" s="1402"/>
      <c r="R280" s="1402"/>
      <c r="S280" s="333"/>
      <c r="T280" s="334"/>
      <c r="U280" s="1401"/>
      <c r="V280" s="1401"/>
      <c r="W280" s="334"/>
      <c r="X280" s="312"/>
      <c r="Y280" s="334"/>
      <c r="Z280" s="312"/>
      <c r="AA280" s="334"/>
      <c r="AB280" s="334"/>
      <c r="AC280" s="335"/>
      <c r="AD280" s="335"/>
      <c r="AE280" s="335"/>
      <c r="AF280" s="335"/>
    </row>
    <row r="281" spans="2:32" s="299" customFormat="1" ht="15.75" x14ac:dyDescent="0.25">
      <c r="B281" s="295"/>
      <c r="D281" s="294" t="s">
        <v>7812</v>
      </c>
      <c r="E281" s="1333">
        <f>Q121+Q173+Q174+Q175+Q176+Q177</f>
        <v>859.291383085608</v>
      </c>
      <c r="F281" s="304"/>
      <c r="H281" s="294" t="s">
        <v>7812</v>
      </c>
      <c r="I281" s="1333">
        <v>0</v>
      </c>
      <c r="J281" s="295"/>
      <c r="K281" s="295"/>
      <c r="L281" s="306"/>
      <c r="M281" s="295"/>
      <c r="N281" s="1401"/>
      <c r="O281" s="684"/>
      <c r="P281" s="1402"/>
      <c r="Q281" s="1402"/>
      <c r="R281" s="1402"/>
      <c r="S281" s="333"/>
      <c r="T281" s="334"/>
      <c r="U281" s="1401"/>
      <c r="V281" s="1401"/>
      <c r="W281" s="334"/>
      <c r="X281" s="312"/>
      <c r="Y281" s="334"/>
      <c r="Z281" s="312"/>
      <c r="AA281" s="334"/>
      <c r="AB281" s="334"/>
      <c r="AC281" s="335"/>
      <c r="AD281" s="335"/>
      <c r="AE281" s="335"/>
      <c r="AF281" s="335"/>
    </row>
    <row r="282" spans="2:32" s="299" customFormat="1" ht="15.75" x14ac:dyDescent="0.25">
      <c r="B282" s="295"/>
      <c r="D282" s="294" t="s">
        <v>2827</v>
      </c>
      <c r="E282" s="1333">
        <f>R121+R173+R174+R175+R176+R177</f>
        <v>1457.2421971685558</v>
      </c>
      <c r="F282" s="677"/>
      <c r="H282" s="294" t="s">
        <v>2827</v>
      </c>
      <c r="I282" s="1333">
        <v>0</v>
      </c>
      <c r="J282" s="295"/>
      <c r="K282" s="295"/>
      <c r="L282" s="306"/>
      <c r="M282" s="295"/>
      <c r="N282" s="1401"/>
      <c r="O282" s="684"/>
      <c r="P282" s="1402"/>
      <c r="Q282" s="1402"/>
      <c r="R282" s="1402"/>
      <c r="S282" s="333"/>
      <c r="T282" s="334"/>
      <c r="U282" s="1401"/>
      <c r="V282" s="1401"/>
      <c r="W282" s="334"/>
      <c r="X282" s="312"/>
      <c r="Y282" s="334"/>
      <c r="Z282" s="312"/>
      <c r="AA282" s="334"/>
      <c r="AB282" s="334"/>
      <c r="AC282" s="335"/>
      <c r="AD282" s="335"/>
      <c r="AE282" s="335"/>
      <c r="AF282" s="335"/>
    </row>
    <row r="283" spans="2:32" s="299" customFormat="1" ht="15.75" x14ac:dyDescent="0.25">
      <c r="B283" s="295"/>
      <c r="D283" s="314" t="s">
        <v>4519</v>
      </c>
      <c r="E283" s="1333">
        <f>AC121+AC173+AC174+AC175+AC176+AC177</f>
        <v>3104.2197535958044</v>
      </c>
      <c r="F283" s="304"/>
      <c r="H283" s="314" t="s">
        <v>4519</v>
      </c>
      <c r="I283" s="1333">
        <v>0</v>
      </c>
      <c r="J283" s="295"/>
      <c r="K283" s="295"/>
      <c r="L283" s="306"/>
      <c r="M283" s="295"/>
      <c r="N283" s="1331"/>
      <c r="O283" s="684"/>
      <c r="P283" s="661"/>
      <c r="Q283" s="661"/>
      <c r="R283" s="661"/>
      <c r="S283" s="333"/>
      <c r="T283" s="334"/>
      <c r="U283" s="311"/>
      <c r="V283" s="334"/>
      <c r="W283" s="334"/>
      <c r="X283" s="312"/>
      <c r="Y283" s="334"/>
      <c r="Z283" s="312"/>
      <c r="AA283" s="334"/>
      <c r="AB283" s="334"/>
      <c r="AC283" s="335"/>
      <c r="AD283" s="335"/>
      <c r="AE283" s="335"/>
      <c r="AF283" s="335"/>
    </row>
    <row r="284" spans="2:32" s="299" customFormat="1" ht="15.75" x14ac:dyDescent="0.25">
      <c r="B284" s="295"/>
      <c r="D284" s="314" t="s">
        <v>2736</v>
      </c>
      <c r="E284" s="1333">
        <f>AE121+AE173+AE174+AE175+AE176+AE177</f>
        <v>9312.6592607874136</v>
      </c>
      <c r="F284" s="304"/>
      <c r="H284" s="314" t="s">
        <v>2736</v>
      </c>
      <c r="I284" s="1333">
        <v>0</v>
      </c>
      <c r="J284" s="295"/>
      <c r="K284" s="295"/>
      <c r="L284" s="306"/>
      <c r="M284" s="295"/>
      <c r="N284" s="1331"/>
      <c r="O284" s="684"/>
      <c r="P284" s="661"/>
      <c r="Q284" s="661"/>
      <c r="R284" s="661"/>
      <c r="S284" s="333"/>
      <c r="T284" s="334"/>
      <c r="U284" s="311"/>
      <c r="V284" s="334"/>
      <c r="W284" s="334"/>
      <c r="X284" s="312"/>
      <c r="Y284" s="334"/>
      <c r="Z284" s="312"/>
      <c r="AA284" s="334"/>
      <c r="AB284" s="334"/>
      <c r="AC284" s="335"/>
      <c r="AD284" s="335"/>
      <c r="AE284" s="335"/>
      <c r="AF284" s="335"/>
    </row>
    <row r="285" spans="2:32" s="299" customFormat="1" ht="15.75" x14ac:dyDescent="0.25">
      <c r="B285" s="295"/>
      <c r="D285" s="314" t="s">
        <v>7809</v>
      </c>
      <c r="E285" s="1333">
        <f>Y121+Y173+Y174+Y175+Y176+Y177+AA121+AA173+AA174+AA175+AA176+AA177</f>
        <v>2025.2998390854684</v>
      </c>
      <c r="F285" s="677"/>
      <c r="H285" s="314" t="s">
        <v>7809</v>
      </c>
      <c r="I285" s="1333">
        <v>0</v>
      </c>
      <c r="J285" s="295"/>
      <c r="K285" s="295"/>
      <c r="L285" s="306"/>
      <c r="M285" s="295"/>
      <c r="N285" s="1331"/>
      <c r="O285" s="684"/>
      <c r="P285" s="1551"/>
      <c r="Q285" s="1551"/>
      <c r="R285" s="1551"/>
      <c r="S285" s="333"/>
      <c r="T285" s="334"/>
      <c r="U285" s="311"/>
      <c r="V285" s="334"/>
      <c r="W285" s="334"/>
      <c r="X285" s="312"/>
      <c r="Y285" s="334"/>
      <c r="Z285" s="312"/>
      <c r="AA285" s="334"/>
      <c r="AB285" s="334"/>
      <c r="AC285" s="335"/>
      <c r="AD285" s="335"/>
      <c r="AE285" s="335"/>
      <c r="AF285" s="335"/>
    </row>
    <row r="286" spans="2:32" s="299" customFormat="1" ht="15.75" x14ac:dyDescent="0.25">
      <c r="B286" s="295"/>
      <c r="D286" s="314"/>
      <c r="E286" s="1333"/>
      <c r="F286" s="677"/>
      <c r="H286" s="314"/>
      <c r="I286" s="1333"/>
      <c r="J286" s="295"/>
      <c r="K286" s="295"/>
      <c r="L286" s="306"/>
      <c r="M286" s="295"/>
      <c r="N286" s="1401"/>
      <c r="O286" s="684"/>
      <c r="P286" s="1402"/>
      <c r="Q286" s="1402"/>
      <c r="R286" s="1402"/>
      <c r="S286" s="333"/>
      <c r="T286" s="334"/>
      <c r="U286" s="311"/>
      <c r="V286" s="334"/>
      <c r="W286" s="334"/>
      <c r="X286" s="312"/>
      <c r="Y286" s="334"/>
      <c r="Z286" s="312"/>
      <c r="AA286" s="334"/>
      <c r="AB286" s="334"/>
      <c r="AC286" s="335"/>
      <c r="AD286" s="335"/>
      <c r="AE286" s="335"/>
      <c r="AF286" s="335"/>
    </row>
    <row r="287" spans="2:32" s="299" customFormat="1" ht="15.75" x14ac:dyDescent="0.25">
      <c r="B287" s="295"/>
      <c r="C287" s="299" t="s">
        <v>7810</v>
      </c>
      <c r="D287" s="314"/>
      <c r="E287" s="1333"/>
      <c r="F287" s="1334"/>
      <c r="G287" s="299" t="s">
        <v>7810</v>
      </c>
      <c r="H287" s="314"/>
      <c r="I287" s="1333"/>
      <c r="J287" s="1334"/>
      <c r="K287" s="1334"/>
      <c r="L287" s="1334"/>
      <c r="M287" s="1334"/>
      <c r="N287" s="1334"/>
      <c r="O287" s="685"/>
      <c r="P287" s="332"/>
      <c r="Q287" s="332"/>
      <c r="R287" s="332"/>
      <c r="S287" s="333"/>
      <c r="T287" s="334"/>
      <c r="U287" s="311"/>
      <c r="V287" s="334"/>
      <c r="W287" s="334"/>
      <c r="X287" s="312"/>
      <c r="Y287" s="334"/>
      <c r="Z287" s="312"/>
      <c r="AA287" s="334"/>
      <c r="AB287" s="334"/>
      <c r="AC287" s="335"/>
      <c r="AD287" s="335"/>
      <c r="AE287" s="335"/>
      <c r="AF287" s="335"/>
    </row>
    <row r="288" spans="2:32" x14ac:dyDescent="0.25">
      <c r="B288" s="294"/>
      <c r="C288" s="294"/>
      <c r="D288" s="294" t="s">
        <v>7811</v>
      </c>
      <c r="E288" s="313">
        <f>P124+P125+P126+P127+P128+P129+P130+P131+P132+P133+P134+P135+P136+P137+P138+P139+P140+P141+P142+P143+P144+P145+P146+P147+P148+P149+P180+P181+P182+P183+P184+P185+P186+P187+P188+P189+P190+P191+P192+P193+P194+P195+P196+P197+P198</f>
        <v>63097.264711210926</v>
      </c>
      <c r="F288" s="294"/>
      <c r="G288" s="294"/>
      <c r="H288" s="294" t="s">
        <v>7811</v>
      </c>
      <c r="I288" s="313">
        <f>P152+P153+P154+P155+P156+P201</f>
        <v>7253.4384540717474</v>
      </c>
      <c r="J288" s="294"/>
      <c r="L288" s="295"/>
      <c r="M288" s="294"/>
      <c r="S288" s="294"/>
      <c r="T288" s="299"/>
      <c r="U288" s="294"/>
      <c r="V288" s="299"/>
      <c r="W288" s="299"/>
      <c r="X288" s="294"/>
      <c r="Y288" s="299"/>
      <c r="Z288" s="294"/>
      <c r="AA288" s="299"/>
      <c r="AB288" s="299"/>
      <c r="AC288" s="294"/>
      <c r="AD288" s="294"/>
      <c r="AE288" s="294"/>
      <c r="AF288" s="294"/>
    </row>
    <row r="289" spans="2:32" x14ac:dyDescent="0.25">
      <c r="B289" s="294"/>
      <c r="C289" s="294"/>
      <c r="D289" s="294" t="s">
        <v>7812</v>
      </c>
      <c r="E289" s="313">
        <f>Q124+Q125+Q126+Q127+Q128+Q129+Q130+Q131+Q132+Q133+Q134+Q135+Q136+Q137+Q138+Q139+Q140+Q141+Q142+Q143+Q144+Q145+Q146+Q147+Q148+Q149+Q180+Q181+Q182+Q183+Q184+Q185+Q186+Q187+Q188+Q189+Q190+Q191+Q192+Q193+Q194+Q195+Q196+Q197+Q198</f>
        <v>9784.3021214728415</v>
      </c>
      <c r="F289" s="294"/>
      <c r="G289" s="294"/>
      <c r="H289" s="294" t="s">
        <v>7812</v>
      </c>
      <c r="I289" s="313">
        <f>Q152+Q153+Q154+Q155+Q156+Q201</f>
        <v>2338.2429209282518</v>
      </c>
      <c r="J289" s="294"/>
      <c r="L289" s="295"/>
      <c r="M289" s="294"/>
      <c r="S289" s="294"/>
      <c r="T289" s="299"/>
      <c r="U289" s="294"/>
      <c r="V289" s="299"/>
      <c r="W289" s="299"/>
      <c r="X289" s="294"/>
      <c r="Y289" s="299"/>
      <c r="Z289" s="294"/>
      <c r="AA289" s="299"/>
      <c r="AB289" s="299"/>
      <c r="AC289" s="294"/>
      <c r="AD289" s="294"/>
      <c r="AE289" s="294"/>
      <c r="AF289" s="294"/>
    </row>
    <row r="290" spans="2:32" x14ac:dyDescent="0.25">
      <c r="B290" s="294"/>
      <c r="C290" s="294"/>
      <c r="D290" s="294" t="s">
        <v>2827</v>
      </c>
      <c r="E290" s="313">
        <f>R124+R125+R126+R127+R128+R129+R130+R131+R132+R133+R134+R135+R136+R137+R138+R139+R140+R141+R142+R143+R144+R145+R146+R147+R148+R149+R180+R181+R182+R183+R184+R185+R186+R187+R188+R189+R190+R191+R192+R193+R194+R195+R196+R197+R198</f>
        <v>21787.465179606043</v>
      </c>
      <c r="F290" s="294"/>
      <c r="G290" s="294"/>
      <c r="H290" s="294" t="s">
        <v>2827</v>
      </c>
      <c r="I290" s="313">
        <f>R152+R153+R154+R155+R156+R201</f>
        <v>2077.8006249351811</v>
      </c>
      <c r="J290" s="294"/>
      <c r="L290" s="295"/>
      <c r="M290" s="294"/>
      <c r="S290" s="294"/>
      <c r="T290" s="299"/>
      <c r="U290" s="294"/>
      <c r="V290" s="299"/>
      <c r="W290" s="299"/>
      <c r="X290" s="294"/>
      <c r="Y290" s="299"/>
      <c r="Z290" s="294"/>
      <c r="AA290" s="299"/>
      <c r="AB290" s="299"/>
      <c r="AC290" s="294"/>
      <c r="AD290" s="294"/>
      <c r="AE290" s="294"/>
      <c r="AF290" s="294"/>
    </row>
    <row r="291" spans="2:32" x14ac:dyDescent="0.25">
      <c r="B291" s="294"/>
      <c r="C291" s="294"/>
      <c r="D291" s="294" t="s">
        <v>3411</v>
      </c>
      <c r="E291" s="313">
        <f>T124+T125+T126+T127+T128+T129+T130+T131+T132+T133+T134+T135+T136+T137+T138+T139+T140+T141+T142+T143+T144+T145+T146+T147+T148+T149+T180+T181+T182+T183+T184+T185+T186+T187+T188+T189+T190+T191+T192+T193+T194+T195+T196+T197+T198</f>
        <v>9239.0192841957487</v>
      </c>
      <c r="F291" s="294"/>
      <c r="G291" s="294"/>
      <c r="H291" s="294" t="s">
        <v>3411</v>
      </c>
      <c r="I291" s="313">
        <f>T152+T153+T154+T155+T156+T201</f>
        <v>705.18680914424999</v>
      </c>
      <c r="J291" s="294"/>
      <c r="L291" s="295"/>
      <c r="M291" s="294"/>
      <c r="S291" s="294"/>
      <c r="T291" s="299"/>
      <c r="U291" s="294"/>
      <c r="V291" s="299"/>
      <c r="W291" s="299"/>
      <c r="X291" s="294"/>
      <c r="Y291" s="299"/>
      <c r="Z291" s="294"/>
      <c r="AA291" s="299"/>
      <c r="AB291" s="299"/>
      <c r="AC291" s="294"/>
      <c r="AD291" s="294"/>
      <c r="AE291" s="294"/>
      <c r="AF291" s="294"/>
    </row>
    <row r="292" spans="2:32" x14ac:dyDescent="0.25">
      <c r="B292" s="294"/>
      <c r="C292" s="294"/>
      <c r="D292" s="294" t="s">
        <v>4847</v>
      </c>
      <c r="E292" s="313">
        <f>AD124+AD125+AD126+AD127+AD128+AD129+AD130+AD131+AD132+AD133+AD134+AD135+AD136+AD137+AD138+AD139+AD140+AD141+AD142+AD143+AD144+AD145+AD146+AD147+AD148+AD149+AD180+AD181+AD182+AD183+AD184+AD185+AD186+AD187+AD188+AD189+AD190+AD191+AD192+AD193+AD194+AD195+AD196+AD197+AD198</f>
        <v>4491.6821183572301</v>
      </c>
      <c r="F292" s="294"/>
      <c r="G292" s="294"/>
      <c r="H292" s="294" t="s">
        <v>4847</v>
      </c>
      <c r="I292" s="313">
        <f>AD152+AD153+AD154+AD155+AD156+AD201</f>
        <v>308.67796665621154</v>
      </c>
      <c r="J292" s="294"/>
      <c r="L292" s="295"/>
      <c r="M292" s="294"/>
      <c r="S292" s="294"/>
      <c r="T292" s="299"/>
      <c r="U292" s="294"/>
      <c r="V292" s="299"/>
      <c r="W292" s="299"/>
      <c r="X292" s="294"/>
      <c r="Y292" s="299"/>
      <c r="Z292" s="294"/>
      <c r="AA292" s="299"/>
      <c r="AB292" s="299"/>
      <c r="AC292" s="294"/>
      <c r="AD292" s="294"/>
      <c r="AE292" s="294"/>
      <c r="AF292" s="294"/>
    </row>
    <row r="293" spans="2:32" x14ac:dyDescent="0.25">
      <c r="B293" s="294"/>
      <c r="C293" s="294"/>
      <c r="D293" s="294" t="s">
        <v>5298</v>
      </c>
      <c r="E293" s="313">
        <f>AF124+AF125+AF126+AF127+AF128+AF129+AF130+AF131+AF132+AF133+AF134+AF135+AF136+AF137+AF138+AF139+AF140+AF141+AF142+AF143+AF144+AF145+AF146+AF147+AF148+AF149+AF180+AF181+AF182+AF183+AF184+AF185+AF186+AF187+AF188+AF189+AF190+AF191+AF192+AF193+AF194+AF195+AF196+AF197+AF198</f>
        <v>13475.046355071687</v>
      </c>
      <c r="F293" s="294"/>
      <c r="G293" s="294"/>
      <c r="H293" s="294" t="s">
        <v>5298</v>
      </c>
      <c r="I293" s="313">
        <f>AF152+AF153+AF154+AF155+AF156+AF201</f>
        <v>926.03389996863461</v>
      </c>
      <c r="J293" s="294"/>
      <c r="L293" s="295"/>
      <c r="M293" s="294"/>
      <c r="S293" s="294"/>
      <c r="T293" s="299"/>
      <c r="U293" s="294"/>
      <c r="V293" s="299"/>
      <c r="W293" s="299"/>
      <c r="X293" s="294"/>
      <c r="Y293" s="299"/>
      <c r="Z293" s="294"/>
      <c r="AA293" s="299"/>
      <c r="AB293" s="299"/>
      <c r="AC293" s="294"/>
      <c r="AD293" s="294"/>
      <c r="AE293" s="294"/>
      <c r="AF293" s="294"/>
    </row>
    <row r="294" spans="2:32" x14ac:dyDescent="0.25">
      <c r="B294" s="294"/>
      <c r="C294" s="294"/>
      <c r="D294" s="294" t="s">
        <v>7813</v>
      </c>
      <c r="E294" s="313">
        <f>U124+U125+U126+U127+U128+U129+U130+U131+U132+U133+U134+U135+U136+U137+U138+U139+U140+U141+U142+U143+U144+U145+U146+U147+U148+U149+U180+U181+U182+U183+U184+U185+U186+U187+U188+U189+U190+U191+U192+U193+U194+U195+U196+U197+U198</f>
        <v>2712.2357210814785</v>
      </c>
      <c r="F294" s="294"/>
      <c r="G294" s="294"/>
      <c r="H294" s="294" t="s">
        <v>7813</v>
      </c>
      <c r="I294" s="313">
        <f>U152+U153+U154+U155+U156+U201</f>
        <v>0</v>
      </c>
      <c r="J294" s="294"/>
      <c r="L294" s="295"/>
      <c r="M294" s="294"/>
      <c r="S294" s="294"/>
      <c r="T294" s="299"/>
      <c r="U294" s="294"/>
      <c r="V294" s="299"/>
      <c r="W294" s="299"/>
      <c r="X294" s="294"/>
      <c r="Y294" s="299"/>
      <c r="Z294" s="294"/>
      <c r="AA294" s="299"/>
      <c r="AB294" s="299"/>
      <c r="AC294" s="294"/>
      <c r="AD294" s="294"/>
      <c r="AE294" s="294"/>
      <c r="AF294" s="294"/>
    </row>
    <row r="295" spans="2:32" x14ac:dyDescent="0.25">
      <c r="B295" s="294"/>
      <c r="C295" s="294"/>
      <c r="D295" s="294" t="s">
        <v>7814</v>
      </c>
      <c r="E295" s="313">
        <f>V124+V125+V126+V127+V128+V129+V130+V131+V132+V133+V134+V135+V136+V137+V138+V139+V140+V141+V142+V143+V144+V145+V146+V147+V148+V149+V180+V181+V182+V183+V184+V185+V186+V187+V188+V189+V190+V191+V192+V193+V194+V195+V196+V197+V198</f>
        <v>11662.249956517975</v>
      </c>
      <c r="F295" s="294"/>
      <c r="G295" s="294"/>
      <c r="H295" s="294" t="s">
        <v>7814</v>
      </c>
      <c r="I295" s="313">
        <f>V152+V153+V154+V155+V156+V201</f>
        <v>1185.0296381340613</v>
      </c>
      <c r="J295" s="294"/>
      <c r="L295" s="295"/>
      <c r="M295" s="294"/>
      <c r="S295" s="294"/>
      <c r="T295" s="299"/>
      <c r="U295" s="294"/>
      <c r="V295" s="299"/>
      <c r="W295" s="299"/>
      <c r="X295" s="294"/>
      <c r="Y295" s="299"/>
      <c r="Z295" s="294"/>
      <c r="AA295" s="299"/>
      <c r="AB295" s="299"/>
      <c r="AC295" s="294"/>
      <c r="AD295" s="294"/>
      <c r="AE295" s="294"/>
      <c r="AF295" s="294"/>
    </row>
    <row r="296" spans="2:32" x14ac:dyDescent="0.25">
      <c r="B296" s="294"/>
      <c r="C296" s="294"/>
      <c r="D296" s="294" t="s">
        <v>3532</v>
      </c>
      <c r="E296" s="298">
        <f>21335.93+6396.62</f>
        <v>27732.55</v>
      </c>
      <c r="F296" s="294"/>
      <c r="G296" s="294"/>
      <c r="H296" s="294" t="s">
        <v>3532</v>
      </c>
      <c r="I296" s="298">
        <v>0</v>
      </c>
      <c r="J296" s="294"/>
      <c r="L296" s="295"/>
      <c r="M296" s="294"/>
      <c r="S296" s="294"/>
      <c r="T296" s="299"/>
      <c r="U296" s="294"/>
      <c r="V296" s="299"/>
      <c r="W296" s="299"/>
      <c r="X296" s="294"/>
      <c r="Y296" s="299"/>
      <c r="Z296" s="294"/>
      <c r="AA296" s="299"/>
      <c r="AB296" s="299"/>
      <c r="AC296" s="294"/>
      <c r="AD296" s="294"/>
      <c r="AE296" s="294"/>
      <c r="AF296" s="294"/>
    </row>
    <row r="297" spans="2:32" x14ac:dyDescent="0.25">
      <c r="B297" s="294"/>
      <c r="C297" s="294"/>
      <c r="D297" s="294" t="s">
        <v>2741</v>
      </c>
      <c r="E297" s="313">
        <f>Y124+Y125+Y126+Y127+Y128+Y129+Y130+Y131+Y132+Y133+Y134+Y135+Y136+Y137+Y138+Y139+Y140+Y141+Y142+Y143+Y144+Y145+Y146+Y147+Y148+Y149+Y180+Y181+Y182+Y183+Y184+Y185+Y186+Y187+Y188+Y189+Y190+Y191+Y192+Y193+Y194+Y195+Y196+Y197+Y198+AA124+AA125+AA126+AA127+AA128+AA129+AA130+AA131+AA132+AA133+AA134+AA135+AA136+AA137+AA138+AA139+AA140+AA141+AA142+AA143+AA144+AA145+AA146+AA147+AA148+AA149+AA180+AA181+AA182+AA183+AA184+AA185+AA186+AA187+AA188+AA189+AA190+AA191+AA192+AA193+AA194+AA195+AA196+AA197+AA198</f>
        <v>10172.576051211046</v>
      </c>
      <c r="F297" s="294"/>
      <c r="G297" s="294"/>
      <c r="H297" s="294" t="s">
        <v>2741</v>
      </c>
      <c r="I297" s="313">
        <f>Y152+Y153+Y154+Y155+Y156+Y201+AA152+AA153+AA154+AA155+AA156+AA201</f>
        <v>829.14316209568801</v>
      </c>
      <c r="J297" s="294"/>
      <c r="L297" s="295"/>
      <c r="M297" s="294"/>
      <c r="S297" s="294"/>
      <c r="T297" s="299"/>
      <c r="U297" s="294"/>
      <c r="V297" s="299"/>
      <c r="W297" s="299"/>
      <c r="X297" s="294"/>
      <c r="Y297" s="299"/>
      <c r="Z297" s="294"/>
      <c r="AA297" s="299"/>
      <c r="AB297" s="299"/>
      <c r="AC297" s="294"/>
      <c r="AD297" s="294"/>
      <c r="AE297" s="294"/>
      <c r="AF297" s="294"/>
    </row>
    <row r="298" spans="2:32" x14ac:dyDescent="0.25">
      <c r="B298" s="294"/>
      <c r="C298" s="294"/>
      <c r="D298" s="294" t="s">
        <v>4519</v>
      </c>
      <c r="E298" s="313">
        <f>AC124+AC125+AC126+AC127+AC128+AC129+AC130+AC131+AC132+AC133+AC134+AC135+AC136+AC137+AC138+AC139+AC140+AC141+AC142+AC143+AC144+AC145+AC146+AC147+AC148+AC149+AC180+AC181+AC182+AC183+AC184+AC185+AC186+AC187+AC188+AC189+AC190+AC191+AC192+AC193+AC194+AC195+AC196+AC197+AC198</f>
        <v>36386.37922996308</v>
      </c>
      <c r="F298" s="294"/>
      <c r="G298" s="294"/>
      <c r="H298" s="294" t="s">
        <v>4519</v>
      </c>
      <c r="I298" s="313">
        <f>AC152+AC153+AC154+AC155+AC156+AC201</f>
        <v>4284.8372126897466</v>
      </c>
      <c r="J298" s="294"/>
      <c r="L298" s="295"/>
      <c r="M298" s="294"/>
      <c r="S298" s="294"/>
      <c r="T298" s="299"/>
      <c r="U298" s="294"/>
      <c r="V298" s="299"/>
      <c r="W298" s="299"/>
      <c r="X298" s="294"/>
      <c r="Y298" s="299"/>
      <c r="Z298" s="294"/>
      <c r="AA298" s="299"/>
      <c r="AB298" s="299"/>
      <c r="AC298" s="294"/>
      <c r="AD298" s="294"/>
      <c r="AE298" s="294"/>
      <c r="AF298" s="294"/>
    </row>
    <row r="299" spans="2:32" x14ac:dyDescent="0.25">
      <c r="B299" s="294"/>
      <c r="C299" s="294"/>
      <c r="D299" s="294" t="s">
        <v>2736</v>
      </c>
      <c r="E299" s="313">
        <f>AE124+AE125+AE126+AE127+AE128+AE129+AE130+AE131+AE132+AE133+AE134+AE135+AE136+AE137+AE138+AE139+AE140+AE141+AE142+AE143+AE144+AE145+AE146+AE147+AE148+AE149+AE180+AE181+AE182+AE183+AE184+AE185+AE186+AE187+AE188+AE189+AE190+AE191+AE192+AE193+AE194+AE195+AE196+AE197+AE198</f>
        <v>109159.13768988922</v>
      </c>
      <c r="F299" s="294"/>
      <c r="G299" s="294"/>
      <c r="H299" s="294" t="s">
        <v>2736</v>
      </c>
      <c r="I299" s="313">
        <f>AE152+AE153+AE154+AE155+AE156+AE201</f>
        <v>12854.511638069242</v>
      </c>
      <c r="J299" s="294"/>
      <c r="L299" s="295"/>
      <c r="M299" s="294"/>
      <c r="S299" s="294"/>
      <c r="T299" s="299"/>
      <c r="U299" s="294"/>
      <c r="V299" s="299"/>
      <c r="W299" s="299"/>
      <c r="X299" s="294"/>
      <c r="Y299" s="299"/>
      <c r="Z299" s="294"/>
      <c r="AA299" s="299"/>
      <c r="AB299" s="299"/>
      <c r="AC299" s="294"/>
      <c r="AD299" s="294"/>
      <c r="AE299" s="294"/>
      <c r="AF299" s="294"/>
    </row>
    <row r="300" spans="2:32" x14ac:dyDescent="0.25">
      <c r="B300" s="294"/>
      <c r="C300" s="294"/>
      <c r="D300" s="294" t="s">
        <v>2783</v>
      </c>
      <c r="E300" s="313">
        <f>W124+W125+W126+W127+W128+W129+W130+W131+W132+W133+W134+W135+W136+W137+W138+W139+W140+W141+W142+W143+W144+W145+W146+W147+W148+W149+W180+W181+W182+W183+W184+W185+W186+W187+W188+W189+W190+W191+W192+W193+W194+W195+W196+W197+W198</f>
        <v>115.62</v>
      </c>
      <c r="F300" s="294"/>
      <c r="G300" s="294"/>
      <c r="H300" s="294" t="s">
        <v>2783</v>
      </c>
      <c r="I300" s="313">
        <f>W152+W153+W154+W155+W156+W201</f>
        <v>0</v>
      </c>
      <c r="J300" s="294"/>
      <c r="L300" s="295"/>
      <c r="M300" s="294"/>
      <c r="S300" s="294"/>
      <c r="T300" s="299"/>
      <c r="U300" s="294"/>
      <c r="V300" s="299"/>
      <c r="W300" s="299"/>
      <c r="X300" s="294"/>
      <c r="Y300" s="299"/>
      <c r="Z300" s="294"/>
      <c r="AA300" s="299"/>
      <c r="AB300" s="299"/>
      <c r="AC300" s="294"/>
      <c r="AD300" s="294"/>
      <c r="AE300" s="294"/>
      <c r="AF300" s="294"/>
    </row>
    <row r="301" spans="2:32" x14ac:dyDescent="0.25">
      <c r="B301" s="294"/>
      <c r="C301" s="294"/>
      <c r="D301" s="294"/>
      <c r="E301" s="294"/>
      <c r="F301" s="294"/>
      <c r="G301" s="294"/>
      <c r="H301" s="294"/>
      <c r="I301" s="294"/>
      <c r="J301" s="294"/>
      <c r="L301" s="295"/>
      <c r="M301" s="294"/>
      <c r="S301" s="294"/>
      <c r="T301" s="299"/>
      <c r="U301" s="294"/>
      <c r="V301" s="299"/>
      <c r="W301" s="299"/>
      <c r="X301" s="294"/>
      <c r="Y301" s="299"/>
      <c r="Z301" s="294"/>
      <c r="AA301" s="299"/>
      <c r="AB301" s="299"/>
      <c r="AC301" s="294"/>
      <c r="AD301" s="294"/>
      <c r="AE301" s="294"/>
      <c r="AF301" s="294"/>
    </row>
    <row r="302" spans="2:32" ht="15.75" x14ac:dyDescent="0.25">
      <c r="C302" s="299" t="s">
        <v>7817</v>
      </c>
      <c r="D302" s="314"/>
      <c r="E302" s="1333"/>
      <c r="F302" s="294"/>
      <c r="G302" s="294"/>
      <c r="H302" s="294"/>
      <c r="I302" s="294"/>
      <c r="J302" s="294"/>
      <c r="L302" s="295"/>
      <c r="M302" s="294"/>
      <c r="S302" s="294"/>
      <c r="T302" s="299"/>
      <c r="U302" s="294"/>
      <c r="V302" s="299"/>
      <c r="W302" s="299"/>
      <c r="X302" s="294"/>
      <c r="Y302" s="299"/>
      <c r="Z302" s="294"/>
      <c r="AA302" s="299"/>
      <c r="AB302" s="299"/>
      <c r="AC302" s="294"/>
      <c r="AD302" s="294"/>
      <c r="AE302" s="294"/>
      <c r="AF302" s="294"/>
    </row>
    <row r="303" spans="2:32" ht="15.75" x14ac:dyDescent="0.25">
      <c r="C303" s="299" t="s">
        <v>7808</v>
      </c>
      <c r="D303" s="314"/>
      <c r="E303" s="1333"/>
      <c r="F303" s="294"/>
      <c r="G303" s="294"/>
      <c r="H303" s="294"/>
      <c r="I303" s="294"/>
      <c r="J303" s="294"/>
      <c r="L303" s="295"/>
      <c r="M303" s="294"/>
      <c r="S303" s="294"/>
      <c r="T303" s="299"/>
      <c r="U303" s="294"/>
      <c r="V303" s="299"/>
      <c r="W303" s="299"/>
      <c r="X303" s="294"/>
      <c r="Y303" s="299"/>
      <c r="Z303" s="294"/>
      <c r="AA303" s="299"/>
      <c r="AB303" s="299"/>
      <c r="AC303" s="294"/>
      <c r="AD303" s="294"/>
      <c r="AE303" s="294"/>
      <c r="AF303" s="294"/>
    </row>
    <row r="304" spans="2:32" ht="15.75" x14ac:dyDescent="0.25">
      <c r="C304" s="299"/>
      <c r="D304" s="314"/>
      <c r="E304" s="1333"/>
      <c r="F304" s="294"/>
      <c r="G304" s="294"/>
      <c r="H304" s="294"/>
      <c r="I304" s="294"/>
      <c r="J304" s="294"/>
      <c r="L304" s="295"/>
      <c r="M304" s="294"/>
      <c r="S304" s="294"/>
      <c r="T304" s="299"/>
      <c r="U304" s="294"/>
      <c r="V304" s="299"/>
      <c r="W304" s="299"/>
      <c r="X304" s="294"/>
      <c r="Y304" s="299"/>
      <c r="Z304" s="294"/>
      <c r="AA304" s="299"/>
      <c r="AB304" s="299"/>
      <c r="AC304" s="294"/>
      <c r="AD304" s="294"/>
      <c r="AE304" s="294"/>
      <c r="AF304" s="294"/>
    </row>
    <row r="305" spans="3:32" ht="15.75" x14ac:dyDescent="0.25">
      <c r="C305" s="299"/>
      <c r="D305" s="294" t="s">
        <v>7811</v>
      </c>
      <c r="E305" s="1333">
        <v>0</v>
      </c>
      <c r="F305" s="294"/>
      <c r="G305" s="294"/>
      <c r="H305" s="294"/>
      <c r="I305" s="294"/>
      <c r="J305" s="294"/>
      <c r="L305" s="295"/>
      <c r="M305" s="294"/>
      <c r="S305" s="294"/>
      <c r="T305" s="299"/>
      <c r="U305" s="294"/>
      <c r="V305" s="299"/>
      <c r="W305" s="299"/>
      <c r="X305" s="294"/>
      <c r="Y305" s="299"/>
      <c r="Z305" s="294"/>
      <c r="AA305" s="299"/>
      <c r="AB305" s="299"/>
      <c r="AC305" s="294"/>
      <c r="AD305" s="294"/>
      <c r="AE305" s="294"/>
      <c r="AF305" s="294"/>
    </row>
    <row r="306" spans="3:32" ht="15.75" x14ac:dyDescent="0.25">
      <c r="C306" s="299"/>
      <c r="D306" s="294" t="s">
        <v>7812</v>
      </c>
      <c r="E306" s="1333">
        <v>0</v>
      </c>
      <c r="F306" s="294"/>
      <c r="G306" s="294"/>
      <c r="H306" s="294"/>
      <c r="I306" s="294"/>
      <c r="J306" s="294"/>
      <c r="L306" s="295"/>
      <c r="M306" s="294"/>
      <c r="S306" s="294"/>
      <c r="T306" s="299"/>
      <c r="U306" s="294"/>
      <c r="V306" s="299"/>
      <c r="W306" s="299"/>
      <c r="X306" s="294"/>
      <c r="Y306" s="299"/>
      <c r="Z306" s="294"/>
      <c r="AA306" s="299"/>
      <c r="AB306" s="299"/>
      <c r="AC306" s="294"/>
      <c r="AD306" s="294"/>
      <c r="AE306" s="294"/>
      <c r="AF306" s="294"/>
    </row>
    <row r="307" spans="3:32" ht="15.75" x14ac:dyDescent="0.25">
      <c r="C307" s="299"/>
      <c r="D307" s="294" t="s">
        <v>2827</v>
      </c>
      <c r="E307" s="1333">
        <v>0</v>
      </c>
      <c r="F307" s="294"/>
      <c r="G307" s="294"/>
      <c r="H307" s="294"/>
      <c r="I307" s="294"/>
      <c r="J307" s="294"/>
      <c r="L307" s="295"/>
      <c r="M307" s="294"/>
      <c r="S307" s="294"/>
      <c r="T307" s="299"/>
      <c r="U307" s="294"/>
      <c r="V307" s="299"/>
      <c r="W307" s="299"/>
      <c r="X307" s="294"/>
      <c r="Y307" s="299"/>
      <c r="Z307" s="294"/>
      <c r="AA307" s="299"/>
      <c r="AB307" s="299"/>
      <c r="AC307" s="294"/>
      <c r="AD307" s="294"/>
      <c r="AE307" s="294"/>
      <c r="AF307" s="294"/>
    </row>
    <row r="308" spans="3:32" ht="15.75" x14ac:dyDescent="0.25">
      <c r="C308" s="299"/>
      <c r="D308" s="314" t="s">
        <v>4519</v>
      </c>
      <c r="E308" s="1333">
        <v>0</v>
      </c>
      <c r="F308" s="294"/>
      <c r="G308" s="294"/>
      <c r="H308" s="294"/>
      <c r="I308" s="294"/>
      <c r="J308" s="294"/>
      <c r="L308" s="295"/>
      <c r="M308" s="294"/>
      <c r="S308" s="294"/>
      <c r="T308" s="299"/>
      <c r="U308" s="294"/>
      <c r="V308" s="299"/>
      <c r="W308" s="299"/>
      <c r="X308" s="294"/>
      <c r="Y308" s="299"/>
      <c r="Z308" s="294"/>
      <c r="AA308" s="299"/>
      <c r="AB308" s="299"/>
      <c r="AC308" s="294"/>
      <c r="AD308" s="294"/>
      <c r="AE308" s="294"/>
      <c r="AF308" s="294"/>
    </row>
    <row r="309" spans="3:32" ht="15.75" x14ac:dyDescent="0.25">
      <c r="C309" s="299"/>
      <c r="D309" s="314" t="s">
        <v>2736</v>
      </c>
      <c r="E309" s="1333">
        <v>0</v>
      </c>
      <c r="F309" s="294"/>
      <c r="G309" s="294"/>
      <c r="H309" s="294"/>
      <c r="I309" s="294"/>
      <c r="J309" s="294"/>
      <c r="L309" s="295"/>
      <c r="M309" s="294"/>
      <c r="S309" s="294"/>
      <c r="T309" s="299"/>
      <c r="U309" s="294"/>
      <c r="V309" s="299"/>
      <c r="W309" s="299"/>
      <c r="X309" s="294"/>
      <c r="Y309" s="299"/>
      <c r="Z309" s="294"/>
      <c r="AA309" s="299"/>
      <c r="AB309" s="299"/>
      <c r="AC309" s="294"/>
      <c r="AD309" s="294"/>
      <c r="AE309" s="294"/>
      <c r="AF309" s="294"/>
    </row>
    <row r="310" spans="3:32" ht="15.75" x14ac:dyDescent="0.25">
      <c r="C310" s="299"/>
      <c r="D310" s="314" t="s">
        <v>7809</v>
      </c>
      <c r="E310" s="1333">
        <v>0</v>
      </c>
      <c r="F310" s="294"/>
      <c r="G310" s="294"/>
      <c r="H310" s="294"/>
      <c r="I310" s="294"/>
      <c r="J310" s="294"/>
      <c r="L310" s="295"/>
      <c r="M310" s="294"/>
      <c r="S310" s="294"/>
      <c r="T310" s="299"/>
      <c r="U310" s="294"/>
      <c r="V310" s="299"/>
      <c r="W310" s="299"/>
      <c r="X310" s="294"/>
      <c r="Y310" s="299"/>
      <c r="Z310" s="294"/>
      <c r="AA310" s="299"/>
      <c r="AB310" s="299"/>
      <c r="AC310" s="294"/>
      <c r="AD310" s="294"/>
      <c r="AE310" s="294"/>
      <c r="AF310" s="294"/>
    </row>
    <row r="311" spans="3:32" ht="15.75" x14ac:dyDescent="0.25">
      <c r="C311" s="299"/>
      <c r="D311" s="314"/>
      <c r="E311" s="1333"/>
      <c r="F311" s="294"/>
      <c r="G311" s="294"/>
      <c r="H311" s="294"/>
      <c r="I311" s="294"/>
      <c r="J311" s="294"/>
      <c r="L311" s="295"/>
      <c r="M311" s="294"/>
      <c r="S311" s="294"/>
      <c r="T311" s="299"/>
      <c r="U311" s="294"/>
      <c r="V311" s="299"/>
      <c r="W311" s="299"/>
      <c r="X311" s="294"/>
      <c r="Y311" s="299"/>
      <c r="Z311" s="294"/>
      <c r="AA311" s="299"/>
      <c r="AB311" s="299"/>
      <c r="AC311" s="294"/>
      <c r="AD311" s="294"/>
      <c r="AE311" s="294"/>
      <c r="AF311" s="294"/>
    </row>
    <row r="312" spans="3:32" ht="15.75" x14ac:dyDescent="0.25">
      <c r="C312" s="299" t="s">
        <v>7810</v>
      </c>
      <c r="D312" s="314"/>
      <c r="E312" s="1333"/>
      <c r="F312" s="294"/>
      <c r="G312" s="294"/>
      <c r="H312" s="294"/>
      <c r="I312" s="294"/>
      <c r="J312" s="294"/>
      <c r="L312" s="295"/>
      <c r="M312" s="294"/>
      <c r="S312" s="294"/>
      <c r="T312" s="299"/>
      <c r="U312" s="294"/>
      <c r="V312" s="299"/>
      <c r="W312" s="299"/>
      <c r="X312" s="294"/>
      <c r="Y312" s="299"/>
      <c r="Z312" s="294"/>
      <c r="AA312" s="299"/>
      <c r="AB312" s="299"/>
      <c r="AC312" s="294"/>
      <c r="AD312" s="294"/>
      <c r="AE312" s="294"/>
      <c r="AF312" s="294"/>
    </row>
    <row r="313" spans="3:32" x14ac:dyDescent="0.25">
      <c r="C313" s="294"/>
      <c r="D313" s="294" t="s">
        <v>7811</v>
      </c>
      <c r="E313" s="313">
        <f>P162+P163+P164+P165+P166</f>
        <v>6022.509780657846</v>
      </c>
      <c r="F313" s="294"/>
      <c r="G313" s="294"/>
      <c r="H313" s="294"/>
      <c r="I313" s="294"/>
      <c r="J313" s="294"/>
      <c r="L313" s="295"/>
      <c r="M313" s="294"/>
      <c r="S313" s="294"/>
      <c r="T313" s="299"/>
      <c r="U313" s="294"/>
      <c r="V313" s="299"/>
      <c r="W313" s="299"/>
      <c r="X313" s="294"/>
      <c r="Y313" s="299"/>
      <c r="Z313" s="294"/>
      <c r="AA313" s="299"/>
      <c r="AB313" s="299"/>
      <c r="AC313" s="294"/>
      <c r="AD313" s="294"/>
      <c r="AE313" s="294"/>
      <c r="AF313" s="294"/>
    </row>
    <row r="314" spans="3:32" x14ac:dyDescent="0.25">
      <c r="C314" s="294"/>
      <c r="D314" s="294" t="s">
        <v>7812</v>
      </c>
      <c r="E314" s="313">
        <f>Q162+Q163+Q164+Q165+Q166</f>
        <v>1331.1126068421531</v>
      </c>
      <c r="F314" s="294"/>
      <c r="G314" s="294"/>
      <c r="H314" s="294"/>
      <c r="I314" s="294"/>
      <c r="J314" s="294"/>
      <c r="L314" s="295"/>
      <c r="M314" s="294"/>
      <c r="S314" s="294"/>
      <c r="T314" s="299"/>
      <c r="U314" s="294"/>
      <c r="V314" s="299"/>
      <c r="W314" s="299"/>
      <c r="X314" s="294"/>
      <c r="Y314" s="299"/>
      <c r="Z314" s="294"/>
      <c r="AA314" s="299"/>
      <c r="AB314" s="299"/>
      <c r="AC314" s="294"/>
      <c r="AD314" s="294"/>
      <c r="AE314" s="294"/>
      <c r="AF314" s="294"/>
    </row>
    <row r="315" spans="3:32" x14ac:dyDescent="0.25">
      <c r="C315" s="294"/>
      <c r="D315" s="294" t="s">
        <v>2827</v>
      </c>
      <c r="E315" s="313">
        <f>R162+R163+R164+R165+R166</f>
        <v>1937.4550570252691</v>
      </c>
      <c r="F315" s="294"/>
      <c r="G315" s="294"/>
      <c r="H315" s="294"/>
      <c r="I315" s="294"/>
      <c r="J315" s="294"/>
      <c r="L315" s="295"/>
      <c r="M315" s="294"/>
      <c r="S315" s="294"/>
      <c r="T315" s="299"/>
      <c r="U315" s="294"/>
      <c r="V315" s="299"/>
      <c r="W315" s="299"/>
      <c r="X315" s="294"/>
      <c r="Y315" s="299"/>
      <c r="Z315" s="294"/>
      <c r="AA315" s="299"/>
      <c r="AB315" s="299"/>
      <c r="AC315" s="294"/>
      <c r="AD315" s="294"/>
      <c r="AE315" s="294"/>
      <c r="AF315" s="294"/>
    </row>
    <row r="316" spans="3:32" x14ac:dyDescent="0.25">
      <c r="C316" s="294"/>
      <c r="D316" s="294" t="s">
        <v>3411</v>
      </c>
      <c r="E316" s="313">
        <f>O162+O163+O164+O165+O166</f>
        <v>7353.6223874999996</v>
      </c>
      <c r="F316" s="294"/>
      <c r="G316" s="294"/>
      <c r="H316" s="294"/>
      <c r="I316" s="294"/>
      <c r="J316" s="294"/>
      <c r="L316" s="295"/>
      <c r="M316" s="294"/>
      <c r="S316" s="294"/>
      <c r="T316" s="299"/>
      <c r="U316" s="294"/>
      <c r="V316" s="299"/>
      <c r="W316" s="299"/>
      <c r="X316" s="294"/>
      <c r="Y316" s="299"/>
      <c r="Z316" s="294"/>
      <c r="AA316" s="299"/>
      <c r="AB316" s="299"/>
      <c r="AC316" s="294"/>
      <c r="AD316" s="294"/>
      <c r="AE316" s="294"/>
      <c r="AF316" s="294"/>
    </row>
    <row r="317" spans="3:32" x14ac:dyDescent="0.25">
      <c r="C317" s="294"/>
      <c r="D317" s="294" t="s">
        <v>4847</v>
      </c>
      <c r="E317" s="313">
        <f>AD162+AD163+AD164+AD165+AD166</f>
        <v>502.64079897615125</v>
      </c>
      <c r="F317" s="294"/>
      <c r="G317" s="294"/>
      <c r="H317" s="294"/>
      <c r="I317" s="294"/>
      <c r="J317" s="294"/>
      <c r="L317" s="295"/>
      <c r="M317" s="294"/>
      <c r="S317" s="294"/>
      <c r="T317" s="299"/>
      <c r="U317" s="294"/>
      <c r="V317" s="299"/>
      <c r="W317" s="299"/>
      <c r="X317" s="294"/>
      <c r="Y317" s="299"/>
      <c r="Z317" s="294"/>
      <c r="AA317" s="299"/>
      <c r="AB317" s="299"/>
      <c r="AC317" s="294"/>
      <c r="AD317" s="294"/>
      <c r="AE317" s="294"/>
      <c r="AF317" s="294"/>
    </row>
    <row r="318" spans="3:32" x14ac:dyDescent="0.25">
      <c r="C318" s="294"/>
      <c r="D318" s="294" t="s">
        <v>5298</v>
      </c>
      <c r="E318" s="313">
        <f>AF162+AF163+AF164+AF165+AF166</f>
        <v>1507.9223969284535</v>
      </c>
      <c r="F318" s="294"/>
      <c r="G318" s="294"/>
      <c r="H318" s="294"/>
      <c r="I318" s="294"/>
      <c r="J318" s="294"/>
      <c r="L318" s="295"/>
      <c r="M318" s="294"/>
      <c r="S318" s="294"/>
      <c r="T318" s="299"/>
      <c r="U318" s="294"/>
      <c r="V318" s="299"/>
      <c r="W318" s="299"/>
      <c r="X318" s="294"/>
      <c r="Y318" s="299"/>
      <c r="Z318" s="294"/>
      <c r="AA318" s="299"/>
      <c r="AB318" s="299"/>
      <c r="AC318" s="294"/>
      <c r="AD318" s="294"/>
      <c r="AE318" s="294"/>
      <c r="AF318" s="294"/>
    </row>
    <row r="319" spans="3:32" x14ac:dyDescent="0.25">
      <c r="C319" s="294"/>
      <c r="D319" s="294" t="s">
        <v>7813</v>
      </c>
      <c r="E319" s="313">
        <f>U162+U163+U164+U165+U166</f>
        <v>0</v>
      </c>
      <c r="F319" s="294"/>
      <c r="G319" s="294"/>
      <c r="H319" s="294"/>
      <c r="I319" s="294"/>
      <c r="J319" s="294"/>
      <c r="L319" s="295"/>
      <c r="M319" s="294"/>
      <c r="S319" s="294"/>
      <c r="T319" s="299"/>
      <c r="U319" s="294"/>
      <c r="V319" s="299"/>
      <c r="W319" s="299"/>
      <c r="X319" s="294"/>
      <c r="Y319" s="299"/>
      <c r="Z319" s="294"/>
      <c r="AA319" s="299"/>
      <c r="AB319" s="299"/>
      <c r="AC319" s="294"/>
      <c r="AD319" s="294"/>
      <c r="AE319" s="294"/>
      <c r="AF319" s="294"/>
    </row>
    <row r="320" spans="3:32" x14ac:dyDescent="0.25">
      <c r="C320" s="294"/>
      <c r="D320" s="294" t="s">
        <v>7814</v>
      </c>
      <c r="E320" s="313">
        <f>V162+V163+V164+V165+V166</f>
        <v>0</v>
      </c>
      <c r="F320" s="294"/>
      <c r="G320" s="294"/>
      <c r="H320" s="294"/>
      <c r="I320" s="294"/>
      <c r="J320" s="294"/>
      <c r="L320" s="295"/>
      <c r="M320" s="294"/>
      <c r="S320" s="294"/>
      <c r="T320" s="299"/>
      <c r="U320" s="294"/>
      <c r="V320" s="299"/>
      <c r="W320" s="299"/>
      <c r="X320" s="294"/>
      <c r="Y320" s="299"/>
      <c r="Z320" s="294"/>
      <c r="AA320" s="299"/>
      <c r="AB320" s="299"/>
      <c r="AC320" s="294"/>
      <c r="AD320" s="294"/>
      <c r="AE320" s="294"/>
      <c r="AF320" s="294"/>
    </row>
    <row r="321" spans="2:32" x14ac:dyDescent="0.25">
      <c r="C321" s="294"/>
      <c r="D321" s="294" t="s">
        <v>3532</v>
      </c>
      <c r="E321" s="298">
        <v>0</v>
      </c>
      <c r="F321" s="294"/>
      <c r="G321" s="294"/>
      <c r="H321" s="294"/>
      <c r="I321" s="294"/>
      <c r="J321" s="294"/>
      <c r="L321" s="295"/>
      <c r="M321" s="294"/>
      <c r="S321" s="294"/>
      <c r="T321" s="299"/>
      <c r="U321" s="294"/>
      <c r="V321" s="299"/>
      <c r="W321" s="299"/>
      <c r="X321" s="294"/>
      <c r="Y321" s="299"/>
      <c r="Z321" s="294"/>
      <c r="AA321" s="299"/>
      <c r="AB321" s="299"/>
      <c r="AC321" s="294"/>
      <c r="AD321" s="294"/>
      <c r="AE321" s="294"/>
      <c r="AF321" s="294"/>
    </row>
    <row r="322" spans="2:32" x14ac:dyDescent="0.25">
      <c r="C322" s="294"/>
      <c r="D322" s="294" t="s">
        <v>2741</v>
      </c>
      <c r="E322" s="313">
        <f>Y162+Y163+Y164+Y165+Y166+AA162+AA163+AA164+AA165+AA166</f>
        <v>383.8</v>
      </c>
      <c r="F322" s="294"/>
      <c r="G322" s="294"/>
      <c r="H322" s="294"/>
      <c r="I322" s="294"/>
      <c r="J322" s="294"/>
      <c r="L322" s="295"/>
      <c r="M322" s="294"/>
      <c r="S322" s="294"/>
      <c r="T322" s="299"/>
      <c r="U322" s="294"/>
      <c r="V322" s="299"/>
      <c r="W322" s="299"/>
      <c r="X322" s="294"/>
      <c r="Y322" s="299"/>
      <c r="Z322" s="294"/>
      <c r="AA322" s="299"/>
      <c r="AB322" s="299"/>
      <c r="AC322" s="294"/>
      <c r="AD322" s="294"/>
      <c r="AE322" s="294"/>
      <c r="AF322" s="294"/>
    </row>
    <row r="323" spans="2:32" x14ac:dyDescent="0.25">
      <c r="C323" s="294"/>
      <c r="D323" s="294" t="s">
        <v>4519</v>
      </c>
      <c r="E323" s="313">
        <f>AC162+AC163+AC164+AC165+AC166</f>
        <v>3097.0258148417561</v>
      </c>
      <c r="F323" s="294"/>
      <c r="G323" s="294"/>
      <c r="H323" s="294"/>
      <c r="I323" s="294"/>
      <c r="J323" s="294"/>
      <c r="L323" s="295"/>
      <c r="M323" s="294"/>
      <c r="S323" s="294"/>
      <c r="T323" s="299"/>
      <c r="U323" s="294"/>
      <c r="V323" s="299"/>
      <c r="W323" s="299"/>
      <c r="X323" s="294"/>
      <c r="Y323" s="299"/>
      <c r="Z323" s="294"/>
      <c r="AA323" s="299"/>
      <c r="AB323" s="299"/>
      <c r="AC323" s="294"/>
      <c r="AD323" s="294"/>
      <c r="AE323" s="294"/>
      <c r="AF323" s="294"/>
    </row>
    <row r="324" spans="2:32" x14ac:dyDescent="0.25">
      <c r="C324" s="294"/>
      <c r="D324" s="294" t="s">
        <v>2736</v>
      </c>
      <c r="E324" s="313">
        <f>AE162+AE163+AE164+AE165+AE166</f>
        <v>9291.0774445252682</v>
      </c>
      <c r="F324" s="294"/>
      <c r="G324" s="294"/>
      <c r="H324" s="294"/>
      <c r="I324" s="294"/>
      <c r="J324" s="294"/>
      <c r="L324" s="295"/>
      <c r="M324" s="294"/>
      <c r="S324" s="294"/>
      <c r="T324" s="299"/>
      <c r="U324" s="294"/>
      <c r="V324" s="299"/>
      <c r="W324" s="299"/>
      <c r="X324" s="294"/>
      <c r="Y324" s="299"/>
      <c r="Z324" s="294"/>
      <c r="AA324" s="299"/>
      <c r="AB324" s="299"/>
      <c r="AC324" s="294"/>
      <c r="AD324" s="294"/>
      <c r="AE324" s="294"/>
      <c r="AF324" s="294"/>
    </row>
    <row r="325" spans="2:32" x14ac:dyDescent="0.25">
      <c r="C325" s="294"/>
      <c r="D325" s="294" t="s">
        <v>2783</v>
      </c>
      <c r="E325" s="313">
        <f>W162+W163+W164+W165+W166</f>
        <v>20.09</v>
      </c>
      <c r="F325" s="294"/>
      <c r="G325" s="294"/>
      <c r="H325" s="294"/>
      <c r="I325" s="294"/>
      <c r="J325" s="294"/>
      <c r="L325" s="295"/>
      <c r="M325" s="294"/>
      <c r="S325" s="294"/>
      <c r="T325" s="299"/>
      <c r="U325" s="294"/>
      <c r="V325" s="299"/>
      <c r="W325" s="299"/>
      <c r="X325" s="294"/>
      <c r="Y325" s="299"/>
      <c r="Z325" s="294"/>
      <c r="AA325" s="299"/>
      <c r="AB325" s="299"/>
      <c r="AC325" s="294"/>
      <c r="AD325" s="294"/>
      <c r="AE325" s="294"/>
      <c r="AF325" s="294"/>
    </row>
    <row r="326" spans="2:32" x14ac:dyDescent="0.25">
      <c r="B326" s="294"/>
      <c r="C326" s="294"/>
      <c r="D326" s="294"/>
      <c r="E326" s="294"/>
      <c r="F326" s="294"/>
      <c r="G326" s="294"/>
      <c r="H326" s="294"/>
      <c r="I326" s="294"/>
      <c r="J326" s="294"/>
      <c r="L326" s="295"/>
      <c r="M326" s="294"/>
      <c r="S326" s="294"/>
      <c r="T326" s="299"/>
      <c r="U326" s="294"/>
      <c r="V326" s="299"/>
      <c r="W326" s="299"/>
      <c r="X326" s="294"/>
      <c r="Y326" s="299"/>
      <c r="Z326" s="294"/>
      <c r="AA326" s="299"/>
      <c r="AB326" s="299"/>
      <c r="AC326" s="294"/>
      <c r="AD326" s="294"/>
      <c r="AE326" s="294"/>
      <c r="AF326" s="294"/>
    </row>
    <row r="327" spans="2:32" x14ac:dyDescent="0.25">
      <c r="B327" s="294"/>
      <c r="C327" s="294"/>
      <c r="D327" s="294"/>
      <c r="E327" s="294"/>
      <c r="F327" s="294"/>
      <c r="G327" s="294"/>
      <c r="H327" s="294"/>
      <c r="I327" s="294"/>
      <c r="J327" s="294"/>
      <c r="L327" s="295"/>
      <c r="M327" s="294"/>
      <c r="S327" s="294"/>
      <c r="T327" s="299"/>
      <c r="U327" s="294"/>
      <c r="V327" s="299"/>
      <c r="W327" s="299"/>
      <c r="X327" s="294"/>
      <c r="Y327" s="299"/>
      <c r="Z327" s="294"/>
      <c r="AA327" s="299"/>
      <c r="AB327" s="299"/>
      <c r="AC327" s="294"/>
      <c r="AD327" s="294"/>
      <c r="AE327" s="294"/>
      <c r="AF327" s="294"/>
    </row>
    <row r="328" spans="2:32" ht="15.75" x14ac:dyDescent="0.25">
      <c r="B328" s="294"/>
      <c r="C328" s="299" t="s">
        <v>7818</v>
      </c>
      <c r="D328" s="314"/>
      <c r="E328" s="1333"/>
      <c r="F328" s="294"/>
      <c r="G328" s="294"/>
      <c r="H328" s="294"/>
      <c r="I328" s="294"/>
      <c r="J328" s="294"/>
      <c r="L328" s="295"/>
      <c r="M328" s="294"/>
      <c r="S328" s="294"/>
      <c r="T328" s="299"/>
      <c r="U328" s="294"/>
      <c r="V328" s="299"/>
      <c r="W328" s="299"/>
      <c r="X328" s="294"/>
      <c r="Y328" s="299"/>
      <c r="Z328" s="294"/>
      <c r="AA328" s="299"/>
      <c r="AB328" s="299"/>
      <c r="AC328" s="294"/>
      <c r="AD328" s="294"/>
      <c r="AE328" s="294"/>
      <c r="AF328" s="294"/>
    </row>
    <row r="329" spans="2:32" ht="15.75" x14ac:dyDescent="0.25">
      <c r="B329" s="294"/>
      <c r="C329" s="299" t="s">
        <v>7808</v>
      </c>
      <c r="D329" s="314"/>
      <c r="E329" s="1333"/>
      <c r="F329" s="294"/>
      <c r="G329" s="294"/>
      <c r="H329" s="294"/>
      <c r="I329" s="294"/>
      <c r="J329" s="294"/>
      <c r="L329" s="295"/>
      <c r="M329" s="294"/>
      <c r="S329" s="294"/>
      <c r="T329" s="299"/>
      <c r="U329" s="294"/>
      <c r="V329" s="299"/>
      <c r="W329" s="299"/>
      <c r="X329" s="294"/>
      <c r="Y329" s="299"/>
      <c r="Z329" s="294"/>
      <c r="AA329" s="299"/>
      <c r="AB329" s="299"/>
      <c r="AC329" s="294"/>
      <c r="AD329" s="294"/>
      <c r="AE329" s="294"/>
      <c r="AF329" s="294"/>
    </row>
    <row r="330" spans="2:32" ht="15.75" x14ac:dyDescent="0.25">
      <c r="B330" s="294"/>
      <c r="C330" s="299"/>
      <c r="D330" s="314"/>
      <c r="E330" s="1333"/>
      <c r="F330" s="294"/>
      <c r="G330" s="294"/>
      <c r="H330" s="294"/>
      <c r="I330" s="294"/>
      <c r="J330" s="294"/>
      <c r="L330" s="295"/>
      <c r="M330" s="294"/>
      <c r="S330" s="294"/>
      <c r="T330" s="299"/>
      <c r="U330" s="294"/>
      <c r="V330" s="299"/>
      <c r="W330" s="299"/>
      <c r="X330" s="294"/>
      <c r="Y330" s="299"/>
      <c r="Z330" s="294"/>
      <c r="AA330" s="299"/>
      <c r="AB330" s="299"/>
      <c r="AC330" s="294"/>
      <c r="AD330" s="294"/>
      <c r="AE330" s="294"/>
      <c r="AF330" s="294"/>
    </row>
    <row r="331" spans="2:32" ht="15.75" x14ac:dyDescent="0.25">
      <c r="B331" s="294"/>
      <c r="C331" s="299"/>
      <c r="D331" s="294" t="s">
        <v>7811</v>
      </c>
      <c r="E331" s="1333">
        <v>0</v>
      </c>
      <c r="F331" s="294"/>
      <c r="G331" s="294"/>
      <c r="H331" s="294"/>
      <c r="I331" s="294"/>
      <c r="J331" s="294"/>
      <c r="L331" s="295"/>
      <c r="M331" s="294"/>
      <c r="S331" s="294"/>
      <c r="T331" s="299"/>
      <c r="U331" s="294"/>
      <c r="V331" s="299"/>
      <c r="W331" s="299"/>
      <c r="X331" s="294"/>
      <c r="Y331" s="299"/>
      <c r="Z331" s="294"/>
      <c r="AA331" s="299"/>
      <c r="AB331" s="299"/>
      <c r="AC331" s="294"/>
      <c r="AD331" s="294"/>
      <c r="AE331" s="294"/>
      <c r="AF331" s="294"/>
    </row>
    <row r="332" spans="2:32" ht="15.75" x14ac:dyDescent="0.25">
      <c r="B332" s="294"/>
      <c r="C332" s="299"/>
      <c r="D332" s="294" t="s">
        <v>7812</v>
      </c>
      <c r="E332" s="1333">
        <v>0</v>
      </c>
      <c r="F332" s="294"/>
      <c r="G332" s="294"/>
      <c r="H332" s="294"/>
      <c r="I332" s="294"/>
      <c r="J332" s="294"/>
      <c r="L332" s="295"/>
      <c r="M332" s="294"/>
      <c r="S332" s="294"/>
      <c r="T332" s="299"/>
      <c r="U332" s="294"/>
      <c r="V332" s="299"/>
      <c r="W332" s="299"/>
      <c r="X332" s="294"/>
      <c r="Y332" s="299"/>
      <c r="Z332" s="294"/>
      <c r="AA332" s="299"/>
      <c r="AB332" s="299"/>
      <c r="AC332" s="294"/>
      <c r="AD332" s="294"/>
      <c r="AE332" s="294"/>
      <c r="AF332" s="294"/>
    </row>
    <row r="333" spans="2:32" ht="15.75" x14ac:dyDescent="0.25">
      <c r="B333" s="294"/>
      <c r="C333" s="299"/>
      <c r="D333" s="294" t="s">
        <v>2827</v>
      </c>
      <c r="E333" s="1333">
        <v>0</v>
      </c>
      <c r="F333" s="294"/>
      <c r="G333" s="294"/>
      <c r="H333" s="294"/>
      <c r="I333" s="294"/>
      <c r="J333" s="294"/>
      <c r="L333" s="295"/>
      <c r="M333" s="294"/>
      <c r="S333" s="294"/>
      <c r="T333" s="299"/>
      <c r="U333" s="294"/>
      <c r="V333" s="299"/>
      <c r="W333" s="299"/>
      <c r="X333" s="294"/>
      <c r="Y333" s="299"/>
      <c r="Z333" s="294"/>
      <c r="AA333" s="299"/>
      <c r="AB333" s="299"/>
      <c r="AC333" s="294"/>
      <c r="AD333" s="294"/>
      <c r="AE333" s="294"/>
      <c r="AF333" s="294"/>
    </row>
    <row r="334" spans="2:32" ht="15.75" x14ac:dyDescent="0.25">
      <c r="B334" s="294"/>
      <c r="C334" s="299"/>
      <c r="D334" s="314" t="s">
        <v>4519</v>
      </c>
      <c r="E334" s="1333">
        <v>0</v>
      </c>
      <c r="F334" s="294"/>
      <c r="G334" s="294"/>
      <c r="H334" s="294"/>
      <c r="I334" s="294"/>
      <c r="J334" s="294"/>
      <c r="L334" s="295"/>
      <c r="M334" s="294"/>
      <c r="S334" s="294"/>
      <c r="T334" s="299"/>
      <c r="U334" s="294"/>
      <c r="V334" s="299"/>
      <c r="W334" s="299"/>
      <c r="X334" s="294"/>
      <c r="Y334" s="299"/>
      <c r="Z334" s="294"/>
      <c r="AA334" s="299"/>
      <c r="AB334" s="299"/>
      <c r="AC334" s="294"/>
      <c r="AD334" s="294"/>
      <c r="AE334" s="294"/>
      <c r="AF334" s="294"/>
    </row>
    <row r="335" spans="2:32" ht="15.75" x14ac:dyDescent="0.25">
      <c r="B335" s="294"/>
      <c r="C335" s="299"/>
      <c r="D335" s="314" t="s">
        <v>2736</v>
      </c>
      <c r="E335" s="1333">
        <v>0</v>
      </c>
      <c r="F335" s="294"/>
      <c r="G335" s="294"/>
      <c r="H335" s="294"/>
      <c r="I335" s="294"/>
      <c r="J335" s="294"/>
      <c r="L335" s="295"/>
      <c r="M335" s="294"/>
      <c r="S335" s="294"/>
      <c r="T335" s="299"/>
      <c r="U335" s="294"/>
      <c r="V335" s="299"/>
      <c r="W335" s="299"/>
      <c r="X335" s="294"/>
      <c r="Y335" s="299"/>
      <c r="Z335" s="294"/>
      <c r="AA335" s="299"/>
      <c r="AB335" s="299"/>
      <c r="AC335" s="294"/>
      <c r="AD335" s="294"/>
      <c r="AE335" s="294"/>
      <c r="AF335" s="294"/>
    </row>
    <row r="336" spans="2:32" ht="15.75" x14ac:dyDescent="0.25">
      <c r="B336" s="294"/>
      <c r="C336" s="299"/>
      <c r="D336" s="314" t="s">
        <v>7809</v>
      </c>
      <c r="E336" s="1333">
        <v>0</v>
      </c>
      <c r="F336" s="294"/>
      <c r="G336" s="294"/>
      <c r="H336" s="294"/>
      <c r="I336" s="294"/>
      <c r="J336" s="294"/>
      <c r="L336" s="295"/>
      <c r="M336" s="294"/>
      <c r="S336" s="294"/>
      <c r="T336" s="299"/>
      <c r="U336" s="294"/>
      <c r="V336" s="299"/>
      <c r="W336" s="299"/>
      <c r="X336" s="294"/>
      <c r="Y336" s="299"/>
      <c r="Z336" s="294"/>
      <c r="AA336" s="299"/>
      <c r="AB336" s="299"/>
      <c r="AC336" s="294"/>
      <c r="AD336" s="294"/>
      <c r="AE336" s="294"/>
      <c r="AF336" s="294"/>
    </row>
    <row r="337" spans="2:32" ht="15.75" x14ac:dyDescent="0.25">
      <c r="B337" s="294"/>
      <c r="C337" s="299"/>
      <c r="D337" s="314"/>
      <c r="E337" s="1333"/>
      <c r="F337" s="294"/>
      <c r="G337" s="294"/>
      <c r="H337" s="294"/>
      <c r="I337" s="294"/>
      <c r="J337" s="294"/>
      <c r="L337" s="295"/>
      <c r="M337" s="294"/>
      <c r="S337" s="294"/>
      <c r="T337" s="299"/>
      <c r="U337" s="294"/>
      <c r="V337" s="299"/>
      <c r="W337" s="299"/>
      <c r="X337" s="294"/>
      <c r="Y337" s="299"/>
      <c r="Z337" s="294"/>
      <c r="AA337" s="299"/>
      <c r="AB337" s="299"/>
      <c r="AC337" s="294"/>
      <c r="AD337" s="294"/>
      <c r="AE337" s="294"/>
      <c r="AF337" s="294"/>
    </row>
    <row r="338" spans="2:32" ht="15.75" x14ac:dyDescent="0.25">
      <c r="B338" s="294"/>
      <c r="C338" s="299" t="s">
        <v>7810</v>
      </c>
      <c r="D338" s="314"/>
      <c r="E338" s="1333"/>
      <c r="F338" s="294"/>
      <c r="G338" s="294"/>
      <c r="H338" s="294"/>
      <c r="I338" s="294"/>
      <c r="J338" s="294"/>
      <c r="L338" s="295"/>
      <c r="M338" s="294"/>
      <c r="S338" s="294"/>
      <c r="T338" s="299"/>
      <c r="U338" s="294"/>
      <c r="V338" s="299"/>
      <c r="W338" s="299"/>
      <c r="X338" s="294"/>
      <c r="Y338" s="299"/>
      <c r="Z338" s="294"/>
      <c r="AA338" s="299"/>
      <c r="AB338" s="299"/>
      <c r="AC338" s="294"/>
      <c r="AD338" s="294"/>
      <c r="AE338" s="294"/>
      <c r="AF338" s="294"/>
    </row>
    <row r="339" spans="2:32" x14ac:dyDescent="0.25">
      <c r="B339" s="294"/>
      <c r="C339" s="294"/>
      <c r="D339" s="294" t="s">
        <v>7811</v>
      </c>
      <c r="E339" s="313">
        <f>P159+P204</f>
        <v>2524.4469403912217</v>
      </c>
      <c r="F339" s="294"/>
      <c r="G339" s="294"/>
      <c r="H339" s="294"/>
      <c r="I339" s="294"/>
      <c r="J339" s="294"/>
      <c r="L339" s="295"/>
      <c r="M339" s="294"/>
      <c r="S339" s="294"/>
      <c r="T339" s="299"/>
      <c r="U339" s="294"/>
      <c r="V339" s="299"/>
      <c r="W339" s="299"/>
      <c r="X339" s="294"/>
      <c r="Y339" s="299"/>
      <c r="Z339" s="294"/>
      <c r="AA339" s="299"/>
      <c r="AB339" s="299"/>
      <c r="AC339" s="294"/>
      <c r="AD339" s="294"/>
      <c r="AE339" s="294"/>
      <c r="AF339" s="294"/>
    </row>
    <row r="340" spans="2:32" x14ac:dyDescent="0.25">
      <c r="B340" s="294"/>
      <c r="C340" s="294"/>
      <c r="D340" s="294" t="s">
        <v>7812</v>
      </c>
      <c r="E340" s="313">
        <f>Q159+Q204</f>
        <v>672.78018460877797</v>
      </c>
      <c r="F340" s="294"/>
      <c r="G340" s="294"/>
      <c r="H340" s="294"/>
      <c r="I340" s="294"/>
      <c r="J340" s="294"/>
      <c r="L340" s="295"/>
      <c r="M340" s="294"/>
      <c r="S340" s="294"/>
      <c r="T340" s="299"/>
      <c r="U340" s="294"/>
      <c r="V340" s="299"/>
      <c r="W340" s="299"/>
      <c r="X340" s="294"/>
      <c r="Y340" s="299"/>
      <c r="Z340" s="294"/>
      <c r="AA340" s="299"/>
      <c r="AB340" s="299"/>
      <c r="AC340" s="294"/>
      <c r="AD340" s="294"/>
      <c r="AE340" s="294"/>
      <c r="AF340" s="294"/>
    </row>
    <row r="341" spans="2:32" x14ac:dyDescent="0.25">
      <c r="B341" s="294"/>
      <c r="C341" s="294"/>
      <c r="D341" s="294" t="s">
        <v>2827</v>
      </c>
      <c r="E341" s="313">
        <f>R159+R204</f>
        <v>551.19408952029949</v>
      </c>
      <c r="F341" s="294"/>
      <c r="G341" s="294"/>
      <c r="H341" s="294"/>
      <c r="I341" s="294"/>
      <c r="J341" s="294"/>
      <c r="L341" s="295"/>
      <c r="M341" s="294"/>
      <c r="S341" s="294"/>
      <c r="T341" s="299"/>
      <c r="U341" s="294"/>
      <c r="V341" s="299"/>
      <c r="W341" s="299"/>
      <c r="X341" s="294"/>
      <c r="Y341" s="299"/>
      <c r="Z341" s="294"/>
      <c r="AA341" s="299"/>
      <c r="AB341" s="299"/>
      <c r="AC341" s="294"/>
      <c r="AD341" s="294"/>
      <c r="AE341" s="294"/>
      <c r="AF341" s="294"/>
    </row>
    <row r="342" spans="2:32" x14ac:dyDescent="0.25">
      <c r="B342" s="294"/>
      <c r="C342" s="294"/>
      <c r="D342" s="294" t="s">
        <v>3411</v>
      </c>
      <c r="E342" s="313">
        <f>O159+O204</f>
        <v>3197.2271249999999</v>
      </c>
      <c r="F342" s="294"/>
      <c r="G342" s="294"/>
      <c r="H342" s="294"/>
      <c r="I342" s="294"/>
      <c r="J342" s="294"/>
      <c r="L342" s="295"/>
      <c r="M342" s="294"/>
      <c r="S342" s="294"/>
      <c r="T342" s="299"/>
      <c r="U342" s="294"/>
      <c r="V342" s="299"/>
      <c r="W342" s="299"/>
      <c r="X342" s="294"/>
      <c r="Y342" s="299"/>
      <c r="Z342" s="294"/>
      <c r="AA342" s="299"/>
      <c r="AB342" s="299"/>
      <c r="AC342" s="294"/>
      <c r="AD342" s="294"/>
      <c r="AE342" s="294"/>
      <c r="AF342" s="294"/>
    </row>
    <row r="343" spans="2:32" x14ac:dyDescent="0.25">
      <c r="B343" s="294"/>
      <c r="C343" s="294"/>
      <c r="D343" s="294" t="s">
        <v>4847</v>
      </c>
      <c r="E343" s="313">
        <f>AD159+AD204</f>
        <v>62.473686908671652</v>
      </c>
      <c r="F343" s="294"/>
      <c r="G343" s="294"/>
      <c r="H343" s="294"/>
      <c r="I343" s="294"/>
      <c r="J343" s="294"/>
      <c r="L343" s="295"/>
      <c r="M343" s="294"/>
      <c r="S343" s="294"/>
      <c r="T343" s="299"/>
      <c r="U343" s="294"/>
      <c r="V343" s="299"/>
      <c r="W343" s="299"/>
      <c r="X343" s="294"/>
      <c r="Y343" s="299"/>
      <c r="Z343" s="294"/>
      <c r="AA343" s="299"/>
      <c r="AB343" s="299"/>
      <c r="AC343" s="294"/>
      <c r="AD343" s="294"/>
      <c r="AE343" s="294"/>
      <c r="AF343" s="294"/>
    </row>
    <row r="344" spans="2:32" x14ac:dyDescent="0.25">
      <c r="B344" s="294"/>
      <c r="C344" s="294"/>
      <c r="D344" s="294" t="s">
        <v>5298</v>
      </c>
      <c r="E344" s="313">
        <f>AF159+AF204</f>
        <v>187.42106072601499</v>
      </c>
      <c r="F344" s="294"/>
      <c r="G344" s="294"/>
      <c r="H344" s="294"/>
      <c r="I344" s="294"/>
      <c r="J344" s="294"/>
      <c r="L344" s="295"/>
      <c r="M344" s="294"/>
      <c r="S344" s="294"/>
      <c r="T344" s="299"/>
      <c r="U344" s="294"/>
      <c r="V344" s="299"/>
      <c r="W344" s="299"/>
      <c r="X344" s="294"/>
      <c r="Y344" s="299"/>
      <c r="Z344" s="294"/>
      <c r="AA344" s="299"/>
      <c r="AB344" s="299"/>
      <c r="AC344" s="294"/>
      <c r="AD344" s="294"/>
      <c r="AE344" s="294"/>
      <c r="AF344" s="294"/>
    </row>
    <row r="345" spans="2:32" x14ac:dyDescent="0.25">
      <c r="B345" s="294"/>
      <c r="C345" s="294"/>
      <c r="D345" s="294" t="s">
        <v>7813</v>
      </c>
      <c r="E345" s="313">
        <f>U159+U204</f>
        <v>0</v>
      </c>
      <c r="F345" s="294"/>
      <c r="G345" s="294"/>
      <c r="H345" s="294"/>
      <c r="I345" s="294"/>
      <c r="J345" s="294"/>
      <c r="L345" s="295"/>
      <c r="M345" s="294"/>
      <c r="S345" s="294"/>
      <c r="T345" s="299"/>
      <c r="U345" s="294"/>
      <c r="V345" s="299"/>
      <c r="W345" s="299"/>
      <c r="X345" s="294"/>
      <c r="Y345" s="299"/>
      <c r="Z345" s="294"/>
      <c r="AA345" s="299"/>
      <c r="AB345" s="299"/>
      <c r="AC345" s="294"/>
      <c r="AD345" s="294"/>
      <c r="AE345" s="294"/>
      <c r="AF345" s="294"/>
    </row>
    <row r="346" spans="2:32" x14ac:dyDescent="0.25">
      <c r="B346" s="294"/>
      <c r="C346" s="294"/>
      <c r="D346" s="294" t="s">
        <v>7814</v>
      </c>
      <c r="E346" s="313">
        <f>V159+V204</f>
        <v>0</v>
      </c>
      <c r="F346" s="294"/>
      <c r="G346" s="294"/>
      <c r="H346" s="294"/>
      <c r="I346" s="294"/>
      <c r="J346" s="294"/>
      <c r="L346" s="295"/>
      <c r="M346" s="294"/>
      <c r="S346" s="294"/>
      <c r="T346" s="299"/>
      <c r="U346" s="294"/>
      <c r="V346" s="299"/>
      <c r="W346" s="299"/>
      <c r="X346" s="294"/>
      <c r="Y346" s="299"/>
      <c r="Z346" s="294"/>
      <c r="AA346" s="299"/>
      <c r="AB346" s="299"/>
      <c r="AC346" s="294"/>
      <c r="AD346" s="294"/>
      <c r="AE346" s="294"/>
      <c r="AF346" s="294"/>
    </row>
    <row r="347" spans="2:32" x14ac:dyDescent="0.25">
      <c r="B347" s="294"/>
      <c r="C347" s="294"/>
      <c r="D347" s="294" t="s">
        <v>3532</v>
      </c>
      <c r="E347" s="298">
        <v>0</v>
      </c>
      <c r="F347" s="294"/>
      <c r="G347" s="294"/>
      <c r="H347" s="294"/>
      <c r="I347" s="294"/>
      <c r="J347" s="294"/>
      <c r="L347" s="295"/>
      <c r="M347" s="294"/>
      <c r="S347" s="294"/>
      <c r="T347" s="299"/>
      <c r="U347" s="294"/>
      <c r="V347" s="299"/>
      <c r="W347" s="299"/>
      <c r="X347" s="294"/>
      <c r="Y347" s="299"/>
      <c r="Z347" s="294"/>
      <c r="AA347" s="299"/>
      <c r="AB347" s="299"/>
      <c r="AC347" s="294"/>
      <c r="AD347" s="294"/>
      <c r="AE347" s="294"/>
      <c r="AF347" s="294"/>
    </row>
    <row r="348" spans="2:32" x14ac:dyDescent="0.25">
      <c r="B348" s="294"/>
      <c r="C348" s="294"/>
      <c r="D348" s="294" t="s">
        <v>2741</v>
      </c>
      <c r="E348" s="313">
        <f>Y159+Y204+AA159+AA204</f>
        <v>548.5298793780205</v>
      </c>
      <c r="F348" s="294"/>
      <c r="G348" s="294"/>
      <c r="H348" s="294"/>
      <c r="I348" s="294"/>
      <c r="J348" s="294"/>
      <c r="L348" s="295"/>
      <c r="M348" s="294"/>
      <c r="S348" s="294"/>
      <c r="T348" s="299"/>
      <c r="U348" s="294"/>
      <c r="V348" s="299"/>
      <c r="W348" s="299"/>
      <c r="X348" s="294"/>
      <c r="Y348" s="299"/>
      <c r="Z348" s="294"/>
      <c r="AA348" s="299"/>
      <c r="AB348" s="299"/>
      <c r="AC348" s="294"/>
      <c r="AD348" s="294"/>
      <c r="AE348" s="294"/>
      <c r="AF348" s="294"/>
    </row>
    <row r="349" spans="2:32" x14ac:dyDescent="0.25">
      <c r="B349" s="294"/>
      <c r="C349" s="294"/>
      <c r="D349" s="294" t="s">
        <v>4519</v>
      </c>
      <c r="E349" s="313">
        <f>AC159+AC204</f>
        <v>1249.473738173433</v>
      </c>
      <c r="F349" s="294"/>
      <c r="G349" s="294"/>
      <c r="H349" s="294"/>
      <c r="I349" s="294"/>
      <c r="J349" s="294"/>
      <c r="L349" s="295"/>
      <c r="M349" s="294"/>
      <c r="S349" s="294"/>
      <c r="T349" s="299"/>
      <c r="U349" s="294"/>
      <c r="V349" s="299"/>
      <c r="W349" s="299"/>
      <c r="X349" s="294"/>
      <c r="Y349" s="299"/>
      <c r="Z349" s="294"/>
      <c r="AA349" s="299"/>
      <c r="AB349" s="299"/>
      <c r="AC349" s="294"/>
      <c r="AD349" s="294"/>
      <c r="AE349" s="294"/>
      <c r="AF349" s="294"/>
    </row>
    <row r="350" spans="2:32" x14ac:dyDescent="0.25">
      <c r="B350" s="294"/>
      <c r="C350" s="294"/>
      <c r="D350" s="294" t="s">
        <v>2736</v>
      </c>
      <c r="E350" s="313">
        <f>AE159+AE204</f>
        <v>3748.4212145202991</v>
      </c>
      <c r="F350" s="294"/>
      <c r="G350" s="294"/>
      <c r="H350" s="294"/>
      <c r="I350" s="294"/>
      <c r="J350" s="294"/>
      <c r="L350" s="295"/>
      <c r="M350" s="294"/>
      <c r="S350" s="294"/>
      <c r="T350" s="299"/>
      <c r="U350" s="294"/>
      <c r="V350" s="299"/>
      <c r="W350" s="299"/>
      <c r="X350" s="294"/>
      <c r="Y350" s="299"/>
      <c r="Z350" s="294"/>
      <c r="AA350" s="299"/>
      <c r="AB350" s="299"/>
      <c r="AC350" s="294"/>
      <c r="AD350" s="294"/>
      <c r="AE350" s="294"/>
      <c r="AF350" s="294"/>
    </row>
    <row r="351" spans="2:32" x14ac:dyDescent="0.25">
      <c r="B351" s="294"/>
      <c r="C351" s="294"/>
      <c r="D351" s="294" t="s">
        <v>2783</v>
      </c>
      <c r="E351" s="313">
        <f>W159+W204</f>
        <v>0</v>
      </c>
      <c r="F351" s="294"/>
      <c r="G351" s="294"/>
      <c r="H351" s="294"/>
      <c r="I351" s="294"/>
      <c r="J351" s="294"/>
      <c r="L351" s="295"/>
      <c r="M351" s="294"/>
      <c r="S351" s="294"/>
      <c r="T351" s="299"/>
      <c r="U351" s="294"/>
      <c r="V351" s="299"/>
      <c r="W351" s="299"/>
      <c r="X351" s="294"/>
      <c r="Y351" s="299"/>
      <c r="Z351" s="294"/>
      <c r="AA351" s="299"/>
      <c r="AB351" s="299"/>
      <c r="AC351" s="294"/>
      <c r="AD351" s="294"/>
      <c r="AE351" s="294"/>
      <c r="AF351" s="294"/>
    </row>
    <row r="352" spans="2:32" x14ac:dyDescent="0.25">
      <c r="B352" s="294"/>
      <c r="C352" s="294"/>
      <c r="D352" s="294"/>
      <c r="E352" s="294"/>
      <c r="F352" s="294"/>
      <c r="G352" s="294"/>
      <c r="H352" s="294"/>
      <c r="I352" s="294"/>
      <c r="J352" s="294"/>
      <c r="L352" s="295"/>
      <c r="M352" s="294"/>
      <c r="S352" s="294"/>
      <c r="T352" s="299"/>
      <c r="U352" s="294"/>
      <c r="V352" s="299"/>
      <c r="W352" s="299"/>
      <c r="X352" s="294"/>
      <c r="Y352" s="299"/>
      <c r="Z352" s="294"/>
      <c r="AA352" s="299"/>
      <c r="AB352" s="299"/>
      <c r="AC352" s="294"/>
      <c r="AD352" s="294"/>
      <c r="AE352" s="294"/>
      <c r="AF352" s="294"/>
    </row>
    <row r="353" spans="2:32" x14ac:dyDescent="0.25">
      <c r="B353" s="294"/>
      <c r="C353" s="294"/>
      <c r="D353" s="294"/>
      <c r="E353" s="294"/>
      <c r="F353" s="294"/>
      <c r="G353" s="294"/>
      <c r="H353" s="294"/>
      <c r="I353" s="294"/>
      <c r="J353" s="294"/>
      <c r="L353" s="295"/>
      <c r="M353" s="294"/>
      <c r="S353" s="294"/>
      <c r="T353" s="299"/>
      <c r="U353" s="294"/>
      <c r="V353" s="299"/>
      <c r="W353" s="299"/>
      <c r="X353" s="294"/>
      <c r="Y353" s="299"/>
      <c r="Z353" s="294"/>
      <c r="AA353" s="299"/>
      <c r="AB353" s="299"/>
      <c r="AC353" s="294"/>
      <c r="AD353" s="294"/>
      <c r="AE353" s="294"/>
      <c r="AF353" s="294"/>
    </row>
    <row r="354" spans="2:32" ht="15.75" x14ac:dyDescent="0.25">
      <c r="B354" s="294"/>
      <c r="C354" s="299" t="s">
        <v>7828</v>
      </c>
      <c r="D354" s="314"/>
      <c r="E354" s="1333"/>
      <c r="F354" s="294"/>
      <c r="G354" s="294"/>
      <c r="H354" s="294"/>
      <c r="I354" s="294"/>
      <c r="J354" s="294"/>
      <c r="L354" s="295"/>
      <c r="M354" s="294"/>
      <c r="S354" s="294"/>
      <c r="T354" s="299"/>
      <c r="U354" s="294"/>
      <c r="V354" s="299"/>
      <c r="W354" s="299"/>
      <c r="X354" s="294"/>
      <c r="Y354" s="299"/>
      <c r="Z354" s="294"/>
      <c r="AA354" s="299"/>
      <c r="AB354" s="299"/>
      <c r="AC354" s="294"/>
      <c r="AD354" s="294"/>
      <c r="AE354" s="294"/>
      <c r="AF354" s="294"/>
    </row>
    <row r="355" spans="2:32" ht="15.75" x14ac:dyDescent="0.25">
      <c r="B355" s="294"/>
      <c r="C355" s="299" t="s">
        <v>7808</v>
      </c>
      <c r="D355" s="314"/>
      <c r="E355" s="1333"/>
      <c r="F355" s="294"/>
      <c r="G355" s="294"/>
      <c r="H355" s="294"/>
      <c r="I355" s="294"/>
      <c r="J355" s="294"/>
      <c r="L355" s="295"/>
      <c r="M355" s="294"/>
      <c r="S355" s="294"/>
      <c r="T355" s="299"/>
      <c r="U355" s="294"/>
      <c r="V355" s="299"/>
      <c r="W355" s="299"/>
      <c r="X355" s="294"/>
      <c r="Y355" s="299"/>
      <c r="Z355" s="294"/>
      <c r="AA355" s="299"/>
      <c r="AB355" s="299"/>
      <c r="AC355" s="294"/>
      <c r="AD355" s="294"/>
      <c r="AE355" s="294"/>
      <c r="AF355" s="294"/>
    </row>
    <row r="356" spans="2:32" ht="15.75" x14ac:dyDescent="0.25">
      <c r="B356" s="294"/>
      <c r="C356" s="299"/>
      <c r="D356" s="314"/>
      <c r="E356" s="1333"/>
      <c r="F356" s="294"/>
      <c r="G356" s="294"/>
      <c r="H356" s="294"/>
      <c r="I356" s="294"/>
      <c r="J356" s="294"/>
      <c r="L356" s="295"/>
      <c r="M356" s="294"/>
      <c r="S356" s="294"/>
      <c r="T356" s="299"/>
      <c r="U356" s="294"/>
      <c r="V356" s="299"/>
      <c r="W356" s="299"/>
      <c r="X356" s="294"/>
      <c r="Y356" s="299"/>
      <c r="Z356" s="294"/>
      <c r="AA356" s="299"/>
      <c r="AB356" s="299"/>
      <c r="AC356" s="294"/>
      <c r="AD356" s="294"/>
      <c r="AE356" s="294"/>
      <c r="AF356" s="294"/>
    </row>
    <row r="357" spans="2:32" ht="15.75" x14ac:dyDescent="0.25">
      <c r="B357" s="294"/>
      <c r="C357" s="299"/>
      <c r="D357" s="294" t="s">
        <v>7811</v>
      </c>
      <c r="E357" s="1333">
        <v>0</v>
      </c>
      <c r="F357" s="294"/>
      <c r="G357" s="294"/>
      <c r="H357" s="294"/>
      <c r="I357" s="294"/>
      <c r="J357" s="294"/>
      <c r="L357" s="295"/>
      <c r="M357" s="294"/>
      <c r="S357" s="294"/>
      <c r="T357" s="299"/>
      <c r="U357" s="294"/>
      <c r="V357" s="299"/>
      <c r="W357" s="299"/>
      <c r="X357" s="294"/>
      <c r="Y357" s="299"/>
      <c r="Z357" s="294"/>
      <c r="AA357" s="299"/>
      <c r="AB357" s="299"/>
      <c r="AC357" s="294"/>
      <c r="AD357" s="294"/>
      <c r="AE357" s="294"/>
      <c r="AF357" s="294"/>
    </row>
    <row r="358" spans="2:32" ht="15.75" x14ac:dyDescent="0.25">
      <c r="B358" s="294"/>
      <c r="C358" s="299"/>
      <c r="D358" s="294" t="s">
        <v>7812</v>
      </c>
      <c r="E358" s="1333">
        <v>0</v>
      </c>
      <c r="F358" s="294"/>
      <c r="G358" s="294"/>
      <c r="H358" s="294"/>
      <c r="I358" s="294"/>
      <c r="J358" s="294"/>
      <c r="L358" s="295"/>
      <c r="M358" s="294"/>
      <c r="S358" s="294"/>
      <c r="T358" s="299"/>
      <c r="U358" s="294"/>
      <c r="V358" s="299"/>
      <c r="W358" s="299"/>
      <c r="X358" s="294"/>
      <c r="Y358" s="299"/>
      <c r="Z358" s="294"/>
      <c r="AA358" s="299"/>
      <c r="AB358" s="299"/>
      <c r="AC358" s="294"/>
      <c r="AD358" s="294"/>
      <c r="AE358" s="294"/>
      <c r="AF358" s="294"/>
    </row>
    <row r="359" spans="2:32" ht="15.75" x14ac:dyDescent="0.25">
      <c r="B359" s="294"/>
      <c r="C359" s="299"/>
      <c r="D359" s="294" t="s">
        <v>2827</v>
      </c>
      <c r="E359" s="1333">
        <v>0</v>
      </c>
      <c r="F359" s="294"/>
      <c r="G359" s="294"/>
      <c r="H359" s="294"/>
      <c r="I359" s="294"/>
      <c r="J359" s="294"/>
      <c r="L359" s="295"/>
      <c r="M359" s="294"/>
      <c r="S359" s="294"/>
      <c r="T359" s="299"/>
      <c r="U359" s="294"/>
      <c r="V359" s="299"/>
      <c r="W359" s="299"/>
      <c r="X359" s="294"/>
      <c r="Y359" s="299"/>
      <c r="Z359" s="294"/>
      <c r="AA359" s="299"/>
      <c r="AB359" s="299"/>
      <c r="AC359" s="294"/>
      <c r="AD359" s="294"/>
      <c r="AE359" s="294"/>
      <c r="AF359" s="294"/>
    </row>
    <row r="360" spans="2:32" ht="15.75" x14ac:dyDescent="0.25">
      <c r="B360" s="294"/>
      <c r="C360" s="299"/>
      <c r="D360" s="314" t="s">
        <v>4519</v>
      </c>
      <c r="E360" s="1333">
        <v>0</v>
      </c>
      <c r="F360" s="294"/>
      <c r="G360" s="294"/>
      <c r="H360" s="294"/>
      <c r="I360" s="294"/>
      <c r="J360" s="294"/>
      <c r="L360" s="295"/>
      <c r="M360" s="294"/>
      <c r="S360" s="294"/>
      <c r="T360" s="299"/>
      <c r="U360" s="294"/>
      <c r="V360" s="299"/>
      <c r="W360" s="299"/>
      <c r="X360" s="294"/>
      <c r="Y360" s="299"/>
      <c r="Z360" s="294"/>
      <c r="AA360" s="299"/>
      <c r="AB360" s="299"/>
      <c r="AC360" s="294"/>
      <c r="AD360" s="294"/>
      <c r="AE360" s="294"/>
      <c r="AF360" s="294"/>
    </row>
    <row r="361" spans="2:32" ht="15.75" x14ac:dyDescent="0.25">
      <c r="B361" s="294"/>
      <c r="C361" s="299"/>
      <c r="D361" s="314" t="s">
        <v>2736</v>
      </c>
      <c r="E361" s="1333">
        <v>0</v>
      </c>
      <c r="F361" s="294"/>
      <c r="G361" s="294"/>
      <c r="H361" s="294"/>
      <c r="I361" s="294"/>
      <c r="J361" s="294"/>
      <c r="L361" s="295"/>
      <c r="M361" s="294"/>
      <c r="S361" s="294"/>
      <c r="T361" s="299"/>
      <c r="U361" s="294"/>
      <c r="V361" s="299"/>
      <c r="W361" s="299"/>
      <c r="X361" s="294"/>
      <c r="Y361" s="299"/>
      <c r="Z361" s="294"/>
      <c r="AA361" s="299"/>
      <c r="AB361" s="299"/>
      <c r="AC361" s="294"/>
      <c r="AD361" s="294"/>
      <c r="AE361" s="294"/>
      <c r="AF361" s="294"/>
    </row>
    <row r="362" spans="2:32" ht="15.75" x14ac:dyDescent="0.25">
      <c r="B362" s="294"/>
      <c r="C362" s="299"/>
      <c r="D362" s="314" t="s">
        <v>7809</v>
      </c>
      <c r="E362" s="1333">
        <v>0</v>
      </c>
      <c r="F362" s="294"/>
      <c r="G362" s="294"/>
      <c r="H362" s="294"/>
      <c r="I362" s="294"/>
      <c r="J362" s="294"/>
      <c r="L362" s="295"/>
      <c r="M362" s="294"/>
      <c r="S362" s="294"/>
      <c r="T362" s="299"/>
      <c r="U362" s="294"/>
      <c r="V362" s="299"/>
      <c r="W362" s="299"/>
      <c r="X362" s="294"/>
      <c r="Y362" s="299"/>
      <c r="Z362" s="294"/>
      <c r="AA362" s="299"/>
      <c r="AB362" s="299"/>
      <c r="AC362" s="294"/>
      <c r="AD362" s="294"/>
      <c r="AE362" s="294"/>
      <c r="AF362" s="294"/>
    </row>
    <row r="363" spans="2:32" ht="15.75" x14ac:dyDescent="0.25">
      <c r="B363" s="294"/>
      <c r="C363" s="299"/>
      <c r="D363" s="314"/>
      <c r="E363" s="1333"/>
      <c r="F363" s="294"/>
      <c r="G363" s="294"/>
      <c r="H363" s="294"/>
      <c r="I363" s="294"/>
      <c r="J363" s="294"/>
      <c r="L363" s="295"/>
      <c r="M363" s="294"/>
      <c r="S363" s="294"/>
      <c r="T363" s="299"/>
      <c r="U363" s="294"/>
      <c r="V363" s="299"/>
      <c r="W363" s="299"/>
      <c r="X363" s="294"/>
      <c r="Y363" s="299"/>
      <c r="Z363" s="294"/>
      <c r="AA363" s="299"/>
      <c r="AB363" s="299"/>
      <c r="AC363" s="294"/>
      <c r="AD363" s="294"/>
      <c r="AE363" s="294"/>
      <c r="AF363" s="294"/>
    </row>
    <row r="364" spans="2:32" ht="15.75" x14ac:dyDescent="0.25">
      <c r="B364" s="294"/>
      <c r="C364" s="299" t="s">
        <v>7810</v>
      </c>
      <c r="D364" s="314"/>
      <c r="E364" s="1333"/>
      <c r="F364" s="294"/>
      <c r="G364" s="294"/>
      <c r="H364" s="294"/>
      <c r="I364" s="294"/>
      <c r="J364" s="294"/>
      <c r="L364" s="295"/>
      <c r="M364" s="294"/>
      <c r="S364" s="294"/>
      <c r="T364" s="299"/>
      <c r="U364" s="294"/>
      <c r="V364" s="299"/>
      <c r="W364" s="299"/>
      <c r="X364" s="294"/>
      <c r="Y364" s="299"/>
      <c r="Z364" s="294"/>
      <c r="AA364" s="299"/>
      <c r="AB364" s="299"/>
      <c r="AC364" s="294"/>
      <c r="AD364" s="294"/>
      <c r="AE364" s="294"/>
      <c r="AF364" s="294"/>
    </row>
    <row r="365" spans="2:32" x14ac:dyDescent="0.25">
      <c r="B365" s="294"/>
      <c r="C365" s="294"/>
      <c r="D365" s="294" t="s">
        <v>7811</v>
      </c>
      <c r="E365" s="313">
        <f>P212+P213+P214+P215+P216+P216+P217</f>
        <v>11182.67404999748</v>
      </c>
      <c r="F365" s="294"/>
      <c r="G365" s="294"/>
      <c r="H365" s="294"/>
      <c r="I365" s="294"/>
      <c r="J365" s="294"/>
      <c r="L365" s="295"/>
      <c r="M365" s="294"/>
      <c r="S365" s="294"/>
      <c r="T365" s="299"/>
      <c r="U365" s="294"/>
      <c r="V365" s="299"/>
      <c r="W365" s="299"/>
      <c r="X365" s="294"/>
      <c r="Y365" s="299"/>
      <c r="Z365" s="294"/>
      <c r="AA365" s="299"/>
      <c r="AB365" s="299"/>
      <c r="AC365" s="294"/>
      <c r="AD365" s="294"/>
      <c r="AE365" s="294"/>
      <c r="AF365" s="294"/>
    </row>
    <row r="366" spans="2:32" x14ac:dyDescent="0.25">
      <c r="B366" s="294"/>
      <c r="C366" s="294"/>
      <c r="D366" s="294" t="s">
        <v>7812</v>
      </c>
      <c r="E366" s="313">
        <f>Q212+Q213+Q214+Q215+Q216+Q216+Q217</f>
        <v>1538.4870031734567</v>
      </c>
      <c r="F366" s="294"/>
      <c r="G366" s="294"/>
      <c r="H366" s="294"/>
      <c r="I366" s="294"/>
      <c r="J366" s="294"/>
      <c r="L366" s="295"/>
      <c r="M366" s="294"/>
      <c r="S366" s="294"/>
      <c r="T366" s="299"/>
      <c r="U366" s="294"/>
      <c r="V366" s="299"/>
      <c r="W366" s="299"/>
      <c r="X366" s="294"/>
      <c r="Y366" s="299"/>
      <c r="Z366" s="294"/>
      <c r="AA366" s="299"/>
      <c r="AB366" s="299"/>
      <c r="AC366" s="294"/>
      <c r="AD366" s="294"/>
      <c r="AE366" s="294"/>
      <c r="AF366" s="294"/>
    </row>
    <row r="367" spans="2:32" x14ac:dyDescent="0.25">
      <c r="B367" s="294"/>
      <c r="C367" s="294"/>
      <c r="D367" s="294" t="s">
        <v>2827</v>
      </c>
      <c r="E367" s="313">
        <f>R212+R213+R214+R215+R216+R216+R217</f>
        <v>3497.9353158546837</v>
      </c>
      <c r="F367" s="294"/>
      <c r="G367" s="294"/>
      <c r="H367" s="294"/>
      <c r="I367" s="294"/>
      <c r="J367" s="294"/>
      <c r="L367" s="295"/>
      <c r="M367" s="294"/>
      <c r="S367" s="294"/>
      <c r="T367" s="299"/>
      <c r="U367" s="294"/>
      <c r="V367" s="299"/>
      <c r="W367" s="299"/>
      <c r="X367" s="294"/>
      <c r="Y367" s="299"/>
      <c r="Z367" s="294"/>
      <c r="AA367" s="299"/>
      <c r="AB367" s="299"/>
      <c r="AC367" s="294"/>
      <c r="AD367" s="294"/>
      <c r="AE367" s="294"/>
      <c r="AF367" s="294"/>
    </row>
    <row r="368" spans="2:32" x14ac:dyDescent="0.25">
      <c r="B368" s="294"/>
      <c r="C368" s="294"/>
      <c r="D368" s="294" t="s">
        <v>3411</v>
      </c>
      <c r="E368" s="313">
        <f>T212+T213+T214+T215+T216+T216+T217</f>
        <v>1151.4828591830656</v>
      </c>
      <c r="F368" s="294"/>
      <c r="G368" s="294"/>
      <c r="H368" s="294"/>
      <c r="I368" s="294"/>
      <c r="J368" s="294"/>
      <c r="L368" s="295"/>
      <c r="M368" s="294"/>
      <c r="S368" s="294"/>
      <c r="T368" s="299"/>
      <c r="U368" s="294"/>
      <c r="V368" s="299"/>
      <c r="W368" s="299"/>
      <c r="X368" s="294"/>
      <c r="Y368" s="299"/>
      <c r="Z368" s="294"/>
      <c r="AA368" s="299"/>
      <c r="AB368" s="299"/>
      <c r="AC368" s="294"/>
      <c r="AD368" s="294"/>
      <c r="AE368" s="294"/>
      <c r="AF368" s="294"/>
    </row>
    <row r="369" spans="2:32" x14ac:dyDescent="0.25">
      <c r="B369" s="294"/>
      <c r="C369" s="294"/>
      <c r="D369" s="294" t="s">
        <v>4847</v>
      </c>
      <c r="E369" s="313">
        <f>AD212+AD213+AD214+AD215+AD216+AD216+AD217</f>
        <v>519.82527384697073</v>
      </c>
      <c r="F369" s="294"/>
      <c r="G369" s="294"/>
      <c r="H369" s="294"/>
      <c r="I369" s="294"/>
      <c r="J369" s="294"/>
      <c r="L369" s="295"/>
      <c r="M369" s="294"/>
      <c r="S369" s="294"/>
      <c r="T369" s="299"/>
      <c r="U369" s="294"/>
      <c r="V369" s="299"/>
      <c r="W369" s="299"/>
      <c r="X369" s="294"/>
      <c r="Y369" s="299"/>
      <c r="Z369" s="294"/>
      <c r="AA369" s="299"/>
      <c r="AB369" s="299"/>
      <c r="AC369" s="294"/>
      <c r="AD369" s="294"/>
      <c r="AE369" s="294"/>
      <c r="AF369" s="294"/>
    </row>
    <row r="370" spans="2:32" x14ac:dyDescent="0.25">
      <c r="B370" s="294"/>
      <c r="C370" s="294"/>
      <c r="D370" s="294" t="s">
        <v>5298</v>
      </c>
      <c r="E370" s="313">
        <f>AF212+AF213+AF214+AF215+AF216+AF216+AF217</f>
        <v>1559.4758215409122</v>
      </c>
      <c r="F370" s="294"/>
      <c r="G370" s="294"/>
      <c r="H370" s="294"/>
      <c r="I370" s="294"/>
      <c r="J370" s="294"/>
      <c r="L370" s="295"/>
      <c r="M370" s="294"/>
      <c r="S370" s="294"/>
      <c r="T370" s="299"/>
      <c r="U370" s="294"/>
      <c r="V370" s="299"/>
      <c r="W370" s="299"/>
      <c r="X370" s="294"/>
      <c r="Y370" s="299"/>
      <c r="Z370" s="294"/>
      <c r="AA370" s="299"/>
      <c r="AB370" s="299"/>
      <c r="AC370" s="294"/>
      <c r="AD370" s="294"/>
      <c r="AE370" s="294"/>
      <c r="AF370" s="294"/>
    </row>
    <row r="371" spans="2:32" x14ac:dyDescent="0.25">
      <c r="B371" s="294"/>
      <c r="C371" s="294"/>
      <c r="D371" s="294" t="s">
        <v>7813</v>
      </c>
      <c r="E371" s="313">
        <f>U212+U213+U214+U215+U216+U216+U217</f>
        <v>0</v>
      </c>
      <c r="F371" s="294"/>
      <c r="G371" s="294"/>
      <c r="H371" s="294"/>
      <c r="I371" s="294"/>
      <c r="J371" s="294"/>
      <c r="L371" s="295"/>
      <c r="M371" s="294"/>
      <c r="S371" s="294"/>
      <c r="T371" s="299"/>
      <c r="U371" s="294"/>
      <c r="V371" s="299"/>
      <c r="W371" s="299"/>
      <c r="X371" s="294"/>
      <c r="Y371" s="299"/>
      <c r="Z371" s="294"/>
      <c r="AA371" s="299"/>
      <c r="AB371" s="299"/>
      <c r="AC371" s="294"/>
      <c r="AD371" s="294"/>
      <c r="AE371" s="294"/>
      <c r="AF371" s="294"/>
    </row>
    <row r="372" spans="2:32" x14ac:dyDescent="0.25">
      <c r="B372" s="294"/>
      <c r="C372" s="294"/>
      <c r="D372" s="294" t="s">
        <v>7814</v>
      </c>
      <c r="E372" s="313">
        <f>V212+V213+V214+V215+V216+V216+V217</f>
        <v>0</v>
      </c>
      <c r="F372" s="294"/>
      <c r="G372" s="294"/>
      <c r="H372" s="294"/>
      <c r="I372" s="294"/>
      <c r="J372" s="294"/>
      <c r="L372" s="295"/>
      <c r="M372" s="294"/>
      <c r="S372" s="294"/>
      <c r="T372" s="299"/>
      <c r="U372" s="294"/>
      <c r="V372" s="299"/>
      <c r="W372" s="299"/>
      <c r="X372" s="294"/>
      <c r="Y372" s="299"/>
      <c r="Z372" s="294"/>
      <c r="AA372" s="299"/>
      <c r="AB372" s="299"/>
      <c r="AC372" s="294"/>
      <c r="AD372" s="294"/>
      <c r="AE372" s="294"/>
      <c r="AF372" s="294"/>
    </row>
    <row r="373" spans="2:32" x14ac:dyDescent="0.25">
      <c r="B373" s="294"/>
      <c r="C373" s="294"/>
      <c r="D373" s="294" t="s">
        <v>3532</v>
      </c>
      <c r="E373" s="298">
        <v>0</v>
      </c>
      <c r="F373" s="294"/>
      <c r="G373" s="294"/>
      <c r="H373" s="294"/>
      <c r="I373" s="294"/>
      <c r="J373" s="294"/>
      <c r="L373" s="295"/>
      <c r="M373" s="294"/>
      <c r="S373" s="294"/>
      <c r="T373" s="299"/>
      <c r="U373" s="294"/>
      <c r="V373" s="299"/>
      <c r="W373" s="299"/>
      <c r="X373" s="294"/>
      <c r="Y373" s="299"/>
      <c r="Z373" s="294"/>
      <c r="AA373" s="299"/>
      <c r="AB373" s="299"/>
      <c r="AC373" s="294"/>
      <c r="AD373" s="294"/>
      <c r="AE373" s="294"/>
      <c r="AF373" s="294"/>
    </row>
    <row r="374" spans="2:32" x14ac:dyDescent="0.25">
      <c r="B374" s="294"/>
      <c r="C374" s="294"/>
      <c r="D374" s="294" t="s">
        <v>2741</v>
      </c>
      <c r="E374" s="313">
        <f>Y212+Y213+Y214+Y215+Y216+Y216+Y217+AA212+AA213+AA214+AA215+AA216+AA216+AA217</f>
        <v>486.16</v>
      </c>
      <c r="F374" s="294"/>
      <c r="G374" s="294"/>
      <c r="H374" s="294"/>
      <c r="I374" s="294"/>
      <c r="J374" s="294"/>
      <c r="L374" s="295"/>
      <c r="M374" s="294"/>
      <c r="S374" s="294"/>
      <c r="T374" s="299"/>
      <c r="U374" s="294"/>
      <c r="V374" s="299"/>
      <c r="W374" s="299"/>
      <c r="X374" s="294"/>
      <c r="Y374" s="299"/>
      <c r="Z374" s="294"/>
      <c r="AA374" s="299"/>
      <c r="AB374" s="299"/>
      <c r="AC374" s="294"/>
      <c r="AD374" s="294"/>
      <c r="AE374" s="294"/>
      <c r="AF374" s="294"/>
    </row>
    <row r="375" spans="2:32" x14ac:dyDescent="0.25">
      <c r="B375" s="294"/>
      <c r="C375" s="294"/>
      <c r="D375" s="294" t="s">
        <v>4519</v>
      </c>
      <c r="E375" s="313">
        <f>AC212+AC213+AC214+AC215+AC216+AC216+AC217</f>
        <v>5406.3654563418741</v>
      </c>
      <c r="F375" s="294"/>
      <c r="G375" s="294"/>
      <c r="H375" s="294"/>
      <c r="I375" s="294"/>
      <c r="J375" s="294"/>
      <c r="L375" s="295"/>
      <c r="M375" s="294"/>
      <c r="S375" s="294"/>
      <c r="T375" s="299"/>
      <c r="U375" s="294"/>
      <c r="V375" s="299"/>
      <c r="W375" s="299"/>
      <c r="X375" s="294"/>
      <c r="Y375" s="299"/>
      <c r="Z375" s="294"/>
      <c r="AA375" s="299"/>
      <c r="AB375" s="299"/>
      <c r="AC375" s="294"/>
      <c r="AD375" s="294"/>
      <c r="AE375" s="294"/>
      <c r="AF375" s="294"/>
    </row>
    <row r="376" spans="2:32" x14ac:dyDescent="0.25">
      <c r="B376" s="294"/>
      <c r="C376" s="294"/>
      <c r="D376" s="294" t="s">
        <v>2736</v>
      </c>
      <c r="E376" s="313">
        <f>AE212+AE213+AE214+AE215+AE216+AE216+AE217</f>
        <v>16219.096369025619</v>
      </c>
      <c r="F376" s="294"/>
      <c r="G376" s="294"/>
      <c r="H376" s="294"/>
      <c r="I376" s="294"/>
      <c r="J376" s="294"/>
      <c r="L376" s="295"/>
      <c r="M376" s="294"/>
      <c r="S376" s="294"/>
      <c r="T376" s="299"/>
      <c r="U376" s="294"/>
      <c r="V376" s="299"/>
      <c r="W376" s="299"/>
      <c r="X376" s="294"/>
      <c r="Y376" s="299"/>
      <c r="Z376" s="294"/>
      <c r="AA376" s="299"/>
      <c r="AB376" s="299"/>
      <c r="AC376" s="294"/>
      <c r="AD376" s="294"/>
      <c r="AE376" s="294"/>
      <c r="AF376" s="294"/>
    </row>
    <row r="377" spans="2:32" x14ac:dyDescent="0.25">
      <c r="B377" s="294"/>
      <c r="C377" s="294"/>
      <c r="D377" s="294" t="s">
        <v>2783</v>
      </c>
      <c r="E377" s="313">
        <f>W212+W213+W214+W215+W216+W216+W217</f>
        <v>0</v>
      </c>
      <c r="F377" s="294"/>
      <c r="G377" s="294"/>
      <c r="H377" s="294"/>
      <c r="I377" s="294"/>
      <c r="J377" s="294"/>
      <c r="L377" s="295"/>
      <c r="M377" s="294"/>
      <c r="S377" s="294"/>
      <c r="T377" s="299"/>
      <c r="U377" s="294"/>
      <c r="V377" s="299"/>
      <c r="W377" s="299"/>
      <c r="X377" s="294"/>
      <c r="Y377" s="299"/>
      <c r="Z377" s="294"/>
      <c r="AA377" s="299"/>
      <c r="AB377" s="299"/>
      <c r="AC377" s="294"/>
      <c r="AD377" s="294"/>
      <c r="AE377" s="294"/>
      <c r="AF377" s="294"/>
    </row>
    <row r="378" spans="2:32" x14ac:dyDescent="0.25">
      <c r="B378" s="294"/>
      <c r="C378" s="294"/>
      <c r="D378" s="294"/>
      <c r="E378" s="294"/>
      <c r="F378" s="294"/>
      <c r="G378" s="294"/>
      <c r="H378" s="294"/>
      <c r="I378" s="294"/>
      <c r="J378" s="294"/>
      <c r="L378" s="295"/>
      <c r="M378" s="294"/>
      <c r="S378" s="294"/>
      <c r="T378" s="299"/>
      <c r="U378" s="294"/>
      <c r="V378" s="299"/>
      <c r="W378" s="299"/>
      <c r="X378" s="294"/>
      <c r="Y378" s="299"/>
      <c r="Z378" s="294"/>
      <c r="AA378" s="299"/>
      <c r="AB378" s="299"/>
      <c r="AC378" s="294"/>
      <c r="AD378" s="294"/>
      <c r="AE378" s="294"/>
      <c r="AF378" s="294"/>
    </row>
    <row r="379" spans="2:32" x14ac:dyDescent="0.25">
      <c r="B379" s="294"/>
      <c r="C379" s="294"/>
      <c r="D379" s="294"/>
      <c r="E379" s="294"/>
      <c r="F379" s="294"/>
      <c r="G379" s="294"/>
      <c r="H379" s="294"/>
      <c r="I379" s="294"/>
      <c r="J379" s="294"/>
      <c r="L379" s="295"/>
      <c r="M379" s="294"/>
      <c r="S379" s="294"/>
      <c r="T379" s="299"/>
      <c r="U379" s="294"/>
      <c r="V379" s="299"/>
      <c r="W379" s="299"/>
      <c r="X379" s="294"/>
      <c r="Y379" s="299"/>
      <c r="Z379" s="294"/>
      <c r="AA379" s="299"/>
      <c r="AB379" s="299"/>
      <c r="AC379" s="294"/>
      <c r="AD379" s="294"/>
      <c r="AE379" s="294"/>
      <c r="AF379" s="294"/>
    </row>
    <row r="380" spans="2:32" x14ac:dyDescent="0.25">
      <c r="B380" s="294"/>
      <c r="C380" s="294"/>
      <c r="D380" s="294"/>
      <c r="E380" s="294"/>
      <c r="F380" s="294"/>
      <c r="G380" s="294"/>
      <c r="H380" s="294"/>
      <c r="I380" s="294"/>
      <c r="J380" s="294"/>
      <c r="L380" s="295"/>
      <c r="M380" s="294"/>
      <c r="S380" s="294"/>
      <c r="T380" s="299"/>
      <c r="U380" s="294"/>
      <c r="V380" s="299"/>
      <c r="W380" s="299"/>
      <c r="X380" s="294"/>
      <c r="Y380" s="299"/>
      <c r="Z380" s="294"/>
      <c r="AA380" s="299"/>
      <c r="AB380" s="299"/>
      <c r="AC380" s="294"/>
      <c r="AD380" s="294"/>
      <c r="AE380" s="294"/>
      <c r="AF380" s="294"/>
    </row>
    <row r="381" spans="2:32" x14ac:dyDescent="0.25">
      <c r="B381" s="294"/>
      <c r="C381" s="294"/>
      <c r="D381" s="294"/>
      <c r="E381" s="294"/>
      <c r="F381" s="294"/>
      <c r="G381" s="294"/>
      <c r="H381" s="294"/>
      <c r="I381" s="294"/>
      <c r="J381" s="294"/>
      <c r="L381" s="295"/>
      <c r="M381" s="294"/>
      <c r="S381" s="294"/>
      <c r="T381" s="299"/>
      <c r="U381" s="294"/>
      <c r="V381" s="299"/>
      <c r="W381" s="299"/>
      <c r="X381" s="294"/>
      <c r="Y381" s="299"/>
      <c r="Z381" s="294"/>
      <c r="AA381" s="299"/>
      <c r="AB381" s="299"/>
      <c r="AC381" s="294"/>
      <c r="AD381" s="294"/>
      <c r="AE381" s="294"/>
      <c r="AF381" s="294"/>
    </row>
    <row r="382" spans="2:32" x14ac:dyDescent="0.25">
      <c r="B382" s="294"/>
      <c r="C382" s="294"/>
      <c r="D382" s="294"/>
      <c r="E382" s="294"/>
      <c r="F382" s="294"/>
      <c r="G382" s="294"/>
      <c r="H382" s="294"/>
      <c r="I382" s="294"/>
      <c r="J382" s="294"/>
      <c r="L382" s="295"/>
      <c r="M382" s="294"/>
      <c r="S382" s="294"/>
      <c r="T382" s="299"/>
      <c r="U382" s="294"/>
      <c r="V382" s="299"/>
      <c r="W382" s="299"/>
      <c r="X382" s="294"/>
      <c r="Y382" s="299"/>
      <c r="Z382" s="294"/>
      <c r="AA382" s="299"/>
      <c r="AB382" s="299"/>
      <c r="AC382" s="294"/>
      <c r="AD382" s="294"/>
      <c r="AE382" s="294"/>
      <c r="AF382" s="294"/>
    </row>
    <row r="383" spans="2:32" x14ac:dyDescent="0.25">
      <c r="B383" s="294"/>
      <c r="C383" s="294"/>
      <c r="D383" s="294"/>
      <c r="E383" s="294"/>
      <c r="F383" s="294"/>
      <c r="G383" s="294"/>
      <c r="H383" s="294"/>
      <c r="I383" s="294"/>
      <c r="J383" s="294"/>
      <c r="L383" s="295"/>
      <c r="M383" s="294"/>
      <c r="S383" s="294"/>
      <c r="T383" s="299"/>
      <c r="U383" s="294"/>
      <c r="V383" s="299"/>
      <c r="W383" s="299"/>
      <c r="X383" s="294"/>
      <c r="Y383" s="299"/>
      <c r="Z383" s="294"/>
      <c r="AA383" s="299"/>
      <c r="AB383" s="299"/>
      <c r="AC383" s="294"/>
      <c r="AD383" s="294"/>
      <c r="AE383" s="294"/>
      <c r="AF383" s="294"/>
    </row>
    <row r="384" spans="2:32" x14ac:dyDescent="0.25">
      <c r="B384" s="294"/>
      <c r="C384" s="294"/>
      <c r="D384" s="294"/>
      <c r="E384" s="294"/>
      <c r="F384" s="294"/>
      <c r="G384" s="294"/>
      <c r="H384" s="294"/>
      <c r="I384" s="294"/>
      <c r="J384" s="294"/>
      <c r="L384" s="295"/>
      <c r="M384" s="294"/>
      <c r="S384" s="294"/>
      <c r="T384" s="299"/>
      <c r="U384" s="294"/>
      <c r="V384" s="299"/>
      <c r="W384" s="299"/>
      <c r="X384" s="294"/>
      <c r="Y384" s="299"/>
      <c r="Z384" s="294"/>
      <c r="AA384" s="299"/>
      <c r="AB384" s="299"/>
      <c r="AC384" s="294"/>
      <c r="AD384" s="294"/>
      <c r="AE384" s="294"/>
      <c r="AF384" s="294"/>
    </row>
    <row r="385" spans="2:32" x14ac:dyDescent="0.25">
      <c r="B385" s="294"/>
      <c r="C385" s="294"/>
      <c r="D385" s="294"/>
      <c r="E385" s="294"/>
      <c r="F385" s="294"/>
      <c r="G385" s="294"/>
      <c r="H385" s="294"/>
      <c r="I385" s="294"/>
      <c r="J385" s="294"/>
      <c r="L385" s="295"/>
      <c r="M385" s="294"/>
      <c r="S385" s="294"/>
      <c r="T385" s="299"/>
      <c r="U385" s="294"/>
      <c r="V385" s="299"/>
      <c r="W385" s="299"/>
      <c r="X385" s="294"/>
      <c r="Y385" s="299"/>
      <c r="Z385" s="294"/>
      <c r="AA385" s="299"/>
      <c r="AB385" s="299"/>
      <c r="AC385" s="294"/>
      <c r="AD385" s="294"/>
      <c r="AE385" s="294"/>
      <c r="AF385" s="294"/>
    </row>
    <row r="386" spans="2:32" x14ac:dyDescent="0.25">
      <c r="B386" s="294"/>
      <c r="C386" s="294"/>
      <c r="D386" s="294"/>
      <c r="E386" s="294"/>
      <c r="F386" s="294"/>
      <c r="G386" s="294"/>
      <c r="H386" s="294"/>
      <c r="I386" s="294"/>
      <c r="J386" s="294"/>
      <c r="L386" s="295"/>
      <c r="M386" s="294"/>
      <c r="S386" s="294"/>
      <c r="T386" s="299"/>
      <c r="U386" s="294"/>
      <c r="V386" s="299"/>
      <c r="W386" s="299"/>
      <c r="X386" s="294"/>
      <c r="Y386" s="299"/>
      <c r="Z386" s="294"/>
      <c r="AA386" s="299"/>
      <c r="AB386" s="299"/>
      <c r="AC386" s="294"/>
      <c r="AD386" s="294"/>
      <c r="AE386" s="294"/>
      <c r="AF386" s="294"/>
    </row>
    <row r="387" spans="2:32" x14ac:dyDescent="0.25">
      <c r="B387" s="294"/>
      <c r="C387" s="294"/>
      <c r="D387" s="294"/>
      <c r="E387" s="294"/>
      <c r="F387" s="294"/>
      <c r="G387" s="294"/>
      <c r="H387" s="294"/>
      <c r="I387" s="294"/>
      <c r="J387" s="294"/>
      <c r="L387" s="295"/>
      <c r="M387" s="294"/>
      <c r="S387" s="294"/>
      <c r="T387" s="299"/>
      <c r="U387" s="294"/>
      <c r="V387" s="299"/>
      <c r="W387" s="299"/>
      <c r="X387" s="294"/>
      <c r="Y387" s="299"/>
      <c r="Z387" s="294"/>
      <c r="AA387" s="299"/>
      <c r="AB387" s="299"/>
      <c r="AC387" s="294"/>
      <c r="AD387" s="294"/>
      <c r="AE387" s="294"/>
      <c r="AF387" s="294"/>
    </row>
    <row r="388" spans="2:32" x14ac:dyDescent="0.25">
      <c r="B388" s="294"/>
      <c r="C388" s="294"/>
      <c r="D388" s="294"/>
      <c r="E388" s="294"/>
      <c r="F388" s="294"/>
      <c r="G388" s="294"/>
      <c r="H388" s="294"/>
      <c r="I388" s="294"/>
      <c r="J388" s="294"/>
      <c r="L388" s="295"/>
      <c r="M388" s="294"/>
      <c r="S388" s="294"/>
      <c r="T388" s="299"/>
      <c r="U388" s="294"/>
      <c r="V388" s="299"/>
      <c r="W388" s="299"/>
      <c r="X388" s="294"/>
      <c r="Y388" s="299"/>
      <c r="Z388" s="294"/>
      <c r="AA388" s="299"/>
      <c r="AB388" s="299"/>
      <c r="AC388" s="294"/>
      <c r="AD388" s="294"/>
      <c r="AE388" s="294"/>
      <c r="AF388" s="294"/>
    </row>
    <row r="389" spans="2:32" x14ac:dyDescent="0.25">
      <c r="B389" s="294"/>
      <c r="C389" s="294"/>
      <c r="D389" s="294"/>
      <c r="E389" s="294"/>
      <c r="F389" s="294"/>
      <c r="G389" s="294"/>
      <c r="H389" s="294"/>
      <c r="I389" s="294"/>
      <c r="J389" s="294"/>
      <c r="L389" s="295"/>
      <c r="M389" s="294"/>
      <c r="S389" s="294"/>
      <c r="T389" s="299"/>
      <c r="U389" s="294"/>
      <c r="V389" s="299"/>
      <c r="W389" s="299"/>
      <c r="X389" s="294"/>
      <c r="Y389" s="299"/>
      <c r="Z389" s="294"/>
      <c r="AA389" s="299"/>
      <c r="AB389" s="299"/>
      <c r="AC389" s="294"/>
      <c r="AD389" s="294"/>
      <c r="AE389" s="294"/>
      <c r="AF389" s="294"/>
    </row>
    <row r="390" spans="2:32" x14ac:dyDescent="0.25">
      <c r="B390" s="294"/>
      <c r="C390" s="294"/>
      <c r="D390" s="294"/>
      <c r="E390" s="294"/>
      <c r="F390" s="294"/>
      <c r="G390" s="294"/>
      <c r="H390" s="294"/>
      <c r="I390" s="294"/>
      <c r="J390" s="294"/>
      <c r="L390" s="295"/>
      <c r="M390" s="294"/>
      <c r="S390" s="294"/>
      <c r="T390" s="299"/>
      <c r="U390" s="294"/>
      <c r="V390" s="299"/>
      <c r="W390" s="299"/>
      <c r="X390" s="294"/>
      <c r="Y390" s="299"/>
      <c r="Z390" s="294"/>
      <c r="AA390" s="299"/>
      <c r="AB390" s="299"/>
      <c r="AC390" s="294"/>
      <c r="AD390" s="294"/>
      <c r="AE390" s="294"/>
      <c r="AF390" s="294"/>
    </row>
    <row r="391" spans="2:32" x14ac:dyDescent="0.25">
      <c r="B391" s="294"/>
      <c r="C391" s="294"/>
      <c r="D391" s="294"/>
      <c r="E391" s="294"/>
      <c r="F391" s="294"/>
      <c r="G391" s="294"/>
      <c r="H391" s="294"/>
      <c r="I391" s="294"/>
      <c r="J391" s="294"/>
      <c r="L391" s="295"/>
      <c r="M391" s="294"/>
      <c r="S391" s="294"/>
      <c r="T391" s="299"/>
      <c r="U391" s="294"/>
      <c r="V391" s="299"/>
      <c r="W391" s="299"/>
      <c r="X391" s="294"/>
      <c r="Y391" s="299"/>
      <c r="Z391" s="294"/>
      <c r="AA391" s="299"/>
      <c r="AB391" s="299"/>
      <c r="AC391" s="294"/>
      <c r="AD391" s="294"/>
      <c r="AE391" s="294"/>
      <c r="AF391" s="294"/>
    </row>
    <row r="392" spans="2:32" x14ac:dyDescent="0.25">
      <c r="B392" s="294"/>
      <c r="C392" s="294"/>
      <c r="D392" s="294"/>
      <c r="E392" s="294"/>
      <c r="F392" s="294"/>
      <c r="G392" s="294"/>
      <c r="H392" s="294"/>
      <c r="I392" s="294"/>
      <c r="J392" s="294"/>
      <c r="L392" s="295"/>
      <c r="M392" s="294"/>
      <c r="S392" s="294"/>
      <c r="T392" s="299"/>
      <c r="U392" s="294"/>
      <c r="V392" s="299"/>
      <c r="W392" s="299"/>
      <c r="X392" s="294"/>
      <c r="Y392" s="299"/>
      <c r="Z392" s="294"/>
      <c r="AA392" s="299"/>
      <c r="AB392" s="299"/>
      <c r="AC392" s="294"/>
      <c r="AD392" s="294"/>
      <c r="AE392" s="294"/>
      <c r="AF392" s="294"/>
    </row>
    <row r="393" spans="2:32" x14ac:dyDescent="0.25">
      <c r="B393" s="294"/>
      <c r="C393" s="294"/>
      <c r="D393" s="294"/>
      <c r="E393" s="294"/>
      <c r="F393" s="294"/>
      <c r="G393" s="294"/>
      <c r="H393" s="294"/>
      <c r="I393" s="294"/>
      <c r="J393" s="294"/>
      <c r="L393" s="295"/>
      <c r="M393" s="294"/>
      <c r="S393" s="294"/>
      <c r="T393" s="299"/>
      <c r="U393" s="294"/>
      <c r="V393" s="299"/>
      <c r="W393" s="299"/>
      <c r="X393" s="294"/>
      <c r="Y393" s="299"/>
      <c r="Z393" s="294"/>
      <c r="AA393" s="299"/>
      <c r="AB393" s="299"/>
      <c r="AC393" s="294"/>
      <c r="AD393" s="294"/>
      <c r="AE393" s="294"/>
      <c r="AF393" s="294"/>
    </row>
    <row r="394" spans="2:32" x14ac:dyDescent="0.25">
      <c r="B394" s="294"/>
      <c r="C394" s="294"/>
      <c r="D394" s="294"/>
      <c r="E394" s="294"/>
      <c r="F394" s="294"/>
      <c r="G394" s="294"/>
      <c r="H394" s="294"/>
      <c r="I394" s="294"/>
      <c r="J394" s="294"/>
      <c r="L394" s="295"/>
      <c r="M394" s="294"/>
      <c r="S394" s="294"/>
      <c r="T394" s="299"/>
      <c r="U394" s="294"/>
      <c r="V394" s="299"/>
      <c r="W394" s="299"/>
      <c r="X394" s="294"/>
      <c r="Y394" s="299"/>
      <c r="Z394" s="294"/>
      <c r="AA394" s="299"/>
      <c r="AB394" s="299"/>
      <c r="AC394" s="294"/>
      <c r="AD394" s="294"/>
      <c r="AE394" s="294"/>
      <c r="AF394" s="294"/>
    </row>
    <row r="395" spans="2:32" x14ac:dyDescent="0.25">
      <c r="B395" s="294"/>
      <c r="C395" s="294"/>
      <c r="D395" s="294"/>
      <c r="E395" s="294"/>
      <c r="F395" s="294"/>
      <c r="G395" s="294"/>
      <c r="H395" s="294"/>
      <c r="I395" s="294"/>
      <c r="J395" s="294"/>
      <c r="L395" s="295"/>
      <c r="M395" s="294"/>
      <c r="S395" s="294"/>
      <c r="T395" s="299"/>
      <c r="U395" s="294"/>
      <c r="V395" s="299"/>
      <c r="W395" s="299"/>
      <c r="X395" s="294"/>
      <c r="Y395" s="299"/>
      <c r="Z395" s="294"/>
      <c r="AA395" s="299"/>
      <c r="AB395" s="299"/>
      <c r="AC395" s="294"/>
      <c r="AD395" s="294"/>
      <c r="AE395" s="294"/>
      <c r="AF395" s="294"/>
    </row>
    <row r="396" spans="2:32" x14ac:dyDescent="0.25">
      <c r="B396" s="294"/>
      <c r="C396" s="294"/>
      <c r="D396" s="294"/>
      <c r="E396" s="294"/>
      <c r="F396" s="294"/>
      <c r="G396" s="294"/>
      <c r="H396" s="294"/>
      <c r="I396" s="294"/>
      <c r="J396" s="294"/>
      <c r="L396" s="295"/>
      <c r="M396" s="294"/>
      <c r="S396" s="294"/>
      <c r="T396" s="299"/>
      <c r="U396" s="294"/>
      <c r="V396" s="299"/>
      <c r="W396" s="299"/>
      <c r="X396" s="294"/>
      <c r="Y396" s="299"/>
      <c r="Z396" s="294"/>
      <c r="AA396" s="299"/>
      <c r="AB396" s="299"/>
      <c r="AC396" s="294"/>
      <c r="AD396" s="294"/>
      <c r="AE396" s="294"/>
      <c r="AF396" s="294"/>
    </row>
    <row r="397" spans="2:32" x14ac:dyDescent="0.25">
      <c r="B397" s="294"/>
      <c r="C397" s="294"/>
      <c r="D397" s="294"/>
      <c r="E397" s="294"/>
      <c r="F397" s="294"/>
      <c r="G397" s="294"/>
      <c r="H397" s="294"/>
      <c r="I397" s="294"/>
      <c r="J397" s="294"/>
      <c r="L397" s="295"/>
      <c r="M397" s="294"/>
      <c r="S397" s="294"/>
      <c r="T397" s="299"/>
      <c r="U397" s="294"/>
      <c r="V397" s="299"/>
      <c r="W397" s="299"/>
      <c r="X397" s="294"/>
      <c r="Y397" s="299"/>
      <c r="Z397" s="294"/>
      <c r="AA397" s="299"/>
      <c r="AB397" s="299"/>
      <c r="AC397" s="294"/>
      <c r="AD397" s="294"/>
      <c r="AE397" s="294"/>
      <c r="AF397" s="294"/>
    </row>
    <row r="398" spans="2:32" x14ac:dyDescent="0.25">
      <c r="B398" s="294"/>
      <c r="C398" s="294"/>
      <c r="D398" s="294"/>
      <c r="E398" s="294"/>
      <c r="F398" s="294"/>
      <c r="G398" s="294"/>
      <c r="H398" s="294"/>
      <c r="I398" s="294"/>
      <c r="J398" s="294"/>
      <c r="L398" s="295"/>
      <c r="M398" s="294"/>
      <c r="S398" s="294"/>
      <c r="T398" s="299"/>
      <c r="U398" s="294"/>
      <c r="V398" s="299"/>
      <c r="W398" s="299"/>
      <c r="X398" s="294"/>
      <c r="Y398" s="299"/>
      <c r="Z398" s="294"/>
      <c r="AA398" s="299"/>
      <c r="AB398" s="299"/>
      <c r="AC398" s="294"/>
      <c r="AD398" s="294"/>
      <c r="AE398" s="294"/>
      <c r="AF398" s="294"/>
    </row>
    <row r="399" spans="2:32" x14ac:dyDescent="0.25">
      <c r="B399" s="294"/>
      <c r="C399" s="294"/>
      <c r="D399" s="294"/>
      <c r="E399" s="294"/>
      <c r="F399" s="294"/>
      <c r="G399" s="294"/>
      <c r="H399" s="294"/>
      <c r="I399" s="294"/>
      <c r="J399" s="294"/>
      <c r="L399" s="295"/>
      <c r="M399" s="294"/>
      <c r="S399" s="294"/>
      <c r="T399" s="299"/>
      <c r="U399" s="294"/>
      <c r="V399" s="299"/>
      <c r="W399" s="299"/>
      <c r="X399" s="294"/>
      <c r="Y399" s="299"/>
      <c r="Z399" s="294"/>
      <c r="AA399" s="299"/>
      <c r="AB399" s="299"/>
      <c r="AC399" s="294"/>
      <c r="AD399" s="294"/>
      <c r="AE399" s="294"/>
      <c r="AF399" s="294"/>
    </row>
    <row r="400" spans="2:32" x14ac:dyDescent="0.25">
      <c r="B400" s="294"/>
      <c r="C400" s="294"/>
      <c r="D400" s="294"/>
      <c r="E400" s="294"/>
      <c r="F400" s="294"/>
      <c r="G400" s="294"/>
      <c r="H400" s="294"/>
      <c r="I400" s="294"/>
      <c r="J400" s="294"/>
      <c r="L400" s="295"/>
      <c r="M400" s="294"/>
      <c r="S400" s="294"/>
      <c r="T400" s="299"/>
      <c r="U400" s="294"/>
      <c r="V400" s="299"/>
      <c r="W400" s="299"/>
      <c r="X400" s="294"/>
      <c r="Y400" s="299"/>
      <c r="Z400" s="294"/>
      <c r="AA400" s="299"/>
      <c r="AB400" s="299"/>
      <c r="AC400" s="294"/>
      <c r="AD400" s="294"/>
      <c r="AE400" s="294"/>
      <c r="AF400" s="294"/>
    </row>
    <row r="401" spans="2:32" x14ac:dyDescent="0.25">
      <c r="B401" s="294"/>
      <c r="C401" s="294"/>
      <c r="D401" s="294"/>
      <c r="E401" s="294"/>
      <c r="F401" s="294"/>
      <c r="G401" s="294"/>
      <c r="H401" s="294"/>
      <c r="I401" s="294"/>
      <c r="J401" s="294"/>
      <c r="L401" s="295"/>
      <c r="M401" s="294"/>
      <c r="S401" s="294"/>
      <c r="T401" s="299"/>
      <c r="U401" s="294"/>
      <c r="V401" s="299"/>
      <c r="W401" s="299"/>
      <c r="X401" s="294"/>
      <c r="Y401" s="299"/>
      <c r="Z401" s="294"/>
      <c r="AA401" s="299"/>
      <c r="AB401" s="299"/>
      <c r="AC401" s="294"/>
      <c r="AD401" s="294"/>
      <c r="AE401" s="294"/>
      <c r="AF401" s="294"/>
    </row>
    <row r="402" spans="2:32" x14ac:dyDescent="0.25">
      <c r="B402" s="294"/>
      <c r="C402" s="294"/>
      <c r="D402" s="294"/>
      <c r="E402" s="294"/>
      <c r="F402" s="294"/>
      <c r="G402" s="294"/>
      <c r="H402" s="294"/>
      <c r="I402" s="294"/>
      <c r="J402" s="294"/>
      <c r="L402" s="295"/>
      <c r="M402" s="294"/>
      <c r="S402" s="294"/>
      <c r="T402" s="299"/>
      <c r="U402" s="294"/>
      <c r="V402" s="299"/>
      <c r="W402" s="299"/>
      <c r="X402" s="294"/>
      <c r="Y402" s="299"/>
      <c r="Z402" s="294"/>
      <c r="AA402" s="299"/>
      <c r="AB402" s="299"/>
      <c r="AC402" s="294"/>
      <c r="AD402" s="294"/>
      <c r="AE402" s="294"/>
      <c r="AF402" s="294"/>
    </row>
    <row r="403" spans="2:32" x14ac:dyDescent="0.25">
      <c r="B403" s="294"/>
      <c r="C403" s="294"/>
      <c r="D403" s="294"/>
      <c r="E403" s="294"/>
      <c r="F403" s="294"/>
      <c r="G403" s="294"/>
      <c r="H403" s="294"/>
      <c r="I403" s="294"/>
      <c r="J403" s="294"/>
      <c r="L403" s="295"/>
      <c r="M403" s="294"/>
      <c r="S403" s="294"/>
      <c r="T403" s="299"/>
      <c r="U403" s="294"/>
      <c r="V403" s="299"/>
      <c r="W403" s="299"/>
      <c r="X403" s="294"/>
      <c r="Y403" s="299"/>
      <c r="Z403" s="294"/>
      <c r="AA403" s="299"/>
      <c r="AB403" s="299"/>
      <c r="AC403" s="294"/>
      <c r="AD403" s="294"/>
      <c r="AE403" s="294"/>
      <c r="AF403" s="294"/>
    </row>
    <row r="404" spans="2:32" x14ac:dyDescent="0.25">
      <c r="B404" s="294"/>
      <c r="C404" s="294"/>
      <c r="D404" s="294"/>
      <c r="E404" s="294"/>
      <c r="F404" s="294"/>
      <c r="G404" s="294"/>
      <c r="H404" s="294"/>
      <c r="I404" s="294"/>
      <c r="J404" s="294"/>
      <c r="L404" s="295"/>
      <c r="M404" s="294"/>
      <c r="S404" s="294"/>
      <c r="T404" s="299"/>
      <c r="U404" s="294"/>
      <c r="V404" s="299"/>
      <c r="W404" s="299"/>
      <c r="X404" s="294"/>
      <c r="Y404" s="299"/>
      <c r="Z404" s="294"/>
      <c r="AA404" s="299"/>
      <c r="AB404" s="299"/>
      <c r="AC404" s="294"/>
      <c r="AD404" s="294"/>
      <c r="AE404" s="294"/>
      <c r="AF404" s="294"/>
    </row>
    <row r="405" spans="2:32" x14ac:dyDescent="0.25">
      <c r="B405" s="294"/>
      <c r="C405" s="294"/>
      <c r="D405" s="294"/>
      <c r="E405" s="294"/>
      <c r="F405" s="294"/>
      <c r="G405" s="294"/>
      <c r="H405" s="294"/>
      <c r="I405" s="294"/>
      <c r="J405" s="294"/>
      <c r="L405" s="295"/>
      <c r="M405" s="294"/>
      <c r="S405" s="294"/>
      <c r="T405" s="299"/>
      <c r="U405" s="294"/>
      <c r="V405" s="299"/>
      <c r="W405" s="299"/>
      <c r="X405" s="294"/>
      <c r="Y405" s="299"/>
      <c r="Z405" s="294"/>
      <c r="AA405" s="299"/>
      <c r="AB405" s="299"/>
      <c r="AC405" s="294"/>
      <c r="AD405" s="294"/>
      <c r="AE405" s="294"/>
      <c r="AF405" s="294"/>
    </row>
    <row r="406" spans="2:32" x14ac:dyDescent="0.25">
      <c r="B406" s="294"/>
      <c r="C406" s="294"/>
      <c r="D406" s="294"/>
      <c r="E406" s="294"/>
      <c r="F406" s="294"/>
      <c r="G406" s="294"/>
      <c r="H406" s="294"/>
      <c r="I406" s="294"/>
      <c r="J406" s="294"/>
      <c r="L406" s="295"/>
      <c r="M406" s="294"/>
      <c r="S406" s="294"/>
      <c r="T406" s="299"/>
      <c r="U406" s="294"/>
      <c r="V406" s="299"/>
      <c r="W406" s="299"/>
      <c r="X406" s="294"/>
      <c r="Y406" s="299"/>
      <c r="Z406" s="294"/>
      <c r="AA406" s="299"/>
      <c r="AB406" s="299"/>
      <c r="AC406" s="294"/>
      <c r="AD406" s="294"/>
      <c r="AE406" s="294"/>
      <c r="AF406" s="294"/>
    </row>
    <row r="407" spans="2:32" x14ac:dyDescent="0.25">
      <c r="B407" s="294"/>
      <c r="C407" s="294"/>
      <c r="D407" s="294"/>
      <c r="E407" s="294"/>
      <c r="F407" s="294"/>
      <c r="G407" s="294"/>
      <c r="H407" s="294"/>
      <c r="I407" s="294"/>
      <c r="J407" s="294"/>
      <c r="L407" s="295"/>
      <c r="M407" s="294"/>
      <c r="S407" s="294"/>
      <c r="T407" s="299"/>
      <c r="U407" s="294"/>
      <c r="V407" s="299"/>
      <c r="W407" s="299"/>
      <c r="X407" s="294"/>
      <c r="Y407" s="299"/>
      <c r="Z407" s="294"/>
      <c r="AA407" s="299"/>
      <c r="AB407" s="299"/>
      <c r="AC407" s="294"/>
      <c r="AD407" s="294"/>
      <c r="AE407" s="294"/>
      <c r="AF407" s="294"/>
    </row>
    <row r="408" spans="2:32" x14ac:dyDescent="0.25">
      <c r="B408" s="294"/>
      <c r="C408" s="294"/>
      <c r="D408" s="294"/>
      <c r="E408" s="294"/>
      <c r="F408" s="294"/>
      <c r="G408" s="294"/>
      <c r="H408" s="294"/>
      <c r="I408" s="294"/>
      <c r="J408" s="294"/>
      <c r="L408" s="295"/>
      <c r="M408" s="294"/>
      <c r="S408" s="294"/>
      <c r="T408" s="299"/>
      <c r="U408" s="294"/>
      <c r="V408" s="299"/>
      <c r="W408" s="299"/>
      <c r="X408" s="294"/>
      <c r="Y408" s="299"/>
      <c r="Z408" s="294"/>
      <c r="AA408" s="299"/>
      <c r="AB408" s="299"/>
      <c r="AC408" s="294"/>
      <c r="AD408" s="294"/>
      <c r="AE408" s="294"/>
      <c r="AF408" s="294"/>
    </row>
    <row r="409" spans="2:32" x14ac:dyDescent="0.25">
      <c r="B409" s="294"/>
      <c r="C409" s="294"/>
      <c r="D409" s="294"/>
      <c r="E409" s="294"/>
      <c r="F409" s="294"/>
      <c r="G409" s="294"/>
      <c r="H409" s="294"/>
      <c r="I409" s="294"/>
      <c r="J409" s="294"/>
      <c r="L409" s="295"/>
      <c r="M409" s="294"/>
      <c r="S409" s="294"/>
      <c r="T409" s="299"/>
      <c r="U409" s="294"/>
      <c r="V409" s="299"/>
      <c r="W409" s="299"/>
      <c r="X409" s="294"/>
      <c r="Y409" s="299"/>
      <c r="Z409" s="294"/>
      <c r="AA409" s="299"/>
      <c r="AB409" s="299"/>
      <c r="AC409" s="294"/>
      <c r="AD409" s="294"/>
      <c r="AE409" s="294"/>
      <c r="AF409" s="294"/>
    </row>
    <row r="410" spans="2:32" x14ac:dyDescent="0.25">
      <c r="B410" s="294"/>
      <c r="C410" s="294"/>
      <c r="D410" s="294"/>
      <c r="E410" s="294"/>
      <c r="F410" s="294"/>
      <c r="G410" s="294"/>
      <c r="H410" s="294"/>
      <c r="I410" s="294"/>
      <c r="J410" s="294"/>
      <c r="L410" s="295"/>
      <c r="M410" s="294"/>
      <c r="S410" s="294"/>
      <c r="T410" s="299"/>
      <c r="U410" s="294"/>
      <c r="V410" s="299"/>
      <c r="W410" s="299"/>
      <c r="X410" s="294"/>
      <c r="Y410" s="299"/>
      <c r="Z410" s="294"/>
      <c r="AA410" s="299"/>
      <c r="AB410" s="299"/>
      <c r="AC410" s="294"/>
      <c r="AD410" s="294"/>
      <c r="AE410" s="294"/>
      <c r="AF410" s="294"/>
    </row>
    <row r="411" spans="2:32" x14ac:dyDescent="0.25">
      <c r="B411" s="294"/>
      <c r="C411" s="294"/>
      <c r="D411" s="294"/>
      <c r="E411" s="294"/>
      <c r="F411" s="294"/>
      <c r="G411" s="294"/>
      <c r="H411" s="294"/>
      <c r="I411" s="294"/>
      <c r="J411" s="294"/>
      <c r="L411" s="295"/>
      <c r="M411" s="294"/>
      <c r="S411" s="294"/>
      <c r="T411" s="299"/>
      <c r="U411" s="294"/>
      <c r="V411" s="299"/>
      <c r="W411" s="299"/>
      <c r="X411" s="294"/>
      <c r="Y411" s="299"/>
      <c r="Z411" s="294"/>
      <c r="AA411" s="299"/>
      <c r="AB411" s="299"/>
      <c r="AC411" s="294"/>
      <c r="AD411" s="294"/>
      <c r="AE411" s="294"/>
      <c r="AF411" s="294"/>
    </row>
    <row r="412" spans="2:32" x14ac:dyDescent="0.25">
      <c r="B412" s="294"/>
      <c r="C412" s="294"/>
      <c r="D412" s="294"/>
      <c r="E412" s="294"/>
      <c r="F412" s="294"/>
      <c r="G412" s="294"/>
      <c r="H412" s="294"/>
      <c r="I412" s="294"/>
      <c r="J412" s="294"/>
      <c r="L412" s="295"/>
      <c r="M412" s="294"/>
      <c r="S412" s="294"/>
      <c r="T412" s="299"/>
      <c r="U412" s="294"/>
      <c r="V412" s="299"/>
      <c r="W412" s="299"/>
      <c r="X412" s="294"/>
      <c r="Y412" s="299"/>
      <c r="Z412" s="294"/>
      <c r="AA412" s="299"/>
      <c r="AB412" s="299"/>
      <c r="AC412" s="294"/>
      <c r="AD412" s="294"/>
      <c r="AE412" s="294"/>
      <c r="AF412" s="294"/>
    </row>
    <row r="413" spans="2:32" x14ac:dyDescent="0.25">
      <c r="B413" s="294"/>
      <c r="C413" s="294"/>
      <c r="D413" s="294"/>
      <c r="E413" s="294"/>
      <c r="F413" s="294"/>
      <c r="G413" s="294"/>
      <c r="H413" s="294"/>
      <c r="I413" s="294"/>
      <c r="J413" s="294"/>
      <c r="L413" s="295"/>
      <c r="M413" s="294"/>
      <c r="S413" s="294"/>
      <c r="T413" s="299"/>
      <c r="U413" s="294"/>
      <c r="V413" s="299"/>
      <c r="W413" s="299"/>
      <c r="X413" s="294"/>
      <c r="Y413" s="299"/>
      <c r="Z413" s="294"/>
      <c r="AA413" s="299"/>
      <c r="AB413" s="299"/>
      <c r="AC413" s="294"/>
      <c r="AD413" s="294"/>
      <c r="AE413" s="294"/>
      <c r="AF413" s="294"/>
    </row>
    <row r="414" spans="2:32" x14ac:dyDescent="0.25">
      <c r="B414" s="294"/>
      <c r="C414" s="294"/>
      <c r="D414" s="294"/>
      <c r="E414" s="294"/>
      <c r="F414" s="294"/>
      <c r="G414" s="294"/>
      <c r="H414" s="294"/>
      <c r="I414" s="294"/>
      <c r="J414" s="294"/>
      <c r="L414" s="295"/>
      <c r="M414" s="294"/>
      <c r="S414" s="294"/>
      <c r="T414" s="299"/>
      <c r="U414" s="294"/>
      <c r="V414" s="299"/>
      <c r="W414" s="299"/>
      <c r="X414" s="294"/>
      <c r="Y414" s="299"/>
      <c r="Z414" s="294"/>
      <c r="AA414" s="299"/>
      <c r="AB414" s="299"/>
      <c r="AC414" s="294"/>
      <c r="AD414" s="294"/>
      <c r="AE414" s="294"/>
      <c r="AF414" s="294"/>
    </row>
    <row r="415" spans="2:32" x14ac:dyDescent="0.25">
      <c r="B415" s="294"/>
      <c r="C415" s="294"/>
      <c r="D415" s="294"/>
      <c r="E415" s="294"/>
      <c r="F415" s="294"/>
      <c r="G415" s="294"/>
      <c r="H415" s="294"/>
      <c r="I415" s="294"/>
      <c r="J415" s="294"/>
      <c r="L415" s="295"/>
      <c r="M415" s="294"/>
      <c r="S415" s="294"/>
      <c r="T415" s="299"/>
      <c r="U415" s="294"/>
      <c r="V415" s="299"/>
      <c r="W415" s="299"/>
      <c r="X415" s="294"/>
      <c r="Y415" s="299"/>
      <c r="Z415" s="294"/>
      <c r="AA415" s="299"/>
      <c r="AB415" s="299"/>
      <c r="AC415" s="294"/>
      <c r="AD415" s="294"/>
      <c r="AE415" s="294"/>
      <c r="AF415" s="294"/>
    </row>
    <row r="416" spans="2:32" x14ac:dyDescent="0.25">
      <c r="B416" s="294"/>
      <c r="C416" s="294"/>
      <c r="D416" s="294"/>
      <c r="E416" s="294"/>
      <c r="F416" s="294"/>
      <c r="G416" s="294"/>
      <c r="H416" s="294"/>
      <c r="I416" s="294"/>
      <c r="J416" s="294"/>
      <c r="L416" s="295"/>
      <c r="M416" s="294"/>
      <c r="S416" s="294"/>
      <c r="T416" s="299"/>
      <c r="U416" s="294"/>
      <c r="V416" s="299"/>
      <c r="W416" s="299"/>
      <c r="X416" s="294"/>
      <c r="Y416" s="299"/>
      <c r="Z416" s="294"/>
      <c r="AA416" s="299"/>
      <c r="AB416" s="299"/>
      <c r="AC416" s="294"/>
      <c r="AD416" s="294"/>
      <c r="AE416" s="294"/>
      <c r="AF416" s="294"/>
    </row>
    <row r="417" spans="2:32" x14ac:dyDescent="0.25">
      <c r="B417" s="294"/>
      <c r="C417" s="294"/>
      <c r="D417" s="294"/>
      <c r="E417" s="294"/>
      <c r="F417" s="294"/>
      <c r="G417" s="294"/>
      <c r="H417" s="294"/>
      <c r="I417" s="294"/>
      <c r="J417" s="294"/>
      <c r="L417" s="295"/>
      <c r="M417" s="294"/>
      <c r="S417" s="294"/>
      <c r="T417" s="299"/>
      <c r="U417" s="294"/>
      <c r="V417" s="299"/>
      <c r="W417" s="299"/>
      <c r="X417" s="294"/>
      <c r="Y417" s="299"/>
      <c r="Z417" s="294"/>
      <c r="AA417" s="299"/>
      <c r="AB417" s="299"/>
      <c r="AC417" s="294"/>
      <c r="AD417" s="294"/>
      <c r="AE417" s="294"/>
      <c r="AF417" s="294"/>
    </row>
    <row r="418" spans="2:32" x14ac:dyDescent="0.25">
      <c r="B418" s="294"/>
      <c r="C418" s="294"/>
      <c r="D418" s="294"/>
      <c r="E418" s="294"/>
      <c r="F418" s="294"/>
      <c r="G418" s="294"/>
      <c r="H418" s="294"/>
      <c r="I418" s="294"/>
      <c r="J418" s="294"/>
      <c r="L418" s="295"/>
      <c r="M418" s="294"/>
      <c r="S418" s="294"/>
      <c r="T418" s="299"/>
      <c r="U418" s="294"/>
      <c r="V418" s="299"/>
      <c r="W418" s="299"/>
      <c r="X418" s="294"/>
      <c r="Y418" s="299"/>
      <c r="Z418" s="294"/>
      <c r="AA418" s="299"/>
      <c r="AB418" s="299"/>
      <c r="AC418" s="294"/>
      <c r="AD418" s="294"/>
      <c r="AE418" s="294"/>
      <c r="AF418" s="294"/>
    </row>
    <row r="419" spans="2:32" x14ac:dyDescent="0.25">
      <c r="B419" s="294"/>
      <c r="C419" s="294"/>
      <c r="D419" s="294"/>
      <c r="E419" s="294"/>
      <c r="F419" s="294"/>
      <c r="G419" s="294"/>
      <c r="H419" s="294"/>
      <c r="I419" s="294"/>
      <c r="J419" s="294"/>
      <c r="L419" s="295"/>
      <c r="M419" s="294"/>
      <c r="S419" s="294"/>
      <c r="T419" s="299"/>
      <c r="U419" s="294"/>
      <c r="V419" s="299"/>
      <c r="W419" s="299"/>
      <c r="X419" s="294"/>
      <c r="Y419" s="299"/>
      <c r="Z419" s="294"/>
      <c r="AA419" s="299"/>
      <c r="AB419" s="299"/>
      <c r="AC419" s="294"/>
      <c r="AD419" s="294"/>
      <c r="AE419" s="294"/>
      <c r="AF419" s="294"/>
    </row>
    <row r="420" spans="2:32" x14ac:dyDescent="0.25">
      <c r="B420" s="294"/>
      <c r="C420" s="294"/>
      <c r="D420" s="294"/>
      <c r="E420" s="294"/>
      <c r="F420" s="294"/>
      <c r="G420" s="294"/>
      <c r="H420" s="294"/>
      <c r="I420" s="294"/>
      <c r="J420" s="294"/>
      <c r="L420" s="295"/>
      <c r="M420" s="294"/>
      <c r="S420" s="294"/>
      <c r="T420" s="299"/>
      <c r="U420" s="294"/>
      <c r="V420" s="299"/>
      <c r="W420" s="299"/>
      <c r="X420" s="294"/>
      <c r="Y420" s="299"/>
      <c r="Z420" s="294"/>
      <c r="AA420" s="299"/>
      <c r="AB420" s="299"/>
      <c r="AC420" s="294"/>
      <c r="AD420" s="294"/>
      <c r="AE420" s="294"/>
      <c r="AF420" s="294"/>
    </row>
    <row r="421" spans="2:32" x14ac:dyDescent="0.25">
      <c r="B421" s="294"/>
      <c r="C421" s="294"/>
      <c r="D421" s="294"/>
      <c r="E421" s="294"/>
      <c r="F421" s="294"/>
      <c r="G421" s="294"/>
      <c r="H421" s="294"/>
      <c r="I421" s="294"/>
      <c r="J421" s="294"/>
      <c r="L421" s="295"/>
      <c r="M421" s="294"/>
      <c r="S421" s="294"/>
      <c r="T421" s="299"/>
      <c r="U421" s="294"/>
      <c r="V421" s="299"/>
      <c r="W421" s="299"/>
      <c r="X421" s="294"/>
      <c r="Y421" s="299"/>
      <c r="Z421" s="294"/>
      <c r="AA421" s="299"/>
      <c r="AB421" s="299"/>
      <c r="AC421" s="294"/>
      <c r="AD421" s="294"/>
      <c r="AE421" s="294"/>
      <c r="AF421" s="294"/>
    </row>
    <row r="422" spans="2:32" x14ac:dyDescent="0.25">
      <c r="B422" s="294"/>
      <c r="C422" s="294"/>
      <c r="D422" s="294"/>
      <c r="E422" s="294"/>
      <c r="F422" s="294"/>
      <c r="G422" s="294"/>
      <c r="H422" s="294"/>
      <c r="I422" s="294"/>
      <c r="J422" s="294"/>
      <c r="L422" s="295"/>
      <c r="M422" s="294"/>
      <c r="S422" s="294"/>
      <c r="T422" s="299"/>
      <c r="U422" s="294"/>
      <c r="V422" s="299"/>
      <c r="W422" s="299"/>
      <c r="X422" s="294"/>
      <c r="Y422" s="299"/>
      <c r="Z422" s="294"/>
      <c r="AA422" s="299"/>
      <c r="AB422" s="299"/>
      <c r="AC422" s="294"/>
      <c r="AD422" s="294"/>
      <c r="AE422" s="294"/>
      <c r="AF422" s="294"/>
    </row>
    <row r="423" spans="2:32" x14ac:dyDescent="0.25">
      <c r="B423" s="294"/>
      <c r="C423" s="294"/>
      <c r="D423" s="294"/>
      <c r="E423" s="294"/>
      <c r="F423" s="294"/>
      <c r="G423" s="294"/>
      <c r="H423" s="294"/>
      <c r="I423" s="294"/>
      <c r="J423" s="294"/>
      <c r="L423" s="295"/>
      <c r="M423" s="294"/>
      <c r="S423" s="294"/>
      <c r="T423" s="299"/>
      <c r="U423" s="294"/>
      <c r="V423" s="299"/>
      <c r="W423" s="299"/>
      <c r="X423" s="294"/>
      <c r="Y423" s="299"/>
      <c r="Z423" s="294"/>
      <c r="AA423" s="299"/>
      <c r="AB423" s="299"/>
      <c r="AC423" s="294"/>
      <c r="AD423" s="294"/>
      <c r="AE423" s="294"/>
      <c r="AF423" s="294"/>
    </row>
    <row r="424" spans="2:32" x14ac:dyDescent="0.25">
      <c r="B424" s="294"/>
      <c r="C424" s="294"/>
      <c r="D424" s="294"/>
      <c r="E424" s="294"/>
      <c r="F424" s="294"/>
      <c r="G424" s="294"/>
      <c r="H424" s="294"/>
      <c r="I424" s="294"/>
      <c r="J424" s="294"/>
      <c r="L424" s="295"/>
      <c r="M424" s="294"/>
      <c r="S424" s="294"/>
      <c r="T424" s="299"/>
      <c r="U424" s="294"/>
      <c r="V424" s="299"/>
      <c r="W424" s="299"/>
      <c r="X424" s="294"/>
      <c r="Y424" s="299"/>
      <c r="Z424" s="294"/>
      <c r="AA424" s="299"/>
      <c r="AB424" s="299"/>
      <c r="AC424" s="294"/>
      <c r="AD424" s="294"/>
      <c r="AE424" s="294"/>
      <c r="AF424" s="294"/>
    </row>
    <row r="425" spans="2:32" x14ac:dyDescent="0.25">
      <c r="B425" s="294"/>
      <c r="C425" s="294"/>
      <c r="D425" s="294"/>
      <c r="E425" s="294"/>
      <c r="F425" s="294"/>
      <c r="G425" s="294"/>
      <c r="H425" s="294"/>
      <c r="I425" s="294"/>
      <c r="J425" s="294"/>
      <c r="L425" s="295"/>
      <c r="M425" s="294"/>
      <c r="S425" s="294"/>
      <c r="T425" s="299"/>
      <c r="U425" s="294"/>
      <c r="V425" s="299"/>
      <c r="W425" s="299"/>
      <c r="X425" s="294"/>
      <c r="Y425" s="299"/>
      <c r="Z425" s="294"/>
      <c r="AA425" s="299"/>
      <c r="AB425" s="299"/>
      <c r="AC425" s="294"/>
      <c r="AD425" s="294"/>
      <c r="AE425" s="294"/>
      <c r="AF425" s="294"/>
    </row>
    <row r="426" spans="2:32" x14ac:dyDescent="0.25">
      <c r="B426" s="294"/>
      <c r="C426" s="294"/>
      <c r="D426" s="294"/>
      <c r="E426" s="294"/>
      <c r="F426" s="294"/>
      <c r="G426" s="294"/>
      <c r="H426" s="294"/>
      <c r="I426" s="294"/>
      <c r="J426" s="294"/>
      <c r="L426" s="295"/>
      <c r="M426" s="294"/>
      <c r="S426" s="294"/>
      <c r="T426" s="299"/>
      <c r="U426" s="294"/>
      <c r="V426" s="299"/>
      <c r="W426" s="299"/>
      <c r="X426" s="294"/>
      <c r="Y426" s="299"/>
      <c r="Z426" s="294"/>
      <c r="AA426" s="299"/>
      <c r="AB426" s="299"/>
      <c r="AC426" s="294"/>
      <c r="AD426" s="294"/>
      <c r="AE426" s="294"/>
      <c r="AF426" s="294"/>
    </row>
    <row r="427" spans="2:32" x14ac:dyDescent="0.25">
      <c r="B427" s="294"/>
      <c r="C427" s="294"/>
      <c r="D427" s="294"/>
      <c r="E427" s="294"/>
      <c r="F427" s="294"/>
      <c r="G427" s="294"/>
      <c r="H427" s="294"/>
      <c r="I427" s="294"/>
      <c r="J427" s="294"/>
      <c r="L427" s="295"/>
      <c r="M427" s="294"/>
      <c r="S427" s="294"/>
      <c r="T427" s="299"/>
      <c r="U427" s="294"/>
      <c r="V427" s="299"/>
      <c r="W427" s="299"/>
      <c r="X427" s="294"/>
      <c r="Y427" s="299"/>
      <c r="Z427" s="294"/>
      <c r="AA427" s="299"/>
      <c r="AB427" s="299"/>
      <c r="AC427" s="294"/>
      <c r="AD427" s="294"/>
      <c r="AE427" s="294"/>
      <c r="AF427" s="294"/>
    </row>
    <row r="428" spans="2:32" x14ac:dyDescent="0.25">
      <c r="B428" s="294"/>
      <c r="C428" s="294"/>
      <c r="D428" s="294"/>
      <c r="E428" s="294"/>
      <c r="F428" s="294"/>
      <c r="G428" s="294"/>
      <c r="H428" s="294"/>
      <c r="I428" s="294"/>
      <c r="J428" s="294"/>
      <c r="L428" s="295"/>
      <c r="M428" s="294"/>
      <c r="S428" s="294"/>
      <c r="T428" s="299"/>
      <c r="U428" s="294"/>
      <c r="V428" s="299"/>
      <c r="W428" s="299"/>
      <c r="X428" s="294"/>
      <c r="Y428" s="299"/>
      <c r="Z428" s="294"/>
      <c r="AA428" s="299"/>
      <c r="AB428" s="299"/>
      <c r="AC428" s="294"/>
      <c r="AD428" s="294"/>
      <c r="AE428" s="294"/>
      <c r="AF428" s="294"/>
    </row>
    <row r="429" spans="2:32" x14ac:dyDescent="0.25">
      <c r="B429" s="294"/>
      <c r="C429" s="294"/>
      <c r="D429" s="294"/>
      <c r="E429" s="294"/>
      <c r="F429" s="294"/>
      <c r="G429" s="294"/>
      <c r="H429" s="294"/>
      <c r="I429" s="294"/>
      <c r="J429" s="294"/>
      <c r="L429" s="295"/>
      <c r="M429" s="294"/>
      <c r="S429" s="294"/>
      <c r="T429" s="299"/>
      <c r="U429" s="294"/>
      <c r="V429" s="299"/>
      <c r="W429" s="299"/>
      <c r="X429" s="294"/>
      <c r="Y429" s="299"/>
      <c r="Z429" s="294"/>
      <c r="AA429" s="299"/>
      <c r="AB429" s="299"/>
      <c r="AC429" s="294"/>
      <c r="AD429" s="294"/>
      <c r="AE429" s="294"/>
      <c r="AF429" s="294"/>
    </row>
    <row r="430" spans="2:32" x14ac:dyDescent="0.25">
      <c r="B430" s="294"/>
      <c r="C430" s="294"/>
      <c r="D430" s="294"/>
      <c r="E430" s="294"/>
      <c r="F430" s="294"/>
      <c r="G430" s="294"/>
      <c r="H430" s="294"/>
      <c r="I430" s="294"/>
      <c r="J430" s="294"/>
      <c r="L430" s="295"/>
      <c r="M430" s="294"/>
      <c r="S430" s="294"/>
      <c r="T430" s="299"/>
      <c r="U430" s="294"/>
      <c r="V430" s="299"/>
      <c r="W430" s="299"/>
      <c r="X430" s="294"/>
      <c r="Y430" s="299"/>
      <c r="Z430" s="294"/>
      <c r="AA430" s="299"/>
      <c r="AB430" s="299"/>
      <c r="AC430" s="294"/>
      <c r="AD430" s="294"/>
      <c r="AE430" s="294"/>
      <c r="AF430" s="294"/>
    </row>
    <row r="431" spans="2:32" x14ac:dyDescent="0.25">
      <c r="B431" s="294"/>
      <c r="C431" s="294"/>
      <c r="D431" s="294"/>
      <c r="E431" s="294"/>
      <c r="F431" s="294"/>
      <c r="G431" s="294"/>
      <c r="H431" s="294"/>
      <c r="I431" s="294"/>
      <c r="J431" s="294"/>
      <c r="L431" s="295"/>
      <c r="M431" s="294"/>
      <c r="S431" s="294"/>
      <c r="T431" s="299"/>
      <c r="U431" s="294"/>
      <c r="V431" s="299"/>
      <c r="W431" s="299"/>
      <c r="X431" s="294"/>
      <c r="Y431" s="299"/>
      <c r="Z431" s="294"/>
      <c r="AA431" s="299"/>
      <c r="AB431" s="299"/>
      <c r="AC431" s="294"/>
      <c r="AD431" s="294"/>
      <c r="AE431" s="294"/>
      <c r="AF431" s="294"/>
    </row>
    <row r="432" spans="2:32" x14ac:dyDescent="0.25">
      <c r="B432" s="294"/>
      <c r="C432" s="294"/>
      <c r="D432" s="294"/>
      <c r="E432" s="294"/>
      <c r="F432" s="294"/>
      <c r="G432" s="294"/>
      <c r="H432" s="294"/>
      <c r="I432" s="294"/>
      <c r="J432" s="294"/>
      <c r="L432" s="295"/>
      <c r="M432" s="294"/>
      <c r="S432" s="294"/>
      <c r="T432" s="299"/>
      <c r="U432" s="294"/>
      <c r="V432" s="299"/>
      <c r="W432" s="299"/>
      <c r="X432" s="294"/>
      <c r="Y432" s="299"/>
      <c r="Z432" s="294"/>
      <c r="AA432" s="299"/>
      <c r="AB432" s="299"/>
      <c r="AC432" s="294"/>
      <c r="AD432" s="294"/>
      <c r="AE432" s="294"/>
      <c r="AF432" s="294"/>
    </row>
    <row r="433" spans="2:32" x14ac:dyDescent="0.25">
      <c r="B433" s="294"/>
      <c r="C433" s="294"/>
      <c r="D433" s="294"/>
      <c r="E433" s="294"/>
      <c r="F433" s="294"/>
      <c r="G433" s="294"/>
      <c r="H433" s="294"/>
      <c r="I433" s="294"/>
      <c r="J433" s="294"/>
      <c r="L433" s="295"/>
      <c r="M433" s="294"/>
      <c r="S433" s="294"/>
      <c r="T433" s="299"/>
      <c r="U433" s="294"/>
      <c r="V433" s="299"/>
      <c r="W433" s="299"/>
      <c r="X433" s="294"/>
      <c r="Y433" s="299"/>
      <c r="Z433" s="294"/>
      <c r="AA433" s="299"/>
      <c r="AB433" s="299"/>
      <c r="AC433" s="294"/>
      <c r="AD433" s="294"/>
      <c r="AE433" s="294"/>
      <c r="AF433" s="294"/>
    </row>
    <row r="434" spans="2:32" x14ac:dyDescent="0.25">
      <c r="B434" s="294"/>
      <c r="C434" s="294"/>
      <c r="D434" s="294"/>
      <c r="E434" s="294"/>
      <c r="F434" s="294"/>
      <c r="G434" s="294"/>
      <c r="H434" s="294"/>
      <c r="I434" s="294"/>
      <c r="J434" s="294"/>
      <c r="L434" s="295"/>
      <c r="M434" s="294"/>
      <c r="S434" s="294"/>
      <c r="T434" s="299"/>
      <c r="U434" s="294"/>
      <c r="V434" s="299"/>
      <c r="W434" s="299"/>
      <c r="X434" s="294"/>
      <c r="Y434" s="299"/>
      <c r="Z434" s="294"/>
      <c r="AA434" s="299"/>
      <c r="AB434" s="299"/>
      <c r="AC434" s="294"/>
      <c r="AD434" s="294"/>
      <c r="AE434" s="294"/>
      <c r="AF434" s="294"/>
    </row>
    <row r="435" spans="2:32" x14ac:dyDescent="0.25">
      <c r="B435" s="294"/>
      <c r="C435" s="294"/>
      <c r="D435" s="294"/>
      <c r="E435" s="294"/>
      <c r="F435" s="294"/>
      <c r="G435" s="294"/>
      <c r="H435" s="294"/>
      <c r="I435" s="294"/>
      <c r="J435" s="294"/>
      <c r="L435" s="295"/>
      <c r="M435" s="294"/>
      <c r="S435" s="294"/>
      <c r="T435" s="299"/>
      <c r="U435" s="294"/>
      <c r="V435" s="299"/>
      <c r="W435" s="299"/>
      <c r="X435" s="294"/>
      <c r="Y435" s="299"/>
      <c r="Z435" s="294"/>
      <c r="AA435" s="299"/>
      <c r="AB435" s="299"/>
      <c r="AC435" s="294"/>
      <c r="AD435" s="294"/>
      <c r="AE435" s="294"/>
      <c r="AF435" s="294"/>
    </row>
    <row r="436" spans="2:32" x14ac:dyDescent="0.25">
      <c r="B436" s="294"/>
      <c r="C436" s="294"/>
      <c r="D436" s="294"/>
      <c r="E436" s="294"/>
      <c r="F436" s="294"/>
      <c r="G436" s="294"/>
      <c r="H436" s="294"/>
      <c r="I436" s="294"/>
      <c r="J436" s="294"/>
      <c r="L436" s="295"/>
      <c r="M436" s="294"/>
      <c r="S436" s="294"/>
      <c r="T436" s="299"/>
      <c r="U436" s="294"/>
      <c r="V436" s="299"/>
      <c r="W436" s="299"/>
      <c r="X436" s="294"/>
      <c r="Y436" s="299"/>
      <c r="Z436" s="294"/>
      <c r="AA436" s="299"/>
      <c r="AB436" s="299"/>
      <c r="AC436" s="294"/>
      <c r="AD436" s="294"/>
      <c r="AE436" s="294"/>
      <c r="AF436" s="294"/>
    </row>
    <row r="437" spans="2:32" x14ac:dyDescent="0.25">
      <c r="B437" s="294"/>
      <c r="C437" s="294"/>
      <c r="D437" s="294"/>
      <c r="E437" s="294"/>
      <c r="F437" s="294"/>
      <c r="G437" s="294"/>
      <c r="H437" s="294"/>
      <c r="I437" s="294"/>
      <c r="J437" s="294"/>
      <c r="L437" s="295"/>
      <c r="M437" s="294"/>
      <c r="S437" s="294"/>
      <c r="T437" s="299"/>
      <c r="U437" s="294"/>
      <c r="V437" s="299"/>
      <c r="W437" s="299"/>
      <c r="X437" s="294"/>
      <c r="Y437" s="299"/>
      <c r="Z437" s="294"/>
      <c r="AA437" s="299"/>
      <c r="AB437" s="299"/>
      <c r="AC437" s="294"/>
      <c r="AD437" s="294"/>
      <c r="AE437" s="294"/>
      <c r="AF437" s="294"/>
    </row>
    <row r="438" spans="2:32" x14ac:dyDescent="0.25">
      <c r="B438" s="294"/>
      <c r="C438" s="294"/>
      <c r="D438" s="294"/>
      <c r="E438" s="294"/>
      <c r="F438" s="294"/>
      <c r="G438" s="294"/>
      <c r="H438" s="294"/>
      <c r="I438" s="294"/>
      <c r="J438" s="294"/>
      <c r="L438" s="295"/>
      <c r="M438" s="294"/>
      <c r="S438" s="294"/>
      <c r="T438" s="299"/>
      <c r="U438" s="294"/>
      <c r="V438" s="299"/>
      <c r="W438" s="299"/>
      <c r="X438" s="294"/>
      <c r="Y438" s="299"/>
      <c r="Z438" s="294"/>
      <c r="AA438" s="299"/>
      <c r="AB438" s="299"/>
      <c r="AC438" s="294"/>
      <c r="AD438" s="294"/>
      <c r="AE438" s="294"/>
      <c r="AF438" s="294"/>
    </row>
    <row r="439" spans="2:32" x14ac:dyDescent="0.25">
      <c r="B439" s="294"/>
      <c r="C439" s="294"/>
      <c r="D439" s="294"/>
      <c r="E439" s="294"/>
      <c r="F439" s="294"/>
      <c r="G439" s="294"/>
      <c r="H439" s="294"/>
      <c r="I439" s="294"/>
      <c r="J439" s="294"/>
      <c r="L439" s="295"/>
      <c r="M439" s="294"/>
      <c r="S439" s="294"/>
      <c r="T439" s="299"/>
      <c r="U439" s="294"/>
      <c r="V439" s="299"/>
      <c r="W439" s="299"/>
      <c r="X439" s="294"/>
      <c r="Y439" s="299"/>
      <c r="Z439" s="294"/>
      <c r="AA439" s="299"/>
      <c r="AB439" s="299"/>
      <c r="AC439" s="294"/>
      <c r="AD439" s="294"/>
      <c r="AE439" s="294"/>
      <c r="AF439" s="294"/>
    </row>
    <row r="440" spans="2:32" x14ac:dyDescent="0.25">
      <c r="B440" s="294"/>
      <c r="C440" s="294"/>
      <c r="D440" s="294"/>
      <c r="E440" s="294"/>
      <c r="F440" s="294"/>
      <c r="G440" s="294"/>
      <c r="H440" s="294"/>
      <c r="I440" s="294"/>
      <c r="J440" s="294"/>
      <c r="L440" s="295"/>
      <c r="M440" s="294"/>
      <c r="S440" s="294"/>
      <c r="T440" s="299"/>
      <c r="U440" s="294"/>
      <c r="V440" s="299"/>
      <c r="W440" s="299"/>
      <c r="X440" s="294"/>
      <c r="Y440" s="299"/>
      <c r="Z440" s="294"/>
      <c r="AA440" s="299"/>
      <c r="AB440" s="299"/>
      <c r="AC440" s="294"/>
      <c r="AD440" s="294"/>
      <c r="AE440" s="294"/>
      <c r="AF440" s="294"/>
    </row>
    <row r="441" spans="2:32" x14ac:dyDescent="0.25">
      <c r="B441" s="294"/>
      <c r="C441" s="294"/>
      <c r="D441" s="294"/>
      <c r="E441" s="294"/>
      <c r="F441" s="294"/>
      <c r="G441" s="294"/>
      <c r="H441" s="294"/>
      <c r="I441" s="294"/>
      <c r="J441" s="294"/>
      <c r="L441" s="295"/>
      <c r="M441" s="294"/>
      <c r="S441" s="294"/>
      <c r="T441" s="299"/>
      <c r="U441" s="294"/>
      <c r="V441" s="299"/>
      <c r="W441" s="299"/>
      <c r="X441" s="294"/>
      <c r="Y441" s="299"/>
      <c r="Z441" s="294"/>
      <c r="AA441" s="299"/>
      <c r="AB441" s="299"/>
      <c r="AC441" s="294"/>
      <c r="AD441" s="294"/>
      <c r="AE441" s="294"/>
      <c r="AF441" s="294"/>
    </row>
    <row r="442" spans="2:32" x14ac:dyDescent="0.25">
      <c r="B442" s="294"/>
      <c r="C442" s="294"/>
      <c r="D442" s="294"/>
      <c r="E442" s="294"/>
      <c r="F442" s="294"/>
      <c r="G442" s="294"/>
      <c r="H442" s="294"/>
      <c r="I442" s="294"/>
      <c r="J442" s="294"/>
      <c r="L442" s="295"/>
      <c r="M442" s="294"/>
      <c r="S442" s="294"/>
      <c r="T442" s="299"/>
      <c r="U442" s="294"/>
      <c r="V442" s="299"/>
      <c r="W442" s="299"/>
      <c r="X442" s="294"/>
      <c r="Y442" s="299"/>
      <c r="Z442" s="294"/>
      <c r="AA442" s="299"/>
      <c r="AB442" s="299"/>
      <c r="AC442" s="294"/>
      <c r="AD442" s="294"/>
      <c r="AE442" s="294"/>
      <c r="AF442" s="294"/>
    </row>
    <row r="443" spans="2:32" x14ac:dyDescent="0.25">
      <c r="B443" s="294"/>
      <c r="C443" s="294"/>
      <c r="D443" s="294"/>
      <c r="E443" s="294"/>
      <c r="F443" s="294"/>
      <c r="G443" s="294"/>
      <c r="H443" s="294"/>
      <c r="I443" s="294"/>
      <c r="J443" s="294"/>
      <c r="L443" s="295"/>
      <c r="M443" s="294"/>
      <c r="S443" s="294"/>
      <c r="T443" s="299"/>
      <c r="U443" s="294"/>
      <c r="V443" s="299"/>
      <c r="W443" s="299"/>
      <c r="X443" s="294"/>
      <c r="Y443" s="299"/>
      <c r="Z443" s="294"/>
      <c r="AA443" s="299"/>
      <c r="AB443" s="299"/>
      <c r="AC443" s="294"/>
      <c r="AD443" s="294"/>
      <c r="AE443" s="294"/>
      <c r="AF443" s="294"/>
    </row>
    <row r="444" spans="2:32" x14ac:dyDescent="0.25">
      <c r="B444" s="294"/>
      <c r="C444" s="294"/>
      <c r="D444" s="294"/>
      <c r="E444" s="294"/>
      <c r="F444" s="294"/>
      <c r="G444" s="294"/>
      <c r="H444" s="294"/>
      <c r="I444" s="294"/>
      <c r="J444" s="294"/>
      <c r="L444" s="295"/>
      <c r="M444" s="294"/>
      <c r="S444" s="294"/>
      <c r="T444" s="299"/>
      <c r="U444" s="294"/>
      <c r="V444" s="299"/>
      <c r="W444" s="299"/>
      <c r="X444" s="294"/>
      <c r="Y444" s="299"/>
      <c r="Z444" s="294"/>
      <c r="AA444" s="299"/>
      <c r="AB444" s="299"/>
      <c r="AC444" s="294"/>
      <c r="AD444" s="294"/>
      <c r="AE444" s="294"/>
      <c r="AF444" s="294"/>
    </row>
    <row r="445" spans="2:32" x14ac:dyDescent="0.25">
      <c r="B445" s="294"/>
      <c r="C445" s="294"/>
      <c r="D445" s="294"/>
      <c r="E445" s="294"/>
      <c r="F445" s="294"/>
      <c r="G445" s="294"/>
      <c r="H445" s="294"/>
      <c r="I445" s="294"/>
      <c r="J445" s="294"/>
      <c r="L445" s="295"/>
      <c r="M445" s="294"/>
      <c r="S445" s="294"/>
      <c r="T445" s="299"/>
      <c r="U445" s="294"/>
      <c r="V445" s="299"/>
      <c r="W445" s="299"/>
      <c r="X445" s="294"/>
      <c r="Y445" s="299"/>
      <c r="Z445" s="294"/>
      <c r="AA445" s="299"/>
      <c r="AB445" s="299"/>
      <c r="AC445" s="294"/>
      <c r="AD445" s="294"/>
      <c r="AE445" s="294"/>
      <c r="AF445" s="294"/>
    </row>
    <row r="446" spans="2:32" x14ac:dyDescent="0.25">
      <c r="B446" s="294"/>
      <c r="C446" s="294"/>
      <c r="D446" s="294"/>
      <c r="E446" s="294"/>
      <c r="F446" s="294"/>
      <c r="G446" s="294"/>
      <c r="H446" s="294"/>
      <c r="I446" s="294"/>
      <c r="J446" s="294"/>
      <c r="L446" s="295"/>
      <c r="M446" s="294"/>
      <c r="S446" s="294"/>
      <c r="T446" s="299"/>
      <c r="U446" s="294"/>
      <c r="V446" s="299"/>
      <c r="W446" s="299"/>
      <c r="X446" s="294"/>
      <c r="Y446" s="299"/>
      <c r="Z446" s="294"/>
      <c r="AA446" s="299"/>
      <c r="AB446" s="299"/>
      <c r="AC446" s="294"/>
      <c r="AD446" s="294"/>
      <c r="AE446" s="294"/>
      <c r="AF446" s="294"/>
    </row>
    <row r="447" spans="2:32" x14ac:dyDescent="0.25">
      <c r="B447" s="294"/>
      <c r="C447" s="294"/>
      <c r="D447" s="294"/>
      <c r="E447" s="294"/>
      <c r="F447" s="294"/>
      <c r="G447" s="294"/>
      <c r="H447" s="294"/>
      <c r="I447" s="294"/>
      <c r="J447" s="294"/>
      <c r="L447" s="295"/>
      <c r="M447" s="294"/>
      <c r="S447" s="294"/>
      <c r="T447" s="299"/>
      <c r="U447" s="294"/>
      <c r="V447" s="299"/>
      <c r="W447" s="299"/>
      <c r="X447" s="294"/>
      <c r="Y447" s="299"/>
      <c r="Z447" s="294"/>
      <c r="AA447" s="299"/>
      <c r="AB447" s="299"/>
      <c r="AC447" s="294"/>
      <c r="AD447" s="294"/>
      <c r="AE447" s="294"/>
      <c r="AF447" s="294"/>
    </row>
    <row r="448" spans="2:32" x14ac:dyDescent="0.25">
      <c r="B448" s="294"/>
      <c r="C448" s="294"/>
      <c r="D448" s="294"/>
      <c r="E448" s="294"/>
      <c r="F448" s="294"/>
      <c r="G448" s="294"/>
      <c r="H448" s="294"/>
      <c r="I448" s="294"/>
      <c r="J448" s="294"/>
      <c r="L448" s="295"/>
      <c r="M448" s="294"/>
      <c r="S448" s="294"/>
      <c r="T448" s="299"/>
      <c r="U448" s="294"/>
      <c r="V448" s="299"/>
      <c r="W448" s="299"/>
      <c r="X448" s="294"/>
      <c r="Y448" s="299"/>
      <c r="Z448" s="294"/>
      <c r="AA448" s="299"/>
      <c r="AB448" s="299"/>
      <c r="AC448" s="294"/>
      <c r="AD448" s="294"/>
      <c r="AE448" s="294"/>
      <c r="AF448" s="294"/>
    </row>
    <row r="449" spans="2:32" x14ac:dyDescent="0.25">
      <c r="B449" s="294"/>
      <c r="C449" s="294"/>
      <c r="D449" s="294"/>
      <c r="E449" s="294"/>
      <c r="F449" s="294"/>
      <c r="G449" s="294"/>
      <c r="H449" s="294"/>
      <c r="I449" s="294"/>
      <c r="J449" s="294"/>
      <c r="L449" s="295"/>
      <c r="M449" s="294"/>
      <c r="S449" s="294"/>
      <c r="T449" s="299"/>
      <c r="U449" s="294"/>
      <c r="V449" s="299"/>
      <c r="W449" s="299"/>
      <c r="X449" s="294"/>
      <c r="Y449" s="299"/>
      <c r="Z449" s="294"/>
      <c r="AA449" s="299"/>
      <c r="AB449" s="299"/>
      <c r="AC449" s="294"/>
      <c r="AD449" s="294"/>
      <c r="AE449" s="294"/>
      <c r="AF449" s="294"/>
    </row>
    <row r="450" spans="2:32" x14ac:dyDescent="0.25">
      <c r="B450" s="294"/>
      <c r="C450" s="294"/>
      <c r="D450" s="294"/>
      <c r="E450" s="294"/>
      <c r="F450" s="294"/>
      <c r="G450" s="294"/>
      <c r="H450" s="294"/>
      <c r="I450" s="294"/>
      <c r="J450" s="294"/>
      <c r="L450" s="295"/>
      <c r="M450" s="294"/>
      <c r="S450" s="294"/>
      <c r="T450" s="299"/>
      <c r="U450" s="294"/>
      <c r="V450" s="299"/>
      <c r="W450" s="299"/>
      <c r="X450" s="294"/>
      <c r="Y450" s="299"/>
      <c r="Z450" s="294"/>
      <c r="AA450" s="299"/>
      <c r="AB450" s="299"/>
      <c r="AC450" s="294"/>
      <c r="AD450" s="294"/>
      <c r="AE450" s="294"/>
      <c r="AF450" s="294"/>
    </row>
    <row r="451" spans="2:32" x14ac:dyDescent="0.25">
      <c r="B451" s="294"/>
      <c r="C451" s="294"/>
      <c r="D451" s="294"/>
      <c r="E451" s="294"/>
      <c r="F451" s="294"/>
      <c r="G451" s="294"/>
      <c r="H451" s="294"/>
      <c r="I451" s="294"/>
      <c r="J451" s="294"/>
      <c r="L451" s="295"/>
      <c r="M451" s="294"/>
      <c r="S451" s="294"/>
      <c r="T451" s="299"/>
      <c r="U451" s="294"/>
      <c r="V451" s="299"/>
      <c r="W451" s="299"/>
      <c r="X451" s="294"/>
      <c r="Y451" s="299"/>
      <c r="Z451" s="294"/>
      <c r="AA451" s="299"/>
      <c r="AB451" s="299"/>
      <c r="AC451" s="294"/>
      <c r="AD451" s="294"/>
      <c r="AE451" s="294"/>
      <c r="AF451" s="294"/>
    </row>
    <row r="452" spans="2:32" x14ac:dyDescent="0.25">
      <c r="B452" s="294"/>
      <c r="C452" s="294"/>
      <c r="D452" s="294"/>
      <c r="E452" s="294"/>
      <c r="F452" s="294"/>
      <c r="G452" s="294"/>
      <c r="H452" s="294"/>
      <c r="I452" s="294"/>
      <c r="J452" s="294"/>
      <c r="L452" s="295"/>
      <c r="M452" s="294"/>
      <c r="S452" s="294"/>
      <c r="T452" s="299"/>
      <c r="U452" s="294"/>
      <c r="V452" s="299"/>
      <c r="W452" s="299"/>
      <c r="X452" s="294"/>
      <c r="Y452" s="299"/>
      <c r="Z452" s="294"/>
      <c r="AA452" s="299"/>
      <c r="AB452" s="299"/>
      <c r="AC452" s="294"/>
      <c r="AD452" s="294"/>
      <c r="AE452" s="294"/>
      <c r="AF452" s="294"/>
    </row>
    <row r="453" spans="2:32" x14ac:dyDescent="0.25">
      <c r="B453" s="294"/>
      <c r="C453" s="294"/>
      <c r="D453" s="294"/>
      <c r="E453" s="294"/>
      <c r="F453" s="294"/>
      <c r="G453" s="294"/>
      <c r="H453" s="294"/>
      <c r="I453" s="294"/>
      <c r="J453" s="294"/>
      <c r="L453" s="295"/>
      <c r="M453" s="294"/>
      <c r="S453" s="294"/>
      <c r="T453" s="299"/>
      <c r="U453" s="294"/>
      <c r="V453" s="299"/>
      <c r="W453" s="299"/>
      <c r="X453" s="294"/>
      <c r="Y453" s="299"/>
      <c r="Z453" s="294"/>
      <c r="AA453" s="299"/>
      <c r="AB453" s="299"/>
      <c r="AC453" s="294"/>
      <c r="AD453" s="294"/>
      <c r="AE453" s="294"/>
      <c r="AF453" s="294"/>
    </row>
    <row r="454" spans="2:32" x14ac:dyDescent="0.25">
      <c r="B454" s="294"/>
      <c r="C454" s="294"/>
      <c r="D454" s="294"/>
      <c r="E454" s="294"/>
      <c r="F454" s="294"/>
      <c r="G454" s="294"/>
      <c r="H454" s="294"/>
      <c r="I454" s="294"/>
      <c r="J454" s="294"/>
      <c r="L454" s="295"/>
      <c r="M454" s="294"/>
      <c r="S454" s="294"/>
      <c r="T454" s="299"/>
      <c r="U454" s="294"/>
      <c r="V454" s="299"/>
      <c r="W454" s="299"/>
      <c r="X454" s="294"/>
      <c r="Y454" s="299"/>
      <c r="Z454" s="294"/>
      <c r="AA454" s="299"/>
      <c r="AB454" s="299"/>
      <c r="AC454" s="294"/>
      <c r="AD454" s="294"/>
      <c r="AE454" s="294"/>
      <c r="AF454" s="294"/>
    </row>
    <row r="455" spans="2:32" x14ac:dyDescent="0.25">
      <c r="B455" s="294"/>
      <c r="C455" s="294"/>
      <c r="D455" s="294"/>
      <c r="E455" s="294"/>
      <c r="F455" s="294"/>
      <c r="G455" s="294"/>
      <c r="H455" s="294"/>
      <c r="I455" s="294"/>
      <c r="J455" s="294"/>
      <c r="L455" s="295"/>
      <c r="M455" s="294"/>
      <c r="S455" s="294"/>
      <c r="T455" s="299"/>
      <c r="U455" s="294"/>
      <c r="V455" s="299"/>
      <c r="W455" s="299"/>
      <c r="X455" s="294"/>
      <c r="Y455" s="299"/>
      <c r="Z455" s="294"/>
      <c r="AA455" s="299"/>
      <c r="AB455" s="299"/>
      <c r="AC455" s="294"/>
      <c r="AD455" s="294"/>
      <c r="AE455" s="294"/>
      <c r="AF455" s="294"/>
    </row>
    <row r="456" spans="2:32" x14ac:dyDescent="0.25">
      <c r="B456" s="294"/>
      <c r="C456" s="294"/>
      <c r="D456" s="294"/>
      <c r="E456" s="294"/>
      <c r="F456" s="294"/>
      <c r="G456" s="294"/>
      <c r="H456" s="294"/>
      <c r="I456" s="294"/>
      <c r="J456" s="294"/>
      <c r="L456" s="295"/>
      <c r="M456" s="294"/>
      <c r="S456" s="294"/>
      <c r="T456" s="299"/>
      <c r="U456" s="294"/>
      <c r="V456" s="299"/>
      <c r="W456" s="299"/>
      <c r="X456" s="294"/>
      <c r="Y456" s="299"/>
      <c r="Z456" s="294"/>
      <c r="AA456" s="299"/>
      <c r="AB456" s="299"/>
      <c r="AC456" s="294"/>
      <c r="AD456" s="294"/>
      <c r="AE456" s="294"/>
      <c r="AF456" s="294"/>
    </row>
    <row r="457" spans="2:32" x14ac:dyDescent="0.25">
      <c r="B457" s="294"/>
      <c r="C457" s="294"/>
      <c r="D457" s="294"/>
      <c r="E457" s="294"/>
      <c r="F457" s="294"/>
      <c r="G457" s="294"/>
      <c r="H457" s="294"/>
      <c r="I457" s="294"/>
      <c r="J457" s="294"/>
      <c r="L457" s="295"/>
      <c r="M457" s="294"/>
      <c r="S457" s="294"/>
      <c r="T457" s="299"/>
      <c r="U457" s="294"/>
      <c r="V457" s="299"/>
      <c r="W457" s="299"/>
      <c r="X457" s="294"/>
      <c r="Y457" s="299"/>
      <c r="Z457" s="294"/>
      <c r="AA457" s="299"/>
      <c r="AB457" s="299"/>
      <c r="AC457" s="294"/>
      <c r="AD457" s="294"/>
      <c r="AE457" s="294"/>
      <c r="AF457" s="294"/>
    </row>
    <row r="458" spans="2:32" x14ac:dyDescent="0.25">
      <c r="B458" s="294"/>
      <c r="C458" s="294"/>
      <c r="D458" s="294"/>
      <c r="E458" s="294"/>
      <c r="F458" s="294"/>
      <c r="G458" s="294"/>
      <c r="H458" s="294"/>
      <c r="I458" s="294"/>
      <c r="J458" s="294"/>
      <c r="L458" s="295"/>
      <c r="M458" s="294"/>
      <c r="S458" s="294"/>
      <c r="T458" s="299"/>
      <c r="U458" s="294"/>
      <c r="V458" s="299"/>
      <c r="W458" s="299"/>
      <c r="X458" s="294"/>
      <c r="Y458" s="299"/>
      <c r="Z458" s="294"/>
      <c r="AA458" s="299"/>
      <c r="AB458" s="299"/>
      <c r="AC458" s="294"/>
      <c r="AD458" s="294"/>
      <c r="AE458" s="294"/>
      <c r="AF458" s="294"/>
    </row>
    <row r="459" spans="2:32" x14ac:dyDescent="0.25">
      <c r="B459" s="294"/>
      <c r="C459" s="294"/>
      <c r="D459" s="294"/>
      <c r="E459" s="294"/>
      <c r="F459" s="294"/>
      <c r="G459" s="294"/>
      <c r="H459" s="294"/>
      <c r="I459" s="294"/>
      <c r="J459" s="294"/>
      <c r="L459" s="295"/>
      <c r="M459" s="294"/>
      <c r="S459" s="294"/>
      <c r="T459" s="299"/>
      <c r="U459" s="294"/>
      <c r="V459" s="299"/>
      <c r="W459" s="299"/>
      <c r="X459" s="294"/>
      <c r="Y459" s="299"/>
      <c r="Z459" s="294"/>
      <c r="AA459" s="299"/>
      <c r="AB459" s="299"/>
      <c r="AC459" s="294"/>
      <c r="AD459" s="294"/>
      <c r="AE459" s="294"/>
      <c r="AF459" s="294"/>
    </row>
    <row r="460" spans="2:32" x14ac:dyDescent="0.25">
      <c r="B460" s="294"/>
      <c r="C460" s="294"/>
      <c r="D460" s="294"/>
      <c r="E460" s="294"/>
      <c r="F460" s="294"/>
      <c r="G460" s="294"/>
      <c r="H460" s="294"/>
      <c r="I460" s="294"/>
      <c r="J460" s="294"/>
      <c r="L460" s="295"/>
      <c r="M460" s="294"/>
      <c r="S460" s="294"/>
      <c r="T460" s="299"/>
      <c r="U460" s="294"/>
      <c r="V460" s="299"/>
      <c r="W460" s="299"/>
      <c r="X460" s="294"/>
      <c r="Y460" s="299"/>
      <c r="Z460" s="294"/>
      <c r="AA460" s="299"/>
      <c r="AB460" s="299"/>
      <c r="AC460" s="294"/>
      <c r="AD460" s="294"/>
      <c r="AE460" s="294"/>
      <c r="AF460" s="294"/>
    </row>
    <row r="461" spans="2:32" x14ac:dyDescent="0.25">
      <c r="B461" s="294"/>
      <c r="C461" s="294"/>
      <c r="D461" s="294"/>
      <c r="E461" s="294"/>
      <c r="F461" s="294"/>
      <c r="G461" s="294"/>
      <c r="H461" s="294"/>
      <c r="I461" s="294"/>
      <c r="J461" s="294"/>
      <c r="L461" s="295"/>
      <c r="M461" s="294"/>
      <c r="S461" s="294"/>
      <c r="T461" s="299"/>
      <c r="U461" s="294"/>
      <c r="V461" s="299"/>
      <c r="W461" s="299"/>
      <c r="X461" s="294"/>
      <c r="Y461" s="299"/>
      <c r="Z461" s="294"/>
      <c r="AA461" s="299"/>
      <c r="AB461" s="299"/>
      <c r="AC461" s="294"/>
      <c r="AD461" s="294"/>
      <c r="AE461" s="294"/>
      <c r="AF461" s="294"/>
    </row>
    <row r="462" spans="2:32" x14ac:dyDescent="0.25">
      <c r="B462" s="294"/>
      <c r="C462" s="294"/>
      <c r="D462" s="294"/>
      <c r="E462" s="294"/>
      <c r="F462" s="294"/>
      <c r="G462" s="294"/>
      <c r="H462" s="294"/>
      <c r="I462" s="294"/>
      <c r="J462" s="294"/>
      <c r="L462" s="295"/>
      <c r="M462" s="294"/>
      <c r="S462" s="294"/>
      <c r="T462" s="299"/>
      <c r="U462" s="294"/>
      <c r="V462" s="299"/>
      <c r="W462" s="299"/>
      <c r="X462" s="294"/>
      <c r="Y462" s="299"/>
      <c r="Z462" s="294"/>
      <c r="AA462" s="299"/>
      <c r="AB462" s="299"/>
      <c r="AC462" s="294"/>
      <c r="AD462" s="294"/>
      <c r="AE462" s="294"/>
      <c r="AF462" s="294"/>
    </row>
    <row r="463" spans="2:32" x14ac:dyDescent="0.25">
      <c r="B463" s="294"/>
      <c r="C463" s="294"/>
      <c r="D463" s="294"/>
      <c r="E463" s="294"/>
      <c r="F463" s="294"/>
      <c r="G463" s="294"/>
      <c r="H463" s="294"/>
      <c r="I463" s="294"/>
      <c r="J463" s="294"/>
      <c r="L463" s="295"/>
      <c r="M463" s="294"/>
      <c r="S463" s="294"/>
      <c r="T463" s="299"/>
      <c r="U463" s="294"/>
      <c r="V463" s="299"/>
      <c r="W463" s="299"/>
      <c r="X463" s="294"/>
      <c r="Y463" s="299"/>
      <c r="Z463" s="294"/>
      <c r="AA463" s="299"/>
      <c r="AB463" s="299"/>
      <c r="AC463" s="294"/>
      <c r="AD463" s="294"/>
      <c r="AE463" s="294"/>
      <c r="AF463" s="294"/>
    </row>
    <row r="464" spans="2:32" x14ac:dyDescent="0.25">
      <c r="B464" s="294"/>
      <c r="C464" s="294"/>
      <c r="D464" s="294"/>
      <c r="E464" s="294"/>
      <c r="F464" s="294"/>
      <c r="G464" s="294"/>
      <c r="H464" s="294"/>
      <c r="I464" s="294"/>
      <c r="J464" s="294"/>
      <c r="L464" s="295"/>
      <c r="M464" s="294"/>
      <c r="S464" s="294"/>
      <c r="T464" s="299"/>
      <c r="U464" s="294"/>
      <c r="V464" s="299"/>
      <c r="W464" s="299"/>
      <c r="X464" s="294"/>
      <c r="Y464" s="299"/>
      <c r="Z464" s="294"/>
      <c r="AA464" s="299"/>
      <c r="AB464" s="299"/>
      <c r="AC464" s="294"/>
      <c r="AD464" s="294"/>
      <c r="AE464" s="294"/>
      <c r="AF464" s="294"/>
    </row>
    <row r="465" spans="2:32" x14ac:dyDescent="0.25">
      <c r="B465" s="294"/>
      <c r="C465" s="294"/>
      <c r="D465" s="294"/>
      <c r="E465" s="294"/>
      <c r="F465" s="294"/>
      <c r="G465" s="294"/>
      <c r="H465" s="294"/>
      <c r="I465" s="294"/>
      <c r="J465" s="294"/>
      <c r="L465" s="295"/>
      <c r="M465" s="294"/>
      <c r="S465" s="294"/>
      <c r="T465" s="299"/>
      <c r="U465" s="294"/>
      <c r="V465" s="299"/>
      <c r="W465" s="299"/>
      <c r="X465" s="294"/>
      <c r="Y465" s="299"/>
      <c r="Z465" s="294"/>
      <c r="AA465" s="299"/>
      <c r="AB465" s="299"/>
      <c r="AC465" s="294"/>
      <c r="AD465" s="294"/>
      <c r="AE465" s="294"/>
      <c r="AF465" s="294"/>
    </row>
    <row r="466" spans="2:32" x14ac:dyDescent="0.25">
      <c r="B466" s="294"/>
      <c r="C466" s="294"/>
      <c r="D466" s="294"/>
      <c r="E466" s="294"/>
      <c r="F466" s="294"/>
      <c r="G466" s="294"/>
      <c r="H466" s="294"/>
      <c r="I466" s="294"/>
      <c r="J466" s="294"/>
      <c r="L466" s="295"/>
      <c r="M466" s="294"/>
      <c r="S466" s="294"/>
      <c r="T466" s="299"/>
      <c r="U466" s="294"/>
      <c r="V466" s="299"/>
      <c r="W466" s="299"/>
      <c r="X466" s="294"/>
      <c r="Y466" s="299"/>
      <c r="Z466" s="294"/>
      <c r="AA466" s="299"/>
      <c r="AB466" s="299"/>
      <c r="AC466" s="294"/>
      <c r="AD466" s="294"/>
      <c r="AE466" s="294"/>
      <c r="AF466" s="294"/>
    </row>
    <row r="467" spans="2:32" x14ac:dyDescent="0.25">
      <c r="B467" s="294"/>
      <c r="C467" s="294"/>
      <c r="D467" s="294"/>
      <c r="E467" s="294"/>
      <c r="F467" s="294"/>
      <c r="G467" s="294"/>
      <c r="H467" s="294"/>
      <c r="I467" s="294"/>
      <c r="J467" s="294"/>
      <c r="L467" s="295"/>
      <c r="M467" s="294"/>
      <c r="S467" s="294"/>
      <c r="T467" s="299"/>
      <c r="U467" s="294"/>
      <c r="V467" s="299"/>
      <c r="W467" s="299"/>
      <c r="X467" s="294"/>
      <c r="Y467" s="299"/>
      <c r="Z467" s="294"/>
      <c r="AA467" s="299"/>
      <c r="AB467" s="299"/>
      <c r="AC467" s="294"/>
      <c r="AD467" s="294"/>
      <c r="AE467" s="294"/>
      <c r="AF467" s="294"/>
    </row>
    <row r="468" spans="2:32" x14ac:dyDescent="0.25">
      <c r="B468" s="294"/>
      <c r="C468" s="294"/>
      <c r="D468" s="294"/>
      <c r="E468" s="294"/>
      <c r="F468" s="294"/>
      <c r="G468" s="294"/>
      <c r="H468" s="294"/>
      <c r="I468" s="294"/>
      <c r="J468" s="294"/>
      <c r="L468" s="295"/>
      <c r="M468" s="294"/>
      <c r="S468" s="294"/>
      <c r="T468" s="299"/>
      <c r="U468" s="294"/>
      <c r="V468" s="299"/>
      <c r="W468" s="299"/>
      <c r="X468" s="294"/>
      <c r="Y468" s="299"/>
      <c r="Z468" s="294"/>
      <c r="AA468" s="299"/>
      <c r="AB468" s="299"/>
      <c r="AC468" s="294"/>
      <c r="AD468" s="294"/>
      <c r="AE468" s="294"/>
      <c r="AF468" s="294"/>
    </row>
    <row r="469" spans="2:32" x14ac:dyDescent="0.25">
      <c r="B469" s="294"/>
      <c r="C469" s="294"/>
      <c r="D469" s="294"/>
      <c r="E469" s="294"/>
      <c r="F469" s="294"/>
      <c r="G469" s="294"/>
      <c r="H469" s="294"/>
      <c r="I469" s="294"/>
      <c r="J469" s="294"/>
      <c r="L469" s="295"/>
      <c r="M469" s="294"/>
      <c r="S469" s="294"/>
      <c r="T469" s="299"/>
      <c r="U469" s="294"/>
      <c r="V469" s="299"/>
      <c r="W469" s="299"/>
      <c r="X469" s="294"/>
      <c r="Y469" s="299"/>
      <c r="Z469" s="294"/>
      <c r="AA469" s="299"/>
      <c r="AB469" s="299"/>
      <c r="AC469" s="294"/>
      <c r="AD469" s="294"/>
      <c r="AE469" s="294"/>
      <c r="AF469" s="294"/>
    </row>
    <row r="470" spans="2:32" x14ac:dyDescent="0.25">
      <c r="B470" s="294"/>
      <c r="C470" s="294"/>
      <c r="D470" s="294"/>
      <c r="E470" s="294"/>
      <c r="F470" s="294"/>
      <c r="G470" s="294"/>
      <c r="H470" s="294"/>
      <c r="I470" s="294"/>
      <c r="J470" s="294"/>
      <c r="L470" s="295"/>
      <c r="M470" s="294"/>
      <c r="S470" s="294"/>
      <c r="T470" s="299"/>
      <c r="U470" s="294"/>
      <c r="V470" s="299"/>
      <c r="W470" s="299"/>
      <c r="X470" s="294"/>
      <c r="Y470" s="299"/>
      <c r="Z470" s="294"/>
      <c r="AA470" s="299"/>
      <c r="AB470" s="299"/>
      <c r="AC470" s="294"/>
      <c r="AD470" s="294"/>
      <c r="AE470" s="294"/>
      <c r="AF470" s="294"/>
    </row>
    <row r="471" spans="2:32" x14ac:dyDescent="0.25">
      <c r="B471" s="294"/>
      <c r="C471" s="294"/>
      <c r="D471" s="294"/>
      <c r="E471" s="294"/>
      <c r="F471" s="294"/>
      <c r="G471" s="294"/>
      <c r="H471" s="294"/>
      <c r="I471" s="294"/>
      <c r="J471" s="294"/>
      <c r="L471" s="295"/>
      <c r="M471" s="294"/>
      <c r="S471" s="294"/>
      <c r="T471" s="299"/>
      <c r="U471" s="294"/>
      <c r="V471" s="299"/>
      <c r="W471" s="299"/>
      <c r="X471" s="294"/>
      <c r="Y471" s="299"/>
      <c r="Z471" s="294"/>
      <c r="AA471" s="299"/>
      <c r="AB471" s="299"/>
      <c r="AC471" s="294"/>
      <c r="AD471" s="294"/>
      <c r="AE471" s="294"/>
      <c r="AF471" s="294"/>
    </row>
    <row r="472" spans="2:32" x14ac:dyDescent="0.25">
      <c r="B472" s="294"/>
      <c r="C472" s="294"/>
      <c r="D472" s="294"/>
      <c r="E472" s="294"/>
      <c r="F472" s="294"/>
      <c r="G472" s="294"/>
      <c r="H472" s="294"/>
      <c r="I472" s="294"/>
      <c r="J472" s="294"/>
      <c r="L472" s="295"/>
      <c r="M472" s="294"/>
      <c r="S472" s="294"/>
      <c r="T472" s="299"/>
      <c r="U472" s="294"/>
      <c r="V472" s="299"/>
      <c r="W472" s="299"/>
      <c r="X472" s="294"/>
      <c r="Y472" s="299"/>
      <c r="Z472" s="294"/>
      <c r="AA472" s="299"/>
      <c r="AB472" s="299"/>
      <c r="AC472" s="294"/>
      <c r="AD472" s="294"/>
      <c r="AE472" s="294"/>
      <c r="AF472" s="294"/>
    </row>
    <row r="473" spans="2:32" x14ac:dyDescent="0.25">
      <c r="B473" s="294"/>
      <c r="C473" s="294"/>
      <c r="D473" s="294"/>
      <c r="E473" s="294"/>
      <c r="F473" s="294"/>
      <c r="G473" s="294"/>
      <c r="H473" s="294"/>
      <c r="I473" s="294"/>
      <c r="J473" s="294"/>
      <c r="L473" s="295"/>
      <c r="M473" s="294"/>
      <c r="S473" s="294"/>
      <c r="T473" s="299"/>
      <c r="U473" s="294"/>
      <c r="V473" s="299"/>
      <c r="W473" s="299"/>
      <c r="X473" s="294"/>
      <c r="Y473" s="299"/>
      <c r="Z473" s="294"/>
      <c r="AA473" s="299"/>
      <c r="AB473" s="299"/>
      <c r="AC473" s="294"/>
      <c r="AD473" s="294"/>
      <c r="AE473" s="294"/>
      <c r="AF473" s="294"/>
    </row>
    <row r="474" spans="2:32" x14ac:dyDescent="0.25">
      <c r="B474" s="294"/>
      <c r="C474" s="294"/>
      <c r="D474" s="294"/>
      <c r="E474" s="294"/>
      <c r="F474" s="294"/>
      <c r="G474" s="294"/>
      <c r="H474" s="294"/>
      <c r="I474" s="294"/>
      <c r="J474" s="294"/>
      <c r="L474" s="295"/>
      <c r="M474" s="294"/>
      <c r="S474" s="294"/>
      <c r="T474" s="299"/>
      <c r="U474" s="294"/>
      <c r="V474" s="299"/>
      <c r="W474" s="299"/>
      <c r="X474" s="294"/>
      <c r="Y474" s="299"/>
      <c r="Z474" s="294"/>
      <c r="AA474" s="299"/>
      <c r="AB474" s="299"/>
      <c r="AC474" s="294"/>
      <c r="AD474" s="294"/>
      <c r="AE474" s="294"/>
      <c r="AF474" s="294"/>
    </row>
    <row r="475" spans="2:32" x14ac:dyDescent="0.25">
      <c r="B475" s="294"/>
      <c r="C475" s="294"/>
      <c r="D475" s="294"/>
      <c r="E475" s="294"/>
      <c r="F475" s="294"/>
      <c r="G475" s="294"/>
      <c r="H475" s="294"/>
      <c r="I475" s="294"/>
      <c r="J475" s="294"/>
      <c r="L475" s="295"/>
      <c r="M475" s="294"/>
      <c r="S475" s="294"/>
      <c r="T475" s="299"/>
      <c r="U475" s="294"/>
      <c r="V475" s="299"/>
      <c r="W475" s="299"/>
      <c r="X475" s="294"/>
      <c r="Y475" s="299"/>
      <c r="Z475" s="294"/>
      <c r="AA475" s="299"/>
      <c r="AB475" s="299"/>
      <c r="AC475" s="294"/>
      <c r="AD475" s="294"/>
      <c r="AE475" s="294"/>
      <c r="AF475" s="294"/>
    </row>
    <row r="476" spans="2:32" x14ac:dyDescent="0.25">
      <c r="B476" s="294"/>
      <c r="C476" s="294"/>
      <c r="D476" s="294"/>
      <c r="E476" s="294"/>
      <c r="F476" s="294"/>
      <c r="G476" s="294"/>
      <c r="H476" s="294"/>
      <c r="I476" s="294"/>
      <c r="J476" s="294"/>
      <c r="L476" s="295"/>
      <c r="M476" s="294"/>
      <c r="S476" s="294"/>
      <c r="T476" s="299"/>
      <c r="U476" s="294"/>
      <c r="V476" s="299"/>
      <c r="W476" s="299"/>
      <c r="X476" s="294"/>
      <c r="Y476" s="299"/>
      <c r="Z476" s="294"/>
      <c r="AA476" s="299"/>
      <c r="AB476" s="299"/>
      <c r="AC476" s="294"/>
      <c r="AD476" s="294"/>
      <c r="AE476" s="294"/>
      <c r="AF476" s="294"/>
    </row>
    <row r="477" spans="2:32" x14ac:dyDescent="0.25">
      <c r="B477" s="294"/>
      <c r="C477" s="294"/>
      <c r="D477" s="294"/>
      <c r="E477" s="294"/>
      <c r="F477" s="294"/>
      <c r="G477" s="294"/>
      <c r="H477" s="294"/>
      <c r="I477" s="294"/>
      <c r="J477" s="294"/>
      <c r="L477" s="295"/>
      <c r="M477" s="294"/>
      <c r="S477" s="294"/>
      <c r="T477" s="299"/>
      <c r="U477" s="294"/>
      <c r="V477" s="299"/>
      <c r="W477" s="299"/>
      <c r="X477" s="294"/>
      <c r="Y477" s="299"/>
      <c r="Z477" s="294"/>
      <c r="AA477" s="299"/>
      <c r="AB477" s="299"/>
      <c r="AC477" s="294"/>
      <c r="AD477" s="294"/>
      <c r="AE477" s="294"/>
      <c r="AF477" s="294"/>
    </row>
    <row r="478" spans="2:32" x14ac:dyDescent="0.25">
      <c r="B478" s="294"/>
      <c r="C478" s="294"/>
      <c r="D478" s="294"/>
      <c r="E478" s="294"/>
      <c r="F478" s="294"/>
      <c r="G478" s="294"/>
      <c r="H478" s="294"/>
      <c r="I478" s="294"/>
      <c r="J478" s="294"/>
      <c r="L478" s="295"/>
      <c r="M478" s="294"/>
      <c r="S478" s="294"/>
      <c r="T478" s="299"/>
      <c r="U478" s="294"/>
      <c r="V478" s="299"/>
      <c r="W478" s="299"/>
      <c r="X478" s="294"/>
      <c r="Y478" s="299"/>
      <c r="Z478" s="294"/>
      <c r="AA478" s="299"/>
      <c r="AB478" s="299"/>
      <c r="AC478" s="294"/>
      <c r="AD478" s="294"/>
      <c r="AE478" s="294"/>
      <c r="AF478" s="294"/>
    </row>
    <row r="479" spans="2:32" x14ac:dyDescent="0.25">
      <c r="B479" s="294"/>
      <c r="C479" s="294"/>
      <c r="D479" s="294"/>
      <c r="E479" s="294"/>
      <c r="F479" s="294"/>
      <c r="G479" s="294"/>
      <c r="H479" s="294"/>
      <c r="I479" s="294"/>
      <c r="J479" s="294"/>
      <c r="L479" s="295"/>
      <c r="M479" s="294"/>
      <c r="S479" s="294"/>
      <c r="T479" s="299"/>
      <c r="U479" s="294"/>
      <c r="V479" s="299"/>
      <c r="W479" s="299"/>
      <c r="X479" s="294"/>
      <c r="Y479" s="299"/>
      <c r="Z479" s="294"/>
      <c r="AA479" s="299"/>
      <c r="AB479" s="299"/>
      <c r="AC479" s="294"/>
      <c r="AD479" s="294"/>
      <c r="AE479" s="294"/>
      <c r="AF479" s="294"/>
    </row>
    <row r="480" spans="2:32" x14ac:dyDescent="0.25">
      <c r="B480" s="294"/>
      <c r="C480" s="294"/>
      <c r="D480" s="294"/>
      <c r="E480" s="294"/>
      <c r="F480" s="294"/>
      <c r="G480" s="294"/>
      <c r="H480" s="294"/>
      <c r="I480" s="294"/>
      <c r="J480" s="294"/>
      <c r="L480" s="295"/>
      <c r="M480" s="294"/>
      <c r="S480" s="294"/>
      <c r="T480" s="299"/>
      <c r="U480" s="294"/>
      <c r="V480" s="299"/>
      <c r="W480" s="299"/>
      <c r="X480" s="294"/>
      <c r="Y480" s="299"/>
      <c r="Z480" s="294"/>
      <c r="AA480" s="299"/>
      <c r="AB480" s="299"/>
      <c r="AC480" s="294"/>
      <c r="AD480" s="294"/>
      <c r="AE480" s="294"/>
      <c r="AF480" s="294"/>
    </row>
    <row r="481" spans="2:32" x14ac:dyDescent="0.25">
      <c r="B481" s="294"/>
      <c r="C481" s="294"/>
      <c r="D481" s="294"/>
      <c r="E481" s="294"/>
      <c r="F481" s="294"/>
      <c r="G481" s="294"/>
      <c r="H481" s="294"/>
      <c r="I481" s="294"/>
      <c r="J481" s="294"/>
      <c r="L481" s="295"/>
      <c r="M481" s="294"/>
      <c r="S481" s="294"/>
      <c r="T481" s="299"/>
      <c r="U481" s="294"/>
      <c r="V481" s="299"/>
      <c r="W481" s="299"/>
      <c r="X481" s="294"/>
      <c r="Y481" s="299"/>
      <c r="Z481" s="294"/>
      <c r="AA481" s="299"/>
      <c r="AB481" s="299"/>
      <c r="AC481" s="294"/>
      <c r="AD481" s="294"/>
      <c r="AE481" s="294"/>
      <c r="AF481" s="294"/>
    </row>
    <row r="482" spans="2:32" x14ac:dyDescent="0.25">
      <c r="B482" s="294"/>
      <c r="C482" s="294"/>
      <c r="D482" s="294"/>
      <c r="E482" s="294"/>
      <c r="F482" s="294"/>
      <c r="G482" s="294"/>
      <c r="H482" s="294"/>
      <c r="I482" s="294"/>
      <c r="J482" s="294"/>
      <c r="L482" s="295"/>
      <c r="M482" s="294"/>
      <c r="S482" s="294"/>
      <c r="T482" s="299"/>
      <c r="U482" s="294"/>
      <c r="V482" s="299"/>
      <c r="W482" s="299"/>
      <c r="X482" s="294"/>
      <c r="Y482" s="299"/>
      <c r="Z482" s="294"/>
      <c r="AA482" s="299"/>
      <c r="AB482" s="299"/>
      <c r="AC482" s="294"/>
      <c r="AD482" s="294"/>
      <c r="AE482" s="294"/>
      <c r="AF482" s="294"/>
    </row>
    <row r="483" spans="2:32" x14ac:dyDescent="0.25">
      <c r="B483" s="294"/>
      <c r="C483" s="294"/>
      <c r="D483" s="294"/>
      <c r="E483" s="294"/>
      <c r="F483" s="294"/>
      <c r="G483" s="294"/>
      <c r="H483" s="294"/>
      <c r="I483" s="294"/>
      <c r="J483" s="294"/>
      <c r="L483" s="295"/>
      <c r="M483" s="294"/>
      <c r="S483" s="294"/>
      <c r="T483" s="299"/>
      <c r="U483" s="294"/>
      <c r="V483" s="299"/>
      <c r="W483" s="299"/>
      <c r="X483" s="294"/>
      <c r="Y483" s="299"/>
      <c r="Z483" s="294"/>
      <c r="AA483" s="299"/>
      <c r="AB483" s="299"/>
      <c r="AC483" s="294"/>
      <c r="AD483" s="294"/>
      <c r="AE483" s="294"/>
      <c r="AF483" s="294"/>
    </row>
    <row r="484" spans="2:32" x14ac:dyDescent="0.25">
      <c r="B484" s="294"/>
      <c r="C484" s="294"/>
      <c r="D484" s="294"/>
      <c r="E484" s="294"/>
      <c r="F484" s="294"/>
      <c r="G484" s="294"/>
      <c r="H484" s="294"/>
      <c r="I484" s="294"/>
      <c r="J484" s="294"/>
      <c r="L484" s="295"/>
      <c r="M484" s="294"/>
      <c r="S484" s="294"/>
      <c r="T484" s="299"/>
      <c r="U484" s="294"/>
      <c r="V484" s="299"/>
      <c r="W484" s="299"/>
      <c r="X484" s="294"/>
      <c r="Y484" s="299"/>
      <c r="Z484" s="294"/>
      <c r="AA484" s="299"/>
      <c r="AB484" s="299"/>
      <c r="AC484" s="294"/>
      <c r="AD484" s="294"/>
      <c r="AE484" s="294"/>
      <c r="AF484" s="294"/>
    </row>
    <row r="485" spans="2:32" x14ac:dyDescent="0.25">
      <c r="B485" s="294"/>
      <c r="C485" s="294"/>
      <c r="D485" s="294"/>
      <c r="E485" s="294"/>
      <c r="F485" s="294"/>
      <c r="G485" s="294"/>
      <c r="H485" s="294"/>
      <c r="I485" s="294"/>
      <c r="J485" s="294"/>
      <c r="L485" s="295"/>
      <c r="M485" s="294"/>
      <c r="S485" s="294"/>
      <c r="T485" s="299"/>
      <c r="U485" s="294"/>
      <c r="V485" s="299"/>
      <c r="W485" s="299"/>
      <c r="X485" s="294"/>
      <c r="Y485" s="299"/>
      <c r="Z485" s="294"/>
      <c r="AA485" s="299"/>
      <c r="AB485" s="299"/>
      <c r="AC485" s="294"/>
      <c r="AD485" s="294"/>
      <c r="AE485" s="294"/>
      <c r="AF485" s="294"/>
    </row>
    <row r="486" spans="2:32" x14ac:dyDescent="0.25">
      <c r="B486" s="294"/>
      <c r="C486" s="294"/>
      <c r="D486" s="294"/>
      <c r="E486" s="294"/>
      <c r="F486" s="294"/>
      <c r="G486" s="294"/>
      <c r="H486" s="294"/>
      <c r="I486" s="294"/>
      <c r="J486" s="294"/>
      <c r="L486" s="295"/>
      <c r="M486" s="294"/>
      <c r="S486" s="294"/>
      <c r="T486" s="299"/>
      <c r="U486" s="294"/>
      <c r="V486" s="299"/>
      <c r="W486" s="299"/>
      <c r="X486" s="294"/>
      <c r="Y486" s="299"/>
      <c r="Z486" s="294"/>
      <c r="AA486" s="299"/>
      <c r="AB486" s="299"/>
      <c r="AC486" s="294"/>
      <c r="AD486" s="294"/>
      <c r="AE486" s="294"/>
      <c r="AF486" s="294"/>
    </row>
    <row r="487" spans="2:32" x14ac:dyDescent="0.25">
      <c r="B487" s="294"/>
      <c r="C487" s="294"/>
      <c r="D487" s="294"/>
      <c r="E487" s="294"/>
      <c r="F487" s="294"/>
      <c r="G487" s="294"/>
      <c r="H487" s="294"/>
      <c r="I487" s="294"/>
      <c r="J487" s="294"/>
      <c r="L487" s="295"/>
      <c r="M487" s="294"/>
      <c r="S487" s="294"/>
      <c r="T487" s="299"/>
      <c r="U487" s="294"/>
      <c r="V487" s="299"/>
      <c r="W487" s="299"/>
      <c r="X487" s="294"/>
      <c r="Y487" s="299"/>
      <c r="Z487" s="294"/>
      <c r="AA487" s="299"/>
      <c r="AB487" s="299"/>
      <c r="AC487" s="294"/>
      <c r="AD487" s="294"/>
      <c r="AE487" s="294"/>
      <c r="AF487" s="294"/>
    </row>
    <row r="488" spans="2:32" x14ac:dyDescent="0.25">
      <c r="B488" s="294"/>
      <c r="C488" s="294"/>
      <c r="D488" s="294"/>
      <c r="E488" s="294"/>
      <c r="F488" s="294"/>
      <c r="G488" s="294"/>
      <c r="H488" s="294"/>
      <c r="I488" s="294"/>
      <c r="J488" s="294"/>
      <c r="L488" s="295"/>
      <c r="M488" s="294"/>
      <c r="S488" s="294"/>
      <c r="T488" s="299"/>
      <c r="U488" s="294"/>
      <c r="V488" s="299"/>
      <c r="W488" s="299"/>
      <c r="X488" s="294"/>
      <c r="Y488" s="299"/>
      <c r="Z488" s="294"/>
      <c r="AA488" s="299"/>
      <c r="AB488" s="299"/>
      <c r="AC488" s="294"/>
      <c r="AD488" s="294"/>
      <c r="AE488" s="294"/>
      <c r="AF488" s="294"/>
    </row>
    <row r="489" spans="2:32" x14ac:dyDescent="0.25">
      <c r="B489" s="294"/>
      <c r="C489" s="294"/>
      <c r="D489" s="294"/>
      <c r="E489" s="294"/>
      <c r="F489" s="294"/>
      <c r="G489" s="294"/>
      <c r="H489" s="294"/>
      <c r="I489" s="294"/>
      <c r="J489" s="294"/>
      <c r="L489" s="295"/>
      <c r="M489" s="294"/>
      <c r="S489" s="294"/>
      <c r="T489" s="299"/>
      <c r="U489" s="294"/>
      <c r="V489" s="299"/>
      <c r="W489" s="299"/>
      <c r="X489" s="294"/>
      <c r="Y489" s="299"/>
      <c r="Z489" s="294"/>
      <c r="AA489" s="299"/>
      <c r="AB489" s="299"/>
      <c r="AC489" s="294"/>
      <c r="AD489" s="294"/>
      <c r="AE489" s="294"/>
      <c r="AF489" s="294"/>
    </row>
    <row r="490" spans="2:32" x14ac:dyDescent="0.25">
      <c r="B490" s="294"/>
      <c r="C490" s="294"/>
      <c r="D490" s="294"/>
      <c r="E490" s="294"/>
      <c r="F490" s="294"/>
      <c r="G490" s="294"/>
      <c r="H490" s="294"/>
      <c r="I490" s="294"/>
      <c r="J490" s="294"/>
      <c r="L490" s="295"/>
      <c r="M490" s="294"/>
      <c r="S490" s="294"/>
      <c r="T490" s="299"/>
      <c r="U490" s="294"/>
      <c r="V490" s="299"/>
      <c r="W490" s="299"/>
      <c r="X490" s="294"/>
      <c r="Y490" s="299"/>
      <c r="Z490" s="294"/>
      <c r="AA490" s="299"/>
      <c r="AB490" s="299"/>
      <c r="AC490" s="294"/>
      <c r="AD490" s="294"/>
      <c r="AE490" s="294"/>
      <c r="AF490" s="294"/>
    </row>
    <row r="491" spans="2:32" x14ac:dyDescent="0.25">
      <c r="B491" s="294"/>
      <c r="C491" s="294"/>
      <c r="D491" s="294"/>
      <c r="E491" s="294"/>
      <c r="F491" s="294"/>
      <c r="G491" s="294"/>
      <c r="H491" s="294"/>
      <c r="I491" s="294"/>
      <c r="J491" s="294"/>
      <c r="L491" s="295"/>
      <c r="M491" s="294"/>
      <c r="S491" s="294"/>
      <c r="T491" s="299"/>
      <c r="U491" s="294"/>
      <c r="V491" s="299"/>
      <c r="W491" s="299"/>
      <c r="X491" s="294"/>
      <c r="Y491" s="299"/>
      <c r="Z491" s="294"/>
      <c r="AA491" s="299"/>
      <c r="AB491" s="299"/>
      <c r="AC491" s="294"/>
      <c r="AD491" s="294"/>
      <c r="AE491" s="294"/>
      <c r="AF491" s="294"/>
    </row>
    <row r="492" spans="2:32" x14ac:dyDescent="0.25">
      <c r="B492" s="294"/>
      <c r="C492" s="294"/>
      <c r="D492" s="294"/>
      <c r="E492" s="294"/>
      <c r="F492" s="294"/>
      <c r="G492" s="294"/>
      <c r="H492" s="294"/>
      <c r="I492" s="294"/>
      <c r="J492" s="294"/>
      <c r="L492" s="295"/>
      <c r="M492" s="294"/>
      <c r="S492" s="294"/>
      <c r="T492" s="299"/>
      <c r="U492" s="294"/>
      <c r="V492" s="299"/>
      <c r="W492" s="299"/>
      <c r="X492" s="294"/>
      <c r="Y492" s="299"/>
      <c r="Z492" s="294"/>
      <c r="AA492" s="299"/>
      <c r="AB492" s="299"/>
      <c r="AC492" s="294"/>
      <c r="AD492" s="294"/>
      <c r="AE492" s="294"/>
      <c r="AF492" s="294"/>
    </row>
    <row r="493" spans="2:32" x14ac:dyDescent="0.25">
      <c r="B493" s="294"/>
      <c r="C493" s="294"/>
      <c r="D493" s="294"/>
      <c r="E493" s="294"/>
      <c r="F493" s="294"/>
      <c r="G493" s="294"/>
      <c r="H493" s="294"/>
      <c r="I493" s="294"/>
      <c r="J493" s="294"/>
      <c r="L493" s="295"/>
      <c r="M493" s="294"/>
      <c r="S493" s="294"/>
      <c r="T493" s="299"/>
      <c r="U493" s="294"/>
      <c r="V493" s="299"/>
      <c r="W493" s="299"/>
      <c r="X493" s="294"/>
      <c r="Y493" s="299"/>
      <c r="Z493" s="294"/>
      <c r="AA493" s="299"/>
      <c r="AB493" s="299"/>
      <c r="AC493" s="294"/>
      <c r="AD493" s="294"/>
      <c r="AE493" s="294"/>
      <c r="AF493" s="294"/>
    </row>
    <row r="494" spans="2:32" x14ac:dyDescent="0.25">
      <c r="B494" s="294"/>
      <c r="C494" s="294"/>
      <c r="D494" s="294"/>
      <c r="E494" s="294"/>
      <c r="F494" s="294"/>
      <c r="G494" s="294"/>
      <c r="H494" s="294"/>
      <c r="I494" s="294"/>
      <c r="J494" s="294"/>
      <c r="L494" s="295"/>
      <c r="M494" s="294"/>
      <c r="S494" s="294"/>
      <c r="T494" s="299"/>
      <c r="U494" s="294"/>
      <c r="V494" s="299"/>
      <c r="W494" s="299"/>
      <c r="X494" s="294"/>
      <c r="Y494" s="299"/>
      <c r="Z494" s="294"/>
      <c r="AA494" s="299"/>
      <c r="AB494" s="299"/>
      <c r="AC494" s="294"/>
      <c r="AD494" s="294"/>
      <c r="AE494" s="294"/>
      <c r="AF494" s="294"/>
    </row>
    <row r="495" spans="2:32" x14ac:dyDescent="0.25">
      <c r="B495" s="294"/>
      <c r="C495" s="294"/>
      <c r="D495" s="294"/>
      <c r="E495" s="294"/>
      <c r="F495" s="294"/>
      <c r="G495" s="294"/>
      <c r="H495" s="294"/>
      <c r="I495" s="294"/>
      <c r="J495" s="294"/>
      <c r="L495" s="295"/>
      <c r="M495" s="294"/>
      <c r="S495" s="294"/>
      <c r="T495" s="299"/>
      <c r="U495" s="294"/>
      <c r="V495" s="299"/>
      <c r="W495" s="299"/>
      <c r="X495" s="294"/>
      <c r="Y495" s="299"/>
      <c r="Z495" s="294"/>
      <c r="AA495" s="299"/>
      <c r="AB495" s="299"/>
      <c r="AC495" s="294"/>
      <c r="AD495" s="294"/>
      <c r="AE495" s="294"/>
      <c r="AF495" s="294"/>
    </row>
    <row r="496" spans="2:32" x14ac:dyDescent="0.25">
      <c r="B496" s="294"/>
      <c r="C496" s="294"/>
      <c r="D496" s="294"/>
      <c r="E496" s="294"/>
      <c r="F496" s="294"/>
      <c r="G496" s="294"/>
      <c r="H496" s="294"/>
      <c r="I496" s="294"/>
      <c r="J496" s="294"/>
      <c r="L496" s="295"/>
      <c r="M496" s="294"/>
      <c r="S496" s="294"/>
      <c r="T496" s="299"/>
      <c r="U496" s="294"/>
      <c r="V496" s="299"/>
      <c r="W496" s="299"/>
      <c r="X496" s="294"/>
      <c r="Y496" s="299"/>
      <c r="Z496" s="294"/>
      <c r="AA496" s="299"/>
      <c r="AB496" s="299"/>
      <c r="AC496" s="294"/>
      <c r="AD496" s="294"/>
      <c r="AE496" s="294"/>
      <c r="AF496" s="294"/>
    </row>
    <row r="497" spans="2:32" x14ac:dyDescent="0.25">
      <c r="B497" s="294"/>
      <c r="C497" s="294"/>
      <c r="D497" s="294"/>
      <c r="E497" s="294"/>
      <c r="F497" s="294"/>
      <c r="G497" s="294"/>
      <c r="H497" s="294"/>
      <c r="I497" s="294"/>
      <c r="J497" s="294"/>
      <c r="L497" s="295"/>
      <c r="M497" s="294"/>
      <c r="S497" s="294"/>
      <c r="T497" s="299"/>
      <c r="U497" s="294"/>
      <c r="V497" s="299"/>
      <c r="W497" s="299"/>
      <c r="X497" s="294"/>
      <c r="Y497" s="299"/>
      <c r="Z497" s="294"/>
      <c r="AA497" s="299"/>
      <c r="AB497" s="299"/>
      <c r="AC497" s="294"/>
      <c r="AD497" s="294"/>
      <c r="AE497" s="294"/>
      <c r="AF497" s="294"/>
    </row>
    <row r="498" spans="2:32" x14ac:dyDescent="0.25">
      <c r="B498" s="294"/>
      <c r="C498" s="294"/>
      <c r="D498" s="294"/>
      <c r="E498" s="294"/>
      <c r="F498" s="294"/>
      <c r="G498" s="294"/>
      <c r="H498" s="294"/>
      <c r="I498" s="294"/>
      <c r="J498" s="294"/>
      <c r="L498" s="295"/>
      <c r="M498" s="294"/>
      <c r="S498" s="294"/>
      <c r="T498" s="299"/>
      <c r="U498" s="294"/>
      <c r="V498" s="299"/>
      <c r="W498" s="299"/>
      <c r="X498" s="294"/>
      <c r="Y498" s="299"/>
      <c r="Z498" s="294"/>
      <c r="AA498" s="299"/>
      <c r="AB498" s="299"/>
      <c r="AC498" s="294"/>
      <c r="AD498" s="294"/>
      <c r="AE498" s="294"/>
      <c r="AF498" s="294"/>
    </row>
    <row r="499" spans="2:32" x14ac:dyDescent="0.25">
      <c r="B499" s="294"/>
      <c r="C499" s="294"/>
      <c r="D499" s="294"/>
      <c r="E499" s="294"/>
      <c r="F499" s="294"/>
      <c r="G499" s="294"/>
      <c r="H499" s="294"/>
      <c r="I499" s="294"/>
      <c r="J499" s="294"/>
      <c r="L499" s="295"/>
      <c r="M499" s="294"/>
      <c r="S499" s="294"/>
      <c r="T499" s="299"/>
      <c r="U499" s="294"/>
      <c r="V499" s="299"/>
      <c r="W499" s="299"/>
      <c r="X499" s="294"/>
      <c r="Y499" s="299"/>
      <c r="Z499" s="294"/>
      <c r="AA499" s="299"/>
      <c r="AB499" s="299"/>
      <c r="AC499" s="294"/>
      <c r="AD499" s="294"/>
      <c r="AE499" s="294"/>
      <c r="AF499" s="294"/>
    </row>
    <row r="500" spans="2:32" x14ac:dyDescent="0.25">
      <c r="B500" s="294"/>
      <c r="C500" s="294"/>
      <c r="D500" s="294"/>
      <c r="E500" s="294"/>
      <c r="F500" s="294"/>
      <c r="G500" s="294"/>
      <c r="H500" s="294"/>
      <c r="I500" s="294"/>
      <c r="J500" s="294"/>
      <c r="L500" s="295"/>
      <c r="M500" s="294"/>
      <c r="S500" s="294"/>
      <c r="T500" s="299"/>
      <c r="U500" s="294"/>
      <c r="V500" s="299"/>
      <c r="W500" s="299"/>
      <c r="X500" s="294"/>
      <c r="Y500" s="299"/>
      <c r="Z500" s="294"/>
      <c r="AA500" s="299"/>
      <c r="AB500" s="299"/>
      <c r="AC500" s="294"/>
      <c r="AD500" s="294"/>
      <c r="AE500" s="294"/>
      <c r="AF500" s="294"/>
    </row>
    <row r="501" spans="2:32" x14ac:dyDescent="0.25">
      <c r="B501" s="294"/>
      <c r="C501" s="294"/>
      <c r="D501" s="294"/>
      <c r="E501" s="294"/>
      <c r="F501" s="294"/>
      <c r="G501" s="294"/>
      <c r="H501" s="294"/>
      <c r="I501" s="294"/>
      <c r="J501" s="294"/>
      <c r="L501" s="295"/>
      <c r="M501" s="294"/>
      <c r="S501" s="294"/>
      <c r="T501" s="299"/>
      <c r="U501" s="294"/>
      <c r="V501" s="299"/>
      <c r="W501" s="299"/>
      <c r="X501" s="294"/>
      <c r="Y501" s="299"/>
      <c r="Z501" s="294"/>
      <c r="AA501" s="299"/>
      <c r="AB501" s="299"/>
      <c r="AC501" s="294"/>
      <c r="AD501" s="294"/>
      <c r="AE501" s="294"/>
      <c r="AF501" s="294"/>
    </row>
    <row r="502" spans="2:32" x14ac:dyDescent="0.25">
      <c r="B502" s="294"/>
      <c r="C502" s="294"/>
      <c r="D502" s="294"/>
      <c r="E502" s="294"/>
      <c r="F502" s="294"/>
      <c r="G502" s="294"/>
      <c r="H502" s="294"/>
      <c r="I502" s="294"/>
      <c r="J502" s="294"/>
      <c r="L502" s="295"/>
      <c r="M502" s="294"/>
      <c r="S502" s="294"/>
      <c r="T502" s="299"/>
      <c r="U502" s="294"/>
      <c r="V502" s="299"/>
      <c r="W502" s="299"/>
      <c r="X502" s="294"/>
      <c r="Y502" s="299"/>
      <c r="Z502" s="294"/>
      <c r="AA502" s="299"/>
      <c r="AB502" s="299"/>
      <c r="AC502" s="294"/>
      <c r="AD502" s="294"/>
      <c r="AE502" s="294"/>
      <c r="AF502" s="294"/>
    </row>
    <row r="503" spans="2:32" x14ac:dyDescent="0.25">
      <c r="B503" s="294"/>
      <c r="C503" s="294"/>
      <c r="D503" s="294"/>
      <c r="E503" s="294"/>
      <c r="F503" s="294"/>
      <c r="G503" s="294"/>
      <c r="H503" s="294"/>
      <c r="I503" s="294"/>
      <c r="J503" s="294"/>
      <c r="L503" s="295"/>
      <c r="M503" s="294"/>
      <c r="S503" s="294"/>
      <c r="T503" s="299"/>
      <c r="U503" s="294"/>
      <c r="V503" s="299"/>
      <c r="W503" s="299"/>
      <c r="X503" s="294"/>
      <c r="Y503" s="299"/>
      <c r="Z503" s="294"/>
      <c r="AA503" s="299"/>
      <c r="AB503" s="299"/>
      <c r="AC503" s="294"/>
      <c r="AD503" s="294"/>
      <c r="AE503" s="294"/>
      <c r="AF503" s="294"/>
    </row>
    <row r="504" spans="2:32" x14ac:dyDescent="0.25">
      <c r="B504" s="294"/>
      <c r="C504" s="294"/>
      <c r="D504" s="294"/>
      <c r="E504" s="294"/>
      <c r="F504" s="294"/>
      <c r="G504" s="294"/>
      <c r="H504" s="294"/>
      <c r="I504" s="294"/>
      <c r="J504" s="294"/>
      <c r="L504" s="295"/>
      <c r="M504" s="294"/>
      <c r="S504" s="294"/>
      <c r="T504" s="299"/>
      <c r="U504" s="294"/>
      <c r="V504" s="299"/>
      <c r="W504" s="299"/>
      <c r="X504" s="294"/>
      <c r="Y504" s="299"/>
      <c r="Z504" s="294"/>
      <c r="AA504" s="299"/>
      <c r="AB504" s="299"/>
      <c r="AC504" s="294"/>
      <c r="AD504" s="294"/>
      <c r="AE504" s="294"/>
      <c r="AF504" s="294"/>
    </row>
    <row r="505" spans="2:32" x14ac:dyDescent="0.25">
      <c r="B505" s="294"/>
      <c r="C505" s="294"/>
      <c r="D505" s="294"/>
      <c r="E505" s="294"/>
      <c r="F505" s="294"/>
      <c r="G505" s="294"/>
      <c r="H505" s="294"/>
      <c r="I505" s="294"/>
      <c r="J505" s="294"/>
      <c r="L505" s="295"/>
      <c r="M505" s="294"/>
      <c r="S505" s="294"/>
      <c r="T505" s="299"/>
      <c r="U505" s="294"/>
      <c r="V505" s="299"/>
      <c r="W505" s="299"/>
      <c r="X505" s="294"/>
      <c r="Y505" s="299"/>
      <c r="Z505" s="294"/>
      <c r="AA505" s="299"/>
      <c r="AB505" s="299"/>
      <c r="AC505" s="294"/>
      <c r="AD505" s="294"/>
      <c r="AE505" s="294"/>
      <c r="AF505" s="294"/>
    </row>
    <row r="506" spans="2:32" x14ac:dyDescent="0.25">
      <c r="B506" s="294"/>
      <c r="C506" s="294"/>
      <c r="D506" s="294"/>
      <c r="E506" s="294"/>
      <c r="F506" s="294"/>
      <c r="G506" s="294"/>
      <c r="H506" s="294"/>
      <c r="I506" s="294"/>
      <c r="J506" s="294"/>
      <c r="L506" s="295"/>
      <c r="M506" s="294"/>
      <c r="S506" s="294"/>
      <c r="T506" s="299"/>
      <c r="U506" s="294"/>
      <c r="V506" s="299"/>
      <c r="W506" s="299"/>
      <c r="X506" s="294"/>
      <c r="Y506" s="299"/>
      <c r="Z506" s="294"/>
      <c r="AA506" s="299"/>
      <c r="AB506" s="299"/>
      <c r="AC506" s="294"/>
      <c r="AD506" s="294"/>
      <c r="AE506" s="294"/>
      <c r="AF506" s="294"/>
    </row>
    <row r="507" spans="2:32" x14ac:dyDescent="0.25">
      <c r="B507" s="294"/>
      <c r="C507" s="294"/>
      <c r="D507" s="294"/>
      <c r="E507" s="294"/>
      <c r="F507" s="294"/>
      <c r="G507" s="294"/>
      <c r="H507" s="294"/>
      <c r="I507" s="294"/>
      <c r="J507" s="294"/>
      <c r="L507" s="295"/>
      <c r="M507" s="294"/>
      <c r="S507" s="294"/>
      <c r="T507" s="299"/>
      <c r="U507" s="294"/>
      <c r="V507" s="299"/>
      <c r="W507" s="299"/>
      <c r="X507" s="294"/>
      <c r="Y507" s="299"/>
      <c r="Z507" s="294"/>
      <c r="AA507" s="299"/>
      <c r="AB507" s="299"/>
      <c r="AC507" s="294"/>
      <c r="AD507" s="294"/>
      <c r="AE507" s="294"/>
      <c r="AF507" s="294"/>
    </row>
    <row r="508" spans="2:32" x14ac:dyDescent="0.25">
      <c r="B508" s="294"/>
      <c r="C508" s="294"/>
      <c r="D508" s="294"/>
      <c r="E508" s="294"/>
      <c r="F508" s="294"/>
      <c r="G508" s="294"/>
      <c r="H508" s="294"/>
      <c r="I508" s="294"/>
      <c r="J508" s="294"/>
      <c r="L508" s="295"/>
      <c r="M508" s="294"/>
      <c r="S508" s="294"/>
      <c r="T508" s="299"/>
      <c r="U508" s="294"/>
      <c r="V508" s="299"/>
      <c r="W508" s="299"/>
      <c r="X508" s="294"/>
      <c r="Y508" s="299"/>
      <c r="Z508" s="294"/>
      <c r="AA508" s="299"/>
      <c r="AB508" s="299"/>
      <c r="AC508" s="294"/>
      <c r="AD508" s="294"/>
      <c r="AE508" s="294"/>
      <c r="AF508" s="294"/>
    </row>
    <row r="509" spans="2:32" x14ac:dyDescent="0.25">
      <c r="B509" s="294"/>
      <c r="C509" s="294"/>
      <c r="D509" s="294"/>
      <c r="E509" s="294"/>
      <c r="F509" s="294"/>
      <c r="G509" s="294"/>
      <c r="H509" s="294"/>
      <c r="I509" s="294"/>
      <c r="J509" s="294"/>
      <c r="L509" s="295"/>
      <c r="M509" s="294"/>
      <c r="S509" s="294"/>
      <c r="T509" s="299"/>
      <c r="U509" s="294"/>
      <c r="V509" s="299"/>
      <c r="W509" s="299"/>
      <c r="X509" s="294"/>
      <c r="Y509" s="299"/>
      <c r="Z509" s="294"/>
      <c r="AA509" s="299"/>
      <c r="AB509" s="299"/>
      <c r="AC509" s="294"/>
      <c r="AD509" s="294"/>
      <c r="AE509" s="294"/>
      <c r="AF509" s="294"/>
    </row>
    <row r="510" spans="2:32" x14ac:dyDescent="0.25">
      <c r="B510" s="294"/>
      <c r="C510" s="294"/>
      <c r="D510" s="294"/>
      <c r="E510" s="294"/>
      <c r="F510" s="294"/>
      <c r="G510" s="294"/>
      <c r="H510" s="294"/>
      <c r="I510" s="294"/>
      <c r="J510" s="294"/>
      <c r="L510" s="295"/>
      <c r="M510" s="294"/>
      <c r="S510" s="294"/>
      <c r="T510" s="299"/>
      <c r="U510" s="294"/>
      <c r="V510" s="299"/>
      <c r="W510" s="299"/>
      <c r="X510" s="294"/>
      <c r="Y510" s="299"/>
      <c r="Z510" s="294"/>
      <c r="AA510" s="299"/>
      <c r="AB510" s="299"/>
      <c r="AC510" s="294"/>
      <c r="AD510" s="294"/>
      <c r="AE510" s="294"/>
      <c r="AF510" s="294"/>
    </row>
    <row r="511" spans="2:32" x14ac:dyDescent="0.25">
      <c r="B511" s="294"/>
      <c r="C511" s="294"/>
      <c r="D511" s="294"/>
      <c r="E511" s="294"/>
      <c r="F511" s="294"/>
      <c r="G511" s="294"/>
      <c r="H511" s="294"/>
      <c r="I511" s="294"/>
      <c r="J511" s="294"/>
      <c r="L511" s="295"/>
      <c r="M511" s="294"/>
      <c r="S511" s="294"/>
      <c r="T511" s="299"/>
      <c r="U511" s="294"/>
      <c r="V511" s="299"/>
      <c r="W511" s="299"/>
      <c r="X511" s="294"/>
      <c r="Y511" s="299"/>
      <c r="Z511" s="294"/>
      <c r="AA511" s="299"/>
      <c r="AB511" s="299"/>
      <c r="AC511" s="294"/>
      <c r="AD511" s="294"/>
      <c r="AE511" s="294"/>
      <c r="AF511" s="294"/>
    </row>
    <row r="512" spans="2:32" x14ac:dyDescent="0.25">
      <c r="B512" s="294"/>
      <c r="C512" s="294"/>
      <c r="D512" s="294"/>
      <c r="E512" s="294"/>
      <c r="F512" s="294"/>
      <c r="G512" s="294"/>
      <c r="H512" s="294"/>
      <c r="I512" s="294"/>
      <c r="J512" s="294"/>
      <c r="L512" s="295"/>
      <c r="M512" s="294"/>
      <c r="S512" s="294"/>
      <c r="T512" s="299"/>
      <c r="U512" s="294"/>
      <c r="V512" s="299"/>
      <c r="W512" s="299"/>
      <c r="X512" s="294"/>
      <c r="Y512" s="299"/>
      <c r="Z512" s="294"/>
      <c r="AA512" s="299"/>
      <c r="AB512" s="299"/>
      <c r="AC512" s="294"/>
      <c r="AD512" s="294"/>
      <c r="AE512" s="294"/>
      <c r="AF512" s="294"/>
    </row>
    <row r="513" spans="2:32" x14ac:dyDescent="0.25">
      <c r="B513" s="294"/>
      <c r="C513" s="294"/>
      <c r="D513" s="294"/>
      <c r="E513" s="294"/>
      <c r="F513" s="294"/>
      <c r="G513" s="294"/>
      <c r="H513" s="294"/>
      <c r="I513" s="294"/>
      <c r="J513" s="294"/>
      <c r="L513" s="295"/>
      <c r="M513" s="294"/>
      <c r="S513" s="294"/>
      <c r="T513" s="299"/>
      <c r="U513" s="294"/>
      <c r="V513" s="299"/>
      <c r="W513" s="299"/>
      <c r="X513" s="294"/>
      <c r="Y513" s="299"/>
      <c r="Z513" s="294"/>
      <c r="AA513" s="299"/>
      <c r="AB513" s="299"/>
      <c r="AC513" s="294"/>
      <c r="AD513" s="294"/>
      <c r="AE513" s="294"/>
      <c r="AF513" s="294"/>
    </row>
    <row r="514" spans="2:32" x14ac:dyDescent="0.25">
      <c r="B514" s="294"/>
      <c r="C514" s="294"/>
      <c r="D514" s="294"/>
      <c r="E514" s="294"/>
      <c r="F514" s="294"/>
      <c r="G514" s="294"/>
      <c r="H514" s="294"/>
      <c r="I514" s="294"/>
      <c r="J514" s="294"/>
      <c r="L514" s="295"/>
      <c r="M514" s="294"/>
      <c r="S514" s="294"/>
      <c r="T514" s="299"/>
      <c r="U514" s="294"/>
      <c r="V514" s="299"/>
      <c r="W514" s="299"/>
      <c r="X514" s="294"/>
      <c r="Y514" s="299"/>
      <c r="Z514" s="294"/>
      <c r="AA514" s="299"/>
      <c r="AB514" s="299"/>
      <c r="AC514" s="294"/>
      <c r="AD514" s="294"/>
      <c r="AE514" s="294"/>
      <c r="AF514" s="294"/>
    </row>
    <row r="515" spans="2:32" x14ac:dyDescent="0.25">
      <c r="B515" s="294"/>
      <c r="C515" s="294"/>
      <c r="D515" s="294"/>
      <c r="E515" s="294"/>
      <c r="F515" s="294"/>
      <c r="G515" s="294"/>
      <c r="H515" s="294"/>
      <c r="I515" s="294"/>
      <c r="J515" s="294"/>
      <c r="L515" s="295"/>
      <c r="M515" s="294"/>
      <c r="S515" s="294"/>
      <c r="T515" s="299"/>
      <c r="U515" s="294"/>
      <c r="V515" s="299"/>
      <c r="W515" s="299"/>
      <c r="X515" s="294"/>
      <c r="Y515" s="299"/>
      <c r="Z515" s="294"/>
      <c r="AA515" s="299"/>
      <c r="AB515" s="299"/>
      <c r="AC515" s="294"/>
      <c r="AD515" s="294"/>
      <c r="AE515" s="294"/>
      <c r="AF515" s="294"/>
    </row>
    <row r="516" spans="2:32" x14ac:dyDescent="0.25">
      <c r="B516" s="294"/>
      <c r="C516" s="294"/>
      <c r="D516" s="294"/>
      <c r="E516" s="294"/>
      <c r="F516" s="294"/>
      <c r="G516" s="294"/>
      <c r="H516" s="294"/>
      <c r="I516" s="294"/>
      <c r="J516" s="294"/>
      <c r="L516" s="295"/>
      <c r="M516" s="294"/>
      <c r="S516" s="294"/>
      <c r="T516" s="299"/>
      <c r="U516" s="294"/>
      <c r="V516" s="299"/>
      <c r="W516" s="299"/>
      <c r="X516" s="294"/>
      <c r="Y516" s="299"/>
      <c r="Z516" s="294"/>
      <c r="AA516" s="299"/>
      <c r="AB516" s="299"/>
      <c r="AC516" s="294"/>
      <c r="AD516" s="294"/>
      <c r="AE516" s="294"/>
      <c r="AF516" s="294"/>
    </row>
    <row r="517" spans="2:32" x14ac:dyDescent="0.25">
      <c r="B517" s="294"/>
      <c r="C517" s="294"/>
      <c r="D517" s="294"/>
      <c r="E517" s="294"/>
      <c r="F517" s="294"/>
      <c r="G517" s="294"/>
      <c r="H517" s="294"/>
      <c r="I517" s="294"/>
      <c r="J517" s="294"/>
      <c r="L517" s="295"/>
      <c r="M517" s="294"/>
      <c r="S517" s="294"/>
      <c r="T517" s="299"/>
      <c r="U517" s="294"/>
      <c r="V517" s="299"/>
      <c r="W517" s="299"/>
      <c r="X517" s="294"/>
      <c r="Y517" s="299"/>
      <c r="Z517" s="294"/>
      <c r="AA517" s="299"/>
      <c r="AB517" s="299"/>
      <c r="AC517" s="294"/>
      <c r="AD517" s="294"/>
      <c r="AE517" s="294"/>
      <c r="AF517" s="294"/>
    </row>
    <row r="518" spans="2:32" x14ac:dyDescent="0.25">
      <c r="B518" s="294"/>
      <c r="C518" s="294"/>
      <c r="D518" s="294"/>
      <c r="E518" s="294"/>
      <c r="F518" s="294"/>
      <c r="G518" s="294"/>
      <c r="H518" s="294"/>
      <c r="I518" s="294"/>
      <c r="J518" s="294"/>
      <c r="L518" s="295"/>
      <c r="M518" s="294"/>
      <c r="S518" s="294"/>
      <c r="T518" s="299"/>
      <c r="U518" s="294"/>
      <c r="V518" s="299"/>
      <c r="W518" s="299"/>
      <c r="X518" s="294"/>
      <c r="Y518" s="299"/>
      <c r="Z518" s="294"/>
      <c r="AA518" s="299"/>
      <c r="AB518" s="299"/>
      <c r="AC518" s="294"/>
      <c r="AD518" s="294"/>
      <c r="AE518" s="294"/>
      <c r="AF518" s="294"/>
    </row>
    <row r="519" spans="2:32" x14ac:dyDescent="0.25">
      <c r="B519" s="294"/>
      <c r="C519" s="294"/>
      <c r="D519" s="294"/>
      <c r="E519" s="294"/>
      <c r="F519" s="294"/>
      <c r="G519" s="294"/>
      <c r="H519" s="294"/>
      <c r="I519" s="294"/>
      <c r="J519" s="294"/>
      <c r="L519" s="295"/>
      <c r="M519" s="294"/>
      <c r="S519" s="294"/>
      <c r="T519" s="299"/>
      <c r="U519" s="294"/>
      <c r="V519" s="299"/>
      <c r="W519" s="299"/>
      <c r="X519" s="294"/>
      <c r="Y519" s="299"/>
      <c r="Z519" s="294"/>
      <c r="AA519" s="299"/>
      <c r="AB519" s="299"/>
      <c r="AC519" s="294"/>
      <c r="AD519" s="294"/>
      <c r="AE519" s="294"/>
      <c r="AF519" s="294"/>
    </row>
    <row r="520" spans="2:32" x14ac:dyDescent="0.25">
      <c r="B520" s="294"/>
      <c r="C520" s="294"/>
      <c r="D520" s="294"/>
      <c r="E520" s="294"/>
      <c r="F520" s="294"/>
      <c r="G520" s="294"/>
      <c r="H520" s="294"/>
      <c r="I520" s="294"/>
      <c r="J520" s="294"/>
      <c r="L520" s="295"/>
      <c r="M520" s="294"/>
      <c r="S520" s="294"/>
      <c r="T520" s="299"/>
      <c r="U520" s="294"/>
      <c r="V520" s="299"/>
      <c r="W520" s="299"/>
      <c r="X520" s="294"/>
      <c r="Y520" s="299"/>
      <c r="Z520" s="294"/>
      <c r="AA520" s="299"/>
      <c r="AB520" s="299"/>
      <c r="AC520" s="294"/>
      <c r="AD520" s="294"/>
      <c r="AE520" s="294"/>
      <c r="AF520" s="294"/>
    </row>
    <row r="521" spans="2:32" x14ac:dyDescent="0.25">
      <c r="B521" s="294"/>
      <c r="C521" s="294"/>
      <c r="D521" s="294"/>
      <c r="E521" s="294"/>
      <c r="F521" s="294"/>
      <c r="G521" s="294"/>
      <c r="H521" s="294"/>
      <c r="I521" s="294"/>
      <c r="J521" s="294"/>
      <c r="L521" s="295"/>
      <c r="M521" s="294"/>
      <c r="S521" s="294"/>
      <c r="T521" s="299"/>
      <c r="U521" s="294"/>
      <c r="V521" s="299"/>
      <c r="W521" s="299"/>
      <c r="X521" s="294"/>
      <c r="Y521" s="299"/>
      <c r="Z521" s="294"/>
      <c r="AA521" s="299"/>
      <c r="AB521" s="299"/>
      <c r="AC521" s="294"/>
      <c r="AD521" s="294"/>
      <c r="AE521" s="294"/>
      <c r="AF521" s="294"/>
    </row>
    <row r="522" spans="2:32" x14ac:dyDescent="0.25">
      <c r="B522" s="294"/>
      <c r="C522" s="294"/>
      <c r="D522" s="294"/>
      <c r="E522" s="294"/>
      <c r="F522" s="294"/>
      <c r="G522" s="294"/>
      <c r="H522" s="294"/>
      <c r="I522" s="294"/>
      <c r="J522" s="294"/>
      <c r="L522" s="295"/>
      <c r="M522" s="294"/>
      <c r="S522" s="294"/>
      <c r="T522" s="299"/>
      <c r="U522" s="294"/>
      <c r="V522" s="299"/>
      <c r="W522" s="299"/>
      <c r="X522" s="294"/>
      <c r="Y522" s="299"/>
      <c r="Z522" s="294"/>
      <c r="AA522" s="299"/>
      <c r="AB522" s="299"/>
      <c r="AC522" s="294"/>
      <c r="AD522" s="294"/>
      <c r="AE522" s="294"/>
      <c r="AF522" s="294"/>
    </row>
    <row r="523" spans="2:32" x14ac:dyDescent="0.25">
      <c r="B523" s="294"/>
      <c r="C523" s="294"/>
      <c r="D523" s="294"/>
      <c r="E523" s="294"/>
      <c r="F523" s="294"/>
      <c r="G523" s="294"/>
      <c r="H523" s="294"/>
      <c r="I523" s="294"/>
      <c r="J523" s="294"/>
      <c r="L523" s="295"/>
      <c r="M523" s="294"/>
      <c r="S523" s="294"/>
      <c r="T523" s="299"/>
      <c r="U523" s="294"/>
      <c r="V523" s="299"/>
      <c r="W523" s="299"/>
      <c r="X523" s="294"/>
      <c r="Y523" s="299"/>
      <c r="Z523" s="294"/>
      <c r="AA523" s="299"/>
      <c r="AB523" s="299"/>
      <c r="AC523" s="294"/>
      <c r="AD523" s="294"/>
      <c r="AE523" s="294"/>
      <c r="AF523" s="294"/>
    </row>
    <row r="524" spans="2:32" x14ac:dyDescent="0.25">
      <c r="B524" s="294"/>
      <c r="C524" s="294"/>
      <c r="D524" s="294"/>
      <c r="E524" s="294"/>
      <c r="F524" s="294"/>
      <c r="G524" s="294"/>
      <c r="H524" s="294"/>
      <c r="I524" s="294"/>
      <c r="J524" s="294"/>
      <c r="L524" s="295"/>
      <c r="M524" s="294"/>
      <c r="S524" s="294"/>
      <c r="T524" s="299"/>
      <c r="U524" s="294"/>
      <c r="V524" s="299"/>
      <c r="W524" s="299"/>
      <c r="X524" s="294"/>
      <c r="Y524" s="299"/>
      <c r="Z524" s="294"/>
      <c r="AA524" s="299"/>
      <c r="AB524" s="299"/>
      <c r="AC524" s="294"/>
      <c r="AD524" s="294"/>
      <c r="AE524" s="294"/>
      <c r="AF524" s="294"/>
    </row>
    <row r="525" spans="2:32" x14ac:dyDescent="0.25">
      <c r="B525" s="294"/>
      <c r="C525" s="294"/>
      <c r="D525" s="294"/>
      <c r="E525" s="294"/>
      <c r="F525" s="294"/>
      <c r="G525" s="294"/>
      <c r="H525" s="294"/>
      <c r="I525" s="294"/>
      <c r="J525" s="294"/>
      <c r="L525" s="295"/>
      <c r="M525" s="294"/>
      <c r="S525" s="294"/>
      <c r="T525" s="299"/>
      <c r="U525" s="294"/>
      <c r="V525" s="299"/>
      <c r="W525" s="299"/>
      <c r="X525" s="294"/>
      <c r="Y525" s="299"/>
      <c r="Z525" s="294"/>
      <c r="AA525" s="299"/>
      <c r="AB525" s="299"/>
      <c r="AC525" s="294"/>
      <c r="AD525" s="294"/>
      <c r="AE525" s="294"/>
      <c r="AF525" s="294"/>
    </row>
    <row r="526" spans="2:32" x14ac:dyDescent="0.25">
      <c r="B526" s="294"/>
      <c r="C526" s="294"/>
      <c r="D526" s="294"/>
      <c r="E526" s="294"/>
      <c r="F526" s="294"/>
      <c r="G526" s="294"/>
      <c r="H526" s="294"/>
      <c r="I526" s="294"/>
      <c r="J526" s="294"/>
      <c r="L526" s="295"/>
      <c r="M526" s="294"/>
      <c r="S526" s="294"/>
      <c r="T526" s="299"/>
      <c r="U526" s="294"/>
      <c r="V526" s="299"/>
      <c r="W526" s="299"/>
      <c r="X526" s="294"/>
      <c r="Y526" s="299"/>
      <c r="Z526" s="294"/>
      <c r="AA526" s="299"/>
      <c r="AB526" s="299"/>
      <c r="AC526" s="294"/>
      <c r="AD526" s="294"/>
      <c r="AE526" s="294"/>
      <c r="AF526" s="294"/>
    </row>
    <row r="527" spans="2:32" x14ac:dyDescent="0.25">
      <c r="B527" s="294"/>
      <c r="C527" s="294"/>
      <c r="D527" s="294"/>
      <c r="E527" s="294"/>
      <c r="F527" s="294"/>
      <c r="G527" s="294"/>
      <c r="H527" s="294"/>
      <c r="I527" s="294"/>
      <c r="J527" s="294"/>
      <c r="L527" s="295"/>
      <c r="M527" s="294"/>
      <c r="S527" s="294"/>
      <c r="T527" s="299"/>
      <c r="U527" s="294"/>
      <c r="V527" s="299"/>
      <c r="W527" s="299"/>
      <c r="X527" s="294"/>
      <c r="Y527" s="299"/>
      <c r="Z527" s="294"/>
      <c r="AA527" s="299"/>
      <c r="AB527" s="299"/>
      <c r="AC527" s="294"/>
      <c r="AD527" s="294"/>
      <c r="AE527" s="294"/>
      <c r="AF527" s="294"/>
    </row>
    <row r="528" spans="2:32" x14ac:dyDescent="0.25">
      <c r="B528" s="294"/>
      <c r="C528" s="294"/>
      <c r="D528" s="294"/>
      <c r="E528" s="294"/>
      <c r="F528" s="294"/>
      <c r="G528" s="294"/>
      <c r="H528" s="294"/>
      <c r="I528" s="294"/>
      <c r="J528" s="294"/>
      <c r="L528" s="295"/>
      <c r="M528" s="294"/>
      <c r="S528" s="294"/>
      <c r="T528" s="299"/>
      <c r="U528" s="294"/>
      <c r="V528" s="299"/>
      <c r="W528" s="299"/>
      <c r="X528" s="294"/>
      <c r="Y528" s="299"/>
      <c r="Z528" s="294"/>
      <c r="AA528" s="299"/>
      <c r="AB528" s="299"/>
      <c r="AC528" s="294"/>
      <c r="AD528" s="294"/>
      <c r="AE528" s="294"/>
      <c r="AF528" s="294"/>
    </row>
    <row r="529" spans="2:32" x14ac:dyDescent="0.25">
      <c r="B529" s="294"/>
      <c r="C529" s="294"/>
      <c r="D529" s="294"/>
      <c r="E529" s="294"/>
      <c r="F529" s="294"/>
      <c r="G529" s="294"/>
      <c r="H529" s="294"/>
      <c r="I529" s="294"/>
      <c r="J529" s="294"/>
      <c r="L529" s="295"/>
      <c r="M529" s="294"/>
      <c r="S529" s="294"/>
      <c r="T529" s="299"/>
      <c r="U529" s="294"/>
      <c r="V529" s="299"/>
      <c r="W529" s="299"/>
      <c r="X529" s="294"/>
      <c r="Y529" s="299"/>
      <c r="Z529" s="294"/>
      <c r="AA529" s="299"/>
      <c r="AB529" s="299"/>
      <c r="AC529" s="294"/>
      <c r="AD529" s="294"/>
      <c r="AE529" s="294"/>
      <c r="AF529" s="294"/>
    </row>
    <row r="530" spans="2:32" x14ac:dyDescent="0.25">
      <c r="B530" s="294"/>
      <c r="C530" s="294"/>
      <c r="D530" s="294"/>
      <c r="E530" s="294"/>
      <c r="F530" s="294"/>
      <c r="G530" s="294"/>
      <c r="H530" s="294"/>
      <c r="I530" s="294"/>
      <c r="J530" s="294"/>
      <c r="L530" s="295"/>
      <c r="M530" s="294"/>
      <c r="S530" s="294"/>
      <c r="T530" s="299"/>
      <c r="U530" s="294"/>
      <c r="V530" s="299"/>
      <c r="W530" s="299"/>
      <c r="X530" s="294"/>
      <c r="Y530" s="299"/>
      <c r="Z530" s="294"/>
      <c r="AA530" s="299"/>
      <c r="AB530" s="299"/>
      <c r="AC530" s="294"/>
      <c r="AD530" s="294"/>
      <c r="AE530" s="294"/>
      <c r="AF530" s="294"/>
    </row>
    <row r="531" spans="2:32" x14ac:dyDescent="0.25">
      <c r="B531" s="294"/>
      <c r="C531" s="294"/>
      <c r="D531" s="294"/>
      <c r="E531" s="294"/>
      <c r="F531" s="294"/>
      <c r="G531" s="294"/>
      <c r="H531" s="294"/>
      <c r="I531" s="294"/>
      <c r="J531" s="294"/>
      <c r="L531" s="295"/>
      <c r="M531" s="294"/>
      <c r="S531" s="294"/>
      <c r="T531" s="299"/>
      <c r="U531" s="294"/>
      <c r="V531" s="299"/>
      <c r="W531" s="299"/>
      <c r="X531" s="294"/>
      <c r="Y531" s="299"/>
      <c r="Z531" s="294"/>
      <c r="AA531" s="299"/>
      <c r="AB531" s="299"/>
      <c r="AC531" s="294"/>
      <c r="AD531" s="294"/>
      <c r="AE531" s="294"/>
      <c r="AF531" s="294"/>
    </row>
    <row r="532" spans="2:32" x14ac:dyDescent="0.25">
      <c r="B532" s="294"/>
      <c r="C532" s="294"/>
      <c r="D532" s="294"/>
      <c r="E532" s="294"/>
      <c r="F532" s="294"/>
      <c r="G532" s="294"/>
      <c r="H532" s="294"/>
      <c r="I532" s="294"/>
      <c r="J532" s="294"/>
      <c r="L532" s="295"/>
      <c r="M532" s="294"/>
      <c r="S532" s="294"/>
      <c r="T532" s="299"/>
      <c r="U532" s="294"/>
      <c r="V532" s="299"/>
      <c r="W532" s="299"/>
      <c r="X532" s="294"/>
      <c r="Y532" s="299"/>
      <c r="Z532" s="294"/>
      <c r="AA532" s="299"/>
      <c r="AB532" s="299"/>
      <c r="AC532" s="294"/>
      <c r="AD532" s="294"/>
      <c r="AE532" s="294"/>
      <c r="AF532" s="294"/>
    </row>
    <row r="533" spans="2:32" x14ac:dyDescent="0.25">
      <c r="B533" s="294"/>
      <c r="C533" s="294"/>
      <c r="D533" s="294"/>
      <c r="E533" s="294"/>
      <c r="F533" s="294"/>
      <c r="G533" s="294"/>
      <c r="H533" s="294"/>
      <c r="I533" s="294"/>
      <c r="J533" s="294"/>
      <c r="L533" s="295"/>
      <c r="M533" s="294"/>
      <c r="S533" s="294"/>
      <c r="T533" s="299"/>
      <c r="U533" s="294"/>
      <c r="V533" s="299"/>
      <c r="W533" s="299"/>
      <c r="X533" s="294"/>
      <c r="Y533" s="299"/>
      <c r="Z533" s="294"/>
      <c r="AA533" s="299"/>
      <c r="AB533" s="299"/>
      <c r="AC533" s="294"/>
      <c r="AD533" s="294"/>
      <c r="AE533" s="294"/>
      <c r="AF533" s="294"/>
    </row>
    <row r="534" spans="2:32" x14ac:dyDescent="0.25">
      <c r="B534" s="294"/>
      <c r="C534" s="294"/>
      <c r="D534" s="294"/>
      <c r="E534" s="294"/>
      <c r="F534" s="294"/>
      <c r="G534" s="294"/>
      <c r="H534" s="294"/>
      <c r="I534" s="294"/>
      <c r="J534" s="294"/>
      <c r="L534" s="295"/>
      <c r="M534" s="294"/>
      <c r="S534" s="294"/>
      <c r="T534" s="299"/>
      <c r="U534" s="294"/>
      <c r="V534" s="299"/>
      <c r="W534" s="299"/>
      <c r="X534" s="294"/>
      <c r="Y534" s="299"/>
      <c r="Z534" s="294"/>
      <c r="AA534" s="299"/>
      <c r="AB534" s="299"/>
      <c r="AC534" s="294"/>
      <c r="AD534" s="294"/>
      <c r="AE534" s="294"/>
      <c r="AF534" s="294"/>
    </row>
    <row r="535" spans="2:32" x14ac:dyDescent="0.25">
      <c r="B535" s="294"/>
      <c r="C535" s="294"/>
      <c r="D535" s="294"/>
      <c r="E535" s="294"/>
      <c r="F535" s="294"/>
      <c r="G535" s="294"/>
      <c r="H535" s="294"/>
      <c r="I535" s="294"/>
      <c r="J535" s="294"/>
      <c r="L535" s="295"/>
      <c r="M535" s="294"/>
      <c r="S535" s="294"/>
      <c r="T535" s="299"/>
      <c r="U535" s="294"/>
      <c r="V535" s="299"/>
      <c r="W535" s="299"/>
      <c r="X535" s="294"/>
      <c r="Y535" s="299"/>
      <c r="Z535" s="294"/>
      <c r="AA535" s="299"/>
      <c r="AB535" s="299"/>
      <c r="AC535" s="294"/>
      <c r="AD535" s="294"/>
      <c r="AE535" s="294"/>
      <c r="AF535" s="294"/>
    </row>
    <row r="536" spans="2:32" x14ac:dyDescent="0.25">
      <c r="B536" s="294"/>
      <c r="C536" s="294"/>
      <c r="D536" s="294"/>
      <c r="E536" s="294"/>
      <c r="F536" s="294"/>
      <c r="G536" s="294"/>
      <c r="H536" s="294"/>
      <c r="I536" s="294"/>
      <c r="J536" s="294"/>
      <c r="L536" s="295"/>
      <c r="M536" s="294"/>
      <c r="S536" s="294"/>
      <c r="T536" s="299"/>
      <c r="U536" s="294"/>
      <c r="V536" s="299"/>
      <c r="W536" s="299"/>
      <c r="X536" s="294"/>
      <c r="Y536" s="299"/>
      <c r="Z536" s="294"/>
      <c r="AA536" s="299"/>
      <c r="AB536" s="299"/>
      <c r="AC536" s="294"/>
      <c r="AD536" s="294"/>
      <c r="AE536" s="294"/>
      <c r="AF536" s="294"/>
    </row>
    <row r="537" spans="2:32" x14ac:dyDescent="0.25">
      <c r="B537" s="294"/>
      <c r="C537" s="294"/>
      <c r="D537" s="294"/>
      <c r="E537" s="294"/>
      <c r="F537" s="294"/>
      <c r="G537" s="294"/>
      <c r="H537" s="294"/>
      <c r="I537" s="294"/>
      <c r="J537" s="294"/>
      <c r="L537" s="295"/>
      <c r="M537" s="294"/>
      <c r="S537" s="294"/>
      <c r="T537" s="299"/>
      <c r="U537" s="294"/>
      <c r="V537" s="299"/>
      <c r="W537" s="299"/>
      <c r="X537" s="294"/>
      <c r="Y537" s="299"/>
      <c r="Z537" s="294"/>
      <c r="AA537" s="299"/>
      <c r="AB537" s="299"/>
      <c r="AC537" s="294"/>
      <c r="AD537" s="294"/>
      <c r="AE537" s="294"/>
      <c r="AF537" s="294"/>
    </row>
    <row r="538" spans="2:32" x14ac:dyDescent="0.25">
      <c r="B538" s="294"/>
      <c r="C538" s="294"/>
      <c r="D538" s="294"/>
      <c r="E538" s="294"/>
      <c r="F538" s="294"/>
      <c r="G538" s="294"/>
      <c r="H538" s="294"/>
      <c r="I538" s="294"/>
      <c r="J538" s="294"/>
      <c r="L538" s="295"/>
      <c r="M538" s="294"/>
      <c r="S538" s="294"/>
      <c r="T538" s="299"/>
      <c r="U538" s="294"/>
      <c r="V538" s="299"/>
      <c r="W538" s="299"/>
      <c r="X538" s="294"/>
      <c r="Y538" s="299"/>
      <c r="Z538" s="294"/>
      <c r="AA538" s="299"/>
      <c r="AB538" s="299"/>
      <c r="AC538" s="294"/>
      <c r="AD538" s="294"/>
      <c r="AE538" s="294"/>
      <c r="AF538" s="294"/>
    </row>
    <row r="539" spans="2:32" x14ac:dyDescent="0.25">
      <c r="B539" s="294"/>
      <c r="C539" s="294"/>
      <c r="D539" s="294"/>
      <c r="E539" s="294"/>
      <c r="F539" s="294"/>
      <c r="G539" s="294"/>
      <c r="H539" s="294"/>
      <c r="I539" s="294"/>
      <c r="J539" s="294"/>
      <c r="L539" s="295"/>
      <c r="M539" s="294"/>
      <c r="S539" s="294"/>
      <c r="T539" s="299"/>
      <c r="U539" s="294"/>
      <c r="V539" s="299"/>
      <c r="W539" s="299"/>
      <c r="X539" s="294"/>
      <c r="Y539" s="299"/>
      <c r="Z539" s="294"/>
      <c r="AA539" s="299"/>
      <c r="AB539" s="299"/>
      <c r="AC539" s="294"/>
      <c r="AD539" s="294"/>
      <c r="AE539" s="294"/>
      <c r="AF539" s="294"/>
    </row>
    <row r="540" spans="2:32" x14ac:dyDescent="0.25">
      <c r="B540" s="294"/>
      <c r="C540" s="294"/>
      <c r="D540" s="294"/>
      <c r="E540" s="294"/>
      <c r="F540" s="294"/>
      <c r="G540" s="294"/>
      <c r="H540" s="294"/>
      <c r="I540" s="294"/>
      <c r="J540" s="294"/>
      <c r="L540" s="295"/>
      <c r="M540" s="294"/>
      <c r="S540" s="294"/>
      <c r="T540" s="299"/>
      <c r="U540" s="294"/>
      <c r="V540" s="299"/>
      <c r="W540" s="299"/>
      <c r="X540" s="294"/>
      <c r="Y540" s="299"/>
      <c r="Z540" s="294"/>
      <c r="AA540" s="299"/>
      <c r="AB540" s="299"/>
      <c r="AC540" s="294"/>
      <c r="AD540" s="294"/>
      <c r="AE540" s="294"/>
      <c r="AF540" s="294"/>
    </row>
    <row r="541" spans="2:32" x14ac:dyDescent="0.25">
      <c r="B541" s="294"/>
      <c r="C541" s="294"/>
      <c r="D541" s="294"/>
      <c r="E541" s="294"/>
      <c r="F541" s="294"/>
      <c r="G541" s="294"/>
      <c r="H541" s="294"/>
      <c r="I541" s="294"/>
      <c r="J541" s="294"/>
      <c r="L541" s="295"/>
      <c r="M541" s="294"/>
      <c r="S541" s="294"/>
      <c r="T541" s="299"/>
      <c r="U541" s="294"/>
      <c r="V541" s="299"/>
      <c r="W541" s="299"/>
      <c r="X541" s="294"/>
      <c r="Y541" s="299"/>
      <c r="Z541" s="294"/>
      <c r="AA541" s="299"/>
      <c r="AB541" s="299"/>
      <c r="AC541" s="294"/>
      <c r="AD541" s="294"/>
      <c r="AE541" s="294"/>
      <c r="AF541" s="294"/>
    </row>
    <row r="542" spans="2:32" x14ac:dyDescent="0.25">
      <c r="B542" s="294"/>
      <c r="C542" s="294"/>
      <c r="D542" s="294"/>
      <c r="E542" s="294"/>
      <c r="F542" s="294"/>
      <c r="G542" s="294"/>
      <c r="H542" s="294"/>
      <c r="I542" s="294"/>
      <c r="J542" s="294"/>
      <c r="L542" s="295"/>
      <c r="M542" s="294"/>
      <c r="S542" s="294"/>
      <c r="T542" s="299"/>
      <c r="U542" s="294"/>
      <c r="V542" s="299"/>
      <c r="W542" s="299"/>
      <c r="X542" s="294"/>
      <c r="Y542" s="299"/>
      <c r="Z542" s="294"/>
      <c r="AA542" s="299"/>
      <c r="AB542" s="299"/>
      <c r="AC542" s="294"/>
      <c r="AD542" s="294"/>
      <c r="AE542" s="294"/>
      <c r="AF542" s="294"/>
    </row>
    <row r="543" spans="2:32" x14ac:dyDescent="0.25">
      <c r="B543" s="294"/>
      <c r="C543" s="294"/>
      <c r="D543" s="294"/>
      <c r="E543" s="294"/>
      <c r="F543" s="294"/>
      <c r="G543" s="294"/>
      <c r="H543" s="294"/>
      <c r="I543" s="294"/>
      <c r="J543" s="294"/>
      <c r="L543" s="295"/>
      <c r="M543" s="294"/>
      <c r="S543" s="294"/>
      <c r="T543" s="299"/>
      <c r="U543" s="294"/>
      <c r="V543" s="299"/>
      <c r="W543" s="299"/>
      <c r="X543" s="294"/>
      <c r="Y543" s="299"/>
      <c r="Z543" s="294"/>
      <c r="AA543" s="299"/>
      <c r="AB543" s="299"/>
      <c r="AC543" s="294"/>
      <c r="AD543" s="294"/>
      <c r="AE543" s="294"/>
      <c r="AF543" s="294"/>
    </row>
    <row r="544" spans="2:32" x14ac:dyDescent="0.25">
      <c r="B544" s="294"/>
      <c r="C544" s="294"/>
      <c r="D544" s="294"/>
      <c r="E544" s="294"/>
      <c r="F544" s="294"/>
      <c r="G544" s="294"/>
      <c r="H544" s="294"/>
      <c r="I544" s="294"/>
      <c r="J544" s="294"/>
      <c r="L544" s="295"/>
      <c r="M544" s="294"/>
      <c r="S544" s="294"/>
      <c r="T544" s="299"/>
      <c r="U544" s="294"/>
      <c r="V544" s="299"/>
      <c r="W544" s="299"/>
      <c r="X544" s="294"/>
      <c r="Y544" s="299"/>
      <c r="Z544" s="294"/>
      <c r="AA544" s="299"/>
      <c r="AB544" s="299"/>
      <c r="AC544" s="294"/>
      <c r="AD544" s="294"/>
      <c r="AE544" s="294"/>
      <c r="AF544" s="294"/>
    </row>
    <row r="545" spans="2:32" x14ac:dyDescent="0.25">
      <c r="B545" s="294"/>
      <c r="C545" s="294"/>
      <c r="D545" s="294"/>
      <c r="E545" s="294"/>
      <c r="F545" s="294"/>
      <c r="G545" s="294"/>
      <c r="H545" s="294"/>
      <c r="I545" s="294"/>
      <c r="J545" s="294"/>
      <c r="L545" s="295"/>
      <c r="M545" s="294"/>
      <c r="S545" s="294"/>
      <c r="T545" s="299"/>
      <c r="U545" s="294"/>
      <c r="V545" s="299"/>
      <c r="W545" s="299"/>
      <c r="X545" s="294"/>
      <c r="Y545" s="299"/>
      <c r="Z545" s="294"/>
      <c r="AA545" s="299"/>
      <c r="AB545" s="299"/>
      <c r="AC545" s="294"/>
      <c r="AD545" s="294"/>
      <c r="AE545" s="294"/>
      <c r="AF545" s="294"/>
    </row>
    <row r="546" spans="2:32" x14ac:dyDescent="0.25">
      <c r="B546" s="294"/>
      <c r="C546" s="294"/>
      <c r="D546" s="294"/>
      <c r="E546" s="294"/>
      <c r="F546" s="294"/>
      <c r="G546" s="294"/>
      <c r="H546" s="294"/>
      <c r="I546" s="294"/>
      <c r="J546" s="294"/>
      <c r="L546" s="295"/>
      <c r="M546" s="294"/>
      <c r="S546" s="294"/>
      <c r="T546" s="299"/>
      <c r="U546" s="294"/>
      <c r="V546" s="299"/>
      <c r="W546" s="299"/>
      <c r="X546" s="294"/>
      <c r="Y546" s="299"/>
      <c r="Z546" s="294"/>
      <c r="AA546" s="299"/>
      <c r="AB546" s="299"/>
      <c r="AC546" s="294"/>
      <c r="AD546" s="294"/>
      <c r="AE546" s="294"/>
      <c r="AF546" s="294"/>
    </row>
    <row r="547" spans="2:32" x14ac:dyDescent="0.25">
      <c r="B547" s="294"/>
      <c r="C547" s="294"/>
      <c r="D547" s="294"/>
      <c r="E547" s="294"/>
      <c r="F547" s="294"/>
      <c r="G547" s="294"/>
      <c r="H547" s="294"/>
      <c r="I547" s="294"/>
      <c r="J547" s="294"/>
      <c r="L547" s="295"/>
      <c r="M547" s="294"/>
      <c r="S547" s="294"/>
      <c r="T547" s="299"/>
      <c r="U547" s="294"/>
      <c r="V547" s="299"/>
      <c r="W547" s="299"/>
      <c r="X547" s="294"/>
      <c r="Y547" s="299"/>
      <c r="Z547" s="294"/>
      <c r="AA547" s="299"/>
      <c r="AB547" s="299"/>
      <c r="AC547" s="294"/>
      <c r="AD547" s="294"/>
      <c r="AE547" s="294"/>
      <c r="AF547" s="294"/>
    </row>
    <row r="548" spans="2:32" x14ac:dyDescent="0.25">
      <c r="B548" s="294"/>
      <c r="C548" s="294"/>
      <c r="D548" s="294"/>
      <c r="E548" s="294"/>
      <c r="F548" s="294"/>
      <c r="G548" s="294"/>
      <c r="H548" s="294"/>
      <c r="I548" s="294"/>
      <c r="J548" s="294"/>
      <c r="L548" s="295"/>
      <c r="M548" s="294"/>
      <c r="S548" s="294"/>
      <c r="T548" s="299"/>
      <c r="U548" s="294"/>
      <c r="V548" s="299"/>
      <c r="W548" s="299"/>
      <c r="X548" s="294"/>
      <c r="Y548" s="299"/>
      <c r="Z548" s="294"/>
      <c r="AA548" s="299"/>
      <c r="AB548" s="299"/>
      <c r="AC548" s="294"/>
      <c r="AD548" s="294"/>
      <c r="AE548" s="294"/>
      <c r="AF548" s="294"/>
    </row>
    <row r="549" spans="2:32" x14ac:dyDescent="0.25">
      <c r="B549" s="294"/>
      <c r="C549" s="294"/>
      <c r="D549" s="294"/>
      <c r="E549" s="294"/>
      <c r="F549" s="294"/>
      <c r="G549" s="294"/>
      <c r="H549" s="294"/>
      <c r="I549" s="294"/>
      <c r="J549" s="294"/>
      <c r="L549" s="295"/>
      <c r="M549" s="294"/>
      <c r="S549" s="294"/>
      <c r="T549" s="299"/>
      <c r="U549" s="294"/>
      <c r="V549" s="299"/>
      <c r="W549" s="299"/>
      <c r="X549" s="294"/>
      <c r="Y549" s="299"/>
      <c r="Z549" s="294"/>
      <c r="AA549" s="299"/>
      <c r="AB549" s="299"/>
      <c r="AC549" s="294"/>
      <c r="AD549" s="294"/>
      <c r="AE549" s="294"/>
      <c r="AF549" s="294"/>
    </row>
    <row r="550" spans="2:32" x14ac:dyDescent="0.25">
      <c r="B550" s="294"/>
      <c r="C550" s="294"/>
      <c r="D550" s="294"/>
      <c r="E550" s="294"/>
      <c r="F550" s="294"/>
      <c r="G550" s="294"/>
      <c r="H550" s="294"/>
      <c r="I550" s="294"/>
      <c r="J550" s="294"/>
      <c r="L550" s="295"/>
      <c r="M550" s="294"/>
      <c r="S550" s="294"/>
      <c r="T550" s="299"/>
      <c r="U550" s="294"/>
      <c r="V550" s="299"/>
      <c r="W550" s="299"/>
      <c r="X550" s="294"/>
      <c r="Y550" s="299"/>
      <c r="Z550" s="294"/>
      <c r="AA550" s="299"/>
      <c r="AB550" s="299"/>
      <c r="AC550" s="294"/>
      <c r="AD550" s="294"/>
      <c r="AE550" s="294"/>
      <c r="AF550" s="294"/>
    </row>
    <row r="551" spans="2:32" x14ac:dyDescent="0.25">
      <c r="B551" s="294"/>
      <c r="C551" s="294"/>
      <c r="D551" s="294"/>
      <c r="E551" s="294"/>
      <c r="F551" s="294"/>
      <c r="G551" s="294"/>
      <c r="H551" s="294"/>
      <c r="I551" s="294"/>
      <c r="J551" s="294"/>
      <c r="L551" s="295"/>
      <c r="M551" s="294"/>
      <c r="S551" s="294"/>
      <c r="T551" s="299"/>
      <c r="U551" s="294"/>
      <c r="V551" s="299"/>
      <c r="W551" s="299"/>
      <c r="X551" s="294"/>
      <c r="Y551" s="299"/>
      <c r="Z551" s="294"/>
      <c r="AA551" s="299"/>
      <c r="AB551" s="299"/>
      <c r="AC551" s="294"/>
      <c r="AD551" s="294"/>
      <c r="AE551" s="294"/>
      <c r="AF551" s="294"/>
    </row>
    <row r="552" spans="2:32" x14ac:dyDescent="0.25">
      <c r="B552" s="294"/>
      <c r="C552" s="294"/>
      <c r="D552" s="294"/>
      <c r="E552" s="294"/>
      <c r="F552" s="294"/>
      <c r="G552" s="294"/>
      <c r="H552" s="294"/>
      <c r="I552" s="294"/>
      <c r="J552" s="294"/>
      <c r="L552" s="295"/>
      <c r="M552" s="294"/>
      <c r="S552" s="294"/>
      <c r="T552" s="299"/>
      <c r="U552" s="294"/>
      <c r="V552" s="299"/>
      <c r="W552" s="299"/>
      <c r="X552" s="294"/>
      <c r="Y552" s="299"/>
      <c r="Z552" s="294"/>
      <c r="AA552" s="299"/>
      <c r="AB552" s="299"/>
      <c r="AC552" s="294"/>
      <c r="AD552" s="294"/>
      <c r="AE552" s="294"/>
      <c r="AF552" s="294"/>
    </row>
    <row r="553" spans="2:32" x14ac:dyDescent="0.25">
      <c r="B553" s="294"/>
      <c r="C553" s="294"/>
      <c r="D553" s="294"/>
      <c r="E553" s="294"/>
      <c r="F553" s="294"/>
      <c r="G553" s="294"/>
      <c r="H553" s="294"/>
      <c r="I553" s="294"/>
      <c r="J553" s="294"/>
      <c r="L553" s="295"/>
      <c r="M553" s="294"/>
      <c r="S553" s="294"/>
      <c r="T553" s="299"/>
      <c r="U553" s="294"/>
      <c r="V553" s="299"/>
      <c r="W553" s="299"/>
      <c r="X553" s="294"/>
      <c r="Y553" s="299"/>
      <c r="Z553" s="294"/>
      <c r="AA553" s="299"/>
      <c r="AB553" s="299"/>
      <c r="AC553" s="294"/>
      <c r="AD553" s="294"/>
      <c r="AE553" s="294"/>
      <c r="AF553" s="294"/>
    </row>
    <row r="554" spans="2:32" x14ac:dyDescent="0.25">
      <c r="B554" s="294"/>
      <c r="C554" s="294"/>
      <c r="D554" s="294"/>
      <c r="E554" s="294"/>
      <c r="F554" s="294"/>
      <c r="G554" s="294"/>
      <c r="H554" s="294"/>
      <c r="I554" s="294"/>
      <c r="J554" s="294"/>
      <c r="L554" s="295"/>
      <c r="M554" s="294"/>
      <c r="S554" s="294"/>
      <c r="T554" s="299"/>
      <c r="U554" s="294"/>
      <c r="V554" s="299"/>
      <c r="W554" s="299"/>
      <c r="X554" s="294"/>
      <c r="Y554" s="299"/>
      <c r="Z554" s="294"/>
      <c r="AA554" s="299"/>
      <c r="AB554" s="299"/>
      <c r="AC554" s="294"/>
      <c r="AD554" s="294"/>
      <c r="AE554" s="294"/>
      <c r="AF554" s="294"/>
    </row>
    <row r="555" spans="2:32" x14ac:dyDescent="0.25">
      <c r="B555" s="294"/>
      <c r="C555" s="294"/>
      <c r="D555" s="294"/>
      <c r="E555" s="294"/>
      <c r="F555" s="294"/>
      <c r="G555" s="294"/>
      <c r="H555" s="294"/>
      <c r="I555" s="294"/>
      <c r="J555" s="294"/>
      <c r="L555" s="295"/>
      <c r="M555" s="294"/>
      <c r="S555" s="294"/>
      <c r="T555" s="299"/>
      <c r="U555" s="294"/>
      <c r="V555" s="299"/>
      <c r="W555" s="299"/>
      <c r="X555" s="294"/>
      <c r="Y555" s="299"/>
      <c r="Z555" s="294"/>
      <c r="AA555" s="299"/>
      <c r="AB555" s="299"/>
      <c r="AC555" s="294"/>
      <c r="AD555" s="294"/>
      <c r="AE555" s="294"/>
      <c r="AF555" s="294"/>
    </row>
    <row r="556" spans="2:32" x14ac:dyDescent="0.25">
      <c r="B556" s="294"/>
      <c r="C556" s="294"/>
      <c r="D556" s="294"/>
      <c r="E556" s="294"/>
      <c r="F556" s="294"/>
      <c r="G556" s="294"/>
      <c r="H556" s="294"/>
      <c r="I556" s="294"/>
      <c r="J556" s="294"/>
      <c r="L556" s="295"/>
      <c r="M556" s="294"/>
      <c r="S556" s="294"/>
      <c r="T556" s="299"/>
      <c r="U556" s="294"/>
      <c r="V556" s="299"/>
      <c r="W556" s="299"/>
      <c r="X556" s="294"/>
      <c r="Y556" s="299"/>
      <c r="Z556" s="294"/>
      <c r="AA556" s="299"/>
      <c r="AB556" s="299"/>
      <c r="AC556" s="294"/>
      <c r="AD556" s="294"/>
      <c r="AE556" s="294"/>
      <c r="AF556" s="294"/>
    </row>
    <row r="557" spans="2:32" x14ac:dyDescent="0.25">
      <c r="B557" s="294"/>
      <c r="C557" s="294"/>
      <c r="D557" s="294"/>
      <c r="E557" s="294"/>
      <c r="F557" s="294"/>
      <c r="G557" s="294"/>
      <c r="H557" s="294"/>
      <c r="I557" s="294"/>
      <c r="J557" s="294"/>
      <c r="L557" s="295"/>
      <c r="M557" s="294"/>
      <c r="S557" s="294"/>
      <c r="T557" s="299"/>
      <c r="U557" s="294"/>
      <c r="V557" s="299"/>
      <c r="W557" s="299"/>
      <c r="X557" s="294"/>
      <c r="Y557" s="299"/>
      <c r="Z557" s="294"/>
      <c r="AA557" s="299"/>
      <c r="AB557" s="299"/>
      <c r="AC557" s="294"/>
      <c r="AD557" s="294"/>
      <c r="AE557" s="294"/>
      <c r="AF557" s="294"/>
    </row>
    <row r="558" spans="2:32" x14ac:dyDescent="0.25">
      <c r="B558" s="294"/>
      <c r="C558" s="294"/>
      <c r="D558" s="294"/>
      <c r="E558" s="294"/>
      <c r="F558" s="294"/>
      <c r="G558" s="294"/>
      <c r="H558" s="294"/>
      <c r="I558" s="294"/>
      <c r="J558" s="294"/>
      <c r="L558" s="295"/>
      <c r="M558" s="294"/>
      <c r="S558" s="294"/>
      <c r="T558" s="299"/>
      <c r="U558" s="294"/>
      <c r="V558" s="299"/>
      <c r="W558" s="299"/>
      <c r="X558" s="294"/>
      <c r="Y558" s="299"/>
      <c r="Z558" s="294"/>
      <c r="AA558" s="299"/>
      <c r="AB558" s="299"/>
      <c r="AC558" s="294"/>
      <c r="AD558" s="294"/>
      <c r="AE558" s="294"/>
      <c r="AF558" s="294"/>
    </row>
    <row r="559" spans="2:32" x14ac:dyDescent="0.25">
      <c r="B559" s="294"/>
      <c r="C559" s="294"/>
      <c r="D559" s="294"/>
      <c r="E559" s="294"/>
      <c r="F559" s="294"/>
      <c r="G559" s="294"/>
      <c r="H559" s="294"/>
      <c r="I559" s="294"/>
      <c r="J559" s="294"/>
      <c r="L559" s="295"/>
      <c r="M559" s="294"/>
      <c r="S559" s="294"/>
      <c r="T559" s="299"/>
      <c r="U559" s="294"/>
      <c r="V559" s="299"/>
      <c r="W559" s="299"/>
      <c r="X559" s="294"/>
      <c r="Y559" s="299"/>
      <c r="Z559" s="294"/>
      <c r="AA559" s="299"/>
      <c r="AB559" s="299"/>
      <c r="AC559" s="294"/>
      <c r="AD559" s="294"/>
      <c r="AE559" s="294"/>
      <c r="AF559" s="294"/>
    </row>
    <row r="560" spans="2:32" x14ac:dyDescent="0.25">
      <c r="B560" s="294"/>
      <c r="C560" s="294"/>
      <c r="D560" s="294"/>
      <c r="E560" s="294"/>
      <c r="F560" s="294"/>
      <c r="G560" s="294"/>
      <c r="H560" s="294"/>
      <c r="I560" s="294"/>
      <c r="J560" s="294"/>
      <c r="L560" s="295"/>
      <c r="M560" s="294"/>
      <c r="S560" s="294"/>
      <c r="T560" s="299"/>
      <c r="U560" s="294"/>
      <c r="V560" s="299"/>
      <c r="W560" s="299"/>
      <c r="X560" s="294"/>
      <c r="Y560" s="299"/>
      <c r="Z560" s="294"/>
      <c r="AA560" s="299"/>
      <c r="AB560" s="299"/>
      <c r="AC560" s="294"/>
      <c r="AD560" s="294"/>
      <c r="AE560" s="294"/>
      <c r="AF560" s="294"/>
    </row>
    <row r="561" spans="2:32" x14ac:dyDescent="0.25">
      <c r="B561" s="294"/>
      <c r="C561" s="294"/>
      <c r="D561" s="294"/>
      <c r="E561" s="294"/>
      <c r="F561" s="294"/>
      <c r="G561" s="294"/>
      <c r="H561" s="294"/>
      <c r="I561" s="294"/>
      <c r="J561" s="294"/>
      <c r="L561" s="295"/>
      <c r="M561" s="294"/>
      <c r="S561" s="294"/>
      <c r="T561" s="299"/>
      <c r="U561" s="294"/>
      <c r="V561" s="299"/>
      <c r="W561" s="299"/>
      <c r="X561" s="294"/>
      <c r="Y561" s="299"/>
      <c r="Z561" s="294"/>
      <c r="AA561" s="299"/>
      <c r="AB561" s="299"/>
      <c r="AC561" s="294"/>
      <c r="AD561" s="294"/>
      <c r="AE561" s="294"/>
      <c r="AF561" s="294"/>
    </row>
    <row r="562" spans="2:32" x14ac:dyDescent="0.25">
      <c r="B562" s="294"/>
      <c r="C562" s="294"/>
      <c r="D562" s="294"/>
      <c r="E562" s="294"/>
      <c r="F562" s="294"/>
      <c r="G562" s="294"/>
      <c r="H562" s="294"/>
      <c r="I562" s="294"/>
      <c r="J562" s="294"/>
      <c r="L562" s="295"/>
      <c r="M562" s="294"/>
      <c r="S562" s="294"/>
      <c r="T562" s="299"/>
      <c r="U562" s="294"/>
      <c r="V562" s="299"/>
      <c r="W562" s="299"/>
      <c r="X562" s="294"/>
      <c r="Y562" s="299"/>
      <c r="Z562" s="294"/>
      <c r="AA562" s="299"/>
      <c r="AB562" s="299"/>
      <c r="AC562" s="294"/>
      <c r="AD562" s="294"/>
      <c r="AE562" s="294"/>
      <c r="AF562" s="294"/>
    </row>
    <row r="563" spans="2:32" x14ac:dyDescent="0.25">
      <c r="B563" s="294"/>
      <c r="C563" s="294"/>
      <c r="D563" s="294"/>
      <c r="E563" s="294"/>
      <c r="F563" s="294"/>
      <c r="G563" s="294"/>
      <c r="H563" s="294"/>
      <c r="I563" s="294"/>
      <c r="J563" s="294"/>
      <c r="L563" s="295"/>
      <c r="M563" s="294"/>
      <c r="S563" s="294"/>
      <c r="T563" s="299"/>
      <c r="U563" s="294"/>
      <c r="V563" s="299"/>
      <c r="W563" s="299"/>
      <c r="X563" s="294"/>
      <c r="Y563" s="299"/>
      <c r="Z563" s="294"/>
      <c r="AA563" s="299"/>
      <c r="AB563" s="299"/>
      <c r="AC563" s="294"/>
      <c r="AD563" s="294"/>
      <c r="AE563" s="294"/>
      <c r="AF563" s="294"/>
    </row>
    <row r="564" spans="2:32" x14ac:dyDescent="0.25">
      <c r="B564" s="294"/>
      <c r="C564" s="294"/>
      <c r="D564" s="294"/>
      <c r="E564" s="294"/>
      <c r="F564" s="294"/>
      <c r="G564" s="294"/>
      <c r="H564" s="294"/>
      <c r="I564" s="294"/>
      <c r="J564" s="294"/>
      <c r="L564" s="295"/>
      <c r="M564" s="294"/>
      <c r="S564" s="294"/>
      <c r="T564" s="299"/>
      <c r="U564" s="294"/>
      <c r="V564" s="299"/>
      <c r="W564" s="299"/>
      <c r="X564" s="294"/>
      <c r="Y564" s="299"/>
      <c r="Z564" s="294"/>
      <c r="AA564" s="299"/>
      <c r="AB564" s="299"/>
      <c r="AC564" s="294"/>
      <c r="AD564" s="294"/>
      <c r="AE564" s="294"/>
      <c r="AF564" s="294"/>
    </row>
    <row r="565" spans="2:32" x14ac:dyDescent="0.25">
      <c r="B565" s="294"/>
      <c r="C565" s="294"/>
      <c r="D565" s="294"/>
      <c r="E565" s="294"/>
      <c r="F565" s="294"/>
      <c r="G565" s="294"/>
      <c r="H565" s="294"/>
      <c r="I565" s="294"/>
      <c r="J565" s="294"/>
      <c r="L565" s="295"/>
      <c r="M565" s="294"/>
      <c r="S565" s="294"/>
      <c r="T565" s="299"/>
      <c r="U565" s="294"/>
      <c r="V565" s="299"/>
      <c r="W565" s="299"/>
      <c r="X565" s="294"/>
      <c r="Y565" s="299"/>
      <c r="Z565" s="294"/>
      <c r="AA565" s="299"/>
      <c r="AB565" s="299"/>
      <c r="AC565" s="294"/>
      <c r="AD565" s="294"/>
      <c r="AE565" s="294"/>
      <c r="AF565" s="294"/>
    </row>
    <row r="566" spans="2:32" x14ac:dyDescent="0.25">
      <c r="B566" s="294"/>
      <c r="C566" s="294"/>
      <c r="D566" s="294"/>
      <c r="E566" s="294"/>
      <c r="F566" s="294"/>
      <c r="G566" s="294"/>
      <c r="H566" s="294"/>
      <c r="I566" s="294"/>
      <c r="J566" s="294"/>
      <c r="L566" s="295"/>
      <c r="M566" s="294"/>
      <c r="S566" s="294"/>
      <c r="T566" s="299"/>
      <c r="U566" s="294"/>
      <c r="V566" s="299"/>
      <c r="W566" s="299"/>
      <c r="X566" s="294"/>
      <c r="Y566" s="299"/>
      <c r="Z566" s="294"/>
      <c r="AA566" s="299"/>
      <c r="AB566" s="299"/>
      <c r="AC566" s="294"/>
      <c r="AD566" s="294"/>
      <c r="AE566" s="294"/>
      <c r="AF566" s="294"/>
    </row>
    <row r="567" spans="2:32" x14ac:dyDescent="0.25">
      <c r="B567" s="294"/>
      <c r="C567" s="294"/>
      <c r="D567" s="294"/>
      <c r="E567" s="294"/>
      <c r="F567" s="294"/>
      <c r="G567" s="294"/>
      <c r="H567" s="294"/>
      <c r="I567" s="294"/>
      <c r="J567" s="294"/>
      <c r="L567" s="295"/>
      <c r="M567" s="294"/>
      <c r="S567" s="294"/>
      <c r="T567" s="299"/>
      <c r="U567" s="294"/>
      <c r="V567" s="299"/>
      <c r="W567" s="299"/>
      <c r="X567" s="294"/>
      <c r="Y567" s="299"/>
      <c r="Z567" s="294"/>
      <c r="AA567" s="299"/>
      <c r="AB567" s="299"/>
      <c r="AC567" s="294"/>
      <c r="AD567" s="294"/>
      <c r="AE567" s="294"/>
      <c r="AF567" s="294"/>
    </row>
    <row r="568" spans="2:32" x14ac:dyDescent="0.25">
      <c r="B568" s="294"/>
      <c r="C568" s="294"/>
      <c r="D568" s="294"/>
      <c r="E568" s="294"/>
      <c r="F568" s="294"/>
      <c r="G568" s="294"/>
      <c r="H568" s="294"/>
      <c r="I568" s="294"/>
      <c r="J568" s="294"/>
      <c r="L568" s="295"/>
      <c r="M568" s="294"/>
      <c r="S568" s="294"/>
      <c r="T568" s="299"/>
      <c r="U568" s="294"/>
      <c r="V568" s="299"/>
      <c r="W568" s="299"/>
      <c r="X568" s="294"/>
      <c r="Y568" s="299"/>
      <c r="Z568" s="294"/>
      <c r="AA568" s="299"/>
      <c r="AB568" s="299"/>
      <c r="AC568" s="294"/>
      <c r="AD568" s="294"/>
      <c r="AE568" s="294"/>
      <c r="AF568" s="294"/>
    </row>
    <row r="569" spans="2:32" x14ac:dyDescent="0.25">
      <c r="B569" s="294"/>
      <c r="C569" s="294"/>
      <c r="D569" s="294"/>
      <c r="E569" s="294"/>
      <c r="F569" s="294"/>
      <c r="G569" s="294"/>
      <c r="H569" s="294"/>
      <c r="I569" s="294"/>
      <c r="J569" s="294"/>
      <c r="L569" s="295"/>
      <c r="M569" s="294"/>
      <c r="S569" s="294"/>
      <c r="T569" s="299"/>
      <c r="U569" s="294"/>
      <c r="V569" s="299"/>
      <c r="W569" s="299"/>
      <c r="X569" s="294"/>
      <c r="Y569" s="299"/>
      <c r="Z569" s="294"/>
      <c r="AA569" s="299"/>
      <c r="AB569" s="299"/>
      <c r="AC569" s="294"/>
      <c r="AD569" s="294"/>
      <c r="AE569" s="294"/>
      <c r="AF569" s="294"/>
    </row>
    <row r="570" spans="2:32" x14ac:dyDescent="0.25">
      <c r="B570" s="294"/>
      <c r="C570" s="294"/>
      <c r="D570" s="294"/>
      <c r="E570" s="294"/>
      <c r="F570" s="294"/>
      <c r="G570" s="294"/>
      <c r="H570" s="294"/>
      <c r="I570" s="294"/>
      <c r="J570" s="294"/>
      <c r="L570" s="295"/>
      <c r="M570" s="294"/>
      <c r="S570" s="294"/>
      <c r="T570" s="299"/>
      <c r="U570" s="294"/>
      <c r="V570" s="299"/>
      <c r="W570" s="299"/>
      <c r="X570" s="294"/>
      <c r="Y570" s="299"/>
      <c r="Z570" s="294"/>
      <c r="AA570" s="299"/>
      <c r="AB570" s="299"/>
      <c r="AC570" s="294"/>
      <c r="AD570" s="294"/>
      <c r="AE570" s="294"/>
      <c r="AF570" s="294"/>
    </row>
    <row r="571" spans="2:32" x14ac:dyDescent="0.25">
      <c r="B571" s="294"/>
      <c r="C571" s="294"/>
      <c r="D571" s="294"/>
      <c r="E571" s="294"/>
      <c r="F571" s="294"/>
      <c r="G571" s="294"/>
      <c r="H571" s="294"/>
      <c r="I571" s="294"/>
      <c r="J571" s="294"/>
      <c r="L571" s="295"/>
      <c r="M571" s="294"/>
      <c r="S571" s="294"/>
      <c r="T571" s="299"/>
      <c r="U571" s="294"/>
      <c r="V571" s="299"/>
      <c r="W571" s="299"/>
      <c r="X571" s="294"/>
      <c r="Y571" s="299"/>
      <c r="Z571" s="294"/>
      <c r="AA571" s="299"/>
      <c r="AB571" s="299"/>
      <c r="AC571" s="294"/>
      <c r="AD571" s="294"/>
      <c r="AE571" s="294"/>
      <c r="AF571" s="294"/>
    </row>
    <row r="572" spans="2:32" x14ac:dyDescent="0.25">
      <c r="B572" s="294"/>
      <c r="C572" s="294"/>
      <c r="D572" s="294"/>
      <c r="E572" s="294"/>
      <c r="F572" s="294"/>
      <c r="G572" s="294"/>
      <c r="H572" s="294"/>
      <c r="I572" s="294"/>
      <c r="J572" s="294"/>
      <c r="L572" s="295"/>
      <c r="M572" s="294"/>
      <c r="S572" s="294"/>
      <c r="T572" s="299"/>
      <c r="U572" s="294"/>
      <c r="V572" s="299"/>
      <c r="W572" s="299"/>
      <c r="X572" s="294"/>
      <c r="Y572" s="299"/>
      <c r="Z572" s="294"/>
      <c r="AA572" s="299"/>
      <c r="AB572" s="299"/>
      <c r="AC572" s="294"/>
      <c r="AD572" s="294"/>
      <c r="AE572" s="294"/>
      <c r="AF572" s="294"/>
    </row>
    <row r="573" spans="2:32" x14ac:dyDescent="0.25">
      <c r="B573" s="294"/>
      <c r="C573" s="294"/>
      <c r="D573" s="294"/>
      <c r="E573" s="294"/>
      <c r="F573" s="294"/>
      <c r="G573" s="294"/>
      <c r="H573" s="294"/>
      <c r="I573" s="294"/>
      <c r="J573" s="294"/>
      <c r="L573" s="295"/>
      <c r="M573" s="294"/>
      <c r="S573" s="294"/>
      <c r="T573" s="299"/>
      <c r="U573" s="294"/>
      <c r="V573" s="299"/>
      <c r="W573" s="299"/>
      <c r="X573" s="294"/>
      <c r="Y573" s="299"/>
      <c r="Z573" s="294"/>
      <c r="AA573" s="299"/>
      <c r="AB573" s="299"/>
      <c r="AC573" s="294"/>
      <c r="AD573" s="294"/>
      <c r="AE573" s="294"/>
      <c r="AF573" s="294"/>
    </row>
    <row r="574" spans="2:32" x14ac:dyDescent="0.25">
      <c r="B574" s="294"/>
      <c r="C574" s="294"/>
      <c r="D574" s="294"/>
      <c r="E574" s="294"/>
      <c r="F574" s="294"/>
      <c r="G574" s="294"/>
      <c r="H574" s="294"/>
      <c r="I574" s="294"/>
      <c r="J574" s="294"/>
      <c r="L574" s="295"/>
      <c r="M574" s="294"/>
      <c r="S574" s="294"/>
      <c r="T574" s="299"/>
      <c r="U574" s="294"/>
      <c r="V574" s="299"/>
      <c r="W574" s="299"/>
      <c r="X574" s="294"/>
      <c r="Y574" s="299"/>
      <c r="Z574" s="294"/>
      <c r="AA574" s="299"/>
      <c r="AB574" s="299"/>
      <c r="AC574" s="294"/>
      <c r="AD574" s="294"/>
      <c r="AE574" s="294"/>
      <c r="AF574" s="294"/>
    </row>
    <row r="575" spans="2:32" x14ac:dyDescent="0.25">
      <c r="B575" s="294"/>
      <c r="C575" s="294"/>
      <c r="D575" s="294"/>
      <c r="E575" s="294"/>
      <c r="F575" s="294"/>
      <c r="G575" s="294"/>
      <c r="H575" s="294"/>
      <c r="I575" s="294"/>
      <c r="J575" s="294"/>
      <c r="L575" s="295"/>
      <c r="M575" s="294"/>
      <c r="S575" s="294"/>
      <c r="T575" s="299"/>
      <c r="U575" s="294"/>
      <c r="V575" s="299"/>
      <c r="W575" s="299"/>
      <c r="X575" s="294"/>
      <c r="Y575" s="299"/>
      <c r="Z575" s="294"/>
      <c r="AA575" s="299"/>
      <c r="AB575" s="299"/>
      <c r="AC575" s="294"/>
      <c r="AD575" s="294"/>
      <c r="AE575" s="294"/>
      <c r="AF575" s="294"/>
    </row>
    <row r="576" spans="2:32" x14ac:dyDescent="0.25">
      <c r="B576" s="294"/>
      <c r="C576" s="294"/>
      <c r="D576" s="294"/>
      <c r="E576" s="294"/>
      <c r="F576" s="294"/>
      <c r="G576" s="294"/>
      <c r="H576" s="294"/>
      <c r="I576" s="294"/>
      <c r="J576" s="294"/>
      <c r="L576" s="295"/>
      <c r="M576" s="294"/>
      <c r="S576" s="294"/>
      <c r="T576" s="299"/>
      <c r="U576" s="294"/>
      <c r="V576" s="299"/>
      <c r="W576" s="299"/>
      <c r="X576" s="294"/>
      <c r="Y576" s="299"/>
      <c r="Z576" s="294"/>
      <c r="AA576" s="299"/>
      <c r="AB576" s="299"/>
      <c r="AC576" s="294"/>
      <c r="AD576" s="294"/>
      <c r="AE576" s="294"/>
      <c r="AF576" s="294"/>
    </row>
    <row r="577" spans="2:32" x14ac:dyDescent="0.25">
      <c r="B577" s="294"/>
      <c r="C577" s="294"/>
      <c r="D577" s="294"/>
      <c r="E577" s="294"/>
      <c r="F577" s="294"/>
      <c r="G577" s="294"/>
      <c r="H577" s="294"/>
      <c r="I577" s="294"/>
      <c r="J577" s="294"/>
      <c r="L577" s="295"/>
      <c r="M577" s="294"/>
      <c r="S577" s="294"/>
      <c r="T577" s="299"/>
      <c r="U577" s="294"/>
      <c r="V577" s="299"/>
      <c r="W577" s="299"/>
      <c r="X577" s="294"/>
      <c r="Y577" s="299"/>
      <c r="Z577" s="294"/>
      <c r="AA577" s="299"/>
      <c r="AB577" s="299"/>
      <c r="AC577" s="294"/>
      <c r="AD577" s="294"/>
      <c r="AE577" s="294"/>
      <c r="AF577" s="294"/>
    </row>
    <row r="578" spans="2:32" x14ac:dyDescent="0.25">
      <c r="B578" s="294"/>
      <c r="C578" s="294"/>
      <c r="D578" s="294"/>
      <c r="E578" s="294"/>
      <c r="F578" s="294"/>
      <c r="G578" s="294"/>
      <c r="H578" s="294"/>
      <c r="I578" s="294"/>
      <c r="J578" s="294"/>
      <c r="L578" s="295"/>
      <c r="M578" s="294"/>
      <c r="S578" s="294"/>
      <c r="T578" s="299"/>
      <c r="U578" s="294"/>
      <c r="V578" s="299"/>
      <c r="W578" s="299"/>
      <c r="X578" s="294"/>
      <c r="Y578" s="299"/>
      <c r="Z578" s="294"/>
      <c r="AA578" s="299"/>
      <c r="AB578" s="299"/>
      <c r="AC578" s="294"/>
      <c r="AD578" s="294"/>
      <c r="AE578" s="294"/>
      <c r="AF578" s="294"/>
    </row>
    <row r="579" spans="2:32" x14ac:dyDescent="0.25">
      <c r="B579" s="294"/>
      <c r="C579" s="294"/>
      <c r="D579" s="294"/>
      <c r="E579" s="294"/>
      <c r="F579" s="294"/>
      <c r="G579" s="294"/>
      <c r="H579" s="294"/>
      <c r="I579" s="294"/>
      <c r="J579" s="294"/>
      <c r="L579" s="295"/>
      <c r="M579" s="294"/>
      <c r="S579" s="294"/>
      <c r="T579" s="299"/>
      <c r="U579" s="294"/>
      <c r="V579" s="299"/>
      <c r="W579" s="299"/>
      <c r="X579" s="294"/>
      <c r="Y579" s="299"/>
      <c r="Z579" s="294"/>
      <c r="AA579" s="299"/>
      <c r="AB579" s="299"/>
      <c r="AC579" s="294"/>
      <c r="AD579" s="294"/>
      <c r="AE579" s="294"/>
      <c r="AF579" s="294"/>
    </row>
    <row r="580" spans="2:32" x14ac:dyDescent="0.25">
      <c r="B580" s="294"/>
      <c r="C580" s="294"/>
      <c r="D580" s="294"/>
      <c r="E580" s="294"/>
      <c r="F580" s="294"/>
      <c r="G580" s="294"/>
      <c r="H580" s="294"/>
      <c r="I580" s="294"/>
      <c r="J580" s="294"/>
      <c r="L580" s="295"/>
      <c r="M580" s="294"/>
      <c r="S580" s="294"/>
      <c r="T580" s="299"/>
      <c r="U580" s="294"/>
      <c r="V580" s="299"/>
      <c r="W580" s="299"/>
      <c r="X580" s="294"/>
      <c r="Y580" s="299"/>
      <c r="Z580" s="294"/>
      <c r="AA580" s="299"/>
      <c r="AB580" s="299"/>
      <c r="AC580" s="294"/>
      <c r="AD580" s="294"/>
      <c r="AE580" s="294"/>
      <c r="AF580" s="294"/>
    </row>
    <row r="581" spans="2:32" x14ac:dyDescent="0.25">
      <c r="B581" s="294"/>
      <c r="C581" s="294"/>
      <c r="D581" s="294"/>
      <c r="E581" s="294"/>
      <c r="F581" s="294"/>
      <c r="G581" s="294"/>
      <c r="H581" s="294"/>
      <c r="I581" s="294"/>
      <c r="J581" s="294"/>
      <c r="L581" s="295"/>
      <c r="M581" s="294"/>
      <c r="S581" s="294"/>
      <c r="T581" s="299"/>
      <c r="U581" s="294"/>
      <c r="V581" s="299"/>
      <c r="W581" s="299"/>
      <c r="X581" s="294"/>
      <c r="Y581" s="299"/>
      <c r="Z581" s="294"/>
      <c r="AA581" s="299"/>
      <c r="AB581" s="299"/>
      <c r="AC581" s="294"/>
      <c r="AD581" s="294"/>
      <c r="AE581" s="294"/>
      <c r="AF581" s="294"/>
    </row>
    <row r="582" spans="2:32" x14ac:dyDescent="0.25">
      <c r="B582" s="294"/>
      <c r="C582" s="294"/>
      <c r="D582" s="294"/>
      <c r="E582" s="294"/>
      <c r="F582" s="294"/>
      <c r="G582" s="294"/>
      <c r="H582" s="294"/>
      <c r="I582" s="294"/>
      <c r="J582" s="294"/>
      <c r="L582" s="295"/>
      <c r="M582" s="294"/>
      <c r="S582" s="294"/>
      <c r="T582" s="299"/>
      <c r="U582" s="294"/>
      <c r="V582" s="299"/>
      <c r="W582" s="299"/>
      <c r="X582" s="294"/>
      <c r="Y582" s="299"/>
      <c r="Z582" s="294"/>
      <c r="AA582" s="299"/>
      <c r="AB582" s="299"/>
      <c r="AC582" s="294"/>
      <c r="AD582" s="294"/>
      <c r="AE582" s="294"/>
      <c r="AF582" s="294"/>
    </row>
    <row r="583" spans="2:32" x14ac:dyDescent="0.25">
      <c r="B583" s="294"/>
      <c r="C583" s="294"/>
      <c r="D583" s="294"/>
      <c r="E583" s="294"/>
      <c r="F583" s="294"/>
      <c r="G583" s="294"/>
      <c r="H583" s="294"/>
      <c r="I583" s="294"/>
      <c r="J583" s="294"/>
      <c r="L583" s="295"/>
      <c r="M583" s="294"/>
      <c r="S583" s="294"/>
      <c r="T583" s="299"/>
      <c r="U583" s="294"/>
      <c r="V583" s="299"/>
      <c r="W583" s="299"/>
      <c r="X583" s="294"/>
      <c r="Y583" s="299"/>
      <c r="Z583" s="294"/>
      <c r="AA583" s="299"/>
      <c r="AB583" s="299"/>
      <c r="AC583" s="294"/>
      <c r="AD583" s="294"/>
      <c r="AE583" s="294"/>
      <c r="AF583" s="294"/>
    </row>
    <row r="584" spans="2:32" x14ac:dyDescent="0.25">
      <c r="B584" s="294"/>
      <c r="C584" s="294"/>
      <c r="D584" s="294"/>
      <c r="E584" s="294"/>
      <c r="F584" s="294"/>
      <c r="G584" s="294"/>
      <c r="H584" s="294"/>
      <c r="I584" s="294"/>
      <c r="J584" s="294"/>
      <c r="L584" s="295"/>
      <c r="M584" s="294"/>
      <c r="S584" s="294"/>
      <c r="T584" s="299"/>
      <c r="U584" s="294"/>
      <c r="V584" s="299"/>
      <c r="W584" s="299"/>
      <c r="X584" s="294"/>
      <c r="Y584" s="299"/>
      <c r="Z584" s="294"/>
      <c r="AA584" s="299"/>
      <c r="AB584" s="299"/>
      <c r="AC584" s="294"/>
      <c r="AD584" s="294"/>
      <c r="AE584" s="294"/>
      <c r="AF584" s="294"/>
    </row>
    <row r="585" spans="2:32" x14ac:dyDescent="0.25">
      <c r="B585" s="294"/>
      <c r="C585" s="294"/>
      <c r="D585" s="294"/>
      <c r="E585" s="294"/>
      <c r="F585" s="294"/>
      <c r="G585" s="294"/>
      <c r="H585" s="294"/>
      <c r="I585" s="294"/>
      <c r="J585" s="294"/>
      <c r="L585" s="295"/>
      <c r="M585" s="294"/>
      <c r="S585" s="294"/>
      <c r="T585" s="299"/>
      <c r="U585" s="294"/>
      <c r="V585" s="299"/>
      <c r="W585" s="299"/>
      <c r="X585" s="294"/>
      <c r="Y585" s="299"/>
      <c r="Z585" s="294"/>
      <c r="AA585" s="299"/>
      <c r="AB585" s="299"/>
      <c r="AC585" s="294"/>
      <c r="AD585" s="294"/>
      <c r="AE585" s="294"/>
      <c r="AF585" s="294"/>
    </row>
    <row r="586" spans="2:32" x14ac:dyDescent="0.25">
      <c r="B586" s="294"/>
      <c r="C586" s="294"/>
      <c r="D586" s="294"/>
      <c r="E586" s="294"/>
      <c r="F586" s="294"/>
      <c r="G586" s="294"/>
      <c r="H586" s="294"/>
      <c r="I586" s="294"/>
      <c r="J586" s="294"/>
      <c r="L586" s="295"/>
      <c r="M586" s="294"/>
      <c r="S586" s="294"/>
      <c r="T586" s="299"/>
      <c r="U586" s="294"/>
      <c r="V586" s="299"/>
      <c r="W586" s="299"/>
      <c r="X586" s="294"/>
      <c r="Y586" s="299"/>
      <c r="Z586" s="294"/>
      <c r="AA586" s="299"/>
      <c r="AB586" s="299"/>
      <c r="AC586" s="294"/>
      <c r="AD586" s="294"/>
      <c r="AE586" s="294"/>
      <c r="AF586" s="294"/>
    </row>
    <row r="587" spans="2:32" x14ac:dyDescent="0.25">
      <c r="B587" s="294"/>
      <c r="C587" s="294"/>
      <c r="D587" s="294"/>
      <c r="E587" s="294"/>
      <c r="F587" s="294"/>
      <c r="G587" s="294"/>
      <c r="H587" s="294"/>
      <c r="I587" s="294"/>
      <c r="J587" s="294"/>
      <c r="L587" s="295"/>
      <c r="M587" s="294"/>
      <c r="S587" s="294"/>
      <c r="T587" s="299"/>
      <c r="U587" s="294"/>
      <c r="V587" s="299"/>
      <c r="W587" s="299"/>
      <c r="X587" s="294"/>
      <c r="Y587" s="299"/>
      <c r="Z587" s="294"/>
      <c r="AA587" s="299"/>
      <c r="AB587" s="299"/>
      <c r="AC587" s="294"/>
      <c r="AD587" s="294"/>
      <c r="AE587" s="294"/>
      <c r="AF587" s="294"/>
    </row>
    <row r="588" spans="2:32" x14ac:dyDescent="0.25">
      <c r="B588" s="294"/>
      <c r="C588" s="294"/>
      <c r="D588" s="294"/>
      <c r="E588" s="294"/>
      <c r="F588" s="294"/>
      <c r="G588" s="294"/>
      <c r="H588" s="294"/>
      <c r="I588" s="294"/>
      <c r="J588" s="294"/>
      <c r="L588" s="295"/>
      <c r="M588" s="294"/>
      <c r="S588" s="294"/>
      <c r="T588" s="299"/>
      <c r="U588" s="294"/>
      <c r="V588" s="299"/>
      <c r="W588" s="299"/>
      <c r="X588" s="294"/>
      <c r="Y588" s="299"/>
      <c r="Z588" s="294"/>
      <c r="AA588" s="299"/>
      <c r="AB588" s="299"/>
      <c r="AC588" s="294"/>
      <c r="AD588" s="294"/>
      <c r="AE588" s="294"/>
      <c r="AF588" s="294"/>
    </row>
    <row r="589" spans="2:32" x14ac:dyDescent="0.25">
      <c r="B589" s="294"/>
      <c r="C589" s="294"/>
      <c r="D589" s="294"/>
      <c r="E589" s="294"/>
      <c r="F589" s="294"/>
      <c r="G589" s="294"/>
      <c r="H589" s="294"/>
      <c r="I589" s="294"/>
      <c r="J589" s="294"/>
      <c r="L589" s="295"/>
      <c r="M589" s="294"/>
      <c r="S589" s="294"/>
      <c r="T589" s="299"/>
      <c r="U589" s="294"/>
      <c r="V589" s="299"/>
      <c r="W589" s="299"/>
      <c r="X589" s="294"/>
      <c r="Y589" s="299"/>
      <c r="Z589" s="294"/>
      <c r="AA589" s="299"/>
      <c r="AB589" s="299"/>
      <c r="AC589" s="294"/>
      <c r="AD589" s="294"/>
      <c r="AE589" s="294"/>
      <c r="AF589" s="294"/>
    </row>
    <row r="590" spans="2:32" x14ac:dyDescent="0.25">
      <c r="B590" s="294"/>
      <c r="C590" s="294"/>
      <c r="D590" s="294"/>
      <c r="E590" s="294"/>
      <c r="F590" s="294"/>
      <c r="G590" s="294"/>
      <c r="H590" s="294"/>
      <c r="I590" s="294"/>
      <c r="J590" s="294"/>
      <c r="L590" s="295"/>
      <c r="M590" s="294"/>
      <c r="S590" s="294"/>
      <c r="T590" s="299"/>
      <c r="U590" s="294"/>
      <c r="V590" s="299"/>
      <c r="W590" s="299"/>
      <c r="X590" s="294"/>
      <c r="Y590" s="299"/>
      <c r="Z590" s="294"/>
      <c r="AA590" s="299"/>
      <c r="AB590" s="299"/>
      <c r="AC590" s="294"/>
      <c r="AD590" s="294"/>
      <c r="AE590" s="294"/>
      <c r="AF590" s="294"/>
    </row>
    <row r="591" spans="2:32" x14ac:dyDescent="0.25">
      <c r="B591" s="294"/>
      <c r="C591" s="294"/>
      <c r="D591" s="294"/>
      <c r="E591" s="294"/>
      <c r="F591" s="294"/>
      <c r="G591" s="294"/>
      <c r="H591" s="294"/>
      <c r="I591" s="294"/>
      <c r="J591" s="294"/>
      <c r="L591" s="295"/>
      <c r="M591" s="294"/>
      <c r="S591" s="294"/>
      <c r="T591" s="299"/>
      <c r="U591" s="294"/>
      <c r="V591" s="299"/>
      <c r="W591" s="299"/>
      <c r="X591" s="294"/>
      <c r="Y591" s="299"/>
      <c r="Z591" s="294"/>
      <c r="AA591" s="299"/>
      <c r="AB591" s="299"/>
      <c r="AC591" s="294"/>
      <c r="AD591" s="294"/>
      <c r="AE591" s="294"/>
      <c r="AF591" s="294"/>
    </row>
    <row r="592" spans="2:32" x14ac:dyDescent="0.25">
      <c r="B592" s="294"/>
      <c r="C592" s="294"/>
      <c r="D592" s="294"/>
      <c r="E592" s="294"/>
      <c r="F592" s="294"/>
      <c r="G592" s="294"/>
      <c r="H592" s="294"/>
      <c r="I592" s="294"/>
      <c r="J592" s="294"/>
      <c r="L592" s="295"/>
      <c r="M592" s="294"/>
      <c r="S592" s="294"/>
      <c r="T592" s="299"/>
      <c r="U592" s="294"/>
      <c r="V592" s="299"/>
      <c r="W592" s="299"/>
      <c r="X592" s="294"/>
      <c r="Y592" s="299"/>
      <c r="Z592" s="294"/>
      <c r="AA592" s="299"/>
      <c r="AB592" s="299"/>
      <c r="AC592" s="294"/>
      <c r="AD592" s="294"/>
      <c r="AE592" s="294"/>
      <c r="AF592" s="294"/>
    </row>
    <row r="593" spans="2:32" x14ac:dyDescent="0.25">
      <c r="B593" s="294"/>
      <c r="C593" s="294"/>
      <c r="D593" s="294"/>
      <c r="E593" s="294"/>
      <c r="F593" s="294"/>
      <c r="G593" s="294"/>
      <c r="H593" s="294"/>
      <c r="I593" s="294"/>
      <c r="J593" s="294"/>
      <c r="L593" s="295"/>
      <c r="M593" s="294"/>
      <c r="S593" s="294"/>
      <c r="T593" s="299"/>
      <c r="U593" s="294"/>
      <c r="V593" s="299"/>
      <c r="W593" s="299"/>
      <c r="X593" s="294"/>
      <c r="Y593" s="299"/>
      <c r="Z593" s="294"/>
      <c r="AA593" s="299"/>
      <c r="AB593" s="299"/>
      <c r="AC593" s="294"/>
      <c r="AD593" s="294"/>
      <c r="AE593" s="294"/>
      <c r="AF593" s="294"/>
    </row>
    <row r="594" spans="2:32" x14ac:dyDescent="0.25">
      <c r="B594" s="294"/>
      <c r="C594" s="294"/>
      <c r="D594" s="294"/>
      <c r="E594" s="294"/>
      <c r="F594" s="294"/>
      <c r="G594" s="294"/>
      <c r="H594" s="294"/>
      <c r="I594" s="294"/>
      <c r="J594" s="294"/>
      <c r="L594" s="295"/>
      <c r="M594" s="294"/>
      <c r="S594" s="294"/>
      <c r="T594" s="299"/>
      <c r="U594" s="294"/>
      <c r="V594" s="299"/>
      <c r="W594" s="299"/>
      <c r="X594" s="294"/>
      <c r="Y594" s="299"/>
      <c r="Z594" s="294"/>
      <c r="AA594" s="299"/>
      <c r="AB594" s="299"/>
      <c r="AC594" s="294"/>
      <c r="AD594" s="294"/>
      <c r="AE594" s="294"/>
      <c r="AF594" s="294"/>
    </row>
    <row r="595" spans="2:32" x14ac:dyDescent="0.25">
      <c r="B595" s="294"/>
      <c r="C595" s="294"/>
      <c r="D595" s="294"/>
      <c r="E595" s="294"/>
      <c r="F595" s="294"/>
      <c r="G595" s="294"/>
      <c r="H595" s="294"/>
      <c r="I595" s="294"/>
      <c r="J595" s="294"/>
      <c r="L595" s="295"/>
      <c r="M595" s="294"/>
      <c r="S595" s="294"/>
      <c r="T595" s="299"/>
      <c r="U595" s="294"/>
      <c r="V595" s="299"/>
      <c r="W595" s="299"/>
      <c r="X595" s="294"/>
      <c r="Y595" s="299"/>
      <c r="Z595" s="294"/>
      <c r="AA595" s="299"/>
      <c r="AB595" s="299"/>
      <c r="AC595" s="294"/>
      <c r="AD595" s="294"/>
      <c r="AE595" s="294"/>
      <c r="AF595" s="294"/>
    </row>
    <row r="596" spans="2:32" x14ac:dyDescent="0.25">
      <c r="B596" s="294"/>
      <c r="C596" s="294"/>
      <c r="D596" s="294"/>
      <c r="E596" s="294"/>
      <c r="F596" s="294"/>
      <c r="G596" s="294"/>
      <c r="H596" s="294"/>
      <c r="I596" s="294"/>
      <c r="J596" s="294"/>
      <c r="L596" s="295"/>
      <c r="M596" s="294"/>
      <c r="S596" s="294"/>
      <c r="T596" s="299"/>
      <c r="U596" s="294"/>
      <c r="V596" s="299"/>
      <c r="W596" s="299"/>
      <c r="X596" s="294"/>
      <c r="Y596" s="299"/>
      <c r="Z596" s="294"/>
      <c r="AA596" s="299"/>
      <c r="AB596" s="299"/>
      <c r="AC596" s="294"/>
      <c r="AD596" s="294"/>
      <c r="AE596" s="294"/>
      <c r="AF596" s="294"/>
    </row>
    <row r="597" spans="2:32" x14ac:dyDescent="0.25">
      <c r="B597" s="294"/>
      <c r="C597" s="294"/>
      <c r="D597" s="294"/>
      <c r="E597" s="294"/>
      <c r="F597" s="294"/>
      <c r="G597" s="294"/>
      <c r="H597" s="294"/>
      <c r="I597" s="294"/>
      <c r="J597" s="294"/>
      <c r="L597" s="295"/>
      <c r="M597" s="294"/>
      <c r="S597" s="294"/>
      <c r="T597" s="299"/>
      <c r="U597" s="294"/>
      <c r="V597" s="299"/>
      <c r="W597" s="299"/>
      <c r="X597" s="294"/>
      <c r="Y597" s="299"/>
      <c r="Z597" s="294"/>
      <c r="AA597" s="299"/>
      <c r="AB597" s="299"/>
      <c r="AC597" s="294"/>
      <c r="AD597" s="294"/>
      <c r="AE597" s="294"/>
      <c r="AF597" s="294"/>
    </row>
    <row r="598" spans="2:32" x14ac:dyDescent="0.25">
      <c r="B598" s="294"/>
      <c r="C598" s="294"/>
      <c r="D598" s="294"/>
      <c r="E598" s="294"/>
      <c r="F598" s="294"/>
      <c r="G598" s="294"/>
      <c r="H598" s="294"/>
      <c r="I598" s="294"/>
      <c r="J598" s="294"/>
      <c r="L598" s="295"/>
      <c r="M598" s="294"/>
      <c r="S598" s="294"/>
      <c r="T598" s="299"/>
      <c r="U598" s="294"/>
      <c r="V598" s="299"/>
      <c r="W598" s="299"/>
      <c r="X598" s="294"/>
      <c r="Y598" s="299"/>
      <c r="Z598" s="294"/>
      <c r="AA598" s="299"/>
      <c r="AB598" s="299"/>
      <c r="AC598" s="294"/>
      <c r="AD598" s="294"/>
      <c r="AE598" s="294"/>
      <c r="AF598" s="294"/>
    </row>
    <row r="599" spans="2:32" x14ac:dyDescent="0.25">
      <c r="B599" s="294"/>
      <c r="C599" s="294"/>
      <c r="D599" s="294"/>
      <c r="E599" s="294"/>
      <c r="F599" s="294"/>
      <c r="G599" s="294"/>
      <c r="H599" s="294"/>
      <c r="I599" s="294"/>
      <c r="J599" s="294"/>
      <c r="L599" s="295"/>
      <c r="M599" s="294"/>
      <c r="S599" s="294"/>
      <c r="T599" s="299"/>
      <c r="U599" s="294"/>
      <c r="V599" s="299"/>
      <c r="W599" s="299"/>
      <c r="X599" s="294"/>
      <c r="Y599" s="299"/>
      <c r="Z599" s="294"/>
      <c r="AA599" s="299"/>
      <c r="AB599" s="299"/>
      <c r="AC599" s="294"/>
      <c r="AD599" s="294"/>
      <c r="AE599" s="294"/>
      <c r="AF599" s="294"/>
    </row>
    <row r="600" spans="2:32" x14ac:dyDescent="0.25">
      <c r="B600" s="294"/>
      <c r="C600" s="294"/>
      <c r="D600" s="294"/>
      <c r="E600" s="294"/>
      <c r="F600" s="294"/>
      <c r="G600" s="294"/>
      <c r="H600" s="294"/>
      <c r="I600" s="294"/>
      <c r="J600" s="294"/>
      <c r="L600" s="295"/>
      <c r="M600" s="294"/>
      <c r="S600" s="294"/>
      <c r="T600" s="299"/>
      <c r="U600" s="294"/>
      <c r="V600" s="299"/>
      <c r="W600" s="299"/>
      <c r="X600" s="294"/>
      <c r="Y600" s="299"/>
      <c r="Z600" s="294"/>
      <c r="AA600" s="299"/>
      <c r="AB600" s="299"/>
      <c r="AC600" s="294"/>
      <c r="AD600" s="294"/>
      <c r="AE600" s="294"/>
      <c r="AF600" s="294"/>
    </row>
    <row r="601" spans="2:32" x14ac:dyDescent="0.25">
      <c r="B601" s="294"/>
      <c r="C601" s="294"/>
      <c r="D601" s="294"/>
      <c r="E601" s="294"/>
      <c r="F601" s="294"/>
      <c r="G601" s="294"/>
      <c r="H601" s="294"/>
      <c r="I601" s="294"/>
      <c r="J601" s="294"/>
      <c r="L601" s="295"/>
      <c r="M601" s="294"/>
      <c r="S601" s="294"/>
      <c r="T601" s="299"/>
      <c r="U601" s="294"/>
      <c r="V601" s="299"/>
      <c r="W601" s="299"/>
      <c r="X601" s="294"/>
      <c r="Y601" s="299"/>
      <c r="Z601" s="294"/>
      <c r="AA601" s="299"/>
      <c r="AB601" s="299"/>
      <c r="AC601" s="294"/>
      <c r="AD601" s="294"/>
      <c r="AE601" s="294"/>
      <c r="AF601" s="294"/>
    </row>
    <row r="602" spans="2:32" x14ac:dyDescent="0.25">
      <c r="B602" s="294"/>
      <c r="C602" s="294"/>
      <c r="D602" s="294"/>
      <c r="E602" s="294"/>
      <c r="F602" s="294"/>
      <c r="G602" s="294"/>
      <c r="H602" s="294"/>
      <c r="I602" s="294"/>
      <c r="J602" s="294"/>
      <c r="L602" s="295"/>
      <c r="M602" s="294"/>
      <c r="S602" s="294"/>
      <c r="T602" s="299"/>
      <c r="U602" s="294"/>
      <c r="V602" s="299"/>
      <c r="W602" s="299"/>
      <c r="X602" s="294"/>
      <c r="Y602" s="299"/>
      <c r="Z602" s="294"/>
      <c r="AA602" s="299"/>
      <c r="AB602" s="299"/>
      <c r="AC602" s="294"/>
      <c r="AD602" s="294"/>
      <c r="AE602" s="294"/>
      <c r="AF602" s="294"/>
    </row>
    <row r="603" spans="2:32" x14ac:dyDescent="0.25">
      <c r="B603" s="294"/>
      <c r="C603" s="294"/>
      <c r="D603" s="294"/>
      <c r="E603" s="294"/>
      <c r="F603" s="294"/>
      <c r="G603" s="294"/>
      <c r="H603" s="294"/>
      <c r="I603" s="294"/>
      <c r="J603" s="294"/>
      <c r="L603" s="295"/>
      <c r="M603" s="294"/>
      <c r="S603" s="294"/>
      <c r="T603" s="299"/>
      <c r="U603" s="294"/>
      <c r="V603" s="299"/>
      <c r="W603" s="299"/>
      <c r="X603" s="294"/>
      <c r="Y603" s="299"/>
      <c r="Z603" s="294"/>
      <c r="AA603" s="299"/>
      <c r="AB603" s="299"/>
      <c r="AC603" s="294"/>
      <c r="AD603" s="294"/>
      <c r="AE603" s="294"/>
      <c r="AF603" s="294"/>
    </row>
    <row r="604" spans="2:32" x14ac:dyDescent="0.25">
      <c r="B604" s="294"/>
      <c r="C604" s="294"/>
      <c r="D604" s="294"/>
      <c r="E604" s="294"/>
      <c r="F604" s="294"/>
      <c r="G604" s="294"/>
      <c r="H604" s="294"/>
      <c r="I604" s="294"/>
      <c r="J604" s="294"/>
      <c r="L604" s="295"/>
      <c r="M604" s="294"/>
      <c r="S604" s="294"/>
      <c r="T604" s="299"/>
      <c r="U604" s="294"/>
      <c r="V604" s="299"/>
      <c r="W604" s="299"/>
      <c r="X604" s="294"/>
      <c r="Y604" s="299"/>
      <c r="Z604" s="294"/>
      <c r="AA604" s="299"/>
      <c r="AB604" s="299"/>
      <c r="AC604" s="294"/>
      <c r="AD604" s="294"/>
      <c r="AE604" s="294"/>
      <c r="AF604" s="294"/>
    </row>
    <row r="605" spans="2:32" x14ac:dyDescent="0.25">
      <c r="B605" s="294"/>
      <c r="C605" s="294"/>
      <c r="D605" s="294"/>
      <c r="E605" s="294"/>
      <c r="F605" s="294"/>
      <c r="G605" s="294"/>
      <c r="H605" s="294"/>
      <c r="I605" s="294"/>
      <c r="J605" s="294"/>
      <c r="L605" s="295"/>
      <c r="M605" s="294"/>
      <c r="S605" s="294"/>
      <c r="T605" s="299"/>
      <c r="U605" s="294"/>
      <c r="V605" s="299"/>
      <c r="W605" s="299"/>
      <c r="X605" s="294"/>
      <c r="Y605" s="299"/>
      <c r="Z605" s="294"/>
      <c r="AA605" s="299"/>
      <c r="AB605" s="299"/>
      <c r="AC605" s="294"/>
      <c r="AD605" s="294"/>
      <c r="AE605" s="294"/>
      <c r="AF605" s="294"/>
    </row>
    <row r="606" spans="2:32" x14ac:dyDescent="0.25">
      <c r="B606" s="294"/>
      <c r="C606" s="294"/>
      <c r="D606" s="294"/>
      <c r="E606" s="294"/>
      <c r="F606" s="294"/>
      <c r="G606" s="294"/>
      <c r="H606" s="294"/>
      <c r="I606" s="294"/>
      <c r="J606" s="294"/>
      <c r="L606" s="295"/>
      <c r="M606" s="294"/>
      <c r="S606" s="294"/>
      <c r="T606" s="299"/>
      <c r="U606" s="294"/>
      <c r="V606" s="299"/>
      <c r="W606" s="299"/>
      <c r="X606" s="294"/>
      <c r="Y606" s="299"/>
      <c r="Z606" s="294"/>
      <c r="AA606" s="299"/>
      <c r="AB606" s="299"/>
      <c r="AC606" s="294"/>
      <c r="AD606" s="294"/>
      <c r="AE606" s="294"/>
      <c r="AF606" s="294"/>
    </row>
    <row r="607" spans="2:32" x14ac:dyDescent="0.25">
      <c r="B607" s="294"/>
      <c r="C607" s="294"/>
      <c r="D607" s="294"/>
      <c r="E607" s="294"/>
      <c r="F607" s="294"/>
      <c r="G607" s="294"/>
      <c r="H607" s="294"/>
      <c r="I607" s="294"/>
      <c r="J607" s="294"/>
      <c r="L607" s="295"/>
      <c r="M607" s="294"/>
      <c r="S607" s="294"/>
      <c r="T607" s="299"/>
      <c r="U607" s="294"/>
      <c r="V607" s="299"/>
      <c r="W607" s="299"/>
      <c r="X607" s="294"/>
      <c r="Y607" s="299"/>
      <c r="Z607" s="294"/>
      <c r="AA607" s="299"/>
      <c r="AB607" s="299"/>
      <c r="AC607" s="294"/>
      <c r="AD607" s="294"/>
      <c r="AE607" s="294"/>
      <c r="AF607" s="294"/>
    </row>
    <row r="608" spans="2:32" x14ac:dyDescent="0.25">
      <c r="B608" s="294"/>
      <c r="C608" s="294"/>
      <c r="D608" s="294"/>
      <c r="E608" s="294"/>
      <c r="F608" s="294"/>
      <c r="G608" s="294"/>
      <c r="H608" s="294"/>
      <c r="I608" s="294"/>
      <c r="J608" s="294"/>
      <c r="L608" s="295"/>
      <c r="M608" s="294"/>
      <c r="S608" s="294"/>
      <c r="T608" s="299"/>
      <c r="U608" s="294"/>
      <c r="V608" s="299"/>
      <c r="W608" s="299"/>
      <c r="X608" s="294"/>
      <c r="Y608" s="299"/>
      <c r="Z608" s="294"/>
      <c r="AA608" s="299"/>
      <c r="AB608" s="299"/>
      <c r="AC608" s="294"/>
      <c r="AD608" s="294"/>
      <c r="AE608" s="294"/>
      <c r="AF608" s="294"/>
    </row>
    <row r="609" spans="2:32" x14ac:dyDescent="0.25">
      <c r="B609" s="294"/>
      <c r="C609" s="294"/>
      <c r="D609" s="294"/>
      <c r="E609" s="294"/>
      <c r="F609" s="294"/>
      <c r="G609" s="294"/>
      <c r="H609" s="294"/>
      <c r="I609" s="294"/>
      <c r="J609" s="294"/>
      <c r="L609" s="295"/>
      <c r="M609" s="294"/>
      <c r="S609" s="294"/>
      <c r="T609" s="299"/>
      <c r="U609" s="294"/>
      <c r="V609" s="299"/>
      <c r="W609" s="299"/>
      <c r="X609" s="294"/>
      <c r="Y609" s="299"/>
      <c r="Z609" s="294"/>
      <c r="AA609" s="299"/>
      <c r="AB609" s="299"/>
      <c r="AC609" s="294"/>
      <c r="AD609" s="294"/>
      <c r="AE609" s="294"/>
      <c r="AF609" s="294"/>
    </row>
    <row r="610" spans="2:32" x14ac:dyDescent="0.25">
      <c r="B610" s="294"/>
      <c r="C610" s="294"/>
      <c r="D610" s="294"/>
      <c r="E610" s="294"/>
      <c r="F610" s="294"/>
      <c r="G610" s="294"/>
      <c r="H610" s="294"/>
      <c r="I610" s="294"/>
      <c r="J610" s="294"/>
      <c r="L610" s="295"/>
      <c r="M610" s="294"/>
      <c r="S610" s="294"/>
      <c r="T610" s="299"/>
      <c r="U610" s="294"/>
      <c r="V610" s="299"/>
      <c r="W610" s="299"/>
      <c r="X610" s="294"/>
      <c r="Y610" s="299"/>
      <c r="Z610" s="294"/>
      <c r="AA610" s="299"/>
      <c r="AB610" s="299"/>
      <c r="AC610" s="294"/>
      <c r="AD610" s="294"/>
      <c r="AE610" s="294"/>
      <c r="AF610" s="294"/>
    </row>
    <row r="611" spans="2:32" x14ac:dyDescent="0.25">
      <c r="B611" s="294"/>
      <c r="C611" s="294"/>
      <c r="D611" s="294"/>
      <c r="E611" s="294"/>
      <c r="F611" s="294"/>
      <c r="G611" s="294"/>
      <c r="H611" s="294"/>
      <c r="I611" s="294"/>
      <c r="J611" s="294"/>
      <c r="L611" s="295"/>
      <c r="M611" s="294"/>
      <c r="S611" s="294"/>
      <c r="T611" s="299"/>
      <c r="U611" s="294"/>
      <c r="V611" s="299"/>
      <c r="W611" s="299"/>
      <c r="X611" s="294"/>
      <c r="Y611" s="299"/>
      <c r="Z611" s="294"/>
      <c r="AA611" s="299"/>
      <c r="AB611" s="299"/>
      <c r="AC611" s="294"/>
      <c r="AD611" s="294"/>
      <c r="AE611" s="294"/>
      <c r="AF611" s="294"/>
    </row>
    <row r="612" spans="2:32" x14ac:dyDescent="0.25">
      <c r="B612" s="294"/>
      <c r="C612" s="294"/>
      <c r="D612" s="294"/>
      <c r="E612" s="294"/>
      <c r="F612" s="294"/>
      <c r="G612" s="294"/>
      <c r="H612" s="294"/>
      <c r="I612" s="294"/>
      <c r="J612" s="294"/>
      <c r="L612" s="295"/>
      <c r="M612" s="294"/>
      <c r="S612" s="294"/>
      <c r="T612" s="299"/>
      <c r="U612" s="294"/>
      <c r="V612" s="299"/>
      <c r="W612" s="299"/>
      <c r="X612" s="294"/>
      <c r="Y612" s="299"/>
      <c r="Z612" s="294"/>
      <c r="AA612" s="299"/>
      <c r="AB612" s="299"/>
      <c r="AC612" s="294"/>
      <c r="AD612" s="294"/>
      <c r="AE612" s="294"/>
      <c r="AF612" s="294"/>
    </row>
    <row r="613" spans="2:32" x14ac:dyDescent="0.25">
      <c r="B613" s="294"/>
      <c r="C613" s="294"/>
      <c r="D613" s="294"/>
      <c r="E613" s="294"/>
      <c r="F613" s="294"/>
      <c r="G613" s="294"/>
      <c r="H613" s="294"/>
      <c r="I613" s="294"/>
      <c r="J613" s="294"/>
      <c r="L613" s="295"/>
      <c r="M613" s="294"/>
      <c r="S613" s="294"/>
      <c r="T613" s="299"/>
      <c r="U613" s="294"/>
      <c r="V613" s="299"/>
      <c r="W613" s="299"/>
      <c r="X613" s="294"/>
      <c r="Y613" s="299"/>
      <c r="Z613" s="294"/>
      <c r="AA613" s="299"/>
      <c r="AB613" s="299"/>
      <c r="AC613" s="294"/>
      <c r="AD613" s="294"/>
      <c r="AE613" s="294"/>
      <c r="AF613" s="294"/>
    </row>
    <row r="614" spans="2:32" x14ac:dyDescent="0.25">
      <c r="B614" s="294"/>
      <c r="C614" s="294"/>
      <c r="D614" s="294"/>
      <c r="E614" s="294"/>
      <c r="F614" s="294"/>
      <c r="G614" s="294"/>
      <c r="H614" s="294"/>
      <c r="I614" s="294"/>
      <c r="J614" s="294"/>
      <c r="L614" s="295"/>
      <c r="M614" s="294"/>
      <c r="S614" s="294"/>
      <c r="T614" s="299"/>
      <c r="U614" s="294"/>
      <c r="V614" s="299"/>
      <c r="W614" s="299"/>
      <c r="X614" s="294"/>
      <c r="Y614" s="299"/>
      <c r="Z614" s="294"/>
      <c r="AA614" s="299"/>
      <c r="AB614" s="299"/>
      <c r="AC614" s="294"/>
      <c r="AD614" s="294"/>
      <c r="AE614" s="294"/>
      <c r="AF614" s="294"/>
    </row>
    <row r="615" spans="2:32" x14ac:dyDescent="0.25">
      <c r="B615" s="294"/>
      <c r="C615" s="294"/>
      <c r="D615" s="294"/>
      <c r="E615" s="294"/>
      <c r="F615" s="294"/>
      <c r="G615" s="294"/>
      <c r="H615" s="294"/>
      <c r="I615" s="294"/>
      <c r="J615" s="294"/>
      <c r="L615" s="295"/>
      <c r="M615" s="294"/>
      <c r="S615" s="294"/>
      <c r="T615" s="299"/>
      <c r="U615" s="294"/>
      <c r="V615" s="299"/>
      <c r="W615" s="299"/>
      <c r="X615" s="294"/>
      <c r="Y615" s="299"/>
      <c r="Z615" s="294"/>
      <c r="AA615" s="299"/>
      <c r="AB615" s="299"/>
      <c r="AC615" s="294"/>
      <c r="AD615" s="294"/>
      <c r="AE615" s="294"/>
      <c r="AF615" s="294"/>
    </row>
    <row r="616" spans="2:32" x14ac:dyDescent="0.25">
      <c r="B616" s="294"/>
      <c r="C616" s="294"/>
      <c r="D616" s="294"/>
      <c r="E616" s="294"/>
      <c r="F616" s="294"/>
      <c r="G616" s="294"/>
      <c r="H616" s="294"/>
      <c r="I616" s="294"/>
      <c r="J616" s="294"/>
      <c r="L616" s="295"/>
      <c r="M616" s="294"/>
      <c r="S616" s="294"/>
      <c r="T616" s="299"/>
      <c r="U616" s="294"/>
      <c r="V616" s="299"/>
      <c r="W616" s="299"/>
      <c r="X616" s="294"/>
      <c r="Y616" s="299"/>
      <c r="Z616" s="294"/>
      <c r="AA616" s="299"/>
      <c r="AB616" s="299"/>
      <c r="AC616" s="294"/>
      <c r="AD616" s="294"/>
      <c r="AE616" s="294"/>
      <c r="AF616" s="294"/>
    </row>
    <row r="617" spans="2:32" x14ac:dyDescent="0.25">
      <c r="B617" s="294"/>
      <c r="C617" s="294"/>
      <c r="D617" s="294"/>
      <c r="E617" s="294"/>
      <c r="F617" s="294"/>
      <c r="G617" s="294"/>
      <c r="H617" s="294"/>
      <c r="I617" s="294"/>
      <c r="J617" s="294"/>
      <c r="L617" s="295"/>
      <c r="M617" s="294"/>
      <c r="S617" s="294"/>
      <c r="T617" s="299"/>
      <c r="U617" s="294"/>
      <c r="V617" s="299"/>
      <c r="W617" s="299"/>
      <c r="X617" s="294"/>
      <c r="Y617" s="299"/>
      <c r="Z617" s="294"/>
      <c r="AA617" s="299"/>
      <c r="AB617" s="299"/>
      <c r="AC617" s="294"/>
      <c r="AD617" s="294"/>
      <c r="AE617" s="294"/>
      <c r="AF617" s="294"/>
    </row>
    <row r="618" spans="2:32" x14ac:dyDescent="0.25">
      <c r="B618" s="294"/>
      <c r="C618" s="294"/>
      <c r="D618" s="294"/>
      <c r="E618" s="294"/>
      <c r="F618" s="294"/>
      <c r="G618" s="294"/>
      <c r="H618" s="294"/>
      <c r="I618" s="294"/>
      <c r="J618" s="294"/>
      <c r="L618" s="295"/>
      <c r="M618" s="294"/>
      <c r="S618" s="294"/>
      <c r="T618" s="299"/>
      <c r="U618" s="294"/>
      <c r="V618" s="299"/>
      <c r="W618" s="299"/>
      <c r="X618" s="294"/>
      <c r="Y618" s="299"/>
      <c r="Z618" s="294"/>
      <c r="AA618" s="299"/>
      <c r="AB618" s="299"/>
      <c r="AC618" s="294"/>
      <c r="AD618" s="294"/>
      <c r="AE618" s="294"/>
      <c r="AF618" s="294"/>
    </row>
    <row r="619" spans="2:32" x14ac:dyDescent="0.25">
      <c r="B619" s="294"/>
      <c r="C619" s="294"/>
      <c r="D619" s="294"/>
      <c r="E619" s="294"/>
      <c r="F619" s="294"/>
      <c r="G619" s="294"/>
      <c r="H619" s="294"/>
      <c r="I619" s="294"/>
      <c r="J619" s="294"/>
      <c r="L619" s="295"/>
      <c r="M619" s="294"/>
      <c r="S619" s="294"/>
      <c r="T619" s="299"/>
      <c r="U619" s="294"/>
      <c r="V619" s="299"/>
      <c r="W619" s="299"/>
      <c r="X619" s="294"/>
      <c r="Y619" s="299"/>
      <c r="Z619" s="294"/>
      <c r="AA619" s="299"/>
      <c r="AB619" s="299"/>
      <c r="AC619" s="294"/>
      <c r="AD619" s="294"/>
      <c r="AE619" s="294"/>
      <c r="AF619" s="294"/>
    </row>
    <row r="620" spans="2:32" x14ac:dyDescent="0.25">
      <c r="B620" s="294"/>
      <c r="C620" s="294"/>
      <c r="D620" s="294"/>
      <c r="E620" s="294"/>
      <c r="F620" s="294"/>
      <c r="G620" s="294"/>
      <c r="H620" s="294"/>
      <c r="I620" s="294"/>
      <c r="J620" s="294"/>
      <c r="L620" s="295"/>
      <c r="M620" s="294"/>
      <c r="S620" s="294"/>
      <c r="T620" s="299"/>
      <c r="U620" s="294"/>
      <c r="V620" s="299"/>
      <c r="W620" s="299"/>
      <c r="X620" s="294"/>
      <c r="Y620" s="299"/>
      <c r="Z620" s="294"/>
      <c r="AA620" s="299"/>
      <c r="AB620" s="299"/>
      <c r="AC620" s="294"/>
      <c r="AD620" s="294"/>
      <c r="AE620" s="294"/>
      <c r="AF620" s="294"/>
    </row>
    <row r="621" spans="2:32" x14ac:dyDescent="0.25">
      <c r="B621" s="294"/>
      <c r="C621" s="294"/>
      <c r="D621" s="294"/>
      <c r="E621" s="294"/>
      <c r="F621" s="294"/>
      <c r="G621" s="294"/>
      <c r="H621" s="294"/>
      <c r="I621" s="294"/>
      <c r="J621" s="294"/>
      <c r="L621" s="295"/>
      <c r="M621" s="294"/>
      <c r="S621" s="294"/>
      <c r="T621" s="299"/>
      <c r="U621" s="294"/>
      <c r="V621" s="299"/>
      <c r="W621" s="299"/>
      <c r="X621" s="294"/>
      <c r="Y621" s="299"/>
      <c r="Z621" s="294"/>
      <c r="AA621" s="299"/>
      <c r="AB621" s="299"/>
      <c r="AC621" s="294"/>
      <c r="AD621" s="294"/>
      <c r="AE621" s="294"/>
      <c r="AF621" s="294"/>
    </row>
    <row r="622" spans="2:32" x14ac:dyDescent="0.25">
      <c r="B622" s="294"/>
      <c r="C622" s="294"/>
      <c r="D622" s="294"/>
      <c r="E622" s="294"/>
      <c r="F622" s="294"/>
      <c r="G622" s="294"/>
      <c r="H622" s="294"/>
      <c r="I622" s="294"/>
      <c r="J622" s="294"/>
      <c r="L622" s="295"/>
      <c r="M622" s="294"/>
      <c r="S622" s="294"/>
      <c r="T622" s="299"/>
      <c r="U622" s="294"/>
      <c r="V622" s="299"/>
      <c r="W622" s="299"/>
      <c r="X622" s="294"/>
      <c r="Y622" s="299"/>
      <c r="Z622" s="294"/>
      <c r="AA622" s="299"/>
      <c r="AB622" s="299"/>
      <c r="AC622" s="294"/>
      <c r="AD622" s="294"/>
      <c r="AE622" s="294"/>
      <c r="AF622" s="294"/>
    </row>
    <row r="623" spans="2:32" x14ac:dyDescent="0.25">
      <c r="B623" s="294"/>
      <c r="C623" s="294"/>
      <c r="D623" s="294"/>
      <c r="E623" s="294"/>
      <c r="F623" s="294"/>
      <c r="G623" s="294"/>
      <c r="H623" s="294"/>
      <c r="I623" s="294"/>
      <c r="J623" s="294"/>
      <c r="L623" s="295"/>
      <c r="M623" s="294"/>
      <c r="S623" s="294"/>
      <c r="T623" s="299"/>
      <c r="U623" s="294"/>
      <c r="V623" s="299"/>
      <c r="W623" s="299"/>
      <c r="X623" s="294"/>
      <c r="Y623" s="299"/>
      <c r="Z623" s="294"/>
      <c r="AA623" s="299"/>
      <c r="AB623" s="299"/>
      <c r="AC623" s="294"/>
      <c r="AD623" s="294"/>
      <c r="AE623" s="294"/>
      <c r="AF623" s="294"/>
    </row>
    <row r="624" spans="2:32" x14ac:dyDescent="0.25">
      <c r="B624" s="294"/>
      <c r="C624" s="294"/>
      <c r="D624" s="294"/>
      <c r="E624" s="294"/>
      <c r="F624" s="294"/>
      <c r="G624" s="294"/>
      <c r="H624" s="294"/>
      <c r="I624" s="294"/>
      <c r="J624" s="294"/>
      <c r="L624" s="295"/>
      <c r="M624" s="294"/>
      <c r="S624" s="294"/>
      <c r="T624" s="299"/>
      <c r="U624" s="294"/>
      <c r="V624" s="299"/>
      <c r="W624" s="299"/>
      <c r="X624" s="294"/>
      <c r="Y624" s="299"/>
      <c r="Z624" s="294"/>
      <c r="AA624" s="299"/>
      <c r="AB624" s="299"/>
      <c r="AC624" s="294"/>
      <c r="AD624" s="294"/>
      <c r="AE624" s="294"/>
      <c r="AF624" s="294"/>
    </row>
    <row r="625" spans="2:32" x14ac:dyDescent="0.25">
      <c r="B625" s="294"/>
      <c r="C625" s="294"/>
      <c r="D625" s="294"/>
      <c r="E625" s="294"/>
      <c r="F625" s="294"/>
      <c r="G625" s="294"/>
      <c r="H625" s="294"/>
      <c r="I625" s="294"/>
      <c r="J625" s="294"/>
      <c r="L625" s="295"/>
      <c r="M625" s="294"/>
      <c r="S625" s="294"/>
      <c r="T625" s="299"/>
      <c r="U625" s="294"/>
      <c r="V625" s="299"/>
      <c r="W625" s="299"/>
      <c r="X625" s="294"/>
      <c r="Y625" s="299"/>
      <c r="Z625" s="294"/>
      <c r="AA625" s="299"/>
      <c r="AB625" s="299"/>
      <c r="AC625" s="294"/>
      <c r="AD625" s="294"/>
      <c r="AE625" s="294"/>
      <c r="AF625" s="294"/>
    </row>
    <row r="626" spans="2:32" x14ac:dyDescent="0.25">
      <c r="B626" s="294"/>
      <c r="C626" s="294"/>
      <c r="D626" s="294"/>
      <c r="E626" s="294"/>
      <c r="F626" s="294"/>
      <c r="G626" s="294"/>
      <c r="H626" s="294"/>
      <c r="I626" s="294"/>
      <c r="J626" s="294"/>
      <c r="L626" s="295"/>
      <c r="M626" s="294"/>
      <c r="S626" s="294"/>
      <c r="T626" s="299"/>
      <c r="U626" s="294"/>
      <c r="V626" s="299"/>
      <c r="W626" s="299"/>
      <c r="X626" s="294"/>
      <c r="Y626" s="299"/>
      <c r="Z626" s="294"/>
      <c r="AA626" s="299"/>
      <c r="AB626" s="299"/>
      <c r="AC626" s="294"/>
      <c r="AD626" s="294"/>
      <c r="AE626" s="294"/>
      <c r="AF626" s="294"/>
    </row>
    <row r="627" spans="2:32" x14ac:dyDescent="0.25">
      <c r="B627" s="294"/>
      <c r="C627" s="294"/>
      <c r="D627" s="294"/>
      <c r="E627" s="294"/>
      <c r="F627" s="294"/>
      <c r="G627" s="294"/>
      <c r="H627" s="294"/>
      <c r="I627" s="294"/>
      <c r="J627" s="294"/>
      <c r="L627" s="295"/>
      <c r="M627" s="294"/>
      <c r="S627" s="294"/>
      <c r="T627" s="299"/>
      <c r="U627" s="294"/>
      <c r="V627" s="299"/>
      <c r="W627" s="299"/>
      <c r="X627" s="294"/>
      <c r="Y627" s="299"/>
      <c r="Z627" s="294"/>
      <c r="AA627" s="299"/>
      <c r="AB627" s="299"/>
      <c r="AC627" s="294"/>
      <c r="AD627" s="294"/>
      <c r="AE627" s="294"/>
      <c r="AF627" s="294"/>
    </row>
    <row r="628" spans="2:32" x14ac:dyDescent="0.25">
      <c r="B628" s="294"/>
      <c r="C628" s="294"/>
      <c r="D628" s="294"/>
      <c r="E628" s="294"/>
      <c r="F628" s="294"/>
      <c r="G628" s="294"/>
      <c r="H628" s="294"/>
      <c r="I628" s="294"/>
      <c r="J628" s="294"/>
      <c r="L628" s="295"/>
      <c r="M628" s="294"/>
      <c r="S628" s="294"/>
      <c r="T628" s="299"/>
      <c r="U628" s="294"/>
      <c r="V628" s="299"/>
      <c r="W628" s="299"/>
      <c r="X628" s="294"/>
      <c r="Y628" s="299"/>
      <c r="Z628" s="294"/>
      <c r="AA628" s="299"/>
      <c r="AB628" s="299"/>
      <c r="AC628" s="294"/>
      <c r="AD628" s="294"/>
      <c r="AE628" s="294"/>
      <c r="AF628" s="294"/>
    </row>
    <row r="629" spans="2:32" x14ac:dyDescent="0.25">
      <c r="B629" s="294"/>
      <c r="C629" s="294"/>
      <c r="D629" s="294"/>
      <c r="E629" s="294"/>
      <c r="F629" s="294"/>
      <c r="G629" s="294"/>
      <c r="H629" s="294"/>
      <c r="I629" s="294"/>
      <c r="J629" s="294"/>
      <c r="L629" s="295"/>
      <c r="M629" s="294"/>
      <c r="S629" s="294"/>
      <c r="T629" s="299"/>
      <c r="U629" s="294"/>
      <c r="V629" s="299"/>
      <c r="W629" s="299"/>
      <c r="X629" s="294"/>
      <c r="Y629" s="299"/>
      <c r="Z629" s="294"/>
      <c r="AA629" s="299"/>
      <c r="AB629" s="299"/>
      <c r="AC629" s="294"/>
      <c r="AD629" s="294"/>
      <c r="AE629" s="294"/>
      <c r="AF629" s="294"/>
    </row>
    <row r="630" spans="2:32" x14ac:dyDescent="0.25">
      <c r="B630" s="294"/>
      <c r="C630" s="294"/>
      <c r="D630" s="294"/>
      <c r="E630" s="294"/>
      <c r="F630" s="294"/>
      <c r="G630" s="294"/>
      <c r="H630" s="294"/>
      <c r="I630" s="294"/>
      <c r="J630" s="294"/>
      <c r="L630" s="295"/>
      <c r="M630" s="294"/>
      <c r="S630" s="294"/>
      <c r="T630" s="299"/>
      <c r="U630" s="294"/>
      <c r="V630" s="299"/>
      <c r="W630" s="299"/>
      <c r="X630" s="294"/>
      <c r="Y630" s="299"/>
      <c r="Z630" s="294"/>
      <c r="AA630" s="299"/>
      <c r="AB630" s="299"/>
      <c r="AC630" s="294"/>
      <c r="AD630" s="294"/>
      <c r="AE630" s="294"/>
      <c r="AF630" s="294"/>
    </row>
    <row r="631" spans="2:32" x14ac:dyDescent="0.25">
      <c r="B631" s="294"/>
      <c r="C631" s="294"/>
      <c r="D631" s="294"/>
      <c r="E631" s="294"/>
      <c r="F631" s="294"/>
      <c r="G631" s="294"/>
      <c r="H631" s="294"/>
      <c r="I631" s="294"/>
      <c r="J631" s="294"/>
      <c r="L631" s="295"/>
      <c r="M631" s="294"/>
      <c r="S631" s="294"/>
      <c r="T631" s="299"/>
      <c r="U631" s="294"/>
      <c r="V631" s="299"/>
      <c r="W631" s="299"/>
      <c r="X631" s="294"/>
      <c r="Y631" s="299"/>
      <c r="Z631" s="294"/>
      <c r="AA631" s="299"/>
      <c r="AB631" s="299"/>
      <c r="AC631" s="294"/>
      <c r="AD631" s="294"/>
      <c r="AE631" s="294"/>
      <c r="AF631" s="294"/>
    </row>
    <row r="632" spans="2:32" x14ac:dyDescent="0.25">
      <c r="B632" s="294"/>
      <c r="C632" s="294"/>
      <c r="D632" s="294"/>
      <c r="E632" s="294"/>
      <c r="F632" s="294"/>
      <c r="G632" s="294"/>
      <c r="H632" s="294"/>
      <c r="I632" s="294"/>
      <c r="J632" s="294"/>
      <c r="L632" s="295"/>
      <c r="M632" s="294"/>
      <c r="S632" s="294"/>
      <c r="T632" s="299"/>
      <c r="U632" s="294"/>
      <c r="V632" s="299"/>
      <c r="W632" s="299"/>
      <c r="X632" s="294"/>
      <c r="Y632" s="299"/>
      <c r="Z632" s="294"/>
      <c r="AA632" s="299"/>
      <c r="AB632" s="299"/>
      <c r="AC632" s="294"/>
      <c r="AD632" s="294"/>
      <c r="AE632" s="294"/>
      <c r="AF632" s="294"/>
    </row>
    <row r="633" spans="2:32" x14ac:dyDescent="0.25">
      <c r="B633" s="294"/>
      <c r="C633" s="294"/>
      <c r="D633" s="294"/>
      <c r="E633" s="294"/>
      <c r="F633" s="294"/>
      <c r="G633" s="294"/>
      <c r="H633" s="294"/>
      <c r="I633" s="294"/>
      <c r="J633" s="294"/>
      <c r="L633" s="295"/>
      <c r="M633" s="294"/>
      <c r="S633" s="294"/>
      <c r="T633" s="299"/>
      <c r="U633" s="294"/>
      <c r="V633" s="299"/>
      <c r="W633" s="299"/>
      <c r="X633" s="294"/>
      <c r="Y633" s="299"/>
      <c r="Z633" s="294"/>
      <c r="AA633" s="299"/>
      <c r="AB633" s="299"/>
      <c r="AC633" s="294"/>
      <c r="AD633" s="294"/>
      <c r="AE633" s="294"/>
      <c r="AF633" s="294"/>
    </row>
    <row r="634" spans="2:32" x14ac:dyDescent="0.25">
      <c r="B634" s="294"/>
      <c r="C634" s="294"/>
      <c r="D634" s="294"/>
      <c r="E634" s="294"/>
      <c r="F634" s="294"/>
      <c r="G634" s="294"/>
      <c r="H634" s="294"/>
      <c r="I634" s="294"/>
      <c r="J634" s="294"/>
      <c r="L634" s="295"/>
      <c r="M634" s="294"/>
      <c r="S634" s="294"/>
      <c r="T634" s="299"/>
      <c r="U634" s="294"/>
      <c r="V634" s="299"/>
      <c r="W634" s="299"/>
      <c r="X634" s="294"/>
      <c r="Y634" s="299"/>
      <c r="Z634" s="294"/>
      <c r="AA634" s="299"/>
      <c r="AB634" s="299"/>
      <c r="AC634" s="294"/>
      <c r="AD634" s="294"/>
      <c r="AE634" s="294"/>
      <c r="AF634" s="294"/>
    </row>
    <row r="635" spans="2:32" x14ac:dyDescent="0.25">
      <c r="B635" s="294"/>
      <c r="C635" s="294"/>
      <c r="D635" s="294"/>
      <c r="E635" s="294"/>
      <c r="F635" s="294"/>
      <c r="G635" s="294"/>
      <c r="H635" s="294"/>
      <c r="I635" s="294"/>
      <c r="J635" s="294"/>
      <c r="L635" s="295"/>
      <c r="M635" s="294"/>
      <c r="S635" s="294"/>
      <c r="T635" s="299"/>
      <c r="U635" s="294"/>
      <c r="V635" s="299"/>
      <c r="W635" s="299"/>
      <c r="X635" s="294"/>
      <c r="Y635" s="299"/>
      <c r="Z635" s="294"/>
      <c r="AA635" s="299"/>
      <c r="AB635" s="299"/>
      <c r="AC635" s="294"/>
      <c r="AD635" s="294"/>
      <c r="AE635" s="294"/>
      <c r="AF635" s="294"/>
    </row>
    <row r="636" spans="2:32" x14ac:dyDescent="0.25">
      <c r="B636" s="294"/>
      <c r="C636" s="294"/>
      <c r="D636" s="294"/>
      <c r="E636" s="294"/>
      <c r="F636" s="294"/>
      <c r="G636" s="294"/>
      <c r="H636" s="294"/>
      <c r="I636" s="294"/>
      <c r="J636" s="294"/>
      <c r="L636" s="295"/>
      <c r="M636" s="294"/>
      <c r="S636" s="294"/>
      <c r="T636" s="299"/>
      <c r="U636" s="294"/>
      <c r="V636" s="299"/>
      <c r="W636" s="299"/>
      <c r="X636" s="294"/>
      <c r="Y636" s="299"/>
      <c r="Z636" s="294"/>
      <c r="AA636" s="299"/>
      <c r="AB636" s="299"/>
      <c r="AC636" s="294"/>
      <c r="AD636" s="294"/>
      <c r="AE636" s="294"/>
      <c r="AF636" s="294"/>
    </row>
    <row r="637" spans="2:32" x14ac:dyDescent="0.25">
      <c r="B637" s="294"/>
      <c r="C637" s="294"/>
      <c r="D637" s="294"/>
      <c r="E637" s="294"/>
      <c r="F637" s="294"/>
      <c r="G637" s="294"/>
      <c r="H637" s="294"/>
      <c r="I637" s="294"/>
      <c r="J637" s="294"/>
      <c r="L637" s="295"/>
      <c r="M637" s="294"/>
      <c r="S637" s="294"/>
      <c r="T637" s="299"/>
      <c r="U637" s="294"/>
      <c r="V637" s="299"/>
      <c r="W637" s="299"/>
      <c r="X637" s="294"/>
      <c r="Y637" s="299"/>
      <c r="Z637" s="294"/>
      <c r="AA637" s="299"/>
      <c r="AB637" s="299"/>
      <c r="AC637" s="294"/>
      <c r="AD637" s="294"/>
      <c r="AE637" s="294"/>
      <c r="AF637" s="294"/>
    </row>
    <row r="638" spans="2:32" x14ac:dyDescent="0.25">
      <c r="B638" s="294"/>
      <c r="C638" s="294"/>
      <c r="D638" s="294"/>
      <c r="E638" s="294"/>
      <c r="F638" s="294"/>
      <c r="G638" s="294"/>
      <c r="H638" s="294"/>
      <c r="I638" s="294"/>
      <c r="J638" s="294"/>
      <c r="L638" s="295"/>
      <c r="M638" s="294"/>
      <c r="S638" s="294"/>
      <c r="T638" s="299"/>
      <c r="U638" s="294"/>
      <c r="V638" s="299"/>
      <c r="W638" s="299"/>
      <c r="X638" s="294"/>
      <c r="Y638" s="299"/>
      <c r="Z638" s="294"/>
      <c r="AA638" s="299"/>
      <c r="AB638" s="299"/>
      <c r="AC638" s="294"/>
      <c r="AD638" s="294"/>
      <c r="AE638" s="294"/>
      <c r="AF638" s="294"/>
    </row>
    <row r="639" spans="2:32" x14ac:dyDescent="0.25">
      <c r="B639" s="294"/>
      <c r="C639" s="294"/>
      <c r="D639" s="294"/>
      <c r="E639" s="294"/>
      <c r="F639" s="294"/>
      <c r="G639" s="294"/>
      <c r="H639" s="294"/>
      <c r="I639" s="294"/>
      <c r="J639" s="294"/>
      <c r="L639" s="295"/>
      <c r="M639" s="294"/>
      <c r="S639" s="294"/>
      <c r="T639" s="299"/>
      <c r="U639" s="294"/>
      <c r="V639" s="299"/>
      <c r="W639" s="299"/>
      <c r="X639" s="294"/>
      <c r="Y639" s="299"/>
      <c r="Z639" s="294"/>
      <c r="AA639" s="299"/>
      <c r="AB639" s="299"/>
      <c r="AC639" s="294"/>
      <c r="AD639" s="294"/>
      <c r="AE639" s="294"/>
      <c r="AF639" s="294"/>
    </row>
    <row r="640" spans="2:32" x14ac:dyDescent="0.25">
      <c r="B640" s="294"/>
      <c r="C640" s="294"/>
      <c r="D640" s="294"/>
      <c r="E640" s="294"/>
      <c r="F640" s="294"/>
      <c r="G640" s="294"/>
      <c r="H640" s="294"/>
      <c r="I640" s="294"/>
      <c r="J640" s="294"/>
      <c r="L640" s="295"/>
      <c r="M640" s="294"/>
      <c r="S640" s="294"/>
      <c r="T640" s="299"/>
      <c r="U640" s="294"/>
      <c r="V640" s="299"/>
      <c r="W640" s="299"/>
      <c r="X640" s="294"/>
      <c r="Y640" s="299"/>
      <c r="Z640" s="294"/>
      <c r="AA640" s="299"/>
      <c r="AB640" s="299"/>
      <c r="AC640" s="294"/>
      <c r="AD640" s="294"/>
      <c r="AE640" s="294"/>
      <c r="AF640" s="294"/>
    </row>
    <row r="641" spans="2:32" x14ac:dyDescent="0.25">
      <c r="B641" s="294"/>
      <c r="C641" s="294"/>
      <c r="D641" s="294"/>
      <c r="E641" s="294"/>
      <c r="F641" s="294"/>
      <c r="G641" s="294"/>
      <c r="H641" s="294"/>
      <c r="I641" s="294"/>
      <c r="J641" s="294"/>
      <c r="L641" s="295"/>
      <c r="M641" s="294"/>
      <c r="S641" s="294"/>
      <c r="T641" s="299"/>
      <c r="U641" s="294"/>
      <c r="V641" s="299"/>
      <c r="W641" s="299"/>
      <c r="X641" s="294"/>
      <c r="Y641" s="299"/>
      <c r="Z641" s="294"/>
      <c r="AA641" s="299"/>
      <c r="AB641" s="299"/>
      <c r="AC641" s="294"/>
      <c r="AD641" s="294"/>
      <c r="AE641" s="294"/>
      <c r="AF641" s="294"/>
    </row>
    <row r="642" spans="2:32" x14ac:dyDescent="0.25">
      <c r="B642" s="294"/>
      <c r="C642" s="294"/>
      <c r="D642" s="294"/>
      <c r="E642" s="294"/>
      <c r="F642" s="294"/>
      <c r="G642" s="294"/>
      <c r="H642" s="294"/>
      <c r="I642" s="294"/>
      <c r="J642" s="294"/>
      <c r="L642" s="295"/>
      <c r="M642" s="294"/>
      <c r="S642" s="294"/>
      <c r="T642" s="299"/>
      <c r="U642" s="294"/>
      <c r="V642" s="299"/>
      <c r="W642" s="299"/>
      <c r="X642" s="294"/>
      <c r="Y642" s="299"/>
      <c r="Z642" s="294"/>
      <c r="AA642" s="299"/>
      <c r="AB642" s="299"/>
      <c r="AC642" s="294"/>
      <c r="AD642" s="294"/>
      <c r="AE642" s="294"/>
      <c r="AF642" s="294"/>
    </row>
    <row r="643" spans="2:32" x14ac:dyDescent="0.25">
      <c r="B643" s="294"/>
      <c r="C643" s="294"/>
      <c r="D643" s="294"/>
      <c r="E643" s="294"/>
      <c r="F643" s="294"/>
      <c r="G643" s="294"/>
      <c r="H643" s="294"/>
      <c r="I643" s="294"/>
      <c r="J643" s="294"/>
      <c r="L643" s="295"/>
      <c r="M643" s="294"/>
      <c r="S643" s="294"/>
      <c r="T643" s="299"/>
      <c r="U643" s="294"/>
      <c r="V643" s="299"/>
      <c r="W643" s="299"/>
      <c r="X643" s="294"/>
      <c r="Y643" s="299"/>
      <c r="Z643" s="294"/>
      <c r="AA643" s="299"/>
      <c r="AB643" s="299"/>
      <c r="AC643" s="294"/>
      <c r="AD643" s="294"/>
      <c r="AE643" s="294"/>
      <c r="AF643" s="294"/>
    </row>
    <row r="644" spans="2:32" x14ac:dyDescent="0.25">
      <c r="B644" s="294"/>
      <c r="C644" s="294"/>
      <c r="D644" s="294"/>
      <c r="E644" s="294"/>
      <c r="F644" s="294"/>
      <c r="G644" s="294"/>
      <c r="H644" s="294"/>
      <c r="I644" s="294"/>
      <c r="J644" s="294"/>
      <c r="L644" s="295"/>
      <c r="M644" s="294"/>
      <c r="S644" s="294"/>
      <c r="T644" s="299"/>
      <c r="U644" s="294"/>
      <c r="V644" s="299"/>
      <c r="W644" s="299"/>
      <c r="X644" s="294"/>
      <c r="Y644" s="299"/>
      <c r="Z644" s="294"/>
      <c r="AA644" s="299"/>
      <c r="AB644" s="299"/>
      <c r="AC644" s="294"/>
      <c r="AD644" s="294"/>
      <c r="AE644" s="294"/>
      <c r="AF644" s="294"/>
    </row>
    <row r="645" spans="2:32" x14ac:dyDescent="0.25">
      <c r="B645" s="294"/>
      <c r="C645" s="294"/>
      <c r="D645" s="294"/>
      <c r="E645" s="294"/>
      <c r="F645" s="294"/>
      <c r="G645" s="294"/>
      <c r="H645" s="294"/>
      <c r="I645" s="294"/>
      <c r="J645" s="294"/>
      <c r="L645" s="295"/>
      <c r="M645" s="294"/>
      <c r="S645" s="294"/>
      <c r="T645" s="299"/>
      <c r="U645" s="294"/>
      <c r="V645" s="299"/>
      <c r="W645" s="299"/>
      <c r="X645" s="294"/>
      <c r="Y645" s="299"/>
      <c r="Z645" s="294"/>
      <c r="AA645" s="299"/>
      <c r="AB645" s="299"/>
      <c r="AC645" s="294"/>
      <c r="AD645" s="294"/>
      <c r="AE645" s="294"/>
      <c r="AF645" s="294"/>
    </row>
    <row r="646" spans="2:32" x14ac:dyDescent="0.25">
      <c r="B646" s="294"/>
      <c r="C646" s="294"/>
      <c r="D646" s="294"/>
      <c r="E646" s="294"/>
      <c r="F646" s="294"/>
      <c r="G646" s="294"/>
      <c r="H646" s="294"/>
      <c r="I646" s="294"/>
      <c r="J646" s="294"/>
      <c r="L646" s="295"/>
      <c r="M646" s="294"/>
      <c r="S646" s="294"/>
      <c r="T646" s="299"/>
      <c r="U646" s="294"/>
      <c r="V646" s="299"/>
      <c r="W646" s="299"/>
      <c r="X646" s="294"/>
      <c r="Y646" s="299"/>
      <c r="Z646" s="294"/>
      <c r="AA646" s="299"/>
      <c r="AB646" s="299"/>
      <c r="AC646" s="294"/>
      <c r="AD646" s="294"/>
      <c r="AE646" s="294"/>
      <c r="AF646" s="294"/>
    </row>
    <row r="647" spans="2:32" x14ac:dyDescent="0.25">
      <c r="B647" s="294"/>
      <c r="C647" s="294"/>
      <c r="D647" s="294"/>
      <c r="E647" s="294"/>
      <c r="F647" s="294"/>
      <c r="G647" s="294"/>
      <c r="H647" s="294"/>
      <c r="I647" s="294"/>
      <c r="J647" s="294"/>
      <c r="L647" s="295"/>
      <c r="M647" s="294"/>
      <c r="S647" s="294"/>
      <c r="T647" s="299"/>
      <c r="U647" s="294"/>
      <c r="V647" s="299"/>
      <c r="W647" s="299"/>
      <c r="X647" s="294"/>
      <c r="Y647" s="299"/>
      <c r="Z647" s="294"/>
      <c r="AA647" s="299"/>
      <c r="AB647" s="299"/>
      <c r="AC647" s="294"/>
      <c r="AD647" s="294"/>
      <c r="AE647" s="294"/>
      <c r="AF647" s="294"/>
    </row>
    <row r="648" spans="2:32" x14ac:dyDescent="0.25">
      <c r="B648" s="294"/>
      <c r="C648" s="294"/>
      <c r="D648" s="294"/>
      <c r="E648" s="294"/>
      <c r="F648" s="294"/>
      <c r="G648" s="294"/>
      <c r="H648" s="294"/>
      <c r="I648" s="294"/>
      <c r="J648" s="294"/>
      <c r="L648" s="295"/>
      <c r="M648" s="294"/>
      <c r="S648" s="294"/>
      <c r="T648" s="299"/>
      <c r="U648" s="294"/>
      <c r="V648" s="299"/>
      <c r="W648" s="299"/>
      <c r="X648" s="294"/>
      <c r="Y648" s="299"/>
      <c r="Z648" s="294"/>
      <c r="AA648" s="299"/>
      <c r="AB648" s="299"/>
      <c r="AC648" s="294"/>
      <c r="AD648" s="294"/>
      <c r="AE648" s="294"/>
      <c r="AF648" s="294"/>
    </row>
    <row r="649" spans="2:32" x14ac:dyDescent="0.25">
      <c r="B649" s="294"/>
      <c r="C649" s="294"/>
      <c r="D649" s="294"/>
      <c r="E649" s="294"/>
      <c r="F649" s="294"/>
      <c r="G649" s="294"/>
      <c r="H649" s="294"/>
      <c r="I649" s="294"/>
      <c r="J649" s="294"/>
      <c r="L649" s="295"/>
      <c r="M649" s="294"/>
      <c r="S649" s="294"/>
      <c r="T649" s="299"/>
      <c r="U649" s="294"/>
      <c r="V649" s="299"/>
      <c r="W649" s="299"/>
      <c r="X649" s="294"/>
      <c r="Y649" s="299"/>
      <c r="Z649" s="294"/>
      <c r="AA649" s="299"/>
      <c r="AB649" s="299"/>
      <c r="AC649" s="294"/>
      <c r="AD649" s="294"/>
      <c r="AE649" s="294"/>
      <c r="AF649" s="294"/>
    </row>
    <row r="650" spans="2:32" x14ac:dyDescent="0.25">
      <c r="B650" s="294"/>
      <c r="C650" s="294"/>
      <c r="D650" s="294"/>
      <c r="E650" s="294"/>
      <c r="F650" s="294"/>
      <c r="G650" s="294"/>
      <c r="H650" s="294"/>
      <c r="I650" s="294"/>
      <c r="J650" s="294"/>
      <c r="L650" s="295"/>
      <c r="M650" s="294"/>
      <c r="S650" s="294"/>
      <c r="T650" s="299"/>
      <c r="U650" s="294"/>
      <c r="V650" s="299"/>
      <c r="W650" s="299"/>
      <c r="X650" s="294"/>
      <c r="Y650" s="299"/>
      <c r="Z650" s="294"/>
      <c r="AA650" s="299"/>
      <c r="AB650" s="299"/>
      <c r="AC650" s="294"/>
      <c r="AD650" s="294"/>
      <c r="AE650" s="294"/>
      <c r="AF650" s="294"/>
    </row>
    <row r="651" spans="2:32" x14ac:dyDescent="0.25">
      <c r="B651" s="294"/>
      <c r="C651" s="294"/>
      <c r="D651" s="294"/>
      <c r="E651" s="294"/>
      <c r="F651" s="294"/>
      <c r="G651" s="294"/>
      <c r="H651" s="294"/>
      <c r="I651" s="294"/>
      <c r="J651" s="294"/>
      <c r="L651" s="295"/>
      <c r="M651" s="294"/>
      <c r="S651" s="294"/>
      <c r="T651" s="299"/>
      <c r="U651" s="294"/>
      <c r="V651" s="299"/>
      <c r="W651" s="299"/>
      <c r="X651" s="294"/>
      <c r="Y651" s="299"/>
      <c r="Z651" s="294"/>
      <c r="AA651" s="299"/>
      <c r="AB651" s="299"/>
      <c r="AC651" s="294"/>
      <c r="AD651" s="294"/>
      <c r="AE651" s="294"/>
      <c r="AF651" s="294"/>
    </row>
    <row r="652" spans="2:32" x14ac:dyDescent="0.25">
      <c r="B652" s="294"/>
      <c r="C652" s="294"/>
      <c r="D652" s="294"/>
      <c r="E652" s="294"/>
      <c r="F652" s="294"/>
      <c r="G652" s="294"/>
      <c r="H652" s="294"/>
      <c r="I652" s="294"/>
      <c r="J652" s="294"/>
      <c r="L652" s="295"/>
      <c r="M652" s="294"/>
      <c r="S652" s="294"/>
      <c r="T652" s="299"/>
      <c r="U652" s="294"/>
      <c r="V652" s="299"/>
      <c r="W652" s="299"/>
      <c r="X652" s="294"/>
      <c r="Y652" s="299"/>
      <c r="Z652" s="294"/>
      <c r="AA652" s="299"/>
      <c r="AB652" s="299"/>
      <c r="AC652" s="294"/>
      <c r="AD652" s="294"/>
      <c r="AE652" s="294"/>
      <c r="AF652" s="294"/>
    </row>
    <row r="653" spans="2:32" x14ac:dyDescent="0.25">
      <c r="B653" s="294"/>
      <c r="C653" s="294"/>
      <c r="D653" s="294"/>
      <c r="E653" s="294"/>
      <c r="F653" s="294"/>
      <c r="G653" s="294"/>
      <c r="H653" s="294"/>
      <c r="I653" s="294"/>
      <c r="J653" s="294"/>
      <c r="L653" s="295"/>
      <c r="M653" s="294"/>
      <c r="S653" s="294"/>
      <c r="T653" s="299"/>
      <c r="U653" s="294"/>
      <c r="V653" s="299"/>
      <c r="W653" s="299"/>
      <c r="X653" s="294"/>
      <c r="Y653" s="299"/>
      <c r="Z653" s="294"/>
      <c r="AA653" s="299"/>
      <c r="AB653" s="299"/>
      <c r="AC653" s="294"/>
      <c r="AD653" s="294"/>
      <c r="AE653" s="294"/>
      <c r="AF653" s="294"/>
    </row>
    <row r="654" spans="2:32" x14ac:dyDescent="0.25">
      <c r="B654" s="294"/>
      <c r="C654" s="294"/>
      <c r="D654" s="294"/>
      <c r="E654" s="294"/>
      <c r="F654" s="294"/>
      <c r="G654" s="294"/>
      <c r="H654" s="294"/>
      <c r="I654" s="294"/>
      <c r="J654" s="294"/>
      <c r="L654" s="295"/>
      <c r="M654" s="294"/>
      <c r="S654" s="294"/>
      <c r="T654" s="299"/>
      <c r="U654" s="294"/>
      <c r="V654" s="299"/>
      <c r="W654" s="299"/>
      <c r="X654" s="294"/>
      <c r="Y654" s="299"/>
      <c r="Z654" s="294"/>
      <c r="AA654" s="299"/>
      <c r="AB654" s="299"/>
      <c r="AC654" s="294"/>
      <c r="AD654" s="294"/>
      <c r="AE654" s="294"/>
      <c r="AF654" s="294"/>
    </row>
    <row r="655" spans="2:32" x14ac:dyDescent="0.25">
      <c r="B655" s="294"/>
      <c r="C655" s="294"/>
      <c r="D655" s="294"/>
      <c r="E655" s="294"/>
      <c r="F655" s="294"/>
      <c r="G655" s="294"/>
      <c r="H655" s="294"/>
      <c r="I655" s="294"/>
      <c r="J655" s="294"/>
      <c r="L655" s="295"/>
      <c r="M655" s="294"/>
      <c r="S655" s="294"/>
      <c r="T655" s="299"/>
      <c r="U655" s="294"/>
      <c r="V655" s="299"/>
      <c r="W655" s="299"/>
      <c r="X655" s="294"/>
      <c r="Y655" s="299"/>
      <c r="Z655" s="294"/>
      <c r="AA655" s="299"/>
      <c r="AB655" s="299"/>
      <c r="AC655" s="294"/>
      <c r="AD655" s="294"/>
      <c r="AE655" s="294"/>
      <c r="AF655" s="294"/>
    </row>
    <row r="656" spans="2:32" x14ac:dyDescent="0.25">
      <c r="B656" s="294"/>
      <c r="C656" s="294"/>
      <c r="D656" s="294"/>
      <c r="E656" s="294"/>
      <c r="F656" s="294"/>
      <c r="G656" s="294"/>
      <c r="H656" s="294"/>
      <c r="I656" s="294"/>
      <c r="J656" s="294"/>
      <c r="L656" s="295"/>
      <c r="M656" s="294"/>
      <c r="S656" s="294"/>
      <c r="T656" s="299"/>
      <c r="U656" s="294"/>
      <c r="V656" s="299"/>
      <c r="W656" s="299"/>
      <c r="X656" s="294"/>
      <c r="Y656" s="299"/>
      <c r="Z656" s="294"/>
      <c r="AA656" s="299"/>
      <c r="AB656" s="299"/>
      <c r="AC656" s="294"/>
      <c r="AD656" s="294"/>
      <c r="AE656" s="294"/>
      <c r="AF656" s="294"/>
    </row>
    <row r="657" spans="2:32" x14ac:dyDescent="0.25">
      <c r="B657" s="294"/>
      <c r="C657" s="294"/>
      <c r="D657" s="294"/>
      <c r="E657" s="294"/>
      <c r="F657" s="294"/>
      <c r="G657" s="294"/>
      <c r="H657" s="294"/>
      <c r="I657" s="294"/>
      <c r="J657" s="294"/>
      <c r="L657" s="295"/>
      <c r="M657" s="294"/>
      <c r="S657" s="294"/>
      <c r="T657" s="299"/>
      <c r="U657" s="294"/>
      <c r="V657" s="299"/>
      <c r="W657" s="299"/>
      <c r="X657" s="294"/>
      <c r="Y657" s="299"/>
      <c r="Z657" s="294"/>
      <c r="AA657" s="299"/>
      <c r="AB657" s="299"/>
      <c r="AC657" s="294"/>
      <c r="AD657" s="294"/>
      <c r="AE657" s="294"/>
      <c r="AF657" s="294"/>
    </row>
    <row r="658" spans="2:32" x14ac:dyDescent="0.25">
      <c r="B658" s="294"/>
      <c r="C658" s="294"/>
      <c r="D658" s="294"/>
      <c r="E658" s="294"/>
      <c r="F658" s="294"/>
      <c r="G658" s="294"/>
      <c r="H658" s="294"/>
      <c r="I658" s="294"/>
      <c r="J658" s="294"/>
      <c r="L658" s="295"/>
      <c r="M658" s="294"/>
      <c r="S658" s="294"/>
      <c r="T658" s="299"/>
      <c r="U658" s="294"/>
      <c r="V658" s="299"/>
      <c r="W658" s="299"/>
      <c r="X658" s="294"/>
      <c r="Y658" s="299"/>
      <c r="Z658" s="294"/>
      <c r="AA658" s="299"/>
      <c r="AB658" s="299"/>
      <c r="AC658" s="294"/>
      <c r="AD658" s="294"/>
      <c r="AE658" s="294"/>
      <c r="AF658" s="294"/>
    </row>
    <row r="659" spans="2:32" x14ac:dyDescent="0.25">
      <c r="B659" s="294"/>
      <c r="C659" s="294"/>
      <c r="D659" s="294"/>
      <c r="E659" s="294"/>
      <c r="F659" s="294"/>
      <c r="G659" s="294"/>
      <c r="H659" s="294"/>
      <c r="I659" s="294"/>
      <c r="J659" s="294"/>
      <c r="L659" s="295"/>
      <c r="M659" s="294"/>
      <c r="S659" s="294"/>
      <c r="T659" s="299"/>
      <c r="U659" s="294"/>
      <c r="V659" s="299"/>
      <c r="W659" s="299"/>
      <c r="X659" s="294"/>
      <c r="Y659" s="299"/>
      <c r="Z659" s="294"/>
      <c r="AA659" s="299"/>
      <c r="AB659" s="299"/>
      <c r="AC659" s="294"/>
      <c r="AD659" s="294"/>
      <c r="AE659" s="294"/>
      <c r="AF659" s="294"/>
    </row>
    <row r="660" spans="2:32" x14ac:dyDescent="0.25">
      <c r="B660" s="294"/>
      <c r="C660" s="294"/>
      <c r="D660" s="294"/>
      <c r="E660" s="294"/>
      <c r="F660" s="294"/>
      <c r="G660" s="294"/>
      <c r="H660" s="294"/>
      <c r="I660" s="294"/>
      <c r="J660" s="294"/>
      <c r="L660" s="295"/>
      <c r="M660" s="294"/>
      <c r="S660" s="294"/>
      <c r="T660" s="299"/>
      <c r="U660" s="294"/>
      <c r="V660" s="299"/>
      <c r="W660" s="299"/>
      <c r="X660" s="294"/>
      <c r="Y660" s="299"/>
      <c r="Z660" s="294"/>
      <c r="AA660" s="299"/>
      <c r="AB660" s="299"/>
      <c r="AC660" s="294"/>
      <c r="AD660" s="294"/>
      <c r="AE660" s="294"/>
      <c r="AF660" s="294"/>
    </row>
    <row r="661" spans="2:32" x14ac:dyDescent="0.25">
      <c r="B661" s="294"/>
      <c r="C661" s="294"/>
      <c r="D661" s="294"/>
      <c r="E661" s="294"/>
      <c r="F661" s="294"/>
      <c r="G661" s="294"/>
      <c r="H661" s="294"/>
      <c r="I661" s="294"/>
      <c r="J661" s="294"/>
      <c r="L661" s="295"/>
      <c r="M661" s="294"/>
      <c r="S661" s="294"/>
      <c r="T661" s="299"/>
      <c r="U661" s="294"/>
      <c r="V661" s="299"/>
      <c r="W661" s="299"/>
      <c r="X661" s="294"/>
      <c r="Y661" s="299"/>
      <c r="Z661" s="294"/>
      <c r="AA661" s="299"/>
      <c r="AB661" s="299"/>
      <c r="AC661" s="294"/>
      <c r="AD661" s="294"/>
      <c r="AE661" s="294"/>
      <c r="AF661" s="294"/>
    </row>
    <row r="662" spans="2:32" x14ac:dyDescent="0.25">
      <c r="B662" s="294"/>
      <c r="C662" s="294"/>
      <c r="D662" s="294"/>
      <c r="E662" s="294"/>
      <c r="F662" s="294"/>
      <c r="G662" s="294"/>
      <c r="H662" s="294"/>
      <c r="I662" s="294"/>
      <c r="J662" s="294"/>
      <c r="L662" s="295"/>
      <c r="M662" s="294"/>
      <c r="S662" s="294"/>
      <c r="T662" s="299"/>
      <c r="U662" s="294"/>
      <c r="V662" s="299"/>
      <c r="W662" s="299"/>
      <c r="X662" s="294"/>
      <c r="Y662" s="299"/>
      <c r="Z662" s="294"/>
      <c r="AA662" s="299"/>
      <c r="AB662" s="299"/>
      <c r="AC662" s="294"/>
      <c r="AD662" s="294"/>
      <c r="AE662" s="294"/>
      <c r="AF662" s="294"/>
    </row>
    <row r="663" spans="2:32" x14ac:dyDescent="0.25">
      <c r="B663" s="294"/>
      <c r="C663" s="294"/>
      <c r="D663" s="294"/>
      <c r="E663" s="294"/>
      <c r="F663" s="294"/>
      <c r="G663" s="294"/>
      <c r="H663" s="294"/>
      <c r="I663" s="294"/>
      <c r="J663" s="294"/>
      <c r="L663" s="295"/>
      <c r="M663" s="294"/>
      <c r="S663" s="294"/>
      <c r="T663" s="299"/>
      <c r="U663" s="294"/>
      <c r="V663" s="299"/>
      <c r="W663" s="299"/>
      <c r="X663" s="294"/>
      <c r="Y663" s="299"/>
      <c r="Z663" s="294"/>
      <c r="AA663" s="299"/>
      <c r="AB663" s="299"/>
      <c r="AC663" s="294"/>
      <c r="AD663" s="294"/>
      <c r="AE663" s="294"/>
      <c r="AF663" s="294"/>
    </row>
    <row r="664" spans="2:32" x14ac:dyDescent="0.25">
      <c r="B664" s="294"/>
      <c r="C664" s="294"/>
      <c r="D664" s="294"/>
      <c r="E664" s="294"/>
      <c r="F664" s="294"/>
      <c r="G664" s="294"/>
      <c r="H664" s="294"/>
      <c r="I664" s="294"/>
      <c r="J664" s="294"/>
      <c r="L664" s="295"/>
      <c r="M664" s="294"/>
      <c r="S664" s="294"/>
      <c r="T664" s="299"/>
      <c r="U664" s="294"/>
      <c r="V664" s="299"/>
      <c r="W664" s="299"/>
      <c r="X664" s="294"/>
      <c r="Y664" s="299"/>
      <c r="Z664" s="294"/>
      <c r="AA664" s="299"/>
      <c r="AB664" s="299"/>
      <c r="AC664" s="294"/>
      <c r="AD664" s="294"/>
      <c r="AE664" s="294"/>
      <c r="AF664" s="294"/>
    </row>
    <row r="665" spans="2:32" x14ac:dyDescent="0.25">
      <c r="B665" s="294"/>
      <c r="C665" s="294"/>
      <c r="D665" s="294"/>
      <c r="E665" s="294"/>
      <c r="F665" s="294"/>
      <c r="G665" s="294"/>
      <c r="H665" s="294"/>
      <c r="I665" s="294"/>
      <c r="J665" s="294"/>
      <c r="L665" s="295"/>
      <c r="M665" s="294"/>
      <c r="S665" s="294"/>
      <c r="T665" s="299"/>
      <c r="U665" s="294"/>
      <c r="V665" s="299"/>
      <c r="W665" s="299"/>
      <c r="X665" s="294"/>
      <c r="Y665" s="299"/>
      <c r="Z665" s="294"/>
      <c r="AA665" s="299"/>
      <c r="AB665" s="299"/>
      <c r="AC665" s="294"/>
      <c r="AD665" s="294"/>
      <c r="AE665" s="294"/>
      <c r="AF665" s="294"/>
    </row>
    <row r="666" spans="2:32" x14ac:dyDescent="0.25">
      <c r="B666" s="294"/>
      <c r="C666" s="294"/>
      <c r="D666" s="294"/>
      <c r="E666" s="294"/>
      <c r="F666" s="294"/>
      <c r="G666" s="294"/>
      <c r="H666" s="294"/>
      <c r="I666" s="294"/>
      <c r="J666" s="294"/>
      <c r="L666" s="295"/>
      <c r="M666" s="294"/>
      <c r="S666" s="294"/>
      <c r="T666" s="299"/>
      <c r="U666" s="294"/>
      <c r="V666" s="299"/>
      <c r="W666" s="299"/>
      <c r="X666" s="294"/>
      <c r="Y666" s="299"/>
      <c r="Z666" s="294"/>
      <c r="AA666" s="299"/>
      <c r="AB666" s="299"/>
      <c r="AC666" s="294"/>
      <c r="AD666" s="294"/>
      <c r="AE666" s="294"/>
      <c r="AF666" s="294"/>
    </row>
    <row r="667" spans="2:32" x14ac:dyDescent="0.25">
      <c r="B667" s="294"/>
      <c r="C667" s="294"/>
      <c r="D667" s="294"/>
      <c r="E667" s="294"/>
      <c r="F667" s="294"/>
      <c r="G667" s="294"/>
      <c r="H667" s="294"/>
      <c r="I667" s="294"/>
      <c r="J667" s="294"/>
      <c r="L667" s="295"/>
      <c r="M667" s="294"/>
      <c r="S667" s="294"/>
      <c r="T667" s="299"/>
      <c r="U667" s="294"/>
      <c r="V667" s="299"/>
      <c r="W667" s="299"/>
      <c r="X667" s="294"/>
      <c r="Y667" s="299"/>
      <c r="Z667" s="294"/>
      <c r="AA667" s="299"/>
      <c r="AB667" s="299"/>
      <c r="AC667" s="294"/>
      <c r="AD667" s="294"/>
      <c r="AE667" s="294"/>
      <c r="AF667" s="294"/>
    </row>
    <row r="668" spans="2:32" x14ac:dyDescent="0.25">
      <c r="B668" s="294"/>
      <c r="C668" s="294"/>
      <c r="D668" s="294"/>
      <c r="E668" s="294"/>
      <c r="F668" s="294"/>
      <c r="G668" s="294"/>
      <c r="H668" s="294"/>
      <c r="I668" s="294"/>
      <c r="J668" s="294"/>
      <c r="L668" s="295"/>
      <c r="M668" s="294"/>
      <c r="S668" s="294"/>
      <c r="T668" s="299"/>
      <c r="U668" s="294"/>
      <c r="V668" s="299"/>
      <c r="W668" s="299"/>
      <c r="X668" s="294"/>
      <c r="Y668" s="299"/>
      <c r="Z668" s="294"/>
      <c r="AA668" s="299"/>
      <c r="AB668" s="299"/>
      <c r="AC668" s="294"/>
      <c r="AD668" s="294"/>
      <c r="AE668" s="294"/>
      <c r="AF668" s="294"/>
    </row>
    <row r="669" spans="2:32" x14ac:dyDescent="0.25">
      <c r="B669" s="294"/>
      <c r="C669" s="294"/>
      <c r="D669" s="294"/>
      <c r="E669" s="294"/>
      <c r="F669" s="294"/>
      <c r="G669" s="294"/>
      <c r="H669" s="294"/>
      <c r="I669" s="294"/>
      <c r="J669" s="294"/>
      <c r="L669" s="295"/>
      <c r="M669" s="294"/>
      <c r="S669" s="294"/>
      <c r="T669" s="299"/>
      <c r="U669" s="294"/>
      <c r="V669" s="299"/>
      <c r="W669" s="299"/>
      <c r="X669" s="294"/>
      <c r="Y669" s="299"/>
      <c r="Z669" s="294"/>
      <c r="AA669" s="299"/>
      <c r="AB669" s="299"/>
      <c r="AC669" s="294"/>
      <c r="AD669" s="294"/>
      <c r="AE669" s="294"/>
      <c r="AF669" s="294"/>
    </row>
    <row r="670" spans="2:32" x14ac:dyDescent="0.25">
      <c r="B670" s="294"/>
      <c r="C670" s="294"/>
      <c r="D670" s="294"/>
      <c r="E670" s="294"/>
      <c r="F670" s="294"/>
      <c r="G670" s="294"/>
      <c r="H670" s="294"/>
      <c r="I670" s="294"/>
      <c r="J670" s="294"/>
      <c r="L670" s="295"/>
      <c r="M670" s="294"/>
      <c r="S670" s="294"/>
      <c r="T670" s="299"/>
      <c r="U670" s="294"/>
      <c r="V670" s="299"/>
      <c r="W670" s="299"/>
      <c r="X670" s="294"/>
      <c r="Y670" s="299"/>
      <c r="Z670" s="294"/>
      <c r="AA670" s="299"/>
      <c r="AB670" s="299"/>
      <c r="AC670" s="294"/>
      <c r="AD670" s="294"/>
      <c r="AE670" s="294"/>
      <c r="AF670" s="294"/>
    </row>
    <row r="671" spans="2:32" x14ac:dyDescent="0.25">
      <c r="B671" s="294"/>
      <c r="C671" s="294"/>
      <c r="D671" s="294"/>
      <c r="E671" s="294"/>
      <c r="F671" s="294"/>
      <c r="G671" s="294"/>
      <c r="H671" s="294"/>
      <c r="I671" s="294"/>
      <c r="J671" s="294"/>
      <c r="L671" s="295"/>
      <c r="M671" s="294"/>
      <c r="S671" s="294"/>
      <c r="T671" s="299"/>
      <c r="U671" s="294"/>
      <c r="V671" s="299"/>
      <c r="W671" s="299"/>
      <c r="X671" s="294"/>
      <c r="Y671" s="299"/>
      <c r="Z671" s="294"/>
      <c r="AA671" s="299"/>
      <c r="AB671" s="299"/>
      <c r="AC671" s="294"/>
      <c r="AD671" s="294"/>
      <c r="AE671" s="294"/>
      <c r="AF671" s="294"/>
    </row>
    <row r="672" spans="2:32" x14ac:dyDescent="0.25">
      <c r="B672" s="294"/>
      <c r="C672" s="294"/>
      <c r="D672" s="294"/>
      <c r="E672" s="294"/>
      <c r="F672" s="294"/>
      <c r="G672" s="294"/>
      <c r="H672" s="294"/>
      <c r="I672" s="294"/>
      <c r="J672" s="294"/>
      <c r="L672" s="295"/>
      <c r="M672" s="294"/>
      <c r="S672" s="294"/>
      <c r="T672" s="299"/>
      <c r="U672" s="294"/>
      <c r="V672" s="299"/>
      <c r="W672" s="299"/>
      <c r="X672" s="294"/>
      <c r="Y672" s="299"/>
      <c r="Z672" s="294"/>
      <c r="AA672" s="299"/>
      <c r="AB672" s="299"/>
      <c r="AC672" s="294"/>
      <c r="AD672" s="294"/>
      <c r="AE672" s="294"/>
      <c r="AF672" s="294"/>
    </row>
    <row r="673" spans="2:32" x14ac:dyDescent="0.25">
      <c r="B673" s="294"/>
      <c r="C673" s="294"/>
      <c r="D673" s="294"/>
      <c r="E673" s="294"/>
      <c r="F673" s="294"/>
      <c r="G673" s="294"/>
      <c r="H673" s="294"/>
      <c r="I673" s="294"/>
      <c r="J673" s="294"/>
      <c r="L673" s="295"/>
      <c r="M673" s="294"/>
      <c r="S673" s="294"/>
      <c r="T673" s="299"/>
      <c r="U673" s="294"/>
      <c r="V673" s="299"/>
      <c r="W673" s="299"/>
      <c r="X673" s="294"/>
      <c r="Y673" s="299"/>
      <c r="Z673" s="294"/>
      <c r="AA673" s="299"/>
      <c r="AB673" s="299"/>
      <c r="AC673" s="294"/>
      <c r="AD673" s="294"/>
      <c r="AE673" s="294"/>
      <c r="AF673" s="294"/>
    </row>
    <row r="674" spans="2:32" x14ac:dyDescent="0.25">
      <c r="B674" s="294"/>
      <c r="C674" s="294"/>
      <c r="D674" s="294"/>
      <c r="E674" s="294"/>
      <c r="F674" s="294"/>
      <c r="G674" s="294"/>
      <c r="H674" s="294"/>
      <c r="I674" s="294"/>
      <c r="J674" s="294"/>
      <c r="L674" s="295"/>
      <c r="M674" s="294"/>
      <c r="S674" s="294"/>
      <c r="T674" s="299"/>
      <c r="U674" s="294"/>
      <c r="V674" s="299"/>
      <c r="W674" s="299"/>
      <c r="X674" s="294"/>
      <c r="Y674" s="299"/>
      <c r="Z674" s="294"/>
      <c r="AA674" s="299"/>
      <c r="AB674" s="299"/>
      <c r="AC674" s="294"/>
      <c r="AD674" s="294"/>
      <c r="AE674" s="294"/>
      <c r="AF674" s="294"/>
    </row>
    <row r="675" spans="2:32" x14ac:dyDescent="0.25">
      <c r="B675" s="294"/>
      <c r="C675" s="294"/>
      <c r="D675" s="294"/>
      <c r="E675" s="294"/>
      <c r="F675" s="294"/>
      <c r="G675" s="294"/>
      <c r="H675" s="294"/>
      <c r="I675" s="294"/>
      <c r="J675" s="294"/>
      <c r="L675" s="295"/>
      <c r="M675" s="294"/>
      <c r="S675" s="294"/>
      <c r="T675" s="299"/>
      <c r="U675" s="294"/>
      <c r="V675" s="299"/>
      <c r="W675" s="299"/>
      <c r="X675" s="294"/>
      <c r="Y675" s="299"/>
      <c r="Z675" s="294"/>
      <c r="AA675" s="299"/>
      <c r="AB675" s="299"/>
      <c r="AC675" s="294"/>
      <c r="AD675" s="294"/>
      <c r="AE675" s="294"/>
      <c r="AF675" s="294"/>
    </row>
    <row r="676" spans="2:32" x14ac:dyDescent="0.25">
      <c r="B676" s="294"/>
      <c r="C676" s="294"/>
      <c r="D676" s="294"/>
      <c r="E676" s="294"/>
      <c r="F676" s="294"/>
      <c r="G676" s="294"/>
      <c r="H676" s="294"/>
      <c r="I676" s="294"/>
      <c r="J676" s="294"/>
      <c r="L676" s="295"/>
      <c r="M676" s="294"/>
      <c r="S676" s="294"/>
      <c r="T676" s="299"/>
      <c r="U676" s="294"/>
      <c r="V676" s="299"/>
      <c r="W676" s="299"/>
      <c r="X676" s="294"/>
      <c r="Y676" s="299"/>
      <c r="Z676" s="294"/>
      <c r="AA676" s="299"/>
      <c r="AB676" s="299"/>
      <c r="AC676" s="294"/>
      <c r="AD676" s="294"/>
      <c r="AE676" s="294"/>
      <c r="AF676" s="294"/>
    </row>
    <row r="677" spans="2:32" x14ac:dyDescent="0.25">
      <c r="B677" s="294"/>
      <c r="C677" s="294"/>
      <c r="D677" s="294"/>
      <c r="E677" s="294"/>
      <c r="F677" s="294"/>
      <c r="G677" s="294"/>
      <c r="H677" s="294"/>
      <c r="I677" s="294"/>
      <c r="J677" s="294"/>
      <c r="L677" s="295"/>
      <c r="M677" s="294"/>
      <c r="S677" s="294"/>
      <c r="T677" s="299"/>
      <c r="U677" s="294"/>
      <c r="V677" s="299"/>
      <c r="W677" s="299"/>
      <c r="X677" s="294"/>
      <c r="Y677" s="299"/>
      <c r="Z677" s="294"/>
      <c r="AA677" s="299"/>
      <c r="AB677" s="299"/>
      <c r="AC677" s="294"/>
      <c r="AD677" s="294"/>
      <c r="AE677" s="294"/>
      <c r="AF677" s="294"/>
    </row>
    <row r="678" spans="2:32" x14ac:dyDescent="0.25">
      <c r="B678" s="294"/>
      <c r="C678" s="294"/>
      <c r="D678" s="294"/>
      <c r="E678" s="294"/>
      <c r="F678" s="294"/>
      <c r="G678" s="294"/>
      <c r="H678" s="294"/>
      <c r="I678" s="294"/>
      <c r="J678" s="294"/>
      <c r="L678" s="295"/>
      <c r="M678" s="294"/>
      <c r="S678" s="294"/>
      <c r="T678" s="299"/>
      <c r="U678" s="294"/>
      <c r="V678" s="299"/>
      <c r="W678" s="299"/>
      <c r="X678" s="294"/>
      <c r="Y678" s="299"/>
      <c r="Z678" s="294"/>
      <c r="AA678" s="299"/>
      <c r="AB678" s="299"/>
      <c r="AC678" s="294"/>
      <c r="AD678" s="294"/>
      <c r="AE678" s="294"/>
      <c r="AF678" s="294"/>
    </row>
    <row r="679" spans="2:32" x14ac:dyDescent="0.25">
      <c r="B679" s="294"/>
      <c r="C679" s="294"/>
      <c r="D679" s="294"/>
      <c r="E679" s="294"/>
      <c r="F679" s="294"/>
      <c r="G679" s="294"/>
      <c r="H679" s="294"/>
      <c r="I679" s="294"/>
      <c r="J679" s="294"/>
      <c r="L679" s="295"/>
      <c r="M679" s="294"/>
      <c r="S679" s="294"/>
      <c r="T679" s="299"/>
      <c r="U679" s="294"/>
      <c r="V679" s="299"/>
      <c r="W679" s="299"/>
      <c r="X679" s="294"/>
      <c r="Y679" s="299"/>
      <c r="Z679" s="294"/>
      <c r="AA679" s="299"/>
      <c r="AB679" s="299"/>
      <c r="AC679" s="294"/>
      <c r="AD679" s="294"/>
      <c r="AE679" s="294"/>
      <c r="AF679" s="294"/>
    </row>
    <row r="680" spans="2:32" x14ac:dyDescent="0.25">
      <c r="B680" s="294"/>
      <c r="C680" s="294"/>
      <c r="D680" s="294"/>
      <c r="E680" s="294"/>
      <c r="F680" s="294"/>
      <c r="G680" s="294"/>
      <c r="H680" s="294"/>
      <c r="I680" s="294"/>
      <c r="J680" s="294"/>
      <c r="L680" s="295"/>
      <c r="M680" s="294"/>
      <c r="S680" s="294"/>
      <c r="T680" s="299"/>
      <c r="U680" s="294"/>
      <c r="V680" s="299"/>
      <c r="W680" s="299"/>
      <c r="X680" s="294"/>
      <c r="Y680" s="299"/>
      <c r="Z680" s="294"/>
      <c r="AA680" s="299"/>
      <c r="AB680" s="299"/>
      <c r="AC680" s="294"/>
      <c r="AD680" s="294"/>
      <c r="AE680" s="294"/>
      <c r="AF680" s="294"/>
    </row>
    <row r="681" spans="2:32" x14ac:dyDescent="0.25">
      <c r="B681" s="294"/>
      <c r="C681" s="294"/>
      <c r="D681" s="294"/>
      <c r="E681" s="294"/>
      <c r="F681" s="294"/>
      <c r="G681" s="294"/>
      <c r="H681" s="294"/>
      <c r="I681" s="294"/>
      <c r="J681" s="294"/>
      <c r="L681" s="295"/>
      <c r="M681" s="294"/>
      <c r="S681" s="294"/>
      <c r="T681" s="299"/>
      <c r="U681" s="294"/>
      <c r="V681" s="299"/>
      <c r="W681" s="299"/>
      <c r="X681" s="294"/>
      <c r="Y681" s="299"/>
      <c r="Z681" s="294"/>
      <c r="AA681" s="299"/>
      <c r="AB681" s="299"/>
      <c r="AC681" s="294"/>
      <c r="AD681" s="294"/>
      <c r="AE681" s="294"/>
      <c r="AF681" s="294"/>
    </row>
    <row r="682" spans="2:32" x14ac:dyDescent="0.25">
      <c r="B682" s="294"/>
      <c r="C682" s="294"/>
      <c r="D682" s="294"/>
      <c r="E682" s="294"/>
      <c r="F682" s="294"/>
      <c r="G682" s="294"/>
      <c r="H682" s="294"/>
      <c r="I682" s="294"/>
      <c r="J682" s="294"/>
      <c r="L682" s="295"/>
      <c r="M682" s="294"/>
      <c r="S682" s="294"/>
      <c r="T682" s="299"/>
      <c r="U682" s="294"/>
      <c r="V682" s="299"/>
      <c r="W682" s="299"/>
      <c r="X682" s="294"/>
      <c r="Y682" s="299"/>
      <c r="Z682" s="294"/>
      <c r="AA682" s="299"/>
      <c r="AB682" s="299"/>
      <c r="AC682" s="294"/>
      <c r="AD682" s="294"/>
      <c r="AE682" s="294"/>
      <c r="AF682" s="294"/>
    </row>
    <row r="683" spans="2:32" x14ac:dyDescent="0.25">
      <c r="B683" s="294"/>
      <c r="C683" s="294"/>
      <c r="D683" s="294"/>
      <c r="E683" s="294"/>
      <c r="F683" s="294"/>
      <c r="G683" s="294"/>
      <c r="H683" s="294"/>
      <c r="I683" s="294"/>
      <c r="J683" s="294"/>
      <c r="L683" s="295"/>
      <c r="M683" s="294"/>
      <c r="S683" s="294"/>
      <c r="T683" s="299"/>
      <c r="U683" s="294"/>
      <c r="V683" s="299"/>
      <c r="W683" s="299"/>
      <c r="X683" s="294"/>
      <c r="Y683" s="299"/>
      <c r="Z683" s="294"/>
      <c r="AA683" s="299"/>
      <c r="AB683" s="299"/>
      <c r="AC683" s="294"/>
      <c r="AD683" s="294"/>
      <c r="AE683" s="294"/>
      <c r="AF683" s="294"/>
    </row>
    <row r="684" spans="2:32" x14ac:dyDescent="0.25">
      <c r="B684" s="294"/>
      <c r="C684" s="294"/>
      <c r="D684" s="294"/>
      <c r="E684" s="294"/>
      <c r="F684" s="294"/>
      <c r="G684" s="294"/>
      <c r="H684" s="294"/>
      <c r="I684" s="294"/>
      <c r="J684" s="294"/>
      <c r="L684" s="295"/>
      <c r="M684" s="294"/>
      <c r="S684" s="294"/>
      <c r="T684" s="299"/>
      <c r="U684" s="294"/>
      <c r="V684" s="299"/>
      <c r="W684" s="299"/>
      <c r="X684" s="294"/>
      <c r="Y684" s="299"/>
      <c r="Z684" s="294"/>
      <c r="AA684" s="299"/>
      <c r="AB684" s="299"/>
      <c r="AC684" s="294"/>
      <c r="AD684" s="294"/>
      <c r="AE684" s="294"/>
      <c r="AF684" s="294"/>
    </row>
    <row r="685" spans="2:32" x14ac:dyDescent="0.25">
      <c r="B685" s="294"/>
      <c r="C685" s="294"/>
      <c r="D685" s="294"/>
      <c r="E685" s="294"/>
      <c r="F685" s="294"/>
      <c r="G685" s="294"/>
      <c r="H685" s="294"/>
      <c r="I685" s="294"/>
      <c r="J685" s="294"/>
      <c r="L685" s="295"/>
      <c r="M685" s="294"/>
      <c r="S685" s="294"/>
      <c r="T685" s="299"/>
      <c r="U685" s="294"/>
      <c r="V685" s="299"/>
      <c r="W685" s="299"/>
      <c r="X685" s="294"/>
      <c r="Y685" s="299"/>
      <c r="Z685" s="294"/>
      <c r="AA685" s="299"/>
      <c r="AB685" s="299"/>
      <c r="AC685" s="294"/>
      <c r="AD685" s="294"/>
      <c r="AE685" s="294"/>
      <c r="AF685" s="294"/>
    </row>
    <row r="686" spans="2:32" x14ac:dyDescent="0.25">
      <c r="B686" s="294"/>
      <c r="C686" s="294"/>
      <c r="D686" s="294"/>
      <c r="E686" s="294"/>
      <c r="F686" s="294"/>
      <c r="G686" s="294"/>
      <c r="H686" s="294"/>
      <c r="I686" s="294"/>
      <c r="J686" s="294"/>
      <c r="L686" s="295"/>
      <c r="M686" s="294"/>
      <c r="S686" s="294"/>
      <c r="T686" s="299"/>
      <c r="U686" s="294"/>
      <c r="V686" s="299"/>
      <c r="W686" s="299"/>
      <c r="X686" s="294"/>
      <c r="Y686" s="299"/>
      <c r="Z686" s="294"/>
      <c r="AA686" s="299"/>
      <c r="AB686" s="299"/>
      <c r="AC686" s="294"/>
      <c r="AD686" s="294"/>
      <c r="AE686" s="294"/>
      <c r="AF686" s="294"/>
    </row>
    <row r="687" spans="2:32" x14ac:dyDescent="0.25">
      <c r="B687" s="294"/>
      <c r="C687" s="294"/>
      <c r="D687" s="294"/>
      <c r="E687" s="294"/>
      <c r="F687" s="294"/>
      <c r="G687" s="294"/>
      <c r="H687" s="294"/>
      <c r="I687" s="294"/>
      <c r="J687" s="294"/>
      <c r="L687" s="295"/>
      <c r="M687" s="294"/>
      <c r="S687" s="294"/>
      <c r="T687" s="299"/>
      <c r="U687" s="294"/>
      <c r="V687" s="299"/>
      <c r="W687" s="299"/>
      <c r="X687" s="294"/>
      <c r="Y687" s="299"/>
      <c r="Z687" s="294"/>
      <c r="AA687" s="299"/>
      <c r="AB687" s="299"/>
      <c r="AC687" s="294"/>
      <c r="AD687" s="294"/>
      <c r="AE687" s="294"/>
      <c r="AF687" s="294"/>
    </row>
    <row r="688" spans="2:32" x14ac:dyDescent="0.25">
      <c r="B688" s="294"/>
      <c r="C688" s="294"/>
      <c r="D688" s="294"/>
      <c r="E688" s="294"/>
      <c r="F688" s="294"/>
      <c r="G688" s="294"/>
      <c r="H688" s="294"/>
      <c r="I688" s="294"/>
      <c r="J688" s="294"/>
      <c r="L688" s="295"/>
      <c r="M688" s="294"/>
      <c r="S688" s="294"/>
      <c r="T688" s="299"/>
      <c r="U688" s="294"/>
      <c r="V688" s="299"/>
      <c r="W688" s="299"/>
      <c r="X688" s="294"/>
      <c r="Y688" s="299"/>
      <c r="Z688" s="294"/>
      <c r="AA688" s="299"/>
      <c r="AB688" s="299"/>
      <c r="AC688" s="294"/>
      <c r="AD688" s="294"/>
      <c r="AE688" s="294"/>
      <c r="AF688" s="294"/>
    </row>
    <row r="689" spans="2:32" x14ac:dyDescent="0.25">
      <c r="B689" s="294"/>
      <c r="C689" s="294"/>
      <c r="D689" s="294"/>
      <c r="E689" s="294"/>
      <c r="F689" s="294"/>
      <c r="G689" s="294"/>
      <c r="H689" s="294"/>
      <c r="I689" s="294"/>
      <c r="J689" s="294"/>
      <c r="L689" s="295"/>
      <c r="M689" s="294"/>
      <c r="S689" s="294"/>
      <c r="T689" s="299"/>
      <c r="U689" s="294"/>
      <c r="V689" s="299"/>
      <c r="W689" s="299"/>
      <c r="X689" s="294"/>
      <c r="Y689" s="299"/>
      <c r="Z689" s="294"/>
      <c r="AA689" s="299"/>
      <c r="AB689" s="299"/>
      <c r="AC689" s="294"/>
      <c r="AD689" s="294"/>
      <c r="AE689" s="294"/>
      <c r="AF689" s="294"/>
    </row>
    <row r="690" spans="2:32" x14ac:dyDescent="0.25">
      <c r="B690" s="294"/>
      <c r="C690" s="294"/>
      <c r="D690" s="294"/>
      <c r="E690" s="294"/>
      <c r="F690" s="294"/>
      <c r="G690" s="294"/>
      <c r="H690" s="294"/>
      <c r="I690" s="294"/>
      <c r="J690" s="294"/>
      <c r="L690" s="295"/>
      <c r="M690" s="294"/>
      <c r="S690" s="294"/>
      <c r="T690" s="299"/>
      <c r="U690" s="294"/>
      <c r="V690" s="299"/>
      <c r="W690" s="299"/>
      <c r="X690" s="294"/>
      <c r="Y690" s="299"/>
      <c r="Z690" s="294"/>
      <c r="AA690" s="299"/>
      <c r="AB690" s="299"/>
      <c r="AC690" s="294"/>
      <c r="AD690" s="294"/>
      <c r="AE690" s="294"/>
      <c r="AF690" s="294"/>
    </row>
    <row r="691" spans="2:32" x14ac:dyDescent="0.25">
      <c r="B691" s="294"/>
      <c r="C691" s="294"/>
      <c r="D691" s="294"/>
      <c r="E691" s="294"/>
      <c r="F691" s="294"/>
      <c r="G691" s="294"/>
      <c r="H691" s="294"/>
      <c r="I691" s="294"/>
      <c r="J691" s="294"/>
      <c r="L691" s="295"/>
      <c r="M691" s="294"/>
      <c r="S691" s="294"/>
      <c r="T691" s="299"/>
      <c r="U691" s="294"/>
      <c r="V691" s="299"/>
      <c r="W691" s="299"/>
      <c r="X691" s="294"/>
      <c r="Y691" s="299"/>
      <c r="Z691" s="294"/>
      <c r="AA691" s="299"/>
      <c r="AB691" s="299"/>
      <c r="AC691" s="294"/>
      <c r="AD691" s="294"/>
      <c r="AE691" s="294"/>
      <c r="AF691" s="294"/>
    </row>
    <row r="692" spans="2:32" x14ac:dyDescent="0.25">
      <c r="B692" s="294"/>
      <c r="C692" s="294"/>
      <c r="D692" s="294"/>
      <c r="E692" s="294"/>
      <c r="F692" s="294"/>
      <c r="G692" s="294"/>
      <c r="H692" s="294"/>
      <c r="I692" s="294"/>
      <c r="J692" s="294"/>
      <c r="L692" s="295"/>
      <c r="M692" s="294"/>
      <c r="S692" s="294"/>
      <c r="T692" s="299"/>
      <c r="U692" s="294"/>
      <c r="V692" s="299"/>
      <c r="W692" s="299"/>
      <c r="X692" s="294"/>
      <c r="Y692" s="299"/>
      <c r="Z692" s="294"/>
      <c r="AA692" s="299"/>
      <c r="AB692" s="299"/>
      <c r="AC692" s="294"/>
      <c r="AD692" s="294"/>
      <c r="AE692" s="294"/>
      <c r="AF692" s="294"/>
    </row>
    <row r="693" spans="2:32" x14ac:dyDescent="0.25">
      <c r="B693" s="294"/>
      <c r="C693" s="294"/>
      <c r="D693" s="294"/>
      <c r="E693" s="294"/>
      <c r="F693" s="294"/>
      <c r="G693" s="294"/>
      <c r="H693" s="294"/>
      <c r="I693" s="294"/>
      <c r="J693" s="294"/>
      <c r="L693" s="295"/>
      <c r="M693" s="294"/>
      <c r="S693" s="294"/>
      <c r="T693" s="299"/>
      <c r="U693" s="294"/>
      <c r="V693" s="299"/>
      <c r="W693" s="299"/>
      <c r="X693" s="294"/>
      <c r="Y693" s="299"/>
      <c r="Z693" s="294"/>
      <c r="AA693" s="299"/>
      <c r="AB693" s="299"/>
      <c r="AC693" s="294"/>
      <c r="AD693" s="294"/>
      <c r="AE693" s="294"/>
      <c r="AF693" s="294"/>
    </row>
    <row r="694" spans="2:32" x14ac:dyDescent="0.25">
      <c r="B694" s="294"/>
      <c r="C694" s="294"/>
      <c r="D694" s="294"/>
      <c r="E694" s="294"/>
      <c r="F694" s="294"/>
      <c r="G694" s="294"/>
      <c r="H694" s="294"/>
      <c r="I694" s="294"/>
      <c r="J694" s="294"/>
      <c r="L694" s="295"/>
      <c r="M694" s="294"/>
      <c r="S694" s="294"/>
      <c r="T694" s="299"/>
      <c r="U694" s="294"/>
      <c r="V694" s="299"/>
      <c r="W694" s="299"/>
      <c r="X694" s="294"/>
      <c r="Y694" s="299"/>
      <c r="Z694" s="294"/>
      <c r="AA694" s="299"/>
      <c r="AB694" s="299"/>
      <c r="AC694" s="294"/>
      <c r="AD694" s="294"/>
      <c r="AE694" s="294"/>
      <c r="AF694" s="294"/>
    </row>
    <row r="695" spans="2:32" x14ac:dyDescent="0.25">
      <c r="B695" s="294"/>
      <c r="C695" s="294"/>
      <c r="D695" s="294"/>
      <c r="E695" s="294"/>
      <c r="F695" s="294"/>
      <c r="G695" s="294"/>
      <c r="H695" s="294"/>
      <c r="I695" s="294"/>
      <c r="J695" s="294"/>
      <c r="L695" s="295"/>
      <c r="M695" s="294"/>
      <c r="S695" s="294"/>
      <c r="T695" s="299"/>
      <c r="U695" s="294"/>
      <c r="V695" s="299"/>
      <c r="W695" s="299"/>
      <c r="X695" s="294"/>
      <c r="Y695" s="299"/>
      <c r="Z695" s="294"/>
      <c r="AA695" s="299"/>
      <c r="AB695" s="299"/>
      <c r="AC695" s="294"/>
      <c r="AD695" s="294"/>
      <c r="AE695" s="294"/>
      <c r="AF695" s="294"/>
    </row>
    <row r="696" spans="2:32" x14ac:dyDescent="0.25">
      <c r="B696" s="294"/>
      <c r="C696" s="294"/>
      <c r="D696" s="294"/>
      <c r="E696" s="294"/>
      <c r="F696" s="294"/>
      <c r="G696" s="294"/>
      <c r="H696" s="294"/>
      <c r="I696" s="294"/>
      <c r="J696" s="294"/>
      <c r="L696" s="295"/>
      <c r="M696" s="294"/>
      <c r="S696" s="294"/>
      <c r="T696" s="299"/>
      <c r="U696" s="294"/>
      <c r="V696" s="299"/>
      <c r="W696" s="299"/>
      <c r="X696" s="294"/>
      <c r="Y696" s="299"/>
      <c r="Z696" s="294"/>
      <c r="AA696" s="299"/>
      <c r="AB696" s="299"/>
      <c r="AC696" s="294"/>
      <c r="AD696" s="294"/>
      <c r="AE696" s="294"/>
      <c r="AF696" s="294"/>
    </row>
    <row r="697" spans="2:32" x14ac:dyDescent="0.25">
      <c r="B697" s="294"/>
      <c r="C697" s="294"/>
      <c r="D697" s="294"/>
      <c r="E697" s="294"/>
      <c r="F697" s="294"/>
      <c r="G697" s="294"/>
      <c r="H697" s="294"/>
      <c r="I697" s="294"/>
      <c r="J697" s="294"/>
      <c r="L697" s="295"/>
      <c r="M697" s="294"/>
      <c r="S697" s="294"/>
      <c r="T697" s="299"/>
      <c r="U697" s="294"/>
      <c r="V697" s="299"/>
      <c r="W697" s="299"/>
      <c r="X697" s="294"/>
      <c r="Y697" s="299"/>
      <c r="Z697" s="294"/>
      <c r="AA697" s="299"/>
      <c r="AB697" s="299"/>
      <c r="AC697" s="294"/>
      <c r="AD697" s="294"/>
      <c r="AE697" s="294"/>
      <c r="AF697" s="294"/>
    </row>
    <row r="698" spans="2:32" x14ac:dyDescent="0.25">
      <c r="B698" s="294"/>
      <c r="C698" s="294"/>
      <c r="D698" s="294"/>
      <c r="E698" s="294"/>
      <c r="F698" s="294"/>
      <c r="G698" s="294"/>
      <c r="H698" s="294"/>
      <c r="I698" s="294"/>
      <c r="J698" s="294"/>
      <c r="L698" s="295"/>
      <c r="M698" s="294"/>
      <c r="S698" s="294"/>
      <c r="T698" s="299"/>
      <c r="U698" s="294"/>
      <c r="V698" s="299"/>
      <c r="W698" s="299"/>
      <c r="X698" s="294"/>
      <c r="Y698" s="299"/>
      <c r="Z698" s="294"/>
      <c r="AA698" s="299"/>
      <c r="AB698" s="299"/>
      <c r="AC698" s="294"/>
      <c r="AD698" s="294"/>
      <c r="AE698" s="294"/>
      <c r="AF698" s="294"/>
    </row>
    <row r="699" spans="2:32" x14ac:dyDescent="0.25">
      <c r="B699" s="294"/>
      <c r="C699" s="294"/>
      <c r="D699" s="294"/>
      <c r="E699" s="294"/>
      <c r="F699" s="294"/>
      <c r="G699" s="294"/>
      <c r="H699" s="294"/>
      <c r="I699" s="294"/>
      <c r="J699" s="294"/>
      <c r="L699" s="295"/>
      <c r="M699" s="294"/>
      <c r="S699" s="294"/>
      <c r="T699" s="299"/>
      <c r="U699" s="294"/>
      <c r="V699" s="299"/>
      <c r="W699" s="299"/>
      <c r="X699" s="294"/>
      <c r="Y699" s="299"/>
      <c r="Z699" s="294"/>
      <c r="AA699" s="299"/>
      <c r="AB699" s="299"/>
      <c r="AC699" s="294"/>
      <c r="AD699" s="294"/>
      <c r="AE699" s="294"/>
      <c r="AF699" s="294"/>
    </row>
    <row r="700" spans="2:32" x14ac:dyDescent="0.25">
      <c r="B700" s="294"/>
      <c r="C700" s="294"/>
      <c r="D700" s="294"/>
      <c r="E700" s="294"/>
      <c r="F700" s="294"/>
      <c r="G700" s="294"/>
      <c r="H700" s="294"/>
      <c r="I700" s="294"/>
      <c r="J700" s="294"/>
      <c r="L700" s="295"/>
      <c r="M700" s="294"/>
      <c r="S700" s="294"/>
      <c r="T700" s="299"/>
      <c r="U700" s="294"/>
      <c r="V700" s="299"/>
      <c r="W700" s="299"/>
      <c r="X700" s="294"/>
      <c r="Y700" s="299"/>
      <c r="Z700" s="294"/>
      <c r="AA700" s="299"/>
      <c r="AB700" s="299"/>
      <c r="AC700" s="294"/>
      <c r="AD700" s="294"/>
      <c r="AE700" s="294"/>
      <c r="AF700" s="294"/>
    </row>
    <row r="701" spans="2:32" x14ac:dyDescent="0.25">
      <c r="B701" s="294"/>
      <c r="C701" s="294"/>
      <c r="D701" s="294"/>
      <c r="E701" s="294"/>
      <c r="F701" s="294"/>
      <c r="G701" s="294"/>
      <c r="H701" s="294"/>
      <c r="I701" s="294"/>
      <c r="J701" s="294"/>
      <c r="L701" s="295"/>
      <c r="M701" s="294"/>
      <c r="S701" s="294"/>
      <c r="T701" s="299"/>
      <c r="U701" s="294"/>
      <c r="V701" s="299"/>
      <c r="W701" s="299"/>
      <c r="X701" s="294"/>
      <c r="Y701" s="299"/>
      <c r="Z701" s="294"/>
      <c r="AA701" s="299"/>
      <c r="AB701" s="299"/>
      <c r="AC701" s="294"/>
      <c r="AD701" s="294"/>
      <c r="AE701" s="294"/>
      <c r="AF701" s="294"/>
    </row>
    <row r="702" spans="2:32" x14ac:dyDescent="0.25">
      <c r="B702" s="294"/>
      <c r="C702" s="294"/>
      <c r="D702" s="294"/>
      <c r="E702" s="294"/>
      <c r="F702" s="294"/>
      <c r="G702" s="294"/>
      <c r="H702" s="294"/>
      <c r="I702" s="294"/>
      <c r="J702" s="294"/>
      <c r="L702" s="295"/>
      <c r="M702" s="294"/>
      <c r="S702" s="294"/>
      <c r="T702" s="299"/>
      <c r="U702" s="294"/>
      <c r="V702" s="299"/>
      <c r="W702" s="299"/>
      <c r="X702" s="294"/>
      <c r="Y702" s="299"/>
      <c r="Z702" s="294"/>
      <c r="AA702" s="299"/>
      <c r="AB702" s="299"/>
      <c r="AC702" s="294"/>
      <c r="AD702" s="294"/>
      <c r="AE702" s="294"/>
      <c r="AF702" s="294"/>
    </row>
    <row r="703" spans="2:32" x14ac:dyDescent="0.25">
      <c r="B703" s="294"/>
      <c r="C703" s="294"/>
      <c r="D703" s="294"/>
      <c r="E703" s="294"/>
      <c r="F703" s="294"/>
      <c r="G703" s="294"/>
      <c r="H703" s="294"/>
      <c r="I703" s="294"/>
      <c r="J703" s="294"/>
      <c r="L703" s="295"/>
      <c r="M703" s="294"/>
      <c r="S703" s="294"/>
      <c r="T703" s="299"/>
      <c r="U703" s="294"/>
      <c r="V703" s="299"/>
      <c r="W703" s="299"/>
      <c r="X703" s="294"/>
      <c r="Y703" s="299"/>
      <c r="Z703" s="294"/>
      <c r="AA703" s="299"/>
      <c r="AB703" s="299"/>
      <c r="AC703" s="294"/>
      <c r="AD703" s="294"/>
      <c r="AE703" s="294"/>
      <c r="AF703" s="294"/>
    </row>
    <row r="704" spans="2:32" x14ac:dyDescent="0.25">
      <c r="B704" s="294"/>
      <c r="C704" s="294"/>
      <c r="D704" s="294"/>
      <c r="E704" s="294"/>
      <c r="F704" s="294"/>
      <c r="G704" s="294"/>
      <c r="H704" s="294"/>
      <c r="I704" s="294"/>
      <c r="J704" s="294"/>
      <c r="L704" s="295"/>
      <c r="M704" s="294"/>
      <c r="S704" s="294"/>
      <c r="T704" s="299"/>
      <c r="U704" s="294"/>
      <c r="V704" s="299"/>
      <c r="W704" s="299"/>
      <c r="X704" s="294"/>
      <c r="Y704" s="299"/>
      <c r="Z704" s="294"/>
      <c r="AA704" s="299"/>
      <c r="AB704" s="299"/>
      <c r="AC704" s="294"/>
      <c r="AD704" s="294"/>
      <c r="AE704" s="294"/>
      <c r="AF704" s="294"/>
    </row>
    <row r="705" spans="2:32" x14ac:dyDescent="0.25">
      <c r="B705" s="294"/>
      <c r="C705" s="294"/>
      <c r="D705" s="294"/>
      <c r="E705" s="294"/>
      <c r="F705" s="294"/>
      <c r="G705" s="294"/>
      <c r="H705" s="294"/>
      <c r="I705" s="294"/>
      <c r="J705" s="294"/>
      <c r="L705" s="295"/>
      <c r="M705" s="294"/>
      <c r="S705" s="294"/>
      <c r="T705" s="299"/>
      <c r="U705" s="294"/>
      <c r="V705" s="299"/>
      <c r="W705" s="299"/>
      <c r="X705" s="294"/>
      <c r="Y705" s="299"/>
      <c r="Z705" s="294"/>
      <c r="AA705" s="299"/>
      <c r="AB705" s="299"/>
      <c r="AC705" s="294"/>
      <c r="AD705" s="294"/>
      <c r="AE705" s="294"/>
      <c r="AF705" s="294"/>
    </row>
    <row r="706" spans="2:32" x14ac:dyDescent="0.25">
      <c r="B706" s="294"/>
      <c r="C706" s="294"/>
      <c r="D706" s="294"/>
      <c r="E706" s="294"/>
      <c r="F706" s="294"/>
      <c r="G706" s="294"/>
      <c r="H706" s="294"/>
      <c r="I706" s="294"/>
      <c r="J706" s="294"/>
      <c r="L706" s="295"/>
      <c r="M706" s="294"/>
      <c r="S706" s="294"/>
      <c r="T706" s="299"/>
      <c r="U706" s="294"/>
      <c r="V706" s="299"/>
      <c r="W706" s="299"/>
      <c r="X706" s="294"/>
      <c r="Y706" s="299"/>
      <c r="Z706" s="294"/>
      <c r="AA706" s="299"/>
      <c r="AB706" s="299"/>
      <c r="AC706" s="294"/>
      <c r="AD706" s="294"/>
      <c r="AE706" s="294"/>
      <c r="AF706" s="294"/>
    </row>
    <row r="707" spans="2:32" x14ac:dyDescent="0.25">
      <c r="B707" s="294"/>
      <c r="C707" s="294"/>
      <c r="D707" s="294"/>
      <c r="E707" s="294"/>
      <c r="F707" s="294"/>
      <c r="G707" s="294"/>
      <c r="H707" s="294"/>
      <c r="I707" s="294"/>
      <c r="J707" s="294"/>
      <c r="L707" s="295"/>
      <c r="M707" s="294"/>
      <c r="S707" s="294"/>
      <c r="T707" s="299"/>
      <c r="U707" s="294"/>
      <c r="V707" s="299"/>
      <c r="W707" s="299"/>
      <c r="X707" s="294"/>
      <c r="Y707" s="299"/>
      <c r="Z707" s="294"/>
      <c r="AA707" s="299"/>
      <c r="AB707" s="299"/>
      <c r="AC707" s="294"/>
      <c r="AD707" s="294"/>
      <c r="AE707" s="294"/>
      <c r="AF707" s="294"/>
    </row>
    <row r="708" spans="2:32" x14ac:dyDescent="0.25">
      <c r="B708" s="294"/>
      <c r="C708" s="294"/>
      <c r="D708" s="294"/>
      <c r="E708" s="294"/>
      <c r="F708" s="294"/>
      <c r="G708" s="294"/>
      <c r="H708" s="294"/>
      <c r="I708" s="294"/>
      <c r="J708" s="294"/>
      <c r="L708" s="295"/>
      <c r="M708" s="294"/>
      <c r="S708" s="294"/>
      <c r="T708" s="299"/>
      <c r="U708" s="294"/>
      <c r="V708" s="299"/>
      <c r="W708" s="299"/>
      <c r="X708" s="294"/>
      <c r="Y708" s="299"/>
      <c r="Z708" s="294"/>
      <c r="AA708" s="299"/>
      <c r="AB708" s="299"/>
      <c r="AC708" s="294"/>
      <c r="AD708" s="294"/>
      <c r="AE708" s="294"/>
      <c r="AF708" s="294"/>
    </row>
    <row r="709" spans="2:32" x14ac:dyDescent="0.25">
      <c r="B709" s="294"/>
      <c r="C709" s="294"/>
      <c r="D709" s="294"/>
      <c r="E709" s="294"/>
      <c r="F709" s="294"/>
      <c r="G709" s="294"/>
      <c r="H709" s="294"/>
      <c r="I709" s="294"/>
      <c r="J709" s="294"/>
      <c r="L709" s="295"/>
      <c r="M709" s="294"/>
      <c r="S709" s="294"/>
      <c r="T709" s="299"/>
      <c r="U709" s="294"/>
      <c r="V709" s="299"/>
      <c r="W709" s="299"/>
      <c r="X709" s="294"/>
      <c r="Y709" s="299"/>
      <c r="Z709" s="294"/>
      <c r="AA709" s="299"/>
      <c r="AB709" s="299"/>
      <c r="AC709" s="294"/>
      <c r="AD709" s="294"/>
      <c r="AE709" s="294"/>
      <c r="AF709" s="294"/>
    </row>
    <row r="710" spans="2:32" x14ac:dyDescent="0.25">
      <c r="B710" s="294"/>
      <c r="C710" s="294"/>
      <c r="D710" s="294"/>
      <c r="E710" s="294"/>
      <c r="F710" s="294"/>
      <c r="G710" s="294"/>
      <c r="H710" s="294"/>
      <c r="I710" s="294"/>
      <c r="J710" s="294"/>
      <c r="L710" s="295"/>
      <c r="M710" s="294"/>
      <c r="S710" s="294"/>
      <c r="T710" s="299"/>
      <c r="U710" s="294"/>
      <c r="V710" s="299"/>
      <c r="W710" s="299"/>
      <c r="X710" s="294"/>
      <c r="Y710" s="299"/>
      <c r="Z710" s="294"/>
      <c r="AA710" s="299"/>
      <c r="AB710" s="299"/>
      <c r="AC710" s="294"/>
      <c r="AD710" s="294"/>
      <c r="AE710" s="294"/>
      <c r="AF710" s="294"/>
    </row>
    <row r="711" spans="2:32" x14ac:dyDescent="0.25">
      <c r="B711" s="294"/>
      <c r="C711" s="294"/>
      <c r="D711" s="294"/>
      <c r="E711" s="294"/>
      <c r="F711" s="294"/>
      <c r="G711" s="294"/>
      <c r="H711" s="294"/>
      <c r="I711" s="294"/>
      <c r="J711" s="294"/>
      <c r="L711" s="295"/>
      <c r="M711" s="294"/>
      <c r="S711" s="294"/>
      <c r="T711" s="299"/>
      <c r="U711" s="294"/>
      <c r="V711" s="299"/>
      <c r="W711" s="299"/>
      <c r="X711" s="294"/>
      <c r="Y711" s="299"/>
      <c r="Z711" s="294"/>
      <c r="AA711" s="299"/>
      <c r="AB711" s="299"/>
      <c r="AC711" s="294"/>
      <c r="AD711" s="294"/>
      <c r="AE711" s="294"/>
      <c r="AF711" s="294"/>
    </row>
    <row r="712" spans="2:32" x14ac:dyDescent="0.25">
      <c r="B712" s="294"/>
      <c r="C712" s="294"/>
      <c r="D712" s="294"/>
      <c r="E712" s="294"/>
      <c r="F712" s="294"/>
      <c r="G712" s="294"/>
      <c r="H712" s="294"/>
      <c r="I712" s="294"/>
      <c r="J712" s="294"/>
      <c r="L712" s="295"/>
      <c r="M712" s="294"/>
      <c r="S712" s="294"/>
      <c r="T712" s="299"/>
      <c r="U712" s="294"/>
      <c r="V712" s="299"/>
      <c r="W712" s="299"/>
      <c r="X712" s="294"/>
      <c r="Y712" s="299"/>
      <c r="Z712" s="294"/>
      <c r="AA712" s="299"/>
      <c r="AB712" s="299"/>
      <c r="AC712" s="294"/>
      <c r="AD712" s="294"/>
      <c r="AE712" s="294"/>
      <c r="AF712" s="294"/>
    </row>
    <row r="713" spans="2:32" x14ac:dyDescent="0.25">
      <c r="B713" s="294"/>
      <c r="C713" s="294"/>
      <c r="D713" s="294"/>
      <c r="E713" s="294"/>
      <c r="F713" s="294"/>
      <c r="G713" s="294"/>
      <c r="H713" s="294"/>
      <c r="I713" s="294"/>
      <c r="J713" s="294"/>
      <c r="L713" s="295"/>
      <c r="M713" s="294"/>
      <c r="S713" s="294"/>
      <c r="T713" s="299"/>
      <c r="U713" s="294"/>
      <c r="V713" s="299"/>
      <c r="W713" s="299"/>
      <c r="X713" s="294"/>
      <c r="Y713" s="299"/>
      <c r="Z713" s="294"/>
      <c r="AA713" s="299"/>
      <c r="AB713" s="299"/>
      <c r="AC713" s="294"/>
      <c r="AD713" s="294"/>
      <c r="AE713" s="294"/>
      <c r="AF713" s="294"/>
    </row>
    <row r="714" spans="2:32" x14ac:dyDescent="0.25">
      <c r="B714" s="294"/>
      <c r="C714" s="294"/>
      <c r="D714" s="294"/>
      <c r="E714" s="294"/>
      <c r="F714" s="294"/>
      <c r="G714" s="294"/>
      <c r="H714" s="294"/>
      <c r="I714" s="294"/>
      <c r="J714" s="294"/>
      <c r="L714" s="295"/>
      <c r="M714" s="294"/>
      <c r="S714" s="294"/>
      <c r="T714" s="299"/>
      <c r="U714" s="294"/>
      <c r="V714" s="299"/>
      <c r="W714" s="299"/>
      <c r="X714" s="294"/>
      <c r="Y714" s="299"/>
      <c r="Z714" s="294"/>
      <c r="AA714" s="299"/>
      <c r="AB714" s="299"/>
      <c r="AC714" s="294"/>
      <c r="AD714" s="294"/>
      <c r="AE714" s="294"/>
      <c r="AF714" s="294"/>
    </row>
    <row r="715" spans="2:32" x14ac:dyDescent="0.25">
      <c r="B715" s="294"/>
      <c r="C715" s="294"/>
      <c r="D715" s="294"/>
      <c r="E715" s="294"/>
      <c r="F715" s="294"/>
      <c r="G715" s="294"/>
      <c r="H715" s="294"/>
      <c r="I715" s="294"/>
      <c r="J715" s="294"/>
      <c r="L715" s="295"/>
      <c r="M715" s="294"/>
      <c r="S715" s="294"/>
      <c r="T715" s="299"/>
      <c r="U715" s="294"/>
      <c r="V715" s="299"/>
      <c r="W715" s="299"/>
      <c r="X715" s="294"/>
      <c r="Y715" s="299"/>
      <c r="Z715" s="294"/>
      <c r="AA715" s="299"/>
      <c r="AB715" s="299"/>
      <c r="AC715" s="294"/>
      <c r="AD715" s="294"/>
      <c r="AE715" s="294"/>
      <c r="AF715" s="294"/>
    </row>
    <row r="716" spans="2:32" x14ac:dyDescent="0.25">
      <c r="B716" s="294"/>
      <c r="C716" s="294"/>
      <c r="D716" s="294"/>
      <c r="E716" s="294"/>
      <c r="F716" s="294"/>
      <c r="G716" s="294"/>
      <c r="H716" s="294"/>
      <c r="I716" s="294"/>
      <c r="J716" s="294"/>
      <c r="L716" s="295"/>
      <c r="M716" s="294"/>
      <c r="S716" s="294"/>
      <c r="T716" s="299"/>
      <c r="U716" s="294"/>
      <c r="V716" s="299"/>
      <c r="W716" s="299"/>
      <c r="X716" s="294"/>
      <c r="Y716" s="299"/>
      <c r="Z716" s="294"/>
      <c r="AA716" s="299"/>
      <c r="AB716" s="299"/>
      <c r="AC716" s="294"/>
      <c r="AD716" s="294"/>
      <c r="AE716" s="294"/>
      <c r="AF716" s="294"/>
    </row>
    <row r="717" spans="2:32" x14ac:dyDescent="0.25">
      <c r="B717" s="294"/>
      <c r="C717" s="294"/>
      <c r="D717" s="294"/>
      <c r="E717" s="294"/>
      <c r="F717" s="294"/>
      <c r="G717" s="294"/>
      <c r="H717" s="294"/>
      <c r="I717" s="294"/>
      <c r="J717" s="294"/>
      <c r="L717" s="295"/>
      <c r="M717" s="294"/>
      <c r="S717" s="294"/>
      <c r="T717" s="299"/>
      <c r="U717" s="294"/>
      <c r="V717" s="299"/>
      <c r="W717" s="299"/>
      <c r="X717" s="294"/>
      <c r="Y717" s="299"/>
      <c r="Z717" s="294"/>
      <c r="AA717" s="299"/>
      <c r="AB717" s="299"/>
      <c r="AC717" s="294"/>
      <c r="AD717" s="294"/>
      <c r="AE717" s="294"/>
      <c r="AF717" s="294"/>
    </row>
    <row r="718" spans="2:32" x14ac:dyDescent="0.25">
      <c r="B718" s="294"/>
      <c r="C718" s="294"/>
      <c r="D718" s="294"/>
      <c r="E718" s="294"/>
      <c r="F718" s="294"/>
      <c r="G718" s="294"/>
      <c r="H718" s="294"/>
      <c r="I718" s="294"/>
      <c r="J718" s="294"/>
      <c r="L718" s="295"/>
      <c r="M718" s="294"/>
      <c r="S718" s="294"/>
      <c r="T718" s="299"/>
      <c r="U718" s="294"/>
      <c r="V718" s="299"/>
      <c r="W718" s="299"/>
      <c r="X718" s="294"/>
      <c r="Y718" s="299"/>
      <c r="Z718" s="294"/>
      <c r="AA718" s="299"/>
      <c r="AB718" s="299"/>
      <c r="AC718" s="294"/>
      <c r="AD718" s="294"/>
      <c r="AE718" s="294"/>
      <c r="AF718" s="294"/>
    </row>
    <row r="719" spans="2:32" x14ac:dyDescent="0.25">
      <c r="B719" s="294"/>
      <c r="C719" s="294"/>
      <c r="D719" s="294"/>
      <c r="E719" s="294"/>
      <c r="F719" s="294"/>
      <c r="G719" s="294"/>
      <c r="H719" s="294"/>
      <c r="I719" s="294"/>
      <c r="J719" s="294"/>
      <c r="L719" s="295"/>
      <c r="M719" s="294"/>
      <c r="S719" s="294"/>
      <c r="T719" s="299"/>
      <c r="U719" s="294"/>
      <c r="V719" s="299"/>
      <c r="W719" s="299"/>
      <c r="X719" s="294"/>
      <c r="Y719" s="299"/>
      <c r="Z719" s="294"/>
      <c r="AA719" s="299"/>
      <c r="AB719" s="299"/>
      <c r="AC719" s="294"/>
      <c r="AD719" s="294"/>
      <c r="AE719" s="294"/>
      <c r="AF719" s="294"/>
    </row>
    <row r="720" spans="2:32" x14ac:dyDescent="0.25">
      <c r="B720" s="294"/>
      <c r="C720" s="294"/>
      <c r="D720" s="294"/>
      <c r="E720" s="294"/>
      <c r="F720" s="294"/>
      <c r="G720" s="294"/>
      <c r="H720" s="294"/>
      <c r="I720" s="294"/>
      <c r="J720" s="294"/>
      <c r="L720" s="295"/>
      <c r="M720" s="294"/>
      <c r="S720" s="294"/>
      <c r="T720" s="299"/>
      <c r="U720" s="294"/>
      <c r="V720" s="299"/>
      <c r="W720" s="299"/>
      <c r="X720" s="294"/>
      <c r="Y720" s="299"/>
      <c r="Z720" s="294"/>
      <c r="AA720" s="299"/>
      <c r="AB720" s="299"/>
      <c r="AC720" s="294"/>
      <c r="AD720" s="294"/>
      <c r="AE720" s="294"/>
      <c r="AF720" s="294"/>
    </row>
    <row r="721" spans="2:32" x14ac:dyDescent="0.25">
      <c r="B721" s="294"/>
      <c r="C721" s="294"/>
      <c r="D721" s="294"/>
      <c r="E721" s="294"/>
      <c r="F721" s="294"/>
      <c r="G721" s="294"/>
      <c r="H721" s="294"/>
      <c r="I721" s="294"/>
      <c r="J721" s="294"/>
      <c r="L721" s="295"/>
      <c r="M721" s="294"/>
      <c r="S721" s="294"/>
      <c r="T721" s="299"/>
      <c r="U721" s="294"/>
      <c r="V721" s="299"/>
      <c r="W721" s="299"/>
      <c r="X721" s="294"/>
      <c r="Y721" s="299"/>
      <c r="Z721" s="294"/>
      <c r="AA721" s="299"/>
      <c r="AB721" s="299"/>
      <c r="AC721" s="294"/>
      <c r="AD721" s="294"/>
      <c r="AE721" s="294"/>
      <c r="AF721" s="294"/>
    </row>
    <row r="722" spans="2:32" x14ac:dyDescent="0.25">
      <c r="B722" s="294"/>
      <c r="C722" s="294"/>
      <c r="D722" s="294"/>
      <c r="E722" s="294"/>
      <c r="F722" s="294"/>
      <c r="G722" s="294"/>
      <c r="H722" s="294"/>
      <c r="I722" s="294"/>
      <c r="J722" s="294"/>
      <c r="L722" s="295"/>
      <c r="M722" s="294"/>
      <c r="S722" s="294"/>
      <c r="T722" s="299"/>
      <c r="U722" s="294"/>
      <c r="V722" s="299"/>
      <c r="W722" s="299"/>
      <c r="X722" s="294"/>
      <c r="Y722" s="299"/>
      <c r="Z722" s="294"/>
      <c r="AA722" s="299"/>
      <c r="AB722" s="299"/>
      <c r="AC722" s="294"/>
      <c r="AD722" s="294"/>
      <c r="AE722" s="294"/>
      <c r="AF722" s="294"/>
    </row>
    <row r="723" spans="2:32" x14ac:dyDescent="0.25">
      <c r="B723" s="294"/>
      <c r="C723" s="294"/>
      <c r="D723" s="294"/>
      <c r="E723" s="294"/>
      <c r="F723" s="294"/>
      <c r="G723" s="294"/>
      <c r="H723" s="294"/>
      <c r="I723" s="294"/>
      <c r="J723" s="294"/>
      <c r="L723" s="295"/>
      <c r="M723" s="294"/>
      <c r="S723" s="294"/>
      <c r="T723" s="299"/>
      <c r="U723" s="294"/>
      <c r="V723" s="299"/>
      <c r="W723" s="299"/>
      <c r="X723" s="294"/>
      <c r="Y723" s="299"/>
      <c r="Z723" s="294"/>
      <c r="AA723" s="299"/>
      <c r="AB723" s="299"/>
      <c r="AC723" s="294"/>
      <c r="AD723" s="294"/>
      <c r="AE723" s="294"/>
      <c r="AF723" s="294"/>
    </row>
    <row r="724" spans="2:32" x14ac:dyDescent="0.25">
      <c r="B724" s="294"/>
      <c r="C724" s="294"/>
      <c r="D724" s="294"/>
      <c r="E724" s="294"/>
      <c r="F724" s="294"/>
      <c r="G724" s="294"/>
      <c r="H724" s="294"/>
      <c r="I724" s="294"/>
      <c r="J724" s="294"/>
      <c r="L724" s="295"/>
      <c r="M724" s="294"/>
      <c r="S724" s="294"/>
      <c r="T724" s="299"/>
      <c r="U724" s="294"/>
      <c r="V724" s="299"/>
      <c r="W724" s="299"/>
      <c r="X724" s="294"/>
      <c r="Y724" s="299"/>
      <c r="Z724" s="294"/>
      <c r="AA724" s="299"/>
      <c r="AB724" s="299"/>
      <c r="AC724" s="294"/>
      <c r="AD724" s="294"/>
      <c r="AE724" s="294"/>
      <c r="AF724" s="294"/>
    </row>
    <row r="725" spans="2:32" x14ac:dyDescent="0.25">
      <c r="B725" s="294"/>
      <c r="C725" s="294"/>
      <c r="D725" s="294"/>
      <c r="E725" s="294"/>
      <c r="F725" s="294"/>
      <c r="G725" s="294"/>
      <c r="H725" s="294"/>
      <c r="I725" s="294"/>
      <c r="J725" s="294"/>
      <c r="L725" s="295"/>
      <c r="M725" s="294"/>
      <c r="S725" s="294"/>
      <c r="T725" s="299"/>
      <c r="U725" s="294"/>
      <c r="V725" s="299"/>
      <c r="W725" s="299"/>
      <c r="X725" s="294"/>
      <c r="Y725" s="299"/>
      <c r="Z725" s="294"/>
      <c r="AA725" s="299"/>
      <c r="AB725" s="299"/>
      <c r="AC725" s="294"/>
      <c r="AD725" s="294"/>
      <c r="AE725" s="294"/>
      <c r="AF725" s="294"/>
    </row>
    <row r="726" spans="2:32" x14ac:dyDescent="0.25">
      <c r="B726" s="294"/>
      <c r="C726" s="294"/>
      <c r="D726" s="294"/>
      <c r="E726" s="294"/>
      <c r="F726" s="294"/>
      <c r="G726" s="294"/>
      <c r="H726" s="294"/>
      <c r="I726" s="294"/>
      <c r="J726" s="294"/>
      <c r="L726" s="295"/>
      <c r="M726" s="294"/>
      <c r="S726" s="294"/>
      <c r="T726" s="299"/>
      <c r="U726" s="294"/>
      <c r="V726" s="299"/>
      <c r="W726" s="299"/>
      <c r="X726" s="294"/>
      <c r="Y726" s="299"/>
      <c r="Z726" s="294"/>
      <c r="AA726" s="299"/>
      <c r="AB726" s="299"/>
      <c r="AC726" s="294"/>
      <c r="AD726" s="294"/>
      <c r="AE726" s="294"/>
      <c r="AF726" s="294"/>
    </row>
    <row r="727" spans="2:32" x14ac:dyDescent="0.25">
      <c r="B727" s="294"/>
      <c r="C727" s="294"/>
      <c r="D727" s="294"/>
      <c r="E727" s="294"/>
      <c r="F727" s="294"/>
      <c r="G727" s="294"/>
      <c r="H727" s="294"/>
      <c r="I727" s="294"/>
      <c r="J727" s="294"/>
      <c r="L727" s="295"/>
      <c r="M727" s="294"/>
      <c r="S727" s="294"/>
      <c r="T727" s="299"/>
      <c r="U727" s="294"/>
      <c r="V727" s="299"/>
      <c r="W727" s="299"/>
      <c r="X727" s="294"/>
      <c r="Y727" s="299"/>
      <c r="Z727" s="294"/>
      <c r="AA727" s="299"/>
      <c r="AB727" s="299"/>
      <c r="AC727" s="294"/>
      <c r="AD727" s="294"/>
      <c r="AE727" s="294"/>
      <c r="AF727" s="294"/>
    </row>
    <row r="728" spans="2:32" x14ac:dyDescent="0.25">
      <c r="B728" s="294"/>
      <c r="C728" s="294"/>
      <c r="D728" s="294"/>
      <c r="E728" s="294"/>
      <c r="F728" s="294"/>
      <c r="G728" s="294"/>
      <c r="H728" s="294"/>
      <c r="I728" s="294"/>
      <c r="J728" s="294"/>
      <c r="L728" s="295"/>
      <c r="M728" s="294"/>
      <c r="S728" s="294"/>
      <c r="T728" s="299"/>
      <c r="U728" s="294"/>
      <c r="V728" s="299"/>
      <c r="W728" s="299"/>
      <c r="X728" s="294"/>
      <c r="Y728" s="299"/>
      <c r="Z728" s="294"/>
      <c r="AA728" s="299"/>
      <c r="AB728" s="299"/>
      <c r="AC728" s="294"/>
      <c r="AD728" s="294"/>
      <c r="AE728" s="294"/>
      <c r="AF728" s="294"/>
    </row>
    <row r="729" spans="2:32" x14ac:dyDescent="0.25">
      <c r="B729" s="294"/>
      <c r="C729" s="294"/>
      <c r="D729" s="294"/>
      <c r="E729" s="294"/>
      <c r="F729" s="294"/>
      <c r="G729" s="294"/>
      <c r="H729" s="294"/>
      <c r="I729" s="294"/>
      <c r="J729" s="294"/>
      <c r="L729" s="295"/>
      <c r="M729" s="294"/>
      <c r="S729" s="294"/>
      <c r="T729" s="299"/>
      <c r="U729" s="294"/>
      <c r="V729" s="299"/>
      <c r="W729" s="299"/>
      <c r="X729" s="294"/>
      <c r="Y729" s="299"/>
      <c r="Z729" s="294"/>
      <c r="AA729" s="299"/>
      <c r="AB729" s="299"/>
      <c r="AC729" s="294"/>
      <c r="AD729" s="294"/>
      <c r="AE729" s="294"/>
      <c r="AF729" s="294"/>
    </row>
    <row r="730" spans="2:32" x14ac:dyDescent="0.25">
      <c r="B730" s="294"/>
      <c r="C730" s="294"/>
      <c r="D730" s="294"/>
      <c r="E730" s="294"/>
      <c r="F730" s="294"/>
      <c r="G730" s="294"/>
      <c r="H730" s="294"/>
      <c r="I730" s="294"/>
      <c r="J730" s="294"/>
      <c r="L730" s="295"/>
      <c r="M730" s="294"/>
      <c r="S730" s="294"/>
      <c r="T730" s="299"/>
      <c r="U730" s="294"/>
      <c r="V730" s="299"/>
      <c r="W730" s="299"/>
      <c r="X730" s="294"/>
      <c r="Y730" s="299"/>
      <c r="Z730" s="294"/>
      <c r="AA730" s="299"/>
      <c r="AB730" s="299"/>
      <c r="AC730" s="294"/>
      <c r="AD730" s="294"/>
      <c r="AE730" s="294"/>
      <c r="AF730" s="294"/>
    </row>
    <row r="731" spans="2:32" x14ac:dyDescent="0.25">
      <c r="B731" s="294"/>
      <c r="C731" s="294"/>
      <c r="D731" s="294"/>
      <c r="E731" s="294"/>
      <c r="F731" s="294"/>
      <c r="G731" s="294"/>
      <c r="H731" s="294"/>
      <c r="I731" s="294"/>
      <c r="J731" s="294"/>
      <c r="L731" s="295"/>
      <c r="M731" s="294"/>
      <c r="S731" s="294"/>
      <c r="T731" s="299"/>
      <c r="U731" s="294"/>
      <c r="V731" s="299"/>
      <c r="W731" s="299"/>
      <c r="X731" s="294"/>
      <c r="Y731" s="299"/>
      <c r="Z731" s="294"/>
      <c r="AA731" s="299"/>
      <c r="AB731" s="299"/>
      <c r="AC731" s="294"/>
      <c r="AD731" s="294"/>
      <c r="AE731" s="294"/>
      <c r="AF731" s="294"/>
    </row>
    <row r="732" spans="2:32" x14ac:dyDescent="0.25">
      <c r="B732" s="294"/>
      <c r="C732" s="294"/>
      <c r="D732" s="294"/>
      <c r="E732" s="294"/>
      <c r="F732" s="294"/>
      <c r="G732" s="294"/>
      <c r="H732" s="294"/>
      <c r="I732" s="294"/>
      <c r="J732" s="294"/>
      <c r="L732" s="295"/>
      <c r="M732" s="294"/>
      <c r="S732" s="294"/>
      <c r="T732" s="299"/>
      <c r="U732" s="294"/>
      <c r="V732" s="299"/>
      <c r="W732" s="299"/>
      <c r="X732" s="294"/>
      <c r="Y732" s="299"/>
      <c r="Z732" s="294"/>
      <c r="AA732" s="299"/>
      <c r="AB732" s="299"/>
      <c r="AC732" s="294"/>
      <c r="AD732" s="294"/>
      <c r="AE732" s="294"/>
      <c r="AF732" s="294"/>
    </row>
    <row r="733" spans="2:32" x14ac:dyDescent="0.25">
      <c r="B733" s="294"/>
      <c r="C733" s="294"/>
      <c r="D733" s="294"/>
      <c r="E733" s="294"/>
      <c r="F733" s="294"/>
      <c r="G733" s="294"/>
      <c r="H733" s="294"/>
      <c r="I733" s="294"/>
      <c r="J733" s="294"/>
      <c r="L733" s="295"/>
      <c r="M733" s="294"/>
      <c r="S733" s="294"/>
      <c r="T733" s="299"/>
      <c r="U733" s="294"/>
      <c r="V733" s="299"/>
      <c r="W733" s="299"/>
      <c r="X733" s="294"/>
      <c r="Y733" s="299"/>
      <c r="Z733" s="294"/>
      <c r="AA733" s="299"/>
      <c r="AB733" s="299"/>
      <c r="AC733" s="294"/>
      <c r="AD733" s="294"/>
      <c r="AE733" s="294"/>
      <c r="AF733" s="294"/>
    </row>
    <row r="734" spans="2:32" x14ac:dyDescent="0.25">
      <c r="B734" s="294"/>
      <c r="C734" s="294"/>
      <c r="D734" s="294"/>
      <c r="E734" s="294"/>
      <c r="F734" s="294"/>
      <c r="G734" s="294"/>
      <c r="H734" s="294"/>
      <c r="I734" s="294"/>
      <c r="J734" s="294"/>
      <c r="L734" s="295"/>
      <c r="M734" s="294"/>
      <c r="S734" s="294"/>
      <c r="T734" s="299"/>
      <c r="U734" s="294"/>
      <c r="V734" s="299"/>
      <c r="W734" s="299"/>
      <c r="X734" s="294"/>
      <c r="Y734" s="299"/>
      <c r="Z734" s="294"/>
      <c r="AA734" s="299"/>
      <c r="AB734" s="299"/>
      <c r="AC734" s="294"/>
      <c r="AD734" s="294"/>
      <c r="AE734" s="294"/>
      <c r="AF734" s="294"/>
    </row>
    <row r="735" spans="2:32" x14ac:dyDescent="0.25">
      <c r="B735" s="294"/>
      <c r="C735" s="294"/>
      <c r="D735" s="294"/>
      <c r="E735" s="294"/>
      <c r="F735" s="294"/>
      <c r="G735" s="294"/>
      <c r="H735" s="294"/>
      <c r="I735" s="294"/>
      <c r="J735" s="294"/>
      <c r="L735" s="295"/>
      <c r="M735" s="294"/>
      <c r="S735" s="294"/>
      <c r="T735" s="299"/>
      <c r="U735" s="294"/>
      <c r="V735" s="299"/>
      <c r="W735" s="299"/>
      <c r="X735" s="294"/>
      <c r="Y735" s="299"/>
      <c r="Z735" s="294"/>
      <c r="AA735" s="299"/>
      <c r="AB735" s="299"/>
      <c r="AC735" s="294"/>
      <c r="AD735" s="294"/>
      <c r="AE735" s="294"/>
      <c r="AF735" s="294"/>
    </row>
    <row r="736" spans="2:32" x14ac:dyDescent="0.25">
      <c r="B736" s="294"/>
      <c r="C736" s="294"/>
      <c r="D736" s="294"/>
      <c r="E736" s="294"/>
      <c r="F736" s="294"/>
      <c r="G736" s="294"/>
      <c r="H736" s="294"/>
      <c r="I736" s="294"/>
      <c r="J736" s="294"/>
      <c r="L736" s="295"/>
      <c r="M736" s="294"/>
      <c r="S736" s="294"/>
      <c r="T736" s="299"/>
      <c r="U736" s="294"/>
      <c r="V736" s="299"/>
      <c r="W736" s="299"/>
      <c r="X736" s="294"/>
      <c r="Y736" s="299"/>
      <c r="Z736" s="294"/>
      <c r="AA736" s="299"/>
      <c r="AB736" s="299"/>
      <c r="AC736" s="294"/>
      <c r="AD736" s="294"/>
      <c r="AE736" s="294"/>
      <c r="AF736" s="294"/>
    </row>
    <row r="737" spans="2:32" x14ac:dyDescent="0.25">
      <c r="B737" s="294"/>
      <c r="C737" s="294"/>
      <c r="D737" s="294"/>
      <c r="E737" s="294"/>
      <c r="F737" s="294"/>
      <c r="G737" s="294"/>
      <c r="H737" s="294"/>
      <c r="I737" s="294"/>
      <c r="J737" s="294"/>
      <c r="L737" s="295"/>
      <c r="M737" s="294"/>
      <c r="S737" s="294"/>
      <c r="T737" s="299"/>
      <c r="U737" s="294"/>
      <c r="V737" s="299"/>
      <c r="W737" s="299"/>
      <c r="X737" s="294"/>
      <c r="Y737" s="299"/>
      <c r="Z737" s="294"/>
      <c r="AA737" s="299"/>
      <c r="AB737" s="299"/>
      <c r="AC737" s="294"/>
      <c r="AD737" s="294"/>
      <c r="AE737" s="294"/>
      <c r="AF737" s="294"/>
    </row>
    <row r="738" spans="2:32" x14ac:dyDescent="0.25">
      <c r="B738" s="294"/>
      <c r="C738" s="294"/>
      <c r="D738" s="294"/>
      <c r="E738" s="294"/>
      <c r="F738" s="294"/>
      <c r="G738" s="294"/>
      <c r="H738" s="294"/>
      <c r="I738" s="294"/>
      <c r="J738" s="294"/>
      <c r="L738" s="295"/>
      <c r="M738" s="294"/>
      <c r="S738" s="294"/>
      <c r="T738" s="299"/>
      <c r="U738" s="294"/>
      <c r="V738" s="299"/>
      <c r="W738" s="299"/>
      <c r="X738" s="294"/>
      <c r="Y738" s="299"/>
      <c r="Z738" s="294"/>
      <c r="AA738" s="299"/>
      <c r="AB738" s="299"/>
      <c r="AC738" s="294"/>
      <c r="AD738" s="294"/>
      <c r="AE738" s="294"/>
      <c r="AF738" s="294"/>
    </row>
    <row r="739" spans="2:32" x14ac:dyDescent="0.25">
      <c r="B739" s="294"/>
      <c r="C739" s="294"/>
      <c r="D739" s="294"/>
      <c r="E739" s="294"/>
      <c r="F739" s="294"/>
      <c r="G739" s="294"/>
      <c r="H739" s="294"/>
      <c r="I739" s="294"/>
      <c r="J739" s="294"/>
      <c r="L739" s="295"/>
      <c r="M739" s="294"/>
      <c r="S739" s="294"/>
      <c r="T739" s="299"/>
      <c r="U739" s="294"/>
      <c r="V739" s="299"/>
      <c r="W739" s="299"/>
      <c r="X739" s="294"/>
      <c r="Y739" s="299"/>
      <c r="Z739" s="294"/>
      <c r="AA739" s="299"/>
      <c r="AB739" s="299"/>
      <c r="AC739" s="294"/>
      <c r="AD739" s="294"/>
      <c r="AE739" s="294"/>
      <c r="AF739" s="294"/>
    </row>
    <row r="740" spans="2:32" x14ac:dyDescent="0.25">
      <c r="B740" s="294"/>
      <c r="C740" s="294"/>
      <c r="D740" s="294"/>
      <c r="E740" s="294"/>
      <c r="F740" s="294"/>
      <c r="G740" s="294"/>
      <c r="H740" s="294"/>
      <c r="I740" s="294"/>
      <c r="J740" s="294"/>
      <c r="L740" s="295"/>
      <c r="M740" s="294"/>
      <c r="S740" s="294"/>
      <c r="T740" s="299"/>
      <c r="U740" s="294"/>
      <c r="V740" s="299"/>
      <c r="W740" s="299"/>
      <c r="X740" s="294"/>
      <c r="Y740" s="299"/>
      <c r="Z740" s="294"/>
      <c r="AA740" s="299"/>
      <c r="AB740" s="299"/>
      <c r="AC740" s="294"/>
      <c r="AD740" s="294"/>
      <c r="AE740" s="294"/>
      <c r="AF740" s="294"/>
    </row>
    <row r="741" spans="2:32" x14ac:dyDescent="0.25">
      <c r="B741" s="294"/>
      <c r="C741" s="294"/>
      <c r="D741" s="294"/>
      <c r="E741" s="294"/>
      <c r="F741" s="294"/>
      <c r="G741" s="294"/>
      <c r="H741" s="294"/>
      <c r="I741" s="294"/>
      <c r="J741" s="294"/>
      <c r="L741" s="295"/>
      <c r="M741" s="294"/>
      <c r="S741" s="294"/>
      <c r="T741" s="299"/>
      <c r="U741" s="294"/>
      <c r="V741" s="299"/>
      <c r="W741" s="299"/>
      <c r="X741" s="294"/>
      <c r="Y741" s="299"/>
      <c r="Z741" s="294"/>
      <c r="AA741" s="299"/>
      <c r="AB741" s="299"/>
      <c r="AC741" s="294"/>
      <c r="AD741" s="294"/>
      <c r="AE741" s="294"/>
      <c r="AF741" s="294"/>
    </row>
    <row r="742" spans="2:32" x14ac:dyDescent="0.25">
      <c r="B742" s="294"/>
      <c r="C742" s="294"/>
      <c r="D742" s="294"/>
      <c r="E742" s="294"/>
      <c r="F742" s="294"/>
      <c r="G742" s="294"/>
      <c r="H742" s="294"/>
      <c r="I742" s="294"/>
      <c r="J742" s="294"/>
      <c r="L742" s="295"/>
      <c r="M742" s="294"/>
      <c r="S742" s="294"/>
      <c r="T742" s="299"/>
      <c r="U742" s="294"/>
      <c r="V742" s="299"/>
      <c r="W742" s="299"/>
      <c r="X742" s="294"/>
      <c r="Y742" s="299"/>
      <c r="Z742" s="294"/>
      <c r="AA742" s="299"/>
      <c r="AB742" s="299"/>
      <c r="AC742" s="294"/>
      <c r="AD742" s="294"/>
      <c r="AE742" s="294"/>
      <c r="AF742" s="294"/>
    </row>
    <row r="743" spans="2:32" x14ac:dyDescent="0.25">
      <c r="B743" s="294"/>
      <c r="C743" s="294"/>
      <c r="D743" s="294"/>
      <c r="E743" s="294"/>
      <c r="F743" s="294"/>
      <c r="G743" s="294"/>
      <c r="H743" s="294"/>
      <c r="I743" s="294"/>
      <c r="J743" s="294"/>
      <c r="L743" s="295"/>
      <c r="M743" s="294"/>
      <c r="S743" s="294"/>
      <c r="T743" s="299"/>
      <c r="U743" s="294"/>
      <c r="V743" s="299"/>
      <c r="W743" s="299"/>
      <c r="X743" s="294"/>
      <c r="Y743" s="299"/>
      <c r="Z743" s="294"/>
      <c r="AA743" s="299"/>
      <c r="AB743" s="299"/>
      <c r="AC743" s="294"/>
      <c r="AD743" s="294"/>
      <c r="AE743" s="294"/>
      <c r="AF743" s="294"/>
    </row>
    <row r="744" spans="2:32" x14ac:dyDescent="0.25">
      <c r="B744" s="294"/>
      <c r="C744" s="294"/>
      <c r="D744" s="294"/>
      <c r="E744" s="294"/>
      <c r="F744" s="294"/>
      <c r="G744" s="294"/>
      <c r="H744" s="294"/>
      <c r="I744" s="294"/>
      <c r="J744" s="294"/>
      <c r="L744" s="295"/>
      <c r="M744" s="294"/>
      <c r="S744" s="294"/>
      <c r="T744" s="299"/>
      <c r="U744" s="294"/>
      <c r="V744" s="299"/>
      <c r="W744" s="299"/>
      <c r="X744" s="294"/>
      <c r="Y744" s="299"/>
      <c r="Z744" s="294"/>
      <c r="AA744" s="299"/>
      <c r="AB744" s="299"/>
      <c r="AC744" s="294"/>
      <c r="AD744" s="294"/>
      <c r="AE744" s="294"/>
      <c r="AF744" s="294"/>
    </row>
    <row r="745" spans="2:32" x14ac:dyDescent="0.25">
      <c r="B745" s="294"/>
      <c r="C745" s="294"/>
      <c r="D745" s="294"/>
      <c r="E745" s="294"/>
      <c r="F745" s="294"/>
      <c r="G745" s="294"/>
      <c r="H745" s="294"/>
      <c r="I745" s="294"/>
      <c r="J745" s="294"/>
      <c r="L745" s="295"/>
      <c r="M745" s="294"/>
      <c r="S745" s="294"/>
      <c r="T745" s="299"/>
      <c r="U745" s="294"/>
      <c r="V745" s="299"/>
      <c r="W745" s="299"/>
      <c r="X745" s="294"/>
      <c r="Y745" s="299"/>
      <c r="Z745" s="294"/>
      <c r="AA745" s="299"/>
      <c r="AB745" s="299"/>
      <c r="AC745" s="294"/>
      <c r="AD745" s="294"/>
      <c r="AE745" s="294"/>
      <c r="AF745" s="294"/>
    </row>
    <row r="746" spans="2:32" x14ac:dyDescent="0.25">
      <c r="B746" s="294"/>
      <c r="C746" s="294"/>
      <c r="D746" s="294"/>
      <c r="E746" s="294"/>
      <c r="F746" s="294"/>
      <c r="G746" s="294"/>
      <c r="H746" s="294"/>
      <c r="I746" s="294"/>
      <c r="J746" s="294"/>
      <c r="L746" s="295"/>
      <c r="M746" s="294"/>
      <c r="S746" s="294"/>
      <c r="T746" s="299"/>
      <c r="U746" s="294"/>
      <c r="V746" s="299"/>
      <c r="W746" s="299"/>
      <c r="X746" s="294"/>
      <c r="Y746" s="299"/>
      <c r="Z746" s="294"/>
      <c r="AA746" s="299"/>
      <c r="AB746" s="299"/>
      <c r="AC746" s="294"/>
      <c r="AD746" s="294"/>
      <c r="AE746" s="294"/>
      <c r="AF746" s="294"/>
    </row>
    <row r="747" spans="2:32" x14ac:dyDescent="0.25">
      <c r="B747" s="294"/>
      <c r="C747" s="294"/>
      <c r="D747" s="294"/>
      <c r="E747" s="294"/>
      <c r="F747" s="294"/>
      <c r="G747" s="294"/>
      <c r="H747" s="294"/>
      <c r="I747" s="294"/>
      <c r="J747" s="294"/>
      <c r="L747" s="295"/>
      <c r="M747" s="294"/>
      <c r="S747" s="294"/>
      <c r="T747" s="299"/>
      <c r="U747" s="294"/>
      <c r="V747" s="299"/>
      <c r="W747" s="299"/>
      <c r="X747" s="294"/>
      <c r="Y747" s="299"/>
      <c r="Z747" s="294"/>
      <c r="AA747" s="299"/>
      <c r="AB747" s="299"/>
      <c r="AC747" s="294"/>
      <c r="AD747" s="294"/>
      <c r="AE747" s="294"/>
      <c r="AF747" s="294"/>
    </row>
    <row r="748" spans="2:32" x14ac:dyDescent="0.25">
      <c r="B748" s="294"/>
      <c r="C748" s="294"/>
      <c r="D748" s="294"/>
      <c r="E748" s="294"/>
      <c r="F748" s="294"/>
      <c r="G748" s="294"/>
      <c r="H748" s="294"/>
      <c r="I748" s="294"/>
      <c r="J748" s="294"/>
      <c r="L748" s="295"/>
      <c r="M748" s="294"/>
      <c r="S748" s="294"/>
      <c r="T748" s="299"/>
      <c r="U748" s="294"/>
      <c r="V748" s="299"/>
      <c r="W748" s="299"/>
      <c r="X748" s="294"/>
      <c r="Y748" s="299"/>
      <c r="Z748" s="294"/>
      <c r="AA748" s="299"/>
      <c r="AB748" s="299"/>
      <c r="AC748" s="294"/>
      <c r="AD748" s="294"/>
      <c r="AE748" s="294"/>
      <c r="AF748" s="294"/>
    </row>
    <row r="749" spans="2:32" x14ac:dyDescent="0.25">
      <c r="B749" s="294"/>
      <c r="C749" s="294"/>
      <c r="D749" s="294"/>
      <c r="E749" s="294"/>
      <c r="F749" s="294"/>
      <c r="G749" s="294"/>
      <c r="H749" s="294"/>
      <c r="I749" s="294"/>
      <c r="J749" s="294"/>
      <c r="L749" s="295"/>
      <c r="M749" s="294"/>
      <c r="S749" s="294"/>
      <c r="T749" s="299"/>
      <c r="U749" s="294"/>
      <c r="V749" s="299"/>
      <c r="W749" s="299"/>
      <c r="X749" s="294"/>
      <c r="Y749" s="299"/>
      <c r="Z749" s="294"/>
      <c r="AA749" s="299"/>
      <c r="AB749" s="299"/>
      <c r="AC749" s="294"/>
      <c r="AD749" s="294"/>
      <c r="AE749" s="294"/>
      <c r="AF749" s="294"/>
    </row>
    <row r="750" spans="2:32" x14ac:dyDescent="0.25">
      <c r="B750" s="294"/>
      <c r="C750" s="294"/>
      <c r="D750" s="294"/>
      <c r="E750" s="294"/>
      <c r="F750" s="294"/>
      <c r="G750" s="294"/>
      <c r="H750" s="294"/>
      <c r="I750" s="294"/>
      <c r="J750" s="294"/>
      <c r="L750" s="295"/>
      <c r="M750" s="294"/>
      <c r="S750" s="294"/>
      <c r="T750" s="299"/>
      <c r="U750" s="294"/>
      <c r="V750" s="299"/>
      <c r="W750" s="299"/>
      <c r="X750" s="294"/>
      <c r="Y750" s="299"/>
      <c r="Z750" s="294"/>
      <c r="AA750" s="299"/>
      <c r="AB750" s="299"/>
      <c r="AC750" s="294"/>
      <c r="AD750" s="294"/>
      <c r="AE750" s="294"/>
      <c r="AF750" s="294"/>
    </row>
    <row r="751" spans="2:32" x14ac:dyDescent="0.25">
      <c r="B751" s="294"/>
      <c r="C751" s="294"/>
      <c r="D751" s="294"/>
      <c r="E751" s="294"/>
      <c r="F751" s="294"/>
      <c r="G751" s="294"/>
      <c r="H751" s="294"/>
      <c r="I751" s="294"/>
      <c r="J751" s="294"/>
      <c r="L751" s="295"/>
      <c r="M751" s="294"/>
      <c r="S751" s="294"/>
      <c r="T751" s="299"/>
      <c r="U751" s="294"/>
      <c r="V751" s="299"/>
      <c r="W751" s="299"/>
      <c r="X751" s="294"/>
      <c r="Y751" s="299"/>
      <c r="Z751" s="294"/>
      <c r="AA751" s="299"/>
      <c r="AB751" s="299"/>
      <c r="AC751" s="294"/>
      <c r="AD751" s="294"/>
      <c r="AE751" s="294"/>
      <c r="AF751" s="294"/>
    </row>
    <row r="752" spans="2:32" x14ac:dyDescent="0.25">
      <c r="B752" s="294"/>
      <c r="C752" s="294"/>
      <c r="D752" s="294"/>
      <c r="E752" s="294"/>
      <c r="F752" s="294"/>
      <c r="G752" s="294"/>
      <c r="H752" s="294"/>
      <c r="I752" s="294"/>
      <c r="J752" s="294"/>
      <c r="L752" s="295"/>
      <c r="M752" s="294"/>
      <c r="S752" s="294"/>
      <c r="T752" s="299"/>
      <c r="U752" s="294"/>
      <c r="V752" s="299"/>
      <c r="W752" s="299"/>
      <c r="X752" s="294"/>
      <c r="Y752" s="299"/>
      <c r="Z752" s="294"/>
      <c r="AA752" s="299"/>
      <c r="AB752" s="299"/>
      <c r="AC752" s="294"/>
      <c r="AD752" s="294"/>
      <c r="AE752" s="294"/>
      <c r="AF752" s="294"/>
    </row>
    <row r="753" spans="2:32" x14ac:dyDescent="0.25">
      <c r="B753" s="294"/>
      <c r="C753" s="294"/>
      <c r="D753" s="294"/>
      <c r="E753" s="294"/>
      <c r="F753" s="294"/>
      <c r="G753" s="294"/>
      <c r="H753" s="294"/>
      <c r="I753" s="294"/>
      <c r="J753" s="294"/>
      <c r="L753" s="295"/>
      <c r="M753" s="294"/>
      <c r="S753" s="294"/>
      <c r="T753" s="299"/>
      <c r="U753" s="294"/>
      <c r="V753" s="299"/>
      <c r="W753" s="299"/>
      <c r="X753" s="294"/>
      <c r="Y753" s="299"/>
      <c r="Z753" s="294"/>
      <c r="AA753" s="299"/>
      <c r="AB753" s="299"/>
      <c r="AC753" s="294"/>
      <c r="AD753" s="294"/>
      <c r="AE753" s="294"/>
      <c r="AF753" s="294"/>
    </row>
    <row r="754" spans="2:32" x14ac:dyDescent="0.25">
      <c r="B754" s="294"/>
      <c r="C754" s="294"/>
      <c r="D754" s="294"/>
      <c r="E754" s="294"/>
      <c r="F754" s="294"/>
      <c r="G754" s="294"/>
      <c r="H754" s="294"/>
      <c r="I754" s="294"/>
      <c r="J754" s="294"/>
      <c r="L754" s="295"/>
      <c r="M754" s="294"/>
      <c r="S754" s="294"/>
      <c r="T754" s="299"/>
      <c r="U754" s="294"/>
      <c r="V754" s="299"/>
      <c r="W754" s="299"/>
      <c r="X754" s="294"/>
      <c r="Y754" s="299"/>
      <c r="Z754" s="294"/>
      <c r="AA754" s="299"/>
      <c r="AB754" s="299"/>
      <c r="AC754" s="294"/>
      <c r="AD754" s="294"/>
      <c r="AE754" s="294"/>
      <c r="AF754" s="294"/>
    </row>
    <row r="755" spans="2:32" x14ac:dyDescent="0.25">
      <c r="B755" s="294"/>
      <c r="C755" s="294"/>
      <c r="D755" s="294"/>
      <c r="E755" s="294"/>
      <c r="F755" s="294"/>
      <c r="G755" s="294"/>
      <c r="H755" s="294"/>
      <c r="I755" s="294"/>
      <c r="J755" s="294"/>
      <c r="L755" s="295"/>
      <c r="M755" s="294"/>
      <c r="S755" s="294"/>
      <c r="T755" s="299"/>
      <c r="U755" s="294"/>
      <c r="V755" s="299"/>
      <c r="W755" s="299"/>
      <c r="X755" s="294"/>
      <c r="Y755" s="299"/>
      <c r="Z755" s="294"/>
      <c r="AA755" s="299"/>
      <c r="AB755" s="299"/>
      <c r="AC755" s="294"/>
      <c r="AD755" s="294"/>
      <c r="AE755" s="294"/>
      <c r="AF755" s="294"/>
    </row>
    <row r="756" spans="2:32" x14ac:dyDescent="0.25">
      <c r="B756" s="294"/>
      <c r="C756" s="294"/>
      <c r="D756" s="294"/>
      <c r="E756" s="294"/>
      <c r="F756" s="294"/>
      <c r="G756" s="294"/>
      <c r="H756" s="294"/>
      <c r="I756" s="294"/>
      <c r="J756" s="294"/>
      <c r="L756" s="295"/>
      <c r="M756" s="294"/>
      <c r="S756" s="294"/>
      <c r="T756" s="299"/>
      <c r="U756" s="294"/>
      <c r="V756" s="299"/>
      <c r="W756" s="299"/>
      <c r="X756" s="294"/>
      <c r="Y756" s="299"/>
      <c r="Z756" s="294"/>
      <c r="AA756" s="299"/>
      <c r="AB756" s="299"/>
      <c r="AC756" s="294"/>
      <c r="AD756" s="294"/>
      <c r="AE756" s="294"/>
      <c r="AF756" s="294"/>
    </row>
    <row r="757" spans="2:32" x14ac:dyDescent="0.25">
      <c r="B757" s="294"/>
      <c r="C757" s="294"/>
      <c r="D757" s="294"/>
      <c r="E757" s="294"/>
      <c r="F757" s="294"/>
      <c r="G757" s="294"/>
      <c r="H757" s="294"/>
      <c r="I757" s="294"/>
      <c r="J757" s="294"/>
      <c r="L757" s="295"/>
      <c r="M757" s="294"/>
      <c r="S757" s="294"/>
      <c r="T757" s="299"/>
      <c r="U757" s="294"/>
      <c r="V757" s="299"/>
      <c r="W757" s="299"/>
      <c r="X757" s="294"/>
      <c r="Y757" s="299"/>
      <c r="Z757" s="294"/>
      <c r="AA757" s="299"/>
      <c r="AB757" s="299"/>
      <c r="AC757" s="294"/>
      <c r="AD757" s="294"/>
      <c r="AE757" s="294"/>
      <c r="AF757" s="294"/>
    </row>
    <row r="758" spans="2:32" x14ac:dyDescent="0.25">
      <c r="B758" s="294"/>
      <c r="C758" s="294"/>
      <c r="D758" s="294"/>
      <c r="E758" s="294"/>
      <c r="F758" s="294"/>
      <c r="G758" s="294"/>
      <c r="H758" s="294"/>
      <c r="I758" s="294"/>
      <c r="J758" s="294"/>
      <c r="L758" s="295"/>
      <c r="M758" s="294"/>
      <c r="S758" s="294"/>
      <c r="T758" s="299"/>
      <c r="U758" s="294"/>
      <c r="V758" s="299"/>
      <c r="W758" s="299"/>
      <c r="X758" s="294"/>
      <c r="Y758" s="299"/>
      <c r="Z758" s="294"/>
      <c r="AA758" s="299"/>
      <c r="AB758" s="299"/>
      <c r="AC758" s="294"/>
      <c r="AD758" s="294"/>
      <c r="AE758" s="294"/>
      <c r="AF758" s="294"/>
    </row>
    <row r="759" spans="2:32" x14ac:dyDescent="0.25">
      <c r="B759" s="294"/>
      <c r="C759" s="294"/>
      <c r="D759" s="294"/>
      <c r="E759" s="294"/>
      <c r="F759" s="294"/>
      <c r="G759" s="294"/>
      <c r="H759" s="294"/>
      <c r="I759" s="294"/>
      <c r="J759" s="294"/>
      <c r="L759" s="295"/>
      <c r="M759" s="294"/>
      <c r="S759" s="294"/>
      <c r="T759" s="299"/>
      <c r="U759" s="294"/>
      <c r="V759" s="299"/>
      <c r="W759" s="299"/>
      <c r="X759" s="294"/>
      <c r="Y759" s="299"/>
      <c r="Z759" s="294"/>
      <c r="AA759" s="299"/>
      <c r="AB759" s="299"/>
      <c r="AC759" s="294"/>
      <c r="AD759" s="294"/>
      <c r="AE759" s="294"/>
      <c r="AF759" s="294"/>
    </row>
    <row r="760" spans="2:32" x14ac:dyDescent="0.25">
      <c r="B760" s="294"/>
      <c r="C760" s="294"/>
      <c r="D760" s="294"/>
      <c r="E760" s="294"/>
      <c r="F760" s="294"/>
      <c r="G760" s="294"/>
      <c r="H760" s="294"/>
      <c r="I760" s="294"/>
      <c r="J760" s="294"/>
      <c r="L760" s="295"/>
      <c r="M760" s="294"/>
      <c r="S760" s="294"/>
      <c r="T760" s="299"/>
      <c r="U760" s="294"/>
      <c r="V760" s="299"/>
      <c r="W760" s="299"/>
      <c r="X760" s="294"/>
      <c r="Y760" s="299"/>
      <c r="Z760" s="294"/>
      <c r="AA760" s="299"/>
      <c r="AB760" s="299"/>
      <c r="AC760" s="294"/>
      <c r="AD760" s="294"/>
      <c r="AE760" s="294"/>
      <c r="AF760" s="294"/>
    </row>
    <row r="761" spans="2:32" x14ac:dyDescent="0.25">
      <c r="B761" s="294"/>
      <c r="C761" s="294"/>
      <c r="D761" s="294"/>
      <c r="E761" s="294"/>
      <c r="F761" s="294"/>
      <c r="G761" s="294"/>
      <c r="H761" s="294"/>
      <c r="I761" s="294"/>
      <c r="J761" s="294"/>
      <c r="L761" s="295"/>
      <c r="M761" s="294"/>
      <c r="S761" s="294"/>
      <c r="T761" s="299"/>
      <c r="U761" s="294"/>
      <c r="V761" s="299"/>
      <c r="W761" s="299"/>
      <c r="X761" s="294"/>
      <c r="Y761" s="299"/>
      <c r="Z761" s="294"/>
      <c r="AA761" s="299"/>
      <c r="AB761" s="299"/>
      <c r="AC761" s="294"/>
      <c r="AD761" s="294"/>
      <c r="AE761" s="294"/>
      <c r="AF761" s="294"/>
    </row>
    <row r="762" spans="2:32" x14ac:dyDescent="0.25">
      <c r="B762" s="294"/>
      <c r="C762" s="294"/>
      <c r="D762" s="294"/>
      <c r="E762" s="294"/>
      <c r="F762" s="294"/>
      <c r="G762" s="294"/>
      <c r="H762" s="294"/>
      <c r="I762" s="294"/>
      <c r="J762" s="294"/>
      <c r="L762" s="295"/>
      <c r="M762" s="294"/>
      <c r="S762" s="294"/>
      <c r="T762" s="299"/>
      <c r="U762" s="294"/>
      <c r="V762" s="299"/>
      <c r="W762" s="299"/>
      <c r="X762" s="294"/>
      <c r="Y762" s="299"/>
      <c r="Z762" s="294"/>
      <c r="AA762" s="299"/>
      <c r="AB762" s="299"/>
      <c r="AC762" s="294"/>
      <c r="AD762" s="294"/>
      <c r="AE762" s="294"/>
      <c r="AF762" s="294"/>
    </row>
    <row r="763" spans="2:32" x14ac:dyDescent="0.25">
      <c r="B763" s="294"/>
      <c r="C763" s="294"/>
      <c r="D763" s="294"/>
      <c r="E763" s="294"/>
      <c r="F763" s="294"/>
      <c r="G763" s="294"/>
      <c r="H763" s="294"/>
      <c r="I763" s="294"/>
      <c r="J763" s="294"/>
      <c r="L763" s="295"/>
      <c r="M763" s="294"/>
      <c r="S763" s="294"/>
      <c r="T763" s="299"/>
      <c r="U763" s="294"/>
      <c r="V763" s="299"/>
      <c r="W763" s="299"/>
      <c r="X763" s="294"/>
      <c r="Y763" s="299"/>
      <c r="Z763" s="294"/>
      <c r="AA763" s="299"/>
      <c r="AB763" s="299"/>
      <c r="AC763" s="294"/>
      <c r="AD763" s="294"/>
      <c r="AE763" s="294"/>
      <c r="AF763" s="294"/>
    </row>
    <row r="764" spans="2:32" x14ac:dyDescent="0.25">
      <c r="B764" s="294"/>
      <c r="C764" s="294"/>
      <c r="D764" s="294"/>
      <c r="E764" s="294"/>
      <c r="F764" s="294"/>
      <c r="G764" s="294"/>
      <c r="H764" s="294"/>
      <c r="I764" s="294"/>
      <c r="J764" s="294"/>
      <c r="L764" s="295"/>
      <c r="M764" s="294"/>
      <c r="S764" s="294"/>
      <c r="T764" s="299"/>
      <c r="U764" s="294"/>
      <c r="V764" s="299"/>
      <c r="W764" s="299"/>
      <c r="X764" s="294"/>
      <c r="Y764" s="299"/>
      <c r="Z764" s="294"/>
      <c r="AA764" s="299"/>
      <c r="AB764" s="299"/>
      <c r="AC764" s="294"/>
      <c r="AD764" s="294"/>
      <c r="AE764" s="294"/>
      <c r="AF764" s="294"/>
    </row>
    <row r="765" spans="2:32" x14ac:dyDescent="0.25">
      <c r="B765" s="294"/>
      <c r="C765" s="294"/>
      <c r="D765" s="294"/>
      <c r="E765" s="294"/>
      <c r="F765" s="294"/>
      <c r="G765" s="294"/>
      <c r="H765" s="294"/>
      <c r="I765" s="294"/>
      <c r="J765" s="294"/>
      <c r="L765" s="295"/>
      <c r="M765" s="294"/>
      <c r="S765" s="294"/>
      <c r="T765" s="299"/>
      <c r="U765" s="294"/>
      <c r="V765" s="299"/>
      <c r="W765" s="299"/>
      <c r="X765" s="294"/>
      <c r="Y765" s="299"/>
      <c r="Z765" s="294"/>
      <c r="AA765" s="299"/>
      <c r="AB765" s="299"/>
      <c r="AC765" s="294"/>
      <c r="AD765" s="294"/>
      <c r="AE765" s="294"/>
      <c r="AF765" s="294"/>
    </row>
    <row r="766" spans="2:32" x14ac:dyDescent="0.25">
      <c r="B766" s="294"/>
      <c r="C766" s="294"/>
      <c r="D766" s="294"/>
      <c r="E766" s="294"/>
      <c r="F766" s="294"/>
      <c r="G766" s="294"/>
      <c r="H766" s="294"/>
      <c r="I766" s="294"/>
      <c r="J766" s="294"/>
      <c r="L766" s="295"/>
      <c r="M766" s="294"/>
      <c r="S766" s="294"/>
      <c r="T766" s="299"/>
      <c r="U766" s="294"/>
      <c r="V766" s="299"/>
      <c r="W766" s="299"/>
      <c r="X766" s="294"/>
      <c r="Y766" s="299"/>
      <c r="Z766" s="294"/>
      <c r="AA766" s="299"/>
      <c r="AB766" s="299"/>
      <c r="AC766" s="294"/>
      <c r="AD766" s="294"/>
      <c r="AE766" s="294"/>
      <c r="AF766" s="294"/>
    </row>
    <row r="767" spans="2:32" x14ac:dyDescent="0.25">
      <c r="B767" s="294"/>
      <c r="C767" s="294"/>
      <c r="D767" s="294"/>
      <c r="E767" s="294"/>
      <c r="F767" s="294"/>
      <c r="G767" s="294"/>
      <c r="H767" s="294"/>
      <c r="I767" s="294"/>
      <c r="J767" s="294"/>
      <c r="L767" s="295"/>
      <c r="M767" s="294"/>
      <c r="S767" s="294"/>
      <c r="T767" s="299"/>
      <c r="U767" s="294"/>
      <c r="V767" s="299"/>
      <c r="W767" s="299"/>
      <c r="X767" s="294"/>
      <c r="Y767" s="299"/>
      <c r="Z767" s="294"/>
      <c r="AA767" s="299"/>
      <c r="AB767" s="299"/>
      <c r="AC767" s="294"/>
      <c r="AD767" s="294"/>
      <c r="AE767" s="294"/>
      <c r="AF767" s="294"/>
    </row>
    <row r="768" spans="2:32" x14ac:dyDescent="0.25">
      <c r="B768" s="294"/>
      <c r="C768" s="294"/>
      <c r="D768" s="294"/>
      <c r="E768" s="294"/>
      <c r="F768" s="294"/>
      <c r="G768" s="294"/>
      <c r="H768" s="294"/>
      <c r="I768" s="294"/>
      <c r="J768" s="294"/>
      <c r="L768" s="295"/>
      <c r="M768" s="294"/>
      <c r="S768" s="294"/>
      <c r="T768" s="299"/>
      <c r="U768" s="294"/>
      <c r="V768" s="299"/>
      <c r="W768" s="299"/>
      <c r="X768" s="294"/>
      <c r="Y768" s="299"/>
      <c r="Z768" s="294"/>
      <c r="AA768" s="299"/>
      <c r="AB768" s="299"/>
      <c r="AC768" s="294"/>
      <c r="AD768" s="294"/>
      <c r="AE768" s="294"/>
      <c r="AF768" s="294"/>
    </row>
    <row r="769" spans="2:32" x14ac:dyDescent="0.25">
      <c r="B769" s="294"/>
      <c r="C769" s="294"/>
      <c r="D769" s="294"/>
      <c r="E769" s="294"/>
      <c r="F769" s="294"/>
      <c r="G769" s="294"/>
      <c r="H769" s="294"/>
      <c r="I769" s="294"/>
      <c r="J769" s="294"/>
      <c r="L769" s="295"/>
      <c r="M769" s="294"/>
      <c r="S769" s="294"/>
      <c r="T769" s="299"/>
      <c r="U769" s="294"/>
      <c r="V769" s="299"/>
      <c r="W769" s="299"/>
      <c r="X769" s="294"/>
      <c r="Y769" s="299"/>
      <c r="Z769" s="294"/>
      <c r="AA769" s="299"/>
      <c r="AB769" s="299"/>
      <c r="AC769" s="294"/>
      <c r="AD769" s="294"/>
      <c r="AE769" s="294"/>
      <c r="AF769" s="294"/>
    </row>
    <row r="770" spans="2:32" x14ac:dyDescent="0.25">
      <c r="B770" s="294"/>
      <c r="C770" s="294"/>
      <c r="D770" s="294"/>
      <c r="E770" s="294"/>
      <c r="F770" s="294"/>
      <c r="G770" s="294"/>
      <c r="H770" s="294"/>
      <c r="I770" s="294"/>
      <c r="J770" s="294"/>
      <c r="L770" s="295"/>
      <c r="M770" s="294"/>
      <c r="S770" s="294"/>
      <c r="T770" s="299"/>
      <c r="U770" s="294"/>
      <c r="V770" s="299"/>
      <c r="W770" s="299"/>
      <c r="X770" s="294"/>
      <c r="Y770" s="299"/>
      <c r="Z770" s="294"/>
      <c r="AA770" s="299"/>
      <c r="AB770" s="299"/>
      <c r="AC770" s="294"/>
      <c r="AD770" s="294"/>
      <c r="AE770" s="294"/>
      <c r="AF770" s="294"/>
    </row>
    <row r="771" spans="2:32" x14ac:dyDescent="0.25">
      <c r="B771" s="294"/>
      <c r="C771" s="294"/>
      <c r="D771" s="294"/>
      <c r="E771" s="294"/>
      <c r="F771" s="294"/>
      <c r="G771" s="294"/>
      <c r="H771" s="294"/>
      <c r="I771" s="294"/>
      <c r="J771" s="294"/>
      <c r="L771" s="295"/>
      <c r="M771" s="294"/>
      <c r="S771" s="294"/>
      <c r="T771" s="299"/>
      <c r="U771" s="294"/>
      <c r="V771" s="299"/>
      <c r="W771" s="299"/>
      <c r="X771" s="294"/>
      <c r="Y771" s="299"/>
      <c r="Z771" s="294"/>
      <c r="AA771" s="299"/>
      <c r="AB771" s="299"/>
      <c r="AC771" s="294"/>
      <c r="AD771" s="294"/>
      <c r="AE771" s="294"/>
      <c r="AF771" s="294"/>
    </row>
    <row r="772" spans="2:32" x14ac:dyDescent="0.25">
      <c r="B772" s="294"/>
      <c r="C772" s="294"/>
      <c r="D772" s="294"/>
      <c r="E772" s="294"/>
      <c r="F772" s="294"/>
      <c r="G772" s="294"/>
      <c r="H772" s="294"/>
      <c r="I772" s="294"/>
      <c r="J772" s="294"/>
      <c r="L772" s="295"/>
      <c r="M772" s="294"/>
      <c r="S772" s="294"/>
      <c r="T772" s="299"/>
      <c r="U772" s="294"/>
      <c r="V772" s="299"/>
      <c r="W772" s="299"/>
      <c r="X772" s="294"/>
      <c r="Y772" s="299"/>
      <c r="Z772" s="294"/>
      <c r="AA772" s="299"/>
      <c r="AB772" s="299"/>
      <c r="AC772" s="294"/>
      <c r="AD772" s="294"/>
      <c r="AE772" s="294"/>
      <c r="AF772" s="294"/>
    </row>
    <row r="773" spans="2:32" x14ac:dyDescent="0.25">
      <c r="B773" s="294"/>
      <c r="C773" s="294"/>
      <c r="D773" s="294"/>
      <c r="E773" s="294"/>
      <c r="F773" s="294"/>
      <c r="G773" s="294"/>
      <c r="H773" s="294"/>
      <c r="I773" s="294"/>
      <c r="J773" s="294"/>
      <c r="L773" s="295"/>
      <c r="M773" s="294"/>
      <c r="S773" s="294"/>
      <c r="T773" s="299"/>
      <c r="U773" s="294"/>
      <c r="V773" s="299"/>
      <c r="W773" s="299"/>
      <c r="X773" s="294"/>
      <c r="Y773" s="299"/>
      <c r="Z773" s="294"/>
      <c r="AA773" s="299"/>
      <c r="AB773" s="299"/>
      <c r="AC773" s="294"/>
      <c r="AD773" s="294"/>
      <c r="AE773" s="294"/>
      <c r="AF773" s="294"/>
    </row>
    <row r="774" spans="2:32" x14ac:dyDescent="0.25">
      <c r="B774" s="294"/>
      <c r="C774" s="294"/>
      <c r="D774" s="294"/>
      <c r="E774" s="294"/>
      <c r="F774" s="294"/>
      <c r="G774" s="294"/>
      <c r="H774" s="294"/>
      <c r="I774" s="294"/>
      <c r="J774" s="294"/>
      <c r="L774" s="295"/>
      <c r="M774" s="294"/>
      <c r="S774" s="294"/>
      <c r="T774" s="299"/>
      <c r="U774" s="294"/>
      <c r="V774" s="299"/>
      <c r="W774" s="299"/>
      <c r="X774" s="294"/>
      <c r="Y774" s="299"/>
      <c r="Z774" s="294"/>
      <c r="AA774" s="299"/>
      <c r="AB774" s="299"/>
      <c r="AC774" s="294"/>
      <c r="AD774" s="294"/>
      <c r="AE774" s="294"/>
      <c r="AF774" s="294"/>
    </row>
    <row r="775" spans="2:32" x14ac:dyDescent="0.25">
      <c r="B775" s="294"/>
      <c r="C775" s="294"/>
      <c r="D775" s="294"/>
      <c r="E775" s="294"/>
      <c r="F775" s="294"/>
      <c r="G775" s="294"/>
      <c r="H775" s="294"/>
      <c r="I775" s="294"/>
      <c r="J775" s="294"/>
      <c r="L775" s="295"/>
      <c r="M775" s="294"/>
      <c r="S775" s="294"/>
      <c r="T775" s="299"/>
      <c r="U775" s="294"/>
      <c r="V775" s="299"/>
      <c r="W775" s="299"/>
      <c r="X775" s="294"/>
      <c r="Y775" s="299"/>
      <c r="Z775" s="294"/>
      <c r="AA775" s="299"/>
      <c r="AB775" s="299"/>
      <c r="AC775" s="294"/>
      <c r="AD775" s="294"/>
      <c r="AE775" s="294"/>
      <c r="AF775" s="294"/>
    </row>
    <row r="776" spans="2:32" x14ac:dyDescent="0.25">
      <c r="B776" s="294"/>
      <c r="C776" s="294"/>
      <c r="D776" s="294"/>
      <c r="E776" s="294"/>
      <c r="F776" s="294"/>
      <c r="G776" s="294"/>
      <c r="H776" s="294"/>
      <c r="I776" s="294"/>
      <c r="J776" s="294"/>
      <c r="L776" s="295"/>
      <c r="M776" s="294"/>
      <c r="S776" s="294"/>
      <c r="T776" s="299"/>
      <c r="U776" s="294"/>
      <c r="V776" s="299"/>
      <c r="W776" s="299"/>
      <c r="X776" s="294"/>
      <c r="Y776" s="299"/>
      <c r="Z776" s="294"/>
      <c r="AA776" s="299"/>
      <c r="AB776" s="299"/>
      <c r="AC776" s="294"/>
      <c r="AD776" s="294"/>
      <c r="AE776" s="294"/>
      <c r="AF776" s="294"/>
    </row>
    <row r="777" spans="2:32" x14ac:dyDescent="0.25">
      <c r="B777" s="294"/>
      <c r="C777" s="294"/>
      <c r="D777" s="294"/>
      <c r="E777" s="294"/>
      <c r="F777" s="294"/>
      <c r="G777" s="294"/>
      <c r="H777" s="294"/>
      <c r="I777" s="294"/>
      <c r="J777" s="294"/>
      <c r="L777" s="295"/>
      <c r="M777" s="294"/>
      <c r="S777" s="294"/>
      <c r="T777" s="299"/>
      <c r="U777" s="294"/>
      <c r="V777" s="299"/>
      <c r="W777" s="299"/>
      <c r="X777" s="294"/>
      <c r="Y777" s="299"/>
      <c r="Z777" s="294"/>
      <c r="AA777" s="299"/>
      <c r="AB777" s="299"/>
      <c r="AC777" s="294"/>
      <c r="AD777" s="294"/>
      <c r="AE777" s="294"/>
      <c r="AF777" s="294"/>
    </row>
    <row r="778" spans="2:32" x14ac:dyDescent="0.25">
      <c r="B778" s="294"/>
      <c r="C778" s="294"/>
      <c r="D778" s="294"/>
      <c r="E778" s="294"/>
      <c r="F778" s="294"/>
      <c r="G778" s="294"/>
      <c r="H778" s="294"/>
      <c r="I778" s="294"/>
      <c r="J778" s="294"/>
      <c r="L778" s="295"/>
      <c r="M778" s="294"/>
      <c r="S778" s="294"/>
      <c r="T778" s="299"/>
      <c r="U778" s="294"/>
      <c r="V778" s="299"/>
      <c r="W778" s="299"/>
      <c r="X778" s="294"/>
      <c r="Y778" s="299"/>
      <c r="Z778" s="294"/>
      <c r="AA778" s="299"/>
      <c r="AB778" s="299"/>
      <c r="AC778" s="294"/>
      <c r="AD778" s="294"/>
      <c r="AE778" s="294"/>
      <c r="AF778" s="294"/>
    </row>
    <row r="779" spans="2:32" x14ac:dyDescent="0.25">
      <c r="B779" s="294"/>
      <c r="C779" s="294"/>
      <c r="D779" s="294"/>
      <c r="E779" s="294"/>
      <c r="F779" s="294"/>
      <c r="G779" s="294"/>
      <c r="H779" s="294"/>
      <c r="I779" s="294"/>
      <c r="J779" s="294"/>
      <c r="L779" s="295"/>
      <c r="M779" s="294"/>
      <c r="S779" s="294"/>
      <c r="T779" s="299"/>
      <c r="U779" s="294"/>
      <c r="V779" s="299"/>
      <c r="W779" s="299"/>
      <c r="X779" s="294"/>
      <c r="Y779" s="299"/>
      <c r="Z779" s="294"/>
      <c r="AA779" s="299"/>
      <c r="AB779" s="299"/>
      <c r="AC779" s="294"/>
      <c r="AD779" s="294"/>
      <c r="AE779" s="294"/>
      <c r="AF779" s="294"/>
    </row>
    <row r="780" spans="2:32" x14ac:dyDescent="0.25">
      <c r="B780" s="294"/>
      <c r="C780" s="294"/>
      <c r="D780" s="294"/>
      <c r="E780" s="294"/>
      <c r="F780" s="294"/>
      <c r="G780" s="294"/>
      <c r="H780" s="294"/>
      <c r="I780" s="294"/>
      <c r="J780" s="294"/>
      <c r="L780" s="295"/>
      <c r="M780" s="294"/>
      <c r="S780" s="294"/>
      <c r="T780" s="299"/>
      <c r="U780" s="294"/>
      <c r="V780" s="299"/>
      <c r="W780" s="299"/>
      <c r="X780" s="294"/>
      <c r="Y780" s="299"/>
      <c r="Z780" s="294"/>
      <c r="AA780" s="299"/>
      <c r="AB780" s="299"/>
      <c r="AC780" s="294"/>
      <c r="AD780" s="294"/>
      <c r="AE780" s="294"/>
      <c r="AF780" s="294"/>
    </row>
    <row r="781" spans="2:32" x14ac:dyDescent="0.25">
      <c r="B781" s="294"/>
      <c r="C781" s="294"/>
      <c r="D781" s="294"/>
      <c r="E781" s="294"/>
      <c r="F781" s="294"/>
      <c r="G781" s="294"/>
      <c r="H781" s="294"/>
      <c r="I781" s="294"/>
      <c r="J781" s="294"/>
      <c r="L781" s="295"/>
      <c r="M781" s="294"/>
      <c r="S781" s="294"/>
      <c r="T781" s="299"/>
      <c r="U781" s="294"/>
      <c r="V781" s="299"/>
      <c r="W781" s="299"/>
      <c r="X781" s="294"/>
      <c r="Y781" s="299"/>
      <c r="Z781" s="294"/>
      <c r="AA781" s="299"/>
      <c r="AB781" s="299"/>
      <c r="AC781" s="294"/>
      <c r="AD781" s="294"/>
      <c r="AE781" s="294"/>
      <c r="AF781" s="294"/>
    </row>
    <row r="782" spans="2:32" x14ac:dyDescent="0.25">
      <c r="B782" s="294"/>
      <c r="C782" s="294"/>
      <c r="D782" s="294"/>
      <c r="E782" s="294"/>
      <c r="F782" s="294"/>
      <c r="G782" s="294"/>
      <c r="H782" s="294"/>
      <c r="I782" s="294"/>
      <c r="J782" s="294"/>
      <c r="L782" s="295"/>
      <c r="M782" s="294"/>
      <c r="S782" s="294"/>
      <c r="T782" s="299"/>
      <c r="U782" s="294"/>
      <c r="V782" s="299"/>
      <c r="W782" s="299"/>
      <c r="X782" s="294"/>
      <c r="Y782" s="299"/>
      <c r="Z782" s="294"/>
      <c r="AA782" s="299"/>
      <c r="AB782" s="299"/>
      <c r="AC782" s="294"/>
      <c r="AD782" s="294"/>
      <c r="AE782" s="294"/>
      <c r="AF782" s="294"/>
    </row>
    <row r="783" spans="2:32" x14ac:dyDescent="0.25">
      <c r="B783" s="294"/>
      <c r="C783" s="294"/>
      <c r="D783" s="294"/>
      <c r="E783" s="294"/>
      <c r="F783" s="294"/>
      <c r="G783" s="294"/>
      <c r="H783" s="294"/>
      <c r="I783" s="294"/>
      <c r="J783" s="294"/>
      <c r="L783" s="295"/>
      <c r="M783" s="294"/>
      <c r="S783" s="294"/>
      <c r="T783" s="299"/>
      <c r="U783" s="294"/>
      <c r="V783" s="299"/>
      <c r="W783" s="299"/>
      <c r="X783" s="294"/>
      <c r="Y783" s="299"/>
      <c r="Z783" s="294"/>
      <c r="AA783" s="299"/>
      <c r="AB783" s="299"/>
      <c r="AC783" s="294"/>
      <c r="AD783" s="294"/>
      <c r="AE783" s="294"/>
      <c r="AF783" s="294"/>
    </row>
    <row r="784" spans="2:32" x14ac:dyDescent="0.25">
      <c r="B784" s="294"/>
      <c r="C784" s="294"/>
      <c r="D784" s="294"/>
      <c r="E784" s="294"/>
      <c r="F784" s="294"/>
      <c r="G784" s="294"/>
      <c r="H784" s="294"/>
      <c r="I784" s="294"/>
      <c r="J784" s="294"/>
      <c r="L784" s="295"/>
      <c r="M784" s="294"/>
      <c r="S784" s="294"/>
      <c r="T784" s="299"/>
      <c r="U784" s="294"/>
      <c r="V784" s="299"/>
      <c r="W784" s="299"/>
      <c r="X784" s="294"/>
      <c r="Y784" s="299"/>
      <c r="Z784" s="294"/>
      <c r="AA784" s="299"/>
      <c r="AB784" s="299"/>
      <c r="AC784" s="294"/>
      <c r="AD784" s="294"/>
      <c r="AE784" s="294"/>
      <c r="AF784" s="294"/>
    </row>
    <row r="785" spans="2:32" x14ac:dyDescent="0.25">
      <c r="B785" s="294"/>
      <c r="C785" s="294"/>
      <c r="D785" s="294"/>
      <c r="E785" s="294"/>
      <c r="F785" s="294"/>
      <c r="G785" s="294"/>
      <c r="H785" s="294"/>
      <c r="I785" s="294"/>
      <c r="J785" s="294"/>
      <c r="L785" s="295"/>
      <c r="M785" s="294"/>
      <c r="S785" s="294"/>
      <c r="T785" s="299"/>
      <c r="U785" s="294"/>
      <c r="V785" s="299"/>
      <c r="W785" s="299"/>
      <c r="X785" s="294"/>
      <c r="Y785" s="299"/>
      <c r="Z785" s="294"/>
      <c r="AA785" s="299"/>
      <c r="AB785" s="299"/>
      <c r="AC785" s="294"/>
      <c r="AD785" s="294"/>
      <c r="AE785" s="294"/>
      <c r="AF785" s="294"/>
    </row>
    <row r="786" spans="2:32" x14ac:dyDescent="0.25">
      <c r="B786" s="294"/>
      <c r="C786" s="294"/>
      <c r="D786" s="294"/>
      <c r="E786" s="294"/>
      <c r="F786" s="294"/>
      <c r="G786" s="294"/>
      <c r="H786" s="294"/>
      <c r="I786" s="294"/>
      <c r="J786" s="294"/>
      <c r="L786" s="295"/>
      <c r="M786" s="294"/>
      <c r="S786" s="294"/>
      <c r="T786" s="299"/>
      <c r="U786" s="294"/>
      <c r="V786" s="299"/>
      <c r="W786" s="299"/>
      <c r="X786" s="294"/>
      <c r="Y786" s="299"/>
      <c r="Z786" s="294"/>
      <c r="AA786" s="299"/>
      <c r="AB786" s="299"/>
      <c r="AC786" s="294"/>
      <c r="AD786" s="294"/>
      <c r="AE786" s="294"/>
      <c r="AF786" s="294"/>
    </row>
    <row r="787" spans="2:32" x14ac:dyDescent="0.25">
      <c r="B787" s="294"/>
      <c r="C787" s="294"/>
      <c r="D787" s="294"/>
      <c r="E787" s="294"/>
      <c r="F787" s="294"/>
      <c r="G787" s="294"/>
      <c r="H787" s="294"/>
      <c r="I787" s="294"/>
      <c r="J787" s="294"/>
      <c r="L787" s="295"/>
      <c r="M787" s="294"/>
      <c r="S787" s="294"/>
      <c r="T787" s="299"/>
      <c r="U787" s="294"/>
      <c r="V787" s="299"/>
      <c r="W787" s="299"/>
      <c r="X787" s="294"/>
      <c r="Y787" s="299"/>
      <c r="Z787" s="294"/>
      <c r="AA787" s="299"/>
      <c r="AB787" s="299"/>
      <c r="AC787" s="294"/>
      <c r="AD787" s="294"/>
      <c r="AE787" s="294"/>
      <c r="AF787" s="294"/>
    </row>
    <row r="788" spans="2:32" x14ac:dyDescent="0.25">
      <c r="B788" s="294"/>
      <c r="C788" s="294"/>
      <c r="D788" s="294"/>
      <c r="E788" s="294"/>
      <c r="F788" s="294"/>
      <c r="G788" s="294"/>
      <c r="H788" s="294"/>
      <c r="I788" s="294"/>
      <c r="J788" s="294"/>
      <c r="L788" s="295"/>
      <c r="M788" s="294"/>
      <c r="S788" s="294"/>
      <c r="T788" s="299"/>
      <c r="U788" s="294"/>
      <c r="V788" s="299"/>
      <c r="W788" s="299"/>
      <c r="X788" s="294"/>
      <c r="Y788" s="299"/>
      <c r="Z788" s="294"/>
      <c r="AA788" s="299"/>
      <c r="AB788" s="299"/>
      <c r="AC788" s="294"/>
      <c r="AD788" s="294"/>
      <c r="AE788" s="294"/>
      <c r="AF788" s="294"/>
    </row>
    <row r="789" spans="2:32" x14ac:dyDescent="0.25">
      <c r="B789" s="294"/>
      <c r="C789" s="294"/>
      <c r="D789" s="294"/>
      <c r="E789" s="294"/>
      <c r="F789" s="294"/>
      <c r="G789" s="294"/>
      <c r="H789" s="294"/>
      <c r="I789" s="294"/>
      <c r="J789" s="294"/>
      <c r="L789" s="295"/>
      <c r="M789" s="294"/>
      <c r="S789" s="294"/>
      <c r="T789" s="299"/>
      <c r="U789" s="294"/>
      <c r="V789" s="299"/>
      <c r="W789" s="299"/>
      <c r="X789" s="294"/>
      <c r="Y789" s="299"/>
      <c r="Z789" s="294"/>
      <c r="AA789" s="299"/>
      <c r="AB789" s="299"/>
      <c r="AC789" s="294"/>
      <c r="AD789" s="294"/>
      <c r="AE789" s="294"/>
      <c r="AF789" s="294"/>
    </row>
    <row r="790" spans="2:32" x14ac:dyDescent="0.25">
      <c r="B790" s="294"/>
      <c r="C790" s="294"/>
      <c r="D790" s="294"/>
      <c r="E790" s="294"/>
      <c r="F790" s="294"/>
      <c r="G790" s="294"/>
      <c r="H790" s="294"/>
      <c r="I790" s="294"/>
      <c r="J790" s="294"/>
      <c r="L790" s="295"/>
      <c r="M790" s="294"/>
      <c r="S790" s="294"/>
      <c r="T790" s="299"/>
      <c r="U790" s="294"/>
      <c r="V790" s="299"/>
      <c r="W790" s="299"/>
      <c r="X790" s="294"/>
      <c r="Y790" s="299"/>
      <c r="Z790" s="294"/>
      <c r="AA790" s="299"/>
      <c r="AB790" s="299"/>
      <c r="AC790" s="294"/>
      <c r="AD790" s="294"/>
      <c r="AE790" s="294"/>
      <c r="AF790" s="294"/>
    </row>
    <row r="791" spans="2:32" x14ac:dyDescent="0.25">
      <c r="B791" s="294"/>
      <c r="C791" s="294"/>
      <c r="D791" s="294"/>
      <c r="E791" s="294"/>
      <c r="F791" s="294"/>
      <c r="G791" s="294"/>
      <c r="H791" s="294"/>
      <c r="I791" s="294"/>
      <c r="J791" s="294"/>
      <c r="L791" s="295"/>
      <c r="M791" s="294"/>
      <c r="S791" s="294"/>
      <c r="T791" s="299"/>
      <c r="U791" s="294"/>
      <c r="V791" s="299"/>
      <c r="W791" s="299"/>
      <c r="X791" s="294"/>
      <c r="Y791" s="299"/>
      <c r="Z791" s="294"/>
      <c r="AA791" s="299"/>
      <c r="AB791" s="299"/>
      <c r="AC791" s="294"/>
      <c r="AD791" s="294"/>
      <c r="AE791" s="294"/>
      <c r="AF791" s="294"/>
    </row>
    <row r="792" spans="2:32" x14ac:dyDescent="0.25">
      <c r="B792" s="294"/>
      <c r="C792" s="294"/>
      <c r="D792" s="294"/>
      <c r="E792" s="294"/>
      <c r="F792" s="294"/>
      <c r="G792" s="294"/>
      <c r="H792" s="294"/>
      <c r="I792" s="294"/>
      <c r="J792" s="294"/>
      <c r="L792" s="295"/>
      <c r="M792" s="294"/>
      <c r="S792" s="294"/>
      <c r="T792" s="299"/>
      <c r="U792" s="294"/>
      <c r="V792" s="299"/>
      <c r="W792" s="299"/>
      <c r="X792" s="294"/>
      <c r="Y792" s="299"/>
      <c r="Z792" s="294"/>
      <c r="AA792" s="299"/>
      <c r="AB792" s="299"/>
      <c r="AC792" s="294"/>
      <c r="AD792" s="294"/>
      <c r="AE792" s="294"/>
      <c r="AF792" s="294"/>
    </row>
    <row r="793" spans="2:32" x14ac:dyDescent="0.25">
      <c r="B793" s="294"/>
      <c r="C793" s="294"/>
      <c r="D793" s="294"/>
      <c r="E793" s="294"/>
      <c r="F793" s="294"/>
      <c r="G793" s="294"/>
      <c r="H793" s="294"/>
      <c r="I793" s="294"/>
      <c r="J793" s="294"/>
      <c r="L793" s="295"/>
      <c r="M793" s="294"/>
      <c r="S793" s="294"/>
      <c r="T793" s="299"/>
      <c r="U793" s="294"/>
      <c r="V793" s="299"/>
      <c r="W793" s="299"/>
      <c r="X793" s="294"/>
      <c r="Y793" s="299"/>
      <c r="Z793" s="294"/>
      <c r="AA793" s="299"/>
      <c r="AB793" s="299"/>
      <c r="AC793" s="294"/>
      <c r="AD793" s="294"/>
      <c r="AE793" s="294"/>
      <c r="AF793" s="294"/>
    </row>
    <row r="794" spans="2:32" x14ac:dyDescent="0.25">
      <c r="B794" s="294"/>
      <c r="C794" s="294"/>
      <c r="D794" s="294"/>
      <c r="E794" s="294"/>
      <c r="F794" s="294"/>
      <c r="G794" s="294"/>
      <c r="H794" s="294"/>
      <c r="I794" s="294"/>
      <c r="J794" s="294"/>
      <c r="L794" s="295"/>
      <c r="M794" s="294"/>
      <c r="S794" s="294"/>
      <c r="T794" s="299"/>
      <c r="U794" s="294"/>
      <c r="V794" s="299"/>
      <c r="W794" s="299"/>
      <c r="X794" s="294"/>
      <c r="Y794" s="299"/>
      <c r="Z794" s="294"/>
      <c r="AA794" s="299"/>
      <c r="AB794" s="299"/>
      <c r="AC794" s="294"/>
      <c r="AD794" s="294"/>
      <c r="AE794" s="294"/>
      <c r="AF794" s="294"/>
    </row>
    <row r="795" spans="2:32" x14ac:dyDescent="0.25">
      <c r="B795" s="294"/>
      <c r="C795" s="294"/>
      <c r="D795" s="294"/>
      <c r="E795" s="294"/>
      <c r="F795" s="294"/>
      <c r="G795" s="294"/>
      <c r="H795" s="294"/>
      <c r="I795" s="294"/>
      <c r="J795" s="294"/>
      <c r="L795" s="295"/>
      <c r="M795" s="294"/>
      <c r="S795" s="294"/>
      <c r="T795" s="299"/>
      <c r="U795" s="294"/>
      <c r="V795" s="299"/>
      <c r="W795" s="299"/>
      <c r="X795" s="294"/>
      <c r="Y795" s="299"/>
      <c r="Z795" s="294"/>
      <c r="AA795" s="299"/>
      <c r="AB795" s="299"/>
      <c r="AC795" s="294"/>
      <c r="AD795" s="294"/>
      <c r="AE795" s="294"/>
      <c r="AF795" s="294"/>
    </row>
    <row r="796" spans="2:32" x14ac:dyDescent="0.25">
      <c r="B796" s="294"/>
      <c r="C796" s="294"/>
      <c r="D796" s="294"/>
      <c r="E796" s="294"/>
      <c r="F796" s="294"/>
      <c r="G796" s="294"/>
      <c r="H796" s="294"/>
      <c r="I796" s="294"/>
      <c r="J796" s="294"/>
      <c r="L796" s="295"/>
      <c r="M796" s="294"/>
      <c r="S796" s="294"/>
      <c r="T796" s="299"/>
      <c r="U796" s="294"/>
      <c r="V796" s="299"/>
      <c r="W796" s="299"/>
      <c r="X796" s="294"/>
      <c r="Y796" s="299"/>
      <c r="Z796" s="294"/>
      <c r="AA796" s="299"/>
      <c r="AB796" s="299"/>
      <c r="AC796" s="294"/>
      <c r="AD796" s="294"/>
      <c r="AE796" s="294"/>
      <c r="AF796" s="294"/>
    </row>
    <row r="797" spans="2:32" x14ac:dyDescent="0.25">
      <c r="B797" s="294"/>
      <c r="C797" s="294"/>
      <c r="D797" s="294"/>
      <c r="E797" s="294"/>
      <c r="F797" s="294"/>
      <c r="G797" s="294"/>
      <c r="H797" s="294"/>
      <c r="I797" s="294"/>
      <c r="J797" s="294"/>
      <c r="L797" s="295"/>
      <c r="M797" s="294"/>
      <c r="S797" s="294"/>
      <c r="T797" s="299"/>
      <c r="U797" s="294"/>
      <c r="V797" s="299"/>
      <c r="W797" s="299"/>
      <c r="X797" s="294"/>
      <c r="Y797" s="299"/>
      <c r="Z797" s="294"/>
      <c r="AA797" s="299"/>
      <c r="AB797" s="299"/>
      <c r="AC797" s="294"/>
      <c r="AD797" s="294"/>
      <c r="AE797" s="294"/>
      <c r="AF797" s="294"/>
    </row>
    <row r="798" spans="2:32" x14ac:dyDescent="0.25">
      <c r="B798" s="294"/>
      <c r="C798" s="294"/>
      <c r="D798" s="294"/>
      <c r="E798" s="294"/>
      <c r="F798" s="294"/>
      <c r="G798" s="294"/>
      <c r="H798" s="294"/>
      <c r="I798" s="294"/>
      <c r="J798" s="294"/>
      <c r="L798" s="295"/>
      <c r="M798" s="294"/>
      <c r="S798" s="294"/>
      <c r="T798" s="299"/>
      <c r="U798" s="294"/>
      <c r="V798" s="299"/>
      <c r="W798" s="299"/>
      <c r="X798" s="294"/>
      <c r="Y798" s="299"/>
      <c r="Z798" s="294"/>
      <c r="AA798" s="299"/>
      <c r="AB798" s="299"/>
      <c r="AC798" s="294"/>
      <c r="AD798" s="294"/>
      <c r="AE798" s="294"/>
      <c r="AF798" s="294"/>
    </row>
    <row r="799" spans="2:32" x14ac:dyDescent="0.25">
      <c r="B799" s="294"/>
      <c r="C799" s="294"/>
      <c r="D799" s="294"/>
      <c r="E799" s="294"/>
      <c r="F799" s="294"/>
      <c r="G799" s="294"/>
      <c r="H799" s="294"/>
      <c r="I799" s="294"/>
      <c r="J799" s="294"/>
      <c r="L799" s="295"/>
      <c r="M799" s="294"/>
      <c r="S799" s="294"/>
      <c r="T799" s="299"/>
      <c r="U799" s="294"/>
      <c r="V799" s="299"/>
      <c r="W799" s="299"/>
      <c r="X799" s="294"/>
      <c r="Y799" s="299"/>
      <c r="Z799" s="294"/>
      <c r="AA799" s="299"/>
      <c r="AB799" s="299"/>
      <c r="AC799" s="294"/>
      <c r="AD799" s="294"/>
      <c r="AE799" s="294"/>
      <c r="AF799" s="294"/>
    </row>
    <row r="800" spans="2:32" x14ac:dyDescent="0.25">
      <c r="B800" s="294"/>
      <c r="C800" s="294"/>
      <c r="D800" s="294"/>
      <c r="E800" s="294"/>
      <c r="F800" s="294"/>
      <c r="G800" s="294"/>
      <c r="H800" s="294"/>
      <c r="I800" s="294"/>
      <c r="J800" s="294"/>
      <c r="L800" s="295"/>
      <c r="M800" s="294"/>
      <c r="S800" s="294"/>
      <c r="T800" s="299"/>
      <c r="U800" s="294"/>
      <c r="V800" s="299"/>
      <c r="W800" s="299"/>
      <c r="X800" s="294"/>
      <c r="Y800" s="299"/>
      <c r="Z800" s="294"/>
      <c r="AA800" s="299"/>
      <c r="AB800" s="299"/>
      <c r="AC800" s="294"/>
      <c r="AD800" s="294"/>
      <c r="AE800" s="294"/>
      <c r="AF800" s="294"/>
    </row>
    <row r="801" spans="2:32" x14ac:dyDescent="0.25">
      <c r="B801" s="294"/>
      <c r="C801" s="294"/>
      <c r="D801" s="294"/>
      <c r="E801" s="294"/>
      <c r="F801" s="294"/>
      <c r="G801" s="294"/>
      <c r="H801" s="294"/>
      <c r="I801" s="294"/>
      <c r="J801" s="294"/>
      <c r="L801" s="295"/>
      <c r="M801" s="294"/>
      <c r="S801" s="294"/>
      <c r="T801" s="299"/>
      <c r="U801" s="294"/>
      <c r="V801" s="299"/>
      <c r="W801" s="299"/>
      <c r="X801" s="294"/>
      <c r="Y801" s="299"/>
      <c r="Z801" s="294"/>
      <c r="AA801" s="299"/>
      <c r="AB801" s="299"/>
      <c r="AC801" s="294"/>
      <c r="AD801" s="294"/>
      <c r="AE801" s="294"/>
      <c r="AF801" s="294"/>
    </row>
    <row r="802" spans="2:32" x14ac:dyDescent="0.25">
      <c r="B802" s="294"/>
      <c r="C802" s="294"/>
      <c r="D802" s="294"/>
      <c r="E802" s="294"/>
      <c r="F802" s="294"/>
      <c r="G802" s="294"/>
      <c r="H802" s="294"/>
      <c r="I802" s="294"/>
      <c r="J802" s="294"/>
      <c r="L802" s="295"/>
      <c r="M802" s="294"/>
      <c r="S802" s="294"/>
      <c r="T802" s="299"/>
      <c r="U802" s="294"/>
      <c r="V802" s="299"/>
      <c r="W802" s="299"/>
      <c r="X802" s="294"/>
      <c r="Y802" s="299"/>
      <c r="Z802" s="294"/>
      <c r="AA802" s="299"/>
      <c r="AB802" s="299"/>
      <c r="AC802" s="294"/>
      <c r="AD802" s="294"/>
      <c r="AE802" s="294"/>
      <c r="AF802" s="294"/>
    </row>
    <row r="803" spans="2:32" x14ac:dyDescent="0.25">
      <c r="B803" s="294"/>
      <c r="C803" s="294"/>
      <c r="D803" s="294"/>
      <c r="E803" s="294"/>
      <c r="F803" s="294"/>
      <c r="G803" s="294"/>
      <c r="H803" s="294"/>
      <c r="I803" s="294"/>
      <c r="J803" s="294"/>
      <c r="L803" s="295"/>
      <c r="M803" s="294"/>
      <c r="S803" s="294"/>
      <c r="T803" s="299"/>
      <c r="U803" s="294"/>
      <c r="V803" s="299"/>
      <c r="W803" s="299"/>
      <c r="X803" s="294"/>
      <c r="Y803" s="299"/>
      <c r="Z803" s="294"/>
      <c r="AA803" s="299"/>
      <c r="AB803" s="299"/>
      <c r="AC803" s="294"/>
      <c r="AD803" s="294"/>
      <c r="AE803" s="294"/>
      <c r="AF803" s="294"/>
    </row>
    <row r="804" spans="2:32" x14ac:dyDescent="0.25">
      <c r="B804" s="294"/>
      <c r="C804" s="294"/>
      <c r="D804" s="294"/>
      <c r="E804" s="294"/>
      <c r="F804" s="294"/>
      <c r="G804" s="294"/>
      <c r="H804" s="294"/>
      <c r="I804" s="294"/>
      <c r="J804" s="294"/>
      <c r="L804" s="295"/>
      <c r="M804" s="294"/>
      <c r="S804" s="294"/>
      <c r="T804" s="299"/>
      <c r="U804" s="294"/>
      <c r="V804" s="299"/>
      <c r="W804" s="299"/>
      <c r="X804" s="294"/>
      <c r="Y804" s="299"/>
      <c r="Z804" s="294"/>
      <c r="AA804" s="299"/>
      <c r="AB804" s="299"/>
      <c r="AC804" s="294"/>
      <c r="AD804" s="294"/>
      <c r="AE804" s="294"/>
      <c r="AF804" s="294"/>
    </row>
    <row r="805" spans="2:32" x14ac:dyDescent="0.25">
      <c r="B805" s="294"/>
      <c r="C805" s="294"/>
      <c r="D805" s="294"/>
      <c r="E805" s="294"/>
      <c r="F805" s="294"/>
      <c r="G805" s="294"/>
      <c r="H805" s="294"/>
      <c r="I805" s="294"/>
      <c r="J805" s="294"/>
      <c r="L805" s="295"/>
      <c r="M805" s="294"/>
      <c r="S805" s="294"/>
      <c r="T805" s="299"/>
      <c r="U805" s="294"/>
      <c r="V805" s="299"/>
      <c r="W805" s="299"/>
      <c r="X805" s="294"/>
      <c r="Y805" s="299"/>
      <c r="Z805" s="294"/>
      <c r="AA805" s="299"/>
      <c r="AB805" s="299"/>
      <c r="AC805" s="294"/>
      <c r="AD805" s="294"/>
      <c r="AE805" s="294"/>
      <c r="AF805" s="294"/>
    </row>
    <row r="806" spans="2:32" x14ac:dyDescent="0.25">
      <c r="B806" s="294"/>
      <c r="C806" s="294"/>
      <c r="D806" s="294"/>
      <c r="E806" s="294"/>
      <c r="F806" s="294"/>
      <c r="G806" s="294"/>
      <c r="H806" s="294"/>
      <c r="I806" s="294"/>
      <c r="J806" s="294"/>
      <c r="L806" s="295"/>
      <c r="M806" s="294"/>
      <c r="S806" s="294"/>
      <c r="T806" s="299"/>
      <c r="U806" s="294"/>
      <c r="V806" s="299"/>
      <c r="W806" s="299"/>
      <c r="X806" s="294"/>
      <c r="Y806" s="299"/>
      <c r="Z806" s="294"/>
      <c r="AA806" s="299"/>
      <c r="AB806" s="299"/>
      <c r="AC806" s="294"/>
      <c r="AD806" s="294"/>
      <c r="AE806" s="294"/>
      <c r="AF806" s="294"/>
    </row>
    <row r="807" spans="2:32" x14ac:dyDescent="0.25">
      <c r="B807" s="294"/>
      <c r="C807" s="294"/>
      <c r="D807" s="294"/>
      <c r="E807" s="294"/>
      <c r="F807" s="294"/>
      <c r="G807" s="294"/>
      <c r="H807" s="294"/>
      <c r="I807" s="294"/>
      <c r="J807" s="294"/>
      <c r="L807" s="295"/>
      <c r="M807" s="294"/>
      <c r="S807" s="294"/>
      <c r="T807" s="299"/>
      <c r="U807" s="294"/>
      <c r="V807" s="299"/>
      <c r="W807" s="299"/>
      <c r="X807" s="294"/>
      <c r="Y807" s="299"/>
      <c r="Z807" s="294"/>
      <c r="AA807" s="299"/>
      <c r="AB807" s="299"/>
      <c r="AC807" s="294"/>
      <c r="AD807" s="294"/>
      <c r="AE807" s="294"/>
      <c r="AF807" s="294"/>
    </row>
    <row r="808" spans="2:32" x14ac:dyDescent="0.25">
      <c r="B808" s="294"/>
      <c r="C808" s="294"/>
      <c r="D808" s="294"/>
      <c r="E808" s="294"/>
      <c r="F808" s="294"/>
      <c r="G808" s="294"/>
      <c r="H808" s="294"/>
      <c r="I808" s="294"/>
      <c r="J808" s="294"/>
      <c r="L808" s="295"/>
      <c r="M808" s="294"/>
      <c r="S808" s="294"/>
      <c r="T808" s="299"/>
      <c r="U808" s="294"/>
      <c r="V808" s="299"/>
      <c r="W808" s="299"/>
      <c r="X808" s="294"/>
      <c r="Y808" s="299"/>
      <c r="Z808" s="294"/>
      <c r="AA808" s="299"/>
      <c r="AB808" s="299"/>
      <c r="AC808" s="294"/>
      <c r="AD808" s="294"/>
      <c r="AE808" s="294"/>
      <c r="AF808" s="294"/>
    </row>
    <row r="809" spans="2:32" x14ac:dyDescent="0.25">
      <c r="B809" s="294"/>
      <c r="C809" s="294"/>
      <c r="D809" s="294"/>
      <c r="E809" s="294"/>
      <c r="F809" s="294"/>
      <c r="G809" s="294"/>
      <c r="H809" s="294"/>
      <c r="I809" s="294"/>
      <c r="J809" s="294"/>
      <c r="L809" s="295"/>
      <c r="M809" s="294"/>
      <c r="S809" s="294"/>
      <c r="T809" s="299"/>
      <c r="U809" s="294"/>
      <c r="V809" s="299"/>
      <c r="W809" s="299"/>
      <c r="X809" s="294"/>
      <c r="Y809" s="299"/>
      <c r="Z809" s="294"/>
      <c r="AA809" s="299"/>
      <c r="AB809" s="299"/>
      <c r="AC809" s="294"/>
      <c r="AD809" s="294"/>
      <c r="AE809" s="294"/>
      <c r="AF809" s="294"/>
    </row>
    <row r="810" spans="2:32" x14ac:dyDescent="0.25">
      <c r="B810" s="294"/>
      <c r="C810" s="294"/>
      <c r="D810" s="294"/>
      <c r="E810" s="294"/>
      <c r="F810" s="294"/>
      <c r="G810" s="294"/>
      <c r="H810" s="294"/>
      <c r="I810" s="294"/>
      <c r="J810" s="294"/>
      <c r="L810" s="295"/>
      <c r="M810" s="294"/>
      <c r="S810" s="294"/>
      <c r="T810" s="299"/>
      <c r="U810" s="294"/>
      <c r="V810" s="299"/>
      <c r="W810" s="299"/>
      <c r="X810" s="294"/>
      <c r="Y810" s="299"/>
      <c r="Z810" s="294"/>
      <c r="AA810" s="299"/>
      <c r="AB810" s="299"/>
      <c r="AC810" s="294"/>
      <c r="AD810" s="294"/>
      <c r="AE810" s="294"/>
      <c r="AF810" s="294"/>
    </row>
    <row r="811" spans="2:32" x14ac:dyDescent="0.25">
      <c r="B811" s="294"/>
      <c r="C811" s="294"/>
      <c r="D811" s="294"/>
      <c r="E811" s="294"/>
      <c r="F811" s="294"/>
      <c r="G811" s="294"/>
      <c r="H811" s="294"/>
      <c r="I811" s="294"/>
      <c r="J811" s="294"/>
      <c r="L811" s="295"/>
      <c r="M811" s="294"/>
      <c r="S811" s="294"/>
      <c r="T811" s="299"/>
      <c r="U811" s="294"/>
      <c r="V811" s="299"/>
      <c r="W811" s="299"/>
      <c r="X811" s="294"/>
      <c r="Y811" s="299"/>
      <c r="Z811" s="294"/>
      <c r="AA811" s="299"/>
      <c r="AB811" s="299"/>
      <c r="AC811" s="294"/>
      <c r="AD811" s="294"/>
      <c r="AE811" s="294"/>
      <c r="AF811" s="294"/>
    </row>
    <row r="812" spans="2:32" x14ac:dyDescent="0.25">
      <c r="B812" s="294"/>
      <c r="C812" s="294"/>
      <c r="D812" s="294"/>
      <c r="E812" s="294"/>
      <c r="F812" s="294"/>
      <c r="G812" s="294"/>
      <c r="H812" s="294"/>
      <c r="I812" s="294"/>
      <c r="J812" s="294"/>
      <c r="L812" s="295"/>
      <c r="M812" s="294"/>
      <c r="S812" s="294"/>
      <c r="T812" s="299"/>
      <c r="U812" s="294"/>
      <c r="V812" s="299"/>
      <c r="W812" s="299"/>
      <c r="X812" s="294"/>
      <c r="Y812" s="299"/>
      <c r="Z812" s="294"/>
      <c r="AA812" s="299"/>
      <c r="AB812" s="299"/>
      <c r="AC812" s="294"/>
      <c r="AD812" s="294"/>
      <c r="AE812" s="294"/>
      <c r="AF812" s="294"/>
    </row>
    <row r="813" spans="2:32" x14ac:dyDescent="0.25">
      <c r="B813" s="294"/>
      <c r="C813" s="294"/>
      <c r="D813" s="294"/>
      <c r="E813" s="294"/>
      <c r="F813" s="294"/>
      <c r="G813" s="294"/>
      <c r="H813" s="294"/>
      <c r="I813" s="294"/>
      <c r="J813" s="294"/>
      <c r="L813" s="295"/>
      <c r="M813" s="294"/>
      <c r="S813" s="294"/>
      <c r="T813" s="299"/>
      <c r="U813" s="294"/>
      <c r="V813" s="299"/>
      <c r="W813" s="299"/>
      <c r="X813" s="294"/>
      <c r="Y813" s="299"/>
      <c r="Z813" s="294"/>
      <c r="AA813" s="299"/>
      <c r="AB813" s="299"/>
      <c r="AC813" s="294"/>
      <c r="AD813" s="294"/>
      <c r="AE813" s="294"/>
      <c r="AF813" s="294"/>
    </row>
    <row r="814" spans="2:32" x14ac:dyDescent="0.25">
      <c r="B814" s="294"/>
      <c r="C814" s="294"/>
      <c r="D814" s="294"/>
      <c r="E814" s="294"/>
      <c r="F814" s="294"/>
      <c r="G814" s="294"/>
      <c r="H814" s="294"/>
      <c r="I814" s="294"/>
      <c r="J814" s="294"/>
      <c r="L814" s="295"/>
      <c r="M814" s="294"/>
      <c r="S814" s="294"/>
      <c r="T814" s="299"/>
      <c r="U814" s="294"/>
      <c r="V814" s="299"/>
      <c r="W814" s="299"/>
      <c r="X814" s="294"/>
      <c r="Y814" s="299"/>
      <c r="Z814" s="294"/>
      <c r="AA814" s="299"/>
      <c r="AB814" s="299"/>
      <c r="AC814" s="294"/>
      <c r="AD814" s="294"/>
      <c r="AE814" s="294"/>
      <c r="AF814" s="294"/>
    </row>
    <row r="815" spans="2:32" x14ac:dyDescent="0.25">
      <c r="B815" s="294"/>
      <c r="C815" s="294"/>
      <c r="D815" s="294"/>
      <c r="E815" s="294"/>
      <c r="F815" s="294"/>
      <c r="G815" s="294"/>
      <c r="H815" s="294"/>
      <c r="I815" s="294"/>
      <c r="J815" s="294"/>
      <c r="L815" s="295"/>
      <c r="M815" s="294"/>
      <c r="S815" s="294"/>
      <c r="T815" s="299"/>
      <c r="U815" s="294"/>
      <c r="V815" s="299"/>
      <c r="W815" s="299"/>
      <c r="X815" s="294"/>
      <c r="Y815" s="299"/>
      <c r="Z815" s="294"/>
      <c r="AA815" s="299"/>
      <c r="AB815" s="299"/>
      <c r="AC815" s="294"/>
      <c r="AD815" s="294"/>
      <c r="AE815" s="294"/>
      <c r="AF815" s="294"/>
    </row>
    <row r="816" spans="2:32" x14ac:dyDescent="0.25">
      <c r="B816" s="294"/>
      <c r="C816" s="294"/>
      <c r="D816" s="294"/>
      <c r="E816" s="294"/>
      <c r="F816" s="294"/>
      <c r="G816" s="294"/>
      <c r="H816" s="294"/>
      <c r="I816" s="294"/>
      <c r="J816" s="294"/>
      <c r="L816" s="295"/>
      <c r="M816" s="294"/>
      <c r="S816" s="294"/>
      <c r="T816" s="299"/>
      <c r="U816" s="294"/>
      <c r="V816" s="299"/>
      <c r="W816" s="299"/>
      <c r="X816" s="294"/>
      <c r="Y816" s="299"/>
      <c r="Z816" s="294"/>
      <c r="AA816" s="299"/>
      <c r="AB816" s="299"/>
      <c r="AC816" s="294"/>
      <c r="AD816" s="294"/>
      <c r="AE816" s="294"/>
      <c r="AF816" s="294"/>
    </row>
    <row r="817" spans="2:32" x14ac:dyDescent="0.25">
      <c r="B817" s="294"/>
      <c r="C817" s="294"/>
      <c r="D817" s="294"/>
      <c r="E817" s="294"/>
      <c r="F817" s="294"/>
      <c r="G817" s="294"/>
      <c r="H817" s="294"/>
      <c r="I817" s="294"/>
      <c r="J817" s="294"/>
      <c r="L817" s="295"/>
      <c r="M817" s="294"/>
      <c r="S817" s="294"/>
      <c r="T817" s="299"/>
      <c r="U817" s="294"/>
      <c r="V817" s="299"/>
      <c r="W817" s="299"/>
      <c r="X817" s="294"/>
      <c r="Y817" s="299"/>
      <c r="Z817" s="294"/>
      <c r="AA817" s="299"/>
      <c r="AB817" s="299"/>
      <c r="AC817" s="294"/>
      <c r="AD817" s="294"/>
      <c r="AE817" s="294"/>
      <c r="AF817" s="294"/>
    </row>
    <row r="818" spans="2:32" x14ac:dyDescent="0.25">
      <c r="B818" s="294"/>
      <c r="C818" s="294"/>
      <c r="D818" s="294"/>
      <c r="E818" s="294"/>
      <c r="F818" s="294"/>
      <c r="G818" s="294"/>
      <c r="H818" s="294"/>
      <c r="I818" s="294"/>
      <c r="J818" s="294"/>
      <c r="L818" s="295"/>
      <c r="M818" s="294"/>
      <c r="S818" s="294"/>
      <c r="T818" s="299"/>
      <c r="U818" s="294"/>
      <c r="V818" s="299"/>
      <c r="W818" s="299"/>
      <c r="X818" s="294"/>
      <c r="Y818" s="299"/>
      <c r="Z818" s="294"/>
      <c r="AA818" s="299"/>
      <c r="AB818" s="299"/>
      <c r="AC818" s="294"/>
      <c r="AD818" s="294"/>
      <c r="AE818" s="294"/>
      <c r="AF818" s="294"/>
    </row>
    <row r="819" spans="2:32" x14ac:dyDescent="0.25">
      <c r="B819" s="294"/>
      <c r="C819" s="294"/>
      <c r="D819" s="294"/>
      <c r="E819" s="294"/>
      <c r="F819" s="294"/>
      <c r="G819" s="294"/>
      <c r="H819" s="294"/>
      <c r="I819" s="294"/>
      <c r="J819" s="294"/>
      <c r="L819" s="295"/>
      <c r="M819" s="294"/>
      <c r="S819" s="294"/>
      <c r="T819" s="299"/>
      <c r="U819" s="294"/>
      <c r="V819" s="299"/>
      <c r="W819" s="299"/>
      <c r="X819" s="294"/>
      <c r="Y819" s="299"/>
      <c r="Z819" s="294"/>
      <c r="AA819" s="299"/>
      <c r="AB819" s="299"/>
      <c r="AC819" s="294"/>
      <c r="AD819" s="294"/>
      <c r="AE819" s="294"/>
      <c r="AF819" s="294"/>
    </row>
    <row r="820" spans="2:32" x14ac:dyDescent="0.25">
      <c r="B820" s="294"/>
      <c r="C820" s="294"/>
      <c r="D820" s="294"/>
      <c r="E820" s="294"/>
      <c r="F820" s="294"/>
      <c r="G820" s="294"/>
      <c r="H820" s="294"/>
      <c r="I820" s="294"/>
      <c r="J820" s="294"/>
      <c r="L820" s="295"/>
      <c r="M820" s="294"/>
      <c r="S820" s="294"/>
      <c r="T820" s="299"/>
      <c r="U820" s="294"/>
      <c r="V820" s="299"/>
      <c r="W820" s="299"/>
      <c r="X820" s="294"/>
      <c r="Y820" s="299"/>
      <c r="Z820" s="294"/>
      <c r="AA820" s="299"/>
      <c r="AB820" s="299"/>
      <c r="AC820" s="294"/>
      <c r="AD820" s="294"/>
      <c r="AE820" s="294"/>
      <c r="AF820" s="294"/>
    </row>
    <row r="821" spans="2:32" x14ac:dyDescent="0.25">
      <c r="B821" s="294"/>
      <c r="C821" s="294"/>
      <c r="D821" s="294"/>
      <c r="E821" s="294"/>
      <c r="F821" s="294"/>
      <c r="G821" s="294"/>
      <c r="H821" s="294"/>
      <c r="I821" s="294"/>
      <c r="J821" s="294"/>
      <c r="L821" s="295"/>
      <c r="M821" s="294"/>
      <c r="S821" s="294"/>
      <c r="T821" s="299"/>
      <c r="U821" s="294"/>
      <c r="V821" s="299"/>
      <c r="W821" s="299"/>
      <c r="X821" s="294"/>
      <c r="Y821" s="299"/>
      <c r="Z821" s="294"/>
      <c r="AA821" s="299"/>
      <c r="AB821" s="299"/>
      <c r="AC821" s="294"/>
      <c r="AD821" s="294"/>
      <c r="AE821" s="294"/>
      <c r="AF821" s="294"/>
    </row>
    <row r="822" spans="2:32" x14ac:dyDescent="0.25">
      <c r="B822" s="294"/>
      <c r="C822" s="294"/>
      <c r="D822" s="294"/>
      <c r="E822" s="294"/>
      <c r="F822" s="294"/>
      <c r="G822" s="294"/>
      <c r="H822" s="294"/>
      <c r="I822" s="294"/>
      <c r="J822" s="294"/>
      <c r="L822" s="295"/>
      <c r="M822" s="294"/>
      <c r="S822" s="294"/>
      <c r="T822" s="299"/>
      <c r="U822" s="294"/>
      <c r="V822" s="299"/>
      <c r="W822" s="299"/>
      <c r="X822" s="294"/>
      <c r="Y822" s="299"/>
      <c r="Z822" s="294"/>
      <c r="AA822" s="299"/>
      <c r="AB822" s="299"/>
      <c r="AC822" s="294"/>
      <c r="AD822" s="294"/>
      <c r="AE822" s="294"/>
      <c r="AF822" s="294"/>
    </row>
    <row r="823" spans="2:32" x14ac:dyDescent="0.25">
      <c r="B823" s="294"/>
      <c r="C823" s="294"/>
      <c r="D823" s="294"/>
      <c r="E823" s="294"/>
      <c r="F823" s="294"/>
      <c r="G823" s="294"/>
      <c r="H823" s="294"/>
      <c r="I823" s="294"/>
      <c r="J823" s="294"/>
      <c r="L823" s="295"/>
      <c r="M823" s="294"/>
      <c r="S823" s="294"/>
      <c r="T823" s="299"/>
      <c r="U823" s="294"/>
      <c r="V823" s="299"/>
      <c r="W823" s="299"/>
      <c r="X823" s="294"/>
      <c r="Y823" s="299"/>
      <c r="Z823" s="294"/>
      <c r="AA823" s="299"/>
      <c r="AB823" s="299"/>
      <c r="AC823" s="294"/>
      <c r="AD823" s="294"/>
      <c r="AE823" s="294"/>
      <c r="AF823" s="294"/>
    </row>
    <row r="824" spans="2:32" x14ac:dyDescent="0.25">
      <c r="B824" s="294"/>
      <c r="C824" s="294"/>
      <c r="D824" s="294"/>
      <c r="E824" s="294"/>
      <c r="F824" s="294"/>
      <c r="G824" s="294"/>
      <c r="H824" s="294"/>
      <c r="I824" s="294"/>
      <c r="J824" s="294"/>
      <c r="L824" s="295"/>
      <c r="M824" s="294"/>
      <c r="S824" s="294"/>
      <c r="T824" s="299"/>
      <c r="U824" s="294"/>
      <c r="V824" s="299"/>
      <c r="W824" s="299"/>
      <c r="X824" s="294"/>
      <c r="Y824" s="299"/>
      <c r="Z824" s="294"/>
      <c r="AA824" s="299"/>
      <c r="AB824" s="299"/>
      <c r="AC824" s="294"/>
      <c r="AD824" s="294"/>
      <c r="AE824" s="294"/>
      <c r="AF824" s="294"/>
    </row>
    <row r="825" spans="2:32" x14ac:dyDescent="0.25">
      <c r="B825" s="294"/>
      <c r="C825" s="294"/>
      <c r="D825" s="294"/>
      <c r="E825" s="294"/>
      <c r="F825" s="294"/>
      <c r="G825" s="294"/>
      <c r="H825" s="294"/>
      <c r="I825" s="294"/>
      <c r="J825" s="294"/>
      <c r="L825" s="295"/>
      <c r="M825" s="294"/>
      <c r="S825" s="294"/>
      <c r="T825" s="299"/>
      <c r="U825" s="294"/>
      <c r="V825" s="299"/>
      <c r="W825" s="299"/>
      <c r="X825" s="294"/>
      <c r="Y825" s="299"/>
      <c r="Z825" s="294"/>
      <c r="AA825" s="299"/>
      <c r="AB825" s="299"/>
      <c r="AC825" s="294"/>
      <c r="AD825" s="294"/>
      <c r="AE825" s="294"/>
      <c r="AF825" s="294"/>
    </row>
    <row r="826" spans="2:32" x14ac:dyDescent="0.25">
      <c r="B826" s="294"/>
      <c r="C826" s="294"/>
      <c r="D826" s="294"/>
      <c r="E826" s="294"/>
      <c r="F826" s="294"/>
      <c r="G826" s="294"/>
      <c r="H826" s="294"/>
      <c r="I826" s="294"/>
      <c r="J826" s="294"/>
      <c r="L826" s="295"/>
      <c r="M826" s="294"/>
      <c r="S826" s="294"/>
      <c r="T826" s="299"/>
      <c r="U826" s="294"/>
      <c r="V826" s="299"/>
      <c r="W826" s="299"/>
      <c r="X826" s="294"/>
      <c r="Y826" s="299"/>
      <c r="Z826" s="294"/>
      <c r="AA826" s="299"/>
      <c r="AB826" s="299"/>
      <c r="AC826" s="294"/>
      <c r="AD826" s="294"/>
      <c r="AE826" s="294"/>
      <c r="AF826" s="294"/>
    </row>
    <row r="827" spans="2:32" x14ac:dyDescent="0.25">
      <c r="B827" s="294"/>
      <c r="C827" s="294"/>
      <c r="D827" s="294"/>
      <c r="E827" s="294"/>
      <c r="F827" s="294"/>
      <c r="G827" s="294"/>
      <c r="H827" s="294"/>
      <c r="I827" s="294"/>
      <c r="J827" s="294"/>
      <c r="L827" s="295"/>
      <c r="M827" s="294"/>
      <c r="S827" s="294"/>
      <c r="T827" s="299"/>
      <c r="U827" s="294"/>
      <c r="V827" s="299"/>
      <c r="W827" s="299"/>
      <c r="X827" s="294"/>
      <c r="Y827" s="299"/>
      <c r="Z827" s="294"/>
      <c r="AA827" s="299"/>
      <c r="AB827" s="299"/>
      <c r="AC827" s="294"/>
      <c r="AD827" s="294"/>
      <c r="AE827" s="294"/>
      <c r="AF827" s="294"/>
    </row>
    <row r="828" spans="2:32" x14ac:dyDescent="0.25">
      <c r="B828" s="294"/>
      <c r="C828" s="294"/>
      <c r="D828" s="294"/>
      <c r="E828" s="294"/>
      <c r="F828" s="294"/>
      <c r="G828" s="294"/>
      <c r="H828" s="294"/>
      <c r="I828" s="294"/>
      <c r="J828" s="294"/>
      <c r="L828" s="295"/>
      <c r="M828" s="294"/>
      <c r="S828" s="294"/>
      <c r="T828" s="299"/>
      <c r="U828" s="294"/>
      <c r="V828" s="299"/>
      <c r="W828" s="299"/>
      <c r="X828" s="294"/>
      <c r="Y828" s="299"/>
      <c r="Z828" s="294"/>
      <c r="AA828" s="299"/>
      <c r="AB828" s="299"/>
      <c r="AC828" s="294"/>
      <c r="AD828" s="294"/>
      <c r="AE828" s="294"/>
      <c r="AF828" s="294"/>
    </row>
    <row r="829" spans="2:32" x14ac:dyDescent="0.25">
      <c r="B829" s="294"/>
      <c r="C829" s="294"/>
      <c r="D829" s="294"/>
      <c r="E829" s="294"/>
      <c r="F829" s="294"/>
      <c r="G829" s="294"/>
      <c r="H829" s="294"/>
      <c r="I829" s="294"/>
      <c r="J829" s="294"/>
      <c r="L829" s="295"/>
      <c r="M829" s="294"/>
      <c r="S829" s="294"/>
      <c r="T829" s="299"/>
      <c r="U829" s="294"/>
      <c r="V829" s="299"/>
      <c r="W829" s="299"/>
      <c r="X829" s="294"/>
      <c r="Y829" s="299"/>
      <c r="Z829" s="294"/>
      <c r="AA829" s="299"/>
      <c r="AB829" s="299"/>
      <c r="AC829" s="294"/>
      <c r="AD829" s="294"/>
      <c r="AE829" s="294"/>
      <c r="AF829" s="294"/>
    </row>
    <row r="830" spans="2:32" x14ac:dyDescent="0.25">
      <c r="B830" s="294"/>
      <c r="C830" s="294"/>
      <c r="D830" s="294"/>
      <c r="E830" s="294"/>
      <c r="F830" s="294"/>
      <c r="G830" s="294"/>
      <c r="H830" s="294"/>
      <c r="I830" s="294"/>
      <c r="J830" s="294"/>
      <c r="L830" s="295"/>
      <c r="M830" s="294"/>
      <c r="S830" s="294"/>
      <c r="T830" s="299"/>
      <c r="U830" s="294"/>
      <c r="V830" s="299"/>
      <c r="W830" s="299"/>
      <c r="X830" s="294"/>
      <c r="Y830" s="299"/>
      <c r="Z830" s="294"/>
      <c r="AA830" s="299"/>
      <c r="AB830" s="299"/>
      <c r="AC830" s="294"/>
      <c r="AD830" s="294"/>
      <c r="AE830" s="294"/>
      <c r="AF830" s="294"/>
    </row>
    <row r="831" spans="2:32" x14ac:dyDescent="0.25">
      <c r="B831" s="294"/>
      <c r="C831" s="294"/>
      <c r="D831" s="294"/>
      <c r="E831" s="294"/>
      <c r="F831" s="294"/>
      <c r="G831" s="294"/>
      <c r="H831" s="294"/>
      <c r="I831" s="294"/>
      <c r="J831" s="294"/>
      <c r="L831" s="295"/>
      <c r="M831" s="294"/>
      <c r="S831" s="294"/>
      <c r="T831" s="299"/>
      <c r="U831" s="294"/>
      <c r="V831" s="299"/>
      <c r="W831" s="299"/>
      <c r="X831" s="294"/>
      <c r="Y831" s="299"/>
      <c r="Z831" s="294"/>
      <c r="AA831" s="299"/>
      <c r="AB831" s="299"/>
      <c r="AC831" s="294"/>
      <c r="AD831" s="294"/>
      <c r="AE831" s="294"/>
      <c r="AF831" s="294"/>
    </row>
    <row r="832" spans="2:32" x14ac:dyDescent="0.25">
      <c r="B832" s="294"/>
      <c r="C832" s="294"/>
      <c r="D832" s="294"/>
      <c r="E832" s="294"/>
      <c r="F832" s="294"/>
      <c r="G832" s="294"/>
      <c r="H832" s="294"/>
      <c r="I832" s="294"/>
      <c r="J832" s="294"/>
      <c r="L832" s="295"/>
      <c r="M832" s="294"/>
      <c r="S832" s="294"/>
      <c r="T832" s="299"/>
      <c r="U832" s="294"/>
      <c r="V832" s="299"/>
      <c r="W832" s="299"/>
      <c r="X832" s="294"/>
      <c r="Y832" s="299"/>
      <c r="Z832" s="294"/>
      <c r="AA832" s="299"/>
      <c r="AB832" s="299"/>
      <c r="AC832" s="294"/>
      <c r="AD832" s="294"/>
      <c r="AE832" s="294"/>
      <c r="AF832" s="294"/>
    </row>
    <row r="833" spans="2:32" x14ac:dyDescent="0.25">
      <c r="B833" s="294"/>
      <c r="C833" s="294"/>
      <c r="D833" s="294"/>
      <c r="E833" s="294"/>
      <c r="F833" s="294"/>
      <c r="G833" s="294"/>
      <c r="H833" s="294"/>
      <c r="I833" s="294"/>
      <c r="J833" s="294"/>
      <c r="L833" s="295"/>
      <c r="M833" s="294"/>
      <c r="S833" s="294"/>
      <c r="T833" s="299"/>
      <c r="U833" s="294"/>
      <c r="V833" s="299"/>
      <c r="W833" s="299"/>
      <c r="X833" s="294"/>
      <c r="Y833" s="299"/>
      <c r="Z833" s="294"/>
      <c r="AA833" s="299"/>
      <c r="AB833" s="299"/>
      <c r="AC833" s="294"/>
      <c r="AD833" s="294"/>
      <c r="AE833" s="294"/>
      <c r="AF833" s="294"/>
    </row>
    <row r="834" spans="2:32" x14ac:dyDescent="0.25">
      <c r="B834" s="294"/>
      <c r="C834" s="294"/>
      <c r="D834" s="294"/>
      <c r="E834" s="294"/>
      <c r="F834" s="294"/>
      <c r="G834" s="294"/>
      <c r="H834" s="294"/>
      <c r="I834" s="294"/>
      <c r="J834" s="294"/>
      <c r="L834" s="295"/>
      <c r="M834" s="294"/>
      <c r="S834" s="294"/>
      <c r="T834" s="299"/>
      <c r="U834" s="294"/>
      <c r="V834" s="299"/>
      <c r="W834" s="299"/>
      <c r="X834" s="294"/>
      <c r="Y834" s="299"/>
      <c r="Z834" s="294"/>
      <c r="AA834" s="299"/>
      <c r="AB834" s="299"/>
      <c r="AC834" s="294"/>
      <c r="AD834" s="294"/>
      <c r="AE834" s="294"/>
      <c r="AF834" s="294"/>
    </row>
    <row r="835" spans="2:32" x14ac:dyDescent="0.25">
      <c r="B835" s="294"/>
      <c r="C835" s="294"/>
      <c r="D835" s="294"/>
      <c r="E835" s="294"/>
      <c r="F835" s="294"/>
      <c r="G835" s="294"/>
      <c r="H835" s="294"/>
      <c r="I835" s="294"/>
      <c r="J835" s="294"/>
      <c r="L835" s="295"/>
      <c r="M835" s="294"/>
      <c r="S835" s="294"/>
      <c r="T835" s="299"/>
      <c r="U835" s="294"/>
      <c r="V835" s="299"/>
      <c r="W835" s="299"/>
      <c r="X835" s="294"/>
      <c r="Y835" s="299"/>
      <c r="Z835" s="294"/>
      <c r="AA835" s="299"/>
      <c r="AB835" s="299"/>
      <c r="AC835" s="294"/>
      <c r="AD835" s="294"/>
      <c r="AE835" s="294"/>
      <c r="AF835" s="294"/>
    </row>
    <row r="836" spans="2:32" x14ac:dyDescent="0.25">
      <c r="B836" s="294"/>
      <c r="C836" s="294"/>
      <c r="D836" s="294"/>
      <c r="E836" s="294"/>
      <c r="F836" s="294"/>
      <c r="G836" s="294"/>
      <c r="H836" s="294"/>
      <c r="I836" s="294"/>
      <c r="J836" s="294"/>
      <c r="L836" s="295"/>
      <c r="M836" s="294"/>
      <c r="S836" s="294"/>
      <c r="T836" s="299"/>
      <c r="U836" s="294"/>
      <c r="V836" s="299"/>
      <c r="W836" s="299"/>
      <c r="X836" s="294"/>
      <c r="Y836" s="299"/>
      <c r="Z836" s="294"/>
      <c r="AA836" s="299"/>
      <c r="AB836" s="299"/>
      <c r="AC836" s="294"/>
      <c r="AD836" s="294"/>
      <c r="AE836" s="294"/>
      <c r="AF836" s="294"/>
    </row>
    <row r="837" spans="2:32" x14ac:dyDescent="0.25">
      <c r="B837" s="294"/>
      <c r="C837" s="294"/>
      <c r="D837" s="294"/>
      <c r="E837" s="294"/>
      <c r="F837" s="294"/>
      <c r="G837" s="294"/>
      <c r="H837" s="294"/>
      <c r="I837" s="294"/>
      <c r="J837" s="294"/>
      <c r="L837" s="295"/>
      <c r="M837" s="294"/>
      <c r="S837" s="294"/>
      <c r="T837" s="299"/>
      <c r="U837" s="294"/>
      <c r="V837" s="299"/>
      <c r="W837" s="299"/>
      <c r="X837" s="294"/>
      <c r="Y837" s="299"/>
      <c r="Z837" s="294"/>
      <c r="AA837" s="299"/>
      <c r="AB837" s="299"/>
      <c r="AC837" s="294"/>
      <c r="AD837" s="294"/>
      <c r="AE837" s="294"/>
      <c r="AF837" s="294"/>
    </row>
    <row r="838" spans="2:32" x14ac:dyDescent="0.25">
      <c r="B838" s="294"/>
      <c r="C838" s="294"/>
      <c r="D838" s="294"/>
      <c r="E838" s="294"/>
      <c r="F838" s="294"/>
      <c r="G838" s="294"/>
      <c r="H838" s="294"/>
      <c r="I838" s="294"/>
      <c r="J838" s="294"/>
      <c r="L838" s="295"/>
      <c r="M838" s="294"/>
      <c r="S838" s="294"/>
      <c r="T838" s="299"/>
      <c r="U838" s="294"/>
      <c r="V838" s="299"/>
      <c r="W838" s="299"/>
      <c r="X838" s="294"/>
      <c r="Y838" s="299"/>
      <c r="Z838" s="294"/>
      <c r="AA838" s="299"/>
      <c r="AB838" s="299"/>
      <c r="AC838" s="294"/>
      <c r="AD838" s="294"/>
      <c r="AE838" s="294"/>
      <c r="AF838" s="294"/>
    </row>
    <row r="839" spans="2:32" x14ac:dyDescent="0.25">
      <c r="B839" s="294"/>
      <c r="C839" s="294"/>
      <c r="D839" s="294"/>
      <c r="E839" s="294"/>
      <c r="F839" s="294"/>
      <c r="G839" s="294"/>
      <c r="H839" s="294"/>
      <c r="I839" s="294"/>
      <c r="J839" s="294"/>
      <c r="L839" s="295"/>
      <c r="M839" s="294"/>
      <c r="S839" s="294"/>
      <c r="T839" s="299"/>
      <c r="U839" s="294"/>
      <c r="V839" s="299"/>
      <c r="W839" s="299"/>
      <c r="X839" s="294"/>
      <c r="Y839" s="299"/>
      <c r="Z839" s="294"/>
      <c r="AA839" s="299"/>
      <c r="AB839" s="299"/>
      <c r="AC839" s="294"/>
      <c r="AD839" s="294"/>
      <c r="AE839" s="294"/>
      <c r="AF839" s="294"/>
    </row>
    <row r="840" spans="2:32" x14ac:dyDescent="0.25">
      <c r="B840" s="294"/>
      <c r="C840" s="294"/>
      <c r="D840" s="294"/>
      <c r="E840" s="294"/>
      <c r="F840" s="294"/>
      <c r="G840" s="294"/>
      <c r="H840" s="294"/>
      <c r="I840" s="294"/>
      <c r="J840" s="294"/>
      <c r="L840" s="295"/>
      <c r="M840" s="294"/>
      <c r="S840" s="294"/>
      <c r="T840" s="299"/>
      <c r="U840" s="294"/>
      <c r="V840" s="299"/>
      <c r="W840" s="299"/>
      <c r="X840" s="294"/>
      <c r="Y840" s="299"/>
      <c r="Z840" s="294"/>
      <c r="AA840" s="299"/>
      <c r="AB840" s="299"/>
      <c r="AC840" s="294"/>
      <c r="AD840" s="294"/>
      <c r="AE840" s="294"/>
      <c r="AF840" s="294"/>
    </row>
    <row r="841" spans="2:32" x14ac:dyDescent="0.25">
      <c r="B841" s="294"/>
      <c r="C841" s="294"/>
      <c r="D841" s="294"/>
      <c r="E841" s="294"/>
      <c r="F841" s="294"/>
      <c r="G841" s="294"/>
      <c r="H841" s="294"/>
      <c r="I841" s="294"/>
      <c r="J841" s="294"/>
      <c r="L841" s="295"/>
      <c r="M841" s="294"/>
      <c r="S841" s="294"/>
      <c r="T841" s="299"/>
      <c r="U841" s="294"/>
      <c r="V841" s="299"/>
      <c r="W841" s="299"/>
      <c r="X841" s="294"/>
      <c r="Y841" s="299"/>
      <c r="Z841" s="294"/>
      <c r="AA841" s="299"/>
      <c r="AB841" s="299"/>
      <c r="AC841" s="294"/>
      <c r="AD841" s="294"/>
      <c r="AE841" s="294"/>
      <c r="AF841" s="294"/>
    </row>
    <row r="842" spans="2:32" x14ac:dyDescent="0.25">
      <c r="B842" s="294"/>
      <c r="C842" s="294"/>
      <c r="D842" s="294"/>
      <c r="E842" s="294"/>
      <c r="F842" s="294"/>
      <c r="G842" s="294"/>
      <c r="H842" s="294"/>
      <c r="I842" s="294"/>
      <c r="J842" s="294"/>
      <c r="L842" s="295"/>
      <c r="M842" s="294"/>
      <c r="S842" s="294"/>
      <c r="T842" s="299"/>
      <c r="U842" s="294"/>
      <c r="V842" s="299"/>
      <c r="W842" s="299"/>
      <c r="X842" s="294"/>
      <c r="Y842" s="299"/>
      <c r="Z842" s="294"/>
      <c r="AA842" s="299"/>
      <c r="AB842" s="299"/>
      <c r="AC842" s="294"/>
      <c r="AD842" s="294"/>
      <c r="AE842" s="294"/>
      <c r="AF842" s="294"/>
    </row>
    <row r="843" spans="2:32" x14ac:dyDescent="0.25">
      <c r="B843" s="294"/>
      <c r="C843" s="294"/>
      <c r="D843" s="294"/>
      <c r="E843" s="294"/>
      <c r="F843" s="294"/>
      <c r="G843" s="294"/>
      <c r="H843" s="294"/>
      <c r="I843" s="294"/>
      <c r="J843" s="294"/>
      <c r="L843" s="295"/>
      <c r="M843" s="294"/>
      <c r="S843" s="294"/>
      <c r="T843" s="299"/>
      <c r="U843" s="294"/>
      <c r="V843" s="299"/>
      <c r="W843" s="299"/>
      <c r="X843" s="294"/>
      <c r="Y843" s="299"/>
      <c r="Z843" s="294"/>
      <c r="AA843" s="299"/>
      <c r="AB843" s="299"/>
      <c r="AC843" s="294"/>
      <c r="AD843" s="294"/>
      <c r="AE843" s="294"/>
      <c r="AF843" s="294"/>
    </row>
    <row r="844" spans="2:32" x14ac:dyDescent="0.25">
      <c r="B844" s="294"/>
      <c r="C844" s="294"/>
      <c r="D844" s="294"/>
      <c r="E844" s="294"/>
      <c r="F844" s="294"/>
      <c r="G844" s="294"/>
      <c r="H844" s="294"/>
      <c r="I844" s="294"/>
      <c r="J844" s="294"/>
      <c r="L844" s="295"/>
      <c r="M844" s="294"/>
      <c r="S844" s="294"/>
      <c r="T844" s="299"/>
      <c r="U844" s="294"/>
      <c r="V844" s="299"/>
      <c r="W844" s="299"/>
      <c r="X844" s="294"/>
      <c r="Y844" s="299"/>
      <c r="Z844" s="294"/>
      <c r="AA844" s="299"/>
      <c r="AB844" s="299"/>
      <c r="AC844" s="294"/>
      <c r="AD844" s="294"/>
      <c r="AE844" s="294"/>
      <c r="AF844" s="294"/>
    </row>
    <row r="845" spans="2:32" x14ac:dyDescent="0.25">
      <c r="B845" s="294"/>
      <c r="C845" s="294"/>
      <c r="D845" s="294"/>
      <c r="E845" s="294"/>
      <c r="F845" s="294"/>
      <c r="G845" s="294"/>
      <c r="H845" s="294"/>
      <c r="I845" s="294"/>
      <c r="J845" s="294"/>
      <c r="L845" s="295"/>
      <c r="M845" s="294"/>
      <c r="S845" s="294"/>
      <c r="T845" s="299"/>
      <c r="U845" s="294"/>
      <c r="V845" s="299"/>
      <c r="W845" s="299"/>
      <c r="X845" s="294"/>
      <c r="Y845" s="299"/>
      <c r="Z845" s="294"/>
      <c r="AA845" s="299"/>
      <c r="AB845" s="299"/>
      <c r="AC845" s="294"/>
      <c r="AD845" s="294"/>
      <c r="AE845" s="294"/>
      <c r="AF845" s="294"/>
    </row>
    <row r="846" spans="2:32" x14ac:dyDescent="0.25">
      <c r="B846" s="294"/>
      <c r="C846" s="294"/>
      <c r="D846" s="294"/>
      <c r="E846" s="294"/>
      <c r="F846" s="294"/>
      <c r="G846" s="294"/>
      <c r="H846" s="294"/>
      <c r="I846" s="294"/>
      <c r="J846" s="294"/>
      <c r="L846" s="295"/>
      <c r="M846" s="294"/>
      <c r="S846" s="294"/>
      <c r="T846" s="299"/>
      <c r="U846" s="294"/>
      <c r="V846" s="299"/>
      <c r="W846" s="299"/>
      <c r="X846" s="294"/>
      <c r="Y846" s="299"/>
      <c r="Z846" s="294"/>
      <c r="AA846" s="299"/>
      <c r="AB846" s="299"/>
      <c r="AC846" s="294"/>
      <c r="AD846" s="294"/>
      <c r="AE846" s="294"/>
      <c r="AF846" s="294"/>
    </row>
    <row r="847" spans="2:32" x14ac:dyDescent="0.25">
      <c r="B847" s="294"/>
      <c r="C847" s="294"/>
      <c r="D847" s="294"/>
      <c r="E847" s="294"/>
      <c r="F847" s="294"/>
      <c r="G847" s="294"/>
      <c r="H847" s="294"/>
      <c r="I847" s="294"/>
      <c r="J847" s="294"/>
      <c r="L847" s="295"/>
      <c r="M847" s="294"/>
      <c r="S847" s="294"/>
      <c r="T847" s="299"/>
      <c r="U847" s="294"/>
      <c r="V847" s="299"/>
      <c r="W847" s="299"/>
      <c r="X847" s="294"/>
      <c r="Y847" s="299"/>
      <c r="Z847" s="294"/>
      <c r="AA847" s="299"/>
      <c r="AB847" s="299"/>
      <c r="AC847" s="294"/>
      <c r="AD847" s="294"/>
      <c r="AE847" s="294"/>
      <c r="AF847" s="294"/>
    </row>
    <row r="848" spans="2:32" x14ac:dyDescent="0.25">
      <c r="B848" s="294"/>
      <c r="C848" s="294"/>
      <c r="D848" s="294"/>
      <c r="E848" s="294"/>
      <c r="F848" s="294"/>
      <c r="G848" s="294"/>
      <c r="H848" s="294"/>
      <c r="I848" s="294"/>
      <c r="J848" s="294"/>
      <c r="L848" s="295"/>
      <c r="M848" s="294"/>
      <c r="S848" s="294"/>
      <c r="T848" s="299"/>
      <c r="U848" s="294"/>
      <c r="V848" s="299"/>
      <c r="W848" s="299"/>
      <c r="X848" s="294"/>
      <c r="Y848" s="299"/>
      <c r="Z848" s="294"/>
      <c r="AA848" s="299"/>
      <c r="AB848" s="299"/>
      <c r="AC848" s="294"/>
      <c r="AD848" s="294"/>
      <c r="AE848" s="294"/>
      <c r="AF848" s="294"/>
    </row>
    <row r="849" spans="2:32" x14ac:dyDescent="0.25">
      <c r="B849" s="294"/>
      <c r="C849" s="294"/>
      <c r="D849" s="294"/>
      <c r="E849" s="294"/>
      <c r="F849" s="294"/>
      <c r="G849" s="294"/>
      <c r="H849" s="294"/>
      <c r="I849" s="294"/>
      <c r="J849" s="294"/>
      <c r="L849" s="295"/>
      <c r="M849" s="294"/>
      <c r="S849" s="294"/>
      <c r="T849" s="299"/>
      <c r="U849" s="294"/>
      <c r="V849" s="299"/>
      <c r="W849" s="299"/>
      <c r="X849" s="294"/>
      <c r="Y849" s="299"/>
      <c r="Z849" s="294"/>
      <c r="AA849" s="299"/>
      <c r="AB849" s="299"/>
      <c r="AC849" s="294"/>
      <c r="AD849" s="294"/>
      <c r="AE849" s="294"/>
      <c r="AF849" s="294"/>
    </row>
    <row r="850" spans="2:32" x14ac:dyDescent="0.25">
      <c r="B850" s="294"/>
      <c r="C850" s="294"/>
      <c r="D850" s="294"/>
      <c r="E850" s="294"/>
      <c r="F850" s="294"/>
      <c r="G850" s="294"/>
      <c r="H850" s="294"/>
      <c r="I850" s="294"/>
      <c r="J850" s="294"/>
      <c r="L850" s="295"/>
      <c r="M850" s="294"/>
      <c r="S850" s="294"/>
      <c r="T850" s="299"/>
      <c r="U850" s="294"/>
      <c r="V850" s="299"/>
      <c r="W850" s="299"/>
      <c r="X850" s="294"/>
      <c r="Y850" s="299"/>
      <c r="Z850" s="294"/>
      <c r="AA850" s="299"/>
      <c r="AB850" s="299"/>
      <c r="AC850" s="294"/>
      <c r="AD850" s="294"/>
      <c r="AE850" s="294"/>
      <c r="AF850" s="294"/>
    </row>
    <row r="851" spans="2:32" x14ac:dyDescent="0.25">
      <c r="B851" s="294"/>
      <c r="C851" s="294"/>
      <c r="D851" s="294"/>
      <c r="E851" s="294"/>
      <c r="F851" s="294"/>
      <c r="G851" s="294"/>
      <c r="H851" s="294"/>
      <c r="I851" s="294"/>
      <c r="J851" s="294"/>
      <c r="L851" s="295"/>
      <c r="M851" s="294"/>
      <c r="S851" s="294"/>
      <c r="T851" s="299"/>
      <c r="U851" s="294"/>
      <c r="V851" s="299"/>
      <c r="W851" s="299"/>
      <c r="X851" s="294"/>
      <c r="Y851" s="299"/>
      <c r="Z851" s="294"/>
      <c r="AA851" s="299"/>
      <c r="AB851" s="299"/>
      <c r="AC851" s="294"/>
      <c r="AD851" s="294"/>
      <c r="AE851" s="294"/>
      <c r="AF851" s="294"/>
    </row>
    <row r="852" spans="2:32" x14ac:dyDescent="0.25">
      <c r="B852" s="294"/>
      <c r="C852" s="294"/>
      <c r="D852" s="294"/>
      <c r="E852" s="294"/>
      <c r="F852" s="294"/>
      <c r="G852" s="294"/>
      <c r="H852" s="294"/>
      <c r="I852" s="294"/>
      <c r="J852" s="294"/>
      <c r="L852" s="295"/>
      <c r="M852" s="294"/>
      <c r="S852" s="294"/>
      <c r="T852" s="299"/>
      <c r="U852" s="294"/>
      <c r="V852" s="299"/>
      <c r="W852" s="299"/>
      <c r="X852" s="294"/>
      <c r="Y852" s="299"/>
      <c r="Z852" s="294"/>
      <c r="AA852" s="299"/>
      <c r="AB852" s="299"/>
      <c r="AC852" s="294"/>
      <c r="AD852" s="294"/>
      <c r="AE852" s="294"/>
      <c r="AF852" s="294"/>
    </row>
    <row r="853" spans="2:32" x14ac:dyDescent="0.25">
      <c r="B853" s="294"/>
      <c r="C853" s="294"/>
      <c r="D853" s="294"/>
      <c r="E853" s="294"/>
      <c r="F853" s="294"/>
      <c r="G853" s="294"/>
      <c r="H853" s="294"/>
      <c r="I853" s="294"/>
      <c r="J853" s="294"/>
      <c r="L853" s="295"/>
      <c r="M853" s="294"/>
      <c r="S853" s="294"/>
      <c r="T853" s="299"/>
      <c r="U853" s="294"/>
      <c r="V853" s="299"/>
      <c r="W853" s="299"/>
      <c r="X853" s="294"/>
      <c r="Y853" s="299"/>
      <c r="Z853" s="294"/>
      <c r="AA853" s="299"/>
      <c r="AB853" s="299"/>
      <c r="AC853" s="294"/>
      <c r="AD853" s="294"/>
      <c r="AE853" s="294"/>
      <c r="AF853" s="294"/>
    </row>
    <row r="854" spans="2:32" x14ac:dyDescent="0.25">
      <c r="B854" s="294"/>
      <c r="C854" s="294"/>
      <c r="D854" s="294"/>
      <c r="E854" s="294"/>
      <c r="F854" s="294"/>
      <c r="G854" s="294"/>
      <c r="H854" s="294"/>
      <c r="I854" s="294"/>
      <c r="J854" s="294"/>
      <c r="L854" s="295"/>
      <c r="M854" s="294"/>
      <c r="S854" s="294"/>
      <c r="T854" s="299"/>
      <c r="U854" s="294"/>
      <c r="V854" s="299"/>
      <c r="W854" s="299"/>
      <c r="X854" s="294"/>
      <c r="Y854" s="299"/>
      <c r="Z854" s="294"/>
      <c r="AA854" s="299"/>
      <c r="AB854" s="299"/>
      <c r="AC854" s="294"/>
      <c r="AD854" s="294"/>
      <c r="AE854" s="294"/>
      <c r="AF854" s="294"/>
    </row>
    <row r="855" spans="2:32" x14ac:dyDescent="0.25">
      <c r="B855" s="294"/>
      <c r="C855" s="294"/>
      <c r="D855" s="294"/>
      <c r="E855" s="294"/>
      <c r="F855" s="294"/>
      <c r="G855" s="294"/>
      <c r="H855" s="294"/>
      <c r="I855" s="294"/>
      <c r="J855" s="294"/>
      <c r="L855" s="295"/>
      <c r="M855" s="294"/>
      <c r="S855" s="294"/>
      <c r="T855" s="299"/>
      <c r="U855" s="294"/>
      <c r="V855" s="299"/>
      <c r="W855" s="299"/>
      <c r="X855" s="294"/>
      <c r="Y855" s="299"/>
      <c r="Z855" s="294"/>
      <c r="AA855" s="299"/>
      <c r="AB855" s="299"/>
      <c r="AC855" s="294"/>
      <c r="AD855" s="294"/>
      <c r="AE855" s="294"/>
      <c r="AF855" s="294"/>
    </row>
    <row r="856" spans="2:32" x14ac:dyDescent="0.25">
      <c r="B856" s="294"/>
      <c r="C856" s="294"/>
      <c r="D856" s="294"/>
      <c r="E856" s="294"/>
      <c r="F856" s="294"/>
      <c r="G856" s="294"/>
      <c r="H856" s="294"/>
      <c r="I856" s="294"/>
      <c r="J856" s="294"/>
      <c r="L856" s="295"/>
      <c r="M856" s="294"/>
      <c r="S856" s="294"/>
      <c r="T856" s="299"/>
      <c r="U856" s="294"/>
      <c r="V856" s="299"/>
      <c r="W856" s="299"/>
      <c r="X856" s="294"/>
      <c r="Y856" s="299"/>
      <c r="Z856" s="294"/>
      <c r="AA856" s="299"/>
      <c r="AB856" s="299"/>
      <c r="AC856" s="294"/>
      <c r="AD856" s="294"/>
      <c r="AE856" s="294"/>
      <c r="AF856" s="294"/>
    </row>
    <row r="857" spans="2:32" x14ac:dyDescent="0.25">
      <c r="B857" s="294"/>
      <c r="C857" s="294"/>
      <c r="D857" s="294"/>
      <c r="E857" s="294"/>
      <c r="F857" s="294"/>
      <c r="G857" s="294"/>
      <c r="H857" s="294"/>
      <c r="I857" s="294"/>
      <c r="J857" s="294"/>
      <c r="L857" s="295"/>
      <c r="M857" s="294"/>
      <c r="S857" s="294"/>
      <c r="T857" s="299"/>
      <c r="U857" s="294"/>
      <c r="V857" s="299"/>
      <c r="W857" s="299"/>
      <c r="X857" s="294"/>
      <c r="Y857" s="299"/>
      <c r="Z857" s="294"/>
      <c r="AA857" s="299"/>
      <c r="AB857" s="299"/>
      <c r="AC857" s="294"/>
      <c r="AD857" s="294"/>
      <c r="AE857" s="294"/>
      <c r="AF857" s="294"/>
    </row>
    <row r="858" spans="2:32" x14ac:dyDescent="0.25">
      <c r="B858" s="294"/>
      <c r="C858" s="294"/>
      <c r="D858" s="294"/>
      <c r="E858" s="294"/>
      <c r="F858" s="294"/>
      <c r="G858" s="294"/>
      <c r="H858" s="294"/>
      <c r="I858" s="294"/>
      <c r="J858" s="294"/>
      <c r="L858" s="295"/>
      <c r="M858" s="294"/>
      <c r="S858" s="294"/>
      <c r="T858" s="299"/>
      <c r="U858" s="294"/>
      <c r="V858" s="299"/>
      <c r="W858" s="299"/>
      <c r="X858" s="294"/>
      <c r="Y858" s="299"/>
      <c r="Z858" s="294"/>
      <c r="AA858" s="299"/>
      <c r="AB858" s="299"/>
      <c r="AC858" s="294"/>
      <c r="AD858" s="294"/>
      <c r="AE858" s="294"/>
      <c r="AF858" s="294"/>
    </row>
    <row r="859" spans="2:32" x14ac:dyDescent="0.25">
      <c r="B859" s="294"/>
      <c r="C859" s="294"/>
      <c r="D859" s="294"/>
      <c r="E859" s="294"/>
      <c r="F859" s="294"/>
      <c r="G859" s="294"/>
      <c r="H859" s="294"/>
      <c r="I859" s="294"/>
      <c r="J859" s="294"/>
      <c r="L859" s="295"/>
      <c r="M859" s="294"/>
      <c r="S859" s="294"/>
      <c r="T859" s="299"/>
      <c r="U859" s="294"/>
      <c r="V859" s="299"/>
      <c r="W859" s="299"/>
      <c r="X859" s="294"/>
      <c r="Y859" s="299"/>
      <c r="Z859" s="294"/>
      <c r="AA859" s="299"/>
      <c r="AB859" s="299"/>
      <c r="AC859" s="294"/>
      <c r="AD859" s="294"/>
      <c r="AE859" s="294"/>
      <c r="AF859" s="294"/>
    </row>
    <row r="860" spans="2:32" x14ac:dyDescent="0.25">
      <c r="B860" s="294"/>
      <c r="C860" s="294"/>
      <c r="D860" s="294"/>
      <c r="E860" s="294"/>
      <c r="F860" s="294"/>
      <c r="G860" s="294"/>
      <c r="H860" s="294"/>
      <c r="I860" s="294"/>
      <c r="J860" s="294"/>
      <c r="L860" s="295"/>
      <c r="M860" s="294"/>
      <c r="S860" s="294"/>
      <c r="T860" s="299"/>
      <c r="U860" s="294"/>
      <c r="V860" s="299"/>
      <c r="W860" s="299"/>
      <c r="X860" s="294"/>
      <c r="Y860" s="299"/>
      <c r="Z860" s="294"/>
      <c r="AA860" s="299"/>
      <c r="AB860" s="299"/>
      <c r="AC860" s="294"/>
      <c r="AD860" s="294"/>
      <c r="AE860" s="294"/>
      <c r="AF860" s="294"/>
    </row>
    <row r="861" spans="2:32" x14ac:dyDescent="0.25">
      <c r="B861" s="294"/>
      <c r="C861" s="294"/>
      <c r="D861" s="294"/>
      <c r="E861" s="294"/>
      <c r="F861" s="294"/>
      <c r="G861" s="294"/>
      <c r="H861" s="294"/>
      <c r="I861" s="294"/>
      <c r="J861" s="294"/>
      <c r="L861" s="295"/>
      <c r="M861" s="294"/>
      <c r="S861" s="294"/>
      <c r="T861" s="299"/>
      <c r="U861" s="294"/>
      <c r="V861" s="299"/>
      <c r="W861" s="299"/>
      <c r="X861" s="294"/>
      <c r="Y861" s="299"/>
      <c r="Z861" s="294"/>
      <c r="AA861" s="299"/>
      <c r="AB861" s="299"/>
      <c r="AC861" s="294"/>
      <c r="AD861" s="294"/>
      <c r="AE861" s="294"/>
      <c r="AF861" s="294"/>
    </row>
    <row r="862" spans="2:32" x14ac:dyDescent="0.25">
      <c r="B862" s="294"/>
      <c r="C862" s="294"/>
      <c r="D862" s="294"/>
      <c r="E862" s="294"/>
      <c r="F862" s="294"/>
      <c r="G862" s="294"/>
      <c r="H862" s="294"/>
      <c r="I862" s="294"/>
      <c r="J862" s="294"/>
      <c r="L862" s="295"/>
      <c r="M862" s="294"/>
      <c r="S862" s="294"/>
      <c r="T862" s="299"/>
      <c r="U862" s="294"/>
      <c r="V862" s="299"/>
      <c r="W862" s="299"/>
      <c r="X862" s="294"/>
      <c r="Y862" s="299"/>
      <c r="Z862" s="294"/>
      <c r="AA862" s="299"/>
      <c r="AB862" s="299"/>
      <c r="AC862" s="294"/>
      <c r="AD862" s="294"/>
      <c r="AE862" s="294"/>
      <c r="AF862" s="294"/>
    </row>
    <row r="863" spans="2:32" x14ac:dyDescent="0.25">
      <c r="B863" s="294"/>
      <c r="C863" s="294"/>
      <c r="D863" s="294"/>
      <c r="E863" s="294"/>
      <c r="F863" s="294"/>
      <c r="G863" s="294"/>
      <c r="H863" s="294"/>
      <c r="I863" s="294"/>
      <c r="J863" s="294"/>
      <c r="L863" s="295"/>
      <c r="M863" s="294"/>
      <c r="S863" s="294"/>
      <c r="T863" s="299"/>
      <c r="U863" s="294"/>
      <c r="V863" s="299"/>
      <c r="W863" s="299"/>
      <c r="X863" s="294"/>
      <c r="Y863" s="299"/>
      <c r="Z863" s="294"/>
      <c r="AA863" s="299"/>
      <c r="AB863" s="299"/>
      <c r="AC863" s="294"/>
      <c r="AD863" s="294"/>
      <c r="AE863" s="294"/>
      <c r="AF863" s="294"/>
    </row>
    <row r="864" spans="2:32" x14ac:dyDescent="0.25">
      <c r="B864" s="294"/>
      <c r="C864" s="294"/>
      <c r="D864" s="294"/>
      <c r="E864" s="294"/>
      <c r="F864" s="294"/>
      <c r="G864" s="294"/>
      <c r="H864" s="294"/>
      <c r="I864" s="294"/>
      <c r="J864" s="294"/>
      <c r="L864" s="295"/>
      <c r="M864" s="294"/>
      <c r="S864" s="294"/>
      <c r="T864" s="299"/>
      <c r="U864" s="294"/>
      <c r="V864" s="299"/>
      <c r="W864" s="299"/>
      <c r="X864" s="294"/>
      <c r="Y864" s="299"/>
      <c r="Z864" s="294"/>
      <c r="AA864" s="299"/>
      <c r="AB864" s="299"/>
      <c r="AC864" s="294"/>
      <c r="AD864" s="294"/>
      <c r="AE864" s="294"/>
      <c r="AF864" s="294"/>
    </row>
    <row r="865" spans="2:32" x14ac:dyDescent="0.25">
      <c r="B865" s="294"/>
      <c r="C865" s="294"/>
      <c r="D865" s="294"/>
      <c r="E865" s="294"/>
      <c r="F865" s="294"/>
      <c r="G865" s="294"/>
      <c r="H865" s="294"/>
      <c r="I865" s="294"/>
      <c r="J865" s="294"/>
      <c r="L865" s="295"/>
      <c r="M865" s="294"/>
      <c r="S865" s="294"/>
      <c r="T865" s="299"/>
      <c r="U865" s="294"/>
      <c r="V865" s="299"/>
      <c r="W865" s="299"/>
      <c r="X865" s="294"/>
      <c r="Y865" s="299"/>
      <c r="Z865" s="294"/>
      <c r="AA865" s="299"/>
      <c r="AB865" s="299"/>
      <c r="AC865" s="294"/>
      <c r="AD865" s="294"/>
      <c r="AE865" s="294"/>
      <c r="AF865" s="294"/>
    </row>
    <row r="866" spans="2:32" x14ac:dyDescent="0.25">
      <c r="B866" s="294"/>
      <c r="C866" s="294"/>
      <c r="D866" s="294"/>
      <c r="E866" s="294"/>
      <c r="F866" s="294"/>
      <c r="G866" s="294"/>
      <c r="H866" s="294"/>
      <c r="I866" s="294"/>
      <c r="J866" s="294"/>
      <c r="L866" s="295"/>
      <c r="M866" s="294"/>
      <c r="S866" s="294"/>
      <c r="T866" s="299"/>
      <c r="U866" s="294"/>
      <c r="V866" s="299"/>
      <c r="W866" s="299"/>
      <c r="X866" s="294"/>
      <c r="Y866" s="299"/>
      <c r="Z866" s="294"/>
      <c r="AA866" s="299"/>
      <c r="AB866" s="299"/>
      <c r="AC866" s="294"/>
      <c r="AD866" s="294"/>
      <c r="AE866" s="294"/>
      <c r="AF866" s="294"/>
    </row>
    <row r="867" spans="2:32" x14ac:dyDescent="0.25">
      <c r="B867" s="294"/>
      <c r="C867" s="294"/>
      <c r="D867" s="294"/>
      <c r="E867" s="294"/>
      <c r="F867" s="294"/>
      <c r="G867" s="294"/>
      <c r="H867" s="294"/>
      <c r="I867" s="294"/>
      <c r="J867" s="294"/>
      <c r="L867" s="295"/>
      <c r="M867" s="294"/>
      <c r="S867" s="294"/>
      <c r="T867" s="299"/>
      <c r="U867" s="294"/>
      <c r="V867" s="299"/>
      <c r="W867" s="299"/>
      <c r="X867" s="294"/>
      <c r="Y867" s="299"/>
      <c r="Z867" s="294"/>
      <c r="AA867" s="299"/>
      <c r="AB867" s="299"/>
      <c r="AC867" s="294"/>
      <c r="AD867" s="294"/>
      <c r="AE867" s="294"/>
      <c r="AF867" s="294"/>
    </row>
    <row r="868" spans="2:32" x14ac:dyDescent="0.25">
      <c r="B868" s="294"/>
      <c r="C868" s="294"/>
      <c r="D868" s="294"/>
      <c r="E868" s="294"/>
      <c r="F868" s="294"/>
      <c r="G868" s="294"/>
      <c r="H868" s="294"/>
      <c r="I868" s="294"/>
      <c r="J868" s="294"/>
      <c r="L868" s="295"/>
      <c r="M868" s="294"/>
      <c r="S868" s="294"/>
      <c r="T868" s="299"/>
      <c r="U868" s="294"/>
      <c r="V868" s="299"/>
      <c r="W868" s="299"/>
      <c r="X868" s="294"/>
      <c r="Y868" s="299"/>
      <c r="Z868" s="294"/>
      <c r="AA868" s="299"/>
      <c r="AB868" s="299"/>
      <c r="AC868" s="294"/>
      <c r="AD868" s="294"/>
      <c r="AE868" s="294"/>
      <c r="AF868" s="294"/>
    </row>
    <row r="869" spans="2:32" x14ac:dyDescent="0.25">
      <c r="B869" s="294"/>
      <c r="C869" s="294"/>
      <c r="D869" s="294"/>
      <c r="E869" s="294"/>
      <c r="F869" s="294"/>
      <c r="G869" s="294"/>
      <c r="H869" s="294"/>
      <c r="I869" s="294"/>
      <c r="J869" s="294"/>
      <c r="L869" s="295"/>
      <c r="M869" s="294"/>
      <c r="S869" s="294"/>
      <c r="T869" s="299"/>
      <c r="U869" s="294"/>
      <c r="V869" s="299"/>
      <c r="W869" s="299"/>
      <c r="X869" s="294"/>
      <c r="Y869" s="299"/>
      <c r="Z869" s="294"/>
      <c r="AA869" s="299"/>
      <c r="AB869" s="299"/>
      <c r="AC869" s="294"/>
      <c r="AD869" s="294"/>
      <c r="AE869" s="294"/>
      <c r="AF869" s="294"/>
    </row>
    <row r="870" spans="2:32" x14ac:dyDescent="0.25">
      <c r="B870" s="294"/>
      <c r="C870" s="294"/>
      <c r="D870" s="294"/>
      <c r="E870" s="294"/>
      <c r="F870" s="294"/>
      <c r="G870" s="294"/>
      <c r="H870" s="294"/>
      <c r="I870" s="294"/>
      <c r="J870" s="294"/>
      <c r="L870" s="295"/>
      <c r="M870" s="294"/>
      <c r="S870" s="294"/>
      <c r="T870" s="299"/>
      <c r="U870" s="294"/>
      <c r="V870" s="299"/>
      <c r="W870" s="299"/>
      <c r="X870" s="294"/>
      <c r="Y870" s="299"/>
      <c r="Z870" s="294"/>
      <c r="AA870" s="299"/>
      <c r="AB870" s="299"/>
      <c r="AC870" s="294"/>
      <c r="AD870" s="294"/>
      <c r="AE870" s="294"/>
      <c r="AF870" s="294"/>
    </row>
    <row r="871" spans="2:32" x14ac:dyDescent="0.25">
      <c r="B871" s="294"/>
      <c r="C871" s="294"/>
      <c r="D871" s="294"/>
      <c r="E871" s="294"/>
      <c r="F871" s="294"/>
      <c r="G871" s="294"/>
      <c r="H871" s="294"/>
      <c r="I871" s="294"/>
      <c r="J871" s="294"/>
      <c r="L871" s="295"/>
      <c r="M871" s="294"/>
      <c r="S871" s="294"/>
      <c r="T871" s="299"/>
      <c r="U871" s="294"/>
      <c r="V871" s="299"/>
      <c r="W871" s="299"/>
      <c r="X871" s="294"/>
      <c r="Y871" s="299"/>
      <c r="Z871" s="294"/>
      <c r="AA871" s="299"/>
      <c r="AB871" s="299"/>
      <c r="AC871" s="294"/>
      <c r="AD871" s="294"/>
      <c r="AE871" s="294"/>
      <c r="AF871" s="294"/>
    </row>
    <row r="872" spans="2:32" x14ac:dyDescent="0.25">
      <c r="B872" s="294"/>
      <c r="C872" s="294"/>
      <c r="D872" s="294"/>
      <c r="E872" s="294"/>
      <c r="F872" s="294"/>
      <c r="G872" s="294"/>
      <c r="H872" s="294"/>
      <c r="I872" s="294"/>
      <c r="J872" s="294"/>
      <c r="L872" s="295"/>
      <c r="M872" s="294"/>
      <c r="S872" s="294"/>
      <c r="T872" s="299"/>
      <c r="U872" s="294"/>
      <c r="V872" s="299"/>
      <c r="W872" s="299"/>
      <c r="X872" s="294"/>
      <c r="Y872" s="299"/>
      <c r="Z872" s="294"/>
      <c r="AA872" s="299"/>
      <c r="AB872" s="299"/>
      <c r="AC872" s="294"/>
      <c r="AD872" s="294"/>
      <c r="AE872" s="294"/>
      <c r="AF872" s="294"/>
    </row>
    <row r="873" spans="2:32" x14ac:dyDescent="0.25">
      <c r="B873" s="294"/>
      <c r="C873" s="294"/>
      <c r="D873" s="294"/>
      <c r="E873" s="294"/>
      <c r="F873" s="294"/>
      <c r="G873" s="294"/>
      <c r="H873" s="294"/>
      <c r="I873" s="294"/>
      <c r="J873" s="294"/>
      <c r="L873" s="295"/>
      <c r="M873" s="294"/>
      <c r="S873" s="294"/>
      <c r="T873" s="299"/>
      <c r="U873" s="294"/>
      <c r="V873" s="299"/>
      <c r="W873" s="299"/>
      <c r="X873" s="294"/>
      <c r="Y873" s="299"/>
      <c r="Z873" s="294"/>
      <c r="AA873" s="299"/>
      <c r="AB873" s="299"/>
      <c r="AC873" s="294"/>
      <c r="AD873" s="294"/>
      <c r="AE873" s="294"/>
      <c r="AF873" s="294"/>
    </row>
    <row r="874" spans="2:32" x14ac:dyDescent="0.25">
      <c r="B874" s="294"/>
      <c r="C874" s="294"/>
      <c r="D874" s="294"/>
      <c r="E874" s="294"/>
      <c r="F874" s="294"/>
      <c r="G874" s="294"/>
      <c r="H874" s="294"/>
      <c r="I874" s="294"/>
      <c r="J874" s="294"/>
      <c r="L874" s="295"/>
      <c r="M874" s="294"/>
      <c r="S874" s="294"/>
      <c r="T874" s="299"/>
      <c r="U874" s="294"/>
      <c r="V874" s="299"/>
      <c r="W874" s="299"/>
      <c r="X874" s="294"/>
      <c r="Y874" s="299"/>
      <c r="Z874" s="294"/>
      <c r="AA874" s="299"/>
      <c r="AB874" s="299"/>
      <c r="AC874" s="294"/>
      <c r="AD874" s="294"/>
      <c r="AE874" s="294"/>
      <c r="AF874" s="294"/>
    </row>
    <row r="875" spans="2:32" x14ac:dyDescent="0.25">
      <c r="B875" s="294"/>
      <c r="C875" s="294"/>
      <c r="D875" s="294"/>
      <c r="E875" s="294"/>
      <c r="F875" s="294"/>
      <c r="G875" s="294"/>
      <c r="H875" s="294"/>
      <c r="I875" s="294"/>
      <c r="J875" s="294"/>
      <c r="L875" s="295"/>
      <c r="M875" s="294"/>
      <c r="S875" s="294"/>
      <c r="T875" s="299"/>
      <c r="U875" s="294"/>
      <c r="V875" s="299"/>
      <c r="W875" s="299"/>
      <c r="X875" s="294"/>
      <c r="Y875" s="299"/>
      <c r="Z875" s="294"/>
      <c r="AA875" s="299"/>
      <c r="AB875" s="299"/>
      <c r="AC875" s="294"/>
      <c r="AD875" s="294"/>
      <c r="AE875" s="294"/>
      <c r="AF875" s="294"/>
    </row>
    <row r="876" spans="2:32" x14ac:dyDescent="0.25">
      <c r="B876" s="294"/>
      <c r="C876" s="294"/>
      <c r="D876" s="294"/>
      <c r="E876" s="294"/>
      <c r="F876" s="294"/>
      <c r="G876" s="294"/>
      <c r="H876" s="294"/>
      <c r="I876" s="294"/>
      <c r="J876" s="294"/>
      <c r="L876" s="295"/>
      <c r="M876" s="294"/>
      <c r="S876" s="294"/>
      <c r="T876" s="299"/>
      <c r="U876" s="294"/>
      <c r="V876" s="299"/>
      <c r="W876" s="299"/>
      <c r="X876" s="294"/>
      <c r="Y876" s="299"/>
      <c r="Z876" s="294"/>
      <c r="AA876" s="299"/>
      <c r="AB876" s="299"/>
      <c r="AC876" s="294"/>
      <c r="AD876" s="294"/>
      <c r="AE876" s="294"/>
      <c r="AF876" s="294"/>
    </row>
    <row r="877" spans="2:32" x14ac:dyDescent="0.25">
      <c r="B877" s="294"/>
      <c r="C877" s="294"/>
      <c r="D877" s="294"/>
      <c r="E877" s="294"/>
      <c r="F877" s="294"/>
      <c r="G877" s="294"/>
      <c r="H877" s="294"/>
      <c r="I877" s="294"/>
      <c r="J877" s="294"/>
      <c r="L877" s="295"/>
      <c r="M877" s="294"/>
      <c r="S877" s="294"/>
      <c r="T877" s="299"/>
      <c r="U877" s="294"/>
      <c r="V877" s="299"/>
      <c r="W877" s="299"/>
      <c r="X877" s="294"/>
      <c r="Y877" s="299"/>
      <c r="Z877" s="294"/>
      <c r="AA877" s="299"/>
      <c r="AB877" s="299"/>
      <c r="AC877" s="294"/>
      <c r="AD877" s="294"/>
      <c r="AE877" s="294"/>
      <c r="AF877" s="294"/>
    </row>
    <row r="878" spans="2:32" x14ac:dyDescent="0.25">
      <c r="B878" s="294"/>
      <c r="C878" s="294"/>
      <c r="D878" s="294"/>
      <c r="E878" s="294"/>
      <c r="F878" s="294"/>
      <c r="G878" s="294"/>
      <c r="H878" s="294"/>
      <c r="I878" s="294"/>
      <c r="J878" s="294"/>
      <c r="L878" s="295"/>
      <c r="M878" s="294"/>
      <c r="S878" s="294"/>
      <c r="T878" s="299"/>
      <c r="U878" s="294"/>
      <c r="V878" s="299"/>
      <c r="W878" s="299"/>
      <c r="X878" s="294"/>
      <c r="Y878" s="299"/>
      <c r="Z878" s="294"/>
      <c r="AA878" s="299"/>
      <c r="AB878" s="299"/>
      <c r="AC878" s="294"/>
      <c r="AD878" s="294"/>
      <c r="AE878" s="294"/>
      <c r="AF878" s="294"/>
    </row>
    <row r="879" spans="2:32" x14ac:dyDescent="0.25">
      <c r="B879" s="294"/>
      <c r="C879" s="294"/>
      <c r="D879" s="294"/>
      <c r="E879" s="294"/>
      <c r="F879" s="294"/>
      <c r="G879" s="294"/>
      <c r="H879" s="294"/>
      <c r="I879" s="294"/>
      <c r="J879" s="294"/>
      <c r="L879" s="295"/>
      <c r="M879" s="294"/>
      <c r="S879" s="294"/>
      <c r="T879" s="299"/>
      <c r="U879" s="294"/>
      <c r="V879" s="299"/>
      <c r="W879" s="299"/>
      <c r="X879" s="294"/>
      <c r="Y879" s="299"/>
      <c r="Z879" s="294"/>
      <c r="AA879" s="299"/>
      <c r="AB879" s="299"/>
      <c r="AC879" s="294"/>
      <c r="AD879" s="294"/>
      <c r="AE879" s="294"/>
      <c r="AF879" s="294"/>
    </row>
    <row r="880" spans="2:32" x14ac:dyDescent="0.25">
      <c r="B880" s="294"/>
      <c r="C880" s="294"/>
      <c r="D880" s="294"/>
      <c r="E880" s="294"/>
      <c r="F880" s="294"/>
      <c r="G880" s="294"/>
      <c r="H880" s="294"/>
      <c r="I880" s="294"/>
      <c r="J880" s="294"/>
      <c r="L880" s="295"/>
      <c r="M880" s="294"/>
      <c r="S880" s="294"/>
      <c r="T880" s="299"/>
      <c r="U880" s="294"/>
      <c r="V880" s="299"/>
      <c r="W880" s="299"/>
      <c r="X880" s="294"/>
      <c r="Y880" s="299"/>
      <c r="Z880" s="294"/>
      <c r="AA880" s="299"/>
      <c r="AB880" s="299"/>
      <c r="AC880" s="294"/>
      <c r="AD880" s="294"/>
      <c r="AE880" s="294"/>
      <c r="AF880" s="294"/>
    </row>
    <row r="881" spans="2:32" x14ac:dyDescent="0.25">
      <c r="B881" s="294"/>
      <c r="C881" s="294"/>
      <c r="D881" s="294"/>
      <c r="E881" s="294"/>
      <c r="F881" s="294"/>
      <c r="G881" s="294"/>
      <c r="H881" s="294"/>
      <c r="I881" s="294"/>
      <c r="J881" s="294"/>
      <c r="L881" s="295"/>
      <c r="M881" s="294"/>
      <c r="S881" s="294"/>
      <c r="T881" s="299"/>
      <c r="U881" s="294"/>
      <c r="V881" s="299"/>
      <c r="W881" s="299"/>
      <c r="X881" s="294"/>
      <c r="Y881" s="299"/>
      <c r="Z881" s="294"/>
      <c r="AA881" s="299"/>
      <c r="AB881" s="299"/>
      <c r="AC881" s="294"/>
      <c r="AD881" s="294"/>
      <c r="AE881" s="294"/>
      <c r="AF881" s="294"/>
    </row>
    <row r="882" spans="2:32" x14ac:dyDescent="0.25">
      <c r="B882" s="294"/>
      <c r="C882" s="294"/>
      <c r="D882" s="294"/>
      <c r="E882" s="294"/>
      <c r="F882" s="294"/>
      <c r="G882" s="294"/>
      <c r="H882" s="294"/>
      <c r="I882" s="294"/>
      <c r="J882" s="294"/>
      <c r="L882" s="295"/>
      <c r="M882" s="294"/>
      <c r="S882" s="294"/>
      <c r="T882" s="299"/>
      <c r="U882" s="294"/>
      <c r="V882" s="299"/>
      <c r="W882" s="299"/>
      <c r="X882" s="294"/>
      <c r="Y882" s="299"/>
      <c r="Z882" s="294"/>
      <c r="AA882" s="299"/>
      <c r="AB882" s="299"/>
      <c r="AC882" s="294"/>
      <c r="AD882" s="294"/>
      <c r="AE882" s="294"/>
      <c r="AF882" s="294"/>
    </row>
    <row r="883" spans="2:32" x14ac:dyDescent="0.25">
      <c r="B883" s="294"/>
      <c r="C883" s="294"/>
      <c r="D883" s="294"/>
      <c r="E883" s="294"/>
      <c r="F883" s="294"/>
      <c r="G883" s="294"/>
      <c r="H883" s="294"/>
      <c r="I883" s="294"/>
      <c r="J883" s="294"/>
      <c r="L883" s="295"/>
      <c r="M883" s="294"/>
      <c r="S883" s="294"/>
      <c r="T883" s="299"/>
      <c r="U883" s="294"/>
      <c r="V883" s="299"/>
      <c r="W883" s="299"/>
      <c r="X883" s="294"/>
      <c r="Y883" s="299"/>
      <c r="Z883" s="294"/>
      <c r="AA883" s="299"/>
      <c r="AB883" s="299"/>
      <c r="AC883" s="294"/>
      <c r="AD883" s="294"/>
      <c r="AE883" s="294"/>
      <c r="AF883" s="294"/>
    </row>
    <row r="884" spans="2:32" x14ac:dyDescent="0.25">
      <c r="B884" s="294"/>
      <c r="C884" s="294"/>
      <c r="D884" s="294"/>
      <c r="E884" s="294"/>
      <c r="F884" s="294"/>
      <c r="G884" s="294"/>
      <c r="H884" s="294"/>
      <c r="I884" s="294"/>
      <c r="J884" s="294"/>
      <c r="L884" s="295"/>
      <c r="M884" s="294"/>
      <c r="S884" s="294"/>
      <c r="T884" s="299"/>
      <c r="U884" s="294"/>
      <c r="V884" s="299"/>
      <c r="W884" s="299"/>
      <c r="X884" s="294"/>
      <c r="Y884" s="299"/>
      <c r="Z884" s="294"/>
      <c r="AA884" s="299"/>
      <c r="AB884" s="299"/>
      <c r="AC884" s="294"/>
      <c r="AD884" s="294"/>
      <c r="AE884" s="294"/>
      <c r="AF884" s="294"/>
    </row>
    <row r="885" spans="2:32" x14ac:dyDescent="0.25">
      <c r="B885" s="294"/>
      <c r="C885" s="294"/>
      <c r="D885" s="294"/>
      <c r="E885" s="294"/>
      <c r="F885" s="294"/>
      <c r="G885" s="294"/>
      <c r="H885" s="294"/>
      <c r="I885" s="294"/>
      <c r="J885" s="294"/>
      <c r="L885" s="295"/>
      <c r="M885" s="294"/>
      <c r="S885" s="294"/>
      <c r="T885" s="299"/>
      <c r="U885" s="294"/>
      <c r="V885" s="299"/>
      <c r="W885" s="299"/>
      <c r="X885" s="294"/>
      <c r="Y885" s="299"/>
      <c r="Z885" s="294"/>
      <c r="AA885" s="299"/>
      <c r="AB885" s="299"/>
      <c r="AC885" s="294"/>
      <c r="AD885" s="294"/>
      <c r="AE885" s="294"/>
      <c r="AF885" s="294"/>
    </row>
    <row r="886" spans="2:32" x14ac:dyDescent="0.25">
      <c r="B886" s="294"/>
      <c r="C886" s="294"/>
      <c r="D886" s="294"/>
      <c r="E886" s="294"/>
      <c r="F886" s="294"/>
      <c r="G886" s="294"/>
      <c r="H886" s="294"/>
      <c r="I886" s="294"/>
      <c r="J886" s="294"/>
      <c r="L886" s="295"/>
      <c r="M886" s="294"/>
      <c r="S886" s="294"/>
      <c r="T886" s="299"/>
      <c r="U886" s="294"/>
      <c r="V886" s="299"/>
      <c r="W886" s="299"/>
      <c r="X886" s="294"/>
      <c r="Y886" s="299"/>
      <c r="Z886" s="294"/>
      <c r="AA886" s="299"/>
      <c r="AB886" s="299"/>
      <c r="AC886" s="294"/>
      <c r="AD886" s="294"/>
      <c r="AE886" s="294"/>
      <c r="AF886" s="294"/>
    </row>
    <row r="887" spans="2:32" x14ac:dyDescent="0.25">
      <c r="B887" s="294"/>
      <c r="C887" s="294"/>
      <c r="D887" s="294"/>
      <c r="E887" s="294"/>
      <c r="F887" s="294"/>
      <c r="G887" s="294"/>
      <c r="H887" s="294"/>
      <c r="I887" s="294"/>
      <c r="J887" s="294"/>
      <c r="L887" s="295"/>
      <c r="M887" s="294"/>
      <c r="S887" s="294"/>
      <c r="T887" s="299"/>
      <c r="U887" s="294"/>
      <c r="V887" s="299"/>
      <c r="W887" s="299"/>
      <c r="X887" s="294"/>
      <c r="Y887" s="299"/>
      <c r="Z887" s="294"/>
      <c r="AA887" s="299"/>
      <c r="AB887" s="299"/>
      <c r="AC887" s="294"/>
      <c r="AD887" s="294"/>
      <c r="AE887" s="294"/>
      <c r="AF887" s="294"/>
    </row>
    <row r="888" spans="2:32" x14ac:dyDescent="0.25">
      <c r="B888" s="294"/>
      <c r="C888" s="294"/>
      <c r="D888" s="294"/>
      <c r="E888" s="294"/>
      <c r="F888" s="294"/>
      <c r="G888" s="294"/>
      <c r="H888" s="294"/>
      <c r="I888" s="294"/>
      <c r="J888" s="294"/>
      <c r="L888" s="295"/>
      <c r="M888" s="294"/>
      <c r="S888" s="294"/>
      <c r="T888" s="299"/>
      <c r="U888" s="294"/>
      <c r="V888" s="299"/>
      <c r="W888" s="299"/>
      <c r="X888" s="294"/>
      <c r="Y888" s="299"/>
      <c r="Z888" s="294"/>
      <c r="AA888" s="299"/>
      <c r="AB888" s="299"/>
      <c r="AC888" s="294"/>
      <c r="AD888" s="294"/>
      <c r="AE888" s="294"/>
      <c r="AF888" s="294"/>
    </row>
    <row r="889" spans="2:32" x14ac:dyDescent="0.25">
      <c r="B889" s="294"/>
      <c r="C889" s="294"/>
      <c r="D889" s="294"/>
      <c r="E889" s="294"/>
      <c r="F889" s="294"/>
      <c r="G889" s="294"/>
      <c r="H889" s="294"/>
      <c r="I889" s="294"/>
      <c r="J889" s="294"/>
      <c r="L889" s="295"/>
      <c r="M889" s="294"/>
      <c r="S889" s="294"/>
      <c r="T889" s="299"/>
      <c r="U889" s="294"/>
      <c r="V889" s="299"/>
      <c r="W889" s="299"/>
      <c r="X889" s="294"/>
      <c r="Y889" s="299"/>
      <c r="Z889" s="294"/>
      <c r="AA889" s="299"/>
      <c r="AB889" s="299"/>
      <c r="AC889" s="294"/>
      <c r="AD889" s="294"/>
      <c r="AE889" s="294"/>
      <c r="AF889" s="294"/>
    </row>
    <row r="890" spans="2:32" x14ac:dyDescent="0.25">
      <c r="B890" s="294"/>
      <c r="C890" s="294"/>
      <c r="D890" s="294"/>
      <c r="E890" s="294"/>
      <c r="F890" s="294"/>
      <c r="G890" s="294"/>
      <c r="H890" s="294"/>
      <c r="I890" s="294"/>
      <c r="J890" s="294"/>
      <c r="L890" s="295"/>
      <c r="M890" s="294"/>
      <c r="S890" s="294"/>
      <c r="T890" s="299"/>
      <c r="U890" s="294"/>
      <c r="V890" s="299"/>
      <c r="W890" s="299"/>
      <c r="X890" s="294"/>
      <c r="Y890" s="299"/>
      <c r="Z890" s="294"/>
      <c r="AA890" s="299"/>
      <c r="AB890" s="299"/>
      <c r="AC890" s="294"/>
      <c r="AD890" s="294"/>
      <c r="AE890" s="294"/>
      <c r="AF890" s="294"/>
    </row>
    <row r="891" spans="2:32" x14ac:dyDescent="0.25">
      <c r="B891" s="294"/>
      <c r="C891" s="294"/>
      <c r="D891" s="294"/>
      <c r="E891" s="294"/>
      <c r="F891" s="294"/>
      <c r="G891" s="294"/>
      <c r="H891" s="294"/>
      <c r="I891" s="294"/>
      <c r="J891" s="294"/>
      <c r="L891" s="295"/>
      <c r="M891" s="294"/>
      <c r="S891" s="294"/>
      <c r="T891" s="299"/>
      <c r="U891" s="294"/>
      <c r="V891" s="299"/>
      <c r="W891" s="299"/>
      <c r="X891" s="294"/>
      <c r="Y891" s="299"/>
      <c r="Z891" s="294"/>
      <c r="AA891" s="299"/>
      <c r="AB891" s="299"/>
      <c r="AC891" s="294"/>
      <c r="AD891" s="294"/>
      <c r="AE891" s="294"/>
      <c r="AF891" s="294"/>
    </row>
    <row r="892" spans="2:32" x14ac:dyDescent="0.25">
      <c r="B892" s="294"/>
      <c r="C892" s="294"/>
      <c r="D892" s="294"/>
      <c r="E892" s="294"/>
      <c r="F892" s="294"/>
      <c r="G892" s="294"/>
      <c r="H892" s="294"/>
      <c r="I892" s="294"/>
      <c r="J892" s="294"/>
      <c r="L892" s="295"/>
      <c r="M892" s="294"/>
      <c r="S892" s="294"/>
      <c r="T892" s="299"/>
      <c r="U892" s="294"/>
      <c r="V892" s="299"/>
      <c r="W892" s="299"/>
      <c r="X892" s="294"/>
      <c r="Y892" s="299"/>
      <c r="Z892" s="294"/>
      <c r="AA892" s="299"/>
      <c r="AB892" s="299"/>
      <c r="AC892" s="294"/>
      <c r="AD892" s="294"/>
      <c r="AE892" s="294"/>
      <c r="AF892" s="294"/>
    </row>
    <row r="893" spans="2:32" x14ac:dyDescent="0.25">
      <c r="B893" s="294"/>
      <c r="C893" s="294"/>
      <c r="D893" s="294"/>
      <c r="E893" s="294"/>
      <c r="F893" s="294"/>
      <c r="G893" s="294"/>
      <c r="H893" s="294"/>
      <c r="I893" s="294"/>
      <c r="J893" s="294"/>
      <c r="L893" s="295"/>
      <c r="M893" s="294"/>
      <c r="S893" s="294"/>
      <c r="T893" s="299"/>
      <c r="U893" s="294"/>
      <c r="V893" s="299"/>
      <c r="W893" s="299"/>
      <c r="X893" s="294"/>
      <c r="Y893" s="299"/>
      <c r="Z893" s="294"/>
      <c r="AA893" s="299"/>
      <c r="AB893" s="299"/>
      <c r="AC893" s="294"/>
      <c r="AD893" s="294"/>
      <c r="AE893" s="294"/>
      <c r="AF893" s="294"/>
    </row>
    <row r="894" spans="2:32" x14ac:dyDescent="0.25">
      <c r="B894" s="294"/>
      <c r="C894" s="294"/>
      <c r="D894" s="294"/>
      <c r="E894" s="294"/>
      <c r="F894" s="294"/>
      <c r="G894" s="294"/>
      <c r="H894" s="294"/>
      <c r="I894" s="294"/>
      <c r="J894" s="294"/>
      <c r="L894" s="295"/>
      <c r="M894" s="294"/>
      <c r="S894" s="294"/>
      <c r="T894" s="299"/>
      <c r="U894" s="294"/>
      <c r="V894" s="299"/>
      <c r="W894" s="299"/>
      <c r="X894" s="294"/>
      <c r="Y894" s="299"/>
      <c r="Z894" s="294"/>
      <c r="AA894" s="299"/>
      <c r="AB894" s="299"/>
      <c r="AC894" s="294"/>
      <c r="AD894" s="294"/>
      <c r="AE894" s="294"/>
      <c r="AF894" s="294"/>
    </row>
    <row r="895" spans="2:32" x14ac:dyDescent="0.25">
      <c r="B895" s="294"/>
      <c r="C895" s="294"/>
      <c r="D895" s="294"/>
      <c r="E895" s="294"/>
      <c r="F895" s="294"/>
      <c r="G895" s="294"/>
      <c r="H895" s="294"/>
      <c r="I895" s="294"/>
      <c r="J895" s="294"/>
      <c r="L895" s="295"/>
      <c r="M895" s="294"/>
      <c r="S895" s="294"/>
      <c r="T895" s="299"/>
      <c r="U895" s="294"/>
      <c r="V895" s="299"/>
      <c r="W895" s="299"/>
      <c r="X895" s="294"/>
      <c r="Y895" s="299"/>
      <c r="Z895" s="294"/>
      <c r="AA895" s="299"/>
      <c r="AB895" s="299"/>
      <c r="AC895" s="294"/>
      <c r="AD895" s="294"/>
      <c r="AE895" s="294"/>
      <c r="AF895" s="294"/>
    </row>
    <row r="896" spans="2:32" x14ac:dyDescent="0.25">
      <c r="B896" s="294"/>
      <c r="C896" s="294"/>
      <c r="D896" s="294"/>
      <c r="E896" s="294"/>
      <c r="F896" s="294"/>
      <c r="G896" s="294"/>
      <c r="H896" s="294"/>
      <c r="I896" s="294"/>
      <c r="J896" s="294"/>
      <c r="L896" s="295"/>
      <c r="M896" s="294"/>
      <c r="S896" s="294"/>
      <c r="T896" s="299"/>
      <c r="U896" s="294"/>
      <c r="V896" s="299"/>
      <c r="W896" s="299"/>
      <c r="X896" s="294"/>
      <c r="Y896" s="299"/>
      <c r="Z896" s="294"/>
      <c r="AA896" s="299"/>
      <c r="AB896" s="299"/>
      <c r="AC896" s="294"/>
      <c r="AD896" s="294"/>
      <c r="AE896" s="294"/>
      <c r="AF896" s="294"/>
    </row>
    <row r="897" spans="2:32" x14ac:dyDescent="0.25">
      <c r="B897" s="294"/>
      <c r="C897" s="294"/>
      <c r="D897" s="294"/>
      <c r="E897" s="294"/>
      <c r="F897" s="294"/>
      <c r="G897" s="294"/>
      <c r="H897" s="294"/>
      <c r="I897" s="294"/>
      <c r="J897" s="294"/>
      <c r="L897" s="295"/>
      <c r="M897" s="294"/>
      <c r="S897" s="294"/>
      <c r="T897" s="299"/>
      <c r="U897" s="294"/>
      <c r="V897" s="299"/>
      <c r="W897" s="299"/>
      <c r="X897" s="294"/>
      <c r="Y897" s="299"/>
      <c r="Z897" s="294"/>
      <c r="AA897" s="299"/>
      <c r="AB897" s="299"/>
      <c r="AC897" s="294"/>
      <c r="AD897" s="294"/>
      <c r="AE897" s="294"/>
      <c r="AF897" s="294"/>
    </row>
    <row r="898" spans="2:32" x14ac:dyDescent="0.25">
      <c r="B898" s="294"/>
      <c r="C898" s="294"/>
      <c r="D898" s="294"/>
      <c r="E898" s="294"/>
      <c r="F898" s="294"/>
      <c r="G898" s="294"/>
      <c r="H898" s="294"/>
      <c r="I898" s="294"/>
      <c r="J898" s="294"/>
      <c r="L898" s="295"/>
      <c r="M898" s="294"/>
      <c r="S898" s="294"/>
      <c r="T898" s="299"/>
      <c r="U898" s="294"/>
      <c r="V898" s="299"/>
      <c r="W898" s="299"/>
      <c r="X898" s="294"/>
      <c r="Y898" s="299"/>
      <c r="Z898" s="294"/>
      <c r="AA898" s="299"/>
      <c r="AB898" s="299"/>
      <c r="AC898" s="294"/>
      <c r="AD898" s="294"/>
      <c r="AE898" s="294"/>
      <c r="AF898" s="294"/>
    </row>
    <row r="899" spans="2:32" x14ac:dyDescent="0.25">
      <c r="B899" s="294"/>
      <c r="C899" s="294"/>
      <c r="D899" s="294"/>
      <c r="E899" s="294"/>
      <c r="F899" s="294"/>
      <c r="G899" s="294"/>
      <c r="H899" s="294"/>
      <c r="I899" s="294"/>
      <c r="J899" s="294"/>
      <c r="L899" s="295"/>
      <c r="M899" s="294"/>
      <c r="S899" s="294"/>
      <c r="T899" s="299"/>
      <c r="U899" s="294"/>
      <c r="V899" s="299"/>
      <c r="W899" s="299"/>
      <c r="X899" s="294"/>
      <c r="Y899" s="299"/>
      <c r="Z899" s="294"/>
      <c r="AA899" s="299"/>
      <c r="AB899" s="299"/>
      <c r="AC899" s="294"/>
      <c r="AD899" s="294"/>
      <c r="AE899" s="294"/>
      <c r="AF899" s="294"/>
    </row>
    <row r="900" spans="2:32" x14ac:dyDescent="0.25">
      <c r="B900" s="294"/>
      <c r="C900" s="294"/>
      <c r="D900" s="294"/>
      <c r="E900" s="294"/>
      <c r="F900" s="294"/>
      <c r="G900" s="294"/>
      <c r="H900" s="294"/>
      <c r="I900" s="294"/>
      <c r="J900" s="294"/>
      <c r="L900" s="295"/>
      <c r="M900" s="294"/>
      <c r="S900" s="294"/>
      <c r="T900" s="299"/>
      <c r="U900" s="294"/>
      <c r="V900" s="299"/>
      <c r="W900" s="299"/>
      <c r="X900" s="294"/>
      <c r="Y900" s="299"/>
      <c r="Z900" s="294"/>
      <c r="AA900" s="299"/>
      <c r="AB900" s="299"/>
      <c r="AC900" s="294"/>
      <c r="AD900" s="294"/>
      <c r="AE900" s="294"/>
      <c r="AF900" s="294"/>
    </row>
    <row r="901" spans="2:32" x14ac:dyDescent="0.25">
      <c r="B901" s="294"/>
      <c r="C901" s="294"/>
      <c r="D901" s="294"/>
      <c r="E901" s="294"/>
      <c r="F901" s="294"/>
      <c r="G901" s="294"/>
      <c r="H901" s="294"/>
      <c r="I901" s="294"/>
      <c r="J901" s="294"/>
      <c r="L901" s="295"/>
      <c r="M901" s="294"/>
      <c r="S901" s="294"/>
      <c r="T901" s="299"/>
      <c r="U901" s="294"/>
      <c r="V901" s="299"/>
      <c r="W901" s="299"/>
      <c r="X901" s="294"/>
      <c r="Y901" s="299"/>
      <c r="Z901" s="294"/>
      <c r="AA901" s="299"/>
      <c r="AB901" s="299"/>
      <c r="AC901" s="294"/>
      <c r="AD901" s="294"/>
      <c r="AE901" s="294"/>
      <c r="AF901" s="294"/>
    </row>
    <row r="902" spans="2:32" x14ac:dyDescent="0.25">
      <c r="B902" s="294"/>
      <c r="C902" s="294"/>
      <c r="D902" s="294"/>
      <c r="E902" s="294"/>
      <c r="F902" s="294"/>
      <c r="G902" s="294"/>
      <c r="H902" s="294"/>
      <c r="I902" s="294"/>
      <c r="J902" s="294"/>
      <c r="L902" s="295"/>
      <c r="M902" s="294"/>
      <c r="S902" s="294"/>
      <c r="T902" s="299"/>
      <c r="U902" s="294"/>
      <c r="V902" s="299"/>
      <c r="W902" s="299"/>
      <c r="X902" s="294"/>
      <c r="Y902" s="299"/>
      <c r="Z902" s="294"/>
      <c r="AA902" s="299"/>
      <c r="AB902" s="299"/>
      <c r="AC902" s="294"/>
      <c r="AD902" s="294"/>
      <c r="AE902" s="294"/>
      <c r="AF902" s="294"/>
    </row>
    <row r="903" spans="2:32" x14ac:dyDescent="0.25">
      <c r="B903" s="294"/>
      <c r="C903" s="294"/>
      <c r="D903" s="294"/>
      <c r="E903" s="294"/>
      <c r="F903" s="294"/>
      <c r="G903" s="294"/>
      <c r="H903" s="294"/>
      <c r="I903" s="294"/>
      <c r="J903" s="294"/>
      <c r="L903" s="295"/>
      <c r="M903" s="294"/>
      <c r="S903" s="294"/>
      <c r="T903" s="299"/>
      <c r="U903" s="294"/>
      <c r="V903" s="299"/>
      <c r="W903" s="299"/>
      <c r="X903" s="294"/>
      <c r="Y903" s="299"/>
      <c r="Z903" s="294"/>
      <c r="AA903" s="299"/>
      <c r="AB903" s="299"/>
      <c r="AC903" s="294"/>
      <c r="AD903" s="294"/>
      <c r="AE903" s="294"/>
      <c r="AF903" s="294"/>
    </row>
    <row r="904" spans="2:32" x14ac:dyDescent="0.25">
      <c r="B904" s="294"/>
      <c r="C904" s="294"/>
      <c r="D904" s="294"/>
      <c r="E904" s="294"/>
      <c r="F904" s="294"/>
      <c r="G904" s="294"/>
      <c r="H904" s="294"/>
      <c r="I904" s="294"/>
      <c r="J904" s="294"/>
      <c r="L904" s="295"/>
      <c r="M904" s="294"/>
      <c r="S904" s="294"/>
      <c r="T904" s="299"/>
      <c r="U904" s="294"/>
      <c r="V904" s="299"/>
      <c r="W904" s="299"/>
      <c r="X904" s="294"/>
      <c r="Y904" s="299"/>
      <c r="Z904" s="294"/>
      <c r="AA904" s="299"/>
      <c r="AB904" s="299"/>
      <c r="AC904" s="294"/>
      <c r="AD904" s="294"/>
      <c r="AE904" s="294"/>
      <c r="AF904" s="294"/>
    </row>
    <row r="905" spans="2:32" x14ac:dyDescent="0.25">
      <c r="B905" s="294"/>
      <c r="C905" s="294"/>
      <c r="D905" s="294"/>
      <c r="E905" s="294"/>
      <c r="F905" s="294"/>
      <c r="G905" s="294"/>
      <c r="H905" s="294"/>
      <c r="I905" s="294"/>
      <c r="J905" s="294"/>
      <c r="L905" s="295"/>
      <c r="M905" s="294"/>
      <c r="S905" s="294"/>
      <c r="T905" s="299"/>
      <c r="U905" s="294"/>
      <c r="V905" s="299"/>
      <c r="W905" s="299"/>
      <c r="X905" s="294"/>
      <c r="Y905" s="299"/>
      <c r="Z905" s="294"/>
      <c r="AA905" s="299"/>
      <c r="AB905" s="299"/>
      <c r="AC905" s="294"/>
      <c r="AD905" s="294"/>
      <c r="AE905" s="294"/>
      <c r="AF905" s="294"/>
    </row>
    <row r="906" spans="2:32" x14ac:dyDescent="0.25">
      <c r="B906" s="294"/>
      <c r="C906" s="294"/>
      <c r="D906" s="294"/>
      <c r="E906" s="294"/>
      <c r="F906" s="294"/>
      <c r="G906" s="294"/>
      <c r="H906" s="294"/>
      <c r="I906" s="294"/>
      <c r="J906" s="294"/>
      <c r="L906" s="295"/>
      <c r="M906" s="294"/>
      <c r="S906" s="294"/>
      <c r="T906" s="299"/>
      <c r="U906" s="294"/>
      <c r="V906" s="299"/>
      <c r="W906" s="299"/>
      <c r="X906" s="294"/>
      <c r="Y906" s="299"/>
      <c r="Z906" s="294"/>
      <c r="AA906" s="299"/>
      <c r="AB906" s="299"/>
      <c r="AC906" s="294"/>
      <c r="AD906" s="294"/>
      <c r="AE906" s="294"/>
      <c r="AF906" s="294"/>
    </row>
    <row r="907" spans="2:32" x14ac:dyDescent="0.25">
      <c r="B907" s="294"/>
      <c r="C907" s="294"/>
      <c r="D907" s="294"/>
      <c r="E907" s="294"/>
      <c r="F907" s="294"/>
      <c r="G907" s="294"/>
      <c r="H907" s="294"/>
      <c r="I907" s="294"/>
      <c r="J907" s="294"/>
      <c r="L907" s="295"/>
      <c r="M907" s="294"/>
      <c r="S907" s="294"/>
      <c r="T907" s="299"/>
      <c r="U907" s="294"/>
      <c r="V907" s="299"/>
      <c r="W907" s="299"/>
      <c r="X907" s="294"/>
      <c r="Y907" s="299"/>
      <c r="Z907" s="294"/>
      <c r="AA907" s="299"/>
      <c r="AB907" s="299"/>
      <c r="AC907" s="294"/>
      <c r="AD907" s="294"/>
      <c r="AE907" s="294"/>
      <c r="AF907" s="294"/>
    </row>
    <row r="908" spans="2:32" x14ac:dyDescent="0.25">
      <c r="B908" s="294"/>
      <c r="C908" s="294"/>
      <c r="D908" s="294"/>
      <c r="E908" s="294"/>
      <c r="F908" s="294"/>
      <c r="G908" s="294"/>
      <c r="H908" s="294"/>
      <c r="I908" s="294"/>
      <c r="J908" s="294"/>
      <c r="L908" s="295"/>
      <c r="M908" s="294"/>
      <c r="S908" s="294"/>
      <c r="T908" s="299"/>
      <c r="U908" s="294"/>
      <c r="V908" s="299"/>
      <c r="W908" s="299"/>
      <c r="X908" s="294"/>
      <c r="Y908" s="299"/>
      <c r="Z908" s="294"/>
      <c r="AA908" s="299"/>
      <c r="AB908" s="299"/>
      <c r="AC908" s="294"/>
      <c r="AD908" s="294"/>
      <c r="AE908" s="294"/>
      <c r="AF908" s="294"/>
    </row>
    <row r="909" spans="2:32" x14ac:dyDescent="0.25">
      <c r="B909" s="294"/>
      <c r="C909" s="294"/>
      <c r="D909" s="294"/>
      <c r="E909" s="294"/>
      <c r="F909" s="294"/>
      <c r="G909" s="294"/>
      <c r="H909" s="294"/>
      <c r="I909" s="294"/>
      <c r="J909" s="294"/>
      <c r="L909" s="295"/>
      <c r="M909" s="294"/>
      <c r="S909" s="294"/>
      <c r="T909" s="299"/>
      <c r="U909" s="294"/>
      <c r="V909" s="299"/>
      <c r="W909" s="299"/>
      <c r="X909" s="294"/>
      <c r="Y909" s="299"/>
      <c r="Z909" s="294"/>
      <c r="AA909" s="299"/>
      <c r="AB909" s="299"/>
      <c r="AC909" s="294"/>
      <c r="AD909" s="294"/>
      <c r="AE909" s="294"/>
      <c r="AF909" s="294"/>
    </row>
    <row r="910" spans="2:32" x14ac:dyDescent="0.25">
      <c r="B910" s="294"/>
      <c r="C910" s="294"/>
      <c r="D910" s="294"/>
      <c r="E910" s="294"/>
      <c r="F910" s="294"/>
      <c r="G910" s="294"/>
      <c r="H910" s="294"/>
      <c r="I910" s="294"/>
      <c r="J910" s="294"/>
      <c r="L910" s="295"/>
      <c r="M910" s="294"/>
      <c r="S910" s="294"/>
      <c r="T910" s="299"/>
      <c r="U910" s="294"/>
      <c r="V910" s="299"/>
      <c r="W910" s="299"/>
      <c r="X910" s="294"/>
      <c r="Y910" s="299"/>
      <c r="Z910" s="294"/>
      <c r="AA910" s="299"/>
      <c r="AB910" s="299"/>
      <c r="AC910" s="294"/>
      <c r="AD910" s="294"/>
      <c r="AE910" s="294"/>
      <c r="AF910" s="294"/>
    </row>
    <row r="911" spans="2:32" x14ac:dyDescent="0.25">
      <c r="B911" s="294"/>
      <c r="C911" s="294"/>
      <c r="D911" s="294"/>
      <c r="E911" s="294"/>
      <c r="F911" s="294"/>
      <c r="G911" s="294"/>
      <c r="H911" s="294"/>
      <c r="I911" s="294"/>
      <c r="J911" s="294"/>
      <c r="L911" s="295"/>
      <c r="M911" s="294"/>
      <c r="S911" s="294"/>
      <c r="T911" s="299"/>
      <c r="U911" s="294"/>
      <c r="V911" s="299"/>
      <c r="W911" s="299"/>
      <c r="X911" s="294"/>
      <c r="Y911" s="299"/>
      <c r="Z911" s="294"/>
      <c r="AA911" s="299"/>
      <c r="AB911" s="299"/>
      <c r="AC911" s="294"/>
      <c r="AD911" s="294"/>
      <c r="AE911" s="294"/>
      <c r="AF911" s="294"/>
    </row>
    <row r="912" spans="2:32" x14ac:dyDescent="0.25">
      <c r="B912" s="294"/>
      <c r="C912" s="294"/>
      <c r="D912" s="294"/>
      <c r="E912" s="294"/>
      <c r="F912" s="294"/>
      <c r="G912" s="294"/>
      <c r="H912" s="294"/>
      <c r="I912" s="294"/>
      <c r="J912" s="294"/>
      <c r="L912" s="295"/>
      <c r="M912" s="294"/>
      <c r="S912" s="294"/>
      <c r="T912" s="299"/>
      <c r="U912" s="294"/>
      <c r="V912" s="299"/>
      <c r="W912" s="299"/>
      <c r="X912" s="294"/>
      <c r="Y912" s="299"/>
      <c r="Z912" s="294"/>
      <c r="AA912" s="299"/>
      <c r="AB912" s="299"/>
      <c r="AC912" s="294"/>
      <c r="AD912" s="294"/>
      <c r="AE912" s="294"/>
      <c r="AF912" s="294"/>
    </row>
    <row r="913" spans="2:32" x14ac:dyDescent="0.25">
      <c r="B913" s="294"/>
      <c r="C913" s="294"/>
      <c r="D913" s="294"/>
      <c r="E913" s="294"/>
      <c r="F913" s="294"/>
      <c r="G913" s="294"/>
      <c r="H913" s="294"/>
      <c r="I913" s="294"/>
      <c r="J913" s="294"/>
      <c r="L913" s="295"/>
      <c r="M913" s="294"/>
      <c r="S913" s="294"/>
      <c r="T913" s="299"/>
      <c r="U913" s="294"/>
      <c r="V913" s="299"/>
      <c r="W913" s="299"/>
      <c r="X913" s="294"/>
      <c r="Y913" s="299"/>
      <c r="Z913" s="294"/>
      <c r="AA913" s="299"/>
      <c r="AB913" s="299"/>
      <c r="AC913" s="294"/>
      <c r="AD913" s="294"/>
      <c r="AE913" s="294"/>
      <c r="AF913" s="294"/>
    </row>
    <row r="914" spans="2:32" x14ac:dyDescent="0.25">
      <c r="B914" s="294"/>
      <c r="C914" s="294"/>
      <c r="D914" s="294"/>
      <c r="E914" s="294"/>
      <c r="F914" s="294"/>
      <c r="G914" s="294"/>
      <c r="H914" s="294"/>
      <c r="I914" s="294"/>
      <c r="J914" s="294"/>
      <c r="L914" s="295"/>
      <c r="M914" s="294"/>
      <c r="S914" s="294"/>
      <c r="T914" s="299"/>
      <c r="U914" s="294"/>
      <c r="V914" s="299"/>
      <c r="W914" s="299"/>
      <c r="X914" s="294"/>
      <c r="Y914" s="299"/>
      <c r="Z914" s="294"/>
      <c r="AA914" s="299"/>
      <c r="AB914" s="299"/>
      <c r="AC914" s="294"/>
      <c r="AD914" s="294"/>
      <c r="AE914" s="294"/>
      <c r="AF914" s="294"/>
    </row>
    <row r="915" spans="2:32" x14ac:dyDescent="0.25">
      <c r="B915" s="294"/>
      <c r="C915" s="294"/>
      <c r="D915" s="294"/>
      <c r="E915" s="294"/>
      <c r="F915" s="294"/>
      <c r="G915" s="294"/>
      <c r="H915" s="294"/>
      <c r="I915" s="294"/>
      <c r="J915" s="294"/>
      <c r="L915" s="295"/>
      <c r="M915" s="294"/>
      <c r="S915" s="294"/>
      <c r="T915" s="299"/>
      <c r="U915" s="294"/>
      <c r="V915" s="299"/>
      <c r="W915" s="299"/>
      <c r="X915" s="294"/>
      <c r="Y915" s="299"/>
      <c r="Z915" s="294"/>
      <c r="AA915" s="299"/>
      <c r="AB915" s="299"/>
      <c r="AC915" s="294"/>
      <c r="AD915" s="294"/>
      <c r="AE915" s="294"/>
      <c r="AF915" s="294"/>
    </row>
    <row r="916" spans="2:32" x14ac:dyDescent="0.25">
      <c r="B916" s="294"/>
      <c r="C916" s="294"/>
      <c r="D916" s="294"/>
      <c r="E916" s="294"/>
      <c r="F916" s="294"/>
      <c r="G916" s="294"/>
      <c r="H916" s="294"/>
      <c r="I916" s="294"/>
      <c r="J916" s="294"/>
      <c r="L916" s="295"/>
      <c r="M916" s="294"/>
      <c r="S916" s="294"/>
      <c r="T916" s="299"/>
      <c r="U916" s="294"/>
      <c r="V916" s="299"/>
      <c r="W916" s="299"/>
      <c r="X916" s="294"/>
      <c r="Y916" s="299"/>
      <c r="Z916" s="294"/>
      <c r="AA916" s="299"/>
      <c r="AB916" s="299"/>
      <c r="AC916" s="294"/>
      <c r="AD916" s="294"/>
      <c r="AE916" s="294"/>
      <c r="AF916" s="294"/>
    </row>
    <row r="917" spans="2:32" x14ac:dyDescent="0.25">
      <c r="B917" s="294"/>
      <c r="C917" s="294"/>
      <c r="D917" s="294"/>
      <c r="E917" s="294"/>
      <c r="F917" s="294"/>
      <c r="G917" s="294"/>
      <c r="H917" s="294"/>
      <c r="I917" s="294"/>
      <c r="J917" s="294"/>
      <c r="L917" s="295"/>
      <c r="M917" s="294"/>
      <c r="S917" s="294"/>
      <c r="T917" s="299"/>
      <c r="U917" s="294"/>
      <c r="V917" s="299"/>
      <c r="W917" s="299"/>
      <c r="X917" s="294"/>
      <c r="Y917" s="299"/>
      <c r="Z917" s="294"/>
      <c r="AA917" s="299"/>
      <c r="AB917" s="299"/>
      <c r="AC917" s="294"/>
      <c r="AD917" s="294"/>
      <c r="AE917" s="294"/>
      <c r="AF917" s="294"/>
    </row>
    <row r="918" spans="2:32" x14ac:dyDescent="0.25">
      <c r="B918" s="294"/>
      <c r="C918" s="294"/>
      <c r="D918" s="294"/>
      <c r="E918" s="294"/>
      <c r="F918" s="294"/>
      <c r="G918" s="294"/>
      <c r="H918" s="294"/>
      <c r="I918" s="294"/>
      <c r="J918" s="294"/>
      <c r="L918" s="295"/>
      <c r="M918" s="294"/>
      <c r="S918" s="294"/>
      <c r="T918" s="299"/>
      <c r="U918" s="294"/>
      <c r="V918" s="299"/>
      <c r="W918" s="299"/>
      <c r="X918" s="294"/>
      <c r="Y918" s="299"/>
      <c r="Z918" s="294"/>
      <c r="AA918" s="299"/>
      <c r="AB918" s="299"/>
      <c r="AC918" s="294"/>
      <c r="AD918" s="294"/>
      <c r="AE918" s="294"/>
      <c r="AF918" s="294"/>
    </row>
    <row r="919" spans="2:32" x14ac:dyDescent="0.25">
      <c r="B919" s="294"/>
      <c r="C919" s="294"/>
      <c r="D919" s="294"/>
      <c r="E919" s="294"/>
      <c r="F919" s="294"/>
      <c r="G919" s="294"/>
      <c r="H919" s="294"/>
      <c r="I919" s="294"/>
      <c r="J919" s="294"/>
      <c r="L919" s="295"/>
      <c r="M919" s="294"/>
      <c r="S919" s="294"/>
      <c r="T919" s="299"/>
      <c r="U919" s="294"/>
      <c r="V919" s="299"/>
      <c r="W919" s="299"/>
      <c r="X919" s="294"/>
      <c r="Y919" s="299"/>
      <c r="Z919" s="294"/>
      <c r="AA919" s="299"/>
      <c r="AB919" s="299"/>
      <c r="AC919" s="294"/>
      <c r="AD919" s="294"/>
      <c r="AE919" s="294"/>
      <c r="AF919" s="294"/>
    </row>
    <row r="920" spans="2:32" x14ac:dyDescent="0.25">
      <c r="B920" s="294"/>
      <c r="C920" s="294"/>
      <c r="D920" s="294"/>
      <c r="E920" s="294"/>
      <c r="F920" s="294"/>
      <c r="G920" s="294"/>
      <c r="H920" s="294"/>
      <c r="I920" s="294"/>
      <c r="J920" s="294"/>
      <c r="L920" s="295"/>
      <c r="M920" s="294"/>
      <c r="S920" s="294"/>
      <c r="T920" s="299"/>
      <c r="U920" s="294"/>
      <c r="V920" s="299"/>
      <c r="W920" s="299"/>
      <c r="X920" s="294"/>
      <c r="Y920" s="299"/>
      <c r="Z920" s="294"/>
      <c r="AA920" s="299"/>
      <c r="AB920" s="299"/>
      <c r="AC920" s="294"/>
      <c r="AD920" s="294"/>
      <c r="AE920" s="294"/>
      <c r="AF920" s="294"/>
    </row>
    <row r="921" spans="2:32" x14ac:dyDescent="0.25">
      <c r="B921" s="294"/>
      <c r="C921" s="294"/>
      <c r="D921" s="294"/>
      <c r="E921" s="294"/>
      <c r="F921" s="294"/>
      <c r="G921" s="294"/>
      <c r="H921" s="294"/>
      <c r="I921" s="294"/>
      <c r="J921" s="294"/>
      <c r="L921" s="295"/>
      <c r="M921" s="294"/>
      <c r="S921" s="294"/>
      <c r="T921" s="299"/>
      <c r="U921" s="294"/>
      <c r="V921" s="299"/>
      <c r="W921" s="299"/>
      <c r="X921" s="294"/>
      <c r="Y921" s="299"/>
      <c r="Z921" s="294"/>
      <c r="AA921" s="299"/>
      <c r="AB921" s="299"/>
      <c r="AC921" s="294"/>
      <c r="AD921" s="294"/>
      <c r="AE921" s="294"/>
      <c r="AF921" s="294"/>
    </row>
    <row r="922" spans="2:32" x14ac:dyDescent="0.25">
      <c r="B922" s="294"/>
      <c r="C922" s="294"/>
      <c r="D922" s="294"/>
      <c r="E922" s="294"/>
      <c r="F922" s="294"/>
      <c r="G922" s="294"/>
      <c r="H922" s="294"/>
      <c r="I922" s="294"/>
      <c r="J922" s="294"/>
      <c r="L922" s="295"/>
      <c r="M922" s="294"/>
      <c r="S922" s="294"/>
      <c r="T922" s="299"/>
      <c r="U922" s="294"/>
      <c r="V922" s="299"/>
      <c r="W922" s="299"/>
      <c r="X922" s="294"/>
      <c r="Y922" s="299"/>
      <c r="Z922" s="294"/>
      <c r="AA922" s="299"/>
      <c r="AB922" s="299"/>
      <c r="AC922" s="294"/>
      <c r="AD922" s="294"/>
      <c r="AE922" s="294"/>
      <c r="AF922" s="294"/>
    </row>
    <row r="923" spans="2:32" x14ac:dyDescent="0.25">
      <c r="B923" s="294"/>
      <c r="C923" s="294"/>
      <c r="D923" s="294"/>
      <c r="E923" s="294"/>
      <c r="F923" s="294"/>
      <c r="G923" s="294"/>
      <c r="H923" s="294"/>
      <c r="I923" s="294"/>
      <c r="J923" s="294"/>
      <c r="L923" s="295"/>
      <c r="M923" s="294"/>
      <c r="S923" s="294"/>
      <c r="T923" s="299"/>
      <c r="U923" s="294"/>
      <c r="V923" s="299"/>
      <c r="W923" s="299"/>
      <c r="X923" s="294"/>
      <c r="Y923" s="299"/>
      <c r="Z923" s="294"/>
      <c r="AA923" s="299"/>
      <c r="AB923" s="299"/>
      <c r="AC923" s="294"/>
      <c r="AD923" s="294"/>
      <c r="AE923" s="294"/>
      <c r="AF923" s="294"/>
    </row>
    <row r="924" spans="2:32" x14ac:dyDescent="0.25">
      <c r="B924" s="294"/>
      <c r="C924" s="294"/>
      <c r="D924" s="294"/>
      <c r="E924" s="294"/>
      <c r="F924" s="294"/>
      <c r="G924" s="294"/>
      <c r="H924" s="294"/>
      <c r="I924" s="294"/>
      <c r="J924" s="294"/>
      <c r="L924" s="295"/>
      <c r="M924" s="294"/>
      <c r="S924" s="294"/>
      <c r="T924" s="299"/>
      <c r="U924" s="294"/>
      <c r="V924" s="299"/>
      <c r="W924" s="299"/>
      <c r="X924" s="294"/>
      <c r="Y924" s="299"/>
      <c r="Z924" s="294"/>
      <c r="AA924" s="299"/>
      <c r="AB924" s="299"/>
      <c r="AC924" s="294"/>
      <c r="AD924" s="294"/>
      <c r="AE924" s="294"/>
      <c r="AF924" s="294"/>
    </row>
    <row r="925" spans="2:32" x14ac:dyDescent="0.25">
      <c r="B925" s="294"/>
      <c r="C925" s="294"/>
      <c r="D925" s="294"/>
      <c r="E925" s="294"/>
      <c r="F925" s="294"/>
      <c r="G925" s="294"/>
      <c r="H925" s="294"/>
      <c r="I925" s="294"/>
      <c r="J925" s="294"/>
      <c r="L925" s="295"/>
      <c r="M925" s="294"/>
      <c r="S925" s="294"/>
      <c r="T925" s="299"/>
      <c r="U925" s="294"/>
      <c r="V925" s="299"/>
      <c r="W925" s="299"/>
      <c r="X925" s="294"/>
      <c r="Y925" s="299"/>
      <c r="Z925" s="294"/>
      <c r="AA925" s="299"/>
      <c r="AB925" s="299"/>
      <c r="AC925" s="294"/>
      <c r="AD925" s="294"/>
      <c r="AE925" s="294"/>
      <c r="AF925" s="294"/>
    </row>
    <row r="926" spans="2:32" x14ac:dyDescent="0.25">
      <c r="B926" s="294"/>
      <c r="C926" s="294"/>
      <c r="D926" s="294"/>
      <c r="E926" s="294"/>
      <c r="F926" s="294"/>
      <c r="G926" s="294"/>
      <c r="H926" s="294"/>
      <c r="I926" s="294"/>
      <c r="J926" s="294"/>
      <c r="L926" s="295"/>
      <c r="M926" s="294"/>
      <c r="S926" s="294"/>
      <c r="T926" s="299"/>
      <c r="U926" s="294"/>
      <c r="V926" s="299"/>
      <c r="W926" s="299"/>
      <c r="X926" s="294"/>
      <c r="Y926" s="299"/>
      <c r="Z926" s="294"/>
      <c r="AA926" s="299"/>
      <c r="AB926" s="299"/>
      <c r="AC926" s="294"/>
      <c r="AD926" s="294"/>
      <c r="AE926" s="294"/>
      <c r="AF926" s="294"/>
    </row>
    <row r="927" spans="2:32" x14ac:dyDescent="0.25">
      <c r="B927" s="294"/>
      <c r="C927" s="294"/>
      <c r="D927" s="294"/>
      <c r="E927" s="294"/>
      <c r="F927" s="294"/>
      <c r="G927" s="294"/>
      <c r="H927" s="294"/>
      <c r="I927" s="294"/>
      <c r="J927" s="294"/>
      <c r="L927" s="295"/>
      <c r="M927" s="294"/>
      <c r="S927" s="294"/>
      <c r="T927" s="299"/>
      <c r="U927" s="294"/>
      <c r="V927" s="299"/>
      <c r="W927" s="299"/>
      <c r="X927" s="294"/>
      <c r="Y927" s="299"/>
      <c r="Z927" s="294"/>
      <c r="AA927" s="299"/>
      <c r="AB927" s="299"/>
      <c r="AC927" s="294"/>
      <c r="AD927" s="294"/>
      <c r="AE927" s="294"/>
      <c r="AF927" s="294"/>
    </row>
    <row r="928" spans="2:32" x14ac:dyDescent="0.25">
      <c r="B928" s="294"/>
      <c r="C928" s="294"/>
      <c r="D928" s="294"/>
      <c r="E928" s="294"/>
      <c r="F928" s="294"/>
      <c r="G928" s="294"/>
      <c r="H928" s="294"/>
      <c r="I928" s="294"/>
      <c r="J928" s="294"/>
      <c r="L928" s="295"/>
      <c r="M928" s="294"/>
      <c r="S928" s="294"/>
      <c r="T928" s="299"/>
      <c r="U928" s="294"/>
      <c r="V928" s="299"/>
      <c r="W928" s="299"/>
      <c r="X928" s="294"/>
      <c r="Y928" s="299"/>
      <c r="Z928" s="294"/>
      <c r="AA928" s="299"/>
      <c r="AB928" s="299"/>
      <c r="AC928" s="294"/>
      <c r="AD928" s="294"/>
      <c r="AE928" s="294"/>
      <c r="AF928" s="294"/>
    </row>
    <row r="929" spans="2:32" x14ac:dyDescent="0.25">
      <c r="B929" s="294"/>
      <c r="C929" s="294"/>
      <c r="D929" s="294"/>
      <c r="E929" s="294"/>
      <c r="F929" s="294"/>
      <c r="G929" s="294"/>
      <c r="H929" s="294"/>
      <c r="I929" s="294"/>
      <c r="J929" s="294"/>
      <c r="L929" s="295"/>
      <c r="M929" s="294"/>
      <c r="S929" s="294"/>
      <c r="T929" s="299"/>
      <c r="U929" s="294"/>
      <c r="V929" s="299"/>
      <c r="W929" s="299"/>
      <c r="X929" s="294"/>
      <c r="Y929" s="299"/>
      <c r="Z929" s="294"/>
      <c r="AA929" s="299"/>
      <c r="AB929" s="299"/>
      <c r="AC929" s="294"/>
      <c r="AD929" s="294"/>
      <c r="AE929" s="294"/>
      <c r="AF929" s="294"/>
    </row>
    <row r="930" spans="2:32" x14ac:dyDescent="0.25">
      <c r="B930" s="294"/>
      <c r="C930" s="294"/>
      <c r="D930" s="294"/>
      <c r="E930" s="294"/>
      <c r="F930" s="294"/>
      <c r="G930" s="294"/>
      <c r="H930" s="294"/>
      <c r="I930" s="294"/>
      <c r="J930" s="294"/>
      <c r="L930" s="295"/>
      <c r="M930" s="294"/>
      <c r="S930" s="294"/>
      <c r="T930" s="299"/>
      <c r="U930" s="294"/>
      <c r="V930" s="299"/>
      <c r="W930" s="299"/>
      <c r="X930" s="294"/>
      <c r="Y930" s="299"/>
      <c r="Z930" s="294"/>
      <c r="AA930" s="299"/>
      <c r="AB930" s="299"/>
      <c r="AC930" s="294"/>
      <c r="AD930" s="294"/>
      <c r="AE930" s="294"/>
      <c r="AF930" s="294"/>
    </row>
    <row r="931" spans="2:32" x14ac:dyDescent="0.25">
      <c r="B931" s="294"/>
      <c r="C931" s="294"/>
      <c r="D931" s="294"/>
      <c r="E931" s="294"/>
      <c r="F931" s="294"/>
      <c r="G931" s="294"/>
      <c r="H931" s="294"/>
      <c r="I931" s="294"/>
      <c r="J931" s="294"/>
      <c r="L931" s="295"/>
      <c r="M931" s="294"/>
      <c r="S931" s="294"/>
      <c r="T931" s="299"/>
      <c r="U931" s="294"/>
      <c r="V931" s="299"/>
      <c r="W931" s="299"/>
      <c r="X931" s="294"/>
      <c r="Y931" s="299"/>
      <c r="Z931" s="294"/>
      <c r="AA931" s="299"/>
      <c r="AB931" s="299"/>
      <c r="AC931" s="294"/>
      <c r="AD931" s="294"/>
      <c r="AE931" s="294"/>
      <c r="AF931" s="294"/>
    </row>
    <row r="932" spans="2:32" x14ac:dyDescent="0.25">
      <c r="B932" s="294"/>
      <c r="C932" s="294"/>
      <c r="D932" s="294"/>
      <c r="E932" s="294"/>
      <c r="F932" s="294"/>
      <c r="G932" s="294"/>
      <c r="H932" s="294"/>
      <c r="I932" s="294"/>
      <c r="J932" s="294"/>
      <c r="L932" s="295"/>
      <c r="M932" s="294"/>
      <c r="S932" s="294"/>
      <c r="T932" s="299"/>
      <c r="U932" s="294"/>
      <c r="V932" s="299"/>
      <c r="W932" s="299"/>
      <c r="X932" s="294"/>
      <c r="Y932" s="299"/>
      <c r="Z932" s="294"/>
      <c r="AA932" s="299"/>
      <c r="AB932" s="299"/>
      <c r="AC932" s="294"/>
      <c r="AD932" s="294"/>
      <c r="AE932" s="294"/>
      <c r="AF932" s="294"/>
    </row>
    <row r="933" spans="2:32" x14ac:dyDescent="0.25">
      <c r="B933" s="294"/>
      <c r="C933" s="294"/>
      <c r="D933" s="294"/>
      <c r="E933" s="294"/>
      <c r="F933" s="294"/>
      <c r="G933" s="294"/>
      <c r="H933" s="294"/>
      <c r="I933" s="294"/>
      <c r="J933" s="294"/>
      <c r="L933" s="295"/>
      <c r="M933" s="294"/>
      <c r="S933" s="294"/>
      <c r="T933" s="299"/>
      <c r="U933" s="294"/>
      <c r="V933" s="299"/>
      <c r="W933" s="299"/>
      <c r="X933" s="294"/>
      <c r="Y933" s="299"/>
      <c r="Z933" s="294"/>
      <c r="AA933" s="299"/>
      <c r="AB933" s="299"/>
      <c r="AC933" s="294"/>
      <c r="AD933" s="294"/>
      <c r="AE933" s="294"/>
      <c r="AF933" s="294"/>
    </row>
    <row r="934" spans="2:32" x14ac:dyDescent="0.25">
      <c r="B934" s="294"/>
      <c r="C934" s="294"/>
      <c r="D934" s="294"/>
      <c r="E934" s="294"/>
      <c r="F934" s="294"/>
      <c r="G934" s="294"/>
      <c r="H934" s="294"/>
      <c r="I934" s="294"/>
      <c r="J934" s="294"/>
      <c r="L934" s="295"/>
      <c r="M934" s="294"/>
      <c r="S934" s="294"/>
      <c r="T934" s="299"/>
      <c r="U934" s="294"/>
      <c r="V934" s="299"/>
      <c r="W934" s="299"/>
      <c r="X934" s="294"/>
      <c r="Y934" s="299"/>
      <c r="Z934" s="294"/>
      <c r="AA934" s="299"/>
      <c r="AB934" s="299"/>
      <c r="AC934" s="294"/>
      <c r="AD934" s="294"/>
      <c r="AE934" s="294"/>
      <c r="AF934" s="294"/>
    </row>
    <row r="935" spans="2:32" x14ac:dyDescent="0.25">
      <c r="B935" s="294"/>
      <c r="C935" s="294"/>
      <c r="D935" s="294"/>
      <c r="E935" s="294"/>
      <c r="F935" s="294"/>
      <c r="G935" s="294"/>
      <c r="H935" s="294"/>
      <c r="I935" s="294"/>
      <c r="J935" s="294"/>
      <c r="L935" s="295"/>
      <c r="M935" s="294"/>
      <c r="S935" s="294"/>
      <c r="T935" s="299"/>
      <c r="U935" s="294"/>
      <c r="V935" s="299"/>
      <c r="W935" s="299"/>
      <c r="X935" s="294"/>
      <c r="Y935" s="299"/>
      <c r="Z935" s="294"/>
      <c r="AA935" s="299"/>
      <c r="AB935" s="299"/>
      <c r="AC935" s="294"/>
      <c r="AD935" s="294"/>
      <c r="AE935" s="294"/>
      <c r="AF935" s="294"/>
    </row>
    <row r="936" spans="2:32" x14ac:dyDescent="0.25">
      <c r="B936" s="294"/>
      <c r="C936" s="294"/>
      <c r="D936" s="294"/>
      <c r="E936" s="294"/>
      <c r="F936" s="294"/>
      <c r="G936" s="294"/>
      <c r="H936" s="294"/>
      <c r="I936" s="294"/>
      <c r="J936" s="294"/>
      <c r="L936" s="295"/>
      <c r="M936" s="294"/>
      <c r="S936" s="294"/>
      <c r="T936" s="299"/>
      <c r="U936" s="294"/>
      <c r="V936" s="299"/>
      <c r="W936" s="299"/>
      <c r="X936" s="294"/>
      <c r="Y936" s="299"/>
      <c r="Z936" s="294"/>
      <c r="AA936" s="299"/>
      <c r="AB936" s="299"/>
      <c r="AC936" s="294"/>
      <c r="AD936" s="294"/>
      <c r="AE936" s="294"/>
      <c r="AF936" s="294"/>
    </row>
    <row r="937" spans="2:32" x14ac:dyDescent="0.25">
      <c r="B937" s="294"/>
      <c r="C937" s="294"/>
      <c r="D937" s="294"/>
      <c r="E937" s="294"/>
      <c r="F937" s="294"/>
      <c r="G937" s="294"/>
      <c r="H937" s="294"/>
      <c r="I937" s="294"/>
      <c r="J937" s="294"/>
      <c r="L937" s="295"/>
      <c r="M937" s="294"/>
      <c r="S937" s="294"/>
      <c r="T937" s="299"/>
      <c r="U937" s="294"/>
      <c r="V937" s="299"/>
      <c r="W937" s="299"/>
      <c r="X937" s="294"/>
      <c r="Y937" s="299"/>
      <c r="Z937" s="294"/>
      <c r="AA937" s="299"/>
      <c r="AB937" s="299"/>
      <c r="AC937" s="294"/>
      <c r="AD937" s="294"/>
      <c r="AE937" s="294"/>
      <c r="AF937" s="294"/>
    </row>
    <row r="938" spans="2:32" x14ac:dyDescent="0.25">
      <c r="B938" s="294"/>
      <c r="C938" s="294"/>
      <c r="D938" s="294"/>
      <c r="E938" s="294"/>
      <c r="F938" s="294"/>
      <c r="G938" s="294"/>
      <c r="H938" s="294"/>
      <c r="I938" s="294"/>
      <c r="J938" s="294"/>
      <c r="L938" s="295"/>
      <c r="M938" s="294"/>
      <c r="S938" s="294"/>
      <c r="T938" s="299"/>
      <c r="U938" s="294"/>
      <c r="V938" s="299"/>
      <c r="W938" s="299"/>
      <c r="X938" s="294"/>
      <c r="Y938" s="299"/>
      <c r="Z938" s="294"/>
      <c r="AA938" s="299"/>
      <c r="AB938" s="299"/>
      <c r="AC938" s="294"/>
      <c r="AD938" s="294"/>
      <c r="AE938" s="294"/>
      <c r="AF938" s="294"/>
    </row>
    <row r="939" spans="2:32" x14ac:dyDescent="0.25">
      <c r="B939" s="294"/>
      <c r="C939" s="294"/>
      <c r="D939" s="294"/>
      <c r="E939" s="294"/>
      <c r="F939" s="294"/>
      <c r="G939" s="294"/>
      <c r="H939" s="294"/>
      <c r="I939" s="294"/>
      <c r="J939" s="294"/>
      <c r="L939" s="295"/>
      <c r="M939" s="294"/>
      <c r="S939" s="294"/>
      <c r="T939" s="299"/>
      <c r="U939" s="294"/>
      <c r="V939" s="299"/>
      <c r="W939" s="299"/>
      <c r="X939" s="294"/>
      <c r="Y939" s="299"/>
      <c r="Z939" s="294"/>
      <c r="AA939" s="299"/>
      <c r="AB939" s="299"/>
      <c r="AC939" s="294"/>
      <c r="AD939" s="294"/>
      <c r="AE939" s="294"/>
      <c r="AF939" s="294"/>
    </row>
    <row r="940" spans="2:32" x14ac:dyDescent="0.25">
      <c r="B940" s="294"/>
      <c r="C940" s="294"/>
      <c r="D940" s="294"/>
      <c r="E940" s="294"/>
      <c r="F940" s="294"/>
      <c r="G940" s="294"/>
      <c r="H940" s="294"/>
      <c r="I940" s="294"/>
      <c r="J940" s="294"/>
      <c r="L940" s="295"/>
      <c r="M940" s="294"/>
      <c r="S940" s="294"/>
      <c r="T940" s="299"/>
      <c r="U940" s="294"/>
      <c r="V940" s="299"/>
      <c r="W940" s="299"/>
      <c r="X940" s="294"/>
      <c r="Y940" s="299"/>
      <c r="Z940" s="294"/>
      <c r="AA940" s="299"/>
      <c r="AB940" s="299"/>
      <c r="AC940" s="294"/>
      <c r="AD940" s="294"/>
      <c r="AE940" s="294"/>
      <c r="AF940" s="294"/>
    </row>
    <row r="941" spans="2:32" x14ac:dyDescent="0.25">
      <c r="B941" s="294"/>
      <c r="C941" s="294"/>
      <c r="D941" s="294"/>
      <c r="E941" s="294"/>
      <c r="F941" s="294"/>
      <c r="G941" s="294"/>
      <c r="H941" s="294"/>
      <c r="I941" s="294"/>
      <c r="J941" s="294"/>
      <c r="L941" s="295"/>
      <c r="M941" s="294"/>
      <c r="S941" s="294"/>
      <c r="T941" s="299"/>
      <c r="U941" s="294"/>
      <c r="V941" s="299"/>
      <c r="W941" s="299"/>
      <c r="X941" s="294"/>
      <c r="Y941" s="299"/>
      <c r="Z941" s="294"/>
      <c r="AA941" s="299"/>
      <c r="AB941" s="299"/>
      <c r="AC941" s="294"/>
      <c r="AD941" s="294"/>
      <c r="AE941" s="294"/>
      <c r="AF941" s="294"/>
    </row>
    <row r="942" spans="2:32" x14ac:dyDescent="0.25">
      <c r="B942" s="294"/>
      <c r="C942" s="294"/>
      <c r="D942" s="294"/>
      <c r="E942" s="294"/>
      <c r="F942" s="294"/>
      <c r="G942" s="294"/>
      <c r="H942" s="294"/>
      <c r="I942" s="294"/>
      <c r="J942" s="294"/>
      <c r="L942" s="295"/>
      <c r="M942" s="294"/>
      <c r="S942" s="294"/>
      <c r="T942" s="299"/>
      <c r="U942" s="294"/>
      <c r="V942" s="299"/>
      <c r="W942" s="299"/>
      <c r="X942" s="294"/>
      <c r="Y942" s="299"/>
      <c r="Z942" s="294"/>
      <c r="AA942" s="299"/>
      <c r="AB942" s="299"/>
      <c r="AC942" s="294"/>
      <c r="AD942" s="294"/>
      <c r="AE942" s="294"/>
      <c r="AF942" s="294"/>
    </row>
    <row r="943" spans="2:32" x14ac:dyDescent="0.25">
      <c r="B943" s="294"/>
      <c r="C943" s="294"/>
      <c r="D943" s="294"/>
      <c r="E943" s="294"/>
      <c r="F943" s="294"/>
      <c r="G943" s="294"/>
      <c r="H943" s="294"/>
      <c r="I943" s="294"/>
      <c r="J943" s="294"/>
      <c r="L943" s="295"/>
      <c r="M943" s="294"/>
      <c r="S943" s="294"/>
      <c r="T943" s="299"/>
      <c r="U943" s="294"/>
      <c r="V943" s="299"/>
      <c r="W943" s="299"/>
      <c r="X943" s="294"/>
      <c r="Y943" s="299"/>
      <c r="Z943" s="294"/>
      <c r="AA943" s="299"/>
      <c r="AB943" s="299"/>
      <c r="AC943" s="294"/>
      <c r="AD943" s="294"/>
      <c r="AE943" s="294"/>
      <c r="AF943" s="294"/>
    </row>
    <row r="944" spans="2:32" x14ac:dyDescent="0.25">
      <c r="B944" s="294"/>
      <c r="C944" s="294"/>
      <c r="D944" s="294"/>
      <c r="E944" s="294"/>
      <c r="F944" s="294"/>
      <c r="G944" s="294"/>
      <c r="H944" s="294"/>
      <c r="I944" s="294"/>
      <c r="J944" s="294"/>
      <c r="L944" s="295"/>
      <c r="M944" s="294"/>
      <c r="S944" s="294"/>
      <c r="T944" s="299"/>
      <c r="U944" s="294"/>
      <c r="V944" s="299"/>
      <c r="W944" s="299"/>
      <c r="X944" s="294"/>
      <c r="Y944" s="299"/>
      <c r="Z944" s="294"/>
      <c r="AA944" s="299"/>
      <c r="AB944" s="299"/>
      <c r="AC944" s="294"/>
      <c r="AD944" s="294"/>
      <c r="AE944" s="294"/>
      <c r="AF944" s="294"/>
    </row>
    <row r="945" spans="2:32" x14ac:dyDescent="0.25">
      <c r="B945" s="294"/>
      <c r="C945" s="294"/>
      <c r="D945" s="294"/>
      <c r="E945" s="294"/>
      <c r="F945" s="294"/>
      <c r="G945" s="294"/>
      <c r="H945" s="294"/>
      <c r="I945" s="294"/>
      <c r="J945" s="294"/>
      <c r="L945" s="295"/>
      <c r="M945" s="294"/>
      <c r="S945" s="294"/>
      <c r="T945" s="299"/>
      <c r="U945" s="294"/>
      <c r="V945" s="299"/>
      <c r="W945" s="299"/>
      <c r="X945" s="294"/>
      <c r="Y945" s="299"/>
      <c r="Z945" s="294"/>
      <c r="AA945" s="299"/>
      <c r="AB945" s="299"/>
      <c r="AC945" s="294"/>
      <c r="AD945" s="294"/>
      <c r="AE945" s="294"/>
      <c r="AF945" s="294"/>
    </row>
    <row r="946" spans="2:32" x14ac:dyDescent="0.25">
      <c r="B946" s="294"/>
      <c r="C946" s="294"/>
      <c r="D946" s="294"/>
      <c r="E946" s="294"/>
      <c r="F946" s="294"/>
      <c r="G946" s="294"/>
      <c r="H946" s="294"/>
      <c r="I946" s="294"/>
      <c r="J946" s="294"/>
      <c r="L946" s="295"/>
      <c r="M946" s="294"/>
      <c r="S946" s="294"/>
      <c r="T946" s="299"/>
      <c r="U946" s="294"/>
      <c r="V946" s="299"/>
      <c r="W946" s="299"/>
      <c r="X946" s="294"/>
      <c r="Y946" s="299"/>
      <c r="Z946" s="294"/>
      <c r="AA946" s="299"/>
      <c r="AB946" s="299"/>
      <c r="AC946" s="294"/>
      <c r="AD946" s="294"/>
      <c r="AE946" s="294"/>
      <c r="AF946" s="294"/>
    </row>
    <row r="947" spans="2:32" x14ac:dyDescent="0.25">
      <c r="B947" s="294"/>
      <c r="C947" s="294"/>
      <c r="D947" s="294"/>
      <c r="E947" s="294"/>
      <c r="F947" s="294"/>
      <c r="G947" s="294"/>
      <c r="H947" s="294"/>
      <c r="I947" s="294"/>
      <c r="J947" s="294"/>
      <c r="L947" s="295"/>
      <c r="M947" s="294"/>
      <c r="S947" s="294"/>
      <c r="T947" s="299"/>
      <c r="U947" s="294"/>
      <c r="V947" s="299"/>
      <c r="W947" s="299"/>
      <c r="X947" s="294"/>
      <c r="Y947" s="299"/>
      <c r="Z947" s="294"/>
      <c r="AA947" s="299"/>
      <c r="AB947" s="299"/>
      <c r="AC947" s="294"/>
      <c r="AD947" s="294"/>
      <c r="AE947" s="294"/>
      <c r="AF947" s="294"/>
    </row>
    <row r="948" spans="2:32" x14ac:dyDescent="0.25">
      <c r="B948" s="294"/>
      <c r="C948" s="294"/>
      <c r="D948" s="294"/>
      <c r="E948" s="294"/>
      <c r="F948" s="294"/>
      <c r="G948" s="294"/>
      <c r="H948" s="294"/>
      <c r="I948" s="294"/>
      <c r="J948" s="294"/>
      <c r="L948" s="295"/>
      <c r="M948" s="294"/>
      <c r="S948" s="294"/>
      <c r="T948" s="299"/>
      <c r="U948" s="294"/>
      <c r="V948" s="299"/>
      <c r="W948" s="299"/>
      <c r="X948" s="294"/>
      <c r="Y948" s="299"/>
      <c r="Z948" s="294"/>
      <c r="AA948" s="299"/>
      <c r="AB948" s="299"/>
      <c r="AC948" s="294"/>
      <c r="AD948" s="294"/>
      <c r="AE948" s="294"/>
      <c r="AF948" s="294"/>
    </row>
    <row r="949" spans="2:32" x14ac:dyDescent="0.25">
      <c r="B949" s="294"/>
      <c r="C949" s="294"/>
      <c r="D949" s="294"/>
      <c r="E949" s="294"/>
      <c r="F949" s="294"/>
      <c r="G949" s="294"/>
      <c r="H949" s="294"/>
      <c r="I949" s="294"/>
      <c r="J949" s="294"/>
      <c r="L949" s="295"/>
      <c r="M949" s="294"/>
      <c r="S949" s="294"/>
      <c r="T949" s="299"/>
      <c r="U949" s="294"/>
      <c r="V949" s="299"/>
      <c r="W949" s="299"/>
      <c r="X949" s="294"/>
      <c r="Y949" s="299"/>
      <c r="Z949" s="294"/>
      <c r="AA949" s="299"/>
      <c r="AB949" s="299"/>
      <c r="AC949" s="294"/>
      <c r="AD949" s="294"/>
      <c r="AE949" s="294"/>
      <c r="AF949" s="294"/>
    </row>
    <row r="950" spans="2:32" x14ac:dyDescent="0.25">
      <c r="B950" s="294"/>
      <c r="C950" s="294"/>
      <c r="D950" s="294"/>
      <c r="E950" s="294"/>
      <c r="F950" s="294"/>
      <c r="G950" s="294"/>
      <c r="H950" s="294"/>
      <c r="I950" s="294"/>
      <c r="J950" s="294"/>
      <c r="L950" s="295"/>
      <c r="M950" s="294"/>
      <c r="S950" s="294"/>
      <c r="T950" s="299"/>
      <c r="U950" s="294"/>
      <c r="V950" s="299"/>
      <c r="W950" s="299"/>
      <c r="X950" s="294"/>
      <c r="Y950" s="299"/>
      <c r="Z950" s="294"/>
      <c r="AA950" s="299"/>
      <c r="AB950" s="299"/>
      <c r="AC950" s="294"/>
      <c r="AD950" s="294"/>
      <c r="AE950" s="294"/>
      <c r="AF950" s="294"/>
    </row>
    <row r="951" spans="2:32" x14ac:dyDescent="0.25">
      <c r="B951" s="294"/>
      <c r="C951" s="294"/>
      <c r="D951" s="294"/>
      <c r="E951" s="294"/>
      <c r="F951" s="294"/>
      <c r="G951" s="294"/>
      <c r="H951" s="294"/>
      <c r="I951" s="294"/>
      <c r="J951" s="294"/>
      <c r="L951" s="295"/>
      <c r="M951" s="294"/>
      <c r="S951" s="294"/>
      <c r="T951" s="299"/>
      <c r="U951" s="294"/>
      <c r="V951" s="299"/>
      <c r="W951" s="299"/>
      <c r="X951" s="294"/>
      <c r="Y951" s="299"/>
      <c r="Z951" s="294"/>
      <c r="AA951" s="299"/>
      <c r="AB951" s="299"/>
      <c r="AC951" s="294"/>
      <c r="AD951" s="294"/>
      <c r="AE951" s="294"/>
      <c r="AF951" s="294"/>
    </row>
    <row r="952" spans="2:32" x14ac:dyDescent="0.25">
      <c r="B952" s="294"/>
      <c r="C952" s="294"/>
      <c r="D952" s="294"/>
      <c r="E952" s="294"/>
      <c r="F952" s="294"/>
      <c r="G952" s="294"/>
      <c r="H952" s="294"/>
      <c r="I952" s="294"/>
      <c r="J952" s="294"/>
      <c r="L952" s="295"/>
      <c r="M952" s="294"/>
      <c r="S952" s="294"/>
      <c r="T952" s="299"/>
      <c r="U952" s="294"/>
      <c r="V952" s="299"/>
      <c r="W952" s="299"/>
      <c r="X952" s="294"/>
      <c r="Y952" s="299"/>
      <c r="Z952" s="294"/>
      <c r="AA952" s="299"/>
      <c r="AB952" s="299"/>
      <c r="AC952" s="294"/>
      <c r="AD952" s="294"/>
      <c r="AE952" s="294"/>
      <c r="AF952" s="294"/>
    </row>
    <row r="953" spans="2:32" x14ac:dyDescent="0.25">
      <c r="B953" s="294"/>
      <c r="C953" s="294"/>
      <c r="D953" s="294"/>
      <c r="E953" s="294"/>
      <c r="F953" s="294"/>
      <c r="G953" s="294"/>
      <c r="H953" s="294"/>
      <c r="I953" s="294"/>
      <c r="J953" s="294"/>
      <c r="L953" s="295"/>
      <c r="M953" s="294"/>
      <c r="S953" s="294"/>
      <c r="T953" s="299"/>
      <c r="U953" s="294"/>
      <c r="V953" s="299"/>
      <c r="W953" s="299"/>
      <c r="X953" s="294"/>
      <c r="Y953" s="299"/>
      <c r="Z953" s="294"/>
      <c r="AA953" s="299"/>
      <c r="AB953" s="299"/>
      <c r="AC953" s="294"/>
      <c r="AD953" s="294"/>
      <c r="AE953" s="294"/>
      <c r="AF953" s="294"/>
    </row>
    <row r="954" spans="2:32" x14ac:dyDescent="0.25">
      <c r="B954" s="294"/>
      <c r="C954" s="294"/>
      <c r="D954" s="294"/>
      <c r="E954" s="294"/>
      <c r="F954" s="294"/>
      <c r="G954" s="294"/>
      <c r="H954" s="294"/>
      <c r="I954" s="294"/>
      <c r="J954" s="294"/>
      <c r="L954" s="295"/>
      <c r="M954" s="294"/>
      <c r="S954" s="294"/>
      <c r="T954" s="299"/>
      <c r="U954" s="294"/>
      <c r="V954" s="299"/>
      <c r="W954" s="299"/>
      <c r="X954" s="294"/>
      <c r="Y954" s="299"/>
      <c r="Z954" s="294"/>
      <c r="AA954" s="299"/>
      <c r="AB954" s="299"/>
      <c r="AC954" s="294"/>
      <c r="AD954" s="294"/>
      <c r="AE954" s="294"/>
      <c r="AF954" s="294"/>
    </row>
    <row r="955" spans="2:32" x14ac:dyDescent="0.25">
      <c r="B955" s="294"/>
      <c r="C955" s="294"/>
      <c r="D955" s="294"/>
      <c r="E955" s="294"/>
      <c r="F955" s="294"/>
      <c r="G955" s="294"/>
      <c r="H955" s="294"/>
      <c r="I955" s="294"/>
      <c r="J955" s="294"/>
      <c r="L955" s="295"/>
      <c r="M955" s="294"/>
      <c r="S955" s="294"/>
      <c r="T955" s="299"/>
      <c r="U955" s="294"/>
      <c r="V955" s="299"/>
      <c r="W955" s="299"/>
      <c r="X955" s="294"/>
      <c r="Y955" s="299"/>
      <c r="Z955" s="294"/>
      <c r="AA955" s="299"/>
      <c r="AB955" s="299"/>
      <c r="AC955" s="294"/>
      <c r="AD955" s="294"/>
      <c r="AE955" s="294"/>
      <c r="AF955" s="294"/>
    </row>
    <row r="956" spans="2:32" x14ac:dyDescent="0.25">
      <c r="B956" s="294"/>
      <c r="C956" s="294"/>
      <c r="D956" s="294"/>
      <c r="E956" s="294"/>
      <c r="F956" s="294"/>
      <c r="G956" s="294"/>
      <c r="H956" s="294"/>
      <c r="I956" s="294"/>
      <c r="J956" s="294"/>
      <c r="L956" s="295"/>
      <c r="M956" s="294"/>
      <c r="S956" s="294"/>
      <c r="T956" s="299"/>
      <c r="U956" s="294"/>
      <c r="V956" s="299"/>
      <c r="W956" s="299"/>
      <c r="X956" s="294"/>
      <c r="Y956" s="299"/>
      <c r="Z956" s="294"/>
      <c r="AA956" s="299"/>
      <c r="AB956" s="299"/>
      <c r="AC956" s="294"/>
      <c r="AD956" s="294"/>
      <c r="AE956" s="294"/>
      <c r="AF956" s="294"/>
    </row>
    <row r="957" spans="2:32" x14ac:dyDescent="0.25">
      <c r="B957" s="294"/>
      <c r="C957" s="294"/>
      <c r="D957" s="294"/>
      <c r="E957" s="294"/>
      <c r="F957" s="294"/>
      <c r="G957" s="294"/>
      <c r="H957" s="294"/>
      <c r="I957" s="294"/>
      <c r="J957" s="294"/>
      <c r="L957" s="295"/>
      <c r="M957" s="294"/>
      <c r="S957" s="294"/>
      <c r="T957" s="299"/>
      <c r="U957" s="294"/>
      <c r="V957" s="299"/>
      <c r="W957" s="299"/>
      <c r="X957" s="294"/>
      <c r="Y957" s="299"/>
      <c r="Z957" s="294"/>
      <c r="AA957" s="299"/>
      <c r="AB957" s="299"/>
      <c r="AC957" s="294"/>
      <c r="AD957" s="294"/>
      <c r="AE957" s="294"/>
      <c r="AF957" s="294"/>
    </row>
    <row r="958" spans="2:32" x14ac:dyDescent="0.25">
      <c r="B958" s="294"/>
      <c r="C958" s="294"/>
      <c r="D958" s="294"/>
      <c r="E958" s="294"/>
      <c r="F958" s="294"/>
      <c r="G958" s="294"/>
      <c r="H958" s="294"/>
      <c r="I958" s="294"/>
      <c r="J958" s="294"/>
      <c r="L958" s="295"/>
      <c r="M958" s="294"/>
      <c r="S958" s="294"/>
      <c r="T958" s="299"/>
      <c r="U958" s="294"/>
      <c r="V958" s="299"/>
      <c r="W958" s="299"/>
      <c r="X958" s="294"/>
      <c r="Y958" s="299"/>
      <c r="Z958" s="294"/>
      <c r="AA958" s="299"/>
      <c r="AB958" s="299"/>
      <c r="AC958" s="294"/>
      <c r="AD958" s="294"/>
      <c r="AE958" s="294"/>
      <c r="AF958" s="294"/>
    </row>
    <row r="959" spans="2:32" x14ac:dyDescent="0.25">
      <c r="B959" s="294"/>
      <c r="C959" s="294"/>
      <c r="D959" s="294"/>
      <c r="E959" s="294"/>
      <c r="F959" s="294"/>
      <c r="G959" s="294"/>
      <c r="H959" s="294"/>
      <c r="I959" s="294"/>
      <c r="J959" s="294"/>
      <c r="L959" s="295"/>
      <c r="M959" s="294"/>
      <c r="S959" s="294"/>
      <c r="T959" s="299"/>
      <c r="U959" s="294"/>
      <c r="V959" s="299"/>
      <c r="W959" s="299"/>
      <c r="X959" s="294"/>
      <c r="Y959" s="299"/>
      <c r="Z959" s="294"/>
      <c r="AA959" s="299"/>
      <c r="AB959" s="299"/>
      <c r="AC959" s="294"/>
      <c r="AD959" s="294"/>
      <c r="AE959" s="294"/>
      <c r="AF959" s="294"/>
    </row>
    <row r="960" spans="2:32" x14ac:dyDescent="0.25">
      <c r="B960" s="294"/>
      <c r="C960" s="294"/>
      <c r="D960" s="294"/>
      <c r="E960" s="294"/>
      <c r="F960" s="294"/>
      <c r="G960" s="294"/>
      <c r="H960" s="294"/>
      <c r="I960" s="294"/>
      <c r="J960" s="294"/>
      <c r="L960" s="295"/>
      <c r="M960" s="294"/>
      <c r="S960" s="294"/>
      <c r="T960" s="299"/>
      <c r="U960" s="294"/>
      <c r="V960" s="299"/>
      <c r="W960" s="299"/>
      <c r="X960" s="294"/>
      <c r="Y960" s="299"/>
      <c r="Z960" s="294"/>
      <c r="AA960" s="299"/>
      <c r="AB960" s="299"/>
      <c r="AC960" s="294"/>
      <c r="AD960" s="294"/>
      <c r="AE960" s="294"/>
      <c r="AF960" s="294"/>
    </row>
    <row r="961" spans="2:32" x14ac:dyDescent="0.25">
      <c r="B961" s="294"/>
      <c r="C961" s="294"/>
      <c r="D961" s="294"/>
      <c r="E961" s="294"/>
      <c r="F961" s="294"/>
      <c r="G961" s="294"/>
      <c r="H961" s="294"/>
      <c r="I961" s="294"/>
      <c r="J961" s="294"/>
      <c r="L961" s="295"/>
      <c r="M961" s="294"/>
      <c r="S961" s="294"/>
      <c r="T961" s="299"/>
      <c r="U961" s="294"/>
      <c r="V961" s="299"/>
      <c r="W961" s="299"/>
      <c r="X961" s="294"/>
      <c r="Y961" s="299"/>
      <c r="Z961" s="294"/>
      <c r="AA961" s="299"/>
      <c r="AB961" s="299"/>
      <c r="AC961" s="294"/>
      <c r="AD961" s="294"/>
      <c r="AE961" s="294"/>
      <c r="AF961" s="294"/>
    </row>
    <row r="962" spans="2:32" x14ac:dyDescent="0.25">
      <c r="B962" s="294"/>
      <c r="C962" s="294"/>
      <c r="D962" s="294"/>
      <c r="E962" s="294"/>
      <c r="F962" s="294"/>
      <c r="G962" s="294"/>
      <c r="H962" s="294"/>
      <c r="I962" s="294"/>
      <c r="J962" s="294"/>
      <c r="L962" s="295"/>
      <c r="M962" s="294"/>
      <c r="S962" s="294"/>
      <c r="T962" s="299"/>
      <c r="U962" s="294"/>
      <c r="V962" s="299"/>
      <c r="W962" s="299"/>
      <c r="X962" s="294"/>
      <c r="Y962" s="299"/>
      <c r="Z962" s="294"/>
      <c r="AA962" s="299"/>
      <c r="AB962" s="299"/>
      <c r="AC962" s="294"/>
      <c r="AD962" s="294"/>
      <c r="AE962" s="294"/>
      <c r="AF962" s="294"/>
    </row>
    <row r="963" spans="2:32" x14ac:dyDescent="0.25">
      <c r="B963" s="294"/>
      <c r="C963" s="294"/>
      <c r="D963" s="294"/>
      <c r="E963" s="294"/>
      <c r="F963" s="294"/>
      <c r="G963" s="294"/>
      <c r="H963" s="294"/>
      <c r="I963" s="294"/>
      <c r="J963" s="294"/>
      <c r="L963" s="295"/>
      <c r="M963" s="294"/>
      <c r="S963" s="294"/>
      <c r="T963" s="299"/>
      <c r="U963" s="294"/>
      <c r="V963" s="299"/>
      <c r="W963" s="299"/>
      <c r="X963" s="294"/>
      <c r="Y963" s="299"/>
      <c r="Z963" s="294"/>
      <c r="AA963" s="299"/>
      <c r="AB963" s="299"/>
      <c r="AC963" s="294"/>
      <c r="AD963" s="294"/>
      <c r="AE963" s="294"/>
      <c r="AF963" s="294"/>
    </row>
    <row r="964" spans="2:32" x14ac:dyDescent="0.25">
      <c r="B964" s="294"/>
      <c r="C964" s="294"/>
      <c r="D964" s="294"/>
      <c r="E964" s="294"/>
      <c r="F964" s="294"/>
      <c r="G964" s="294"/>
      <c r="H964" s="294"/>
      <c r="I964" s="294"/>
      <c r="J964" s="294"/>
      <c r="L964" s="295"/>
      <c r="M964" s="294"/>
      <c r="S964" s="294"/>
      <c r="T964" s="299"/>
      <c r="U964" s="294"/>
      <c r="V964" s="299"/>
      <c r="W964" s="299"/>
      <c r="X964" s="294"/>
      <c r="Y964" s="299"/>
      <c r="Z964" s="294"/>
      <c r="AA964" s="299"/>
      <c r="AB964" s="299"/>
      <c r="AC964" s="294"/>
      <c r="AD964" s="294"/>
      <c r="AE964" s="294"/>
      <c r="AF964" s="294"/>
    </row>
    <row r="965" spans="2:32" x14ac:dyDescent="0.25">
      <c r="B965" s="294"/>
      <c r="C965" s="294"/>
      <c r="D965" s="294"/>
      <c r="E965" s="294"/>
      <c r="F965" s="294"/>
      <c r="G965" s="294"/>
      <c r="H965" s="294"/>
      <c r="I965" s="294"/>
      <c r="J965" s="294"/>
      <c r="L965" s="295"/>
      <c r="M965" s="294"/>
      <c r="S965" s="294"/>
      <c r="T965" s="299"/>
      <c r="U965" s="294"/>
      <c r="V965" s="299"/>
      <c r="W965" s="299"/>
      <c r="X965" s="294"/>
      <c r="Y965" s="299"/>
      <c r="Z965" s="294"/>
      <c r="AA965" s="299"/>
      <c r="AB965" s="299"/>
      <c r="AC965" s="294"/>
      <c r="AD965" s="294"/>
      <c r="AE965" s="294"/>
      <c r="AF965" s="294"/>
    </row>
    <row r="966" spans="2:32" x14ac:dyDescent="0.25">
      <c r="B966" s="294"/>
      <c r="C966" s="294"/>
      <c r="D966" s="294"/>
      <c r="E966" s="294"/>
      <c r="F966" s="294"/>
      <c r="G966" s="294"/>
      <c r="H966" s="294"/>
      <c r="I966" s="294"/>
      <c r="J966" s="294"/>
      <c r="L966" s="295"/>
      <c r="M966" s="294"/>
      <c r="S966" s="294"/>
      <c r="T966" s="299"/>
      <c r="U966" s="294"/>
      <c r="V966" s="299"/>
      <c r="W966" s="299"/>
      <c r="X966" s="294"/>
      <c r="Y966" s="299"/>
      <c r="Z966" s="294"/>
      <c r="AA966" s="299"/>
      <c r="AB966" s="299"/>
      <c r="AC966" s="294"/>
      <c r="AD966" s="294"/>
      <c r="AE966" s="294"/>
      <c r="AF966" s="294"/>
    </row>
    <row r="967" spans="2:32" x14ac:dyDescent="0.25">
      <c r="B967" s="294"/>
      <c r="C967" s="294"/>
      <c r="D967" s="294"/>
      <c r="E967" s="294"/>
      <c r="F967" s="294"/>
      <c r="G967" s="294"/>
      <c r="H967" s="294"/>
      <c r="I967" s="294"/>
      <c r="J967" s="294"/>
      <c r="L967" s="295"/>
      <c r="M967" s="294"/>
      <c r="S967" s="294"/>
      <c r="T967" s="299"/>
      <c r="U967" s="294"/>
      <c r="V967" s="299"/>
      <c r="W967" s="299"/>
      <c r="X967" s="294"/>
      <c r="Y967" s="299"/>
      <c r="Z967" s="294"/>
      <c r="AA967" s="299"/>
      <c r="AB967" s="299"/>
      <c r="AC967" s="294"/>
      <c r="AD967" s="294"/>
      <c r="AE967" s="294"/>
      <c r="AF967" s="294"/>
    </row>
    <row r="968" spans="2:32" x14ac:dyDescent="0.25">
      <c r="B968" s="294"/>
      <c r="C968" s="294"/>
      <c r="D968" s="294"/>
      <c r="E968" s="294"/>
      <c r="F968" s="294"/>
      <c r="G968" s="294"/>
      <c r="H968" s="294"/>
      <c r="I968" s="294"/>
      <c r="J968" s="294"/>
      <c r="L968" s="295"/>
      <c r="M968" s="294"/>
      <c r="S968" s="294"/>
      <c r="T968" s="299"/>
      <c r="U968" s="294"/>
      <c r="V968" s="299"/>
      <c r="W968" s="299"/>
      <c r="X968" s="294"/>
      <c r="Y968" s="299"/>
      <c r="Z968" s="294"/>
      <c r="AA968" s="299"/>
      <c r="AB968" s="299"/>
      <c r="AC968" s="294"/>
      <c r="AD968" s="294"/>
      <c r="AE968" s="294"/>
      <c r="AF968" s="294"/>
    </row>
    <row r="969" spans="2:32" x14ac:dyDescent="0.25">
      <c r="B969" s="294"/>
      <c r="C969" s="294"/>
      <c r="D969" s="294"/>
      <c r="E969" s="294"/>
      <c r="F969" s="294"/>
      <c r="G969" s="294"/>
      <c r="H969" s="294"/>
      <c r="I969" s="294"/>
      <c r="J969" s="294"/>
      <c r="L969" s="295"/>
      <c r="M969" s="294"/>
      <c r="S969" s="294"/>
      <c r="T969" s="299"/>
      <c r="U969" s="294"/>
      <c r="V969" s="299"/>
      <c r="W969" s="299"/>
      <c r="X969" s="294"/>
      <c r="Y969" s="299"/>
      <c r="Z969" s="294"/>
      <c r="AA969" s="299"/>
      <c r="AB969" s="299"/>
      <c r="AC969" s="294"/>
      <c r="AD969" s="294"/>
      <c r="AE969" s="294"/>
      <c r="AF969" s="294"/>
    </row>
    <row r="970" spans="2:32" x14ac:dyDescent="0.25">
      <c r="B970" s="294"/>
      <c r="C970" s="294"/>
      <c r="D970" s="294"/>
      <c r="E970" s="294"/>
      <c r="F970" s="294"/>
      <c r="G970" s="294"/>
      <c r="H970" s="294"/>
      <c r="I970" s="294"/>
      <c r="J970" s="294"/>
      <c r="L970" s="295"/>
      <c r="M970" s="294"/>
      <c r="S970" s="294"/>
      <c r="T970" s="299"/>
      <c r="U970" s="294"/>
      <c r="V970" s="299"/>
      <c r="W970" s="299"/>
      <c r="X970" s="294"/>
      <c r="Y970" s="299"/>
      <c r="Z970" s="294"/>
      <c r="AA970" s="299"/>
      <c r="AB970" s="299"/>
      <c r="AC970" s="294"/>
      <c r="AD970" s="294"/>
      <c r="AE970" s="294"/>
      <c r="AF970" s="294"/>
    </row>
    <row r="971" spans="2:32" x14ac:dyDescent="0.25">
      <c r="B971" s="294"/>
      <c r="C971" s="294"/>
      <c r="D971" s="294"/>
      <c r="E971" s="294"/>
      <c r="F971" s="294"/>
      <c r="G971" s="294"/>
      <c r="H971" s="294"/>
      <c r="I971" s="294"/>
      <c r="J971" s="294"/>
      <c r="L971" s="295"/>
      <c r="M971" s="294"/>
      <c r="S971" s="294"/>
      <c r="T971" s="299"/>
      <c r="U971" s="294"/>
      <c r="V971" s="299"/>
      <c r="W971" s="299"/>
      <c r="X971" s="294"/>
      <c r="Y971" s="299"/>
      <c r="Z971" s="294"/>
      <c r="AA971" s="299"/>
      <c r="AB971" s="299"/>
      <c r="AC971" s="294"/>
      <c r="AD971" s="294"/>
      <c r="AE971" s="294"/>
      <c r="AF971" s="294"/>
    </row>
    <row r="972" spans="2:32" x14ac:dyDescent="0.25">
      <c r="B972" s="294"/>
      <c r="C972" s="294"/>
      <c r="D972" s="294"/>
      <c r="E972" s="294"/>
      <c r="F972" s="294"/>
      <c r="G972" s="294"/>
      <c r="H972" s="294"/>
      <c r="I972" s="294"/>
      <c r="J972" s="294"/>
      <c r="L972" s="295"/>
      <c r="M972" s="294"/>
      <c r="S972" s="294"/>
      <c r="T972" s="299"/>
      <c r="U972" s="294"/>
      <c r="V972" s="299"/>
      <c r="W972" s="299"/>
      <c r="X972" s="294"/>
      <c r="Y972" s="299"/>
      <c r="Z972" s="294"/>
      <c r="AA972" s="299"/>
      <c r="AB972" s="299"/>
      <c r="AC972" s="294"/>
      <c r="AD972" s="294"/>
      <c r="AE972" s="294"/>
      <c r="AF972" s="294"/>
    </row>
    <row r="973" spans="2:32" x14ac:dyDescent="0.25">
      <c r="B973" s="294"/>
      <c r="C973" s="294"/>
      <c r="D973" s="294"/>
      <c r="E973" s="294"/>
      <c r="F973" s="294"/>
      <c r="G973" s="294"/>
      <c r="H973" s="294"/>
      <c r="I973" s="294"/>
      <c r="J973" s="294"/>
      <c r="L973" s="295"/>
      <c r="M973" s="294"/>
      <c r="S973" s="294"/>
      <c r="T973" s="299"/>
      <c r="U973" s="294"/>
      <c r="V973" s="299"/>
      <c r="W973" s="299"/>
      <c r="X973" s="294"/>
      <c r="Y973" s="299"/>
      <c r="Z973" s="294"/>
      <c r="AA973" s="299"/>
      <c r="AB973" s="299"/>
      <c r="AC973" s="294"/>
      <c r="AD973" s="294"/>
      <c r="AE973" s="294"/>
      <c r="AF973" s="294"/>
    </row>
    <row r="974" spans="2:32" x14ac:dyDescent="0.25">
      <c r="B974" s="294"/>
      <c r="C974" s="294"/>
      <c r="D974" s="294"/>
      <c r="E974" s="294"/>
      <c r="F974" s="294"/>
      <c r="G974" s="294"/>
      <c r="H974" s="294"/>
      <c r="I974" s="294"/>
      <c r="J974" s="294"/>
      <c r="L974" s="295"/>
      <c r="M974" s="294"/>
      <c r="S974" s="294"/>
      <c r="T974" s="299"/>
      <c r="U974" s="294"/>
      <c r="V974" s="299"/>
      <c r="W974" s="299"/>
      <c r="X974" s="294"/>
      <c r="Y974" s="299"/>
      <c r="Z974" s="294"/>
      <c r="AA974" s="299"/>
      <c r="AB974" s="299"/>
      <c r="AC974" s="294"/>
      <c r="AD974" s="294"/>
      <c r="AE974" s="294"/>
      <c r="AF974" s="294"/>
    </row>
    <row r="975" spans="2:32" x14ac:dyDescent="0.25">
      <c r="B975" s="294"/>
      <c r="C975" s="294"/>
      <c r="D975" s="294"/>
      <c r="E975" s="294"/>
      <c r="F975" s="294"/>
      <c r="G975" s="294"/>
      <c r="H975" s="294"/>
      <c r="I975" s="294"/>
      <c r="J975" s="294"/>
      <c r="L975" s="295"/>
      <c r="M975" s="294"/>
      <c r="S975" s="294"/>
      <c r="T975" s="299"/>
      <c r="U975" s="294"/>
      <c r="V975" s="299"/>
      <c r="W975" s="299"/>
      <c r="X975" s="294"/>
      <c r="Y975" s="299"/>
      <c r="Z975" s="294"/>
      <c r="AA975" s="299"/>
      <c r="AB975" s="299"/>
      <c r="AC975" s="294"/>
      <c r="AD975" s="294"/>
      <c r="AE975" s="294"/>
      <c r="AF975" s="294"/>
    </row>
    <row r="976" spans="2:32" x14ac:dyDescent="0.25">
      <c r="B976" s="294"/>
      <c r="C976" s="294"/>
      <c r="D976" s="294"/>
      <c r="E976" s="294"/>
      <c r="F976" s="294"/>
      <c r="G976" s="294"/>
      <c r="H976" s="294"/>
      <c r="I976" s="294"/>
      <c r="J976" s="294"/>
      <c r="L976" s="295"/>
      <c r="M976" s="294"/>
      <c r="S976" s="294"/>
      <c r="T976" s="299"/>
      <c r="U976" s="294"/>
      <c r="V976" s="299"/>
      <c r="W976" s="299"/>
      <c r="X976" s="294"/>
      <c r="Y976" s="299"/>
      <c r="Z976" s="294"/>
      <c r="AA976" s="299"/>
      <c r="AB976" s="299"/>
      <c r="AC976" s="294"/>
      <c r="AD976" s="294"/>
      <c r="AE976" s="294"/>
      <c r="AF976" s="294"/>
    </row>
    <row r="977" spans="2:32" x14ac:dyDescent="0.25">
      <c r="B977" s="294"/>
      <c r="C977" s="294"/>
      <c r="D977" s="294"/>
      <c r="E977" s="294"/>
      <c r="F977" s="294"/>
      <c r="G977" s="294"/>
      <c r="H977" s="294"/>
      <c r="I977" s="294"/>
      <c r="J977" s="294"/>
      <c r="L977" s="295"/>
      <c r="M977" s="294"/>
      <c r="S977" s="294"/>
      <c r="T977" s="299"/>
      <c r="U977" s="294"/>
      <c r="V977" s="299"/>
      <c r="W977" s="299"/>
      <c r="X977" s="294"/>
      <c r="Y977" s="299"/>
      <c r="Z977" s="294"/>
      <c r="AA977" s="299"/>
      <c r="AB977" s="299"/>
      <c r="AC977" s="294"/>
      <c r="AD977" s="294"/>
      <c r="AE977" s="294"/>
      <c r="AF977" s="294"/>
    </row>
    <row r="978" spans="2:32" x14ac:dyDescent="0.25">
      <c r="B978" s="294"/>
      <c r="C978" s="294"/>
      <c r="D978" s="294"/>
      <c r="E978" s="294"/>
      <c r="F978" s="294"/>
      <c r="G978" s="294"/>
      <c r="H978" s="294"/>
      <c r="I978" s="294"/>
      <c r="J978" s="294"/>
      <c r="L978" s="295"/>
      <c r="M978" s="294"/>
      <c r="S978" s="294"/>
      <c r="T978" s="299"/>
      <c r="U978" s="294"/>
      <c r="V978" s="299"/>
      <c r="W978" s="299"/>
      <c r="X978" s="294"/>
      <c r="Y978" s="299"/>
      <c r="Z978" s="294"/>
      <c r="AA978" s="299"/>
      <c r="AB978" s="299"/>
      <c r="AC978" s="294"/>
      <c r="AD978" s="294"/>
      <c r="AE978" s="294"/>
      <c r="AF978" s="294"/>
    </row>
    <row r="979" spans="2:32" x14ac:dyDescent="0.25">
      <c r="B979" s="294"/>
      <c r="C979" s="294"/>
      <c r="D979" s="294"/>
      <c r="E979" s="294"/>
      <c r="F979" s="294"/>
      <c r="G979" s="294"/>
      <c r="H979" s="294"/>
      <c r="I979" s="294"/>
      <c r="J979" s="294"/>
      <c r="L979" s="295"/>
      <c r="M979" s="294"/>
      <c r="S979" s="294"/>
      <c r="T979" s="299"/>
      <c r="U979" s="294"/>
      <c r="V979" s="299"/>
      <c r="W979" s="299"/>
      <c r="X979" s="294"/>
      <c r="Y979" s="299"/>
      <c r="Z979" s="294"/>
      <c r="AA979" s="299"/>
      <c r="AB979" s="299"/>
      <c r="AC979" s="294"/>
      <c r="AD979" s="294"/>
      <c r="AE979" s="294"/>
      <c r="AF979" s="294"/>
    </row>
    <row r="980" spans="2:32" x14ac:dyDescent="0.25">
      <c r="B980" s="294"/>
      <c r="C980" s="294"/>
      <c r="D980" s="294"/>
      <c r="E980" s="294"/>
      <c r="F980" s="294"/>
      <c r="G980" s="294"/>
      <c r="H980" s="294"/>
      <c r="I980" s="294"/>
      <c r="J980" s="294"/>
      <c r="L980" s="295"/>
      <c r="M980" s="294"/>
      <c r="S980" s="294"/>
      <c r="T980" s="299"/>
      <c r="U980" s="294"/>
      <c r="V980" s="299"/>
      <c r="W980" s="299"/>
      <c r="X980" s="294"/>
      <c r="Y980" s="299"/>
      <c r="Z980" s="294"/>
      <c r="AA980" s="299"/>
      <c r="AB980" s="299"/>
      <c r="AC980" s="294"/>
      <c r="AD980" s="294"/>
      <c r="AE980" s="294"/>
      <c r="AF980" s="294"/>
    </row>
    <row r="981" spans="2:32" x14ac:dyDescent="0.25">
      <c r="B981" s="294"/>
      <c r="C981" s="294"/>
      <c r="D981" s="294"/>
      <c r="E981" s="294"/>
      <c r="F981" s="294"/>
      <c r="G981" s="294"/>
      <c r="H981" s="294"/>
      <c r="I981" s="294"/>
      <c r="J981" s="294"/>
      <c r="L981" s="295"/>
      <c r="M981" s="294"/>
      <c r="S981" s="294"/>
      <c r="T981" s="299"/>
      <c r="U981" s="294"/>
      <c r="V981" s="299"/>
      <c r="W981" s="299"/>
      <c r="X981" s="294"/>
      <c r="Y981" s="299"/>
      <c r="Z981" s="294"/>
      <c r="AA981" s="299"/>
      <c r="AB981" s="299"/>
      <c r="AC981" s="294"/>
      <c r="AD981" s="294"/>
      <c r="AE981" s="294"/>
      <c r="AF981" s="294"/>
    </row>
    <row r="982" spans="2:32" x14ac:dyDescent="0.25">
      <c r="B982" s="294"/>
      <c r="C982" s="294"/>
      <c r="D982" s="294"/>
      <c r="E982" s="294"/>
      <c r="F982" s="294"/>
      <c r="G982" s="294"/>
      <c r="H982" s="294"/>
      <c r="I982" s="294"/>
      <c r="J982" s="294"/>
      <c r="L982" s="295"/>
      <c r="M982" s="294"/>
      <c r="S982" s="294"/>
      <c r="T982" s="299"/>
      <c r="U982" s="294"/>
      <c r="V982" s="299"/>
      <c r="W982" s="299"/>
      <c r="X982" s="294"/>
      <c r="Y982" s="299"/>
      <c r="Z982" s="294"/>
      <c r="AA982" s="299"/>
      <c r="AB982" s="299"/>
      <c r="AC982" s="294"/>
      <c r="AD982" s="294"/>
      <c r="AE982" s="294"/>
      <c r="AF982" s="294"/>
    </row>
    <row r="983" spans="2:32" x14ac:dyDescent="0.25">
      <c r="B983" s="294"/>
      <c r="C983" s="294"/>
      <c r="D983" s="294"/>
      <c r="E983" s="294"/>
      <c r="F983" s="294"/>
      <c r="G983" s="294"/>
      <c r="H983" s="294"/>
      <c r="I983" s="294"/>
      <c r="J983" s="294"/>
      <c r="L983" s="295"/>
      <c r="M983" s="294"/>
      <c r="S983" s="294"/>
      <c r="T983" s="299"/>
      <c r="U983" s="294"/>
      <c r="V983" s="299"/>
      <c r="W983" s="299"/>
      <c r="X983" s="294"/>
      <c r="Y983" s="299"/>
      <c r="Z983" s="294"/>
      <c r="AA983" s="299"/>
      <c r="AB983" s="299"/>
      <c r="AC983" s="294"/>
      <c r="AD983" s="294"/>
      <c r="AE983" s="294"/>
      <c r="AF983" s="294"/>
    </row>
    <row r="984" spans="2:32" x14ac:dyDescent="0.25">
      <c r="B984" s="294"/>
      <c r="C984" s="294"/>
      <c r="D984" s="294"/>
      <c r="E984" s="294"/>
      <c r="F984" s="294"/>
      <c r="G984" s="294"/>
      <c r="H984" s="294"/>
      <c r="I984" s="294"/>
      <c r="J984" s="294"/>
      <c r="L984" s="295"/>
      <c r="M984" s="294"/>
      <c r="S984" s="294"/>
      <c r="T984" s="299"/>
      <c r="U984" s="294"/>
      <c r="V984" s="299"/>
      <c r="W984" s="299"/>
      <c r="X984" s="294"/>
      <c r="Y984" s="299"/>
      <c r="Z984" s="294"/>
      <c r="AA984" s="299"/>
      <c r="AB984" s="299"/>
      <c r="AC984" s="294"/>
      <c r="AD984" s="294"/>
      <c r="AE984" s="294"/>
      <c r="AF984" s="294"/>
    </row>
    <row r="985" spans="2:32" x14ac:dyDescent="0.25">
      <c r="B985" s="294"/>
      <c r="C985" s="294"/>
      <c r="D985" s="294"/>
      <c r="E985" s="294"/>
      <c r="F985" s="294"/>
      <c r="G985" s="294"/>
      <c r="H985" s="294"/>
      <c r="I985" s="294"/>
      <c r="J985" s="294"/>
      <c r="L985" s="295"/>
      <c r="M985" s="294"/>
      <c r="S985" s="294"/>
      <c r="T985" s="299"/>
      <c r="U985" s="294"/>
      <c r="V985" s="299"/>
      <c r="W985" s="299"/>
      <c r="X985" s="294"/>
      <c r="Y985" s="299"/>
      <c r="Z985" s="294"/>
      <c r="AA985" s="299"/>
      <c r="AB985" s="299"/>
      <c r="AC985" s="294"/>
      <c r="AD985" s="294"/>
      <c r="AE985" s="294"/>
      <c r="AF985" s="294"/>
    </row>
    <row r="986" spans="2:32" x14ac:dyDescent="0.25">
      <c r="B986" s="294"/>
      <c r="C986" s="294"/>
      <c r="D986" s="294"/>
      <c r="E986" s="294"/>
      <c r="F986" s="294"/>
      <c r="G986" s="294"/>
      <c r="H986" s="294"/>
      <c r="I986" s="294"/>
      <c r="J986" s="294"/>
      <c r="L986" s="295"/>
      <c r="M986" s="294"/>
      <c r="S986" s="294"/>
      <c r="T986" s="299"/>
      <c r="U986" s="294"/>
      <c r="V986" s="299"/>
      <c r="W986" s="299"/>
      <c r="X986" s="294"/>
      <c r="Y986" s="299"/>
      <c r="Z986" s="294"/>
      <c r="AA986" s="299"/>
      <c r="AB986" s="299"/>
      <c r="AC986" s="294"/>
      <c r="AD986" s="294"/>
      <c r="AE986" s="294"/>
      <c r="AF986" s="294"/>
    </row>
    <row r="987" spans="2:32" x14ac:dyDescent="0.25">
      <c r="B987" s="294"/>
      <c r="C987" s="294"/>
      <c r="D987" s="294"/>
      <c r="E987" s="294"/>
      <c r="F987" s="294"/>
      <c r="G987" s="294"/>
      <c r="H987" s="294"/>
      <c r="I987" s="294"/>
      <c r="J987" s="294"/>
      <c r="L987" s="295"/>
      <c r="M987" s="294"/>
      <c r="S987" s="294"/>
      <c r="T987" s="299"/>
      <c r="U987" s="294"/>
      <c r="V987" s="299"/>
      <c r="W987" s="299"/>
      <c r="X987" s="294"/>
      <c r="Y987" s="299"/>
      <c r="Z987" s="294"/>
      <c r="AA987" s="299"/>
      <c r="AB987" s="299"/>
      <c r="AC987" s="294"/>
      <c r="AD987" s="294"/>
      <c r="AE987" s="294"/>
      <c r="AF987" s="294"/>
    </row>
    <row r="988" spans="2:32" x14ac:dyDescent="0.25">
      <c r="B988" s="294"/>
      <c r="C988" s="294"/>
      <c r="D988" s="294"/>
      <c r="E988" s="294"/>
      <c r="F988" s="294"/>
      <c r="G988" s="294"/>
      <c r="H988" s="294"/>
      <c r="I988" s="294"/>
      <c r="J988" s="294"/>
      <c r="L988" s="295"/>
      <c r="M988" s="294"/>
      <c r="S988" s="294"/>
      <c r="T988" s="299"/>
      <c r="U988" s="294"/>
      <c r="V988" s="299"/>
      <c r="W988" s="299"/>
      <c r="X988" s="294"/>
      <c r="Y988" s="299"/>
      <c r="Z988" s="294"/>
      <c r="AA988" s="299"/>
      <c r="AB988" s="299"/>
      <c r="AC988" s="294"/>
      <c r="AD988" s="294"/>
      <c r="AE988" s="294"/>
      <c r="AF988" s="294"/>
    </row>
    <row r="989" spans="2:32" x14ac:dyDescent="0.25">
      <c r="B989" s="294"/>
      <c r="C989" s="294"/>
      <c r="D989" s="294"/>
      <c r="E989" s="294"/>
      <c r="F989" s="294"/>
      <c r="G989" s="294"/>
      <c r="H989" s="294"/>
      <c r="I989" s="294"/>
      <c r="J989" s="294"/>
      <c r="L989" s="295"/>
      <c r="M989" s="294"/>
      <c r="S989" s="294"/>
      <c r="T989" s="299"/>
      <c r="U989" s="294"/>
      <c r="V989" s="299"/>
      <c r="W989" s="299"/>
      <c r="X989" s="294"/>
      <c r="Y989" s="299"/>
      <c r="Z989" s="294"/>
      <c r="AA989" s="299"/>
      <c r="AB989" s="299"/>
      <c r="AC989" s="294"/>
      <c r="AD989" s="294"/>
      <c r="AE989" s="294"/>
      <c r="AF989" s="294"/>
    </row>
    <row r="990" spans="2:32" x14ac:dyDescent="0.25">
      <c r="B990" s="294"/>
      <c r="C990" s="294"/>
      <c r="D990" s="294"/>
      <c r="E990" s="294"/>
      <c r="F990" s="294"/>
      <c r="G990" s="294"/>
      <c r="H990" s="294"/>
      <c r="I990" s="294"/>
      <c r="J990" s="294"/>
      <c r="L990" s="295"/>
      <c r="M990" s="294"/>
      <c r="S990" s="294"/>
      <c r="T990" s="299"/>
      <c r="U990" s="294"/>
      <c r="V990" s="299"/>
      <c r="W990" s="299"/>
      <c r="X990" s="294"/>
      <c r="Y990" s="299"/>
      <c r="Z990" s="294"/>
      <c r="AA990" s="299"/>
      <c r="AB990" s="299"/>
      <c r="AC990" s="294"/>
      <c r="AD990" s="294"/>
      <c r="AE990" s="294"/>
      <c r="AF990" s="294"/>
    </row>
    <row r="991" spans="2:32" x14ac:dyDescent="0.25">
      <c r="B991" s="294"/>
      <c r="C991" s="294"/>
      <c r="D991" s="294"/>
      <c r="E991" s="294"/>
      <c r="F991" s="294"/>
      <c r="G991" s="294"/>
      <c r="H991" s="294"/>
      <c r="I991" s="294"/>
      <c r="J991" s="294"/>
      <c r="L991" s="295"/>
      <c r="M991" s="294"/>
      <c r="S991" s="294"/>
      <c r="T991" s="299"/>
      <c r="U991" s="294"/>
      <c r="V991" s="299"/>
      <c r="W991" s="299"/>
      <c r="X991" s="294"/>
      <c r="Y991" s="299"/>
      <c r="Z991" s="294"/>
      <c r="AA991" s="299"/>
      <c r="AB991" s="299"/>
      <c r="AC991" s="294"/>
      <c r="AD991" s="294"/>
      <c r="AE991" s="294"/>
      <c r="AF991" s="294"/>
    </row>
    <row r="992" spans="2:32" x14ac:dyDescent="0.25">
      <c r="B992" s="294"/>
      <c r="C992" s="294"/>
      <c r="D992" s="294"/>
      <c r="E992" s="294"/>
      <c r="F992" s="294"/>
      <c r="G992" s="294"/>
      <c r="H992" s="294"/>
      <c r="I992" s="294"/>
      <c r="J992" s="294"/>
      <c r="L992" s="295"/>
      <c r="M992" s="294"/>
      <c r="S992" s="294"/>
      <c r="T992" s="299"/>
      <c r="U992" s="294"/>
      <c r="V992" s="299"/>
      <c r="W992" s="299"/>
      <c r="X992" s="294"/>
      <c r="Y992" s="299"/>
      <c r="Z992" s="294"/>
      <c r="AA992" s="299"/>
      <c r="AB992" s="299"/>
      <c r="AC992" s="294"/>
      <c r="AD992" s="294"/>
      <c r="AE992" s="294"/>
      <c r="AF992" s="294"/>
    </row>
    <row r="993" spans="2:32" x14ac:dyDescent="0.25">
      <c r="B993" s="294"/>
      <c r="C993" s="294"/>
      <c r="D993" s="294"/>
      <c r="E993" s="294"/>
      <c r="F993" s="294"/>
      <c r="G993" s="294"/>
      <c r="H993" s="294"/>
      <c r="I993" s="294"/>
      <c r="J993" s="294"/>
      <c r="L993" s="295"/>
      <c r="M993" s="294"/>
      <c r="S993" s="294"/>
      <c r="T993" s="299"/>
      <c r="U993" s="294"/>
      <c r="V993" s="299"/>
      <c r="W993" s="299"/>
      <c r="X993" s="294"/>
      <c r="Y993" s="299"/>
      <c r="Z993" s="294"/>
      <c r="AA993" s="299"/>
      <c r="AB993" s="299"/>
      <c r="AC993" s="294"/>
      <c r="AD993" s="294"/>
      <c r="AE993" s="294"/>
      <c r="AF993" s="294"/>
    </row>
    <row r="994" spans="2:32" x14ac:dyDescent="0.25">
      <c r="B994" s="294"/>
      <c r="C994" s="294"/>
      <c r="D994" s="294"/>
      <c r="E994" s="294"/>
      <c r="F994" s="294"/>
      <c r="G994" s="294"/>
      <c r="H994" s="294"/>
      <c r="I994" s="294"/>
      <c r="J994" s="294"/>
      <c r="L994" s="295"/>
      <c r="M994" s="294"/>
      <c r="S994" s="294"/>
      <c r="T994" s="299"/>
      <c r="U994" s="294"/>
      <c r="V994" s="299"/>
      <c r="W994" s="299"/>
      <c r="X994" s="294"/>
      <c r="Y994" s="299"/>
      <c r="Z994" s="294"/>
      <c r="AA994" s="299"/>
      <c r="AB994" s="299"/>
      <c r="AC994" s="294"/>
      <c r="AD994" s="294"/>
      <c r="AE994" s="294"/>
      <c r="AF994" s="294"/>
    </row>
    <row r="995" spans="2:32" x14ac:dyDescent="0.25">
      <c r="B995" s="294"/>
      <c r="C995" s="294"/>
      <c r="D995" s="294"/>
      <c r="E995" s="294"/>
      <c r="F995" s="294"/>
      <c r="G995" s="294"/>
      <c r="H995" s="294"/>
      <c r="I995" s="294"/>
      <c r="J995" s="294"/>
      <c r="L995" s="295"/>
      <c r="M995" s="294"/>
      <c r="S995" s="294"/>
      <c r="T995" s="299"/>
      <c r="U995" s="294"/>
      <c r="V995" s="299"/>
      <c r="W995" s="299"/>
      <c r="X995" s="294"/>
      <c r="Y995" s="299"/>
      <c r="Z995" s="294"/>
      <c r="AA995" s="299"/>
      <c r="AB995" s="299"/>
      <c r="AC995" s="294"/>
      <c r="AD995" s="294"/>
      <c r="AE995" s="294"/>
      <c r="AF995" s="294"/>
    </row>
    <row r="996" spans="2:32" x14ac:dyDescent="0.25">
      <c r="B996" s="294"/>
      <c r="C996" s="294"/>
      <c r="D996" s="294"/>
      <c r="E996" s="294"/>
      <c r="F996" s="294"/>
      <c r="G996" s="294"/>
      <c r="H996" s="294"/>
      <c r="I996" s="294"/>
      <c r="J996" s="294"/>
      <c r="L996" s="295"/>
      <c r="M996" s="294"/>
      <c r="S996" s="294"/>
      <c r="T996" s="299"/>
      <c r="U996" s="294"/>
      <c r="V996" s="299"/>
      <c r="W996" s="299"/>
      <c r="X996" s="294"/>
      <c r="Y996" s="299"/>
      <c r="Z996" s="294"/>
      <c r="AA996" s="299"/>
      <c r="AB996" s="299"/>
      <c r="AC996" s="294"/>
      <c r="AD996" s="294"/>
      <c r="AE996" s="294"/>
      <c r="AF996" s="294"/>
    </row>
    <row r="997" spans="2:32" x14ac:dyDescent="0.25">
      <c r="B997" s="294"/>
      <c r="C997" s="294"/>
      <c r="D997" s="294"/>
      <c r="E997" s="294"/>
      <c r="F997" s="294"/>
      <c r="G997" s="294"/>
      <c r="H997" s="294"/>
      <c r="I997" s="294"/>
      <c r="J997" s="294"/>
      <c r="L997" s="295"/>
      <c r="M997" s="294"/>
      <c r="S997" s="294"/>
      <c r="T997" s="299"/>
      <c r="U997" s="294"/>
      <c r="V997" s="299"/>
      <c r="W997" s="299"/>
      <c r="X997" s="294"/>
      <c r="Y997" s="299"/>
      <c r="Z997" s="294"/>
      <c r="AA997" s="299"/>
      <c r="AB997" s="299"/>
      <c r="AC997" s="294"/>
      <c r="AD997" s="294"/>
      <c r="AE997" s="294"/>
      <c r="AF997" s="294"/>
    </row>
    <row r="998" spans="2:32" x14ac:dyDescent="0.25">
      <c r="B998" s="294"/>
      <c r="C998" s="294"/>
      <c r="D998" s="294"/>
      <c r="E998" s="294"/>
      <c r="F998" s="294"/>
      <c r="G998" s="294"/>
      <c r="H998" s="294"/>
      <c r="I998" s="294"/>
      <c r="J998" s="294"/>
      <c r="L998" s="295"/>
      <c r="M998" s="294"/>
      <c r="S998" s="294"/>
      <c r="T998" s="299"/>
      <c r="U998" s="294"/>
      <c r="V998" s="299"/>
      <c r="W998" s="299"/>
      <c r="X998" s="294"/>
      <c r="Y998" s="299"/>
      <c r="Z998" s="294"/>
      <c r="AA998" s="299"/>
      <c r="AB998" s="299"/>
      <c r="AC998" s="294"/>
      <c r="AD998" s="294"/>
      <c r="AE998" s="294"/>
      <c r="AF998" s="294"/>
    </row>
    <row r="999" spans="2:32" x14ac:dyDescent="0.25">
      <c r="B999" s="294"/>
      <c r="C999" s="294"/>
      <c r="D999" s="294"/>
      <c r="E999" s="294"/>
      <c r="F999" s="294"/>
      <c r="G999" s="294"/>
      <c r="H999" s="294"/>
      <c r="I999" s="294"/>
      <c r="J999" s="294"/>
      <c r="L999" s="295"/>
      <c r="M999" s="294"/>
      <c r="S999" s="294"/>
      <c r="T999" s="299"/>
      <c r="U999" s="294"/>
      <c r="V999" s="299"/>
      <c r="W999" s="299"/>
      <c r="X999" s="294"/>
      <c r="Y999" s="299"/>
      <c r="Z999" s="294"/>
      <c r="AA999" s="299"/>
      <c r="AB999" s="299"/>
      <c r="AC999" s="294"/>
      <c r="AD999" s="294"/>
      <c r="AE999" s="294"/>
      <c r="AF999" s="294"/>
    </row>
    <row r="1000" spans="2:32" x14ac:dyDescent="0.25">
      <c r="B1000" s="294"/>
      <c r="C1000" s="294"/>
      <c r="D1000" s="294"/>
      <c r="E1000" s="294"/>
      <c r="F1000" s="294"/>
      <c r="G1000" s="294"/>
      <c r="H1000" s="294"/>
      <c r="I1000" s="294"/>
      <c r="J1000" s="294"/>
      <c r="L1000" s="295"/>
      <c r="M1000" s="294"/>
      <c r="S1000" s="294"/>
      <c r="T1000" s="299"/>
      <c r="U1000" s="294"/>
      <c r="V1000" s="299"/>
      <c r="W1000" s="299"/>
      <c r="X1000" s="294"/>
      <c r="Y1000" s="299"/>
      <c r="Z1000" s="294"/>
      <c r="AA1000" s="299"/>
      <c r="AB1000" s="299"/>
      <c r="AC1000" s="294"/>
      <c r="AD1000" s="294"/>
      <c r="AE1000" s="294"/>
      <c r="AF1000" s="294"/>
    </row>
    <row r="1001" spans="2:32" x14ac:dyDescent="0.25">
      <c r="B1001" s="294"/>
      <c r="C1001" s="294"/>
      <c r="D1001" s="294"/>
      <c r="E1001" s="294"/>
      <c r="F1001" s="294"/>
      <c r="G1001" s="294"/>
      <c r="H1001" s="294"/>
      <c r="I1001" s="294"/>
      <c r="J1001" s="294"/>
      <c r="L1001" s="295"/>
      <c r="M1001" s="294"/>
      <c r="S1001" s="294"/>
      <c r="T1001" s="299"/>
      <c r="U1001" s="294"/>
      <c r="V1001" s="299"/>
      <c r="W1001" s="299"/>
      <c r="X1001" s="294"/>
      <c r="Y1001" s="299"/>
      <c r="Z1001" s="294"/>
      <c r="AA1001" s="299"/>
      <c r="AB1001" s="299"/>
      <c r="AC1001" s="294"/>
      <c r="AD1001" s="294"/>
      <c r="AE1001" s="294"/>
      <c r="AF1001" s="294"/>
    </row>
    <row r="1002" spans="2:32" x14ac:dyDescent="0.25">
      <c r="B1002" s="294"/>
      <c r="C1002" s="294"/>
      <c r="D1002" s="294"/>
      <c r="E1002" s="294"/>
      <c r="F1002" s="294"/>
      <c r="G1002" s="294"/>
      <c r="H1002" s="294"/>
      <c r="I1002" s="294"/>
      <c r="J1002" s="294"/>
      <c r="L1002" s="295"/>
      <c r="M1002" s="294"/>
      <c r="S1002" s="294"/>
      <c r="T1002" s="299"/>
      <c r="U1002" s="294"/>
      <c r="V1002" s="299"/>
      <c r="W1002" s="299"/>
      <c r="X1002" s="294"/>
      <c r="Y1002" s="299"/>
      <c r="Z1002" s="294"/>
      <c r="AA1002" s="299"/>
      <c r="AB1002" s="299"/>
      <c r="AC1002" s="294"/>
      <c r="AD1002" s="294"/>
      <c r="AE1002" s="294"/>
      <c r="AF1002" s="294"/>
    </row>
    <row r="1003" spans="2:32" x14ac:dyDescent="0.25">
      <c r="B1003" s="294"/>
      <c r="C1003" s="294"/>
      <c r="D1003" s="294"/>
      <c r="E1003" s="294"/>
      <c r="F1003" s="294"/>
      <c r="G1003" s="294"/>
      <c r="H1003" s="294"/>
      <c r="I1003" s="294"/>
      <c r="J1003" s="294"/>
      <c r="L1003" s="295"/>
      <c r="M1003" s="294"/>
      <c r="S1003" s="294"/>
      <c r="T1003" s="299"/>
      <c r="U1003" s="294"/>
      <c r="V1003" s="299"/>
      <c r="W1003" s="299"/>
      <c r="X1003" s="294"/>
      <c r="Y1003" s="299"/>
      <c r="Z1003" s="294"/>
      <c r="AA1003" s="299"/>
      <c r="AB1003" s="299"/>
      <c r="AC1003" s="294"/>
      <c r="AD1003" s="294"/>
      <c r="AE1003" s="294"/>
      <c r="AF1003" s="294"/>
    </row>
    <row r="1004" spans="2:32" x14ac:dyDescent="0.25">
      <c r="B1004" s="294"/>
      <c r="C1004" s="294"/>
      <c r="D1004" s="294"/>
      <c r="E1004" s="294"/>
      <c r="F1004" s="294"/>
      <c r="G1004" s="294"/>
      <c r="H1004" s="294"/>
      <c r="I1004" s="294"/>
      <c r="J1004" s="294"/>
      <c r="L1004" s="295"/>
      <c r="M1004" s="294"/>
      <c r="S1004" s="294"/>
      <c r="T1004" s="299"/>
      <c r="U1004" s="294"/>
      <c r="V1004" s="299"/>
      <c r="W1004" s="299"/>
      <c r="X1004" s="294"/>
      <c r="Y1004" s="299"/>
      <c r="Z1004" s="294"/>
      <c r="AA1004" s="299"/>
      <c r="AB1004" s="299"/>
      <c r="AC1004" s="294"/>
      <c r="AD1004" s="294"/>
      <c r="AE1004" s="294"/>
      <c r="AF1004" s="294"/>
    </row>
    <row r="1005" spans="2:32" x14ac:dyDescent="0.25">
      <c r="B1005" s="294"/>
      <c r="C1005" s="294"/>
      <c r="D1005" s="294"/>
      <c r="E1005" s="294"/>
      <c r="F1005" s="294"/>
      <c r="G1005" s="294"/>
      <c r="H1005" s="294"/>
      <c r="I1005" s="294"/>
      <c r="J1005" s="294"/>
      <c r="L1005" s="295"/>
      <c r="M1005" s="294"/>
      <c r="S1005" s="294"/>
      <c r="T1005" s="299"/>
      <c r="U1005" s="294"/>
      <c r="V1005" s="299"/>
      <c r="W1005" s="299"/>
      <c r="X1005" s="294"/>
      <c r="Y1005" s="299"/>
      <c r="Z1005" s="294"/>
      <c r="AA1005" s="299"/>
      <c r="AB1005" s="299"/>
      <c r="AC1005" s="294"/>
      <c r="AD1005" s="294"/>
      <c r="AE1005" s="294"/>
      <c r="AF1005" s="294"/>
    </row>
    <row r="1006" spans="2:32" x14ac:dyDescent="0.25">
      <c r="B1006" s="294"/>
      <c r="C1006" s="294"/>
      <c r="D1006" s="294"/>
      <c r="E1006" s="294"/>
      <c r="F1006" s="294"/>
      <c r="G1006" s="294"/>
      <c r="H1006" s="294"/>
      <c r="I1006" s="294"/>
      <c r="J1006" s="294"/>
      <c r="L1006" s="295"/>
      <c r="M1006" s="294"/>
      <c r="S1006" s="294"/>
      <c r="T1006" s="299"/>
      <c r="U1006" s="294"/>
      <c r="V1006" s="299"/>
      <c r="W1006" s="299"/>
      <c r="X1006" s="294"/>
      <c r="Y1006" s="299"/>
      <c r="Z1006" s="294"/>
      <c r="AA1006" s="299"/>
      <c r="AB1006" s="299"/>
      <c r="AC1006" s="294"/>
      <c r="AD1006" s="294"/>
      <c r="AE1006" s="294"/>
      <c r="AF1006" s="294"/>
    </row>
    <row r="1007" spans="2:32" x14ac:dyDescent="0.25">
      <c r="B1007" s="294"/>
      <c r="C1007" s="294"/>
      <c r="D1007" s="294"/>
      <c r="E1007" s="294"/>
      <c r="F1007" s="294"/>
      <c r="G1007" s="294"/>
      <c r="H1007" s="294"/>
      <c r="I1007" s="294"/>
      <c r="J1007" s="294"/>
      <c r="L1007" s="295"/>
      <c r="M1007" s="294"/>
      <c r="S1007" s="294"/>
      <c r="T1007" s="299"/>
      <c r="U1007" s="294"/>
      <c r="V1007" s="299"/>
      <c r="W1007" s="299"/>
      <c r="X1007" s="294"/>
      <c r="Y1007" s="299"/>
      <c r="Z1007" s="294"/>
      <c r="AA1007" s="299"/>
      <c r="AB1007" s="299"/>
      <c r="AC1007" s="294"/>
      <c r="AD1007" s="294"/>
      <c r="AE1007" s="294"/>
      <c r="AF1007" s="294"/>
    </row>
    <row r="1008" spans="2:32" x14ac:dyDescent="0.25">
      <c r="B1008" s="294"/>
      <c r="C1008" s="294"/>
      <c r="D1008" s="294"/>
      <c r="E1008" s="294"/>
      <c r="F1008" s="294"/>
      <c r="G1008" s="294"/>
      <c r="H1008" s="294"/>
      <c r="I1008" s="294"/>
      <c r="J1008" s="294"/>
      <c r="L1008" s="295"/>
      <c r="M1008" s="294"/>
      <c r="S1008" s="294"/>
      <c r="T1008" s="299"/>
      <c r="U1008" s="294"/>
      <c r="V1008" s="299"/>
      <c r="W1008" s="299"/>
      <c r="X1008" s="294"/>
      <c r="Y1008" s="299"/>
      <c r="Z1008" s="294"/>
      <c r="AA1008" s="299"/>
      <c r="AB1008" s="299"/>
      <c r="AC1008" s="294"/>
      <c r="AD1008" s="294"/>
      <c r="AE1008" s="294"/>
      <c r="AF1008" s="294"/>
    </row>
    <row r="1009" spans="2:32" x14ac:dyDescent="0.25">
      <c r="B1009" s="294"/>
      <c r="C1009" s="294"/>
      <c r="D1009" s="294"/>
      <c r="E1009" s="294"/>
      <c r="F1009" s="294"/>
      <c r="G1009" s="294"/>
      <c r="H1009" s="294"/>
      <c r="I1009" s="294"/>
      <c r="J1009" s="294"/>
      <c r="L1009" s="295"/>
      <c r="M1009" s="294"/>
      <c r="S1009" s="294"/>
      <c r="T1009" s="299"/>
      <c r="U1009" s="294"/>
      <c r="V1009" s="299"/>
      <c r="W1009" s="299"/>
      <c r="X1009" s="294"/>
      <c r="Y1009" s="299"/>
      <c r="Z1009" s="294"/>
      <c r="AA1009" s="299"/>
      <c r="AB1009" s="299"/>
      <c r="AC1009" s="294"/>
      <c r="AD1009" s="294"/>
      <c r="AE1009" s="294"/>
      <c r="AF1009" s="294"/>
    </row>
    <row r="1010" spans="2:32" x14ac:dyDescent="0.25">
      <c r="B1010" s="294"/>
      <c r="C1010" s="294"/>
      <c r="D1010" s="294"/>
      <c r="E1010" s="294"/>
      <c r="F1010" s="294"/>
      <c r="G1010" s="294"/>
      <c r="H1010" s="294"/>
      <c r="I1010" s="294"/>
      <c r="J1010" s="294"/>
      <c r="L1010" s="295"/>
      <c r="M1010" s="294"/>
      <c r="S1010" s="294"/>
      <c r="T1010" s="299"/>
      <c r="U1010" s="294"/>
      <c r="V1010" s="299"/>
      <c r="W1010" s="299"/>
      <c r="X1010" s="294"/>
      <c r="Y1010" s="299"/>
      <c r="Z1010" s="294"/>
      <c r="AA1010" s="299"/>
      <c r="AB1010" s="299"/>
      <c r="AC1010" s="294"/>
      <c r="AD1010" s="294"/>
      <c r="AE1010" s="294"/>
      <c r="AF1010" s="294"/>
    </row>
    <row r="1011" spans="2:32" x14ac:dyDescent="0.25">
      <c r="B1011" s="294"/>
      <c r="C1011" s="294"/>
      <c r="D1011" s="294"/>
      <c r="E1011" s="294"/>
      <c r="F1011" s="294"/>
      <c r="G1011" s="294"/>
      <c r="H1011" s="294"/>
      <c r="I1011" s="294"/>
      <c r="J1011" s="294"/>
      <c r="L1011" s="295"/>
      <c r="M1011" s="294"/>
      <c r="S1011" s="294"/>
      <c r="T1011" s="299"/>
      <c r="U1011" s="294"/>
      <c r="V1011" s="299"/>
      <c r="W1011" s="299"/>
      <c r="X1011" s="294"/>
      <c r="Y1011" s="299"/>
      <c r="Z1011" s="294"/>
      <c r="AA1011" s="299"/>
      <c r="AB1011" s="299"/>
      <c r="AC1011" s="294"/>
      <c r="AD1011" s="294"/>
      <c r="AE1011" s="294"/>
      <c r="AF1011" s="294"/>
    </row>
    <row r="1012" spans="2:32" x14ac:dyDescent="0.25">
      <c r="B1012" s="294"/>
      <c r="C1012" s="294"/>
      <c r="D1012" s="294"/>
      <c r="E1012" s="294"/>
      <c r="F1012" s="294"/>
      <c r="G1012" s="294"/>
      <c r="H1012" s="294"/>
      <c r="I1012" s="294"/>
      <c r="J1012" s="294"/>
      <c r="L1012" s="295"/>
      <c r="M1012" s="294"/>
      <c r="S1012" s="294"/>
      <c r="T1012" s="299"/>
      <c r="U1012" s="294"/>
      <c r="V1012" s="299"/>
      <c r="W1012" s="299"/>
      <c r="X1012" s="294"/>
      <c r="Y1012" s="299"/>
      <c r="Z1012" s="294"/>
      <c r="AA1012" s="299"/>
      <c r="AB1012" s="299"/>
      <c r="AC1012" s="294"/>
      <c r="AD1012" s="294"/>
      <c r="AE1012" s="294"/>
      <c r="AF1012" s="294"/>
    </row>
    <row r="1013" spans="2:32" x14ac:dyDescent="0.25">
      <c r="B1013" s="294"/>
      <c r="C1013" s="294"/>
      <c r="D1013" s="294"/>
      <c r="E1013" s="294"/>
      <c r="F1013" s="294"/>
      <c r="G1013" s="294"/>
      <c r="H1013" s="294"/>
      <c r="I1013" s="294"/>
      <c r="J1013" s="294"/>
      <c r="L1013" s="295"/>
      <c r="M1013" s="294"/>
      <c r="S1013" s="294"/>
      <c r="T1013" s="299"/>
      <c r="U1013" s="294"/>
      <c r="V1013" s="299"/>
      <c r="W1013" s="299"/>
      <c r="X1013" s="294"/>
      <c r="Y1013" s="299"/>
      <c r="Z1013" s="294"/>
      <c r="AA1013" s="299"/>
      <c r="AB1013" s="299"/>
      <c r="AC1013" s="294"/>
      <c r="AD1013" s="294"/>
      <c r="AE1013" s="294"/>
      <c r="AF1013" s="294"/>
    </row>
    <row r="1014" spans="2:32" x14ac:dyDescent="0.25">
      <c r="B1014" s="294"/>
      <c r="C1014" s="294"/>
      <c r="D1014" s="294"/>
      <c r="E1014" s="294"/>
      <c r="F1014" s="294"/>
      <c r="G1014" s="294"/>
      <c r="H1014" s="294"/>
      <c r="I1014" s="294"/>
      <c r="J1014" s="294"/>
      <c r="L1014" s="295"/>
      <c r="M1014" s="294"/>
      <c r="S1014" s="294"/>
      <c r="T1014" s="299"/>
      <c r="U1014" s="294"/>
      <c r="V1014" s="299"/>
      <c r="W1014" s="299"/>
      <c r="X1014" s="294"/>
      <c r="Y1014" s="299"/>
      <c r="Z1014" s="294"/>
      <c r="AA1014" s="299"/>
      <c r="AB1014" s="299"/>
      <c r="AC1014" s="294"/>
      <c r="AD1014" s="294"/>
      <c r="AE1014" s="294"/>
      <c r="AF1014" s="294"/>
    </row>
    <row r="1015" spans="2:32" x14ac:dyDescent="0.25">
      <c r="B1015" s="294"/>
      <c r="C1015" s="294"/>
      <c r="D1015" s="294"/>
      <c r="E1015" s="294"/>
      <c r="F1015" s="294"/>
      <c r="G1015" s="294"/>
      <c r="H1015" s="294"/>
      <c r="I1015" s="294"/>
      <c r="J1015" s="294"/>
      <c r="L1015" s="295"/>
      <c r="M1015" s="294"/>
      <c r="S1015" s="294"/>
      <c r="T1015" s="299"/>
      <c r="U1015" s="294"/>
      <c r="V1015" s="299"/>
      <c r="W1015" s="299"/>
      <c r="X1015" s="294"/>
      <c r="Y1015" s="299"/>
      <c r="Z1015" s="294"/>
      <c r="AA1015" s="299"/>
      <c r="AB1015" s="299"/>
      <c r="AC1015" s="294"/>
      <c r="AD1015" s="294"/>
      <c r="AE1015" s="294"/>
      <c r="AF1015" s="294"/>
    </row>
    <row r="1016" spans="2:32" x14ac:dyDescent="0.25">
      <c r="B1016" s="294"/>
      <c r="C1016" s="294"/>
      <c r="D1016" s="294"/>
      <c r="E1016" s="294"/>
      <c r="F1016" s="294"/>
      <c r="G1016" s="294"/>
      <c r="H1016" s="294"/>
      <c r="I1016" s="294"/>
      <c r="J1016" s="294"/>
      <c r="L1016" s="295"/>
      <c r="M1016" s="294"/>
      <c r="S1016" s="294"/>
      <c r="T1016" s="299"/>
      <c r="U1016" s="294"/>
      <c r="V1016" s="299"/>
      <c r="W1016" s="299"/>
      <c r="X1016" s="294"/>
      <c r="Y1016" s="299"/>
      <c r="Z1016" s="294"/>
      <c r="AA1016" s="299"/>
      <c r="AB1016" s="299"/>
      <c r="AC1016" s="294"/>
      <c r="AD1016" s="294"/>
      <c r="AE1016" s="294"/>
      <c r="AF1016" s="294"/>
    </row>
    <row r="1017" spans="2:32" x14ac:dyDescent="0.25">
      <c r="B1017" s="294"/>
      <c r="C1017" s="294"/>
      <c r="D1017" s="294"/>
      <c r="E1017" s="294"/>
      <c r="F1017" s="294"/>
      <c r="G1017" s="294"/>
      <c r="H1017" s="294"/>
      <c r="I1017" s="294"/>
      <c r="J1017" s="294"/>
      <c r="L1017" s="295"/>
      <c r="M1017" s="294"/>
      <c r="S1017" s="294"/>
      <c r="T1017" s="299"/>
      <c r="U1017" s="294"/>
      <c r="V1017" s="299"/>
      <c r="W1017" s="299"/>
      <c r="X1017" s="294"/>
      <c r="Y1017" s="299"/>
      <c r="Z1017" s="294"/>
      <c r="AA1017" s="299"/>
      <c r="AB1017" s="299"/>
      <c r="AC1017" s="294"/>
      <c r="AD1017" s="294"/>
      <c r="AE1017" s="294"/>
      <c r="AF1017" s="294"/>
    </row>
    <row r="1018" spans="2:32" x14ac:dyDescent="0.25">
      <c r="B1018" s="294"/>
      <c r="C1018" s="294"/>
      <c r="D1018" s="294"/>
      <c r="E1018" s="294"/>
      <c r="F1018" s="294"/>
      <c r="G1018" s="294"/>
      <c r="H1018" s="294"/>
      <c r="I1018" s="294"/>
      <c r="J1018" s="294"/>
      <c r="L1018" s="295"/>
      <c r="M1018" s="294"/>
      <c r="S1018" s="294"/>
      <c r="T1018" s="299"/>
      <c r="U1018" s="294"/>
      <c r="V1018" s="299"/>
      <c r="W1018" s="299"/>
      <c r="X1018" s="294"/>
      <c r="Y1018" s="299"/>
      <c r="Z1018" s="294"/>
      <c r="AA1018" s="299"/>
      <c r="AB1018" s="299"/>
      <c r="AC1018" s="294"/>
      <c r="AD1018" s="294"/>
      <c r="AE1018" s="294"/>
      <c r="AF1018" s="294"/>
    </row>
    <row r="1019" spans="2:32" x14ac:dyDescent="0.25">
      <c r="B1019" s="294"/>
      <c r="C1019" s="294"/>
      <c r="D1019" s="294"/>
      <c r="E1019" s="294"/>
      <c r="F1019" s="294"/>
      <c r="G1019" s="294"/>
      <c r="H1019" s="294"/>
      <c r="I1019" s="294"/>
      <c r="J1019" s="294"/>
      <c r="L1019" s="295"/>
      <c r="M1019" s="294"/>
      <c r="S1019" s="294"/>
      <c r="T1019" s="299"/>
      <c r="U1019" s="294"/>
      <c r="V1019" s="299"/>
      <c r="W1019" s="299"/>
      <c r="X1019" s="294"/>
      <c r="Y1019" s="299"/>
      <c r="Z1019" s="294"/>
      <c r="AA1019" s="299"/>
      <c r="AB1019" s="299"/>
      <c r="AC1019" s="294"/>
      <c r="AD1019" s="294"/>
      <c r="AE1019" s="294"/>
      <c r="AF1019" s="294"/>
    </row>
    <row r="1020" spans="2:32" x14ac:dyDescent="0.25">
      <c r="B1020" s="294"/>
      <c r="C1020" s="294"/>
      <c r="D1020" s="294"/>
      <c r="E1020" s="294"/>
      <c r="F1020" s="294"/>
      <c r="G1020" s="294"/>
      <c r="H1020" s="294"/>
      <c r="I1020" s="294"/>
      <c r="J1020" s="294"/>
      <c r="L1020" s="295"/>
      <c r="M1020" s="294"/>
      <c r="S1020" s="294"/>
      <c r="T1020" s="299"/>
      <c r="U1020" s="294"/>
      <c r="V1020" s="299"/>
      <c r="W1020" s="299"/>
      <c r="X1020" s="294"/>
      <c r="Y1020" s="299"/>
      <c r="Z1020" s="294"/>
      <c r="AA1020" s="299"/>
      <c r="AB1020" s="299"/>
      <c r="AC1020" s="294"/>
      <c r="AD1020" s="294"/>
      <c r="AE1020" s="294"/>
      <c r="AF1020" s="294"/>
    </row>
    <row r="1021" spans="2:32" x14ac:dyDescent="0.25">
      <c r="B1021" s="294"/>
      <c r="C1021" s="294"/>
      <c r="D1021" s="294"/>
      <c r="E1021" s="294"/>
      <c r="F1021" s="294"/>
      <c r="G1021" s="294"/>
      <c r="H1021" s="294"/>
      <c r="I1021" s="294"/>
      <c r="J1021" s="294"/>
      <c r="L1021" s="295"/>
      <c r="M1021" s="294"/>
      <c r="S1021" s="294"/>
      <c r="T1021" s="299"/>
      <c r="U1021" s="294"/>
      <c r="V1021" s="299"/>
      <c r="W1021" s="299"/>
      <c r="X1021" s="294"/>
      <c r="Y1021" s="299"/>
      <c r="Z1021" s="294"/>
      <c r="AA1021" s="299"/>
      <c r="AB1021" s="299"/>
      <c r="AC1021" s="294"/>
      <c r="AD1021" s="294"/>
      <c r="AE1021" s="294"/>
      <c r="AF1021" s="294"/>
    </row>
    <row r="1022" spans="2:32" x14ac:dyDescent="0.25">
      <c r="B1022" s="294"/>
      <c r="C1022" s="294"/>
      <c r="D1022" s="294"/>
      <c r="E1022" s="294"/>
      <c r="F1022" s="294"/>
      <c r="G1022" s="294"/>
      <c r="H1022" s="294"/>
      <c r="I1022" s="294"/>
      <c r="J1022" s="294"/>
      <c r="L1022" s="295"/>
      <c r="M1022" s="294"/>
      <c r="S1022" s="294"/>
      <c r="T1022" s="299"/>
      <c r="U1022" s="294"/>
      <c r="V1022" s="299"/>
      <c r="W1022" s="299"/>
      <c r="X1022" s="294"/>
      <c r="Y1022" s="299"/>
      <c r="Z1022" s="294"/>
      <c r="AA1022" s="299"/>
      <c r="AB1022" s="299"/>
      <c r="AC1022" s="294"/>
      <c r="AD1022" s="294"/>
      <c r="AE1022" s="294"/>
      <c r="AF1022" s="294"/>
    </row>
    <row r="1023" spans="2:32" x14ac:dyDescent="0.25">
      <c r="B1023" s="294"/>
      <c r="C1023" s="294"/>
      <c r="D1023" s="294"/>
      <c r="E1023" s="294"/>
      <c r="F1023" s="294"/>
      <c r="G1023" s="294"/>
      <c r="H1023" s="294"/>
      <c r="I1023" s="294"/>
      <c r="J1023" s="294"/>
      <c r="L1023" s="295"/>
      <c r="M1023" s="294"/>
      <c r="S1023" s="294"/>
      <c r="T1023" s="299"/>
      <c r="U1023" s="294"/>
      <c r="V1023" s="299"/>
      <c r="W1023" s="299"/>
      <c r="X1023" s="294"/>
      <c r="Y1023" s="299"/>
      <c r="Z1023" s="294"/>
      <c r="AA1023" s="299"/>
      <c r="AB1023" s="299"/>
      <c r="AC1023" s="294"/>
      <c r="AD1023" s="294"/>
      <c r="AE1023" s="294"/>
      <c r="AF1023" s="294"/>
    </row>
    <row r="1024" spans="2:32" x14ac:dyDescent="0.25">
      <c r="B1024" s="294"/>
      <c r="C1024" s="294"/>
      <c r="D1024" s="294"/>
      <c r="E1024" s="294"/>
      <c r="F1024" s="294"/>
      <c r="G1024" s="294"/>
      <c r="H1024" s="294"/>
      <c r="I1024" s="294"/>
      <c r="J1024" s="294"/>
      <c r="L1024" s="295"/>
      <c r="M1024" s="294"/>
      <c r="S1024" s="294"/>
      <c r="T1024" s="299"/>
      <c r="U1024" s="294"/>
      <c r="V1024" s="299"/>
      <c r="W1024" s="299"/>
      <c r="X1024" s="294"/>
      <c r="Y1024" s="299"/>
      <c r="Z1024" s="294"/>
      <c r="AA1024" s="299"/>
      <c r="AB1024" s="299"/>
      <c r="AC1024" s="294"/>
      <c r="AD1024" s="294"/>
      <c r="AE1024" s="294"/>
      <c r="AF1024" s="294"/>
    </row>
    <row r="1025" spans="2:32" x14ac:dyDescent="0.25">
      <c r="B1025" s="294"/>
      <c r="C1025" s="294"/>
      <c r="D1025" s="294"/>
      <c r="E1025" s="294"/>
      <c r="F1025" s="294"/>
      <c r="G1025" s="294"/>
      <c r="H1025" s="294"/>
      <c r="I1025" s="294"/>
      <c r="J1025" s="294"/>
      <c r="L1025" s="295"/>
      <c r="M1025" s="294"/>
      <c r="S1025" s="294"/>
      <c r="T1025" s="299"/>
      <c r="U1025" s="294"/>
      <c r="V1025" s="299"/>
      <c r="W1025" s="299"/>
      <c r="X1025" s="294"/>
      <c r="Y1025" s="299"/>
      <c r="Z1025" s="294"/>
      <c r="AA1025" s="299"/>
      <c r="AB1025" s="299"/>
      <c r="AC1025" s="294"/>
      <c r="AD1025" s="294"/>
      <c r="AE1025" s="294"/>
      <c r="AF1025" s="294"/>
    </row>
    <row r="1026" spans="2:32" x14ac:dyDescent="0.25">
      <c r="B1026" s="294"/>
      <c r="C1026" s="294"/>
      <c r="D1026" s="294"/>
      <c r="E1026" s="294"/>
      <c r="F1026" s="294"/>
      <c r="G1026" s="294"/>
      <c r="H1026" s="294"/>
      <c r="I1026" s="294"/>
      <c r="J1026" s="294"/>
      <c r="L1026" s="295"/>
      <c r="M1026" s="294"/>
      <c r="S1026" s="294"/>
      <c r="T1026" s="299"/>
      <c r="U1026" s="294"/>
      <c r="V1026" s="299"/>
      <c r="W1026" s="299"/>
      <c r="X1026" s="294"/>
      <c r="Y1026" s="299"/>
      <c r="Z1026" s="294"/>
      <c r="AA1026" s="299"/>
      <c r="AB1026" s="299"/>
      <c r="AC1026" s="294"/>
      <c r="AD1026" s="294"/>
      <c r="AE1026" s="294"/>
      <c r="AF1026" s="294"/>
    </row>
    <row r="1027" spans="2:32" x14ac:dyDescent="0.25">
      <c r="B1027" s="294"/>
      <c r="C1027" s="294"/>
      <c r="D1027" s="294"/>
      <c r="E1027" s="294"/>
      <c r="F1027" s="294"/>
      <c r="G1027" s="294"/>
      <c r="H1027" s="294"/>
      <c r="I1027" s="294"/>
      <c r="J1027" s="294"/>
      <c r="L1027" s="295"/>
      <c r="M1027" s="294"/>
      <c r="S1027" s="294"/>
      <c r="T1027" s="299"/>
      <c r="U1027" s="294"/>
      <c r="V1027" s="299"/>
      <c r="W1027" s="299"/>
      <c r="X1027" s="294"/>
      <c r="Y1027" s="299"/>
      <c r="Z1027" s="294"/>
      <c r="AA1027" s="299"/>
      <c r="AB1027" s="299"/>
      <c r="AC1027" s="294"/>
      <c r="AD1027" s="294"/>
      <c r="AE1027" s="294"/>
      <c r="AF1027" s="294"/>
    </row>
    <row r="1028" spans="2:32" x14ac:dyDescent="0.25">
      <c r="B1028" s="294"/>
      <c r="C1028" s="294"/>
      <c r="D1028" s="294"/>
      <c r="E1028" s="294"/>
      <c r="F1028" s="294"/>
      <c r="G1028" s="294"/>
      <c r="H1028" s="294"/>
      <c r="I1028" s="294"/>
      <c r="J1028" s="294"/>
      <c r="L1028" s="295"/>
      <c r="M1028" s="294"/>
      <c r="S1028" s="294"/>
      <c r="T1028" s="299"/>
      <c r="U1028" s="294"/>
      <c r="V1028" s="299"/>
      <c r="W1028" s="299"/>
      <c r="X1028" s="294"/>
      <c r="Y1028" s="299"/>
      <c r="Z1028" s="294"/>
      <c r="AA1028" s="299"/>
      <c r="AB1028" s="299"/>
      <c r="AC1028" s="294"/>
      <c r="AD1028" s="294"/>
      <c r="AE1028" s="294"/>
      <c r="AF1028" s="294"/>
    </row>
    <row r="1029" spans="2:32" x14ac:dyDescent="0.25">
      <c r="B1029" s="294"/>
      <c r="C1029" s="294"/>
      <c r="D1029" s="294"/>
      <c r="E1029" s="294"/>
      <c r="F1029" s="294"/>
      <c r="G1029" s="294"/>
      <c r="H1029" s="294"/>
      <c r="I1029" s="294"/>
      <c r="J1029" s="294"/>
      <c r="L1029" s="295"/>
      <c r="M1029" s="294"/>
      <c r="S1029" s="294"/>
      <c r="T1029" s="299"/>
      <c r="U1029" s="294"/>
      <c r="V1029" s="299"/>
      <c r="W1029" s="299"/>
      <c r="X1029" s="294"/>
      <c r="Y1029" s="299"/>
      <c r="Z1029" s="294"/>
      <c r="AA1029" s="299"/>
      <c r="AB1029" s="299"/>
      <c r="AC1029" s="294"/>
      <c r="AD1029" s="294"/>
      <c r="AE1029" s="294"/>
      <c r="AF1029" s="294"/>
    </row>
    <row r="1030" spans="2:32" x14ac:dyDescent="0.25">
      <c r="B1030" s="294"/>
      <c r="C1030" s="294"/>
      <c r="D1030" s="294"/>
      <c r="E1030" s="294"/>
      <c r="F1030" s="294"/>
      <c r="G1030" s="294"/>
      <c r="H1030" s="294"/>
      <c r="I1030" s="294"/>
      <c r="J1030" s="294"/>
      <c r="L1030" s="295"/>
      <c r="M1030" s="294"/>
      <c r="S1030" s="294"/>
      <c r="T1030" s="299"/>
      <c r="U1030" s="294"/>
      <c r="V1030" s="299"/>
      <c r="W1030" s="299"/>
      <c r="X1030" s="294"/>
      <c r="Y1030" s="299"/>
      <c r="Z1030" s="294"/>
      <c r="AA1030" s="299"/>
      <c r="AB1030" s="299"/>
      <c r="AC1030" s="294"/>
      <c r="AD1030" s="294"/>
      <c r="AE1030" s="294"/>
      <c r="AF1030" s="294"/>
    </row>
    <row r="1031" spans="2:32" x14ac:dyDescent="0.25">
      <c r="B1031" s="294"/>
      <c r="C1031" s="294"/>
      <c r="D1031" s="294"/>
      <c r="E1031" s="294"/>
      <c r="F1031" s="294"/>
      <c r="G1031" s="294"/>
      <c r="H1031" s="294"/>
      <c r="I1031" s="294"/>
      <c r="J1031" s="294"/>
      <c r="L1031" s="295"/>
      <c r="M1031" s="294"/>
      <c r="S1031" s="294"/>
      <c r="T1031" s="299"/>
      <c r="U1031" s="294"/>
      <c r="V1031" s="299"/>
      <c r="W1031" s="299"/>
      <c r="X1031" s="294"/>
      <c r="Y1031" s="299"/>
      <c r="Z1031" s="294"/>
      <c r="AA1031" s="299"/>
      <c r="AB1031" s="299"/>
      <c r="AC1031" s="294"/>
      <c r="AD1031" s="294"/>
      <c r="AE1031" s="294"/>
      <c r="AF1031" s="294"/>
    </row>
    <row r="1032" spans="2:32" x14ac:dyDescent="0.25">
      <c r="B1032" s="294"/>
      <c r="C1032" s="294"/>
      <c r="D1032" s="294"/>
      <c r="E1032" s="294"/>
      <c r="F1032" s="294"/>
      <c r="G1032" s="294"/>
      <c r="H1032" s="294"/>
      <c r="I1032" s="294"/>
      <c r="J1032" s="294"/>
      <c r="L1032" s="295"/>
      <c r="M1032" s="294"/>
      <c r="S1032" s="294"/>
      <c r="T1032" s="299"/>
      <c r="U1032" s="294"/>
      <c r="V1032" s="299"/>
      <c r="W1032" s="299"/>
      <c r="X1032" s="294"/>
      <c r="Y1032" s="299"/>
      <c r="Z1032" s="294"/>
      <c r="AA1032" s="299"/>
      <c r="AB1032" s="299"/>
      <c r="AC1032" s="294"/>
      <c r="AD1032" s="294"/>
      <c r="AE1032" s="294"/>
      <c r="AF1032" s="294"/>
    </row>
    <row r="1033" spans="2:32" x14ac:dyDescent="0.25">
      <c r="B1033" s="294"/>
      <c r="C1033" s="294"/>
      <c r="D1033" s="294"/>
      <c r="E1033" s="294"/>
      <c r="F1033" s="294"/>
      <c r="G1033" s="294"/>
      <c r="H1033" s="294"/>
      <c r="I1033" s="294"/>
      <c r="J1033" s="294"/>
      <c r="L1033" s="295"/>
      <c r="M1033" s="294"/>
      <c r="S1033" s="294"/>
      <c r="T1033" s="299"/>
      <c r="U1033" s="294"/>
      <c r="V1033" s="299"/>
      <c r="W1033" s="299"/>
      <c r="X1033" s="294"/>
      <c r="Y1033" s="299"/>
      <c r="Z1033" s="294"/>
      <c r="AA1033" s="299"/>
      <c r="AB1033" s="299"/>
      <c r="AC1033" s="294"/>
      <c r="AD1033" s="294"/>
      <c r="AE1033" s="294"/>
      <c r="AF1033" s="294"/>
    </row>
    <row r="1034" spans="2:32" x14ac:dyDescent="0.25">
      <c r="B1034" s="294"/>
      <c r="C1034" s="294"/>
      <c r="D1034" s="294"/>
      <c r="E1034" s="294"/>
      <c r="F1034" s="294"/>
      <c r="G1034" s="294"/>
      <c r="H1034" s="294"/>
      <c r="I1034" s="294"/>
      <c r="J1034" s="294"/>
      <c r="L1034" s="295"/>
      <c r="M1034" s="294"/>
      <c r="S1034" s="294"/>
      <c r="T1034" s="299"/>
      <c r="U1034" s="294"/>
      <c r="V1034" s="299"/>
      <c r="W1034" s="299"/>
      <c r="X1034" s="294"/>
      <c r="Y1034" s="299"/>
      <c r="Z1034" s="294"/>
      <c r="AA1034" s="299"/>
      <c r="AB1034" s="299"/>
      <c r="AC1034" s="294"/>
      <c r="AD1034" s="294"/>
      <c r="AE1034" s="294"/>
      <c r="AF1034" s="294"/>
    </row>
    <row r="1035" spans="2:32" x14ac:dyDescent="0.25">
      <c r="B1035" s="294"/>
      <c r="C1035" s="294"/>
      <c r="D1035" s="294"/>
      <c r="E1035" s="294"/>
      <c r="F1035" s="294"/>
      <c r="G1035" s="294"/>
      <c r="H1035" s="294"/>
      <c r="I1035" s="294"/>
      <c r="J1035" s="294"/>
      <c r="L1035" s="295"/>
      <c r="M1035" s="294"/>
      <c r="S1035" s="294"/>
      <c r="T1035" s="299"/>
      <c r="U1035" s="294"/>
      <c r="V1035" s="299"/>
      <c r="W1035" s="299"/>
      <c r="X1035" s="294"/>
      <c r="Y1035" s="299"/>
      <c r="Z1035" s="294"/>
      <c r="AA1035" s="299"/>
      <c r="AB1035" s="299"/>
      <c r="AC1035" s="294"/>
      <c r="AD1035" s="294"/>
      <c r="AE1035" s="294"/>
      <c r="AF1035" s="294"/>
    </row>
    <row r="1036" spans="2:32" x14ac:dyDescent="0.25">
      <c r="B1036" s="294"/>
      <c r="C1036" s="294"/>
      <c r="D1036" s="294"/>
      <c r="E1036" s="294"/>
      <c r="F1036" s="294"/>
      <c r="G1036" s="294"/>
      <c r="H1036" s="294"/>
      <c r="I1036" s="294"/>
      <c r="J1036" s="294"/>
      <c r="L1036" s="295"/>
      <c r="M1036" s="294"/>
      <c r="S1036" s="294"/>
      <c r="T1036" s="299"/>
      <c r="U1036" s="294"/>
      <c r="V1036" s="299"/>
      <c r="W1036" s="299"/>
      <c r="X1036" s="294"/>
      <c r="Y1036" s="299"/>
      <c r="Z1036" s="294"/>
      <c r="AA1036" s="299"/>
      <c r="AB1036" s="299"/>
      <c r="AC1036" s="294"/>
      <c r="AD1036" s="294"/>
      <c r="AE1036" s="294"/>
      <c r="AF1036" s="294"/>
    </row>
    <row r="1037" spans="2:32" x14ac:dyDescent="0.25">
      <c r="B1037" s="294"/>
      <c r="C1037" s="294"/>
      <c r="D1037" s="294"/>
      <c r="E1037" s="294"/>
      <c r="F1037" s="294"/>
      <c r="G1037" s="294"/>
      <c r="H1037" s="294"/>
      <c r="I1037" s="294"/>
      <c r="J1037" s="294"/>
      <c r="L1037" s="295"/>
      <c r="M1037" s="294"/>
      <c r="S1037" s="294"/>
      <c r="T1037" s="299"/>
      <c r="U1037" s="294"/>
      <c r="V1037" s="299"/>
      <c r="W1037" s="299"/>
      <c r="X1037" s="294"/>
      <c r="Y1037" s="299"/>
      <c r="Z1037" s="294"/>
      <c r="AA1037" s="299"/>
      <c r="AB1037" s="299"/>
      <c r="AC1037" s="294"/>
      <c r="AD1037" s="294"/>
      <c r="AE1037" s="294"/>
      <c r="AF1037" s="294"/>
    </row>
    <row r="1038" spans="2:32" x14ac:dyDescent="0.25">
      <c r="B1038" s="294"/>
      <c r="C1038" s="294"/>
      <c r="D1038" s="294"/>
      <c r="E1038" s="294"/>
      <c r="F1038" s="294"/>
      <c r="G1038" s="294"/>
      <c r="H1038" s="294"/>
      <c r="I1038" s="294"/>
      <c r="J1038" s="294"/>
      <c r="L1038" s="295"/>
      <c r="M1038" s="294"/>
      <c r="S1038" s="294"/>
      <c r="T1038" s="299"/>
      <c r="U1038" s="294"/>
      <c r="V1038" s="299"/>
      <c r="W1038" s="299"/>
      <c r="X1038" s="294"/>
      <c r="Y1038" s="299"/>
      <c r="Z1038" s="294"/>
      <c r="AA1038" s="299"/>
      <c r="AB1038" s="299"/>
      <c r="AC1038" s="294"/>
      <c r="AD1038" s="294"/>
      <c r="AE1038" s="294"/>
      <c r="AF1038" s="294"/>
    </row>
    <row r="1039" spans="2:32" x14ac:dyDescent="0.25">
      <c r="B1039" s="294"/>
      <c r="C1039" s="294"/>
      <c r="D1039" s="294"/>
      <c r="E1039" s="294"/>
      <c r="F1039" s="294"/>
      <c r="G1039" s="294"/>
      <c r="H1039" s="294"/>
      <c r="I1039" s="294"/>
      <c r="J1039" s="294"/>
      <c r="L1039" s="295"/>
      <c r="M1039" s="294"/>
      <c r="S1039" s="294"/>
      <c r="T1039" s="299"/>
      <c r="U1039" s="294"/>
      <c r="V1039" s="299"/>
      <c r="W1039" s="299"/>
      <c r="X1039" s="294"/>
      <c r="Y1039" s="299"/>
      <c r="Z1039" s="294"/>
      <c r="AA1039" s="299"/>
      <c r="AB1039" s="299"/>
      <c r="AC1039" s="294"/>
      <c r="AD1039" s="294"/>
      <c r="AE1039" s="294"/>
      <c r="AF1039" s="294"/>
    </row>
    <row r="1040" spans="2:32" x14ac:dyDescent="0.25">
      <c r="B1040" s="294"/>
      <c r="C1040" s="294"/>
      <c r="D1040" s="294"/>
      <c r="E1040" s="294"/>
      <c r="F1040" s="294"/>
      <c r="G1040" s="294"/>
      <c r="H1040" s="294"/>
      <c r="I1040" s="294"/>
      <c r="J1040" s="294"/>
      <c r="L1040" s="295"/>
      <c r="M1040" s="294"/>
      <c r="S1040" s="294"/>
      <c r="T1040" s="299"/>
      <c r="U1040" s="294"/>
      <c r="V1040" s="299"/>
      <c r="W1040" s="299"/>
      <c r="X1040" s="294"/>
      <c r="Y1040" s="299"/>
      <c r="Z1040" s="294"/>
      <c r="AA1040" s="299"/>
      <c r="AB1040" s="299"/>
      <c r="AC1040" s="294"/>
      <c r="AD1040" s="294"/>
      <c r="AE1040" s="294"/>
      <c r="AF1040" s="294"/>
    </row>
    <row r="1041" spans="2:32" x14ac:dyDescent="0.25">
      <c r="B1041" s="294"/>
      <c r="C1041" s="294"/>
      <c r="D1041" s="294"/>
      <c r="E1041" s="294"/>
      <c r="F1041" s="294"/>
      <c r="G1041" s="294"/>
      <c r="H1041" s="294"/>
      <c r="I1041" s="294"/>
      <c r="J1041" s="294"/>
      <c r="L1041" s="295"/>
      <c r="M1041" s="294"/>
      <c r="S1041" s="294"/>
      <c r="T1041" s="299"/>
      <c r="U1041" s="294"/>
      <c r="V1041" s="299"/>
      <c r="W1041" s="299"/>
      <c r="X1041" s="294"/>
      <c r="Y1041" s="299"/>
      <c r="Z1041" s="294"/>
      <c r="AA1041" s="299"/>
      <c r="AB1041" s="299"/>
      <c r="AC1041" s="294"/>
      <c r="AD1041" s="294"/>
      <c r="AE1041" s="294"/>
      <c r="AF1041" s="294"/>
    </row>
    <row r="1042" spans="2:32" x14ac:dyDescent="0.25">
      <c r="B1042" s="294"/>
      <c r="C1042" s="294"/>
      <c r="D1042" s="294"/>
      <c r="E1042" s="294"/>
      <c r="F1042" s="294"/>
      <c r="G1042" s="294"/>
      <c r="H1042" s="294"/>
      <c r="I1042" s="294"/>
      <c r="J1042" s="294"/>
      <c r="L1042" s="295"/>
      <c r="M1042" s="294"/>
      <c r="S1042" s="294"/>
      <c r="T1042" s="299"/>
      <c r="U1042" s="294"/>
      <c r="V1042" s="299"/>
      <c r="W1042" s="299"/>
      <c r="X1042" s="294"/>
      <c r="Y1042" s="299"/>
      <c r="Z1042" s="294"/>
      <c r="AA1042" s="299"/>
      <c r="AB1042" s="299"/>
      <c r="AC1042" s="294"/>
      <c r="AD1042" s="294"/>
      <c r="AE1042" s="294"/>
      <c r="AF1042" s="294"/>
    </row>
    <row r="1043" spans="2:32" x14ac:dyDescent="0.25">
      <c r="B1043" s="294"/>
      <c r="C1043" s="294"/>
      <c r="D1043" s="294"/>
      <c r="E1043" s="294"/>
      <c r="F1043" s="294"/>
      <c r="G1043" s="294"/>
      <c r="H1043" s="294"/>
      <c r="I1043" s="294"/>
      <c r="J1043" s="294"/>
      <c r="L1043" s="295"/>
      <c r="M1043" s="294"/>
      <c r="S1043" s="294"/>
      <c r="T1043" s="299"/>
      <c r="U1043" s="294"/>
      <c r="V1043" s="299"/>
      <c r="W1043" s="299"/>
      <c r="X1043" s="294"/>
      <c r="Y1043" s="299"/>
      <c r="Z1043" s="294"/>
      <c r="AA1043" s="299"/>
      <c r="AB1043" s="299"/>
      <c r="AC1043" s="294"/>
      <c r="AD1043" s="294"/>
      <c r="AE1043" s="294"/>
      <c r="AF1043" s="294"/>
    </row>
    <row r="1044" spans="2:32" x14ac:dyDescent="0.25">
      <c r="B1044" s="294"/>
      <c r="C1044" s="294"/>
      <c r="D1044" s="294"/>
      <c r="E1044" s="294"/>
      <c r="F1044" s="294"/>
      <c r="G1044" s="294"/>
      <c r="H1044" s="294"/>
      <c r="I1044" s="294"/>
      <c r="J1044" s="294"/>
      <c r="L1044" s="295"/>
      <c r="M1044" s="294"/>
      <c r="S1044" s="294"/>
      <c r="T1044" s="299"/>
      <c r="U1044" s="294"/>
      <c r="V1044" s="299"/>
      <c r="W1044" s="299"/>
      <c r="X1044" s="294"/>
      <c r="Y1044" s="299"/>
      <c r="Z1044" s="294"/>
      <c r="AA1044" s="299"/>
      <c r="AB1044" s="299"/>
      <c r="AC1044" s="294"/>
      <c r="AD1044" s="294"/>
      <c r="AE1044" s="294"/>
      <c r="AF1044" s="294"/>
    </row>
    <row r="1045" spans="2:32" x14ac:dyDescent="0.25">
      <c r="B1045" s="294"/>
      <c r="C1045" s="294"/>
      <c r="D1045" s="294"/>
      <c r="E1045" s="294"/>
      <c r="F1045" s="294"/>
      <c r="G1045" s="294"/>
      <c r="H1045" s="294"/>
      <c r="I1045" s="294"/>
      <c r="J1045" s="294"/>
      <c r="L1045" s="295"/>
      <c r="M1045" s="294"/>
      <c r="S1045" s="294"/>
      <c r="T1045" s="299"/>
      <c r="U1045" s="294"/>
      <c r="V1045" s="299"/>
      <c r="W1045" s="299"/>
      <c r="X1045" s="294"/>
      <c r="Y1045" s="299"/>
      <c r="Z1045" s="294"/>
      <c r="AA1045" s="299"/>
      <c r="AB1045" s="299"/>
      <c r="AC1045" s="294"/>
      <c r="AD1045" s="294"/>
      <c r="AE1045" s="294"/>
      <c r="AF1045" s="294"/>
    </row>
    <row r="1046" spans="2:32" x14ac:dyDescent="0.25">
      <c r="B1046" s="294"/>
      <c r="C1046" s="294"/>
      <c r="D1046" s="294"/>
      <c r="E1046" s="294"/>
      <c r="F1046" s="294"/>
      <c r="G1046" s="294"/>
      <c r="H1046" s="294"/>
      <c r="I1046" s="294"/>
      <c r="J1046" s="294"/>
      <c r="L1046" s="295"/>
      <c r="M1046" s="294"/>
      <c r="S1046" s="294"/>
      <c r="T1046" s="299"/>
      <c r="U1046" s="294"/>
      <c r="V1046" s="299"/>
      <c r="W1046" s="299"/>
      <c r="X1046" s="294"/>
      <c r="Y1046" s="299"/>
      <c r="Z1046" s="294"/>
      <c r="AA1046" s="299"/>
      <c r="AB1046" s="299"/>
      <c r="AC1046" s="294"/>
      <c r="AD1046" s="294"/>
      <c r="AE1046" s="294"/>
      <c r="AF1046" s="294"/>
    </row>
    <row r="1047" spans="2:32" x14ac:dyDescent="0.25">
      <c r="B1047" s="294"/>
      <c r="C1047" s="294"/>
      <c r="D1047" s="294"/>
      <c r="E1047" s="294"/>
      <c r="F1047" s="294"/>
      <c r="G1047" s="294"/>
      <c r="H1047" s="294"/>
      <c r="I1047" s="294"/>
      <c r="J1047" s="294"/>
      <c r="L1047" s="295"/>
      <c r="M1047" s="294"/>
      <c r="S1047" s="294"/>
      <c r="T1047" s="299"/>
      <c r="U1047" s="294"/>
      <c r="V1047" s="299"/>
      <c r="W1047" s="299"/>
      <c r="X1047" s="294"/>
      <c r="Y1047" s="299"/>
      <c r="Z1047" s="294"/>
      <c r="AA1047" s="299"/>
      <c r="AB1047" s="299"/>
      <c r="AC1047" s="294"/>
      <c r="AD1047" s="294"/>
      <c r="AE1047" s="294"/>
      <c r="AF1047" s="294"/>
    </row>
    <row r="1048" spans="2:32" x14ac:dyDescent="0.25">
      <c r="B1048" s="294"/>
      <c r="C1048" s="294"/>
      <c r="D1048" s="294"/>
      <c r="E1048" s="294"/>
      <c r="F1048" s="294"/>
      <c r="G1048" s="294"/>
      <c r="H1048" s="294"/>
      <c r="I1048" s="294"/>
      <c r="J1048" s="294"/>
      <c r="L1048" s="295"/>
      <c r="M1048" s="294"/>
      <c r="S1048" s="294"/>
      <c r="T1048" s="299"/>
      <c r="U1048" s="294"/>
      <c r="V1048" s="299"/>
      <c r="W1048" s="299"/>
      <c r="X1048" s="294"/>
      <c r="Y1048" s="299"/>
      <c r="Z1048" s="294"/>
      <c r="AA1048" s="299"/>
      <c r="AB1048" s="299"/>
      <c r="AC1048" s="294"/>
      <c r="AD1048" s="294"/>
      <c r="AE1048" s="294"/>
      <c r="AF1048" s="294"/>
    </row>
    <row r="1049" spans="2:32" x14ac:dyDescent="0.25">
      <c r="B1049" s="294"/>
      <c r="C1049" s="294"/>
      <c r="D1049" s="294"/>
      <c r="E1049" s="294"/>
      <c r="F1049" s="294"/>
      <c r="G1049" s="294"/>
      <c r="H1049" s="294"/>
      <c r="I1049" s="294"/>
      <c r="J1049" s="294"/>
      <c r="L1049" s="295"/>
      <c r="M1049" s="294"/>
      <c r="S1049" s="294"/>
      <c r="T1049" s="299"/>
      <c r="U1049" s="294"/>
      <c r="V1049" s="299"/>
      <c r="W1049" s="299"/>
      <c r="X1049" s="294"/>
      <c r="Y1049" s="299"/>
      <c r="Z1049" s="294"/>
      <c r="AA1049" s="299"/>
      <c r="AB1049" s="299"/>
      <c r="AC1049" s="294"/>
      <c r="AD1049" s="294"/>
      <c r="AE1049" s="294"/>
      <c r="AF1049" s="294"/>
    </row>
    <row r="1050" spans="2:32" x14ac:dyDescent="0.25">
      <c r="B1050" s="294"/>
      <c r="C1050" s="294"/>
      <c r="D1050" s="294"/>
      <c r="E1050" s="294"/>
      <c r="F1050" s="294"/>
      <c r="G1050" s="294"/>
      <c r="H1050" s="294"/>
      <c r="I1050" s="294"/>
      <c r="J1050" s="294"/>
      <c r="L1050" s="295"/>
      <c r="M1050" s="294"/>
      <c r="S1050" s="294"/>
      <c r="T1050" s="299"/>
      <c r="U1050" s="294"/>
      <c r="V1050" s="299"/>
      <c r="W1050" s="299"/>
      <c r="X1050" s="294"/>
      <c r="Y1050" s="299"/>
      <c r="Z1050" s="294"/>
      <c r="AA1050" s="299"/>
      <c r="AB1050" s="299"/>
      <c r="AC1050" s="294"/>
      <c r="AD1050" s="294"/>
      <c r="AE1050" s="294"/>
      <c r="AF1050" s="294"/>
    </row>
    <row r="1051" spans="2:32" x14ac:dyDescent="0.25">
      <c r="B1051" s="294"/>
      <c r="C1051" s="294"/>
      <c r="D1051" s="294"/>
      <c r="E1051" s="294"/>
      <c r="F1051" s="294"/>
      <c r="G1051" s="294"/>
      <c r="H1051" s="294"/>
      <c r="I1051" s="294"/>
      <c r="J1051" s="294"/>
      <c r="L1051" s="295"/>
      <c r="M1051" s="294"/>
      <c r="S1051" s="294"/>
      <c r="T1051" s="299"/>
      <c r="U1051" s="294"/>
      <c r="V1051" s="299"/>
      <c r="W1051" s="299"/>
      <c r="X1051" s="294"/>
      <c r="Y1051" s="299"/>
      <c r="Z1051" s="294"/>
      <c r="AA1051" s="299"/>
      <c r="AB1051" s="299"/>
      <c r="AC1051" s="294"/>
      <c r="AD1051" s="294"/>
      <c r="AE1051" s="294"/>
      <c r="AF1051" s="294"/>
    </row>
    <row r="1052" spans="2:32" x14ac:dyDescent="0.25">
      <c r="B1052" s="294"/>
      <c r="C1052" s="294"/>
      <c r="D1052" s="294"/>
      <c r="E1052" s="294"/>
      <c r="F1052" s="294"/>
      <c r="G1052" s="294"/>
      <c r="H1052" s="294"/>
      <c r="I1052" s="294"/>
      <c r="J1052" s="294"/>
      <c r="L1052" s="295"/>
      <c r="M1052" s="294"/>
      <c r="S1052" s="294"/>
      <c r="T1052" s="299"/>
      <c r="U1052" s="294"/>
      <c r="V1052" s="299"/>
      <c r="W1052" s="299"/>
      <c r="X1052" s="294"/>
      <c r="Y1052" s="299"/>
      <c r="Z1052" s="294"/>
      <c r="AA1052" s="299"/>
      <c r="AB1052" s="299"/>
      <c r="AC1052" s="294"/>
      <c r="AD1052" s="294"/>
      <c r="AE1052" s="294"/>
      <c r="AF1052" s="294"/>
    </row>
    <row r="1053" spans="2:32" x14ac:dyDescent="0.25">
      <c r="B1053" s="294"/>
      <c r="C1053" s="294"/>
      <c r="D1053" s="294"/>
      <c r="E1053" s="294"/>
      <c r="F1053" s="294"/>
      <c r="G1053" s="294"/>
      <c r="H1053" s="294"/>
      <c r="I1053" s="294"/>
      <c r="J1053" s="294"/>
      <c r="L1053" s="295"/>
      <c r="M1053" s="294"/>
      <c r="S1053" s="294"/>
      <c r="T1053" s="299"/>
      <c r="U1053" s="294"/>
      <c r="V1053" s="299"/>
      <c r="W1053" s="299"/>
      <c r="X1053" s="294"/>
      <c r="Y1053" s="299"/>
      <c r="Z1053" s="294"/>
      <c r="AA1053" s="299"/>
      <c r="AB1053" s="299"/>
      <c r="AC1053" s="294"/>
      <c r="AD1053" s="294"/>
      <c r="AE1053" s="294"/>
      <c r="AF1053" s="294"/>
    </row>
    <row r="1054" spans="2:32" x14ac:dyDescent="0.25">
      <c r="B1054" s="294"/>
      <c r="C1054" s="294"/>
      <c r="D1054" s="294"/>
      <c r="E1054" s="294"/>
      <c r="F1054" s="294"/>
      <c r="G1054" s="294"/>
      <c r="H1054" s="294"/>
      <c r="I1054" s="294"/>
      <c r="J1054" s="294"/>
      <c r="L1054" s="295"/>
      <c r="M1054" s="294"/>
      <c r="S1054" s="294"/>
      <c r="T1054" s="299"/>
      <c r="U1054" s="294"/>
      <c r="V1054" s="299"/>
      <c r="W1054" s="299"/>
      <c r="X1054" s="294"/>
      <c r="Y1054" s="299"/>
      <c r="Z1054" s="294"/>
      <c r="AA1054" s="299"/>
      <c r="AB1054" s="299"/>
      <c r="AC1054" s="294"/>
      <c r="AD1054" s="294"/>
      <c r="AE1054" s="294"/>
      <c r="AF1054" s="294"/>
    </row>
    <row r="1055" spans="2:32" x14ac:dyDescent="0.25">
      <c r="B1055" s="294"/>
      <c r="C1055" s="294"/>
      <c r="D1055" s="294"/>
      <c r="E1055" s="294"/>
      <c r="F1055" s="294"/>
      <c r="G1055" s="294"/>
      <c r="H1055" s="294"/>
      <c r="I1055" s="294"/>
      <c r="J1055" s="294"/>
      <c r="L1055" s="295"/>
      <c r="M1055" s="294"/>
      <c r="S1055" s="294"/>
      <c r="T1055" s="299"/>
      <c r="U1055" s="294"/>
      <c r="V1055" s="299"/>
      <c r="W1055" s="299"/>
      <c r="X1055" s="294"/>
      <c r="Y1055" s="299"/>
      <c r="Z1055" s="294"/>
      <c r="AA1055" s="299"/>
      <c r="AB1055" s="299"/>
      <c r="AC1055" s="294"/>
      <c r="AD1055" s="294"/>
      <c r="AE1055" s="294"/>
      <c r="AF1055" s="294"/>
    </row>
    <row r="1056" spans="2:32" x14ac:dyDescent="0.25">
      <c r="B1056" s="294"/>
      <c r="C1056" s="294"/>
      <c r="D1056" s="294"/>
      <c r="E1056" s="294"/>
      <c r="F1056" s="294"/>
      <c r="G1056" s="294"/>
      <c r="H1056" s="294"/>
      <c r="I1056" s="294"/>
      <c r="J1056" s="294"/>
      <c r="L1056" s="295"/>
      <c r="M1056" s="294"/>
      <c r="S1056" s="294"/>
      <c r="T1056" s="299"/>
      <c r="U1056" s="294"/>
      <c r="V1056" s="299"/>
      <c r="W1056" s="299"/>
      <c r="X1056" s="294"/>
      <c r="Y1056" s="299"/>
      <c r="Z1056" s="294"/>
      <c r="AA1056" s="299"/>
      <c r="AB1056" s="299"/>
      <c r="AC1056" s="294"/>
      <c r="AD1056" s="294"/>
      <c r="AE1056" s="294"/>
      <c r="AF1056" s="294"/>
    </row>
    <row r="1057" spans="2:32" x14ac:dyDescent="0.25">
      <c r="B1057" s="294"/>
      <c r="C1057" s="294"/>
      <c r="D1057" s="294"/>
      <c r="E1057" s="294"/>
      <c r="F1057" s="294"/>
      <c r="G1057" s="294"/>
      <c r="H1057" s="294"/>
      <c r="I1057" s="294"/>
      <c r="J1057" s="294"/>
      <c r="L1057" s="295"/>
      <c r="M1057" s="294"/>
      <c r="S1057" s="294"/>
      <c r="T1057" s="299"/>
      <c r="U1057" s="294"/>
      <c r="V1057" s="299"/>
      <c r="W1057" s="299"/>
      <c r="X1057" s="294"/>
      <c r="Y1057" s="299"/>
      <c r="Z1057" s="294"/>
      <c r="AA1057" s="299"/>
      <c r="AB1057" s="299"/>
      <c r="AC1057" s="294"/>
      <c r="AD1057" s="294"/>
      <c r="AE1057" s="294"/>
      <c r="AF1057" s="294"/>
    </row>
    <row r="1058" spans="2:32" x14ac:dyDescent="0.25">
      <c r="B1058" s="294"/>
      <c r="C1058" s="294"/>
      <c r="D1058" s="294"/>
      <c r="E1058" s="294"/>
      <c r="F1058" s="294"/>
      <c r="G1058" s="294"/>
      <c r="H1058" s="294"/>
      <c r="I1058" s="294"/>
      <c r="J1058" s="294"/>
      <c r="L1058" s="295"/>
      <c r="M1058" s="294"/>
      <c r="S1058" s="294"/>
      <c r="T1058" s="299"/>
      <c r="U1058" s="294"/>
      <c r="V1058" s="299"/>
      <c r="W1058" s="299"/>
      <c r="X1058" s="294"/>
      <c r="Y1058" s="299"/>
      <c r="Z1058" s="294"/>
      <c r="AA1058" s="299"/>
      <c r="AB1058" s="299"/>
      <c r="AC1058" s="294"/>
      <c r="AD1058" s="294"/>
      <c r="AE1058" s="294"/>
      <c r="AF1058" s="294"/>
    </row>
    <row r="1059" spans="2:32" x14ac:dyDescent="0.25">
      <c r="B1059" s="294"/>
      <c r="C1059" s="294"/>
      <c r="D1059" s="294"/>
      <c r="E1059" s="294"/>
      <c r="F1059" s="294"/>
      <c r="G1059" s="294"/>
      <c r="H1059" s="294"/>
      <c r="I1059" s="294"/>
      <c r="J1059" s="294"/>
      <c r="L1059" s="295"/>
      <c r="M1059" s="294"/>
      <c r="S1059" s="294"/>
      <c r="T1059" s="299"/>
      <c r="U1059" s="294"/>
      <c r="V1059" s="299"/>
      <c r="W1059" s="299"/>
      <c r="X1059" s="294"/>
      <c r="Y1059" s="299"/>
      <c r="Z1059" s="294"/>
      <c r="AA1059" s="299"/>
      <c r="AB1059" s="299"/>
      <c r="AC1059" s="294"/>
      <c r="AD1059" s="294"/>
      <c r="AE1059" s="294"/>
      <c r="AF1059" s="294"/>
    </row>
    <row r="1060" spans="2:32" x14ac:dyDescent="0.25">
      <c r="B1060" s="294"/>
      <c r="C1060" s="294"/>
      <c r="D1060" s="294"/>
      <c r="E1060" s="294"/>
      <c r="F1060" s="294"/>
      <c r="G1060" s="294"/>
      <c r="H1060" s="294"/>
      <c r="I1060" s="294"/>
      <c r="J1060" s="294"/>
      <c r="L1060" s="295"/>
      <c r="M1060" s="294"/>
      <c r="S1060" s="294"/>
      <c r="T1060" s="299"/>
      <c r="U1060" s="294"/>
      <c r="V1060" s="299"/>
      <c r="W1060" s="299"/>
      <c r="X1060" s="294"/>
      <c r="Y1060" s="299"/>
      <c r="Z1060" s="294"/>
      <c r="AA1060" s="299"/>
      <c r="AB1060" s="299"/>
      <c r="AC1060" s="294"/>
      <c r="AD1060" s="294"/>
      <c r="AE1060" s="294"/>
      <c r="AF1060" s="294"/>
    </row>
    <row r="1061" spans="2:32" x14ac:dyDescent="0.25">
      <c r="B1061" s="294"/>
      <c r="C1061" s="294"/>
      <c r="D1061" s="294"/>
      <c r="E1061" s="294"/>
      <c r="F1061" s="294"/>
      <c r="G1061" s="294"/>
      <c r="H1061" s="294"/>
      <c r="I1061" s="294"/>
      <c r="J1061" s="294"/>
      <c r="L1061" s="295"/>
      <c r="M1061" s="294"/>
      <c r="S1061" s="294"/>
      <c r="T1061" s="299"/>
      <c r="U1061" s="294"/>
      <c r="V1061" s="299"/>
      <c r="W1061" s="299"/>
      <c r="X1061" s="294"/>
      <c r="Y1061" s="299"/>
      <c r="Z1061" s="294"/>
      <c r="AA1061" s="299"/>
      <c r="AB1061" s="299"/>
      <c r="AC1061" s="294"/>
      <c r="AD1061" s="294"/>
      <c r="AE1061" s="294"/>
      <c r="AF1061" s="294"/>
    </row>
    <row r="1062" spans="2:32" x14ac:dyDescent="0.25">
      <c r="B1062" s="294"/>
      <c r="C1062" s="294"/>
      <c r="D1062" s="294"/>
      <c r="E1062" s="294"/>
      <c r="F1062" s="294"/>
      <c r="G1062" s="294"/>
      <c r="H1062" s="294"/>
      <c r="I1062" s="294"/>
      <c r="J1062" s="294"/>
      <c r="L1062" s="295"/>
      <c r="M1062" s="294"/>
      <c r="S1062" s="294"/>
      <c r="T1062" s="299"/>
      <c r="U1062" s="294"/>
      <c r="V1062" s="299"/>
      <c r="W1062" s="299"/>
      <c r="X1062" s="294"/>
      <c r="Y1062" s="299"/>
      <c r="Z1062" s="294"/>
      <c r="AA1062" s="299"/>
      <c r="AB1062" s="299"/>
      <c r="AC1062" s="294"/>
      <c r="AD1062" s="294"/>
      <c r="AE1062" s="294"/>
      <c r="AF1062" s="294"/>
    </row>
    <row r="1063" spans="2:32" x14ac:dyDescent="0.25">
      <c r="B1063" s="294"/>
      <c r="C1063" s="294"/>
      <c r="D1063" s="294"/>
      <c r="E1063" s="294"/>
      <c r="F1063" s="294"/>
      <c r="G1063" s="294"/>
      <c r="H1063" s="294"/>
      <c r="I1063" s="294"/>
      <c r="J1063" s="294"/>
      <c r="L1063" s="295"/>
      <c r="M1063" s="294"/>
      <c r="S1063" s="294"/>
      <c r="T1063" s="299"/>
      <c r="U1063" s="294"/>
      <c r="V1063" s="299"/>
      <c r="W1063" s="299"/>
      <c r="X1063" s="294"/>
      <c r="Y1063" s="299"/>
      <c r="Z1063" s="294"/>
      <c r="AA1063" s="299"/>
      <c r="AB1063" s="299"/>
      <c r="AC1063" s="294"/>
      <c r="AD1063" s="294"/>
      <c r="AE1063" s="294"/>
      <c r="AF1063" s="294"/>
    </row>
    <row r="1064" spans="2:32" x14ac:dyDescent="0.25">
      <c r="B1064" s="294"/>
      <c r="C1064" s="294"/>
      <c r="D1064" s="294"/>
      <c r="E1064" s="294"/>
      <c r="F1064" s="294"/>
      <c r="G1064" s="294"/>
      <c r="H1064" s="294"/>
      <c r="I1064" s="294"/>
      <c r="J1064" s="294"/>
      <c r="L1064" s="295"/>
      <c r="M1064" s="294"/>
      <c r="S1064" s="294"/>
      <c r="T1064" s="299"/>
      <c r="U1064" s="294"/>
      <c r="V1064" s="299"/>
      <c r="W1064" s="299"/>
      <c r="X1064" s="294"/>
      <c r="Y1064" s="299"/>
      <c r="Z1064" s="294"/>
      <c r="AA1064" s="299"/>
      <c r="AB1064" s="299"/>
      <c r="AC1064" s="294"/>
      <c r="AD1064" s="294"/>
      <c r="AE1064" s="294"/>
      <c r="AF1064" s="294"/>
    </row>
    <row r="1065" spans="2:32" x14ac:dyDescent="0.25">
      <c r="B1065" s="294"/>
      <c r="C1065" s="294"/>
      <c r="D1065" s="294"/>
      <c r="E1065" s="294"/>
      <c r="F1065" s="294"/>
      <c r="G1065" s="294"/>
      <c r="H1065" s="294"/>
      <c r="I1065" s="294"/>
      <c r="J1065" s="294"/>
      <c r="L1065" s="295"/>
      <c r="M1065" s="294"/>
      <c r="S1065" s="294"/>
      <c r="T1065" s="299"/>
      <c r="U1065" s="294"/>
      <c r="V1065" s="299"/>
      <c r="W1065" s="299"/>
      <c r="X1065" s="294"/>
      <c r="Y1065" s="299"/>
      <c r="Z1065" s="294"/>
      <c r="AA1065" s="299"/>
      <c r="AB1065" s="299"/>
      <c r="AC1065" s="294"/>
      <c r="AD1065" s="294"/>
      <c r="AE1065" s="294"/>
      <c r="AF1065" s="294"/>
    </row>
    <row r="1066" spans="2:32" x14ac:dyDescent="0.25">
      <c r="B1066" s="294"/>
      <c r="C1066" s="294"/>
      <c r="D1066" s="294"/>
      <c r="E1066" s="294"/>
      <c r="F1066" s="294"/>
      <c r="G1066" s="294"/>
      <c r="H1066" s="294"/>
      <c r="I1066" s="294"/>
      <c r="J1066" s="294"/>
      <c r="L1066" s="295"/>
      <c r="M1066" s="294"/>
      <c r="S1066" s="294"/>
      <c r="T1066" s="299"/>
      <c r="U1066" s="294"/>
      <c r="V1066" s="299"/>
      <c r="W1066" s="299"/>
      <c r="X1066" s="294"/>
      <c r="Y1066" s="299"/>
      <c r="Z1066" s="294"/>
      <c r="AA1066" s="299"/>
      <c r="AB1066" s="299"/>
      <c r="AC1066" s="294"/>
      <c r="AD1066" s="294"/>
      <c r="AE1066" s="294"/>
      <c r="AF1066" s="294"/>
    </row>
    <row r="1067" spans="2:32" x14ac:dyDescent="0.25">
      <c r="B1067" s="294"/>
      <c r="C1067" s="294"/>
      <c r="D1067" s="294"/>
      <c r="E1067" s="294"/>
      <c r="F1067" s="294"/>
      <c r="G1067" s="294"/>
      <c r="H1067" s="294"/>
      <c r="I1067" s="294"/>
      <c r="J1067" s="294"/>
      <c r="L1067" s="295"/>
      <c r="M1067" s="294"/>
      <c r="S1067" s="294"/>
      <c r="T1067" s="299"/>
      <c r="U1067" s="294"/>
      <c r="V1067" s="299"/>
      <c r="W1067" s="299"/>
      <c r="X1067" s="294"/>
      <c r="Y1067" s="299"/>
      <c r="Z1067" s="294"/>
      <c r="AA1067" s="299"/>
      <c r="AB1067" s="299"/>
      <c r="AC1067" s="294"/>
      <c r="AD1067" s="294"/>
      <c r="AE1067" s="294"/>
      <c r="AF1067" s="294"/>
    </row>
    <row r="1068" spans="2:32" x14ac:dyDescent="0.25">
      <c r="B1068" s="294"/>
      <c r="C1068" s="294"/>
      <c r="D1068" s="294"/>
      <c r="E1068" s="294"/>
      <c r="F1068" s="294"/>
      <c r="G1068" s="294"/>
      <c r="H1068" s="294"/>
      <c r="I1068" s="294"/>
      <c r="J1068" s="294"/>
      <c r="L1068" s="295"/>
      <c r="M1068" s="294"/>
      <c r="S1068" s="294"/>
      <c r="T1068" s="299"/>
      <c r="U1068" s="294"/>
      <c r="V1068" s="299"/>
      <c r="W1068" s="299"/>
      <c r="X1068" s="294"/>
      <c r="Y1068" s="299"/>
      <c r="Z1068" s="294"/>
      <c r="AA1068" s="299"/>
      <c r="AB1068" s="299"/>
      <c r="AC1068" s="294"/>
      <c r="AD1068" s="294"/>
      <c r="AE1068" s="294"/>
      <c r="AF1068" s="294"/>
    </row>
    <row r="1069" spans="2:32" x14ac:dyDescent="0.25">
      <c r="B1069" s="294"/>
      <c r="C1069" s="294"/>
      <c r="D1069" s="294"/>
      <c r="E1069" s="294"/>
      <c r="F1069" s="294"/>
      <c r="G1069" s="294"/>
      <c r="H1069" s="294"/>
      <c r="I1069" s="294"/>
      <c r="J1069" s="294"/>
      <c r="L1069" s="295"/>
      <c r="M1069" s="294"/>
      <c r="S1069" s="294"/>
      <c r="T1069" s="299"/>
      <c r="U1069" s="294"/>
      <c r="V1069" s="299"/>
      <c r="W1069" s="299"/>
      <c r="X1069" s="294"/>
      <c r="Y1069" s="299"/>
      <c r="Z1069" s="294"/>
      <c r="AA1069" s="299"/>
      <c r="AB1069" s="299"/>
      <c r="AC1069" s="294"/>
      <c r="AD1069" s="294"/>
      <c r="AE1069" s="294"/>
      <c r="AF1069" s="294"/>
    </row>
    <row r="1070" spans="2:32" x14ac:dyDescent="0.25">
      <c r="B1070" s="294"/>
      <c r="C1070" s="294"/>
      <c r="D1070" s="294"/>
      <c r="E1070" s="294"/>
      <c r="F1070" s="294"/>
      <c r="G1070" s="294"/>
      <c r="H1070" s="294"/>
      <c r="I1070" s="294"/>
      <c r="J1070" s="294"/>
      <c r="L1070" s="295"/>
      <c r="M1070" s="294"/>
      <c r="S1070" s="294"/>
      <c r="T1070" s="299"/>
      <c r="U1070" s="294"/>
      <c r="V1070" s="299"/>
      <c r="W1070" s="299"/>
      <c r="X1070" s="294"/>
      <c r="Y1070" s="299"/>
      <c r="Z1070" s="294"/>
      <c r="AA1070" s="299"/>
      <c r="AB1070" s="299"/>
      <c r="AC1070" s="294"/>
      <c r="AD1070" s="294"/>
      <c r="AE1070" s="294"/>
      <c r="AF1070" s="294"/>
    </row>
    <row r="1071" spans="2:32" x14ac:dyDescent="0.25">
      <c r="B1071" s="294"/>
      <c r="C1071" s="294"/>
      <c r="D1071" s="294"/>
      <c r="E1071" s="294"/>
      <c r="F1071" s="294"/>
      <c r="G1071" s="294"/>
      <c r="H1071" s="294"/>
      <c r="I1071" s="294"/>
      <c r="J1071" s="294"/>
      <c r="L1071" s="295"/>
      <c r="M1071" s="294"/>
      <c r="S1071" s="294"/>
      <c r="T1071" s="299"/>
      <c r="U1071" s="294"/>
      <c r="V1071" s="299"/>
      <c r="W1071" s="299"/>
      <c r="X1071" s="294"/>
      <c r="Y1071" s="299"/>
      <c r="Z1071" s="294"/>
      <c r="AA1071" s="299"/>
      <c r="AB1071" s="299"/>
      <c r="AC1071" s="294"/>
      <c r="AD1071" s="294"/>
      <c r="AE1071" s="294"/>
      <c r="AF1071" s="294"/>
    </row>
    <row r="1072" spans="2:32" x14ac:dyDescent="0.25">
      <c r="B1072" s="294"/>
      <c r="C1072" s="294"/>
      <c r="D1072" s="294"/>
      <c r="E1072" s="294"/>
      <c r="F1072" s="294"/>
      <c r="G1072" s="294"/>
      <c r="H1072" s="294"/>
      <c r="I1072" s="294"/>
      <c r="J1072" s="294"/>
      <c r="L1072" s="295"/>
      <c r="M1072" s="294"/>
      <c r="S1072" s="294"/>
      <c r="T1072" s="299"/>
      <c r="U1072" s="294"/>
      <c r="V1072" s="299"/>
      <c r="W1072" s="299"/>
      <c r="X1072" s="294"/>
      <c r="Y1072" s="299"/>
      <c r="Z1072" s="294"/>
      <c r="AA1072" s="299"/>
      <c r="AB1072" s="299"/>
      <c r="AC1072" s="294"/>
      <c r="AD1072" s="294"/>
      <c r="AE1072" s="294"/>
      <c r="AF1072" s="294"/>
    </row>
    <row r="1073" spans="2:32" x14ac:dyDescent="0.25">
      <c r="B1073" s="294"/>
      <c r="C1073" s="294"/>
      <c r="D1073" s="294"/>
      <c r="E1073" s="294"/>
      <c r="F1073" s="294"/>
      <c r="G1073" s="294"/>
      <c r="H1073" s="294"/>
      <c r="I1073" s="294"/>
      <c r="J1073" s="294"/>
      <c r="L1073" s="295"/>
      <c r="M1073" s="294"/>
      <c r="S1073" s="294"/>
      <c r="T1073" s="299"/>
      <c r="U1073" s="294"/>
      <c r="V1073" s="299"/>
      <c r="W1073" s="299"/>
      <c r="X1073" s="294"/>
      <c r="Y1073" s="299"/>
      <c r="Z1073" s="294"/>
      <c r="AA1073" s="299"/>
      <c r="AB1073" s="299"/>
      <c r="AC1073" s="294"/>
      <c r="AD1073" s="294"/>
      <c r="AE1073" s="294"/>
      <c r="AF1073" s="294"/>
    </row>
    <row r="1074" spans="2:32" x14ac:dyDescent="0.25">
      <c r="B1074" s="294"/>
      <c r="C1074" s="294"/>
      <c r="D1074" s="294"/>
      <c r="E1074" s="294"/>
      <c r="F1074" s="294"/>
      <c r="G1074" s="294"/>
      <c r="H1074" s="294"/>
      <c r="I1074" s="294"/>
      <c r="J1074" s="294"/>
      <c r="L1074" s="295"/>
      <c r="M1074" s="294"/>
      <c r="S1074" s="294"/>
      <c r="T1074" s="299"/>
      <c r="U1074" s="294"/>
      <c r="V1074" s="299"/>
      <c r="W1074" s="299"/>
      <c r="X1074" s="294"/>
      <c r="Y1074" s="299"/>
      <c r="Z1074" s="294"/>
      <c r="AA1074" s="299"/>
      <c r="AB1074" s="299"/>
      <c r="AC1074" s="294"/>
      <c r="AD1074" s="294"/>
      <c r="AE1074" s="294"/>
      <c r="AF1074" s="294"/>
    </row>
    <row r="1075" spans="2:32" x14ac:dyDescent="0.25">
      <c r="B1075" s="294"/>
      <c r="C1075" s="294"/>
      <c r="D1075" s="294"/>
      <c r="E1075" s="294"/>
      <c r="F1075" s="294"/>
      <c r="G1075" s="294"/>
      <c r="H1075" s="294"/>
      <c r="I1075" s="294"/>
      <c r="J1075" s="294"/>
      <c r="L1075" s="295"/>
      <c r="M1075" s="294"/>
      <c r="S1075" s="294"/>
      <c r="T1075" s="299"/>
      <c r="U1075" s="294"/>
      <c r="V1075" s="299"/>
      <c r="W1075" s="299"/>
      <c r="X1075" s="294"/>
      <c r="Y1075" s="299"/>
      <c r="Z1075" s="294"/>
      <c r="AA1075" s="299"/>
      <c r="AB1075" s="299"/>
      <c r="AC1075" s="294"/>
      <c r="AD1075" s="294"/>
      <c r="AE1075" s="294"/>
      <c r="AF1075" s="294"/>
    </row>
    <row r="1076" spans="2:32" x14ac:dyDescent="0.25">
      <c r="B1076" s="294"/>
      <c r="C1076" s="294"/>
      <c r="D1076" s="294"/>
      <c r="E1076" s="294"/>
      <c r="F1076" s="294"/>
      <c r="G1076" s="294"/>
      <c r="H1076" s="294"/>
      <c r="I1076" s="294"/>
      <c r="J1076" s="294"/>
      <c r="L1076" s="295"/>
      <c r="M1076" s="294"/>
      <c r="S1076" s="294"/>
      <c r="T1076" s="299"/>
      <c r="U1076" s="294"/>
      <c r="V1076" s="299"/>
      <c r="W1076" s="299"/>
      <c r="X1076" s="294"/>
      <c r="Y1076" s="299"/>
      <c r="Z1076" s="294"/>
      <c r="AA1076" s="299"/>
      <c r="AB1076" s="299"/>
      <c r="AC1076" s="294"/>
      <c r="AD1076" s="294"/>
      <c r="AE1076" s="294"/>
      <c r="AF1076" s="294"/>
    </row>
    <row r="1077" spans="2:32" x14ac:dyDescent="0.25">
      <c r="B1077" s="294"/>
      <c r="C1077" s="294"/>
      <c r="D1077" s="294"/>
      <c r="E1077" s="294"/>
      <c r="F1077" s="294"/>
      <c r="G1077" s="294"/>
      <c r="H1077" s="294"/>
      <c r="I1077" s="294"/>
      <c r="J1077" s="294"/>
      <c r="L1077" s="295"/>
      <c r="M1077" s="294"/>
      <c r="S1077" s="294"/>
      <c r="T1077" s="299"/>
      <c r="U1077" s="294"/>
      <c r="V1077" s="299"/>
      <c r="W1077" s="299"/>
      <c r="X1077" s="294"/>
      <c r="Y1077" s="299"/>
      <c r="Z1077" s="294"/>
      <c r="AA1077" s="299"/>
      <c r="AB1077" s="299"/>
      <c r="AC1077" s="294"/>
      <c r="AD1077" s="294"/>
      <c r="AE1077" s="294"/>
      <c r="AF1077" s="294"/>
    </row>
    <row r="1078" spans="2:32" x14ac:dyDescent="0.25">
      <c r="B1078" s="294"/>
      <c r="C1078" s="294"/>
      <c r="D1078" s="294"/>
      <c r="E1078" s="294"/>
      <c r="F1078" s="294"/>
      <c r="G1078" s="294"/>
      <c r="H1078" s="294"/>
      <c r="I1078" s="294"/>
      <c r="J1078" s="294"/>
      <c r="L1078" s="295"/>
      <c r="M1078" s="294"/>
      <c r="S1078" s="294"/>
      <c r="T1078" s="299"/>
      <c r="U1078" s="294"/>
      <c r="V1078" s="299"/>
      <c r="W1078" s="299"/>
      <c r="X1078" s="294"/>
      <c r="Y1078" s="299"/>
      <c r="Z1078" s="294"/>
      <c r="AA1078" s="299"/>
      <c r="AB1078" s="299"/>
      <c r="AC1078" s="294"/>
      <c r="AD1078" s="294"/>
      <c r="AE1078" s="294"/>
      <c r="AF1078" s="294"/>
    </row>
    <row r="1079" spans="2:32" x14ac:dyDescent="0.25">
      <c r="B1079" s="294"/>
      <c r="C1079" s="294"/>
      <c r="D1079" s="294"/>
      <c r="E1079" s="294"/>
      <c r="F1079" s="294"/>
      <c r="G1079" s="294"/>
      <c r="H1079" s="294"/>
      <c r="I1079" s="294"/>
      <c r="J1079" s="294"/>
      <c r="L1079" s="295"/>
      <c r="M1079" s="294"/>
      <c r="S1079" s="294"/>
      <c r="T1079" s="299"/>
      <c r="U1079" s="294"/>
      <c r="V1079" s="299"/>
      <c r="W1079" s="299"/>
      <c r="X1079" s="294"/>
      <c r="Y1079" s="299"/>
      <c r="Z1079" s="294"/>
      <c r="AA1079" s="299"/>
      <c r="AB1079" s="299"/>
      <c r="AC1079" s="294"/>
      <c r="AD1079" s="294"/>
      <c r="AE1079" s="294"/>
      <c r="AF1079" s="294"/>
    </row>
    <row r="1080" spans="2:32" x14ac:dyDescent="0.25">
      <c r="B1080" s="294"/>
      <c r="C1080" s="294"/>
      <c r="D1080" s="294"/>
      <c r="E1080" s="294"/>
      <c r="F1080" s="294"/>
      <c r="G1080" s="294"/>
      <c r="H1080" s="294"/>
      <c r="I1080" s="294"/>
      <c r="J1080" s="294"/>
      <c r="L1080" s="295"/>
      <c r="M1080" s="294"/>
      <c r="S1080" s="294"/>
      <c r="T1080" s="299"/>
      <c r="U1080" s="294"/>
      <c r="V1080" s="299"/>
      <c r="W1080" s="299"/>
      <c r="X1080" s="294"/>
      <c r="Y1080" s="299"/>
      <c r="Z1080" s="294"/>
      <c r="AA1080" s="299"/>
      <c r="AB1080" s="299"/>
      <c r="AC1080" s="294"/>
      <c r="AD1080" s="294"/>
      <c r="AE1080" s="294"/>
      <c r="AF1080" s="294"/>
    </row>
    <row r="1081" spans="2:32" x14ac:dyDescent="0.25">
      <c r="B1081" s="294"/>
      <c r="C1081" s="294"/>
      <c r="D1081" s="294"/>
      <c r="E1081" s="294"/>
      <c r="F1081" s="294"/>
      <c r="G1081" s="294"/>
      <c r="H1081" s="294"/>
      <c r="I1081" s="294"/>
      <c r="J1081" s="294"/>
      <c r="L1081" s="295"/>
      <c r="M1081" s="294"/>
      <c r="S1081" s="294"/>
      <c r="T1081" s="299"/>
      <c r="U1081" s="294"/>
      <c r="V1081" s="299"/>
      <c r="W1081" s="299"/>
      <c r="X1081" s="294"/>
      <c r="Y1081" s="299"/>
      <c r="Z1081" s="294"/>
      <c r="AA1081" s="299"/>
      <c r="AB1081" s="299"/>
      <c r="AC1081" s="294"/>
      <c r="AD1081" s="294"/>
      <c r="AE1081" s="294"/>
      <c r="AF1081" s="294"/>
    </row>
    <row r="1082" spans="2:32" x14ac:dyDescent="0.25">
      <c r="B1082" s="294"/>
      <c r="C1082" s="294"/>
      <c r="D1082" s="294"/>
      <c r="E1082" s="294"/>
      <c r="F1082" s="294"/>
      <c r="G1082" s="294"/>
      <c r="H1082" s="294"/>
      <c r="I1082" s="294"/>
      <c r="J1082" s="294"/>
      <c r="L1082" s="295"/>
      <c r="M1082" s="294"/>
      <c r="S1082" s="294"/>
      <c r="T1082" s="299"/>
      <c r="U1082" s="294"/>
      <c r="V1082" s="299"/>
      <c r="W1082" s="299"/>
      <c r="X1082" s="294"/>
      <c r="Y1082" s="299"/>
      <c r="Z1082" s="294"/>
      <c r="AA1082" s="299"/>
      <c r="AB1082" s="299"/>
      <c r="AC1082" s="294"/>
      <c r="AD1082" s="294"/>
      <c r="AE1082" s="294"/>
      <c r="AF1082" s="294"/>
    </row>
    <row r="1083" spans="2:32" x14ac:dyDescent="0.25">
      <c r="B1083" s="294"/>
      <c r="C1083" s="294"/>
      <c r="D1083" s="294"/>
      <c r="E1083" s="294"/>
      <c r="F1083" s="294"/>
      <c r="G1083" s="294"/>
      <c r="H1083" s="294"/>
      <c r="I1083" s="294"/>
      <c r="J1083" s="294"/>
      <c r="L1083" s="295"/>
      <c r="M1083" s="294"/>
      <c r="S1083" s="294"/>
      <c r="T1083" s="299"/>
      <c r="U1083" s="294"/>
      <c r="V1083" s="299"/>
      <c r="W1083" s="299"/>
      <c r="X1083" s="294"/>
      <c r="Y1083" s="299"/>
      <c r="Z1083" s="294"/>
      <c r="AA1083" s="299"/>
      <c r="AB1083" s="299"/>
      <c r="AC1083" s="294"/>
      <c r="AD1083" s="294"/>
      <c r="AE1083" s="294"/>
      <c r="AF1083" s="294"/>
    </row>
    <row r="1084" spans="2:32" x14ac:dyDescent="0.25">
      <c r="B1084" s="294"/>
      <c r="C1084" s="294"/>
      <c r="D1084" s="294"/>
      <c r="E1084" s="294"/>
      <c r="F1084" s="294"/>
      <c r="G1084" s="294"/>
      <c r="H1084" s="294"/>
      <c r="I1084" s="294"/>
      <c r="J1084" s="294"/>
      <c r="L1084" s="295"/>
      <c r="M1084" s="294"/>
      <c r="S1084" s="294"/>
      <c r="T1084" s="299"/>
      <c r="U1084" s="294"/>
      <c r="V1084" s="299"/>
      <c r="W1084" s="299"/>
      <c r="X1084" s="294"/>
      <c r="Y1084" s="299"/>
      <c r="Z1084" s="294"/>
      <c r="AA1084" s="299"/>
      <c r="AB1084" s="299"/>
      <c r="AC1084" s="294"/>
      <c r="AD1084" s="294"/>
      <c r="AE1084" s="294"/>
      <c r="AF1084" s="294"/>
    </row>
    <row r="1085" spans="2:32" x14ac:dyDescent="0.25">
      <c r="B1085" s="294"/>
      <c r="C1085" s="294"/>
      <c r="D1085" s="294"/>
      <c r="E1085" s="294"/>
      <c r="F1085" s="294"/>
      <c r="G1085" s="294"/>
      <c r="H1085" s="294"/>
      <c r="I1085" s="294"/>
      <c r="J1085" s="294"/>
      <c r="L1085" s="295"/>
      <c r="M1085" s="294"/>
      <c r="S1085" s="294"/>
      <c r="T1085" s="299"/>
      <c r="U1085" s="294"/>
      <c r="V1085" s="299"/>
      <c r="W1085" s="299"/>
      <c r="X1085" s="294"/>
      <c r="Y1085" s="299"/>
      <c r="Z1085" s="294"/>
      <c r="AA1085" s="299"/>
      <c r="AB1085" s="299"/>
      <c r="AC1085" s="294"/>
      <c r="AD1085" s="294"/>
      <c r="AE1085" s="294"/>
      <c r="AF1085" s="294"/>
    </row>
    <row r="1086" spans="2:32" x14ac:dyDescent="0.25">
      <c r="B1086" s="294"/>
      <c r="C1086" s="294"/>
      <c r="D1086" s="294"/>
      <c r="E1086" s="294"/>
      <c r="F1086" s="294"/>
      <c r="G1086" s="294"/>
      <c r="H1086" s="294"/>
      <c r="I1086" s="294"/>
      <c r="J1086" s="294"/>
      <c r="L1086" s="295"/>
      <c r="M1086" s="294"/>
      <c r="S1086" s="294"/>
      <c r="T1086" s="299"/>
      <c r="U1086" s="294"/>
      <c r="V1086" s="299"/>
      <c r="W1086" s="299"/>
      <c r="X1086" s="294"/>
      <c r="Y1086" s="299"/>
      <c r="Z1086" s="294"/>
      <c r="AA1086" s="299"/>
      <c r="AB1086" s="299"/>
      <c r="AC1086" s="294"/>
      <c r="AD1086" s="294"/>
      <c r="AE1086" s="294"/>
      <c r="AF1086" s="294"/>
    </row>
    <row r="1087" spans="2:32" x14ac:dyDescent="0.25">
      <c r="B1087" s="294"/>
      <c r="C1087" s="294"/>
      <c r="D1087" s="294"/>
      <c r="E1087" s="294"/>
      <c r="F1087" s="294"/>
      <c r="G1087" s="294"/>
      <c r="H1087" s="294"/>
      <c r="I1087" s="294"/>
      <c r="J1087" s="294"/>
      <c r="L1087" s="295"/>
      <c r="M1087" s="294"/>
      <c r="S1087" s="294"/>
      <c r="T1087" s="299"/>
      <c r="U1087" s="294"/>
      <c r="V1087" s="299"/>
      <c r="W1087" s="299"/>
      <c r="X1087" s="294"/>
      <c r="Y1087" s="299"/>
      <c r="Z1087" s="294"/>
      <c r="AA1087" s="299"/>
      <c r="AB1087" s="299"/>
      <c r="AC1087" s="294"/>
      <c r="AD1087" s="294"/>
      <c r="AE1087" s="294"/>
      <c r="AF1087" s="294"/>
    </row>
    <row r="1088" spans="2:32" x14ac:dyDescent="0.25">
      <c r="B1088" s="294"/>
      <c r="C1088" s="294"/>
      <c r="D1088" s="294"/>
      <c r="E1088" s="294"/>
      <c r="F1088" s="294"/>
      <c r="G1088" s="294"/>
      <c r="H1088" s="294"/>
      <c r="I1088" s="294"/>
      <c r="J1088" s="294"/>
      <c r="L1088" s="295"/>
      <c r="M1088" s="294"/>
      <c r="S1088" s="294"/>
      <c r="T1088" s="299"/>
      <c r="U1088" s="294"/>
      <c r="V1088" s="299"/>
      <c r="W1088" s="299"/>
      <c r="X1088" s="294"/>
      <c r="Y1088" s="299"/>
      <c r="Z1088" s="294"/>
      <c r="AA1088" s="299"/>
      <c r="AB1088" s="299"/>
      <c r="AC1088" s="294"/>
      <c r="AD1088" s="294"/>
      <c r="AE1088" s="294"/>
      <c r="AF1088" s="294"/>
    </row>
    <row r="1089" spans="2:32" x14ac:dyDescent="0.25">
      <c r="B1089" s="294"/>
      <c r="C1089" s="294"/>
      <c r="D1089" s="294"/>
      <c r="E1089" s="294"/>
      <c r="F1089" s="294"/>
      <c r="G1089" s="294"/>
      <c r="H1089" s="294"/>
      <c r="I1089" s="294"/>
      <c r="J1089" s="294"/>
      <c r="L1089" s="295"/>
      <c r="M1089" s="294"/>
      <c r="S1089" s="294"/>
      <c r="T1089" s="299"/>
      <c r="U1089" s="294"/>
      <c r="V1089" s="299"/>
      <c r="W1089" s="299"/>
      <c r="X1089" s="294"/>
      <c r="Y1089" s="299"/>
      <c r="Z1089" s="294"/>
      <c r="AA1089" s="299"/>
      <c r="AB1089" s="299"/>
      <c r="AC1089" s="294"/>
      <c r="AD1089" s="294"/>
      <c r="AE1089" s="294"/>
      <c r="AF1089" s="294"/>
    </row>
    <row r="1090" spans="2:32" x14ac:dyDescent="0.25">
      <c r="B1090" s="294"/>
      <c r="C1090" s="294"/>
      <c r="D1090" s="294"/>
      <c r="E1090" s="294"/>
      <c r="F1090" s="294"/>
      <c r="G1090" s="294"/>
      <c r="H1090" s="294"/>
      <c r="I1090" s="294"/>
      <c r="J1090" s="294"/>
      <c r="L1090" s="295"/>
      <c r="M1090" s="294"/>
      <c r="S1090" s="294"/>
      <c r="T1090" s="299"/>
      <c r="U1090" s="294"/>
      <c r="V1090" s="299"/>
      <c r="W1090" s="299"/>
      <c r="X1090" s="294"/>
      <c r="Y1090" s="299"/>
      <c r="Z1090" s="294"/>
      <c r="AA1090" s="299"/>
      <c r="AB1090" s="299"/>
      <c r="AC1090" s="294"/>
      <c r="AD1090" s="294"/>
      <c r="AE1090" s="294"/>
      <c r="AF1090" s="294"/>
    </row>
    <row r="1091" spans="2:32" x14ac:dyDescent="0.25">
      <c r="B1091" s="294"/>
      <c r="C1091" s="294"/>
      <c r="D1091" s="294"/>
      <c r="E1091" s="294"/>
      <c r="F1091" s="294"/>
      <c r="G1091" s="294"/>
      <c r="H1091" s="294"/>
      <c r="I1091" s="294"/>
      <c r="J1091" s="294"/>
      <c r="L1091" s="295"/>
      <c r="M1091" s="294"/>
      <c r="S1091" s="294"/>
      <c r="T1091" s="299"/>
      <c r="U1091" s="294"/>
      <c r="V1091" s="299"/>
      <c r="W1091" s="299"/>
      <c r="X1091" s="294"/>
      <c r="Y1091" s="299"/>
      <c r="Z1091" s="294"/>
      <c r="AA1091" s="299"/>
      <c r="AB1091" s="299"/>
      <c r="AC1091" s="294"/>
      <c r="AD1091" s="294"/>
      <c r="AE1091" s="294"/>
      <c r="AF1091" s="294"/>
    </row>
    <row r="1092" spans="2:32" x14ac:dyDescent="0.25">
      <c r="B1092" s="294"/>
      <c r="C1092" s="294"/>
      <c r="D1092" s="294"/>
      <c r="E1092" s="294"/>
      <c r="F1092" s="294"/>
      <c r="G1092" s="294"/>
      <c r="H1092" s="294"/>
      <c r="I1092" s="294"/>
      <c r="J1092" s="294"/>
      <c r="L1092" s="295"/>
      <c r="M1092" s="294"/>
      <c r="S1092" s="294"/>
      <c r="T1092" s="299"/>
      <c r="U1092" s="294"/>
      <c r="V1092" s="299"/>
      <c r="W1092" s="299"/>
      <c r="X1092" s="294"/>
      <c r="Y1092" s="299"/>
      <c r="Z1092" s="294"/>
      <c r="AA1092" s="299"/>
      <c r="AB1092" s="299"/>
      <c r="AC1092" s="294"/>
      <c r="AD1092" s="294"/>
      <c r="AE1092" s="294"/>
      <c r="AF1092" s="294"/>
    </row>
    <row r="1093" spans="2:32" x14ac:dyDescent="0.25">
      <c r="B1093" s="294"/>
      <c r="C1093" s="294"/>
      <c r="D1093" s="294"/>
      <c r="E1093" s="294"/>
      <c r="F1093" s="294"/>
      <c r="G1093" s="294"/>
      <c r="H1093" s="294"/>
      <c r="I1093" s="294"/>
      <c r="J1093" s="294"/>
      <c r="L1093" s="295"/>
      <c r="M1093" s="294"/>
      <c r="S1093" s="294"/>
      <c r="T1093" s="299"/>
      <c r="U1093" s="294"/>
      <c r="V1093" s="299"/>
      <c r="W1093" s="299"/>
      <c r="X1093" s="294"/>
      <c r="Y1093" s="299"/>
      <c r="Z1093" s="294"/>
      <c r="AA1093" s="299"/>
      <c r="AB1093" s="299"/>
      <c r="AC1093" s="294"/>
      <c r="AD1093" s="294"/>
      <c r="AE1093" s="294"/>
      <c r="AF1093" s="294"/>
    </row>
    <row r="1094" spans="2:32" x14ac:dyDescent="0.25">
      <c r="B1094" s="294"/>
      <c r="C1094" s="294"/>
      <c r="D1094" s="294"/>
      <c r="E1094" s="294"/>
      <c r="F1094" s="294"/>
      <c r="G1094" s="294"/>
      <c r="H1094" s="294"/>
      <c r="I1094" s="294"/>
      <c r="J1094" s="294"/>
      <c r="L1094" s="295"/>
      <c r="M1094" s="294"/>
      <c r="S1094" s="294"/>
      <c r="T1094" s="299"/>
      <c r="U1094" s="294"/>
      <c r="V1094" s="299"/>
      <c r="W1094" s="299"/>
      <c r="X1094" s="294"/>
      <c r="Y1094" s="299"/>
      <c r="Z1094" s="294"/>
      <c r="AA1094" s="299"/>
      <c r="AB1094" s="299"/>
      <c r="AC1094" s="294"/>
      <c r="AD1094" s="294"/>
      <c r="AE1094" s="294"/>
      <c r="AF1094" s="294"/>
    </row>
    <row r="1095" spans="2:32" x14ac:dyDescent="0.25">
      <c r="B1095" s="294"/>
      <c r="C1095" s="294"/>
      <c r="D1095" s="294"/>
      <c r="E1095" s="294"/>
      <c r="F1095" s="294"/>
      <c r="G1095" s="294"/>
      <c r="H1095" s="294"/>
      <c r="I1095" s="294"/>
      <c r="J1095" s="294"/>
      <c r="L1095" s="295"/>
      <c r="M1095" s="294"/>
      <c r="S1095" s="294"/>
      <c r="T1095" s="299"/>
      <c r="U1095" s="294"/>
      <c r="V1095" s="299"/>
      <c r="W1095" s="299"/>
      <c r="X1095" s="294"/>
      <c r="Y1095" s="299"/>
      <c r="Z1095" s="294"/>
      <c r="AA1095" s="299"/>
      <c r="AB1095" s="299"/>
      <c r="AC1095" s="294"/>
      <c r="AD1095" s="294"/>
      <c r="AE1095" s="294"/>
      <c r="AF1095" s="294"/>
    </row>
    <row r="1096" spans="2:32" x14ac:dyDescent="0.25">
      <c r="B1096" s="294"/>
      <c r="C1096" s="294"/>
      <c r="D1096" s="294"/>
      <c r="E1096" s="294"/>
      <c r="F1096" s="294"/>
      <c r="G1096" s="294"/>
      <c r="H1096" s="294"/>
      <c r="I1096" s="294"/>
      <c r="J1096" s="294"/>
      <c r="L1096" s="295"/>
      <c r="M1096" s="294"/>
      <c r="S1096" s="294"/>
      <c r="T1096" s="299"/>
      <c r="U1096" s="294"/>
      <c r="V1096" s="299"/>
      <c r="W1096" s="299"/>
      <c r="X1096" s="294"/>
      <c r="Y1096" s="299"/>
      <c r="Z1096" s="294"/>
      <c r="AA1096" s="299"/>
      <c r="AB1096" s="299"/>
      <c r="AC1096" s="294"/>
      <c r="AD1096" s="294"/>
      <c r="AE1096" s="294"/>
      <c r="AF1096" s="294"/>
    </row>
    <row r="1097" spans="2:32" x14ac:dyDescent="0.25">
      <c r="B1097" s="294"/>
      <c r="C1097" s="294"/>
      <c r="D1097" s="294"/>
      <c r="E1097" s="294"/>
      <c r="F1097" s="294"/>
      <c r="G1097" s="294"/>
      <c r="H1097" s="294"/>
      <c r="I1097" s="294"/>
      <c r="J1097" s="294"/>
      <c r="L1097" s="295"/>
      <c r="M1097" s="294"/>
      <c r="S1097" s="294"/>
      <c r="T1097" s="299"/>
      <c r="U1097" s="294"/>
      <c r="V1097" s="299"/>
      <c r="W1097" s="299"/>
      <c r="X1097" s="294"/>
      <c r="Y1097" s="299"/>
      <c r="Z1097" s="294"/>
      <c r="AA1097" s="299"/>
      <c r="AB1097" s="299"/>
      <c r="AC1097" s="294"/>
      <c r="AD1097" s="294"/>
      <c r="AE1097" s="294"/>
      <c r="AF1097" s="294"/>
    </row>
    <row r="1098" spans="2:32" x14ac:dyDescent="0.25">
      <c r="B1098" s="294"/>
      <c r="C1098" s="294"/>
      <c r="D1098" s="294"/>
      <c r="E1098" s="294"/>
      <c r="F1098" s="294"/>
      <c r="G1098" s="294"/>
      <c r="H1098" s="294"/>
      <c r="I1098" s="294"/>
      <c r="J1098" s="294"/>
      <c r="L1098" s="295"/>
      <c r="M1098" s="294"/>
      <c r="S1098" s="294"/>
      <c r="T1098" s="299"/>
      <c r="U1098" s="294"/>
      <c r="V1098" s="299"/>
      <c r="W1098" s="299"/>
      <c r="X1098" s="294"/>
      <c r="Y1098" s="299"/>
      <c r="Z1098" s="294"/>
      <c r="AA1098" s="299"/>
      <c r="AB1098" s="299"/>
      <c r="AC1098" s="294"/>
      <c r="AD1098" s="294"/>
      <c r="AE1098" s="294"/>
      <c r="AF1098" s="294"/>
    </row>
    <row r="1099" spans="2:32" x14ac:dyDescent="0.25">
      <c r="B1099" s="294"/>
      <c r="C1099" s="294"/>
      <c r="D1099" s="294"/>
      <c r="E1099" s="294"/>
      <c r="F1099" s="294"/>
      <c r="G1099" s="294"/>
      <c r="H1099" s="294"/>
      <c r="I1099" s="294"/>
      <c r="J1099" s="294"/>
      <c r="L1099" s="295"/>
      <c r="M1099" s="294"/>
      <c r="S1099" s="294"/>
      <c r="T1099" s="299"/>
      <c r="U1099" s="294"/>
      <c r="V1099" s="299"/>
      <c r="W1099" s="299"/>
      <c r="X1099" s="294"/>
      <c r="Y1099" s="299"/>
      <c r="Z1099" s="294"/>
      <c r="AA1099" s="299"/>
      <c r="AB1099" s="299"/>
      <c r="AC1099" s="294"/>
      <c r="AD1099" s="294"/>
      <c r="AE1099" s="294"/>
      <c r="AF1099" s="294"/>
    </row>
    <row r="1100" spans="2:32" x14ac:dyDescent="0.25">
      <c r="B1100" s="294"/>
      <c r="C1100" s="294"/>
      <c r="D1100" s="294"/>
      <c r="E1100" s="294"/>
      <c r="F1100" s="294"/>
      <c r="G1100" s="294"/>
      <c r="H1100" s="294"/>
      <c r="I1100" s="294"/>
      <c r="J1100" s="294"/>
      <c r="L1100" s="295"/>
      <c r="M1100" s="294"/>
      <c r="S1100" s="294"/>
      <c r="T1100" s="299"/>
      <c r="U1100" s="294"/>
      <c r="V1100" s="299"/>
      <c r="W1100" s="299"/>
      <c r="X1100" s="294"/>
      <c r="Y1100" s="299"/>
      <c r="Z1100" s="294"/>
      <c r="AA1100" s="299"/>
      <c r="AB1100" s="299"/>
      <c r="AC1100" s="294"/>
      <c r="AD1100" s="294"/>
      <c r="AE1100" s="294"/>
      <c r="AF1100" s="294"/>
    </row>
    <row r="1101" spans="2:32" x14ac:dyDescent="0.25">
      <c r="B1101" s="294"/>
      <c r="C1101" s="294"/>
      <c r="D1101" s="294"/>
      <c r="E1101" s="294"/>
      <c r="F1101" s="294"/>
      <c r="G1101" s="294"/>
      <c r="H1101" s="294"/>
      <c r="I1101" s="294"/>
      <c r="J1101" s="294"/>
      <c r="L1101" s="295"/>
      <c r="M1101" s="294"/>
      <c r="S1101" s="294"/>
      <c r="T1101" s="299"/>
      <c r="U1101" s="294"/>
      <c r="V1101" s="299"/>
      <c r="W1101" s="299"/>
      <c r="X1101" s="294"/>
      <c r="Y1101" s="299"/>
      <c r="Z1101" s="294"/>
      <c r="AA1101" s="299"/>
      <c r="AB1101" s="299"/>
      <c r="AC1101" s="294"/>
      <c r="AD1101" s="294"/>
      <c r="AE1101" s="294"/>
      <c r="AF1101" s="294"/>
    </row>
    <row r="1102" spans="2:32" x14ac:dyDescent="0.25">
      <c r="B1102" s="294"/>
      <c r="C1102" s="294"/>
      <c r="D1102" s="294"/>
      <c r="E1102" s="294"/>
      <c r="F1102" s="294"/>
      <c r="G1102" s="294"/>
      <c r="H1102" s="294"/>
      <c r="I1102" s="294"/>
      <c r="J1102" s="294"/>
      <c r="L1102" s="295"/>
      <c r="M1102" s="294"/>
      <c r="S1102" s="294"/>
      <c r="T1102" s="299"/>
      <c r="U1102" s="294"/>
      <c r="V1102" s="299"/>
      <c r="W1102" s="299"/>
      <c r="X1102" s="294"/>
      <c r="Y1102" s="299"/>
      <c r="Z1102" s="294"/>
      <c r="AA1102" s="299"/>
      <c r="AB1102" s="299"/>
      <c r="AC1102" s="294"/>
      <c r="AD1102" s="294"/>
      <c r="AE1102" s="294"/>
      <c r="AF1102" s="294"/>
    </row>
    <row r="1103" spans="2:32" x14ac:dyDescent="0.25">
      <c r="B1103" s="294"/>
      <c r="C1103" s="294"/>
      <c r="D1103" s="294"/>
      <c r="E1103" s="294"/>
      <c r="F1103" s="294"/>
      <c r="G1103" s="294"/>
      <c r="H1103" s="294"/>
      <c r="I1103" s="294"/>
      <c r="J1103" s="294"/>
      <c r="L1103" s="295"/>
      <c r="M1103" s="294"/>
      <c r="S1103" s="294"/>
      <c r="T1103" s="299"/>
      <c r="U1103" s="294"/>
      <c r="V1103" s="299"/>
      <c r="W1103" s="299"/>
      <c r="X1103" s="294"/>
      <c r="Y1103" s="299"/>
      <c r="Z1103" s="294"/>
      <c r="AA1103" s="299"/>
      <c r="AB1103" s="299"/>
      <c r="AC1103" s="294"/>
      <c r="AD1103" s="294"/>
      <c r="AE1103" s="294"/>
      <c r="AF1103" s="294"/>
    </row>
    <row r="1104" spans="2:32" x14ac:dyDescent="0.25">
      <c r="B1104" s="294"/>
      <c r="C1104" s="294"/>
      <c r="D1104" s="294"/>
      <c r="E1104" s="294"/>
      <c r="F1104" s="294"/>
      <c r="G1104" s="294"/>
      <c r="H1104" s="294"/>
      <c r="I1104" s="294"/>
      <c r="J1104" s="294"/>
      <c r="L1104" s="295"/>
      <c r="M1104" s="294"/>
      <c r="S1104" s="294"/>
      <c r="T1104" s="299"/>
      <c r="U1104" s="294"/>
      <c r="V1104" s="299"/>
      <c r="W1104" s="299"/>
      <c r="X1104" s="294"/>
      <c r="Y1104" s="299"/>
      <c r="Z1104" s="294"/>
      <c r="AA1104" s="299"/>
      <c r="AB1104" s="299"/>
      <c r="AC1104" s="294"/>
      <c r="AD1104" s="294"/>
      <c r="AE1104" s="294"/>
      <c r="AF1104" s="294"/>
    </row>
    <row r="1105" spans="2:32" x14ac:dyDescent="0.25">
      <c r="B1105" s="294"/>
      <c r="C1105" s="294"/>
      <c r="D1105" s="294"/>
      <c r="E1105" s="294"/>
      <c r="F1105" s="294"/>
      <c r="G1105" s="294"/>
      <c r="H1105" s="294"/>
      <c r="I1105" s="294"/>
      <c r="J1105" s="294"/>
      <c r="L1105" s="295"/>
      <c r="M1105" s="294"/>
      <c r="S1105" s="294"/>
      <c r="T1105" s="299"/>
      <c r="U1105" s="294"/>
      <c r="V1105" s="299"/>
      <c r="W1105" s="299"/>
      <c r="X1105" s="294"/>
      <c r="Y1105" s="299"/>
      <c r="Z1105" s="294"/>
      <c r="AA1105" s="299"/>
      <c r="AB1105" s="299"/>
      <c r="AC1105" s="294"/>
      <c r="AD1105" s="294"/>
      <c r="AE1105" s="294"/>
      <c r="AF1105" s="294"/>
    </row>
    <row r="1106" spans="2:32" x14ac:dyDescent="0.25">
      <c r="B1106" s="294"/>
      <c r="C1106" s="294"/>
      <c r="D1106" s="294"/>
      <c r="E1106" s="294"/>
      <c r="F1106" s="294"/>
      <c r="G1106" s="294"/>
      <c r="H1106" s="294"/>
      <c r="I1106" s="294"/>
      <c r="J1106" s="294"/>
      <c r="L1106" s="295"/>
      <c r="M1106" s="294"/>
      <c r="S1106" s="294"/>
      <c r="T1106" s="299"/>
      <c r="U1106" s="294"/>
      <c r="V1106" s="299"/>
      <c r="W1106" s="299"/>
      <c r="X1106" s="294"/>
      <c r="Y1106" s="299"/>
      <c r="Z1106" s="294"/>
      <c r="AA1106" s="299"/>
      <c r="AB1106" s="299"/>
      <c r="AC1106" s="294"/>
      <c r="AD1106" s="294"/>
      <c r="AE1106" s="294"/>
      <c r="AF1106" s="294"/>
    </row>
    <row r="1107" spans="2:32" x14ac:dyDescent="0.25">
      <c r="B1107" s="294"/>
      <c r="C1107" s="294"/>
      <c r="D1107" s="294"/>
      <c r="E1107" s="294"/>
      <c r="F1107" s="294"/>
      <c r="G1107" s="294"/>
      <c r="H1107" s="294"/>
      <c r="I1107" s="294"/>
      <c r="J1107" s="294"/>
      <c r="L1107" s="295"/>
      <c r="M1107" s="294"/>
      <c r="S1107" s="294"/>
      <c r="T1107" s="299"/>
      <c r="U1107" s="294"/>
      <c r="V1107" s="299"/>
      <c r="W1107" s="299"/>
      <c r="X1107" s="294"/>
      <c r="Y1107" s="299"/>
      <c r="Z1107" s="294"/>
      <c r="AA1107" s="299"/>
      <c r="AB1107" s="299"/>
      <c r="AC1107" s="294"/>
      <c r="AD1107" s="294"/>
      <c r="AE1107" s="294"/>
      <c r="AF1107" s="294"/>
    </row>
    <row r="1108" spans="2:32" x14ac:dyDescent="0.25">
      <c r="B1108" s="294"/>
      <c r="C1108" s="294"/>
      <c r="D1108" s="294"/>
      <c r="E1108" s="294"/>
      <c r="F1108" s="294"/>
      <c r="G1108" s="294"/>
      <c r="H1108" s="294"/>
      <c r="I1108" s="294"/>
      <c r="J1108" s="294"/>
      <c r="L1108" s="295"/>
      <c r="M1108" s="294"/>
      <c r="S1108" s="294"/>
      <c r="T1108" s="299"/>
      <c r="U1108" s="294"/>
      <c r="V1108" s="299"/>
      <c r="W1108" s="299"/>
      <c r="X1108" s="294"/>
      <c r="Y1108" s="299"/>
      <c r="Z1108" s="294"/>
      <c r="AA1108" s="299"/>
      <c r="AB1108" s="299"/>
      <c r="AC1108" s="294"/>
      <c r="AD1108" s="294"/>
      <c r="AE1108" s="294"/>
      <c r="AF1108" s="294"/>
    </row>
    <row r="1109" spans="2:32" x14ac:dyDescent="0.25">
      <c r="B1109" s="294"/>
      <c r="C1109" s="294"/>
      <c r="D1109" s="294"/>
      <c r="E1109" s="294"/>
      <c r="F1109" s="294"/>
      <c r="G1109" s="294"/>
      <c r="H1109" s="294"/>
      <c r="I1109" s="294"/>
      <c r="J1109" s="294"/>
      <c r="L1109" s="295"/>
      <c r="M1109" s="294"/>
      <c r="S1109" s="294"/>
      <c r="T1109" s="299"/>
      <c r="U1109" s="294"/>
      <c r="V1109" s="299"/>
      <c r="W1109" s="299"/>
      <c r="X1109" s="294"/>
      <c r="Y1109" s="299"/>
      <c r="Z1109" s="294"/>
      <c r="AA1109" s="299"/>
      <c r="AB1109" s="299"/>
      <c r="AC1109" s="294"/>
      <c r="AD1109" s="294"/>
      <c r="AE1109" s="294"/>
      <c r="AF1109" s="294"/>
    </row>
    <row r="1110" spans="2:32" x14ac:dyDescent="0.25">
      <c r="B1110" s="294"/>
      <c r="C1110" s="294"/>
      <c r="D1110" s="294"/>
      <c r="E1110" s="294"/>
      <c r="F1110" s="294"/>
      <c r="G1110" s="294"/>
      <c r="H1110" s="294"/>
      <c r="I1110" s="294"/>
      <c r="J1110" s="294"/>
      <c r="L1110" s="295"/>
      <c r="M1110" s="294"/>
      <c r="S1110" s="294"/>
      <c r="T1110" s="299"/>
      <c r="U1110" s="294"/>
      <c r="V1110" s="299"/>
      <c r="W1110" s="299"/>
      <c r="X1110" s="294"/>
      <c r="Y1110" s="299"/>
      <c r="Z1110" s="294"/>
      <c r="AA1110" s="299"/>
      <c r="AB1110" s="299"/>
      <c r="AC1110" s="294"/>
      <c r="AD1110" s="294"/>
      <c r="AE1110" s="294"/>
      <c r="AF1110" s="294"/>
    </row>
    <row r="1111" spans="2:32" x14ac:dyDescent="0.25">
      <c r="B1111" s="294"/>
      <c r="C1111" s="294"/>
      <c r="D1111" s="294"/>
      <c r="E1111" s="294"/>
      <c r="F1111" s="294"/>
      <c r="G1111" s="294"/>
      <c r="H1111" s="294"/>
      <c r="I1111" s="294"/>
      <c r="J1111" s="294"/>
      <c r="L1111" s="295"/>
      <c r="M1111" s="294"/>
      <c r="S1111" s="294"/>
      <c r="T1111" s="299"/>
      <c r="U1111" s="294"/>
      <c r="V1111" s="299"/>
      <c r="W1111" s="299"/>
      <c r="X1111" s="294"/>
      <c r="Y1111" s="299"/>
      <c r="Z1111" s="294"/>
      <c r="AA1111" s="299"/>
      <c r="AB1111" s="299"/>
      <c r="AC1111" s="294"/>
      <c r="AD1111" s="294"/>
      <c r="AE1111" s="294"/>
      <c r="AF1111" s="294"/>
    </row>
    <row r="1112" spans="2:32" x14ac:dyDescent="0.25">
      <c r="B1112" s="294"/>
      <c r="C1112" s="294"/>
      <c r="D1112" s="294"/>
      <c r="E1112" s="294"/>
      <c r="F1112" s="294"/>
      <c r="G1112" s="294"/>
      <c r="H1112" s="294"/>
      <c r="I1112" s="294"/>
      <c r="J1112" s="294"/>
      <c r="L1112" s="295"/>
      <c r="M1112" s="294"/>
      <c r="S1112" s="294"/>
      <c r="T1112" s="299"/>
      <c r="U1112" s="294"/>
      <c r="V1112" s="299"/>
      <c r="W1112" s="299"/>
      <c r="X1112" s="294"/>
      <c r="Y1112" s="299"/>
      <c r="Z1112" s="294"/>
      <c r="AA1112" s="299"/>
      <c r="AB1112" s="299"/>
      <c r="AC1112" s="294"/>
      <c r="AD1112" s="294"/>
      <c r="AE1112" s="294"/>
      <c r="AF1112" s="294"/>
    </row>
    <row r="1113" spans="2:32" x14ac:dyDescent="0.25">
      <c r="B1113" s="294"/>
      <c r="C1113" s="294"/>
      <c r="D1113" s="294"/>
      <c r="E1113" s="294"/>
      <c r="F1113" s="294"/>
      <c r="G1113" s="294"/>
      <c r="H1113" s="294"/>
      <c r="I1113" s="294"/>
      <c r="J1113" s="294"/>
      <c r="L1113" s="295"/>
      <c r="M1113" s="294"/>
      <c r="S1113" s="294"/>
      <c r="T1113" s="299"/>
      <c r="U1113" s="294"/>
      <c r="V1113" s="299"/>
      <c r="W1113" s="299"/>
      <c r="X1113" s="294"/>
      <c r="Y1113" s="299"/>
      <c r="Z1113" s="294"/>
      <c r="AA1113" s="299"/>
      <c r="AB1113" s="299"/>
      <c r="AC1113" s="294"/>
      <c r="AD1113" s="294"/>
      <c r="AE1113" s="294"/>
      <c r="AF1113" s="294"/>
    </row>
    <row r="1114" spans="2:32" x14ac:dyDescent="0.25">
      <c r="B1114" s="294"/>
      <c r="C1114" s="294"/>
      <c r="D1114" s="294"/>
      <c r="E1114" s="294"/>
      <c r="F1114" s="294"/>
      <c r="G1114" s="294"/>
      <c r="H1114" s="294"/>
      <c r="I1114" s="294"/>
      <c r="J1114" s="294"/>
      <c r="L1114" s="295"/>
      <c r="M1114" s="294"/>
      <c r="S1114" s="294"/>
      <c r="T1114" s="299"/>
      <c r="U1114" s="294"/>
      <c r="V1114" s="299"/>
      <c r="W1114" s="299"/>
      <c r="X1114" s="294"/>
      <c r="Y1114" s="299"/>
      <c r="Z1114" s="294"/>
      <c r="AA1114" s="299"/>
      <c r="AB1114" s="299"/>
      <c r="AC1114" s="294"/>
      <c r="AD1114" s="294"/>
      <c r="AE1114" s="294"/>
      <c r="AF1114" s="294"/>
    </row>
    <row r="1115" spans="2:32" x14ac:dyDescent="0.25">
      <c r="B1115" s="294"/>
      <c r="C1115" s="294"/>
      <c r="D1115" s="294"/>
      <c r="E1115" s="294"/>
      <c r="F1115" s="294"/>
      <c r="G1115" s="294"/>
      <c r="H1115" s="294"/>
      <c r="I1115" s="294"/>
      <c r="J1115" s="294"/>
      <c r="L1115" s="295"/>
      <c r="M1115" s="294"/>
      <c r="S1115" s="294"/>
      <c r="T1115" s="299"/>
      <c r="U1115" s="294"/>
      <c r="V1115" s="299"/>
      <c r="W1115" s="299"/>
      <c r="X1115" s="294"/>
      <c r="Y1115" s="299"/>
      <c r="Z1115" s="294"/>
      <c r="AA1115" s="299"/>
      <c r="AB1115" s="299"/>
      <c r="AC1115" s="294"/>
      <c r="AD1115" s="294"/>
      <c r="AE1115" s="294"/>
      <c r="AF1115" s="294"/>
    </row>
    <row r="1116" spans="2:32" x14ac:dyDescent="0.25">
      <c r="B1116" s="294"/>
      <c r="C1116" s="294"/>
      <c r="D1116" s="294"/>
      <c r="E1116" s="294"/>
      <c r="F1116" s="294"/>
      <c r="G1116" s="294"/>
      <c r="H1116" s="294"/>
      <c r="I1116" s="294"/>
      <c r="J1116" s="294"/>
      <c r="L1116" s="295"/>
      <c r="M1116" s="294"/>
      <c r="S1116" s="294"/>
      <c r="T1116" s="299"/>
      <c r="U1116" s="294"/>
      <c r="V1116" s="299"/>
      <c r="W1116" s="299"/>
      <c r="X1116" s="294"/>
      <c r="Y1116" s="299"/>
      <c r="Z1116" s="294"/>
      <c r="AA1116" s="299"/>
      <c r="AB1116" s="299"/>
      <c r="AC1116" s="294"/>
      <c r="AD1116" s="294"/>
      <c r="AE1116" s="294"/>
      <c r="AF1116" s="294"/>
    </row>
    <row r="1117" spans="2:32" x14ac:dyDescent="0.25">
      <c r="B1117" s="294"/>
      <c r="C1117" s="294"/>
      <c r="D1117" s="294"/>
      <c r="E1117" s="294"/>
      <c r="F1117" s="294"/>
      <c r="G1117" s="294"/>
      <c r="H1117" s="294"/>
      <c r="I1117" s="294"/>
      <c r="J1117" s="294"/>
      <c r="L1117" s="295"/>
      <c r="M1117" s="294"/>
      <c r="S1117" s="294"/>
      <c r="T1117" s="299"/>
      <c r="U1117" s="294"/>
      <c r="V1117" s="299"/>
      <c r="W1117" s="299"/>
      <c r="X1117" s="294"/>
      <c r="Y1117" s="299"/>
      <c r="Z1117" s="294"/>
      <c r="AA1117" s="299"/>
      <c r="AB1117" s="299"/>
      <c r="AC1117" s="294"/>
      <c r="AD1117" s="294"/>
      <c r="AE1117" s="294"/>
      <c r="AF1117" s="294"/>
    </row>
    <row r="1118" spans="2:32" x14ac:dyDescent="0.25">
      <c r="B1118" s="294"/>
      <c r="C1118" s="294"/>
      <c r="D1118" s="294"/>
      <c r="E1118" s="294"/>
      <c r="F1118" s="294"/>
      <c r="G1118" s="294"/>
      <c r="H1118" s="294"/>
      <c r="I1118" s="294"/>
      <c r="J1118" s="294"/>
      <c r="L1118" s="295"/>
      <c r="M1118" s="294"/>
      <c r="S1118" s="294"/>
      <c r="T1118" s="299"/>
      <c r="U1118" s="294"/>
      <c r="V1118" s="299"/>
      <c r="W1118" s="299"/>
      <c r="X1118" s="294"/>
      <c r="Y1118" s="299"/>
      <c r="Z1118" s="294"/>
      <c r="AA1118" s="299"/>
      <c r="AB1118" s="299"/>
      <c r="AC1118" s="294"/>
      <c r="AD1118" s="294"/>
      <c r="AE1118" s="294"/>
      <c r="AF1118" s="294"/>
    </row>
    <row r="1119" spans="2:32" x14ac:dyDescent="0.25">
      <c r="B1119" s="294"/>
      <c r="C1119" s="294"/>
      <c r="D1119" s="294"/>
      <c r="E1119" s="294"/>
      <c r="F1119" s="294"/>
      <c r="G1119" s="294"/>
      <c r="H1119" s="294"/>
      <c r="I1119" s="294"/>
      <c r="J1119" s="294"/>
      <c r="L1119" s="295"/>
      <c r="M1119" s="294"/>
      <c r="S1119" s="294"/>
      <c r="T1119" s="299"/>
      <c r="U1119" s="294"/>
      <c r="V1119" s="299"/>
      <c r="W1119" s="299"/>
      <c r="X1119" s="294"/>
      <c r="Y1119" s="299"/>
      <c r="Z1119" s="294"/>
      <c r="AA1119" s="299"/>
      <c r="AB1119" s="299"/>
      <c r="AC1119" s="294"/>
      <c r="AD1119" s="294"/>
      <c r="AE1119" s="294"/>
      <c r="AF1119" s="294"/>
    </row>
    <row r="1120" spans="2:32" x14ac:dyDescent="0.25">
      <c r="B1120" s="294"/>
      <c r="C1120" s="294"/>
      <c r="D1120" s="294"/>
      <c r="E1120" s="294"/>
      <c r="F1120" s="294"/>
      <c r="G1120" s="294"/>
      <c r="H1120" s="294"/>
      <c r="I1120" s="294"/>
      <c r="J1120" s="294"/>
      <c r="L1120" s="295"/>
      <c r="M1120" s="294"/>
      <c r="S1120" s="294"/>
      <c r="T1120" s="299"/>
      <c r="U1120" s="294"/>
      <c r="V1120" s="299"/>
      <c r="W1120" s="299"/>
      <c r="X1120" s="294"/>
      <c r="Y1120" s="299"/>
      <c r="Z1120" s="294"/>
      <c r="AA1120" s="299"/>
      <c r="AB1120" s="299"/>
      <c r="AC1120" s="294"/>
      <c r="AD1120" s="294"/>
      <c r="AE1120" s="294"/>
      <c r="AF1120" s="294"/>
    </row>
    <row r="1121" spans="2:32" x14ac:dyDescent="0.25">
      <c r="B1121" s="294"/>
      <c r="C1121" s="294"/>
      <c r="D1121" s="294"/>
      <c r="E1121" s="294"/>
      <c r="F1121" s="294"/>
      <c r="G1121" s="294"/>
      <c r="H1121" s="294"/>
      <c r="I1121" s="294"/>
      <c r="J1121" s="294"/>
      <c r="L1121" s="295"/>
      <c r="M1121" s="294"/>
      <c r="S1121" s="294"/>
      <c r="T1121" s="299"/>
      <c r="U1121" s="294"/>
      <c r="V1121" s="299"/>
      <c r="W1121" s="299"/>
      <c r="X1121" s="294"/>
      <c r="Y1121" s="299"/>
      <c r="Z1121" s="294"/>
      <c r="AA1121" s="299"/>
      <c r="AB1121" s="299"/>
      <c r="AC1121" s="294"/>
      <c r="AD1121" s="294"/>
      <c r="AE1121" s="294"/>
      <c r="AF1121" s="294"/>
    </row>
    <row r="1122" spans="2:32" x14ac:dyDescent="0.25">
      <c r="B1122" s="294"/>
      <c r="C1122" s="294"/>
      <c r="D1122" s="294"/>
      <c r="E1122" s="294"/>
      <c r="F1122" s="294"/>
      <c r="G1122" s="294"/>
      <c r="H1122" s="294"/>
      <c r="I1122" s="294"/>
      <c r="J1122" s="294"/>
      <c r="L1122" s="295"/>
      <c r="M1122" s="294"/>
      <c r="S1122" s="294"/>
      <c r="T1122" s="299"/>
      <c r="U1122" s="294"/>
      <c r="V1122" s="299"/>
      <c r="W1122" s="299"/>
      <c r="X1122" s="294"/>
      <c r="Y1122" s="299"/>
      <c r="Z1122" s="294"/>
      <c r="AA1122" s="299"/>
      <c r="AB1122" s="299"/>
      <c r="AC1122" s="294"/>
      <c r="AD1122" s="294"/>
      <c r="AE1122" s="294"/>
      <c r="AF1122" s="294"/>
    </row>
    <row r="1123" spans="2:32" x14ac:dyDescent="0.25">
      <c r="B1123" s="294"/>
      <c r="C1123" s="294"/>
      <c r="D1123" s="294"/>
      <c r="E1123" s="294"/>
      <c r="F1123" s="294"/>
      <c r="G1123" s="294"/>
      <c r="H1123" s="294"/>
      <c r="I1123" s="294"/>
      <c r="J1123" s="294"/>
      <c r="L1123" s="295"/>
      <c r="M1123" s="294"/>
      <c r="S1123" s="294"/>
      <c r="T1123" s="299"/>
      <c r="U1123" s="294"/>
      <c r="V1123" s="299"/>
      <c r="W1123" s="299"/>
      <c r="X1123" s="294"/>
      <c r="Y1123" s="299"/>
      <c r="Z1123" s="294"/>
      <c r="AA1123" s="299"/>
      <c r="AB1123" s="299"/>
      <c r="AC1123" s="294"/>
      <c r="AD1123" s="294"/>
      <c r="AE1123" s="294"/>
      <c r="AF1123" s="294"/>
    </row>
    <row r="1124" spans="2:32" x14ac:dyDescent="0.25">
      <c r="B1124" s="294"/>
      <c r="C1124" s="294"/>
      <c r="D1124" s="294"/>
      <c r="E1124" s="294"/>
      <c r="F1124" s="294"/>
      <c r="G1124" s="294"/>
      <c r="H1124" s="294"/>
      <c r="I1124" s="294"/>
      <c r="J1124" s="294"/>
      <c r="L1124" s="295"/>
      <c r="M1124" s="294"/>
      <c r="S1124" s="294"/>
      <c r="T1124" s="299"/>
      <c r="U1124" s="294"/>
      <c r="V1124" s="299"/>
      <c r="W1124" s="299"/>
      <c r="X1124" s="294"/>
      <c r="Y1124" s="299"/>
      <c r="Z1124" s="294"/>
      <c r="AA1124" s="299"/>
      <c r="AB1124" s="299"/>
      <c r="AC1124" s="294"/>
      <c r="AD1124" s="294"/>
      <c r="AE1124" s="294"/>
      <c r="AF1124" s="294"/>
    </row>
    <row r="1125" spans="2:32" x14ac:dyDescent="0.25">
      <c r="B1125" s="294"/>
      <c r="C1125" s="294"/>
      <c r="D1125" s="294"/>
      <c r="E1125" s="294"/>
      <c r="F1125" s="294"/>
      <c r="G1125" s="294"/>
      <c r="H1125" s="294"/>
      <c r="I1125" s="294"/>
      <c r="J1125" s="294"/>
      <c r="L1125" s="295"/>
      <c r="M1125" s="294"/>
      <c r="S1125" s="294"/>
      <c r="T1125" s="299"/>
      <c r="U1125" s="294"/>
      <c r="V1125" s="299"/>
      <c r="W1125" s="299"/>
      <c r="X1125" s="294"/>
      <c r="Y1125" s="299"/>
      <c r="Z1125" s="294"/>
      <c r="AA1125" s="299"/>
      <c r="AB1125" s="299"/>
      <c r="AC1125" s="294"/>
      <c r="AD1125" s="294"/>
      <c r="AE1125" s="294"/>
      <c r="AF1125" s="294"/>
    </row>
    <row r="1126" spans="2:32" x14ac:dyDescent="0.25">
      <c r="B1126" s="294"/>
      <c r="C1126" s="294"/>
      <c r="D1126" s="294"/>
      <c r="E1126" s="294"/>
      <c r="F1126" s="294"/>
      <c r="G1126" s="294"/>
      <c r="H1126" s="294"/>
      <c r="I1126" s="294"/>
      <c r="J1126" s="294"/>
      <c r="L1126" s="295"/>
      <c r="M1126" s="294"/>
      <c r="S1126" s="294"/>
      <c r="T1126" s="299"/>
      <c r="U1126" s="294"/>
      <c r="V1126" s="299"/>
      <c r="W1126" s="299"/>
      <c r="X1126" s="294"/>
      <c r="Y1126" s="299"/>
      <c r="Z1126" s="294"/>
      <c r="AA1126" s="299"/>
      <c r="AB1126" s="299"/>
      <c r="AC1126" s="294"/>
      <c r="AD1126" s="294"/>
      <c r="AE1126" s="294"/>
      <c r="AF1126" s="294"/>
    </row>
    <row r="1127" spans="2:32" x14ac:dyDescent="0.25">
      <c r="B1127" s="294"/>
      <c r="C1127" s="294"/>
      <c r="D1127" s="294"/>
      <c r="E1127" s="294"/>
      <c r="F1127" s="294"/>
      <c r="G1127" s="294"/>
      <c r="H1127" s="294"/>
      <c r="I1127" s="294"/>
      <c r="J1127" s="294"/>
      <c r="L1127" s="295"/>
      <c r="M1127" s="294"/>
      <c r="S1127" s="294"/>
      <c r="T1127" s="299"/>
      <c r="U1127" s="294"/>
      <c r="V1127" s="299"/>
      <c r="W1127" s="299"/>
      <c r="X1127" s="294"/>
      <c r="Y1127" s="299"/>
      <c r="Z1127" s="294"/>
      <c r="AA1127" s="299"/>
      <c r="AB1127" s="299"/>
      <c r="AC1127" s="294"/>
      <c r="AD1127" s="294"/>
      <c r="AE1127" s="294"/>
      <c r="AF1127" s="294"/>
    </row>
    <row r="1128" spans="2:32" x14ac:dyDescent="0.25">
      <c r="B1128" s="294"/>
      <c r="C1128" s="294"/>
      <c r="D1128" s="294"/>
      <c r="E1128" s="294"/>
      <c r="F1128" s="294"/>
      <c r="G1128" s="294"/>
      <c r="H1128" s="294"/>
      <c r="I1128" s="294"/>
      <c r="J1128" s="294"/>
      <c r="L1128" s="295"/>
      <c r="M1128" s="294"/>
      <c r="S1128" s="294"/>
      <c r="T1128" s="299"/>
      <c r="U1128" s="294"/>
      <c r="V1128" s="299"/>
      <c r="W1128" s="299"/>
      <c r="X1128" s="294"/>
      <c r="Y1128" s="299"/>
      <c r="Z1128" s="294"/>
      <c r="AA1128" s="299"/>
      <c r="AB1128" s="299"/>
      <c r="AC1128" s="294"/>
      <c r="AD1128" s="294"/>
      <c r="AE1128" s="294"/>
      <c r="AF1128" s="294"/>
    </row>
    <row r="1129" spans="2:32" x14ac:dyDescent="0.25">
      <c r="B1129" s="294"/>
      <c r="C1129" s="294"/>
      <c r="D1129" s="294"/>
      <c r="E1129" s="294"/>
      <c r="F1129" s="294"/>
      <c r="G1129" s="294"/>
      <c r="H1129" s="294"/>
      <c r="I1129" s="294"/>
      <c r="J1129" s="294"/>
      <c r="L1129" s="295"/>
      <c r="M1129" s="294"/>
      <c r="S1129" s="294"/>
      <c r="T1129" s="299"/>
      <c r="U1129" s="294"/>
      <c r="V1129" s="299"/>
      <c r="W1129" s="299"/>
      <c r="X1129" s="294"/>
      <c r="Y1129" s="299"/>
      <c r="Z1129" s="294"/>
      <c r="AA1129" s="299"/>
      <c r="AB1129" s="299"/>
      <c r="AC1129" s="294"/>
      <c r="AD1129" s="294"/>
      <c r="AE1129" s="294"/>
      <c r="AF1129" s="294"/>
    </row>
    <row r="1130" spans="2:32" x14ac:dyDescent="0.25">
      <c r="B1130" s="294"/>
      <c r="C1130" s="294"/>
      <c r="D1130" s="294"/>
      <c r="E1130" s="294"/>
      <c r="F1130" s="294"/>
      <c r="G1130" s="294"/>
      <c r="H1130" s="294"/>
      <c r="I1130" s="294"/>
      <c r="J1130" s="294"/>
      <c r="L1130" s="295"/>
      <c r="M1130" s="294"/>
      <c r="S1130" s="294"/>
      <c r="T1130" s="299"/>
      <c r="U1130" s="294"/>
      <c r="V1130" s="299"/>
      <c r="W1130" s="299"/>
      <c r="X1130" s="294"/>
      <c r="Y1130" s="299"/>
      <c r="Z1130" s="294"/>
      <c r="AA1130" s="299"/>
      <c r="AB1130" s="299"/>
      <c r="AC1130" s="294"/>
      <c r="AD1130" s="294"/>
      <c r="AE1130" s="294"/>
      <c r="AF1130" s="294"/>
    </row>
    <row r="1131" spans="2:32" x14ac:dyDescent="0.25">
      <c r="B1131" s="294"/>
      <c r="C1131" s="294"/>
      <c r="D1131" s="294"/>
      <c r="E1131" s="294"/>
      <c r="F1131" s="294"/>
      <c r="G1131" s="294"/>
      <c r="H1131" s="294"/>
      <c r="I1131" s="294"/>
      <c r="J1131" s="294"/>
      <c r="L1131" s="295"/>
      <c r="M1131" s="294"/>
      <c r="S1131" s="294"/>
      <c r="T1131" s="299"/>
      <c r="U1131" s="294"/>
      <c r="V1131" s="299"/>
      <c r="W1131" s="299"/>
      <c r="X1131" s="294"/>
      <c r="Y1131" s="299"/>
      <c r="Z1131" s="294"/>
      <c r="AA1131" s="299"/>
      <c r="AB1131" s="299"/>
      <c r="AC1131" s="294"/>
      <c r="AD1131" s="294"/>
      <c r="AE1131" s="294"/>
      <c r="AF1131" s="294"/>
    </row>
    <row r="1132" spans="2:32" x14ac:dyDescent="0.25">
      <c r="B1132" s="294"/>
      <c r="C1132" s="294"/>
      <c r="D1132" s="294"/>
      <c r="E1132" s="294"/>
      <c r="F1132" s="294"/>
      <c r="G1132" s="294"/>
      <c r="H1132" s="294"/>
      <c r="I1132" s="294"/>
      <c r="J1132" s="294"/>
      <c r="L1132" s="295"/>
      <c r="M1132" s="294"/>
      <c r="S1132" s="294"/>
      <c r="T1132" s="299"/>
      <c r="U1132" s="294"/>
      <c r="V1132" s="299"/>
      <c r="W1132" s="299"/>
      <c r="X1132" s="294"/>
      <c r="Y1132" s="299"/>
      <c r="Z1132" s="294"/>
      <c r="AA1132" s="299"/>
      <c r="AB1132" s="299"/>
      <c r="AC1132" s="294"/>
      <c r="AD1132" s="294"/>
      <c r="AE1132" s="294"/>
      <c r="AF1132" s="294"/>
    </row>
    <row r="1133" spans="2:32" x14ac:dyDescent="0.25">
      <c r="B1133" s="294"/>
      <c r="C1133" s="294"/>
      <c r="D1133" s="294"/>
      <c r="E1133" s="294"/>
      <c r="F1133" s="294"/>
      <c r="G1133" s="294"/>
      <c r="H1133" s="294"/>
      <c r="I1133" s="294"/>
      <c r="J1133" s="294"/>
      <c r="L1133" s="295"/>
      <c r="M1133" s="294"/>
      <c r="S1133" s="294"/>
      <c r="T1133" s="299"/>
      <c r="U1133" s="294"/>
      <c r="V1133" s="299"/>
      <c r="W1133" s="299"/>
      <c r="X1133" s="294"/>
      <c r="Y1133" s="299"/>
      <c r="Z1133" s="294"/>
      <c r="AA1133" s="299"/>
      <c r="AB1133" s="299"/>
      <c r="AC1133" s="294"/>
      <c r="AD1133" s="294"/>
      <c r="AE1133" s="294"/>
      <c r="AF1133" s="294"/>
    </row>
    <row r="1134" spans="2:32" x14ac:dyDescent="0.25">
      <c r="B1134" s="294"/>
      <c r="C1134" s="294"/>
      <c r="D1134" s="294"/>
      <c r="E1134" s="294"/>
      <c r="F1134" s="294"/>
      <c r="G1134" s="294"/>
      <c r="H1134" s="294"/>
      <c r="I1134" s="294"/>
      <c r="J1134" s="294"/>
      <c r="L1134" s="295"/>
      <c r="M1134" s="294"/>
      <c r="S1134" s="294"/>
      <c r="T1134" s="299"/>
      <c r="U1134" s="294"/>
      <c r="V1134" s="299"/>
      <c r="W1134" s="299"/>
      <c r="X1134" s="294"/>
      <c r="Y1134" s="299"/>
      <c r="Z1134" s="294"/>
      <c r="AA1134" s="299"/>
      <c r="AB1134" s="299"/>
      <c r="AC1134" s="294"/>
      <c r="AD1134" s="294"/>
      <c r="AE1134" s="294"/>
      <c r="AF1134" s="294"/>
    </row>
    <row r="1135" spans="2:32" x14ac:dyDescent="0.25">
      <c r="B1135" s="294"/>
      <c r="C1135" s="294"/>
      <c r="D1135" s="294"/>
      <c r="E1135" s="294"/>
      <c r="F1135" s="294"/>
      <c r="G1135" s="294"/>
      <c r="H1135" s="294"/>
      <c r="I1135" s="294"/>
      <c r="J1135" s="294"/>
      <c r="L1135" s="295"/>
      <c r="M1135" s="294"/>
      <c r="S1135" s="294"/>
      <c r="T1135" s="299"/>
      <c r="U1135" s="294"/>
      <c r="V1135" s="299"/>
      <c r="W1135" s="299"/>
      <c r="X1135" s="294"/>
      <c r="Y1135" s="299"/>
      <c r="Z1135" s="294"/>
      <c r="AA1135" s="299"/>
      <c r="AB1135" s="299"/>
      <c r="AC1135" s="294"/>
      <c r="AD1135" s="294"/>
      <c r="AE1135" s="294"/>
      <c r="AF1135" s="294"/>
    </row>
    <row r="1136" spans="2:32" x14ac:dyDescent="0.25">
      <c r="B1136" s="294"/>
      <c r="C1136" s="294"/>
      <c r="D1136" s="294"/>
      <c r="E1136" s="294"/>
      <c r="F1136" s="294"/>
      <c r="G1136" s="294"/>
      <c r="H1136" s="294"/>
      <c r="I1136" s="294"/>
      <c r="J1136" s="294"/>
      <c r="L1136" s="295"/>
      <c r="M1136" s="294"/>
      <c r="S1136" s="294"/>
      <c r="T1136" s="299"/>
      <c r="U1136" s="294"/>
      <c r="V1136" s="299"/>
      <c r="W1136" s="299"/>
      <c r="X1136" s="294"/>
      <c r="Y1136" s="299"/>
      <c r="Z1136" s="294"/>
      <c r="AA1136" s="299"/>
      <c r="AB1136" s="299"/>
      <c r="AC1136" s="294"/>
      <c r="AD1136" s="294"/>
      <c r="AE1136" s="294"/>
      <c r="AF1136" s="294"/>
    </row>
    <row r="1137" spans="2:32" x14ac:dyDescent="0.25">
      <c r="B1137" s="294"/>
      <c r="C1137" s="294"/>
      <c r="D1137" s="294"/>
      <c r="E1137" s="294"/>
      <c r="F1137" s="294"/>
      <c r="G1137" s="294"/>
      <c r="H1137" s="294"/>
      <c r="I1137" s="294"/>
      <c r="J1137" s="294"/>
      <c r="L1137" s="295"/>
      <c r="M1137" s="294"/>
      <c r="S1137" s="294"/>
      <c r="T1137" s="299"/>
      <c r="U1137" s="294"/>
      <c r="V1137" s="299"/>
      <c r="W1137" s="299"/>
      <c r="X1137" s="294"/>
      <c r="Y1137" s="299"/>
      <c r="Z1137" s="294"/>
      <c r="AA1137" s="299"/>
      <c r="AB1137" s="299"/>
      <c r="AC1137" s="294"/>
      <c r="AD1137" s="294"/>
      <c r="AE1137" s="294"/>
      <c r="AF1137" s="294"/>
    </row>
    <row r="1138" spans="2:32" x14ac:dyDescent="0.25">
      <c r="B1138" s="294"/>
      <c r="C1138" s="294"/>
      <c r="D1138" s="294"/>
      <c r="E1138" s="294"/>
      <c r="F1138" s="294"/>
      <c r="G1138" s="294"/>
      <c r="H1138" s="294"/>
      <c r="I1138" s="294"/>
      <c r="J1138" s="294"/>
      <c r="L1138" s="295"/>
      <c r="M1138" s="294"/>
      <c r="S1138" s="294"/>
      <c r="T1138" s="299"/>
      <c r="U1138" s="294"/>
      <c r="V1138" s="299"/>
      <c r="W1138" s="299"/>
      <c r="X1138" s="294"/>
      <c r="Y1138" s="299"/>
      <c r="Z1138" s="294"/>
      <c r="AA1138" s="299"/>
      <c r="AB1138" s="299"/>
      <c r="AC1138" s="294"/>
      <c r="AD1138" s="294"/>
      <c r="AE1138" s="294"/>
      <c r="AF1138" s="294"/>
    </row>
    <row r="1139" spans="2:32" x14ac:dyDescent="0.25">
      <c r="B1139" s="294"/>
      <c r="C1139" s="294"/>
      <c r="D1139" s="294"/>
      <c r="E1139" s="294"/>
      <c r="F1139" s="294"/>
      <c r="G1139" s="294"/>
      <c r="H1139" s="294"/>
      <c r="I1139" s="294"/>
      <c r="J1139" s="294"/>
      <c r="L1139" s="295"/>
      <c r="M1139" s="294"/>
      <c r="S1139" s="294"/>
      <c r="T1139" s="299"/>
      <c r="U1139" s="294"/>
      <c r="V1139" s="299"/>
      <c r="W1139" s="299"/>
      <c r="X1139" s="294"/>
      <c r="Y1139" s="299"/>
      <c r="Z1139" s="294"/>
      <c r="AA1139" s="299"/>
      <c r="AB1139" s="299"/>
      <c r="AC1139" s="294"/>
      <c r="AD1139" s="294"/>
      <c r="AE1139" s="294"/>
      <c r="AF1139" s="294"/>
    </row>
    <row r="1140" spans="2:32" x14ac:dyDescent="0.25">
      <c r="B1140" s="294"/>
      <c r="C1140" s="294"/>
      <c r="D1140" s="294"/>
      <c r="E1140" s="294"/>
      <c r="F1140" s="294"/>
      <c r="G1140" s="294"/>
      <c r="H1140" s="294"/>
      <c r="I1140" s="294"/>
      <c r="J1140" s="294"/>
      <c r="L1140" s="295"/>
      <c r="M1140" s="294"/>
      <c r="S1140" s="294"/>
      <c r="T1140" s="299"/>
      <c r="U1140" s="294"/>
      <c r="V1140" s="299"/>
      <c r="W1140" s="299"/>
      <c r="X1140" s="294"/>
      <c r="Y1140" s="299"/>
      <c r="Z1140" s="294"/>
      <c r="AA1140" s="299"/>
      <c r="AB1140" s="299"/>
      <c r="AC1140" s="294"/>
      <c r="AD1140" s="294"/>
      <c r="AE1140" s="294"/>
      <c r="AF1140" s="294"/>
    </row>
    <row r="1141" spans="2:32" x14ac:dyDescent="0.25">
      <c r="B1141" s="294"/>
      <c r="C1141" s="294"/>
      <c r="D1141" s="294"/>
      <c r="E1141" s="294"/>
      <c r="F1141" s="294"/>
      <c r="G1141" s="294"/>
      <c r="H1141" s="294"/>
      <c r="I1141" s="294"/>
      <c r="J1141" s="294"/>
      <c r="L1141" s="295"/>
      <c r="M1141" s="294"/>
      <c r="S1141" s="294"/>
      <c r="T1141" s="299"/>
      <c r="U1141" s="294"/>
      <c r="V1141" s="299"/>
      <c r="W1141" s="299"/>
      <c r="X1141" s="294"/>
      <c r="Y1141" s="299"/>
      <c r="Z1141" s="294"/>
      <c r="AA1141" s="299"/>
      <c r="AB1141" s="299"/>
      <c r="AC1141" s="294"/>
      <c r="AD1141" s="294"/>
      <c r="AE1141" s="294"/>
      <c r="AF1141" s="294"/>
    </row>
    <row r="1142" spans="2:32" x14ac:dyDescent="0.25">
      <c r="B1142" s="294"/>
      <c r="C1142" s="294"/>
      <c r="D1142" s="294"/>
      <c r="E1142" s="294"/>
      <c r="F1142" s="294"/>
      <c r="G1142" s="294"/>
      <c r="H1142" s="294"/>
      <c r="I1142" s="294"/>
      <c r="J1142" s="294"/>
      <c r="L1142" s="295"/>
      <c r="M1142" s="294"/>
      <c r="S1142" s="294"/>
      <c r="T1142" s="299"/>
      <c r="U1142" s="294"/>
      <c r="V1142" s="299"/>
      <c r="W1142" s="299"/>
      <c r="X1142" s="294"/>
      <c r="Y1142" s="299"/>
      <c r="Z1142" s="294"/>
      <c r="AA1142" s="299"/>
      <c r="AB1142" s="299"/>
      <c r="AC1142" s="294"/>
      <c r="AD1142" s="294"/>
      <c r="AE1142" s="294"/>
      <c r="AF1142" s="294"/>
    </row>
    <row r="1143" spans="2:32" x14ac:dyDescent="0.25">
      <c r="B1143" s="294"/>
      <c r="C1143" s="294"/>
      <c r="D1143" s="294"/>
      <c r="E1143" s="294"/>
      <c r="F1143" s="294"/>
      <c r="G1143" s="294"/>
      <c r="H1143" s="294"/>
      <c r="I1143" s="294"/>
      <c r="J1143" s="294"/>
      <c r="L1143" s="295"/>
      <c r="M1143" s="294"/>
      <c r="S1143" s="294"/>
      <c r="T1143" s="299"/>
      <c r="U1143" s="294"/>
      <c r="V1143" s="299"/>
      <c r="W1143" s="299"/>
      <c r="X1143" s="294"/>
      <c r="Y1143" s="299"/>
      <c r="Z1143" s="294"/>
      <c r="AA1143" s="299"/>
      <c r="AB1143" s="299"/>
      <c r="AC1143" s="294"/>
      <c r="AD1143" s="294"/>
      <c r="AE1143" s="294"/>
      <c r="AF1143" s="294"/>
    </row>
    <row r="1144" spans="2:32" x14ac:dyDescent="0.25">
      <c r="B1144" s="294"/>
      <c r="C1144" s="294"/>
      <c r="D1144" s="294"/>
      <c r="E1144" s="294"/>
      <c r="F1144" s="294"/>
      <c r="G1144" s="294"/>
      <c r="H1144" s="294"/>
      <c r="I1144" s="294"/>
      <c r="J1144" s="294"/>
      <c r="L1144" s="295"/>
      <c r="M1144" s="294"/>
      <c r="S1144" s="294"/>
      <c r="T1144" s="299"/>
      <c r="U1144" s="294"/>
      <c r="V1144" s="299"/>
      <c r="W1144" s="299"/>
      <c r="X1144" s="294"/>
      <c r="Y1144" s="299"/>
      <c r="Z1144" s="294"/>
      <c r="AA1144" s="299"/>
      <c r="AB1144" s="299"/>
      <c r="AC1144" s="294"/>
      <c r="AD1144" s="294"/>
      <c r="AE1144" s="294"/>
      <c r="AF1144" s="294"/>
    </row>
    <row r="1145" spans="2:32" x14ac:dyDescent="0.25">
      <c r="B1145" s="294"/>
      <c r="C1145" s="294"/>
      <c r="D1145" s="294"/>
      <c r="E1145" s="294"/>
      <c r="F1145" s="294"/>
      <c r="G1145" s="294"/>
      <c r="H1145" s="294"/>
      <c r="I1145" s="294"/>
      <c r="J1145" s="294"/>
      <c r="L1145" s="295"/>
      <c r="M1145" s="294"/>
      <c r="S1145" s="294"/>
      <c r="T1145" s="299"/>
      <c r="U1145" s="294"/>
      <c r="V1145" s="299"/>
      <c r="W1145" s="299"/>
      <c r="X1145" s="294"/>
      <c r="Y1145" s="299"/>
      <c r="Z1145" s="294"/>
      <c r="AA1145" s="299"/>
      <c r="AB1145" s="299"/>
      <c r="AC1145" s="294"/>
      <c r="AD1145" s="294"/>
      <c r="AE1145" s="294"/>
      <c r="AF1145" s="294"/>
    </row>
    <row r="1146" spans="2:32" x14ac:dyDescent="0.25">
      <c r="B1146" s="294"/>
      <c r="C1146" s="294"/>
      <c r="D1146" s="294"/>
      <c r="E1146" s="294"/>
      <c r="F1146" s="294"/>
      <c r="G1146" s="294"/>
      <c r="H1146" s="294"/>
      <c r="I1146" s="294"/>
      <c r="J1146" s="294"/>
      <c r="L1146" s="295"/>
      <c r="M1146" s="294"/>
      <c r="S1146" s="294"/>
      <c r="T1146" s="299"/>
      <c r="U1146" s="294"/>
      <c r="V1146" s="299"/>
      <c r="W1146" s="299"/>
      <c r="X1146" s="294"/>
      <c r="Y1146" s="299"/>
      <c r="Z1146" s="294"/>
      <c r="AA1146" s="299"/>
      <c r="AB1146" s="299"/>
      <c r="AC1146" s="294"/>
      <c r="AD1146" s="294"/>
      <c r="AE1146" s="294"/>
      <c r="AF1146" s="294"/>
    </row>
    <row r="1147" spans="2:32" x14ac:dyDescent="0.25">
      <c r="B1147" s="294"/>
      <c r="C1147" s="294"/>
      <c r="D1147" s="294"/>
      <c r="E1147" s="294"/>
      <c r="F1147" s="294"/>
      <c r="G1147" s="294"/>
      <c r="H1147" s="294"/>
      <c r="I1147" s="294"/>
      <c r="J1147" s="294"/>
      <c r="L1147" s="295"/>
      <c r="M1147" s="294"/>
      <c r="S1147" s="294"/>
      <c r="T1147" s="299"/>
      <c r="U1147" s="294"/>
      <c r="V1147" s="299"/>
      <c r="W1147" s="299"/>
      <c r="X1147" s="294"/>
      <c r="Y1147" s="299"/>
      <c r="Z1147" s="294"/>
      <c r="AA1147" s="299"/>
      <c r="AB1147" s="299"/>
      <c r="AC1147" s="294"/>
      <c r="AD1147" s="294"/>
      <c r="AE1147" s="294"/>
      <c r="AF1147" s="294"/>
    </row>
    <row r="1148" spans="2:32" x14ac:dyDescent="0.25">
      <c r="B1148" s="294"/>
      <c r="C1148" s="294"/>
      <c r="D1148" s="294"/>
      <c r="E1148" s="294"/>
      <c r="F1148" s="294"/>
      <c r="G1148" s="294"/>
      <c r="H1148" s="294"/>
      <c r="I1148" s="294"/>
      <c r="J1148" s="294"/>
      <c r="L1148" s="295"/>
      <c r="M1148" s="294"/>
      <c r="S1148" s="294"/>
      <c r="T1148" s="299"/>
      <c r="U1148" s="294"/>
      <c r="V1148" s="299"/>
      <c r="W1148" s="299"/>
      <c r="X1148" s="294"/>
      <c r="Y1148" s="299"/>
      <c r="Z1148" s="294"/>
      <c r="AA1148" s="299"/>
      <c r="AB1148" s="299"/>
      <c r="AC1148" s="294"/>
      <c r="AD1148" s="294"/>
      <c r="AE1148" s="294"/>
      <c r="AF1148" s="294"/>
    </row>
    <row r="1149" spans="2:32" x14ac:dyDescent="0.25">
      <c r="B1149" s="294"/>
      <c r="C1149" s="294"/>
      <c r="D1149" s="294"/>
      <c r="E1149" s="294"/>
      <c r="F1149" s="294"/>
      <c r="G1149" s="294"/>
      <c r="H1149" s="294"/>
      <c r="I1149" s="294"/>
      <c r="J1149" s="294"/>
      <c r="L1149" s="295"/>
      <c r="M1149" s="294"/>
      <c r="S1149" s="294"/>
      <c r="T1149" s="299"/>
      <c r="U1149" s="294"/>
      <c r="V1149" s="299"/>
      <c r="W1149" s="299"/>
      <c r="X1149" s="294"/>
      <c r="Y1149" s="299"/>
      <c r="Z1149" s="294"/>
      <c r="AA1149" s="299"/>
      <c r="AB1149" s="299"/>
      <c r="AC1149" s="294"/>
      <c r="AD1149" s="294"/>
      <c r="AE1149" s="294"/>
      <c r="AF1149" s="294"/>
    </row>
    <row r="1150" spans="2:32" x14ac:dyDescent="0.25">
      <c r="B1150" s="294"/>
      <c r="C1150" s="294"/>
      <c r="D1150" s="294"/>
      <c r="E1150" s="294"/>
      <c r="F1150" s="294"/>
      <c r="G1150" s="294"/>
      <c r="H1150" s="294"/>
      <c r="I1150" s="294"/>
      <c r="J1150" s="294"/>
      <c r="L1150" s="295"/>
      <c r="M1150" s="294"/>
      <c r="S1150" s="294"/>
      <c r="T1150" s="299"/>
      <c r="U1150" s="294"/>
      <c r="V1150" s="299"/>
      <c r="W1150" s="299"/>
      <c r="X1150" s="294"/>
      <c r="Y1150" s="299"/>
      <c r="Z1150" s="294"/>
      <c r="AA1150" s="299"/>
      <c r="AB1150" s="299"/>
      <c r="AC1150" s="294"/>
      <c r="AD1150" s="294"/>
      <c r="AE1150" s="294"/>
      <c r="AF1150" s="294"/>
    </row>
    <row r="1151" spans="2:32" x14ac:dyDescent="0.25">
      <c r="B1151" s="294"/>
      <c r="C1151" s="294"/>
      <c r="D1151" s="294"/>
      <c r="E1151" s="294"/>
      <c r="F1151" s="294"/>
      <c r="G1151" s="294"/>
      <c r="H1151" s="294"/>
      <c r="I1151" s="294"/>
      <c r="J1151" s="294"/>
      <c r="L1151" s="295"/>
      <c r="M1151" s="294"/>
      <c r="S1151" s="294"/>
      <c r="T1151" s="299"/>
      <c r="U1151" s="294"/>
      <c r="V1151" s="299"/>
      <c r="W1151" s="299"/>
      <c r="X1151" s="294"/>
      <c r="Y1151" s="299"/>
      <c r="Z1151" s="294"/>
      <c r="AA1151" s="299"/>
      <c r="AB1151" s="299"/>
      <c r="AC1151" s="294"/>
      <c r="AD1151" s="294"/>
      <c r="AE1151" s="294"/>
      <c r="AF1151" s="294"/>
    </row>
    <row r="1152" spans="2:32" x14ac:dyDescent="0.25">
      <c r="B1152" s="294"/>
      <c r="C1152" s="294"/>
      <c r="D1152" s="294"/>
      <c r="E1152" s="294"/>
      <c r="F1152" s="294"/>
      <c r="G1152" s="294"/>
      <c r="H1152" s="294"/>
      <c r="I1152" s="294"/>
      <c r="J1152" s="294"/>
      <c r="L1152" s="295"/>
      <c r="M1152" s="294"/>
      <c r="S1152" s="294"/>
      <c r="T1152" s="299"/>
      <c r="U1152" s="294"/>
      <c r="V1152" s="299"/>
      <c r="W1152" s="299"/>
      <c r="X1152" s="294"/>
      <c r="Y1152" s="299"/>
      <c r="Z1152" s="294"/>
      <c r="AA1152" s="299"/>
      <c r="AB1152" s="299"/>
      <c r="AC1152" s="294"/>
      <c r="AD1152" s="294"/>
      <c r="AE1152" s="294"/>
      <c r="AF1152" s="294"/>
    </row>
    <row r="1153" spans="2:32" x14ac:dyDescent="0.25">
      <c r="B1153" s="294"/>
      <c r="C1153" s="294"/>
      <c r="D1153" s="294"/>
      <c r="E1153" s="294"/>
      <c r="F1153" s="294"/>
      <c r="G1153" s="294"/>
      <c r="H1153" s="294"/>
      <c r="I1153" s="294"/>
      <c r="J1153" s="294"/>
      <c r="L1153" s="295"/>
      <c r="M1153" s="294"/>
      <c r="S1153" s="294"/>
      <c r="T1153" s="299"/>
      <c r="U1153" s="294"/>
      <c r="V1153" s="299"/>
      <c r="W1153" s="299"/>
      <c r="X1153" s="294"/>
      <c r="Y1153" s="299"/>
      <c r="Z1153" s="294"/>
      <c r="AA1153" s="299"/>
      <c r="AB1153" s="299"/>
      <c r="AC1153" s="294"/>
      <c r="AD1153" s="294"/>
      <c r="AE1153" s="294"/>
      <c r="AF1153" s="294"/>
    </row>
    <row r="1154" spans="2:32" x14ac:dyDescent="0.25">
      <c r="B1154" s="294"/>
      <c r="C1154" s="294"/>
      <c r="D1154" s="294"/>
      <c r="E1154" s="294"/>
      <c r="F1154" s="294"/>
      <c r="G1154" s="294"/>
      <c r="H1154" s="294"/>
      <c r="I1154" s="294"/>
      <c r="J1154" s="294"/>
      <c r="L1154" s="295"/>
      <c r="M1154" s="294"/>
      <c r="S1154" s="294"/>
      <c r="T1154" s="299"/>
      <c r="U1154" s="294"/>
      <c r="V1154" s="299"/>
      <c r="W1154" s="299"/>
      <c r="X1154" s="294"/>
      <c r="Y1154" s="299"/>
      <c r="Z1154" s="294"/>
      <c r="AA1154" s="299"/>
      <c r="AB1154" s="299"/>
      <c r="AC1154" s="294"/>
      <c r="AD1154" s="294"/>
      <c r="AE1154" s="294"/>
      <c r="AF1154" s="294"/>
    </row>
    <row r="1155" spans="2:32" x14ac:dyDescent="0.25">
      <c r="B1155" s="294"/>
      <c r="C1155" s="294"/>
      <c r="D1155" s="294"/>
      <c r="E1155" s="294"/>
      <c r="F1155" s="294"/>
      <c r="G1155" s="294"/>
      <c r="H1155" s="294"/>
      <c r="I1155" s="294"/>
      <c r="J1155" s="294"/>
      <c r="L1155" s="295"/>
      <c r="M1155" s="294"/>
      <c r="S1155" s="294"/>
      <c r="T1155" s="299"/>
      <c r="U1155" s="294"/>
      <c r="V1155" s="299"/>
      <c r="W1155" s="299"/>
      <c r="X1155" s="294"/>
      <c r="Y1155" s="299"/>
      <c r="Z1155" s="294"/>
      <c r="AA1155" s="299"/>
      <c r="AB1155" s="299"/>
      <c r="AC1155" s="294"/>
      <c r="AD1155" s="294"/>
      <c r="AE1155" s="294"/>
      <c r="AF1155" s="294"/>
    </row>
    <row r="1156" spans="2:32" x14ac:dyDescent="0.25">
      <c r="B1156" s="294"/>
      <c r="C1156" s="294"/>
      <c r="D1156" s="294"/>
      <c r="E1156" s="294"/>
      <c r="F1156" s="294"/>
      <c r="G1156" s="294"/>
      <c r="H1156" s="294"/>
      <c r="I1156" s="294"/>
      <c r="J1156" s="294"/>
      <c r="L1156" s="295"/>
      <c r="M1156" s="294"/>
      <c r="S1156" s="294"/>
      <c r="T1156" s="299"/>
      <c r="U1156" s="294"/>
      <c r="V1156" s="299"/>
      <c r="W1156" s="299"/>
      <c r="X1156" s="294"/>
      <c r="Y1156" s="299"/>
      <c r="Z1156" s="294"/>
      <c r="AA1156" s="299"/>
      <c r="AB1156" s="299"/>
      <c r="AC1156" s="294"/>
      <c r="AD1156" s="294"/>
      <c r="AE1156" s="294"/>
      <c r="AF1156" s="294"/>
    </row>
    <row r="1157" spans="2:32" x14ac:dyDescent="0.25">
      <c r="B1157" s="294"/>
      <c r="C1157" s="294"/>
      <c r="D1157" s="294"/>
      <c r="E1157" s="294"/>
      <c r="F1157" s="294"/>
      <c r="G1157" s="294"/>
      <c r="H1157" s="294"/>
      <c r="I1157" s="294"/>
      <c r="J1157" s="294"/>
      <c r="L1157" s="295"/>
      <c r="M1157" s="294"/>
      <c r="S1157" s="294"/>
      <c r="T1157" s="299"/>
      <c r="U1157" s="294"/>
      <c r="V1157" s="299"/>
      <c r="W1157" s="299"/>
      <c r="X1157" s="294"/>
      <c r="Y1157" s="299"/>
      <c r="Z1157" s="294"/>
      <c r="AA1157" s="299"/>
      <c r="AB1157" s="299"/>
      <c r="AC1157" s="294"/>
      <c r="AD1157" s="294"/>
      <c r="AE1157" s="294"/>
      <c r="AF1157" s="294"/>
    </row>
    <row r="1158" spans="2:32" x14ac:dyDescent="0.25">
      <c r="B1158" s="294"/>
      <c r="C1158" s="294"/>
      <c r="D1158" s="294"/>
      <c r="E1158" s="294"/>
      <c r="F1158" s="294"/>
      <c r="G1158" s="294"/>
      <c r="H1158" s="294"/>
      <c r="I1158" s="294"/>
      <c r="J1158" s="294"/>
      <c r="L1158" s="295"/>
      <c r="M1158" s="294"/>
      <c r="S1158" s="294"/>
      <c r="T1158" s="299"/>
      <c r="U1158" s="294"/>
      <c r="V1158" s="299"/>
      <c r="W1158" s="299"/>
      <c r="X1158" s="294"/>
      <c r="Y1158" s="299"/>
      <c r="Z1158" s="294"/>
      <c r="AA1158" s="299"/>
      <c r="AB1158" s="299"/>
      <c r="AC1158" s="294"/>
      <c r="AD1158" s="294"/>
      <c r="AE1158" s="294"/>
      <c r="AF1158" s="294"/>
    </row>
    <row r="1159" spans="2:32" x14ac:dyDescent="0.25">
      <c r="B1159" s="294"/>
      <c r="C1159" s="294"/>
      <c r="D1159" s="294"/>
      <c r="E1159" s="294"/>
      <c r="F1159" s="294"/>
      <c r="G1159" s="294"/>
      <c r="H1159" s="294"/>
      <c r="I1159" s="294"/>
      <c r="J1159" s="294"/>
      <c r="L1159" s="295"/>
      <c r="M1159" s="294"/>
      <c r="S1159" s="294"/>
      <c r="T1159" s="299"/>
      <c r="U1159" s="294"/>
      <c r="V1159" s="299"/>
      <c r="W1159" s="299"/>
      <c r="X1159" s="294"/>
      <c r="Y1159" s="299"/>
      <c r="Z1159" s="294"/>
      <c r="AA1159" s="299"/>
      <c r="AB1159" s="299"/>
      <c r="AC1159" s="294"/>
      <c r="AD1159" s="294"/>
      <c r="AE1159" s="294"/>
      <c r="AF1159" s="294"/>
    </row>
    <row r="1160" spans="2:32" x14ac:dyDescent="0.25">
      <c r="B1160" s="294"/>
      <c r="C1160" s="294"/>
      <c r="D1160" s="294"/>
      <c r="E1160" s="294"/>
      <c r="F1160" s="294"/>
      <c r="G1160" s="294"/>
      <c r="H1160" s="294"/>
      <c r="I1160" s="294"/>
      <c r="J1160" s="294"/>
      <c r="L1160" s="295"/>
      <c r="M1160" s="294"/>
      <c r="S1160" s="294"/>
      <c r="T1160" s="299"/>
      <c r="U1160" s="294"/>
      <c r="V1160" s="299"/>
      <c r="W1160" s="299"/>
      <c r="X1160" s="294"/>
      <c r="Y1160" s="299"/>
      <c r="Z1160" s="294"/>
      <c r="AA1160" s="299"/>
      <c r="AB1160" s="299"/>
      <c r="AC1160" s="294"/>
      <c r="AD1160" s="294"/>
      <c r="AE1160" s="294"/>
      <c r="AF1160" s="294"/>
    </row>
    <row r="1161" spans="2:32" x14ac:dyDescent="0.25">
      <c r="B1161" s="294"/>
      <c r="C1161" s="294"/>
      <c r="D1161" s="294"/>
      <c r="E1161" s="294"/>
      <c r="F1161" s="294"/>
      <c r="G1161" s="294"/>
      <c r="H1161" s="294"/>
      <c r="I1161" s="294"/>
      <c r="J1161" s="294"/>
      <c r="L1161" s="295"/>
      <c r="M1161" s="294"/>
      <c r="S1161" s="294"/>
      <c r="T1161" s="299"/>
      <c r="U1161" s="294"/>
      <c r="V1161" s="299"/>
      <c r="W1161" s="299"/>
      <c r="X1161" s="294"/>
      <c r="Y1161" s="299"/>
      <c r="Z1161" s="294"/>
      <c r="AA1161" s="299"/>
      <c r="AB1161" s="299"/>
      <c r="AC1161" s="294"/>
      <c r="AD1161" s="294"/>
      <c r="AE1161" s="294"/>
      <c r="AF1161" s="294"/>
    </row>
    <row r="1162" spans="2:32" x14ac:dyDescent="0.25">
      <c r="B1162" s="294"/>
      <c r="C1162" s="294"/>
      <c r="D1162" s="294"/>
      <c r="E1162" s="294"/>
      <c r="F1162" s="294"/>
      <c r="G1162" s="294"/>
      <c r="H1162" s="294"/>
      <c r="I1162" s="294"/>
      <c r="J1162" s="294"/>
      <c r="L1162" s="295"/>
      <c r="M1162" s="294"/>
      <c r="S1162" s="294"/>
      <c r="T1162" s="299"/>
      <c r="U1162" s="294"/>
      <c r="V1162" s="299"/>
      <c r="W1162" s="299"/>
      <c r="X1162" s="294"/>
      <c r="Y1162" s="299"/>
      <c r="Z1162" s="294"/>
      <c r="AA1162" s="299"/>
      <c r="AB1162" s="299"/>
      <c r="AC1162" s="294"/>
      <c r="AD1162" s="294"/>
      <c r="AE1162" s="294"/>
      <c r="AF1162" s="294"/>
    </row>
    <row r="1163" spans="2:32" x14ac:dyDescent="0.25">
      <c r="B1163" s="294"/>
      <c r="C1163" s="294"/>
      <c r="D1163" s="294"/>
      <c r="E1163" s="294"/>
      <c r="F1163" s="294"/>
      <c r="G1163" s="294"/>
      <c r="H1163" s="294"/>
      <c r="I1163" s="294"/>
      <c r="J1163" s="294"/>
      <c r="L1163" s="295"/>
      <c r="M1163" s="294"/>
      <c r="S1163" s="294"/>
      <c r="T1163" s="299"/>
      <c r="U1163" s="294"/>
      <c r="V1163" s="299"/>
      <c r="W1163" s="299"/>
      <c r="X1163" s="294"/>
      <c r="Y1163" s="299"/>
      <c r="Z1163" s="294"/>
      <c r="AA1163" s="299"/>
      <c r="AB1163" s="299"/>
      <c r="AC1163" s="294"/>
      <c r="AD1163" s="294"/>
      <c r="AE1163" s="294"/>
      <c r="AF1163" s="294"/>
    </row>
    <row r="1164" spans="2:32" x14ac:dyDescent="0.25">
      <c r="B1164" s="294"/>
      <c r="C1164" s="294"/>
      <c r="D1164" s="294"/>
      <c r="E1164" s="294"/>
      <c r="F1164" s="294"/>
      <c r="G1164" s="294"/>
      <c r="H1164" s="294"/>
      <c r="I1164" s="294"/>
      <c r="J1164" s="294"/>
      <c r="L1164" s="295"/>
      <c r="M1164" s="294"/>
      <c r="S1164" s="294"/>
      <c r="T1164" s="299"/>
      <c r="U1164" s="294"/>
      <c r="V1164" s="299"/>
      <c r="W1164" s="299"/>
      <c r="X1164" s="294"/>
      <c r="Y1164" s="299"/>
      <c r="Z1164" s="294"/>
      <c r="AA1164" s="299"/>
      <c r="AB1164" s="299"/>
      <c r="AC1164" s="294"/>
      <c r="AD1164" s="294"/>
      <c r="AE1164" s="294"/>
      <c r="AF1164" s="294"/>
    </row>
    <row r="1165" spans="2:32" x14ac:dyDescent="0.25">
      <c r="B1165" s="294"/>
      <c r="C1165" s="294"/>
      <c r="D1165" s="294"/>
      <c r="E1165" s="294"/>
      <c r="F1165" s="294"/>
      <c r="G1165" s="294"/>
      <c r="H1165" s="294"/>
      <c r="I1165" s="294"/>
      <c r="J1165" s="294"/>
      <c r="L1165" s="295"/>
      <c r="M1165" s="294"/>
      <c r="S1165" s="294"/>
      <c r="T1165" s="299"/>
      <c r="U1165" s="294"/>
      <c r="V1165" s="299"/>
      <c r="W1165" s="299"/>
      <c r="X1165" s="294"/>
      <c r="Y1165" s="299"/>
      <c r="Z1165" s="294"/>
      <c r="AA1165" s="299"/>
      <c r="AB1165" s="299"/>
      <c r="AC1165" s="294"/>
      <c r="AD1165" s="294"/>
      <c r="AE1165" s="294"/>
      <c r="AF1165" s="294"/>
    </row>
    <row r="1166" spans="2:32" x14ac:dyDescent="0.25">
      <c r="B1166" s="294"/>
      <c r="C1166" s="294"/>
      <c r="D1166" s="294"/>
      <c r="E1166" s="294"/>
      <c r="F1166" s="294"/>
      <c r="G1166" s="294"/>
      <c r="H1166" s="294"/>
      <c r="I1166" s="294"/>
      <c r="J1166" s="294"/>
      <c r="L1166" s="295"/>
      <c r="M1166" s="294"/>
      <c r="S1166" s="294"/>
      <c r="T1166" s="299"/>
      <c r="U1166" s="294"/>
      <c r="V1166" s="299"/>
      <c r="W1166" s="299"/>
      <c r="X1166" s="294"/>
      <c r="Y1166" s="299"/>
      <c r="Z1166" s="294"/>
      <c r="AA1166" s="299"/>
      <c r="AB1166" s="299"/>
      <c r="AC1166" s="294"/>
      <c r="AD1166" s="294"/>
      <c r="AE1166" s="294"/>
      <c r="AF1166" s="294"/>
    </row>
    <row r="1167" spans="2:32" x14ac:dyDescent="0.25">
      <c r="B1167" s="294"/>
      <c r="C1167" s="294"/>
      <c r="D1167" s="294"/>
      <c r="E1167" s="294"/>
      <c r="F1167" s="294"/>
      <c r="G1167" s="294"/>
      <c r="H1167" s="294"/>
      <c r="I1167" s="294"/>
      <c r="J1167" s="294"/>
      <c r="L1167" s="295"/>
      <c r="M1167" s="294"/>
      <c r="S1167" s="294"/>
      <c r="T1167" s="299"/>
      <c r="U1167" s="294"/>
      <c r="V1167" s="299"/>
      <c r="W1167" s="299"/>
      <c r="X1167" s="294"/>
      <c r="Y1167" s="299"/>
      <c r="Z1167" s="294"/>
      <c r="AA1167" s="299"/>
      <c r="AB1167" s="299"/>
      <c r="AC1167" s="294"/>
      <c r="AD1167" s="294"/>
      <c r="AE1167" s="294"/>
      <c r="AF1167" s="294"/>
    </row>
    <row r="1168" spans="2:32" x14ac:dyDescent="0.25">
      <c r="B1168" s="294"/>
      <c r="C1168" s="294"/>
      <c r="D1168" s="294"/>
      <c r="E1168" s="294"/>
      <c r="F1168" s="294"/>
      <c r="G1168" s="294"/>
      <c r="H1168" s="294"/>
      <c r="I1168" s="294"/>
      <c r="J1168" s="294"/>
      <c r="L1168" s="295"/>
      <c r="M1168" s="294"/>
      <c r="S1168" s="294"/>
      <c r="T1168" s="299"/>
      <c r="U1168" s="294"/>
      <c r="V1168" s="299"/>
      <c r="W1168" s="299"/>
      <c r="X1168" s="294"/>
      <c r="Y1168" s="299"/>
      <c r="Z1168" s="294"/>
      <c r="AA1168" s="299"/>
      <c r="AB1168" s="299"/>
      <c r="AC1168" s="294"/>
      <c r="AD1168" s="294"/>
      <c r="AE1168" s="294"/>
      <c r="AF1168" s="294"/>
    </row>
    <row r="1169" spans="2:32" x14ac:dyDescent="0.25">
      <c r="B1169" s="294"/>
      <c r="C1169" s="294"/>
      <c r="D1169" s="294"/>
      <c r="E1169" s="294"/>
      <c r="F1169" s="294"/>
      <c r="G1169" s="294"/>
      <c r="H1169" s="294"/>
      <c r="I1169" s="294"/>
      <c r="J1169" s="294"/>
      <c r="L1169" s="295"/>
      <c r="M1169" s="294"/>
      <c r="S1169" s="294"/>
      <c r="T1169" s="299"/>
      <c r="U1169" s="294"/>
      <c r="V1169" s="299"/>
      <c r="W1169" s="299"/>
      <c r="X1169" s="294"/>
      <c r="Y1169" s="299"/>
      <c r="Z1169" s="294"/>
      <c r="AA1169" s="299"/>
      <c r="AB1169" s="299"/>
      <c r="AC1169" s="294"/>
      <c r="AD1169" s="294"/>
      <c r="AE1169" s="294"/>
      <c r="AF1169" s="294"/>
    </row>
    <row r="1170" spans="2:32" x14ac:dyDescent="0.25">
      <c r="B1170" s="294"/>
      <c r="C1170" s="294"/>
      <c r="D1170" s="294"/>
      <c r="E1170" s="294"/>
      <c r="F1170" s="294"/>
      <c r="G1170" s="294"/>
      <c r="H1170" s="294"/>
      <c r="I1170" s="294"/>
      <c r="J1170" s="294"/>
      <c r="L1170" s="295"/>
      <c r="M1170" s="294"/>
      <c r="S1170" s="294"/>
      <c r="T1170" s="299"/>
      <c r="U1170" s="294"/>
      <c r="V1170" s="299"/>
      <c r="W1170" s="299"/>
      <c r="X1170" s="294"/>
      <c r="Y1170" s="299"/>
      <c r="Z1170" s="294"/>
      <c r="AA1170" s="299"/>
      <c r="AB1170" s="299"/>
      <c r="AC1170" s="294"/>
      <c r="AD1170" s="294"/>
      <c r="AE1170" s="294"/>
      <c r="AF1170" s="294"/>
    </row>
    <row r="1171" spans="2:32" x14ac:dyDescent="0.25">
      <c r="B1171" s="294"/>
      <c r="C1171" s="294"/>
      <c r="D1171" s="294"/>
      <c r="E1171" s="294"/>
      <c r="F1171" s="294"/>
      <c r="G1171" s="294"/>
      <c r="H1171" s="294"/>
      <c r="I1171" s="294"/>
      <c r="J1171" s="294"/>
      <c r="L1171" s="295"/>
      <c r="M1171" s="294"/>
      <c r="S1171" s="294"/>
      <c r="T1171" s="299"/>
      <c r="U1171" s="294"/>
      <c r="V1171" s="299"/>
      <c r="W1171" s="299"/>
      <c r="X1171" s="294"/>
      <c r="Y1171" s="299"/>
      <c r="Z1171" s="294"/>
      <c r="AA1171" s="299"/>
      <c r="AB1171" s="299"/>
      <c r="AC1171" s="294"/>
      <c r="AD1171" s="294"/>
      <c r="AE1171" s="294"/>
      <c r="AF1171" s="294"/>
    </row>
    <row r="1172" spans="2:32" x14ac:dyDescent="0.25">
      <c r="B1172" s="294"/>
      <c r="C1172" s="294"/>
      <c r="D1172" s="294"/>
      <c r="E1172" s="294"/>
      <c r="F1172" s="294"/>
      <c r="G1172" s="294"/>
      <c r="H1172" s="294"/>
      <c r="I1172" s="294"/>
      <c r="J1172" s="294"/>
      <c r="L1172" s="295"/>
      <c r="M1172" s="294"/>
      <c r="S1172" s="294"/>
      <c r="T1172" s="299"/>
      <c r="U1172" s="294"/>
      <c r="V1172" s="299"/>
      <c r="W1172" s="299"/>
      <c r="X1172" s="294"/>
      <c r="Y1172" s="299"/>
      <c r="Z1172" s="294"/>
      <c r="AA1172" s="299"/>
      <c r="AB1172" s="299"/>
      <c r="AC1172" s="294"/>
      <c r="AD1172" s="294"/>
      <c r="AE1172" s="294"/>
      <c r="AF1172" s="294"/>
    </row>
    <row r="1173" spans="2:32" x14ac:dyDescent="0.25">
      <c r="B1173" s="294"/>
      <c r="C1173" s="294"/>
      <c r="D1173" s="294"/>
      <c r="E1173" s="294"/>
      <c r="F1173" s="294"/>
      <c r="G1173" s="294"/>
      <c r="H1173" s="294"/>
      <c r="I1173" s="294"/>
      <c r="J1173" s="294"/>
      <c r="L1173" s="295"/>
      <c r="M1173" s="294"/>
      <c r="S1173" s="294"/>
      <c r="T1173" s="299"/>
      <c r="U1173" s="294"/>
      <c r="V1173" s="299"/>
      <c r="W1173" s="299"/>
      <c r="X1173" s="294"/>
      <c r="Y1173" s="299"/>
      <c r="Z1173" s="294"/>
      <c r="AA1173" s="299"/>
      <c r="AB1173" s="299"/>
      <c r="AC1173" s="294"/>
      <c r="AD1173" s="294"/>
      <c r="AE1173" s="294"/>
      <c r="AF1173" s="294"/>
    </row>
    <row r="1174" spans="2:32" x14ac:dyDescent="0.25">
      <c r="B1174" s="294"/>
      <c r="C1174" s="294"/>
      <c r="D1174" s="294"/>
      <c r="E1174" s="294"/>
      <c r="F1174" s="294"/>
      <c r="G1174" s="294"/>
      <c r="H1174" s="294"/>
      <c r="I1174" s="294"/>
      <c r="J1174" s="294"/>
      <c r="L1174" s="295"/>
      <c r="M1174" s="294"/>
      <c r="S1174" s="294"/>
      <c r="T1174" s="299"/>
      <c r="U1174" s="294"/>
      <c r="V1174" s="299"/>
      <c r="W1174" s="299"/>
      <c r="X1174" s="294"/>
      <c r="Y1174" s="299"/>
      <c r="Z1174" s="294"/>
      <c r="AA1174" s="299"/>
      <c r="AB1174" s="299"/>
      <c r="AC1174" s="294"/>
      <c r="AD1174" s="294"/>
      <c r="AE1174" s="294"/>
      <c r="AF1174" s="294"/>
    </row>
    <row r="1175" spans="2:32" x14ac:dyDescent="0.25">
      <c r="B1175" s="294"/>
      <c r="C1175" s="294"/>
      <c r="D1175" s="294"/>
      <c r="E1175" s="294"/>
      <c r="F1175" s="294"/>
      <c r="G1175" s="294"/>
      <c r="H1175" s="294"/>
      <c r="I1175" s="294"/>
      <c r="J1175" s="294"/>
      <c r="L1175" s="295"/>
      <c r="M1175" s="294"/>
      <c r="S1175" s="294"/>
      <c r="T1175" s="299"/>
      <c r="U1175" s="294"/>
      <c r="V1175" s="299"/>
      <c r="W1175" s="299"/>
      <c r="X1175" s="294"/>
      <c r="Y1175" s="299"/>
      <c r="Z1175" s="294"/>
      <c r="AA1175" s="299"/>
      <c r="AB1175" s="299"/>
      <c r="AC1175" s="294"/>
      <c r="AD1175" s="294"/>
      <c r="AE1175" s="294"/>
      <c r="AF1175" s="294"/>
    </row>
    <row r="1176" spans="2:32" x14ac:dyDescent="0.25">
      <c r="B1176" s="294"/>
      <c r="C1176" s="294"/>
      <c r="D1176" s="294"/>
      <c r="E1176" s="294"/>
      <c r="F1176" s="294"/>
      <c r="G1176" s="294"/>
      <c r="H1176" s="294"/>
      <c r="I1176" s="294"/>
      <c r="J1176" s="294"/>
      <c r="L1176" s="295"/>
      <c r="M1176" s="294"/>
      <c r="S1176" s="294"/>
      <c r="T1176" s="299"/>
      <c r="U1176" s="294"/>
      <c r="V1176" s="299"/>
      <c r="W1176" s="299"/>
      <c r="X1176" s="294"/>
      <c r="Y1176" s="299"/>
      <c r="Z1176" s="294"/>
      <c r="AA1176" s="299"/>
      <c r="AB1176" s="299"/>
      <c r="AC1176" s="294"/>
      <c r="AD1176" s="294"/>
      <c r="AE1176" s="294"/>
      <c r="AF1176" s="294"/>
    </row>
    <row r="1177" spans="2:32" x14ac:dyDescent="0.25">
      <c r="B1177" s="294"/>
      <c r="C1177" s="294"/>
      <c r="D1177" s="294"/>
      <c r="E1177" s="294"/>
      <c r="F1177" s="294"/>
      <c r="G1177" s="294"/>
      <c r="H1177" s="294"/>
      <c r="I1177" s="294"/>
      <c r="J1177" s="294"/>
      <c r="L1177" s="295"/>
      <c r="M1177" s="294"/>
      <c r="S1177" s="294"/>
      <c r="T1177" s="299"/>
      <c r="U1177" s="294"/>
      <c r="V1177" s="299"/>
      <c r="W1177" s="299"/>
      <c r="X1177" s="294"/>
      <c r="Y1177" s="299"/>
      <c r="Z1177" s="294"/>
      <c r="AA1177" s="299"/>
      <c r="AB1177" s="299"/>
      <c r="AC1177" s="294"/>
      <c r="AD1177" s="294"/>
      <c r="AE1177" s="294"/>
      <c r="AF1177" s="294"/>
    </row>
    <row r="1178" spans="2:32" x14ac:dyDescent="0.25">
      <c r="B1178" s="294"/>
      <c r="C1178" s="294"/>
      <c r="D1178" s="294"/>
      <c r="E1178" s="294"/>
      <c r="F1178" s="294"/>
      <c r="G1178" s="294"/>
      <c r="H1178" s="294"/>
      <c r="I1178" s="294"/>
      <c r="J1178" s="294"/>
      <c r="L1178" s="295"/>
      <c r="M1178" s="294"/>
      <c r="S1178" s="294"/>
      <c r="T1178" s="299"/>
      <c r="U1178" s="294"/>
      <c r="V1178" s="299"/>
      <c r="W1178" s="299"/>
      <c r="X1178" s="294"/>
      <c r="Y1178" s="299"/>
      <c r="Z1178" s="294"/>
      <c r="AA1178" s="299"/>
      <c r="AB1178" s="299"/>
      <c r="AC1178" s="294"/>
      <c r="AD1178" s="294"/>
      <c r="AE1178" s="294"/>
      <c r="AF1178" s="294"/>
    </row>
    <row r="1179" spans="2:32" x14ac:dyDescent="0.25">
      <c r="B1179" s="294"/>
      <c r="C1179" s="294"/>
      <c r="D1179" s="294"/>
      <c r="E1179" s="294"/>
      <c r="F1179" s="294"/>
      <c r="G1179" s="294"/>
      <c r="H1179" s="294"/>
      <c r="I1179" s="294"/>
      <c r="J1179" s="294"/>
      <c r="L1179" s="295"/>
      <c r="M1179" s="294"/>
      <c r="S1179" s="294"/>
      <c r="T1179" s="299"/>
      <c r="U1179" s="294"/>
      <c r="V1179" s="299"/>
      <c r="W1179" s="299"/>
      <c r="X1179" s="294"/>
      <c r="Y1179" s="299"/>
      <c r="Z1179" s="294"/>
      <c r="AA1179" s="299"/>
      <c r="AB1179" s="299"/>
      <c r="AC1179" s="294"/>
      <c r="AD1179" s="294"/>
      <c r="AE1179" s="294"/>
      <c r="AF1179" s="294"/>
    </row>
    <row r="1180" spans="2:32" x14ac:dyDescent="0.25">
      <c r="B1180" s="294"/>
      <c r="C1180" s="294"/>
      <c r="D1180" s="294"/>
      <c r="E1180" s="294"/>
      <c r="F1180" s="294"/>
      <c r="G1180" s="294"/>
      <c r="H1180" s="294"/>
      <c r="I1180" s="294"/>
      <c r="J1180" s="294"/>
      <c r="L1180" s="295"/>
      <c r="M1180" s="294"/>
      <c r="S1180" s="294"/>
      <c r="T1180" s="299"/>
      <c r="U1180" s="294"/>
      <c r="V1180" s="299"/>
      <c r="W1180" s="299"/>
      <c r="X1180" s="294"/>
      <c r="Y1180" s="299"/>
      <c r="Z1180" s="294"/>
      <c r="AA1180" s="299"/>
      <c r="AB1180" s="299"/>
      <c r="AC1180" s="294"/>
      <c r="AD1180" s="294"/>
      <c r="AE1180" s="294"/>
      <c r="AF1180" s="294"/>
    </row>
    <row r="1181" spans="2:32" x14ac:dyDescent="0.25">
      <c r="B1181" s="294"/>
      <c r="C1181" s="294"/>
      <c r="D1181" s="294"/>
      <c r="E1181" s="294"/>
      <c r="F1181" s="294"/>
      <c r="G1181" s="294"/>
      <c r="H1181" s="294"/>
      <c r="I1181" s="294"/>
      <c r="J1181" s="294"/>
      <c r="L1181" s="295"/>
      <c r="M1181" s="294"/>
      <c r="S1181" s="294"/>
      <c r="T1181" s="299"/>
      <c r="U1181" s="294"/>
      <c r="V1181" s="299"/>
      <c r="W1181" s="299"/>
      <c r="X1181" s="294"/>
      <c r="Y1181" s="299"/>
      <c r="Z1181" s="294"/>
      <c r="AA1181" s="299"/>
      <c r="AB1181" s="299"/>
      <c r="AC1181" s="294"/>
      <c r="AD1181" s="294"/>
      <c r="AE1181" s="294"/>
      <c r="AF1181" s="294"/>
    </row>
    <row r="1182" spans="2:32" x14ac:dyDescent="0.25">
      <c r="B1182" s="294"/>
      <c r="C1182" s="294"/>
      <c r="D1182" s="294"/>
      <c r="E1182" s="294"/>
      <c r="F1182" s="294"/>
      <c r="G1182" s="294"/>
      <c r="H1182" s="294"/>
      <c r="I1182" s="294"/>
      <c r="J1182" s="294"/>
      <c r="L1182" s="295"/>
      <c r="M1182" s="294"/>
      <c r="S1182" s="294"/>
      <c r="T1182" s="299"/>
      <c r="U1182" s="294"/>
      <c r="V1182" s="299"/>
      <c r="W1182" s="299"/>
      <c r="X1182" s="294"/>
      <c r="Y1182" s="299"/>
      <c r="Z1182" s="294"/>
      <c r="AA1182" s="299"/>
      <c r="AB1182" s="299"/>
      <c r="AC1182" s="294"/>
      <c r="AD1182" s="294"/>
      <c r="AE1182" s="294"/>
      <c r="AF1182" s="294"/>
    </row>
    <row r="1183" spans="2:32" x14ac:dyDescent="0.25">
      <c r="B1183" s="294"/>
      <c r="C1183" s="294"/>
      <c r="D1183" s="294"/>
      <c r="E1183" s="294"/>
      <c r="F1183" s="294"/>
      <c r="G1183" s="294"/>
      <c r="H1183" s="294"/>
      <c r="I1183" s="294"/>
      <c r="J1183" s="294"/>
      <c r="L1183" s="295"/>
      <c r="M1183" s="294"/>
      <c r="S1183" s="294"/>
      <c r="T1183" s="299"/>
      <c r="U1183" s="294"/>
      <c r="V1183" s="299"/>
      <c r="W1183" s="299"/>
      <c r="X1183" s="294"/>
      <c r="Y1183" s="299"/>
      <c r="Z1183" s="294"/>
      <c r="AA1183" s="299"/>
      <c r="AB1183" s="299"/>
      <c r="AC1183" s="294"/>
      <c r="AD1183" s="294"/>
      <c r="AE1183" s="294"/>
      <c r="AF1183" s="294"/>
    </row>
    <row r="1184" spans="2:32" x14ac:dyDescent="0.25">
      <c r="B1184" s="294"/>
      <c r="C1184" s="294"/>
      <c r="D1184" s="294"/>
      <c r="E1184" s="294"/>
      <c r="F1184" s="294"/>
      <c r="G1184" s="294"/>
      <c r="H1184" s="294"/>
      <c r="I1184" s="294"/>
      <c r="J1184" s="294"/>
      <c r="L1184" s="295"/>
      <c r="M1184" s="294"/>
      <c r="S1184" s="294"/>
      <c r="T1184" s="299"/>
      <c r="U1184" s="294"/>
      <c r="V1184" s="299"/>
      <c r="W1184" s="299"/>
      <c r="X1184" s="294"/>
      <c r="Y1184" s="299"/>
      <c r="Z1184" s="294"/>
      <c r="AA1184" s="299"/>
      <c r="AB1184" s="299"/>
      <c r="AC1184" s="294"/>
      <c r="AD1184" s="294"/>
      <c r="AE1184" s="294"/>
      <c r="AF1184" s="294"/>
    </row>
    <row r="1185" spans="2:32" x14ac:dyDescent="0.25">
      <c r="B1185" s="294"/>
      <c r="C1185" s="294"/>
      <c r="D1185" s="294"/>
      <c r="E1185" s="294"/>
      <c r="F1185" s="294"/>
      <c r="G1185" s="294"/>
      <c r="H1185" s="294"/>
      <c r="I1185" s="294"/>
      <c r="J1185" s="294"/>
      <c r="L1185" s="295"/>
      <c r="M1185" s="294"/>
      <c r="S1185" s="294"/>
      <c r="T1185" s="299"/>
      <c r="U1185" s="294"/>
      <c r="V1185" s="299"/>
      <c r="W1185" s="299"/>
      <c r="X1185" s="294"/>
      <c r="Y1185" s="299"/>
      <c r="Z1185" s="294"/>
      <c r="AA1185" s="299"/>
      <c r="AB1185" s="299"/>
      <c r="AC1185" s="294"/>
      <c r="AD1185" s="294"/>
      <c r="AE1185" s="294"/>
      <c r="AF1185" s="294"/>
    </row>
    <row r="1186" spans="2:32" x14ac:dyDescent="0.25">
      <c r="B1186" s="294"/>
      <c r="C1186" s="294"/>
      <c r="D1186" s="294"/>
      <c r="E1186" s="294"/>
      <c r="F1186" s="294"/>
      <c r="G1186" s="294"/>
      <c r="H1186" s="294"/>
      <c r="I1186" s="294"/>
      <c r="J1186" s="294"/>
      <c r="L1186" s="295"/>
      <c r="M1186" s="294"/>
      <c r="S1186" s="294"/>
      <c r="T1186" s="299"/>
      <c r="U1186" s="294"/>
      <c r="V1186" s="299"/>
      <c r="W1186" s="299"/>
      <c r="X1186" s="294"/>
      <c r="Y1186" s="299"/>
      <c r="Z1186" s="294"/>
      <c r="AA1186" s="299"/>
      <c r="AB1186" s="299"/>
      <c r="AC1186" s="294"/>
      <c r="AD1186" s="294"/>
      <c r="AE1186" s="294"/>
      <c r="AF1186" s="294"/>
    </row>
    <row r="1187" spans="2:32" x14ac:dyDescent="0.25">
      <c r="B1187" s="294"/>
      <c r="C1187" s="294"/>
      <c r="D1187" s="294"/>
      <c r="E1187" s="294"/>
      <c r="F1187" s="294"/>
      <c r="G1187" s="294"/>
      <c r="H1187" s="294"/>
      <c r="I1187" s="294"/>
      <c r="J1187" s="294"/>
      <c r="L1187" s="295"/>
      <c r="M1187" s="294"/>
      <c r="S1187" s="294"/>
      <c r="T1187" s="299"/>
      <c r="U1187" s="294"/>
      <c r="V1187" s="299"/>
      <c r="W1187" s="299"/>
      <c r="X1187" s="294"/>
      <c r="Y1187" s="299"/>
      <c r="Z1187" s="294"/>
      <c r="AA1187" s="299"/>
      <c r="AB1187" s="299"/>
      <c r="AC1187" s="294"/>
      <c r="AD1187" s="294"/>
      <c r="AE1187" s="294"/>
      <c r="AF1187" s="294"/>
    </row>
    <row r="1188" spans="2:32" x14ac:dyDescent="0.25">
      <c r="B1188" s="294"/>
      <c r="C1188" s="294"/>
      <c r="D1188" s="294"/>
      <c r="E1188" s="294"/>
      <c r="F1188" s="294"/>
      <c r="G1188" s="294"/>
      <c r="H1188" s="294"/>
      <c r="I1188" s="294"/>
      <c r="J1188" s="294"/>
      <c r="L1188" s="295"/>
      <c r="M1188" s="294"/>
      <c r="S1188" s="294"/>
      <c r="T1188" s="299"/>
      <c r="U1188" s="294"/>
      <c r="V1188" s="299"/>
      <c r="W1188" s="299"/>
      <c r="X1188" s="294"/>
      <c r="Y1188" s="299"/>
      <c r="Z1188" s="294"/>
      <c r="AA1188" s="299"/>
      <c r="AB1188" s="299"/>
      <c r="AC1188" s="294"/>
      <c r="AD1188" s="294"/>
      <c r="AE1188" s="294"/>
      <c r="AF1188" s="294"/>
    </row>
    <row r="1189" spans="2:32" x14ac:dyDescent="0.25">
      <c r="B1189" s="294"/>
      <c r="C1189" s="294"/>
      <c r="D1189" s="294"/>
      <c r="E1189" s="294"/>
      <c r="F1189" s="294"/>
      <c r="G1189" s="294"/>
      <c r="H1189" s="294"/>
      <c r="I1189" s="294"/>
      <c r="J1189" s="294"/>
      <c r="L1189" s="295"/>
      <c r="M1189" s="294"/>
      <c r="S1189" s="294"/>
      <c r="T1189" s="299"/>
      <c r="U1189" s="294"/>
      <c r="V1189" s="299"/>
      <c r="W1189" s="299"/>
      <c r="X1189" s="294"/>
      <c r="Y1189" s="299"/>
      <c r="Z1189" s="294"/>
      <c r="AA1189" s="299"/>
      <c r="AB1189" s="299"/>
      <c r="AC1189" s="294"/>
      <c r="AD1189" s="294"/>
      <c r="AE1189" s="294"/>
      <c r="AF1189" s="294"/>
    </row>
    <row r="1190" spans="2:32" x14ac:dyDescent="0.25">
      <c r="B1190" s="294"/>
      <c r="C1190" s="294"/>
      <c r="D1190" s="294"/>
      <c r="E1190" s="294"/>
      <c r="F1190" s="294"/>
      <c r="G1190" s="294"/>
      <c r="H1190" s="294"/>
      <c r="I1190" s="294"/>
      <c r="J1190" s="294"/>
      <c r="L1190" s="295"/>
      <c r="M1190" s="294"/>
      <c r="S1190" s="294"/>
      <c r="T1190" s="299"/>
      <c r="U1190" s="294"/>
      <c r="V1190" s="299"/>
      <c r="W1190" s="299"/>
      <c r="X1190" s="294"/>
      <c r="Y1190" s="299"/>
      <c r="Z1190" s="294"/>
      <c r="AA1190" s="299"/>
      <c r="AB1190" s="299"/>
      <c r="AC1190" s="294"/>
      <c r="AD1190" s="294"/>
      <c r="AE1190" s="294"/>
      <c r="AF1190" s="294"/>
    </row>
    <row r="1191" spans="2:32" x14ac:dyDescent="0.25">
      <c r="B1191" s="294"/>
      <c r="C1191" s="294"/>
      <c r="D1191" s="294"/>
      <c r="E1191" s="294"/>
      <c r="F1191" s="294"/>
      <c r="G1191" s="294"/>
      <c r="H1191" s="294"/>
      <c r="I1191" s="294"/>
      <c r="J1191" s="294"/>
      <c r="L1191" s="295"/>
      <c r="M1191" s="294"/>
      <c r="S1191" s="294"/>
      <c r="T1191" s="299"/>
      <c r="U1191" s="294"/>
      <c r="V1191" s="299"/>
      <c r="W1191" s="299"/>
      <c r="X1191" s="294"/>
      <c r="Y1191" s="299"/>
      <c r="Z1191" s="294"/>
      <c r="AA1191" s="299"/>
      <c r="AB1191" s="299"/>
      <c r="AC1191" s="294"/>
      <c r="AD1191" s="294"/>
      <c r="AE1191" s="294"/>
      <c r="AF1191" s="294"/>
    </row>
    <row r="1192" spans="2:32" x14ac:dyDescent="0.25">
      <c r="B1192" s="294"/>
      <c r="C1192" s="294"/>
      <c r="D1192" s="294"/>
      <c r="E1192" s="294"/>
      <c r="F1192" s="294"/>
      <c r="G1192" s="294"/>
      <c r="H1192" s="294"/>
      <c r="I1192" s="294"/>
      <c r="J1192" s="294"/>
      <c r="L1192" s="295"/>
      <c r="M1192" s="294"/>
      <c r="S1192" s="294"/>
      <c r="T1192" s="299"/>
      <c r="U1192" s="294"/>
      <c r="V1192" s="299"/>
      <c r="W1192" s="299"/>
      <c r="X1192" s="294"/>
      <c r="Y1192" s="299"/>
      <c r="Z1192" s="294"/>
      <c r="AA1192" s="299"/>
      <c r="AB1192" s="299"/>
      <c r="AC1192" s="294"/>
      <c r="AD1192" s="294"/>
      <c r="AE1192" s="294"/>
      <c r="AF1192" s="294"/>
    </row>
    <row r="1193" spans="2:32" x14ac:dyDescent="0.25">
      <c r="B1193" s="294"/>
      <c r="C1193" s="294"/>
      <c r="D1193" s="294"/>
      <c r="E1193" s="294"/>
      <c r="F1193" s="294"/>
      <c r="G1193" s="294"/>
      <c r="H1193" s="294"/>
      <c r="I1193" s="294"/>
      <c r="J1193" s="294"/>
      <c r="L1193" s="295"/>
      <c r="M1193" s="294"/>
      <c r="S1193" s="294"/>
      <c r="T1193" s="299"/>
      <c r="U1193" s="294"/>
      <c r="V1193" s="299"/>
      <c r="W1193" s="299"/>
      <c r="X1193" s="294"/>
      <c r="Y1193" s="299"/>
      <c r="Z1193" s="294"/>
      <c r="AA1193" s="299"/>
      <c r="AB1193" s="299"/>
      <c r="AC1193" s="294"/>
      <c r="AD1193" s="294"/>
      <c r="AE1193" s="294"/>
      <c r="AF1193" s="294"/>
    </row>
    <row r="1194" spans="2:32" x14ac:dyDescent="0.25">
      <c r="B1194" s="294"/>
      <c r="C1194" s="294"/>
      <c r="D1194" s="294"/>
      <c r="E1194" s="294"/>
      <c r="F1194" s="294"/>
      <c r="G1194" s="294"/>
      <c r="H1194" s="294"/>
      <c r="I1194" s="294"/>
      <c r="J1194" s="294"/>
      <c r="L1194" s="295"/>
      <c r="M1194" s="294"/>
      <c r="S1194" s="294"/>
      <c r="T1194" s="299"/>
      <c r="U1194" s="294"/>
      <c r="V1194" s="299"/>
      <c r="W1194" s="299"/>
      <c r="X1194" s="294"/>
      <c r="Y1194" s="299"/>
      <c r="Z1194" s="294"/>
      <c r="AA1194" s="299"/>
      <c r="AB1194" s="299"/>
      <c r="AC1194" s="294"/>
      <c r="AD1194" s="294"/>
      <c r="AE1194" s="294"/>
      <c r="AF1194" s="294"/>
    </row>
    <row r="1195" spans="2:32" x14ac:dyDescent="0.25">
      <c r="B1195" s="294"/>
      <c r="C1195" s="294"/>
      <c r="D1195" s="294"/>
      <c r="E1195" s="294"/>
      <c r="F1195" s="294"/>
      <c r="G1195" s="294"/>
      <c r="H1195" s="294"/>
      <c r="I1195" s="294"/>
      <c r="J1195" s="294"/>
      <c r="L1195" s="295"/>
      <c r="M1195" s="294"/>
      <c r="S1195" s="294"/>
      <c r="T1195" s="299"/>
      <c r="U1195" s="294"/>
      <c r="V1195" s="299"/>
      <c r="W1195" s="299"/>
      <c r="X1195" s="294"/>
      <c r="Y1195" s="299"/>
      <c r="Z1195" s="294"/>
      <c r="AA1195" s="299"/>
      <c r="AB1195" s="299"/>
      <c r="AC1195" s="294"/>
      <c r="AD1195" s="294"/>
      <c r="AE1195" s="294"/>
      <c r="AF1195" s="294"/>
    </row>
    <row r="1196" spans="2:32" x14ac:dyDescent="0.25">
      <c r="B1196" s="294"/>
      <c r="C1196" s="294"/>
      <c r="D1196" s="294"/>
      <c r="E1196" s="294"/>
      <c r="F1196" s="294"/>
      <c r="G1196" s="294"/>
      <c r="H1196" s="294"/>
      <c r="I1196" s="294"/>
      <c r="J1196" s="294"/>
      <c r="L1196" s="295"/>
      <c r="M1196" s="294"/>
      <c r="S1196" s="294"/>
      <c r="T1196" s="299"/>
      <c r="U1196" s="294"/>
      <c r="V1196" s="299"/>
      <c r="W1196" s="299"/>
      <c r="X1196" s="294"/>
      <c r="Y1196" s="299"/>
      <c r="Z1196" s="294"/>
      <c r="AA1196" s="299"/>
      <c r="AB1196" s="299"/>
      <c r="AC1196" s="294"/>
      <c r="AD1196" s="294"/>
      <c r="AE1196" s="294"/>
      <c r="AF1196" s="294"/>
    </row>
    <row r="1197" spans="2:32" x14ac:dyDescent="0.25">
      <c r="B1197" s="294"/>
      <c r="C1197" s="294"/>
      <c r="D1197" s="294"/>
      <c r="E1197" s="294"/>
      <c r="F1197" s="294"/>
      <c r="G1197" s="294"/>
      <c r="H1197" s="294"/>
      <c r="I1197" s="294"/>
      <c r="J1197" s="294"/>
      <c r="L1197" s="295"/>
      <c r="M1197" s="294"/>
      <c r="S1197" s="294"/>
      <c r="T1197" s="299"/>
      <c r="U1197" s="294"/>
      <c r="V1197" s="299"/>
      <c r="W1197" s="299"/>
      <c r="X1197" s="294"/>
      <c r="Y1197" s="299"/>
      <c r="Z1197" s="294"/>
      <c r="AA1197" s="299"/>
      <c r="AB1197" s="299"/>
      <c r="AC1197" s="294"/>
      <c r="AD1197" s="294"/>
      <c r="AE1197" s="294"/>
      <c r="AF1197" s="294"/>
    </row>
    <row r="1198" spans="2:32" x14ac:dyDescent="0.25">
      <c r="B1198" s="294"/>
      <c r="C1198" s="294"/>
      <c r="D1198" s="294"/>
      <c r="E1198" s="294"/>
      <c r="F1198" s="294"/>
      <c r="G1198" s="294"/>
      <c r="H1198" s="294"/>
      <c r="I1198" s="294"/>
      <c r="J1198" s="294"/>
      <c r="L1198" s="295"/>
      <c r="M1198" s="294"/>
      <c r="S1198" s="294"/>
      <c r="T1198" s="299"/>
      <c r="U1198" s="294"/>
      <c r="V1198" s="299"/>
      <c r="W1198" s="299"/>
      <c r="X1198" s="294"/>
      <c r="Y1198" s="299"/>
      <c r="Z1198" s="294"/>
      <c r="AA1198" s="299"/>
      <c r="AB1198" s="299"/>
      <c r="AC1198" s="294"/>
      <c r="AD1198" s="294"/>
      <c r="AE1198" s="294"/>
      <c r="AF1198" s="294"/>
    </row>
    <row r="1199" spans="2:32" x14ac:dyDescent="0.25">
      <c r="B1199" s="294"/>
      <c r="C1199" s="294"/>
      <c r="D1199" s="294"/>
      <c r="E1199" s="294"/>
      <c r="F1199" s="294"/>
      <c r="G1199" s="294"/>
      <c r="H1199" s="294"/>
      <c r="I1199" s="294"/>
      <c r="J1199" s="294"/>
      <c r="L1199" s="295"/>
      <c r="M1199" s="294"/>
      <c r="S1199" s="294"/>
      <c r="T1199" s="299"/>
      <c r="U1199" s="294"/>
      <c r="V1199" s="299"/>
      <c r="W1199" s="299"/>
      <c r="X1199" s="294"/>
      <c r="Y1199" s="299"/>
      <c r="Z1199" s="294"/>
      <c r="AA1199" s="299"/>
      <c r="AB1199" s="299"/>
      <c r="AC1199" s="294"/>
      <c r="AD1199" s="294"/>
      <c r="AE1199" s="294"/>
      <c r="AF1199" s="294"/>
    </row>
    <row r="1200" spans="2:32" x14ac:dyDescent="0.25">
      <c r="B1200" s="294"/>
      <c r="C1200" s="294"/>
      <c r="D1200" s="294"/>
      <c r="E1200" s="294"/>
      <c r="F1200" s="294"/>
      <c r="G1200" s="294"/>
      <c r="H1200" s="294"/>
      <c r="I1200" s="294"/>
      <c r="J1200" s="294"/>
      <c r="L1200" s="295"/>
      <c r="M1200" s="294"/>
      <c r="S1200" s="294"/>
      <c r="T1200" s="299"/>
      <c r="U1200" s="294"/>
      <c r="V1200" s="299"/>
      <c r="W1200" s="299"/>
      <c r="X1200" s="294"/>
      <c r="Y1200" s="299"/>
      <c r="Z1200" s="294"/>
      <c r="AA1200" s="299"/>
      <c r="AB1200" s="299"/>
      <c r="AC1200" s="294"/>
      <c r="AD1200" s="294"/>
      <c r="AE1200" s="294"/>
      <c r="AF1200" s="294"/>
    </row>
    <row r="1201" spans="2:32" x14ac:dyDescent="0.25">
      <c r="B1201" s="294"/>
      <c r="C1201" s="294"/>
      <c r="D1201" s="294"/>
      <c r="E1201" s="294"/>
      <c r="F1201" s="294"/>
      <c r="G1201" s="294"/>
      <c r="H1201" s="294"/>
      <c r="I1201" s="294"/>
      <c r="J1201" s="294"/>
      <c r="L1201" s="295"/>
      <c r="M1201" s="294"/>
      <c r="S1201" s="294"/>
      <c r="T1201" s="299"/>
      <c r="U1201" s="294"/>
      <c r="V1201" s="299"/>
      <c r="W1201" s="299"/>
      <c r="X1201" s="294"/>
      <c r="Y1201" s="299"/>
      <c r="Z1201" s="294"/>
      <c r="AA1201" s="299"/>
      <c r="AB1201" s="299"/>
      <c r="AC1201" s="294"/>
      <c r="AD1201" s="294"/>
      <c r="AE1201" s="294"/>
      <c r="AF1201" s="294"/>
    </row>
    <row r="1202" spans="2:32" x14ac:dyDescent="0.25">
      <c r="B1202" s="294"/>
      <c r="C1202" s="294"/>
      <c r="D1202" s="294"/>
      <c r="E1202" s="294"/>
      <c r="F1202" s="294"/>
      <c r="G1202" s="294"/>
      <c r="H1202" s="294"/>
      <c r="I1202" s="294"/>
      <c r="J1202" s="294"/>
      <c r="L1202" s="295"/>
      <c r="M1202" s="294"/>
      <c r="S1202" s="294"/>
      <c r="T1202" s="299"/>
      <c r="U1202" s="294"/>
      <c r="V1202" s="299"/>
      <c r="W1202" s="299"/>
      <c r="X1202" s="294"/>
      <c r="Y1202" s="299"/>
      <c r="Z1202" s="294"/>
      <c r="AA1202" s="299"/>
      <c r="AB1202" s="299"/>
      <c r="AC1202" s="294"/>
      <c r="AD1202" s="294"/>
      <c r="AE1202" s="294"/>
      <c r="AF1202" s="294"/>
    </row>
    <row r="1203" spans="2:32" x14ac:dyDescent="0.25">
      <c r="B1203" s="294"/>
      <c r="C1203" s="294"/>
      <c r="D1203" s="294"/>
      <c r="E1203" s="294"/>
      <c r="F1203" s="294"/>
      <c r="G1203" s="294"/>
      <c r="H1203" s="294"/>
      <c r="I1203" s="294"/>
      <c r="J1203" s="294"/>
      <c r="L1203" s="295"/>
      <c r="M1203" s="294"/>
      <c r="S1203" s="294"/>
      <c r="T1203" s="299"/>
      <c r="U1203" s="294"/>
      <c r="V1203" s="299"/>
      <c r="W1203" s="299"/>
      <c r="X1203" s="294"/>
      <c r="Y1203" s="299"/>
      <c r="Z1203" s="294"/>
      <c r="AA1203" s="299"/>
      <c r="AB1203" s="299"/>
      <c r="AC1203" s="294"/>
      <c r="AD1203" s="294"/>
      <c r="AE1203" s="294"/>
      <c r="AF1203" s="294"/>
    </row>
    <row r="1204" spans="2:32" x14ac:dyDescent="0.25">
      <c r="B1204" s="294"/>
      <c r="C1204" s="294"/>
      <c r="D1204" s="294"/>
      <c r="E1204" s="294"/>
      <c r="F1204" s="294"/>
      <c r="G1204" s="294"/>
      <c r="H1204" s="294"/>
      <c r="I1204" s="294"/>
      <c r="J1204" s="294"/>
      <c r="L1204" s="295"/>
      <c r="M1204" s="294"/>
      <c r="S1204" s="294"/>
      <c r="T1204" s="299"/>
      <c r="U1204" s="294"/>
      <c r="V1204" s="299"/>
      <c r="W1204" s="299"/>
      <c r="X1204" s="294"/>
      <c r="Y1204" s="299"/>
      <c r="Z1204" s="294"/>
      <c r="AA1204" s="299"/>
      <c r="AB1204" s="299"/>
      <c r="AC1204" s="294"/>
      <c r="AD1204" s="294"/>
      <c r="AE1204" s="294"/>
      <c r="AF1204" s="294"/>
    </row>
    <row r="1205" spans="2:32" x14ac:dyDescent="0.25">
      <c r="B1205" s="294"/>
      <c r="C1205" s="294"/>
      <c r="D1205" s="294"/>
      <c r="E1205" s="294"/>
      <c r="F1205" s="294"/>
      <c r="G1205" s="294"/>
      <c r="H1205" s="294"/>
      <c r="I1205" s="294"/>
      <c r="J1205" s="294"/>
      <c r="L1205" s="295"/>
      <c r="M1205" s="294"/>
      <c r="S1205" s="294"/>
      <c r="T1205" s="299"/>
      <c r="U1205" s="294"/>
      <c r="V1205" s="299"/>
      <c r="W1205" s="299"/>
      <c r="X1205" s="294"/>
      <c r="Y1205" s="299"/>
      <c r="Z1205" s="294"/>
      <c r="AA1205" s="299"/>
      <c r="AB1205" s="299"/>
      <c r="AC1205" s="294"/>
      <c r="AD1205" s="294"/>
      <c r="AE1205" s="294"/>
      <c r="AF1205" s="294"/>
    </row>
    <row r="1206" spans="2:32" x14ac:dyDescent="0.25">
      <c r="B1206" s="294"/>
      <c r="C1206" s="294"/>
      <c r="D1206" s="294"/>
      <c r="E1206" s="294"/>
      <c r="F1206" s="294"/>
      <c r="G1206" s="294"/>
      <c r="H1206" s="294"/>
      <c r="I1206" s="294"/>
      <c r="J1206" s="294"/>
      <c r="L1206" s="295"/>
      <c r="M1206" s="294"/>
      <c r="S1206" s="294"/>
      <c r="T1206" s="299"/>
      <c r="U1206" s="294"/>
      <c r="V1206" s="299"/>
      <c r="W1206" s="299"/>
      <c r="X1206" s="294"/>
      <c r="Y1206" s="299"/>
      <c r="Z1206" s="294"/>
      <c r="AA1206" s="299"/>
      <c r="AB1206" s="299"/>
      <c r="AC1206" s="294"/>
      <c r="AD1206" s="294"/>
      <c r="AE1206" s="294"/>
      <c r="AF1206" s="294"/>
    </row>
    <row r="1207" spans="2:32" x14ac:dyDescent="0.25">
      <c r="B1207" s="294"/>
      <c r="C1207" s="294"/>
      <c r="D1207" s="294"/>
      <c r="E1207" s="294"/>
      <c r="F1207" s="294"/>
      <c r="G1207" s="294"/>
      <c r="H1207" s="294"/>
      <c r="I1207" s="294"/>
      <c r="J1207" s="294"/>
      <c r="L1207" s="295"/>
      <c r="M1207" s="294"/>
      <c r="S1207" s="294"/>
      <c r="T1207" s="299"/>
      <c r="U1207" s="294"/>
      <c r="V1207" s="299"/>
      <c r="W1207" s="299"/>
      <c r="X1207" s="294"/>
      <c r="Y1207" s="299"/>
      <c r="Z1207" s="294"/>
      <c r="AA1207" s="299"/>
      <c r="AB1207" s="299"/>
      <c r="AC1207" s="294"/>
      <c r="AD1207" s="294"/>
      <c r="AE1207" s="294"/>
      <c r="AF1207" s="294"/>
    </row>
    <row r="1208" spans="2:32" x14ac:dyDescent="0.25">
      <c r="B1208" s="294"/>
      <c r="C1208" s="294"/>
      <c r="D1208" s="294"/>
      <c r="E1208" s="294"/>
      <c r="F1208" s="294"/>
      <c r="G1208" s="294"/>
      <c r="H1208" s="294"/>
      <c r="I1208" s="294"/>
      <c r="J1208" s="294"/>
      <c r="L1208" s="295"/>
      <c r="M1208" s="294"/>
      <c r="S1208" s="294"/>
      <c r="T1208" s="299"/>
      <c r="U1208" s="294"/>
      <c r="V1208" s="299"/>
      <c r="W1208" s="299"/>
      <c r="X1208" s="294"/>
      <c r="Y1208" s="299"/>
      <c r="Z1208" s="294"/>
      <c r="AA1208" s="299"/>
      <c r="AB1208" s="299"/>
      <c r="AC1208" s="294"/>
      <c r="AD1208" s="294"/>
      <c r="AE1208" s="294"/>
      <c r="AF1208" s="294"/>
    </row>
    <row r="1209" spans="2:32" x14ac:dyDescent="0.25">
      <c r="B1209" s="294"/>
      <c r="C1209" s="294"/>
      <c r="D1209" s="294"/>
      <c r="E1209" s="294"/>
      <c r="F1209" s="294"/>
      <c r="G1209" s="294"/>
      <c r="H1209" s="294"/>
      <c r="I1209" s="294"/>
      <c r="J1209" s="294"/>
      <c r="L1209" s="295"/>
      <c r="M1209" s="294"/>
      <c r="S1209" s="294"/>
      <c r="T1209" s="299"/>
      <c r="U1209" s="294"/>
      <c r="V1209" s="299"/>
      <c r="W1209" s="299"/>
      <c r="X1209" s="294"/>
      <c r="Y1209" s="299"/>
      <c r="Z1209" s="294"/>
      <c r="AA1209" s="299"/>
      <c r="AB1209" s="299"/>
      <c r="AC1209" s="294"/>
      <c r="AD1209" s="294"/>
      <c r="AE1209" s="294"/>
      <c r="AF1209" s="294"/>
    </row>
    <row r="1210" spans="2:32" x14ac:dyDescent="0.25">
      <c r="B1210" s="294"/>
      <c r="C1210" s="294"/>
      <c r="D1210" s="294"/>
      <c r="E1210" s="294"/>
      <c r="F1210" s="294"/>
      <c r="G1210" s="294"/>
      <c r="H1210" s="294"/>
      <c r="I1210" s="294"/>
      <c r="J1210" s="294"/>
      <c r="L1210" s="295"/>
      <c r="M1210" s="294"/>
      <c r="S1210" s="294"/>
      <c r="T1210" s="299"/>
      <c r="U1210" s="294"/>
      <c r="V1210" s="299"/>
      <c r="W1210" s="299"/>
      <c r="X1210" s="294"/>
      <c r="Y1210" s="299"/>
      <c r="Z1210" s="294"/>
      <c r="AA1210" s="299"/>
      <c r="AB1210" s="299"/>
      <c r="AC1210" s="294"/>
      <c r="AD1210" s="294"/>
      <c r="AE1210" s="294"/>
      <c r="AF1210" s="294"/>
    </row>
    <row r="1211" spans="2:32" x14ac:dyDescent="0.25">
      <c r="B1211" s="294"/>
      <c r="C1211" s="294"/>
      <c r="D1211" s="294"/>
      <c r="E1211" s="294"/>
      <c r="F1211" s="294"/>
      <c r="G1211" s="294"/>
      <c r="H1211" s="294"/>
      <c r="I1211" s="294"/>
      <c r="J1211" s="294"/>
      <c r="L1211" s="295"/>
      <c r="M1211" s="294"/>
      <c r="S1211" s="294"/>
      <c r="T1211" s="299"/>
      <c r="U1211" s="294"/>
      <c r="V1211" s="299"/>
      <c r="W1211" s="299"/>
      <c r="X1211" s="294"/>
      <c r="Y1211" s="299"/>
      <c r="Z1211" s="294"/>
      <c r="AA1211" s="299"/>
      <c r="AB1211" s="299"/>
      <c r="AC1211" s="294"/>
      <c r="AD1211" s="294"/>
      <c r="AE1211" s="294"/>
      <c r="AF1211" s="294"/>
    </row>
    <row r="1212" spans="2:32" x14ac:dyDescent="0.25">
      <c r="B1212" s="294"/>
      <c r="C1212" s="294"/>
      <c r="D1212" s="294"/>
      <c r="E1212" s="294"/>
      <c r="F1212" s="294"/>
      <c r="G1212" s="294"/>
      <c r="H1212" s="294"/>
      <c r="I1212" s="294"/>
      <c r="J1212" s="294"/>
      <c r="L1212" s="295"/>
      <c r="M1212" s="294"/>
      <c r="S1212" s="294"/>
      <c r="T1212" s="299"/>
      <c r="U1212" s="294"/>
      <c r="V1212" s="299"/>
      <c r="W1212" s="299"/>
      <c r="X1212" s="294"/>
      <c r="Y1212" s="299"/>
      <c r="Z1212" s="294"/>
      <c r="AA1212" s="299"/>
      <c r="AB1212" s="299"/>
      <c r="AC1212" s="294"/>
      <c r="AD1212" s="294"/>
      <c r="AE1212" s="294"/>
      <c r="AF1212" s="294"/>
    </row>
    <row r="1213" spans="2:32" x14ac:dyDescent="0.25">
      <c r="B1213" s="294"/>
      <c r="C1213" s="294"/>
      <c r="D1213" s="294"/>
      <c r="E1213" s="294"/>
      <c r="F1213" s="294"/>
      <c r="G1213" s="294"/>
      <c r="H1213" s="294"/>
      <c r="I1213" s="294"/>
      <c r="J1213" s="294"/>
      <c r="L1213" s="295"/>
      <c r="M1213" s="294"/>
      <c r="S1213" s="294"/>
      <c r="T1213" s="299"/>
      <c r="U1213" s="294"/>
      <c r="V1213" s="299"/>
      <c r="W1213" s="299"/>
      <c r="X1213" s="294"/>
      <c r="Y1213" s="299"/>
      <c r="Z1213" s="294"/>
      <c r="AA1213" s="299"/>
      <c r="AB1213" s="299"/>
      <c r="AC1213" s="294"/>
      <c r="AD1213" s="294"/>
      <c r="AE1213" s="294"/>
      <c r="AF1213" s="294"/>
    </row>
    <row r="1214" spans="2:32" x14ac:dyDescent="0.25">
      <c r="B1214" s="294"/>
      <c r="C1214" s="294"/>
      <c r="D1214" s="294"/>
      <c r="E1214" s="294"/>
      <c r="F1214" s="294"/>
      <c r="G1214" s="294"/>
      <c r="H1214" s="294"/>
      <c r="I1214" s="294"/>
      <c r="J1214" s="294"/>
      <c r="L1214" s="295"/>
      <c r="M1214" s="294"/>
      <c r="S1214" s="294"/>
      <c r="T1214" s="299"/>
      <c r="U1214" s="294"/>
      <c r="V1214" s="299"/>
      <c r="W1214" s="299"/>
      <c r="X1214" s="294"/>
      <c r="Y1214" s="299"/>
      <c r="Z1214" s="294"/>
      <c r="AA1214" s="299"/>
      <c r="AB1214" s="299"/>
      <c r="AC1214" s="294"/>
      <c r="AD1214" s="294"/>
      <c r="AE1214" s="294"/>
      <c r="AF1214" s="294"/>
    </row>
    <row r="1215" spans="2:32" x14ac:dyDescent="0.25">
      <c r="B1215" s="294"/>
      <c r="C1215" s="294"/>
      <c r="D1215" s="294"/>
      <c r="E1215" s="294"/>
      <c r="F1215" s="294"/>
      <c r="G1215" s="294"/>
      <c r="H1215" s="294"/>
      <c r="I1215" s="294"/>
      <c r="J1215" s="294"/>
      <c r="L1215" s="295"/>
      <c r="M1215" s="294"/>
      <c r="S1215" s="294"/>
      <c r="T1215" s="299"/>
      <c r="U1215" s="294"/>
      <c r="V1215" s="299"/>
      <c r="W1215" s="299"/>
      <c r="X1215" s="294"/>
      <c r="Y1215" s="299"/>
      <c r="Z1215" s="294"/>
      <c r="AA1215" s="299"/>
      <c r="AB1215" s="299"/>
      <c r="AC1215" s="294"/>
      <c r="AD1215" s="294"/>
      <c r="AE1215" s="294"/>
      <c r="AF1215" s="294"/>
    </row>
    <row r="1216" spans="2:32" x14ac:dyDescent="0.25">
      <c r="B1216" s="294"/>
      <c r="C1216" s="294"/>
      <c r="D1216" s="294"/>
      <c r="E1216" s="294"/>
      <c r="F1216" s="294"/>
      <c r="G1216" s="294"/>
      <c r="H1216" s="294"/>
      <c r="I1216" s="294"/>
      <c r="J1216" s="294"/>
      <c r="L1216" s="295"/>
      <c r="M1216" s="294"/>
      <c r="S1216" s="294"/>
      <c r="T1216" s="299"/>
      <c r="U1216" s="294"/>
      <c r="V1216" s="299"/>
      <c r="W1216" s="299"/>
      <c r="X1216" s="294"/>
      <c r="Y1216" s="299"/>
      <c r="Z1216" s="294"/>
      <c r="AA1216" s="299"/>
      <c r="AB1216" s="299"/>
      <c r="AC1216" s="294"/>
      <c r="AD1216" s="294"/>
      <c r="AE1216" s="294"/>
      <c r="AF1216" s="294"/>
    </row>
    <row r="1217" spans="2:32" x14ac:dyDescent="0.25">
      <c r="B1217" s="294"/>
      <c r="C1217" s="294"/>
      <c r="D1217" s="294"/>
      <c r="E1217" s="294"/>
      <c r="F1217" s="294"/>
      <c r="G1217" s="294"/>
      <c r="H1217" s="294"/>
      <c r="I1217" s="294"/>
      <c r="J1217" s="294"/>
      <c r="L1217" s="295"/>
      <c r="M1217" s="294"/>
      <c r="S1217" s="294"/>
      <c r="T1217" s="299"/>
      <c r="U1217" s="294"/>
      <c r="V1217" s="299"/>
      <c r="W1217" s="299"/>
      <c r="X1217" s="294"/>
      <c r="Y1217" s="299"/>
      <c r="Z1217" s="294"/>
      <c r="AA1217" s="299"/>
      <c r="AB1217" s="299"/>
      <c r="AC1217" s="294"/>
      <c r="AD1217" s="294"/>
      <c r="AE1217" s="294"/>
      <c r="AF1217" s="294"/>
    </row>
    <row r="1218" spans="2:32" x14ac:dyDescent="0.25">
      <c r="B1218" s="294"/>
      <c r="C1218" s="294"/>
      <c r="D1218" s="294"/>
      <c r="E1218" s="294"/>
      <c r="F1218" s="294"/>
      <c r="G1218" s="294"/>
      <c r="H1218" s="294"/>
      <c r="I1218" s="294"/>
      <c r="J1218" s="294"/>
      <c r="L1218" s="295"/>
      <c r="M1218" s="294"/>
      <c r="S1218" s="294"/>
      <c r="T1218" s="299"/>
      <c r="U1218" s="294"/>
      <c r="V1218" s="299"/>
      <c r="W1218" s="299"/>
      <c r="X1218" s="294"/>
      <c r="Y1218" s="299"/>
      <c r="Z1218" s="294"/>
      <c r="AA1218" s="299"/>
      <c r="AB1218" s="299"/>
      <c r="AC1218" s="294"/>
      <c r="AD1218" s="294"/>
      <c r="AE1218" s="294"/>
      <c r="AF1218" s="294"/>
    </row>
    <row r="1219" spans="2:32" x14ac:dyDescent="0.25">
      <c r="B1219" s="294"/>
      <c r="C1219" s="294"/>
      <c r="D1219" s="294"/>
      <c r="E1219" s="294"/>
      <c r="F1219" s="294"/>
      <c r="G1219" s="294"/>
      <c r="H1219" s="294"/>
      <c r="I1219" s="294"/>
      <c r="J1219" s="294"/>
      <c r="L1219" s="295"/>
      <c r="M1219" s="294"/>
      <c r="S1219" s="294"/>
      <c r="T1219" s="299"/>
      <c r="U1219" s="294"/>
      <c r="V1219" s="299"/>
      <c r="W1219" s="299"/>
      <c r="X1219" s="294"/>
      <c r="Y1219" s="299"/>
      <c r="Z1219" s="294"/>
      <c r="AA1219" s="299"/>
      <c r="AB1219" s="299"/>
      <c r="AC1219" s="294"/>
      <c r="AD1219" s="294"/>
      <c r="AE1219" s="294"/>
      <c r="AF1219" s="294"/>
    </row>
    <row r="1220" spans="2:32" x14ac:dyDescent="0.25">
      <c r="B1220" s="294"/>
      <c r="C1220" s="294"/>
      <c r="D1220" s="294"/>
      <c r="E1220" s="294"/>
      <c r="F1220" s="294"/>
      <c r="G1220" s="294"/>
      <c r="H1220" s="294"/>
      <c r="I1220" s="294"/>
      <c r="J1220" s="294"/>
      <c r="L1220" s="295"/>
      <c r="M1220" s="294"/>
      <c r="S1220" s="294"/>
      <c r="T1220" s="299"/>
      <c r="U1220" s="294"/>
      <c r="V1220" s="299"/>
      <c r="W1220" s="299"/>
      <c r="X1220" s="294"/>
      <c r="Y1220" s="299"/>
      <c r="Z1220" s="294"/>
      <c r="AA1220" s="299"/>
      <c r="AB1220" s="299"/>
      <c r="AC1220" s="294"/>
      <c r="AD1220" s="294"/>
      <c r="AE1220" s="294"/>
      <c r="AF1220" s="294"/>
    </row>
    <row r="1221" spans="2:32" x14ac:dyDescent="0.25">
      <c r="B1221" s="294"/>
      <c r="C1221" s="294"/>
      <c r="D1221" s="294"/>
      <c r="E1221" s="294"/>
      <c r="F1221" s="294"/>
      <c r="G1221" s="294"/>
      <c r="H1221" s="294"/>
      <c r="I1221" s="294"/>
      <c r="J1221" s="294"/>
      <c r="L1221" s="295"/>
      <c r="M1221" s="294"/>
      <c r="S1221" s="294"/>
      <c r="T1221" s="299"/>
      <c r="U1221" s="294"/>
      <c r="V1221" s="299"/>
      <c r="W1221" s="299"/>
      <c r="X1221" s="294"/>
      <c r="Y1221" s="299"/>
      <c r="Z1221" s="294"/>
      <c r="AA1221" s="299"/>
      <c r="AB1221" s="299"/>
      <c r="AC1221" s="294"/>
      <c r="AD1221" s="294"/>
      <c r="AE1221" s="294"/>
      <c r="AF1221" s="294"/>
    </row>
    <row r="1222" spans="2:32" x14ac:dyDescent="0.25">
      <c r="B1222" s="294"/>
      <c r="C1222" s="294"/>
      <c r="D1222" s="294"/>
      <c r="E1222" s="294"/>
      <c r="F1222" s="294"/>
      <c r="G1222" s="294"/>
      <c r="H1222" s="294"/>
      <c r="I1222" s="294"/>
      <c r="J1222" s="294"/>
      <c r="L1222" s="295"/>
      <c r="M1222" s="294"/>
      <c r="S1222" s="294"/>
      <c r="T1222" s="299"/>
      <c r="U1222" s="294"/>
      <c r="V1222" s="299"/>
      <c r="W1222" s="299"/>
      <c r="X1222" s="294"/>
      <c r="Y1222" s="299"/>
      <c r="Z1222" s="294"/>
      <c r="AA1222" s="299"/>
      <c r="AB1222" s="299"/>
      <c r="AC1222" s="294"/>
      <c r="AD1222" s="294"/>
      <c r="AE1222" s="294"/>
      <c r="AF1222" s="294"/>
    </row>
    <row r="1223" spans="2:32" x14ac:dyDescent="0.25">
      <c r="B1223" s="294"/>
      <c r="C1223" s="294"/>
      <c r="D1223" s="294"/>
      <c r="E1223" s="294"/>
      <c r="F1223" s="294"/>
      <c r="G1223" s="294"/>
      <c r="H1223" s="294"/>
      <c r="I1223" s="294"/>
      <c r="J1223" s="294"/>
      <c r="L1223" s="295"/>
      <c r="M1223" s="294"/>
      <c r="S1223" s="294"/>
      <c r="T1223" s="299"/>
      <c r="U1223" s="294"/>
      <c r="V1223" s="299"/>
      <c r="W1223" s="299"/>
      <c r="X1223" s="294"/>
      <c r="Y1223" s="299"/>
      <c r="Z1223" s="294"/>
      <c r="AA1223" s="299"/>
      <c r="AB1223" s="299"/>
      <c r="AC1223" s="294"/>
      <c r="AD1223" s="294"/>
      <c r="AE1223" s="294"/>
      <c r="AF1223" s="294"/>
    </row>
    <row r="1224" spans="2:32" x14ac:dyDescent="0.25">
      <c r="B1224" s="294"/>
      <c r="C1224" s="294"/>
      <c r="D1224" s="294"/>
      <c r="E1224" s="294"/>
      <c r="F1224" s="294"/>
      <c r="G1224" s="294"/>
      <c r="H1224" s="294"/>
      <c r="I1224" s="294"/>
      <c r="J1224" s="294"/>
      <c r="L1224" s="295"/>
      <c r="M1224" s="294"/>
      <c r="S1224" s="294"/>
      <c r="T1224" s="299"/>
      <c r="U1224" s="294"/>
      <c r="V1224" s="299"/>
      <c r="W1224" s="299"/>
      <c r="X1224" s="294"/>
      <c r="Y1224" s="299"/>
      <c r="Z1224" s="294"/>
      <c r="AA1224" s="299"/>
      <c r="AB1224" s="299"/>
      <c r="AC1224" s="294"/>
      <c r="AD1224" s="294"/>
      <c r="AE1224" s="294"/>
      <c r="AF1224" s="294"/>
    </row>
    <row r="1225" spans="2:32" x14ac:dyDescent="0.25">
      <c r="B1225" s="294"/>
      <c r="C1225" s="294"/>
      <c r="D1225" s="294"/>
      <c r="E1225" s="294"/>
      <c r="F1225" s="294"/>
      <c r="G1225" s="294"/>
      <c r="H1225" s="294"/>
      <c r="I1225" s="294"/>
      <c r="J1225" s="294"/>
      <c r="L1225" s="295"/>
      <c r="M1225" s="294"/>
      <c r="S1225" s="294"/>
      <c r="T1225" s="299"/>
      <c r="U1225" s="294"/>
      <c r="V1225" s="299"/>
      <c r="W1225" s="299"/>
      <c r="X1225" s="294"/>
      <c r="Y1225" s="299"/>
      <c r="Z1225" s="294"/>
      <c r="AA1225" s="299"/>
      <c r="AB1225" s="299"/>
      <c r="AC1225" s="294"/>
      <c r="AD1225" s="294"/>
      <c r="AE1225" s="294"/>
      <c r="AF1225" s="294"/>
    </row>
    <row r="1226" spans="2:32" x14ac:dyDescent="0.25">
      <c r="B1226" s="294"/>
      <c r="C1226" s="294"/>
      <c r="D1226" s="294"/>
      <c r="E1226" s="294"/>
      <c r="F1226" s="294"/>
      <c r="G1226" s="294"/>
      <c r="H1226" s="294"/>
      <c r="I1226" s="294"/>
      <c r="J1226" s="294"/>
      <c r="L1226" s="295"/>
      <c r="M1226" s="294"/>
      <c r="S1226" s="294"/>
      <c r="T1226" s="299"/>
      <c r="U1226" s="294"/>
      <c r="V1226" s="299"/>
      <c r="W1226" s="299"/>
      <c r="X1226" s="294"/>
      <c r="Y1226" s="299"/>
      <c r="Z1226" s="294"/>
      <c r="AA1226" s="299"/>
      <c r="AB1226" s="299"/>
      <c r="AC1226" s="294"/>
      <c r="AD1226" s="294"/>
      <c r="AE1226" s="294"/>
      <c r="AF1226" s="294"/>
    </row>
    <row r="1227" spans="2:32" x14ac:dyDescent="0.25">
      <c r="B1227" s="294"/>
      <c r="C1227" s="294"/>
      <c r="D1227" s="294"/>
      <c r="E1227" s="294"/>
      <c r="F1227" s="294"/>
      <c r="G1227" s="294"/>
      <c r="H1227" s="294"/>
      <c r="I1227" s="294"/>
      <c r="J1227" s="294"/>
      <c r="L1227" s="295"/>
      <c r="M1227" s="294"/>
      <c r="S1227" s="294"/>
      <c r="T1227" s="299"/>
      <c r="U1227" s="294"/>
      <c r="V1227" s="299"/>
      <c r="W1227" s="299"/>
      <c r="X1227" s="294"/>
      <c r="Y1227" s="299"/>
      <c r="Z1227" s="294"/>
      <c r="AA1227" s="299"/>
      <c r="AB1227" s="299"/>
      <c r="AC1227" s="294"/>
      <c r="AD1227" s="294"/>
      <c r="AE1227" s="294"/>
      <c r="AF1227" s="294"/>
    </row>
    <row r="1228" spans="2:32" x14ac:dyDescent="0.25">
      <c r="B1228" s="294"/>
      <c r="C1228" s="294"/>
      <c r="D1228" s="294"/>
      <c r="E1228" s="294"/>
      <c r="F1228" s="294"/>
      <c r="G1228" s="294"/>
      <c r="H1228" s="294"/>
      <c r="I1228" s="294"/>
      <c r="J1228" s="294"/>
      <c r="L1228" s="295"/>
      <c r="M1228" s="294"/>
      <c r="S1228" s="294"/>
      <c r="T1228" s="299"/>
      <c r="U1228" s="294"/>
      <c r="V1228" s="299"/>
      <c r="W1228" s="299"/>
      <c r="X1228" s="294"/>
      <c r="Y1228" s="299"/>
      <c r="Z1228" s="294"/>
      <c r="AA1228" s="299"/>
      <c r="AB1228" s="299"/>
      <c r="AC1228" s="294"/>
      <c r="AD1228" s="294"/>
      <c r="AE1228" s="294"/>
      <c r="AF1228" s="294"/>
    </row>
    <row r="1229" spans="2:32" x14ac:dyDescent="0.25">
      <c r="B1229" s="294"/>
      <c r="C1229" s="294"/>
      <c r="D1229" s="294"/>
      <c r="E1229" s="294"/>
      <c r="F1229" s="294"/>
      <c r="G1229" s="294"/>
      <c r="H1229" s="294"/>
      <c r="I1229" s="294"/>
      <c r="J1229" s="294"/>
      <c r="L1229" s="295"/>
      <c r="M1229" s="294"/>
      <c r="S1229" s="294"/>
      <c r="T1229" s="299"/>
      <c r="U1229" s="294"/>
      <c r="V1229" s="299"/>
      <c r="W1229" s="299"/>
      <c r="X1229" s="294"/>
      <c r="Y1229" s="299"/>
      <c r="Z1229" s="294"/>
      <c r="AA1229" s="299"/>
      <c r="AB1229" s="299"/>
      <c r="AC1229" s="294"/>
      <c r="AD1229" s="294"/>
      <c r="AE1229" s="294"/>
      <c r="AF1229" s="294"/>
    </row>
    <row r="1230" spans="2:32" x14ac:dyDescent="0.25">
      <c r="B1230" s="294"/>
      <c r="C1230" s="294"/>
      <c r="D1230" s="294"/>
      <c r="E1230" s="294"/>
      <c r="F1230" s="294"/>
      <c r="G1230" s="294"/>
      <c r="H1230" s="294"/>
      <c r="I1230" s="294"/>
      <c r="J1230" s="294"/>
      <c r="L1230" s="295"/>
      <c r="M1230" s="294"/>
      <c r="S1230" s="294"/>
      <c r="T1230" s="299"/>
      <c r="U1230" s="294"/>
      <c r="V1230" s="299"/>
      <c r="W1230" s="299"/>
      <c r="X1230" s="294"/>
      <c r="Y1230" s="299"/>
      <c r="Z1230" s="294"/>
      <c r="AA1230" s="299"/>
      <c r="AB1230" s="299"/>
      <c r="AC1230" s="294"/>
      <c r="AD1230" s="294"/>
      <c r="AE1230" s="294"/>
      <c r="AF1230" s="294"/>
    </row>
    <row r="1231" spans="2:32" x14ac:dyDescent="0.25">
      <c r="B1231" s="294"/>
      <c r="C1231" s="294"/>
      <c r="D1231" s="294"/>
      <c r="E1231" s="294"/>
      <c r="F1231" s="294"/>
      <c r="G1231" s="294"/>
      <c r="H1231" s="294"/>
      <c r="I1231" s="294"/>
      <c r="J1231" s="294"/>
      <c r="L1231" s="295"/>
      <c r="M1231" s="294"/>
      <c r="S1231" s="294"/>
      <c r="T1231" s="299"/>
      <c r="U1231" s="294"/>
      <c r="V1231" s="299"/>
      <c r="W1231" s="299"/>
      <c r="X1231" s="294"/>
      <c r="Y1231" s="299"/>
      <c r="Z1231" s="294"/>
      <c r="AA1231" s="299"/>
      <c r="AB1231" s="299"/>
      <c r="AC1231" s="294"/>
      <c r="AD1231" s="294"/>
      <c r="AE1231" s="294"/>
      <c r="AF1231" s="294"/>
    </row>
    <row r="1232" spans="2:32" x14ac:dyDescent="0.25">
      <c r="B1232" s="294"/>
      <c r="C1232" s="294"/>
      <c r="D1232" s="294"/>
      <c r="E1232" s="294"/>
      <c r="F1232" s="294"/>
      <c r="G1232" s="294"/>
      <c r="H1232" s="294"/>
      <c r="I1232" s="294"/>
      <c r="J1232" s="294"/>
      <c r="L1232" s="295"/>
      <c r="M1232" s="294"/>
      <c r="S1232" s="294"/>
      <c r="T1232" s="299"/>
      <c r="U1232" s="294"/>
      <c r="V1232" s="299"/>
      <c r="W1232" s="299"/>
      <c r="X1232" s="294"/>
      <c r="Y1232" s="299"/>
      <c r="Z1232" s="294"/>
      <c r="AA1232" s="299"/>
      <c r="AB1232" s="299"/>
      <c r="AC1232" s="294"/>
      <c r="AD1232" s="294"/>
      <c r="AE1232" s="294"/>
      <c r="AF1232" s="294"/>
    </row>
    <row r="1233" spans="2:32" x14ac:dyDescent="0.25">
      <c r="B1233" s="294"/>
      <c r="C1233" s="294"/>
      <c r="D1233" s="294"/>
      <c r="E1233" s="294"/>
      <c r="F1233" s="294"/>
      <c r="G1233" s="294"/>
      <c r="H1233" s="294"/>
      <c r="I1233" s="294"/>
      <c r="J1233" s="294"/>
      <c r="L1233" s="295"/>
      <c r="M1233" s="294"/>
      <c r="S1233" s="294"/>
      <c r="T1233" s="299"/>
      <c r="U1233" s="294"/>
      <c r="V1233" s="299"/>
      <c r="W1233" s="299"/>
      <c r="X1233" s="294"/>
      <c r="Y1233" s="299"/>
      <c r="Z1233" s="294"/>
      <c r="AA1233" s="299"/>
      <c r="AB1233" s="299"/>
      <c r="AC1233" s="294"/>
      <c r="AD1233" s="294"/>
      <c r="AE1233" s="294"/>
      <c r="AF1233" s="294"/>
    </row>
    <row r="1234" spans="2:32" x14ac:dyDescent="0.25">
      <c r="B1234" s="294"/>
      <c r="C1234" s="294"/>
      <c r="D1234" s="294"/>
      <c r="E1234" s="294"/>
      <c r="F1234" s="294"/>
      <c r="G1234" s="294"/>
      <c r="H1234" s="294"/>
      <c r="I1234" s="294"/>
      <c r="J1234" s="294"/>
      <c r="L1234" s="295"/>
      <c r="M1234" s="294"/>
      <c r="S1234" s="294"/>
      <c r="T1234" s="299"/>
      <c r="U1234" s="294"/>
      <c r="V1234" s="299"/>
      <c r="W1234" s="299"/>
      <c r="X1234" s="294"/>
      <c r="Y1234" s="299"/>
      <c r="Z1234" s="294"/>
      <c r="AA1234" s="299"/>
      <c r="AB1234" s="299"/>
      <c r="AC1234" s="294"/>
      <c r="AD1234" s="294"/>
      <c r="AE1234" s="294"/>
      <c r="AF1234" s="294"/>
    </row>
    <row r="1235" spans="2:32" x14ac:dyDescent="0.25">
      <c r="B1235" s="294"/>
      <c r="C1235" s="294"/>
      <c r="D1235" s="294"/>
      <c r="E1235" s="294"/>
      <c r="F1235" s="294"/>
      <c r="G1235" s="294"/>
      <c r="H1235" s="294"/>
      <c r="I1235" s="294"/>
      <c r="J1235" s="294"/>
      <c r="L1235" s="295"/>
      <c r="M1235" s="294"/>
      <c r="S1235" s="294"/>
      <c r="T1235" s="299"/>
      <c r="U1235" s="294"/>
      <c r="V1235" s="299"/>
      <c r="W1235" s="299"/>
      <c r="X1235" s="294"/>
      <c r="Y1235" s="299"/>
      <c r="Z1235" s="294"/>
      <c r="AA1235" s="299"/>
      <c r="AB1235" s="299"/>
      <c r="AC1235" s="294"/>
      <c r="AD1235" s="294"/>
      <c r="AE1235" s="294"/>
      <c r="AF1235" s="294"/>
    </row>
    <row r="1236" spans="2:32" x14ac:dyDescent="0.25">
      <c r="B1236" s="294"/>
      <c r="C1236" s="294"/>
      <c r="D1236" s="294"/>
      <c r="E1236" s="294"/>
      <c r="F1236" s="294"/>
      <c r="G1236" s="294"/>
      <c r="H1236" s="294"/>
      <c r="I1236" s="294"/>
      <c r="J1236" s="294"/>
      <c r="L1236" s="295"/>
      <c r="M1236" s="294"/>
      <c r="S1236" s="294"/>
      <c r="T1236" s="299"/>
      <c r="U1236" s="294"/>
      <c r="V1236" s="299"/>
      <c r="W1236" s="299"/>
      <c r="X1236" s="294"/>
      <c r="Y1236" s="299"/>
      <c r="Z1236" s="294"/>
      <c r="AA1236" s="299"/>
      <c r="AB1236" s="299"/>
      <c r="AC1236" s="294"/>
      <c r="AD1236" s="294"/>
      <c r="AE1236" s="294"/>
      <c r="AF1236" s="294"/>
    </row>
    <row r="1237" spans="2:32" x14ac:dyDescent="0.25">
      <c r="B1237" s="294"/>
      <c r="C1237" s="294"/>
      <c r="D1237" s="294"/>
      <c r="E1237" s="294"/>
      <c r="F1237" s="294"/>
      <c r="G1237" s="294"/>
      <c r="H1237" s="294"/>
      <c r="I1237" s="294"/>
      <c r="J1237" s="294"/>
      <c r="L1237" s="295"/>
      <c r="M1237" s="294"/>
      <c r="S1237" s="294"/>
      <c r="T1237" s="299"/>
      <c r="U1237" s="294"/>
      <c r="V1237" s="299"/>
      <c r="W1237" s="299"/>
      <c r="X1237" s="294"/>
      <c r="Y1237" s="299"/>
      <c r="Z1237" s="294"/>
      <c r="AA1237" s="299"/>
      <c r="AB1237" s="299"/>
      <c r="AC1237" s="294"/>
      <c r="AD1237" s="294"/>
      <c r="AE1237" s="294"/>
      <c r="AF1237" s="294"/>
    </row>
    <row r="1238" spans="2:32" x14ac:dyDescent="0.25">
      <c r="B1238" s="294"/>
      <c r="C1238" s="294"/>
      <c r="D1238" s="294"/>
      <c r="E1238" s="294"/>
      <c r="F1238" s="294"/>
      <c r="G1238" s="294"/>
      <c r="H1238" s="294"/>
      <c r="I1238" s="294"/>
      <c r="J1238" s="294"/>
      <c r="L1238" s="295"/>
      <c r="M1238" s="294"/>
      <c r="S1238" s="294"/>
      <c r="T1238" s="299"/>
      <c r="U1238" s="294"/>
      <c r="V1238" s="299"/>
      <c r="W1238" s="299"/>
      <c r="X1238" s="294"/>
      <c r="Y1238" s="299"/>
      <c r="Z1238" s="294"/>
      <c r="AA1238" s="299"/>
      <c r="AB1238" s="299"/>
      <c r="AC1238" s="294"/>
      <c r="AD1238" s="294"/>
      <c r="AE1238" s="294"/>
      <c r="AF1238" s="294"/>
    </row>
    <row r="1239" spans="2:32" x14ac:dyDescent="0.25">
      <c r="B1239" s="294"/>
      <c r="C1239" s="294"/>
      <c r="D1239" s="294"/>
      <c r="E1239" s="294"/>
      <c r="F1239" s="294"/>
      <c r="G1239" s="294"/>
      <c r="H1239" s="294"/>
      <c r="I1239" s="294"/>
      <c r="J1239" s="294"/>
      <c r="L1239" s="295"/>
      <c r="M1239" s="294"/>
      <c r="S1239" s="294"/>
      <c r="T1239" s="299"/>
      <c r="U1239" s="294"/>
      <c r="V1239" s="299"/>
      <c r="W1239" s="299"/>
      <c r="X1239" s="294"/>
      <c r="Y1239" s="299"/>
      <c r="Z1239" s="294"/>
      <c r="AA1239" s="299"/>
      <c r="AB1239" s="299"/>
      <c r="AC1239" s="294"/>
      <c r="AD1239" s="294"/>
      <c r="AE1239" s="294"/>
      <c r="AF1239" s="294"/>
    </row>
    <row r="1240" spans="2:32" x14ac:dyDescent="0.25">
      <c r="B1240" s="294"/>
      <c r="C1240" s="294"/>
      <c r="D1240" s="294"/>
      <c r="E1240" s="294"/>
      <c r="F1240" s="294"/>
      <c r="G1240" s="294"/>
      <c r="H1240" s="294"/>
      <c r="I1240" s="294"/>
      <c r="J1240" s="294"/>
      <c r="L1240" s="295"/>
      <c r="M1240" s="294"/>
      <c r="S1240" s="294"/>
      <c r="T1240" s="299"/>
      <c r="U1240" s="294"/>
      <c r="V1240" s="299"/>
      <c r="W1240" s="299"/>
      <c r="X1240" s="294"/>
      <c r="Y1240" s="299"/>
      <c r="Z1240" s="294"/>
      <c r="AA1240" s="299"/>
      <c r="AB1240" s="299"/>
      <c r="AC1240" s="294"/>
      <c r="AD1240" s="294"/>
      <c r="AE1240" s="294"/>
      <c r="AF1240" s="294"/>
    </row>
    <row r="1241" spans="2:32" x14ac:dyDescent="0.25">
      <c r="B1241" s="294"/>
      <c r="C1241" s="294"/>
      <c r="D1241" s="294"/>
      <c r="E1241" s="294"/>
      <c r="F1241" s="294"/>
      <c r="G1241" s="294"/>
      <c r="H1241" s="294"/>
      <c r="I1241" s="294"/>
      <c r="J1241" s="294"/>
      <c r="L1241" s="295"/>
      <c r="M1241" s="294"/>
      <c r="S1241" s="294"/>
      <c r="T1241" s="299"/>
      <c r="U1241" s="294"/>
      <c r="V1241" s="299"/>
      <c r="W1241" s="299"/>
      <c r="X1241" s="294"/>
      <c r="Y1241" s="299"/>
      <c r="Z1241" s="294"/>
      <c r="AA1241" s="299"/>
      <c r="AB1241" s="299"/>
      <c r="AC1241" s="294"/>
      <c r="AD1241" s="294"/>
      <c r="AE1241" s="294"/>
      <c r="AF1241" s="294"/>
    </row>
    <row r="1242" spans="2:32" x14ac:dyDescent="0.25">
      <c r="B1242" s="294"/>
      <c r="C1242" s="294"/>
      <c r="D1242" s="294"/>
      <c r="E1242" s="294"/>
      <c r="F1242" s="294"/>
      <c r="G1242" s="294"/>
      <c r="H1242" s="294"/>
      <c r="I1242" s="294"/>
      <c r="J1242" s="294"/>
      <c r="L1242" s="295"/>
      <c r="M1242" s="294"/>
      <c r="S1242" s="294"/>
      <c r="T1242" s="299"/>
      <c r="U1242" s="294"/>
      <c r="V1242" s="299"/>
      <c r="W1242" s="299"/>
      <c r="X1242" s="294"/>
      <c r="Y1242" s="299"/>
      <c r="Z1242" s="294"/>
      <c r="AA1242" s="299"/>
      <c r="AB1242" s="299"/>
      <c r="AC1242" s="294"/>
      <c r="AD1242" s="294"/>
      <c r="AE1242" s="294"/>
      <c r="AF1242" s="294"/>
    </row>
    <row r="1243" spans="2:32" x14ac:dyDescent="0.25">
      <c r="B1243" s="294"/>
      <c r="C1243" s="294"/>
      <c r="D1243" s="294"/>
      <c r="E1243" s="294"/>
      <c r="F1243" s="294"/>
      <c r="G1243" s="294"/>
      <c r="H1243" s="294"/>
      <c r="I1243" s="294"/>
      <c r="J1243" s="294"/>
      <c r="L1243" s="295"/>
      <c r="M1243" s="294"/>
      <c r="S1243" s="294"/>
      <c r="T1243" s="299"/>
      <c r="U1243" s="294"/>
      <c r="V1243" s="299"/>
      <c r="W1243" s="299"/>
      <c r="X1243" s="294"/>
      <c r="Y1243" s="299"/>
      <c r="Z1243" s="294"/>
      <c r="AA1243" s="299"/>
      <c r="AB1243" s="299"/>
      <c r="AC1243" s="294"/>
      <c r="AD1243" s="294"/>
      <c r="AE1243" s="294"/>
      <c r="AF1243" s="294"/>
    </row>
    <row r="1244" spans="2:32" x14ac:dyDescent="0.25">
      <c r="B1244" s="294"/>
      <c r="C1244" s="294"/>
      <c r="D1244" s="294"/>
      <c r="E1244" s="294"/>
      <c r="F1244" s="294"/>
      <c r="G1244" s="294"/>
      <c r="H1244" s="294"/>
      <c r="I1244" s="294"/>
      <c r="J1244" s="294"/>
      <c r="L1244" s="295"/>
      <c r="M1244" s="294"/>
      <c r="S1244" s="294"/>
      <c r="T1244" s="299"/>
      <c r="U1244" s="294"/>
      <c r="V1244" s="299"/>
      <c r="W1244" s="299"/>
      <c r="X1244" s="294"/>
      <c r="Y1244" s="299"/>
      <c r="Z1244" s="294"/>
      <c r="AA1244" s="299"/>
      <c r="AB1244" s="299"/>
      <c r="AC1244" s="294"/>
      <c r="AD1244" s="294"/>
      <c r="AE1244" s="294"/>
      <c r="AF1244" s="294"/>
    </row>
    <row r="1245" spans="2:32" x14ac:dyDescent="0.25">
      <c r="B1245" s="294"/>
      <c r="C1245" s="294"/>
      <c r="D1245" s="294"/>
      <c r="E1245" s="294"/>
      <c r="F1245" s="294"/>
      <c r="G1245" s="294"/>
      <c r="H1245" s="294"/>
      <c r="I1245" s="294"/>
      <c r="J1245" s="294"/>
      <c r="L1245" s="295"/>
      <c r="M1245" s="294"/>
      <c r="S1245" s="294"/>
      <c r="T1245" s="299"/>
      <c r="U1245" s="294"/>
      <c r="V1245" s="299"/>
      <c r="W1245" s="299"/>
      <c r="X1245" s="294"/>
      <c r="Y1245" s="299"/>
      <c r="Z1245" s="294"/>
      <c r="AA1245" s="299"/>
      <c r="AB1245" s="299"/>
      <c r="AC1245" s="294"/>
      <c r="AD1245" s="294"/>
      <c r="AE1245" s="294"/>
      <c r="AF1245" s="294"/>
    </row>
    <row r="1246" spans="2:32" x14ac:dyDescent="0.25">
      <c r="B1246" s="294"/>
      <c r="C1246" s="294"/>
      <c r="D1246" s="294"/>
      <c r="E1246" s="294"/>
      <c r="F1246" s="294"/>
      <c r="G1246" s="294"/>
      <c r="H1246" s="294"/>
      <c r="I1246" s="294"/>
      <c r="J1246" s="294"/>
      <c r="L1246" s="295"/>
      <c r="M1246" s="294"/>
      <c r="S1246" s="294"/>
      <c r="T1246" s="299"/>
      <c r="U1246" s="294"/>
      <c r="V1246" s="299"/>
      <c r="W1246" s="299"/>
      <c r="X1246" s="294"/>
      <c r="Y1246" s="299"/>
      <c r="Z1246" s="294"/>
      <c r="AA1246" s="299"/>
      <c r="AB1246" s="299"/>
      <c r="AC1246" s="294"/>
      <c r="AD1246" s="294"/>
      <c r="AE1246" s="294"/>
      <c r="AF1246" s="294"/>
    </row>
    <row r="1247" spans="2:32" x14ac:dyDescent="0.25">
      <c r="B1247" s="294"/>
      <c r="C1247" s="294"/>
      <c r="D1247" s="294"/>
      <c r="E1247" s="294"/>
      <c r="F1247" s="294"/>
      <c r="G1247" s="294"/>
      <c r="H1247" s="294"/>
      <c r="I1247" s="294"/>
      <c r="J1247" s="294"/>
      <c r="L1247" s="295"/>
      <c r="M1247" s="294"/>
      <c r="S1247" s="294"/>
      <c r="T1247" s="299"/>
      <c r="U1247" s="294"/>
      <c r="V1247" s="299"/>
      <c r="W1247" s="299"/>
      <c r="X1247" s="294"/>
      <c r="Y1247" s="299"/>
      <c r="Z1247" s="294"/>
      <c r="AA1247" s="299"/>
      <c r="AB1247" s="299"/>
      <c r="AC1247" s="294"/>
      <c r="AD1247" s="294"/>
      <c r="AE1247" s="294"/>
      <c r="AF1247" s="294"/>
    </row>
    <row r="1248" spans="2:32" x14ac:dyDescent="0.25">
      <c r="B1248" s="294"/>
      <c r="C1248" s="294"/>
      <c r="D1248" s="294"/>
      <c r="E1248" s="294"/>
      <c r="F1248" s="294"/>
      <c r="G1248" s="294"/>
      <c r="H1248" s="294"/>
      <c r="I1248" s="294"/>
      <c r="J1248" s="294"/>
      <c r="L1248" s="295"/>
      <c r="M1248" s="294"/>
      <c r="S1248" s="294"/>
      <c r="T1248" s="299"/>
      <c r="U1248" s="294"/>
      <c r="V1248" s="299"/>
      <c r="W1248" s="299"/>
      <c r="X1248" s="294"/>
      <c r="Y1248" s="299"/>
      <c r="Z1248" s="294"/>
      <c r="AA1248" s="299"/>
      <c r="AB1248" s="299"/>
      <c r="AC1248" s="294"/>
      <c r="AD1248" s="294"/>
      <c r="AE1248" s="294"/>
      <c r="AF1248" s="294"/>
    </row>
    <row r="1249" spans="2:32" x14ac:dyDescent="0.25">
      <c r="B1249" s="294"/>
      <c r="C1249" s="294"/>
      <c r="D1249" s="294"/>
      <c r="E1249" s="294"/>
      <c r="F1249" s="294"/>
      <c r="G1249" s="294"/>
      <c r="H1249" s="294"/>
      <c r="I1249" s="294"/>
      <c r="J1249" s="294"/>
      <c r="L1249" s="295"/>
      <c r="M1249" s="294"/>
      <c r="S1249" s="294"/>
      <c r="T1249" s="299"/>
      <c r="U1249" s="294"/>
      <c r="V1249" s="299"/>
      <c r="W1249" s="299"/>
      <c r="X1249" s="294"/>
      <c r="Y1249" s="299"/>
      <c r="Z1249" s="294"/>
      <c r="AA1249" s="299"/>
      <c r="AB1249" s="299"/>
      <c r="AC1249" s="294"/>
      <c r="AD1249" s="294"/>
      <c r="AE1249" s="294"/>
      <c r="AF1249" s="294"/>
    </row>
    <row r="1250" spans="2:32" x14ac:dyDescent="0.25">
      <c r="B1250" s="294"/>
      <c r="C1250" s="294"/>
      <c r="D1250" s="294"/>
      <c r="E1250" s="294"/>
      <c r="F1250" s="294"/>
      <c r="G1250" s="294"/>
      <c r="H1250" s="294"/>
      <c r="I1250" s="294"/>
      <c r="J1250" s="294"/>
      <c r="L1250" s="295"/>
      <c r="M1250" s="294"/>
      <c r="S1250" s="294"/>
      <c r="T1250" s="299"/>
      <c r="U1250" s="294"/>
      <c r="V1250" s="299"/>
      <c r="W1250" s="299"/>
      <c r="X1250" s="294"/>
      <c r="Y1250" s="299"/>
      <c r="Z1250" s="294"/>
      <c r="AA1250" s="299"/>
      <c r="AB1250" s="299"/>
      <c r="AC1250" s="294"/>
      <c r="AD1250" s="294"/>
      <c r="AE1250" s="294"/>
      <c r="AF1250" s="294"/>
    </row>
    <row r="1251" spans="2:32" x14ac:dyDescent="0.25">
      <c r="B1251" s="294"/>
      <c r="C1251" s="294"/>
      <c r="D1251" s="294"/>
      <c r="E1251" s="294"/>
      <c r="F1251" s="294"/>
      <c r="G1251" s="294"/>
      <c r="H1251" s="294"/>
      <c r="I1251" s="294"/>
      <c r="J1251" s="294"/>
      <c r="L1251" s="295"/>
      <c r="M1251" s="294"/>
      <c r="S1251" s="294"/>
      <c r="T1251" s="299"/>
      <c r="U1251" s="294"/>
      <c r="V1251" s="299"/>
      <c r="W1251" s="299"/>
      <c r="X1251" s="294"/>
      <c r="Y1251" s="299"/>
      <c r="Z1251" s="294"/>
      <c r="AA1251" s="299"/>
      <c r="AB1251" s="299"/>
      <c r="AC1251" s="294"/>
      <c r="AD1251" s="294"/>
      <c r="AE1251" s="294"/>
      <c r="AF1251" s="294"/>
    </row>
    <row r="1252" spans="2:32" x14ac:dyDescent="0.25">
      <c r="B1252" s="294"/>
      <c r="C1252" s="294"/>
      <c r="D1252" s="294"/>
      <c r="E1252" s="294"/>
      <c r="F1252" s="294"/>
      <c r="G1252" s="294"/>
      <c r="H1252" s="294"/>
      <c r="I1252" s="294"/>
      <c r="J1252" s="294"/>
      <c r="L1252" s="295"/>
      <c r="M1252" s="294"/>
      <c r="S1252" s="294"/>
      <c r="T1252" s="299"/>
      <c r="U1252" s="294"/>
      <c r="V1252" s="299"/>
      <c r="W1252" s="299"/>
      <c r="X1252" s="294"/>
      <c r="Y1252" s="299"/>
      <c r="Z1252" s="294"/>
      <c r="AA1252" s="299"/>
      <c r="AB1252" s="299"/>
      <c r="AC1252" s="294"/>
      <c r="AD1252" s="294"/>
      <c r="AE1252" s="294"/>
      <c r="AF1252" s="294"/>
    </row>
    <row r="1253" spans="2:32" x14ac:dyDescent="0.25">
      <c r="B1253" s="294"/>
      <c r="C1253" s="294"/>
      <c r="D1253" s="294"/>
      <c r="E1253" s="294"/>
      <c r="F1253" s="294"/>
      <c r="G1253" s="294"/>
      <c r="H1253" s="294"/>
      <c r="I1253" s="294"/>
      <c r="J1253" s="294"/>
      <c r="L1253" s="295"/>
      <c r="M1253" s="294"/>
      <c r="S1253" s="294"/>
      <c r="T1253" s="299"/>
      <c r="U1253" s="294"/>
      <c r="V1253" s="299"/>
      <c r="W1253" s="299"/>
      <c r="X1253" s="294"/>
      <c r="Y1253" s="299"/>
      <c r="Z1253" s="294"/>
      <c r="AA1253" s="299"/>
      <c r="AB1253" s="299"/>
      <c r="AC1253" s="294"/>
      <c r="AD1253" s="294"/>
      <c r="AE1253" s="294"/>
      <c r="AF1253" s="294"/>
    </row>
    <row r="1254" spans="2:32" x14ac:dyDescent="0.25">
      <c r="B1254" s="294"/>
      <c r="C1254" s="294"/>
      <c r="D1254" s="294"/>
      <c r="E1254" s="294"/>
      <c r="F1254" s="294"/>
      <c r="G1254" s="294"/>
      <c r="H1254" s="294"/>
      <c r="I1254" s="294"/>
      <c r="J1254" s="294"/>
      <c r="L1254" s="295"/>
      <c r="M1254" s="294"/>
      <c r="S1254" s="294"/>
      <c r="T1254" s="299"/>
      <c r="U1254" s="294"/>
      <c r="V1254" s="299"/>
      <c r="W1254" s="299"/>
      <c r="X1254" s="294"/>
      <c r="Y1254" s="299"/>
      <c r="Z1254" s="294"/>
      <c r="AA1254" s="299"/>
      <c r="AB1254" s="299"/>
      <c r="AC1254" s="294"/>
      <c r="AD1254" s="294"/>
      <c r="AE1254" s="294"/>
      <c r="AF1254" s="294"/>
    </row>
    <row r="1255" spans="2:32" x14ac:dyDescent="0.25">
      <c r="B1255" s="294"/>
      <c r="C1255" s="294"/>
      <c r="D1255" s="294"/>
      <c r="E1255" s="294"/>
      <c r="F1255" s="294"/>
      <c r="G1255" s="294"/>
      <c r="H1255" s="294"/>
      <c r="I1255" s="294"/>
      <c r="J1255" s="294"/>
      <c r="L1255" s="295"/>
      <c r="M1255" s="294"/>
      <c r="S1255" s="294"/>
      <c r="T1255" s="299"/>
      <c r="U1255" s="294"/>
      <c r="V1255" s="299"/>
      <c r="W1255" s="299"/>
      <c r="X1255" s="294"/>
      <c r="Y1255" s="299"/>
      <c r="Z1255" s="294"/>
      <c r="AA1255" s="299"/>
      <c r="AB1255" s="299"/>
      <c r="AC1255" s="294"/>
      <c r="AD1255" s="294"/>
      <c r="AE1255" s="294"/>
      <c r="AF1255" s="294"/>
    </row>
    <row r="1256" spans="2:32" x14ac:dyDescent="0.25">
      <c r="B1256" s="294"/>
      <c r="C1256" s="294"/>
      <c r="D1256" s="294"/>
      <c r="E1256" s="294"/>
      <c r="F1256" s="294"/>
      <c r="G1256" s="294"/>
      <c r="H1256" s="294"/>
      <c r="I1256" s="294"/>
      <c r="J1256" s="294"/>
      <c r="L1256" s="295"/>
      <c r="M1256" s="294"/>
      <c r="S1256" s="294"/>
      <c r="T1256" s="299"/>
      <c r="U1256" s="294"/>
      <c r="V1256" s="299"/>
      <c r="W1256" s="299"/>
      <c r="X1256" s="294"/>
      <c r="Y1256" s="299"/>
      <c r="Z1256" s="294"/>
      <c r="AA1256" s="299"/>
      <c r="AB1256" s="299"/>
      <c r="AC1256" s="294"/>
      <c r="AD1256" s="294"/>
      <c r="AE1256" s="294"/>
      <c r="AF1256" s="294"/>
    </row>
    <row r="1257" spans="2:32" x14ac:dyDescent="0.25">
      <c r="B1257" s="294"/>
      <c r="C1257" s="294"/>
      <c r="D1257" s="294"/>
      <c r="E1257" s="294"/>
      <c r="F1257" s="294"/>
      <c r="G1257" s="294"/>
      <c r="H1257" s="294"/>
      <c r="I1257" s="294"/>
      <c r="J1257" s="294"/>
      <c r="L1257" s="295"/>
      <c r="M1257" s="294"/>
      <c r="S1257" s="294"/>
      <c r="T1257" s="299"/>
      <c r="U1257" s="294"/>
      <c r="V1257" s="299"/>
      <c r="W1257" s="299"/>
      <c r="X1257" s="294"/>
      <c r="Y1257" s="299"/>
      <c r="Z1257" s="294"/>
      <c r="AA1257" s="299"/>
      <c r="AB1257" s="299"/>
      <c r="AC1257" s="294"/>
      <c r="AD1257" s="294"/>
      <c r="AE1257" s="294"/>
      <c r="AF1257" s="294"/>
    </row>
    <row r="1258" spans="2:32" x14ac:dyDescent="0.25">
      <c r="B1258" s="294"/>
      <c r="C1258" s="294"/>
      <c r="D1258" s="294"/>
      <c r="E1258" s="294"/>
      <c r="F1258" s="294"/>
      <c r="G1258" s="294"/>
      <c r="H1258" s="294"/>
      <c r="I1258" s="294"/>
      <c r="J1258" s="294"/>
      <c r="L1258" s="295"/>
      <c r="M1258" s="294"/>
      <c r="S1258" s="294"/>
      <c r="T1258" s="299"/>
      <c r="U1258" s="294"/>
      <c r="V1258" s="299"/>
      <c r="W1258" s="299"/>
      <c r="X1258" s="294"/>
      <c r="Y1258" s="299"/>
      <c r="Z1258" s="294"/>
      <c r="AA1258" s="299"/>
      <c r="AB1258" s="299"/>
      <c r="AC1258" s="294"/>
      <c r="AD1258" s="294"/>
      <c r="AE1258" s="294"/>
      <c r="AF1258" s="294"/>
    </row>
    <row r="1259" spans="2:32" x14ac:dyDescent="0.25">
      <c r="B1259" s="294"/>
      <c r="C1259" s="294"/>
      <c r="D1259" s="294"/>
      <c r="E1259" s="294"/>
      <c r="F1259" s="294"/>
      <c r="G1259" s="294"/>
      <c r="H1259" s="294"/>
      <c r="I1259" s="294"/>
      <c r="J1259" s="294"/>
      <c r="L1259" s="295"/>
      <c r="M1259" s="294"/>
      <c r="S1259" s="294"/>
      <c r="T1259" s="299"/>
      <c r="U1259" s="294"/>
      <c r="V1259" s="299"/>
      <c r="W1259" s="299"/>
      <c r="X1259" s="294"/>
      <c r="Y1259" s="299"/>
      <c r="Z1259" s="294"/>
      <c r="AA1259" s="299"/>
      <c r="AB1259" s="299"/>
      <c r="AC1259" s="294"/>
      <c r="AD1259" s="294"/>
      <c r="AE1259" s="294"/>
      <c r="AF1259" s="294"/>
    </row>
    <row r="1260" spans="2:32" x14ac:dyDescent="0.25">
      <c r="B1260" s="294"/>
      <c r="C1260" s="294"/>
      <c r="D1260" s="294"/>
      <c r="E1260" s="294"/>
      <c r="F1260" s="294"/>
      <c r="G1260" s="294"/>
      <c r="H1260" s="294"/>
      <c r="I1260" s="294"/>
      <c r="J1260" s="294"/>
      <c r="L1260" s="295"/>
      <c r="M1260" s="294"/>
      <c r="S1260" s="294"/>
      <c r="T1260" s="299"/>
      <c r="U1260" s="294"/>
      <c r="V1260" s="299"/>
      <c r="W1260" s="299"/>
      <c r="X1260" s="294"/>
      <c r="Y1260" s="299"/>
      <c r="Z1260" s="294"/>
      <c r="AA1260" s="299"/>
      <c r="AB1260" s="299"/>
      <c r="AC1260" s="294"/>
      <c r="AD1260" s="294"/>
      <c r="AE1260" s="294"/>
      <c r="AF1260" s="294"/>
    </row>
    <row r="1261" spans="2:32" x14ac:dyDescent="0.25">
      <c r="B1261" s="294"/>
      <c r="C1261" s="294"/>
      <c r="D1261" s="294"/>
      <c r="E1261" s="294"/>
      <c r="F1261" s="294"/>
      <c r="G1261" s="294"/>
      <c r="H1261" s="294"/>
      <c r="I1261" s="294"/>
      <c r="J1261" s="294"/>
      <c r="L1261" s="295"/>
      <c r="M1261" s="294"/>
      <c r="S1261" s="294"/>
      <c r="T1261" s="299"/>
      <c r="U1261" s="294"/>
      <c r="V1261" s="299"/>
      <c r="W1261" s="299"/>
      <c r="X1261" s="294"/>
      <c r="Y1261" s="299"/>
      <c r="Z1261" s="294"/>
      <c r="AA1261" s="299"/>
      <c r="AB1261" s="299"/>
      <c r="AC1261" s="294"/>
      <c r="AD1261" s="294"/>
      <c r="AE1261" s="294"/>
      <c r="AF1261" s="294"/>
    </row>
    <row r="1262" spans="2:32" x14ac:dyDescent="0.25">
      <c r="B1262" s="294"/>
      <c r="C1262" s="294"/>
      <c r="D1262" s="294"/>
      <c r="E1262" s="294"/>
      <c r="F1262" s="294"/>
      <c r="G1262" s="294"/>
      <c r="H1262" s="294"/>
      <c r="I1262" s="294"/>
      <c r="J1262" s="294"/>
      <c r="L1262" s="295"/>
      <c r="M1262" s="294"/>
      <c r="S1262" s="294"/>
      <c r="T1262" s="299"/>
      <c r="U1262" s="294"/>
      <c r="V1262" s="299"/>
      <c r="W1262" s="299"/>
      <c r="X1262" s="294"/>
      <c r="Y1262" s="299"/>
      <c r="Z1262" s="294"/>
      <c r="AA1262" s="299"/>
      <c r="AB1262" s="299"/>
      <c r="AC1262" s="294"/>
      <c r="AD1262" s="294"/>
      <c r="AE1262" s="294"/>
      <c r="AF1262" s="294"/>
    </row>
    <row r="1263" spans="2:32" x14ac:dyDescent="0.25">
      <c r="B1263" s="294"/>
      <c r="C1263" s="294"/>
      <c r="D1263" s="294"/>
      <c r="E1263" s="294"/>
      <c r="F1263" s="294"/>
      <c r="G1263" s="294"/>
      <c r="H1263" s="294"/>
      <c r="I1263" s="294"/>
      <c r="J1263" s="294"/>
      <c r="L1263" s="295"/>
      <c r="M1263" s="294"/>
      <c r="S1263" s="294"/>
      <c r="T1263" s="299"/>
      <c r="U1263" s="294"/>
      <c r="V1263" s="299"/>
      <c r="W1263" s="299"/>
      <c r="X1263" s="294"/>
      <c r="Y1263" s="299"/>
      <c r="Z1263" s="294"/>
      <c r="AA1263" s="299"/>
      <c r="AB1263" s="299"/>
      <c r="AC1263" s="294"/>
      <c r="AD1263" s="294"/>
      <c r="AE1263" s="294"/>
      <c r="AF1263" s="294"/>
    </row>
    <row r="1264" spans="2:32" x14ac:dyDescent="0.25">
      <c r="B1264" s="294"/>
      <c r="C1264" s="294"/>
      <c r="D1264" s="294"/>
      <c r="E1264" s="294"/>
      <c r="F1264" s="294"/>
      <c r="G1264" s="294"/>
      <c r="H1264" s="294"/>
      <c r="I1264" s="294"/>
      <c r="J1264" s="294"/>
      <c r="L1264" s="295"/>
      <c r="M1264" s="294"/>
      <c r="S1264" s="294"/>
      <c r="T1264" s="299"/>
      <c r="U1264" s="294"/>
      <c r="V1264" s="299"/>
      <c r="W1264" s="299"/>
      <c r="X1264" s="294"/>
      <c r="Y1264" s="299"/>
      <c r="Z1264" s="294"/>
      <c r="AA1264" s="299"/>
      <c r="AB1264" s="299"/>
      <c r="AC1264" s="294"/>
      <c r="AD1264" s="294"/>
      <c r="AE1264" s="294"/>
      <c r="AF1264" s="294"/>
    </row>
    <row r="1265" spans="2:32" x14ac:dyDescent="0.25">
      <c r="B1265" s="294"/>
      <c r="C1265" s="294"/>
      <c r="D1265" s="294"/>
      <c r="E1265" s="294"/>
      <c r="F1265" s="294"/>
      <c r="G1265" s="294"/>
      <c r="H1265" s="294"/>
      <c r="I1265" s="294"/>
      <c r="J1265" s="294"/>
      <c r="L1265" s="295"/>
      <c r="M1265" s="294"/>
      <c r="S1265" s="294"/>
      <c r="T1265" s="299"/>
      <c r="U1265" s="294"/>
      <c r="V1265" s="299"/>
      <c r="W1265" s="299"/>
      <c r="X1265" s="294"/>
      <c r="Y1265" s="299"/>
      <c r="Z1265" s="294"/>
      <c r="AA1265" s="299"/>
      <c r="AB1265" s="299"/>
      <c r="AC1265" s="294"/>
      <c r="AD1265" s="294"/>
      <c r="AE1265" s="294"/>
      <c r="AF1265" s="294"/>
    </row>
    <row r="1266" spans="2:32" x14ac:dyDescent="0.25">
      <c r="B1266" s="294"/>
      <c r="C1266" s="294"/>
      <c r="D1266" s="294"/>
      <c r="E1266" s="294"/>
      <c r="F1266" s="294"/>
      <c r="G1266" s="294"/>
      <c r="H1266" s="294"/>
      <c r="I1266" s="294"/>
      <c r="J1266" s="294"/>
      <c r="L1266" s="295"/>
      <c r="M1266" s="294"/>
      <c r="S1266" s="294"/>
      <c r="T1266" s="299"/>
      <c r="U1266" s="294"/>
      <c r="V1266" s="299"/>
      <c r="W1266" s="299"/>
      <c r="X1266" s="294"/>
      <c r="Y1266" s="299"/>
      <c r="Z1266" s="294"/>
      <c r="AA1266" s="299"/>
      <c r="AB1266" s="299"/>
      <c r="AC1266" s="294"/>
      <c r="AD1266" s="294"/>
      <c r="AE1266" s="294"/>
      <c r="AF1266" s="294"/>
    </row>
    <row r="1267" spans="2:32" x14ac:dyDescent="0.25">
      <c r="B1267" s="294"/>
      <c r="C1267" s="294"/>
      <c r="D1267" s="294"/>
      <c r="E1267" s="294"/>
      <c r="F1267" s="294"/>
      <c r="G1267" s="294"/>
      <c r="H1267" s="294"/>
      <c r="I1267" s="294"/>
      <c r="J1267" s="294"/>
      <c r="L1267" s="295"/>
      <c r="M1267" s="294"/>
      <c r="S1267" s="294"/>
      <c r="T1267" s="299"/>
      <c r="U1267" s="294"/>
      <c r="V1267" s="299"/>
      <c r="W1267" s="299"/>
      <c r="X1267" s="294"/>
      <c r="Y1267" s="299"/>
      <c r="Z1267" s="294"/>
      <c r="AA1267" s="299"/>
      <c r="AB1267" s="299"/>
      <c r="AC1267" s="294"/>
      <c r="AD1267" s="294"/>
      <c r="AE1267" s="294"/>
      <c r="AF1267" s="294"/>
    </row>
    <row r="1268" spans="2:32" x14ac:dyDescent="0.25">
      <c r="B1268" s="294"/>
      <c r="C1268" s="294"/>
      <c r="D1268" s="294"/>
      <c r="E1268" s="294"/>
      <c r="F1268" s="294"/>
      <c r="G1268" s="294"/>
      <c r="H1268" s="294"/>
      <c r="I1268" s="294"/>
      <c r="J1268" s="294"/>
      <c r="L1268" s="295"/>
      <c r="M1268" s="294"/>
      <c r="S1268" s="294"/>
      <c r="T1268" s="299"/>
      <c r="U1268" s="294"/>
      <c r="V1268" s="299"/>
      <c r="W1268" s="299"/>
      <c r="X1268" s="294"/>
      <c r="Y1268" s="299"/>
      <c r="Z1268" s="294"/>
      <c r="AA1268" s="299"/>
      <c r="AB1268" s="299"/>
      <c r="AC1268" s="294"/>
      <c r="AD1268" s="294"/>
      <c r="AE1268" s="294"/>
      <c r="AF1268" s="294"/>
    </row>
    <row r="1269" spans="2:32" x14ac:dyDescent="0.25">
      <c r="B1269" s="294"/>
      <c r="C1269" s="294"/>
      <c r="D1269" s="294"/>
      <c r="E1269" s="294"/>
      <c r="F1269" s="294"/>
      <c r="G1269" s="294"/>
      <c r="H1269" s="294"/>
      <c r="I1269" s="294"/>
      <c r="J1269" s="294"/>
      <c r="L1269" s="295"/>
      <c r="M1269" s="294"/>
      <c r="S1269" s="294"/>
      <c r="T1269" s="299"/>
      <c r="U1269" s="294"/>
      <c r="V1269" s="299"/>
      <c r="W1269" s="299"/>
      <c r="X1269" s="294"/>
      <c r="Y1269" s="299"/>
      <c r="Z1269" s="294"/>
      <c r="AA1269" s="299"/>
      <c r="AB1269" s="299"/>
      <c r="AC1269" s="294"/>
      <c r="AD1269" s="294"/>
      <c r="AE1269" s="294"/>
      <c r="AF1269" s="294"/>
    </row>
    <row r="1270" spans="2:32" x14ac:dyDescent="0.25">
      <c r="B1270" s="294"/>
      <c r="C1270" s="294"/>
      <c r="D1270" s="294"/>
      <c r="E1270" s="294"/>
      <c r="F1270" s="294"/>
      <c r="G1270" s="294"/>
      <c r="H1270" s="294"/>
      <c r="I1270" s="294"/>
      <c r="J1270" s="294"/>
      <c r="L1270" s="295"/>
      <c r="M1270" s="294"/>
      <c r="S1270" s="294"/>
      <c r="T1270" s="299"/>
      <c r="U1270" s="294"/>
      <c r="V1270" s="299"/>
      <c r="W1270" s="299"/>
      <c r="X1270" s="294"/>
      <c r="Y1270" s="299"/>
      <c r="Z1270" s="294"/>
      <c r="AA1270" s="299"/>
      <c r="AB1270" s="299"/>
      <c r="AC1270" s="294"/>
      <c r="AD1270" s="294"/>
      <c r="AE1270" s="294"/>
      <c r="AF1270" s="294"/>
    </row>
    <row r="1271" spans="2:32" x14ac:dyDescent="0.25">
      <c r="B1271" s="294"/>
      <c r="C1271" s="294"/>
      <c r="D1271" s="294"/>
      <c r="E1271" s="294"/>
      <c r="F1271" s="294"/>
      <c r="G1271" s="294"/>
      <c r="H1271" s="294"/>
      <c r="I1271" s="294"/>
      <c r="J1271" s="294"/>
      <c r="L1271" s="295"/>
      <c r="M1271" s="294"/>
      <c r="S1271" s="294"/>
      <c r="T1271" s="299"/>
      <c r="U1271" s="294"/>
      <c r="V1271" s="299"/>
      <c r="W1271" s="299"/>
      <c r="X1271" s="294"/>
      <c r="Y1271" s="299"/>
      <c r="Z1271" s="294"/>
      <c r="AA1271" s="299"/>
      <c r="AB1271" s="299"/>
      <c r="AC1271" s="294"/>
      <c r="AD1271" s="294"/>
      <c r="AE1271" s="294"/>
      <c r="AF1271" s="294"/>
    </row>
    <row r="1272" spans="2:32" x14ac:dyDescent="0.25">
      <c r="B1272" s="294"/>
      <c r="C1272" s="294"/>
      <c r="D1272" s="294"/>
      <c r="E1272" s="294"/>
      <c r="F1272" s="294"/>
      <c r="G1272" s="294"/>
      <c r="H1272" s="294"/>
      <c r="I1272" s="294"/>
      <c r="J1272" s="294"/>
      <c r="L1272" s="295"/>
      <c r="M1272" s="294"/>
      <c r="S1272" s="294"/>
      <c r="T1272" s="299"/>
      <c r="U1272" s="294"/>
      <c r="V1272" s="299"/>
      <c r="W1272" s="299"/>
      <c r="X1272" s="294"/>
      <c r="Y1272" s="299"/>
      <c r="Z1272" s="294"/>
      <c r="AA1272" s="299"/>
      <c r="AB1272" s="299"/>
      <c r="AC1272" s="294"/>
      <c r="AD1272" s="294"/>
      <c r="AE1272" s="294"/>
      <c r="AF1272" s="294"/>
    </row>
    <row r="1273" spans="2:32" x14ac:dyDescent="0.25">
      <c r="B1273" s="294"/>
      <c r="C1273" s="294"/>
      <c r="D1273" s="294"/>
      <c r="E1273" s="294"/>
      <c r="F1273" s="294"/>
      <c r="G1273" s="294"/>
      <c r="H1273" s="294"/>
      <c r="I1273" s="294"/>
      <c r="J1273" s="294"/>
      <c r="L1273" s="295"/>
      <c r="M1273" s="294"/>
      <c r="S1273" s="294"/>
      <c r="T1273" s="299"/>
      <c r="U1273" s="294"/>
      <c r="V1273" s="299"/>
      <c r="W1273" s="299"/>
      <c r="X1273" s="294"/>
      <c r="Y1273" s="299"/>
      <c r="Z1273" s="294"/>
      <c r="AA1273" s="299"/>
      <c r="AB1273" s="299"/>
      <c r="AC1273" s="294"/>
      <c r="AD1273" s="294"/>
      <c r="AE1273" s="294"/>
      <c r="AF1273" s="294"/>
    </row>
    <row r="1274" spans="2:32" x14ac:dyDescent="0.25">
      <c r="B1274" s="294"/>
      <c r="C1274" s="294"/>
      <c r="D1274" s="294"/>
      <c r="E1274" s="294"/>
      <c r="F1274" s="294"/>
      <c r="G1274" s="294"/>
      <c r="H1274" s="294"/>
      <c r="I1274" s="294"/>
      <c r="J1274" s="294"/>
      <c r="L1274" s="295"/>
      <c r="M1274" s="294"/>
      <c r="S1274" s="294"/>
      <c r="T1274" s="299"/>
      <c r="U1274" s="294"/>
      <c r="V1274" s="299"/>
      <c r="W1274" s="299"/>
      <c r="X1274" s="294"/>
      <c r="Y1274" s="299"/>
      <c r="Z1274" s="294"/>
      <c r="AA1274" s="299"/>
      <c r="AB1274" s="299"/>
      <c r="AC1274" s="294"/>
      <c r="AD1274" s="294"/>
      <c r="AE1274" s="294"/>
      <c r="AF1274" s="294"/>
    </row>
    <row r="1275" spans="2:32" x14ac:dyDescent="0.25">
      <c r="B1275" s="294"/>
      <c r="C1275" s="294"/>
      <c r="D1275" s="294"/>
      <c r="E1275" s="294"/>
      <c r="F1275" s="294"/>
      <c r="G1275" s="294"/>
      <c r="H1275" s="294"/>
      <c r="I1275" s="294"/>
      <c r="J1275" s="294"/>
      <c r="L1275" s="295"/>
      <c r="M1275" s="294"/>
      <c r="S1275" s="294"/>
      <c r="T1275" s="299"/>
      <c r="U1275" s="294"/>
      <c r="V1275" s="299"/>
      <c r="W1275" s="299"/>
      <c r="X1275" s="294"/>
      <c r="Y1275" s="299"/>
      <c r="Z1275" s="294"/>
      <c r="AA1275" s="299"/>
      <c r="AB1275" s="299"/>
      <c r="AC1275" s="294"/>
      <c r="AD1275" s="294"/>
      <c r="AE1275" s="294"/>
      <c r="AF1275" s="294"/>
    </row>
    <row r="1276" spans="2:32" x14ac:dyDescent="0.25">
      <c r="B1276" s="294"/>
      <c r="C1276" s="294"/>
      <c r="D1276" s="294"/>
      <c r="E1276" s="294"/>
      <c r="F1276" s="294"/>
      <c r="G1276" s="294"/>
      <c r="H1276" s="294"/>
      <c r="I1276" s="294"/>
      <c r="J1276" s="294"/>
      <c r="L1276" s="295"/>
      <c r="M1276" s="294"/>
      <c r="S1276" s="294"/>
      <c r="T1276" s="299"/>
      <c r="U1276" s="294"/>
      <c r="V1276" s="299"/>
      <c r="W1276" s="299"/>
      <c r="X1276" s="294"/>
      <c r="Y1276" s="299"/>
      <c r="Z1276" s="294"/>
      <c r="AA1276" s="299"/>
      <c r="AB1276" s="299"/>
      <c r="AC1276" s="294"/>
      <c r="AD1276" s="294"/>
      <c r="AE1276" s="294"/>
      <c r="AF1276" s="294"/>
    </row>
    <row r="1277" spans="2:32" x14ac:dyDescent="0.25">
      <c r="B1277" s="294"/>
      <c r="C1277" s="294"/>
      <c r="D1277" s="294"/>
      <c r="E1277" s="294"/>
      <c r="F1277" s="294"/>
      <c r="G1277" s="294"/>
      <c r="H1277" s="294"/>
      <c r="I1277" s="294"/>
      <c r="J1277" s="294"/>
      <c r="L1277" s="295"/>
      <c r="M1277" s="294"/>
      <c r="S1277" s="294"/>
      <c r="T1277" s="299"/>
      <c r="U1277" s="294"/>
      <c r="V1277" s="299"/>
      <c r="W1277" s="299"/>
      <c r="X1277" s="294"/>
      <c r="Y1277" s="299"/>
      <c r="Z1277" s="294"/>
      <c r="AA1277" s="299"/>
      <c r="AB1277" s="299"/>
      <c r="AC1277" s="294"/>
      <c r="AD1277" s="294"/>
      <c r="AE1277" s="294"/>
      <c r="AF1277" s="294"/>
    </row>
    <row r="1278" spans="2:32" x14ac:dyDescent="0.25">
      <c r="B1278" s="294"/>
      <c r="C1278" s="294"/>
      <c r="D1278" s="294"/>
      <c r="E1278" s="294"/>
      <c r="F1278" s="294"/>
      <c r="G1278" s="294"/>
      <c r="H1278" s="294"/>
      <c r="I1278" s="294"/>
      <c r="J1278" s="294"/>
      <c r="L1278" s="295"/>
      <c r="M1278" s="294"/>
      <c r="S1278" s="294"/>
      <c r="T1278" s="299"/>
      <c r="U1278" s="294"/>
      <c r="V1278" s="299"/>
      <c r="W1278" s="299"/>
      <c r="X1278" s="294"/>
      <c r="Y1278" s="299"/>
      <c r="Z1278" s="294"/>
      <c r="AA1278" s="299"/>
      <c r="AB1278" s="299"/>
      <c r="AC1278" s="294"/>
      <c r="AD1278" s="294"/>
      <c r="AE1278" s="294"/>
      <c r="AF1278" s="294"/>
    </row>
    <row r="1279" spans="2:32" x14ac:dyDescent="0.25">
      <c r="B1279" s="294"/>
      <c r="C1279" s="294"/>
      <c r="D1279" s="294"/>
      <c r="E1279" s="294"/>
      <c r="F1279" s="294"/>
      <c r="G1279" s="294"/>
      <c r="H1279" s="294"/>
      <c r="I1279" s="294"/>
      <c r="J1279" s="294"/>
      <c r="L1279" s="295"/>
      <c r="M1279" s="294"/>
      <c r="S1279" s="294"/>
      <c r="T1279" s="299"/>
      <c r="U1279" s="294"/>
      <c r="V1279" s="299"/>
      <c r="W1279" s="299"/>
      <c r="X1279" s="294"/>
      <c r="Y1279" s="299"/>
      <c r="Z1279" s="294"/>
      <c r="AA1279" s="299"/>
      <c r="AB1279" s="299"/>
      <c r="AC1279" s="294"/>
      <c r="AD1279" s="294"/>
      <c r="AE1279" s="294"/>
      <c r="AF1279" s="294"/>
    </row>
    <row r="1280" spans="2:32" x14ac:dyDescent="0.25">
      <c r="B1280" s="294"/>
      <c r="C1280" s="294"/>
      <c r="D1280" s="294"/>
      <c r="E1280" s="294"/>
      <c r="F1280" s="294"/>
      <c r="G1280" s="294"/>
      <c r="H1280" s="294"/>
      <c r="I1280" s="294"/>
      <c r="J1280" s="294"/>
      <c r="L1280" s="295"/>
      <c r="M1280" s="294"/>
      <c r="S1280" s="294"/>
      <c r="T1280" s="299"/>
      <c r="U1280" s="294"/>
      <c r="V1280" s="299"/>
      <c r="W1280" s="299"/>
      <c r="X1280" s="294"/>
      <c r="Y1280" s="299"/>
      <c r="Z1280" s="294"/>
      <c r="AA1280" s="299"/>
      <c r="AB1280" s="299"/>
      <c r="AC1280" s="294"/>
      <c r="AD1280" s="294"/>
      <c r="AE1280" s="294"/>
      <c r="AF1280" s="294"/>
    </row>
    <row r="1281" spans="2:32" x14ac:dyDescent="0.25">
      <c r="B1281" s="294"/>
      <c r="C1281" s="294"/>
      <c r="D1281" s="294"/>
      <c r="E1281" s="294"/>
      <c r="F1281" s="294"/>
      <c r="G1281" s="294"/>
      <c r="H1281" s="294"/>
      <c r="I1281" s="294"/>
      <c r="J1281" s="294"/>
      <c r="L1281" s="295"/>
      <c r="M1281" s="294"/>
      <c r="S1281" s="294"/>
      <c r="T1281" s="299"/>
      <c r="U1281" s="294"/>
      <c r="V1281" s="299"/>
      <c r="W1281" s="299"/>
      <c r="X1281" s="294"/>
      <c r="Y1281" s="299"/>
      <c r="Z1281" s="294"/>
      <c r="AA1281" s="299"/>
      <c r="AB1281" s="299"/>
      <c r="AC1281" s="294"/>
      <c r="AD1281" s="294"/>
      <c r="AE1281" s="294"/>
      <c r="AF1281" s="294"/>
    </row>
    <row r="1282" spans="2:32" x14ac:dyDescent="0.25">
      <c r="B1282" s="294"/>
      <c r="C1282" s="294"/>
      <c r="D1282" s="294"/>
      <c r="E1282" s="294"/>
      <c r="F1282" s="294"/>
      <c r="G1282" s="294"/>
      <c r="H1282" s="294"/>
      <c r="I1282" s="294"/>
      <c r="J1282" s="294"/>
      <c r="L1282" s="295"/>
      <c r="M1282" s="294"/>
      <c r="S1282" s="294"/>
      <c r="T1282" s="299"/>
      <c r="U1282" s="294"/>
      <c r="V1282" s="299"/>
      <c r="W1282" s="299"/>
      <c r="X1282" s="294"/>
      <c r="Y1282" s="299"/>
      <c r="Z1282" s="294"/>
      <c r="AA1282" s="299"/>
      <c r="AB1282" s="299"/>
      <c r="AC1282" s="294"/>
      <c r="AD1282" s="294"/>
      <c r="AE1282" s="294"/>
      <c r="AF1282" s="294"/>
    </row>
    <row r="1283" spans="2:32" x14ac:dyDescent="0.25">
      <c r="B1283" s="294"/>
      <c r="C1283" s="294"/>
      <c r="D1283" s="294"/>
      <c r="E1283" s="294"/>
      <c r="F1283" s="294"/>
      <c r="G1283" s="294"/>
      <c r="H1283" s="294"/>
      <c r="I1283" s="294"/>
      <c r="J1283" s="294"/>
      <c r="L1283" s="295"/>
      <c r="M1283" s="294"/>
      <c r="S1283" s="294"/>
      <c r="T1283" s="299"/>
      <c r="U1283" s="294"/>
      <c r="V1283" s="299"/>
      <c r="W1283" s="299"/>
      <c r="X1283" s="294"/>
      <c r="Y1283" s="299"/>
      <c r="Z1283" s="294"/>
      <c r="AA1283" s="299"/>
      <c r="AB1283" s="299"/>
      <c r="AC1283" s="294"/>
      <c r="AD1283" s="294"/>
      <c r="AE1283" s="294"/>
      <c r="AF1283" s="294"/>
    </row>
    <row r="1284" spans="2:32" x14ac:dyDescent="0.25">
      <c r="B1284" s="294"/>
      <c r="C1284" s="294"/>
      <c r="D1284" s="294"/>
      <c r="E1284" s="294"/>
      <c r="F1284" s="294"/>
      <c r="G1284" s="294"/>
      <c r="H1284" s="294"/>
      <c r="I1284" s="294"/>
      <c r="J1284" s="294"/>
      <c r="L1284" s="295"/>
      <c r="M1284" s="294"/>
      <c r="S1284" s="294"/>
      <c r="T1284" s="299"/>
      <c r="U1284" s="294"/>
      <c r="V1284" s="299"/>
      <c r="W1284" s="299"/>
      <c r="X1284" s="294"/>
      <c r="Y1284" s="299"/>
      <c r="Z1284" s="294"/>
      <c r="AA1284" s="299"/>
      <c r="AB1284" s="299"/>
      <c r="AC1284" s="294"/>
      <c r="AD1284" s="294"/>
      <c r="AE1284" s="294"/>
      <c r="AF1284" s="294"/>
    </row>
    <row r="1285" spans="2:32" x14ac:dyDescent="0.25">
      <c r="B1285" s="294"/>
      <c r="C1285" s="294"/>
      <c r="D1285" s="294"/>
      <c r="E1285" s="294"/>
      <c r="F1285" s="294"/>
      <c r="G1285" s="294"/>
      <c r="H1285" s="294"/>
      <c r="I1285" s="294"/>
      <c r="J1285" s="294"/>
      <c r="L1285" s="295"/>
      <c r="M1285" s="294"/>
      <c r="S1285" s="294"/>
      <c r="T1285" s="299"/>
      <c r="U1285" s="294"/>
      <c r="V1285" s="299"/>
      <c r="W1285" s="299"/>
      <c r="X1285" s="294"/>
      <c r="Y1285" s="299"/>
      <c r="Z1285" s="294"/>
      <c r="AA1285" s="299"/>
      <c r="AB1285" s="299"/>
      <c r="AC1285" s="294"/>
      <c r="AD1285" s="294"/>
      <c r="AE1285" s="294"/>
      <c r="AF1285" s="294"/>
    </row>
    <row r="1286" spans="2:32" x14ac:dyDescent="0.25">
      <c r="B1286" s="294"/>
      <c r="C1286" s="294"/>
      <c r="D1286" s="294"/>
      <c r="E1286" s="294"/>
      <c r="F1286" s="294"/>
      <c r="G1286" s="294"/>
      <c r="H1286" s="294"/>
      <c r="I1286" s="294"/>
      <c r="J1286" s="294"/>
      <c r="L1286" s="295"/>
      <c r="M1286" s="294"/>
      <c r="S1286" s="294"/>
      <c r="T1286" s="299"/>
      <c r="U1286" s="294"/>
      <c r="V1286" s="299"/>
      <c r="W1286" s="299"/>
      <c r="X1286" s="294"/>
      <c r="Y1286" s="299"/>
      <c r="Z1286" s="294"/>
      <c r="AA1286" s="299"/>
      <c r="AB1286" s="299"/>
      <c r="AC1286" s="294"/>
      <c r="AD1286" s="294"/>
      <c r="AE1286" s="294"/>
      <c r="AF1286" s="294"/>
    </row>
    <row r="1287" spans="2:32" x14ac:dyDescent="0.25">
      <c r="B1287" s="294"/>
      <c r="C1287" s="294"/>
      <c r="D1287" s="294"/>
      <c r="E1287" s="294"/>
      <c r="F1287" s="294"/>
      <c r="G1287" s="294"/>
      <c r="H1287" s="294"/>
      <c r="I1287" s="294"/>
      <c r="J1287" s="294"/>
      <c r="L1287" s="295"/>
      <c r="M1287" s="294"/>
      <c r="S1287" s="294"/>
      <c r="T1287" s="299"/>
      <c r="U1287" s="294"/>
      <c r="V1287" s="299"/>
      <c r="W1287" s="299"/>
      <c r="X1287" s="294"/>
      <c r="Y1287" s="299"/>
      <c r="Z1287" s="294"/>
      <c r="AA1287" s="299"/>
      <c r="AB1287" s="299"/>
      <c r="AC1287" s="294"/>
      <c r="AD1287" s="294"/>
      <c r="AE1287" s="294"/>
      <c r="AF1287" s="294"/>
    </row>
    <row r="1288" spans="2:32" x14ac:dyDescent="0.25">
      <c r="B1288" s="294"/>
      <c r="C1288" s="294"/>
      <c r="D1288" s="294"/>
      <c r="E1288" s="294"/>
      <c r="F1288" s="294"/>
      <c r="G1288" s="294"/>
      <c r="H1288" s="294"/>
      <c r="I1288" s="294"/>
      <c r="J1288" s="294"/>
      <c r="L1288" s="295"/>
      <c r="M1288" s="294"/>
      <c r="S1288" s="294"/>
      <c r="T1288" s="299"/>
      <c r="U1288" s="294"/>
      <c r="V1288" s="299"/>
      <c r="W1288" s="299"/>
      <c r="X1288" s="294"/>
      <c r="Y1288" s="299"/>
      <c r="Z1288" s="294"/>
      <c r="AA1288" s="299"/>
      <c r="AB1288" s="299"/>
      <c r="AC1288" s="294"/>
      <c r="AD1288" s="294"/>
      <c r="AE1288" s="294"/>
      <c r="AF1288" s="294"/>
    </row>
    <row r="1289" spans="2:32" x14ac:dyDescent="0.25">
      <c r="B1289" s="294"/>
      <c r="C1289" s="294"/>
      <c r="D1289" s="294"/>
      <c r="E1289" s="294"/>
      <c r="F1289" s="294"/>
      <c r="G1289" s="294"/>
      <c r="H1289" s="294"/>
      <c r="I1289" s="294"/>
      <c r="J1289" s="294"/>
      <c r="L1289" s="295"/>
      <c r="M1289" s="294"/>
      <c r="S1289" s="294"/>
      <c r="T1289" s="299"/>
      <c r="U1289" s="294"/>
      <c r="V1289" s="299"/>
      <c r="W1289" s="299"/>
      <c r="X1289" s="294"/>
      <c r="Y1289" s="299"/>
      <c r="Z1289" s="294"/>
      <c r="AA1289" s="299"/>
      <c r="AB1289" s="299"/>
      <c r="AC1289" s="294"/>
      <c r="AD1289" s="294"/>
      <c r="AE1289" s="294"/>
      <c r="AF1289" s="294"/>
    </row>
    <row r="1290" spans="2:32" x14ac:dyDescent="0.25">
      <c r="B1290" s="294"/>
      <c r="C1290" s="294"/>
      <c r="D1290" s="294"/>
      <c r="E1290" s="294"/>
      <c r="F1290" s="294"/>
      <c r="G1290" s="294"/>
      <c r="H1290" s="294"/>
      <c r="I1290" s="294"/>
      <c r="J1290" s="294"/>
      <c r="L1290" s="295"/>
      <c r="M1290" s="294"/>
      <c r="S1290" s="294"/>
      <c r="T1290" s="299"/>
      <c r="U1290" s="294"/>
      <c r="V1290" s="299"/>
      <c r="W1290" s="299"/>
      <c r="X1290" s="294"/>
      <c r="Y1290" s="299"/>
      <c r="Z1290" s="294"/>
      <c r="AA1290" s="299"/>
      <c r="AB1290" s="299"/>
      <c r="AC1290" s="294"/>
      <c r="AD1290" s="294"/>
      <c r="AE1290" s="294"/>
      <c r="AF1290" s="294"/>
    </row>
    <row r="1291" spans="2:32" x14ac:dyDescent="0.25">
      <c r="B1291" s="294"/>
      <c r="C1291" s="294"/>
      <c r="D1291" s="294"/>
      <c r="E1291" s="294"/>
      <c r="F1291" s="294"/>
      <c r="G1291" s="294"/>
      <c r="H1291" s="294"/>
      <c r="I1291" s="294"/>
      <c r="J1291" s="294"/>
      <c r="L1291" s="295"/>
      <c r="M1291" s="294"/>
      <c r="S1291" s="294"/>
      <c r="T1291" s="299"/>
      <c r="U1291" s="294"/>
      <c r="V1291" s="299"/>
      <c r="W1291" s="299"/>
      <c r="X1291" s="294"/>
      <c r="Y1291" s="299"/>
      <c r="Z1291" s="294"/>
      <c r="AA1291" s="299"/>
      <c r="AB1291" s="299"/>
      <c r="AC1291" s="294"/>
      <c r="AD1291" s="294"/>
      <c r="AE1291" s="294"/>
      <c r="AF1291" s="294"/>
    </row>
    <row r="1292" spans="2:32" x14ac:dyDescent="0.25">
      <c r="B1292" s="294"/>
      <c r="C1292" s="294"/>
      <c r="D1292" s="294"/>
      <c r="E1292" s="294"/>
      <c r="F1292" s="294"/>
      <c r="G1292" s="294"/>
      <c r="H1292" s="294"/>
      <c r="I1292" s="294"/>
      <c r="J1292" s="294"/>
      <c r="L1292" s="295"/>
      <c r="M1292" s="294"/>
      <c r="S1292" s="294"/>
      <c r="T1292" s="299"/>
      <c r="U1292" s="294"/>
      <c r="V1292" s="299"/>
      <c r="W1292" s="299"/>
      <c r="X1292" s="294"/>
      <c r="Y1292" s="299"/>
      <c r="Z1292" s="294"/>
      <c r="AA1292" s="299"/>
      <c r="AB1292" s="299"/>
      <c r="AC1292" s="294"/>
      <c r="AD1292" s="294"/>
      <c r="AE1292" s="294"/>
      <c r="AF1292" s="294"/>
    </row>
    <row r="1293" spans="2:32" x14ac:dyDescent="0.25">
      <c r="B1293" s="294"/>
      <c r="C1293" s="294"/>
      <c r="D1293" s="294"/>
      <c r="E1293" s="294"/>
      <c r="F1293" s="294"/>
      <c r="G1293" s="294"/>
      <c r="H1293" s="294"/>
      <c r="I1293" s="294"/>
      <c r="J1293" s="294"/>
      <c r="L1293" s="295"/>
      <c r="M1293" s="294"/>
      <c r="S1293" s="294"/>
      <c r="T1293" s="299"/>
      <c r="U1293" s="294"/>
      <c r="V1293" s="299"/>
      <c r="W1293" s="299"/>
      <c r="X1293" s="294"/>
      <c r="Y1293" s="299"/>
      <c r="Z1293" s="294"/>
      <c r="AA1293" s="299"/>
      <c r="AB1293" s="299"/>
      <c r="AC1293" s="294"/>
      <c r="AD1293" s="294"/>
      <c r="AE1293" s="294"/>
      <c r="AF1293" s="294"/>
    </row>
    <row r="1294" spans="2:32" x14ac:dyDescent="0.25">
      <c r="B1294" s="294"/>
      <c r="C1294" s="294"/>
      <c r="D1294" s="294"/>
      <c r="E1294" s="294"/>
      <c r="F1294" s="294"/>
      <c r="G1294" s="294"/>
      <c r="H1294" s="294"/>
      <c r="I1294" s="294"/>
      <c r="J1294" s="294"/>
      <c r="L1294" s="295"/>
      <c r="M1294" s="294"/>
      <c r="S1294" s="294"/>
      <c r="T1294" s="299"/>
      <c r="U1294" s="294"/>
      <c r="V1294" s="299"/>
      <c r="W1294" s="299"/>
      <c r="X1294" s="294"/>
      <c r="Y1294" s="299"/>
      <c r="Z1294" s="294"/>
      <c r="AA1294" s="299"/>
      <c r="AB1294" s="299"/>
      <c r="AC1294" s="294"/>
      <c r="AD1294" s="294"/>
      <c r="AE1294" s="294"/>
      <c r="AF1294" s="294"/>
    </row>
    <row r="1295" spans="2:32" x14ac:dyDescent="0.25">
      <c r="B1295" s="294"/>
      <c r="C1295" s="294"/>
      <c r="D1295" s="294"/>
      <c r="E1295" s="294"/>
      <c r="F1295" s="294"/>
      <c r="G1295" s="294"/>
      <c r="H1295" s="294"/>
      <c r="I1295" s="294"/>
      <c r="J1295" s="294"/>
      <c r="L1295" s="295"/>
      <c r="M1295" s="294"/>
      <c r="S1295" s="294"/>
      <c r="T1295" s="299"/>
      <c r="U1295" s="294"/>
      <c r="V1295" s="299"/>
      <c r="W1295" s="299"/>
      <c r="X1295" s="294"/>
      <c r="Y1295" s="299"/>
      <c r="Z1295" s="294"/>
      <c r="AA1295" s="299"/>
      <c r="AB1295" s="299"/>
      <c r="AC1295" s="294"/>
      <c r="AD1295" s="294"/>
      <c r="AE1295" s="294"/>
      <c r="AF1295" s="294"/>
    </row>
    <row r="1296" spans="2:32" x14ac:dyDescent="0.25">
      <c r="B1296" s="294"/>
      <c r="C1296" s="294"/>
      <c r="D1296" s="294"/>
      <c r="E1296" s="294"/>
      <c r="F1296" s="294"/>
      <c r="G1296" s="294"/>
      <c r="H1296" s="294"/>
      <c r="I1296" s="294"/>
      <c r="J1296" s="294"/>
      <c r="L1296" s="295"/>
      <c r="M1296" s="294"/>
      <c r="S1296" s="294"/>
      <c r="T1296" s="299"/>
      <c r="U1296" s="294"/>
      <c r="V1296" s="299"/>
      <c r="W1296" s="299"/>
      <c r="X1296" s="294"/>
      <c r="Y1296" s="299"/>
      <c r="Z1296" s="294"/>
      <c r="AA1296" s="299"/>
      <c r="AB1296" s="299"/>
      <c r="AC1296" s="294"/>
      <c r="AD1296" s="294"/>
      <c r="AE1296" s="294"/>
      <c r="AF1296" s="294"/>
    </row>
    <row r="1297" spans="2:32" x14ac:dyDescent="0.25">
      <c r="B1297" s="294"/>
      <c r="C1297" s="294"/>
      <c r="D1297" s="294"/>
      <c r="E1297" s="294"/>
      <c r="F1297" s="294"/>
      <c r="G1297" s="294"/>
      <c r="H1297" s="294"/>
      <c r="I1297" s="294"/>
      <c r="J1297" s="294"/>
      <c r="L1297" s="295"/>
      <c r="M1297" s="294"/>
      <c r="S1297" s="294"/>
      <c r="T1297" s="299"/>
      <c r="U1297" s="294"/>
      <c r="V1297" s="299"/>
      <c r="W1297" s="299"/>
      <c r="X1297" s="294"/>
      <c r="Y1297" s="299"/>
      <c r="Z1297" s="294"/>
      <c r="AA1297" s="299"/>
      <c r="AB1297" s="299"/>
      <c r="AC1297" s="294"/>
      <c r="AD1297" s="294"/>
      <c r="AE1297" s="294"/>
      <c r="AF1297" s="294"/>
    </row>
    <row r="1298" spans="2:32" x14ac:dyDescent="0.25">
      <c r="B1298" s="294"/>
      <c r="C1298" s="294"/>
      <c r="D1298" s="294"/>
      <c r="E1298" s="294"/>
      <c r="F1298" s="294"/>
      <c r="G1298" s="294"/>
      <c r="H1298" s="294"/>
      <c r="I1298" s="294"/>
      <c r="J1298" s="294"/>
      <c r="L1298" s="295"/>
      <c r="M1298" s="294"/>
      <c r="S1298" s="294"/>
      <c r="T1298" s="299"/>
      <c r="U1298" s="294"/>
      <c r="V1298" s="299"/>
      <c r="W1298" s="299"/>
      <c r="X1298" s="294"/>
      <c r="Y1298" s="299"/>
      <c r="Z1298" s="294"/>
      <c r="AA1298" s="299"/>
      <c r="AB1298" s="299"/>
      <c r="AC1298" s="294"/>
      <c r="AD1298" s="294"/>
      <c r="AE1298" s="294"/>
      <c r="AF1298" s="294"/>
    </row>
    <row r="1299" spans="2:32" x14ac:dyDescent="0.25">
      <c r="B1299" s="294"/>
      <c r="C1299" s="294"/>
      <c r="D1299" s="294"/>
      <c r="E1299" s="294"/>
      <c r="F1299" s="294"/>
      <c r="G1299" s="294"/>
      <c r="H1299" s="294"/>
      <c r="I1299" s="294"/>
      <c r="J1299" s="294"/>
      <c r="L1299" s="295"/>
      <c r="M1299" s="294"/>
      <c r="S1299" s="294"/>
      <c r="T1299" s="299"/>
      <c r="U1299" s="294"/>
      <c r="V1299" s="299"/>
      <c r="W1299" s="299"/>
      <c r="X1299" s="294"/>
      <c r="Y1299" s="299"/>
      <c r="Z1299" s="294"/>
      <c r="AA1299" s="299"/>
      <c r="AB1299" s="299"/>
      <c r="AC1299" s="294"/>
      <c r="AD1299" s="294"/>
      <c r="AE1299" s="294"/>
      <c r="AF1299" s="294"/>
    </row>
    <row r="1300" spans="2:32" x14ac:dyDescent="0.25">
      <c r="B1300" s="294"/>
      <c r="C1300" s="294"/>
      <c r="D1300" s="294"/>
      <c r="E1300" s="294"/>
      <c r="F1300" s="294"/>
      <c r="G1300" s="294"/>
      <c r="H1300" s="294"/>
      <c r="I1300" s="294"/>
      <c r="J1300" s="294"/>
      <c r="L1300" s="295"/>
      <c r="M1300" s="294"/>
      <c r="S1300" s="294"/>
      <c r="T1300" s="299"/>
      <c r="U1300" s="294"/>
      <c r="V1300" s="299"/>
      <c r="W1300" s="299"/>
      <c r="X1300" s="294"/>
      <c r="Y1300" s="299"/>
      <c r="Z1300" s="294"/>
      <c r="AA1300" s="299"/>
      <c r="AB1300" s="299"/>
      <c r="AC1300" s="294"/>
      <c r="AD1300" s="294"/>
      <c r="AE1300" s="294"/>
      <c r="AF1300" s="294"/>
    </row>
    <row r="1301" spans="2:32" x14ac:dyDescent="0.25">
      <c r="B1301" s="294"/>
      <c r="C1301" s="294"/>
      <c r="D1301" s="294"/>
      <c r="E1301" s="294"/>
      <c r="F1301" s="294"/>
      <c r="G1301" s="294"/>
      <c r="H1301" s="294"/>
      <c r="I1301" s="294"/>
      <c r="J1301" s="294"/>
      <c r="L1301" s="295"/>
      <c r="M1301" s="294"/>
      <c r="S1301" s="294"/>
      <c r="T1301" s="299"/>
      <c r="U1301" s="294"/>
      <c r="V1301" s="299"/>
      <c r="W1301" s="299"/>
      <c r="X1301" s="294"/>
      <c r="Y1301" s="299"/>
      <c r="Z1301" s="294"/>
      <c r="AA1301" s="299"/>
      <c r="AB1301" s="299"/>
      <c r="AC1301" s="294"/>
      <c r="AD1301" s="294"/>
      <c r="AE1301" s="294"/>
      <c r="AF1301" s="294"/>
    </row>
    <row r="1302" spans="2:32" x14ac:dyDescent="0.25">
      <c r="B1302" s="294"/>
      <c r="C1302" s="294"/>
      <c r="D1302" s="294"/>
      <c r="E1302" s="294"/>
      <c r="F1302" s="294"/>
      <c r="G1302" s="294"/>
      <c r="H1302" s="294"/>
      <c r="I1302" s="294"/>
      <c r="J1302" s="294"/>
      <c r="L1302" s="295"/>
      <c r="M1302" s="294"/>
      <c r="S1302" s="294"/>
      <c r="T1302" s="299"/>
      <c r="U1302" s="294"/>
      <c r="V1302" s="299"/>
      <c r="W1302" s="299"/>
      <c r="X1302" s="294"/>
      <c r="Y1302" s="299"/>
      <c r="Z1302" s="294"/>
      <c r="AA1302" s="299"/>
      <c r="AB1302" s="299"/>
      <c r="AC1302" s="294"/>
      <c r="AD1302" s="294"/>
      <c r="AE1302" s="294"/>
      <c r="AF1302" s="294"/>
    </row>
    <row r="1303" spans="2:32" x14ac:dyDescent="0.25">
      <c r="B1303" s="294"/>
      <c r="C1303" s="294"/>
      <c r="D1303" s="294"/>
      <c r="E1303" s="294"/>
      <c r="F1303" s="294"/>
      <c r="G1303" s="294"/>
      <c r="H1303" s="294"/>
      <c r="I1303" s="294"/>
      <c r="J1303" s="294"/>
      <c r="L1303" s="295"/>
      <c r="M1303" s="294"/>
      <c r="S1303" s="294"/>
      <c r="T1303" s="299"/>
      <c r="U1303" s="294"/>
      <c r="V1303" s="299"/>
      <c r="W1303" s="299"/>
      <c r="X1303" s="294"/>
      <c r="Y1303" s="299"/>
      <c r="Z1303" s="294"/>
      <c r="AA1303" s="299"/>
      <c r="AB1303" s="299"/>
      <c r="AC1303" s="294"/>
      <c r="AD1303" s="294"/>
      <c r="AE1303" s="294"/>
      <c r="AF1303" s="294"/>
    </row>
    <row r="1304" spans="2:32" x14ac:dyDescent="0.25">
      <c r="B1304" s="294"/>
      <c r="C1304" s="294"/>
      <c r="D1304" s="294"/>
      <c r="E1304" s="294"/>
      <c r="F1304" s="294"/>
      <c r="G1304" s="294"/>
      <c r="H1304" s="294"/>
      <c r="I1304" s="294"/>
      <c r="J1304" s="294"/>
      <c r="L1304" s="295"/>
      <c r="M1304" s="294"/>
      <c r="S1304" s="294"/>
      <c r="T1304" s="299"/>
      <c r="U1304" s="294"/>
      <c r="V1304" s="299"/>
      <c r="W1304" s="299"/>
      <c r="X1304" s="294"/>
      <c r="Y1304" s="299"/>
      <c r="Z1304" s="294"/>
      <c r="AA1304" s="299"/>
      <c r="AB1304" s="299"/>
      <c r="AC1304" s="294"/>
      <c r="AD1304" s="294"/>
      <c r="AE1304" s="294"/>
      <c r="AF1304" s="294"/>
    </row>
    <row r="1305" spans="2:32" x14ac:dyDescent="0.25">
      <c r="B1305" s="294"/>
      <c r="C1305" s="294"/>
      <c r="D1305" s="294"/>
      <c r="E1305" s="294"/>
      <c r="F1305" s="294"/>
      <c r="G1305" s="294"/>
      <c r="H1305" s="294"/>
      <c r="I1305" s="294"/>
      <c r="J1305" s="294"/>
      <c r="L1305" s="295"/>
      <c r="M1305" s="294"/>
      <c r="S1305" s="294"/>
      <c r="T1305" s="299"/>
      <c r="U1305" s="294"/>
      <c r="V1305" s="299"/>
      <c r="W1305" s="299"/>
      <c r="X1305" s="294"/>
      <c r="Y1305" s="299"/>
      <c r="Z1305" s="294"/>
      <c r="AA1305" s="299"/>
      <c r="AB1305" s="299"/>
      <c r="AC1305" s="294"/>
      <c r="AD1305" s="294"/>
      <c r="AE1305" s="294"/>
      <c r="AF1305" s="294"/>
    </row>
    <row r="1306" spans="2:32" x14ac:dyDescent="0.25">
      <c r="B1306" s="294"/>
      <c r="C1306" s="294"/>
      <c r="D1306" s="294"/>
      <c r="E1306" s="294"/>
      <c r="F1306" s="294"/>
      <c r="G1306" s="294"/>
      <c r="H1306" s="294"/>
      <c r="I1306" s="294"/>
      <c r="J1306" s="294"/>
      <c r="L1306" s="295"/>
      <c r="M1306" s="294"/>
      <c r="S1306" s="294"/>
      <c r="T1306" s="299"/>
      <c r="U1306" s="294"/>
      <c r="V1306" s="299"/>
      <c r="W1306" s="299"/>
      <c r="X1306" s="294"/>
      <c r="Y1306" s="299"/>
      <c r="Z1306" s="294"/>
      <c r="AA1306" s="299"/>
      <c r="AB1306" s="299"/>
      <c r="AC1306" s="294"/>
      <c r="AD1306" s="294"/>
      <c r="AE1306" s="294"/>
      <c r="AF1306" s="294"/>
    </row>
    <row r="1307" spans="2:32" x14ac:dyDescent="0.25">
      <c r="B1307" s="294"/>
      <c r="C1307" s="294"/>
      <c r="D1307" s="294"/>
      <c r="E1307" s="294"/>
      <c r="F1307" s="294"/>
      <c r="G1307" s="294"/>
      <c r="H1307" s="294"/>
      <c r="I1307" s="294"/>
      <c r="J1307" s="294"/>
      <c r="L1307" s="295"/>
      <c r="M1307" s="294"/>
      <c r="S1307" s="294"/>
      <c r="T1307" s="299"/>
      <c r="U1307" s="294"/>
      <c r="V1307" s="299"/>
      <c r="W1307" s="299"/>
      <c r="X1307" s="294"/>
      <c r="Y1307" s="299"/>
      <c r="Z1307" s="294"/>
      <c r="AA1307" s="299"/>
      <c r="AB1307" s="299"/>
      <c r="AC1307" s="294"/>
      <c r="AD1307" s="294"/>
      <c r="AE1307" s="294"/>
      <c r="AF1307" s="294"/>
    </row>
    <row r="1308" spans="2:32" x14ac:dyDescent="0.25">
      <c r="B1308" s="294"/>
      <c r="C1308" s="294"/>
      <c r="D1308" s="294"/>
      <c r="E1308" s="294"/>
      <c r="F1308" s="294"/>
      <c r="G1308" s="294"/>
      <c r="H1308" s="294"/>
      <c r="I1308" s="294"/>
      <c r="J1308" s="294"/>
      <c r="L1308" s="295"/>
      <c r="M1308" s="294"/>
      <c r="S1308" s="294"/>
      <c r="T1308" s="299"/>
      <c r="U1308" s="294"/>
      <c r="V1308" s="299"/>
      <c r="W1308" s="299"/>
      <c r="X1308" s="294"/>
      <c r="Y1308" s="299"/>
      <c r="Z1308" s="294"/>
      <c r="AA1308" s="299"/>
      <c r="AB1308" s="299"/>
      <c r="AC1308" s="294"/>
      <c r="AD1308" s="294"/>
      <c r="AE1308" s="294"/>
      <c r="AF1308" s="294"/>
    </row>
    <row r="1309" spans="2:32" x14ac:dyDescent="0.25">
      <c r="B1309" s="294"/>
      <c r="C1309" s="294"/>
      <c r="D1309" s="294"/>
      <c r="E1309" s="294"/>
      <c r="F1309" s="294"/>
      <c r="G1309" s="294"/>
      <c r="H1309" s="294"/>
      <c r="I1309" s="294"/>
      <c r="J1309" s="294"/>
      <c r="L1309" s="295"/>
      <c r="M1309" s="294"/>
      <c r="S1309" s="294"/>
      <c r="T1309" s="299"/>
      <c r="U1309" s="294"/>
      <c r="V1309" s="299"/>
      <c r="W1309" s="299"/>
      <c r="X1309" s="294"/>
      <c r="Y1309" s="299"/>
      <c r="Z1309" s="294"/>
      <c r="AA1309" s="299"/>
      <c r="AB1309" s="299"/>
      <c r="AC1309" s="294"/>
      <c r="AD1309" s="294"/>
      <c r="AE1309" s="294"/>
      <c r="AF1309" s="294"/>
    </row>
    <row r="1310" spans="2:32" x14ac:dyDescent="0.25">
      <c r="B1310" s="294"/>
      <c r="C1310" s="294"/>
      <c r="D1310" s="294"/>
      <c r="E1310" s="294"/>
      <c r="F1310" s="294"/>
      <c r="G1310" s="294"/>
      <c r="H1310" s="294"/>
      <c r="I1310" s="294"/>
      <c r="J1310" s="294"/>
      <c r="L1310" s="295"/>
      <c r="M1310" s="294"/>
      <c r="S1310" s="294"/>
      <c r="T1310" s="299"/>
      <c r="U1310" s="294"/>
      <c r="V1310" s="299"/>
      <c r="W1310" s="299"/>
      <c r="X1310" s="294"/>
      <c r="Y1310" s="299"/>
      <c r="Z1310" s="294"/>
      <c r="AA1310" s="299"/>
      <c r="AB1310" s="299"/>
      <c r="AC1310" s="294"/>
      <c r="AD1310" s="294"/>
      <c r="AE1310" s="294"/>
      <c r="AF1310" s="294"/>
    </row>
    <row r="1311" spans="2:32" x14ac:dyDescent="0.25">
      <c r="B1311" s="294"/>
      <c r="C1311" s="294"/>
      <c r="D1311" s="294"/>
      <c r="E1311" s="294"/>
      <c r="F1311" s="294"/>
      <c r="G1311" s="294"/>
      <c r="H1311" s="294"/>
      <c r="I1311" s="294"/>
      <c r="J1311" s="294"/>
      <c r="L1311" s="295"/>
      <c r="M1311" s="294"/>
      <c r="S1311" s="294"/>
      <c r="T1311" s="299"/>
      <c r="U1311" s="294"/>
      <c r="V1311" s="299"/>
      <c r="W1311" s="299"/>
      <c r="X1311" s="294"/>
      <c r="Y1311" s="299"/>
      <c r="Z1311" s="294"/>
      <c r="AA1311" s="299"/>
      <c r="AB1311" s="299"/>
      <c r="AC1311" s="294"/>
      <c r="AD1311" s="294"/>
      <c r="AE1311" s="294"/>
      <c r="AF1311" s="294"/>
    </row>
    <row r="1312" spans="2:32" x14ac:dyDescent="0.25">
      <c r="B1312" s="294"/>
      <c r="C1312" s="294"/>
      <c r="D1312" s="294"/>
      <c r="E1312" s="294"/>
      <c r="F1312" s="294"/>
      <c r="G1312" s="294"/>
      <c r="H1312" s="294"/>
      <c r="I1312" s="294"/>
      <c r="J1312" s="294"/>
      <c r="L1312" s="295"/>
      <c r="M1312" s="294"/>
      <c r="S1312" s="294"/>
      <c r="T1312" s="299"/>
      <c r="U1312" s="294"/>
      <c r="V1312" s="299"/>
      <c r="W1312" s="299"/>
      <c r="X1312" s="294"/>
      <c r="Y1312" s="299"/>
      <c r="Z1312" s="294"/>
      <c r="AA1312" s="299"/>
      <c r="AB1312" s="299"/>
      <c r="AC1312" s="294"/>
      <c r="AD1312" s="294"/>
      <c r="AE1312" s="294"/>
      <c r="AF1312" s="294"/>
    </row>
    <row r="1313" spans="2:32" x14ac:dyDescent="0.25">
      <c r="B1313" s="294"/>
      <c r="C1313" s="294"/>
      <c r="D1313" s="294"/>
      <c r="E1313" s="294"/>
      <c r="F1313" s="294"/>
      <c r="G1313" s="294"/>
      <c r="H1313" s="294"/>
      <c r="I1313" s="294"/>
      <c r="J1313" s="294"/>
      <c r="L1313" s="295"/>
      <c r="M1313" s="294"/>
      <c r="S1313" s="294"/>
      <c r="T1313" s="299"/>
      <c r="U1313" s="294"/>
      <c r="V1313" s="299"/>
      <c r="W1313" s="299"/>
      <c r="X1313" s="294"/>
      <c r="Y1313" s="299"/>
      <c r="Z1313" s="294"/>
      <c r="AA1313" s="299"/>
      <c r="AB1313" s="299"/>
      <c r="AC1313" s="294"/>
      <c r="AD1313" s="294"/>
      <c r="AE1313" s="294"/>
      <c r="AF1313" s="294"/>
    </row>
    <row r="1314" spans="2:32" x14ac:dyDescent="0.25">
      <c r="B1314" s="294"/>
      <c r="C1314" s="294"/>
      <c r="D1314" s="294"/>
      <c r="E1314" s="294"/>
      <c r="F1314" s="294"/>
      <c r="G1314" s="294"/>
      <c r="H1314" s="294"/>
      <c r="I1314" s="294"/>
      <c r="J1314" s="294"/>
      <c r="L1314" s="295"/>
      <c r="M1314" s="294"/>
      <c r="S1314" s="294"/>
      <c r="T1314" s="299"/>
      <c r="U1314" s="294"/>
      <c r="V1314" s="299"/>
      <c r="W1314" s="299"/>
      <c r="X1314" s="294"/>
      <c r="Y1314" s="299"/>
      <c r="Z1314" s="294"/>
      <c r="AA1314" s="299"/>
      <c r="AB1314" s="299"/>
      <c r="AC1314" s="294"/>
      <c r="AD1314" s="294"/>
      <c r="AE1314" s="294"/>
      <c r="AF1314" s="294"/>
    </row>
    <row r="1315" spans="2:32" x14ac:dyDescent="0.25">
      <c r="B1315" s="294"/>
      <c r="C1315" s="294"/>
      <c r="D1315" s="294"/>
      <c r="E1315" s="294"/>
      <c r="F1315" s="294"/>
      <c r="G1315" s="294"/>
      <c r="H1315" s="294"/>
      <c r="I1315" s="294"/>
      <c r="J1315" s="294"/>
      <c r="L1315" s="295"/>
      <c r="M1315" s="294"/>
      <c r="S1315" s="294"/>
      <c r="T1315" s="299"/>
      <c r="U1315" s="294"/>
      <c r="V1315" s="299"/>
      <c r="W1315" s="299"/>
      <c r="X1315" s="294"/>
      <c r="Y1315" s="299"/>
      <c r="Z1315" s="294"/>
      <c r="AA1315" s="299"/>
      <c r="AB1315" s="299"/>
      <c r="AC1315" s="294"/>
      <c r="AD1315" s="294"/>
      <c r="AE1315" s="294"/>
      <c r="AF1315" s="294"/>
    </row>
    <row r="1316" spans="2:32" x14ac:dyDescent="0.25">
      <c r="B1316" s="294"/>
      <c r="C1316" s="294"/>
      <c r="D1316" s="294"/>
      <c r="E1316" s="294"/>
      <c r="F1316" s="294"/>
      <c r="G1316" s="294"/>
      <c r="H1316" s="294"/>
      <c r="I1316" s="294"/>
      <c r="J1316" s="294"/>
      <c r="L1316" s="295"/>
      <c r="M1316" s="294"/>
      <c r="S1316" s="294"/>
      <c r="T1316" s="299"/>
      <c r="U1316" s="294"/>
      <c r="V1316" s="299"/>
      <c r="W1316" s="299"/>
      <c r="X1316" s="294"/>
      <c r="Y1316" s="299"/>
      <c r="Z1316" s="294"/>
      <c r="AA1316" s="299"/>
      <c r="AB1316" s="299"/>
      <c r="AC1316" s="294"/>
      <c r="AD1316" s="294"/>
      <c r="AE1316" s="294"/>
      <c r="AF1316" s="294"/>
    </row>
    <row r="1317" spans="2:32" x14ac:dyDescent="0.25">
      <c r="B1317" s="294"/>
      <c r="C1317" s="294"/>
      <c r="D1317" s="294"/>
      <c r="E1317" s="294"/>
      <c r="F1317" s="294"/>
      <c r="G1317" s="294"/>
      <c r="H1317" s="294"/>
      <c r="I1317" s="294"/>
      <c r="J1317" s="294"/>
      <c r="L1317" s="295"/>
      <c r="M1317" s="294"/>
      <c r="S1317" s="294"/>
      <c r="T1317" s="299"/>
      <c r="U1317" s="294"/>
      <c r="V1317" s="299"/>
      <c r="W1317" s="299"/>
      <c r="X1317" s="294"/>
      <c r="Y1317" s="299"/>
      <c r="Z1317" s="294"/>
      <c r="AA1317" s="299"/>
      <c r="AB1317" s="299"/>
      <c r="AC1317" s="294"/>
      <c r="AD1317" s="294"/>
      <c r="AE1317" s="294"/>
      <c r="AF1317" s="294"/>
    </row>
    <row r="1318" spans="2:32" x14ac:dyDescent="0.25">
      <c r="B1318" s="294"/>
      <c r="C1318" s="294"/>
      <c r="D1318" s="294"/>
      <c r="E1318" s="294"/>
      <c r="F1318" s="294"/>
      <c r="G1318" s="294"/>
      <c r="H1318" s="294"/>
      <c r="I1318" s="294"/>
      <c r="J1318" s="294"/>
      <c r="L1318" s="295"/>
      <c r="M1318" s="294"/>
      <c r="S1318" s="294"/>
      <c r="T1318" s="299"/>
      <c r="U1318" s="294"/>
      <c r="V1318" s="299"/>
      <c r="W1318" s="299"/>
      <c r="X1318" s="294"/>
      <c r="Y1318" s="299"/>
      <c r="Z1318" s="294"/>
      <c r="AA1318" s="299"/>
      <c r="AB1318" s="299"/>
      <c r="AC1318" s="294"/>
      <c r="AD1318" s="294"/>
      <c r="AE1318" s="294"/>
      <c r="AF1318" s="294"/>
    </row>
    <row r="1319" spans="2:32" x14ac:dyDescent="0.25">
      <c r="B1319" s="294"/>
      <c r="C1319" s="294"/>
      <c r="D1319" s="294"/>
      <c r="E1319" s="294"/>
      <c r="F1319" s="294"/>
      <c r="G1319" s="294"/>
      <c r="H1319" s="294"/>
      <c r="I1319" s="294"/>
      <c r="J1319" s="294"/>
      <c r="L1319" s="295"/>
      <c r="M1319" s="294"/>
      <c r="S1319" s="294"/>
      <c r="T1319" s="299"/>
      <c r="U1319" s="294"/>
      <c r="V1319" s="299"/>
      <c r="W1319" s="299"/>
      <c r="X1319" s="294"/>
      <c r="Y1319" s="299"/>
      <c r="Z1319" s="294"/>
      <c r="AA1319" s="299"/>
      <c r="AB1319" s="299"/>
      <c r="AC1319" s="294"/>
      <c r="AD1319" s="294"/>
      <c r="AE1319" s="294"/>
      <c r="AF1319" s="294"/>
    </row>
    <row r="1320" spans="2:32" x14ac:dyDescent="0.25">
      <c r="B1320" s="294"/>
      <c r="C1320" s="294"/>
      <c r="D1320" s="294"/>
      <c r="E1320" s="294"/>
      <c r="F1320" s="294"/>
      <c r="G1320" s="294"/>
      <c r="H1320" s="294"/>
      <c r="I1320" s="294"/>
      <c r="J1320" s="294"/>
      <c r="L1320" s="295"/>
      <c r="M1320" s="294"/>
      <c r="S1320" s="294"/>
      <c r="T1320" s="299"/>
      <c r="U1320" s="294"/>
      <c r="V1320" s="299"/>
      <c r="W1320" s="299"/>
      <c r="X1320" s="294"/>
      <c r="Y1320" s="299"/>
      <c r="Z1320" s="294"/>
      <c r="AA1320" s="299"/>
      <c r="AB1320" s="299"/>
      <c r="AC1320" s="294"/>
      <c r="AD1320" s="294"/>
      <c r="AE1320" s="294"/>
      <c r="AF1320" s="294"/>
    </row>
    <row r="1321" spans="2:32" x14ac:dyDescent="0.25">
      <c r="B1321" s="294"/>
      <c r="C1321" s="294"/>
      <c r="D1321" s="294"/>
      <c r="E1321" s="294"/>
      <c r="F1321" s="294"/>
      <c r="G1321" s="294"/>
      <c r="H1321" s="294"/>
      <c r="I1321" s="294"/>
      <c r="J1321" s="294"/>
      <c r="L1321" s="295"/>
      <c r="M1321" s="294"/>
      <c r="S1321" s="294"/>
      <c r="T1321" s="299"/>
      <c r="U1321" s="294"/>
      <c r="V1321" s="299"/>
      <c r="W1321" s="299"/>
      <c r="X1321" s="294"/>
      <c r="Y1321" s="299"/>
      <c r="Z1321" s="294"/>
      <c r="AA1321" s="299"/>
      <c r="AB1321" s="299"/>
      <c r="AC1321" s="294"/>
      <c r="AD1321" s="294"/>
      <c r="AE1321" s="294"/>
      <c r="AF1321" s="294"/>
    </row>
    <row r="1322" spans="2:32" x14ac:dyDescent="0.25">
      <c r="B1322" s="294"/>
      <c r="C1322" s="294"/>
      <c r="D1322" s="294"/>
      <c r="E1322" s="294"/>
      <c r="F1322" s="294"/>
      <c r="G1322" s="294"/>
      <c r="H1322" s="294"/>
      <c r="I1322" s="294"/>
      <c r="J1322" s="294"/>
      <c r="L1322" s="295"/>
      <c r="M1322" s="294"/>
      <c r="S1322" s="294"/>
      <c r="T1322" s="299"/>
      <c r="U1322" s="294"/>
      <c r="V1322" s="299"/>
      <c r="W1322" s="299"/>
      <c r="X1322" s="294"/>
      <c r="Y1322" s="299"/>
      <c r="Z1322" s="294"/>
      <c r="AA1322" s="299"/>
      <c r="AB1322" s="299"/>
      <c r="AC1322" s="294"/>
      <c r="AD1322" s="294"/>
      <c r="AE1322" s="294"/>
      <c r="AF1322" s="294"/>
    </row>
    <row r="1323" spans="2:32" x14ac:dyDescent="0.25">
      <c r="B1323" s="294"/>
      <c r="C1323" s="294"/>
      <c r="D1323" s="294"/>
      <c r="E1323" s="294"/>
      <c r="F1323" s="294"/>
      <c r="G1323" s="294"/>
      <c r="H1323" s="294"/>
      <c r="I1323" s="294"/>
      <c r="J1323" s="294"/>
      <c r="L1323" s="295"/>
      <c r="M1323" s="294"/>
      <c r="S1323" s="294"/>
      <c r="T1323" s="299"/>
      <c r="U1323" s="294"/>
      <c r="V1323" s="299"/>
      <c r="W1323" s="299"/>
      <c r="X1323" s="294"/>
      <c r="Y1323" s="299"/>
      <c r="Z1323" s="294"/>
      <c r="AA1323" s="299"/>
      <c r="AB1323" s="299"/>
      <c r="AC1323" s="294"/>
      <c r="AD1323" s="294"/>
      <c r="AE1323" s="294"/>
      <c r="AF1323" s="294"/>
    </row>
    <row r="1324" spans="2:32" x14ac:dyDescent="0.25">
      <c r="B1324" s="294"/>
      <c r="C1324" s="294"/>
      <c r="D1324" s="294"/>
      <c r="E1324" s="294"/>
      <c r="F1324" s="294"/>
      <c r="G1324" s="294"/>
      <c r="H1324" s="294"/>
      <c r="I1324" s="294"/>
      <c r="J1324" s="294"/>
      <c r="L1324" s="295"/>
      <c r="M1324" s="294"/>
      <c r="S1324" s="294"/>
      <c r="T1324" s="299"/>
      <c r="U1324" s="294"/>
      <c r="V1324" s="299"/>
      <c r="W1324" s="299"/>
      <c r="X1324" s="294"/>
      <c r="Y1324" s="299"/>
      <c r="Z1324" s="294"/>
      <c r="AA1324" s="299"/>
      <c r="AB1324" s="299"/>
      <c r="AC1324" s="294"/>
      <c r="AD1324" s="294"/>
      <c r="AE1324" s="294"/>
      <c r="AF1324" s="294"/>
    </row>
    <row r="1325" spans="2:32" x14ac:dyDescent="0.25">
      <c r="B1325" s="294"/>
      <c r="C1325" s="294"/>
      <c r="D1325" s="294"/>
      <c r="E1325" s="294"/>
      <c r="F1325" s="294"/>
      <c r="G1325" s="294"/>
      <c r="H1325" s="294"/>
      <c r="I1325" s="294"/>
      <c r="J1325" s="294"/>
      <c r="L1325" s="295"/>
      <c r="M1325" s="294"/>
      <c r="S1325" s="294"/>
      <c r="T1325" s="299"/>
      <c r="U1325" s="294"/>
      <c r="V1325" s="299"/>
      <c r="W1325" s="299"/>
      <c r="X1325" s="294"/>
      <c r="Y1325" s="299"/>
      <c r="Z1325" s="294"/>
      <c r="AA1325" s="299"/>
      <c r="AB1325" s="299"/>
      <c r="AC1325" s="294"/>
      <c r="AD1325" s="294"/>
      <c r="AE1325" s="294"/>
      <c r="AF1325" s="294"/>
    </row>
    <row r="1326" spans="2:32" x14ac:dyDescent="0.25">
      <c r="B1326" s="294"/>
      <c r="C1326" s="294"/>
      <c r="D1326" s="294"/>
      <c r="E1326" s="294"/>
      <c r="F1326" s="294"/>
      <c r="G1326" s="294"/>
      <c r="H1326" s="294"/>
      <c r="I1326" s="294"/>
      <c r="J1326" s="294"/>
      <c r="L1326" s="295"/>
      <c r="M1326" s="294"/>
      <c r="S1326" s="294"/>
      <c r="T1326" s="299"/>
      <c r="U1326" s="294"/>
      <c r="V1326" s="299"/>
      <c r="W1326" s="299"/>
      <c r="X1326" s="294"/>
      <c r="Y1326" s="299"/>
      <c r="Z1326" s="294"/>
      <c r="AA1326" s="299"/>
      <c r="AB1326" s="299"/>
      <c r="AC1326" s="294"/>
      <c r="AD1326" s="294"/>
      <c r="AE1326" s="294"/>
      <c r="AF1326" s="294"/>
    </row>
    <row r="1327" spans="2:32" x14ac:dyDescent="0.25">
      <c r="B1327" s="294"/>
      <c r="C1327" s="294"/>
      <c r="D1327" s="294"/>
      <c r="E1327" s="294"/>
      <c r="F1327" s="294"/>
      <c r="G1327" s="294"/>
      <c r="H1327" s="294"/>
      <c r="I1327" s="294"/>
      <c r="J1327" s="294"/>
      <c r="L1327" s="295"/>
      <c r="M1327" s="294"/>
      <c r="S1327" s="294"/>
      <c r="T1327" s="299"/>
      <c r="U1327" s="294"/>
      <c r="V1327" s="299"/>
      <c r="W1327" s="299"/>
      <c r="X1327" s="294"/>
      <c r="Y1327" s="299"/>
      <c r="Z1327" s="294"/>
      <c r="AA1327" s="299"/>
      <c r="AB1327" s="299"/>
      <c r="AC1327" s="294"/>
      <c r="AD1327" s="294"/>
      <c r="AE1327" s="294"/>
      <c r="AF1327" s="294"/>
    </row>
    <row r="1328" spans="2:32" x14ac:dyDescent="0.25">
      <c r="B1328" s="294"/>
      <c r="C1328" s="294"/>
      <c r="D1328" s="294"/>
      <c r="E1328" s="294"/>
      <c r="F1328" s="294"/>
      <c r="G1328" s="294"/>
      <c r="H1328" s="294"/>
      <c r="I1328" s="294"/>
      <c r="J1328" s="294"/>
      <c r="L1328" s="295"/>
      <c r="M1328" s="294"/>
      <c r="S1328" s="294"/>
      <c r="T1328" s="299"/>
      <c r="U1328" s="294"/>
      <c r="V1328" s="299"/>
      <c r="W1328" s="299"/>
      <c r="X1328" s="294"/>
      <c r="Y1328" s="299"/>
      <c r="Z1328" s="294"/>
      <c r="AA1328" s="299"/>
      <c r="AB1328" s="299"/>
      <c r="AC1328" s="294"/>
      <c r="AD1328" s="294"/>
      <c r="AE1328" s="294"/>
      <c r="AF1328" s="294"/>
    </row>
    <row r="1329" spans="2:32" x14ac:dyDescent="0.25">
      <c r="B1329" s="294"/>
      <c r="C1329" s="294"/>
      <c r="D1329" s="294"/>
      <c r="E1329" s="294"/>
      <c r="F1329" s="294"/>
      <c r="G1329" s="294"/>
      <c r="H1329" s="294"/>
      <c r="I1329" s="294"/>
      <c r="J1329" s="294"/>
      <c r="L1329" s="295"/>
      <c r="M1329" s="294"/>
      <c r="S1329" s="294"/>
      <c r="T1329" s="299"/>
      <c r="U1329" s="294"/>
      <c r="V1329" s="299"/>
      <c r="W1329" s="299"/>
      <c r="X1329" s="294"/>
      <c r="Y1329" s="299"/>
      <c r="Z1329" s="294"/>
      <c r="AA1329" s="299"/>
      <c r="AB1329" s="299"/>
      <c r="AC1329" s="294"/>
      <c r="AD1329" s="294"/>
      <c r="AE1329" s="294"/>
      <c r="AF1329" s="294"/>
    </row>
    <row r="1330" spans="2:32" x14ac:dyDescent="0.25">
      <c r="B1330" s="294"/>
      <c r="C1330" s="294"/>
      <c r="D1330" s="294"/>
      <c r="E1330" s="294"/>
      <c r="F1330" s="294"/>
      <c r="G1330" s="294"/>
      <c r="H1330" s="294"/>
      <c r="I1330" s="294"/>
      <c r="J1330" s="294"/>
      <c r="L1330" s="295"/>
      <c r="M1330" s="294"/>
      <c r="S1330" s="294"/>
      <c r="T1330" s="299"/>
      <c r="U1330" s="294"/>
      <c r="V1330" s="299"/>
      <c r="W1330" s="299"/>
      <c r="X1330" s="294"/>
      <c r="Y1330" s="299"/>
      <c r="Z1330" s="294"/>
      <c r="AA1330" s="299"/>
      <c r="AB1330" s="299"/>
      <c r="AC1330" s="294"/>
      <c r="AD1330" s="294"/>
      <c r="AE1330" s="294"/>
      <c r="AF1330" s="294"/>
    </row>
    <row r="1331" spans="2:32" x14ac:dyDescent="0.25">
      <c r="B1331" s="294"/>
      <c r="C1331" s="294"/>
      <c r="D1331" s="294"/>
      <c r="E1331" s="294"/>
      <c r="F1331" s="294"/>
      <c r="G1331" s="294"/>
      <c r="H1331" s="294"/>
      <c r="I1331" s="294"/>
      <c r="J1331" s="294"/>
      <c r="L1331" s="295"/>
      <c r="M1331" s="294"/>
      <c r="S1331" s="294"/>
      <c r="T1331" s="299"/>
      <c r="U1331" s="294"/>
      <c r="V1331" s="299"/>
      <c r="W1331" s="299"/>
      <c r="X1331" s="294"/>
      <c r="Y1331" s="299"/>
      <c r="Z1331" s="294"/>
      <c r="AA1331" s="299"/>
      <c r="AB1331" s="299"/>
      <c r="AC1331" s="294"/>
      <c r="AD1331" s="294"/>
      <c r="AE1331" s="294"/>
      <c r="AF1331" s="294"/>
    </row>
    <row r="1332" spans="2:32" x14ac:dyDescent="0.25">
      <c r="B1332" s="294"/>
      <c r="C1332" s="294"/>
      <c r="D1332" s="294"/>
      <c r="E1332" s="294"/>
      <c r="F1332" s="294"/>
      <c r="G1332" s="294"/>
      <c r="H1332" s="294"/>
      <c r="I1332" s="294"/>
      <c r="J1332" s="294"/>
      <c r="L1332" s="295"/>
      <c r="M1332" s="294"/>
      <c r="S1332" s="294"/>
      <c r="T1332" s="299"/>
      <c r="U1332" s="294"/>
      <c r="V1332" s="299"/>
      <c r="W1332" s="299"/>
      <c r="X1332" s="294"/>
      <c r="Y1332" s="299"/>
      <c r="Z1332" s="294"/>
      <c r="AA1332" s="299"/>
      <c r="AB1332" s="299"/>
      <c r="AC1332" s="294"/>
      <c r="AD1332" s="294"/>
      <c r="AE1332" s="294"/>
      <c r="AF1332" s="294"/>
    </row>
    <row r="1333" spans="2:32" x14ac:dyDescent="0.25">
      <c r="B1333" s="294"/>
      <c r="C1333" s="294"/>
      <c r="D1333" s="294"/>
      <c r="E1333" s="294"/>
      <c r="F1333" s="294"/>
      <c r="G1333" s="294"/>
      <c r="H1333" s="294"/>
      <c r="I1333" s="294"/>
      <c r="J1333" s="294"/>
      <c r="L1333" s="295"/>
      <c r="M1333" s="294"/>
      <c r="S1333" s="294"/>
      <c r="T1333" s="299"/>
      <c r="U1333" s="294"/>
      <c r="V1333" s="299"/>
      <c r="W1333" s="299"/>
      <c r="X1333" s="294"/>
      <c r="Y1333" s="299"/>
      <c r="Z1333" s="294"/>
      <c r="AA1333" s="299"/>
      <c r="AB1333" s="299"/>
      <c r="AC1333" s="294"/>
      <c r="AD1333" s="294"/>
      <c r="AE1333" s="294"/>
      <c r="AF1333" s="294"/>
    </row>
    <row r="1334" spans="2:32" x14ac:dyDescent="0.25">
      <c r="B1334" s="294"/>
      <c r="C1334" s="294"/>
      <c r="D1334" s="294"/>
      <c r="E1334" s="294"/>
      <c r="F1334" s="294"/>
      <c r="G1334" s="294"/>
      <c r="H1334" s="294"/>
      <c r="I1334" s="294"/>
      <c r="J1334" s="294"/>
      <c r="L1334" s="295"/>
      <c r="M1334" s="294"/>
      <c r="S1334" s="294"/>
      <c r="T1334" s="299"/>
      <c r="U1334" s="294"/>
      <c r="V1334" s="299"/>
      <c r="W1334" s="299"/>
      <c r="X1334" s="294"/>
      <c r="Y1334" s="299"/>
      <c r="Z1334" s="294"/>
      <c r="AA1334" s="299"/>
      <c r="AB1334" s="299"/>
      <c r="AC1334" s="294"/>
      <c r="AD1334" s="294"/>
      <c r="AE1334" s="294"/>
      <c r="AF1334" s="294"/>
    </row>
    <row r="1335" spans="2:32" x14ac:dyDescent="0.25">
      <c r="B1335" s="294"/>
      <c r="C1335" s="294"/>
      <c r="D1335" s="294"/>
      <c r="E1335" s="294"/>
      <c r="F1335" s="294"/>
      <c r="G1335" s="294"/>
      <c r="H1335" s="294"/>
      <c r="I1335" s="294"/>
      <c r="J1335" s="294"/>
      <c r="L1335" s="295"/>
      <c r="M1335" s="294"/>
      <c r="S1335" s="294"/>
      <c r="T1335" s="299"/>
      <c r="U1335" s="294"/>
      <c r="V1335" s="299"/>
      <c r="W1335" s="299"/>
      <c r="X1335" s="294"/>
      <c r="Y1335" s="299"/>
      <c r="Z1335" s="294"/>
      <c r="AA1335" s="299"/>
      <c r="AB1335" s="299"/>
      <c r="AC1335" s="294"/>
      <c r="AD1335" s="294"/>
      <c r="AE1335" s="294"/>
      <c r="AF1335" s="294"/>
    </row>
    <row r="1336" spans="2:32" x14ac:dyDescent="0.25">
      <c r="B1336" s="294"/>
      <c r="C1336" s="294"/>
      <c r="D1336" s="294"/>
      <c r="E1336" s="294"/>
      <c r="F1336" s="294"/>
      <c r="G1336" s="294"/>
      <c r="H1336" s="294"/>
      <c r="I1336" s="294"/>
      <c r="J1336" s="294"/>
      <c r="L1336" s="295"/>
      <c r="M1336" s="294"/>
      <c r="S1336" s="294"/>
      <c r="T1336" s="299"/>
      <c r="U1336" s="294"/>
      <c r="V1336" s="299"/>
      <c r="W1336" s="299"/>
      <c r="X1336" s="294"/>
      <c r="Y1336" s="299"/>
      <c r="Z1336" s="294"/>
      <c r="AA1336" s="299"/>
      <c r="AB1336" s="299"/>
      <c r="AC1336" s="294"/>
      <c r="AD1336" s="294"/>
      <c r="AE1336" s="294"/>
      <c r="AF1336" s="294"/>
    </row>
    <row r="1337" spans="2:32" x14ac:dyDescent="0.25">
      <c r="B1337" s="294"/>
      <c r="C1337" s="294"/>
      <c r="D1337" s="294"/>
      <c r="E1337" s="294"/>
      <c r="F1337" s="294"/>
      <c r="G1337" s="294"/>
      <c r="H1337" s="294"/>
      <c r="I1337" s="294"/>
      <c r="J1337" s="294"/>
      <c r="L1337" s="295"/>
      <c r="M1337" s="294"/>
      <c r="S1337" s="294"/>
      <c r="T1337" s="299"/>
      <c r="U1337" s="294"/>
      <c r="V1337" s="299"/>
      <c r="W1337" s="299"/>
      <c r="X1337" s="294"/>
      <c r="Y1337" s="299"/>
      <c r="Z1337" s="294"/>
      <c r="AA1337" s="299"/>
      <c r="AB1337" s="299"/>
      <c r="AC1337" s="294"/>
      <c r="AD1337" s="294"/>
      <c r="AE1337" s="294"/>
      <c r="AF1337" s="294"/>
    </row>
    <row r="1338" spans="2:32" x14ac:dyDescent="0.25">
      <c r="B1338" s="294"/>
      <c r="C1338" s="294"/>
      <c r="D1338" s="294"/>
      <c r="E1338" s="294"/>
      <c r="F1338" s="294"/>
      <c r="G1338" s="294"/>
      <c r="H1338" s="294"/>
      <c r="I1338" s="294"/>
      <c r="J1338" s="294"/>
      <c r="L1338" s="295"/>
      <c r="M1338" s="294"/>
      <c r="S1338" s="294"/>
      <c r="T1338" s="299"/>
      <c r="U1338" s="294"/>
      <c r="V1338" s="299"/>
      <c r="W1338" s="299"/>
      <c r="X1338" s="294"/>
      <c r="Y1338" s="299"/>
      <c r="Z1338" s="294"/>
      <c r="AA1338" s="299"/>
      <c r="AB1338" s="299"/>
      <c r="AC1338" s="294"/>
      <c r="AD1338" s="294"/>
      <c r="AE1338" s="294"/>
      <c r="AF1338" s="294"/>
    </row>
    <row r="1339" spans="2:32" x14ac:dyDescent="0.25">
      <c r="B1339" s="294"/>
      <c r="C1339" s="294"/>
      <c r="D1339" s="294"/>
      <c r="E1339" s="294"/>
      <c r="F1339" s="294"/>
      <c r="G1339" s="294"/>
      <c r="H1339" s="294"/>
      <c r="I1339" s="294"/>
      <c r="J1339" s="294"/>
      <c r="L1339" s="295"/>
      <c r="M1339" s="294"/>
      <c r="S1339" s="294"/>
      <c r="T1339" s="299"/>
      <c r="U1339" s="294"/>
      <c r="V1339" s="299"/>
      <c r="W1339" s="299"/>
      <c r="X1339" s="294"/>
      <c r="Y1339" s="299"/>
      <c r="Z1339" s="294"/>
      <c r="AA1339" s="299"/>
      <c r="AB1339" s="299"/>
      <c r="AC1339" s="294"/>
      <c r="AD1339" s="294"/>
      <c r="AE1339" s="294"/>
      <c r="AF1339" s="294"/>
    </row>
    <row r="1340" spans="2:32" x14ac:dyDescent="0.25">
      <c r="B1340" s="294"/>
      <c r="C1340" s="294"/>
      <c r="D1340" s="294"/>
      <c r="E1340" s="294"/>
      <c r="F1340" s="294"/>
      <c r="G1340" s="294"/>
      <c r="H1340" s="294"/>
      <c r="I1340" s="294"/>
      <c r="J1340" s="294"/>
      <c r="L1340" s="295"/>
      <c r="M1340" s="294"/>
      <c r="S1340" s="294"/>
      <c r="T1340" s="299"/>
      <c r="U1340" s="294"/>
      <c r="V1340" s="299"/>
      <c r="W1340" s="299"/>
      <c r="X1340" s="294"/>
      <c r="Y1340" s="299"/>
      <c r="Z1340" s="294"/>
      <c r="AA1340" s="299"/>
      <c r="AB1340" s="299"/>
      <c r="AC1340" s="294"/>
      <c r="AD1340" s="294"/>
      <c r="AE1340" s="294"/>
      <c r="AF1340" s="294"/>
    </row>
    <row r="1341" spans="2:32" x14ac:dyDescent="0.25">
      <c r="B1341" s="294"/>
      <c r="C1341" s="294"/>
      <c r="D1341" s="294"/>
      <c r="E1341" s="294"/>
      <c r="F1341" s="294"/>
      <c r="G1341" s="294"/>
      <c r="H1341" s="294"/>
      <c r="I1341" s="294"/>
      <c r="J1341" s="294"/>
      <c r="L1341" s="295"/>
      <c r="M1341" s="294"/>
      <c r="S1341" s="294"/>
      <c r="T1341" s="299"/>
      <c r="U1341" s="294"/>
      <c r="V1341" s="299"/>
      <c r="W1341" s="299"/>
      <c r="X1341" s="294"/>
      <c r="Y1341" s="299"/>
      <c r="Z1341" s="294"/>
      <c r="AA1341" s="299"/>
      <c r="AB1341" s="299"/>
      <c r="AC1341" s="294"/>
      <c r="AD1341" s="294"/>
      <c r="AE1341" s="294"/>
      <c r="AF1341" s="294"/>
    </row>
    <row r="1342" spans="2:32" x14ac:dyDescent="0.25">
      <c r="B1342" s="294"/>
      <c r="C1342" s="294"/>
      <c r="D1342" s="294"/>
      <c r="E1342" s="294"/>
      <c r="F1342" s="294"/>
      <c r="G1342" s="294"/>
      <c r="H1342" s="294"/>
      <c r="I1342" s="294"/>
      <c r="J1342" s="294"/>
      <c r="L1342" s="295"/>
      <c r="M1342" s="294"/>
      <c r="S1342" s="294"/>
      <c r="T1342" s="299"/>
      <c r="U1342" s="294"/>
      <c r="V1342" s="299"/>
      <c r="W1342" s="299"/>
      <c r="X1342" s="294"/>
      <c r="Y1342" s="299"/>
      <c r="Z1342" s="294"/>
      <c r="AA1342" s="299"/>
      <c r="AB1342" s="299"/>
      <c r="AC1342" s="294"/>
      <c r="AD1342" s="294"/>
      <c r="AE1342" s="294"/>
      <c r="AF1342" s="294"/>
    </row>
    <row r="1343" spans="2:32" x14ac:dyDescent="0.25">
      <c r="B1343" s="294"/>
      <c r="C1343" s="294"/>
      <c r="D1343" s="294"/>
      <c r="E1343" s="294"/>
      <c r="F1343" s="294"/>
      <c r="G1343" s="294"/>
      <c r="H1343" s="294"/>
      <c r="I1343" s="294"/>
      <c r="J1343" s="294"/>
      <c r="L1343" s="295"/>
      <c r="M1343" s="294"/>
      <c r="S1343" s="294"/>
      <c r="T1343" s="299"/>
      <c r="U1343" s="294"/>
      <c r="V1343" s="299"/>
      <c r="W1343" s="299"/>
      <c r="X1343" s="294"/>
      <c r="Y1343" s="299"/>
      <c r="Z1343" s="294"/>
      <c r="AA1343" s="299"/>
      <c r="AB1343" s="299"/>
      <c r="AC1343" s="294"/>
      <c r="AD1343" s="294"/>
      <c r="AE1343" s="294"/>
      <c r="AF1343" s="294"/>
    </row>
    <row r="1344" spans="2:32" x14ac:dyDescent="0.25">
      <c r="B1344" s="294"/>
      <c r="C1344" s="294"/>
      <c r="D1344" s="294"/>
      <c r="E1344" s="294"/>
      <c r="F1344" s="294"/>
      <c r="G1344" s="294"/>
      <c r="H1344" s="294"/>
      <c r="I1344" s="294"/>
      <c r="J1344" s="294"/>
      <c r="L1344" s="295"/>
      <c r="M1344" s="294"/>
      <c r="S1344" s="294"/>
      <c r="T1344" s="299"/>
      <c r="U1344" s="294"/>
      <c r="V1344" s="299"/>
      <c r="W1344" s="299"/>
      <c r="X1344" s="294"/>
      <c r="Y1344" s="299"/>
      <c r="Z1344" s="294"/>
      <c r="AA1344" s="299"/>
      <c r="AB1344" s="299"/>
      <c r="AC1344" s="294"/>
      <c r="AD1344" s="294"/>
      <c r="AE1344" s="294"/>
      <c r="AF1344" s="294"/>
    </row>
    <row r="1345" spans="2:32" x14ac:dyDescent="0.25">
      <c r="B1345" s="294"/>
      <c r="C1345" s="294"/>
      <c r="D1345" s="294"/>
      <c r="E1345" s="294"/>
      <c r="F1345" s="294"/>
      <c r="G1345" s="294"/>
      <c r="H1345" s="294"/>
      <c r="I1345" s="294"/>
      <c r="J1345" s="294"/>
      <c r="L1345" s="295"/>
      <c r="M1345" s="294"/>
      <c r="S1345" s="294"/>
      <c r="T1345" s="299"/>
      <c r="U1345" s="294"/>
      <c r="V1345" s="299"/>
      <c r="W1345" s="299"/>
      <c r="X1345" s="294"/>
      <c r="Y1345" s="299"/>
      <c r="Z1345" s="294"/>
      <c r="AA1345" s="299"/>
      <c r="AB1345" s="299"/>
      <c r="AC1345" s="294"/>
      <c r="AD1345" s="294"/>
      <c r="AE1345" s="294"/>
      <c r="AF1345" s="294"/>
    </row>
    <row r="1346" spans="2:32" x14ac:dyDescent="0.25">
      <c r="B1346" s="294"/>
      <c r="C1346" s="294"/>
      <c r="D1346" s="294"/>
      <c r="E1346" s="294"/>
      <c r="F1346" s="294"/>
      <c r="G1346" s="294"/>
      <c r="H1346" s="294"/>
      <c r="I1346" s="294"/>
      <c r="J1346" s="294"/>
      <c r="L1346" s="295"/>
      <c r="M1346" s="294"/>
      <c r="S1346" s="294"/>
      <c r="T1346" s="299"/>
      <c r="U1346" s="294"/>
      <c r="V1346" s="299"/>
      <c r="W1346" s="299"/>
      <c r="X1346" s="294"/>
      <c r="Y1346" s="299"/>
      <c r="Z1346" s="294"/>
      <c r="AA1346" s="299"/>
      <c r="AB1346" s="299"/>
      <c r="AC1346" s="294"/>
      <c r="AD1346" s="294"/>
      <c r="AE1346" s="294"/>
      <c r="AF1346" s="294"/>
    </row>
    <row r="1347" spans="2:32" x14ac:dyDescent="0.25">
      <c r="B1347" s="294"/>
      <c r="C1347" s="294"/>
      <c r="D1347" s="294"/>
      <c r="E1347" s="294"/>
      <c r="F1347" s="294"/>
      <c r="G1347" s="294"/>
      <c r="H1347" s="294"/>
      <c r="I1347" s="294"/>
      <c r="J1347" s="294"/>
      <c r="L1347" s="295"/>
      <c r="M1347" s="294"/>
      <c r="S1347" s="294"/>
      <c r="T1347" s="299"/>
      <c r="U1347" s="294"/>
      <c r="V1347" s="299"/>
      <c r="W1347" s="299"/>
      <c r="X1347" s="294"/>
      <c r="Y1347" s="299"/>
      <c r="Z1347" s="294"/>
      <c r="AA1347" s="299"/>
      <c r="AB1347" s="299"/>
      <c r="AC1347" s="294"/>
      <c r="AD1347" s="294"/>
      <c r="AE1347" s="294"/>
      <c r="AF1347" s="294"/>
    </row>
    <row r="1348" spans="2:32" x14ac:dyDescent="0.25">
      <c r="B1348" s="294"/>
      <c r="C1348" s="294"/>
      <c r="D1348" s="294"/>
      <c r="E1348" s="294"/>
      <c r="F1348" s="294"/>
      <c r="G1348" s="294"/>
      <c r="H1348" s="294"/>
      <c r="I1348" s="294"/>
      <c r="J1348" s="294"/>
      <c r="L1348" s="295"/>
      <c r="M1348" s="294"/>
      <c r="S1348" s="294"/>
      <c r="T1348" s="299"/>
      <c r="U1348" s="294"/>
      <c r="V1348" s="299"/>
      <c r="W1348" s="299"/>
      <c r="X1348" s="294"/>
      <c r="Y1348" s="299"/>
      <c r="Z1348" s="294"/>
      <c r="AA1348" s="299"/>
      <c r="AB1348" s="299"/>
      <c r="AC1348" s="294"/>
      <c r="AD1348" s="294"/>
      <c r="AE1348" s="294"/>
      <c r="AF1348" s="294"/>
    </row>
    <row r="1349" spans="2:32" x14ac:dyDescent="0.25">
      <c r="B1349" s="294"/>
      <c r="C1349" s="294"/>
      <c r="D1349" s="294"/>
      <c r="E1349" s="294"/>
      <c r="F1349" s="294"/>
      <c r="G1349" s="294"/>
      <c r="H1349" s="294"/>
      <c r="I1349" s="294"/>
      <c r="J1349" s="294"/>
      <c r="L1349" s="295"/>
      <c r="M1349" s="294"/>
      <c r="S1349" s="294"/>
      <c r="T1349" s="299"/>
      <c r="U1349" s="294"/>
      <c r="V1349" s="299"/>
      <c r="W1349" s="299"/>
      <c r="X1349" s="294"/>
      <c r="Y1349" s="299"/>
      <c r="Z1349" s="294"/>
      <c r="AA1349" s="299"/>
      <c r="AB1349" s="299"/>
      <c r="AC1349" s="294"/>
      <c r="AD1349" s="294"/>
      <c r="AE1349" s="294"/>
      <c r="AF1349" s="294"/>
    </row>
    <row r="1350" spans="2:32" x14ac:dyDescent="0.25">
      <c r="B1350" s="294"/>
      <c r="C1350" s="294"/>
      <c r="D1350" s="294"/>
      <c r="E1350" s="294"/>
      <c r="F1350" s="294"/>
      <c r="G1350" s="294"/>
      <c r="H1350" s="294"/>
      <c r="I1350" s="294"/>
      <c r="J1350" s="294"/>
      <c r="L1350" s="295"/>
      <c r="M1350" s="294"/>
      <c r="S1350" s="294"/>
      <c r="T1350" s="299"/>
      <c r="U1350" s="294"/>
      <c r="V1350" s="299"/>
      <c r="W1350" s="299"/>
      <c r="X1350" s="294"/>
      <c r="Y1350" s="299"/>
      <c r="Z1350" s="294"/>
      <c r="AA1350" s="299"/>
      <c r="AB1350" s="299"/>
      <c r="AC1350" s="294"/>
      <c r="AD1350" s="294"/>
      <c r="AE1350" s="294"/>
      <c r="AF1350" s="294"/>
    </row>
    <row r="1351" spans="2:32" x14ac:dyDescent="0.25">
      <c r="B1351" s="294"/>
      <c r="C1351" s="294"/>
      <c r="D1351" s="294"/>
      <c r="E1351" s="294"/>
      <c r="F1351" s="294"/>
      <c r="G1351" s="294"/>
      <c r="H1351" s="294"/>
      <c r="I1351" s="294"/>
      <c r="J1351" s="294"/>
      <c r="L1351" s="295"/>
      <c r="M1351" s="294"/>
      <c r="S1351" s="294"/>
      <c r="T1351" s="299"/>
      <c r="U1351" s="294"/>
      <c r="V1351" s="299"/>
      <c r="W1351" s="299"/>
      <c r="X1351" s="294"/>
      <c r="Y1351" s="299"/>
      <c r="Z1351" s="294"/>
      <c r="AA1351" s="299"/>
      <c r="AB1351" s="299"/>
      <c r="AC1351" s="294"/>
      <c r="AD1351" s="294"/>
      <c r="AE1351" s="294"/>
      <c r="AF1351" s="294"/>
    </row>
    <row r="1352" spans="2:32" x14ac:dyDescent="0.25">
      <c r="B1352" s="294"/>
      <c r="C1352" s="294"/>
      <c r="D1352" s="294"/>
      <c r="E1352" s="294"/>
      <c r="F1352" s="294"/>
      <c r="G1352" s="294"/>
      <c r="H1352" s="294"/>
      <c r="I1352" s="294"/>
      <c r="J1352" s="294"/>
      <c r="L1352" s="295"/>
      <c r="M1352" s="294"/>
      <c r="S1352" s="294"/>
      <c r="T1352" s="299"/>
      <c r="U1352" s="294"/>
      <c r="V1352" s="299"/>
      <c r="W1352" s="299"/>
      <c r="X1352" s="294"/>
      <c r="Y1352" s="299"/>
      <c r="Z1352" s="294"/>
      <c r="AA1352" s="299"/>
      <c r="AB1352" s="299"/>
      <c r="AC1352" s="294"/>
      <c r="AD1352" s="294"/>
      <c r="AE1352" s="294"/>
      <c r="AF1352" s="294"/>
    </row>
    <row r="1353" spans="2:32" x14ac:dyDescent="0.25">
      <c r="B1353" s="294"/>
      <c r="C1353" s="294"/>
      <c r="D1353" s="294"/>
      <c r="E1353" s="294"/>
      <c r="F1353" s="294"/>
      <c r="G1353" s="294"/>
      <c r="H1353" s="294"/>
      <c r="I1353" s="294"/>
      <c r="J1353" s="294"/>
      <c r="L1353" s="295"/>
      <c r="M1353" s="294"/>
      <c r="S1353" s="294"/>
      <c r="T1353" s="299"/>
      <c r="U1353" s="294"/>
      <c r="V1353" s="299"/>
      <c r="W1353" s="299"/>
      <c r="X1353" s="294"/>
      <c r="Y1353" s="299"/>
      <c r="Z1353" s="294"/>
      <c r="AA1353" s="299"/>
      <c r="AB1353" s="299"/>
      <c r="AC1353" s="294"/>
      <c r="AD1353" s="294"/>
      <c r="AE1353" s="294"/>
      <c r="AF1353" s="294"/>
    </row>
    <row r="1354" spans="2:32" x14ac:dyDescent="0.25">
      <c r="B1354" s="294"/>
      <c r="C1354" s="294"/>
      <c r="D1354" s="294"/>
      <c r="E1354" s="294"/>
      <c r="F1354" s="294"/>
      <c r="G1354" s="294"/>
      <c r="H1354" s="294"/>
      <c r="I1354" s="294"/>
      <c r="J1354" s="294"/>
      <c r="L1354" s="295"/>
      <c r="M1354" s="294"/>
      <c r="S1354" s="294"/>
      <c r="T1354" s="299"/>
      <c r="U1354" s="294"/>
      <c r="V1354" s="299"/>
      <c r="W1354" s="299"/>
      <c r="X1354" s="294"/>
      <c r="Y1354" s="299"/>
      <c r="Z1354" s="294"/>
      <c r="AA1354" s="299"/>
      <c r="AB1354" s="299"/>
      <c r="AC1354" s="294"/>
      <c r="AD1354" s="294"/>
      <c r="AE1354" s="294"/>
      <c r="AF1354" s="294"/>
    </row>
    <row r="1355" spans="2:32" x14ac:dyDescent="0.25">
      <c r="B1355" s="294"/>
      <c r="C1355" s="294"/>
      <c r="D1355" s="294"/>
      <c r="E1355" s="294"/>
      <c r="F1355" s="294"/>
      <c r="G1355" s="294"/>
      <c r="H1355" s="294"/>
      <c r="I1355" s="294"/>
      <c r="J1355" s="294"/>
      <c r="L1355" s="295"/>
      <c r="M1355" s="294"/>
      <c r="S1355" s="294"/>
      <c r="T1355" s="299"/>
      <c r="U1355" s="294"/>
      <c r="V1355" s="299"/>
      <c r="W1355" s="299"/>
      <c r="X1355" s="294"/>
      <c r="Y1355" s="299"/>
      <c r="Z1355" s="294"/>
      <c r="AA1355" s="299"/>
      <c r="AB1355" s="299"/>
      <c r="AC1355" s="294"/>
      <c r="AD1355" s="294"/>
      <c r="AE1355" s="294"/>
      <c r="AF1355" s="294"/>
    </row>
    <row r="1356" spans="2:32" x14ac:dyDescent="0.25">
      <c r="B1356" s="294"/>
      <c r="C1356" s="294"/>
      <c r="D1356" s="294"/>
      <c r="E1356" s="294"/>
      <c r="F1356" s="294"/>
      <c r="G1356" s="294"/>
      <c r="H1356" s="294"/>
      <c r="I1356" s="294"/>
      <c r="J1356" s="294"/>
      <c r="L1356" s="295"/>
      <c r="M1356" s="294"/>
      <c r="S1356" s="294"/>
      <c r="T1356" s="299"/>
      <c r="U1356" s="294"/>
      <c r="V1356" s="299"/>
      <c r="W1356" s="299"/>
      <c r="X1356" s="294"/>
      <c r="Y1356" s="299"/>
      <c r="Z1356" s="294"/>
      <c r="AA1356" s="299"/>
      <c r="AB1356" s="299"/>
      <c r="AC1356" s="294"/>
      <c r="AD1356" s="294"/>
      <c r="AE1356" s="294"/>
      <c r="AF1356" s="294"/>
    </row>
    <row r="1357" spans="2:32" x14ac:dyDescent="0.25">
      <c r="B1357" s="294"/>
      <c r="C1357" s="294"/>
      <c r="D1357" s="294"/>
      <c r="E1357" s="294"/>
      <c r="F1357" s="294"/>
      <c r="G1357" s="294"/>
      <c r="H1357" s="294"/>
      <c r="I1357" s="294"/>
      <c r="J1357" s="294"/>
      <c r="L1357" s="295"/>
      <c r="M1357" s="294"/>
      <c r="S1357" s="294"/>
      <c r="T1357" s="299"/>
      <c r="U1357" s="294"/>
      <c r="V1357" s="299"/>
      <c r="W1357" s="299"/>
      <c r="X1357" s="294"/>
      <c r="Y1357" s="299"/>
      <c r="Z1357" s="294"/>
      <c r="AA1357" s="299"/>
      <c r="AB1357" s="299"/>
      <c r="AC1357" s="294"/>
      <c r="AD1357" s="294"/>
      <c r="AE1357" s="294"/>
      <c r="AF1357" s="294"/>
    </row>
    <row r="1358" spans="2:32" x14ac:dyDescent="0.25">
      <c r="B1358" s="294"/>
      <c r="C1358" s="294"/>
      <c r="D1358" s="294"/>
      <c r="E1358" s="294"/>
      <c r="F1358" s="294"/>
      <c r="G1358" s="294"/>
      <c r="H1358" s="294"/>
      <c r="I1358" s="294"/>
      <c r="J1358" s="294"/>
      <c r="L1358" s="295"/>
      <c r="M1358" s="294"/>
      <c r="S1358" s="294"/>
      <c r="T1358" s="299"/>
      <c r="U1358" s="294"/>
      <c r="V1358" s="299"/>
      <c r="W1358" s="299"/>
      <c r="X1358" s="294"/>
      <c r="Y1358" s="299"/>
      <c r="Z1358" s="294"/>
      <c r="AA1358" s="299"/>
      <c r="AB1358" s="299"/>
      <c r="AC1358" s="294"/>
      <c r="AD1358" s="294"/>
      <c r="AE1358" s="294"/>
      <c r="AF1358" s="294"/>
    </row>
    <row r="1359" spans="2:32" x14ac:dyDescent="0.25">
      <c r="B1359" s="294"/>
      <c r="C1359" s="294"/>
      <c r="D1359" s="294"/>
      <c r="E1359" s="294"/>
      <c r="F1359" s="294"/>
      <c r="G1359" s="294"/>
      <c r="H1359" s="294"/>
      <c r="I1359" s="294"/>
      <c r="J1359" s="294"/>
      <c r="L1359" s="295"/>
      <c r="M1359" s="294"/>
      <c r="S1359" s="294"/>
      <c r="T1359" s="299"/>
      <c r="U1359" s="294"/>
      <c r="V1359" s="299"/>
      <c r="W1359" s="299"/>
      <c r="X1359" s="294"/>
      <c r="Y1359" s="299"/>
      <c r="Z1359" s="294"/>
      <c r="AA1359" s="299"/>
      <c r="AB1359" s="299"/>
      <c r="AC1359" s="294"/>
      <c r="AD1359" s="294"/>
      <c r="AE1359" s="294"/>
      <c r="AF1359" s="294"/>
    </row>
    <row r="1360" spans="2:32" x14ac:dyDescent="0.25">
      <c r="B1360" s="294"/>
      <c r="C1360" s="294"/>
      <c r="D1360" s="294"/>
      <c r="E1360" s="294"/>
      <c r="F1360" s="294"/>
      <c r="G1360" s="294"/>
      <c r="H1360" s="294"/>
      <c r="I1360" s="294"/>
      <c r="J1360" s="294"/>
      <c r="L1360" s="295"/>
      <c r="M1360" s="294"/>
      <c r="S1360" s="294"/>
      <c r="T1360" s="299"/>
      <c r="U1360" s="294"/>
      <c r="V1360" s="299"/>
      <c r="W1360" s="299"/>
      <c r="X1360" s="294"/>
      <c r="Y1360" s="299"/>
      <c r="Z1360" s="294"/>
      <c r="AA1360" s="299"/>
      <c r="AB1360" s="299"/>
      <c r="AC1360" s="294"/>
      <c r="AD1360" s="294"/>
      <c r="AE1360" s="294"/>
      <c r="AF1360" s="294"/>
    </row>
    <row r="1361" spans="2:32" x14ac:dyDescent="0.25">
      <c r="B1361" s="294"/>
      <c r="C1361" s="294"/>
      <c r="D1361" s="294"/>
      <c r="E1361" s="294"/>
      <c r="F1361" s="294"/>
      <c r="G1361" s="294"/>
      <c r="H1361" s="294"/>
      <c r="I1361" s="294"/>
      <c r="J1361" s="294"/>
      <c r="L1361" s="295"/>
      <c r="M1361" s="294"/>
      <c r="S1361" s="294"/>
      <c r="T1361" s="299"/>
      <c r="U1361" s="294"/>
      <c r="V1361" s="299"/>
      <c r="W1361" s="299"/>
      <c r="X1361" s="294"/>
      <c r="Y1361" s="299"/>
      <c r="Z1361" s="294"/>
      <c r="AA1361" s="299"/>
      <c r="AB1361" s="299"/>
      <c r="AC1361" s="294"/>
      <c r="AD1361" s="294"/>
      <c r="AE1361" s="294"/>
      <c r="AF1361" s="294"/>
    </row>
    <row r="1362" spans="2:32" x14ac:dyDescent="0.25">
      <c r="B1362" s="294"/>
      <c r="C1362" s="294"/>
      <c r="D1362" s="294"/>
      <c r="E1362" s="294"/>
      <c r="F1362" s="294"/>
      <c r="G1362" s="294"/>
      <c r="H1362" s="294"/>
      <c r="I1362" s="294"/>
      <c r="J1362" s="294"/>
      <c r="L1362" s="295"/>
      <c r="M1362" s="294"/>
      <c r="S1362" s="294"/>
      <c r="T1362" s="299"/>
      <c r="U1362" s="294"/>
      <c r="V1362" s="299"/>
      <c r="W1362" s="299"/>
      <c r="X1362" s="294"/>
      <c r="Y1362" s="299"/>
      <c r="Z1362" s="294"/>
      <c r="AA1362" s="299"/>
      <c r="AB1362" s="299"/>
      <c r="AC1362" s="294"/>
      <c r="AD1362" s="294"/>
      <c r="AE1362" s="294"/>
      <c r="AF1362" s="294"/>
    </row>
    <row r="1363" spans="2:32" x14ac:dyDescent="0.25">
      <c r="B1363" s="294"/>
      <c r="C1363" s="294"/>
      <c r="D1363" s="294"/>
      <c r="E1363" s="294"/>
      <c r="F1363" s="294"/>
      <c r="G1363" s="294"/>
      <c r="H1363" s="294"/>
      <c r="I1363" s="294"/>
      <c r="J1363" s="294"/>
      <c r="L1363" s="295"/>
      <c r="M1363" s="294"/>
      <c r="S1363" s="294"/>
      <c r="T1363" s="299"/>
      <c r="U1363" s="294"/>
      <c r="V1363" s="299"/>
      <c r="W1363" s="299"/>
      <c r="X1363" s="294"/>
      <c r="Y1363" s="299"/>
      <c r="Z1363" s="294"/>
      <c r="AA1363" s="299"/>
      <c r="AB1363" s="299"/>
      <c r="AC1363" s="294"/>
      <c r="AD1363" s="294"/>
      <c r="AE1363" s="294"/>
      <c r="AF1363" s="294"/>
    </row>
    <row r="1364" spans="2:32" x14ac:dyDescent="0.25">
      <c r="B1364" s="294"/>
      <c r="C1364" s="294"/>
      <c r="D1364" s="294"/>
      <c r="E1364" s="294"/>
      <c r="F1364" s="294"/>
      <c r="G1364" s="294"/>
      <c r="H1364" s="294"/>
      <c r="I1364" s="294"/>
      <c r="J1364" s="294"/>
      <c r="L1364" s="295"/>
      <c r="M1364" s="294"/>
      <c r="S1364" s="294"/>
      <c r="T1364" s="299"/>
      <c r="U1364" s="294"/>
      <c r="V1364" s="299"/>
      <c r="W1364" s="299"/>
      <c r="X1364" s="294"/>
      <c r="Y1364" s="299"/>
      <c r="Z1364" s="294"/>
      <c r="AA1364" s="299"/>
      <c r="AB1364" s="299"/>
      <c r="AC1364" s="294"/>
      <c r="AD1364" s="294"/>
      <c r="AE1364" s="294"/>
      <c r="AF1364" s="294"/>
    </row>
    <row r="1365" spans="2:32" x14ac:dyDescent="0.25">
      <c r="B1365" s="294"/>
      <c r="C1365" s="294"/>
      <c r="D1365" s="294"/>
      <c r="E1365" s="294"/>
      <c r="F1365" s="294"/>
      <c r="G1365" s="294"/>
      <c r="H1365" s="294"/>
      <c r="I1365" s="294"/>
      <c r="J1365" s="294"/>
      <c r="L1365" s="295"/>
      <c r="M1365" s="294"/>
      <c r="S1365" s="294"/>
      <c r="T1365" s="299"/>
      <c r="U1365" s="294"/>
      <c r="V1365" s="299"/>
      <c r="W1365" s="299"/>
      <c r="X1365" s="294"/>
      <c r="Y1365" s="299"/>
      <c r="Z1365" s="294"/>
      <c r="AA1365" s="299"/>
      <c r="AB1365" s="299"/>
      <c r="AC1365" s="294"/>
      <c r="AD1365" s="294"/>
      <c r="AE1365" s="294"/>
      <c r="AF1365" s="294"/>
    </row>
    <row r="1366" spans="2:32" x14ac:dyDescent="0.25">
      <c r="B1366" s="294"/>
      <c r="C1366" s="294"/>
      <c r="D1366" s="294"/>
      <c r="E1366" s="294"/>
      <c r="F1366" s="294"/>
      <c r="G1366" s="294"/>
      <c r="H1366" s="294"/>
      <c r="I1366" s="294"/>
      <c r="J1366" s="294"/>
      <c r="L1366" s="295"/>
      <c r="M1366" s="294"/>
      <c r="S1366" s="294"/>
      <c r="T1366" s="299"/>
      <c r="U1366" s="294"/>
      <c r="V1366" s="299"/>
      <c r="W1366" s="299"/>
      <c r="X1366" s="294"/>
      <c r="Y1366" s="299"/>
      <c r="Z1366" s="294"/>
      <c r="AA1366" s="299"/>
      <c r="AB1366" s="299"/>
      <c r="AC1366" s="294"/>
      <c r="AD1366" s="294"/>
      <c r="AE1366" s="294"/>
      <c r="AF1366" s="294"/>
    </row>
    <row r="1367" spans="2:32" x14ac:dyDescent="0.25">
      <c r="B1367" s="294"/>
      <c r="C1367" s="294"/>
      <c r="D1367" s="294"/>
      <c r="E1367" s="294"/>
      <c r="F1367" s="294"/>
      <c r="G1367" s="294"/>
      <c r="H1367" s="294"/>
      <c r="I1367" s="294"/>
      <c r="J1367" s="294"/>
      <c r="L1367" s="295"/>
      <c r="M1367" s="294"/>
      <c r="S1367" s="294"/>
      <c r="T1367" s="299"/>
      <c r="U1367" s="294"/>
      <c r="V1367" s="299"/>
      <c r="W1367" s="299"/>
      <c r="X1367" s="294"/>
      <c r="Y1367" s="299"/>
      <c r="Z1367" s="294"/>
      <c r="AA1367" s="299"/>
      <c r="AB1367" s="299"/>
      <c r="AC1367" s="294"/>
      <c r="AD1367" s="294"/>
      <c r="AE1367" s="294"/>
      <c r="AF1367" s="294"/>
    </row>
    <row r="1368" spans="2:32" x14ac:dyDescent="0.25">
      <c r="B1368" s="294"/>
      <c r="C1368" s="294"/>
      <c r="D1368" s="294"/>
      <c r="E1368" s="294"/>
      <c r="F1368" s="294"/>
      <c r="G1368" s="294"/>
      <c r="H1368" s="294"/>
      <c r="I1368" s="294"/>
      <c r="J1368" s="294"/>
      <c r="L1368" s="295"/>
      <c r="M1368" s="294"/>
      <c r="S1368" s="294"/>
      <c r="T1368" s="299"/>
      <c r="U1368" s="294"/>
      <c r="V1368" s="299"/>
      <c r="W1368" s="299"/>
      <c r="X1368" s="294"/>
      <c r="Y1368" s="299"/>
      <c r="Z1368" s="294"/>
      <c r="AA1368" s="299"/>
      <c r="AB1368" s="299"/>
      <c r="AC1368" s="294"/>
      <c r="AD1368" s="294"/>
      <c r="AE1368" s="294"/>
      <c r="AF1368" s="294"/>
    </row>
    <row r="1369" spans="2:32" x14ac:dyDescent="0.25">
      <c r="B1369" s="294"/>
      <c r="C1369" s="294"/>
      <c r="D1369" s="294"/>
      <c r="E1369" s="294"/>
      <c r="F1369" s="294"/>
      <c r="G1369" s="294"/>
      <c r="H1369" s="294"/>
      <c r="I1369" s="294"/>
      <c r="J1369" s="294"/>
      <c r="L1369" s="295"/>
      <c r="M1369" s="294"/>
      <c r="S1369" s="294"/>
      <c r="T1369" s="299"/>
      <c r="U1369" s="294"/>
      <c r="V1369" s="299"/>
      <c r="W1369" s="299"/>
      <c r="X1369" s="294"/>
      <c r="Y1369" s="299"/>
      <c r="Z1369" s="294"/>
      <c r="AA1369" s="299"/>
      <c r="AB1369" s="299"/>
      <c r="AC1369" s="294"/>
      <c r="AD1369" s="294"/>
      <c r="AE1369" s="294"/>
      <c r="AF1369" s="294"/>
    </row>
    <row r="1370" spans="2:32" x14ac:dyDescent="0.25">
      <c r="B1370" s="294"/>
      <c r="C1370" s="294"/>
      <c r="D1370" s="294"/>
      <c r="E1370" s="294"/>
      <c r="F1370" s="294"/>
      <c r="G1370" s="294"/>
      <c r="H1370" s="294"/>
      <c r="I1370" s="294"/>
      <c r="J1370" s="294"/>
      <c r="L1370" s="295"/>
      <c r="M1370" s="294"/>
      <c r="S1370" s="294"/>
      <c r="T1370" s="299"/>
      <c r="U1370" s="294"/>
      <c r="V1370" s="299"/>
      <c r="W1370" s="299"/>
      <c r="X1370" s="294"/>
      <c r="Y1370" s="299"/>
      <c r="Z1370" s="294"/>
      <c r="AA1370" s="299"/>
      <c r="AB1370" s="299"/>
      <c r="AC1370" s="294"/>
      <c r="AD1370" s="294"/>
      <c r="AE1370" s="294"/>
      <c r="AF1370" s="294"/>
    </row>
    <row r="1371" spans="2:32" x14ac:dyDescent="0.25">
      <c r="B1371" s="294"/>
      <c r="C1371" s="294"/>
      <c r="D1371" s="294"/>
      <c r="E1371" s="294"/>
      <c r="F1371" s="294"/>
      <c r="G1371" s="294"/>
      <c r="H1371" s="294"/>
      <c r="I1371" s="294"/>
      <c r="J1371" s="294"/>
      <c r="L1371" s="295"/>
      <c r="M1371" s="294"/>
      <c r="S1371" s="294"/>
      <c r="T1371" s="299"/>
      <c r="U1371" s="294"/>
      <c r="V1371" s="299"/>
      <c r="W1371" s="299"/>
      <c r="X1371" s="294"/>
      <c r="Y1371" s="299"/>
      <c r="Z1371" s="294"/>
      <c r="AA1371" s="299"/>
      <c r="AB1371" s="299"/>
      <c r="AC1371" s="294"/>
      <c r="AD1371" s="294"/>
      <c r="AE1371" s="294"/>
      <c r="AF1371" s="294"/>
    </row>
    <row r="1372" spans="2:32" x14ac:dyDescent="0.25">
      <c r="B1372" s="294"/>
      <c r="C1372" s="294"/>
      <c r="D1372" s="294"/>
      <c r="E1372" s="294"/>
      <c r="F1372" s="294"/>
      <c r="G1372" s="294"/>
      <c r="H1372" s="294"/>
      <c r="I1372" s="294"/>
      <c r="J1372" s="294"/>
      <c r="L1372" s="295"/>
      <c r="M1372" s="294"/>
      <c r="S1372" s="294"/>
      <c r="T1372" s="299"/>
      <c r="U1372" s="294"/>
      <c r="V1372" s="299"/>
      <c r="W1372" s="299"/>
      <c r="X1372" s="294"/>
      <c r="Y1372" s="299"/>
      <c r="Z1372" s="294"/>
      <c r="AA1372" s="299"/>
      <c r="AB1372" s="299"/>
      <c r="AC1372" s="294"/>
      <c r="AD1372" s="294"/>
      <c r="AE1372" s="294"/>
      <c r="AF1372" s="294"/>
    </row>
    <row r="1373" spans="2:32" x14ac:dyDescent="0.25">
      <c r="B1373" s="294"/>
      <c r="C1373" s="294"/>
      <c r="D1373" s="294"/>
      <c r="E1373" s="294"/>
      <c r="F1373" s="294"/>
      <c r="G1373" s="294"/>
      <c r="H1373" s="294"/>
      <c r="I1373" s="294"/>
      <c r="J1373" s="294"/>
      <c r="L1373" s="295"/>
      <c r="M1373" s="294"/>
      <c r="S1373" s="294"/>
      <c r="T1373" s="299"/>
      <c r="U1373" s="294"/>
      <c r="V1373" s="299"/>
      <c r="W1373" s="299"/>
      <c r="X1373" s="294"/>
      <c r="Y1373" s="299"/>
      <c r="Z1373" s="294"/>
      <c r="AA1373" s="299"/>
      <c r="AB1373" s="299"/>
      <c r="AC1373" s="294"/>
      <c r="AD1373" s="294"/>
      <c r="AE1373" s="294"/>
      <c r="AF1373" s="294"/>
    </row>
    <row r="1374" spans="2:32" x14ac:dyDescent="0.25">
      <c r="B1374" s="294"/>
      <c r="C1374" s="294"/>
      <c r="D1374" s="294"/>
      <c r="E1374" s="294"/>
      <c r="F1374" s="294"/>
      <c r="G1374" s="294"/>
      <c r="H1374" s="294"/>
      <c r="I1374" s="294"/>
      <c r="J1374" s="294"/>
      <c r="L1374" s="295"/>
      <c r="M1374" s="294"/>
      <c r="S1374" s="294"/>
      <c r="T1374" s="299"/>
      <c r="U1374" s="294"/>
      <c r="V1374" s="299"/>
      <c r="W1374" s="299"/>
      <c r="X1374" s="294"/>
      <c r="Y1374" s="299"/>
      <c r="Z1374" s="294"/>
      <c r="AA1374" s="299"/>
      <c r="AB1374" s="299"/>
      <c r="AC1374" s="294"/>
      <c r="AD1374" s="294"/>
      <c r="AE1374" s="294"/>
      <c r="AF1374" s="294"/>
    </row>
    <row r="1375" spans="2:32" x14ac:dyDescent="0.25">
      <c r="B1375" s="294"/>
      <c r="C1375" s="294"/>
      <c r="D1375" s="294"/>
      <c r="E1375" s="294"/>
      <c r="F1375" s="294"/>
      <c r="G1375" s="294"/>
      <c r="H1375" s="294"/>
      <c r="I1375" s="294"/>
      <c r="J1375" s="294"/>
      <c r="L1375" s="295"/>
      <c r="M1375" s="294"/>
      <c r="S1375" s="294"/>
      <c r="T1375" s="299"/>
      <c r="U1375" s="294"/>
      <c r="V1375" s="299"/>
      <c r="W1375" s="299"/>
      <c r="X1375" s="294"/>
      <c r="Y1375" s="299"/>
      <c r="Z1375" s="294"/>
      <c r="AA1375" s="299"/>
      <c r="AB1375" s="299"/>
      <c r="AC1375" s="294"/>
      <c r="AD1375" s="294"/>
      <c r="AE1375" s="294"/>
      <c r="AF1375" s="294"/>
    </row>
    <row r="1376" spans="2:32" x14ac:dyDescent="0.25">
      <c r="B1376" s="294"/>
      <c r="C1376" s="294"/>
      <c r="D1376" s="294"/>
      <c r="E1376" s="294"/>
      <c r="F1376" s="294"/>
      <c r="G1376" s="294"/>
      <c r="H1376" s="294"/>
      <c r="I1376" s="294"/>
      <c r="J1376" s="294"/>
      <c r="L1376" s="295"/>
      <c r="M1376" s="294"/>
      <c r="S1376" s="294"/>
      <c r="T1376" s="299"/>
      <c r="U1376" s="294"/>
      <c r="V1376" s="299"/>
      <c r="W1376" s="299"/>
      <c r="X1376" s="294"/>
      <c r="Y1376" s="299"/>
      <c r="Z1376" s="294"/>
      <c r="AA1376" s="299"/>
      <c r="AB1376" s="299"/>
      <c r="AC1376" s="294"/>
      <c r="AD1376" s="294"/>
      <c r="AE1376" s="294"/>
      <c r="AF1376" s="294"/>
    </row>
    <row r="1377" spans="2:32" x14ac:dyDescent="0.25">
      <c r="B1377" s="294"/>
      <c r="C1377" s="294"/>
      <c r="D1377" s="294"/>
      <c r="E1377" s="294"/>
      <c r="F1377" s="294"/>
      <c r="G1377" s="294"/>
      <c r="H1377" s="294"/>
      <c r="I1377" s="294"/>
      <c r="J1377" s="294"/>
      <c r="L1377" s="295"/>
      <c r="M1377" s="294"/>
      <c r="S1377" s="294"/>
      <c r="T1377" s="299"/>
      <c r="U1377" s="294"/>
      <c r="V1377" s="299"/>
      <c r="W1377" s="299"/>
      <c r="X1377" s="294"/>
      <c r="Y1377" s="299"/>
      <c r="Z1377" s="294"/>
      <c r="AA1377" s="299"/>
      <c r="AB1377" s="299"/>
      <c r="AC1377" s="294"/>
      <c r="AD1377" s="294"/>
      <c r="AE1377" s="294"/>
      <c r="AF1377" s="294"/>
    </row>
    <row r="1378" spans="2:32" x14ac:dyDescent="0.25">
      <c r="B1378" s="294"/>
      <c r="C1378" s="294"/>
      <c r="D1378" s="294"/>
      <c r="E1378" s="294"/>
      <c r="F1378" s="294"/>
      <c r="G1378" s="294"/>
      <c r="H1378" s="294"/>
      <c r="I1378" s="294"/>
      <c r="J1378" s="294"/>
      <c r="L1378" s="295"/>
      <c r="M1378" s="294"/>
      <c r="S1378" s="294"/>
      <c r="T1378" s="299"/>
      <c r="U1378" s="294"/>
      <c r="V1378" s="299"/>
      <c r="W1378" s="299"/>
      <c r="X1378" s="294"/>
      <c r="Y1378" s="299"/>
      <c r="Z1378" s="294"/>
      <c r="AA1378" s="299"/>
      <c r="AB1378" s="299"/>
      <c r="AC1378" s="294"/>
      <c r="AD1378" s="294"/>
      <c r="AE1378" s="294"/>
      <c r="AF1378" s="294"/>
    </row>
    <row r="1379" spans="2:32" x14ac:dyDescent="0.25">
      <c r="B1379" s="294"/>
      <c r="C1379" s="294"/>
      <c r="D1379" s="294"/>
      <c r="E1379" s="294"/>
      <c r="F1379" s="294"/>
      <c r="G1379" s="294"/>
      <c r="H1379" s="294"/>
      <c r="I1379" s="294"/>
      <c r="J1379" s="294"/>
      <c r="L1379" s="295"/>
      <c r="M1379" s="294"/>
      <c r="S1379" s="294"/>
      <c r="T1379" s="299"/>
      <c r="U1379" s="294"/>
      <c r="V1379" s="299"/>
      <c r="W1379" s="299"/>
      <c r="X1379" s="294"/>
      <c r="Y1379" s="299"/>
      <c r="Z1379" s="294"/>
      <c r="AA1379" s="299"/>
      <c r="AB1379" s="299"/>
      <c r="AC1379" s="294"/>
      <c r="AD1379" s="294"/>
      <c r="AE1379" s="294"/>
      <c r="AF1379" s="294"/>
    </row>
    <row r="1380" spans="2:32" x14ac:dyDescent="0.25">
      <c r="B1380" s="294"/>
      <c r="C1380" s="294"/>
      <c r="D1380" s="294"/>
      <c r="E1380" s="294"/>
      <c r="F1380" s="294"/>
      <c r="G1380" s="294"/>
      <c r="H1380" s="294"/>
      <c r="I1380" s="294"/>
      <c r="J1380" s="294"/>
      <c r="L1380" s="295"/>
      <c r="M1380" s="294"/>
      <c r="S1380" s="294"/>
      <c r="T1380" s="299"/>
      <c r="U1380" s="294"/>
      <c r="V1380" s="299"/>
      <c r="W1380" s="299"/>
      <c r="X1380" s="294"/>
      <c r="Y1380" s="299"/>
      <c r="Z1380" s="294"/>
      <c r="AA1380" s="299"/>
      <c r="AB1380" s="299"/>
      <c r="AC1380" s="294"/>
      <c r="AD1380" s="294"/>
      <c r="AE1380" s="294"/>
      <c r="AF1380" s="294"/>
    </row>
    <row r="1381" spans="2:32" x14ac:dyDescent="0.25">
      <c r="B1381" s="294"/>
      <c r="C1381" s="294"/>
      <c r="D1381" s="294"/>
      <c r="E1381" s="294"/>
      <c r="F1381" s="294"/>
      <c r="G1381" s="294"/>
      <c r="H1381" s="294"/>
      <c r="I1381" s="294"/>
      <c r="J1381" s="294"/>
      <c r="L1381" s="295"/>
      <c r="M1381" s="294"/>
      <c r="S1381" s="294"/>
      <c r="T1381" s="299"/>
      <c r="U1381" s="294"/>
      <c r="V1381" s="299"/>
      <c r="W1381" s="299"/>
      <c r="X1381" s="294"/>
      <c r="Y1381" s="299"/>
      <c r="Z1381" s="294"/>
      <c r="AA1381" s="299"/>
      <c r="AB1381" s="299"/>
      <c r="AC1381" s="294"/>
      <c r="AD1381" s="294"/>
      <c r="AE1381" s="294"/>
      <c r="AF1381" s="294"/>
    </row>
    <row r="1382" spans="2:32" x14ac:dyDescent="0.25">
      <c r="B1382" s="294"/>
      <c r="C1382" s="294"/>
      <c r="D1382" s="294"/>
      <c r="E1382" s="294"/>
      <c r="F1382" s="294"/>
      <c r="G1382" s="294"/>
      <c r="H1382" s="294"/>
      <c r="I1382" s="294"/>
      <c r="J1382" s="294"/>
      <c r="L1382" s="295"/>
      <c r="M1382" s="294"/>
      <c r="S1382" s="294"/>
      <c r="T1382" s="299"/>
      <c r="U1382" s="294"/>
      <c r="V1382" s="299"/>
      <c r="W1382" s="299"/>
      <c r="X1382" s="294"/>
      <c r="Y1382" s="299"/>
      <c r="Z1382" s="294"/>
      <c r="AA1382" s="299"/>
      <c r="AB1382" s="299"/>
      <c r="AC1382" s="294"/>
      <c r="AD1382" s="294"/>
      <c r="AE1382" s="294"/>
      <c r="AF1382" s="294"/>
    </row>
    <row r="1383" spans="2:32" x14ac:dyDescent="0.25">
      <c r="B1383" s="294"/>
      <c r="C1383" s="294"/>
      <c r="D1383" s="294"/>
      <c r="E1383" s="294"/>
      <c r="F1383" s="294"/>
      <c r="G1383" s="294"/>
      <c r="H1383" s="294"/>
      <c r="I1383" s="294"/>
      <c r="J1383" s="294"/>
      <c r="L1383" s="295"/>
      <c r="M1383" s="294"/>
      <c r="S1383" s="294"/>
      <c r="T1383" s="299"/>
      <c r="U1383" s="294"/>
      <c r="V1383" s="299"/>
      <c r="W1383" s="299"/>
      <c r="X1383" s="294"/>
      <c r="Y1383" s="299"/>
      <c r="Z1383" s="294"/>
      <c r="AA1383" s="299"/>
      <c r="AB1383" s="299"/>
      <c r="AC1383" s="294"/>
      <c r="AD1383" s="294"/>
      <c r="AE1383" s="294"/>
      <c r="AF1383" s="294"/>
    </row>
    <row r="1384" spans="2:32" x14ac:dyDescent="0.25">
      <c r="B1384" s="294"/>
      <c r="C1384" s="294"/>
      <c r="D1384" s="294"/>
      <c r="E1384" s="294"/>
      <c r="F1384" s="294"/>
      <c r="G1384" s="294"/>
      <c r="H1384" s="294"/>
      <c r="I1384" s="294"/>
      <c r="J1384" s="294"/>
      <c r="L1384" s="295"/>
      <c r="M1384" s="294"/>
      <c r="S1384" s="294"/>
      <c r="T1384" s="299"/>
      <c r="U1384" s="294"/>
      <c r="V1384" s="299"/>
      <c r="W1384" s="299"/>
      <c r="X1384" s="294"/>
      <c r="Y1384" s="299"/>
      <c r="Z1384" s="294"/>
      <c r="AA1384" s="299"/>
      <c r="AB1384" s="299"/>
      <c r="AC1384" s="294"/>
      <c r="AD1384" s="294"/>
      <c r="AE1384" s="294"/>
      <c r="AF1384" s="294"/>
    </row>
    <row r="1385" spans="2:32" x14ac:dyDescent="0.25">
      <c r="B1385" s="294"/>
      <c r="C1385" s="294"/>
      <c r="D1385" s="294"/>
      <c r="E1385" s="294"/>
      <c r="F1385" s="294"/>
      <c r="G1385" s="294"/>
      <c r="H1385" s="294"/>
      <c r="I1385" s="294"/>
      <c r="J1385" s="294"/>
      <c r="L1385" s="295"/>
      <c r="M1385" s="294"/>
      <c r="S1385" s="294"/>
      <c r="T1385" s="299"/>
      <c r="U1385" s="294"/>
      <c r="V1385" s="299"/>
      <c r="W1385" s="299"/>
      <c r="X1385" s="294"/>
      <c r="Y1385" s="299"/>
      <c r="Z1385" s="294"/>
      <c r="AA1385" s="299"/>
      <c r="AB1385" s="299"/>
      <c r="AC1385" s="294"/>
      <c r="AD1385" s="294"/>
      <c r="AE1385" s="294"/>
      <c r="AF1385" s="294"/>
    </row>
    <row r="1386" spans="2:32" x14ac:dyDescent="0.25">
      <c r="B1386" s="294"/>
      <c r="C1386" s="294"/>
      <c r="D1386" s="294"/>
      <c r="E1386" s="294"/>
      <c r="F1386" s="294"/>
      <c r="G1386" s="294"/>
      <c r="H1386" s="294"/>
      <c r="I1386" s="294"/>
      <c r="J1386" s="294"/>
      <c r="L1386" s="295"/>
      <c r="M1386" s="294"/>
      <c r="S1386" s="294"/>
      <c r="T1386" s="299"/>
      <c r="U1386" s="294"/>
      <c r="V1386" s="299"/>
      <c r="W1386" s="299"/>
      <c r="X1386" s="294"/>
      <c r="Y1386" s="299"/>
      <c r="Z1386" s="294"/>
      <c r="AA1386" s="299"/>
      <c r="AB1386" s="299"/>
      <c r="AC1386" s="294"/>
      <c r="AD1386" s="294"/>
      <c r="AE1386" s="294"/>
      <c r="AF1386" s="294"/>
    </row>
    <row r="1387" spans="2:32" x14ac:dyDescent="0.25">
      <c r="B1387" s="294"/>
      <c r="C1387" s="294"/>
      <c r="D1387" s="294"/>
      <c r="E1387" s="294"/>
      <c r="F1387" s="294"/>
      <c r="G1387" s="294"/>
      <c r="H1387" s="294"/>
      <c r="I1387" s="294"/>
      <c r="J1387" s="294"/>
      <c r="L1387" s="295"/>
      <c r="M1387" s="294"/>
      <c r="S1387" s="294"/>
      <c r="T1387" s="299"/>
      <c r="U1387" s="294"/>
      <c r="V1387" s="299"/>
      <c r="W1387" s="299"/>
      <c r="X1387" s="294"/>
      <c r="Y1387" s="299"/>
      <c r="Z1387" s="294"/>
      <c r="AA1387" s="299"/>
      <c r="AB1387" s="299"/>
      <c r="AC1387" s="294"/>
      <c r="AD1387" s="294"/>
      <c r="AE1387" s="294"/>
      <c r="AF1387" s="294"/>
    </row>
    <row r="1388" spans="2:32" x14ac:dyDescent="0.25">
      <c r="B1388" s="294"/>
      <c r="C1388" s="294"/>
      <c r="D1388" s="294"/>
      <c r="E1388" s="294"/>
      <c r="F1388" s="294"/>
      <c r="G1388" s="294"/>
      <c r="H1388" s="294"/>
      <c r="I1388" s="294"/>
      <c r="J1388" s="294"/>
      <c r="L1388" s="295"/>
      <c r="M1388" s="294"/>
      <c r="S1388" s="294"/>
      <c r="T1388" s="299"/>
      <c r="U1388" s="294"/>
      <c r="V1388" s="299"/>
      <c r="W1388" s="299"/>
      <c r="X1388" s="294"/>
      <c r="Y1388" s="299"/>
      <c r="Z1388" s="294"/>
      <c r="AA1388" s="299"/>
      <c r="AB1388" s="299"/>
      <c r="AC1388" s="294"/>
      <c r="AD1388" s="294"/>
      <c r="AE1388" s="294"/>
      <c r="AF1388" s="294"/>
    </row>
    <row r="1389" spans="2:32" x14ac:dyDescent="0.25">
      <c r="B1389" s="294"/>
      <c r="C1389" s="294"/>
      <c r="D1389" s="294"/>
      <c r="E1389" s="294"/>
      <c r="F1389" s="294"/>
      <c r="G1389" s="294"/>
      <c r="H1389" s="294"/>
      <c r="I1389" s="294"/>
      <c r="J1389" s="294"/>
      <c r="L1389" s="295"/>
      <c r="M1389" s="294"/>
      <c r="S1389" s="294"/>
      <c r="T1389" s="299"/>
      <c r="U1389" s="294"/>
      <c r="V1389" s="299"/>
      <c r="W1389" s="299"/>
      <c r="X1389" s="294"/>
      <c r="Y1389" s="299"/>
      <c r="Z1389" s="294"/>
      <c r="AA1389" s="299"/>
      <c r="AB1389" s="299"/>
      <c r="AC1389" s="294"/>
      <c r="AD1389" s="294"/>
      <c r="AE1389" s="294"/>
      <c r="AF1389" s="294"/>
    </row>
    <row r="1390" spans="2:32" x14ac:dyDescent="0.25">
      <c r="B1390" s="294"/>
      <c r="C1390" s="294"/>
      <c r="D1390" s="294"/>
      <c r="E1390" s="294"/>
      <c r="F1390" s="294"/>
      <c r="G1390" s="294"/>
      <c r="H1390" s="294"/>
      <c r="I1390" s="294"/>
      <c r="J1390" s="294"/>
      <c r="L1390" s="295"/>
      <c r="M1390" s="294"/>
      <c r="S1390" s="294"/>
      <c r="T1390" s="299"/>
      <c r="U1390" s="294"/>
      <c r="V1390" s="299"/>
      <c r="W1390" s="299"/>
      <c r="X1390" s="294"/>
      <c r="Y1390" s="299"/>
      <c r="Z1390" s="294"/>
      <c r="AA1390" s="299"/>
      <c r="AB1390" s="299"/>
      <c r="AC1390" s="294"/>
      <c r="AD1390" s="294"/>
      <c r="AE1390" s="294"/>
      <c r="AF1390" s="294"/>
    </row>
    <row r="1391" spans="2:32" x14ac:dyDescent="0.25">
      <c r="B1391" s="294"/>
      <c r="C1391" s="294"/>
      <c r="D1391" s="294"/>
      <c r="E1391" s="294"/>
      <c r="F1391" s="294"/>
      <c r="G1391" s="294"/>
      <c r="H1391" s="294"/>
      <c r="I1391" s="294"/>
      <c r="J1391" s="294"/>
      <c r="L1391" s="295"/>
      <c r="M1391" s="294"/>
      <c r="S1391" s="294"/>
      <c r="T1391" s="299"/>
      <c r="U1391" s="294"/>
      <c r="V1391" s="299"/>
      <c r="W1391" s="299"/>
      <c r="X1391" s="294"/>
      <c r="Y1391" s="299"/>
      <c r="Z1391" s="294"/>
      <c r="AA1391" s="299"/>
      <c r="AB1391" s="299"/>
      <c r="AC1391" s="294"/>
      <c r="AD1391" s="294"/>
      <c r="AE1391" s="294"/>
      <c r="AF1391" s="294"/>
    </row>
    <row r="1392" spans="2:32" x14ac:dyDescent="0.25">
      <c r="B1392" s="294"/>
      <c r="C1392" s="294"/>
      <c r="D1392" s="294"/>
      <c r="E1392" s="294"/>
      <c r="F1392" s="294"/>
      <c r="G1392" s="294"/>
      <c r="H1392" s="294"/>
      <c r="I1392" s="294"/>
      <c r="J1392" s="294"/>
      <c r="L1392" s="295"/>
      <c r="M1392" s="294"/>
      <c r="S1392" s="294"/>
      <c r="T1392" s="299"/>
      <c r="U1392" s="294"/>
      <c r="V1392" s="299"/>
      <c r="W1392" s="299"/>
      <c r="X1392" s="294"/>
      <c r="Y1392" s="299"/>
      <c r="Z1392" s="294"/>
      <c r="AA1392" s="299"/>
      <c r="AB1392" s="299"/>
      <c r="AC1392" s="294"/>
      <c r="AD1392" s="294"/>
      <c r="AE1392" s="294"/>
      <c r="AF1392" s="294"/>
    </row>
    <row r="1393" spans="2:32" x14ac:dyDescent="0.25">
      <c r="B1393" s="294"/>
      <c r="C1393" s="294"/>
      <c r="D1393" s="294"/>
      <c r="E1393" s="294"/>
      <c r="F1393" s="294"/>
      <c r="G1393" s="294"/>
      <c r="H1393" s="294"/>
      <c r="I1393" s="294"/>
      <c r="J1393" s="294"/>
      <c r="L1393" s="295"/>
      <c r="M1393" s="294"/>
      <c r="S1393" s="294"/>
      <c r="T1393" s="299"/>
      <c r="U1393" s="294"/>
      <c r="V1393" s="299"/>
      <c r="W1393" s="299"/>
      <c r="X1393" s="294"/>
      <c r="Y1393" s="299"/>
      <c r="Z1393" s="294"/>
      <c r="AA1393" s="299"/>
      <c r="AB1393" s="299"/>
      <c r="AC1393" s="294"/>
      <c r="AD1393" s="294"/>
      <c r="AE1393" s="294"/>
      <c r="AF1393" s="294"/>
    </row>
    <row r="1394" spans="2:32" x14ac:dyDescent="0.25">
      <c r="B1394" s="294"/>
      <c r="C1394" s="294"/>
      <c r="D1394" s="294"/>
      <c r="E1394" s="294"/>
      <c r="F1394" s="294"/>
      <c r="G1394" s="294"/>
      <c r="H1394" s="294"/>
      <c r="I1394" s="294"/>
      <c r="J1394" s="294"/>
      <c r="L1394" s="295"/>
      <c r="M1394" s="294"/>
      <c r="S1394" s="294"/>
      <c r="T1394" s="299"/>
      <c r="U1394" s="294"/>
      <c r="V1394" s="299"/>
      <c r="W1394" s="299"/>
      <c r="X1394" s="294"/>
      <c r="Y1394" s="299"/>
      <c r="Z1394" s="294"/>
      <c r="AA1394" s="299"/>
      <c r="AB1394" s="299"/>
      <c r="AC1394" s="294"/>
      <c r="AD1394" s="294"/>
      <c r="AE1394" s="294"/>
      <c r="AF1394" s="294"/>
    </row>
    <row r="1395" spans="2:32" x14ac:dyDescent="0.25">
      <c r="B1395" s="294"/>
      <c r="C1395" s="294"/>
      <c r="D1395" s="294"/>
      <c r="E1395" s="294"/>
      <c r="F1395" s="294"/>
      <c r="G1395" s="294"/>
      <c r="H1395" s="294"/>
      <c r="I1395" s="294"/>
      <c r="J1395" s="294"/>
      <c r="L1395" s="295"/>
      <c r="M1395" s="294"/>
      <c r="S1395" s="294"/>
      <c r="T1395" s="299"/>
      <c r="U1395" s="294"/>
      <c r="V1395" s="299"/>
      <c r="W1395" s="299"/>
      <c r="X1395" s="294"/>
      <c r="Y1395" s="299"/>
      <c r="Z1395" s="294"/>
      <c r="AA1395" s="299"/>
      <c r="AB1395" s="299"/>
      <c r="AC1395" s="294"/>
      <c r="AD1395" s="294"/>
      <c r="AE1395" s="294"/>
      <c r="AF1395" s="294"/>
    </row>
    <row r="1396" spans="2:32" x14ac:dyDescent="0.25">
      <c r="B1396" s="294"/>
      <c r="C1396" s="294"/>
      <c r="D1396" s="294"/>
      <c r="E1396" s="294"/>
      <c r="F1396" s="294"/>
      <c r="G1396" s="294"/>
      <c r="H1396" s="294"/>
      <c r="I1396" s="294"/>
      <c r="J1396" s="294"/>
      <c r="L1396" s="295"/>
      <c r="M1396" s="294"/>
      <c r="S1396" s="294"/>
      <c r="T1396" s="299"/>
      <c r="U1396" s="294"/>
      <c r="V1396" s="299"/>
      <c r="W1396" s="299"/>
      <c r="X1396" s="294"/>
      <c r="Y1396" s="299"/>
      <c r="Z1396" s="294"/>
      <c r="AA1396" s="299"/>
      <c r="AB1396" s="299"/>
      <c r="AC1396" s="294"/>
      <c r="AD1396" s="294"/>
      <c r="AE1396" s="294"/>
      <c r="AF1396" s="294"/>
    </row>
    <row r="1397" spans="2:32" x14ac:dyDescent="0.25">
      <c r="B1397" s="294"/>
      <c r="C1397" s="294"/>
      <c r="D1397" s="294"/>
      <c r="E1397" s="294"/>
      <c r="F1397" s="294"/>
      <c r="G1397" s="294"/>
      <c r="H1397" s="294"/>
      <c r="I1397" s="294"/>
      <c r="J1397" s="294"/>
      <c r="L1397" s="295"/>
      <c r="M1397" s="294"/>
      <c r="S1397" s="294"/>
      <c r="T1397" s="299"/>
      <c r="U1397" s="294"/>
      <c r="V1397" s="299"/>
      <c r="W1397" s="299"/>
      <c r="X1397" s="294"/>
      <c r="Y1397" s="299"/>
      <c r="Z1397" s="294"/>
      <c r="AA1397" s="299"/>
      <c r="AB1397" s="299"/>
      <c r="AC1397" s="294"/>
      <c r="AD1397" s="294"/>
      <c r="AE1397" s="294"/>
      <c r="AF1397" s="294"/>
    </row>
    <row r="1398" spans="2:32" x14ac:dyDescent="0.25">
      <c r="B1398" s="294"/>
      <c r="C1398" s="294"/>
      <c r="D1398" s="294"/>
      <c r="E1398" s="294"/>
      <c r="F1398" s="294"/>
      <c r="G1398" s="294"/>
      <c r="H1398" s="294"/>
      <c r="I1398" s="294"/>
      <c r="J1398" s="294"/>
      <c r="L1398" s="295"/>
      <c r="M1398" s="294"/>
      <c r="S1398" s="294"/>
      <c r="T1398" s="299"/>
      <c r="U1398" s="294"/>
      <c r="V1398" s="299"/>
      <c r="W1398" s="299"/>
      <c r="X1398" s="294"/>
      <c r="Y1398" s="299"/>
      <c r="Z1398" s="294"/>
      <c r="AA1398" s="299"/>
      <c r="AB1398" s="299"/>
      <c r="AC1398" s="294"/>
      <c r="AD1398" s="294"/>
      <c r="AE1398" s="294"/>
      <c r="AF1398" s="294"/>
    </row>
    <row r="1399" spans="2:32" x14ac:dyDescent="0.25">
      <c r="B1399" s="294"/>
      <c r="C1399" s="294"/>
      <c r="D1399" s="294"/>
      <c r="E1399" s="294"/>
      <c r="F1399" s="294"/>
      <c r="G1399" s="294"/>
      <c r="H1399" s="294"/>
      <c r="I1399" s="294"/>
      <c r="J1399" s="294"/>
      <c r="L1399" s="295"/>
      <c r="M1399" s="294"/>
      <c r="S1399" s="294"/>
      <c r="T1399" s="299"/>
      <c r="U1399" s="294"/>
      <c r="V1399" s="299"/>
      <c r="W1399" s="299"/>
      <c r="X1399" s="294"/>
      <c r="Y1399" s="299"/>
      <c r="Z1399" s="294"/>
      <c r="AA1399" s="299"/>
      <c r="AB1399" s="299"/>
      <c r="AC1399" s="294"/>
      <c r="AD1399" s="294"/>
      <c r="AE1399" s="294"/>
      <c r="AF1399" s="294"/>
    </row>
    <row r="1400" spans="2:32" x14ac:dyDescent="0.25">
      <c r="B1400" s="294"/>
      <c r="C1400" s="294"/>
      <c r="D1400" s="294"/>
      <c r="E1400" s="294"/>
      <c r="F1400" s="294"/>
      <c r="G1400" s="294"/>
      <c r="H1400" s="294"/>
      <c r="I1400" s="294"/>
      <c r="J1400" s="294"/>
      <c r="L1400" s="295"/>
      <c r="M1400" s="294"/>
      <c r="S1400" s="294"/>
      <c r="T1400" s="299"/>
      <c r="U1400" s="294"/>
      <c r="V1400" s="299"/>
      <c r="W1400" s="299"/>
      <c r="X1400" s="294"/>
      <c r="Y1400" s="299"/>
      <c r="Z1400" s="294"/>
      <c r="AA1400" s="299"/>
      <c r="AB1400" s="299"/>
      <c r="AC1400" s="294"/>
      <c r="AD1400" s="294"/>
      <c r="AE1400" s="294"/>
      <c r="AF1400" s="294"/>
    </row>
    <row r="1401" spans="2:32" x14ac:dyDescent="0.25">
      <c r="B1401" s="294"/>
      <c r="C1401" s="294"/>
      <c r="D1401" s="294"/>
      <c r="E1401" s="294"/>
      <c r="F1401" s="294"/>
      <c r="G1401" s="294"/>
      <c r="H1401" s="294"/>
      <c r="I1401" s="294"/>
      <c r="J1401" s="294"/>
      <c r="L1401" s="295"/>
      <c r="M1401" s="294"/>
      <c r="S1401" s="294"/>
      <c r="T1401" s="299"/>
      <c r="U1401" s="294"/>
      <c r="V1401" s="299"/>
      <c r="W1401" s="299"/>
      <c r="X1401" s="294"/>
      <c r="Y1401" s="299"/>
      <c r="Z1401" s="294"/>
      <c r="AA1401" s="299"/>
      <c r="AB1401" s="299"/>
      <c r="AC1401" s="294"/>
      <c r="AD1401" s="294"/>
      <c r="AE1401" s="294"/>
      <c r="AF1401" s="294"/>
    </row>
    <row r="1402" spans="2:32" x14ac:dyDescent="0.25">
      <c r="B1402" s="294"/>
      <c r="C1402" s="294"/>
      <c r="D1402" s="294"/>
      <c r="E1402" s="294"/>
      <c r="F1402" s="294"/>
      <c r="G1402" s="294"/>
      <c r="H1402" s="294"/>
      <c r="I1402" s="294"/>
      <c r="J1402" s="294"/>
      <c r="L1402" s="295"/>
      <c r="M1402" s="294"/>
      <c r="S1402" s="294"/>
      <c r="T1402" s="299"/>
      <c r="U1402" s="294"/>
      <c r="V1402" s="299"/>
      <c r="W1402" s="299"/>
      <c r="X1402" s="294"/>
      <c r="Y1402" s="299"/>
      <c r="Z1402" s="294"/>
      <c r="AA1402" s="299"/>
      <c r="AB1402" s="299"/>
      <c r="AC1402" s="294"/>
      <c r="AD1402" s="294"/>
      <c r="AE1402" s="294"/>
      <c r="AF1402" s="294"/>
    </row>
    <row r="1403" spans="2:32" x14ac:dyDescent="0.25">
      <c r="B1403" s="294"/>
      <c r="C1403" s="294"/>
      <c r="D1403" s="294"/>
      <c r="E1403" s="294"/>
      <c r="F1403" s="294"/>
      <c r="G1403" s="294"/>
      <c r="H1403" s="294"/>
      <c r="I1403" s="294"/>
      <c r="J1403" s="294"/>
      <c r="L1403" s="295"/>
      <c r="M1403" s="294"/>
      <c r="S1403" s="294"/>
      <c r="T1403" s="299"/>
      <c r="U1403" s="294"/>
      <c r="V1403" s="299"/>
      <c r="W1403" s="299"/>
      <c r="X1403" s="294"/>
      <c r="Y1403" s="299"/>
      <c r="Z1403" s="294"/>
      <c r="AA1403" s="299"/>
      <c r="AB1403" s="299"/>
      <c r="AC1403" s="294"/>
      <c r="AD1403" s="294"/>
      <c r="AE1403" s="294"/>
      <c r="AF1403" s="294"/>
    </row>
    <row r="1404" spans="2:32" x14ac:dyDescent="0.25">
      <c r="B1404" s="294"/>
      <c r="C1404" s="294"/>
      <c r="D1404" s="294"/>
      <c r="E1404" s="294"/>
      <c r="F1404" s="294"/>
      <c r="G1404" s="294"/>
      <c r="H1404" s="294"/>
      <c r="I1404" s="294"/>
      <c r="J1404" s="294"/>
      <c r="L1404" s="295"/>
      <c r="M1404" s="294"/>
      <c r="S1404" s="294"/>
      <c r="T1404" s="299"/>
      <c r="U1404" s="294"/>
      <c r="V1404" s="299"/>
      <c r="W1404" s="299"/>
      <c r="X1404" s="294"/>
      <c r="Y1404" s="299"/>
      <c r="Z1404" s="294"/>
      <c r="AA1404" s="299"/>
      <c r="AB1404" s="299"/>
      <c r="AC1404" s="294"/>
      <c r="AD1404" s="294"/>
      <c r="AE1404" s="294"/>
      <c r="AF1404" s="294"/>
    </row>
    <row r="1405" spans="2:32" x14ac:dyDescent="0.25">
      <c r="B1405" s="294"/>
      <c r="C1405" s="294"/>
      <c r="D1405" s="294"/>
      <c r="E1405" s="294"/>
      <c r="F1405" s="294"/>
      <c r="G1405" s="294"/>
      <c r="H1405" s="294"/>
      <c r="I1405" s="294"/>
      <c r="J1405" s="294"/>
      <c r="L1405" s="295"/>
      <c r="M1405" s="294"/>
      <c r="S1405" s="294"/>
      <c r="T1405" s="299"/>
      <c r="U1405" s="294"/>
      <c r="V1405" s="299"/>
      <c r="W1405" s="299"/>
      <c r="X1405" s="294"/>
      <c r="Y1405" s="299"/>
      <c r="Z1405" s="294"/>
      <c r="AA1405" s="299"/>
      <c r="AB1405" s="299"/>
      <c r="AC1405" s="294"/>
      <c r="AD1405" s="294"/>
      <c r="AE1405" s="294"/>
      <c r="AF1405" s="294"/>
    </row>
    <row r="1406" spans="2:32" x14ac:dyDescent="0.25">
      <c r="B1406" s="294"/>
      <c r="C1406" s="294"/>
      <c r="D1406" s="294"/>
      <c r="E1406" s="294"/>
      <c r="F1406" s="294"/>
      <c r="G1406" s="294"/>
      <c r="H1406" s="294"/>
      <c r="I1406" s="294"/>
      <c r="J1406" s="294"/>
      <c r="L1406" s="295"/>
      <c r="M1406" s="294"/>
      <c r="S1406" s="294"/>
      <c r="T1406" s="299"/>
      <c r="U1406" s="294"/>
      <c r="V1406" s="299"/>
      <c r="W1406" s="299"/>
      <c r="X1406" s="294"/>
      <c r="Y1406" s="299"/>
      <c r="Z1406" s="294"/>
      <c r="AA1406" s="299"/>
      <c r="AB1406" s="299"/>
      <c r="AC1406" s="294"/>
      <c r="AD1406" s="294"/>
      <c r="AE1406" s="294"/>
      <c r="AF1406" s="294"/>
    </row>
    <row r="1407" spans="2:32" x14ac:dyDescent="0.25">
      <c r="B1407" s="294"/>
      <c r="C1407" s="294"/>
      <c r="D1407" s="294"/>
      <c r="E1407" s="294"/>
      <c r="F1407" s="294"/>
      <c r="G1407" s="294"/>
      <c r="H1407" s="294"/>
      <c r="I1407" s="294"/>
      <c r="J1407" s="294"/>
      <c r="L1407" s="295"/>
      <c r="M1407" s="294"/>
      <c r="S1407" s="294"/>
      <c r="T1407" s="299"/>
      <c r="U1407" s="294"/>
      <c r="V1407" s="299"/>
      <c r="W1407" s="299"/>
      <c r="X1407" s="294"/>
      <c r="Y1407" s="299"/>
      <c r="Z1407" s="294"/>
      <c r="AA1407" s="299"/>
      <c r="AB1407" s="299"/>
      <c r="AC1407" s="294"/>
      <c r="AD1407" s="294"/>
      <c r="AE1407" s="294"/>
      <c r="AF1407" s="294"/>
    </row>
    <row r="1408" spans="2:32" x14ac:dyDescent="0.25">
      <c r="B1408" s="294"/>
      <c r="C1408" s="294"/>
      <c r="D1408" s="294"/>
      <c r="E1408" s="294"/>
      <c r="F1408" s="294"/>
      <c r="G1408" s="294"/>
      <c r="H1408" s="294"/>
      <c r="I1408" s="294"/>
      <c r="J1408" s="294"/>
      <c r="L1408" s="295"/>
      <c r="M1408" s="294"/>
      <c r="S1408" s="294"/>
      <c r="T1408" s="299"/>
      <c r="U1408" s="294"/>
      <c r="V1408" s="299"/>
      <c r="W1408" s="299"/>
      <c r="X1408" s="294"/>
      <c r="Y1408" s="299"/>
      <c r="Z1408" s="294"/>
      <c r="AA1408" s="299"/>
      <c r="AB1408" s="299"/>
      <c r="AC1408" s="294"/>
      <c r="AD1408" s="294"/>
      <c r="AE1408" s="294"/>
      <c r="AF1408" s="294"/>
    </row>
    <row r="1409" spans="2:32" x14ac:dyDescent="0.25">
      <c r="B1409" s="294"/>
      <c r="C1409" s="294"/>
      <c r="D1409" s="294"/>
      <c r="E1409" s="294"/>
      <c r="F1409" s="294"/>
      <c r="G1409" s="294"/>
      <c r="H1409" s="294"/>
      <c r="I1409" s="294"/>
      <c r="J1409" s="294"/>
      <c r="L1409" s="295"/>
      <c r="M1409" s="294"/>
      <c r="S1409" s="294"/>
      <c r="T1409" s="299"/>
      <c r="U1409" s="294"/>
      <c r="V1409" s="299"/>
      <c r="W1409" s="299"/>
      <c r="X1409" s="294"/>
      <c r="Y1409" s="299"/>
      <c r="Z1409" s="294"/>
      <c r="AA1409" s="299"/>
      <c r="AB1409" s="299"/>
      <c r="AC1409" s="294"/>
      <c r="AD1409" s="294"/>
      <c r="AE1409" s="294"/>
      <c r="AF1409" s="294"/>
    </row>
    <row r="1410" spans="2:32" x14ac:dyDescent="0.25">
      <c r="B1410" s="294"/>
      <c r="C1410" s="294"/>
      <c r="D1410" s="294"/>
      <c r="E1410" s="294"/>
      <c r="F1410" s="294"/>
      <c r="G1410" s="294"/>
      <c r="H1410" s="294"/>
      <c r="I1410" s="294"/>
      <c r="J1410" s="294"/>
      <c r="L1410" s="295"/>
      <c r="M1410" s="294"/>
      <c r="S1410" s="294"/>
      <c r="T1410" s="299"/>
      <c r="U1410" s="294"/>
      <c r="V1410" s="299"/>
      <c r="W1410" s="299"/>
      <c r="X1410" s="294"/>
      <c r="Y1410" s="299"/>
      <c r="Z1410" s="294"/>
      <c r="AA1410" s="299"/>
      <c r="AB1410" s="299"/>
      <c r="AC1410" s="294"/>
      <c r="AD1410" s="294"/>
      <c r="AE1410" s="294"/>
      <c r="AF1410" s="294"/>
    </row>
    <row r="1411" spans="2:32" x14ac:dyDescent="0.25">
      <c r="B1411" s="294"/>
      <c r="C1411" s="294"/>
      <c r="D1411" s="294"/>
      <c r="E1411" s="294"/>
      <c r="F1411" s="294"/>
      <c r="G1411" s="294"/>
      <c r="H1411" s="294"/>
      <c r="I1411" s="294"/>
      <c r="J1411" s="294"/>
      <c r="L1411" s="295"/>
      <c r="M1411" s="294"/>
      <c r="S1411" s="294"/>
      <c r="T1411" s="299"/>
      <c r="U1411" s="294"/>
      <c r="V1411" s="299"/>
      <c r="W1411" s="299"/>
      <c r="X1411" s="294"/>
      <c r="Y1411" s="299"/>
      <c r="Z1411" s="294"/>
      <c r="AA1411" s="299"/>
      <c r="AB1411" s="299"/>
      <c r="AC1411" s="294"/>
      <c r="AD1411" s="294"/>
      <c r="AE1411" s="294"/>
      <c r="AF1411" s="294"/>
    </row>
    <row r="1412" spans="2:32" x14ac:dyDescent="0.25">
      <c r="B1412" s="294"/>
      <c r="C1412" s="294"/>
      <c r="D1412" s="294"/>
      <c r="E1412" s="294"/>
      <c r="F1412" s="294"/>
      <c r="G1412" s="294"/>
      <c r="H1412" s="294"/>
      <c r="I1412" s="294"/>
      <c r="J1412" s="294"/>
      <c r="L1412" s="295"/>
      <c r="M1412" s="294"/>
      <c r="S1412" s="294"/>
      <c r="T1412" s="299"/>
      <c r="U1412" s="294"/>
      <c r="V1412" s="299"/>
      <c r="W1412" s="299"/>
      <c r="X1412" s="294"/>
      <c r="Y1412" s="299"/>
      <c r="Z1412" s="294"/>
      <c r="AA1412" s="299"/>
      <c r="AB1412" s="299"/>
      <c r="AC1412" s="294"/>
      <c r="AD1412" s="294"/>
      <c r="AE1412" s="294"/>
      <c r="AF1412" s="294"/>
    </row>
    <row r="1413" spans="2:32" x14ac:dyDescent="0.25">
      <c r="B1413" s="294"/>
      <c r="C1413" s="294"/>
      <c r="D1413" s="294"/>
      <c r="E1413" s="294"/>
      <c r="F1413" s="294"/>
      <c r="G1413" s="294"/>
      <c r="H1413" s="294"/>
      <c r="I1413" s="294"/>
      <c r="J1413" s="294"/>
      <c r="L1413" s="295"/>
      <c r="M1413" s="294"/>
      <c r="S1413" s="294"/>
      <c r="T1413" s="299"/>
      <c r="U1413" s="294"/>
      <c r="V1413" s="299"/>
      <c r="W1413" s="299"/>
      <c r="X1413" s="294"/>
      <c r="Y1413" s="299"/>
      <c r="Z1413" s="294"/>
      <c r="AA1413" s="299"/>
      <c r="AB1413" s="299"/>
      <c r="AC1413" s="294"/>
      <c r="AD1413" s="294"/>
      <c r="AE1413" s="294"/>
      <c r="AF1413" s="294"/>
    </row>
    <row r="1414" spans="2:32" x14ac:dyDescent="0.25">
      <c r="B1414" s="294"/>
      <c r="C1414" s="294"/>
      <c r="D1414" s="294"/>
      <c r="E1414" s="294"/>
      <c r="F1414" s="294"/>
      <c r="G1414" s="294"/>
      <c r="H1414" s="294"/>
      <c r="I1414" s="294"/>
      <c r="J1414" s="294"/>
      <c r="L1414" s="295"/>
      <c r="M1414" s="294"/>
      <c r="S1414" s="294"/>
      <c r="T1414" s="299"/>
      <c r="U1414" s="294"/>
      <c r="V1414" s="299"/>
      <c r="W1414" s="299"/>
      <c r="X1414" s="294"/>
      <c r="Y1414" s="299"/>
      <c r="Z1414" s="294"/>
      <c r="AA1414" s="299"/>
      <c r="AB1414" s="299"/>
      <c r="AC1414" s="294"/>
      <c r="AD1414" s="294"/>
      <c r="AE1414" s="294"/>
      <c r="AF1414" s="294"/>
    </row>
    <row r="1415" spans="2:32" x14ac:dyDescent="0.25">
      <c r="B1415" s="294"/>
      <c r="C1415" s="294"/>
      <c r="D1415" s="294"/>
      <c r="E1415" s="294"/>
      <c r="F1415" s="294"/>
      <c r="G1415" s="294"/>
      <c r="H1415" s="294"/>
      <c r="I1415" s="294"/>
      <c r="J1415" s="294"/>
      <c r="L1415" s="295"/>
      <c r="M1415" s="294"/>
      <c r="S1415" s="294"/>
      <c r="T1415" s="299"/>
      <c r="U1415" s="294"/>
      <c r="V1415" s="299"/>
      <c r="W1415" s="299"/>
      <c r="X1415" s="294"/>
      <c r="Y1415" s="299"/>
      <c r="Z1415" s="294"/>
      <c r="AA1415" s="299"/>
      <c r="AB1415" s="299"/>
      <c r="AC1415" s="294"/>
      <c r="AD1415" s="294"/>
      <c r="AE1415" s="294"/>
      <c r="AF1415" s="294"/>
    </row>
    <row r="1416" spans="2:32" x14ac:dyDescent="0.25">
      <c r="B1416" s="294"/>
      <c r="C1416" s="294"/>
      <c r="D1416" s="294"/>
      <c r="E1416" s="294"/>
      <c r="F1416" s="294"/>
      <c r="G1416" s="294"/>
      <c r="H1416" s="294"/>
      <c r="I1416" s="294"/>
      <c r="J1416" s="294"/>
      <c r="L1416" s="295"/>
      <c r="M1416" s="294"/>
      <c r="S1416" s="294"/>
      <c r="T1416" s="299"/>
      <c r="U1416" s="294"/>
      <c r="V1416" s="299"/>
      <c r="W1416" s="299"/>
      <c r="X1416" s="294"/>
      <c r="Y1416" s="299"/>
      <c r="Z1416" s="294"/>
      <c r="AA1416" s="299"/>
      <c r="AB1416" s="299"/>
      <c r="AC1416" s="294"/>
      <c r="AD1416" s="294"/>
      <c r="AE1416" s="294"/>
      <c r="AF1416" s="294"/>
    </row>
    <row r="1417" spans="2:32" x14ac:dyDescent="0.25">
      <c r="B1417" s="294"/>
      <c r="C1417" s="294"/>
      <c r="D1417" s="294"/>
      <c r="E1417" s="294"/>
      <c r="F1417" s="294"/>
      <c r="G1417" s="294"/>
      <c r="H1417" s="294"/>
      <c r="I1417" s="294"/>
      <c r="J1417" s="294"/>
      <c r="L1417" s="295"/>
      <c r="M1417" s="294"/>
      <c r="S1417" s="294"/>
      <c r="T1417" s="299"/>
      <c r="U1417" s="294"/>
      <c r="V1417" s="299"/>
      <c r="W1417" s="299"/>
      <c r="X1417" s="294"/>
      <c r="Y1417" s="299"/>
      <c r="Z1417" s="294"/>
      <c r="AA1417" s="299"/>
      <c r="AB1417" s="299"/>
      <c r="AC1417" s="294"/>
      <c r="AD1417" s="294"/>
      <c r="AE1417" s="294"/>
      <c r="AF1417" s="294"/>
    </row>
    <row r="1418" spans="2:32" x14ac:dyDescent="0.25">
      <c r="B1418" s="294"/>
      <c r="C1418" s="294"/>
      <c r="D1418" s="294"/>
      <c r="E1418" s="294"/>
      <c r="F1418" s="294"/>
      <c r="G1418" s="294"/>
      <c r="H1418" s="294"/>
      <c r="I1418" s="294"/>
      <c r="J1418" s="294"/>
      <c r="L1418" s="295"/>
      <c r="M1418" s="294"/>
      <c r="S1418" s="294"/>
      <c r="T1418" s="299"/>
      <c r="U1418" s="294"/>
      <c r="V1418" s="299"/>
      <c r="W1418" s="299"/>
      <c r="X1418" s="294"/>
      <c r="Y1418" s="299"/>
      <c r="Z1418" s="294"/>
      <c r="AA1418" s="299"/>
      <c r="AB1418" s="299"/>
      <c r="AC1418" s="294"/>
      <c r="AD1418" s="294"/>
      <c r="AE1418" s="294"/>
      <c r="AF1418" s="294"/>
    </row>
    <row r="1419" spans="2:32" x14ac:dyDescent="0.25">
      <c r="B1419" s="294"/>
      <c r="C1419" s="294"/>
      <c r="D1419" s="294"/>
      <c r="E1419" s="294"/>
      <c r="F1419" s="294"/>
      <c r="G1419" s="294"/>
      <c r="H1419" s="294"/>
      <c r="I1419" s="294"/>
      <c r="J1419" s="294"/>
      <c r="L1419" s="295"/>
      <c r="M1419" s="294"/>
      <c r="S1419" s="294"/>
      <c r="T1419" s="299"/>
      <c r="U1419" s="294"/>
      <c r="V1419" s="299"/>
      <c r="W1419" s="299"/>
      <c r="X1419" s="294"/>
      <c r="Y1419" s="299"/>
      <c r="Z1419" s="294"/>
      <c r="AA1419" s="299"/>
      <c r="AB1419" s="299"/>
      <c r="AC1419" s="294"/>
      <c r="AD1419" s="294"/>
      <c r="AE1419" s="294"/>
      <c r="AF1419" s="294"/>
    </row>
    <row r="1420" spans="2:32" x14ac:dyDescent="0.25">
      <c r="B1420" s="294"/>
      <c r="C1420" s="294"/>
      <c r="D1420" s="294"/>
      <c r="E1420" s="294"/>
      <c r="F1420" s="294"/>
      <c r="G1420" s="294"/>
      <c r="H1420" s="294"/>
      <c r="I1420" s="294"/>
      <c r="J1420" s="294"/>
      <c r="L1420" s="295"/>
      <c r="M1420" s="294"/>
      <c r="S1420" s="294"/>
      <c r="T1420" s="299"/>
      <c r="U1420" s="294"/>
      <c r="V1420" s="299"/>
      <c r="W1420" s="299"/>
      <c r="X1420" s="294"/>
      <c r="Y1420" s="299"/>
      <c r="Z1420" s="294"/>
      <c r="AA1420" s="299"/>
      <c r="AB1420" s="299"/>
      <c r="AC1420" s="294"/>
      <c r="AD1420" s="294"/>
      <c r="AE1420" s="294"/>
      <c r="AF1420" s="294"/>
    </row>
    <row r="1421" spans="2:32" x14ac:dyDescent="0.25">
      <c r="B1421" s="294"/>
      <c r="C1421" s="294"/>
      <c r="D1421" s="294"/>
      <c r="E1421" s="294"/>
      <c r="F1421" s="294"/>
      <c r="G1421" s="294"/>
      <c r="H1421" s="294"/>
      <c r="I1421" s="294"/>
      <c r="J1421" s="294"/>
      <c r="L1421" s="295"/>
      <c r="M1421" s="294"/>
      <c r="S1421" s="294"/>
      <c r="T1421" s="299"/>
      <c r="U1421" s="294"/>
      <c r="V1421" s="299"/>
      <c r="W1421" s="299"/>
      <c r="X1421" s="294"/>
      <c r="Y1421" s="299"/>
      <c r="Z1421" s="294"/>
      <c r="AA1421" s="299"/>
      <c r="AB1421" s="299"/>
      <c r="AC1421" s="294"/>
      <c r="AD1421" s="294"/>
      <c r="AE1421" s="294"/>
      <c r="AF1421" s="294"/>
    </row>
    <row r="1422" spans="2:32" x14ac:dyDescent="0.25">
      <c r="B1422" s="294"/>
      <c r="C1422" s="294"/>
      <c r="D1422" s="294"/>
      <c r="E1422" s="294"/>
      <c r="F1422" s="294"/>
      <c r="G1422" s="294"/>
      <c r="H1422" s="294"/>
      <c r="I1422" s="294"/>
      <c r="J1422" s="294"/>
      <c r="L1422" s="295"/>
      <c r="M1422" s="294"/>
      <c r="S1422" s="294"/>
      <c r="T1422" s="299"/>
      <c r="U1422" s="294"/>
      <c r="V1422" s="299"/>
      <c r="W1422" s="299"/>
      <c r="X1422" s="294"/>
      <c r="Y1422" s="299"/>
      <c r="Z1422" s="294"/>
      <c r="AA1422" s="299"/>
      <c r="AB1422" s="299"/>
      <c r="AC1422" s="294"/>
      <c r="AD1422" s="294"/>
      <c r="AE1422" s="294"/>
      <c r="AF1422" s="294"/>
    </row>
    <row r="1423" spans="2:32" x14ac:dyDescent="0.25">
      <c r="B1423" s="294"/>
      <c r="C1423" s="294"/>
      <c r="D1423" s="294"/>
      <c r="E1423" s="294"/>
      <c r="F1423" s="294"/>
      <c r="G1423" s="294"/>
      <c r="H1423" s="294"/>
      <c r="I1423" s="294"/>
      <c r="J1423" s="294"/>
      <c r="L1423" s="295"/>
      <c r="M1423" s="294"/>
      <c r="S1423" s="294"/>
      <c r="T1423" s="299"/>
      <c r="U1423" s="294"/>
      <c r="V1423" s="299"/>
      <c r="W1423" s="299"/>
      <c r="X1423" s="294"/>
      <c r="Y1423" s="299"/>
      <c r="Z1423" s="294"/>
      <c r="AA1423" s="299"/>
      <c r="AB1423" s="299"/>
      <c r="AC1423" s="294"/>
      <c r="AD1423" s="294"/>
      <c r="AE1423" s="294"/>
      <c r="AF1423" s="294"/>
    </row>
    <row r="1424" spans="2:32" x14ac:dyDescent="0.25">
      <c r="B1424" s="294"/>
      <c r="C1424" s="294"/>
      <c r="D1424" s="294"/>
      <c r="E1424" s="294"/>
      <c r="F1424" s="294"/>
      <c r="G1424" s="294"/>
      <c r="H1424" s="294"/>
      <c r="I1424" s="294"/>
      <c r="J1424" s="294"/>
      <c r="L1424" s="295"/>
      <c r="M1424" s="294"/>
      <c r="S1424" s="294"/>
      <c r="T1424" s="299"/>
      <c r="U1424" s="294"/>
      <c r="V1424" s="299"/>
      <c r="W1424" s="299"/>
      <c r="X1424" s="294"/>
      <c r="Y1424" s="299"/>
      <c r="Z1424" s="294"/>
      <c r="AA1424" s="299"/>
      <c r="AB1424" s="299"/>
      <c r="AC1424" s="294"/>
      <c r="AD1424" s="294"/>
      <c r="AE1424" s="294"/>
      <c r="AF1424" s="294"/>
    </row>
    <row r="1425" spans="2:32" x14ac:dyDescent="0.25">
      <c r="B1425" s="294"/>
      <c r="C1425" s="294"/>
      <c r="D1425" s="294"/>
      <c r="E1425" s="294"/>
      <c r="F1425" s="294"/>
      <c r="G1425" s="294"/>
      <c r="H1425" s="294"/>
      <c r="I1425" s="294"/>
      <c r="J1425" s="294"/>
      <c r="L1425" s="295"/>
      <c r="M1425" s="294"/>
      <c r="S1425" s="294"/>
      <c r="T1425" s="299"/>
      <c r="U1425" s="294"/>
      <c r="V1425" s="299"/>
      <c r="W1425" s="299"/>
      <c r="X1425" s="294"/>
      <c r="Y1425" s="299"/>
      <c r="Z1425" s="294"/>
      <c r="AA1425" s="299"/>
      <c r="AB1425" s="299"/>
      <c r="AC1425" s="294"/>
      <c r="AD1425" s="294"/>
      <c r="AE1425" s="294"/>
      <c r="AF1425" s="294"/>
    </row>
    <row r="1426" spans="2:32" x14ac:dyDescent="0.25">
      <c r="B1426" s="294"/>
      <c r="C1426" s="294"/>
      <c r="D1426" s="294"/>
      <c r="E1426" s="294"/>
      <c r="F1426" s="294"/>
      <c r="G1426" s="294"/>
      <c r="H1426" s="294"/>
      <c r="I1426" s="294"/>
      <c r="J1426" s="294"/>
      <c r="L1426" s="295"/>
      <c r="M1426" s="294"/>
      <c r="S1426" s="294"/>
      <c r="T1426" s="299"/>
      <c r="U1426" s="294"/>
      <c r="V1426" s="299"/>
      <c r="W1426" s="299"/>
      <c r="X1426" s="294"/>
      <c r="Y1426" s="299"/>
      <c r="Z1426" s="294"/>
      <c r="AA1426" s="299"/>
      <c r="AB1426" s="299"/>
      <c r="AC1426" s="294"/>
      <c r="AD1426" s="294"/>
      <c r="AE1426" s="294"/>
      <c r="AF1426" s="294"/>
    </row>
    <row r="1427" spans="2:32" x14ac:dyDescent="0.25">
      <c r="B1427" s="294"/>
      <c r="C1427" s="294"/>
      <c r="D1427" s="294"/>
      <c r="E1427" s="294"/>
      <c r="F1427" s="294"/>
      <c r="G1427" s="294"/>
      <c r="H1427" s="294"/>
      <c r="I1427" s="294"/>
      <c r="J1427" s="294"/>
      <c r="L1427" s="295"/>
      <c r="M1427" s="294"/>
      <c r="S1427" s="294"/>
      <c r="T1427" s="299"/>
      <c r="U1427" s="294"/>
      <c r="V1427" s="299"/>
      <c r="W1427" s="299"/>
      <c r="X1427" s="294"/>
      <c r="Y1427" s="299"/>
      <c r="Z1427" s="294"/>
      <c r="AA1427" s="299"/>
      <c r="AB1427" s="299"/>
      <c r="AC1427" s="294"/>
      <c r="AD1427" s="294"/>
      <c r="AE1427" s="294"/>
      <c r="AF1427" s="294"/>
    </row>
    <row r="1428" spans="2:32" x14ac:dyDescent="0.25">
      <c r="B1428" s="294"/>
      <c r="C1428" s="294"/>
      <c r="D1428" s="294"/>
      <c r="E1428" s="294"/>
      <c r="F1428" s="294"/>
      <c r="G1428" s="294"/>
      <c r="H1428" s="294"/>
      <c r="I1428" s="294"/>
      <c r="J1428" s="294"/>
      <c r="L1428" s="295"/>
      <c r="M1428" s="294"/>
      <c r="S1428" s="294"/>
      <c r="T1428" s="299"/>
      <c r="U1428" s="294"/>
      <c r="V1428" s="299"/>
      <c r="W1428" s="299"/>
      <c r="X1428" s="294"/>
      <c r="Y1428" s="299"/>
      <c r="Z1428" s="294"/>
      <c r="AA1428" s="299"/>
      <c r="AB1428" s="299"/>
      <c r="AC1428" s="294"/>
      <c r="AD1428" s="294"/>
      <c r="AE1428" s="294"/>
      <c r="AF1428" s="294"/>
    </row>
    <row r="1429" spans="2:32" x14ac:dyDescent="0.25">
      <c r="B1429" s="294"/>
      <c r="C1429" s="294"/>
      <c r="D1429" s="294"/>
      <c r="E1429" s="294"/>
      <c r="F1429" s="294"/>
      <c r="G1429" s="294"/>
      <c r="H1429" s="294"/>
      <c r="I1429" s="294"/>
      <c r="J1429" s="294"/>
      <c r="L1429" s="295"/>
      <c r="M1429" s="294"/>
      <c r="S1429" s="294"/>
      <c r="T1429" s="299"/>
      <c r="U1429" s="294"/>
      <c r="V1429" s="299"/>
      <c r="W1429" s="299"/>
      <c r="X1429" s="294"/>
      <c r="Y1429" s="299"/>
      <c r="Z1429" s="294"/>
      <c r="AA1429" s="299"/>
      <c r="AB1429" s="299"/>
      <c r="AC1429" s="294"/>
      <c r="AD1429" s="294"/>
      <c r="AE1429" s="294"/>
      <c r="AF1429" s="294"/>
    </row>
    <row r="1430" spans="2:32" x14ac:dyDescent="0.25">
      <c r="B1430" s="294"/>
      <c r="C1430" s="294"/>
      <c r="D1430" s="294"/>
      <c r="E1430" s="294"/>
      <c r="F1430" s="294"/>
      <c r="G1430" s="294"/>
      <c r="H1430" s="294"/>
      <c r="I1430" s="294"/>
      <c r="J1430" s="294"/>
      <c r="L1430" s="295"/>
      <c r="M1430" s="294"/>
      <c r="S1430" s="294"/>
      <c r="T1430" s="299"/>
      <c r="U1430" s="294"/>
      <c r="V1430" s="299"/>
      <c r="W1430" s="299"/>
      <c r="X1430" s="294"/>
      <c r="Y1430" s="299"/>
      <c r="Z1430" s="294"/>
      <c r="AA1430" s="299"/>
      <c r="AB1430" s="299"/>
      <c r="AC1430" s="294"/>
      <c r="AD1430" s="294"/>
      <c r="AE1430" s="294"/>
      <c r="AF1430" s="294"/>
    </row>
    <row r="1431" spans="2:32" x14ac:dyDescent="0.25">
      <c r="B1431" s="294"/>
      <c r="C1431" s="294"/>
      <c r="D1431" s="294"/>
      <c r="E1431" s="294"/>
      <c r="F1431" s="294"/>
      <c r="G1431" s="294"/>
      <c r="H1431" s="294"/>
      <c r="I1431" s="294"/>
      <c r="J1431" s="294"/>
      <c r="L1431" s="295"/>
      <c r="M1431" s="294"/>
      <c r="S1431" s="294"/>
      <c r="T1431" s="299"/>
      <c r="U1431" s="294"/>
      <c r="V1431" s="299"/>
      <c r="W1431" s="299"/>
      <c r="X1431" s="294"/>
      <c r="Y1431" s="299"/>
      <c r="Z1431" s="294"/>
      <c r="AA1431" s="299"/>
      <c r="AB1431" s="299"/>
      <c r="AC1431" s="294"/>
      <c r="AD1431" s="294"/>
      <c r="AE1431" s="294"/>
      <c r="AF1431" s="294"/>
    </row>
    <row r="1432" spans="2:32" x14ac:dyDescent="0.25">
      <c r="B1432" s="294"/>
      <c r="C1432" s="294"/>
      <c r="D1432" s="294"/>
      <c r="E1432" s="294"/>
      <c r="F1432" s="294"/>
      <c r="G1432" s="294"/>
      <c r="H1432" s="294"/>
      <c r="I1432" s="294"/>
      <c r="J1432" s="294"/>
      <c r="L1432" s="295"/>
      <c r="M1432" s="294"/>
      <c r="S1432" s="294"/>
      <c r="T1432" s="299"/>
      <c r="U1432" s="294"/>
      <c r="V1432" s="299"/>
      <c r="W1432" s="299"/>
      <c r="X1432" s="294"/>
      <c r="Y1432" s="299"/>
      <c r="Z1432" s="294"/>
      <c r="AA1432" s="299"/>
      <c r="AB1432" s="299"/>
      <c r="AC1432" s="294"/>
      <c r="AD1432" s="294"/>
      <c r="AE1432" s="294"/>
      <c r="AF1432" s="294"/>
    </row>
    <row r="1433" spans="2:32" x14ac:dyDescent="0.25">
      <c r="B1433" s="294"/>
      <c r="C1433" s="294"/>
      <c r="D1433" s="294"/>
      <c r="E1433" s="294"/>
      <c r="F1433" s="294"/>
      <c r="G1433" s="294"/>
      <c r="H1433" s="294"/>
      <c r="I1433" s="294"/>
      <c r="J1433" s="294"/>
      <c r="L1433" s="295"/>
      <c r="M1433" s="294"/>
      <c r="S1433" s="294"/>
      <c r="T1433" s="299"/>
      <c r="U1433" s="294"/>
      <c r="V1433" s="299"/>
      <c r="W1433" s="299"/>
      <c r="X1433" s="294"/>
      <c r="Y1433" s="299"/>
      <c r="Z1433" s="294"/>
      <c r="AA1433" s="299"/>
      <c r="AB1433" s="299"/>
      <c r="AC1433" s="294"/>
      <c r="AD1433" s="294"/>
      <c r="AE1433" s="294"/>
      <c r="AF1433" s="294"/>
    </row>
    <row r="1434" spans="2:32" x14ac:dyDescent="0.25">
      <c r="B1434" s="294"/>
      <c r="C1434" s="294"/>
      <c r="D1434" s="294"/>
      <c r="E1434" s="294"/>
      <c r="F1434" s="294"/>
      <c r="G1434" s="294"/>
      <c r="H1434" s="294"/>
      <c r="I1434" s="294"/>
      <c r="J1434" s="294"/>
      <c r="L1434" s="295"/>
      <c r="M1434" s="294"/>
      <c r="S1434" s="294"/>
      <c r="T1434" s="299"/>
      <c r="U1434" s="294"/>
      <c r="V1434" s="299"/>
      <c r="W1434" s="299"/>
      <c r="X1434" s="294"/>
      <c r="Y1434" s="299"/>
      <c r="Z1434" s="294"/>
      <c r="AA1434" s="299"/>
      <c r="AB1434" s="299"/>
      <c r="AC1434" s="294"/>
      <c r="AD1434" s="294"/>
      <c r="AE1434" s="294"/>
      <c r="AF1434" s="294"/>
    </row>
    <row r="1435" spans="2:32" x14ac:dyDescent="0.25">
      <c r="B1435" s="294"/>
      <c r="C1435" s="294"/>
      <c r="D1435" s="294"/>
      <c r="E1435" s="294"/>
      <c r="F1435" s="294"/>
      <c r="G1435" s="294"/>
      <c r="H1435" s="294"/>
      <c r="I1435" s="294"/>
      <c r="J1435" s="294"/>
      <c r="L1435" s="295"/>
      <c r="M1435" s="294"/>
      <c r="S1435" s="294"/>
      <c r="T1435" s="299"/>
      <c r="U1435" s="294"/>
      <c r="V1435" s="299"/>
      <c r="W1435" s="299"/>
      <c r="X1435" s="294"/>
      <c r="Y1435" s="299"/>
      <c r="Z1435" s="294"/>
      <c r="AA1435" s="299"/>
      <c r="AB1435" s="299"/>
      <c r="AC1435" s="294"/>
      <c r="AD1435" s="294"/>
      <c r="AE1435" s="294"/>
      <c r="AF1435" s="294"/>
    </row>
    <row r="1436" spans="2:32" x14ac:dyDescent="0.25">
      <c r="B1436" s="294"/>
      <c r="C1436" s="294"/>
      <c r="D1436" s="294"/>
      <c r="E1436" s="294"/>
      <c r="F1436" s="294"/>
      <c r="G1436" s="294"/>
      <c r="H1436" s="294"/>
      <c r="I1436" s="294"/>
      <c r="J1436" s="294"/>
      <c r="L1436" s="295"/>
      <c r="M1436" s="294"/>
      <c r="S1436" s="294"/>
      <c r="T1436" s="299"/>
      <c r="U1436" s="294"/>
      <c r="V1436" s="299"/>
      <c r="W1436" s="299"/>
      <c r="X1436" s="294"/>
      <c r="Y1436" s="299"/>
      <c r="Z1436" s="294"/>
      <c r="AA1436" s="299"/>
      <c r="AB1436" s="299"/>
      <c r="AC1436" s="294"/>
      <c r="AD1436" s="294"/>
      <c r="AE1436" s="294"/>
      <c r="AF1436" s="294"/>
    </row>
    <row r="1437" spans="2:32" x14ac:dyDescent="0.25">
      <c r="B1437" s="294"/>
      <c r="C1437" s="294"/>
      <c r="D1437" s="294"/>
      <c r="E1437" s="294"/>
      <c r="F1437" s="294"/>
      <c r="G1437" s="294"/>
      <c r="H1437" s="294"/>
      <c r="I1437" s="294"/>
      <c r="J1437" s="294"/>
      <c r="L1437" s="295"/>
      <c r="M1437" s="294"/>
      <c r="S1437" s="294"/>
      <c r="T1437" s="299"/>
      <c r="U1437" s="294"/>
      <c r="V1437" s="299"/>
      <c r="W1437" s="299"/>
      <c r="X1437" s="294"/>
      <c r="Y1437" s="299"/>
      <c r="Z1437" s="294"/>
      <c r="AA1437" s="299"/>
      <c r="AB1437" s="299"/>
      <c r="AC1437" s="294"/>
      <c r="AD1437" s="294"/>
      <c r="AE1437" s="294"/>
      <c r="AF1437" s="294"/>
    </row>
    <row r="1438" spans="2:32" x14ac:dyDescent="0.25">
      <c r="B1438" s="294"/>
      <c r="C1438" s="294"/>
      <c r="D1438" s="294"/>
      <c r="E1438" s="294"/>
      <c r="F1438" s="294"/>
      <c r="G1438" s="294"/>
      <c r="H1438" s="294"/>
      <c r="I1438" s="294"/>
      <c r="J1438" s="294"/>
      <c r="L1438" s="295"/>
      <c r="M1438" s="294"/>
      <c r="S1438" s="294"/>
      <c r="T1438" s="299"/>
      <c r="U1438" s="294"/>
      <c r="V1438" s="299"/>
      <c r="W1438" s="299"/>
      <c r="X1438" s="294"/>
      <c r="Y1438" s="299"/>
      <c r="Z1438" s="294"/>
      <c r="AA1438" s="299"/>
      <c r="AB1438" s="299"/>
      <c r="AC1438" s="294"/>
      <c r="AD1438" s="294"/>
      <c r="AE1438" s="294"/>
      <c r="AF1438" s="294"/>
    </row>
    <row r="1439" spans="2:32" x14ac:dyDescent="0.25">
      <c r="B1439" s="294"/>
      <c r="C1439" s="294"/>
      <c r="D1439" s="294"/>
      <c r="E1439" s="294"/>
      <c r="F1439" s="294"/>
      <c r="G1439" s="294"/>
      <c r="H1439" s="294"/>
      <c r="I1439" s="294"/>
      <c r="J1439" s="294"/>
      <c r="L1439" s="295"/>
      <c r="M1439" s="294"/>
      <c r="S1439" s="294"/>
      <c r="T1439" s="299"/>
      <c r="U1439" s="294"/>
      <c r="V1439" s="299"/>
      <c r="W1439" s="299"/>
      <c r="X1439" s="294"/>
      <c r="Y1439" s="299"/>
      <c r="Z1439" s="294"/>
      <c r="AA1439" s="299"/>
      <c r="AB1439" s="299"/>
      <c r="AC1439" s="294"/>
      <c r="AD1439" s="294"/>
      <c r="AE1439" s="294"/>
      <c r="AF1439" s="294"/>
    </row>
    <row r="1440" spans="2:32" x14ac:dyDescent="0.25">
      <c r="B1440" s="294"/>
      <c r="C1440" s="294"/>
      <c r="D1440" s="294"/>
      <c r="E1440" s="294"/>
      <c r="F1440" s="294"/>
      <c r="G1440" s="294"/>
      <c r="H1440" s="294"/>
      <c r="I1440" s="294"/>
      <c r="J1440" s="294"/>
      <c r="L1440" s="295"/>
      <c r="M1440" s="294"/>
      <c r="S1440" s="294"/>
      <c r="T1440" s="299"/>
      <c r="U1440" s="294"/>
      <c r="V1440" s="299"/>
      <c r="W1440" s="299"/>
      <c r="X1440" s="294"/>
      <c r="Y1440" s="299"/>
      <c r="Z1440" s="294"/>
      <c r="AA1440" s="299"/>
      <c r="AB1440" s="299"/>
      <c r="AC1440" s="294"/>
      <c r="AD1440" s="294"/>
      <c r="AE1440" s="294"/>
      <c r="AF1440" s="294"/>
    </row>
    <row r="1441" spans="2:32" x14ac:dyDescent="0.25">
      <c r="B1441" s="294"/>
      <c r="C1441" s="294"/>
      <c r="D1441" s="294"/>
      <c r="E1441" s="294"/>
      <c r="F1441" s="294"/>
      <c r="G1441" s="294"/>
      <c r="H1441" s="294"/>
      <c r="I1441" s="294"/>
      <c r="J1441" s="294"/>
      <c r="L1441" s="295"/>
      <c r="M1441" s="294"/>
      <c r="S1441" s="294"/>
      <c r="T1441" s="299"/>
      <c r="U1441" s="294"/>
      <c r="V1441" s="299"/>
      <c r="W1441" s="299"/>
      <c r="X1441" s="294"/>
      <c r="Y1441" s="299"/>
      <c r="Z1441" s="294"/>
      <c r="AA1441" s="299"/>
      <c r="AB1441" s="299"/>
      <c r="AC1441" s="294"/>
      <c r="AD1441" s="294"/>
      <c r="AE1441" s="294"/>
      <c r="AF1441" s="294"/>
    </row>
    <row r="1442" spans="2:32" x14ac:dyDescent="0.25">
      <c r="B1442" s="294"/>
      <c r="C1442" s="294"/>
      <c r="D1442" s="294"/>
      <c r="E1442" s="294"/>
      <c r="F1442" s="294"/>
      <c r="G1442" s="294"/>
      <c r="H1442" s="294"/>
      <c r="I1442" s="294"/>
      <c r="J1442" s="294"/>
      <c r="L1442" s="295"/>
      <c r="M1442" s="294"/>
      <c r="S1442" s="294"/>
      <c r="T1442" s="299"/>
      <c r="U1442" s="294"/>
      <c r="V1442" s="299"/>
      <c r="W1442" s="299"/>
      <c r="X1442" s="294"/>
      <c r="Y1442" s="299"/>
      <c r="Z1442" s="294"/>
      <c r="AA1442" s="299"/>
      <c r="AB1442" s="299"/>
      <c r="AC1442" s="294"/>
      <c r="AD1442" s="294"/>
      <c r="AE1442" s="294"/>
      <c r="AF1442" s="294"/>
    </row>
    <row r="1443" spans="2:32" x14ac:dyDescent="0.25">
      <c r="B1443" s="294"/>
      <c r="C1443" s="294"/>
      <c r="D1443" s="294"/>
      <c r="E1443" s="294"/>
      <c r="F1443" s="294"/>
      <c r="G1443" s="294"/>
      <c r="H1443" s="294"/>
      <c r="I1443" s="294"/>
      <c r="J1443" s="294"/>
      <c r="L1443" s="295"/>
      <c r="M1443" s="294"/>
      <c r="S1443" s="294"/>
      <c r="T1443" s="299"/>
      <c r="U1443" s="294"/>
      <c r="V1443" s="299"/>
      <c r="W1443" s="299"/>
      <c r="X1443" s="294"/>
      <c r="Y1443" s="299"/>
      <c r="Z1443" s="294"/>
      <c r="AA1443" s="299"/>
      <c r="AB1443" s="299"/>
      <c r="AC1443" s="294"/>
      <c r="AD1443" s="294"/>
      <c r="AE1443" s="294"/>
      <c r="AF1443" s="294"/>
    </row>
    <row r="1444" spans="2:32" x14ac:dyDescent="0.25">
      <c r="B1444" s="294"/>
      <c r="C1444" s="294"/>
      <c r="D1444" s="294"/>
      <c r="E1444" s="294"/>
      <c r="F1444" s="294"/>
      <c r="G1444" s="294"/>
      <c r="H1444" s="294"/>
      <c r="I1444" s="294"/>
      <c r="J1444" s="294"/>
      <c r="L1444" s="295"/>
      <c r="M1444" s="294"/>
      <c r="S1444" s="294"/>
      <c r="T1444" s="299"/>
      <c r="U1444" s="294"/>
      <c r="V1444" s="299"/>
      <c r="W1444" s="299"/>
      <c r="X1444" s="294"/>
      <c r="Y1444" s="299"/>
      <c r="Z1444" s="294"/>
      <c r="AA1444" s="299"/>
      <c r="AB1444" s="299"/>
      <c r="AC1444" s="294"/>
      <c r="AD1444" s="294"/>
      <c r="AE1444" s="294"/>
      <c r="AF1444" s="294"/>
    </row>
    <row r="1445" spans="2:32" x14ac:dyDescent="0.25">
      <c r="B1445" s="294"/>
      <c r="C1445" s="294"/>
      <c r="D1445" s="294"/>
      <c r="E1445" s="294"/>
      <c r="F1445" s="294"/>
      <c r="G1445" s="294"/>
      <c r="H1445" s="294"/>
      <c r="I1445" s="294"/>
      <c r="J1445" s="294"/>
      <c r="L1445" s="295"/>
      <c r="M1445" s="294"/>
      <c r="S1445" s="294"/>
      <c r="T1445" s="299"/>
      <c r="U1445" s="294"/>
      <c r="V1445" s="299"/>
      <c r="W1445" s="299"/>
      <c r="X1445" s="294"/>
      <c r="Y1445" s="299"/>
      <c r="Z1445" s="294"/>
      <c r="AA1445" s="299"/>
      <c r="AB1445" s="299"/>
      <c r="AC1445" s="294"/>
      <c r="AD1445" s="294"/>
      <c r="AE1445" s="294"/>
      <c r="AF1445" s="294"/>
    </row>
    <row r="1446" spans="2:32" x14ac:dyDescent="0.25">
      <c r="B1446" s="294"/>
      <c r="C1446" s="294"/>
      <c r="D1446" s="294"/>
      <c r="E1446" s="294"/>
      <c r="F1446" s="294"/>
      <c r="G1446" s="294"/>
      <c r="H1446" s="294"/>
      <c r="I1446" s="294"/>
      <c r="J1446" s="294"/>
      <c r="L1446" s="295"/>
      <c r="M1446" s="294"/>
      <c r="S1446" s="294"/>
      <c r="T1446" s="299"/>
      <c r="U1446" s="294"/>
      <c r="V1446" s="299"/>
      <c r="W1446" s="299"/>
      <c r="X1446" s="294"/>
      <c r="Y1446" s="299"/>
      <c r="Z1446" s="294"/>
      <c r="AA1446" s="299"/>
      <c r="AB1446" s="299"/>
      <c r="AC1446" s="294"/>
      <c r="AD1446" s="294"/>
      <c r="AE1446" s="294"/>
      <c r="AF1446" s="294"/>
    </row>
    <row r="1447" spans="2:32" x14ac:dyDescent="0.25">
      <c r="B1447" s="294"/>
      <c r="C1447" s="294"/>
      <c r="D1447" s="294"/>
      <c r="E1447" s="294"/>
      <c r="F1447" s="294"/>
      <c r="G1447" s="294"/>
      <c r="H1447" s="294"/>
      <c r="I1447" s="294"/>
      <c r="J1447" s="294"/>
      <c r="L1447" s="295"/>
      <c r="M1447" s="294"/>
      <c r="S1447" s="294"/>
      <c r="T1447" s="299"/>
      <c r="U1447" s="294"/>
      <c r="V1447" s="299"/>
      <c r="W1447" s="299"/>
      <c r="X1447" s="294"/>
      <c r="Y1447" s="299"/>
      <c r="Z1447" s="294"/>
      <c r="AA1447" s="299"/>
      <c r="AB1447" s="299"/>
      <c r="AC1447" s="294"/>
      <c r="AD1447" s="294"/>
      <c r="AE1447" s="294"/>
      <c r="AF1447" s="294"/>
    </row>
    <row r="1448" spans="2:32" x14ac:dyDescent="0.25">
      <c r="B1448" s="294"/>
      <c r="C1448" s="294"/>
      <c r="D1448" s="294"/>
      <c r="E1448" s="294"/>
      <c r="F1448" s="294"/>
      <c r="G1448" s="294"/>
      <c r="H1448" s="294"/>
      <c r="I1448" s="294"/>
      <c r="J1448" s="294"/>
      <c r="L1448" s="295"/>
      <c r="M1448" s="294"/>
      <c r="S1448" s="294"/>
      <c r="T1448" s="299"/>
      <c r="U1448" s="294"/>
      <c r="V1448" s="299"/>
      <c r="W1448" s="299"/>
      <c r="X1448" s="294"/>
      <c r="Y1448" s="299"/>
      <c r="Z1448" s="294"/>
      <c r="AA1448" s="299"/>
      <c r="AB1448" s="299"/>
      <c r="AC1448" s="294"/>
      <c r="AD1448" s="294"/>
      <c r="AE1448" s="294"/>
      <c r="AF1448" s="294"/>
    </row>
    <row r="1449" spans="2:32" x14ac:dyDescent="0.25">
      <c r="B1449" s="294"/>
      <c r="C1449" s="294"/>
      <c r="D1449" s="294"/>
      <c r="E1449" s="294"/>
      <c r="F1449" s="294"/>
      <c r="G1449" s="294"/>
      <c r="H1449" s="294"/>
      <c r="I1449" s="294"/>
      <c r="J1449" s="294"/>
      <c r="L1449" s="295"/>
      <c r="M1449" s="294"/>
      <c r="S1449" s="294"/>
      <c r="T1449" s="299"/>
      <c r="U1449" s="294"/>
      <c r="V1449" s="299"/>
      <c r="W1449" s="299"/>
      <c r="X1449" s="294"/>
      <c r="Y1449" s="299"/>
      <c r="Z1449" s="294"/>
      <c r="AA1449" s="299"/>
      <c r="AB1449" s="299"/>
      <c r="AC1449" s="294"/>
      <c r="AD1449" s="294"/>
      <c r="AE1449" s="294"/>
      <c r="AF1449" s="294"/>
    </row>
    <row r="1450" spans="2:32" x14ac:dyDescent="0.25">
      <c r="B1450" s="294"/>
      <c r="C1450" s="294"/>
      <c r="D1450" s="294"/>
      <c r="E1450" s="294"/>
      <c r="F1450" s="294"/>
      <c r="G1450" s="294"/>
      <c r="H1450" s="294"/>
      <c r="I1450" s="294"/>
      <c r="J1450" s="294"/>
      <c r="L1450" s="295"/>
      <c r="M1450" s="294"/>
      <c r="S1450" s="294"/>
      <c r="T1450" s="299"/>
      <c r="U1450" s="294"/>
      <c r="V1450" s="299"/>
      <c r="W1450" s="299"/>
      <c r="X1450" s="294"/>
      <c r="Y1450" s="299"/>
      <c r="Z1450" s="294"/>
      <c r="AA1450" s="299"/>
      <c r="AB1450" s="299"/>
      <c r="AC1450" s="294"/>
      <c r="AD1450" s="294"/>
      <c r="AE1450" s="294"/>
      <c r="AF1450" s="294"/>
    </row>
    <row r="1451" spans="2:32" x14ac:dyDescent="0.25">
      <c r="B1451" s="294"/>
      <c r="C1451" s="294"/>
      <c r="D1451" s="294"/>
      <c r="E1451" s="294"/>
      <c r="F1451" s="294"/>
      <c r="G1451" s="294"/>
      <c r="H1451" s="294"/>
      <c r="I1451" s="294"/>
      <c r="J1451" s="294"/>
      <c r="L1451" s="295"/>
      <c r="M1451" s="294"/>
      <c r="S1451" s="294"/>
      <c r="T1451" s="299"/>
      <c r="U1451" s="294"/>
      <c r="V1451" s="299"/>
      <c r="W1451" s="299"/>
      <c r="X1451" s="294"/>
      <c r="Y1451" s="299"/>
      <c r="Z1451" s="294"/>
      <c r="AA1451" s="299"/>
      <c r="AB1451" s="299"/>
      <c r="AC1451" s="294"/>
      <c r="AD1451" s="294"/>
      <c r="AE1451" s="294"/>
      <c r="AF1451" s="294"/>
    </row>
    <row r="1452" spans="2:32" x14ac:dyDescent="0.25">
      <c r="B1452" s="294"/>
      <c r="C1452" s="294"/>
      <c r="D1452" s="294"/>
      <c r="E1452" s="294"/>
      <c r="F1452" s="294"/>
      <c r="G1452" s="294"/>
      <c r="H1452" s="294"/>
      <c r="I1452" s="294"/>
      <c r="J1452" s="294"/>
      <c r="L1452" s="295"/>
      <c r="M1452" s="294"/>
      <c r="S1452" s="294"/>
      <c r="T1452" s="299"/>
      <c r="U1452" s="294"/>
      <c r="V1452" s="299"/>
      <c r="W1452" s="299"/>
      <c r="X1452" s="294"/>
      <c r="Y1452" s="299"/>
      <c r="Z1452" s="294"/>
      <c r="AA1452" s="299"/>
      <c r="AB1452" s="299"/>
      <c r="AC1452" s="294"/>
      <c r="AD1452" s="294"/>
      <c r="AE1452" s="294"/>
      <c r="AF1452" s="294"/>
    </row>
    <row r="1453" spans="2:32" x14ac:dyDescent="0.25">
      <c r="B1453" s="294"/>
      <c r="C1453" s="294"/>
      <c r="D1453" s="294"/>
      <c r="E1453" s="294"/>
      <c r="F1453" s="294"/>
      <c r="G1453" s="294"/>
      <c r="H1453" s="294"/>
      <c r="I1453" s="294"/>
      <c r="J1453" s="294"/>
      <c r="L1453" s="295"/>
      <c r="M1453" s="294"/>
      <c r="S1453" s="294"/>
      <c r="T1453" s="299"/>
      <c r="U1453" s="294"/>
      <c r="V1453" s="299"/>
      <c r="W1453" s="299"/>
      <c r="X1453" s="294"/>
      <c r="Y1453" s="299"/>
      <c r="Z1453" s="294"/>
      <c r="AA1453" s="299"/>
      <c r="AB1453" s="299"/>
      <c r="AC1453" s="294"/>
      <c r="AD1453" s="294"/>
      <c r="AE1453" s="294"/>
      <c r="AF1453" s="294"/>
    </row>
    <row r="1454" spans="2:32" x14ac:dyDescent="0.25">
      <c r="B1454" s="294"/>
      <c r="C1454" s="294"/>
      <c r="D1454" s="294"/>
      <c r="E1454" s="294"/>
      <c r="F1454" s="294"/>
      <c r="G1454" s="294"/>
      <c r="H1454" s="294"/>
      <c r="I1454" s="294"/>
      <c r="J1454" s="294"/>
      <c r="L1454" s="295"/>
      <c r="M1454" s="294"/>
      <c r="S1454" s="294"/>
      <c r="T1454" s="299"/>
      <c r="U1454" s="294"/>
      <c r="V1454" s="299"/>
      <c r="W1454" s="299"/>
      <c r="X1454" s="294"/>
      <c r="Y1454" s="299"/>
      <c r="Z1454" s="294"/>
      <c r="AA1454" s="299"/>
      <c r="AB1454" s="299"/>
      <c r="AC1454" s="294"/>
      <c r="AD1454" s="294"/>
      <c r="AE1454" s="294"/>
      <c r="AF1454" s="294"/>
    </row>
    <row r="1455" spans="2:32" x14ac:dyDescent="0.25">
      <c r="B1455" s="294"/>
      <c r="C1455" s="294"/>
      <c r="D1455" s="294"/>
      <c r="E1455" s="294"/>
      <c r="F1455" s="294"/>
      <c r="G1455" s="294"/>
      <c r="H1455" s="294"/>
      <c r="I1455" s="294"/>
      <c r="J1455" s="294"/>
      <c r="L1455" s="295"/>
      <c r="M1455" s="294"/>
      <c r="S1455" s="294"/>
      <c r="T1455" s="299"/>
      <c r="U1455" s="294"/>
      <c r="V1455" s="299"/>
      <c r="W1455" s="299"/>
      <c r="X1455" s="294"/>
      <c r="Y1455" s="299"/>
      <c r="Z1455" s="294"/>
      <c r="AA1455" s="299"/>
      <c r="AB1455" s="299"/>
      <c r="AC1455" s="294"/>
      <c r="AD1455" s="294"/>
      <c r="AE1455" s="294"/>
      <c r="AF1455" s="294"/>
    </row>
    <row r="1456" spans="2:32" x14ac:dyDescent="0.25">
      <c r="B1456" s="294"/>
      <c r="C1456" s="294"/>
      <c r="D1456" s="294"/>
      <c r="E1456" s="294"/>
      <c r="F1456" s="294"/>
      <c r="G1456" s="294"/>
      <c r="H1456" s="294"/>
      <c r="I1456" s="294"/>
      <c r="J1456" s="294"/>
      <c r="L1456" s="295"/>
      <c r="M1456" s="294"/>
      <c r="S1456" s="294"/>
      <c r="T1456" s="299"/>
      <c r="U1456" s="294"/>
      <c r="V1456" s="299"/>
      <c r="W1456" s="299"/>
      <c r="X1456" s="294"/>
      <c r="Y1456" s="299"/>
      <c r="Z1456" s="294"/>
      <c r="AA1456" s="299"/>
      <c r="AB1456" s="299"/>
      <c r="AC1456" s="294"/>
      <c r="AD1456" s="294"/>
      <c r="AE1456" s="294"/>
      <c r="AF1456" s="294"/>
    </row>
    <row r="1457" spans="2:32" x14ac:dyDescent="0.25">
      <c r="B1457" s="294"/>
      <c r="C1457" s="294"/>
      <c r="D1457" s="294"/>
      <c r="E1457" s="294"/>
      <c r="F1457" s="294"/>
      <c r="G1457" s="294"/>
      <c r="H1457" s="294"/>
      <c r="I1457" s="294"/>
      <c r="J1457" s="294"/>
      <c r="L1457" s="295"/>
      <c r="M1457" s="294"/>
      <c r="S1457" s="294"/>
      <c r="T1457" s="299"/>
      <c r="U1457" s="294"/>
      <c r="V1457" s="299"/>
      <c r="W1457" s="299"/>
      <c r="X1457" s="294"/>
      <c r="Y1457" s="299"/>
      <c r="Z1457" s="294"/>
      <c r="AA1457" s="299"/>
      <c r="AB1457" s="299"/>
      <c r="AC1457" s="294"/>
      <c r="AD1457" s="294"/>
      <c r="AE1457" s="294"/>
      <c r="AF1457" s="294"/>
    </row>
    <row r="1458" spans="2:32" x14ac:dyDescent="0.25">
      <c r="B1458" s="294"/>
      <c r="C1458" s="294"/>
      <c r="D1458" s="294"/>
      <c r="E1458" s="294"/>
      <c r="F1458" s="294"/>
      <c r="G1458" s="294"/>
      <c r="H1458" s="294"/>
      <c r="I1458" s="294"/>
      <c r="J1458" s="294"/>
      <c r="L1458" s="295"/>
      <c r="M1458" s="294"/>
      <c r="S1458" s="294"/>
      <c r="T1458" s="299"/>
      <c r="U1458" s="294"/>
      <c r="V1458" s="299"/>
      <c r="W1458" s="299"/>
      <c r="X1458" s="294"/>
      <c r="Y1458" s="299"/>
      <c r="Z1458" s="294"/>
      <c r="AA1458" s="299"/>
      <c r="AB1458" s="299"/>
      <c r="AC1458" s="294"/>
      <c r="AD1458" s="294"/>
      <c r="AE1458" s="294"/>
      <c r="AF1458" s="294"/>
    </row>
    <row r="1459" spans="2:32" x14ac:dyDescent="0.25">
      <c r="B1459" s="294"/>
      <c r="C1459" s="294"/>
      <c r="D1459" s="294"/>
      <c r="E1459" s="294"/>
      <c r="F1459" s="294"/>
      <c r="G1459" s="294"/>
      <c r="H1459" s="294"/>
      <c r="I1459" s="294"/>
      <c r="J1459" s="294"/>
      <c r="L1459" s="295"/>
      <c r="M1459" s="294"/>
      <c r="S1459" s="294"/>
      <c r="T1459" s="299"/>
      <c r="U1459" s="294"/>
      <c r="V1459" s="299"/>
      <c r="W1459" s="299"/>
      <c r="X1459" s="294"/>
      <c r="Y1459" s="299"/>
      <c r="Z1459" s="294"/>
      <c r="AA1459" s="299"/>
      <c r="AB1459" s="299"/>
      <c r="AC1459" s="294"/>
      <c r="AD1459" s="294"/>
      <c r="AE1459" s="294"/>
      <c r="AF1459" s="294"/>
    </row>
    <row r="1460" spans="2:32" x14ac:dyDescent="0.25">
      <c r="B1460" s="294"/>
      <c r="C1460" s="294"/>
      <c r="D1460" s="294"/>
      <c r="E1460" s="294"/>
      <c r="F1460" s="294"/>
      <c r="G1460" s="294"/>
      <c r="H1460" s="294"/>
      <c r="I1460" s="294"/>
      <c r="J1460" s="294"/>
      <c r="L1460" s="295"/>
      <c r="M1460" s="294"/>
      <c r="S1460" s="294"/>
      <c r="T1460" s="299"/>
      <c r="U1460" s="294"/>
      <c r="V1460" s="299"/>
      <c r="W1460" s="299"/>
      <c r="X1460" s="294"/>
      <c r="Y1460" s="299"/>
      <c r="Z1460" s="294"/>
      <c r="AA1460" s="299"/>
      <c r="AB1460" s="299"/>
      <c r="AC1460" s="294"/>
      <c r="AD1460" s="294"/>
      <c r="AE1460" s="294"/>
      <c r="AF1460" s="294"/>
    </row>
    <row r="1461" spans="2:32" x14ac:dyDescent="0.25">
      <c r="B1461" s="294"/>
      <c r="C1461" s="294"/>
      <c r="D1461" s="294"/>
      <c r="E1461" s="294"/>
      <c r="F1461" s="294"/>
      <c r="G1461" s="294"/>
      <c r="H1461" s="294"/>
      <c r="I1461" s="294"/>
      <c r="J1461" s="294"/>
      <c r="L1461" s="295"/>
      <c r="M1461" s="294"/>
      <c r="S1461" s="294"/>
      <c r="T1461" s="299"/>
      <c r="U1461" s="294"/>
      <c r="V1461" s="299"/>
      <c r="W1461" s="299"/>
      <c r="X1461" s="294"/>
      <c r="Y1461" s="299"/>
      <c r="Z1461" s="294"/>
      <c r="AA1461" s="299"/>
      <c r="AB1461" s="299"/>
      <c r="AC1461" s="294"/>
      <c r="AD1461" s="294"/>
      <c r="AE1461" s="294"/>
      <c r="AF1461" s="294"/>
    </row>
    <row r="1462" spans="2:32" x14ac:dyDescent="0.25">
      <c r="B1462" s="294"/>
      <c r="C1462" s="294"/>
      <c r="D1462" s="294"/>
      <c r="E1462" s="294"/>
      <c r="F1462" s="294"/>
      <c r="G1462" s="294"/>
      <c r="H1462" s="294"/>
      <c r="I1462" s="294"/>
      <c r="J1462" s="294"/>
      <c r="L1462" s="295"/>
      <c r="M1462" s="294"/>
      <c r="S1462" s="294"/>
      <c r="T1462" s="299"/>
      <c r="U1462" s="294"/>
      <c r="V1462" s="299"/>
      <c r="W1462" s="299"/>
      <c r="X1462" s="294"/>
      <c r="Y1462" s="299"/>
      <c r="Z1462" s="294"/>
      <c r="AA1462" s="299"/>
      <c r="AB1462" s="299"/>
      <c r="AC1462" s="294"/>
      <c r="AD1462" s="294"/>
      <c r="AE1462" s="294"/>
      <c r="AF1462" s="294"/>
    </row>
    <row r="1463" spans="2:32" x14ac:dyDescent="0.25">
      <c r="B1463" s="294"/>
      <c r="C1463" s="294"/>
      <c r="D1463" s="294"/>
      <c r="E1463" s="294"/>
      <c r="F1463" s="294"/>
      <c r="G1463" s="294"/>
      <c r="H1463" s="294"/>
      <c r="I1463" s="294"/>
      <c r="J1463" s="294"/>
      <c r="L1463" s="295"/>
      <c r="M1463" s="294"/>
      <c r="S1463" s="294"/>
      <c r="T1463" s="299"/>
      <c r="U1463" s="294"/>
      <c r="V1463" s="299"/>
      <c r="W1463" s="299"/>
      <c r="X1463" s="294"/>
      <c r="Y1463" s="299"/>
      <c r="Z1463" s="294"/>
      <c r="AA1463" s="299"/>
      <c r="AB1463" s="299"/>
      <c r="AC1463" s="294"/>
      <c r="AD1463" s="294"/>
      <c r="AE1463" s="294"/>
      <c r="AF1463" s="294"/>
    </row>
    <row r="1464" spans="2:32" x14ac:dyDescent="0.25">
      <c r="B1464" s="294"/>
      <c r="C1464" s="294"/>
      <c r="D1464" s="294"/>
      <c r="E1464" s="294"/>
      <c r="F1464" s="294"/>
      <c r="G1464" s="294"/>
      <c r="H1464" s="294"/>
      <c r="I1464" s="294"/>
      <c r="J1464" s="294"/>
      <c r="L1464" s="295"/>
      <c r="M1464" s="294"/>
      <c r="S1464" s="294"/>
      <c r="T1464" s="299"/>
      <c r="U1464" s="294"/>
      <c r="V1464" s="299"/>
      <c r="W1464" s="299"/>
      <c r="X1464" s="294"/>
      <c r="Y1464" s="299"/>
      <c r="Z1464" s="294"/>
      <c r="AA1464" s="299"/>
      <c r="AB1464" s="299"/>
      <c r="AC1464" s="294"/>
      <c r="AD1464" s="294"/>
      <c r="AE1464" s="294"/>
      <c r="AF1464" s="294"/>
    </row>
    <row r="1465" spans="2:32" x14ac:dyDescent="0.25">
      <c r="B1465" s="294"/>
      <c r="C1465" s="294"/>
      <c r="D1465" s="294"/>
      <c r="E1465" s="294"/>
      <c r="F1465" s="294"/>
      <c r="G1465" s="294"/>
      <c r="H1465" s="294"/>
      <c r="I1465" s="294"/>
      <c r="J1465" s="294"/>
      <c r="L1465" s="295"/>
      <c r="M1465" s="294"/>
      <c r="S1465" s="294"/>
      <c r="T1465" s="299"/>
      <c r="U1465" s="294"/>
      <c r="V1465" s="299"/>
      <c r="W1465" s="299"/>
      <c r="X1465" s="294"/>
      <c r="Y1465" s="299"/>
      <c r="Z1465" s="294"/>
      <c r="AA1465" s="299"/>
      <c r="AB1465" s="299"/>
      <c r="AC1465" s="294"/>
      <c r="AD1465" s="294"/>
      <c r="AE1465" s="294"/>
      <c r="AF1465" s="294"/>
    </row>
    <row r="1466" spans="2:32" x14ac:dyDescent="0.25">
      <c r="B1466" s="294"/>
      <c r="C1466" s="294"/>
      <c r="D1466" s="294"/>
      <c r="E1466" s="294"/>
      <c r="F1466" s="294"/>
      <c r="G1466" s="294"/>
      <c r="H1466" s="294"/>
      <c r="I1466" s="294"/>
      <c r="J1466" s="294"/>
      <c r="L1466" s="295"/>
      <c r="M1466" s="294"/>
      <c r="S1466" s="294"/>
      <c r="T1466" s="299"/>
      <c r="U1466" s="294"/>
      <c r="V1466" s="299"/>
      <c r="W1466" s="299"/>
      <c r="X1466" s="294"/>
      <c r="Y1466" s="299"/>
      <c r="Z1466" s="294"/>
      <c r="AA1466" s="299"/>
      <c r="AB1466" s="299"/>
      <c r="AC1466" s="294"/>
      <c r="AD1466" s="294"/>
      <c r="AE1466" s="294"/>
      <c r="AF1466" s="294"/>
    </row>
    <row r="1467" spans="2:32" x14ac:dyDescent="0.25">
      <c r="B1467" s="294"/>
      <c r="C1467" s="294"/>
      <c r="D1467" s="294"/>
      <c r="E1467" s="294"/>
      <c r="F1467" s="294"/>
      <c r="G1467" s="294"/>
      <c r="H1467" s="294"/>
      <c r="I1467" s="294"/>
      <c r="J1467" s="294"/>
      <c r="L1467" s="295"/>
      <c r="M1467" s="294"/>
      <c r="S1467" s="294"/>
      <c r="T1467" s="299"/>
      <c r="U1467" s="294"/>
      <c r="V1467" s="299"/>
      <c r="W1467" s="299"/>
      <c r="X1467" s="294"/>
      <c r="Y1467" s="299"/>
      <c r="Z1467" s="294"/>
      <c r="AA1467" s="299"/>
      <c r="AB1467" s="299"/>
      <c r="AC1467" s="294"/>
      <c r="AD1467" s="294"/>
      <c r="AE1467" s="294"/>
      <c r="AF1467" s="294"/>
    </row>
    <row r="1468" spans="2:32" x14ac:dyDescent="0.25">
      <c r="B1468" s="294"/>
      <c r="C1468" s="294"/>
      <c r="D1468" s="294"/>
      <c r="E1468" s="294"/>
      <c r="F1468" s="294"/>
      <c r="G1468" s="294"/>
      <c r="H1468" s="294"/>
      <c r="I1468" s="294"/>
      <c r="J1468" s="294"/>
      <c r="L1468" s="295"/>
      <c r="M1468" s="294"/>
      <c r="S1468" s="294"/>
      <c r="T1468" s="299"/>
      <c r="U1468" s="294"/>
      <c r="V1468" s="299"/>
      <c r="W1468" s="299"/>
      <c r="X1468" s="294"/>
      <c r="Y1468" s="299"/>
      <c r="Z1468" s="294"/>
      <c r="AA1468" s="299"/>
      <c r="AB1468" s="299"/>
      <c r="AC1468" s="294"/>
      <c r="AD1468" s="294"/>
      <c r="AE1468" s="294"/>
      <c r="AF1468" s="294"/>
    </row>
    <row r="1469" spans="2:32" x14ac:dyDescent="0.25">
      <c r="B1469" s="294"/>
      <c r="C1469" s="294"/>
      <c r="D1469" s="294"/>
      <c r="E1469" s="294"/>
      <c r="F1469" s="294"/>
      <c r="G1469" s="294"/>
      <c r="H1469" s="294"/>
      <c r="I1469" s="294"/>
      <c r="J1469" s="294"/>
      <c r="L1469" s="295"/>
      <c r="M1469" s="294"/>
      <c r="S1469" s="294"/>
      <c r="T1469" s="299"/>
      <c r="U1469" s="294"/>
      <c r="V1469" s="299"/>
      <c r="W1469" s="299"/>
      <c r="X1469" s="294"/>
      <c r="Y1469" s="299"/>
      <c r="Z1469" s="294"/>
      <c r="AA1469" s="299"/>
      <c r="AB1469" s="299"/>
      <c r="AC1469" s="294"/>
      <c r="AD1469" s="294"/>
      <c r="AE1469" s="294"/>
      <c r="AF1469" s="294"/>
    </row>
    <row r="1470" spans="2:32" x14ac:dyDescent="0.25">
      <c r="B1470" s="294"/>
      <c r="C1470" s="294"/>
      <c r="D1470" s="294"/>
      <c r="E1470" s="294"/>
      <c r="F1470" s="294"/>
      <c r="G1470" s="294"/>
      <c r="H1470" s="294"/>
      <c r="I1470" s="294"/>
      <c r="J1470" s="294"/>
      <c r="L1470" s="295"/>
      <c r="M1470" s="294"/>
      <c r="S1470" s="294"/>
      <c r="T1470" s="299"/>
      <c r="U1470" s="294"/>
      <c r="V1470" s="299"/>
      <c r="W1470" s="299"/>
      <c r="X1470" s="294"/>
      <c r="Y1470" s="299"/>
      <c r="Z1470" s="294"/>
      <c r="AA1470" s="299"/>
      <c r="AB1470" s="299"/>
      <c r="AC1470" s="294"/>
      <c r="AD1470" s="294"/>
      <c r="AE1470" s="294"/>
      <c r="AF1470" s="294"/>
    </row>
    <row r="1471" spans="2:32" x14ac:dyDescent="0.25">
      <c r="B1471" s="294"/>
      <c r="C1471" s="294"/>
      <c r="D1471" s="294"/>
      <c r="E1471" s="294"/>
      <c r="F1471" s="294"/>
      <c r="G1471" s="294"/>
      <c r="H1471" s="294"/>
      <c r="I1471" s="294"/>
      <c r="J1471" s="294"/>
      <c r="L1471" s="295"/>
      <c r="M1471" s="294"/>
      <c r="S1471" s="294"/>
      <c r="T1471" s="299"/>
      <c r="U1471" s="294"/>
      <c r="V1471" s="299"/>
      <c r="W1471" s="299"/>
      <c r="X1471" s="294"/>
      <c r="Y1471" s="299"/>
      <c r="Z1471" s="294"/>
      <c r="AA1471" s="299"/>
      <c r="AB1471" s="299"/>
      <c r="AC1471" s="294"/>
      <c r="AD1471" s="294"/>
      <c r="AE1471" s="294"/>
      <c r="AF1471" s="294"/>
    </row>
    <row r="1472" spans="2:32" x14ac:dyDescent="0.25">
      <c r="B1472" s="294"/>
      <c r="C1472" s="294"/>
      <c r="D1472" s="294"/>
      <c r="E1472" s="294"/>
      <c r="F1472" s="294"/>
      <c r="G1472" s="294"/>
      <c r="H1472" s="294"/>
      <c r="I1472" s="294"/>
      <c r="J1472" s="294"/>
      <c r="L1472" s="295"/>
      <c r="M1472" s="294"/>
      <c r="S1472" s="294"/>
      <c r="T1472" s="299"/>
      <c r="U1472" s="294"/>
      <c r="V1472" s="299"/>
      <c r="W1472" s="299"/>
      <c r="X1472" s="294"/>
      <c r="Y1472" s="299"/>
      <c r="Z1472" s="294"/>
      <c r="AA1472" s="299"/>
      <c r="AB1472" s="299"/>
      <c r="AC1472" s="294"/>
      <c r="AD1472" s="294"/>
      <c r="AE1472" s="294"/>
      <c r="AF1472" s="294"/>
    </row>
    <row r="1473" spans="2:32" x14ac:dyDescent="0.25">
      <c r="B1473" s="294"/>
      <c r="C1473" s="294"/>
      <c r="D1473" s="294"/>
      <c r="E1473" s="294"/>
      <c r="F1473" s="294"/>
      <c r="G1473" s="294"/>
      <c r="H1473" s="294"/>
      <c r="I1473" s="294"/>
      <c r="J1473" s="294"/>
      <c r="L1473" s="295"/>
      <c r="M1473" s="294"/>
      <c r="S1473" s="294"/>
      <c r="T1473" s="299"/>
      <c r="U1473" s="294"/>
      <c r="V1473" s="299"/>
      <c r="W1473" s="299"/>
      <c r="X1473" s="294"/>
      <c r="Y1473" s="299"/>
      <c r="Z1473" s="294"/>
      <c r="AA1473" s="299"/>
      <c r="AB1473" s="299"/>
      <c r="AC1473" s="294"/>
      <c r="AD1473" s="294"/>
      <c r="AE1473" s="294"/>
      <c r="AF1473" s="294"/>
    </row>
    <row r="1474" spans="2:32" x14ac:dyDescent="0.25">
      <c r="B1474" s="294"/>
      <c r="C1474" s="294"/>
      <c r="D1474" s="294"/>
      <c r="E1474" s="294"/>
      <c r="F1474" s="294"/>
      <c r="G1474" s="294"/>
      <c r="H1474" s="294"/>
      <c r="I1474" s="294"/>
      <c r="J1474" s="294"/>
      <c r="L1474" s="295"/>
      <c r="M1474" s="294"/>
      <c r="S1474" s="294"/>
      <c r="T1474" s="299"/>
      <c r="U1474" s="294"/>
      <c r="V1474" s="299"/>
      <c r="W1474" s="299"/>
      <c r="X1474" s="294"/>
      <c r="Y1474" s="299"/>
      <c r="Z1474" s="294"/>
      <c r="AA1474" s="299"/>
      <c r="AB1474" s="299"/>
      <c r="AC1474" s="294"/>
      <c r="AD1474" s="294"/>
      <c r="AE1474" s="294"/>
      <c r="AF1474" s="294"/>
    </row>
    <row r="1475" spans="2:32" x14ac:dyDescent="0.25">
      <c r="B1475" s="294"/>
      <c r="C1475" s="294"/>
      <c r="D1475" s="294"/>
      <c r="E1475" s="294"/>
      <c r="F1475" s="294"/>
      <c r="G1475" s="294"/>
      <c r="H1475" s="294"/>
      <c r="I1475" s="294"/>
      <c r="J1475" s="294"/>
      <c r="L1475" s="295"/>
      <c r="M1475" s="294"/>
      <c r="S1475" s="294"/>
      <c r="T1475" s="299"/>
      <c r="U1475" s="294"/>
      <c r="V1475" s="299"/>
      <c r="W1475" s="299"/>
      <c r="X1475" s="294"/>
      <c r="Y1475" s="299"/>
      <c r="Z1475" s="294"/>
      <c r="AA1475" s="299"/>
      <c r="AB1475" s="299"/>
      <c r="AC1475" s="294"/>
      <c r="AD1475" s="294"/>
      <c r="AE1475" s="294"/>
      <c r="AF1475" s="294"/>
    </row>
    <row r="1476" spans="2:32" x14ac:dyDescent="0.25">
      <c r="B1476" s="294"/>
      <c r="C1476" s="294"/>
      <c r="D1476" s="294"/>
      <c r="E1476" s="294"/>
      <c r="F1476" s="294"/>
      <c r="G1476" s="294"/>
      <c r="H1476" s="294"/>
      <c r="I1476" s="294"/>
      <c r="J1476" s="294"/>
      <c r="L1476" s="295"/>
      <c r="M1476" s="294"/>
      <c r="S1476" s="294"/>
      <c r="T1476" s="299"/>
      <c r="U1476" s="294"/>
      <c r="V1476" s="299"/>
      <c r="W1476" s="299"/>
      <c r="X1476" s="294"/>
      <c r="Y1476" s="299"/>
      <c r="Z1476" s="294"/>
      <c r="AA1476" s="299"/>
      <c r="AB1476" s="299"/>
      <c r="AC1476" s="294"/>
      <c r="AD1476" s="294"/>
      <c r="AE1476" s="294"/>
      <c r="AF1476" s="294"/>
    </row>
    <row r="1477" spans="2:32" x14ac:dyDescent="0.25">
      <c r="B1477" s="294"/>
      <c r="C1477" s="294"/>
      <c r="D1477" s="294"/>
      <c r="E1477" s="294"/>
      <c r="F1477" s="294"/>
      <c r="G1477" s="294"/>
      <c r="H1477" s="294"/>
      <c r="I1477" s="294"/>
      <c r="J1477" s="294"/>
      <c r="L1477" s="295"/>
      <c r="M1477" s="294"/>
      <c r="S1477" s="294"/>
      <c r="T1477" s="299"/>
      <c r="U1477" s="294"/>
      <c r="V1477" s="299"/>
      <c r="W1477" s="299"/>
      <c r="X1477" s="294"/>
      <c r="Y1477" s="299"/>
      <c r="Z1477" s="294"/>
      <c r="AA1477" s="299"/>
      <c r="AB1477" s="299"/>
      <c r="AC1477" s="294"/>
      <c r="AD1477" s="294"/>
      <c r="AE1477" s="294"/>
      <c r="AF1477" s="294"/>
    </row>
    <row r="1478" spans="2:32" x14ac:dyDescent="0.25">
      <c r="B1478" s="294"/>
      <c r="C1478" s="294"/>
      <c r="D1478" s="294"/>
      <c r="E1478" s="294"/>
      <c r="F1478" s="294"/>
      <c r="G1478" s="294"/>
      <c r="H1478" s="294"/>
      <c r="I1478" s="294"/>
      <c r="J1478" s="294"/>
      <c r="L1478" s="295"/>
      <c r="M1478" s="294"/>
      <c r="S1478" s="294"/>
      <c r="T1478" s="299"/>
      <c r="U1478" s="294"/>
      <c r="V1478" s="299"/>
      <c r="W1478" s="299"/>
      <c r="X1478" s="294"/>
      <c r="Y1478" s="299"/>
      <c r="Z1478" s="294"/>
      <c r="AA1478" s="299"/>
      <c r="AB1478" s="299"/>
      <c r="AC1478" s="294"/>
      <c r="AD1478" s="294"/>
      <c r="AE1478" s="294"/>
      <c r="AF1478" s="294"/>
    </row>
    <row r="1479" spans="2:32" x14ac:dyDescent="0.25">
      <c r="B1479" s="294"/>
      <c r="C1479" s="294"/>
      <c r="D1479" s="294"/>
      <c r="E1479" s="294"/>
      <c r="F1479" s="294"/>
      <c r="G1479" s="294"/>
      <c r="H1479" s="294"/>
      <c r="I1479" s="294"/>
      <c r="J1479" s="294"/>
      <c r="L1479" s="295"/>
      <c r="M1479" s="294"/>
      <c r="S1479" s="294"/>
      <c r="T1479" s="299"/>
      <c r="U1479" s="294"/>
      <c r="V1479" s="299"/>
      <c r="W1479" s="299"/>
      <c r="X1479" s="294"/>
      <c r="Y1479" s="299"/>
      <c r="Z1479" s="294"/>
      <c r="AA1479" s="299"/>
      <c r="AB1479" s="299"/>
      <c r="AC1479" s="294"/>
      <c r="AD1479" s="294"/>
      <c r="AE1479" s="294"/>
      <c r="AF1479" s="294"/>
    </row>
    <row r="1480" spans="2:32" x14ac:dyDescent="0.25">
      <c r="B1480" s="294"/>
      <c r="C1480" s="294"/>
      <c r="D1480" s="294"/>
      <c r="E1480" s="294"/>
      <c r="F1480" s="294"/>
      <c r="G1480" s="294"/>
      <c r="H1480" s="294"/>
      <c r="I1480" s="294"/>
      <c r="J1480" s="294"/>
      <c r="L1480" s="295"/>
      <c r="M1480" s="294"/>
      <c r="S1480" s="294"/>
      <c r="T1480" s="299"/>
      <c r="U1480" s="294"/>
      <c r="V1480" s="299"/>
      <c r="W1480" s="299"/>
      <c r="X1480" s="294"/>
      <c r="Y1480" s="299"/>
      <c r="Z1480" s="294"/>
      <c r="AA1480" s="299"/>
      <c r="AB1480" s="299"/>
      <c r="AC1480" s="294"/>
      <c r="AD1480" s="294"/>
      <c r="AE1480" s="294"/>
      <c r="AF1480" s="294"/>
    </row>
    <row r="1481" spans="2:32" x14ac:dyDescent="0.25">
      <c r="B1481" s="294"/>
      <c r="C1481" s="294"/>
      <c r="D1481" s="294"/>
      <c r="E1481" s="294"/>
      <c r="F1481" s="294"/>
      <c r="G1481" s="294"/>
      <c r="H1481" s="294"/>
      <c r="I1481" s="294"/>
      <c r="J1481" s="294"/>
      <c r="L1481" s="295"/>
      <c r="M1481" s="294"/>
      <c r="S1481" s="294"/>
      <c r="T1481" s="299"/>
      <c r="U1481" s="294"/>
      <c r="V1481" s="299"/>
      <c r="W1481" s="299"/>
      <c r="X1481" s="294"/>
      <c r="Y1481" s="299"/>
      <c r="Z1481" s="294"/>
      <c r="AA1481" s="299"/>
      <c r="AB1481" s="299"/>
      <c r="AC1481" s="294"/>
      <c r="AD1481" s="294"/>
      <c r="AE1481" s="294"/>
      <c r="AF1481" s="294"/>
    </row>
    <row r="1482" spans="2:32" x14ac:dyDescent="0.25">
      <c r="B1482" s="294"/>
      <c r="C1482" s="294"/>
      <c r="D1482" s="294"/>
      <c r="E1482" s="294"/>
      <c r="F1482" s="294"/>
      <c r="G1482" s="294"/>
      <c r="H1482" s="294"/>
      <c r="I1482" s="294"/>
      <c r="J1482" s="294"/>
      <c r="L1482" s="295"/>
      <c r="M1482" s="294"/>
      <c r="S1482" s="294"/>
      <c r="T1482" s="299"/>
      <c r="U1482" s="294"/>
      <c r="V1482" s="299"/>
      <c r="W1482" s="299"/>
      <c r="X1482" s="294"/>
      <c r="Y1482" s="299"/>
      <c r="Z1482" s="294"/>
      <c r="AA1482" s="299"/>
      <c r="AB1482" s="299"/>
      <c r="AC1482" s="294"/>
      <c r="AD1482" s="294"/>
      <c r="AE1482" s="294"/>
      <c r="AF1482" s="294"/>
    </row>
    <row r="1483" spans="2:32" x14ac:dyDescent="0.25">
      <c r="B1483" s="294"/>
      <c r="C1483" s="294"/>
      <c r="D1483" s="294"/>
      <c r="E1483" s="294"/>
      <c r="F1483" s="294"/>
      <c r="G1483" s="294"/>
      <c r="H1483" s="294"/>
      <c r="I1483" s="294"/>
      <c r="J1483" s="294"/>
      <c r="L1483" s="295"/>
      <c r="M1483" s="294"/>
      <c r="S1483" s="294"/>
      <c r="T1483" s="299"/>
      <c r="U1483" s="294"/>
      <c r="V1483" s="299"/>
      <c r="W1483" s="299"/>
      <c r="X1483" s="294"/>
      <c r="Y1483" s="299"/>
      <c r="Z1483" s="294"/>
      <c r="AA1483" s="299"/>
      <c r="AB1483" s="299"/>
      <c r="AC1483" s="294"/>
      <c r="AD1483" s="294"/>
      <c r="AE1483" s="294"/>
      <c r="AF1483" s="294"/>
    </row>
    <row r="1484" spans="2:32" x14ac:dyDescent="0.25">
      <c r="B1484" s="294"/>
      <c r="C1484" s="294"/>
      <c r="D1484" s="294"/>
      <c r="E1484" s="294"/>
      <c r="F1484" s="294"/>
      <c r="G1484" s="294"/>
      <c r="H1484" s="294"/>
      <c r="I1484" s="294"/>
      <c r="J1484" s="294"/>
      <c r="L1484" s="295"/>
      <c r="M1484" s="294"/>
      <c r="S1484" s="294"/>
      <c r="T1484" s="299"/>
      <c r="U1484" s="294"/>
      <c r="V1484" s="299"/>
      <c r="W1484" s="299"/>
      <c r="X1484" s="294"/>
      <c r="Y1484" s="299"/>
      <c r="Z1484" s="294"/>
      <c r="AA1484" s="299"/>
      <c r="AB1484" s="299"/>
      <c r="AC1484" s="294"/>
      <c r="AD1484" s="294"/>
      <c r="AE1484" s="294"/>
      <c r="AF1484" s="294"/>
    </row>
    <row r="1485" spans="2:32" x14ac:dyDescent="0.25">
      <c r="B1485" s="294"/>
      <c r="C1485" s="294"/>
      <c r="D1485" s="294"/>
      <c r="E1485" s="294"/>
      <c r="F1485" s="294"/>
      <c r="G1485" s="294"/>
      <c r="H1485" s="294"/>
      <c r="I1485" s="294"/>
      <c r="J1485" s="294"/>
      <c r="L1485" s="295"/>
      <c r="M1485" s="294"/>
      <c r="S1485" s="294"/>
      <c r="T1485" s="299"/>
      <c r="U1485" s="294"/>
      <c r="V1485" s="299"/>
      <c r="W1485" s="299"/>
      <c r="X1485" s="294"/>
      <c r="Y1485" s="299"/>
      <c r="Z1485" s="294"/>
      <c r="AA1485" s="299"/>
      <c r="AB1485" s="299"/>
      <c r="AC1485" s="294"/>
      <c r="AD1485" s="294"/>
      <c r="AE1485" s="294"/>
      <c r="AF1485" s="294"/>
    </row>
    <row r="1486" spans="2:32" x14ac:dyDescent="0.25">
      <c r="B1486" s="294"/>
      <c r="C1486" s="294"/>
      <c r="D1486" s="294"/>
      <c r="E1486" s="294"/>
      <c r="F1486" s="294"/>
      <c r="G1486" s="294"/>
      <c r="H1486" s="294"/>
      <c r="I1486" s="294"/>
      <c r="J1486" s="294"/>
      <c r="L1486" s="295"/>
      <c r="M1486" s="294"/>
      <c r="S1486" s="294"/>
      <c r="T1486" s="299"/>
      <c r="U1486" s="294"/>
      <c r="V1486" s="299"/>
      <c r="W1486" s="299"/>
      <c r="X1486" s="294"/>
      <c r="Y1486" s="299"/>
      <c r="Z1486" s="294"/>
      <c r="AA1486" s="299"/>
      <c r="AB1486" s="299"/>
      <c r="AC1486" s="294"/>
      <c r="AD1486" s="294"/>
      <c r="AE1486" s="294"/>
      <c r="AF1486" s="294"/>
    </row>
    <row r="1487" spans="2:32" x14ac:dyDescent="0.25">
      <c r="B1487" s="294"/>
      <c r="C1487" s="294"/>
      <c r="D1487" s="294"/>
      <c r="E1487" s="294"/>
      <c r="F1487" s="294"/>
      <c r="G1487" s="294"/>
      <c r="H1487" s="294"/>
      <c r="I1487" s="294"/>
      <c r="J1487" s="294"/>
      <c r="L1487" s="295"/>
      <c r="M1487" s="294"/>
      <c r="S1487" s="294"/>
      <c r="T1487" s="299"/>
      <c r="U1487" s="294"/>
      <c r="V1487" s="299"/>
      <c r="W1487" s="299"/>
      <c r="X1487" s="294"/>
      <c r="Y1487" s="299"/>
      <c r="Z1487" s="294"/>
      <c r="AA1487" s="299"/>
      <c r="AB1487" s="299"/>
      <c r="AC1487" s="294"/>
      <c r="AD1487" s="294"/>
      <c r="AE1487" s="294"/>
      <c r="AF1487" s="294"/>
    </row>
    <row r="1488" spans="2:32" x14ac:dyDescent="0.25">
      <c r="B1488" s="294"/>
      <c r="C1488" s="294"/>
      <c r="D1488" s="294"/>
      <c r="E1488" s="294"/>
      <c r="F1488" s="294"/>
      <c r="G1488" s="294"/>
      <c r="H1488" s="294"/>
      <c r="I1488" s="294"/>
      <c r="J1488" s="294"/>
      <c r="L1488" s="295"/>
      <c r="M1488" s="294"/>
      <c r="S1488" s="294"/>
      <c r="T1488" s="299"/>
      <c r="U1488" s="294"/>
      <c r="V1488" s="299"/>
      <c r="W1488" s="299"/>
      <c r="X1488" s="294"/>
      <c r="Y1488" s="299"/>
      <c r="Z1488" s="294"/>
      <c r="AA1488" s="299"/>
      <c r="AB1488" s="299"/>
      <c r="AC1488" s="294"/>
      <c r="AD1488" s="294"/>
      <c r="AE1488" s="294"/>
      <c r="AF1488" s="294"/>
    </row>
    <row r="1489" spans="2:32" x14ac:dyDescent="0.25">
      <c r="B1489" s="294"/>
      <c r="C1489" s="294"/>
      <c r="D1489" s="294"/>
      <c r="E1489" s="294"/>
      <c r="F1489" s="294"/>
      <c r="G1489" s="294"/>
      <c r="H1489" s="294"/>
      <c r="I1489" s="294"/>
      <c r="J1489" s="294"/>
      <c r="L1489" s="295"/>
      <c r="M1489" s="294"/>
      <c r="S1489" s="294"/>
      <c r="T1489" s="299"/>
      <c r="U1489" s="294"/>
      <c r="V1489" s="299"/>
      <c r="W1489" s="299"/>
      <c r="X1489" s="294"/>
      <c r="Y1489" s="299"/>
      <c r="Z1489" s="294"/>
      <c r="AA1489" s="299"/>
      <c r="AB1489" s="299"/>
      <c r="AC1489" s="294"/>
      <c r="AD1489" s="294"/>
      <c r="AE1489" s="294"/>
      <c r="AF1489" s="294"/>
    </row>
    <row r="1490" spans="2:32" x14ac:dyDescent="0.25">
      <c r="B1490" s="294"/>
      <c r="C1490" s="294"/>
      <c r="D1490" s="294"/>
      <c r="E1490" s="294"/>
      <c r="F1490" s="294"/>
      <c r="G1490" s="294"/>
      <c r="H1490" s="294"/>
      <c r="I1490" s="294"/>
      <c r="J1490" s="294"/>
      <c r="L1490" s="295"/>
      <c r="M1490" s="294"/>
      <c r="S1490" s="294"/>
      <c r="T1490" s="299"/>
      <c r="U1490" s="294"/>
      <c r="V1490" s="299"/>
      <c r="W1490" s="299"/>
      <c r="X1490" s="294"/>
      <c r="Y1490" s="299"/>
      <c r="Z1490" s="294"/>
      <c r="AA1490" s="299"/>
      <c r="AB1490" s="299"/>
      <c r="AC1490" s="294"/>
      <c r="AD1490" s="294"/>
      <c r="AE1490" s="294"/>
      <c r="AF1490" s="294"/>
    </row>
    <row r="1491" spans="2:32" x14ac:dyDescent="0.25">
      <c r="B1491" s="294"/>
      <c r="C1491" s="294"/>
      <c r="D1491" s="294"/>
      <c r="E1491" s="294"/>
      <c r="F1491" s="294"/>
      <c r="G1491" s="294"/>
      <c r="H1491" s="294"/>
      <c r="I1491" s="294"/>
      <c r="J1491" s="294"/>
      <c r="L1491" s="295"/>
      <c r="M1491" s="294"/>
      <c r="S1491" s="294"/>
      <c r="T1491" s="299"/>
      <c r="U1491" s="294"/>
      <c r="V1491" s="299"/>
      <c r="W1491" s="299"/>
      <c r="X1491" s="294"/>
      <c r="Y1491" s="299"/>
      <c r="Z1491" s="294"/>
      <c r="AA1491" s="299"/>
      <c r="AB1491" s="299"/>
      <c r="AC1491" s="294"/>
      <c r="AD1491" s="294"/>
      <c r="AE1491" s="294"/>
      <c r="AF1491" s="294"/>
    </row>
    <row r="1492" spans="2:32" x14ac:dyDescent="0.25">
      <c r="B1492" s="294"/>
      <c r="C1492" s="294"/>
      <c r="D1492" s="294"/>
      <c r="E1492" s="294"/>
      <c r="F1492" s="294"/>
      <c r="G1492" s="294"/>
      <c r="H1492" s="294"/>
      <c r="I1492" s="294"/>
      <c r="J1492" s="294"/>
      <c r="L1492" s="295"/>
      <c r="M1492" s="294"/>
      <c r="S1492" s="294"/>
      <c r="T1492" s="299"/>
      <c r="U1492" s="294"/>
      <c r="V1492" s="299"/>
      <c r="W1492" s="299"/>
      <c r="X1492" s="294"/>
      <c r="Y1492" s="299"/>
      <c r="Z1492" s="294"/>
      <c r="AA1492" s="299"/>
      <c r="AB1492" s="299"/>
      <c r="AC1492" s="294"/>
      <c r="AD1492" s="294"/>
      <c r="AE1492" s="294"/>
      <c r="AF1492" s="294"/>
    </row>
    <row r="1493" spans="2:32" x14ac:dyDescent="0.25">
      <c r="B1493" s="294"/>
      <c r="C1493" s="294"/>
      <c r="D1493" s="294"/>
      <c r="E1493" s="294"/>
      <c r="F1493" s="294"/>
      <c r="G1493" s="294"/>
      <c r="H1493" s="294"/>
      <c r="I1493" s="294"/>
      <c r="J1493" s="294"/>
      <c r="L1493" s="295"/>
      <c r="M1493" s="294"/>
      <c r="S1493" s="294"/>
      <c r="T1493" s="299"/>
      <c r="U1493" s="294"/>
      <c r="V1493" s="299"/>
      <c r="W1493" s="299"/>
      <c r="X1493" s="294"/>
      <c r="Y1493" s="299"/>
      <c r="Z1493" s="294"/>
      <c r="AA1493" s="299"/>
      <c r="AB1493" s="299"/>
      <c r="AC1493" s="294"/>
      <c r="AD1493" s="294"/>
      <c r="AE1493" s="294"/>
      <c r="AF1493" s="294"/>
    </row>
    <row r="1494" spans="2:32" x14ac:dyDescent="0.25">
      <c r="B1494" s="294"/>
      <c r="C1494" s="294"/>
      <c r="D1494" s="294"/>
      <c r="E1494" s="294"/>
      <c r="F1494" s="294"/>
      <c r="G1494" s="294"/>
      <c r="H1494" s="294"/>
      <c r="I1494" s="294"/>
      <c r="J1494" s="294"/>
      <c r="L1494" s="295"/>
      <c r="M1494" s="294"/>
      <c r="S1494" s="294"/>
      <c r="T1494" s="299"/>
      <c r="U1494" s="294"/>
      <c r="V1494" s="299"/>
      <c r="W1494" s="299"/>
      <c r="X1494" s="294"/>
      <c r="Y1494" s="299"/>
      <c r="Z1494" s="294"/>
      <c r="AA1494" s="299"/>
      <c r="AB1494" s="299"/>
      <c r="AC1494" s="294"/>
      <c r="AD1494" s="294"/>
      <c r="AE1494" s="294"/>
      <c r="AF1494" s="294"/>
    </row>
    <row r="1495" spans="2:32" x14ac:dyDescent="0.25">
      <c r="B1495" s="294"/>
      <c r="C1495" s="294"/>
      <c r="D1495" s="294"/>
      <c r="E1495" s="294"/>
      <c r="F1495" s="294"/>
      <c r="G1495" s="294"/>
      <c r="H1495" s="294"/>
      <c r="I1495" s="294"/>
      <c r="J1495" s="294"/>
      <c r="L1495" s="295"/>
      <c r="M1495" s="294"/>
      <c r="S1495" s="294"/>
      <c r="T1495" s="299"/>
      <c r="U1495" s="294"/>
      <c r="V1495" s="299"/>
      <c r="W1495" s="299"/>
      <c r="X1495" s="294"/>
      <c r="Y1495" s="299"/>
      <c r="Z1495" s="294"/>
      <c r="AA1495" s="299"/>
      <c r="AB1495" s="299"/>
      <c r="AC1495" s="294"/>
      <c r="AD1495" s="294"/>
      <c r="AE1495" s="294"/>
      <c r="AF1495" s="294"/>
    </row>
    <row r="1496" spans="2:32" x14ac:dyDescent="0.25">
      <c r="B1496" s="294"/>
      <c r="C1496" s="294"/>
      <c r="D1496" s="294"/>
      <c r="E1496" s="294"/>
      <c r="F1496" s="294"/>
      <c r="G1496" s="294"/>
      <c r="H1496" s="294"/>
      <c r="I1496" s="294"/>
      <c r="J1496" s="294"/>
      <c r="L1496" s="295"/>
      <c r="M1496" s="294"/>
      <c r="S1496" s="294"/>
      <c r="T1496" s="299"/>
      <c r="U1496" s="294"/>
      <c r="V1496" s="299"/>
      <c r="W1496" s="299"/>
      <c r="X1496" s="294"/>
      <c r="Y1496" s="299"/>
      <c r="Z1496" s="294"/>
      <c r="AA1496" s="299"/>
      <c r="AB1496" s="299"/>
      <c r="AC1496" s="294"/>
      <c r="AD1496" s="294"/>
      <c r="AE1496" s="294"/>
      <c r="AF1496" s="294"/>
    </row>
    <row r="1497" spans="2:32" x14ac:dyDescent="0.25">
      <c r="B1497" s="294"/>
      <c r="C1497" s="294"/>
      <c r="D1497" s="294"/>
      <c r="E1497" s="294"/>
      <c r="F1497" s="294"/>
      <c r="G1497" s="294"/>
      <c r="H1497" s="294"/>
      <c r="I1497" s="294"/>
      <c r="J1497" s="294"/>
      <c r="L1497" s="295"/>
      <c r="M1497" s="294"/>
      <c r="S1497" s="294"/>
      <c r="T1497" s="299"/>
      <c r="U1497" s="294"/>
      <c r="V1497" s="299"/>
      <c r="W1497" s="299"/>
      <c r="X1497" s="294"/>
      <c r="Y1497" s="299"/>
      <c r="Z1497" s="294"/>
      <c r="AA1497" s="299"/>
      <c r="AB1497" s="299"/>
      <c r="AC1497" s="294"/>
      <c r="AD1497" s="294"/>
      <c r="AE1497" s="294"/>
      <c r="AF1497" s="294"/>
    </row>
    <row r="1498" spans="2:32" x14ac:dyDescent="0.25">
      <c r="B1498" s="294"/>
      <c r="C1498" s="294"/>
      <c r="D1498" s="294"/>
      <c r="E1498" s="294"/>
      <c r="F1498" s="294"/>
      <c r="G1498" s="294"/>
      <c r="H1498" s="294"/>
      <c r="I1498" s="294"/>
      <c r="J1498" s="294"/>
      <c r="L1498" s="295"/>
      <c r="M1498" s="294"/>
      <c r="S1498" s="294"/>
      <c r="T1498" s="299"/>
      <c r="U1498" s="294"/>
      <c r="V1498" s="299"/>
      <c r="W1498" s="299"/>
      <c r="X1498" s="294"/>
      <c r="Y1498" s="299"/>
      <c r="Z1498" s="294"/>
      <c r="AA1498" s="299"/>
      <c r="AB1498" s="299"/>
      <c r="AC1498" s="294"/>
      <c r="AD1498" s="294"/>
      <c r="AE1498" s="294"/>
      <c r="AF1498" s="294"/>
    </row>
    <row r="1499" spans="2:32" x14ac:dyDescent="0.25">
      <c r="B1499" s="294"/>
      <c r="C1499" s="294"/>
      <c r="D1499" s="294"/>
      <c r="E1499" s="294"/>
      <c r="F1499" s="294"/>
      <c r="G1499" s="294"/>
      <c r="H1499" s="294"/>
      <c r="I1499" s="294"/>
      <c r="J1499" s="294"/>
      <c r="L1499" s="295"/>
      <c r="M1499" s="294"/>
      <c r="S1499" s="294"/>
      <c r="T1499" s="299"/>
      <c r="U1499" s="294"/>
      <c r="V1499" s="299"/>
      <c r="W1499" s="299"/>
      <c r="X1499" s="294"/>
      <c r="Y1499" s="299"/>
      <c r="Z1499" s="294"/>
      <c r="AA1499" s="299"/>
      <c r="AB1499" s="299"/>
      <c r="AC1499" s="294"/>
      <c r="AD1499" s="294"/>
      <c r="AE1499" s="294"/>
      <c r="AF1499" s="294"/>
    </row>
    <row r="1500" spans="2:32" x14ac:dyDescent="0.25">
      <c r="B1500" s="294"/>
      <c r="C1500" s="294"/>
      <c r="D1500" s="294"/>
      <c r="E1500" s="294"/>
      <c r="F1500" s="294"/>
      <c r="G1500" s="294"/>
      <c r="H1500" s="294"/>
      <c r="I1500" s="294"/>
      <c r="J1500" s="294"/>
      <c r="L1500" s="295"/>
      <c r="M1500" s="294"/>
      <c r="S1500" s="294"/>
      <c r="T1500" s="299"/>
      <c r="U1500" s="294"/>
      <c r="V1500" s="299"/>
      <c r="W1500" s="299"/>
      <c r="X1500" s="294"/>
      <c r="Y1500" s="299"/>
      <c r="Z1500" s="294"/>
      <c r="AA1500" s="299"/>
      <c r="AB1500" s="299"/>
      <c r="AC1500" s="294"/>
      <c r="AD1500" s="294"/>
      <c r="AE1500" s="294"/>
      <c r="AF1500" s="294"/>
    </row>
    <row r="1501" spans="2:32" x14ac:dyDescent="0.25">
      <c r="B1501" s="294"/>
      <c r="C1501" s="294"/>
      <c r="D1501" s="294"/>
      <c r="E1501" s="294"/>
      <c r="F1501" s="294"/>
      <c r="G1501" s="294"/>
      <c r="H1501" s="294"/>
      <c r="I1501" s="294"/>
      <c r="J1501" s="294"/>
      <c r="L1501" s="295"/>
      <c r="M1501" s="294"/>
      <c r="S1501" s="294"/>
      <c r="T1501" s="299"/>
      <c r="U1501" s="294"/>
      <c r="V1501" s="299"/>
      <c r="W1501" s="299"/>
      <c r="X1501" s="294"/>
      <c r="Y1501" s="299"/>
      <c r="Z1501" s="294"/>
      <c r="AA1501" s="299"/>
      <c r="AB1501" s="299"/>
      <c r="AC1501" s="294"/>
      <c r="AD1501" s="294"/>
      <c r="AE1501" s="294"/>
      <c r="AF1501" s="294"/>
    </row>
    <row r="1502" spans="2:32" x14ac:dyDescent="0.25">
      <c r="B1502" s="294"/>
      <c r="C1502" s="294"/>
      <c r="D1502" s="294"/>
      <c r="E1502" s="294"/>
      <c r="F1502" s="294"/>
      <c r="G1502" s="294"/>
      <c r="H1502" s="294"/>
      <c r="I1502" s="294"/>
      <c r="J1502" s="294"/>
      <c r="L1502" s="295"/>
      <c r="M1502" s="294"/>
      <c r="S1502" s="294"/>
      <c r="T1502" s="299"/>
      <c r="U1502" s="294"/>
      <c r="V1502" s="299"/>
      <c r="W1502" s="299"/>
      <c r="X1502" s="294"/>
      <c r="Y1502" s="299"/>
      <c r="Z1502" s="294"/>
      <c r="AA1502" s="299"/>
      <c r="AB1502" s="299"/>
      <c r="AC1502" s="294"/>
      <c r="AD1502" s="294"/>
      <c r="AE1502" s="294"/>
      <c r="AF1502" s="294"/>
    </row>
    <row r="1503" spans="2:32" x14ac:dyDescent="0.25">
      <c r="B1503" s="294"/>
      <c r="C1503" s="294"/>
      <c r="D1503" s="294"/>
      <c r="E1503" s="294"/>
      <c r="F1503" s="294"/>
      <c r="G1503" s="294"/>
      <c r="H1503" s="294"/>
      <c r="I1503" s="294"/>
      <c r="J1503" s="294"/>
      <c r="L1503" s="295"/>
      <c r="M1503" s="294"/>
      <c r="S1503" s="294"/>
      <c r="T1503" s="299"/>
      <c r="U1503" s="294"/>
      <c r="V1503" s="299"/>
      <c r="W1503" s="299"/>
      <c r="X1503" s="294"/>
      <c r="Y1503" s="299"/>
      <c r="Z1503" s="294"/>
      <c r="AA1503" s="299"/>
      <c r="AB1503" s="299"/>
      <c r="AC1503" s="294"/>
      <c r="AD1503" s="294"/>
      <c r="AE1503" s="294"/>
      <c r="AF1503" s="294"/>
    </row>
    <row r="1504" spans="2:32" x14ac:dyDescent="0.25">
      <c r="B1504" s="294"/>
      <c r="C1504" s="294"/>
      <c r="D1504" s="294"/>
      <c r="E1504" s="294"/>
      <c r="F1504" s="294"/>
      <c r="G1504" s="294"/>
      <c r="H1504" s="294"/>
      <c r="I1504" s="294"/>
      <c r="J1504" s="294"/>
      <c r="L1504" s="295"/>
      <c r="M1504" s="294"/>
      <c r="S1504" s="294"/>
      <c r="T1504" s="299"/>
      <c r="U1504" s="294"/>
      <c r="V1504" s="299"/>
      <c r="W1504" s="299"/>
      <c r="X1504" s="294"/>
      <c r="Y1504" s="299"/>
      <c r="Z1504" s="294"/>
      <c r="AA1504" s="299"/>
      <c r="AB1504" s="299"/>
      <c r="AC1504" s="294"/>
      <c r="AD1504" s="294"/>
      <c r="AE1504" s="294"/>
      <c r="AF1504" s="294"/>
    </row>
    <row r="1505" spans="2:32" x14ac:dyDescent="0.25">
      <c r="B1505" s="294"/>
      <c r="C1505" s="294"/>
      <c r="D1505" s="294"/>
      <c r="E1505" s="294"/>
      <c r="F1505" s="294"/>
      <c r="G1505" s="294"/>
      <c r="H1505" s="294"/>
      <c r="I1505" s="294"/>
      <c r="J1505" s="294"/>
      <c r="L1505" s="295"/>
      <c r="M1505" s="294"/>
      <c r="S1505" s="294"/>
      <c r="T1505" s="299"/>
      <c r="U1505" s="294"/>
      <c r="V1505" s="299"/>
      <c r="W1505" s="299"/>
      <c r="X1505" s="294"/>
      <c r="Y1505" s="299"/>
      <c r="Z1505" s="294"/>
      <c r="AA1505" s="299"/>
      <c r="AB1505" s="299"/>
      <c r="AC1505" s="294"/>
      <c r="AD1505" s="294"/>
      <c r="AE1505" s="294"/>
      <c r="AF1505" s="294"/>
    </row>
    <row r="1506" spans="2:32" x14ac:dyDescent="0.25">
      <c r="B1506" s="294"/>
      <c r="C1506" s="294"/>
      <c r="D1506" s="294"/>
      <c r="E1506" s="294"/>
      <c r="F1506" s="294"/>
      <c r="G1506" s="294"/>
      <c r="H1506" s="294"/>
      <c r="I1506" s="294"/>
      <c r="J1506" s="294"/>
      <c r="L1506" s="295"/>
      <c r="M1506" s="294"/>
      <c r="S1506" s="294"/>
      <c r="T1506" s="299"/>
      <c r="U1506" s="294"/>
      <c r="V1506" s="299"/>
      <c r="W1506" s="299"/>
      <c r="X1506" s="294"/>
      <c r="Y1506" s="299"/>
      <c r="Z1506" s="294"/>
      <c r="AA1506" s="299"/>
      <c r="AB1506" s="299"/>
      <c r="AC1506" s="294"/>
      <c r="AD1506" s="294"/>
      <c r="AE1506" s="294"/>
      <c r="AF1506" s="294"/>
    </row>
    <row r="1507" spans="2:32" x14ac:dyDescent="0.25">
      <c r="B1507" s="294"/>
      <c r="C1507" s="294"/>
      <c r="D1507" s="294"/>
      <c r="E1507" s="294"/>
      <c r="F1507" s="294"/>
      <c r="G1507" s="294"/>
      <c r="H1507" s="294"/>
      <c r="I1507" s="294"/>
      <c r="J1507" s="294"/>
      <c r="L1507" s="295"/>
      <c r="M1507" s="294"/>
      <c r="S1507" s="294"/>
      <c r="T1507" s="299"/>
      <c r="U1507" s="294"/>
      <c r="V1507" s="299"/>
      <c r="W1507" s="299"/>
      <c r="X1507" s="294"/>
      <c r="Y1507" s="299"/>
      <c r="Z1507" s="294"/>
      <c r="AA1507" s="299"/>
      <c r="AB1507" s="299"/>
      <c r="AC1507" s="294"/>
      <c r="AD1507" s="294"/>
      <c r="AE1507" s="294"/>
      <c r="AF1507" s="294"/>
    </row>
    <row r="1508" spans="2:32" x14ac:dyDescent="0.25">
      <c r="B1508" s="294"/>
      <c r="C1508" s="294"/>
      <c r="D1508" s="294"/>
      <c r="E1508" s="294"/>
      <c r="F1508" s="294"/>
      <c r="G1508" s="294"/>
      <c r="H1508" s="294"/>
      <c r="I1508" s="294"/>
      <c r="J1508" s="294"/>
      <c r="L1508" s="295"/>
      <c r="M1508" s="294"/>
      <c r="S1508" s="294"/>
      <c r="T1508" s="299"/>
      <c r="U1508" s="294"/>
      <c r="V1508" s="299"/>
      <c r="W1508" s="299"/>
      <c r="X1508" s="294"/>
      <c r="Y1508" s="299"/>
      <c r="Z1508" s="294"/>
      <c r="AA1508" s="299"/>
      <c r="AB1508" s="299"/>
      <c r="AC1508" s="294"/>
      <c r="AD1508" s="294"/>
      <c r="AE1508" s="294"/>
      <c r="AF1508" s="294"/>
    </row>
    <row r="1509" spans="2:32" x14ac:dyDescent="0.25">
      <c r="B1509" s="294"/>
      <c r="C1509" s="294"/>
      <c r="D1509" s="294"/>
      <c r="E1509" s="294"/>
      <c r="F1509" s="294"/>
      <c r="G1509" s="294"/>
      <c r="H1509" s="294"/>
      <c r="I1509" s="294"/>
      <c r="J1509" s="294"/>
      <c r="L1509" s="295"/>
      <c r="M1509" s="294"/>
      <c r="S1509" s="294"/>
      <c r="T1509" s="299"/>
      <c r="U1509" s="294"/>
      <c r="V1509" s="299"/>
      <c r="W1509" s="299"/>
      <c r="X1509" s="294"/>
      <c r="Y1509" s="299"/>
      <c r="Z1509" s="294"/>
      <c r="AA1509" s="299"/>
      <c r="AB1509" s="299"/>
      <c r="AC1509" s="294"/>
      <c r="AD1509" s="294"/>
      <c r="AE1509" s="294"/>
      <c r="AF1509" s="294"/>
    </row>
    <row r="1510" spans="2:32" x14ac:dyDescent="0.25">
      <c r="B1510" s="294"/>
      <c r="C1510" s="294"/>
      <c r="D1510" s="294"/>
      <c r="E1510" s="294"/>
      <c r="F1510" s="294"/>
      <c r="G1510" s="294"/>
      <c r="H1510" s="294"/>
      <c r="I1510" s="294"/>
      <c r="J1510" s="294"/>
      <c r="L1510" s="295"/>
      <c r="M1510" s="294"/>
      <c r="S1510" s="294"/>
      <c r="T1510" s="299"/>
      <c r="U1510" s="294"/>
      <c r="V1510" s="299"/>
      <c r="W1510" s="299"/>
      <c r="X1510" s="294"/>
      <c r="Y1510" s="299"/>
      <c r="Z1510" s="294"/>
      <c r="AA1510" s="299"/>
      <c r="AB1510" s="299"/>
      <c r="AC1510" s="294"/>
      <c r="AD1510" s="294"/>
      <c r="AE1510" s="294"/>
      <c r="AF1510" s="294"/>
    </row>
    <row r="1511" spans="2:32" x14ac:dyDescent="0.25">
      <c r="B1511" s="294"/>
      <c r="C1511" s="294"/>
      <c r="D1511" s="294"/>
      <c r="E1511" s="294"/>
      <c r="F1511" s="294"/>
      <c r="G1511" s="294"/>
      <c r="H1511" s="294"/>
      <c r="I1511" s="294"/>
      <c r="J1511" s="294"/>
      <c r="L1511" s="295"/>
      <c r="M1511" s="294"/>
      <c r="S1511" s="294"/>
      <c r="T1511" s="299"/>
      <c r="U1511" s="294"/>
      <c r="V1511" s="299"/>
      <c r="W1511" s="299"/>
      <c r="X1511" s="294"/>
      <c r="Y1511" s="299"/>
      <c r="Z1511" s="294"/>
      <c r="AA1511" s="299"/>
      <c r="AB1511" s="299"/>
      <c r="AC1511" s="294"/>
      <c r="AD1511" s="294"/>
      <c r="AE1511" s="294"/>
      <c r="AF1511" s="294"/>
    </row>
    <row r="1512" spans="2:32" x14ac:dyDescent="0.25">
      <c r="B1512" s="294"/>
      <c r="C1512" s="294"/>
      <c r="D1512" s="294"/>
      <c r="E1512" s="294"/>
      <c r="F1512" s="294"/>
      <c r="G1512" s="294"/>
      <c r="H1512" s="294"/>
      <c r="I1512" s="294"/>
      <c r="J1512" s="294"/>
      <c r="L1512" s="295"/>
      <c r="M1512" s="294"/>
      <c r="S1512" s="294"/>
      <c r="T1512" s="299"/>
      <c r="U1512" s="294"/>
      <c r="V1512" s="299"/>
      <c r="W1512" s="299"/>
      <c r="X1512" s="294"/>
      <c r="Y1512" s="299"/>
      <c r="Z1512" s="294"/>
      <c r="AA1512" s="299"/>
      <c r="AB1512" s="299"/>
      <c r="AC1512" s="294"/>
      <c r="AD1512" s="294"/>
      <c r="AE1512" s="294"/>
      <c r="AF1512" s="294"/>
    </row>
    <row r="1513" spans="2:32" x14ac:dyDescent="0.25">
      <c r="B1513" s="294"/>
      <c r="C1513" s="294"/>
      <c r="D1513" s="294"/>
      <c r="E1513" s="294"/>
      <c r="F1513" s="294"/>
      <c r="G1513" s="294"/>
      <c r="H1513" s="294"/>
      <c r="I1513" s="294"/>
      <c r="J1513" s="294"/>
      <c r="L1513" s="295"/>
      <c r="M1513" s="294"/>
      <c r="S1513" s="294"/>
      <c r="T1513" s="299"/>
      <c r="U1513" s="294"/>
      <c r="V1513" s="299"/>
      <c r="W1513" s="299"/>
      <c r="X1513" s="294"/>
      <c r="Y1513" s="299"/>
      <c r="Z1513" s="294"/>
      <c r="AA1513" s="299"/>
      <c r="AB1513" s="299"/>
      <c r="AC1513" s="294"/>
      <c r="AD1513" s="294"/>
      <c r="AE1513" s="294"/>
      <c r="AF1513" s="294"/>
    </row>
    <row r="1514" spans="2:32" x14ac:dyDescent="0.25">
      <c r="B1514" s="294"/>
      <c r="C1514" s="294"/>
      <c r="D1514" s="294"/>
      <c r="E1514" s="294"/>
      <c r="F1514" s="294"/>
      <c r="G1514" s="294"/>
      <c r="H1514" s="294"/>
      <c r="I1514" s="294"/>
      <c r="J1514" s="294"/>
      <c r="L1514" s="295"/>
      <c r="M1514" s="294"/>
      <c r="S1514" s="294"/>
      <c r="T1514" s="299"/>
      <c r="U1514" s="294"/>
      <c r="V1514" s="299"/>
      <c r="W1514" s="299"/>
      <c r="X1514" s="294"/>
      <c r="Y1514" s="299"/>
      <c r="Z1514" s="294"/>
      <c r="AA1514" s="299"/>
      <c r="AB1514" s="299"/>
      <c r="AC1514" s="294"/>
      <c r="AD1514" s="294"/>
      <c r="AE1514" s="294"/>
      <c r="AF1514" s="294"/>
    </row>
    <row r="1515" spans="2:32" x14ac:dyDescent="0.25">
      <c r="B1515" s="294"/>
      <c r="C1515" s="294"/>
      <c r="D1515" s="294"/>
      <c r="E1515" s="294"/>
      <c r="F1515" s="294"/>
      <c r="G1515" s="294"/>
      <c r="H1515" s="294"/>
      <c r="I1515" s="294"/>
      <c r="J1515" s="294"/>
      <c r="L1515" s="295"/>
      <c r="M1515" s="294"/>
      <c r="S1515" s="294"/>
      <c r="T1515" s="299"/>
      <c r="U1515" s="294"/>
      <c r="V1515" s="299"/>
      <c r="W1515" s="299"/>
      <c r="X1515" s="294"/>
      <c r="Y1515" s="299"/>
      <c r="Z1515" s="294"/>
      <c r="AA1515" s="299"/>
      <c r="AB1515" s="299"/>
      <c r="AC1515" s="294"/>
      <c r="AD1515" s="294"/>
      <c r="AE1515" s="294"/>
      <c r="AF1515" s="294"/>
    </row>
    <row r="1516" spans="2:32" x14ac:dyDescent="0.25">
      <c r="B1516" s="294"/>
      <c r="C1516" s="294"/>
      <c r="D1516" s="294"/>
      <c r="E1516" s="294"/>
      <c r="F1516" s="294"/>
      <c r="G1516" s="294"/>
      <c r="H1516" s="294"/>
      <c r="I1516" s="294"/>
      <c r="J1516" s="294"/>
      <c r="L1516" s="295"/>
      <c r="M1516" s="294"/>
      <c r="S1516" s="294"/>
      <c r="T1516" s="299"/>
      <c r="U1516" s="294"/>
      <c r="V1516" s="299"/>
      <c r="W1516" s="299"/>
      <c r="X1516" s="294"/>
      <c r="Y1516" s="299"/>
      <c r="Z1516" s="294"/>
      <c r="AA1516" s="299"/>
      <c r="AB1516" s="299"/>
      <c r="AC1516" s="294"/>
      <c r="AD1516" s="294"/>
      <c r="AE1516" s="294"/>
      <c r="AF1516" s="294"/>
    </row>
    <row r="1517" spans="2:32" x14ac:dyDescent="0.25">
      <c r="B1517" s="294"/>
      <c r="C1517" s="294"/>
      <c r="D1517" s="294"/>
      <c r="E1517" s="294"/>
      <c r="F1517" s="294"/>
      <c r="G1517" s="294"/>
      <c r="H1517" s="294"/>
      <c r="I1517" s="294"/>
      <c r="J1517" s="294"/>
      <c r="L1517" s="295"/>
      <c r="M1517" s="294"/>
      <c r="S1517" s="294"/>
      <c r="T1517" s="299"/>
      <c r="U1517" s="294"/>
      <c r="V1517" s="299"/>
      <c r="W1517" s="299"/>
      <c r="X1517" s="294"/>
      <c r="Y1517" s="299"/>
      <c r="Z1517" s="294"/>
      <c r="AA1517" s="299"/>
      <c r="AB1517" s="299"/>
      <c r="AC1517" s="294"/>
      <c r="AD1517" s="294"/>
      <c r="AE1517" s="294"/>
      <c r="AF1517" s="294"/>
    </row>
    <row r="1518" spans="2:32" x14ac:dyDescent="0.25">
      <c r="B1518" s="294"/>
      <c r="C1518" s="294"/>
      <c r="D1518" s="294"/>
      <c r="E1518" s="294"/>
      <c r="F1518" s="294"/>
      <c r="G1518" s="294"/>
      <c r="H1518" s="294"/>
      <c r="I1518" s="294"/>
      <c r="J1518" s="294"/>
      <c r="L1518" s="295"/>
      <c r="M1518" s="294"/>
      <c r="S1518" s="294"/>
      <c r="T1518" s="299"/>
      <c r="U1518" s="294"/>
      <c r="V1518" s="299"/>
      <c r="W1518" s="299"/>
      <c r="X1518" s="294"/>
      <c r="Y1518" s="299"/>
      <c r="Z1518" s="294"/>
      <c r="AA1518" s="299"/>
      <c r="AB1518" s="299"/>
      <c r="AC1518" s="294"/>
      <c r="AD1518" s="294"/>
      <c r="AE1518" s="294"/>
      <c r="AF1518" s="294"/>
    </row>
    <row r="1519" spans="2:32" x14ac:dyDescent="0.25">
      <c r="B1519" s="294"/>
      <c r="C1519" s="294"/>
      <c r="D1519" s="294"/>
      <c r="E1519" s="294"/>
      <c r="F1519" s="294"/>
      <c r="G1519" s="294"/>
      <c r="H1519" s="294"/>
      <c r="I1519" s="294"/>
      <c r="J1519" s="294"/>
      <c r="L1519" s="295"/>
      <c r="M1519" s="294"/>
      <c r="S1519" s="294"/>
      <c r="T1519" s="299"/>
      <c r="U1519" s="294"/>
      <c r="V1519" s="299"/>
      <c r="W1519" s="299"/>
      <c r="X1519" s="294"/>
      <c r="Y1519" s="299"/>
      <c r="Z1519" s="294"/>
      <c r="AA1519" s="299"/>
      <c r="AB1519" s="299"/>
      <c r="AC1519" s="294"/>
      <c r="AD1519" s="294"/>
      <c r="AE1519" s="294"/>
      <c r="AF1519" s="294"/>
    </row>
    <row r="1520" spans="2:32" x14ac:dyDescent="0.25">
      <c r="B1520" s="294"/>
      <c r="C1520" s="294"/>
      <c r="D1520" s="294"/>
      <c r="E1520" s="294"/>
      <c r="F1520" s="294"/>
      <c r="G1520" s="294"/>
      <c r="H1520" s="294"/>
      <c r="I1520" s="294"/>
      <c r="J1520" s="294"/>
      <c r="L1520" s="295"/>
      <c r="M1520" s="294"/>
      <c r="S1520" s="294"/>
      <c r="T1520" s="299"/>
      <c r="U1520" s="294"/>
      <c r="V1520" s="299"/>
      <c r="W1520" s="299"/>
      <c r="X1520" s="294"/>
      <c r="Y1520" s="299"/>
      <c r="Z1520" s="294"/>
      <c r="AA1520" s="299"/>
      <c r="AB1520" s="299"/>
      <c r="AC1520" s="294"/>
      <c r="AD1520" s="294"/>
      <c r="AE1520" s="294"/>
      <c r="AF1520" s="294"/>
    </row>
    <row r="1521" spans="2:32" x14ac:dyDescent="0.25">
      <c r="B1521" s="294"/>
      <c r="C1521" s="294"/>
      <c r="D1521" s="294"/>
      <c r="E1521" s="294"/>
      <c r="F1521" s="294"/>
      <c r="G1521" s="294"/>
      <c r="H1521" s="294"/>
      <c r="I1521" s="294"/>
      <c r="J1521" s="294"/>
      <c r="L1521" s="295"/>
      <c r="M1521" s="294"/>
      <c r="S1521" s="294"/>
      <c r="T1521" s="299"/>
      <c r="U1521" s="294"/>
      <c r="V1521" s="299"/>
      <c r="W1521" s="299"/>
      <c r="X1521" s="294"/>
      <c r="Y1521" s="299"/>
      <c r="Z1521" s="294"/>
      <c r="AA1521" s="299"/>
      <c r="AB1521" s="299"/>
      <c r="AC1521" s="294"/>
      <c r="AD1521" s="294"/>
      <c r="AE1521" s="294"/>
      <c r="AF1521" s="294"/>
    </row>
    <row r="1522" spans="2:32" x14ac:dyDescent="0.25">
      <c r="B1522" s="294"/>
      <c r="C1522" s="294"/>
      <c r="D1522" s="294"/>
      <c r="E1522" s="294"/>
      <c r="F1522" s="294"/>
      <c r="G1522" s="294"/>
      <c r="H1522" s="294"/>
      <c r="I1522" s="294"/>
      <c r="J1522" s="294"/>
      <c r="L1522" s="295"/>
      <c r="M1522" s="294"/>
      <c r="S1522" s="294"/>
      <c r="T1522" s="299"/>
      <c r="U1522" s="294"/>
      <c r="V1522" s="299"/>
      <c r="W1522" s="299"/>
      <c r="X1522" s="294"/>
      <c r="Y1522" s="299"/>
      <c r="Z1522" s="294"/>
      <c r="AA1522" s="299"/>
      <c r="AB1522" s="299"/>
      <c r="AC1522" s="294"/>
      <c r="AD1522" s="294"/>
      <c r="AE1522" s="294"/>
      <c r="AF1522" s="294"/>
    </row>
    <row r="1523" spans="2:32" x14ac:dyDescent="0.25">
      <c r="B1523" s="294"/>
      <c r="C1523" s="294"/>
      <c r="D1523" s="294"/>
      <c r="E1523" s="294"/>
      <c r="F1523" s="294"/>
      <c r="G1523" s="294"/>
      <c r="H1523" s="294"/>
      <c r="I1523" s="294"/>
      <c r="J1523" s="294"/>
      <c r="L1523" s="295"/>
      <c r="M1523" s="294"/>
      <c r="S1523" s="294"/>
      <c r="T1523" s="299"/>
      <c r="U1523" s="294"/>
      <c r="V1523" s="299"/>
      <c r="W1523" s="299"/>
      <c r="X1523" s="294"/>
      <c r="Y1523" s="299"/>
      <c r="Z1523" s="294"/>
      <c r="AA1523" s="299"/>
      <c r="AB1523" s="299"/>
      <c r="AC1523" s="294"/>
      <c r="AD1523" s="294"/>
      <c r="AE1523" s="294"/>
      <c r="AF1523" s="294"/>
    </row>
    <row r="1524" spans="2:32" x14ac:dyDescent="0.25">
      <c r="B1524" s="294"/>
      <c r="C1524" s="294"/>
      <c r="D1524" s="294"/>
      <c r="E1524" s="294"/>
      <c r="F1524" s="294"/>
      <c r="G1524" s="294"/>
      <c r="H1524" s="294"/>
      <c r="I1524" s="294"/>
      <c r="J1524" s="294"/>
      <c r="L1524" s="295"/>
      <c r="M1524" s="294"/>
      <c r="S1524" s="294"/>
      <c r="T1524" s="299"/>
      <c r="U1524" s="294"/>
      <c r="V1524" s="299"/>
      <c r="W1524" s="299"/>
      <c r="X1524" s="294"/>
      <c r="Y1524" s="299"/>
      <c r="Z1524" s="294"/>
      <c r="AA1524" s="299"/>
      <c r="AB1524" s="299"/>
      <c r="AC1524" s="294"/>
      <c r="AD1524" s="294"/>
      <c r="AE1524" s="294"/>
      <c r="AF1524" s="294"/>
    </row>
    <row r="1525" spans="2:32" x14ac:dyDescent="0.25">
      <c r="B1525" s="294"/>
      <c r="C1525" s="294"/>
      <c r="D1525" s="294"/>
      <c r="E1525" s="294"/>
      <c r="F1525" s="294"/>
      <c r="G1525" s="294"/>
      <c r="H1525" s="294"/>
      <c r="I1525" s="294"/>
      <c r="J1525" s="294"/>
      <c r="L1525" s="295"/>
      <c r="M1525" s="294"/>
      <c r="S1525" s="294"/>
      <c r="T1525" s="299"/>
      <c r="U1525" s="294"/>
      <c r="V1525" s="299"/>
      <c r="W1525" s="299"/>
      <c r="X1525" s="294"/>
      <c r="Y1525" s="299"/>
      <c r="Z1525" s="294"/>
      <c r="AA1525" s="299"/>
      <c r="AB1525" s="299"/>
      <c r="AC1525" s="294"/>
      <c r="AD1525" s="294"/>
      <c r="AE1525" s="294"/>
      <c r="AF1525" s="294"/>
    </row>
    <row r="1526" spans="2:32" x14ac:dyDescent="0.25">
      <c r="B1526" s="294"/>
      <c r="C1526" s="294"/>
      <c r="D1526" s="294"/>
      <c r="E1526" s="294"/>
      <c r="F1526" s="294"/>
      <c r="G1526" s="294"/>
      <c r="H1526" s="294"/>
      <c r="I1526" s="294"/>
      <c r="J1526" s="294"/>
      <c r="L1526" s="295"/>
      <c r="M1526" s="294"/>
      <c r="S1526" s="294"/>
      <c r="T1526" s="299"/>
      <c r="U1526" s="294"/>
      <c r="V1526" s="299"/>
      <c r="W1526" s="299"/>
      <c r="X1526" s="294"/>
      <c r="Y1526" s="299"/>
      <c r="Z1526" s="294"/>
      <c r="AA1526" s="299"/>
      <c r="AB1526" s="299"/>
      <c r="AC1526" s="294"/>
      <c r="AD1526" s="294"/>
      <c r="AE1526" s="294"/>
      <c r="AF1526" s="294"/>
    </row>
    <row r="1527" spans="2:32" x14ac:dyDescent="0.25">
      <c r="B1527" s="294"/>
      <c r="C1527" s="294"/>
      <c r="D1527" s="294"/>
      <c r="E1527" s="294"/>
      <c r="F1527" s="294"/>
      <c r="G1527" s="294"/>
      <c r="H1527" s="294"/>
      <c r="I1527" s="294"/>
      <c r="J1527" s="294"/>
      <c r="L1527" s="295"/>
      <c r="M1527" s="294"/>
      <c r="S1527" s="294"/>
      <c r="T1527" s="299"/>
      <c r="U1527" s="294"/>
      <c r="V1527" s="299"/>
      <c r="W1527" s="299"/>
      <c r="X1527" s="294"/>
      <c r="Y1527" s="299"/>
      <c r="Z1527" s="294"/>
      <c r="AA1527" s="299"/>
      <c r="AB1527" s="299"/>
      <c r="AC1527" s="294"/>
      <c r="AD1527" s="294"/>
      <c r="AE1527" s="294"/>
      <c r="AF1527" s="294"/>
    </row>
    <row r="1528" spans="2:32" x14ac:dyDescent="0.25">
      <c r="B1528" s="294"/>
      <c r="C1528" s="294"/>
      <c r="D1528" s="294"/>
      <c r="E1528" s="294"/>
      <c r="F1528" s="294"/>
      <c r="G1528" s="294"/>
      <c r="H1528" s="294"/>
      <c r="I1528" s="294"/>
      <c r="J1528" s="294"/>
      <c r="L1528" s="295"/>
      <c r="M1528" s="294"/>
      <c r="S1528" s="294"/>
      <c r="T1528" s="299"/>
      <c r="U1528" s="294"/>
      <c r="V1528" s="299"/>
      <c r="W1528" s="299"/>
      <c r="X1528" s="294"/>
      <c r="Y1528" s="299"/>
      <c r="Z1528" s="294"/>
      <c r="AA1528" s="299"/>
      <c r="AB1528" s="299"/>
      <c r="AC1528" s="294"/>
      <c r="AD1528" s="294"/>
      <c r="AE1528" s="294"/>
      <c r="AF1528" s="294"/>
    </row>
    <row r="1529" spans="2:32" x14ac:dyDescent="0.25">
      <c r="B1529" s="294"/>
      <c r="C1529" s="294"/>
      <c r="D1529" s="294"/>
      <c r="E1529" s="294"/>
      <c r="F1529" s="294"/>
      <c r="G1529" s="294"/>
      <c r="H1529" s="294"/>
      <c r="I1529" s="294"/>
      <c r="J1529" s="294"/>
      <c r="L1529" s="295"/>
      <c r="M1529" s="294"/>
      <c r="S1529" s="294"/>
      <c r="T1529" s="299"/>
      <c r="U1529" s="294"/>
      <c r="V1529" s="299"/>
      <c r="W1529" s="299"/>
      <c r="X1529" s="294"/>
      <c r="Y1529" s="299"/>
      <c r="Z1529" s="294"/>
      <c r="AA1529" s="299"/>
      <c r="AB1529" s="299"/>
      <c r="AC1529" s="294"/>
      <c r="AD1529" s="294"/>
      <c r="AE1529" s="294"/>
      <c r="AF1529" s="294"/>
    </row>
    <row r="1530" spans="2:32" x14ac:dyDescent="0.25">
      <c r="B1530" s="294"/>
      <c r="C1530" s="294"/>
      <c r="D1530" s="294"/>
      <c r="E1530" s="294"/>
      <c r="F1530" s="294"/>
      <c r="G1530" s="294"/>
      <c r="H1530" s="294"/>
      <c r="I1530" s="294"/>
      <c r="J1530" s="294"/>
      <c r="L1530" s="295"/>
      <c r="M1530" s="294"/>
      <c r="S1530" s="294"/>
      <c r="T1530" s="299"/>
      <c r="U1530" s="294"/>
      <c r="V1530" s="299"/>
      <c r="W1530" s="299"/>
      <c r="X1530" s="294"/>
      <c r="Y1530" s="299"/>
      <c r="Z1530" s="294"/>
      <c r="AA1530" s="299"/>
      <c r="AB1530" s="299"/>
      <c r="AC1530" s="294"/>
      <c r="AD1530" s="294"/>
      <c r="AE1530" s="294"/>
      <c r="AF1530" s="294"/>
    </row>
    <row r="1531" spans="2:32" x14ac:dyDescent="0.25">
      <c r="B1531" s="294"/>
      <c r="C1531" s="294"/>
      <c r="D1531" s="294"/>
      <c r="E1531" s="294"/>
      <c r="F1531" s="294"/>
      <c r="G1531" s="294"/>
      <c r="H1531" s="294"/>
      <c r="I1531" s="294"/>
      <c r="J1531" s="294"/>
      <c r="L1531" s="295"/>
      <c r="M1531" s="294"/>
      <c r="S1531" s="294"/>
      <c r="T1531" s="299"/>
      <c r="U1531" s="294"/>
      <c r="V1531" s="299"/>
      <c r="W1531" s="299"/>
      <c r="X1531" s="294"/>
      <c r="Y1531" s="299"/>
      <c r="Z1531" s="294"/>
      <c r="AA1531" s="299"/>
      <c r="AB1531" s="299"/>
      <c r="AC1531" s="294"/>
      <c r="AD1531" s="294"/>
      <c r="AE1531" s="294"/>
      <c r="AF1531" s="294"/>
    </row>
    <row r="1532" spans="2:32" x14ac:dyDescent="0.25">
      <c r="B1532" s="294"/>
      <c r="C1532" s="294"/>
      <c r="D1532" s="294"/>
      <c r="E1532" s="294"/>
      <c r="F1532" s="294"/>
      <c r="G1532" s="294"/>
      <c r="H1532" s="294"/>
      <c r="I1532" s="294"/>
      <c r="J1532" s="294"/>
      <c r="L1532" s="295"/>
      <c r="M1532" s="294"/>
      <c r="S1532" s="294"/>
      <c r="T1532" s="299"/>
      <c r="U1532" s="294"/>
      <c r="V1532" s="299"/>
      <c r="W1532" s="299"/>
      <c r="X1532" s="294"/>
      <c r="Y1532" s="299"/>
      <c r="Z1532" s="294"/>
      <c r="AA1532" s="299"/>
      <c r="AB1532" s="299"/>
      <c r="AC1532" s="294"/>
      <c r="AD1532" s="294"/>
      <c r="AE1532" s="294"/>
      <c r="AF1532" s="294"/>
    </row>
    <row r="1533" spans="2:32" x14ac:dyDescent="0.25">
      <c r="B1533" s="294"/>
      <c r="C1533" s="294"/>
      <c r="D1533" s="294"/>
      <c r="E1533" s="294"/>
      <c r="F1533" s="294"/>
      <c r="G1533" s="294"/>
      <c r="H1533" s="294"/>
      <c r="I1533" s="294"/>
      <c r="J1533" s="294"/>
      <c r="L1533" s="295"/>
      <c r="M1533" s="294"/>
      <c r="S1533" s="294"/>
      <c r="T1533" s="299"/>
      <c r="U1533" s="294"/>
      <c r="V1533" s="299"/>
      <c r="W1533" s="299"/>
      <c r="X1533" s="294"/>
      <c r="Y1533" s="299"/>
      <c r="Z1533" s="294"/>
      <c r="AA1533" s="299"/>
      <c r="AB1533" s="299"/>
      <c r="AC1533" s="294"/>
      <c r="AD1533" s="294"/>
      <c r="AE1533" s="294"/>
      <c r="AF1533" s="294"/>
    </row>
    <row r="1534" spans="2:32" x14ac:dyDescent="0.25">
      <c r="B1534" s="294"/>
      <c r="C1534" s="294"/>
      <c r="D1534" s="294"/>
      <c r="E1534" s="294"/>
      <c r="F1534" s="294"/>
      <c r="G1534" s="294"/>
      <c r="H1534" s="294"/>
      <c r="I1534" s="294"/>
      <c r="J1534" s="294"/>
      <c r="L1534" s="295"/>
      <c r="M1534" s="294"/>
      <c r="S1534" s="294"/>
      <c r="T1534" s="299"/>
      <c r="U1534" s="294"/>
      <c r="V1534" s="299"/>
      <c r="W1534" s="299"/>
      <c r="X1534" s="294"/>
      <c r="Y1534" s="299"/>
      <c r="Z1534" s="294"/>
      <c r="AA1534" s="299"/>
      <c r="AB1534" s="299"/>
      <c r="AC1534" s="294"/>
      <c r="AD1534" s="294"/>
      <c r="AE1534" s="294"/>
      <c r="AF1534" s="294"/>
    </row>
    <row r="1535" spans="2:32" x14ac:dyDescent="0.25">
      <c r="B1535" s="294"/>
      <c r="C1535" s="294"/>
      <c r="D1535" s="294"/>
      <c r="E1535" s="294"/>
      <c r="F1535" s="294"/>
      <c r="G1535" s="294"/>
      <c r="H1535" s="294"/>
      <c r="I1535" s="294"/>
      <c r="J1535" s="294"/>
      <c r="L1535" s="295"/>
      <c r="M1535" s="294"/>
      <c r="S1535" s="294"/>
      <c r="T1535" s="299"/>
      <c r="U1535" s="294"/>
      <c r="V1535" s="299"/>
      <c r="W1535" s="299"/>
      <c r="X1535" s="294"/>
      <c r="Y1535" s="299"/>
      <c r="Z1535" s="294"/>
      <c r="AA1535" s="299"/>
      <c r="AB1535" s="299"/>
      <c r="AC1535" s="294"/>
      <c r="AD1535" s="294"/>
      <c r="AE1535" s="294"/>
      <c r="AF1535" s="294"/>
    </row>
    <row r="1536" spans="2:32" x14ac:dyDescent="0.25">
      <c r="B1536" s="294"/>
      <c r="C1536" s="294"/>
      <c r="D1536" s="294"/>
      <c r="E1536" s="294"/>
      <c r="F1536" s="294"/>
      <c r="G1536" s="294"/>
      <c r="H1536" s="294"/>
      <c r="I1536" s="294"/>
      <c r="J1536" s="294"/>
      <c r="L1536" s="295"/>
      <c r="M1536" s="294"/>
      <c r="S1536" s="294"/>
      <c r="T1536" s="299"/>
      <c r="U1536" s="294"/>
      <c r="V1536" s="299"/>
      <c r="W1536" s="299"/>
      <c r="X1536" s="294"/>
      <c r="Y1536" s="299"/>
      <c r="Z1536" s="294"/>
      <c r="AA1536" s="299"/>
      <c r="AB1536" s="299"/>
      <c r="AC1536" s="294"/>
      <c r="AD1536" s="294"/>
      <c r="AE1536" s="294"/>
      <c r="AF1536" s="294"/>
    </row>
    <row r="1537" spans="2:32" x14ac:dyDescent="0.25">
      <c r="B1537" s="294"/>
      <c r="C1537" s="294"/>
      <c r="D1537" s="294"/>
      <c r="E1537" s="294"/>
      <c r="F1537" s="294"/>
      <c r="G1537" s="294"/>
      <c r="H1537" s="294"/>
      <c r="I1537" s="294"/>
      <c r="J1537" s="294"/>
      <c r="L1537" s="295"/>
      <c r="M1537" s="294"/>
      <c r="S1537" s="294"/>
      <c r="T1537" s="299"/>
      <c r="U1537" s="294"/>
      <c r="V1537" s="299"/>
      <c r="W1537" s="299"/>
      <c r="X1537" s="294"/>
      <c r="Y1537" s="299"/>
      <c r="Z1537" s="294"/>
      <c r="AA1537" s="299"/>
      <c r="AB1537" s="299"/>
      <c r="AC1537" s="294"/>
      <c r="AD1537" s="294"/>
      <c r="AE1537" s="294"/>
      <c r="AF1537" s="294"/>
    </row>
    <row r="1538" spans="2:32" x14ac:dyDescent="0.25">
      <c r="B1538" s="294"/>
      <c r="C1538" s="294"/>
      <c r="D1538" s="294"/>
      <c r="E1538" s="294"/>
      <c r="F1538" s="294"/>
      <c r="G1538" s="294"/>
      <c r="H1538" s="294"/>
      <c r="I1538" s="294"/>
      <c r="J1538" s="294"/>
      <c r="L1538" s="295"/>
      <c r="M1538" s="294"/>
      <c r="S1538" s="294"/>
      <c r="T1538" s="299"/>
      <c r="U1538" s="294"/>
      <c r="V1538" s="299"/>
      <c r="W1538" s="299"/>
      <c r="X1538" s="294"/>
      <c r="Y1538" s="299"/>
      <c r="Z1538" s="294"/>
      <c r="AA1538" s="299"/>
      <c r="AB1538" s="299"/>
      <c r="AC1538" s="294"/>
      <c r="AD1538" s="294"/>
      <c r="AE1538" s="294"/>
      <c r="AF1538" s="294"/>
    </row>
    <row r="1539" spans="2:32" x14ac:dyDescent="0.25">
      <c r="B1539" s="294"/>
      <c r="C1539" s="294"/>
      <c r="D1539" s="294"/>
      <c r="E1539" s="294"/>
      <c r="F1539" s="294"/>
      <c r="G1539" s="294"/>
      <c r="H1539" s="294"/>
      <c r="I1539" s="294"/>
      <c r="J1539" s="294"/>
      <c r="L1539" s="295"/>
      <c r="M1539" s="294"/>
      <c r="S1539" s="294"/>
      <c r="T1539" s="299"/>
      <c r="U1539" s="294"/>
      <c r="V1539" s="299"/>
      <c r="W1539" s="299"/>
      <c r="X1539" s="294"/>
      <c r="Y1539" s="299"/>
      <c r="Z1539" s="294"/>
      <c r="AA1539" s="299"/>
      <c r="AB1539" s="299"/>
      <c r="AC1539" s="294"/>
      <c r="AD1539" s="294"/>
      <c r="AE1539" s="294"/>
      <c r="AF1539" s="294"/>
    </row>
    <row r="1540" spans="2:32" x14ac:dyDescent="0.25">
      <c r="B1540" s="294"/>
      <c r="C1540" s="294"/>
      <c r="D1540" s="294"/>
      <c r="E1540" s="294"/>
      <c r="F1540" s="294"/>
      <c r="G1540" s="294"/>
      <c r="H1540" s="294"/>
      <c r="I1540" s="294"/>
      <c r="J1540" s="294"/>
      <c r="L1540" s="295"/>
      <c r="M1540" s="294"/>
      <c r="S1540" s="294"/>
      <c r="T1540" s="299"/>
      <c r="U1540" s="294"/>
      <c r="V1540" s="299"/>
      <c r="W1540" s="299"/>
      <c r="X1540" s="294"/>
      <c r="Y1540" s="299"/>
      <c r="Z1540" s="294"/>
      <c r="AA1540" s="299"/>
      <c r="AB1540" s="299"/>
      <c r="AC1540" s="294"/>
      <c r="AD1540" s="294"/>
      <c r="AE1540" s="294"/>
      <c r="AF1540" s="294"/>
    </row>
    <row r="1541" spans="2:32" x14ac:dyDescent="0.25">
      <c r="B1541" s="294"/>
      <c r="C1541" s="294"/>
      <c r="D1541" s="294"/>
      <c r="E1541" s="294"/>
      <c r="F1541" s="294"/>
      <c r="G1541" s="294"/>
      <c r="H1541" s="294"/>
      <c r="I1541" s="294"/>
      <c r="J1541" s="294"/>
      <c r="L1541" s="295"/>
      <c r="M1541" s="294"/>
      <c r="S1541" s="294"/>
      <c r="T1541" s="299"/>
      <c r="U1541" s="294"/>
      <c r="V1541" s="299"/>
      <c r="W1541" s="299"/>
      <c r="X1541" s="294"/>
      <c r="Y1541" s="299"/>
      <c r="Z1541" s="294"/>
      <c r="AA1541" s="299"/>
      <c r="AB1541" s="299"/>
      <c r="AC1541" s="294"/>
      <c r="AD1541" s="294"/>
      <c r="AE1541" s="294"/>
      <c r="AF1541" s="294"/>
    </row>
    <row r="1542" spans="2:32" x14ac:dyDescent="0.25">
      <c r="B1542" s="294"/>
      <c r="C1542" s="294"/>
      <c r="D1542" s="294"/>
      <c r="E1542" s="294"/>
      <c r="F1542" s="294"/>
      <c r="G1542" s="294"/>
      <c r="H1542" s="294"/>
      <c r="I1542" s="294"/>
      <c r="J1542" s="294"/>
      <c r="L1542" s="295"/>
      <c r="M1542" s="294"/>
      <c r="S1542" s="294"/>
      <c r="T1542" s="299"/>
      <c r="U1542" s="294"/>
      <c r="V1542" s="299"/>
      <c r="W1542" s="299"/>
      <c r="X1542" s="294"/>
      <c r="Y1542" s="299"/>
      <c r="Z1542" s="294"/>
      <c r="AA1542" s="299"/>
      <c r="AB1542" s="299"/>
      <c r="AC1542" s="294"/>
      <c r="AD1542" s="294"/>
      <c r="AE1542" s="294"/>
      <c r="AF1542" s="294"/>
    </row>
    <row r="1543" spans="2:32" x14ac:dyDescent="0.25">
      <c r="B1543" s="294"/>
      <c r="C1543" s="294"/>
      <c r="D1543" s="294"/>
      <c r="E1543" s="294"/>
      <c r="F1543" s="294"/>
      <c r="G1543" s="294"/>
      <c r="H1543" s="294"/>
      <c r="I1543" s="294"/>
      <c r="J1543" s="294"/>
      <c r="L1543" s="295"/>
      <c r="M1543" s="294"/>
      <c r="S1543" s="294"/>
      <c r="T1543" s="299"/>
      <c r="U1543" s="294"/>
      <c r="V1543" s="299"/>
      <c r="W1543" s="299"/>
      <c r="X1543" s="294"/>
      <c r="Y1543" s="299"/>
      <c r="Z1543" s="294"/>
      <c r="AA1543" s="299"/>
      <c r="AB1543" s="299"/>
      <c r="AC1543" s="294"/>
      <c r="AD1543" s="294"/>
      <c r="AE1543" s="294"/>
      <c r="AF1543" s="294"/>
    </row>
    <row r="1544" spans="2:32" x14ac:dyDescent="0.25">
      <c r="B1544" s="294"/>
      <c r="C1544" s="294"/>
      <c r="D1544" s="294"/>
      <c r="E1544" s="294"/>
      <c r="F1544" s="294"/>
      <c r="G1544" s="294"/>
      <c r="H1544" s="294"/>
      <c r="I1544" s="294"/>
      <c r="J1544" s="294"/>
      <c r="L1544" s="295"/>
      <c r="M1544" s="294"/>
      <c r="S1544" s="294"/>
      <c r="T1544" s="299"/>
      <c r="U1544" s="294"/>
      <c r="V1544" s="299"/>
      <c r="W1544" s="299"/>
      <c r="X1544" s="294"/>
      <c r="Y1544" s="299"/>
      <c r="Z1544" s="294"/>
      <c r="AA1544" s="299"/>
      <c r="AB1544" s="299"/>
      <c r="AC1544" s="294"/>
      <c r="AD1544" s="294"/>
      <c r="AE1544" s="294"/>
      <c r="AF1544" s="294"/>
    </row>
    <row r="1545" spans="2:32" x14ac:dyDescent="0.25">
      <c r="B1545" s="294"/>
      <c r="C1545" s="294"/>
      <c r="D1545" s="294"/>
      <c r="E1545" s="294"/>
      <c r="F1545" s="294"/>
      <c r="G1545" s="294"/>
      <c r="H1545" s="294"/>
      <c r="I1545" s="294"/>
      <c r="J1545" s="294"/>
      <c r="L1545" s="295"/>
      <c r="M1545" s="294"/>
      <c r="S1545" s="294"/>
      <c r="T1545" s="299"/>
      <c r="U1545" s="294"/>
      <c r="V1545" s="299"/>
      <c r="W1545" s="299"/>
      <c r="X1545" s="294"/>
      <c r="Y1545" s="299"/>
      <c r="Z1545" s="294"/>
      <c r="AA1545" s="299"/>
      <c r="AB1545" s="299"/>
      <c r="AC1545" s="294"/>
      <c r="AD1545" s="294"/>
      <c r="AE1545" s="294"/>
      <c r="AF1545" s="294"/>
    </row>
    <row r="1546" spans="2:32" x14ac:dyDescent="0.25">
      <c r="B1546" s="294"/>
      <c r="C1546" s="294"/>
      <c r="D1546" s="294"/>
      <c r="E1546" s="294"/>
      <c r="F1546" s="294"/>
      <c r="G1546" s="294"/>
      <c r="H1546" s="294"/>
      <c r="I1546" s="294"/>
      <c r="J1546" s="294"/>
      <c r="L1546" s="295"/>
      <c r="M1546" s="294"/>
      <c r="S1546" s="294"/>
      <c r="T1546" s="299"/>
      <c r="U1546" s="294"/>
      <c r="V1546" s="299"/>
      <c r="W1546" s="299"/>
      <c r="X1546" s="294"/>
      <c r="Y1546" s="299"/>
      <c r="Z1546" s="294"/>
      <c r="AA1546" s="299"/>
      <c r="AB1546" s="299"/>
      <c r="AC1546" s="294"/>
      <c r="AD1546" s="294"/>
      <c r="AE1546" s="294"/>
      <c r="AF1546" s="294"/>
    </row>
    <row r="1547" spans="2:32" x14ac:dyDescent="0.25">
      <c r="B1547" s="294"/>
      <c r="C1547" s="294"/>
      <c r="D1547" s="294"/>
      <c r="E1547" s="294"/>
      <c r="F1547" s="294"/>
      <c r="G1547" s="294"/>
      <c r="H1547" s="294"/>
      <c r="I1547" s="294"/>
      <c r="J1547" s="294"/>
      <c r="L1547" s="295"/>
      <c r="M1547" s="294"/>
      <c r="S1547" s="294"/>
      <c r="T1547" s="299"/>
      <c r="U1547" s="294"/>
      <c r="V1547" s="299"/>
      <c r="W1547" s="299"/>
      <c r="X1547" s="294"/>
      <c r="Y1547" s="299"/>
      <c r="Z1547" s="294"/>
      <c r="AA1547" s="299"/>
      <c r="AB1547" s="299"/>
      <c r="AC1547" s="294"/>
      <c r="AD1547" s="294"/>
      <c r="AE1547" s="294"/>
      <c r="AF1547" s="294"/>
    </row>
    <row r="1548" spans="2:32" x14ac:dyDescent="0.25">
      <c r="B1548" s="294"/>
      <c r="C1548" s="294"/>
      <c r="D1548" s="294"/>
      <c r="E1548" s="294"/>
      <c r="F1548" s="294"/>
      <c r="G1548" s="294"/>
      <c r="H1548" s="294"/>
      <c r="I1548" s="294"/>
      <c r="J1548" s="294"/>
      <c r="L1548" s="295"/>
      <c r="M1548" s="294"/>
      <c r="S1548" s="294"/>
      <c r="T1548" s="299"/>
      <c r="U1548" s="294"/>
      <c r="V1548" s="299"/>
      <c r="W1548" s="299"/>
      <c r="X1548" s="294"/>
      <c r="Y1548" s="299"/>
      <c r="Z1548" s="294"/>
      <c r="AA1548" s="299"/>
      <c r="AB1548" s="299"/>
      <c r="AC1548" s="294"/>
      <c r="AD1548" s="294"/>
      <c r="AE1548" s="294"/>
      <c r="AF1548" s="294"/>
    </row>
    <row r="1549" spans="2:32" x14ac:dyDescent="0.25">
      <c r="B1549" s="294"/>
      <c r="C1549" s="294"/>
      <c r="D1549" s="294"/>
      <c r="E1549" s="294"/>
      <c r="F1549" s="294"/>
      <c r="G1549" s="294"/>
      <c r="H1549" s="294"/>
      <c r="I1549" s="294"/>
      <c r="J1549" s="294"/>
      <c r="L1549" s="295"/>
      <c r="M1549" s="294"/>
      <c r="S1549" s="294"/>
      <c r="T1549" s="299"/>
      <c r="U1549" s="294"/>
      <c r="V1549" s="299"/>
      <c r="W1549" s="299"/>
      <c r="X1549" s="294"/>
      <c r="Y1549" s="299"/>
      <c r="Z1549" s="294"/>
      <c r="AA1549" s="299"/>
      <c r="AB1549" s="299"/>
      <c r="AC1549" s="294"/>
      <c r="AD1549" s="294"/>
      <c r="AE1549" s="294"/>
      <c r="AF1549" s="294"/>
    </row>
    <row r="1550" spans="2:32" x14ac:dyDescent="0.25">
      <c r="B1550" s="294"/>
      <c r="C1550" s="294"/>
      <c r="D1550" s="294"/>
      <c r="E1550" s="294"/>
      <c r="F1550" s="294"/>
      <c r="G1550" s="294"/>
      <c r="H1550" s="294"/>
      <c r="I1550" s="294"/>
      <c r="J1550" s="294"/>
      <c r="L1550" s="295"/>
      <c r="M1550" s="294"/>
      <c r="S1550" s="294"/>
      <c r="T1550" s="299"/>
      <c r="U1550" s="294"/>
      <c r="V1550" s="299"/>
      <c r="W1550" s="299"/>
      <c r="X1550" s="294"/>
      <c r="Y1550" s="299"/>
      <c r="Z1550" s="294"/>
      <c r="AA1550" s="299"/>
      <c r="AB1550" s="299"/>
      <c r="AC1550" s="294"/>
      <c r="AD1550" s="294"/>
      <c r="AE1550" s="294"/>
      <c r="AF1550" s="294"/>
    </row>
    <row r="1551" spans="2:32" x14ac:dyDescent="0.25">
      <c r="B1551" s="294"/>
      <c r="C1551" s="294"/>
      <c r="D1551" s="294"/>
      <c r="E1551" s="294"/>
      <c r="F1551" s="294"/>
      <c r="G1551" s="294"/>
      <c r="H1551" s="294"/>
      <c r="I1551" s="294"/>
      <c r="J1551" s="294"/>
      <c r="L1551" s="295"/>
      <c r="M1551" s="294"/>
      <c r="S1551" s="294"/>
      <c r="T1551" s="299"/>
      <c r="U1551" s="294"/>
      <c r="V1551" s="299"/>
      <c r="W1551" s="299"/>
      <c r="X1551" s="294"/>
      <c r="Y1551" s="299"/>
      <c r="Z1551" s="294"/>
      <c r="AA1551" s="299"/>
      <c r="AB1551" s="299"/>
      <c r="AC1551" s="294"/>
      <c r="AD1551" s="294"/>
      <c r="AE1551" s="294"/>
      <c r="AF1551" s="294"/>
    </row>
    <row r="1552" spans="2:32" x14ac:dyDescent="0.25">
      <c r="B1552" s="294"/>
      <c r="C1552" s="294"/>
      <c r="D1552" s="294"/>
      <c r="E1552" s="294"/>
      <c r="F1552" s="294"/>
      <c r="G1552" s="294"/>
      <c r="H1552" s="294"/>
      <c r="I1552" s="294"/>
      <c r="J1552" s="294"/>
      <c r="L1552" s="295"/>
      <c r="M1552" s="294"/>
      <c r="S1552" s="294"/>
      <c r="T1552" s="299"/>
      <c r="U1552" s="294"/>
      <c r="V1552" s="299"/>
      <c r="W1552" s="299"/>
      <c r="X1552" s="294"/>
      <c r="Y1552" s="299"/>
      <c r="Z1552" s="294"/>
      <c r="AA1552" s="299"/>
      <c r="AB1552" s="299"/>
      <c r="AC1552" s="294"/>
      <c r="AD1552" s="294"/>
      <c r="AE1552" s="294"/>
      <c r="AF1552" s="294"/>
    </row>
    <row r="1553" spans="2:32" x14ac:dyDescent="0.25">
      <c r="B1553" s="294"/>
      <c r="C1553" s="294"/>
      <c r="D1553" s="294"/>
      <c r="E1553" s="294"/>
      <c r="F1553" s="294"/>
      <c r="G1553" s="294"/>
      <c r="H1553" s="294"/>
      <c r="I1553" s="294"/>
      <c r="J1553" s="294"/>
      <c r="L1553" s="295"/>
      <c r="M1553" s="294"/>
      <c r="S1553" s="294"/>
      <c r="T1553" s="299"/>
      <c r="U1553" s="294"/>
      <c r="V1553" s="299"/>
      <c r="W1553" s="299"/>
      <c r="X1553" s="294"/>
      <c r="Y1553" s="299"/>
      <c r="Z1553" s="294"/>
      <c r="AA1553" s="299"/>
      <c r="AB1553" s="299"/>
      <c r="AC1553" s="294"/>
      <c r="AD1553" s="294"/>
      <c r="AE1553" s="294"/>
      <c r="AF1553" s="294"/>
    </row>
    <row r="1554" spans="2:32" x14ac:dyDescent="0.25">
      <c r="B1554" s="294"/>
      <c r="C1554" s="294"/>
      <c r="D1554" s="294"/>
      <c r="E1554" s="294"/>
      <c r="F1554" s="294"/>
      <c r="G1554" s="294"/>
      <c r="H1554" s="294"/>
      <c r="I1554" s="294"/>
      <c r="J1554" s="294"/>
      <c r="L1554" s="295"/>
      <c r="M1554" s="294"/>
      <c r="S1554" s="294"/>
      <c r="T1554" s="299"/>
      <c r="U1554" s="294"/>
      <c r="V1554" s="299"/>
      <c r="W1554" s="299"/>
      <c r="X1554" s="294"/>
      <c r="Y1554" s="299"/>
      <c r="Z1554" s="294"/>
      <c r="AA1554" s="299"/>
      <c r="AB1554" s="299"/>
      <c r="AC1554" s="294"/>
      <c r="AD1554" s="294"/>
      <c r="AE1554" s="294"/>
      <c r="AF1554" s="294"/>
    </row>
    <row r="1555" spans="2:32" x14ac:dyDescent="0.25">
      <c r="B1555" s="294"/>
      <c r="C1555" s="294"/>
      <c r="D1555" s="294"/>
      <c r="E1555" s="294"/>
      <c r="F1555" s="294"/>
      <c r="G1555" s="294"/>
      <c r="H1555" s="294"/>
      <c r="I1555" s="294"/>
      <c r="J1555" s="294"/>
      <c r="L1555" s="295"/>
      <c r="M1555" s="294"/>
      <c r="S1555" s="294"/>
      <c r="T1555" s="299"/>
      <c r="U1555" s="294"/>
      <c r="V1555" s="299"/>
      <c r="W1555" s="299"/>
      <c r="X1555" s="294"/>
      <c r="Y1555" s="299"/>
      <c r="Z1555" s="294"/>
      <c r="AA1555" s="299"/>
      <c r="AB1555" s="299"/>
      <c r="AC1555" s="294"/>
      <c r="AD1555" s="294"/>
      <c r="AE1555" s="294"/>
      <c r="AF1555" s="294"/>
    </row>
    <row r="1556" spans="2:32" x14ac:dyDescent="0.25">
      <c r="B1556" s="294"/>
      <c r="C1556" s="294"/>
      <c r="D1556" s="294"/>
      <c r="E1556" s="294"/>
      <c r="F1556" s="294"/>
      <c r="G1556" s="294"/>
      <c r="H1556" s="294"/>
      <c r="I1556" s="294"/>
      <c r="J1556" s="294"/>
      <c r="L1556" s="295"/>
      <c r="M1556" s="294"/>
      <c r="S1556" s="294"/>
      <c r="T1556" s="299"/>
      <c r="U1556" s="294"/>
      <c r="V1556" s="299"/>
      <c r="W1556" s="299"/>
      <c r="X1556" s="294"/>
      <c r="Y1556" s="299"/>
      <c r="Z1556" s="294"/>
      <c r="AA1556" s="299"/>
      <c r="AB1556" s="299"/>
      <c r="AC1556" s="294"/>
      <c r="AD1556" s="294"/>
      <c r="AE1556" s="294"/>
      <c r="AF1556" s="294"/>
    </row>
    <row r="1557" spans="2:32" x14ac:dyDescent="0.25">
      <c r="B1557" s="294"/>
      <c r="C1557" s="294"/>
      <c r="D1557" s="294"/>
      <c r="E1557" s="294"/>
      <c r="F1557" s="294"/>
      <c r="G1557" s="294"/>
      <c r="H1557" s="294"/>
      <c r="I1557" s="294"/>
      <c r="J1557" s="294"/>
      <c r="L1557" s="295"/>
      <c r="M1557" s="294"/>
      <c r="S1557" s="294"/>
      <c r="T1557" s="299"/>
      <c r="U1557" s="294"/>
      <c r="V1557" s="299"/>
      <c r="W1557" s="299"/>
      <c r="X1557" s="294"/>
      <c r="Y1557" s="299"/>
      <c r="Z1557" s="294"/>
      <c r="AA1557" s="299"/>
      <c r="AB1557" s="299"/>
      <c r="AC1557" s="294"/>
      <c r="AD1557" s="294"/>
      <c r="AE1557" s="294"/>
      <c r="AF1557" s="294"/>
    </row>
    <row r="1558" spans="2:32" x14ac:dyDescent="0.25">
      <c r="B1558" s="294"/>
      <c r="C1558" s="294"/>
      <c r="D1558" s="294"/>
      <c r="E1558" s="294"/>
      <c r="F1558" s="294"/>
      <c r="G1558" s="294"/>
      <c r="H1558" s="294"/>
      <c r="I1558" s="294"/>
      <c r="J1558" s="294"/>
      <c r="L1558" s="295"/>
      <c r="M1558" s="294"/>
      <c r="S1558" s="294"/>
      <c r="T1558" s="299"/>
      <c r="U1558" s="294"/>
      <c r="V1558" s="299"/>
      <c r="W1558" s="299"/>
      <c r="X1558" s="294"/>
      <c r="Y1558" s="299"/>
      <c r="Z1558" s="294"/>
      <c r="AA1558" s="299"/>
      <c r="AB1558" s="299"/>
      <c r="AC1558" s="294"/>
      <c r="AD1558" s="294"/>
      <c r="AE1558" s="294"/>
      <c r="AF1558" s="294"/>
    </row>
    <row r="1559" spans="2:32" x14ac:dyDescent="0.25">
      <c r="B1559" s="294"/>
      <c r="C1559" s="294"/>
      <c r="D1559" s="294"/>
      <c r="E1559" s="294"/>
      <c r="F1559" s="294"/>
      <c r="G1559" s="294"/>
      <c r="H1559" s="294"/>
      <c r="I1559" s="294"/>
      <c r="J1559" s="294"/>
      <c r="L1559" s="295"/>
      <c r="M1559" s="294"/>
      <c r="S1559" s="294"/>
      <c r="T1559" s="299"/>
      <c r="U1559" s="294"/>
      <c r="V1559" s="299"/>
      <c r="W1559" s="299"/>
      <c r="X1559" s="294"/>
      <c r="Y1559" s="299"/>
      <c r="Z1559" s="294"/>
      <c r="AA1559" s="299"/>
      <c r="AB1559" s="299"/>
      <c r="AC1559" s="294"/>
      <c r="AD1559" s="294"/>
      <c r="AE1559" s="294"/>
      <c r="AF1559" s="294"/>
    </row>
    <row r="1560" spans="2:32" x14ac:dyDescent="0.25">
      <c r="B1560" s="294"/>
      <c r="C1560" s="294"/>
      <c r="D1560" s="294"/>
      <c r="E1560" s="294"/>
      <c r="F1560" s="294"/>
      <c r="G1560" s="294"/>
      <c r="H1560" s="294"/>
      <c r="I1560" s="294"/>
      <c r="J1560" s="294"/>
      <c r="L1560" s="295"/>
      <c r="M1560" s="294"/>
      <c r="S1560" s="294"/>
      <c r="T1560" s="299"/>
      <c r="U1560" s="294"/>
      <c r="V1560" s="299"/>
      <c r="W1560" s="299"/>
      <c r="X1560" s="294"/>
      <c r="Y1560" s="299"/>
      <c r="Z1560" s="294"/>
      <c r="AA1560" s="299"/>
      <c r="AB1560" s="299"/>
      <c r="AC1560" s="294"/>
      <c r="AD1560" s="294"/>
      <c r="AE1560" s="294"/>
      <c r="AF1560" s="294"/>
    </row>
    <row r="1561" spans="2:32" x14ac:dyDescent="0.25">
      <c r="B1561" s="294"/>
      <c r="C1561" s="294"/>
      <c r="D1561" s="294"/>
      <c r="E1561" s="294"/>
      <c r="F1561" s="294"/>
      <c r="G1561" s="294"/>
      <c r="H1561" s="294"/>
      <c r="I1561" s="294"/>
      <c r="J1561" s="294"/>
      <c r="L1561" s="295"/>
      <c r="M1561" s="294"/>
      <c r="S1561" s="294"/>
      <c r="T1561" s="299"/>
      <c r="U1561" s="294"/>
      <c r="V1561" s="299"/>
      <c r="W1561" s="299"/>
      <c r="X1561" s="294"/>
      <c r="Y1561" s="299"/>
      <c r="Z1561" s="294"/>
      <c r="AA1561" s="299"/>
      <c r="AB1561" s="299"/>
      <c r="AC1561" s="294"/>
      <c r="AD1561" s="294"/>
      <c r="AE1561" s="294"/>
      <c r="AF1561" s="294"/>
    </row>
    <row r="1562" spans="2:32" x14ac:dyDescent="0.25">
      <c r="B1562" s="294"/>
      <c r="C1562" s="294"/>
      <c r="D1562" s="294"/>
      <c r="E1562" s="294"/>
      <c r="F1562" s="294"/>
      <c r="G1562" s="294"/>
      <c r="H1562" s="294"/>
      <c r="I1562" s="294"/>
      <c r="J1562" s="294"/>
      <c r="L1562" s="295"/>
      <c r="M1562" s="294"/>
      <c r="S1562" s="294"/>
      <c r="T1562" s="299"/>
      <c r="U1562" s="294"/>
      <c r="V1562" s="299"/>
      <c r="W1562" s="299"/>
      <c r="X1562" s="294"/>
      <c r="Y1562" s="299"/>
      <c r="Z1562" s="294"/>
      <c r="AA1562" s="299"/>
      <c r="AB1562" s="299"/>
      <c r="AC1562" s="294"/>
      <c r="AD1562" s="294"/>
      <c r="AE1562" s="294"/>
      <c r="AF1562" s="294"/>
    </row>
    <row r="1563" spans="2:32" x14ac:dyDescent="0.25">
      <c r="B1563" s="294"/>
      <c r="C1563" s="294"/>
      <c r="D1563" s="294"/>
      <c r="E1563" s="294"/>
      <c r="F1563" s="294"/>
      <c r="G1563" s="294"/>
      <c r="H1563" s="294"/>
      <c r="I1563" s="294"/>
      <c r="J1563" s="294"/>
      <c r="L1563" s="295"/>
      <c r="M1563" s="294"/>
      <c r="S1563" s="294"/>
      <c r="T1563" s="299"/>
      <c r="U1563" s="294"/>
      <c r="V1563" s="299"/>
      <c r="W1563" s="299"/>
      <c r="X1563" s="294"/>
      <c r="Y1563" s="299"/>
      <c r="Z1563" s="294"/>
      <c r="AA1563" s="299"/>
      <c r="AB1563" s="299"/>
      <c r="AC1563" s="294"/>
      <c r="AD1563" s="294"/>
      <c r="AE1563" s="294"/>
      <c r="AF1563" s="294"/>
    </row>
    <row r="1564" spans="2:32" x14ac:dyDescent="0.25">
      <c r="B1564" s="294"/>
      <c r="C1564" s="294"/>
      <c r="D1564" s="294"/>
      <c r="E1564" s="294"/>
      <c r="F1564" s="294"/>
      <c r="G1564" s="294"/>
      <c r="H1564" s="294"/>
      <c r="I1564" s="294"/>
      <c r="J1564" s="294"/>
      <c r="L1564" s="295"/>
      <c r="M1564" s="294"/>
      <c r="S1564" s="294"/>
      <c r="T1564" s="299"/>
      <c r="U1564" s="294"/>
      <c r="V1564" s="299"/>
      <c r="W1564" s="299"/>
      <c r="X1564" s="294"/>
      <c r="Y1564" s="299"/>
      <c r="Z1564" s="294"/>
      <c r="AA1564" s="299"/>
      <c r="AB1564" s="299"/>
      <c r="AC1564" s="294"/>
      <c r="AD1564" s="294"/>
      <c r="AE1564" s="294"/>
      <c r="AF1564" s="294"/>
    </row>
    <row r="1565" spans="2:32" x14ac:dyDescent="0.25">
      <c r="B1565" s="294"/>
      <c r="C1565" s="294"/>
      <c r="D1565" s="294"/>
      <c r="E1565" s="294"/>
      <c r="F1565" s="294"/>
      <c r="G1565" s="294"/>
      <c r="H1565" s="294"/>
      <c r="I1565" s="294"/>
      <c r="J1565" s="294"/>
      <c r="L1565" s="295"/>
      <c r="M1565" s="294"/>
      <c r="S1565" s="294"/>
      <c r="T1565" s="299"/>
      <c r="U1565" s="294"/>
      <c r="V1565" s="299"/>
      <c r="W1565" s="299"/>
      <c r="X1565" s="294"/>
      <c r="Y1565" s="299"/>
      <c r="Z1565" s="294"/>
      <c r="AA1565" s="299"/>
      <c r="AB1565" s="299"/>
      <c r="AC1565" s="294"/>
      <c r="AD1565" s="294"/>
      <c r="AE1565" s="294"/>
      <c r="AF1565" s="294"/>
    </row>
    <row r="1566" spans="2:32" x14ac:dyDescent="0.25">
      <c r="B1566" s="294"/>
      <c r="C1566" s="294"/>
      <c r="D1566" s="294"/>
      <c r="E1566" s="294"/>
      <c r="F1566" s="294"/>
      <c r="G1566" s="294"/>
      <c r="H1566" s="294"/>
      <c r="I1566" s="294"/>
      <c r="J1566" s="294"/>
      <c r="L1566" s="295"/>
      <c r="M1566" s="294"/>
      <c r="S1566" s="294"/>
      <c r="T1566" s="299"/>
      <c r="U1566" s="294"/>
      <c r="V1566" s="299"/>
      <c r="W1566" s="299"/>
      <c r="X1566" s="294"/>
      <c r="Y1566" s="299"/>
      <c r="Z1566" s="294"/>
      <c r="AA1566" s="299"/>
      <c r="AB1566" s="299"/>
      <c r="AC1566" s="294"/>
      <c r="AD1566" s="294"/>
      <c r="AE1566" s="294"/>
      <c r="AF1566" s="294"/>
    </row>
    <row r="1567" spans="2:32" x14ac:dyDescent="0.25">
      <c r="B1567" s="294"/>
      <c r="C1567" s="294"/>
      <c r="D1567" s="294"/>
      <c r="E1567" s="294"/>
      <c r="F1567" s="294"/>
      <c r="G1567" s="294"/>
      <c r="H1567" s="294"/>
      <c r="I1567" s="294"/>
      <c r="J1567" s="294"/>
      <c r="L1567" s="295"/>
      <c r="M1567" s="294"/>
      <c r="S1567" s="294"/>
      <c r="T1567" s="299"/>
      <c r="U1567" s="294"/>
      <c r="V1567" s="299"/>
      <c r="W1567" s="299"/>
      <c r="X1567" s="294"/>
      <c r="Y1567" s="299"/>
      <c r="Z1567" s="294"/>
      <c r="AA1567" s="299"/>
      <c r="AB1567" s="299"/>
      <c r="AC1567" s="294"/>
      <c r="AD1567" s="294"/>
      <c r="AE1567" s="294"/>
      <c r="AF1567" s="294"/>
    </row>
    <row r="1568" spans="2:32" x14ac:dyDescent="0.25">
      <c r="B1568" s="294"/>
      <c r="C1568" s="294"/>
      <c r="D1568" s="294"/>
      <c r="E1568" s="294"/>
      <c r="F1568" s="294"/>
      <c r="G1568" s="294"/>
      <c r="H1568" s="294"/>
      <c r="I1568" s="294"/>
      <c r="J1568" s="294"/>
      <c r="L1568" s="295"/>
      <c r="M1568" s="294"/>
      <c r="S1568" s="294"/>
      <c r="T1568" s="299"/>
      <c r="U1568" s="294"/>
      <c r="V1568" s="299"/>
      <c r="W1568" s="299"/>
      <c r="X1568" s="294"/>
      <c r="Y1568" s="299"/>
      <c r="Z1568" s="294"/>
      <c r="AA1568" s="299"/>
      <c r="AB1568" s="299"/>
      <c r="AC1568" s="294"/>
      <c r="AD1568" s="294"/>
      <c r="AE1568" s="294"/>
      <c r="AF1568" s="294"/>
    </row>
    <row r="1569" spans="2:32" x14ac:dyDescent="0.25">
      <c r="B1569" s="294"/>
      <c r="C1569" s="294"/>
      <c r="D1569" s="294"/>
      <c r="E1569" s="294"/>
      <c r="F1569" s="294"/>
      <c r="G1569" s="294"/>
      <c r="H1569" s="294"/>
      <c r="I1569" s="294"/>
      <c r="J1569" s="294"/>
      <c r="L1569" s="295"/>
      <c r="M1569" s="294"/>
      <c r="S1569" s="294"/>
      <c r="T1569" s="299"/>
      <c r="U1569" s="294"/>
      <c r="V1569" s="299"/>
      <c r="W1569" s="299"/>
      <c r="X1569" s="294"/>
      <c r="Y1569" s="299"/>
      <c r="Z1569" s="294"/>
      <c r="AA1569" s="299"/>
      <c r="AB1569" s="299"/>
      <c r="AC1569" s="294"/>
      <c r="AD1569" s="294"/>
      <c r="AE1569" s="294"/>
      <c r="AF1569" s="294"/>
    </row>
    <row r="1570" spans="2:32" x14ac:dyDescent="0.25">
      <c r="B1570" s="294"/>
      <c r="C1570" s="294"/>
      <c r="D1570" s="294"/>
      <c r="E1570" s="294"/>
      <c r="F1570" s="294"/>
      <c r="G1570" s="294"/>
      <c r="H1570" s="294"/>
      <c r="I1570" s="294"/>
      <c r="J1570" s="294"/>
      <c r="L1570" s="295"/>
      <c r="M1570" s="294"/>
      <c r="S1570" s="294"/>
      <c r="T1570" s="299"/>
      <c r="U1570" s="294"/>
      <c r="V1570" s="299"/>
      <c r="W1570" s="299"/>
      <c r="X1570" s="294"/>
      <c r="Y1570" s="299"/>
      <c r="Z1570" s="294"/>
      <c r="AA1570" s="299"/>
      <c r="AB1570" s="299"/>
      <c r="AC1570" s="294"/>
      <c r="AD1570" s="294"/>
      <c r="AE1570" s="294"/>
      <c r="AF1570" s="294"/>
    </row>
    <row r="1571" spans="2:32" x14ac:dyDescent="0.25">
      <c r="B1571" s="294"/>
      <c r="C1571" s="294"/>
      <c r="D1571" s="294"/>
      <c r="E1571" s="294"/>
      <c r="F1571" s="294"/>
      <c r="G1571" s="294"/>
      <c r="H1571" s="294"/>
      <c r="I1571" s="294"/>
      <c r="J1571" s="294"/>
      <c r="L1571" s="295"/>
      <c r="M1571" s="294"/>
      <c r="S1571" s="294"/>
      <c r="T1571" s="299"/>
      <c r="U1571" s="294"/>
      <c r="V1571" s="299"/>
      <c r="W1571" s="299"/>
      <c r="X1571" s="294"/>
      <c r="Y1571" s="299"/>
      <c r="Z1571" s="294"/>
      <c r="AA1571" s="299"/>
      <c r="AB1571" s="299"/>
      <c r="AC1571" s="294"/>
      <c r="AD1571" s="294"/>
      <c r="AE1571" s="294"/>
      <c r="AF1571" s="294"/>
    </row>
    <row r="1572" spans="2:32" x14ac:dyDescent="0.25">
      <c r="B1572" s="294"/>
      <c r="C1572" s="294"/>
      <c r="D1572" s="294"/>
      <c r="E1572" s="294"/>
      <c r="F1572" s="294"/>
      <c r="G1572" s="294"/>
      <c r="H1572" s="294"/>
      <c r="I1572" s="294"/>
      <c r="J1572" s="294"/>
      <c r="L1572" s="295"/>
      <c r="M1572" s="294"/>
      <c r="S1572" s="294"/>
      <c r="T1572" s="299"/>
      <c r="U1572" s="294"/>
      <c r="V1572" s="299"/>
      <c r="W1572" s="299"/>
      <c r="X1572" s="294"/>
      <c r="Y1572" s="299"/>
      <c r="Z1572" s="294"/>
      <c r="AA1572" s="299"/>
      <c r="AB1572" s="299"/>
      <c r="AC1572" s="294"/>
      <c r="AD1572" s="294"/>
      <c r="AE1572" s="294"/>
      <c r="AF1572" s="294"/>
    </row>
    <row r="1573" spans="2:32" x14ac:dyDescent="0.25">
      <c r="B1573" s="294"/>
      <c r="C1573" s="294"/>
      <c r="D1573" s="294"/>
      <c r="E1573" s="294"/>
      <c r="F1573" s="294"/>
      <c r="G1573" s="294"/>
      <c r="H1573" s="294"/>
      <c r="I1573" s="294"/>
      <c r="J1573" s="294"/>
      <c r="L1573" s="295"/>
      <c r="M1573" s="294"/>
      <c r="S1573" s="294"/>
      <c r="T1573" s="299"/>
      <c r="U1573" s="294"/>
      <c r="V1573" s="299"/>
      <c r="W1573" s="299"/>
      <c r="X1573" s="294"/>
      <c r="Y1573" s="299"/>
      <c r="Z1573" s="294"/>
      <c r="AA1573" s="299"/>
      <c r="AB1573" s="299"/>
      <c r="AC1573" s="294"/>
      <c r="AD1573" s="294"/>
      <c r="AE1573" s="294"/>
      <c r="AF1573" s="294"/>
    </row>
    <row r="1574" spans="2:32" x14ac:dyDescent="0.25">
      <c r="B1574" s="294"/>
      <c r="C1574" s="294"/>
      <c r="D1574" s="294"/>
      <c r="E1574" s="294"/>
      <c r="F1574" s="294"/>
      <c r="G1574" s="294"/>
      <c r="H1574" s="294"/>
      <c r="I1574" s="294"/>
      <c r="J1574" s="294"/>
      <c r="L1574" s="295"/>
      <c r="M1574" s="294"/>
      <c r="S1574" s="294"/>
      <c r="T1574" s="299"/>
      <c r="U1574" s="294"/>
      <c r="V1574" s="299"/>
      <c r="W1574" s="299"/>
      <c r="X1574" s="294"/>
      <c r="Y1574" s="299"/>
      <c r="Z1574" s="294"/>
      <c r="AA1574" s="299"/>
      <c r="AB1574" s="299"/>
      <c r="AC1574" s="294"/>
      <c r="AD1574" s="294"/>
      <c r="AE1574" s="294"/>
      <c r="AF1574" s="294"/>
    </row>
    <row r="1575" spans="2:32" x14ac:dyDescent="0.25">
      <c r="B1575" s="294"/>
      <c r="C1575" s="294"/>
      <c r="D1575" s="294"/>
      <c r="E1575" s="294"/>
      <c r="F1575" s="294"/>
      <c r="G1575" s="294"/>
      <c r="H1575" s="294"/>
      <c r="I1575" s="294"/>
      <c r="J1575" s="294"/>
      <c r="L1575" s="295"/>
      <c r="M1575" s="294"/>
      <c r="S1575" s="294"/>
      <c r="T1575" s="299"/>
      <c r="U1575" s="294"/>
      <c r="V1575" s="299"/>
      <c r="W1575" s="299"/>
      <c r="X1575" s="294"/>
      <c r="Y1575" s="299"/>
      <c r="Z1575" s="294"/>
      <c r="AA1575" s="299"/>
      <c r="AB1575" s="299"/>
      <c r="AC1575" s="294"/>
      <c r="AD1575" s="294"/>
      <c r="AE1575" s="294"/>
      <c r="AF1575" s="294"/>
    </row>
    <row r="1576" spans="2:32" x14ac:dyDescent="0.25">
      <c r="B1576" s="294"/>
      <c r="C1576" s="294"/>
      <c r="D1576" s="294"/>
      <c r="E1576" s="294"/>
      <c r="F1576" s="294"/>
      <c r="G1576" s="294"/>
      <c r="H1576" s="294"/>
      <c r="I1576" s="294"/>
      <c r="J1576" s="294"/>
      <c r="L1576" s="295"/>
      <c r="M1576" s="294"/>
      <c r="S1576" s="294"/>
      <c r="T1576" s="299"/>
      <c r="U1576" s="294"/>
      <c r="V1576" s="299"/>
      <c r="W1576" s="299"/>
      <c r="X1576" s="294"/>
      <c r="Y1576" s="299"/>
      <c r="Z1576" s="294"/>
      <c r="AA1576" s="299"/>
      <c r="AB1576" s="299"/>
      <c r="AC1576" s="294"/>
      <c r="AD1576" s="294"/>
      <c r="AE1576" s="294"/>
      <c r="AF1576" s="294"/>
    </row>
    <row r="1577" spans="2:32" x14ac:dyDescent="0.25">
      <c r="B1577" s="294"/>
      <c r="C1577" s="294"/>
      <c r="D1577" s="294"/>
      <c r="E1577" s="294"/>
      <c r="F1577" s="294"/>
      <c r="G1577" s="294"/>
      <c r="H1577" s="294"/>
      <c r="I1577" s="294"/>
      <c r="J1577" s="294"/>
      <c r="L1577" s="295"/>
      <c r="M1577" s="294"/>
      <c r="S1577" s="294"/>
      <c r="T1577" s="299"/>
      <c r="U1577" s="294"/>
      <c r="V1577" s="299"/>
      <c r="W1577" s="299"/>
      <c r="X1577" s="294"/>
      <c r="Y1577" s="299"/>
      <c r="Z1577" s="294"/>
      <c r="AA1577" s="299"/>
      <c r="AB1577" s="299"/>
      <c r="AC1577" s="294"/>
      <c r="AD1577" s="294"/>
      <c r="AE1577" s="294"/>
      <c r="AF1577" s="294"/>
    </row>
    <row r="1578" spans="2:32" x14ac:dyDescent="0.25">
      <c r="B1578" s="294"/>
      <c r="C1578" s="294"/>
      <c r="D1578" s="294"/>
      <c r="E1578" s="294"/>
      <c r="F1578" s="294"/>
      <c r="G1578" s="294"/>
      <c r="H1578" s="294"/>
      <c r="I1578" s="294"/>
      <c r="J1578" s="294"/>
      <c r="L1578" s="295"/>
      <c r="M1578" s="294"/>
      <c r="S1578" s="294"/>
      <c r="T1578" s="299"/>
      <c r="U1578" s="294"/>
      <c r="V1578" s="299"/>
      <c r="W1578" s="299"/>
      <c r="X1578" s="294"/>
      <c r="Y1578" s="299"/>
      <c r="Z1578" s="294"/>
      <c r="AA1578" s="299"/>
      <c r="AB1578" s="299"/>
      <c r="AC1578" s="294"/>
      <c r="AD1578" s="294"/>
      <c r="AE1578" s="294"/>
      <c r="AF1578" s="294"/>
    </row>
    <row r="1579" spans="2:32" x14ac:dyDescent="0.25">
      <c r="B1579" s="294"/>
      <c r="C1579" s="294"/>
      <c r="D1579" s="294"/>
      <c r="E1579" s="294"/>
      <c r="F1579" s="294"/>
      <c r="G1579" s="294"/>
      <c r="H1579" s="294"/>
      <c r="I1579" s="294"/>
      <c r="J1579" s="294"/>
      <c r="L1579" s="295"/>
      <c r="M1579" s="294"/>
      <c r="S1579" s="294"/>
      <c r="T1579" s="299"/>
      <c r="U1579" s="294"/>
      <c r="V1579" s="299"/>
      <c r="W1579" s="299"/>
      <c r="X1579" s="294"/>
      <c r="Y1579" s="299"/>
      <c r="Z1579" s="294"/>
      <c r="AA1579" s="299"/>
      <c r="AB1579" s="299"/>
      <c r="AC1579" s="294"/>
      <c r="AD1579" s="294"/>
      <c r="AE1579" s="294"/>
      <c r="AF1579" s="294"/>
    </row>
    <row r="1580" spans="2:32" x14ac:dyDescent="0.25">
      <c r="B1580" s="294"/>
      <c r="C1580" s="294"/>
      <c r="D1580" s="294"/>
      <c r="E1580" s="294"/>
      <c r="F1580" s="294"/>
      <c r="G1580" s="294"/>
      <c r="H1580" s="294"/>
      <c r="I1580" s="294"/>
      <c r="J1580" s="294"/>
      <c r="L1580" s="295"/>
      <c r="M1580" s="294"/>
      <c r="S1580" s="294"/>
      <c r="T1580" s="299"/>
      <c r="U1580" s="294"/>
      <c r="V1580" s="299"/>
      <c r="W1580" s="299"/>
      <c r="X1580" s="294"/>
      <c r="Y1580" s="299"/>
      <c r="Z1580" s="294"/>
      <c r="AA1580" s="299"/>
      <c r="AB1580" s="299"/>
      <c r="AC1580" s="294"/>
      <c r="AD1580" s="294"/>
      <c r="AE1580" s="294"/>
      <c r="AF1580" s="294"/>
    </row>
    <row r="1581" spans="2:32" x14ac:dyDescent="0.25">
      <c r="B1581" s="294"/>
      <c r="C1581" s="294"/>
      <c r="D1581" s="294"/>
      <c r="E1581" s="294"/>
      <c r="F1581" s="294"/>
      <c r="G1581" s="294"/>
      <c r="H1581" s="294"/>
      <c r="I1581" s="294"/>
      <c r="J1581" s="294"/>
      <c r="L1581" s="295"/>
      <c r="M1581" s="294"/>
      <c r="S1581" s="294"/>
      <c r="T1581" s="299"/>
      <c r="U1581" s="294"/>
      <c r="V1581" s="299"/>
      <c r="W1581" s="299"/>
      <c r="X1581" s="294"/>
      <c r="Y1581" s="299"/>
      <c r="Z1581" s="294"/>
      <c r="AA1581" s="299"/>
      <c r="AB1581" s="299"/>
      <c r="AC1581" s="294"/>
      <c r="AD1581" s="294"/>
      <c r="AE1581" s="294"/>
      <c r="AF1581" s="294"/>
    </row>
    <row r="1582" spans="2:32" x14ac:dyDescent="0.25">
      <c r="B1582" s="294"/>
      <c r="C1582" s="294"/>
      <c r="D1582" s="294"/>
      <c r="E1582" s="294"/>
      <c r="F1582" s="294"/>
      <c r="G1582" s="294"/>
      <c r="H1582" s="294"/>
      <c r="I1582" s="294"/>
      <c r="J1582" s="294"/>
      <c r="L1582" s="295"/>
      <c r="M1582" s="294"/>
      <c r="S1582" s="294"/>
      <c r="T1582" s="299"/>
      <c r="U1582" s="294"/>
      <c r="V1582" s="299"/>
      <c r="W1582" s="299"/>
      <c r="X1582" s="294"/>
      <c r="Y1582" s="299"/>
      <c r="Z1582" s="294"/>
      <c r="AA1582" s="299"/>
      <c r="AB1582" s="299"/>
      <c r="AC1582" s="294"/>
      <c r="AD1582" s="294"/>
      <c r="AE1582" s="294"/>
      <c r="AF1582" s="294"/>
    </row>
    <row r="1583" spans="2:32" x14ac:dyDescent="0.25">
      <c r="B1583" s="294"/>
      <c r="C1583" s="294"/>
      <c r="D1583" s="294"/>
      <c r="E1583" s="294"/>
      <c r="F1583" s="294"/>
      <c r="G1583" s="294"/>
      <c r="H1583" s="294"/>
      <c r="I1583" s="294"/>
      <c r="J1583" s="294"/>
      <c r="L1583" s="295"/>
      <c r="M1583" s="294"/>
      <c r="S1583" s="294"/>
      <c r="T1583" s="299"/>
      <c r="U1583" s="294"/>
      <c r="V1583" s="299"/>
      <c r="W1583" s="299"/>
      <c r="X1583" s="294"/>
      <c r="Y1583" s="299"/>
      <c r="Z1583" s="294"/>
      <c r="AA1583" s="299"/>
      <c r="AB1583" s="299"/>
      <c r="AC1583" s="294"/>
      <c r="AD1583" s="294"/>
      <c r="AE1583" s="294"/>
      <c r="AF1583" s="294"/>
    </row>
    <row r="1584" spans="2:32" x14ac:dyDescent="0.25">
      <c r="B1584" s="294"/>
      <c r="C1584" s="294"/>
      <c r="D1584" s="294"/>
      <c r="E1584" s="294"/>
      <c r="F1584" s="294"/>
      <c r="G1584" s="294"/>
      <c r="H1584" s="294"/>
      <c r="I1584" s="294"/>
      <c r="J1584" s="294"/>
      <c r="L1584" s="295"/>
      <c r="M1584" s="294"/>
      <c r="S1584" s="294"/>
      <c r="T1584" s="299"/>
      <c r="U1584" s="294"/>
      <c r="V1584" s="299"/>
      <c r="W1584" s="299"/>
      <c r="X1584" s="294"/>
      <c r="Y1584" s="299"/>
      <c r="Z1584" s="294"/>
      <c r="AA1584" s="299"/>
      <c r="AB1584" s="299"/>
      <c r="AC1584" s="294"/>
      <c r="AD1584" s="294"/>
      <c r="AE1584" s="294"/>
      <c r="AF1584" s="294"/>
    </row>
    <row r="1585" spans="2:32" x14ac:dyDescent="0.25">
      <c r="B1585" s="294"/>
      <c r="C1585" s="294"/>
      <c r="D1585" s="294"/>
      <c r="E1585" s="294"/>
      <c r="F1585" s="294"/>
      <c r="G1585" s="294"/>
      <c r="H1585" s="294"/>
      <c r="I1585" s="294"/>
      <c r="J1585" s="294"/>
      <c r="L1585" s="295"/>
      <c r="M1585" s="294"/>
      <c r="S1585" s="294"/>
      <c r="T1585" s="299"/>
      <c r="U1585" s="294"/>
      <c r="V1585" s="299"/>
      <c r="W1585" s="299"/>
      <c r="X1585" s="294"/>
      <c r="Y1585" s="299"/>
      <c r="Z1585" s="294"/>
      <c r="AA1585" s="299"/>
      <c r="AB1585" s="299"/>
      <c r="AC1585" s="294"/>
      <c r="AD1585" s="294"/>
      <c r="AE1585" s="294"/>
      <c r="AF1585" s="294"/>
    </row>
    <row r="1586" spans="2:32" x14ac:dyDescent="0.25">
      <c r="B1586" s="294"/>
      <c r="C1586" s="294"/>
      <c r="D1586" s="294"/>
      <c r="E1586" s="294"/>
      <c r="F1586" s="294"/>
      <c r="G1586" s="294"/>
      <c r="H1586" s="294"/>
      <c r="I1586" s="294"/>
      <c r="J1586" s="294"/>
      <c r="L1586" s="295"/>
      <c r="M1586" s="294"/>
      <c r="S1586" s="294"/>
      <c r="T1586" s="299"/>
      <c r="U1586" s="294"/>
      <c r="V1586" s="299"/>
      <c r="W1586" s="299"/>
      <c r="X1586" s="294"/>
      <c r="Y1586" s="299"/>
      <c r="Z1586" s="294"/>
      <c r="AA1586" s="299"/>
      <c r="AB1586" s="299"/>
      <c r="AC1586" s="294"/>
      <c r="AD1586" s="294"/>
      <c r="AE1586" s="294"/>
      <c r="AF1586" s="294"/>
    </row>
    <row r="1587" spans="2:32" x14ac:dyDescent="0.25">
      <c r="B1587" s="294"/>
      <c r="C1587" s="294"/>
      <c r="D1587" s="294"/>
      <c r="E1587" s="294"/>
      <c r="F1587" s="294"/>
      <c r="G1587" s="294"/>
      <c r="H1587" s="294"/>
      <c r="I1587" s="294"/>
      <c r="J1587" s="294"/>
      <c r="L1587" s="295"/>
      <c r="M1587" s="294"/>
      <c r="S1587" s="294"/>
      <c r="T1587" s="299"/>
      <c r="U1587" s="294"/>
      <c r="V1587" s="299"/>
      <c r="W1587" s="299"/>
      <c r="X1587" s="294"/>
      <c r="Y1587" s="299"/>
      <c r="Z1587" s="294"/>
      <c r="AA1587" s="299"/>
      <c r="AB1587" s="299"/>
      <c r="AC1587" s="294"/>
      <c r="AD1587" s="294"/>
      <c r="AE1587" s="294"/>
      <c r="AF1587" s="294"/>
    </row>
    <row r="1588" spans="2:32" x14ac:dyDescent="0.25">
      <c r="B1588" s="294"/>
      <c r="C1588" s="294"/>
      <c r="D1588" s="294"/>
      <c r="E1588" s="294"/>
      <c r="F1588" s="294"/>
      <c r="G1588" s="294"/>
      <c r="H1588" s="294"/>
      <c r="I1588" s="294"/>
      <c r="J1588" s="294"/>
      <c r="L1588" s="295"/>
      <c r="M1588" s="294"/>
      <c r="S1588" s="294"/>
      <c r="T1588" s="299"/>
      <c r="U1588" s="294"/>
      <c r="V1588" s="299"/>
      <c r="W1588" s="299"/>
      <c r="X1588" s="294"/>
      <c r="Y1588" s="299"/>
      <c r="Z1588" s="294"/>
      <c r="AA1588" s="299"/>
      <c r="AB1588" s="299"/>
      <c r="AC1588" s="294"/>
      <c r="AD1588" s="294"/>
      <c r="AE1588" s="294"/>
      <c r="AF1588" s="294"/>
    </row>
    <row r="1589" spans="2:32" x14ac:dyDescent="0.25">
      <c r="B1589" s="294"/>
      <c r="C1589" s="294"/>
      <c r="D1589" s="294"/>
      <c r="E1589" s="294"/>
      <c r="F1589" s="294"/>
      <c r="G1589" s="294"/>
      <c r="H1589" s="294"/>
      <c r="I1589" s="294"/>
      <c r="J1589" s="294"/>
      <c r="L1589" s="295"/>
      <c r="M1589" s="294"/>
      <c r="S1589" s="294"/>
      <c r="T1589" s="299"/>
      <c r="U1589" s="294"/>
      <c r="V1589" s="299"/>
      <c r="W1589" s="299"/>
      <c r="X1589" s="294"/>
      <c r="Y1589" s="299"/>
      <c r="Z1589" s="294"/>
      <c r="AA1589" s="299"/>
      <c r="AB1589" s="299"/>
      <c r="AC1589" s="294"/>
      <c r="AD1589" s="294"/>
      <c r="AE1589" s="294"/>
      <c r="AF1589" s="294"/>
    </row>
    <row r="1590" spans="2:32" x14ac:dyDescent="0.25">
      <c r="B1590" s="294"/>
      <c r="C1590" s="294"/>
      <c r="D1590" s="294"/>
      <c r="E1590" s="294"/>
      <c r="F1590" s="294"/>
      <c r="G1590" s="294"/>
      <c r="H1590" s="294"/>
      <c r="I1590" s="294"/>
      <c r="J1590" s="294"/>
      <c r="L1590" s="295"/>
      <c r="M1590" s="294"/>
      <c r="S1590" s="294"/>
      <c r="T1590" s="299"/>
      <c r="U1590" s="294"/>
      <c r="V1590" s="299"/>
      <c r="W1590" s="299"/>
      <c r="X1590" s="294"/>
      <c r="Y1590" s="299"/>
      <c r="Z1590" s="294"/>
      <c r="AA1590" s="299"/>
      <c r="AB1590" s="299"/>
      <c r="AC1590" s="294"/>
      <c r="AD1590" s="294"/>
      <c r="AE1590" s="294"/>
      <c r="AF1590" s="294"/>
    </row>
    <row r="1591" spans="2:32" x14ac:dyDescent="0.25">
      <c r="B1591" s="294"/>
      <c r="C1591" s="294"/>
      <c r="D1591" s="294"/>
      <c r="E1591" s="294"/>
      <c r="F1591" s="294"/>
      <c r="G1591" s="294"/>
      <c r="H1591" s="294"/>
      <c r="I1591" s="294"/>
      <c r="J1591" s="294"/>
      <c r="L1591" s="295"/>
      <c r="M1591" s="294"/>
      <c r="S1591" s="294"/>
      <c r="T1591" s="299"/>
      <c r="U1591" s="294"/>
      <c r="V1591" s="299"/>
      <c r="W1591" s="299"/>
      <c r="X1591" s="294"/>
      <c r="Y1591" s="299"/>
      <c r="Z1591" s="294"/>
      <c r="AA1591" s="299"/>
      <c r="AB1591" s="299"/>
      <c r="AC1591" s="294"/>
      <c r="AD1591" s="294"/>
      <c r="AE1591" s="294"/>
      <c r="AF1591" s="294"/>
    </row>
    <row r="1592" spans="2:32" x14ac:dyDescent="0.25">
      <c r="B1592" s="294"/>
      <c r="C1592" s="294"/>
      <c r="D1592" s="294"/>
      <c r="E1592" s="294"/>
      <c r="F1592" s="294"/>
      <c r="G1592" s="294"/>
      <c r="H1592" s="294"/>
      <c r="I1592" s="294"/>
      <c r="J1592" s="294"/>
      <c r="L1592" s="295"/>
      <c r="M1592" s="294"/>
      <c r="S1592" s="294"/>
      <c r="T1592" s="299"/>
      <c r="U1592" s="294"/>
      <c r="V1592" s="299"/>
      <c r="W1592" s="299"/>
      <c r="X1592" s="294"/>
      <c r="Y1592" s="299"/>
      <c r="Z1592" s="294"/>
      <c r="AA1592" s="299"/>
      <c r="AB1592" s="299"/>
      <c r="AC1592" s="294"/>
      <c r="AD1592" s="294"/>
      <c r="AE1592" s="294"/>
      <c r="AF1592" s="294"/>
    </row>
    <row r="1593" spans="2:32" x14ac:dyDescent="0.25">
      <c r="B1593" s="294"/>
      <c r="C1593" s="294"/>
      <c r="D1593" s="294"/>
      <c r="E1593" s="294"/>
      <c r="F1593" s="294"/>
      <c r="G1593" s="294"/>
      <c r="H1593" s="294"/>
      <c r="I1593" s="294"/>
      <c r="J1593" s="294"/>
      <c r="L1593" s="295"/>
      <c r="M1593" s="294"/>
      <c r="S1593" s="294"/>
      <c r="T1593" s="299"/>
      <c r="U1593" s="294"/>
      <c r="V1593" s="299"/>
      <c r="W1593" s="299"/>
      <c r="X1593" s="294"/>
      <c r="Y1593" s="299"/>
      <c r="Z1593" s="294"/>
      <c r="AA1593" s="299"/>
      <c r="AB1593" s="299"/>
      <c r="AC1593" s="294"/>
      <c r="AD1593" s="294"/>
      <c r="AE1593" s="294"/>
      <c r="AF1593" s="294"/>
    </row>
    <row r="1594" spans="2:32" x14ac:dyDescent="0.25">
      <c r="B1594" s="294"/>
      <c r="C1594" s="294"/>
      <c r="D1594" s="294"/>
      <c r="E1594" s="294"/>
      <c r="F1594" s="294"/>
      <c r="G1594" s="294"/>
      <c r="H1594" s="294"/>
      <c r="I1594" s="294"/>
      <c r="J1594" s="294"/>
      <c r="L1594" s="295"/>
      <c r="M1594" s="294"/>
      <c r="S1594" s="294"/>
      <c r="T1594" s="299"/>
      <c r="U1594" s="294"/>
      <c r="V1594" s="299"/>
      <c r="W1594" s="299"/>
      <c r="X1594" s="294"/>
      <c r="Y1594" s="299"/>
      <c r="Z1594" s="294"/>
      <c r="AA1594" s="299"/>
      <c r="AB1594" s="299"/>
      <c r="AC1594" s="294"/>
      <c r="AD1594" s="294"/>
      <c r="AE1594" s="294"/>
      <c r="AF1594" s="294"/>
    </row>
    <row r="1595" spans="2:32" x14ac:dyDescent="0.25">
      <c r="B1595" s="294"/>
      <c r="C1595" s="294"/>
      <c r="D1595" s="294"/>
      <c r="E1595" s="294"/>
      <c r="F1595" s="294"/>
      <c r="G1595" s="294"/>
      <c r="H1595" s="294"/>
      <c r="I1595" s="294"/>
      <c r="J1595" s="294"/>
      <c r="L1595" s="295"/>
      <c r="M1595" s="294"/>
      <c r="S1595" s="294"/>
      <c r="T1595" s="299"/>
      <c r="U1595" s="294"/>
      <c r="V1595" s="299"/>
      <c r="W1595" s="299"/>
      <c r="X1595" s="294"/>
      <c r="Y1595" s="299"/>
      <c r="Z1595" s="294"/>
      <c r="AA1595" s="299"/>
      <c r="AB1595" s="299"/>
      <c r="AC1595" s="294"/>
      <c r="AD1595" s="294"/>
      <c r="AE1595" s="294"/>
      <c r="AF1595" s="294"/>
    </row>
    <row r="1596" spans="2:32" x14ac:dyDescent="0.25">
      <c r="B1596" s="294"/>
      <c r="C1596" s="294"/>
      <c r="D1596" s="294"/>
      <c r="E1596" s="294"/>
      <c r="F1596" s="294"/>
      <c r="G1596" s="294"/>
      <c r="H1596" s="294"/>
      <c r="I1596" s="294"/>
      <c r="J1596" s="294"/>
      <c r="L1596" s="295"/>
      <c r="M1596" s="294"/>
      <c r="S1596" s="294"/>
      <c r="T1596" s="299"/>
      <c r="U1596" s="294"/>
      <c r="V1596" s="299"/>
      <c r="W1596" s="299"/>
      <c r="X1596" s="294"/>
      <c r="Y1596" s="299"/>
      <c r="Z1596" s="294"/>
      <c r="AA1596" s="299"/>
      <c r="AB1596" s="299"/>
      <c r="AC1596" s="294"/>
      <c r="AD1596" s="294"/>
      <c r="AE1596" s="294"/>
      <c r="AF1596" s="294"/>
    </row>
    <row r="1597" spans="2:32" x14ac:dyDescent="0.25">
      <c r="B1597" s="294"/>
      <c r="C1597" s="294"/>
      <c r="D1597" s="294"/>
      <c r="E1597" s="294"/>
      <c r="F1597" s="294"/>
      <c r="G1597" s="294"/>
      <c r="H1597" s="294"/>
      <c r="I1597" s="294"/>
      <c r="J1597" s="294"/>
      <c r="L1597" s="295"/>
      <c r="M1597" s="294"/>
      <c r="S1597" s="294"/>
      <c r="T1597" s="299"/>
      <c r="U1597" s="294"/>
      <c r="V1597" s="299"/>
      <c r="W1597" s="299"/>
      <c r="X1597" s="294"/>
      <c r="Y1597" s="299"/>
      <c r="Z1597" s="294"/>
      <c r="AA1597" s="299"/>
      <c r="AB1597" s="299"/>
      <c r="AC1597" s="294"/>
      <c r="AD1597" s="294"/>
      <c r="AE1597" s="294"/>
      <c r="AF1597" s="294"/>
    </row>
    <row r="1598" spans="2:32" x14ac:dyDescent="0.25">
      <c r="B1598" s="294"/>
      <c r="C1598" s="294"/>
      <c r="D1598" s="294"/>
      <c r="E1598" s="294"/>
      <c r="F1598" s="294"/>
      <c r="G1598" s="294"/>
      <c r="H1598" s="294"/>
      <c r="I1598" s="294"/>
      <c r="J1598" s="294"/>
      <c r="L1598" s="295"/>
      <c r="M1598" s="294"/>
      <c r="S1598" s="294"/>
      <c r="T1598" s="299"/>
      <c r="U1598" s="294"/>
      <c r="V1598" s="299"/>
      <c r="W1598" s="299"/>
      <c r="X1598" s="294"/>
      <c r="Y1598" s="299"/>
      <c r="Z1598" s="294"/>
      <c r="AA1598" s="299"/>
      <c r="AB1598" s="299"/>
      <c r="AC1598" s="294"/>
      <c r="AD1598" s="294"/>
      <c r="AE1598" s="294"/>
      <c r="AF1598" s="294"/>
    </row>
    <row r="1599" spans="2:32" x14ac:dyDescent="0.25">
      <c r="B1599" s="294"/>
      <c r="C1599" s="294"/>
      <c r="D1599" s="294"/>
      <c r="E1599" s="294"/>
      <c r="F1599" s="294"/>
      <c r="G1599" s="294"/>
      <c r="H1599" s="294"/>
      <c r="I1599" s="294"/>
      <c r="J1599" s="294"/>
      <c r="L1599" s="295"/>
      <c r="M1599" s="294"/>
      <c r="S1599" s="294"/>
      <c r="T1599" s="299"/>
      <c r="U1599" s="294"/>
      <c r="V1599" s="299"/>
      <c r="W1599" s="299"/>
      <c r="X1599" s="294"/>
      <c r="Y1599" s="299"/>
      <c r="Z1599" s="294"/>
      <c r="AA1599" s="299"/>
      <c r="AB1599" s="299"/>
      <c r="AC1599" s="294"/>
      <c r="AD1599" s="294"/>
      <c r="AE1599" s="294"/>
      <c r="AF1599" s="294"/>
    </row>
    <row r="1600" spans="2:32" x14ac:dyDescent="0.25">
      <c r="B1600" s="294"/>
      <c r="C1600" s="294"/>
      <c r="D1600" s="294"/>
      <c r="E1600" s="294"/>
      <c r="F1600" s="294"/>
      <c r="G1600" s="294"/>
      <c r="H1600" s="294"/>
      <c r="I1600" s="294"/>
      <c r="J1600" s="294"/>
      <c r="L1600" s="295"/>
      <c r="M1600" s="294"/>
      <c r="S1600" s="294"/>
      <c r="T1600" s="299"/>
      <c r="U1600" s="294"/>
      <c r="V1600" s="299"/>
      <c r="W1600" s="299"/>
      <c r="X1600" s="294"/>
      <c r="Y1600" s="299"/>
      <c r="Z1600" s="294"/>
      <c r="AA1600" s="299"/>
      <c r="AB1600" s="299"/>
      <c r="AC1600" s="294"/>
      <c r="AD1600" s="294"/>
      <c r="AE1600" s="294"/>
      <c r="AF1600" s="294"/>
    </row>
    <row r="1601" spans="2:32" x14ac:dyDescent="0.25">
      <c r="B1601" s="294"/>
      <c r="C1601" s="294"/>
      <c r="D1601" s="294"/>
      <c r="E1601" s="294"/>
      <c r="F1601" s="294"/>
      <c r="G1601" s="294"/>
      <c r="H1601" s="294"/>
      <c r="I1601" s="294"/>
      <c r="J1601" s="294"/>
      <c r="L1601" s="295"/>
      <c r="M1601" s="294"/>
      <c r="S1601" s="294"/>
      <c r="T1601" s="299"/>
      <c r="U1601" s="294"/>
      <c r="V1601" s="299"/>
      <c r="W1601" s="299"/>
      <c r="X1601" s="294"/>
      <c r="Y1601" s="299"/>
      <c r="Z1601" s="294"/>
      <c r="AA1601" s="299"/>
      <c r="AB1601" s="299"/>
      <c r="AC1601" s="294"/>
      <c r="AD1601" s="294"/>
      <c r="AE1601" s="294"/>
      <c r="AF1601" s="294"/>
    </row>
    <row r="1602" spans="2:32" x14ac:dyDescent="0.25">
      <c r="B1602" s="294"/>
      <c r="C1602" s="294"/>
      <c r="D1602" s="294"/>
      <c r="E1602" s="294"/>
      <c r="F1602" s="294"/>
      <c r="G1602" s="294"/>
      <c r="H1602" s="294"/>
      <c r="I1602" s="294"/>
      <c r="J1602" s="294"/>
      <c r="L1602" s="295"/>
      <c r="M1602" s="294"/>
      <c r="S1602" s="294"/>
      <c r="T1602" s="299"/>
      <c r="U1602" s="294"/>
      <c r="V1602" s="299"/>
      <c r="W1602" s="299"/>
      <c r="X1602" s="294"/>
      <c r="Y1602" s="299"/>
      <c r="Z1602" s="294"/>
      <c r="AA1602" s="299"/>
      <c r="AB1602" s="299"/>
      <c r="AC1602" s="294"/>
      <c r="AD1602" s="294"/>
      <c r="AE1602" s="294"/>
      <c r="AF1602" s="294"/>
    </row>
    <row r="1603" spans="2:32" x14ac:dyDescent="0.25">
      <c r="B1603" s="294"/>
      <c r="C1603" s="294"/>
      <c r="D1603" s="294"/>
      <c r="E1603" s="294"/>
      <c r="F1603" s="294"/>
      <c r="G1603" s="294"/>
      <c r="H1603" s="294"/>
      <c r="I1603" s="294"/>
      <c r="J1603" s="294"/>
      <c r="L1603" s="295"/>
      <c r="M1603" s="294"/>
      <c r="S1603" s="294"/>
      <c r="T1603" s="299"/>
      <c r="U1603" s="294"/>
      <c r="V1603" s="299"/>
      <c r="W1603" s="299"/>
      <c r="X1603" s="294"/>
      <c r="Y1603" s="299"/>
      <c r="Z1603" s="294"/>
      <c r="AA1603" s="299"/>
      <c r="AB1603" s="299"/>
      <c r="AC1603" s="294"/>
      <c r="AD1603" s="294"/>
      <c r="AE1603" s="294"/>
      <c r="AF1603" s="294"/>
    </row>
    <row r="1604" spans="2:32" x14ac:dyDescent="0.25">
      <c r="B1604" s="294"/>
      <c r="C1604" s="294"/>
      <c r="D1604" s="294"/>
      <c r="E1604" s="294"/>
      <c r="F1604" s="294"/>
      <c r="G1604" s="294"/>
      <c r="H1604" s="294"/>
      <c r="I1604" s="294"/>
      <c r="J1604" s="294"/>
      <c r="L1604" s="295"/>
      <c r="M1604" s="294"/>
      <c r="S1604" s="294"/>
      <c r="T1604" s="299"/>
      <c r="U1604" s="294"/>
      <c r="V1604" s="299"/>
      <c r="W1604" s="299"/>
      <c r="X1604" s="294"/>
      <c r="Y1604" s="299"/>
      <c r="Z1604" s="294"/>
      <c r="AA1604" s="299"/>
      <c r="AB1604" s="299"/>
      <c r="AC1604" s="294"/>
      <c r="AD1604" s="294"/>
      <c r="AE1604" s="294"/>
      <c r="AF1604" s="294"/>
    </row>
    <row r="1605" spans="2:32" x14ac:dyDescent="0.25">
      <c r="B1605" s="294"/>
      <c r="C1605" s="294"/>
      <c r="D1605" s="294"/>
      <c r="E1605" s="294"/>
      <c r="F1605" s="294"/>
      <c r="G1605" s="294"/>
      <c r="H1605" s="294"/>
      <c r="I1605" s="294"/>
      <c r="J1605" s="294"/>
      <c r="L1605" s="295"/>
      <c r="M1605" s="294"/>
      <c r="S1605" s="294"/>
      <c r="T1605" s="299"/>
      <c r="U1605" s="294"/>
      <c r="V1605" s="299"/>
      <c r="W1605" s="299"/>
      <c r="X1605" s="294"/>
      <c r="Y1605" s="299"/>
      <c r="Z1605" s="294"/>
      <c r="AA1605" s="299"/>
      <c r="AB1605" s="299"/>
      <c r="AC1605" s="294"/>
      <c r="AD1605" s="294"/>
      <c r="AE1605" s="294"/>
      <c r="AF1605" s="294"/>
    </row>
    <row r="1606" spans="2:32" x14ac:dyDescent="0.25">
      <c r="B1606" s="294"/>
      <c r="C1606" s="294"/>
      <c r="D1606" s="294"/>
      <c r="E1606" s="294"/>
      <c r="F1606" s="294"/>
      <c r="G1606" s="294"/>
      <c r="H1606" s="294"/>
      <c r="I1606" s="294"/>
      <c r="J1606" s="294"/>
      <c r="L1606" s="295"/>
      <c r="M1606" s="294"/>
      <c r="S1606" s="294"/>
      <c r="T1606" s="299"/>
      <c r="U1606" s="294"/>
      <c r="V1606" s="299"/>
      <c r="W1606" s="299"/>
      <c r="X1606" s="294"/>
      <c r="Y1606" s="299"/>
      <c r="Z1606" s="294"/>
      <c r="AA1606" s="299"/>
      <c r="AB1606" s="299"/>
      <c r="AC1606" s="294"/>
      <c r="AD1606" s="294"/>
      <c r="AE1606" s="294"/>
      <c r="AF1606" s="294"/>
    </row>
    <row r="1607" spans="2:32" x14ac:dyDescent="0.25">
      <c r="B1607" s="294"/>
      <c r="C1607" s="294"/>
      <c r="D1607" s="294"/>
      <c r="E1607" s="294"/>
      <c r="F1607" s="294"/>
      <c r="G1607" s="294"/>
      <c r="H1607" s="294"/>
      <c r="I1607" s="294"/>
      <c r="J1607" s="294"/>
      <c r="L1607" s="295"/>
      <c r="M1607" s="294"/>
      <c r="S1607" s="294"/>
      <c r="T1607" s="299"/>
      <c r="U1607" s="294"/>
      <c r="V1607" s="299"/>
      <c r="W1607" s="299"/>
      <c r="X1607" s="294"/>
      <c r="Y1607" s="299"/>
      <c r="Z1607" s="294"/>
      <c r="AA1607" s="299"/>
      <c r="AB1607" s="299"/>
      <c r="AC1607" s="294"/>
      <c r="AD1607" s="294"/>
      <c r="AE1607" s="294"/>
      <c r="AF1607" s="294"/>
    </row>
    <row r="1608" spans="2:32" x14ac:dyDescent="0.25">
      <c r="B1608" s="294"/>
      <c r="C1608" s="294"/>
      <c r="D1608" s="294"/>
      <c r="E1608" s="294"/>
      <c r="F1608" s="294"/>
      <c r="G1608" s="294"/>
      <c r="H1608" s="294"/>
      <c r="I1608" s="294"/>
      <c r="J1608" s="294"/>
      <c r="L1608" s="295"/>
      <c r="M1608" s="294"/>
      <c r="S1608" s="294"/>
      <c r="T1608" s="299"/>
      <c r="U1608" s="294"/>
      <c r="V1608" s="299"/>
      <c r="W1608" s="299"/>
      <c r="X1608" s="294"/>
      <c r="Y1608" s="299"/>
      <c r="Z1608" s="294"/>
      <c r="AA1608" s="299"/>
      <c r="AB1608" s="299"/>
      <c r="AC1608" s="294"/>
      <c r="AD1608" s="294"/>
      <c r="AE1608" s="294"/>
      <c r="AF1608" s="294"/>
    </row>
    <row r="1609" spans="2:32" x14ac:dyDescent="0.25">
      <c r="B1609" s="294"/>
      <c r="C1609" s="294"/>
      <c r="D1609" s="294"/>
      <c r="E1609" s="294"/>
      <c r="F1609" s="294"/>
      <c r="G1609" s="294"/>
      <c r="H1609" s="294"/>
      <c r="I1609" s="294"/>
      <c r="J1609" s="294"/>
      <c r="L1609" s="295"/>
      <c r="M1609" s="294"/>
      <c r="S1609" s="294"/>
      <c r="T1609" s="299"/>
      <c r="U1609" s="294"/>
      <c r="V1609" s="299"/>
      <c r="W1609" s="299"/>
      <c r="X1609" s="294"/>
      <c r="Y1609" s="299"/>
      <c r="Z1609" s="294"/>
      <c r="AA1609" s="299"/>
      <c r="AB1609" s="299"/>
      <c r="AC1609" s="294"/>
      <c r="AD1609" s="294"/>
      <c r="AE1609" s="294"/>
      <c r="AF1609" s="294"/>
    </row>
    <row r="1610" spans="2:32" x14ac:dyDescent="0.25">
      <c r="B1610" s="294"/>
      <c r="C1610" s="294"/>
      <c r="D1610" s="294"/>
      <c r="E1610" s="294"/>
      <c r="F1610" s="294"/>
      <c r="G1610" s="294"/>
      <c r="H1610" s="294"/>
      <c r="I1610" s="294"/>
      <c r="J1610" s="294"/>
      <c r="L1610" s="295"/>
      <c r="M1610" s="294"/>
      <c r="S1610" s="294"/>
      <c r="T1610" s="299"/>
      <c r="U1610" s="294"/>
      <c r="V1610" s="299"/>
      <c r="W1610" s="299"/>
      <c r="X1610" s="294"/>
      <c r="Y1610" s="299"/>
      <c r="Z1610" s="294"/>
      <c r="AA1610" s="299"/>
      <c r="AB1610" s="299"/>
      <c r="AC1610" s="294"/>
      <c r="AD1610" s="294"/>
      <c r="AE1610" s="294"/>
      <c r="AF1610" s="294"/>
    </row>
    <row r="1611" spans="2:32" x14ac:dyDescent="0.25">
      <c r="B1611" s="294"/>
      <c r="C1611" s="294"/>
      <c r="D1611" s="294"/>
      <c r="E1611" s="294"/>
      <c r="F1611" s="294"/>
      <c r="G1611" s="294"/>
      <c r="H1611" s="294"/>
      <c r="I1611" s="294"/>
      <c r="J1611" s="294"/>
      <c r="L1611" s="295"/>
      <c r="M1611" s="294"/>
      <c r="S1611" s="294"/>
      <c r="T1611" s="299"/>
      <c r="U1611" s="294"/>
      <c r="V1611" s="299"/>
      <c r="W1611" s="299"/>
      <c r="X1611" s="294"/>
      <c r="Y1611" s="299"/>
      <c r="Z1611" s="294"/>
      <c r="AA1611" s="299"/>
      <c r="AB1611" s="299"/>
      <c r="AC1611" s="294"/>
      <c r="AD1611" s="294"/>
      <c r="AE1611" s="294"/>
      <c r="AF1611" s="294"/>
    </row>
    <row r="1612" spans="2:32" x14ac:dyDescent="0.25">
      <c r="B1612" s="294"/>
      <c r="C1612" s="294"/>
      <c r="D1612" s="294"/>
      <c r="E1612" s="294"/>
      <c r="F1612" s="294"/>
      <c r="G1612" s="294"/>
      <c r="H1612" s="294"/>
      <c r="I1612" s="294"/>
      <c r="J1612" s="294"/>
      <c r="L1612" s="295"/>
      <c r="M1612" s="294"/>
      <c r="S1612" s="294"/>
      <c r="T1612" s="299"/>
      <c r="U1612" s="294"/>
      <c r="V1612" s="299"/>
      <c r="W1612" s="299"/>
      <c r="X1612" s="294"/>
      <c r="Y1612" s="299"/>
      <c r="Z1612" s="294"/>
      <c r="AA1612" s="299"/>
      <c r="AB1612" s="299"/>
      <c r="AC1612" s="294"/>
      <c r="AD1612" s="294"/>
      <c r="AE1612" s="294"/>
      <c r="AF1612" s="294"/>
    </row>
    <row r="1613" spans="2:32" x14ac:dyDescent="0.25">
      <c r="B1613" s="294"/>
      <c r="C1613" s="294"/>
      <c r="D1613" s="294"/>
      <c r="E1613" s="294"/>
      <c r="F1613" s="294"/>
      <c r="G1613" s="294"/>
      <c r="H1613" s="294"/>
      <c r="I1613" s="294"/>
      <c r="J1613" s="294"/>
      <c r="L1613" s="295"/>
      <c r="M1613" s="294"/>
      <c r="S1613" s="294"/>
      <c r="T1613" s="299"/>
      <c r="U1613" s="294"/>
      <c r="V1613" s="299"/>
      <c r="W1613" s="299"/>
      <c r="X1613" s="294"/>
      <c r="Y1613" s="299"/>
      <c r="Z1613" s="294"/>
      <c r="AA1613" s="299"/>
      <c r="AB1613" s="299"/>
      <c r="AC1613" s="294"/>
      <c r="AD1613" s="294"/>
      <c r="AE1613" s="294"/>
      <c r="AF1613" s="294"/>
    </row>
    <row r="1614" spans="2:32" x14ac:dyDescent="0.25">
      <c r="B1614" s="294"/>
      <c r="C1614" s="294"/>
      <c r="D1614" s="294"/>
      <c r="E1614" s="294"/>
      <c r="F1614" s="294"/>
      <c r="G1614" s="294"/>
      <c r="H1614" s="294"/>
      <c r="I1614" s="294"/>
      <c r="J1614" s="294"/>
      <c r="L1614" s="295"/>
      <c r="M1614" s="294"/>
      <c r="S1614" s="294"/>
      <c r="T1614" s="299"/>
      <c r="U1614" s="294"/>
      <c r="V1614" s="299"/>
      <c r="W1614" s="299"/>
      <c r="X1614" s="294"/>
      <c r="Y1614" s="299"/>
      <c r="Z1614" s="294"/>
      <c r="AA1614" s="299"/>
      <c r="AB1614" s="299"/>
      <c r="AC1614" s="294"/>
      <c r="AD1614" s="294"/>
      <c r="AE1614" s="294"/>
      <c r="AF1614" s="294"/>
    </row>
    <row r="1615" spans="2:32" x14ac:dyDescent="0.25">
      <c r="B1615" s="294"/>
      <c r="C1615" s="294"/>
      <c r="D1615" s="294"/>
      <c r="E1615" s="294"/>
      <c r="F1615" s="294"/>
      <c r="G1615" s="294"/>
      <c r="H1615" s="294"/>
      <c r="I1615" s="294"/>
      <c r="J1615" s="294"/>
      <c r="L1615" s="295"/>
      <c r="M1615" s="294"/>
      <c r="S1615" s="294"/>
      <c r="T1615" s="299"/>
      <c r="U1615" s="294"/>
      <c r="V1615" s="299"/>
      <c r="W1615" s="299"/>
      <c r="X1615" s="294"/>
      <c r="Y1615" s="299"/>
      <c r="Z1615" s="294"/>
      <c r="AA1615" s="299"/>
      <c r="AB1615" s="299"/>
      <c r="AC1615" s="294"/>
      <c r="AD1615" s="294"/>
      <c r="AE1615" s="294"/>
      <c r="AF1615" s="294"/>
    </row>
    <row r="1616" spans="2:32" x14ac:dyDescent="0.25">
      <c r="B1616" s="294"/>
      <c r="C1616" s="294"/>
      <c r="D1616" s="294"/>
      <c r="E1616" s="294"/>
      <c r="F1616" s="294"/>
      <c r="G1616" s="294"/>
      <c r="H1616" s="294"/>
      <c r="I1616" s="294"/>
      <c r="J1616" s="294"/>
      <c r="L1616" s="295"/>
      <c r="M1616" s="294"/>
      <c r="S1616" s="294"/>
      <c r="T1616" s="299"/>
      <c r="U1616" s="294"/>
      <c r="V1616" s="299"/>
      <c r="W1616" s="299"/>
      <c r="X1616" s="294"/>
      <c r="Y1616" s="299"/>
      <c r="Z1616" s="294"/>
      <c r="AA1616" s="299"/>
      <c r="AB1616" s="299"/>
      <c r="AC1616" s="294"/>
      <c r="AD1616" s="294"/>
      <c r="AE1616" s="294"/>
      <c r="AF1616" s="294"/>
    </row>
    <row r="1617" spans="2:32" x14ac:dyDescent="0.25">
      <c r="B1617" s="294"/>
      <c r="C1617" s="294"/>
      <c r="D1617" s="294"/>
      <c r="E1617" s="294"/>
      <c r="F1617" s="294"/>
      <c r="G1617" s="294"/>
      <c r="H1617" s="294"/>
      <c r="I1617" s="294"/>
      <c r="J1617" s="294"/>
      <c r="L1617" s="295"/>
      <c r="M1617" s="294"/>
      <c r="S1617" s="294"/>
      <c r="T1617" s="299"/>
      <c r="U1617" s="294"/>
      <c r="V1617" s="299"/>
      <c r="W1617" s="299"/>
      <c r="X1617" s="294"/>
      <c r="Y1617" s="299"/>
      <c r="Z1617" s="294"/>
      <c r="AA1617" s="299"/>
      <c r="AB1617" s="299"/>
      <c r="AC1617" s="294"/>
      <c r="AD1617" s="294"/>
      <c r="AE1617" s="294"/>
      <c r="AF1617" s="294"/>
    </row>
    <row r="1618" spans="2:32" x14ac:dyDescent="0.25">
      <c r="B1618" s="294"/>
      <c r="C1618" s="294"/>
      <c r="D1618" s="294"/>
      <c r="E1618" s="294"/>
      <c r="F1618" s="294"/>
      <c r="G1618" s="294"/>
      <c r="H1618" s="294"/>
      <c r="I1618" s="294"/>
      <c r="J1618" s="294"/>
      <c r="L1618" s="295"/>
      <c r="M1618" s="294"/>
      <c r="S1618" s="294"/>
      <c r="T1618" s="299"/>
      <c r="U1618" s="294"/>
      <c r="V1618" s="299"/>
      <c r="W1618" s="299"/>
      <c r="X1618" s="294"/>
      <c r="Y1618" s="299"/>
      <c r="Z1618" s="294"/>
      <c r="AA1618" s="299"/>
      <c r="AB1618" s="299"/>
      <c r="AC1618" s="294"/>
      <c r="AD1618" s="294"/>
      <c r="AE1618" s="294"/>
      <c r="AF1618" s="294"/>
    </row>
    <row r="1619" spans="2:32" x14ac:dyDescent="0.25">
      <c r="B1619" s="294"/>
      <c r="C1619" s="294"/>
      <c r="D1619" s="294"/>
      <c r="E1619" s="294"/>
      <c r="F1619" s="294"/>
      <c r="G1619" s="294"/>
      <c r="H1619" s="294"/>
      <c r="I1619" s="294"/>
      <c r="J1619" s="294"/>
      <c r="L1619" s="295"/>
      <c r="M1619" s="294"/>
      <c r="S1619" s="294"/>
      <c r="T1619" s="299"/>
      <c r="U1619" s="294"/>
      <c r="V1619" s="299"/>
      <c r="W1619" s="299"/>
      <c r="X1619" s="294"/>
      <c r="Y1619" s="299"/>
      <c r="Z1619" s="294"/>
      <c r="AA1619" s="299"/>
      <c r="AB1619" s="299"/>
      <c r="AC1619" s="294"/>
      <c r="AD1619" s="294"/>
      <c r="AE1619" s="294"/>
      <c r="AF1619" s="294"/>
    </row>
    <row r="1620" spans="2:32" x14ac:dyDescent="0.25">
      <c r="B1620" s="294"/>
      <c r="C1620" s="294"/>
      <c r="D1620" s="294"/>
      <c r="E1620" s="294"/>
      <c r="F1620" s="294"/>
      <c r="G1620" s="294"/>
      <c r="H1620" s="294"/>
      <c r="I1620" s="294"/>
      <c r="J1620" s="294"/>
      <c r="L1620" s="295"/>
      <c r="M1620" s="294"/>
      <c r="S1620" s="294"/>
      <c r="T1620" s="299"/>
      <c r="U1620" s="294"/>
      <c r="V1620" s="299"/>
      <c r="W1620" s="299"/>
      <c r="X1620" s="294"/>
      <c r="Y1620" s="299"/>
      <c r="Z1620" s="294"/>
      <c r="AA1620" s="299"/>
      <c r="AB1620" s="299"/>
      <c r="AC1620" s="294"/>
      <c r="AD1620" s="294"/>
      <c r="AE1620" s="294"/>
      <c r="AF1620" s="294"/>
    </row>
    <row r="1621" spans="2:32" x14ac:dyDescent="0.25">
      <c r="B1621" s="294"/>
      <c r="C1621" s="294"/>
      <c r="D1621" s="294"/>
      <c r="E1621" s="294"/>
      <c r="F1621" s="294"/>
      <c r="G1621" s="294"/>
      <c r="H1621" s="294"/>
      <c r="I1621" s="294"/>
      <c r="J1621" s="294"/>
      <c r="L1621" s="295"/>
      <c r="M1621" s="294"/>
      <c r="S1621" s="294"/>
      <c r="T1621" s="299"/>
      <c r="U1621" s="294"/>
      <c r="V1621" s="299"/>
      <c r="W1621" s="299"/>
      <c r="X1621" s="294"/>
      <c r="Y1621" s="299"/>
      <c r="Z1621" s="294"/>
      <c r="AA1621" s="299"/>
      <c r="AB1621" s="299"/>
      <c r="AC1621" s="294"/>
      <c r="AD1621" s="294"/>
      <c r="AE1621" s="294"/>
      <c r="AF1621" s="294"/>
    </row>
    <row r="1622" spans="2:32" x14ac:dyDescent="0.25">
      <c r="B1622" s="294"/>
      <c r="C1622" s="294"/>
      <c r="D1622" s="294"/>
      <c r="E1622" s="294"/>
      <c r="F1622" s="294"/>
      <c r="G1622" s="294"/>
      <c r="H1622" s="294"/>
      <c r="I1622" s="294"/>
      <c r="J1622" s="294"/>
      <c r="L1622" s="295"/>
      <c r="M1622" s="294"/>
      <c r="S1622" s="294"/>
      <c r="T1622" s="299"/>
      <c r="U1622" s="294"/>
      <c r="V1622" s="299"/>
      <c r="W1622" s="299"/>
      <c r="X1622" s="294"/>
      <c r="Y1622" s="299"/>
      <c r="Z1622" s="294"/>
      <c r="AA1622" s="299"/>
      <c r="AB1622" s="299"/>
      <c r="AC1622" s="294"/>
      <c r="AD1622" s="294"/>
      <c r="AE1622" s="294"/>
      <c r="AF1622" s="294"/>
    </row>
    <row r="1623" spans="2:32" x14ac:dyDescent="0.25">
      <c r="B1623" s="294"/>
      <c r="C1623" s="294"/>
      <c r="D1623" s="294"/>
      <c r="E1623" s="294"/>
      <c r="F1623" s="294"/>
      <c r="G1623" s="294"/>
      <c r="H1623" s="294"/>
      <c r="I1623" s="294"/>
      <c r="J1623" s="294"/>
      <c r="L1623" s="295"/>
      <c r="M1623" s="294"/>
      <c r="S1623" s="294"/>
      <c r="T1623" s="299"/>
      <c r="U1623" s="294"/>
      <c r="V1623" s="299"/>
      <c r="W1623" s="299"/>
      <c r="X1623" s="294"/>
      <c r="Y1623" s="299"/>
      <c r="Z1623" s="294"/>
      <c r="AA1623" s="299"/>
      <c r="AB1623" s="299"/>
      <c r="AC1623" s="294"/>
      <c r="AD1623" s="294"/>
      <c r="AE1623" s="294"/>
      <c r="AF1623" s="294"/>
    </row>
    <row r="1624" spans="2:32" x14ac:dyDescent="0.25">
      <c r="B1624" s="294"/>
      <c r="C1624" s="294"/>
      <c r="D1624" s="294"/>
      <c r="E1624" s="294"/>
      <c r="F1624" s="294"/>
      <c r="G1624" s="294"/>
      <c r="H1624" s="294"/>
      <c r="I1624" s="294"/>
      <c r="J1624" s="294"/>
      <c r="L1624" s="295"/>
      <c r="M1624" s="294"/>
      <c r="S1624" s="294"/>
      <c r="T1624" s="299"/>
      <c r="U1624" s="294"/>
      <c r="V1624" s="299"/>
      <c r="W1624" s="299"/>
      <c r="X1624" s="294"/>
      <c r="Y1624" s="299"/>
      <c r="Z1624" s="294"/>
      <c r="AA1624" s="299"/>
      <c r="AB1624" s="299"/>
      <c r="AC1624" s="294"/>
      <c r="AD1624" s="294"/>
      <c r="AE1624" s="294"/>
      <c r="AF1624" s="294"/>
    </row>
    <row r="1625" spans="2:32" x14ac:dyDescent="0.25">
      <c r="B1625" s="294"/>
      <c r="C1625" s="294"/>
      <c r="D1625" s="294"/>
      <c r="E1625" s="294"/>
      <c r="F1625" s="294"/>
      <c r="G1625" s="294"/>
      <c r="H1625" s="294"/>
      <c r="I1625" s="294"/>
      <c r="J1625" s="294"/>
      <c r="L1625" s="295"/>
      <c r="M1625" s="294"/>
      <c r="S1625" s="294"/>
      <c r="T1625" s="299"/>
      <c r="U1625" s="294"/>
      <c r="V1625" s="299"/>
      <c r="W1625" s="299"/>
      <c r="X1625" s="294"/>
      <c r="Y1625" s="299"/>
      <c r="Z1625" s="294"/>
      <c r="AA1625" s="299"/>
      <c r="AB1625" s="299"/>
      <c r="AC1625" s="294"/>
      <c r="AD1625" s="294"/>
      <c r="AE1625" s="294"/>
      <c r="AF1625" s="294"/>
    </row>
    <row r="1626" spans="2:32" x14ac:dyDescent="0.25">
      <c r="B1626" s="294"/>
      <c r="C1626" s="294"/>
      <c r="D1626" s="294"/>
      <c r="E1626" s="294"/>
      <c r="F1626" s="294"/>
      <c r="G1626" s="294"/>
      <c r="H1626" s="294"/>
      <c r="I1626" s="294"/>
      <c r="J1626" s="294"/>
      <c r="L1626" s="295"/>
      <c r="M1626" s="294"/>
      <c r="S1626" s="294"/>
      <c r="T1626" s="299"/>
      <c r="U1626" s="294"/>
      <c r="V1626" s="299"/>
      <c r="W1626" s="299"/>
      <c r="X1626" s="294"/>
      <c r="Y1626" s="299"/>
      <c r="Z1626" s="294"/>
      <c r="AA1626" s="299"/>
      <c r="AB1626" s="299"/>
      <c r="AC1626" s="294"/>
      <c r="AD1626" s="294"/>
      <c r="AE1626" s="294"/>
      <c r="AF1626" s="294"/>
    </row>
    <row r="1627" spans="2:32" x14ac:dyDescent="0.25">
      <c r="B1627" s="294"/>
      <c r="C1627" s="294"/>
      <c r="D1627" s="294"/>
      <c r="E1627" s="294"/>
      <c r="F1627" s="294"/>
      <c r="G1627" s="294"/>
      <c r="H1627" s="294"/>
      <c r="I1627" s="294"/>
      <c r="J1627" s="294"/>
      <c r="L1627" s="295"/>
      <c r="M1627" s="294"/>
      <c r="S1627" s="294"/>
      <c r="T1627" s="299"/>
      <c r="U1627" s="294"/>
      <c r="V1627" s="299"/>
      <c r="W1627" s="299"/>
      <c r="X1627" s="294"/>
      <c r="Y1627" s="299"/>
      <c r="Z1627" s="294"/>
      <c r="AA1627" s="299"/>
      <c r="AB1627" s="299"/>
      <c r="AC1627" s="294"/>
      <c r="AD1627" s="294"/>
      <c r="AE1627" s="294"/>
      <c r="AF1627" s="294"/>
    </row>
    <row r="1628" spans="2:32" x14ac:dyDescent="0.25">
      <c r="B1628" s="294"/>
      <c r="C1628" s="294"/>
      <c r="D1628" s="294"/>
      <c r="E1628" s="294"/>
      <c r="F1628" s="294"/>
      <c r="G1628" s="294"/>
      <c r="H1628" s="294"/>
      <c r="I1628" s="294"/>
      <c r="J1628" s="294"/>
      <c r="L1628" s="295"/>
      <c r="M1628" s="294"/>
      <c r="S1628" s="294"/>
      <c r="T1628" s="299"/>
      <c r="U1628" s="294"/>
      <c r="V1628" s="299"/>
      <c r="W1628" s="299"/>
      <c r="X1628" s="294"/>
      <c r="Y1628" s="299"/>
      <c r="Z1628" s="294"/>
      <c r="AA1628" s="299"/>
      <c r="AB1628" s="299"/>
      <c r="AC1628" s="294"/>
      <c r="AD1628" s="294"/>
      <c r="AE1628" s="294"/>
      <c r="AF1628" s="294"/>
    </row>
    <row r="1629" spans="2:32" x14ac:dyDescent="0.25">
      <c r="B1629" s="294"/>
      <c r="C1629" s="294"/>
      <c r="D1629" s="294"/>
      <c r="E1629" s="294"/>
      <c r="F1629" s="294"/>
      <c r="G1629" s="294"/>
      <c r="H1629" s="294"/>
      <c r="I1629" s="294"/>
      <c r="J1629" s="294"/>
      <c r="L1629" s="295"/>
      <c r="M1629" s="294"/>
      <c r="S1629" s="294"/>
      <c r="T1629" s="299"/>
      <c r="U1629" s="294"/>
      <c r="V1629" s="299"/>
      <c r="W1629" s="299"/>
      <c r="X1629" s="294"/>
      <c r="Y1629" s="299"/>
      <c r="Z1629" s="294"/>
      <c r="AA1629" s="299"/>
      <c r="AB1629" s="299"/>
      <c r="AC1629" s="294"/>
      <c r="AD1629" s="294"/>
      <c r="AE1629" s="294"/>
      <c r="AF1629" s="294"/>
    </row>
    <row r="1630" spans="2:32" x14ac:dyDescent="0.25">
      <c r="B1630" s="294"/>
      <c r="C1630" s="294"/>
      <c r="D1630" s="294"/>
      <c r="E1630" s="294"/>
      <c r="F1630" s="294"/>
      <c r="G1630" s="294"/>
      <c r="H1630" s="294"/>
      <c r="I1630" s="294"/>
      <c r="J1630" s="294"/>
      <c r="L1630" s="295"/>
      <c r="M1630" s="294"/>
      <c r="S1630" s="294"/>
      <c r="T1630" s="299"/>
      <c r="U1630" s="294"/>
      <c r="V1630" s="299"/>
      <c r="W1630" s="299"/>
      <c r="X1630" s="294"/>
      <c r="Y1630" s="299"/>
      <c r="Z1630" s="294"/>
      <c r="AA1630" s="299"/>
      <c r="AB1630" s="299"/>
      <c r="AC1630" s="294"/>
      <c r="AD1630" s="294"/>
      <c r="AE1630" s="294"/>
      <c r="AF1630" s="294"/>
    </row>
    <row r="1631" spans="2:32" x14ac:dyDescent="0.25">
      <c r="B1631" s="294"/>
      <c r="C1631" s="294"/>
      <c r="D1631" s="294"/>
      <c r="E1631" s="294"/>
      <c r="F1631" s="294"/>
      <c r="G1631" s="294"/>
      <c r="H1631" s="294"/>
      <c r="I1631" s="294"/>
      <c r="J1631" s="294"/>
      <c r="L1631" s="295"/>
      <c r="M1631" s="294"/>
      <c r="S1631" s="294"/>
      <c r="T1631" s="299"/>
      <c r="U1631" s="294"/>
      <c r="V1631" s="299"/>
      <c r="W1631" s="299"/>
      <c r="X1631" s="294"/>
      <c r="Y1631" s="299"/>
      <c r="Z1631" s="294"/>
      <c r="AA1631" s="299"/>
      <c r="AB1631" s="299"/>
      <c r="AC1631" s="294"/>
      <c r="AD1631" s="294"/>
      <c r="AE1631" s="294"/>
      <c r="AF1631" s="294"/>
    </row>
    <row r="1632" spans="2:32" x14ac:dyDescent="0.25">
      <c r="B1632" s="294"/>
      <c r="C1632" s="294"/>
      <c r="D1632" s="294"/>
      <c r="E1632" s="294"/>
      <c r="F1632" s="294"/>
      <c r="G1632" s="294"/>
      <c r="H1632" s="294"/>
      <c r="I1632" s="294"/>
      <c r="J1632" s="294"/>
      <c r="L1632" s="295"/>
      <c r="M1632" s="294"/>
      <c r="S1632" s="294"/>
      <c r="T1632" s="299"/>
      <c r="U1632" s="294"/>
      <c r="V1632" s="299"/>
      <c r="W1632" s="299"/>
      <c r="X1632" s="294"/>
      <c r="Y1632" s="299"/>
      <c r="Z1632" s="294"/>
      <c r="AA1632" s="299"/>
      <c r="AB1632" s="299"/>
      <c r="AC1632" s="294"/>
      <c r="AD1632" s="294"/>
      <c r="AE1632" s="294"/>
      <c r="AF1632" s="294"/>
    </row>
    <row r="1633" spans="2:32" x14ac:dyDescent="0.25">
      <c r="B1633" s="294"/>
      <c r="C1633" s="294"/>
      <c r="D1633" s="294"/>
      <c r="E1633" s="294"/>
      <c r="F1633" s="294"/>
      <c r="G1633" s="294"/>
      <c r="H1633" s="294"/>
      <c r="I1633" s="294"/>
      <c r="J1633" s="294"/>
      <c r="L1633" s="295"/>
      <c r="M1633" s="294"/>
      <c r="S1633" s="294"/>
      <c r="T1633" s="299"/>
      <c r="U1633" s="294"/>
      <c r="V1633" s="299"/>
      <c r="W1633" s="299"/>
      <c r="X1633" s="294"/>
      <c r="Y1633" s="299"/>
      <c r="Z1633" s="294"/>
      <c r="AA1633" s="299"/>
      <c r="AB1633" s="299"/>
      <c r="AC1633" s="294"/>
      <c r="AD1633" s="294"/>
      <c r="AE1633" s="294"/>
      <c r="AF1633" s="294"/>
    </row>
    <row r="1634" spans="2:32" x14ac:dyDescent="0.25">
      <c r="B1634" s="294"/>
      <c r="C1634" s="294"/>
      <c r="D1634" s="294"/>
      <c r="E1634" s="294"/>
      <c r="F1634" s="294"/>
      <c r="G1634" s="294"/>
      <c r="H1634" s="294"/>
      <c r="I1634" s="294"/>
      <c r="J1634" s="294"/>
      <c r="L1634" s="295"/>
      <c r="M1634" s="294"/>
      <c r="S1634" s="294"/>
      <c r="T1634" s="299"/>
      <c r="U1634" s="294"/>
      <c r="V1634" s="299"/>
      <c r="W1634" s="299"/>
      <c r="X1634" s="294"/>
      <c r="Y1634" s="299"/>
      <c r="Z1634" s="294"/>
      <c r="AA1634" s="299"/>
      <c r="AB1634" s="299"/>
      <c r="AC1634" s="294"/>
      <c r="AD1634" s="294"/>
      <c r="AE1634" s="294"/>
      <c r="AF1634" s="294"/>
    </row>
    <row r="1635" spans="2:32" x14ac:dyDescent="0.25">
      <c r="B1635" s="294"/>
      <c r="C1635" s="294"/>
      <c r="D1635" s="294"/>
      <c r="E1635" s="294"/>
      <c r="F1635" s="294"/>
      <c r="G1635" s="294"/>
      <c r="H1635" s="294"/>
      <c r="I1635" s="294"/>
      <c r="J1635" s="294"/>
      <c r="L1635" s="295"/>
      <c r="M1635" s="294"/>
      <c r="S1635" s="294"/>
      <c r="T1635" s="299"/>
      <c r="U1635" s="294"/>
      <c r="V1635" s="299"/>
      <c r="W1635" s="299"/>
      <c r="X1635" s="294"/>
      <c r="Y1635" s="299"/>
      <c r="Z1635" s="294"/>
      <c r="AA1635" s="299"/>
      <c r="AB1635" s="299"/>
      <c r="AC1635" s="294"/>
      <c r="AD1635" s="294"/>
      <c r="AE1635" s="294"/>
      <c r="AF1635" s="294"/>
    </row>
    <row r="1636" spans="2:32" x14ac:dyDescent="0.25">
      <c r="B1636" s="294"/>
      <c r="C1636" s="294"/>
      <c r="D1636" s="294"/>
      <c r="E1636" s="294"/>
      <c r="F1636" s="294"/>
      <c r="G1636" s="294"/>
      <c r="H1636" s="294"/>
      <c r="I1636" s="294"/>
      <c r="J1636" s="294"/>
      <c r="L1636" s="295"/>
      <c r="M1636" s="294"/>
      <c r="S1636" s="294"/>
      <c r="T1636" s="299"/>
      <c r="U1636" s="294"/>
      <c r="V1636" s="299"/>
      <c r="W1636" s="299"/>
      <c r="X1636" s="294"/>
      <c r="Y1636" s="299"/>
      <c r="Z1636" s="294"/>
      <c r="AA1636" s="299"/>
      <c r="AB1636" s="299"/>
      <c r="AC1636" s="294"/>
      <c r="AD1636" s="294"/>
      <c r="AE1636" s="294"/>
      <c r="AF1636" s="294"/>
    </row>
    <row r="1637" spans="2:32" x14ac:dyDescent="0.25">
      <c r="B1637" s="294"/>
      <c r="C1637" s="294"/>
      <c r="D1637" s="294"/>
      <c r="E1637" s="294"/>
      <c r="F1637" s="294"/>
      <c r="G1637" s="294"/>
      <c r="H1637" s="294"/>
      <c r="I1637" s="294"/>
      <c r="J1637" s="294"/>
      <c r="L1637" s="295"/>
      <c r="M1637" s="294"/>
      <c r="S1637" s="294"/>
      <c r="T1637" s="299"/>
      <c r="U1637" s="294"/>
      <c r="V1637" s="299"/>
      <c r="W1637" s="299"/>
      <c r="X1637" s="294"/>
      <c r="Y1637" s="299"/>
      <c r="Z1637" s="294"/>
      <c r="AA1637" s="299"/>
      <c r="AB1637" s="299"/>
      <c r="AC1637" s="294"/>
      <c r="AD1637" s="294"/>
      <c r="AE1637" s="294"/>
      <c r="AF1637" s="294"/>
    </row>
    <row r="1638" spans="2:32" x14ac:dyDescent="0.25">
      <c r="B1638" s="294"/>
      <c r="C1638" s="294"/>
      <c r="D1638" s="294"/>
      <c r="E1638" s="294"/>
      <c r="F1638" s="294"/>
      <c r="G1638" s="294"/>
      <c r="H1638" s="294"/>
      <c r="I1638" s="294"/>
      <c r="J1638" s="294"/>
      <c r="L1638" s="295"/>
      <c r="M1638" s="294"/>
      <c r="S1638" s="294"/>
      <c r="T1638" s="299"/>
      <c r="U1638" s="294"/>
      <c r="V1638" s="299"/>
      <c r="W1638" s="299"/>
      <c r="X1638" s="294"/>
      <c r="Y1638" s="299"/>
      <c r="Z1638" s="294"/>
      <c r="AA1638" s="299"/>
      <c r="AB1638" s="299"/>
      <c r="AC1638" s="294"/>
      <c r="AD1638" s="294"/>
      <c r="AE1638" s="294"/>
      <c r="AF1638" s="294"/>
    </row>
    <row r="1639" spans="2:32" x14ac:dyDescent="0.25">
      <c r="B1639" s="294"/>
      <c r="C1639" s="294"/>
      <c r="D1639" s="294"/>
      <c r="E1639" s="294"/>
      <c r="F1639" s="294"/>
      <c r="G1639" s="294"/>
      <c r="H1639" s="294"/>
      <c r="I1639" s="294"/>
      <c r="J1639" s="294"/>
      <c r="L1639" s="295"/>
      <c r="M1639" s="294"/>
      <c r="S1639" s="294"/>
      <c r="T1639" s="299"/>
      <c r="U1639" s="294"/>
      <c r="V1639" s="299"/>
      <c r="W1639" s="299"/>
      <c r="X1639" s="294"/>
      <c r="Y1639" s="299"/>
      <c r="Z1639" s="294"/>
      <c r="AA1639" s="299"/>
      <c r="AB1639" s="299"/>
      <c r="AC1639" s="294"/>
      <c r="AD1639" s="294"/>
      <c r="AE1639" s="294"/>
      <c r="AF1639" s="294"/>
    </row>
    <row r="1640" spans="2:32" x14ac:dyDescent="0.25">
      <c r="B1640" s="294"/>
      <c r="C1640" s="294"/>
      <c r="D1640" s="294"/>
      <c r="E1640" s="294"/>
      <c r="F1640" s="294"/>
      <c r="G1640" s="294"/>
      <c r="H1640" s="294"/>
      <c r="I1640" s="294"/>
      <c r="J1640" s="294"/>
      <c r="L1640" s="295"/>
      <c r="M1640" s="294"/>
      <c r="S1640" s="294"/>
      <c r="T1640" s="299"/>
      <c r="U1640" s="294"/>
      <c r="V1640" s="299"/>
      <c r="W1640" s="299"/>
      <c r="X1640" s="294"/>
      <c r="Y1640" s="299"/>
      <c r="Z1640" s="294"/>
      <c r="AA1640" s="299"/>
      <c r="AB1640" s="299"/>
      <c r="AC1640" s="294"/>
      <c r="AD1640" s="294"/>
      <c r="AE1640" s="294"/>
      <c r="AF1640" s="294"/>
    </row>
    <row r="1641" spans="2:32" x14ac:dyDescent="0.25">
      <c r="B1641" s="294"/>
      <c r="C1641" s="294"/>
      <c r="D1641" s="294"/>
      <c r="E1641" s="294"/>
      <c r="F1641" s="294"/>
      <c r="G1641" s="294"/>
      <c r="H1641" s="294"/>
      <c r="I1641" s="294"/>
      <c r="J1641" s="294"/>
      <c r="L1641" s="295"/>
      <c r="M1641" s="294"/>
      <c r="S1641" s="294"/>
      <c r="T1641" s="299"/>
      <c r="U1641" s="294"/>
      <c r="V1641" s="299"/>
      <c r="W1641" s="299"/>
      <c r="X1641" s="294"/>
      <c r="Y1641" s="299"/>
      <c r="Z1641" s="294"/>
      <c r="AA1641" s="299"/>
      <c r="AB1641" s="299"/>
      <c r="AC1641" s="294"/>
      <c r="AD1641" s="294"/>
      <c r="AE1641" s="294"/>
      <c r="AF1641" s="294"/>
    </row>
    <row r="1642" spans="2:32" x14ac:dyDescent="0.25">
      <c r="B1642" s="294"/>
      <c r="C1642" s="294"/>
      <c r="D1642" s="294"/>
      <c r="E1642" s="294"/>
      <c r="F1642" s="294"/>
      <c r="G1642" s="294"/>
      <c r="H1642" s="294"/>
      <c r="I1642" s="294"/>
      <c r="J1642" s="294"/>
      <c r="L1642" s="295"/>
      <c r="M1642" s="294"/>
      <c r="S1642" s="294"/>
      <c r="T1642" s="299"/>
      <c r="U1642" s="294"/>
      <c r="V1642" s="299"/>
      <c r="W1642" s="299"/>
      <c r="X1642" s="294"/>
      <c r="Y1642" s="299"/>
      <c r="Z1642" s="294"/>
      <c r="AA1642" s="299"/>
      <c r="AB1642" s="299"/>
      <c r="AC1642" s="294"/>
      <c r="AD1642" s="294"/>
      <c r="AE1642" s="294"/>
      <c r="AF1642" s="294"/>
    </row>
    <row r="1643" spans="2:32" x14ac:dyDescent="0.25">
      <c r="B1643" s="294"/>
      <c r="C1643" s="294"/>
      <c r="D1643" s="294"/>
      <c r="E1643" s="294"/>
      <c r="F1643" s="294"/>
      <c r="G1643" s="294"/>
      <c r="H1643" s="294"/>
      <c r="I1643" s="294"/>
      <c r="J1643" s="294"/>
      <c r="L1643" s="295"/>
      <c r="M1643" s="294"/>
      <c r="S1643" s="294"/>
      <c r="T1643" s="299"/>
      <c r="U1643" s="294"/>
      <c r="V1643" s="299"/>
      <c r="W1643" s="299"/>
      <c r="X1643" s="294"/>
      <c r="Y1643" s="299"/>
      <c r="Z1643" s="294"/>
      <c r="AA1643" s="299"/>
      <c r="AB1643" s="299"/>
      <c r="AC1643" s="294"/>
      <c r="AD1643" s="294"/>
      <c r="AE1643" s="294"/>
      <c r="AF1643" s="294"/>
    </row>
    <row r="1644" spans="2:32" x14ac:dyDescent="0.25">
      <c r="B1644" s="294"/>
      <c r="C1644" s="294"/>
      <c r="D1644" s="294"/>
      <c r="E1644" s="294"/>
      <c r="F1644" s="294"/>
      <c r="G1644" s="294"/>
      <c r="H1644" s="294"/>
      <c r="I1644" s="294"/>
      <c r="J1644" s="294"/>
      <c r="L1644" s="295"/>
      <c r="M1644" s="294"/>
      <c r="S1644" s="294"/>
      <c r="T1644" s="299"/>
      <c r="U1644" s="294"/>
      <c r="V1644" s="299"/>
      <c r="W1644" s="299"/>
      <c r="X1644" s="294"/>
      <c r="Y1644" s="299"/>
      <c r="Z1644" s="294"/>
      <c r="AA1644" s="299"/>
      <c r="AB1644" s="299"/>
      <c r="AC1644" s="294"/>
      <c r="AD1644" s="294"/>
      <c r="AE1644" s="294"/>
      <c r="AF1644" s="294"/>
    </row>
    <row r="1645" spans="2:32" x14ac:dyDescent="0.25">
      <c r="B1645" s="294"/>
      <c r="C1645" s="294"/>
      <c r="D1645" s="294"/>
      <c r="E1645" s="294"/>
      <c r="F1645" s="294"/>
      <c r="G1645" s="294"/>
      <c r="H1645" s="294"/>
      <c r="I1645" s="294"/>
      <c r="J1645" s="294"/>
      <c r="L1645" s="295"/>
      <c r="M1645" s="294"/>
      <c r="S1645" s="294"/>
      <c r="T1645" s="299"/>
      <c r="U1645" s="294"/>
      <c r="V1645" s="299"/>
      <c r="W1645" s="299"/>
      <c r="X1645" s="294"/>
      <c r="Y1645" s="299"/>
      <c r="Z1645" s="294"/>
      <c r="AA1645" s="299"/>
      <c r="AB1645" s="299"/>
      <c r="AC1645" s="294"/>
      <c r="AD1645" s="294"/>
      <c r="AE1645" s="294"/>
      <c r="AF1645" s="294"/>
    </row>
    <row r="1646" spans="2:32" x14ac:dyDescent="0.25">
      <c r="B1646" s="294"/>
      <c r="C1646" s="294"/>
      <c r="D1646" s="294"/>
      <c r="E1646" s="294"/>
      <c r="F1646" s="294"/>
      <c r="G1646" s="294"/>
      <c r="H1646" s="294"/>
      <c r="I1646" s="294"/>
      <c r="J1646" s="294"/>
      <c r="L1646" s="295"/>
      <c r="M1646" s="294"/>
      <c r="S1646" s="294"/>
      <c r="T1646" s="299"/>
      <c r="U1646" s="294"/>
      <c r="V1646" s="299"/>
      <c r="W1646" s="299"/>
      <c r="X1646" s="294"/>
      <c r="Y1646" s="299"/>
      <c r="Z1646" s="294"/>
      <c r="AA1646" s="299"/>
      <c r="AB1646" s="299"/>
      <c r="AC1646" s="294"/>
      <c r="AD1646" s="294"/>
      <c r="AE1646" s="294"/>
      <c r="AF1646" s="294"/>
    </row>
    <row r="1647" spans="2:32" x14ac:dyDescent="0.25">
      <c r="B1647" s="294"/>
      <c r="C1647" s="294"/>
      <c r="D1647" s="294"/>
      <c r="E1647" s="294"/>
      <c r="F1647" s="294"/>
      <c r="G1647" s="294"/>
      <c r="H1647" s="294"/>
      <c r="I1647" s="294"/>
      <c r="J1647" s="294"/>
      <c r="L1647" s="295"/>
      <c r="M1647" s="294"/>
      <c r="S1647" s="294"/>
      <c r="T1647" s="299"/>
      <c r="U1647" s="294"/>
      <c r="V1647" s="299"/>
      <c r="W1647" s="299"/>
      <c r="X1647" s="294"/>
      <c r="Y1647" s="299"/>
      <c r="Z1647" s="294"/>
      <c r="AA1647" s="299"/>
      <c r="AB1647" s="299"/>
      <c r="AC1647" s="294"/>
      <c r="AD1647" s="294"/>
      <c r="AE1647" s="294"/>
      <c r="AF1647" s="294"/>
    </row>
    <row r="1648" spans="2:32" x14ac:dyDescent="0.25">
      <c r="B1648" s="294"/>
      <c r="C1648" s="294"/>
      <c r="D1648" s="294"/>
      <c r="E1648" s="294"/>
      <c r="F1648" s="294"/>
      <c r="G1648" s="294"/>
      <c r="H1648" s="294"/>
      <c r="I1648" s="294"/>
      <c r="J1648" s="294"/>
      <c r="L1648" s="295"/>
      <c r="M1648" s="294"/>
      <c r="S1648" s="294"/>
      <c r="T1648" s="299"/>
      <c r="U1648" s="294"/>
      <c r="V1648" s="299"/>
      <c r="W1648" s="299"/>
      <c r="X1648" s="294"/>
      <c r="Y1648" s="299"/>
      <c r="Z1648" s="294"/>
      <c r="AA1648" s="299"/>
      <c r="AB1648" s="299"/>
      <c r="AC1648" s="294"/>
      <c r="AD1648" s="294"/>
      <c r="AE1648" s="294"/>
      <c r="AF1648" s="294"/>
    </row>
    <row r="1649" spans="2:32" x14ac:dyDescent="0.25">
      <c r="B1649" s="294"/>
      <c r="C1649" s="294"/>
      <c r="D1649" s="294"/>
      <c r="E1649" s="294"/>
      <c r="F1649" s="294"/>
      <c r="G1649" s="294"/>
      <c r="H1649" s="294"/>
      <c r="I1649" s="294"/>
      <c r="J1649" s="294"/>
      <c r="L1649" s="295"/>
      <c r="M1649" s="294"/>
      <c r="S1649" s="294"/>
      <c r="T1649" s="299"/>
      <c r="U1649" s="294"/>
      <c r="V1649" s="299"/>
      <c r="W1649" s="299"/>
      <c r="X1649" s="294"/>
      <c r="Y1649" s="299"/>
      <c r="Z1649" s="294"/>
      <c r="AA1649" s="299"/>
      <c r="AB1649" s="299"/>
      <c r="AC1649" s="294"/>
      <c r="AD1649" s="294"/>
      <c r="AE1649" s="294"/>
      <c r="AF1649" s="294"/>
    </row>
    <row r="1650" spans="2:32" x14ac:dyDescent="0.25">
      <c r="B1650" s="294"/>
      <c r="C1650" s="294"/>
      <c r="D1650" s="294"/>
      <c r="E1650" s="294"/>
      <c r="F1650" s="294"/>
      <c r="G1650" s="294"/>
      <c r="H1650" s="294"/>
      <c r="I1650" s="294"/>
      <c r="J1650" s="294"/>
      <c r="L1650" s="295"/>
      <c r="M1650" s="294"/>
      <c r="S1650" s="294"/>
      <c r="T1650" s="299"/>
      <c r="U1650" s="294"/>
      <c r="V1650" s="299"/>
      <c r="W1650" s="299"/>
      <c r="X1650" s="294"/>
      <c r="Y1650" s="299"/>
      <c r="Z1650" s="294"/>
      <c r="AA1650" s="299"/>
      <c r="AB1650" s="299"/>
      <c r="AC1650" s="294"/>
      <c r="AD1650" s="294"/>
      <c r="AE1650" s="294"/>
      <c r="AF1650" s="294"/>
    </row>
    <row r="1651" spans="2:32" x14ac:dyDescent="0.25">
      <c r="B1651" s="294"/>
      <c r="C1651" s="294"/>
      <c r="D1651" s="294"/>
      <c r="E1651" s="294"/>
      <c r="F1651" s="294"/>
      <c r="G1651" s="294"/>
      <c r="H1651" s="294"/>
      <c r="I1651" s="294"/>
      <c r="J1651" s="294"/>
      <c r="L1651" s="295"/>
      <c r="M1651" s="294"/>
      <c r="S1651" s="294"/>
      <c r="T1651" s="299"/>
      <c r="U1651" s="294"/>
      <c r="V1651" s="299"/>
      <c r="W1651" s="299"/>
      <c r="X1651" s="294"/>
      <c r="Y1651" s="299"/>
      <c r="Z1651" s="294"/>
      <c r="AA1651" s="299"/>
      <c r="AB1651" s="299"/>
      <c r="AC1651" s="294"/>
      <c r="AD1651" s="294"/>
      <c r="AE1651" s="294"/>
      <c r="AF1651" s="294"/>
    </row>
    <row r="1652" spans="2:32" x14ac:dyDescent="0.25">
      <c r="B1652" s="294"/>
      <c r="C1652" s="294"/>
      <c r="D1652" s="294"/>
      <c r="E1652" s="294"/>
      <c r="F1652" s="294"/>
      <c r="G1652" s="294"/>
      <c r="H1652" s="294"/>
      <c r="I1652" s="294"/>
      <c r="J1652" s="294"/>
      <c r="L1652" s="295"/>
      <c r="M1652" s="294"/>
      <c r="S1652" s="294"/>
      <c r="T1652" s="299"/>
      <c r="U1652" s="294"/>
      <c r="V1652" s="299"/>
      <c r="W1652" s="299"/>
      <c r="X1652" s="294"/>
      <c r="Y1652" s="299"/>
      <c r="Z1652" s="294"/>
      <c r="AA1652" s="299"/>
      <c r="AB1652" s="299"/>
      <c r="AC1652" s="294"/>
      <c r="AD1652" s="294"/>
      <c r="AE1652" s="294"/>
      <c r="AF1652" s="294"/>
    </row>
    <row r="1653" spans="2:32" x14ac:dyDescent="0.25">
      <c r="B1653" s="294"/>
      <c r="C1653" s="294"/>
      <c r="D1653" s="294"/>
      <c r="E1653" s="294"/>
      <c r="F1653" s="294"/>
      <c r="G1653" s="294"/>
      <c r="H1653" s="294"/>
      <c r="I1653" s="294"/>
      <c r="J1653" s="294"/>
      <c r="L1653" s="295"/>
      <c r="M1653" s="294"/>
      <c r="S1653" s="294"/>
      <c r="T1653" s="299"/>
      <c r="U1653" s="294"/>
      <c r="V1653" s="299"/>
      <c r="W1653" s="299"/>
      <c r="X1653" s="294"/>
      <c r="Y1653" s="299"/>
      <c r="Z1653" s="294"/>
      <c r="AA1653" s="299"/>
      <c r="AB1653" s="299"/>
      <c r="AC1653" s="294"/>
      <c r="AD1653" s="294"/>
      <c r="AE1653" s="294"/>
      <c r="AF1653" s="294"/>
    </row>
    <row r="1654" spans="2:32" x14ac:dyDescent="0.25">
      <c r="B1654" s="294"/>
      <c r="C1654" s="294"/>
      <c r="D1654" s="294"/>
      <c r="E1654" s="294"/>
      <c r="F1654" s="294"/>
      <c r="G1654" s="294"/>
      <c r="H1654" s="294"/>
      <c r="I1654" s="294"/>
      <c r="J1654" s="294"/>
      <c r="L1654" s="295"/>
      <c r="M1654" s="294"/>
      <c r="S1654" s="294"/>
      <c r="T1654" s="299"/>
      <c r="U1654" s="294"/>
      <c r="V1654" s="299"/>
      <c r="W1654" s="299"/>
      <c r="X1654" s="294"/>
      <c r="Y1654" s="299"/>
      <c r="Z1654" s="294"/>
      <c r="AA1654" s="299"/>
      <c r="AB1654" s="299"/>
      <c r="AC1654" s="294"/>
      <c r="AD1654" s="294"/>
      <c r="AE1654" s="294"/>
      <c r="AF1654" s="294"/>
    </row>
    <row r="1655" spans="2:32" x14ac:dyDescent="0.25">
      <c r="B1655" s="294"/>
      <c r="C1655" s="294"/>
      <c r="D1655" s="294"/>
      <c r="E1655" s="294"/>
      <c r="F1655" s="294"/>
      <c r="G1655" s="294"/>
      <c r="H1655" s="294"/>
      <c r="I1655" s="294"/>
      <c r="J1655" s="294"/>
      <c r="L1655" s="295"/>
      <c r="M1655" s="294"/>
      <c r="S1655" s="294"/>
      <c r="T1655" s="299"/>
      <c r="U1655" s="294"/>
      <c r="V1655" s="299"/>
      <c r="W1655" s="299"/>
      <c r="X1655" s="294"/>
      <c r="Y1655" s="299"/>
      <c r="Z1655" s="294"/>
      <c r="AA1655" s="299"/>
      <c r="AB1655" s="299"/>
      <c r="AC1655" s="294"/>
      <c r="AD1655" s="294"/>
      <c r="AE1655" s="294"/>
      <c r="AF1655" s="294"/>
    </row>
    <row r="1656" spans="2:32" x14ac:dyDescent="0.25">
      <c r="B1656" s="294"/>
      <c r="C1656" s="294"/>
      <c r="D1656" s="294"/>
      <c r="E1656" s="294"/>
      <c r="F1656" s="294"/>
      <c r="G1656" s="294"/>
      <c r="H1656" s="294"/>
      <c r="I1656" s="294"/>
      <c r="J1656" s="294"/>
      <c r="L1656" s="295"/>
      <c r="M1656" s="294"/>
      <c r="S1656" s="294"/>
      <c r="T1656" s="299"/>
      <c r="U1656" s="294"/>
      <c r="V1656" s="299"/>
      <c r="W1656" s="299"/>
      <c r="X1656" s="294"/>
      <c r="Y1656" s="299"/>
      <c r="Z1656" s="294"/>
      <c r="AA1656" s="299"/>
      <c r="AB1656" s="299"/>
      <c r="AC1656" s="294"/>
      <c r="AD1656" s="294"/>
      <c r="AE1656" s="294"/>
      <c r="AF1656" s="294"/>
    </row>
    <row r="1657" spans="2:32" x14ac:dyDescent="0.25">
      <c r="B1657" s="294"/>
      <c r="C1657" s="294"/>
      <c r="D1657" s="294"/>
      <c r="E1657" s="294"/>
      <c r="F1657" s="294"/>
      <c r="G1657" s="294"/>
      <c r="H1657" s="294"/>
      <c r="I1657" s="294"/>
      <c r="J1657" s="294"/>
      <c r="L1657" s="295"/>
      <c r="M1657" s="294"/>
      <c r="S1657" s="294"/>
      <c r="T1657" s="299"/>
      <c r="U1657" s="294"/>
      <c r="V1657" s="299"/>
      <c r="W1657" s="299"/>
      <c r="X1657" s="294"/>
      <c r="Y1657" s="299"/>
      <c r="Z1657" s="294"/>
      <c r="AA1657" s="299"/>
      <c r="AB1657" s="299"/>
      <c r="AC1657" s="294"/>
      <c r="AD1657" s="294"/>
      <c r="AE1657" s="294"/>
      <c r="AF1657" s="294"/>
    </row>
    <row r="1658" spans="2:32" x14ac:dyDescent="0.25">
      <c r="B1658" s="294"/>
      <c r="C1658" s="294"/>
      <c r="D1658" s="294"/>
      <c r="E1658" s="294"/>
      <c r="F1658" s="294"/>
      <c r="G1658" s="294"/>
      <c r="H1658" s="294"/>
      <c r="I1658" s="294"/>
      <c r="J1658" s="294"/>
      <c r="L1658" s="295"/>
      <c r="M1658" s="294"/>
      <c r="S1658" s="294"/>
      <c r="T1658" s="299"/>
      <c r="U1658" s="294"/>
      <c r="V1658" s="299"/>
      <c r="W1658" s="299"/>
      <c r="X1658" s="294"/>
      <c r="Y1658" s="299"/>
      <c r="Z1658" s="294"/>
      <c r="AA1658" s="299"/>
      <c r="AB1658" s="299"/>
      <c r="AC1658" s="294"/>
      <c r="AD1658" s="294"/>
      <c r="AE1658" s="294"/>
      <c r="AF1658" s="294"/>
    </row>
    <row r="1659" spans="2:32" x14ac:dyDescent="0.25">
      <c r="B1659" s="294"/>
      <c r="C1659" s="294"/>
      <c r="D1659" s="294"/>
      <c r="E1659" s="294"/>
      <c r="F1659" s="294"/>
      <c r="G1659" s="294"/>
      <c r="H1659" s="294"/>
      <c r="I1659" s="294"/>
      <c r="J1659" s="294"/>
      <c r="L1659" s="295"/>
      <c r="M1659" s="294"/>
      <c r="S1659" s="294"/>
      <c r="T1659" s="299"/>
      <c r="U1659" s="294"/>
      <c r="V1659" s="299"/>
      <c r="W1659" s="299"/>
      <c r="X1659" s="294"/>
      <c r="Y1659" s="299"/>
      <c r="Z1659" s="294"/>
      <c r="AA1659" s="299"/>
      <c r="AB1659" s="299"/>
      <c r="AC1659" s="294"/>
      <c r="AD1659" s="294"/>
      <c r="AE1659" s="294"/>
      <c r="AF1659" s="294"/>
    </row>
    <row r="1660" spans="2:32" x14ac:dyDescent="0.25">
      <c r="B1660" s="294"/>
      <c r="C1660" s="294"/>
      <c r="D1660" s="294"/>
      <c r="E1660" s="294"/>
      <c r="F1660" s="294"/>
      <c r="G1660" s="294"/>
      <c r="H1660" s="294"/>
      <c r="I1660" s="294"/>
      <c r="J1660" s="294"/>
      <c r="L1660" s="295"/>
      <c r="M1660" s="294"/>
      <c r="S1660" s="294"/>
      <c r="T1660" s="299"/>
      <c r="U1660" s="294"/>
      <c r="V1660" s="299"/>
      <c r="W1660" s="299"/>
      <c r="X1660" s="294"/>
      <c r="Y1660" s="299"/>
      <c r="Z1660" s="294"/>
      <c r="AA1660" s="299"/>
      <c r="AB1660" s="299"/>
      <c r="AC1660" s="294"/>
      <c r="AD1660" s="294"/>
      <c r="AE1660" s="294"/>
      <c r="AF1660" s="294"/>
    </row>
    <row r="1661" spans="2:32" x14ac:dyDescent="0.25">
      <c r="B1661" s="294"/>
      <c r="C1661" s="294"/>
      <c r="D1661" s="294"/>
      <c r="E1661" s="294"/>
      <c r="F1661" s="294"/>
      <c r="G1661" s="294"/>
      <c r="H1661" s="294"/>
      <c r="I1661" s="294"/>
      <c r="J1661" s="294"/>
      <c r="L1661" s="295"/>
      <c r="M1661" s="294"/>
      <c r="S1661" s="294"/>
      <c r="T1661" s="299"/>
      <c r="U1661" s="294"/>
      <c r="V1661" s="299"/>
      <c r="W1661" s="299"/>
      <c r="X1661" s="294"/>
      <c r="Y1661" s="299"/>
      <c r="Z1661" s="294"/>
      <c r="AA1661" s="299"/>
      <c r="AB1661" s="299"/>
      <c r="AC1661" s="294"/>
      <c r="AD1661" s="294"/>
      <c r="AE1661" s="294"/>
      <c r="AF1661" s="294"/>
    </row>
    <row r="1662" spans="2:32" x14ac:dyDescent="0.25">
      <c r="B1662" s="294"/>
      <c r="C1662" s="294"/>
      <c r="D1662" s="294"/>
      <c r="E1662" s="294"/>
      <c r="F1662" s="294"/>
      <c r="G1662" s="294"/>
      <c r="H1662" s="294"/>
      <c r="I1662" s="294"/>
      <c r="J1662" s="294"/>
      <c r="L1662" s="295"/>
      <c r="M1662" s="294"/>
      <c r="S1662" s="294"/>
      <c r="T1662" s="299"/>
      <c r="U1662" s="294"/>
      <c r="V1662" s="299"/>
      <c r="W1662" s="299"/>
      <c r="X1662" s="294"/>
      <c r="Y1662" s="299"/>
      <c r="Z1662" s="294"/>
      <c r="AA1662" s="299"/>
      <c r="AB1662" s="299"/>
      <c r="AC1662" s="294"/>
      <c r="AD1662" s="294"/>
      <c r="AE1662" s="294"/>
      <c r="AF1662" s="294"/>
    </row>
    <row r="1663" spans="2:32" x14ac:dyDescent="0.25">
      <c r="B1663" s="294"/>
      <c r="C1663" s="294"/>
      <c r="D1663" s="294"/>
      <c r="E1663" s="294"/>
      <c r="F1663" s="294"/>
      <c r="G1663" s="294"/>
      <c r="H1663" s="294"/>
      <c r="I1663" s="294"/>
      <c r="J1663" s="294"/>
      <c r="L1663" s="295"/>
      <c r="M1663" s="294"/>
      <c r="S1663" s="294"/>
      <c r="T1663" s="299"/>
      <c r="U1663" s="294"/>
      <c r="V1663" s="299"/>
      <c r="W1663" s="299"/>
      <c r="X1663" s="294"/>
      <c r="Y1663" s="299"/>
      <c r="Z1663" s="294"/>
      <c r="AA1663" s="299"/>
      <c r="AB1663" s="299"/>
      <c r="AC1663" s="294"/>
      <c r="AD1663" s="294"/>
      <c r="AE1663" s="294"/>
      <c r="AF1663" s="294"/>
    </row>
    <row r="1664" spans="2:32" x14ac:dyDescent="0.25">
      <c r="B1664" s="294"/>
      <c r="C1664" s="294"/>
      <c r="D1664" s="294"/>
      <c r="E1664" s="294"/>
      <c r="F1664" s="294"/>
      <c r="G1664" s="294"/>
      <c r="H1664" s="294"/>
      <c r="I1664" s="294"/>
      <c r="J1664" s="294"/>
      <c r="L1664" s="295"/>
      <c r="M1664" s="294"/>
      <c r="S1664" s="294"/>
      <c r="T1664" s="299"/>
      <c r="U1664" s="294"/>
      <c r="V1664" s="299"/>
      <c r="W1664" s="299"/>
      <c r="X1664" s="294"/>
      <c r="Y1664" s="299"/>
      <c r="Z1664" s="294"/>
      <c r="AA1664" s="299"/>
      <c r="AB1664" s="299"/>
      <c r="AC1664" s="294"/>
      <c r="AD1664" s="294"/>
      <c r="AE1664" s="294"/>
      <c r="AF1664" s="294"/>
    </row>
    <row r="1665" spans="2:32" x14ac:dyDescent="0.25">
      <c r="B1665" s="294"/>
      <c r="C1665" s="294"/>
      <c r="D1665" s="294"/>
      <c r="E1665" s="294"/>
      <c r="F1665" s="294"/>
      <c r="G1665" s="294"/>
      <c r="H1665" s="294"/>
      <c r="I1665" s="294"/>
      <c r="J1665" s="294"/>
      <c r="L1665" s="295"/>
      <c r="M1665" s="294"/>
      <c r="S1665" s="294"/>
      <c r="T1665" s="299"/>
      <c r="U1665" s="294"/>
      <c r="V1665" s="299"/>
      <c r="W1665" s="299"/>
      <c r="X1665" s="294"/>
      <c r="Y1665" s="299"/>
      <c r="Z1665" s="294"/>
      <c r="AA1665" s="299"/>
      <c r="AB1665" s="299"/>
      <c r="AC1665" s="294"/>
      <c r="AD1665" s="294"/>
      <c r="AE1665" s="294"/>
      <c r="AF1665" s="294"/>
    </row>
    <row r="1666" spans="2:32" x14ac:dyDescent="0.25">
      <c r="B1666" s="294"/>
      <c r="C1666" s="294"/>
      <c r="D1666" s="294"/>
      <c r="E1666" s="294"/>
      <c r="F1666" s="294"/>
      <c r="G1666" s="294"/>
      <c r="H1666" s="294"/>
      <c r="I1666" s="294"/>
      <c r="J1666" s="294"/>
      <c r="L1666" s="295"/>
      <c r="M1666" s="294"/>
      <c r="S1666" s="294"/>
      <c r="T1666" s="299"/>
      <c r="U1666" s="294"/>
      <c r="V1666" s="299"/>
      <c r="W1666" s="299"/>
      <c r="X1666" s="294"/>
      <c r="Y1666" s="299"/>
      <c r="Z1666" s="294"/>
      <c r="AA1666" s="299"/>
      <c r="AB1666" s="299"/>
      <c r="AC1666" s="294"/>
      <c r="AD1666" s="294"/>
      <c r="AE1666" s="294"/>
      <c r="AF1666" s="294"/>
    </row>
    <row r="1667" spans="2:32" x14ac:dyDescent="0.25">
      <c r="B1667" s="294"/>
      <c r="C1667" s="294"/>
      <c r="D1667" s="294"/>
      <c r="E1667" s="294"/>
      <c r="F1667" s="294"/>
      <c r="G1667" s="294"/>
      <c r="H1667" s="294"/>
      <c r="I1667" s="294"/>
      <c r="J1667" s="294"/>
      <c r="L1667" s="295"/>
      <c r="M1667" s="294"/>
      <c r="S1667" s="294"/>
      <c r="T1667" s="299"/>
      <c r="U1667" s="294"/>
      <c r="V1667" s="299"/>
      <c r="W1667" s="299"/>
      <c r="X1667" s="294"/>
      <c r="Y1667" s="299"/>
      <c r="Z1667" s="294"/>
      <c r="AA1667" s="299"/>
      <c r="AB1667" s="299"/>
      <c r="AC1667" s="294"/>
      <c r="AD1667" s="294"/>
      <c r="AE1667" s="294"/>
      <c r="AF1667" s="294"/>
    </row>
    <row r="1668" spans="2:32" x14ac:dyDescent="0.25">
      <c r="B1668" s="294"/>
      <c r="C1668" s="294"/>
      <c r="D1668" s="294"/>
      <c r="E1668" s="294"/>
      <c r="F1668" s="294"/>
      <c r="G1668" s="294"/>
      <c r="H1668" s="294"/>
      <c r="I1668" s="294"/>
      <c r="J1668" s="294"/>
      <c r="L1668" s="295"/>
      <c r="M1668" s="294"/>
      <c r="S1668" s="294"/>
      <c r="T1668" s="299"/>
      <c r="U1668" s="294"/>
      <c r="V1668" s="299"/>
      <c r="W1668" s="299"/>
      <c r="X1668" s="294"/>
      <c r="Y1668" s="299"/>
      <c r="Z1668" s="294"/>
      <c r="AA1668" s="299"/>
      <c r="AB1668" s="299"/>
      <c r="AC1668" s="294"/>
      <c r="AD1668" s="294"/>
      <c r="AE1668" s="294"/>
      <c r="AF1668" s="294"/>
    </row>
    <row r="1669" spans="2:32" x14ac:dyDescent="0.25">
      <c r="B1669" s="294"/>
      <c r="C1669" s="294"/>
      <c r="D1669" s="294"/>
      <c r="E1669" s="294"/>
      <c r="F1669" s="294"/>
      <c r="G1669" s="294"/>
      <c r="H1669" s="294"/>
      <c r="I1669" s="294"/>
      <c r="J1669" s="294"/>
      <c r="L1669" s="295"/>
      <c r="M1669" s="294"/>
      <c r="S1669" s="294"/>
      <c r="T1669" s="299"/>
      <c r="U1669" s="294"/>
      <c r="V1669" s="299"/>
      <c r="W1669" s="299"/>
      <c r="X1669" s="294"/>
      <c r="Y1669" s="299"/>
      <c r="Z1669" s="294"/>
      <c r="AA1669" s="299"/>
      <c r="AB1669" s="299"/>
      <c r="AC1669" s="294"/>
      <c r="AD1669" s="294"/>
      <c r="AE1669" s="294"/>
      <c r="AF1669" s="294"/>
    </row>
    <row r="1670" spans="2:32" x14ac:dyDescent="0.25">
      <c r="B1670" s="294"/>
      <c r="C1670" s="294"/>
      <c r="D1670" s="294"/>
      <c r="E1670" s="294"/>
      <c r="F1670" s="294"/>
      <c r="G1670" s="294"/>
      <c r="H1670" s="294"/>
      <c r="I1670" s="294"/>
      <c r="J1670" s="294"/>
      <c r="L1670" s="295"/>
      <c r="M1670" s="294"/>
      <c r="S1670" s="294"/>
      <c r="T1670" s="299"/>
      <c r="U1670" s="294"/>
      <c r="V1670" s="299"/>
      <c r="W1670" s="299"/>
      <c r="X1670" s="294"/>
      <c r="Y1670" s="299"/>
      <c r="Z1670" s="294"/>
      <c r="AA1670" s="299"/>
      <c r="AB1670" s="299"/>
      <c r="AC1670" s="294"/>
      <c r="AD1670" s="294"/>
      <c r="AE1670" s="294"/>
      <c r="AF1670" s="294"/>
    </row>
    <row r="1671" spans="2:32" x14ac:dyDescent="0.25">
      <c r="B1671" s="294"/>
      <c r="C1671" s="294"/>
      <c r="D1671" s="294"/>
      <c r="E1671" s="294"/>
      <c r="F1671" s="294"/>
      <c r="G1671" s="294"/>
      <c r="H1671" s="294"/>
      <c r="I1671" s="294"/>
      <c r="J1671" s="294"/>
      <c r="L1671" s="295"/>
      <c r="M1671" s="294"/>
      <c r="S1671" s="294"/>
      <c r="T1671" s="299"/>
      <c r="U1671" s="294"/>
      <c r="V1671" s="299"/>
      <c r="W1671" s="299"/>
      <c r="X1671" s="294"/>
      <c r="Y1671" s="299"/>
      <c r="Z1671" s="294"/>
      <c r="AA1671" s="299"/>
      <c r="AB1671" s="299"/>
      <c r="AC1671" s="294"/>
      <c r="AD1671" s="294"/>
      <c r="AE1671" s="294"/>
      <c r="AF1671" s="294"/>
    </row>
    <row r="1672" spans="2:32" x14ac:dyDescent="0.25">
      <c r="B1672" s="294"/>
      <c r="C1672" s="294"/>
      <c r="D1672" s="294"/>
      <c r="E1672" s="294"/>
      <c r="F1672" s="294"/>
      <c r="G1672" s="294"/>
      <c r="H1672" s="294"/>
      <c r="I1672" s="294"/>
      <c r="J1672" s="294"/>
      <c r="L1672" s="295"/>
      <c r="M1672" s="294"/>
      <c r="S1672" s="294"/>
      <c r="T1672" s="299"/>
      <c r="U1672" s="294"/>
      <c r="V1672" s="299"/>
      <c r="W1672" s="299"/>
      <c r="X1672" s="294"/>
      <c r="Y1672" s="299"/>
      <c r="Z1672" s="294"/>
      <c r="AA1672" s="299"/>
      <c r="AB1672" s="299"/>
      <c r="AC1672" s="294"/>
      <c r="AD1672" s="294"/>
      <c r="AE1672" s="294"/>
      <c r="AF1672" s="294"/>
    </row>
    <row r="1673" spans="2:32" x14ac:dyDescent="0.25">
      <c r="B1673" s="294"/>
      <c r="C1673" s="294"/>
      <c r="D1673" s="294"/>
      <c r="E1673" s="294"/>
      <c r="F1673" s="294"/>
      <c r="G1673" s="294"/>
      <c r="H1673" s="294"/>
      <c r="I1673" s="294"/>
      <c r="J1673" s="294"/>
      <c r="L1673" s="295"/>
      <c r="M1673" s="294"/>
      <c r="S1673" s="294"/>
      <c r="T1673" s="299"/>
      <c r="U1673" s="294"/>
      <c r="V1673" s="299"/>
      <c r="W1673" s="299"/>
      <c r="X1673" s="294"/>
      <c r="Y1673" s="299"/>
      <c r="Z1673" s="294"/>
      <c r="AA1673" s="299"/>
      <c r="AB1673" s="299"/>
      <c r="AC1673" s="294"/>
      <c r="AD1673" s="294"/>
      <c r="AE1673" s="294"/>
      <c r="AF1673" s="294"/>
    </row>
    <row r="1674" spans="2:32" x14ac:dyDescent="0.25">
      <c r="B1674" s="294"/>
      <c r="C1674" s="294"/>
      <c r="D1674" s="294"/>
      <c r="E1674" s="294"/>
      <c r="F1674" s="294"/>
      <c r="G1674" s="294"/>
      <c r="H1674" s="294"/>
      <c r="I1674" s="294"/>
      <c r="J1674" s="294"/>
      <c r="L1674" s="295"/>
      <c r="M1674" s="294"/>
      <c r="S1674" s="294"/>
      <c r="T1674" s="299"/>
      <c r="U1674" s="294"/>
      <c r="V1674" s="299"/>
      <c r="W1674" s="299"/>
      <c r="X1674" s="294"/>
      <c r="Y1674" s="299"/>
      <c r="Z1674" s="294"/>
      <c r="AA1674" s="299"/>
      <c r="AB1674" s="299"/>
      <c r="AC1674" s="294"/>
      <c r="AD1674" s="294"/>
      <c r="AE1674" s="294"/>
      <c r="AF1674" s="294"/>
    </row>
    <row r="1675" spans="2:32" x14ac:dyDescent="0.25">
      <c r="B1675" s="294"/>
      <c r="C1675" s="294"/>
      <c r="D1675" s="294"/>
      <c r="E1675" s="294"/>
      <c r="F1675" s="294"/>
      <c r="G1675" s="294"/>
      <c r="H1675" s="294"/>
      <c r="I1675" s="294"/>
      <c r="J1675" s="294"/>
      <c r="L1675" s="295"/>
      <c r="M1675" s="294"/>
      <c r="S1675" s="294"/>
      <c r="T1675" s="299"/>
      <c r="U1675" s="294"/>
      <c r="V1675" s="299"/>
      <c r="W1675" s="299"/>
      <c r="X1675" s="294"/>
      <c r="Y1675" s="299"/>
      <c r="Z1675" s="294"/>
      <c r="AA1675" s="299"/>
      <c r="AB1675" s="299"/>
      <c r="AC1675" s="294"/>
      <c r="AD1675" s="294"/>
      <c r="AE1675" s="294"/>
      <c r="AF1675" s="294"/>
    </row>
    <row r="1676" spans="2:32" x14ac:dyDescent="0.25">
      <c r="B1676" s="294"/>
      <c r="C1676" s="294"/>
      <c r="D1676" s="294"/>
      <c r="E1676" s="294"/>
      <c r="F1676" s="294"/>
      <c r="G1676" s="294"/>
      <c r="H1676" s="294"/>
      <c r="I1676" s="294"/>
      <c r="J1676" s="294"/>
      <c r="L1676" s="295"/>
      <c r="M1676" s="294"/>
      <c r="S1676" s="294"/>
      <c r="T1676" s="299"/>
      <c r="U1676" s="294"/>
      <c r="V1676" s="299"/>
      <c r="W1676" s="299"/>
      <c r="X1676" s="294"/>
      <c r="Y1676" s="299"/>
      <c r="Z1676" s="294"/>
      <c r="AA1676" s="299"/>
      <c r="AB1676" s="299"/>
      <c r="AC1676" s="294"/>
      <c r="AD1676" s="294"/>
      <c r="AE1676" s="294"/>
      <c r="AF1676" s="294"/>
    </row>
    <row r="1677" spans="2:32" x14ac:dyDescent="0.25">
      <c r="B1677" s="294"/>
      <c r="C1677" s="294"/>
      <c r="D1677" s="294"/>
      <c r="E1677" s="294"/>
      <c r="F1677" s="294"/>
      <c r="G1677" s="294"/>
      <c r="H1677" s="294"/>
      <c r="I1677" s="294"/>
      <c r="J1677" s="294"/>
      <c r="L1677" s="295"/>
      <c r="M1677" s="294"/>
      <c r="S1677" s="294"/>
      <c r="T1677" s="299"/>
      <c r="U1677" s="294"/>
      <c r="V1677" s="299"/>
      <c r="W1677" s="299"/>
      <c r="X1677" s="294"/>
      <c r="Y1677" s="299"/>
      <c r="Z1677" s="294"/>
      <c r="AA1677" s="299"/>
      <c r="AB1677" s="299"/>
      <c r="AC1677" s="294"/>
      <c r="AD1677" s="294"/>
      <c r="AE1677" s="294"/>
      <c r="AF1677" s="294"/>
    </row>
    <row r="1678" spans="2:32" x14ac:dyDescent="0.25">
      <c r="B1678" s="294"/>
      <c r="C1678" s="294"/>
      <c r="D1678" s="294"/>
      <c r="E1678" s="294"/>
      <c r="F1678" s="294"/>
      <c r="G1678" s="294"/>
      <c r="H1678" s="294"/>
      <c r="I1678" s="294"/>
      <c r="J1678" s="294"/>
      <c r="L1678" s="295"/>
      <c r="M1678" s="294"/>
      <c r="S1678" s="294"/>
      <c r="T1678" s="299"/>
      <c r="U1678" s="294"/>
      <c r="V1678" s="299"/>
      <c r="W1678" s="299"/>
      <c r="X1678" s="294"/>
      <c r="Y1678" s="299"/>
      <c r="Z1678" s="294"/>
      <c r="AA1678" s="299"/>
      <c r="AB1678" s="299"/>
      <c r="AC1678" s="294"/>
      <c r="AD1678" s="294"/>
      <c r="AE1678" s="294"/>
      <c r="AF1678" s="294"/>
    </row>
    <row r="1679" spans="2:32" x14ac:dyDescent="0.25">
      <c r="B1679" s="294"/>
      <c r="C1679" s="294"/>
      <c r="D1679" s="294"/>
      <c r="E1679" s="294"/>
      <c r="F1679" s="294"/>
      <c r="G1679" s="294"/>
      <c r="H1679" s="294"/>
      <c r="I1679" s="294"/>
      <c r="J1679" s="294"/>
      <c r="L1679" s="295"/>
      <c r="M1679" s="294"/>
      <c r="S1679" s="294"/>
      <c r="T1679" s="299"/>
      <c r="U1679" s="294"/>
      <c r="V1679" s="299"/>
      <c r="W1679" s="299"/>
      <c r="X1679" s="294"/>
      <c r="Y1679" s="299"/>
      <c r="Z1679" s="294"/>
      <c r="AA1679" s="299"/>
      <c r="AB1679" s="299"/>
      <c r="AC1679" s="294"/>
      <c r="AD1679" s="294"/>
      <c r="AE1679" s="294"/>
      <c r="AF1679" s="294"/>
    </row>
    <row r="1680" spans="2:32" x14ac:dyDescent="0.25">
      <c r="B1680" s="294"/>
      <c r="C1680" s="294"/>
      <c r="D1680" s="294"/>
      <c r="E1680" s="294"/>
      <c r="F1680" s="294"/>
      <c r="G1680" s="294"/>
      <c r="H1680" s="294"/>
      <c r="I1680" s="294"/>
      <c r="J1680" s="294"/>
      <c r="L1680" s="295"/>
      <c r="M1680" s="294"/>
      <c r="S1680" s="294"/>
      <c r="T1680" s="299"/>
      <c r="U1680" s="294"/>
      <c r="V1680" s="299"/>
      <c r="W1680" s="299"/>
      <c r="X1680" s="294"/>
      <c r="Y1680" s="299"/>
      <c r="Z1680" s="294"/>
      <c r="AA1680" s="299"/>
      <c r="AB1680" s="299"/>
      <c r="AC1680" s="294"/>
      <c r="AD1680" s="294"/>
      <c r="AE1680" s="294"/>
      <c r="AF1680" s="294"/>
    </row>
    <row r="1681" spans="2:32" x14ac:dyDescent="0.25">
      <c r="B1681" s="294"/>
      <c r="C1681" s="294"/>
      <c r="D1681" s="294"/>
      <c r="E1681" s="294"/>
      <c r="F1681" s="294"/>
      <c r="G1681" s="294"/>
      <c r="H1681" s="294"/>
      <c r="I1681" s="294"/>
      <c r="J1681" s="294"/>
      <c r="L1681" s="295"/>
      <c r="M1681" s="294"/>
      <c r="S1681" s="294"/>
      <c r="T1681" s="299"/>
      <c r="U1681" s="294"/>
      <c r="V1681" s="299"/>
      <c r="W1681" s="299"/>
      <c r="X1681" s="294"/>
      <c r="Y1681" s="299"/>
      <c r="Z1681" s="294"/>
      <c r="AA1681" s="299"/>
      <c r="AB1681" s="299"/>
      <c r="AC1681" s="294"/>
      <c r="AD1681" s="294"/>
      <c r="AE1681" s="294"/>
      <c r="AF1681" s="294"/>
    </row>
    <row r="1682" spans="2:32" x14ac:dyDescent="0.25">
      <c r="B1682" s="294"/>
      <c r="C1682" s="294"/>
      <c r="D1682" s="294"/>
      <c r="E1682" s="294"/>
      <c r="F1682" s="294"/>
      <c r="G1682" s="294"/>
      <c r="H1682" s="294"/>
      <c r="I1682" s="294"/>
      <c r="J1682" s="294"/>
      <c r="L1682" s="295"/>
      <c r="M1682" s="294"/>
      <c r="S1682" s="294"/>
      <c r="T1682" s="299"/>
      <c r="U1682" s="294"/>
      <c r="V1682" s="299"/>
      <c r="W1682" s="299"/>
      <c r="X1682" s="294"/>
      <c r="Y1682" s="299"/>
      <c r="Z1682" s="294"/>
      <c r="AA1682" s="299"/>
      <c r="AB1682" s="299"/>
      <c r="AC1682" s="294"/>
      <c r="AD1682" s="294"/>
      <c r="AE1682" s="294"/>
      <c r="AF1682" s="294"/>
    </row>
    <row r="1683" spans="2:32" x14ac:dyDescent="0.25">
      <c r="B1683" s="294"/>
      <c r="C1683" s="294"/>
      <c r="D1683" s="294"/>
      <c r="E1683" s="294"/>
      <c r="F1683" s="294"/>
      <c r="G1683" s="294"/>
      <c r="H1683" s="294"/>
      <c r="I1683" s="294"/>
      <c r="J1683" s="294"/>
      <c r="L1683" s="295"/>
      <c r="M1683" s="294"/>
      <c r="S1683" s="294"/>
      <c r="T1683" s="299"/>
      <c r="U1683" s="294"/>
      <c r="V1683" s="299"/>
      <c r="W1683" s="299"/>
      <c r="X1683" s="294"/>
      <c r="Y1683" s="299"/>
      <c r="Z1683" s="294"/>
      <c r="AA1683" s="299"/>
      <c r="AB1683" s="299"/>
      <c r="AC1683" s="294"/>
      <c r="AD1683" s="294"/>
      <c r="AE1683" s="294"/>
      <c r="AF1683" s="294"/>
    </row>
    <row r="1684" spans="2:32" x14ac:dyDescent="0.25">
      <c r="B1684" s="294"/>
      <c r="C1684" s="294"/>
      <c r="D1684" s="294"/>
      <c r="E1684" s="294"/>
      <c r="F1684" s="294"/>
      <c r="G1684" s="294"/>
      <c r="H1684" s="294"/>
      <c r="I1684" s="294"/>
      <c r="J1684" s="294"/>
      <c r="L1684" s="295"/>
      <c r="M1684" s="294"/>
      <c r="S1684" s="294"/>
      <c r="T1684" s="299"/>
      <c r="U1684" s="294"/>
      <c r="V1684" s="299"/>
      <c r="W1684" s="299"/>
      <c r="X1684" s="294"/>
      <c r="Y1684" s="299"/>
      <c r="Z1684" s="294"/>
      <c r="AA1684" s="299"/>
      <c r="AB1684" s="299"/>
      <c r="AC1684" s="294"/>
      <c r="AD1684" s="294"/>
      <c r="AE1684" s="294"/>
      <c r="AF1684" s="294"/>
    </row>
    <row r="1685" spans="2:32" x14ac:dyDescent="0.25">
      <c r="B1685" s="294"/>
      <c r="C1685" s="294"/>
      <c r="D1685" s="294"/>
      <c r="E1685" s="294"/>
      <c r="F1685" s="294"/>
      <c r="G1685" s="294"/>
      <c r="H1685" s="294"/>
      <c r="I1685" s="294"/>
      <c r="J1685" s="294"/>
      <c r="L1685" s="295"/>
      <c r="M1685" s="294"/>
      <c r="S1685" s="294"/>
      <c r="T1685" s="299"/>
      <c r="U1685" s="294"/>
      <c r="V1685" s="299"/>
      <c r="W1685" s="299"/>
      <c r="X1685" s="294"/>
      <c r="Y1685" s="299"/>
      <c r="Z1685" s="294"/>
      <c r="AA1685" s="299"/>
      <c r="AB1685" s="299"/>
      <c r="AC1685" s="294"/>
      <c r="AD1685" s="294"/>
      <c r="AE1685" s="294"/>
      <c r="AF1685" s="294"/>
    </row>
    <row r="1686" spans="2:32" x14ac:dyDescent="0.25">
      <c r="B1686" s="294"/>
      <c r="C1686" s="294"/>
      <c r="D1686" s="294"/>
      <c r="E1686" s="294"/>
      <c r="F1686" s="294"/>
      <c r="G1686" s="294"/>
      <c r="H1686" s="294"/>
      <c r="I1686" s="294"/>
      <c r="J1686" s="294"/>
      <c r="L1686" s="295"/>
      <c r="M1686" s="294"/>
      <c r="S1686" s="294"/>
      <c r="T1686" s="299"/>
      <c r="U1686" s="294"/>
      <c r="V1686" s="299"/>
      <c r="W1686" s="299"/>
      <c r="X1686" s="294"/>
      <c r="Y1686" s="299"/>
      <c r="Z1686" s="294"/>
      <c r="AA1686" s="299"/>
      <c r="AB1686" s="299"/>
      <c r="AC1686" s="294"/>
      <c r="AD1686" s="294"/>
      <c r="AE1686" s="294"/>
      <c r="AF1686" s="294"/>
    </row>
    <row r="1687" spans="2:32" x14ac:dyDescent="0.25">
      <c r="B1687" s="294"/>
      <c r="C1687" s="294"/>
      <c r="D1687" s="294"/>
      <c r="E1687" s="294"/>
      <c r="F1687" s="294"/>
      <c r="G1687" s="294"/>
      <c r="H1687" s="294"/>
      <c r="I1687" s="294"/>
      <c r="J1687" s="294"/>
      <c r="L1687" s="295"/>
      <c r="M1687" s="294"/>
      <c r="S1687" s="294"/>
      <c r="T1687" s="299"/>
      <c r="U1687" s="294"/>
      <c r="V1687" s="299"/>
      <c r="W1687" s="299"/>
      <c r="X1687" s="294"/>
      <c r="Y1687" s="299"/>
      <c r="Z1687" s="294"/>
      <c r="AA1687" s="299"/>
      <c r="AB1687" s="299"/>
      <c r="AC1687" s="294"/>
      <c r="AD1687" s="294"/>
      <c r="AE1687" s="294"/>
      <c r="AF1687" s="294"/>
    </row>
    <row r="1688" spans="2:32" x14ac:dyDescent="0.25">
      <c r="B1688" s="294"/>
      <c r="C1688" s="294"/>
      <c r="D1688" s="294"/>
      <c r="E1688" s="294"/>
      <c r="F1688" s="294"/>
      <c r="G1688" s="294"/>
      <c r="H1688" s="294"/>
      <c r="I1688" s="294"/>
      <c r="J1688" s="294"/>
      <c r="L1688" s="295"/>
      <c r="M1688" s="294"/>
      <c r="S1688" s="294"/>
      <c r="T1688" s="299"/>
      <c r="U1688" s="294"/>
      <c r="V1688" s="299"/>
      <c r="W1688" s="299"/>
      <c r="X1688" s="294"/>
      <c r="Y1688" s="299"/>
      <c r="Z1688" s="294"/>
      <c r="AA1688" s="299"/>
      <c r="AB1688" s="299"/>
      <c r="AC1688" s="294"/>
      <c r="AD1688" s="294"/>
      <c r="AE1688" s="294"/>
      <c r="AF1688" s="294"/>
    </row>
    <row r="1689" spans="2:32" x14ac:dyDescent="0.25">
      <c r="B1689" s="294"/>
      <c r="C1689" s="294"/>
      <c r="D1689" s="294"/>
      <c r="E1689" s="294"/>
      <c r="F1689" s="294"/>
      <c r="G1689" s="294"/>
      <c r="H1689" s="294"/>
      <c r="I1689" s="294"/>
      <c r="J1689" s="294"/>
      <c r="L1689" s="295"/>
      <c r="M1689" s="294"/>
      <c r="S1689" s="294"/>
      <c r="T1689" s="299"/>
      <c r="U1689" s="294"/>
      <c r="V1689" s="299"/>
      <c r="W1689" s="299"/>
      <c r="X1689" s="294"/>
      <c r="Y1689" s="299"/>
      <c r="Z1689" s="294"/>
      <c r="AA1689" s="299"/>
      <c r="AB1689" s="299"/>
      <c r="AC1689" s="294"/>
      <c r="AD1689" s="294"/>
      <c r="AE1689" s="294"/>
      <c r="AF1689" s="294"/>
    </row>
    <row r="1690" spans="2:32" x14ac:dyDescent="0.25">
      <c r="B1690" s="294"/>
      <c r="C1690" s="294"/>
      <c r="D1690" s="294"/>
      <c r="E1690" s="294"/>
      <c r="F1690" s="294"/>
      <c r="G1690" s="294"/>
      <c r="H1690" s="294"/>
      <c r="I1690" s="294"/>
      <c r="J1690" s="294"/>
      <c r="L1690" s="295"/>
      <c r="M1690" s="294"/>
      <c r="S1690" s="294"/>
      <c r="T1690" s="299"/>
      <c r="U1690" s="294"/>
      <c r="V1690" s="299"/>
      <c r="W1690" s="299"/>
      <c r="X1690" s="294"/>
      <c r="Y1690" s="299"/>
      <c r="Z1690" s="294"/>
      <c r="AA1690" s="299"/>
      <c r="AB1690" s="299"/>
      <c r="AC1690" s="294"/>
      <c r="AD1690" s="294"/>
      <c r="AE1690" s="294"/>
      <c r="AF1690" s="294"/>
    </row>
    <row r="1691" spans="2:32" x14ac:dyDescent="0.25">
      <c r="B1691" s="294"/>
      <c r="C1691" s="294"/>
      <c r="D1691" s="294"/>
      <c r="E1691" s="294"/>
      <c r="F1691" s="294"/>
      <c r="G1691" s="294"/>
      <c r="H1691" s="294"/>
      <c r="I1691" s="294"/>
      <c r="J1691" s="294"/>
      <c r="L1691" s="295"/>
      <c r="M1691" s="294"/>
      <c r="S1691" s="294"/>
      <c r="T1691" s="299"/>
      <c r="U1691" s="294"/>
      <c r="V1691" s="299"/>
      <c r="W1691" s="299"/>
      <c r="X1691" s="294"/>
      <c r="Y1691" s="299"/>
      <c r="Z1691" s="294"/>
      <c r="AA1691" s="299"/>
      <c r="AB1691" s="299"/>
      <c r="AC1691" s="294"/>
      <c r="AD1691" s="294"/>
      <c r="AE1691" s="294"/>
      <c r="AF1691" s="294"/>
    </row>
    <row r="1692" spans="2:32" x14ac:dyDescent="0.25">
      <c r="B1692" s="294"/>
      <c r="C1692" s="294"/>
      <c r="D1692" s="294"/>
      <c r="E1692" s="294"/>
      <c r="F1692" s="294"/>
      <c r="G1692" s="294"/>
      <c r="H1692" s="294"/>
      <c r="I1692" s="294"/>
      <c r="J1692" s="294"/>
      <c r="L1692" s="295"/>
      <c r="M1692" s="294"/>
      <c r="S1692" s="294"/>
      <c r="T1692" s="299"/>
      <c r="U1692" s="294"/>
      <c r="V1692" s="299"/>
      <c r="W1692" s="299"/>
      <c r="X1692" s="294"/>
      <c r="Y1692" s="299"/>
      <c r="Z1692" s="294"/>
      <c r="AA1692" s="299"/>
      <c r="AB1692" s="299"/>
      <c r="AC1692" s="294"/>
      <c r="AD1692" s="294"/>
      <c r="AE1692" s="294"/>
      <c r="AF1692" s="294"/>
    </row>
    <row r="1693" spans="2:32" x14ac:dyDescent="0.25">
      <c r="B1693" s="294"/>
      <c r="C1693" s="294"/>
      <c r="D1693" s="294"/>
      <c r="E1693" s="294"/>
      <c r="F1693" s="294"/>
      <c r="G1693" s="294"/>
      <c r="H1693" s="294"/>
      <c r="I1693" s="294"/>
      <c r="J1693" s="294"/>
      <c r="L1693" s="295"/>
      <c r="M1693" s="294"/>
      <c r="S1693" s="294"/>
      <c r="T1693" s="299"/>
      <c r="U1693" s="294"/>
      <c r="V1693" s="299"/>
      <c r="W1693" s="299"/>
      <c r="X1693" s="294"/>
      <c r="Y1693" s="299"/>
      <c r="Z1693" s="294"/>
      <c r="AA1693" s="299"/>
      <c r="AB1693" s="299"/>
      <c r="AC1693" s="294"/>
      <c r="AD1693" s="294"/>
      <c r="AE1693" s="294"/>
      <c r="AF1693" s="294"/>
    </row>
    <row r="1694" spans="2:32" x14ac:dyDescent="0.25">
      <c r="B1694" s="294"/>
      <c r="C1694" s="294"/>
      <c r="D1694" s="294"/>
      <c r="E1694" s="294"/>
      <c r="F1694" s="294"/>
      <c r="G1694" s="294"/>
      <c r="H1694" s="294"/>
      <c r="I1694" s="294"/>
      <c r="J1694" s="294"/>
      <c r="L1694" s="295"/>
      <c r="M1694" s="294"/>
      <c r="S1694" s="294"/>
      <c r="T1694" s="299"/>
      <c r="U1694" s="294"/>
      <c r="V1694" s="299"/>
      <c r="W1694" s="299"/>
      <c r="X1694" s="294"/>
      <c r="Y1694" s="299"/>
      <c r="Z1694" s="294"/>
      <c r="AA1694" s="299"/>
      <c r="AB1694" s="299"/>
      <c r="AC1694" s="294"/>
      <c r="AD1694" s="294"/>
      <c r="AE1694" s="294"/>
      <c r="AF1694" s="294"/>
    </row>
    <row r="1695" spans="2:32" x14ac:dyDescent="0.25">
      <c r="B1695" s="294"/>
      <c r="C1695" s="294"/>
      <c r="D1695" s="294"/>
      <c r="E1695" s="294"/>
      <c r="F1695" s="294"/>
      <c r="G1695" s="294"/>
      <c r="H1695" s="294"/>
      <c r="I1695" s="294"/>
      <c r="J1695" s="294"/>
      <c r="L1695" s="295"/>
      <c r="M1695" s="294"/>
      <c r="S1695" s="294"/>
      <c r="T1695" s="299"/>
      <c r="U1695" s="294"/>
      <c r="V1695" s="299"/>
      <c r="W1695" s="299"/>
      <c r="X1695" s="294"/>
      <c r="Y1695" s="299"/>
      <c r="Z1695" s="294"/>
      <c r="AA1695" s="299"/>
      <c r="AB1695" s="299"/>
      <c r="AC1695" s="294"/>
      <c r="AD1695" s="294"/>
      <c r="AE1695" s="294"/>
      <c r="AF1695" s="294"/>
    </row>
    <row r="1696" spans="2:32" x14ac:dyDescent="0.25">
      <c r="B1696" s="294"/>
      <c r="C1696" s="294"/>
      <c r="D1696" s="294"/>
      <c r="E1696" s="294"/>
      <c r="F1696" s="294"/>
      <c r="G1696" s="294"/>
      <c r="H1696" s="294"/>
      <c r="I1696" s="294"/>
      <c r="J1696" s="294"/>
      <c r="L1696" s="295"/>
      <c r="M1696" s="294"/>
      <c r="S1696" s="294"/>
      <c r="T1696" s="299"/>
      <c r="U1696" s="294"/>
      <c r="V1696" s="299"/>
      <c r="W1696" s="299"/>
      <c r="X1696" s="294"/>
      <c r="Y1696" s="299"/>
      <c r="Z1696" s="294"/>
      <c r="AA1696" s="299"/>
      <c r="AB1696" s="299"/>
      <c r="AC1696" s="294"/>
      <c r="AD1696" s="294"/>
      <c r="AE1696" s="294"/>
      <c r="AF1696" s="294"/>
    </row>
    <row r="1697" spans="2:32" x14ac:dyDescent="0.25">
      <c r="B1697" s="294"/>
      <c r="C1697" s="294"/>
      <c r="D1697" s="294"/>
      <c r="E1697" s="294"/>
      <c r="F1697" s="294"/>
      <c r="G1697" s="294"/>
      <c r="H1697" s="294"/>
      <c r="I1697" s="294"/>
      <c r="J1697" s="294"/>
      <c r="L1697" s="295"/>
      <c r="M1697" s="294"/>
      <c r="S1697" s="294"/>
      <c r="T1697" s="299"/>
      <c r="U1697" s="294"/>
      <c r="V1697" s="299"/>
      <c r="W1697" s="299"/>
      <c r="X1697" s="294"/>
      <c r="Y1697" s="299"/>
      <c r="Z1697" s="294"/>
      <c r="AA1697" s="299"/>
      <c r="AB1697" s="299"/>
      <c r="AC1697" s="294"/>
      <c r="AD1697" s="294"/>
      <c r="AE1697" s="294"/>
      <c r="AF1697" s="294"/>
    </row>
    <row r="1698" spans="2:32" x14ac:dyDescent="0.25">
      <c r="B1698" s="294"/>
      <c r="C1698" s="294"/>
      <c r="D1698" s="294"/>
      <c r="E1698" s="294"/>
      <c r="F1698" s="294"/>
      <c r="G1698" s="294"/>
      <c r="H1698" s="294"/>
      <c r="I1698" s="294"/>
      <c r="J1698" s="294"/>
      <c r="L1698" s="295"/>
      <c r="M1698" s="294"/>
      <c r="S1698" s="294"/>
      <c r="T1698" s="299"/>
      <c r="U1698" s="294"/>
      <c r="V1698" s="299"/>
      <c r="W1698" s="299"/>
      <c r="X1698" s="294"/>
      <c r="Y1698" s="299"/>
      <c r="Z1698" s="294"/>
      <c r="AA1698" s="299"/>
      <c r="AB1698" s="299"/>
      <c r="AC1698" s="294"/>
      <c r="AD1698" s="294"/>
      <c r="AE1698" s="294"/>
      <c r="AF1698" s="294"/>
    </row>
    <row r="1699" spans="2:32" x14ac:dyDescent="0.25">
      <c r="B1699" s="294"/>
      <c r="C1699" s="294"/>
      <c r="D1699" s="294"/>
      <c r="E1699" s="294"/>
      <c r="F1699" s="294"/>
      <c r="G1699" s="294"/>
      <c r="H1699" s="294"/>
      <c r="I1699" s="294"/>
      <c r="J1699" s="294"/>
      <c r="L1699" s="295"/>
      <c r="M1699" s="294"/>
      <c r="S1699" s="294"/>
      <c r="T1699" s="299"/>
      <c r="U1699" s="294"/>
      <c r="V1699" s="299"/>
      <c r="W1699" s="299"/>
      <c r="X1699" s="294"/>
      <c r="Y1699" s="299"/>
      <c r="Z1699" s="294"/>
      <c r="AA1699" s="299"/>
      <c r="AB1699" s="299"/>
      <c r="AC1699" s="294"/>
      <c r="AD1699" s="294"/>
      <c r="AE1699" s="294"/>
      <c r="AF1699" s="294"/>
    </row>
    <row r="1700" spans="2:32" x14ac:dyDescent="0.25">
      <c r="B1700" s="294"/>
      <c r="C1700" s="294"/>
      <c r="D1700" s="294"/>
      <c r="E1700" s="294"/>
      <c r="F1700" s="294"/>
      <c r="G1700" s="294"/>
      <c r="H1700" s="294"/>
      <c r="I1700" s="294"/>
      <c r="J1700" s="294"/>
      <c r="L1700" s="295"/>
      <c r="M1700" s="294"/>
      <c r="S1700" s="294"/>
      <c r="T1700" s="299"/>
      <c r="U1700" s="294"/>
      <c r="V1700" s="299"/>
      <c r="W1700" s="299"/>
      <c r="X1700" s="294"/>
      <c r="Y1700" s="299"/>
      <c r="Z1700" s="294"/>
      <c r="AA1700" s="299"/>
      <c r="AB1700" s="299"/>
      <c r="AC1700" s="294"/>
      <c r="AD1700" s="294"/>
      <c r="AE1700" s="294"/>
      <c r="AF1700" s="294"/>
    </row>
    <row r="1701" spans="2:32" x14ac:dyDescent="0.25">
      <c r="B1701" s="294"/>
      <c r="C1701" s="294"/>
      <c r="D1701" s="294"/>
      <c r="E1701" s="294"/>
      <c r="F1701" s="294"/>
      <c r="G1701" s="294"/>
      <c r="H1701" s="294"/>
      <c r="I1701" s="294"/>
      <c r="J1701" s="294"/>
      <c r="L1701" s="295"/>
      <c r="M1701" s="294"/>
      <c r="S1701" s="294"/>
      <c r="T1701" s="299"/>
      <c r="U1701" s="294"/>
      <c r="V1701" s="299"/>
      <c r="W1701" s="299"/>
      <c r="X1701" s="294"/>
      <c r="Y1701" s="299"/>
      <c r="Z1701" s="294"/>
      <c r="AA1701" s="299"/>
      <c r="AB1701" s="299"/>
      <c r="AC1701" s="294"/>
      <c r="AD1701" s="294"/>
      <c r="AE1701" s="294"/>
      <c r="AF1701" s="294"/>
    </row>
    <row r="1702" spans="2:32" x14ac:dyDescent="0.25">
      <c r="B1702" s="294"/>
      <c r="C1702" s="294"/>
      <c r="D1702" s="294"/>
      <c r="E1702" s="294"/>
      <c r="F1702" s="294"/>
      <c r="G1702" s="294"/>
      <c r="H1702" s="294"/>
      <c r="I1702" s="294"/>
      <c r="J1702" s="294"/>
      <c r="L1702" s="295"/>
      <c r="M1702" s="294"/>
      <c r="S1702" s="294"/>
      <c r="T1702" s="299"/>
      <c r="U1702" s="294"/>
      <c r="V1702" s="299"/>
      <c r="W1702" s="299"/>
      <c r="X1702" s="294"/>
      <c r="Y1702" s="299"/>
      <c r="Z1702" s="294"/>
      <c r="AA1702" s="299"/>
      <c r="AB1702" s="299"/>
      <c r="AC1702" s="294"/>
      <c r="AD1702" s="294"/>
      <c r="AE1702" s="294"/>
      <c r="AF1702" s="294"/>
    </row>
    <row r="1703" spans="2:32" x14ac:dyDescent="0.25">
      <c r="B1703" s="294"/>
      <c r="C1703" s="294"/>
      <c r="D1703" s="294"/>
      <c r="E1703" s="294"/>
      <c r="F1703" s="294"/>
      <c r="G1703" s="294"/>
      <c r="H1703" s="294"/>
      <c r="I1703" s="294"/>
      <c r="J1703" s="294"/>
      <c r="L1703" s="295"/>
      <c r="M1703" s="294"/>
      <c r="S1703" s="294"/>
      <c r="T1703" s="299"/>
      <c r="U1703" s="294"/>
      <c r="V1703" s="299"/>
      <c r="W1703" s="299"/>
      <c r="X1703" s="294"/>
      <c r="Y1703" s="299"/>
      <c r="Z1703" s="294"/>
      <c r="AA1703" s="299"/>
      <c r="AB1703" s="299"/>
      <c r="AC1703" s="294"/>
      <c r="AD1703" s="294"/>
      <c r="AE1703" s="294"/>
      <c r="AF1703" s="294"/>
    </row>
    <row r="1704" spans="2:32" x14ac:dyDescent="0.25">
      <c r="B1704" s="294"/>
      <c r="C1704" s="294"/>
      <c r="D1704" s="294"/>
      <c r="E1704" s="294"/>
      <c r="F1704" s="294"/>
      <c r="G1704" s="294"/>
      <c r="H1704" s="294"/>
      <c r="I1704" s="294"/>
      <c r="J1704" s="294"/>
      <c r="L1704" s="295"/>
      <c r="M1704" s="294"/>
      <c r="S1704" s="294"/>
      <c r="T1704" s="299"/>
      <c r="U1704" s="294"/>
      <c r="V1704" s="299"/>
      <c r="W1704" s="299"/>
      <c r="X1704" s="294"/>
      <c r="Y1704" s="299"/>
      <c r="Z1704" s="294"/>
      <c r="AA1704" s="299"/>
      <c r="AB1704" s="299"/>
      <c r="AC1704" s="294"/>
      <c r="AD1704" s="294"/>
      <c r="AE1704" s="294"/>
      <c r="AF1704" s="294"/>
    </row>
    <row r="1705" spans="2:32" x14ac:dyDescent="0.25">
      <c r="B1705" s="294"/>
      <c r="C1705" s="294"/>
      <c r="D1705" s="294"/>
      <c r="E1705" s="294"/>
      <c r="F1705" s="294"/>
      <c r="G1705" s="294"/>
      <c r="H1705" s="294"/>
      <c r="I1705" s="294"/>
      <c r="J1705" s="294"/>
      <c r="L1705" s="295"/>
      <c r="M1705" s="294"/>
      <c r="S1705" s="294"/>
      <c r="T1705" s="299"/>
      <c r="U1705" s="294"/>
      <c r="V1705" s="299"/>
      <c r="W1705" s="299"/>
      <c r="X1705" s="294"/>
      <c r="Y1705" s="299"/>
      <c r="Z1705" s="294"/>
      <c r="AA1705" s="299"/>
      <c r="AB1705" s="299"/>
      <c r="AC1705" s="294"/>
      <c r="AD1705" s="294"/>
      <c r="AE1705" s="294"/>
      <c r="AF1705" s="294"/>
    </row>
    <row r="1706" spans="2:32" x14ac:dyDescent="0.25">
      <c r="B1706" s="294"/>
      <c r="C1706" s="294"/>
      <c r="D1706" s="294"/>
      <c r="E1706" s="294"/>
      <c r="F1706" s="294"/>
      <c r="G1706" s="294"/>
      <c r="H1706" s="294"/>
      <c r="I1706" s="294"/>
      <c r="J1706" s="294"/>
      <c r="L1706" s="295"/>
      <c r="M1706" s="294"/>
      <c r="S1706" s="294"/>
      <c r="T1706" s="299"/>
      <c r="U1706" s="294"/>
      <c r="V1706" s="299"/>
      <c r="W1706" s="299"/>
      <c r="X1706" s="294"/>
      <c r="Y1706" s="299"/>
      <c r="Z1706" s="294"/>
      <c r="AA1706" s="299"/>
      <c r="AB1706" s="299"/>
      <c r="AC1706" s="294"/>
      <c r="AD1706" s="294"/>
      <c r="AE1706" s="294"/>
      <c r="AF1706" s="294"/>
    </row>
    <row r="1707" spans="2:32" x14ac:dyDescent="0.25">
      <c r="B1707" s="294"/>
      <c r="C1707" s="294"/>
      <c r="D1707" s="294"/>
      <c r="E1707" s="294"/>
      <c r="F1707" s="294"/>
      <c r="G1707" s="294"/>
      <c r="H1707" s="294"/>
      <c r="I1707" s="294"/>
      <c r="J1707" s="294"/>
      <c r="L1707" s="295"/>
      <c r="M1707" s="294"/>
      <c r="S1707" s="294"/>
      <c r="T1707" s="299"/>
      <c r="U1707" s="294"/>
      <c r="V1707" s="299"/>
      <c r="W1707" s="299"/>
      <c r="X1707" s="294"/>
      <c r="Y1707" s="299"/>
      <c r="Z1707" s="294"/>
      <c r="AA1707" s="299"/>
      <c r="AB1707" s="299"/>
      <c r="AC1707" s="294"/>
      <c r="AD1707" s="294"/>
      <c r="AE1707" s="294"/>
      <c r="AF1707" s="294"/>
    </row>
    <row r="1708" spans="2:32" x14ac:dyDescent="0.25">
      <c r="B1708" s="294"/>
      <c r="C1708" s="294"/>
      <c r="D1708" s="294"/>
      <c r="E1708" s="294"/>
      <c r="F1708" s="294"/>
      <c r="G1708" s="294"/>
      <c r="H1708" s="294"/>
      <c r="I1708" s="294"/>
      <c r="J1708" s="294"/>
      <c r="L1708" s="295"/>
      <c r="M1708" s="294"/>
      <c r="S1708" s="294"/>
      <c r="T1708" s="299"/>
      <c r="U1708" s="294"/>
      <c r="V1708" s="299"/>
      <c r="W1708" s="299"/>
      <c r="X1708" s="294"/>
      <c r="Y1708" s="299"/>
      <c r="Z1708" s="294"/>
      <c r="AA1708" s="299"/>
      <c r="AB1708" s="299"/>
      <c r="AC1708" s="294"/>
      <c r="AD1708" s="294"/>
      <c r="AE1708" s="294"/>
      <c r="AF1708" s="294"/>
    </row>
    <row r="1709" spans="2:32" x14ac:dyDescent="0.25">
      <c r="B1709" s="294"/>
      <c r="C1709" s="294"/>
      <c r="D1709" s="294"/>
      <c r="E1709" s="294"/>
      <c r="F1709" s="294"/>
      <c r="G1709" s="294"/>
      <c r="H1709" s="294"/>
      <c r="I1709" s="294"/>
      <c r="J1709" s="294"/>
      <c r="L1709" s="295"/>
      <c r="M1709" s="294"/>
      <c r="S1709" s="294"/>
      <c r="T1709" s="299"/>
      <c r="U1709" s="294"/>
      <c r="V1709" s="299"/>
      <c r="W1709" s="299"/>
      <c r="X1709" s="294"/>
      <c r="Y1709" s="299"/>
      <c r="Z1709" s="294"/>
      <c r="AA1709" s="299"/>
      <c r="AB1709" s="299"/>
      <c r="AC1709" s="294"/>
      <c r="AD1709" s="294"/>
      <c r="AE1709" s="294"/>
      <c r="AF1709" s="294"/>
    </row>
    <row r="1710" spans="2:32" x14ac:dyDescent="0.25">
      <c r="B1710" s="294"/>
      <c r="C1710" s="294"/>
      <c r="D1710" s="294"/>
      <c r="E1710" s="294"/>
      <c r="F1710" s="294"/>
      <c r="G1710" s="294"/>
      <c r="H1710" s="294"/>
      <c r="I1710" s="294"/>
      <c r="J1710" s="294"/>
      <c r="L1710" s="295"/>
      <c r="M1710" s="294"/>
      <c r="S1710" s="294"/>
      <c r="T1710" s="299"/>
      <c r="U1710" s="294"/>
      <c r="V1710" s="299"/>
      <c r="W1710" s="299"/>
      <c r="X1710" s="294"/>
      <c r="Y1710" s="299"/>
      <c r="Z1710" s="294"/>
      <c r="AA1710" s="299"/>
      <c r="AB1710" s="299"/>
      <c r="AC1710" s="294"/>
      <c r="AD1710" s="294"/>
      <c r="AE1710" s="294"/>
      <c r="AF1710" s="294"/>
    </row>
    <row r="1711" spans="2:32" x14ac:dyDescent="0.25">
      <c r="B1711" s="294"/>
      <c r="C1711" s="294"/>
      <c r="D1711" s="294"/>
      <c r="E1711" s="294"/>
      <c r="F1711" s="294"/>
      <c r="G1711" s="294"/>
      <c r="H1711" s="294"/>
      <c r="I1711" s="294"/>
      <c r="J1711" s="294"/>
      <c r="L1711" s="295"/>
      <c r="M1711" s="294"/>
      <c r="S1711" s="294"/>
      <c r="T1711" s="299"/>
      <c r="U1711" s="294"/>
      <c r="V1711" s="299"/>
      <c r="W1711" s="299"/>
      <c r="X1711" s="294"/>
      <c r="Y1711" s="299"/>
      <c r="Z1711" s="294"/>
      <c r="AA1711" s="299"/>
      <c r="AB1711" s="299"/>
      <c r="AC1711" s="294"/>
      <c r="AD1711" s="294"/>
      <c r="AE1711" s="294"/>
      <c r="AF1711" s="294"/>
    </row>
    <row r="1712" spans="2:32" x14ac:dyDescent="0.25">
      <c r="B1712" s="294"/>
      <c r="C1712" s="294"/>
      <c r="D1712" s="294"/>
      <c r="E1712" s="294"/>
      <c r="F1712" s="294"/>
      <c r="G1712" s="294"/>
      <c r="H1712" s="294"/>
      <c r="I1712" s="294"/>
      <c r="J1712" s="294"/>
      <c r="L1712" s="295"/>
      <c r="M1712" s="294"/>
      <c r="S1712" s="294"/>
      <c r="T1712" s="299"/>
      <c r="U1712" s="294"/>
      <c r="V1712" s="299"/>
      <c r="W1712" s="299"/>
      <c r="X1712" s="294"/>
      <c r="Y1712" s="299"/>
      <c r="Z1712" s="294"/>
      <c r="AA1712" s="299"/>
      <c r="AB1712" s="299"/>
      <c r="AC1712" s="294"/>
      <c r="AD1712" s="294"/>
      <c r="AE1712" s="294"/>
      <c r="AF1712" s="294"/>
    </row>
    <row r="1713" spans="2:32" x14ac:dyDescent="0.25">
      <c r="B1713" s="294"/>
      <c r="C1713" s="294"/>
      <c r="D1713" s="294"/>
      <c r="E1713" s="294"/>
      <c r="F1713" s="294"/>
      <c r="G1713" s="294"/>
      <c r="H1713" s="294"/>
      <c r="I1713" s="294"/>
      <c r="J1713" s="294"/>
      <c r="L1713" s="295"/>
      <c r="M1713" s="294"/>
      <c r="S1713" s="294"/>
      <c r="T1713" s="299"/>
      <c r="U1713" s="294"/>
      <c r="V1713" s="299"/>
      <c r="W1713" s="299"/>
      <c r="X1713" s="294"/>
      <c r="Y1713" s="299"/>
      <c r="Z1713" s="294"/>
      <c r="AA1713" s="299"/>
      <c r="AB1713" s="299"/>
      <c r="AC1713" s="294"/>
      <c r="AD1713" s="294"/>
      <c r="AE1713" s="294"/>
      <c r="AF1713" s="294"/>
    </row>
    <row r="1714" spans="2:32" x14ac:dyDescent="0.25">
      <c r="B1714" s="294"/>
      <c r="C1714" s="294"/>
      <c r="D1714" s="294"/>
      <c r="E1714" s="294"/>
      <c r="F1714" s="294"/>
      <c r="G1714" s="294"/>
      <c r="H1714" s="294"/>
      <c r="I1714" s="294"/>
      <c r="J1714" s="294"/>
      <c r="L1714" s="295"/>
      <c r="M1714" s="294"/>
      <c r="S1714" s="294"/>
      <c r="T1714" s="299"/>
      <c r="U1714" s="294"/>
      <c r="V1714" s="299"/>
      <c r="W1714" s="299"/>
      <c r="X1714" s="294"/>
      <c r="Y1714" s="299"/>
      <c r="Z1714" s="294"/>
      <c r="AA1714" s="299"/>
      <c r="AB1714" s="299"/>
      <c r="AC1714" s="294"/>
      <c r="AD1714" s="294"/>
      <c r="AE1714" s="294"/>
      <c r="AF1714" s="294"/>
    </row>
    <row r="1715" spans="2:32" x14ac:dyDescent="0.25">
      <c r="B1715" s="294"/>
      <c r="C1715" s="294"/>
      <c r="D1715" s="294"/>
      <c r="E1715" s="294"/>
      <c r="F1715" s="294"/>
      <c r="G1715" s="294"/>
      <c r="H1715" s="294"/>
      <c r="I1715" s="294"/>
      <c r="J1715" s="294"/>
      <c r="L1715" s="295"/>
      <c r="M1715" s="294"/>
      <c r="S1715" s="294"/>
      <c r="T1715" s="299"/>
      <c r="U1715" s="294"/>
      <c r="V1715" s="299"/>
      <c r="W1715" s="299"/>
      <c r="X1715" s="294"/>
      <c r="Y1715" s="299"/>
      <c r="Z1715" s="294"/>
      <c r="AA1715" s="299"/>
      <c r="AB1715" s="299"/>
      <c r="AC1715" s="294"/>
      <c r="AD1715" s="294"/>
      <c r="AE1715" s="294"/>
      <c r="AF1715" s="294"/>
    </row>
    <row r="1716" spans="2:32" x14ac:dyDescent="0.25">
      <c r="B1716" s="294"/>
      <c r="C1716" s="294"/>
      <c r="D1716" s="294"/>
      <c r="E1716" s="294"/>
      <c r="F1716" s="294"/>
      <c r="G1716" s="294"/>
      <c r="H1716" s="294"/>
      <c r="I1716" s="294"/>
      <c r="J1716" s="294"/>
      <c r="L1716" s="295"/>
      <c r="M1716" s="294"/>
      <c r="S1716" s="294"/>
      <c r="T1716" s="299"/>
      <c r="U1716" s="294"/>
      <c r="V1716" s="299"/>
      <c r="W1716" s="299"/>
      <c r="X1716" s="294"/>
      <c r="Y1716" s="299"/>
      <c r="Z1716" s="294"/>
      <c r="AA1716" s="299"/>
      <c r="AB1716" s="299"/>
      <c r="AC1716" s="294"/>
      <c r="AD1716" s="294"/>
      <c r="AE1716" s="294"/>
      <c r="AF1716" s="294"/>
    </row>
    <row r="1717" spans="2:32" x14ac:dyDescent="0.25">
      <c r="B1717" s="294"/>
      <c r="C1717" s="294"/>
      <c r="D1717" s="294"/>
      <c r="E1717" s="294"/>
      <c r="F1717" s="294"/>
      <c r="G1717" s="294"/>
      <c r="H1717" s="294"/>
      <c r="I1717" s="294"/>
      <c r="J1717" s="294"/>
      <c r="L1717" s="295"/>
      <c r="M1717" s="294"/>
      <c r="S1717" s="294"/>
      <c r="T1717" s="299"/>
      <c r="U1717" s="294"/>
      <c r="V1717" s="299"/>
      <c r="W1717" s="299"/>
      <c r="X1717" s="294"/>
      <c r="Y1717" s="299"/>
      <c r="Z1717" s="294"/>
      <c r="AA1717" s="299"/>
      <c r="AB1717" s="299"/>
      <c r="AC1717" s="294"/>
      <c r="AD1717" s="294"/>
      <c r="AE1717" s="294"/>
      <c r="AF1717" s="294"/>
    </row>
    <row r="1718" spans="2:32" x14ac:dyDescent="0.25">
      <c r="B1718" s="294"/>
      <c r="C1718" s="294"/>
      <c r="D1718" s="294"/>
      <c r="E1718" s="294"/>
      <c r="F1718" s="294"/>
      <c r="G1718" s="294"/>
      <c r="H1718" s="294"/>
      <c r="I1718" s="294"/>
      <c r="J1718" s="294"/>
      <c r="L1718" s="295"/>
      <c r="M1718" s="294"/>
      <c r="S1718" s="294"/>
      <c r="T1718" s="299"/>
      <c r="U1718" s="294"/>
      <c r="V1718" s="299"/>
      <c r="W1718" s="299"/>
      <c r="X1718" s="294"/>
      <c r="Y1718" s="299"/>
      <c r="Z1718" s="294"/>
      <c r="AA1718" s="299"/>
      <c r="AB1718" s="299"/>
      <c r="AC1718" s="294"/>
      <c r="AD1718" s="294"/>
      <c r="AE1718" s="294"/>
      <c r="AF1718" s="294"/>
    </row>
    <row r="1719" spans="2:32" x14ac:dyDescent="0.25">
      <c r="B1719" s="294"/>
      <c r="C1719" s="294"/>
      <c r="D1719" s="294"/>
      <c r="E1719" s="294"/>
      <c r="F1719" s="294"/>
      <c r="G1719" s="294"/>
      <c r="H1719" s="294"/>
      <c r="I1719" s="294"/>
      <c r="J1719" s="294"/>
      <c r="L1719" s="295"/>
      <c r="M1719" s="294"/>
      <c r="S1719" s="294"/>
      <c r="T1719" s="299"/>
      <c r="U1719" s="294"/>
      <c r="V1719" s="299"/>
      <c r="W1719" s="299"/>
      <c r="X1719" s="294"/>
      <c r="Y1719" s="299"/>
      <c r="Z1719" s="294"/>
      <c r="AA1719" s="299"/>
      <c r="AB1719" s="299"/>
      <c r="AC1719" s="294"/>
      <c r="AD1719" s="294"/>
      <c r="AE1719" s="294"/>
      <c r="AF1719" s="294"/>
    </row>
    <row r="1720" spans="2:32" x14ac:dyDescent="0.25">
      <c r="B1720" s="294"/>
      <c r="C1720" s="294"/>
      <c r="D1720" s="294"/>
      <c r="E1720" s="294"/>
      <c r="F1720" s="294"/>
      <c r="G1720" s="294"/>
      <c r="H1720" s="294"/>
      <c r="I1720" s="294"/>
      <c r="J1720" s="294"/>
      <c r="L1720" s="295"/>
      <c r="M1720" s="294"/>
      <c r="S1720" s="294"/>
      <c r="T1720" s="299"/>
      <c r="U1720" s="294"/>
      <c r="V1720" s="299"/>
      <c r="W1720" s="299"/>
      <c r="X1720" s="294"/>
      <c r="Y1720" s="299"/>
      <c r="Z1720" s="294"/>
      <c r="AA1720" s="299"/>
      <c r="AB1720" s="299"/>
      <c r="AC1720" s="294"/>
      <c r="AD1720" s="294"/>
      <c r="AE1720" s="294"/>
      <c r="AF1720" s="294"/>
    </row>
    <row r="1721" spans="2:32" x14ac:dyDescent="0.25">
      <c r="B1721" s="294"/>
      <c r="C1721" s="294"/>
      <c r="D1721" s="294"/>
      <c r="E1721" s="294"/>
      <c r="F1721" s="294"/>
      <c r="G1721" s="294"/>
      <c r="H1721" s="294"/>
      <c r="I1721" s="294"/>
      <c r="J1721" s="294"/>
      <c r="L1721" s="295"/>
      <c r="M1721" s="294"/>
      <c r="S1721" s="294"/>
      <c r="T1721" s="299"/>
      <c r="U1721" s="294"/>
      <c r="V1721" s="299"/>
      <c r="W1721" s="299"/>
      <c r="X1721" s="294"/>
      <c r="Y1721" s="299"/>
      <c r="Z1721" s="294"/>
      <c r="AA1721" s="299"/>
      <c r="AB1721" s="299"/>
      <c r="AC1721" s="294"/>
      <c r="AD1721" s="294"/>
      <c r="AE1721" s="294"/>
      <c r="AF1721" s="294"/>
    </row>
    <row r="1722" spans="2:32" x14ac:dyDescent="0.25">
      <c r="B1722" s="294"/>
      <c r="C1722" s="294"/>
      <c r="D1722" s="294"/>
      <c r="E1722" s="294"/>
      <c r="F1722" s="294"/>
      <c r="G1722" s="294"/>
      <c r="H1722" s="294"/>
      <c r="I1722" s="294"/>
      <c r="J1722" s="294"/>
      <c r="L1722" s="295"/>
      <c r="M1722" s="294"/>
      <c r="S1722" s="294"/>
      <c r="T1722" s="299"/>
      <c r="U1722" s="294"/>
      <c r="V1722" s="299"/>
      <c r="W1722" s="299"/>
      <c r="X1722" s="294"/>
      <c r="Y1722" s="299"/>
      <c r="Z1722" s="294"/>
      <c r="AA1722" s="299"/>
      <c r="AB1722" s="299"/>
      <c r="AC1722" s="294"/>
      <c r="AD1722" s="294"/>
      <c r="AE1722" s="294"/>
      <c r="AF1722" s="294"/>
    </row>
    <row r="1723" spans="2:32" x14ac:dyDescent="0.25">
      <c r="B1723" s="294"/>
      <c r="C1723" s="294"/>
      <c r="D1723" s="294"/>
      <c r="E1723" s="294"/>
      <c r="F1723" s="294"/>
      <c r="G1723" s="294"/>
      <c r="H1723" s="294"/>
      <c r="I1723" s="294"/>
      <c r="J1723" s="294"/>
      <c r="L1723" s="295"/>
      <c r="M1723" s="294"/>
      <c r="S1723" s="294"/>
      <c r="T1723" s="299"/>
      <c r="U1723" s="294"/>
      <c r="V1723" s="299"/>
      <c r="W1723" s="299"/>
      <c r="X1723" s="294"/>
      <c r="Y1723" s="299"/>
      <c r="Z1723" s="294"/>
      <c r="AA1723" s="299"/>
      <c r="AB1723" s="299"/>
      <c r="AC1723" s="294"/>
      <c r="AD1723" s="294"/>
      <c r="AE1723" s="294"/>
      <c r="AF1723" s="294"/>
    </row>
    <row r="1724" spans="2:32" x14ac:dyDescent="0.25">
      <c r="B1724" s="294"/>
      <c r="C1724" s="294"/>
      <c r="D1724" s="294"/>
      <c r="E1724" s="294"/>
      <c r="F1724" s="294"/>
      <c r="G1724" s="294"/>
      <c r="H1724" s="294"/>
      <c r="I1724" s="294"/>
      <c r="J1724" s="294"/>
      <c r="L1724" s="295"/>
      <c r="M1724" s="294"/>
      <c r="S1724" s="294"/>
      <c r="T1724" s="299"/>
      <c r="U1724" s="294"/>
      <c r="V1724" s="299"/>
      <c r="W1724" s="299"/>
      <c r="X1724" s="294"/>
      <c r="Y1724" s="299"/>
      <c r="Z1724" s="294"/>
      <c r="AA1724" s="299"/>
      <c r="AB1724" s="299"/>
      <c r="AC1724" s="294"/>
      <c r="AD1724" s="294"/>
      <c r="AE1724" s="294"/>
      <c r="AF1724" s="294"/>
    </row>
    <row r="1725" spans="2:32" x14ac:dyDescent="0.25">
      <c r="B1725" s="294"/>
      <c r="C1725" s="294"/>
      <c r="D1725" s="294"/>
      <c r="E1725" s="294"/>
      <c r="F1725" s="294"/>
      <c r="G1725" s="294"/>
      <c r="H1725" s="294"/>
      <c r="I1725" s="294"/>
      <c r="J1725" s="294"/>
      <c r="L1725" s="295"/>
      <c r="M1725" s="294"/>
      <c r="S1725" s="294"/>
      <c r="T1725" s="299"/>
      <c r="U1725" s="294"/>
      <c r="V1725" s="299"/>
      <c r="W1725" s="299"/>
      <c r="X1725" s="294"/>
      <c r="Y1725" s="299"/>
      <c r="Z1725" s="294"/>
      <c r="AA1725" s="299"/>
      <c r="AB1725" s="299"/>
      <c r="AC1725" s="294"/>
      <c r="AD1725" s="294"/>
      <c r="AE1725" s="294"/>
      <c r="AF1725" s="294"/>
    </row>
    <row r="1726" spans="2:32" x14ac:dyDescent="0.25">
      <c r="B1726" s="294"/>
      <c r="C1726" s="294"/>
      <c r="D1726" s="294"/>
      <c r="E1726" s="294"/>
      <c r="F1726" s="294"/>
      <c r="G1726" s="294"/>
      <c r="H1726" s="294"/>
      <c r="I1726" s="294"/>
      <c r="J1726" s="294"/>
      <c r="L1726" s="295"/>
      <c r="M1726" s="294"/>
      <c r="S1726" s="294"/>
      <c r="T1726" s="299"/>
      <c r="U1726" s="294"/>
      <c r="V1726" s="299"/>
      <c r="W1726" s="299"/>
      <c r="X1726" s="294"/>
      <c r="Y1726" s="299"/>
      <c r="Z1726" s="294"/>
      <c r="AA1726" s="299"/>
      <c r="AB1726" s="299"/>
      <c r="AC1726" s="294"/>
      <c r="AD1726" s="294"/>
      <c r="AE1726" s="294"/>
      <c r="AF1726" s="294"/>
    </row>
    <row r="1727" spans="2:32" x14ac:dyDescent="0.25">
      <c r="B1727" s="294"/>
      <c r="C1727" s="294"/>
      <c r="D1727" s="294"/>
      <c r="E1727" s="294"/>
      <c r="F1727" s="294"/>
      <c r="G1727" s="294"/>
      <c r="H1727" s="294"/>
      <c r="I1727" s="294"/>
      <c r="J1727" s="294"/>
      <c r="L1727" s="295"/>
      <c r="M1727" s="294"/>
      <c r="S1727" s="294"/>
      <c r="T1727" s="299"/>
      <c r="U1727" s="294"/>
      <c r="V1727" s="299"/>
      <c r="W1727" s="299"/>
      <c r="X1727" s="294"/>
      <c r="Y1727" s="299"/>
      <c r="Z1727" s="294"/>
      <c r="AA1727" s="299"/>
      <c r="AB1727" s="299"/>
      <c r="AC1727" s="294"/>
      <c r="AD1727" s="294"/>
      <c r="AE1727" s="294"/>
      <c r="AF1727" s="294"/>
    </row>
    <row r="1728" spans="2:32" x14ac:dyDescent="0.25">
      <c r="B1728" s="294"/>
      <c r="C1728" s="294"/>
      <c r="D1728" s="294"/>
      <c r="E1728" s="294"/>
      <c r="F1728" s="294"/>
      <c r="G1728" s="294"/>
      <c r="H1728" s="294"/>
      <c r="I1728" s="294"/>
      <c r="J1728" s="294"/>
      <c r="L1728" s="295"/>
      <c r="M1728" s="294"/>
      <c r="S1728" s="294"/>
      <c r="T1728" s="299"/>
      <c r="U1728" s="294"/>
      <c r="V1728" s="299"/>
      <c r="W1728" s="299"/>
      <c r="X1728" s="294"/>
      <c r="Y1728" s="299"/>
      <c r="Z1728" s="294"/>
      <c r="AA1728" s="299"/>
      <c r="AB1728" s="299"/>
      <c r="AC1728" s="294"/>
      <c r="AD1728" s="294"/>
      <c r="AE1728" s="294"/>
      <c r="AF1728" s="294"/>
    </row>
    <row r="1729" spans="2:32" x14ac:dyDescent="0.25">
      <c r="B1729" s="294"/>
      <c r="C1729" s="294"/>
      <c r="D1729" s="294"/>
      <c r="E1729" s="294"/>
      <c r="F1729" s="294"/>
      <c r="G1729" s="294"/>
      <c r="H1729" s="294"/>
      <c r="I1729" s="294"/>
      <c r="J1729" s="294"/>
      <c r="L1729" s="295"/>
      <c r="M1729" s="294"/>
      <c r="S1729" s="294"/>
      <c r="T1729" s="299"/>
      <c r="U1729" s="294"/>
      <c r="V1729" s="299"/>
      <c r="W1729" s="299"/>
      <c r="X1729" s="294"/>
      <c r="Y1729" s="299"/>
      <c r="Z1729" s="294"/>
      <c r="AA1729" s="299"/>
      <c r="AB1729" s="299"/>
      <c r="AC1729" s="294"/>
      <c r="AD1729" s="294"/>
      <c r="AE1729" s="294"/>
      <c r="AF1729" s="294"/>
    </row>
    <row r="1730" spans="2:32" x14ac:dyDescent="0.25">
      <c r="B1730" s="294"/>
      <c r="C1730" s="294"/>
      <c r="D1730" s="294"/>
      <c r="E1730" s="294"/>
      <c r="F1730" s="294"/>
      <c r="G1730" s="294"/>
      <c r="H1730" s="294"/>
      <c r="I1730" s="294"/>
      <c r="J1730" s="294"/>
      <c r="L1730" s="295"/>
      <c r="M1730" s="294"/>
      <c r="S1730" s="294"/>
      <c r="T1730" s="299"/>
      <c r="U1730" s="294"/>
      <c r="V1730" s="299"/>
      <c r="W1730" s="299"/>
      <c r="X1730" s="294"/>
      <c r="Y1730" s="299"/>
      <c r="Z1730" s="294"/>
      <c r="AA1730" s="299"/>
      <c r="AB1730" s="299"/>
      <c r="AC1730" s="294"/>
      <c r="AD1730" s="294"/>
      <c r="AE1730" s="294"/>
      <c r="AF1730" s="294"/>
    </row>
    <row r="1731" spans="2:32" x14ac:dyDescent="0.25">
      <c r="B1731" s="294"/>
      <c r="C1731" s="294"/>
      <c r="D1731" s="294"/>
      <c r="E1731" s="294"/>
      <c r="F1731" s="294"/>
      <c r="G1731" s="294"/>
      <c r="H1731" s="294"/>
      <c r="I1731" s="294"/>
      <c r="J1731" s="294"/>
      <c r="L1731" s="295"/>
      <c r="M1731" s="294"/>
      <c r="S1731" s="294"/>
      <c r="T1731" s="299"/>
      <c r="U1731" s="294"/>
      <c r="V1731" s="299"/>
      <c r="W1731" s="299"/>
      <c r="X1731" s="294"/>
      <c r="Y1731" s="299"/>
      <c r="Z1731" s="294"/>
      <c r="AA1731" s="299"/>
      <c r="AB1731" s="299"/>
      <c r="AC1731" s="294"/>
      <c r="AD1731" s="294"/>
      <c r="AE1731" s="294"/>
      <c r="AF1731" s="294"/>
    </row>
    <row r="1732" spans="2:32" x14ac:dyDescent="0.25">
      <c r="B1732" s="294"/>
      <c r="C1732" s="294"/>
      <c r="D1732" s="294"/>
      <c r="E1732" s="294"/>
      <c r="F1732" s="294"/>
      <c r="G1732" s="294"/>
      <c r="H1732" s="294"/>
      <c r="I1732" s="294"/>
      <c r="J1732" s="294"/>
      <c r="L1732" s="295"/>
      <c r="M1732" s="294"/>
      <c r="S1732" s="294"/>
      <c r="T1732" s="299"/>
      <c r="U1732" s="294"/>
      <c r="V1732" s="299"/>
      <c r="W1732" s="299"/>
      <c r="X1732" s="294"/>
      <c r="Y1732" s="299"/>
      <c r="Z1732" s="294"/>
      <c r="AA1732" s="299"/>
      <c r="AB1732" s="299"/>
      <c r="AC1732" s="294"/>
      <c r="AD1732" s="294"/>
      <c r="AE1732" s="294"/>
      <c r="AF1732" s="294"/>
    </row>
    <row r="1733" spans="2:32" x14ac:dyDescent="0.25">
      <c r="B1733" s="294"/>
      <c r="C1733" s="294"/>
      <c r="D1733" s="294"/>
      <c r="E1733" s="294"/>
      <c r="F1733" s="294"/>
      <c r="G1733" s="294"/>
      <c r="H1733" s="294"/>
      <c r="I1733" s="294"/>
      <c r="J1733" s="294"/>
      <c r="L1733" s="295"/>
      <c r="M1733" s="294"/>
      <c r="S1733" s="294"/>
      <c r="T1733" s="299"/>
      <c r="U1733" s="294"/>
      <c r="V1733" s="299"/>
      <c r="W1733" s="299"/>
      <c r="X1733" s="294"/>
      <c r="Y1733" s="299"/>
      <c r="Z1733" s="294"/>
      <c r="AA1733" s="299"/>
      <c r="AB1733" s="299"/>
      <c r="AC1733" s="294"/>
      <c r="AD1733" s="294"/>
      <c r="AE1733" s="294"/>
      <c r="AF1733" s="294"/>
    </row>
    <row r="1734" spans="2:32" x14ac:dyDescent="0.25">
      <c r="B1734" s="294"/>
      <c r="C1734" s="294"/>
      <c r="D1734" s="294"/>
      <c r="E1734" s="294"/>
      <c r="F1734" s="294"/>
      <c r="G1734" s="294"/>
      <c r="H1734" s="294"/>
      <c r="I1734" s="294"/>
      <c r="J1734" s="294"/>
      <c r="L1734" s="295"/>
      <c r="M1734" s="294"/>
      <c r="S1734" s="294"/>
      <c r="T1734" s="299"/>
      <c r="U1734" s="294"/>
      <c r="V1734" s="299"/>
      <c r="W1734" s="299"/>
      <c r="X1734" s="294"/>
      <c r="Y1734" s="299"/>
      <c r="Z1734" s="294"/>
      <c r="AA1734" s="299"/>
      <c r="AB1734" s="299"/>
      <c r="AC1734" s="294"/>
      <c r="AD1734" s="294"/>
      <c r="AE1734" s="294"/>
      <c r="AF1734" s="294"/>
    </row>
    <row r="1735" spans="2:32" x14ac:dyDescent="0.25">
      <c r="B1735" s="294"/>
      <c r="C1735" s="294"/>
      <c r="D1735" s="294"/>
      <c r="E1735" s="294"/>
      <c r="F1735" s="294"/>
      <c r="G1735" s="294"/>
      <c r="H1735" s="294"/>
      <c r="I1735" s="294"/>
      <c r="J1735" s="294"/>
      <c r="L1735" s="295"/>
      <c r="M1735" s="294"/>
      <c r="S1735" s="294"/>
      <c r="T1735" s="299"/>
      <c r="U1735" s="294"/>
      <c r="V1735" s="299"/>
      <c r="W1735" s="299"/>
      <c r="X1735" s="294"/>
      <c r="Y1735" s="299"/>
      <c r="Z1735" s="294"/>
      <c r="AA1735" s="299"/>
      <c r="AB1735" s="299"/>
      <c r="AC1735" s="294"/>
      <c r="AD1735" s="294"/>
      <c r="AE1735" s="294"/>
      <c r="AF1735" s="294"/>
    </row>
    <row r="1736" spans="2:32" x14ac:dyDescent="0.25">
      <c r="B1736" s="294"/>
      <c r="C1736" s="294"/>
      <c r="D1736" s="294"/>
      <c r="E1736" s="294"/>
      <c r="F1736" s="294"/>
      <c r="G1736" s="294"/>
      <c r="H1736" s="294"/>
      <c r="I1736" s="294"/>
      <c r="J1736" s="294"/>
      <c r="L1736" s="295"/>
      <c r="M1736" s="294"/>
      <c r="S1736" s="294"/>
      <c r="T1736" s="299"/>
      <c r="U1736" s="294"/>
      <c r="V1736" s="299"/>
      <c r="W1736" s="299"/>
      <c r="X1736" s="294"/>
      <c r="Y1736" s="299"/>
      <c r="Z1736" s="294"/>
      <c r="AA1736" s="299"/>
      <c r="AB1736" s="299"/>
      <c r="AC1736" s="294"/>
      <c r="AD1736" s="294"/>
      <c r="AE1736" s="294"/>
      <c r="AF1736" s="294"/>
    </row>
    <row r="1737" spans="2:32" x14ac:dyDescent="0.25">
      <c r="B1737" s="294"/>
      <c r="C1737" s="294"/>
      <c r="D1737" s="294"/>
      <c r="E1737" s="294"/>
      <c r="F1737" s="294"/>
      <c r="G1737" s="294"/>
      <c r="H1737" s="294"/>
      <c r="I1737" s="294"/>
      <c r="J1737" s="294"/>
      <c r="L1737" s="295"/>
      <c r="M1737" s="294"/>
      <c r="S1737" s="294"/>
      <c r="T1737" s="299"/>
      <c r="U1737" s="294"/>
      <c r="V1737" s="299"/>
      <c r="W1737" s="299"/>
      <c r="X1737" s="294"/>
      <c r="Y1737" s="299"/>
      <c r="Z1737" s="294"/>
      <c r="AA1737" s="299"/>
      <c r="AB1737" s="299"/>
      <c r="AC1737" s="294"/>
      <c r="AD1737" s="294"/>
      <c r="AE1737" s="294"/>
      <c r="AF1737" s="294"/>
    </row>
    <row r="1738" spans="2:32" x14ac:dyDescent="0.25">
      <c r="B1738" s="294"/>
      <c r="C1738" s="294"/>
      <c r="D1738" s="294"/>
      <c r="E1738" s="294"/>
      <c r="F1738" s="294"/>
      <c r="G1738" s="294"/>
      <c r="H1738" s="294"/>
      <c r="I1738" s="294"/>
      <c r="J1738" s="294"/>
      <c r="L1738" s="295"/>
      <c r="M1738" s="294"/>
      <c r="S1738" s="294"/>
      <c r="T1738" s="299"/>
      <c r="U1738" s="294"/>
      <c r="V1738" s="299"/>
      <c r="W1738" s="299"/>
      <c r="X1738" s="294"/>
      <c r="Y1738" s="299"/>
      <c r="Z1738" s="294"/>
      <c r="AA1738" s="299"/>
      <c r="AB1738" s="299"/>
      <c r="AC1738" s="294"/>
      <c r="AD1738" s="294"/>
      <c r="AE1738" s="294"/>
      <c r="AF1738" s="294"/>
    </row>
    <row r="1739" spans="2:32" x14ac:dyDescent="0.25">
      <c r="B1739" s="294"/>
      <c r="C1739" s="294"/>
      <c r="D1739" s="294"/>
      <c r="E1739" s="294"/>
      <c r="F1739" s="294"/>
      <c r="G1739" s="294"/>
      <c r="H1739" s="294"/>
      <c r="I1739" s="294"/>
      <c r="J1739" s="294"/>
      <c r="L1739" s="295"/>
      <c r="M1739" s="294"/>
      <c r="S1739" s="294"/>
      <c r="T1739" s="299"/>
      <c r="U1739" s="294"/>
      <c r="V1739" s="299"/>
      <c r="W1739" s="299"/>
      <c r="X1739" s="294"/>
      <c r="Y1739" s="299"/>
      <c r="Z1739" s="294"/>
      <c r="AA1739" s="299"/>
      <c r="AB1739" s="299"/>
      <c r="AC1739" s="294"/>
      <c r="AD1739" s="294"/>
      <c r="AE1739" s="294"/>
      <c r="AF1739" s="294"/>
    </row>
    <row r="1740" spans="2:32" x14ac:dyDescent="0.25">
      <c r="B1740" s="294"/>
      <c r="C1740" s="294"/>
      <c r="D1740" s="294"/>
      <c r="E1740" s="294"/>
      <c r="F1740" s="294"/>
      <c r="G1740" s="294"/>
      <c r="H1740" s="294"/>
      <c r="I1740" s="294"/>
      <c r="J1740" s="294"/>
      <c r="L1740" s="295"/>
      <c r="M1740" s="294"/>
      <c r="S1740" s="294"/>
      <c r="T1740" s="299"/>
      <c r="U1740" s="294"/>
      <c r="V1740" s="299"/>
      <c r="W1740" s="299"/>
      <c r="X1740" s="294"/>
      <c r="Y1740" s="299"/>
      <c r="Z1740" s="294"/>
      <c r="AA1740" s="299"/>
      <c r="AB1740" s="299"/>
      <c r="AC1740" s="294"/>
      <c r="AD1740" s="294"/>
      <c r="AE1740" s="294"/>
      <c r="AF1740" s="294"/>
    </row>
    <row r="1741" spans="2:32" x14ac:dyDescent="0.25">
      <c r="B1741" s="294"/>
      <c r="C1741" s="294"/>
      <c r="D1741" s="294"/>
      <c r="E1741" s="294"/>
      <c r="F1741" s="294"/>
      <c r="G1741" s="294"/>
      <c r="H1741" s="294"/>
      <c r="I1741" s="294"/>
      <c r="J1741" s="294"/>
      <c r="L1741" s="295"/>
      <c r="M1741" s="294"/>
      <c r="S1741" s="294"/>
      <c r="T1741" s="299"/>
      <c r="U1741" s="294"/>
      <c r="V1741" s="299"/>
      <c r="W1741" s="299"/>
      <c r="X1741" s="294"/>
      <c r="Y1741" s="299"/>
      <c r="Z1741" s="294"/>
      <c r="AA1741" s="299"/>
      <c r="AB1741" s="299"/>
      <c r="AC1741" s="294"/>
      <c r="AD1741" s="294"/>
      <c r="AE1741" s="294"/>
      <c r="AF1741" s="294"/>
    </row>
    <row r="1742" spans="2:32" x14ac:dyDescent="0.25">
      <c r="B1742" s="294"/>
      <c r="C1742" s="294"/>
      <c r="D1742" s="294"/>
      <c r="E1742" s="294"/>
      <c r="F1742" s="294"/>
      <c r="G1742" s="294"/>
      <c r="H1742" s="294"/>
      <c r="I1742" s="294"/>
      <c r="J1742" s="294"/>
      <c r="L1742" s="295"/>
      <c r="M1742" s="294"/>
      <c r="S1742" s="294"/>
      <c r="T1742" s="299"/>
      <c r="U1742" s="294"/>
      <c r="V1742" s="299"/>
      <c r="W1742" s="299"/>
      <c r="X1742" s="294"/>
      <c r="Y1742" s="299"/>
      <c r="Z1742" s="294"/>
      <c r="AA1742" s="299"/>
      <c r="AB1742" s="299"/>
      <c r="AC1742" s="294"/>
      <c r="AD1742" s="294"/>
      <c r="AE1742" s="294"/>
      <c r="AF1742" s="294"/>
    </row>
    <row r="1743" spans="2:32" x14ac:dyDescent="0.25">
      <c r="B1743" s="294"/>
      <c r="C1743" s="294"/>
      <c r="D1743" s="294"/>
      <c r="E1743" s="294"/>
      <c r="F1743" s="294"/>
      <c r="G1743" s="294"/>
      <c r="H1743" s="294"/>
      <c r="I1743" s="294"/>
      <c r="J1743" s="294"/>
      <c r="L1743" s="295"/>
      <c r="M1743" s="294"/>
      <c r="S1743" s="294"/>
      <c r="T1743" s="299"/>
      <c r="U1743" s="294"/>
      <c r="V1743" s="299"/>
      <c r="W1743" s="299"/>
      <c r="X1743" s="294"/>
      <c r="Y1743" s="299"/>
      <c r="Z1743" s="294"/>
      <c r="AA1743" s="299"/>
      <c r="AB1743" s="299"/>
      <c r="AC1743" s="294"/>
      <c r="AD1743" s="294"/>
      <c r="AE1743" s="294"/>
      <c r="AF1743" s="294"/>
    </row>
    <row r="1744" spans="2:32" x14ac:dyDescent="0.25">
      <c r="B1744" s="294"/>
      <c r="C1744" s="294"/>
      <c r="D1744" s="294"/>
      <c r="E1744" s="294"/>
      <c r="F1744" s="294"/>
      <c r="G1744" s="294"/>
      <c r="H1744" s="294"/>
      <c r="I1744" s="294"/>
      <c r="J1744" s="294"/>
      <c r="L1744" s="295"/>
      <c r="M1744" s="294"/>
      <c r="S1744" s="294"/>
      <c r="T1744" s="299"/>
      <c r="U1744" s="294"/>
      <c r="V1744" s="299"/>
      <c r="W1744" s="299"/>
      <c r="X1744" s="294"/>
      <c r="Y1744" s="299"/>
      <c r="Z1744" s="294"/>
      <c r="AA1744" s="299"/>
      <c r="AB1744" s="299"/>
      <c r="AC1744" s="294"/>
      <c r="AD1744" s="294"/>
      <c r="AE1744" s="294"/>
      <c r="AF1744" s="294"/>
    </row>
    <row r="1745" spans="2:32" x14ac:dyDescent="0.25">
      <c r="B1745" s="294"/>
      <c r="C1745" s="294"/>
      <c r="D1745" s="294"/>
      <c r="E1745" s="294"/>
      <c r="F1745" s="294"/>
      <c r="G1745" s="294"/>
      <c r="H1745" s="294"/>
      <c r="I1745" s="294"/>
      <c r="J1745" s="294"/>
      <c r="L1745" s="295"/>
      <c r="M1745" s="294"/>
      <c r="S1745" s="294"/>
      <c r="T1745" s="299"/>
      <c r="U1745" s="294"/>
      <c r="V1745" s="299"/>
      <c r="W1745" s="299"/>
      <c r="X1745" s="294"/>
      <c r="Y1745" s="299"/>
      <c r="Z1745" s="294"/>
      <c r="AA1745" s="299"/>
      <c r="AB1745" s="299"/>
      <c r="AC1745" s="294"/>
      <c r="AD1745" s="294"/>
      <c r="AE1745" s="294"/>
      <c r="AF1745" s="294"/>
    </row>
    <row r="1746" spans="2:32" x14ac:dyDescent="0.25">
      <c r="B1746" s="294"/>
      <c r="C1746" s="294"/>
      <c r="D1746" s="294"/>
      <c r="E1746" s="294"/>
      <c r="F1746" s="294"/>
      <c r="G1746" s="294"/>
      <c r="H1746" s="294"/>
      <c r="I1746" s="294"/>
      <c r="J1746" s="294"/>
      <c r="L1746" s="295"/>
      <c r="M1746" s="294"/>
      <c r="S1746" s="294"/>
      <c r="T1746" s="299"/>
      <c r="U1746" s="294"/>
      <c r="V1746" s="299"/>
      <c r="W1746" s="299"/>
      <c r="X1746" s="294"/>
      <c r="Y1746" s="299"/>
      <c r="Z1746" s="294"/>
      <c r="AA1746" s="299"/>
      <c r="AB1746" s="299"/>
      <c r="AC1746" s="294"/>
      <c r="AD1746" s="294"/>
      <c r="AE1746" s="294"/>
      <c r="AF1746" s="294"/>
    </row>
    <row r="1747" spans="2:32" x14ac:dyDescent="0.25">
      <c r="B1747" s="294"/>
      <c r="C1747" s="294"/>
      <c r="D1747" s="294"/>
      <c r="E1747" s="294"/>
      <c r="F1747" s="294"/>
      <c r="G1747" s="294"/>
      <c r="H1747" s="294"/>
      <c r="I1747" s="294"/>
      <c r="J1747" s="294"/>
      <c r="L1747" s="295"/>
      <c r="M1747" s="294"/>
      <c r="S1747" s="294"/>
      <c r="T1747" s="299"/>
      <c r="U1747" s="294"/>
      <c r="V1747" s="299"/>
      <c r="W1747" s="299"/>
      <c r="X1747" s="294"/>
      <c r="Y1747" s="299"/>
      <c r="Z1747" s="294"/>
      <c r="AA1747" s="299"/>
      <c r="AB1747" s="299"/>
      <c r="AC1747" s="294"/>
      <c r="AD1747" s="294"/>
      <c r="AE1747" s="294"/>
      <c r="AF1747" s="294"/>
    </row>
    <row r="1748" spans="2:32" x14ac:dyDescent="0.25">
      <c r="B1748" s="294"/>
      <c r="C1748" s="294"/>
      <c r="D1748" s="294"/>
      <c r="E1748" s="294"/>
      <c r="F1748" s="294"/>
      <c r="G1748" s="294"/>
      <c r="H1748" s="294"/>
      <c r="I1748" s="294"/>
      <c r="J1748" s="294"/>
      <c r="L1748" s="295"/>
      <c r="M1748" s="294"/>
      <c r="S1748" s="294"/>
      <c r="T1748" s="299"/>
      <c r="U1748" s="294"/>
      <c r="V1748" s="299"/>
      <c r="W1748" s="299"/>
      <c r="X1748" s="294"/>
      <c r="Y1748" s="299"/>
      <c r="Z1748" s="294"/>
      <c r="AA1748" s="299"/>
      <c r="AB1748" s="299"/>
      <c r="AC1748" s="294"/>
      <c r="AD1748" s="294"/>
      <c r="AE1748" s="294"/>
      <c r="AF1748" s="294"/>
    </row>
    <row r="1749" spans="2:32" x14ac:dyDescent="0.25">
      <c r="B1749" s="294"/>
      <c r="C1749" s="294"/>
      <c r="D1749" s="294"/>
      <c r="E1749" s="294"/>
      <c r="F1749" s="294"/>
      <c r="G1749" s="294"/>
      <c r="H1749" s="294"/>
      <c r="I1749" s="294"/>
      <c r="J1749" s="294"/>
      <c r="L1749" s="295"/>
      <c r="M1749" s="294"/>
      <c r="S1749" s="294"/>
      <c r="T1749" s="299"/>
      <c r="U1749" s="294"/>
      <c r="V1749" s="299"/>
      <c r="W1749" s="299"/>
      <c r="X1749" s="294"/>
      <c r="Y1749" s="299"/>
      <c r="Z1749" s="294"/>
      <c r="AA1749" s="299"/>
      <c r="AB1749" s="299"/>
      <c r="AC1749" s="294"/>
      <c r="AD1749" s="294"/>
      <c r="AE1749" s="294"/>
      <c r="AF1749" s="294"/>
    </row>
    <row r="1750" spans="2:32" x14ac:dyDescent="0.25">
      <c r="B1750" s="294"/>
      <c r="C1750" s="294"/>
      <c r="D1750" s="294"/>
      <c r="E1750" s="294"/>
      <c r="F1750" s="294"/>
      <c r="G1750" s="294"/>
      <c r="H1750" s="294"/>
      <c r="I1750" s="294"/>
      <c r="J1750" s="294"/>
      <c r="L1750" s="295"/>
      <c r="M1750" s="294"/>
      <c r="S1750" s="294"/>
      <c r="T1750" s="299"/>
      <c r="U1750" s="294"/>
      <c r="V1750" s="299"/>
      <c r="W1750" s="299"/>
      <c r="X1750" s="294"/>
      <c r="Y1750" s="299"/>
      <c r="Z1750" s="294"/>
      <c r="AA1750" s="299"/>
      <c r="AB1750" s="299"/>
      <c r="AC1750" s="294"/>
      <c r="AD1750" s="294"/>
      <c r="AE1750" s="294"/>
      <c r="AF1750" s="294"/>
    </row>
    <row r="1751" spans="2:32" x14ac:dyDescent="0.25">
      <c r="B1751" s="294"/>
      <c r="C1751" s="294"/>
      <c r="D1751" s="294"/>
      <c r="E1751" s="294"/>
      <c r="F1751" s="294"/>
      <c r="G1751" s="294"/>
      <c r="H1751" s="294"/>
      <c r="I1751" s="294"/>
      <c r="J1751" s="294"/>
      <c r="L1751" s="295"/>
      <c r="M1751" s="294"/>
      <c r="S1751" s="294"/>
      <c r="T1751" s="299"/>
      <c r="U1751" s="294"/>
      <c r="V1751" s="299"/>
      <c r="W1751" s="299"/>
      <c r="X1751" s="294"/>
      <c r="Y1751" s="299"/>
      <c r="Z1751" s="294"/>
      <c r="AA1751" s="299"/>
      <c r="AB1751" s="299"/>
      <c r="AC1751" s="294"/>
      <c r="AD1751" s="294"/>
      <c r="AE1751" s="294"/>
      <c r="AF1751" s="294"/>
    </row>
    <row r="1752" spans="2:32" x14ac:dyDescent="0.25">
      <c r="B1752" s="294"/>
      <c r="C1752" s="294"/>
      <c r="D1752" s="294"/>
      <c r="E1752" s="294"/>
      <c r="F1752" s="294"/>
      <c r="G1752" s="294"/>
      <c r="H1752" s="294"/>
      <c r="I1752" s="294"/>
      <c r="J1752" s="294"/>
      <c r="L1752" s="295"/>
      <c r="M1752" s="294"/>
      <c r="S1752" s="294"/>
      <c r="T1752" s="299"/>
      <c r="U1752" s="294"/>
      <c r="V1752" s="299"/>
      <c r="W1752" s="299"/>
      <c r="X1752" s="294"/>
      <c r="Y1752" s="299"/>
      <c r="Z1752" s="294"/>
      <c r="AA1752" s="299"/>
      <c r="AB1752" s="299"/>
      <c r="AC1752" s="294"/>
      <c r="AD1752" s="294"/>
      <c r="AE1752" s="294"/>
      <c r="AF1752" s="294"/>
    </row>
    <row r="1753" spans="2:32" x14ac:dyDescent="0.25">
      <c r="B1753" s="294"/>
      <c r="C1753" s="294"/>
      <c r="D1753" s="294"/>
      <c r="E1753" s="294"/>
      <c r="F1753" s="294"/>
      <c r="G1753" s="294"/>
      <c r="H1753" s="294"/>
      <c r="I1753" s="294"/>
      <c r="J1753" s="294"/>
      <c r="L1753" s="295"/>
      <c r="M1753" s="294"/>
      <c r="S1753" s="294"/>
      <c r="T1753" s="299"/>
      <c r="U1753" s="294"/>
      <c r="V1753" s="299"/>
      <c r="W1753" s="299"/>
      <c r="X1753" s="294"/>
      <c r="Y1753" s="299"/>
      <c r="Z1753" s="294"/>
      <c r="AA1753" s="299"/>
      <c r="AB1753" s="299"/>
      <c r="AC1753" s="294"/>
      <c r="AD1753" s="294"/>
      <c r="AE1753" s="294"/>
      <c r="AF1753" s="294"/>
    </row>
    <row r="1754" spans="2:32" x14ac:dyDescent="0.25">
      <c r="B1754" s="294"/>
      <c r="C1754" s="294"/>
      <c r="D1754" s="294"/>
      <c r="E1754" s="294"/>
      <c r="F1754" s="294"/>
      <c r="G1754" s="294"/>
      <c r="H1754" s="294"/>
      <c r="I1754" s="294"/>
      <c r="J1754" s="294"/>
      <c r="L1754" s="295"/>
      <c r="M1754" s="294"/>
      <c r="S1754" s="294"/>
      <c r="T1754" s="299"/>
      <c r="U1754" s="294"/>
      <c r="V1754" s="299"/>
      <c r="W1754" s="299"/>
      <c r="X1754" s="294"/>
      <c r="Y1754" s="299"/>
      <c r="Z1754" s="294"/>
      <c r="AA1754" s="299"/>
      <c r="AB1754" s="299"/>
      <c r="AC1754" s="294"/>
      <c r="AD1754" s="294"/>
      <c r="AE1754" s="294"/>
      <c r="AF1754" s="294"/>
    </row>
    <row r="1755" spans="2:32" x14ac:dyDescent="0.25">
      <c r="B1755" s="294"/>
      <c r="C1755" s="294"/>
      <c r="D1755" s="294"/>
      <c r="E1755" s="294"/>
      <c r="F1755" s="294"/>
      <c r="G1755" s="294"/>
      <c r="H1755" s="294"/>
      <c r="I1755" s="294"/>
      <c r="J1755" s="294"/>
      <c r="L1755" s="295"/>
      <c r="M1755" s="294"/>
      <c r="S1755" s="294"/>
      <c r="T1755" s="299"/>
      <c r="U1755" s="294"/>
      <c r="V1755" s="299"/>
      <c r="W1755" s="299"/>
      <c r="X1755" s="294"/>
      <c r="Y1755" s="299"/>
      <c r="Z1755" s="294"/>
      <c r="AA1755" s="299"/>
      <c r="AB1755" s="299"/>
      <c r="AC1755" s="294"/>
      <c r="AD1755" s="294"/>
      <c r="AE1755" s="294"/>
      <c r="AF1755" s="294"/>
    </row>
    <row r="1756" spans="2:32" x14ac:dyDescent="0.25">
      <c r="B1756" s="294"/>
      <c r="C1756" s="294"/>
      <c r="D1756" s="294"/>
      <c r="E1756" s="294"/>
      <c r="F1756" s="294"/>
      <c r="G1756" s="294"/>
      <c r="H1756" s="294"/>
      <c r="I1756" s="294"/>
      <c r="J1756" s="294"/>
      <c r="L1756" s="295"/>
      <c r="M1756" s="294"/>
      <c r="S1756" s="294"/>
      <c r="T1756" s="299"/>
      <c r="U1756" s="294"/>
      <c r="V1756" s="299"/>
      <c r="W1756" s="299"/>
      <c r="X1756" s="294"/>
      <c r="Y1756" s="299"/>
      <c r="Z1756" s="294"/>
      <c r="AA1756" s="299"/>
      <c r="AB1756" s="299"/>
      <c r="AC1756" s="294"/>
      <c r="AD1756" s="294"/>
      <c r="AE1756" s="294"/>
      <c r="AF1756" s="294"/>
    </row>
    <row r="1757" spans="2:32" x14ac:dyDescent="0.25">
      <c r="B1757" s="294"/>
      <c r="C1757" s="294"/>
      <c r="D1757" s="294"/>
      <c r="E1757" s="294"/>
      <c r="F1757" s="294"/>
      <c r="G1757" s="294"/>
      <c r="H1757" s="294"/>
      <c r="I1757" s="294"/>
      <c r="J1757" s="294"/>
      <c r="L1757" s="295"/>
      <c r="M1757" s="294"/>
      <c r="S1757" s="294"/>
      <c r="T1757" s="299"/>
      <c r="U1757" s="294"/>
      <c r="V1757" s="299"/>
      <c r="W1757" s="299"/>
      <c r="X1757" s="294"/>
      <c r="Y1757" s="299"/>
      <c r="Z1757" s="294"/>
      <c r="AA1757" s="299"/>
      <c r="AB1757" s="299"/>
      <c r="AC1757" s="294"/>
      <c r="AD1757" s="294"/>
      <c r="AE1757" s="294"/>
      <c r="AF1757" s="294"/>
    </row>
    <row r="1758" spans="2:32" x14ac:dyDescent="0.25">
      <c r="B1758" s="294"/>
      <c r="C1758" s="294"/>
      <c r="D1758" s="294"/>
      <c r="E1758" s="294"/>
      <c r="F1758" s="294"/>
      <c r="G1758" s="294"/>
      <c r="H1758" s="294"/>
      <c r="I1758" s="294"/>
      <c r="J1758" s="294"/>
      <c r="L1758" s="295"/>
      <c r="M1758" s="294"/>
      <c r="S1758" s="294"/>
      <c r="T1758" s="299"/>
      <c r="U1758" s="294"/>
      <c r="V1758" s="299"/>
      <c r="W1758" s="299"/>
      <c r="X1758" s="294"/>
      <c r="Y1758" s="299"/>
      <c r="Z1758" s="294"/>
      <c r="AA1758" s="299"/>
      <c r="AB1758" s="299"/>
      <c r="AC1758" s="294"/>
      <c r="AD1758" s="294"/>
      <c r="AE1758" s="294"/>
      <c r="AF1758" s="294"/>
    </row>
    <row r="1759" spans="2:32" x14ac:dyDescent="0.25">
      <c r="B1759" s="294"/>
      <c r="C1759" s="294"/>
      <c r="D1759" s="294"/>
      <c r="E1759" s="294"/>
      <c r="F1759" s="294"/>
      <c r="G1759" s="294"/>
      <c r="H1759" s="294"/>
      <c r="I1759" s="294"/>
      <c r="J1759" s="294"/>
      <c r="L1759" s="295"/>
      <c r="M1759" s="294"/>
      <c r="S1759" s="294"/>
      <c r="T1759" s="299"/>
      <c r="U1759" s="294"/>
      <c r="V1759" s="299"/>
      <c r="W1759" s="299"/>
      <c r="X1759" s="294"/>
      <c r="Y1759" s="299"/>
      <c r="Z1759" s="294"/>
      <c r="AA1759" s="299"/>
      <c r="AB1759" s="299"/>
      <c r="AC1759" s="294"/>
      <c r="AD1759" s="294"/>
      <c r="AE1759" s="294"/>
      <c r="AF1759" s="294"/>
    </row>
    <row r="1760" spans="2:32" x14ac:dyDescent="0.25">
      <c r="B1760" s="294"/>
      <c r="C1760" s="294"/>
      <c r="D1760" s="294"/>
      <c r="E1760" s="294"/>
      <c r="F1760" s="294"/>
      <c r="G1760" s="294"/>
      <c r="H1760" s="294"/>
      <c r="I1760" s="294"/>
      <c r="J1760" s="294"/>
      <c r="L1760" s="295"/>
      <c r="M1760" s="294"/>
      <c r="S1760" s="294"/>
      <c r="T1760" s="299"/>
      <c r="U1760" s="294"/>
      <c r="V1760" s="299"/>
      <c r="W1760" s="299"/>
      <c r="X1760" s="294"/>
      <c r="Y1760" s="299"/>
      <c r="Z1760" s="294"/>
      <c r="AA1760" s="299"/>
      <c r="AB1760" s="299"/>
      <c r="AC1760" s="294"/>
      <c r="AD1760" s="294"/>
      <c r="AE1760" s="294"/>
      <c r="AF1760" s="294"/>
    </row>
    <row r="1761" spans="2:32" x14ac:dyDescent="0.25">
      <c r="B1761" s="294"/>
      <c r="C1761" s="294"/>
      <c r="D1761" s="294"/>
      <c r="E1761" s="294"/>
      <c r="F1761" s="294"/>
      <c r="G1761" s="294"/>
      <c r="H1761" s="294"/>
      <c r="I1761" s="294"/>
      <c r="J1761" s="294"/>
      <c r="L1761" s="295"/>
      <c r="M1761" s="294"/>
      <c r="S1761" s="294"/>
      <c r="T1761" s="299"/>
      <c r="U1761" s="294"/>
      <c r="V1761" s="299"/>
      <c r="W1761" s="299"/>
      <c r="X1761" s="294"/>
      <c r="Y1761" s="299"/>
      <c r="Z1761" s="294"/>
      <c r="AA1761" s="299"/>
      <c r="AB1761" s="299"/>
      <c r="AC1761" s="294"/>
      <c r="AD1761" s="294"/>
      <c r="AE1761" s="294"/>
      <c r="AF1761" s="294"/>
    </row>
    <row r="1762" spans="2:32" x14ac:dyDescent="0.25">
      <c r="B1762" s="294"/>
      <c r="C1762" s="294"/>
      <c r="D1762" s="294"/>
      <c r="E1762" s="294"/>
      <c r="F1762" s="294"/>
      <c r="G1762" s="294"/>
      <c r="H1762" s="294"/>
      <c r="I1762" s="294"/>
      <c r="J1762" s="294"/>
      <c r="L1762" s="295"/>
      <c r="M1762" s="294"/>
      <c r="S1762" s="294"/>
      <c r="T1762" s="299"/>
      <c r="U1762" s="294"/>
      <c r="V1762" s="299"/>
      <c r="W1762" s="299"/>
      <c r="X1762" s="294"/>
      <c r="Y1762" s="299"/>
      <c r="Z1762" s="294"/>
      <c r="AA1762" s="299"/>
      <c r="AB1762" s="299"/>
      <c r="AC1762" s="294"/>
      <c r="AD1762" s="294"/>
      <c r="AE1762" s="294"/>
      <c r="AF1762" s="294"/>
    </row>
    <row r="1763" spans="2:32" x14ac:dyDescent="0.25">
      <c r="B1763" s="294"/>
      <c r="C1763" s="294"/>
      <c r="D1763" s="294"/>
      <c r="E1763" s="294"/>
      <c r="F1763" s="294"/>
      <c r="G1763" s="294"/>
      <c r="H1763" s="294"/>
      <c r="I1763" s="294"/>
      <c r="J1763" s="294"/>
      <c r="L1763" s="295"/>
      <c r="M1763" s="294"/>
      <c r="S1763" s="294"/>
      <c r="T1763" s="299"/>
      <c r="U1763" s="294"/>
      <c r="V1763" s="299"/>
      <c r="W1763" s="299"/>
      <c r="X1763" s="294"/>
      <c r="Y1763" s="299"/>
      <c r="Z1763" s="294"/>
      <c r="AA1763" s="299"/>
      <c r="AB1763" s="299"/>
      <c r="AC1763" s="294"/>
      <c r="AD1763" s="294"/>
      <c r="AE1763" s="294"/>
      <c r="AF1763" s="294"/>
    </row>
    <row r="1764" spans="2:32" x14ac:dyDescent="0.25">
      <c r="B1764" s="294"/>
      <c r="C1764" s="294"/>
      <c r="D1764" s="294"/>
      <c r="E1764" s="294"/>
      <c r="F1764" s="294"/>
      <c r="G1764" s="294"/>
      <c r="H1764" s="294"/>
      <c r="I1764" s="294"/>
      <c r="J1764" s="294"/>
      <c r="L1764" s="295"/>
      <c r="M1764" s="294"/>
      <c r="S1764" s="294"/>
      <c r="T1764" s="299"/>
      <c r="U1764" s="294"/>
      <c r="V1764" s="299"/>
      <c r="W1764" s="299"/>
      <c r="X1764" s="294"/>
      <c r="Y1764" s="299"/>
      <c r="Z1764" s="294"/>
      <c r="AA1764" s="299"/>
      <c r="AB1764" s="299"/>
      <c r="AC1764" s="294"/>
      <c r="AD1764" s="294"/>
      <c r="AE1764" s="294"/>
      <c r="AF1764" s="294"/>
    </row>
    <row r="1765" spans="2:32" x14ac:dyDescent="0.25">
      <c r="B1765" s="294"/>
      <c r="C1765" s="294"/>
      <c r="D1765" s="294"/>
      <c r="E1765" s="294"/>
      <c r="F1765" s="294"/>
      <c r="G1765" s="294"/>
      <c r="H1765" s="294"/>
      <c r="I1765" s="294"/>
      <c r="J1765" s="294"/>
      <c r="L1765" s="295"/>
      <c r="M1765" s="294"/>
      <c r="S1765" s="294"/>
      <c r="T1765" s="299"/>
      <c r="U1765" s="294"/>
      <c r="V1765" s="299"/>
      <c r="W1765" s="299"/>
      <c r="X1765" s="294"/>
      <c r="Y1765" s="299"/>
      <c r="Z1765" s="294"/>
      <c r="AA1765" s="299"/>
      <c r="AB1765" s="299"/>
      <c r="AC1765" s="294"/>
      <c r="AD1765" s="294"/>
      <c r="AE1765" s="294"/>
      <c r="AF1765" s="294"/>
    </row>
    <row r="1766" spans="2:32" x14ac:dyDescent="0.25">
      <c r="B1766" s="294"/>
      <c r="C1766" s="294"/>
      <c r="D1766" s="294"/>
      <c r="E1766" s="294"/>
      <c r="F1766" s="294"/>
      <c r="G1766" s="294"/>
      <c r="H1766" s="294"/>
      <c r="I1766" s="294"/>
      <c r="J1766" s="294"/>
      <c r="L1766" s="295"/>
      <c r="M1766" s="294"/>
      <c r="S1766" s="294"/>
      <c r="T1766" s="299"/>
      <c r="U1766" s="294"/>
      <c r="V1766" s="299"/>
      <c r="W1766" s="299"/>
      <c r="X1766" s="294"/>
      <c r="Y1766" s="299"/>
      <c r="Z1766" s="294"/>
      <c r="AA1766" s="299"/>
      <c r="AB1766" s="299"/>
      <c r="AC1766" s="294"/>
      <c r="AD1766" s="294"/>
      <c r="AE1766" s="294"/>
      <c r="AF1766" s="294"/>
    </row>
    <row r="1767" spans="2:32" x14ac:dyDescent="0.25">
      <c r="B1767" s="294"/>
      <c r="C1767" s="294"/>
      <c r="D1767" s="294"/>
      <c r="E1767" s="294"/>
      <c r="F1767" s="294"/>
      <c r="G1767" s="294"/>
      <c r="H1767" s="294"/>
      <c r="I1767" s="294"/>
      <c r="J1767" s="294"/>
      <c r="L1767" s="295"/>
      <c r="M1767" s="294"/>
      <c r="S1767" s="294"/>
      <c r="T1767" s="299"/>
      <c r="U1767" s="294"/>
      <c r="V1767" s="299"/>
      <c r="W1767" s="299"/>
      <c r="X1767" s="294"/>
      <c r="Y1767" s="299"/>
      <c r="Z1767" s="294"/>
      <c r="AA1767" s="299"/>
      <c r="AB1767" s="299"/>
      <c r="AC1767" s="294"/>
      <c r="AD1767" s="294"/>
      <c r="AE1767" s="294"/>
      <c r="AF1767" s="294"/>
    </row>
    <row r="1768" spans="2:32" x14ac:dyDescent="0.25">
      <c r="B1768" s="294"/>
      <c r="C1768" s="294"/>
      <c r="D1768" s="294"/>
      <c r="E1768" s="294"/>
      <c r="F1768" s="294"/>
      <c r="G1768" s="294"/>
      <c r="H1768" s="294"/>
      <c r="I1768" s="294"/>
      <c r="J1768" s="294"/>
      <c r="L1768" s="295"/>
      <c r="M1768" s="294"/>
      <c r="S1768" s="294"/>
      <c r="T1768" s="299"/>
      <c r="U1768" s="294"/>
      <c r="V1768" s="299"/>
      <c r="W1768" s="299"/>
      <c r="X1768" s="294"/>
      <c r="Y1768" s="299"/>
      <c r="Z1768" s="294"/>
      <c r="AA1768" s="299"/>
      <c r="AB1768" s="299"/>
      <c r="AC1768" s="294"/>
      <c r="AD1768" s="294"/>
      <c r="AE1768" s="294"/>
      <c r="AF1768" s="294"/>
    </row>
    <row r="1769" spans="2:32" x14ac:dyDescent="0.25">
      <c r="B1769" s="294"/>
      <c r="C1769" s="294"/>
      <c r="D1769" s="294"/>
      <c r="E1769" s="294"/>
      <c r="F1769" s="294"/>
      <c r="G1769" s="294"/>
      <c r="H1769" s="294"/>
      <c r="I1769" s="294"/>
      <c r="J1769" s="294"/>
      <c r="L1769" s="295"/>
      <c r="M1769" s="294"/>
      <c r="S1769" s="294"/>
      <c r="T1769" s="299"/>
      <c r="U1769" s="294"/>
      <c r="V1769" s="299"/>
      <c r="W1769" s="299"/>
      <c r="X1769" s="294"/>
      <c r="Y1769" s="299"/>
      <c r="Z1769" s="294"/>
      <c r="AA1769" s="299"/>
      <c r="AB1769" s="299"/>
      <c r="AC1769" s="294"/>
      <c r="AD1769" s="294"/>
      <c r="AE1769" s="294"/>
      <c r="AF1769" s="294"/>
    </row>
    <row r="1770" spans="2:32" x14ac:dyDescent="0.25">
      <c r="B1770" s="294"/>
      <c r="C1770" s="294"/>
      <c r="D1770" s="294"/>
      <c r="E1770" s="294"/>
      <c r="F1770" s="294"/>
      <c r="G1770" s="294"/>
      <c r="H1770" s="294"/>
      <c r="I1770" s="294"/>
      <c r="J1770" s="294"/>
      <c r="L1770" s="295"/>
      <c r="M1770" s="294"/>
      <c r="S1770" s="294"/>
      <c r="T1770" s="299"/>
      <c r="U1770" s="294"/>
      <c r="V1770" s="299"/>
      <c r="W1770" s="299"/>
      <c r="X1770" s="294"/>
      <c r="Y1770" s="299"/>
      <c r="Z1770" s="294"/>
      <c r="AA1770" s="299"/>
      <c r="AB1770" s="299"/>
      <c r="AC1770" s="294"/>
      <c r="AD1770" s="294"/>
      <c r="AE1770" s="294"/>
      <c r="AF1770" s="294"/>
    </row>
    <row r="1771" spans="2:32" x14ac:dyDescent="0.25">
      <c r="B1771" s="294"/>
      <c r="C1771" s="294"/>
      <c r="D1771" s="294"/>
      <c r="E1771" s="294"/>
      <c r="F1771" s="294"/>
      <c r="G1771" s="294"/>
      <c r="H1771" s="294"/>
      <c r="I1771" s="294"/>
      <c r="J1771" s="294"/>
      <c r="L1771" s="295"/>
      <c r="M1771" s="294"/>
      <c r="S1771" s="294"/>
      <c r="T1771" s="299"/>
      <c r="U1771" s="294"/>
      <c r="V1771" s="299"/>
      <c r="W1771" s="299"/>
      <c r="X1771" s="294"/>
      <c r="Y1771" s="299"/>
      <c r="Z1771" s="294"/>
      <c r="AA1771" s="299"/>
      <c r="AB1771" s="299"/>
      <c r="AC1771" s="294"/>
      <c r="AD1771" s="294"/>
      <c r="AE1771" s="294"/>
      <c r="AF1771" s="294"/>
    </row>
    <row r="1772" spans="2:32" x14ac:dyDescent="0.25">
      <c r="B1772" s="294"/>
      <c r="C1772" s="294"/>
      <c r="D1772" s="294"/>
      <c r="E1772" s="294"/>
      <c r="F1772" s="294"/>
      <c r="G1772" s="294"/>
      <c r="H1772" s="294"/>
      <c r="I1772" s="294"/>
      <c r="J1772" s="294"/>
      <c r="L1772" s="295"/>
      <c r="M1772" s="294"/>
      <c r="S1772" s="294"/>
      <c r="T1772" s="299"/>
      <c r="U1772" s="294"/>
      <c r="V1772" s="299"/>
      <c r="W1772" s="299"/>
      <c r="X1772" s="294"/>
      <c r="Y1772" s="299"/>
      <c r="Z1772" s="294"/>
      <c r="AA1772" s="299"/>
      <c r="AB1772" s="299"/>
      <c r="AC1772" s="294"/>
      <c r="AD1772" s="294"/>
      <c r="AE1772" s="294"/>
      <c r="AF1772" s="294"/>
    </row>
    <row r="1773" spans="2:32" x14ac:dyDescent="0.25">
      <c r="B1773" s="294"/>
      <c r="C1773" s="294"/>
      <c r="D1773" s="294"/>
      <c r="E1773" s="294"/>
      <c r="F1773" s="294"/>
      <c r="G1773" s="294"/>
      <c r="H1773" s="294"/>
      <c r="I1773" s="294"/>
      <c r="J1773" s="294"/>
      <c r="L1773" s="295"/>
      <c r="M1773" s="294"/>
      <c r="S1773" s="294"/>
      <c r="T1773" s="299"/>
      <c r="U1773" s="294"/>
      <c r="V1773" s="299"/>
      <c r="W1773" s="299"/>
      <c r="X1773" s="294"/>
      <c r="Y1773" s="299"/>
      <c r="Z1773" s="294"/>
      <c r="AA1773" s="299"/>
      <c r="AB1773" s="299"/>
      <c r="AC1773" s="294"/>
      <c r="AD1773" s="294"/>
      <c r="AE1773" s="294"/>
      <c r="AF1773" s="294"/>
    </row>
    <row r="1774" spans="2:32" x14ac:dyDescent="0.25">
      <c r="B1774" s="294"/>
      <c r="C1774" s="294"/>
      <c r="D1774" s="294"/>
      <c r="E1774" s="294"/>
      <c r="F1774" s="294"/>
      <c r="G1774" s="294"/>
      <c r="H1774" s="294"/>
      <c r="I1774" s="294"/>
      <c r="J1774" s="294"/>
      <c r="L1774" s="295"/>
      <c r="M1774" s="294"/>
      <c r="S1774" s="294"/>
      <c r="T1774" s="299"/>
      <c r="U1774" s="294"/>
      <c r="V1774" s="299"/>
      <c r="W1774" s="299"/>
      <c r="X1774" s="294"/>
      <c r="Y1774" s="299"/>
      <c r="Z1774" s="294"/>
      <c r="AA1774" s="299"/>
      <c r="AB1774" s="299"/>
      <c r="AC1774" s="294"/>
      <c r="AD1774" s="294"/>
      <c r="AE1774" s="294"/>
      <c r="AF1774" s="294"/>
    </row>
    <row r="1775" spans="2:32" x14ac:dyDescent="0.25">
      <c r="B1775" s="294"/>
      <c r="C1775" s="294"/>
      <c r="D1775" s="294"/>
      <c r="E1775" s="294"/>
      <c r="F1775" s="294"/>
      <c r="G1775" s="294"/>
      <c r="H1775" s="294"/>
      <c r="I1775" s="294"/>
      <c r="J1775" s="294"/>
      <c r="L1775" s="295"/>
      <c r="M1775" s="294"/>
      <c r="S1775" s="294"/>
      <c r="T1775" s="299"/>
      <c r="U1775" s="294"/>
      <c r="V1775" s="299"/>
      <c r="W1775" s="299"/>
      <c r="X1775" s="294"/>
      <c r="Y1775" s="299"/>
      <c r="Z1775" s="294"/>
      <c r="AA1775" s="299"/>
      <c r="AB1775" s="299"/>
      <c r="AC1775" s="294"/>
      <c r="AD1775" s="294"/>
      <c r="AE1775" s="294"/>
      <c r="AF1775" s="294"/>
    </row>
    <row r="1776" spans="2:32" x14ac:dyDescent="0.25">
      <c r="B1776" s="294"/>
      <c r="C1776" s="294"/>
      <c r="D1776" s="294"/>
      <c r="E1776" s="294"/>
      <c r="F1776" s="294"/>
      <c r="G1776" s="294"/>
      <c r="H1776" s="294"/>
      <c r="I1776" s="294"/>
      <c r="J1776" s="294"/>
      <c r="L1776" s="295"/>
      <c r="M1776" s="294"/>
      <c r="S1776" s="294"/>
      <c r="T1776" s="299"/>
      <c r="U1776" s="294"/>
      <c r="V1776" s="299"/>
      <c r="W1776" s="299"/>
      <c r="X1776" s="294"/>
      <c r="Y1776" s="299"/>
      <c r="Z1776" s="294"/>
      <c r="AA1776" s="299"/>
      <c r="AB1776" s="299"/>
      <c r="AC1776" s="294"/>
      <c r="AD1776" s="294"/>
      <c r="AE1776" s="294"/>
      <c r="AF1776" s="294"/>
    </row>
    <row r="1777" spans="2:32" x14ac:dyDescent="0.25">
      <c r="B1777" s="294"/>
      <c r="C1777" s="294"/>
      <c r="D1777" s="294"/>
      <c r="E1777" s="294"/>
      <c r="F1777" s="294"/>
      <c r="G1777" s="294"/>
      <c r="H1777" s="294"/>
      <c r="I1777" s="294"/>
      <c r="J1777" s="294"/>
      <c r="L1777" s="295"/>
      <c r="M1777" s="294"/>
      <c r="S1777" s="294"/>
      <c r="T1777" s="299"/>
      <c r="U1777" s="294"/>
      <c r="V1777" s="299"/>
      <c r="W1777" s="299"/>
      <c r="X1777" s="294"/>
      <c r="Y1777" s="299"/>
      <c r="Z1777" s="294"/>
      <c r="AA1777" s="299"/>
      <c r="AB1777" s="299"/>
      <c r="AC1777" s="294"/>
      <c r="AD1777" s="294"/>
      <c r="AE1777" s="294"/>
      <c r="AF1777" s="294"/>
    </row>
    <row r="1778" spans="2:32" x14ac:dyDescent="0.25">
      <c r="B1778" s="294"/>
      <c r="C1778" s="294"/>
      <c r="D1778" s="294"/>
      <c r="E1778" s="294"/>
      <c r="F1778" s="294"/>
      <c r="G1778" s="294"/>
      <c r="H1778" s="294"/>
      <c r="I1778" s="294"/>
      <c r="J1778" s="294"/>
      <c r="L1778" s="295"/>
      <c r="M1778" s="294"/>
      <c r="S1778" s="294"/>
      <c r="T1778" s="299"/>
      <c r="U1778" s="294"/>
      <c r="V1778" s="299"/>
      <c r="W1778" s="299"/>
      <c r="X1778" s="294"/>
      <c r="Y1778" s="299"/>
      <c r="Z1778" s="294"/>
      <c r="AA1778" s="299"/>
      <c r="AB1778" s="299"/>
      <c r="AC1778" s="294"/>
      <c r="AD1778" s="294"/>
      <c r="AE1778" s="294"/>
      <c r="AF1778" s="294"/>
    </row>
    <row r="1779" spans="2:32" x14ac:dyDescent="0.25">
      <c r="B1779" s="294"/>
      <c r="C1779" s="294"/>
      <c r="D1779" s="294"/>
      <c r="E1779" s="294"/>
      <c r="F1779" s="294"/>
      <c r="G1779" s="294"/>
      <c r="H1779" s="294"/>
      <c r="I1779" s="294"/>
      <c r="J1779" s="294"/>
      <c r="L1779" s="295"/>
      <c r="M1779" s="294"/>
      <c r="S1779" s="294"/>
      <c r="T1779" s="299"/>
      <c r="U1779" s="294"/>
      <c r="V1779" s="299"/>
      <c r="W1779" s="299"/>
      <c r="X1779" s="294"/>
      <c r="Y1779" s="299"/>
      <c r="Z1779" s="294"/>
      <c r="AA1779" s="299"/>
      <c r="AB1779" s="299"/>
      <c r="AC1779" s="294"/>
      <c r="AD1779" s="294"/>
      <c r="AE1779" s="294"/>
      <c r="AF1779" s="294"/>
    </row>
    <row r="1780" spans="2:32" x14ac:dyDescent="0.25">
      <c r="B1780" s="294"/>
      <c r="C1780" s="294"/>
      <c r="D1780" s="294"/>
      <c r="E1780" s="294"/>
      <c r="F1780" s="294"/>
      <c r="G1780" s="294"/>
      <c r="H1780" s="294"/>
      <c r="I1780" s="294"/>
      <c r="J1780" s="294"/>
      <c r="L1780" s="295"/>
      <c r="M1780" s="294"/>
      <c r="S1780" s="294"/>
      <c r="T1780" s="299"/>
      <c r="U1780" s="294"/>
      <c r="V1780" s="299"/>
      <c r="W1780" s="299"/>
      <c r="X1780" s="294"/>
      <c r="Y1780" s="299"/>
      <c r="Z1780" s="294"/>
      <c r="AA1780" s="299"/>
      <c r="AB1780" s="299"/>
      <c r="AC1780" s="294"/>
      <c r="AD1780" s="294"/>
      <c r="AE1780" s="294"/>
      <c r="AF1780" s="294"/>
    </row>
    <row r="1781" spans="2:32" x14ac:dyDescent="0.25">
      <c r="B1781" s="294"/>
      <c r="C1781" s="294"/>
      <c r="D1781" s="294"/>
      <c r="E1781" s="294"/>
      <c r="F1781" s="294"/>
      <c r="G1781" s="294"/>
      <c r="H1781" s="294"/>
      <c r="I1781" s="294"/>
      <c r="J1781" s="294"/>
      <c r="L1781" s="295"/>
      <c r="M1781" s="294"/>
      <c r="S1781" s="294"/>
      <c r="T1781" s="299"/>
      <c r="U1781" s="294"/>
      <c r="V1781" s="299"/>
      <c r="W1781" s="299"/>
      <c r="X1781" s="294"/>
      <c r="Y1781" s="299"/>
      <c r="Z1781" s="294"/>
      <c r="AA1781" s="299"/>
      <c r="AB1781" s="299"/>
      <c r="AC1781" s="294"/>
      <c r="AD1781" s="294"/>
      <c r="AE1781" s="294"/>
      <c r="AF1781" s="294"/>
    </row>
    <row r="1782" spans="2:32" x14ac:dyDescent="0.25">
      <c r="B1782" s="294"/>
      <c r="C1782" s="294"/>
      <c r="D1782" s="294"/>
      <c r="E1782" s="294"/>
      <c r="F1782" s="294"/>
      <c r="G1782" s="294"/>
      <c r="H1782" s="294"/>
      <c r="I1782" s="294"/>
      <c r="J1782" s="294"/>
      <c r="L1782" s="295"/>
      <c r="M1782" s="294"/>
      <c r="S1782" s="294"/>
      <c r="T1782" s="299"/>
      <c r="U1782" s="294"/>
      <c r="V1782" s="299"/>
      <c r="W1782" s="299"/>
      <c r="X1782" s="294"/>
      <c r="Y1782" s="299"/>
      <c r="Z1782" s="294"/>
      <c r="AA1782" s="299"/>
      <c r="AB1782" s="299"/>
      <c r="AC1782" s="294"/>
      <c r="AD1782" s="294"/>
      <c r="AE1782" s="294"/>
      <c r="AF1782" s="294"/>
    </row>
    <row r="1783" spans="2:32" x14ac:dyDescent="0.25">
      <c r="B1783" s="294"/>
      <c r="C1783" s="294"/>
      <c r="D1783" s="294"/>
      <c r="E1783" s="294"/>
      <c r="F1783" s="294"/>
      <c r="G1783" s="294"/>
      <c r="H1783" s="294"/>
      <c r="I1783" s="294"/>
      <c r="J1783" s="294"/>
      <c r="L1783" s="295"/>
      <c r="M1783" s="294"/>
      <c r="S1783" s="294"/>
      <c r="T1783" s="299"/>
      <c r="U1783" s="294"/>
      <c r="V1783" s="299"/>
      <c r="W1783" s="299"/>
      <c r="X1783" s="294"/>
      <c r="Y1783" s="299"/>
      <c r="Z1783" s="294"/>
      <c r="AA1783" s="299"/>
      <c r="AB1783" s="299"/>
      <c r="AC1783" s="294"/>
      <c r="AD1783" s="294"/>
      <c r="AE1783" s="294"/>
      <c r="AF1783" s="294"/>
    </row>
    <row r="1784" spans="2:32" x14ac:dyDescent="0.25">
      <c r="B1784" s="294"/>
      <c r="C1784" s="294"/>
      <c r="D1784" s="294"/>
      <c r="E1784" s="294"/>
      <c r="F1784" s="294"/>
      <c r="G1784" s="294"/>
      <c r="H1784" s="294"/>
      <c r="I1784" s="294"/>
      <c r="J1784" s="294"/>
      <c r="L1784" s="295"/>
      <c r="M1784" s="294"/>
      <c r="S1784" s="294"/>
      <c r="T1784" s="299"/>
      <c r="U1784" s="294"/>
      <c r="V1784" s="299"/>
      <c r="W1784" s="299"/>
      <c r="X1784" s="294"/>
      <c r="Y1784" s="299"/>
      <c r="Z1784" s="294"/>
      <c r="AA1784" s="299"/>
      <c r="AB1784" s="299"/>
      <c r="AC1784" s="294"/>
      <c r="AD1784" s="294"/>
      <c r="AE1784" s="294"/>
      <c r="AF1784" s="294"/>
    </row>
    <row r="1785" spans="2:32" x14ac:dyDescent="0.25">
      <c r="B1785" s="294"/>
      <c r="C1785" s="294"/>
      <c r="D1785" s="294"/>
      <c r="E1785" s="294"/>
      <c r="F1785" s="294"/>
      <c r="G1785" s="294"/>
      <c r="H1785" s="294"/>
      <c r="I1785" s="294"/>
      <c r="J1785" s="294"/>
      <c r="L1785" s="295"/>
      <c r="M1785" s="294"/>
      <c r="S1785" s="294"/>
      <c r="T1785" s="299"/>
      <c r="U1785" s="294"/>
      <c r="V1785" s="299"/>
      <c r="W1785" s="299"/>
      <c r="X1785" s="294"/>
      <c r="Y1785" s="299"/>
      <c r="Z1785" s="294"/>
      <c r="AA1785" s="299"/>
      <c r="AB1785" s="299"/>
      <c r="AC1785" s="294"/>
      <c r="AD1785" s="294"/>
      <c r="AE1785" s="294"/>
      <c r="AF1785" s="294"/>
    </row>
    <row r="1786" spans="2:32" x14ac:dyDescent="0.25">
      <c r="B1786" s="294"/>
      <c r="C1786" s="294"/>
      <c r="D1786" s="294"/>
      <c r="E1786" s="294"/>
      <c r="F1786" s="294"/>
      <c r="G1786" s="294"/>
      <c r="H1786" s="294"/>
      <c r="I1786" s="294"/>
      <c r="J1786" s="294"/>
      <c r="L1786" s="295"/>
      <c r="M1786" s="294"/>
      <c r="S1786" s="294"/>
      <c r="T1786" s="299"/>
      <c r="U1786" s="294"/>
      <c r="V1786" s="299"/>
      <c r="W1786" s="299"/>
      <c r="X1786" s="294"/>
      <c r="Y1786" s="299"/>
      <c r="Z1786" s="294"/>
      <c r="AA1786" s="299"/>
      <c r="AB1786" s="299"/>
      <c r="AC1786" s="294"/>
      <c r="AD1786" s="294"/>
      <c r="AE1786" s="294"/>
      <c r="AF1786" s="294"/>
    </row>
    <row r="1787" spans="2:32" x14ac:dyDescent="0.25">
      <c r="B1787" s="294"/>
      <c r="C1787" s="294"/>
      <c r="D1787" s="294"/>
      <c r="E1787" s="294"/>
      <c r="F1787" s="294"/>
      <c r="G1787" s="294"/>
      <c r="H1787" s="294"/>
      <c r="I1787" s="294"/>
      <c r="J1787" s="294"/>
      <c r="L1787" s="295"/>
      <c r="M1787" s="294"/>
      <c r="S1787" s="294"/>
      <c r="T1787" s="299"/>
      <c r="U1787" s="294"/>
      <c r="V1787" s="299"/>
      <c r="W1787" s="299"/>
      <c r="X1787" s="294"/>
      <c r="Y1787" s="299"/>
      <c r="Z1787" s="294"/>
      <c r="AA1787" s="299"/>
      <c r="AB1787" s="299"/>
      <c r="AC1787" s="294"/>
      <c r="AD1787" s="294"/>
      <c r="AE1787" s="294"/>
      <c r="AF1787" s="294"/>
    </row>
    <row r="1788" spans="2:32" x14ac:dyDescent="0.25">
      <c r="B1788" s="294"/>
      <c r="C1788" s="294"/>
      <c r="D1788" s="294"/>
      <c r="E1788" s="294"/>
      <c r="F1788" s="294"/>
      <c r="G1788" s="294"/>
      <c r="H1788" s="294"/>
      <c r="I1788" s="294"/>
      <c r="J1788" s="294"/>
      <c r="L1788" s="295"/>
      <c r="M1788" s="294"/>
      <c r="S1788" s="294"/>
      <c r="T1788" s="299"/>
      <c r="U1788" s="294"/>
      <c r="V1788" s="299"/>
      <c r="W1788" s="299"/>
      <c r="X1788" s="294"/>
      <c r="Y1788" s="299"/>
      <c r="Z1788" s="294"/>
      <c r="AA1788" s="299"/>
      <c r="AB1788" s="299"/>
      <c r="AC1788" s="294"/>
      <c r="AD1788" s="294"/>
      <c r="AE1788" s="294"/>
      <c r="AF1788" s="294"/>
    </row>
    <row r="1789" spans="2:32" x14ac:dyDescent="0.25">
      <c r="B1789" s="294"/>
      <c r="C1789" s="294"/>
      <c r="D1789" s="294"/>
      <c r="E1789" s="294"/>
      <c r="F1789" s="294"/>
      <c r="G1789" s="294"/>
      <c r="H1789" s="294"/>
      <c r="I1789" s="294"/>
      <c r="J1789" s="294"/>
      <c r="L1789" s="295"/>
      <c r="M1789" s="294"/>
      <c r="S1789" s="294"/>
      <c r="T1789" s="299"/>
      <c r="U1789" s="294"/>
      <c r="V1789" s="299"/>
      <c r="W1789" s="299"/>
      <c r="X1789" s="294"/>
      <c r="Y1789" s="299"/>
      <c r="Z1789" s="294"/>
      <c r="AA1789" s="299"/>
      <c r="AB1789" s="299"/>
      <c r="AC1789" s="294"/>
      <c r="AD1789" s="294"/>
      <c r="AE1789" s="294"/>
      <c r="AF1789" s="294"/>
    </row>
    <row r="1790" spans="2:32" x14ac:dyDescent="0.25">
      <c r="B1790" s="294"/>
      <c r="C1790" s="294"/>
      <c r="D1790" s="294"/>
      <c r="E1790" s="294"/>
      <c r="F1790" s="294"/>
      <c r="G1790" s="294"/>
      <c r="H1790" s="294"/>
      <c r="I1790" s="294"/>
      <c r="J1790" s="294"/>
      <c r="L1790" s="295"/>
      <c r="M1790" s="294"/>
      <c r="S1790" s="294"/>
      <c r="T1790" s="299"/>
      <c r="U1790" s="294"/>
      <c r="V1790" s="299"/>
      <c r="W1790" s="299"/>
      <c r="X1790" s="294"/>
      <c r="Y1790" s="299"/>
      <c r="Z1790" s="294"/>
      <c r="AA1790" s="299"/>
      <c r="AB1790" s="299"/>
      <c r="AC1790" s="294"/>
      <c r="AD1790" s="294"/>
      <c r="AE1790" s="294"/>
      <c r="AF1790" s="294"/>
    </row>
    <row r="1791" spans="2:32" x14ac:dyDescent="0.25">
      <c r="B1791" s="294"/>
      <c r="C1791" s="294"/>
      <c r="D1791" s="294"/>
      <c r="E1791" s="294"/>
      <c r="F1791" s="294"/>
      <c r="G1791" s="294"/>
      <c r="H1791" s="294"/>
      <c r="I1791" s="294"/>
      <c r="J1791" s="294"/>
      <c r="L1791" s="295"/>
      <c r="M1791" s="294"/>
      <c r="S1791" s="294"/>
      <c r="T1791" s="299"/>
      <c r="U1791" s="294"/>
      <c r="V1791" s="299"/>
      <c r="W1791" s="299"/>
      <c r="X1791" s="294"/>
      <c r="Y1791" s="299"/>
      <c r="Z1791" s="294"/>
      <c r="AA1791" s="299"/>
      <c r="AB1791" s="299"/>
      <c r="AC1791" s="294"/>
      <c r="AD1791" s="294"/>
      <c r="AE1791" s="294"/>
      <c r="AF1791" s="294"/>
    </row>
    <row r="1792" spans="2:32" x14ac:dyDescent="0.25">
      <c r="B1792" s="294"/>
      <c r="C1792" s="294"/>
      <c r="D1792" s="294"/>
      <c r="E1792" s="294"/>
      <c r="F1792" s="294"/>
      <c r="G1792" s="294"/>
      <c r="H1792" s="294"/>
      <c r="I1792" s="294"/>
      <c r="J1792" s="294"/>
      <c r="L1792" s="295"/>
      <c r="M1792" s="294"/>
      <c r="S1792" s="294"/>
      <c r="T1792" s="299"/>
      <c r="U1792" s="294"/>
      <c r="V1792" s="299"/>
      <c r="W1792" s="299"/>
      <c r="X1792" s="294"/>
      <c r="Y1792" s="299"/>
      <c r="Z1792" s="294"/>
      <c r="AA1792" s="299"/>
      <c r="AB1792" s="299"/>
      <c r="AC1792" s="294"/>
      <c r="AD1792" s="294"/>
      <c r="AE1792" s="294"/>
      <c r="AF1792" s="294"/>
    </row>
    <row r="1793" spans="2:32" x14ac:dyDescent="0.25">
      <c r="B1793" s="294"/>
      <c r="C1793" s="294"/>
      <c r="D1793" s="294"/>
      <c r="E1793" s="294"/>
      <c r="F1793" s="294"/>
      <c r="G1793" s="294"/>
      <c r="H1793" s="294"/>
      <c r="I1793" s="294"/>
      <c r="J1793" s="294"/>
      <c r="L1793" s="295"/>
      <c r="M1793" s="294"/>
      <c r="S1793" s="294"/>
      <c r="T1793" s="299"/>
      <c r="U1793" s="294"/>
      <c r="V1793" s="299"/>
      <c r="W1793" s="299"/>
      <c r="X1793" s="294"/>
      <c r="Y1793" s="299"/>
      <c r="Z1793" s="294"/>
      <c r="AA1793" s="299"/>
      <c r="AB1793" s="299"/>
      <c r="AC1793" s="294"/>
      <c r="AD1793" s="294"/>
      <c r="AE1793" s="294"/>
      <c r="AF1793" s="294"/>
    </row>
    <row r="1794" spans="2:32" x14ac:dyDescent="0.25">
      <c r="B1794" s="294"/>
      <c r="C1794" s="294"/>
      <c r="D1794" s="294"/>
      <c r="E1794" s="294"/>
      <c r="F1794" s="294"/>
      <c r="G1794" s="294"/>
      <c r="H1794" s="294"/>
      <c r="I1794" s="294"/>
      <c r="J1794" s="294"/>
      <c r="L1794" s="295"/>
      <c r="M1794" s="294"/>
      <c r="S1794" s="294"/>
      <c r="T1794" s="299"/>
      <c r="U1794" s="294"/>
      <c r="V1794" s="299"/>
      <c r="W1794" s="299"/>
      <c r="X1794" s="294"/>
      <c r="Y1794" s="299"/>
      <c r="Z1794" s="294"/>
      <c r="AA1794" s="299"/>
      <c r="AB1794" s="299"/>
      <c r="AC1794" s="294"/>
      <c r="AD1794" s="294"/>
      <c r="AE1794" s="294"/>
      <c r="AF1794" s="294"/>
    </row>
    <row r="1795" spans="2:32" x14ac:dyDescent="0.25">
      <c r="B1795" s="294"/>
      <c r="C1795" s="294"/>
      <c r="D1795" s="294"/>
      <c r="E1795" s="294"/>
      <c r="F1795" s="294"/>
      <c r="G1795" s="294"/>
      <c r="H1795" s="294"/>
      <c r="I1795" s="294"/>
      <c r="J1795" s="294"/>
      <c r="L1795" s="295"/>
      <c r="M1795" s="294"/>
      <c r="S1795" s="294"/>
      <c r="T1795" s="299"/>
      <c r="U1795" s="294"/>
      <c r="V1795" s="299"/>
      <c r="W1795" s="299"/>
      <c r="X1795" s="294"/>
      <c r="Y1795" s="299"/>
      <c r="Z1795" s="294"/>
      <c r="AA1795" s="299"/>
      <c r="AB1795" s="299"/>
      <c r="AC1795" s="294"/>
      <c r="AD1795" s="294"/>
      <c r="AE1795" s="294"/>
      <c r="AF1795" s="294"/>
    </row>
    <row r="1796" spans="2:32" x14ac:dyDescent="0.25">
      <c r="B1796" s="294"/>
      <c r="C1796" s="294"/>
      <c r="D1796" s="294"/>
      <c r="E1796" s="294"/>
      <c r="F1796" s="294"/>
      <c r="G1796" s="294"/>
      <c r="H1796" s="294"/>
      <c r="I1796" s="294"/>
      <c r="J1796" s="294"/>
      <c r="L1796" s="295"/>
      <c r="M1796" s="294"/>
      <c r="S1796" s="294"/>
      <c r="T1796" s="299"/>
      <c r="U1796" s="294"/>
      <c r="V1796" s="299"/>
      <c r="W1796" s="299"/>
      <c r="X1796" s="294"/>
      <c r="Y1796" s="299"/>
      <c r="Z1796" s="294"/>
      <c r="AA1796" s="299"/>
      <c r="AB1796" s="299"/>
      <c r="AC1796" s="294"/>
      <c r="AD1796" s="294"/>
      <c r="AE1796" s="294"/>
      <c r="AF1796" s="294"/>
    </row>
    <row r="1797" spans="2:32" x14ac:dyDescent="0.25">
      <c r="B1797" s="294"/>
      <c r="C1797" s="294"/>
      <c r="D1797" s="294"/>
      <c r="E1797" s="294"/>
      <c r="F1797" s="294"/>
      <c r="G1797" s="294"/>
      <c r="H1797" s="294"/>
      <c r="I1797" s="294"/>
      <c r="J1797" s="294"/>
      <c r="L1797" s="295"/>
      <c r="M1797" s="294"/>
      <c r="S1797" s="294"/>
      <c r="T1797" s="299"/>
      <c r="U1797" s="294"/>
      <c r="V1797" s="299"/>
      <c r="W1797" s="299"/>
      <c r="X1797" s="294"/>
      <c r="Y1797" s="299"/>
      <c r="Z1797" s="294"/>
      <c r="AA1797" s="299"/>
      <c r="AB1797" s="299"/>
      <c r="AC1797" s="294"/>
      <c r="AD1797" s="294"/>
      <c r="AE1797" s="294"/>
      <c r="AF1797" s="294"/>
    </row>
    <row r="1798" spans="2:32" x14ac:dyDescent="0.25">
      <c r="B1798" s="294"/>
      <c r="C1798" s="294"/>
      <c r="D1798" s="294"/>
      <c r="E1798" s="294"/>
      <c r="F1798" s="294"/>
      <c r="G1798" s="294"/>
      <c r="H1798" s="294"/>
      <c r="I1798" s="294"/>
      <c r="J1798" s="294"/>
      <c r="L1798" s="295"/>
      <c r="M1798" s="294"/>
      <c r="S1798" s="294"/>
      <c r="T1798" s="299"/>
      <c r="U1798" s="294"/>
      <c r="V1798" s="299"/>
      <c r="W1798" s="299"/>
      <c r="X1798" s="294"/>
      <c r="Y1798" s="299"/>
      <c r="Z1798" s="294"/>
      <c r="AA1798" s="299"/>
      <c r="AB1798" s="299"/>
      <c r="AC1798" s="294"/>
      <c r="AD1798" s="294"/>
      <c r="AE1798" s="294"/>
      <c r="AF1798" s="294"/>
    </row>
    <row r="1799" spans="2:32" x14ac:dyDescent="0.25">
      <c r="B1799" s="294"/>
      <c r="C1799" s="294"/>
      <c r="D1799" s="294"/>
      <c r="E1799" s="294"/>
      <c r="F1799" s="294"/>
      <c r="G1799" s="294"/>
      <c r="H1799" s="294"/>
      <c r="I1799" s="294"/>
      <c r="J1799" s="294"/>
      <c r="L1799" s="295"/>
      <c r="M1799" s="294"/>
      <c r="S1799" s="294"/>
      <c r="T1799" s="299"/>
      <c r="U1799" s="294"/>
      <c r="V1799" s="299"/>
      <c r="W1799" s="299"/>
      <c r="X1799" s="294"/>
      <c r="Y1799" s="299"/>
      <c r="Z1799" s="294"/>
      <c r="AA1799" s="299"/>
      <c r="AB1799" s="299"/>
      <c r="AC1799" s="294"/>
      <c r="AD1799" s="294"/>
      <c r="AE1799" s="294"/>
      <c r="AF1799" s="294"/>
    </row>
    <row r="1800" spans="2:32" x14ac:dyDescent="0.25">
      <c r="B1800" s="294"/>
      <c r="C1800" s="294"/>
      <c r="D1800" s="294"/>
      <c r="E1800" s="294"/>
      <c r="F1800" s="294"/>
      <c r="G1800" s="294"/>
      <c r="H1800" s="294"/>
      <c r="I1800" s="294"/>
      <c r="J1800" s="294"/>
      <c r="L1800" s="295"/>
      <c r="M1800" s="294"/>
      <c r="S1800" s="294"/>
      <c r="T1800" s="299"/>
      <c r="U1800" s="294"/>
      <c r="V1800" s="299"/>
      <c r="W1800" s="299"/>
      <c r="X1800" s="294"/>
      <c r="Y1800" s="299"/>
      <c r="Z1800" s="294"/>
      <c r="AA1800" s="299"/>
      <c r="AB1800" s="299"/>
      <c r="AC1800" s="294"/>
      <c r="AD1800" s="294"/>
      <c r="AE1800" s="294"/>
      <c r="AF1800" s="294"/>
    </row>
    <row r="1801" spans="2:32" x14ac:dyDescent="0.25">
      <c r="B1801" s="294"/>
      <c r="C1801" s="294"/>
      <c r="D1801" s="294"/>
      <c r="E1801" s="294"/>
      <c r="F1801" s="294"/>
      <c r="G1801" s="294"/>
      <c r="H1801" s="294"/>
      <c r="I1801" s="294"/>
      <c r="J1801" s="294"/>
      <c r="L1801" s="295"/>
      <c r="M1801" s="294"/>
      <c r="S1801" s="294"/>
      <c r="T1801" s="299"/>
      <c r="U1801" s="294"/>
      <c r="V1801" s="299"/>
      <c r="W1801" s="299"/>
      <c r="X1801" s="294"/>
      <c r="Y1801" s="299"/>
      <c r="Z1801" s="294"/>
      <c r="AA1801" s="299"/>
      <c r="AB1801" s="299"/>
      <c r="AC1801" s="294"/>
      <c r="AD1801" s="294"/>
      <c r="AE1801" s="294"/>
      <c r="AF1801" s="294"/>
    </row>
    <row r="1802" spans="2:32" x14ac:dyDescent="0.25">
      <c r="B1802" s="294"/>
      <c r="C1802" s="294"/>
      <c r="D1802" s="294"/>
      <c r="E1802" s="294"/>
      <c r="F1802" s="294"/>
      <c r="G1802" s="294"/>
      <c r="H1802" s="294"/>
      <c r="I1802" s="294"/>
      <c r="J1802" s="294"/>
      <c r="L1802" s="295"/>
      <c r="M1802" s="294"/>
      <c r="S1802" s="294"/>
      <c r="T1802" s="299"/>
      <c r="U1802" s="294"/>
      <c r="V1802" s="299"/>
      <c r="W1802" s="299"/>
      <c r="X1802" s="294"/>
      <c r="Y1802" s="299"/>
      <c r="Z1802" s="294"/>
      <c r="AA1802" s="299"/>
      <c r="AB1802" s="299"/>
      <c r="AC1802" s="294"/>
      <c r="AD1802" s="294"/>
      <c r="AE1802" s="294"/>
      <c r="AF1802" s="294"/>
    </row>
    <row r="1803" spans="2:32" x14ac:dyDescent="0.25">
      <c r="B1803" s="294"/>
      <c r="C1803" s="294"/>
      <c r="D1803" s="294"/>
      <c r="E1803" s="294"/>
      <c r="F1803" s="294"/>
      <c r="G1803" s="294"/>
      <c r="H1803" s="294"/>
      <c r="I1803" s="294"/>
      <c r="J1803" s="294"/>
      <c r="L1803" s="295"/>
      <c r="M1803" s="294"/>
      <c r="S1803" s="294"/>
      <c r="T1803" s="299"/>
      <c r="U1803" s="294"/>
      <c r="V1803" s="299"/>
      <c r="W1803" s="299"/>
      <c r="X1803" s="294"/>
      <c r="Y1803" s="299"/>
      <c r="Z1803" s="294"/>
      <c r="AA1803" s="299"/>
      <c r="AB1803" s="299"/>
      <c r="AC1803" s="294"/>
      <c r="AD1803" s="294"/>
      <c r="AE1803" s="294"/>
      <c r="AF1803" s="294"/>
    </row>
    <row r="1804" spans="2:32" x14ac:dyDescent="0.25">
      <c r="B1804" s="294"/>
      <c r="C1804" s="294"/>
      <c r="D1804" s="294"/>
      <c r="E1804" s="294"/>
      <c r="F1804" s="294"/>
      <c r="G1804" s="294"/>
      <c r="H1804" s="294"/>
      <c r="I1804" s="294"/>
      <c r="J1804" s="294"/>
      <c r="L1804" s="295"/>
      <c r="M1804" s="294"/>
      <c r="S1804" s="294"/>
      <c r="T1804" s="299"/>
      <c r="U1804" s="294"/>
      <c r="V1804" s="299"/>
      <c r="W1804" s="299"/>
      <c r="X1804" s="294"/>
      <c r="Y1804" s="299"/>
      <c r="Z1804" s="294"/>
      <c r="AA1804" s="299"/>
      <c r="AB1804" s="299"/>
      <c r="AC1804" s="294"/>
      <c r="AD1804" s="294"/>
      <c r="AE1804" s="294"/>
      <c r="AF1804" s="294"/>
    </row>
    <row r="1805" spans="2:32" x14ac:dyDescent="0.25">
      <c r="B1805" s="294"/>
      <c r="C1805" s="294"/>
      <c r="D1805" s="294"/>
      <c r="E1805" s="294"/>
      <c r="F1805" s="294"/>
      <c r="G1805" s="294"/>
      <c r="H1805" s="294"/>
      <c r="I1805" s="294"/>
      <c r="J1805" s="294"/>
      <c r="L1805" s="295"/>
      <c r="M1805" s="294"/>
      <c r="S1805" s="294"/>
      <c r="T1805" s="299"/>
      <c r="U1805" s="294"/>
      <c r="V1805" s="299"/>
      <c r="W1805" s="299"/>
      <c r="X1805" s="294"/>
      <c r="Y1805" s="299"/>
      <c r="Z1805" s="294"/>
      <c r="AA1805" s="299"/>
      <c r="AB1805" s="299"/>
      <c r="AC1805" s="294"/>
      <c r="AD1805" s="294"/>
      <c r="AE1805" s="294"/>
      <c r="AF1805" s="294"/>
    </row>
    <row r="1806" spans="2:32" x14ac:dyDescent="0.25">
      <c r="B1806" s="294"/>
      <c r="C1806" s="294"/>
      <c r="D1806" s="294"/>
      <c r="E1806" s="294"/>
      <c r="F1806" s="294"/>
      <c r="G1806" s="294"/>
      <c r="H1806" s="294"/>
      <c r="I1806" s="294"/>
      <c r="J1806" s="294"/>
      <c r="L1806" s="295"/>
      <c r="M1806" s="294"/>
      <c r="S1806" s="294"/>
      <c r="T1806" s="299"/>
      <c r="U1806" s="294"/>
      <c r="V1806" s="299"/>
      <c r="W1806" s="299"/>
      <c r="X1806" s="294"/>
      <c r="Y1806" s="299"/>
      <c r="Z1806" s="294"/>
      <c r="AA1806" s="299"/>
      <c r="AB1806" s="299"/>
      <c r="AC1806" s="294"/>
      <c r="AD1806" s="294"/>
      <c r="AE1806" s="294"/>
      <c r="AF1806" s="294"/>
    </row>
    <row r="1807" spans="2:32" x14ac:dyDescent="0.25">
      <c r="B1807" s="294"/>
      <c r="C1807" s="294"/>
      <c r="D1807" s="294"/>
      <c r="E1807" s="294"/>
      <c r="F1807" s="294"/>
      <c r="G1807" s="294"/>
      <c r="H1807" s="294"/>
      <c r="I1807" s="294"/>
      <c r="J1807" s="294"/>
      <c r="L1807" s="295"/>
      <c r="M1807" s="294"/>
      <c r="S1807" s="294"/>
      <c r="T1807" s="299"/>
      <c r="U1807" s="294"/>
      <c r="V1807" s="299"/>
      <c r="W1807" s="299"/>
      <c r="X1807" s="294"/>
      <c r="Y1807" s="299"/>
      <c r="Z1807" s="294"/>
      <c r="AA1807" s="299"/>
      <c r="AB1807" s="299"/>
      <c r="AC1807" s="294"/>
      <c r="AD1807" s="294"/>
      <c r="AE1807" s="294"/>
      <c r="AF1807" s="294"/>
    </row>
    <row r="1808" spans="2:32" x14ac:dyDescent="0.25">
      <c r="B1808" s="294"/>
      <c r="C1808" s="294"/>
      <c r="D1808" s="294"/>
      <c r="E1808" s="294"/>
      <c r="F1808" s="294"/>
      <c r="G1808" s="294"/>
      <c r="H1808" s="294"/>
      <c r="I1808" s="294"/>
      <c r="J1808" s="294"/>
      <c r="L1808" s="295"/>
      <c r="M1808" s="294"/>
      <c r="S1808" s="294"/>
      <c r="T1808" s="299"/>
      <c r="U1808" s="294"/>
      <c r="V1808" s="299"/>
      <c r="W1808" s="299"/>
      <c r="X1808" s="294"/>
      <c r="Y1808" s="299"/>
      <c r="Z1808" s="294"/>
      <c r="AA1808" s="299"/>
      <c r="AB1808" s="299"/>
      <c r="AC1808" s="294"/>
      <c r="AD1808" s="294"/>
      <c r="AE1808" s="294"/>
      <c r="AF1808" s="294"/>
    </row>
    <row r="1809" spans="2:32" x14ac:dyDescent="0.25">
      <c r="B1809" s="294"/>
      <c r="C1809" s="294"/>
      <c r="D1809" s="294"/>
      <c r="E1809" s="294"/>
      <c r="F1809" s="294"/>
      <c r="G1809" s="294"/>
      <c r="H1809" s="294"/>
      <c r="I1809" s="294"/>
      <c r="J1809" s="294"/>
      <c r="L1809" s="295"/>
      <c r="M1809" s="294"/>
      <c r="S1809" s="294"/>
      <c r="T1809" s="299"/>
      <c r="U1809" s="294"/>
      <c r="V1809" s="299"/>
      <c r="W1809" s="299"/>
      <c r="X1809" s="294"/>
      <c r="Y1809" s="299"/>
      <c r="Z1809" s="294"/>
      <c r="AA1809" s="299"/>
      <c r="AB1809" s="299"/>
      <c r="AC1809" s="294"/>
      <c r="AD1809" s="294"/>
      <c r="AE1809" s="294"/>
      <c r="AF1809" s="294"/>
    </row>
    <row r="1810" spans="2:32" x14ac:dyDescent="0.25">
      <c r="B1810" s="294"/>
      <c r="C1810" s="294"/>
      <c r="D1810" s="294"/>
      <c r="E1810" s="294"/>
      <c r="F1810" s="294"/>
      <c r="G1810" s="294"/>
      <c r="H1810" s="294"/>
      <c r="I1810" s="294"/>
      <c r="J1810" s="294"/>
      <c r="L1810" s="295"/>
      <c r="M1810" s="294"/>
      <c r="S1810" s="294"/>
      <c r="T1810" s="299"/>
      <c r="U1810" s="294"/>
      <c r="V1810" s="299"/>
      <c r="W1810" s="299"/>
      <c r="X1810" s="294"/>
      <c r="Y1810" s="299"/>
      <c r="Z1810" s="294"/>
      <c r="AA1810" s="299"/>
      <c r="AB1810" s="299"/>
      <c r="AC1810" s="294"/>
      <c r="AD1810" s="294"/>
      <c r="AE1810" s="294"/>
      <c r="AF1810" s="294"/>
    </row>
    <row r="1811" spans="2:32" x14ac:dyDescent="0.25">
      <c r="B1811" s="294"/>
      <c r="C1811" s="294"/>
      <c r="D1811" s="294"/>
      <c r="E1811" s="294"/>
      <c r="F1811" s="294"/>
      <c r="G1811" s="294"/>
      <c r="H1811" s="294"/>
      <c r="I1811" s="294"/>
      <c r="J1811" s="294"/>
      <c r="L1811" s="295"/>
      <c r="M1811" s="294"/>
      <c r="S1811" s="294"/>
      <c r="T1811" s="299"/>
      <c r="U1811" s="294"/>
      <c r="V1811" s="299"/>
      <c r="W1811" s="299"/>
      <c r="X1811" s="294"/>
      <c r="Y1811" s="299"/>
      <c r="Z1811" s="294"/>
      <c r="AA1811" s="299"/>
      <c r="AB1811" s="299"/>
      <c r="AC1811" s="294"/>
      <c r="AD1811" s="294"/>
      <c r="AE1811" s="294"/>
      <c r="AF1811" s="294"/>
    </row>
    <row r="1812" spans="2:32" x14ac:dyDescent="0.25">
      <c r="B1812" s="294"/>
      <c r="C1812" s="294"/>
      <c r="D1812" s="294"/>
      <c r="E1812" s="294"/>
      <c r="F1812" s="294"/>
      <c r="G1812" s="294"/>
      <c r="H1812" s="294"/>
      <c r="I1812" s="294"/>
      <c r="J1812" s="294"/>
      <c r="L1812" s="295"/>
      <c r="M1812" s="294"/>
      <c r="S1812" s="294"/>
      <c r="T1812" s="299"/>
      <c r="U1812" s="294"/>
      <c r="V1812" s="299"/>
      <c r="W1812" s="299"/>
      <c r="X1812" s="294"/>
      <c r="Y1812" s="299"/>
      <c r="Z1812" s="294"/>
      <c r="AA1812" s="299"/>
      <c r="AB1812" s="299"/>
      <c r="AC1812" s="294"/>
      <c r="AD1812" s="294"/>
      <c r="AE1812" s="294"/>
      <c r="AF1812" s="294"/>
    </row>
    <row r="1813" spans="2:32" x14ac:dyDescent="0.25">
      <c r="B1813" s="294"/>
      <c r="C1813" s="294"/>
      <c r="D1813" s="294"/>
      <c r="E1813" s="294"/>
      <c r="F1813" s="294"/>
      <c r="G1813" s="294"/>
      <c r="H1813" s="294"/>
      <c r="I1813" s="294"/>
      <c r="J1813" s="294"/>
      <c r="L1813" s="295"/>
      <c r="M1813" s="294"/>
      <c r="S1813" s="294"/>
      <c r="T1813" s="299"/>
      <c r="U1813" s="294"/>
      <c r="V1813" s="299"/>
      <c r="W1813" s="299"/>
      <c r="X1813" s="294"/>
      <c r="Y1813" s="299"/>
      <c r="Z1813" s="294"/>
      <c r="AA1813" s="299"/>
      <c r="AB1813" s="299"/>
      <c r="AC1813" s="294"/>
      <c r="AD1813" s="294"/>
      <c r="AE1813" s="294"/>
      <c r="AF1813" s="294"/>
    </row>
    <row r="1814" spans="2:32" x14ac:dyDescent="0.25">
      <c r="B1814" s="294"/>
      <c r="C1814" s="294"/>
      <c r="D1814" s="294"/>
      <c r="E1814" s="294"/>
      <c r="F1814" s="294"/>
      <c r="G1814" s="294"/>
      <c r="H1814" s="294"/>
      <c r="I1814" s="294"/>
      <c r="J1814" s="294"/>
      <c r="L1814" s="295"/>
      <c r="M1814" s="294"/>
      <c r="S1814" s="294"/>
      <c r="T1814" s="299"/>
      <c r="U1814" s="294"/>
      <c r="V1814" s="299"/>
      <c r="W1814" s="299"/>
      <c r="X1814" s="294"/>
      <c r="Y1814" s="299"/>
      <c r="Z1814" s="294"/>
      <c r="AA1814" s="299"/>
      <c r="AB1814" s="299"/>
      <c r="AC1814" s="294"/>
      <c r="AD1814" s="294"/>
      <c r="AE1814" s="294"/>
      <c r="AF1814" s="294"/>
    </row>
    <row r="1815" spans="2:32" x14ac:dyDescent="0.25">
      <c r="B1815" s="294"/>
      <c r="C1815" s="294"/>
      <c r="D1815" s="294"/>
      <c r="E1815" s="294"/>
      <c r="F1815" s="294"/>
      <c r="G1815" s="294"/>
      <c r="H1815" s="294"/>
      <c r="I1815" s="294"/>
      <c r="J1815" s="294"/>
      <c r="L1815" s="295"/>
      <c r="M1815" s="294"/>
      <c r="S1815" s="294"/>
      <c r="T1815" s="299"/>
      <c r="U1815" s="294"/>
      <c r="V1815" s="299"/>
      <c r="W1815" s="299"/>
      <c r="X1815" s="294"/>
      <c r="Y1815" s="299"/>
      <c r="Z1815" s="294"/>
      <c r="AA1815" s="299"/>
      <c r="AB1815" s="299"/>
      <c r="AC1815" s="294"/>
      <c r="AD1815" s="294"/>
      <c r="AE1815" s="294"/>
      <c r="AF1815" s="294"/>
    </row>
    <row r="1816" spans="2:32" x14ac:dyDescent="0.25">
      <c r="B1816" s="294"/>
      <c r="C1816" s="294"/>
      <c r="D1816" s="294"/>
      <c r="E1816" s="294"/>
      <c r="F1816" s="294"/>
      <c r="G1816" s="294"/>
      <c r="H1816" s="294"/>
      <c r="I1816" s="294"/>
      <c r="J1816" s="294"/>
      <c r="L1816" s="295"/>
      <c r="M1816" s="294"/>
      <c r="S1816" s="294"/>
      <c r="T1816" s="299"/>
      <c r="U1816" s="294"/>
      <c r="V1816" s="299"/>
      <c r="W1816" s="299"/>
      <c r="X1816" s="294"/>
      <c r="Y1816" s="299"/>
      <c r="Z1816" s="294"/>
      <c r="AA1816" s="299"/>
      <c r="AB1816" s="299"/>
      <c r="AC1816" s="294"/>
      <c r="AD1816" s="294"/>
      <c r="AE1816" s="294"/>
      <c r="AF1816" s="294"/>
    </row>
    <row r="1817" spans="2:32" x14ac:dyDescent="0.25">
      <c r="B1817" s="294"/>
      <c r="C1817" s="294"/>
      <c r="D1817" s="294"/>
      <c r="E1817" s="294"/>
      <c r="F1817" s="294"/>
      <c r="G1817" s="294"/>
      <c r="H1817" s="294"/>
      <c r="I1817" s="294"/>
      <c r="J1817" s="294"/>
      <c r="L1817" s="295"/>
      <c r="M1817" s="294"/>
      <c r="S1817" s="294"/>
      <c r="T1817" s="299"/>
      <c r="U1817" s="294"/>
      <c r="V1817" s="299"/>
      <c r="W1817" s="299"/>
      <c r="X1817" s="294"/>
      <c r="Y1817" s="299"/>
      <c r="Z1817" s="294"/>
      <c r="AA1817" s="299"/>
      <c r="AB1817" s="299"/>
      <c r="AC1817" s="294"/>
      <c r="AD1817" s="294"/>
      <c r="AE1817" s="294"/>
      <c r="AF1817" s="294"/>
    </row>
    <row r="1818" spans="2:32" x14ac:dyDescent="0.25">
      <c r="B1818" s="294"/>
      <c r="C1818" s="294"/>
      <c r="D1818" s="294"/>
      <c r="E1818" s="294"/>
      <c r="F1818" s="294"/>
      <c r="G1818" s="294"/>
      <c r="H1818" s="294"/>
      <c r="I1818" s="294"/>
      <c r="J1818" s="294"/>
      <c r="L1818" s="295"/>
      <c r="M1818" s="294"/>
      <c r="S1818" s="294"/>
      <c r="T1818" s="299"/>
      <c r="U1818" s="294"/>
      <c r="V1818" s="299"/>
      <c r="W1818" s="299"/>
      <c r="X1818" s="294"/>
      <c r="Y1818" s="299"/>
      <c r="Z1818" s="294"/>
      <c r="AA1818" s="299"/>
      <c r="AB1818" s="299"/>
      <c r="AC1818" s="294"/>
      <c r="AD1818" s="294"/>
      <c r="AE1818" s="294"/>
      <c r="AF1818" s="294"/>
    </row>
    <row r="1819" spans="2:32" x14ac:dyDescent="0.25">
      <c r="B1819" s="294"/>
      <c r="C1819" s="294"/>
      <c r="D1819" s="294"/>
      <c r="E1819" s="294"/>
      <c r="F1819" s="294"/>
      <c r="G1819" s="294"/>
      <c r="H1819" s="294"/>
      <c r="I1819" s="294"/>
      <c r="J1819" s="294"/>
      <c r="L1819" s="295"/>
      <c r="M1819" s="294"/>
      <c r="S1819" s="294"/>
      <c r="T1819" s="299"/>
      <c r="U1819" s="294"/>
      <c r="V1819" s="299"/>
      <c r="W1819" s="299"/>
      <c r="X1819" s="294"/>
      <c r="Y1819" s="299"/>
      <c r="Z1819" s="294"/>
      <c r="AA1819" s="299"/>
      <c r="AB1819" s="299"/>
      <c r="AC1819" s="294"/>
      <c r="AD1819" s="294"/>
      <c r="AE1819" s="294"/>
      <c r="AF1819" s="294"/>
    </row>
    <row r="1820" spans="2:32" x14ac:dyDescent="0.25">
      <c r="B1820" s="294"/>
      <c r="C1820" s="294"/>
      <c r="D1820" s="294"/>
      <c r="E1820" s="294"/>
      <c r="F1820" s="294"/>
      <c r="G1820" s="294"/>
      <c r="H1820" s="294"/>
      <c r="I1820" s="294"/>
      <c r="J1820" s="294"/>
      <c r="L1820" s="295"/>
      <c r="M1820" s="294"/>
      <c r="S1820" s="294"/>
      <c r="T1820" s="299"/>
      <c r="U1820" s="294"/>
      <c r="V1820" s="299"/>
      <c r="W1820" s="299"/>
      <c r="X1820" s="294"/>
      <c r="Y1820" s="299"/>
      <c r="Z1820" s="294"/>
      <c r="AA1820" s="299"/>
      <c r="AB1820" s="299"/>
      <c r="AC1820" s="294"/>
      <c r="AD1820" s="294"/>
      <c r="AE1820" s="294"/>
      <c r="AF1820" s="294"/>
    </row>
    <row r="1821" spans="2:32" x14ac:dyDescent="0.25">
      <c r="B1821" s="294"/>
      <c r="C1821" s="294"/>
      <c r="D1821" s="294"/>
      <c r="E1821" s="294"/>
      <c r="F1821" s="294"/>
      <c r="G1821" s="294"/>
      <c r="H1821" s="294"/>
      <c r="I1821" s="294"/>
      <c r="J1821" s="294"/>
      <c r="L1821" s="295"/>
      <c r="M1821" s="294"/>
      <c r="S1821" s="294"/>
      <c r="T1821" s="299"/>
      <c r="U1821" s="294"/>
      <c r="V1821" s="299"/>
      <c r="W1821" s="299"/>
      <c r="X1821" s="294"/>
      <c r="Y1821" s="299"/>
      <c r="Z1821" s="294"/>
      <c r="AA1821" s="299"/>
      <c r="AB1821" s="299"/>
      <c r="AC1821" s="294"/>
      <c r="AD1821" s="294"/>
      <c r="AE1821" s="294"/>
      <c r="AF1821" s="294"/>
    </row>
    <row r="1822" spans="2:32" x14ac:dyDescent="0.25">
      <c r="B1822" s="294"/>
      <c r="C1822" s="294"/>
      <c r="D1822" s="294"/>
      <c r="E1822" s="294"/>
      <c r="F1822" s="294"/>
      <c r="G1822" s="294"/>
      <c r="H1822" s="294"/>
      <c r="I1822" s="294"/>
      <c r="J1822" s="294"/>
      <c r="L1822" s="295"/>
      <c r="M1822" s="294"/>
      <c r="S1822" s="294"/>
      <c r="T1822" s="299"/>
      <c r="U1822" s="294"/>
      <c r="V1822" s="299"/>
      <c r="W1822" s="299"/>
      <c r="X1822" s="294"/>
      <c r="Y1822" s="299"/>
      <c r="Z1822" s="294"/>
      <c r="AA1822" s="299"/>
      <c r="AB1822" s="299"/>
      <c r="AC1822" s="294"/>
      <c r="AD1822" s="294"/>
      <c r="AE1822" s="294"/>
      <c r="AF1822" s="294"/>
    </row>
    <row r="1823" spans="2:32" x14ac:dyDescent="0.25">
      <c r="B1823" s="294"/>
      <c r="C1823" s="294"/>
      <c r="D1823" s="294"/>
      <c r="E1823" s="294"/>
      <c r="F1823" s="294"/>
      <c r="G1823" s="294"/>
      <c r="H1823" s="294"/>
      <c r="I1823" s="294"/>
      <c r="J1823" s="294"/>
      <c r="L1823" s="295"/>
      <c r="M1823" s="294"/>
      <c r="S1823" s="294"/>
      <c r="T1823" s="299"/>
      <c r="U1823" s="294"/>
      <c r="V1823" s="299"/>
      <c r="W1823" s="299"/>
      <c r="X1823" s="294"/>
      <c r="Y1823" s="299"/>
      <c r="Z1823" s="294"/>
      <c r="AA1823" s="299"/>
      <c r="AB1823" s="299"/>
      <c r="AC1823" s="294"/>
      <c r="AD1823" s="294"/>
      <c r="AE1823" s="294"/>
      <c r="AF1823" s="294"/>
    </row>
    <row r="1824" spans="2:32" x14ac:dyDescent="0.25">
      <c r="B1824" s="294"/>
      <c r="C1824" s="294"/>
      <c r="D1824" s="294"/>
      <c r="E1824" s="294"/>
      <c r="F1824" s="294"/>
      <c r="G1824" s="294"/>
      <c r="H1824" s="294"/>
      <c r="I1824" s="294"/>
      <c r="J1824" s="294"/>
      <c r="L1824" s="295"/>
      <c r="M1824" s="294"/>
      <c r="S1824" s="294"/>
      <c r="T1824" s="299"/>
      <c r="U1824" s="294"/>
      <c r="V1824" s="299"/>
      <c r="W1824" s="299"/>
      <c r="X1824" s="294"/>
      <c r="Y1824" s="299"/>
      <c r="Z1824" s="294"/>
      <c r="AA1824" s="299"/>
      <c r="AB1824" s="299"/>
      <c r="AC1824" s="294"/>
      <c r="AD1824" s="294"/>
      <c r="AE1824" s="294"/>
      <c r="AF1824" s="294"/>
    </row>
    <row r="1825" spans="2:32" x14ac:dyDescent="0.25">
      <c r="B1825" s="294"/>
      <c r="C1825" s="294"/>
      <c r="D1825" s="294"/>
      <c r="E1825" s="294"/>
      <c r="F1825" s="294"/>
      <c r="G1825" s="294"/>
      <c r="H1825" s="294"/>
      <c r="I1825" s="294"/>
      <c r="J1825" s="294"/>
      <c r="L1825" s="295"/>
      <c r="M1825" s="294"/>
      <c r="S1825" s="294"/>
      <c r="T1825" s="299"/>
      <c r="U1825" s="294"/>
      <c r="V1825" s="299"/>
      <c r="W1825" s="299"/>
      <c r="X1825" s="294"/>
      <c r="Y1825" s="299"/>
      <c r="Z1825" s="294"/>
      <c r="AA1825" s="299"/>
      <c r="AB1825" s="299"/>
      <c r="AC1825" s="294"/>
      <c r="AD1825" s="294"/>
      <c r="AE1825" s="294"/>
      <c r="AF1825" s="294"/>
    </row>
    <row r="1826" spans="2:32" x14ac:dyDescent="0.25">
      <c r="B1826" s="294"/>
      <c r="C1826" s="294"/>
      <c r="D1826" s="294"/>
      <c r="E1826" s="294"/>
      <c r="F1826" s="294"/>
      <c r="G1826" s="294"/>
      <c r="H1826" s="294"/>
      <c r="I1826" s="294"/>
      <c r="J1826" s="294"/>
      <c r="L1826" s="295"/>
      <c r="M1826" s="294"/>
      <c r="S1826" s="294"/>
      <c r="T1826" s="299"/>
      <c r="U1826" s="294"/>
      <c r="V1826" s="299"/>
      <c r="W1826" s="299"/>
      <c r="X1826" s="294"/>
      <c r="Y1826" s="299"/>
      <c r="Z1826" s="294"/>
      <c r="AA1826" s="299"/>
      <c r="AB1826" s="299"/>
      <c r="AC1826" s="294"/>
      <c r="AD1826" s="294"/>
      <c r="AE1826" s="294"/>
      <c r="AF1826" s="294"/>
    </row>
    <row r="1827" spans="2:32" x14ac:dyDescent="0.25">
      <c r="B1827" s="294"/>
      <c r="C1827" s="294"/>
      <c r="D1827" s="294"/>
      <c r="E1827" s="294"/>
      <c r="F1827" s="294"/>
      <c r="G1827" s="294"/>
      <c r="H1827" s="294"/>
      <c r="I1827" s="294"/>
      <c r="J1827" s="294"/>
      <c r="L1827" s="295"/>
      <c r="M1827" s="294"/>
      <c r="S1827" s="294"/>
      <c r="T1827" s="299"/>
      <c r="U1827" s="294"/>
      <c r="V1827" s="299"/>
      <c r="W1827" s="299"/>
      <c r="X1827" s="294"/>
      <c r="Y1827" s="299"/>
      <c r="Z1827" s="294"/>
      <c r="AA1827" s="299"/>
      <c r="AB1827" s="299"/>
      <c r="AC1827" s="294"/>
      <c r="AD1827" s="294"/>
      <c r="AE1827" s="294"/>
      <c r="AF1827" s="294"/>
    </row>
    <row r="1828" spans="2:32" x14ac:dyDescent="0.25">
      <c r="B1828" s="294"/>
      <c r="C1828" s="294"/>
      <c r="D1828" s="294"/>
      <c r="E1828" s="294"/>
      <c r="F1828" s="294"/>
      <c r="G1828" s="294"/>
      <c r="H1828" s="294"/>
      <c r="I1828" s="294"/>
      <c r="J1828" s="294"/>
      <c r="L1828" s="295"/>
      <c r="M1828" s="294"/>
      <c r="S1828" s="294"/>
      <c r="T1828" s="299"/>
      <c r="U1828" s="294"/>
      <c r="V1828" s="299"/>
      <c r="W1828" s="299"/>
      <c r="X1828" s="294"/>
      <c r="Y1828" s="299"/>
      <c r="Z1828" s="294"/>
      <c r="AA1828" s="299"/>
      <c r="AB1828" s="299"/>
      <c r="AC1828" s="294"/>
      <c r="AD1828" s="294"/>
      <c r="AE1828" s="294"/>
      <c r="AF1828" s="294"/>
    </row>
    <row r="1829" spans="2:32" x14ac:dyDescent="0.25">
      <c r="B1829" s="294"/>
      <c r="C1829" s="294"/>
      <c r="D1829" s="294"/>
      <c r="E1829" s="294"/>
      <c r="F1829" s="294"/>
      <c r="G1829" s="294"/>
      <c r="H1829" s="294"/>
      <c r="I1829" s="294"/>
      <c r="J1829" s="294"/>
      <c r="L1829" s="295"/>
      <c r="M1829" s="294"/>
      <c r="S1829" s="294"/>
      <c r="T1829" s="299"/>
      <c r="U1829" s="294"/>
      <c r="V1829" s="299"/>
      <c r="W1829" s="299"/>
      <c r="X1829" s="294"/>
      <c r="Y1829" s="299"/>
      <c r="Z1829" s="294"/>
      <c r="AA1829" s="299"/>
      <c r="AB1829" s="299"/>
      <c r="AC1829" s="294"/>
      <c r="AD1829" s="294"/>
      <c r="AE1829" s="294"/>
      <c r="AF1829" s="294"/>
    </row>
    <row r="1830" spans="2:32" x14ac:dyDescent="0.25">
      <c r="B1830" s="294"/>
      <c r="C1830" s="294"/>
      <c r="D1830" s="294"/>
      <c r="E1830" s="294"/>
      <c r="F1830" s="294"/>
      <c r="G1830" s="294"/>
      <c r="H1830" s="294"/>
      <c r="I1830" s="294"/>
      <c r="J1830" s="294"/>
      <c r="L1830" s="295"/>
      <c r="M1830" s="294"/>
      <c r="S1830" s="294"/>
      <c r="T1830" s="299"/>
      <c r="U1830" s="294"/>
      <c r="V1830" s="299"/>
      <c r="W1830" s="299"/>
      <c r="X1830" s="294"/>
      <c r="Y1830" s="299"/>
      <c r="Z1830" s="294"/>
      <c r="AA1830" s="299"/>
      <c r="AB1830" s="299"/>
      <c r="AC1830" s="294"/>
      <c r="AD1830" s="294"/>
      <c r="AE1830" s="294"/>
      <c r="AF1830" s="294"/>
    </row>
    <row r="1831" spans="2:32" x14ac:dyDescent="0.25">
      <c r="B1831" s="294"/>
      <c r="C1831" s="294"/>
      <c r="D1831" s="294"/>
      <c r="E1831" s="294"/>
      <c r="F1831" s="294"/>
      <c r="G1831" s="294"/>
      <c r="H1831" s="294"/>
      <c r="I1831" s="294"/>
      <c r="J1831" s="294"/>
      <c r="L1831" s="295"/>
      <c r="M1831" s="294"/>
      <c r="S1831" s="294"/>
      <c r="T1831" s="299"/>
      <c r="U1831" s="294"/>
      <c r="V1831" s="299"/>
      <c r="W1831" s="299"/>
      <c r="X1831" s="294"/>
      <c r="Y1831" s="299"/>
      <c r="Z1831" s="294"/>
      <c r="AA1831" s="299"/>
      <c r="AB1831" s="299"/>
      <c r="AC1831" s="294"/>
      <c r="AD1831" s="294"/>
      <c r="AE1831" s="294"/>
      <c r="AF1831" s="294"/>
    </row>
    <row r="1832" spans="2:32" x14ac:dyDescent="0.25">
      <c r="B1832" s="294"/>
      <c r="C1832" s="294"/>
      <c r="D1832" s="294"/>
      <c r="E1832" s="294"/>
      <c r="F1832" s="294"/>
      <c r="G1832" s="294"/>
      <c r="H1832" s="294"/>
      <c r="I1832" s="294"/>
      <c r="J1832" s="294"/>
      <c r="L1832" s="295"/>
      <c r="M1832" s="294"/>
      <c r="S1832" s="294"/>
      <c r="T1832" s="299"/>
      <c r="U1832" s="294"/>
      <c r="V1832" s="299"/>
      <c r="W1832" s="299"/>
      <c r="X1832" s="294"/>
      <c r="Y1832" s="299"/>
      <c r="Z1832" s="294"/>
      <c r="AA1832" s="299"/>
      <c r="AB1832" s="299"/>
      <c r="AC1832" s="294"/>
      <c r="AD1832" s="294"/>
      <c r="AE1832" s="294"/>
      <c r="AF1832" s="294"/>
    </row>
    <row r="1833" spans="2:32" x14ac:dyDescent="0.25">
      <c r="B1833" s="294"/>
      <c r="C1833" s="294"/>
      <c r="D1833" s="294"/>
      <c r="E1833" s="294"/>
      <c r="F1833" s="294"/>
      <c r="G1833" s="294"/>
      <c r="H1833" s="294"/>
      <c r="I1833" s="294"/>
      <c r="J1833" s="294"/>
      <c r="L1833" s="295"/>
      <c r="M1833" s="294"/>
      <c r="S1833" s="294"/>
      <c r="T1833" s="299"/>
      <c r="U1833" s="294"/>
      <c r="V1833" s="299"/>
      <c r="W1833" s="299"/>
      <c r="X1833" s="294"/>
      <c r="Y1833" s="299"/>
      <c r="Z1833" s="294"/>
      <c r="AA1833" s="299"/>
      <c r="AB1833" s="299"/>
      <c r="AC1833" s="294"/>
      <c r="AD1833" s="294"/>
      <c r="AE1833" s="294"/>
      <c r="AF1833" s="294"/>
    </row>
    <row r="1834" spans="2:32" x14ac:dyDescent="0.25">
      <c r="B1834" s="294"/>
      <c r="C1834" s="294"/>
      <c r="D1834" s="294"/>
      <c r="E1834" s="294"/>
      <c r="F1834" s="294"/>
      <c r="G1834" s="294"/>
      <c r="H1834" s="294"/>
      <c r="I1834" s="294"/>
      <c r="J1834" s="294"/>
      <c r="L1834" s="295"/>
      <c r="M1834" s="294"/>
      <c r="S1834" s="294"/>
      <c r="T1834" s="299"/>
      <c r="U1834" s="294"/>
      <c r="V1834" s="299"/>
      <c r="W1834" s="299"/>
      <c r="X1834" s="294"/>
      <c r="Y1834" s="299"/>
      <c r="Z1834" s="294"/>
      <c r="AA1834" s="299"/>
      <c r="AB1834" s="299"/>
      <c r="AC1834" s="294"/>
      <c r="AD1834" s="294"/>
      <c r="AE1834" s="294"/>
      <c r="AF1834" s="294"/>
    </row>
    <row r="1835" spans="2:32" x14ac:dyDescent="0.25">
      <c r="B1835" s="294"/>
      <c r="C1835" s="294"/>
      <c r="D1835" s="294"/>
      <c r="E1835" s="294"/>
      <c r="F1835" s="294"/>
      <c r="G1835" s="294"/>
      <c r="H1835" s="294"/>
      <c r="I1835" s="294"/>
      <c r="J1835" s="294"/>
      <c r="L1835" s="295"/>
      <c r="M1835" s="294"/>
      <c r="S1835" s="294"/>
      <c r="T1835" s="299"/>
      <c r="U1835" s="294"/>
      <c r="V1835" s="299"/>
      <c r="W1835" s="299"/>
      <c r="X1835" s="294"/>
      <c r="Y1835" s="299"/>
      <c r="Z1835" s="294"/>
      <c r="AA1835" s="299"/>
      <c r="AB1835" s="299"/>
      <c r="AC1835" s="294"/>
      <c r="AD1835" s="294"/>
      <c r="AE1835" s="294"/>
      <c r="AF1835" s="294"/>
    </row>
    <row r="1836" spans="2:32" x14ac:dyDescent="0.25">
      <c r="B1836" s="294"/>
      <c r="C1836" s="294"/>
      <c r="D1836" s="294"/>
      <c r="E1836" s="294"/>
      <c r="F1836" s="294"/>
      <c r="G1836" s="294"/>
      <c r="H1836" s="294"/>
      <c r="I1836" s="294"/>
      <c r="J1836" s="294"/>
      <c r="L1836" s="295"/>
      <c r="M1836" s="294"/>
      <c r="S1836" s="294"/>
      <c r="T1836" s="299"/>
      <c r="U1836" s="294"/>
      <c r="V1836" s="299"/>
      <c r="W1836" s="299"/>
      <c r="X1836" s="294"/>
      <c r="Y1836" s="299"/>
      <c r="Z1836" s="294"/>
      <c r="AA1836" s="299"/>
      <c r="AB1836" s="299"/>
      <c r="AC1836" s="294"/>
      <c r="AD1836" s="294"/>
      <c r="AE1836" s="294"/>
      <c r="AF1836" s="294"/>
    </row>
    <row r="1837" spans="2:32" x14ac:dyDescent="0.25">
      <c r="B1837" s="294"/>
      <c r="C1837" s="294"/>
      <c r="D1837" s="294"/>
      <c r="E1837" s="294"/>
      <c r="F1837" s="294"/>
      <c r="G1837" s="294"/>
      <c r="H1837" s="294"/>
      <c r="I1837" s="294"/>
      <c r="J1837" s="294"/>
      <c r="L1837" s="295"/>
      <c r="M1837" s="294"/>
      <c r="S1837" s="294"/>
      <c r="T1837" s="299"/>
      <c r="U1837" s="294"/>
      <c r="V1837" s="299"/>
      <c r="W1837" s="299"/>
      <c r="X1837" s="294"/>
      <c r="Y1837" s="299"/>
      <c r="Z1837" s="294"/>
      <c r="AA1837" s="299"/>
      <c r="AB1837" s="299"/>
      <c r="AC1837" s="294"/>
      <c r="AD1837" s="294"/>
      <c r="AE1837" s="294"/>
      <c r="AF1837" s="294"/>
    </row>
    <row r="1838" spans="2:32" x14ac:dyDescent="0.25">
      <c r="B1838" s="294"/>
      <c r="C1838" s="294"/>
      <c r="D1838" s="294"/>
      <c r="E1838" s="294"/>
      <c r="F1838" s="294"/>
      <c r="G1838" s="294"/>
      <c r="H1838" s="294"/>
      <c r="I1838" s="294"/>
      <c r="J1838" s="294"/>
      <c r="L1838" s="295"/>
      <c r="M1838" s="294"/>
      <c r="S1838" s="294"/>
      <c r="T1838" s="299"/>
      <c r="U1838" s="294"/>
      <c r="V1838" s="299"/>
      <c r="W1838" s="299"/>
      <c r="X1838" s="294"/>
      <c r="Y1838" s="299"/>
      <c r="Z1838" s="294"/>
      <c r="AA1838" s="299"/>
      <c r="AB1838" s="299"/>
      <c r="AC1838" s="294"/>
      <c r="AD1838" s="294"/>
      <c r="AE1838" s="294"/>
      <c r="AF1838" s="294"/>
    </row>
    <row r="1839" spans="2:32" x14ac:dyDescent="0.25">
      <c r="B1839" s="294"/>
      <c r="C1839" s="294"/>
      <c r="D1839" s="294"/>
      <c r="E1839" s="294"/>
      <c r="F1839" s="294"/>
      <c r="G1839" s="294"/>
      <c r="H1839" s="294"/>
      <c r="I1839" s="294"/>
      <c r="J1839" s="294"/>
      <c r="L1839" s="295"/>
      <c r="M1839" s="294"/>
      <c r="S1839" s="294"/>
      <c r="T1839" s="299"/>
      <c r="U1839" s="294"/>
      <c r="V1839" s="299"/>
      <c r="W1839" s="299"/>
      <c r="X1839" s="294"/>
      <c r="Y1839" s="299"/>
      <c r="Z1839" s="294"/>
      <c r="AA1839" s="299"/>
      <c r="AB1839" s="299"/>
      <c r="AC1839" s="294"/>
      <c r="AD1839" s="294"/>
      <c r="AE1839" s="294"/>
      <c r="AF1839" s="294"/>
    </row>
    <row r="1840" spans="2:32" x14ac:dyDescent="0.25">
      <c r="B1840" s="294"/>
      <c r="C1840" s="294"/>
      <c r="D1840" s="294"/>
      <c r="E1840" s="294"/>
      <c r="F1840" s="294"/>
      <c r="G1840" s="294"/>
      <c r="H1840" s="294"/>
      <c r="I1840" s="294"/>
      <c r="J1840" s="294"/>
      <c r="L1840" s="295"/>
      <c r="M1840" s="294"/>
      <c r="S1840" s="294"/>
      <c r="T1840" s="299"/>
      <c r="U1840" s="294"/>
      <c r="V1840" s="299"/>
      <c r="W1840" s="299"/>
      <c r="X1840" s="294"/>
      <c r="Y1840" s="299"/>
      <c r="Z1840" s="294"/>
      <c r="AA1840" s="299"/>
      <c r="AB1840" s="299"/>
      <c r="AC1840" s="294"/>
      <c r="AD1840" s="294"/>
      <c r="AE1840" s="294"/>
      <c r="AF1840" s="294"/>
    </row>
    <row r="1841" spans="2:32" x14ac:dyDescent="0.25">
      <c r="B1841" s="294"/>
      <c r="C1841" s="294"/>
      <c r="D1841" s="294"/>
      <c r="E1841" s="294"/>
      <c r="F1841" s="294"/>
      <c r="G1841" s="294"/>
      <c r="H1841" s="294"/>
      <c r="I1841" s="294"/>
      <c r="J1841" s="294"/>
      <c r="L1841" s="295"/>
      <c r="M1841" s="294"/>
      <c r="S1841" s="294"/>
      <c r="T1841" s="299"/>
      <c r="U1841" s="294"/>
      <c r="V1841" s="299"/>
      <c r="W1841" s="299"/>
      <c r="X1841" s="294"/>
      <c r="Y1841" s="299"/>
      <c r="Z1841" s="294"/>
      <c r="AA1841" s="299"/>
      <c r="AB1841" s="299"/>
      <c r="AC1841" s="294"/>
      <c r="AD1841" s="294"/>
      <c r="AE1841" s="294"/>
      <c r="AF1841" s="294"/>
    </row>
    <row r="1842" spans="2:32" x14ac:dyDescent="0.25">
      <c r="B1842" s="294"/>
      <c r="C1842" s="294"/>
      <c r="D1842" s="294"/>
      <c r="E1842" s="294"/>
      <c r="F1842" s="294"/>
      <c r="G1842" s="294"/>
      <c r="H1842" s="294"/>
      <c r="I1842" s="294"/>
      <c r="J1842" s="294"/>
      <c r="L1842" s="295"/>
      <c r="M1842" s="294"/>
      <c r="S1842" s="294"/>
      <c r="T1842" s="299"/>
      <c r="U1842" s="294"/>
      <c r="V1842" s="299"/>
      <c r="W1842" s="299"/>
      <c r="X1842" s="294"/>
      <c r="Y1842" s="299"/>
      <c r="Z1842" s="294"/>
      <c r="AA1842" s="299"/>
      <c r="AB1842" s="299"/>
      <c r="AC1842" s="294"/>
      <c r="AD1842" s="294"/>
      <c r="AE1842" s="294"/>
      <c r="AF1842" s="294"/>
    </row>
    <row r="1843" spans="2:32" x14ac:dyDescent="0.25">
      <c r="B1843" s="294"/>
      <c r="C1843" s="294"/>
      <c r="D1843" s="294"/>
      <c r="E1843" s="294"/>
      <c r="F1843" s="294"/>
      <c r="G1843" s="294"/>
      <c r="H1843" s="294"/>
      <c r="I1843" s="294"/>
      <c r="J1843" s="294"/>
      <c r="L1843" s="295"/>
      <c r="M1843" s="294"/>
      <c r="S1843" s="294"/>
      <c r="T1843" s="299"/>
      <c r="U1843" s="294"/>
      <c r="V1843" s="299"/>
      <c r="W1843" s="299"/>
      <c r="X1843" s="294"/>
      <c r="Y1843" s="299"/>
      <c r="Z1843" s="294"/>
      <c r="AA1843" s="299"/>
      <c r="AB1843" s="299"/>
      <c r="AC1843" s="294"/>
      <c r="AD1843" s="294"/>
      <c r="AE1843" s="294"/>
      <c r="AF1843" s="294"/>
    </row>
    <row r="1844" spans="2:32" x14ac:dyDescent="0.25">
      <c r="B1844" s="294"/>
      <c r="C1844" s="294"/>
      <c r="D1844" s="294"/>
      <c r="E1844" s="294"/>
      <c r="F1844" s="294"/>
      <c r="G1844" s="294"/>
      <c r="H1844" s="294"/>
      <c r="I1844" s="294"/>
      <c r="J1844" s="294"/>
      <c r="L1844" s="295"/>
      <c r="M1844" s="294"/>
      <c r="S1844" s="294"/>
      <c r="T1844" s="299"/>
      <c r="U1844" s="294"/>
      <c r="V1844" s="299"/>
      <c r="W1844" s="299"/>
      <c r="X1844" s="294"/>
      <c r="Y1844" s="299"/>
      <c r="Z1844" s="294"/>
      <c r="AA1844" s="299"/>
      <c r="AB1844" s="299"/>
      <c r="AC1844" s="294"/>
      <c r="AD1844" s="294"/>
      <c r="AE1844" s="294"/>
      <c r="AF1844" s="294"/>
    </row>
    <row r="1845" spans="2:32" x14ac:dyDescent="0.25">
      <c r="B1845" s="294"/>
      <c r="C1845" s="294"/>
      <c r="D1845" s="294"/>
      <c r="E1845" s="294"/>
      <c r="F1845" s="294"/>
      <c r="G1845" s="294"/>
      <c r="H1845" s="294"/>
      <c r="I1845" s="294"/>
      <c r="J1845" s="294"/>
      <c r="L1845" s="295"/>
      <c r="M1845" s="294"/>
      <c r="S1845" s="294"/>
      <c r="T1845" s="299"/>
      <c r="U1845" s="294"/>
      <c r="V1845" s="299"/>
      <c r="W1845" s="299"/>
      <c r="X1845" s="294"/>
      <c r="Y1845" s="299"/>
      <c r="Z1845" s="294"/>
      <c r="AA1845" s="299"/>
      <c r="AB1845" s="299"/>
      <c r="AC1845" s="294"/>
      <c r="AD1845" s="294"/>
      <c r="AE1845" s="294"/>
      <c r="AF1845" s="294"/>
    </row>
    <row r="1846" spans="2:32" x14ac:dyDescent="0.25">
      <c r="B1846" s="294"/>
      <c r="C1846" s="294"/>
      <c r="D1846" s="294"/>
      <c r="E1846" s="294"/>
      <c r="F1846" s="294"/>
      <c r="G1846" s="294"/>
      <c r="H1846" s="294"/>
      <c r="I1846" s="294"/>
      <c r="J1846" s="294"/>
      <c r="L1846" s="295"/>
      <c r="M1846" s="294"/>
      <c r="S1846" s="294"/>
      <c r="T1846" s="299"/>
      <c r="U1846" s="294"/>
      <c r="V1846" s="299"/>
      <c r="W1846" s="299"/>
      <c r="X1846" s="294"/>
      <c r="Y1846" s="299"/>
      <c r="Z1846" s="294"/>
      <c r="AA1846" s="299"/>
      <c r="AB1846" s="299"/>
      <c r="AC1846" s="294"/>
      <c r="AD1846" s="294"/>
      <c r="AE1846" s="294"/>
      <c r="AF1846" s="294"/>
    </row>
    <row r="1847" spans="2:32" x14ac:dyDescent="0.25">
      <c r="B1847" s="294"/>
      <c r="C1847" s="294"/>
      <c r="D1847" s="294"/>
      <c r="E1847" s="294"/>
      <c r="F1847" s="294"/>
      <c r="G1847" s="294"/>
      <c r="H1847" s="294"/>
      <c r="I1847" s="294"/>
      <c r="J1847" s="294"/>
      <c r="L1847" s="295"/>
      <c r="M1847" s="294"/>
      <c r="S1847" s="294"/>
      <c r="T1847" s="299"/>
      <c r="U1847" s="294"/>
      <c r="V1847" s="299"/>
      <c r="W1847" s="299"/>
      <c r="X1847" s="294"/>
      <c r="Y1847" s="299"/>
      <c r="Z1847" s="294"/>
      <c r="AA1847" s="299"/>
      <c r="AB1847" s="299"/>
      <c r="AC1847" s="294"/>
      <c r="AD1847" s="294"/>
      <c r="AE1847" s="294"/>
      <c r="AF1847" s="294"/>
    </row>
    <row r="1848" spans="2:32" x14ac:dyDescent="0.25">
      <c r="B1848" s="294"/>
      <c r="C1848" s="294"/>
      <c r="D1848" s="294"/>
      <c r="E1848" s="294"/>
      <c r="F1848" s="294"/>
      <c r="G1848" s="294"/>
      <c r="H1848" s="294"/>
      <c r="I1848" s="294"/>
      <c r="J1848" s="294"/>
      <c r="L1848" s="295"/>
      <c r="M1848" s="294"/>
      <c r="S1848" s="294"/>
      <c r="T1848" s="299"/>
      <c r="U1848" s="294"/>
      <c r="V1848" s="299"/>
      <c r="W1848" s="299"/>
      <c r="X1848" s="294"/>
      <c r="Y1848" s="299"/>
      <c r="Z1848" s="294"/>
      <c r="AA1848" s="299"/>
      <c r="AB1848" s="299"/>
      <c r="AC1848" s="294"/>
      <c r="AD1848" s="294"/>
      <c r="AE1848" s="294"/>
      <c r="AF1848" s="294"/>
    </row>
    <row r="1849" spans="2:32" x14ac:dyDescent="0.25">
      <c r="B1849" s="294"/>
      <c r="C1849" s="294"/>
      <c r="D1849" s="294"/>
      <c r="E1849" s="294"/>
      <c r="F1849" s="294"/>
      <c r="G1849" s="294"/>
      <c r="H1849" s="294"/>
      <c r="I1849" s="294"/>
      <c r="J1849" s="294"/>
      <c r="L1849" s="295"/>
      <c r="M1849" s="294"/>
      <c r="S1849" s="294"/>
      <c r="T1849" s="299"/>
      <c r="U1849" s="294"/>
      <c r="V1849" s="299"/>
      <c r="W1849" s="299"/>
      <c r="X1849" s="294"/>
      <c r="Y1849" s="299"/>
      <c r="Z1849" s="294"/>
      <c r="AA1849" s="299"/>
      <c r="AB1849" s="299"/>
      <c r="AC1849" s="294"/>
      <c r="AD1849" s="294"/>
      <c r="AE1849" s="294"/>
      <c r="AF1849" s="294"/>
    </row>
    <row r="1850" spans="2:32" x14ac:dyDescent="0.25">
      <c r="B1850" s="294"/>
      <c r="C1850" s="294"/>
      <c r="D1850" s="294"/>
      <c r="E1850" s="294"/>
      <c r="F1850" s="294"/>
      <c r="G1850" s="294"/>
      <c r="H1850" s="294"/>
      <c r="I1850" s="294"/>
      <c r="J1850" s="294"/>
      <c r="L1850" s="295"/>
      <c r="M1850" s="294"/>
      <c r="S1850" s="294"/>
      <c r="T1850" s="299"/>
      <c r="U1850" s="294"/>
      <c r="V1850" s="299"/>
      <c r="W1850" s="299"/>
      <c r="X1850" s="294"/>
      <c r="Y1850" s="299"/>
      <c r="Z1850" s="294"/>
      <c r="AA1850" s="299"/>
      <c r="AB1850" s="299"/>
      <c r="AC1850" s="294"/>
      <c r="AD1850" s="294"/>
      <c r="AE1850" s="294"/>
      <c r="AF1850" s="294"/>
    </row>
    <row r="1851" spans="2:32" x14ac:dyDescent="0.25">
      <c r="B1851" s="294"/>
      <c r="C1851" s="294"/>
      <c r="D1851" s="294"/>
      <c r="E1851" s="294"/>
      <c r="F1851" s="294"/>
      <c r="G1851" s="294"/>
      <c r="H1851" s="294"/>
      <c r="I1851" s="294"/>
      <c r="J1851" s="294"/>
      <c r="L1851" s="295"/>
      <c r="M1851" s="294"/>
      <c r="S1851" s="294"/>
      <c r="T1851" s="299"/>
      <c r="U1851" s="294"/>
      <c r="V1851" s="299"/>
      <c r="W1851" s="299"/>
      <c r="X1851" s="294"/>
      <c r="Y1851" s="299"/>
      <c r="Z1851" s="294"/>
      <c r="AA1851" s="299"/>
      <c r="AB1851" s="299"/>
      <c r="AC1851" s="294"/>
      <c r="AD1851" s="294"/>
      <c r="AE1851" s="294"/>
      <c r="AF1851" s="294"/>
    </row>
    <row r="1852" spans="2:32" x14ac:dyDescent="0.25">
      <c r="B1852" s="294"/>
      <c r="C1852" s="294"/>
      <c r="D1852" s="294"/>
      <c r="E1852" s="294"/>
      <c r="F1852" s="294"/>
      <c r="G1852" s="294"/>
      <c r="H1852" s="294"/>
      <c r="I1852" s="294"/>
      <c r="J1852" s="294"/>
      <c r="L1852" s="295"/>
      <c r="M1852" s="294"/>
      <c r="S1852" s="294"/>
      <c r="T1852" s="299"/>
      <c r="U1852" s="294"/>
      <c r="V1852" s="299"/>
      <c r="W1852" s="299"/>
      <c r="X1852" s="294"/>
      <c r="Y1852" s="299"/>
      <c r="Z1852" s="294"/>
      <c r="AA1852" s="299"/>
      <c r="AB1852" s="299"/>
      <c r="AC1852" s="294"/>
      <c r="AD1852" s="294"/>
      <c r="AE1852" s="294"/>
      <c r="AF1852" s="294"/>
    </row>
    <row r="1853" spans="2:32" x14ac:dyDescent="0.25">
      <c r="B1853" s="294"/>
      <c r="C1853" s="294"/>
      <c r="D1853" s="294"/>
      <c r="E1853" s="294"/>
      <c r="F1853" s="294"/>
      <c r="G1853" s="294"/>
      <c r="H1853" s="294"/>
      <c r="I1853" s="294"/>
      <c r="J1853" s="294"/>
      <c r="L1853" s="295"/>
      <c r="M1853" s="294"/>
      <c r="S1853" s="294"/>
      <c r="T1853" s="299"/>
      <c r="U1853" s="294"/>
      <c r="V1853" s="299"/>
      <c r="W1853" s="299"/>
      <c r="X1853" s="294"/>
      <c r="Y1853" s="299"/>
      <c r="Z1853" s="294"/>
      <c r="AA1853" s="299"/>
      <c r="AB1853" s="299"/>
      <c r="AC1853" s="294"/>
      <c r="AD1853" s="294"/>
      <c r="AE1853" s="294"/>
      <c r="AF1853" s="294"/>
    </row>
    <row r="1854" spans="2:32" x14ac:dyDescent="0.25">
      <c r="B1854" s="294"/>
      <c r="C1854" s="294"/>
      <c r="D1854" s="294"/>
      <c r="E1854" s="294"/>
      <c r="F1854" s="294"/>
      <c r="G1854" s="294"/>
      <c r="H1854" s="294"/>
      <c r="I1854" s="294"/>
      <c r="J1854" s="294"/>
      <c r="L1854" s="295"/>
      <c r="M1854" s="294"/>
      <c r="S1854" s="294"/>
      <c r="T1854" s="299"/>
      <c r="U1854" s="294"/>
      <c r="V1854" s="299"/>
      <c r="W1854" s="299"/>
      <c r="X1854" s="294"/>
      <c r="Y1854" s="299"/>
      <c r="Z1854" s="294"/>
      <c r="AA1854" s="299"/>
      <c r="AB1854" s="299"/>
      <c r="AC1854" s="294"/>
      <c r="AD1854" s="294"/>
      <c r="AE1854" s="294"/>
      <c r="AF1854" s="294"/>
    </row>
    <row r="1855" spans="2:32" x14ac:dyDescent="0.25">
      <c r="B1855" s="294"/>
      <c r="C1855" s="294"/>
      <c r="D1855" s="294"/>
      <c r="E1855" s="294"/>
      <c r="F1855" s="294"/>
      <c r="G1855" s="294"/>
      <c r="H1855" s="294"/>
      <c r="I1855" s="294"/>
      <c r="J1855" s="294"/>
      <c r="L1855" s="295"/>
      <c r="M1855" s="294"/>
      <c r="S1855" s="294"/>
      <c r="T1855" s="299"/>
      <c r="U1855" s="294"/>
      <c r="V1855" s="299"/>
      <c r="W1855" s="299"/>
      <c r="X1855" s="294"/>
      <c r="Y1855" s="299"/>
      <c r="Z1855" s="294"/>
      <c r="AA1855" s="299"/>
      <c r="AB1855" s="299"/>
      <c r="AC1855" s="294"/>
      <c r="AD1855" s="294"/>
      <c r="AE1855" s="294"/>
      <c r="AF1855" s="294"/>
    </row>
    <row r="1856" spans="2:32" x14ac:dyDescent="0.25">
      <c r="B1856" s="294"/>
      <c r="C1856" s="294"/>
      <c r="D1856" s="294"/>
      <c r="E1856" s="294"/>
      <c r="F1856" s="294"/>
      <c r="G1856" s="294"/>
      <c r="H1856" s="294"/>
      <c r="I1856" s="294"/>
      <c r="J1856" s="294"/>
      <c r="L1856" s="295"/>
      <c r="M1856" s="294"/>
      <c r="S1856" s="294"/>
      <c r="T1856" s="299"/>
      <c r="U1856" s="294"/>
      <c r="V1856" s="299"/>
      <c r="W1856" s="299"/>
      <c r="X1856" s="294"/>
      <c r="Y1856" s="299"/>
      <c r="Z1856" s="294"/>
      <c r="AA1856" s="299"/>
      <c r="AB1856" s="299"/>
      <c r="AC1856" s="294"/>
      <c r="AD1856" s="294"/>
      <c r="AE1856" s="294"/>
      <c r="AF1856" s="294"/>
    </row>
    <row r="1857" spans="2:32" x14ac:dyDescent="0.25">
      <c r="B1857" s="294"/>
      <c r="C1857" s="294"/>
      <c r="D1857" s="294"/>
      <c r="E1857" s="294"/>
      <c r="F1857" s="294"/>
      <c r="G1857" s="294"/>
      <c r="H1857" s="294"/>
      <c r="I1857" s="294"/>
      <c r="J1857" s="294"/>
      <c r="L1857" s="295"/>
      <c r="M1857" s="294"/>
      <c r="S1857" s="294"/>
      <c r="T1857" s="299"/>
      <c r="U1857" s="294"/>
      <c r="V1857" s="299"/>
      <c r="W1857" s="299"/>
      <c r="X1857" s="294"/>
      <c r="Y1857" s="299"/>
      <c r="Z1857" s="294"/>
      <c r="AA1857" s="299"/>
      <c r="AB1857" s="299"/>
      <c r="AC1857" s="294"/>
      <c r="AD1857" s="294"/>
      <c r="AE1857" s="294"/>
      <c r="AF1857" s="294"/>
    </row>
    <row r="1858" spans="2:32" x14ac:dyDescent="0.25">
      <c r="B1858" s="294"/>
      <c r="C1858" s="294"/>
      <c r="D1858" s="294"/>
      <c r="E1858" s="294"/>
      <c r="F1858" s="294"/>
      <c r="G1858" s="294"/>
      <c r="H1858" s="294"/>
      <c r="I1858" s="294"/>
      <c r="J1858" s="294"/>
      <c r="L1858" s="295"/>
      <c r="M1858" s="294"/>
      <c r="S1858" s="294"/>
      <c r="T1858" s="299"/>
      <c r="U1858" s="294"/>
      <c r="V1858" s="299"/>
      <c r="W1858" s="299"/>
      <c r="X1858" s="294"/>
      <c r="Y1858" s="299"/>
      <c r="Z1858" s="294"/>
      <c r="AA1858" s="299"/>
      <c r="AB1858" s="299"/>
      <c r="AC1858" s="294"/>
      <c r="AD1858" s="294"/>
      <c r="AE1858" s="294"/>
      <c r="AF1858" s="294"/>
    </row>
    <row r="1859" spans="2:32" x14ac:dyDescent="0.25">
      <c r="B1859" s="294"/>
      <c r="C1859" s="294"/>
      <c r="D1859" s="294"/>
      <c r="E1859" s="294"/>
      <c r="F1859" s="294"/>
      <c r="G1859" s="294"/>
      <c r="H1859" s="294"/>
      <c r="I1859" s="294"/>
      <c r="J1859" s="294"/>
      <c r="L1859" s="295"/>
      <c r="M1859" s="294"/>
      <c r="S1859" s="294"/>
      <c r="T1859" s="299"/>
      <c r="U1859" s="294"/>
      <c r="V1859" s="299"/>
      <c r="W1859" s="299"/>
      <c r="X1859" s="294"/>
      <c r="Y1859" s="299"/>
      <c r="Z1859" s="294"/>
      <c r="AA1859" s="299"/>
      <c r="AB1859" s="299"/>
      <c r="AC1859" s="294"/>
      <c r="AD1859" s="294"/>
      <c r="AE1859" s="294"/>
      <c r="AF1859" s="294"/>
    </row>
    <row r="1860" spans="2:32" x14ac:dyDescent="0.25">
      <c r="B1860" s="294"/>
      <c r="C1860" s="294"/>
      <c r="D1860" s="294"/>
      <c r="E1860" s="294"/>
      <c r="F1860" s="294"/>
      <c r="G1860" s="294"/>
      <c r="H1860" s="294"/>
      <c r="I1860" s="294"/>
      <c r="J1860" s="294"/>
      <c r="L1860" s="295"/>
      <c r="M1860" s="294"/>
      <c r="S1860" s="294"/>
      <c r="T1860" s="299"/>
      <c r="U1860" s="294"/>
      <c r="V1860" s="299"/>
      <c r="W1860" s="299"/>
      <c r="X1860" s="294"/>
      <c r="Y1860" s="299"/>
      <c r="Z1860" s="294"/>
      <c r="AA1860" s="299"/>
      <c r="AB1860" s="299"/>
      <c r="AC1860" s="294"/>
      <c r="AD1860" s="294"/>
      <c r="AE1860" s="294"/>
      <c r="AF1860" s="294"/>
    </row>
    <row r="1861" spans="2:32" x14ac:dyDescent="0.25">
      <c r="B1861" s="294"/>
      <c r="C1861" s="294"/>
      <c r="D1861" s="294"/>
      <c r="E1861" s="294"/>
      <c r="F1861" s="294"/>
      <c r="G1861" s="294"/>
      <c r="H1861" s="294"/>
      <c r="I1861" s="294"/>
      <c r="J1861" s="294"/>
      <c r="L1861" s="295"/>
      <c r="M1861" s="294"/>
      <c r="S1861" s="294"/>
      <c r="T1861" s="299"/>
      <c r="U1861" s="294"/>
      <c r="V1861" s="299"/>
      <c r="W1861" s="299"/>
      <c r="X1861" s="294"/>
      <c r="Y1861" s="299"/>
      <c r="Z1861" s="294"/>
      <c r="AA1861" s="299"/>
      <c r="AB1861" s="299"/>
      <c r="AC1861" s="294"/>
      <c r="AD1861" s="294"/>
      <c r="AE1861" s="294"/>
      <c r="AF1861" s="294"/>
    </row>
    <row r="1862" spans="2:32" x14ac:dyDescent="0.25">
      <c r="B1862" s="294"/>
      <c r="C1862" s="294"/>
      <c r="D1862" s="294"/>
      <c r="E1862" s="294"/>
      <c r="F1862" s="294"/>
      <c r="G1862" s="294"/>
      <c r="H1862" s="294"/>
      <c r="I1862" s="294"/>
      <c r="J1862" s="294"/>
      <c r="L1862" s="295"/>
      <c r="M1862" s="294"/>
      <c r="S1862" s="294"/>
      <c r="T1862" s="299"/>
      <c r="U1862" s="294"/>
      <c r="V1862" s="299"/>
      <c r="W1862" s="299"/>
      <c r="X1862" s="294"/>
      <c r="Y1862" s="299"/>
      <c r="Z1862" s="294"/>
      <c r="AA1862" s="299"/>
      <c r="AB1862" s="299"/>
      <c r="AC1862" s="294"/>
      <c r="AD1862" s="294"/>
      <c r="AE1862" s="294"/>
      <c r="AF1862" s="294"/>
    </row>
    <row r="1863" spans="2:32" x14ac:dyDescent="0.25">
      <c r="B1863" s="294"/>
      <c r="C1863" s="294"/>
      <c r="D1863" s="294"/>
      <c r="E1863" s="294"/>
      <c r="F1863" s="294"/>
      <c r="G1863" s="294"/>
      <c r="H1863" s="294"/>
      <c r="I1863" s="294"/>
      <c r="J1863" s="294"/>
      <c r="L1863" s="295"/>
      <c r="M1863" s="294"/>
      <c r="S1863" s="294"/>
      <c r="T1863" s="299"/>
      <c r="U1863" s="294"/>
      <c r="V1863" s="299"/>
      <c r="W1863" s="299"/>
      <c r="X1863" s="294"/>
      <c r="Y1863" s="299"/>
      <c r="Z1863" s="294"/>
      <c r="AA1863" s="299"/>
      <c r="AB1863" s="299"/>
      <c r="AC1863" s="294"/>
      <c r="AD1863" s="294"/>
      <c r="AE1863" s="294"/>
      <c r="AF1863" s="294"/>
    </row>
    <row r="1864" spans="2:32" x14ac:dyDescent="0.25">
      <c r="B1864" s="294"/>
      <c r="C1864" s="294"/>
      <c r="D1864" s="294"/>
      <c r="E1864" s="294"/>
      <c r="F1864" s="294"/>
      <c r="G1864" s="294"/>
      <c r="H1864" s="294"/>
      <c r="I1864" s="294"/>
      <c r="J1864" s="294"/>
      <c r="L1864" s="295"/>
      <c r="M1864" s="294"/>
      <c r="S1864" s="294"/>
      <c r="T1864" s="299"/>
      <c r="U1864" s="294"/>
      <c r="V1864" s="299"/>
      <c r="W1864" s="299"/>
      <c r="X1864" s="294"/>
      <c r="Y1864" s="299"/>
      <c r="Z1864" s="294"/>
      <c r="AA1864" s="299"/>
      <c r="AB1864" s="299"/>
      <c r="AC1864" s="294"/>
      <c r="AD1864" s="294"/>
      <c r="AE1864" s="294"/>
      <c r="AF1864" s="294"/>
    </row>
    <row r="1865" spans="2:32" x14ac:dyDescent="0.25">
      <c r="B1865" s="294"/>
      <c r="C1865" s="294"/>
      <c r="D1865" s="294"/>
      <c r="E1865" s="294"/>
      <c r="F1865" s="294"/>
      <c r="G1865" s="294"/>
      <c r="H1865" s="294"/>
      <c r="I1865" s="294"/>
      <c r="J1865" s="294"/>
      <c r="L1865" s="295"/>
      <c r="M1865" s="294"/>
      <c r="S1865" s="294"/>
      <c r="T1865" s="299"/>
      <c r="U1865" s="294"/>
      <c r="V1865" s="299"/>
      <c r="W1865" s="299"/>
      <c r="X1865" s="294"/>
      <c r="Y1865" s="299"/>
      <c r="Z1865" s="294"/>
      <c r="AA1865" s="299"/>
      <c r="AB1865" s="299"/>
      <c r="AC1865" s="294"/>
      <c r="AD1865" s="294"/>
      <c r="AE1865" s="294"/>
      <c r="AF1865" s="294"/>
    </row>
    <row r="1866" spans="2:32" x14ac:dyDescent="0.25">
      <c r="B1866" s="294"/>
      <c r="C1866" s="294"/>
      <c r="D1866" s="294"/>
      <c r="E1866" s="294"/>
      <c r="F1866" s="294"/>
      <c r="G1866" s="294"/>
      <c r="H1866" s="294"/>
      <c r="I1866" s="294"/>
      <c r="J1866" s="294"/>
      <c r="L1866" s="295"/>
      <c r="M1866" s="294"/>
      <c r="S1866" s="294"/>
      <c r="T1866" s="299"/>
      <c r="U1866" s="294"/>
      <c r="V1866" s="299"/>
      <c r="W1866" s="299"/>
      <c r="X1866" s="294"/>
      <c r="Y1866" s="299"/>
      <c r="Z1866" s="294"/>
      <c r="AA1866" s="299"/>
      <c r="AB1866" s="299"/>
      <c r="AC1866" s="294"/>
      <c r="AD1866" s="294"/>
      <c r="AE1866" s="294"/>
      <c r="AF1866" s="294"/>
    </row>
    <row r="1867" spans="2:32" x14ac:dyDescent="0.25">
      <c r="B1867" s="294"/>
      <c r="C1867" s="294"/>
      <c r="D1867" s="294"/>
      <c r="E1867" s="294"/>
      <c r="F1867" s="294"/>
      <c r="G1867" s="294"/>
      <c r="H1867" s="294"/>
      <c r="I1867" s="294"/>
      <c r="J1867" s="294"/>
      <c r="L1867" s="295"/>
      <c r="M1867" s="294"/>
      <c r="S1867" s="294"/>
      <c r="T1867" s="299"/>
      <c r="U1867" s="294"/>
      <c r="V1867" s="299"/>
      <c r="W1867" s="299"/>
      <c r="X1867" s="294"/>
      <c r="Y1867" s="299"/>
      <c r="Z1867" s="294"/>
      <c r="AA1867" s="299"/>
      <c r="AB1867" s="299"/>
      <c r="AC1867" s="294"/>
      <c r="AD1867" s="294"/>
      <c r="AE1867" s="294"/>
      <c r="AF1867" s="294"/>
    </row>
    <row r="1868" spans="2:32" x14ac:dyDescent="0.25">
      <c r="B1868" s="294"/>
      <c r="C1868" s="294"/>
      <c r="D1868" s="294"/>
      <c r="E1868" s="294"/>
      <c r="F1868" s="294"/>
      <c r="G1868" s="294"/>
      <c r="H1868" s="294"/>
      <c r="I1868" s="294"/>
      <c r="J1868" s="294"/>
      <c r="L1868" s="295"/>
      <c r="M1868" s="294"/>
      <c r="S1868" s="294"/>
      <c r="T1868" s="299"/>
      <c r="U1868" s="294"/>
      <c r="V1868" s="299"/>
      <c r="W1868" s="299"/>
      <c r="X1868" s="294"/>
      <c r="Y1868" s="299"/>
      <c r="Z1868" s="294"/>
      <c r="AA1868" s="299"/>
      <c r="AB1868" s="299"/>
      <c r="AC1868" s="294"/>
      <c r="AD1868" s="294"/>
      <c r="AE1868" s="294"/>
      <c r="AF1868" s="294"/>
    </row>
    <row r="1869" spans="2:32" x14ac:dyDescent="0.25">
      <c r="B1869" s="294"/>
      <c r="C1869" s="294"/>
      <c r="D1869" s="294"/>
      <c r="E1869" s="294"/>
      <c r="F1869" s="294"/>
      <c r="G1869" s="294"/>
      <c r="H1869" s="294"/>
      <c r="I1869" s="294"/>
      <c r="J1869" s="294"/>
      <c r="L1869" s="295"/>
      <c r="M1869" s="294"/>
      <c r="S1869" s="294"/>
      <c r="T1869" s="299"/>
      <c r="U1869" s="294"/>
      <c r="V1869" s="299"/>
      <c r="W1869" s="299"/>
      <c r="X1869" s="294"/>
      <c r="Y1869" s="299"/>
      <c r="Z1869" s="294"/>
      <c r="AA1869" s="299"/>
      <c r="AB1869" s="299"/>
      <c r="AC1869" s="294"/>
      <c r="AD1869" s="294"/>
      <c r="AE1869" s="294"/>
      <c r="AF1869" s="294"/>
    </row>
    <row r="1870" spans="2:32" x14ac:dyDescent="0.25">
      <c r="B1870" s="294"/>
      <c r="C1870" s="294"/>
      <c r="D1870" s="294"/>
      <c r="E1870" s="294"/>
      <c r="F1870" s="294"/>
      <c r="G1870" s="294"/>
      <c r="H1870" s="294"/>
      <c r="I1870" s="294"/>
      <c r="J1870" s="294"/>
      <c r="L1870" s="295"/>
      <c r="M1870" s="294"/>
      <c r="S1870" s="294"/>
      <c r="T1870" s="299"/>
      <c r="U1870" s="294"/>
      <c r="V1870" s="299"/>
      <c r="W1870" s="299"/>
      <c r="X1870" s="294"/>
      <c r="Y1870" s="299"/>
      <c r="Z1870" s="294"/>
      <c r="AA1870" s="299"/>
      <c r="AB1870" s="299"/>
      <c r="AC1870" s="294"/>
      <c r="AD1870" s="294"/>
      <c r="AE1870" s="294"/>
      <c r="AF1870" s="294"/>
    </row>
    <row r="1871" spans="2:32" x14ac:dyDescent="0.25">
      <c r="B1871" s="294"/>
      <c r="C1871" s="294"/>
      <c r="D1871" s="294"/>
      <c r="E1871" s="294"/>
      <c r="F1871" s="294"/>
      <c r="G1871" s="294"/>
      <c r="H1871" s="294"/>
      <c r="I1871" s="294"/>
      <c r="J1871" s="294"/>
      <c r="L1871" s="295"/>
      <c r="M1871" s="294"/>
      <c r="S1871" s="294"/>
      <c r="T1871" s="299"/>
      <c r="U1871" s="294"/>
      <c r="V1871" s="299"/>
      <c r="W1871" s="299"/>
      <c r="X1871" s="294"/>
      <c r="Y1871" s="299"/>
      <c r="Z1871" s="294"/>
      <c r="AA1871" s="299"/>
      <c r="AB1871" s="299"/>
      <c r="AC1871" s="294"/>
      <c r="AD1871" s="294"/>
      <c r="AE1871" s="294"/>
      <c r="AF1871" s="294"/>
    </row>
    <row r="1872" spans="2:32" x14ac:dyDescent="0.25">
      <c r="B1872" s="294"/>
      <c r="C1872" s="294"/>
      <c r="D1872" s="294"/>
      <c r="E1872" s="294"/>
      <c r="F1872" s="294"/>
      <c r="G1872" s="294"/>
      <c r="H1872" s="294"/>
      <c r="I1872" s="294"/>
      <c r="J1872" s="294"/>
      <c r="L1872" s="295"/>
      <c r="M1872" s="294"/>
      <c r="S1872" s="294"/>
      <c r="T1872" s="299"/>
      <c r="U1872" s="294"/>
      <c r="V1872" s="299"/>
      <c r="W1872" s="299"/>
      <c r="X1872" s="294"/>
      <c r="Y1872" s="299"/>
      <c r="Z1872" s="294"/>
      <c r="AA1872" s="299"/>
      <c r="AB1872" s="299"/>
      <c r="AC1872" s="294"/>
      <c r="AD1872" s="294"/>
      <c r="AE1872" s="294"/>
      <c r="AF1872" s="294"/>
    </row>
    <row r="1873" spans="2:32" x14ac:dyDescent="0.25">
      <c r="B1873" s="294"/>
      <c r="C1873" s="294"/>
      <c r="D1873" s="294"/>
      <c r="E1873" s="294"/>
      <c r="F1873" s="294"/>
      <c r="G1873" s="294"/>
      <c r="H1873" s="294"/>
      <c r="I1873" s="294"/>
      <c r="J1873" s="294"/>
      <c r="L1873" s="295"/>
      <c r="M1873" s="294"/>
      <c r="S1873" s="294"/>
      <c r="T1873" s="299"/>
      <c r="U1873" s="294"/>
      <c r="V1873" s="299"/>
      <c r="W1873" s="299"/>
      <c r="X1873" s="294"/>
      <c r="Y1873" s="299"/>
      <c r="Z1873" s="294"/>
      <c r="AA1873" s="299"/>
      <c r="AB1873" s="299"/>
      <c r="AC1873" s="294"/>
      <c r="AD1873" s="294"/>
      <c r="AE1873" s="294"/>
      <c r="AF1873" s="294"/>
    </row>
    <row r="1874" spans="2:32" x14ac:dyDescent="0.25">
      <c r="B1874" s="294"/>
      <c r="C1874" s="294"/>
      <c r="D1874" s="294"/>
      <c r="E1874" s="294"/>
      <c r="F1874" s="294"/>
      <c r="G1874" s="294"/>
      <c r="H1874" s="294"/>
      <c r="I1874" s="294"/>
      <c r="J1874" s="294"/>
      <c r="L1874" s="295"/>
      <c r="M1874" s="294"/>
      <c r="S1874" s="294"/>
      <c r="T1874" s="299"/>
      <c r="U1874" s="294"/>
      <c r="V1874" s="299"/>
      <c r="W1874" s="299"/>
      <c r="X1874" s="294"/>
      <c r="Y1874" s="299"/>
      <c r="Z1874" s="294"/>
      <c r="AA1874" s="299"/>
      <c r="AB1874" s="299"/>
      <c r="AC1874" s="294"/>
      <c r="AD1874" s="294"/>
      <c r="AE1874" s="294"/>
      <c r="AF1874" s="294"/>
    </row>
    <row r="1875" spans="2:32" x14ac:dyDescent="0.25">
      <c r="B1875" s="294"/>
      <c r="C1875" s="294"/>
      <c r="D1875" s="294"/>
      <c r="E1875" s="294"/>
      <c r="F1875" s="294"/>
      <c r="G1875" s="294"/>
      <c r="H1875" s="294"/>
      <c r="I1875" s="294"/>
      <c r="J1875" s="294"/>
      <c r="L1875" s="295"/>
      <c r="M1875" s="294"/>
      <c r="S1875" s="294"/>
      <c r="T1875" s="299"/>
      <c r="U1875" s="294"/>
      <c r="V1875" s="299"/>
      <c r="W1875" s="299"/>
      <c r="X1875" s="294"/>
      <c r="Y1875" s="299"/>
      <c r="Z1875" s="294"/>
      <c r="AA1875" s="299"/>
      <c r="AB1875" s="299"/>
      <c r="AC1875" s="294"/>
      <c r="AD1875" s="294"/>
      <c r="AE1875" s="294"/>
      <c r="AF1875" s="294"/>
    </row>
    <row r="1876" spans="2:32" x14ac:dyDescent="0.25">
      <c r="B1876" s="294"/>
      <c r="C1876" s="294"/>
      <c r="D1876" s="294"/>
      <c r="E1876" s="294"/>
      <c r="F1876" s="294"/>
      <c r="G1876" s="294"/>
      <c r="H1876" s="294"/>
      <c r="I1876" s="294"/>
      <c r="J1876" s="294"/>
      <c r="L1876" s="295"/>
      <c r="M1876" s="294"/>
      <c r="S1876" s="294"/>
      <c r="T1876" s="299"/>
      <c r="U1876" s="294"/>
      <c r="V1876" s="299"/>
      <c r="W1876" s="299"/>
      <c r="X1876" s="294"/>
      <c r="Y1876" s="299"/>
      <c r="Z1876" s="294"/>
      <c r="AA1876" s="299"/>
      <c r="AB1876" s="299"/>
      <c r="AC1876" s="294"/>
      <c r="AD1876" s="294"/>
      <c r="AE1876" s="294"/>
      <c r="AF1876" s="294"/>
    </row>
    <row r="1877" spans="2:32" x14ac:dyDescent="0.25">
      <c r="B1877" s="294"/>
      <c r="C1877" s="294"/>
      <c r="D1877" s="294"/>
      <c r="E1877" s="294"/>
      <c r="F1877" s="294"/>
      <c r="G1877" s="294"/>
      <c r="H1877" s="294"/>
      <c r="I1877" s="294"/>
      <c r="J1877" s="294"/>
      <c r="L1877" s="295"/>
      <c r="M1877" s="294"/>
      <c r="S1877" s="294"/>
      <c r="T1877" s="299"/>
      <c r="U1877" s="294"/>
      <c r="V1877" s="299"/>
      <c r="W1877" s="299"/>
      <c r="X1877" s="294"/>
      <c r="Y1877" s="299"/>
      <c r="Z1877" s="294"/>
      <c r="AA1877" s="299"/>
      <c r="AB1877" s="299"/>
      <c r="AC1877" s="294"/>
      <c r="AD1877" s="294"/>
      <c r="AE1877" s="294"/>
      <c r="AF1877" s="294"/>
    </row>
    <row r="1878" spans="2:32" x14ac:dyDescent="0.25">
      <c r="B1878" s="294"/>
      <c r="C1878" s="294"/>
      <c r="D1878" s="294"/>
      <c r="E1878" s="294"/>
      <c r="F1878" s="294"/>
      <c r="G1878" s="294"/>
      <c r="H1878" s="294"/>
      <c r="I1878" s="294"/>
      <c r="J1878" s="294"/>
      <c r="L1878" s="295"/>
      <c r="M1878" s="294"/>
      <c r="S1878" s="294"/>
      <c r="T1878" s="299"/>
      <c r="U1878" s="294"/>
      <c r="V1878" s="299"/>
      <c r="W1878" s="299"/>
      <c r="X1878" s="294"/>
      <c r="Y1878" s="299"/>
      <c r="Z1878" s="294"/>
      <c r="AA1878" s="299"/>
      <c r="AB1878" s="299"/>
      <c r="AC1878" s="294"/>
      <c r="AD1878" s="294"/>
      <c r="AE1878" s="294"/>
      <c r="AF1878" s="294"/>
    </row>
    <row r="1879" spans="2:32" x14ac:dyDescent="0.25">
      <c r="B1879" s="294"/>
      <c r="C1879" s="294"/>
      <c r="D1879" s="294"/>
      <c r="E1879" s="294"/>
      <c r="F1879" s="294"/>
      <c r="G1879" s="294"/>
      <c r="H1879" s="294"/>
      <c r="I1879" s="294"/>
      <c r="J1879" s="294"/>
      <c r="L1879" s="295"/>
      <c r="M1879" s="294"/>
      <c r="S1879" s="294"/>
      <c r="T1879" s="299"/>
      <c r="U1879" s="294"/>
      <c r="V1879" s="299"/>
      <c r="W1879" s="299"/>
      <c r="X1879" s="294"/>
      <c r="Y1879" s="299"/>
      <c r="Z1879" s="294"/>
      <c r="AA1879" s="299"/>
      <c r="AB1879" s="299"/>
      <c r="AC1879" s="294"/>
      <c r="AD1879" s="294"/>
      <c r="AE1879" s="294"/>
      <c r="AF1879" s="294"/>
    </row>
    <row r="1880" spans="2:32" x14ac:dyDescent="0.25">
      <c r="B1880" s="294"/>
      <c r="C1880" s="294"/>
      <c r="D1880" s="294"/>
      <c r="E1880" s="294"/>
      <c r="F1880" s="294"/>
      <c r="G1880" s="294"/>
      <c r="H1880" s="294"/>
      <c r="I1880" s="294"/>
      <c r="J1880" s="294"/>
      <c r="L1880" s="295"/>
      <c r="M1880" s="294"/>
      <c r="S1880" s="294"/>
      <c r="T1880" s="299"/>
      <c r="U1880" s="294"/>
      <c r="V1880" s="299"/>
      <c r="W1880" s="299"/>
      <c r="X1880" s="294"/>
      <c r="Y1880" s="299"/>
      <c r="Z1880" s="294"/>
      <c r="AA1880" s="299"/>
      <c r="AB1880" s="299"/>
      <c r="AC1880" s="294"/>
      <c r="AD1880" s="294"/>
      <c r="AE1880" s="294"/>
      <c r="AF1880" s="294"/>
    </row>
    <row r="1881" spans="2:32" x14ac:dyDescent="0.25">
      <c r="B1881" s="294"/>
      <c r="C1881" s="294"/>
      <c r="D1881" s="294"/>
      <c r="E1881" s="294"/>
      <c r="F1881" s="294"/>
      <c r="G1881" s="294"/>
      <c r="H1881" s="294"/>
      <c r="I1881" s="294"/>
      <c r="J1881" s="294"/>
      <c r="L1881" s="295"/>
      <c r="M1881" s="294"/>
      <c r="S1881" s="294"/>
      <c r="T1881" s="299"/>
      <c r="U1881" s="294"/>
      <c r="V1881" s="299"/>
      <c r="W1881" s="299"/>
      <c r="X1881" s="294"/>
      <c r="Y1881" s="299"/>
      <c r="Z1881" s="294"/>
      <c r="AA1881" s="299"/>
      <c r="AB1881" s="299"/>
      <c r="AC1881" s="294"/>
      <c r="AD1881" s="294"/>
      <c r="AE1881" s="294"/>
      <c r="AF1881" s="294"/>
    </row>
    <row r="1882" spans="2:32" x14ac:dyDescent="0.25">
      <c r="B1882" s="294"/>
      <c r="C1882" s="294"/>
      <c r="D1882" s="294"/>
      <c r="E1882" s="294"/>
      <c r="F1882" s="294"/>
      <c r="G1882" s="294"/>
      <c r="H1882" s="294"/>
      <c r="I1882" s="294"/>
      <c r="J1882" s="294"/>
      <c r="L1882" s="295"/>
      <c r="M1882" s="294"/>
      <c r="S1882" s="294"/>
      <c r="T1882" s="299"/>
      <c r="U1882" s="294"/>
      <c r="V1882" s="299"/>
      <c r="W1882" s="299"/>
      <c r="X1882" s="294"/>
      <c r="Y1882" s="299"/>
      <c r="Z1882" s="294"/>
      <c r="AA1882" s="299"/>
      <c r="AB1882" s="299"/>
      <c r="AC1882" s="294"/>
      <c r="AD1882" s="294"/>
      <c r="AE1882" s="294"/>
      <c r="AF1882" s="294"/>
    </row>
    <row r="1883" spans="2:32" x14ac:dyDescent="0.25">
      <c r="B1883" s="294"/>
      <c r="C1883" s="294"/>
      <c r="D1883" s="294"/>
      <c r="E1883" s="294"/>
      <c r="F1883" s="294"/>
      <c r="G1883" s="294"/>
      <c r="H1883" s="294"/>
      <c r="I1883" s="294"/>
      <c r="J1883" s="294"/>
      <c r="L1883" s="295"/>
      <c r="M1883" s="294"/>
      <c r="S1883" s="294"/>
      <c r="T1883" s="299"/>
      <c r="U1883" s="294"/>
      <c r="V1883" s="299"/>
      <c r="W1883" s="299"/>
      <c r="X1883" s="294"/>
      <c r="Y1883" s="299"/>
      <c r="Z1883" s="294"/>
      <c r="AA1883" s="299"/>
      <c r="AB1883" s="299"/>
      <c r="AC1883" s="294"/>
      <c r="AD1883" s="294"/>
      <c r="AE1883" s="294"/>
      <c r="AF1883" s="294"/>
    </row>
    <row r="1884" spans="2:32" x14ac:dyDescent="0.25">
      <c r="B1884" s="294"/>
      <c r="C1884" s="294"/>
      <c r="D1884" s="294"/>
      <c r="E1884" s="294"/>
      <c r="F1884" s="294"/>
      <c r="G1884" s="294"/>
      <c r="H1884" s="294"/>
      <c r="I1884" s="294"/>
      <c r="J1884" s="294"/>
      <c r="L1884" s="295"/>
      <c r="M1884" s="294"/>
      <c r="S1884" s="294"/>
      <c r="T1884" s="299"/>
      <c r="U1884" s="294"/>
      <c r="V1884" s="299"/>
      <c r="W1884" s="299"/>
      <c r="X1884" s="294"/>
      <c r="Y1884" s="299"/>
      <c r="Z1884" s="294"/>
      <c r="AA1884" s="299"/>
      <c r="AB1884" s="299"/>
      <c r="AC1884" s="294"/>
      <c r="AD1884" s="294"/>
      <c r="AE1884" s="294"/>
      <c r="AF1884" s="294"/>
    </row>
    <row r="1885" spans="2:32" x14ac:dyDescent="0.25">
      <c r="B1885" s="294"/>
      <c r="C1885" s="294"/>
      <c r="D1885" s="294"/>
      <c r="E1885" s="294"/>
      <c r="F1885" s="294"/>
      <c r="G1885" s="294"/>
      <c r="H1885" s="294"/>
      <c r="I1885" s="294"/>
      <c r="J1885" s="294"/>
      <c r="L1885" s="295"/>
      <c r="M1885" s="294"/>
      <c r="S1885" s="294"/>
      <c r="T1885" s="299"/>
      <c r="U1885" s="294"/>
      <c r="V1885" s="299"/>
      <c r="W1885" s="299"/>
      <c r="X1885" s="294"/>
      <c r="Y1885" s="299"/>
      <c r="Z1885" s="294"/>
      <c r="AA1885" s="299"/>
      <c r="AB1885" s="299"/>
      <c r="AC1885" s="294"/>
      <c r="AD1885" s="294"/>
      <c r="AE1885" s="294"/>
      <c r="AF1885" s="294"/>
    </row>
    <row r="1886" spans="2:32" x14ac:dyDescent="0.25">
      <c r="B1886" s="294"/>
      <c r="C1886" s="294"/>
      <c r="D1886" s="294"/>
      <c r="E1886" s="294"/>
      <c r="F1886" s="294"/>
      <c r="G1886" s="294"/>
      <c r="H1886" s="294"/>
      <c r="I1886" s="294"/>
      <c r="J1886" s="294"/>
      <c r="L1886" s="295"/>
      <c r="M1886" s="294"/>
      <c r="S1886" s="294"/>
      <c r="T1886" s="299"/>
      <c r="U1886" s="294"/>
      <c r="V1886" s="299"/>
      <c r="W1886" s="299"/>
      <c r="X1886" s="294"/>
      <c r="Y1886" s="299"/>
      <c r="Z1886" s="294"/>
      <c r="AA1886" s="299"/>
      <c r="AB1886" s="299"/>
      <c r="AC1886" s="294"/>
      <c r="AD1886" s="294"/>
      <c r="AE1886" s="294"/>
      <c r="AF1886" s="294"/>
    </row>
    <row r="1887" spans="2:32" x14ac:dyDescent="0.25">
      <c r="B1887" s="294"/>
      <c r="C1887" s="294"/>
      <c r="D1887" s="294"/>
      <c r="E1887" s="294"/>
      <c r="F1887" s="294"/>
      <c r="G1887" s="294"/>
      <c r="H1887" s="294"/>
      <c r="I1887" s="294"/>
      <c r="J1887" s="294"/>
      <c r="L1887" s="295"/>
      <c r="M1887" s="294"/>
      <c r="S1887" s="294"/>
      <c r="T1887" s="299"/>
      <c r="U1887" s="294"/>
      <c r="V1887" s="299"/>
      <c r="W1887" s="299"/>
      <c r="X1887" s="294"/>
      <c r="Y1887" s="299"/>
      <c r="Z1887" s="294"/>
      <c r="AA1887" s="299"/>
      <c r="AB1887" s="299"/>
      <c r="AC1887" s="294"/>
      <c r="AD1887" s="294"/>
      <c r="AE1887" s="294"/>
      <c r="AF1887" s="294"/>
    </row>
    <row r="1888" spans="2:32" x14ac:dyDescent="0.25">
      <c r="B1888" s="294"/>
      <c r="C1888" s="294"/>
      <c r="D1888" s="294"/>
      <c r="E1888" s="294"/>
      <c r="F1888" s="294"/>
      <c r="G1888" s="294"/>
      <c r="H1888" s="294"/>
      <c r="I1888" s="294"/>
      <c r="J1888" s="294"/>
      <c r="L1888" s="295"/>
      <c r="M1888" s="294"/>
      <c r="S1888" s="294"/>
      <c r="T1888" s="299"/>
      <c r="U1888" s="294"/>
      <c r="V1888" s="299"/>
      <c r="W1888" s="299"/>
      <c r="X1888" s="294"/>
      <c r="Y1888" s="299"/>
      <c r="Z1888" s="294"/>
      <c r="AA1888" s="299"/>
      <c r="AB1888" s="299"/>
      <c r="AC1888" s="294"/>
      <c r="AD1888" s="294"/>
      <c r="AE1888" s="294"/>
      <c r="AF1888" s="294"/>
    </row>
    <row r="1889" spans="2:32" x14ac:dyDescent="0.25">
      <c r="B1889" s="294"/>
      <c r="C1889" s="294"/>
      <c r="D1889" s="294"/>
      <c r="E1889" s="294"/>
      <c r="F1889" s="294"/>
      <c r="G1889" s="294"/>
      <c r="H1889" s="294"/>
      <c r="I1889" s="294"/>
      <c r="J1889" s="294"/>
      <c r="L1889" s="295"/>
      <c r="M1889" s="294"/>
      <c r="S1889" s="294"/>
      <c r="T1889" s="299"/>
      <c r="U1889" s="294"/>
      <c r="V1889" s="299"/>
      <c r="W1889" s="299"/>
      <c r="X1889" s="294"/>
      <c r="Y1889" s="299"/>
      <c r="Z1889" s="294"/>
      <c r="AA1889" s="299"/>
      <c r="AB1889" s="299"/>
      <c r="AC1889" s="294"/>
      <c r="AD1889" s="294"/>
      <c r="AE1889" s="294"/>
      <c r="AF1889" s="294"/>
    </row>
    <row r="1890" spans="2:32" x14ac:dyDescent="0.25">
      <c r="B1890" s="294"/>
      <c r="C1890" s="294"/>
      <c r="D1890" s="294"/>
      <c r="E1890" s="294"/>
      <c r="F1890" s="294"/>
      <c r="G1890" s="294"/>
      <c r="H1890" s="294"/>
      <c r="I1890" s="294"/>
      <c r="J1890" s="294"/>
      <c r="L1890" s="295"/>
      <c r="M1890" s="294"/>
      <c r="S1890" s="294"/>
      <c r="T1890" s="299"/>
      <c r="U1890" s="294"/>
      <c r="V1890" s="299"/>
      <c r="W1890" s="299"/>
      <c r="X1890" s="294"/>
      <c r="Y1890" s="299"/>
      <c r="Z1890" s="294"/>
      <c r="AA1890" s="299"/>
      <c r="AB1890" s="299"/>
      <c r="AC1890" s="294"/>
      <c r="AD1890" s="294"/>
      <c r="AE1890" s="294"/>
      <c r="AF1890" s="294"/>
    </row>
    <row r="1891" spans="2:32" x14ac:dyDescent="0.25">
      <c r="B1891" s="294"/>
      <c r="C1891" s="294"/>
      <c r="D1891" s="294"/>
      <c r="E1891" s="294"/>
      <c r="F1891" s="294"/>
      <c r="G1891" s="294"/>
      <c r="H1891" s="294"/>
      <c r="I1891" s="294"/>
      <c r="J1891" s="294"/>
      <c r="L1891" s="295"/>
      <c r="M1891" s="294"/>
      <c r="S1891" s="294"/>
      <c r="T1891" s="299"/>
      <c r="U1891" s="294"/>
      <c r="V1891" s="299"/>
      <c r="W1891" s="299"/>
      <c r="X1891" s="294"/>
      <c r="Y1891" s="299"/>
      <c r="Z1891" s="294"/>
      <c r="AA1891" s="299"/>
      <c r="AB1891" s="299"/>
      <c r="AC1891" s="294"/>
      <c r="AD1891" s="294"/>
      <c r="AE1891" s="294"/>
      <c r="AF1891" s="294"/>
    </row>
    <row r="1892" spans="2:32" x14ac:dyDescent="0.25">
      <c r="B1892" s="294"/>
      <c r="C1892" s="294"/>
      <c r="D1892" s="294"/>
      <c r="E1892" s="294"/>
      <c r="F1892" s="294"/>
      <c r="G1892" s="294"/>
      <c r="H1892" s="294"/>
      <c r="I1892" s="294"/>
      <c r="J1892" s="294"/>
      <c r="L1892" s="295"/>
      <c r="M1892" s="294"/>
      <c r="S1892" s="294"/>
      <c r="T1892" s="299"/>
      <c r="U1892" s="294"/>
      <c r="V1892" s="299"/>
      <c r="W1892" s="299"/>
      <c r="X1892" s="294"/>
      <c r="Y1892" s="299"/>
      <c r="Z1892" s="294"/>
      <c r="AA1892" s="299"/>
      <c r="AB1892" s="299"/>
      <c r="AC1892" s="294"/>
      <c r="AD1892" s="294"/>
      <c r="AE1892" s="294"/>
      <c r="AF1892" s="294"/>
    </row>
    <row r="1893" spans="2:32" x14ac:dyDescent="0.25">
      <c r="B1893" s="294"/>
      <c r="C1893" s="294"/>
      <c r="D1893" s="294"/>
      <c r="E1893" s="294"/>
      <c r="F1893" s="294"/>
      <c r="G1893" s="294"/>
      <c r="H1893" s="294"/>
      <c r="I1893" s="294"/>
      <c r="J1893" s="294"/>
      <c r="L1893" s="295"/>
      <c r="M1893" s="294"/>
      <c r="S1893" s="294"/>
      <c r="T1893" s="299"/>
      <c r="U1893" s="294"/>
      <c r="V1893" s="299"/>
      <c r="W1893" s="299"/>
      <c r="X1893" s="294"/>
      <c r="Y1893" s="299"/>
      <c r="Z1893" s="294"/>
      <c r="AA1893" s="299"/>
      <c r="AB1893" s="299"/>
      <c r="AC1893" s="294"/>
      <c r="AD1893" s="294"/>
      <c r="AE1893" s="294"/>
      <c r="AF1893" s="294"/>
    </row>
    <row r="1894" spans="2:32" x14ac:dyDescent="0.25">
      <c r="B1894" s="294"/>
      <c r="C1894" s="294"/>
      <c r="D1894" s="294"/>
      <c r="E1894" s="294"/>
      <c r="F1894" s="294"/>
      <c r="G1894" s="294"/>
      <c r="H1894" s="294"/>
      <c r="I1894" s="294"/>
      <c r="J1894" s="294"/>
      <c r="L1894" s="295"/>
      <c r="M1894" s="294"/>
      <c r="S1894" s="294"/>
      <c r="T1894" s="299"/>
      <c r="U1894" s="294"/>
      <c r="V1894" s="299"/>
      <c r="W1894" s="299"/>
      <c r="X1894" s="294"/>
      <c r="Y1894" s="299"/>
      <c r="Z1894" s="294"/>
      <c r="AA1894" s="299"/>
      <c r="AB1894" s="299"/>
      <c r="AC1894" s="294"/>
      <c r="AD1894" s="294"/>
      <c r="AE1894" s="294"/>
      <c r="AF1894" s="294"/>
    </row>
    <row r="1895" spans="2:32" x14ac:dyDescent="0.25">
      <c r="B1895" s="294"/>
      <c r="C1895" s="294"/>
      <c r="D1895" s="294"/>
      <c r="E1895" s="294"/>
      <c r="F1895" s="294"/>
      <c r="G1895" s="294"/>
      <c r="H1895" s="294"/>
      <c r="I1895" s="294"/>
      <c r="J1895" s="294"/>
      <c r="L1895" s="295"/>
      <c r="M1895" s="294"/>
      <c r="S1895" s="294"/>
      <c r="T1895" s="299"/>
      <c r="U1895" s="294"/>
      <c r="V1895" s="299"/>
      <c r="W1895" s="299"/>
      <c r="X1895" s="294"/>
      <c r="Y1895" s="299"/>
      <c r="Z1895" s="294"/>
      <c r="AA1895" s="299"/>
      <c r="AB1895" s="299"/>
      <c r="AC1895" s="294"/>
      <c r="AD1895" s="294"/>
      <c r="AE1895" s="294"/>
      <c r="AF1895" s="294"/>
    </row>
    <row r="1896" spans="2:32" x14ac:dyDescent="0.25">
      <c r="B1896" s="294"/>
      <c r="C1896" s="294"/>
      <c r="D1896" s="294"/>
      <c r="E1896" s="294"/>
      <c r="F1896" s="294"/>
      <c r="G1896" s="294"/>
      <c r="H1896" s="294"/>
      <c r="I1896" s="294"/>
      <c r="J1896" s="294"/>
      <c r="L1896" s="295"/>
      <c r="M1896" s="294"/>
      <c r="S1896" s="294"/>
      <c r="T1896" s="299"/>
      <c r="U1896" s="294"/>
      <c r="V1896" s="299"/>
      <c r="W1896" s="299"/>
      <c r="X1896" s="294"/>
      <c r="Y1896" s="299"/>
      <c r="Z1896" s="294"/>
      <c r="AA1896" s="299"/>
      <c r="AB1896" s="299"/>
      <c r="AC1896" s="294"/>
      <c r="AD1896" s="294"/>
      <c r="AE1896" s="294"/>
      <c r="AF1896" s="294"/>
    </row>
    <row r="1897" spans="2:32" x14ac:dyDescent="0.25">
      <c r="B1897" s="294"/>
      <c r="C1897" s="294"/>
      <c r="D1897" s="294"/>
      <c r="E1897" s="294"/>
      <c r="F1897" s="294"/>
      <c r="G1897" s="294"/>
      <c r="H1897" s="294"/>
      <c r="I1897" s="294"/>
      <c r="J1897" s="294"/>
      <c r="L1897" s="295"/>
      <c r="M1897" s="294"/>
      <c r="S1897" s="294"/>
      <c r="T1897" s="299"/>
      <c r="U1897" s="294"/>
      <c r="V1897" s="299"/>
      <c r="W1897" s="299"/>
      <c r="X1897" s="294"/>
      <c r="Y1897" s="299"/>
      <c r="Z1897" s="294"/>
      <c r="AA1897" s="299"/>
      <c r="AB1897" s="299"/>
      <c r="AC1897" s="294"/>
      <c r="AD1897" s="294"/>
      <c r="AE1897" s="294"/>
      <c r="AF1897" s="294"/>
    </row>
    <row r="1898" spans="2:32" x14ac:dyDescent="0.25">
      <c r="B1898" s="294"/>
      <c r="C1898" s="294"/>
      <c r="D1898" s="294"/>
      <c r="E1898" s="294"/>
      <c r="F1898" s="294"/>
      <c r="G1898" s="294"/>
      <c r="H1898" s="294"/>
      <c r="I1898" s="294"/>
      <c r="J1898" s="294"/>
      <c r="L1898" s="295"/>
      <c r="M1898" s="294"/>
      <c r="S1898" s="294"/>
      <c r="T1898" s="299"/>
      <c r="U1898" s="294"/>
      <c r="V1898" s="299"/>
      <c r="W1898" s="299"/>
      <c r="X1898" s="294"/>
      <c r="Y1898" s="299"/>
      <c r="Z1898" s="294"/>
      <c r="AA1898" s="299"/>
      <c r="AB1898" s="299"/>
      <c r="AC1898" s="294"/>
      <c r="AD1898" s="294"/>
      <c r="AE1898" s="294"/>
      <c r="AF1898" s="294"/>
    </row>
    <row r="1899" spans="2:32" x14ac:dyDescent="0.25">
      <c r="B1899" s="294"/>
      <c r="C1899" s="294"/>
      <c r="D1899" s="294"/>
      <c r="E1899" s="294"/>
      <c r="F1899" s="294"/>
      <c r="G1899" s="294"/>
      <c r="H1899" s="294"/>
      <c r="I1899" s="294"/>
      <c r="J1899" s="294"/>
      <c r="L1899" s="295"/>
      <c r="M1899" s="294"/>
      <c r="S1899" s="294"/>
      <c r="T1899" s="299"/>
      <c r="U1899" s="294"/>
      <c r="V1899" s="299"/>
      <c r="W1899" s="299"/>
      <c r="X1899" s="294"/>
      <c r="Y1899" s="299"/>
      <c r="Z1899" s="294"/>
      <c r="AA1899" s="299"/>
      <c r="AB1899" s="299"/>
      <c r="AC1899" s="294"/>
      <c r="AD1899" s="294"/>
      <c r="AE1899" s="294"/>
      <c r="AF1899" s="294"/>
    </row>
    <row r="1900" spans="2:32" x14ac:dyDescent="0.25">
      <c r="B1900" s="294"/>
      <c r="C1900" s="294"/>
      <c r="D1900" s="294"/>
      <c r="E1900" s="294"/>
      <c r="F1900" s="294"/>
      <c r="G1900" s="294"/>
      <c r="H1900" s="294"/>
      <c r="I1900" s="294"/>
      <c r="J1900" s="294"/>
      <c r="L1900" s="295"/>
      <c r="M1900" s="294"/>
      <c r="S1900" s="294"/>
      <c r="T1900" s="299"/>
      <c r="U1900" s="294"/>
      <c r="V1900" s="299"/>
      <c r="W1900" s="299"/>
      <c r="X1900" s="294"/>
      <c r="Y1900" s="299"/>
      <c r="Z1900" s="294"/>
      <c r="AA1900" s="299"/>
      <c r="AB1900" s="299"/>
      <c r="AC1900" s="294"/>
      <c r="AD1900" s="294"/>
      <c r="AE1900" s="294"/>
      <c r="AF1900" s="294"/>
    </row>
    <row r="1901" spans="2:32" x14ac:dyDescent="0.25">
      <c r="B1901" s="294"/>
      <c r="C1901" s="294"/>
      <c r="D1901" s="294"/>
      <c r="E1901" s="294"/>
      <c r="F1901" s="294"/>
      <c r="G1901" s="294"/>
      <c r="H1901" s="294"/>
      <c r="I1901" s="294"/>
      <c r="J1901" s="294"/>
      <c r="L1901" s="295"/>
      <c r="M1901" s="294"/>
      <c r="S1901" s="294"/>
      <c r="T1901" s="299"/>
      <c r="U1901" s="294"/>
      <c r="V1901" s="299"/>
      <c r="W1901" s="299"/>
      <c r="X1901" s="294"/>
      <c r="Y1901" s="299"/>
      <c r="Z1901" s="294"/>
      <c r="AA1901" s="299"/>
      <c r="AB1901" s="299"/>
      <c r="AC1901" s="294"/>
      <c r="AD1901" s="294"/>
      <c r="AE1901" s="294"/>
      <c r="AF1901" s="294"/>
    </row>
    <row r="1902" spans="2:32" x14ac:dyDescent="0.25">
      <c r="B1902" s="294"/>
      <c r="C1902" s="294"/>
      <c r="D1902" s="294"/>
      <c r="E1902" s="294"/>
      <c r="F1902" s="294"/>
      <c r="G1902" s="294"/>
      <c r="H1902" s="294"/>
      <c r="I1902" s="294"/>
      <c r="J1902" s="294"/>
      <c r="L1902" s="295"/>
      <c r="M1902" s="294"/>
      <c r="S1902" s="294"/>
      <c r="T1902" s="299"/>
      <c r="U1902" s="294"/>
      <c r="V1902" s="299"/>
      <c r="W1902" s="299"/>
      <c r="X1902" s="294"/>
      <c r="Y1902" s="299"/>
      <c r="Z1902" s="294"/>
      <c r="AA1902" s="299"/>
      <c r="AB1902" s="299"/>
      <c r="AC1902" s="294"/>
      <c r="AD1902" s="294"/>
      <c r="AE1902" s="294"/>
      <c r="AF1902" s="294"/>
    </row>
    <row r="1903" spans="2:32" x14ac:dyDescent="0.25">
      <c r="B1903" s="294"/>
      <c r="C1903" s="294"/>
      <c r="D1903" s="294"/>
      <c r="E1903" s="294"/>
      <c r="F1903" s="294"/>
      <c r="G1903" s="294"/>
      <c r="H1903" s="294"/>
      <c r="I1903" s="294"/>
      <c r="J1903" s="294"/>
      <c r="L1903" s="295"/>
      <c r="M1903" s="294"/>
      <c r="S1903" s="294"/>
      <c r="T1903" s="299"/>
      <c r="U1903" s="294"/>
      <c r="V1903" s="299"/>
      <c r="W1903" s="299"/>
      <c r="X1903" s="294"/>
      <c r="Y1903" s="299"/>
      <c r="Z1903" s="294"/>
      <c r="AA1903" s="299"/>
      <c r="AB1903" s="299"/>
      <c r="AC1903" s="294"/>
      <c r="AD1903" s="294"/>
      <c r="AE1903" s="294"/>
      <c r="AF1903" s="294"/>
    </row>
    <row r="1904" spans="2:32" x14ac:dyDescent="0.25">
      <c r="B1904" s="294"/>
      <c r="C1904" s="294"/>
      <c r="D1904" s="294"/>
      <c r="E1904" s="294"/>
      <c r="F1904" s="294"/>
      <c r="G1904" s="294"/>
      <c r="H1904" s="294"/>
      <c r="I1904" s="294"/>
      <c r="J1904" s="294"/>
      <c r="L1904" s="295"/>
      <c r="M1904" s="294"/>
      <c r="S1904" s="294"/>
      <c r="T1904" s="299"/>
      <c r="U1904" s="294"/>
      <c r="V1904" s="299"/>
      <c r="W1904" s="299"/>
      <c r="X1904" s="294"/>
      <c r="Y1904" s="299"/>
      <c r="Z1904" s="294"/>
      <c r="AA1904" s="299"/>
      <c r="AB1904" s="299"/>
      <c r="AC1904" s="294"/>
      <c r="AD1904" s="294"/>
      <c r="AE1904" s="294"/>
      <c r="AF1904" s="294"/>
    </row>
    <row r="1905" spans="2:32" x14ac:dyDescent="0.25">
      <c r="B1905" s="294"/>
      <c r="C1905" s="294"/>
      <c r="D1905" s="294"/>
      <c r="E1905" s="294"/>
      <c r="F1905" s="294"/>
      <c r="G1905" s="294"/>
      <c r="H1905" s="294"/>
      <c r="I1905" s="294"/>
      <c r="J1905" s="294"/>
      <c r="L1905" s="295"/>
      <c r="M1905" s="294"/>
      <c r="S1905" s="294"/>
      <c r="T1905" s="299"/>
      <c r="U1905" s="294"/>
      <c r="V1905" s="299"/>
      <c r="W1905" s="299"/>
      <c r="X1905" s="294"/>
      <c r="Y1905" s="299"/>
      <c r="Z1905" s="294"/>
      <c r="AA1905" s="299"/>
      <c r="AB1905" s="299"/>
      <c r="AC1905" s="294"/>
      <c r="AD1905" s="294"/>
      <c r="AE1905" s="294"/>
      <c r="AF1905" s="294"/>
    </row>
    <row r="1906" spans="2:32" x14ac:dyDescent="0.25">
      <c r="B1906" s="294"/>
      <c r="C1906" s="294"/>
      <c r="D1906" s="294"/>
      <c r="E1906" s="294"/>
      <c r="F1906" s="294"/>
      <c r="G1906" s="294"/>
      <c r="H1906" s="294"/>
      <c r="I1906" s="294"/>
      <c r="J1906" s="294"/>
      <c r="L1906" s="295"/>
      <c r="M1906" s="294"/>
      <c r="S1906" s="294"/>
      <c r="T1906" s="299"/>
      <c r="U1906" s="294"/>
      <c r="V1906" s="299"/>
      <c r="W1906" s="299"/>
      <c r="X1906" s="294"/>
      <c r="Y1906" s="299"/>
      <c r="Z1906" s="294"/>
      <c r="AA1906" s="299"/>
      <c r="AB1906" s="299"/>
      <c r="AC1906" s="294"/>
      <c r="AD1906" s="294"/>
      <c r="AE1906" s="294"/>
      <c r="AF1906" s="294"/>
    </row>
    <row r="1907" spans="2:32" x14ac:dyDescent="0.25">
      <c r="B1907" s="294"/>
      <c r="C1907" s="294"/>
      <c r="D1907" s="294"/>
      <c r="E1907" s="294"/>
      <c r="F1907" s="294"/>
      <c r="G1907" s="294"/>
      <c r="H1907" s="294"/>
      <c r="I1907" s="294"/>
      <c r="J1907" s="294"/>
      <c r="L1907" s="295"/>
      <c r="M1907" s="294"/>
      <c r="S1907" s="294"/>
      <c r="T1907" s="299"/>
      <c r="U1907" s="294"/>
      <c r="V1907" s="299"/>
      <c r="W1907" s="299"/>
      <c r="X1907" s="294"/>
      <c r="Y1907" s="299"/>
      <c r="Z1907" s="294"/>
      <c r="AA1907" s="299"/>
      <c r="AB1907" s="299"/>
      <c r="AC1907" s="294"/>
      <c r="AD1907" s="294"/>
      <c r="AE1907" s="294"/>
      <c r="AF1907" s="294"/>
    </row>
    <row r="1908" spans="2:32" x14ac:dyDescent="0.25">
      <c r="B1908" s="294"/>
      <c r="C1908" s="294"/>
      <c r="D1908" s="294"/>
      <c r="E1908" s="294"/>
      <c r="F1908" s="294"/>
      <c r="G1908" s="294"/>
      <c r="H1908" s="294"/>
      <c r="I1908" s="294"/>
      <c r="J1908" s="294"/>
      <c r="L1908" s="295"/>
      <c r="M1908" s="294"/>
      <c r="S1908" s="294"/>
      <c r="T1908" s="299"/>
      <c r="U1908" s="294"/>
      <c r="V1908" s="299"/>
      <c r="W1908" s="299"/>
      <c r="X1908" s="294"/>
      <c r="Y1908" s="299"/>
      <c r="Z1908" s="294"/>
      <c r="AA1908" s="299"/>
      <c r="AB1908" s="299"/>
      <c r="AC1908" s="294"/>
      <c r="AD1908" s="294"/>
      <c r="AE1908" s="294"/>
      <c r="AF1908" s="294"/>
    </row>
    <row r="1909" spans="2:32" x14ac:dyDescent="0.25">
      <c r="B1909" s="294"/>
      <c r="C1909" s="294"/>
      <c r="D1909" s="294"/>
      <c r="E1909" s="294"/>
      <c r="F1909" s="294"/>
      <c r="G1909" s="294"/>
      <c r="H1909" s="294"/>
      <c r="I1909" s="294"/>
      <c r="J1909" s="294"/>
      <c r="L1909" s="295"/>
      <c r="M1909" s="294"/>
      <c r="S1909" s="294"/>
      <c r="T1909" s="299"/>
      <c r="U1909" s="294"/>
      <c r="V1909" s="299"/>
      <c r="W1909" s="299"/>
      <c r="X1909" s="294"/>
      <c r="Y1909" s="299"/>
      <c r="Z1909" s="294"/>
      <c r="AA1909" s="299"/>
      <c r="AB1909" s="299"/>
      <c r="AC1909" s="294"/>
      <c r="AD1909" s="294"/>
      <c r="AE1909" s="294"/>
      <c r="AF1909" s="294"/>
    </row>
    <row r="1910" spans="2:32" x14ac:dyDescent="0.25">
      <c r="B1910" s="294"/>
      <c r="C1910" s="294"/>
      <c r="D1910" s="294"/>
      <c r="E1910" s="294"/>
      <c r="F1910" s="294"/>
      <c r="G1910" s="294"/>
      <c r="H1910" s="294"/>
      <c r="I1910" s="294"/>
      <c r="J1910" s="294"/>
      <c r="L1910" s="295"/>
      <c r="M1910" s="294"/>
      <c r="S1910" s="294"/>
      <c r="T1910" s="299"/>
      <c r="U1910" s="294"/>
      <c r="V1910" s="299"/>
      <c r="W1910" s="299"/>
      <c r="X1910" s="294"/>
      <c r="Y1910" s="299"/>
      <c r="Z1910" s="294"/>
      <c r="AA1910" s="299"/>
      <c r="AB1910" s="299"/>
      <c r="AC1910" s="294"/>
      <c r="AD1910" s="294"/>
      <c r="AE1910" s="294"/>
      <c r="AF1910" s="294"/>
    </row>
    <row r="1911" spans="2:32" x14ac:dyDescent="0.25">
      <c r="B1911" s="294"/>
      <c r="C1911" s="294"/>
      <c r="D1911" s="294"/>
      <c r="E1911" s="294"/>
      <c r="F1911" s="294"/>
      <c r="G1911" s="294"/>
      <c r="H1911" s="294"/>
      <c r="I1911" s="294"/>
      <c r="J1911" s="294"/>
      <c r="L1911" s="295"/>
      <c r="M1911" s="294"/>
      <c r="S1911" s="294"/>
      <c r="T1911" s="299"/>
      <c r="U1911" s="294"/>
      <c r="V1911" s="299"/>
      <c r="W1911" s="299"/>
      <c r="X1911" s="294"/>
      <c r="Y1911" s="299"/>
      <c r="Z1911" s="294"/>
      <c r="AA1911" s="299"/>
      <c r="AB1911" s="299"/>
      <c r="AC1911" s="294"/>
      <c r="AD1911" s="294"/>
      <c r="AE1911" s="294"/>
      <c r="AF1911" s="294"/>
    </row>
    <row r="1912" spans="2:32" x14ac:dyDescent="0.25">
      <c r="B1912" s="294"/>
      <c r="C1912" s="294"/>
      <c r="D1912" s="294"/>
      <c r="E1912" s="294"/>
      <c r="F1912" s="294"/>
      <c r="G1912" s="294"/>
      <c r="H1912" s="294"/>
      <c r="I1912" s="294"/>
      <c r="J1912" s="294"/>
      <c r="L1912" s="295"/>
      <c r="M1912" s="294"/>
      <c r="S1912" s="294"/>
      <c r="T1912" s="299"/>
      <c r="U1912" s="294"/>
      <c r="V1912" s="299"/>
      <c r="W1912" s="299"/>
      <c r="X1912" s="294"/>
      <c r="Y1912" s="299"/>
      <c r="Z1912" s="294"/>
      <c r="AA1912" s="299"/>
      <c r="AB1912" s="299"/>
      <c r="AC1912" s="294"/>
      <c r="AD1912" s="294"/>
      <c r="AE1912" s="294"/>
      <c r="AF1912" s="294"/>
    </row>
    <row r="1913" spans="2:32" x14ac:dyDescent="0.25">
      <c r="B1913" s="294"/>
      <c r="C1913" s="294"/>
      <c r="D1913" s="294"/>
      <c r="E1913" s="294"/>
      <c r="F1913" s="294"/>
      <c r="G1913" s="294"/>
      <c r="H1913" s="294"/>
      <c r="I1913" s="294"/>
      <c r="J1913" s="294"/>
      <c r="L1913" s="295"/>
      <c r="M1913" s="294"/>
      <c r="S1913" s="294"/>
      <c r="T1913" s="299"/>
      <c r="U1913" s="294"/>
      <c r="V1913" s="299"/>
      <c r="W1913" s="299"/>
      <c r="X1913" s="294"/>
      <c r="Y1913" s="299"/>
      <c r="Z1913" s="294"/>
      <c r="AA1913" s="299"/>
      <c r="AB1913" s="299"/>
      <c r="AC1913" s="294"/>
      <c r="AD1913" s="294"/>
      <c r="AE1913" s="294"/>
      <c r="AF1913" s="294"/>
    </row>
    <row r="1914" spans="2:32" x14ac:dyDescent="0.25">
      <c r="B1914" s="294"/>
      <c r="C1914" s="294"/>
      <c r="D1914" s="294"/>
      <c r="E1914" s="294"/>
      <c r="F1914" s="294"/>
      <c r="G1914" s="294"/>
      <c r="H1914" s="294"/>
      <c r="I1914" s="294"/>
      <c r="J1914" s="294"/>
      <c r="L1914" s="295"/>
      <c r="M1914" s="294"/>
      <c r="S1914" s="294"/>
      <c r="T1914" s="299"/>
      <c r="U1914" s="294"/>
      <c r="V1914" s="299"/>
      <c r="W1914" s="299"/>
      <c r="X1914" s="294"/>
      <c r="Y1914" s="299"/>
      <c r="Z1914" s="294"/>
      <c r="AA1914" s="299"/>
      <c r="AB1914" s="299"/>
      <c r="AC1914" s="294"/>
      <c r="AD1914" s="294"/>
      <c r="AE1914" s="294"/>
      <c r="AF1914" s="294"/>
    </row>
    <row r="1915" spans="2:32" x14ac:dyDescent="0.25">
      <c r="B1915" s="294"/>
      <c r="C1915" s="294"/>
      <c r="D1915" s="294"/>
      <c r="E1915" s="294"/>
      <c r="F1915" s="294"/>
      <c r="G1915" s="294"/>
      <c r="H1915" s="294"/>
      <c r="I1915" s="294"/>
      <c r="J1915" s="294"/>
      <c r="L1915" s="295"/>
      <c r="M1915" s="294"/>
      <c r="S1915" s="294"/>
      <c r="T1915" s="299"/>
      <c r="U1915" s="294"/>
      <c r="V1915" s="299"/>
      <c r="W1915" s="299"/>
      <c r="X1915" s="294"/>
      <c r="Y1915" s="299"/>
      <c r="Z1915" s="294"/>
      <c r="AA1915" s="299"/>
      <c r="AB1915" s="299"/>
      <c r="AC1915" s="294"/>
      <c r="AD1915" s="294"/>
      <c r="AE1915" s="294"/>
      <c r="AF1915" s="294"/>
    </row>
    <row r="1916" spans="2:32" x14ac:dyDescent="0.25">
      <c r="B1916" s="294"/>
      <c r="C1916" s="294"/>
      <c r="D1916" s="294"/>
      <c r="E1916" s="294"/>
      <c r="F1916" s="294"/>
      <c r="G1916" s="294"/>
      <c r="H1916" s="294"/>
      <c r="I1916" s="294"/>
      <c r="J1916" s="294"/>
      <c r="L1916" s="295"/>
      <c r="M1916" s="294"/>
      <c r="S1916" s="294"/>
      <c r="T1916" s="299"/>
      <c r="U1916" s="294"/>
      <c r="V1916" s="299"/>
      <c r="W1916" s="299"/>
      <c r="X1916" s="294"/>
      <c r="Y1916" s="299"/>
      <c r="Z1916" s="294"/>
      <c r="AA1916" s="299"/>
      <c r="AB1916" s="299"/>
      <c r="AC1916" s="294"/>
      <c r="AD1916" s="294"/>
      <c r="AE1916" s="294"/>
      <c r="AF1916" s="294"/>
    </row>
    <row r="1917" spans="2:32" x14ac:dyDescent="0.25">
      <c r="B1917" s="294"/>
      <c r="C1917" s="294"/>
      <c r="D1917" s="294"/>
      <c r="E1917" s="294"/>
      <c r="F1917" s="294"/>
      <c r="G1917" s="294"/>
      <c r="H1917" s="294"/>
      <c r="I1917" s="294"/>
      <c r="J1917" s="294"/>
      <c r="L1917" s="295"/>
      <c r="M1917" s="294"/>
      <c r="S1917" s="294"/>
      <c r="T1917" s="299"/>
      <c r="U1917" s="294"/>
      <c r="V1917" s="299"/>
      <c r="W1917" s="299"/>
      <c r="X1917" s="294"/>
      <c r="Y1917" s="299"/>
      <c r="Z1917" s="294"/>
      <c r="AA1917" s="299"/>
      <c r="AB1917" s="299"/>
      <c r="AC1917" s="294"/>
      <c r="AD1917" s="294"/>
      <c r="AE1917" s="294"/>
      <c r="AF1917" s="294"/>
    </row>
    <row r="1918" spans="2:32" x14ac:dyDescent="0.25">
      <c r="B1918" s="294"/>
      <c r="C1918" s="294"/>
      <c r="D1918" s="294"/>
      <c r="E1918" s="294"/>
      <c r="F1918" s="294"/>
      <c r="G1918" s="294"/>
      <c r="H1918" s="294"/>
      <c r="I1918" s="294"/>
      <c r="J1918" s="294"/>
      <c r="L1918" s="295"/>
      <c r="M1918" s="294"/>
      <c r="S1918" s="294"/>
      <c r="T1918" s="299"/>
      <c r="U1918" s="294"/>
      <c r="V1918" s="299"/>
      <c r="W1918" s="299"/>
      <c r="X1918" s="294"/>
      <c r="Y1918" s="299"/>
      <c r="Z1918" s="294"/>
      <c r="AA1918" s="299"/>
      <c r="AB1918" s="299"/>
      <c r="AC1918" s="294"/>
      <c r="AD1918" s="294"/>
      <c r="AE1918" s="294"/>
      <c r="AF1918" s="294"/>
    </row>
    <row r="1919" spans="2:32" x14ac:dyDescent="0.25">
      <c r="B1919" s="294"/>
      <c r="C1919" s="294"/>
      <c r="D1919" s="294"/>
      <c r="E1919" s="294"/>
      <c r="F1919" s="294"/>
      <c r="G1919" s="294"/>
      <c r="H1919" s="294"/>
      <c r="I1919" s="294"/>
      <c r="J1919" s="294"/>
      <c r="L1919" s="295"/>
      <c r="M1919" s="294"/>
      <c r="S1919" s="294"/>
      <c r="T1919" s="299"/>
      <c r="U1919" s="294"/>
      <c r="V1919" s="299"/>
      <c r="W1919" s="299"/>
      <c r="X1919" s="294"/>
      <c r="Y1919" s="299"/>
      <c r="Z1919" s="294"/>
      <c r="AA1919" s="299"/>
      <c r="AB1919" s="299"/>
      <c r="AC1919" s="294"/>
      <c r="AD1919" s="294"/>
      <c r="AE1919" s="294"/>
      <c r="AF1919" s="294"/>
    </row>
    <row r="1920" spans="2:32" x14ac:dyDescent="0.25">
      <c r="B1920" s="294"/>
      <c r="C1920" s="294"/>
      <c r="D1920" s="294"/>
      <c r="E1920" s="294"/>
      <c r="F1920" s="294"/>
      <c r="G1920" s="294"/>
      <c r="H1920" s="294"/>
      <c r="I1920" s="294"/>
      <c r="J1920" s="294"/>
      <c r="L1920" s="295"/>
      <c r="M1920" s="294"/>
      <c r="S1920" s="294"/>
      <c r="T1920" s="299"/>
      <c r="U1920" s="294"/>
      <c r="V1920" s="299"/>
      <c r="W1920" s="299"/>
      <c r="X1920" s="294"/>
      <c r="Y1920" s="299"/>
      <c r="Z1920" s="294"/>
      <c r="AA1920" s="299"/>
      <c r="AB1920" s="299"/>
      <c r="AC1920" s="294"/>
      <c r="AD1920" s="294"/>
      <c r="AE1920" s="294"/>
      <c r="AF1920" s="294"/>
    </row>
    <row r="1921" spans="2:32" x14ac:dyDescent="0.25">
      <c r="B1921" s="294"/>
      <c r="C1921" s="294"/>
      <c r="D1921" s="294"/>
      <c r="E1921" s="294"/>
      <c r="F1921" s="294"/>
      <c r="G1921" s="294"/>
      <c r="H1921" s="294"/>
      <c r="I1921" s="294"/>
      <c r="J1921" s="294"/>
      <c r="L1921" s="295"/>
      <c r="M1921" s="294"/>
      <c r="S1921" s="294"/>
      <c r="T1921" s="299"/>
      <c r="U1921" s="294"/>
      <c r="V1921" s="299"/>
      <c r="W1921" s="299"/>
      <c r="X1921" s="294"/>
      <c r="Y1921" s="299"/>
      <c r="Z1921" s="294"/>
      <c r="AA1921" s="299"/>
      <c r="AB1921" s="299"/>
      <c r="AC1921" s="294"/>
      <c r="AD1921" s="294"/>
      <c r="AE1921" s="294"/>
      <c r="AF1921" s="294"/>
    </row>
    <row r="1922" spans="2:32" x14ac:dyDescent="0.25">
      <c r="B1922" s="294"/>
      <c r="C1922" s="294"/>
      <c r="D1922" s="294"/>
      <c r="E1922" s="294"/>
      <c r="F1922" s="294"/>
      <c r="G1922" s="294"/>
      <c r="H1922" s="294"/>
      <c r="I1922" s="294"/>
      <c r="J1922" s="294"/>
      <c r="L1922" s="295"/>
      <c r="M1922" s="294"/>
      <c r="S1922" s="294"/>
      <c r="T1922" s="299"/>
      <c r="U1922" s="294"/>
      <c r="V1922" s="299"/>
      <c r="W1922" s="299"/>
      <c r="X1922" s="294"/>
      <c r="Y1922" s="299"/>
      <c r="Z1922" s="294"/>
      <c r="AA1922" s="299"/>
      <c r="AB1922" s="299"/>
      <c r="AC1922" s="294"/>
      <c r="AD1922" s="294"/>
      <c r="AE1922" s="294"/>
      <c r="AF1922" s="294"/>
    </row>
    <row r="1923" spans="2:32" x14ac:dyDescent="0.25">
      <c r="B1923" s="294"/>
      <c r="C1923" s="294"/>
      <c r="D1923" s="294"/>
      <c r="E1923" s="294"/>
      <c r="F1923" s="294"/>
      <c r="G1923" s="294"/>
      <c r="H1923" s="294"/>
      <c r="I1923" s="294"/>
      <c r="J1923" s="294"/>
      <c r="L1923" s="295"/>
      <c r="M1923" s="294"/>
      <c r="S1923" s="294"/>
      <c r="T1923" s="299"/>
      <c r="U1923" s="294"/>
      <c r="V1923" s="299"/>
      <c r="W1923" s="299"/>
      <c r="X1923" s="294"/>
      <c r="Y1923" s="299"/>
      <c r="Z1923" s="294"/>
      <c r="AA1923" s="299"/>
      <c r="AB1923" s="299"/>
      <c r="AC1923" s="294"/>
      <c r="AD1923" s="294"/>
      <c r="AE1923" s="294"/>
      <c r="AF1923" s="294"/>
    </row>
    <row r="1924" spans="2:32" x14ac:dyDescent="0.25">
      <c r="B1924" s="294"/>
      <c r="C1924" s="294"/>
      <c r="D1924" s="294"/>
      <c r="E1924" s="294"/>
      <c r="F1924" s="294"/>
      <c r="G1924" s="294"/>
      <c r="H1924" s="294"/>
      <c r="I1924" s="294"/>
      <c r="J1924" s="294"/>
      <c r="L1924" s="295"/>
      <c r="M1924" s="294"/>
      <c r="S1924" s="294"/>
      <c r="T1924" s="299"/>
      <c r="U1924" s="294"/>
      <c r="V1924" s="299"/>
      <c r="W1924" s="299"/>
      <c r="X1924" s="294"/>
      <c r="Y1924" s="299"/>
      <c r="Z1924" s="294"/>
      <c r="AA1924" s="299"/>
      <c r="AB1924" s="299"/>
      <c r="AC1924" s="294"/>
      <c r="AD1924" s="294"/>
      <c r="AE1924" s="294"/>
      <c r="AF1924" s="294"/>
    </row>
    <row r="1925" spans="2:32" x14ac:dyDescent="0.25">
      <c r="B1925" s="294"/>
      <c r="C1925" s="294"/>
      <c r="D1925" s="294"/>
      <c r="E1925" s="294"/>
      <c r="F1925" s="294"/>
      <c r="G1925" s="294"/>
      <c r="H1925" s="294"/>
      <c r="I1925" s="294"/>
      <c r="J1925" s="294"/>
      <c r="L1925" s="295"/>
      <c r="M1925" s="294"/>
      <c r="S1925" s="294"/>
      <c r="T1925" s="299"/>
      <c r="U1925" s="294"/>
      <c r="V1925" s="299"/>
      <c r="W1925" s="299"/>
      <c r="X1925" s="294"/>
      <c r="Y1925" s="299"/>
      <c r="Z1925" s="294"/>
      <c r="AA1925" s="299"/>
      <c r="AB1925" s="299"/>
      <c r="AC1925" s="294"/>
      <c r="AD1925" s="294"/>
      <c r="AE1925" s="294"/>
      <c r="AF1925" s="294"/>
    </row>
    <row r="1926" spans="2:32" x14ac:dyDescent="0.25">
      <c r="B1926" s="294"/>
      <c r="C1926" s="294"/>
      <c r="D1926" s="294"/>
      <c r="E1926" s="294"/>
      <c r="F1926" s="294"/>
      <c r="G1926" s="294"/>
      <c r="H1926" s="294"/>
      <c r="I1926" s="294"/>
      <c r="J1926" s="294"/>
      <c r="L1926" s="295"/>
      <c r="M1926" s="294"/>
      <c r="S1926" s="294"/>
      <c r="T1926" s="299"/>
      <c r="U1926" s="294"/>
      <c r="V1926" s="299"/>
      <c r="W1926" s="299"/>
      <c r="X1926" s="294"/>
      <c r="Y1926" s="299"/>
      <c r="Z1926" s="294"/>
      <c r="AA1926" s="299"/>
      <c r="AB1926" s="299"/>
      <c r="AC1926" s="294"/>
      <c r="AD1926" s="294"/>
      <c r="AE1926" s="294"/>
      <c r="AF1926" s="294"/>
    </row>
    <row r="1927" spans="2:32" x14ac:dyDescent="0.25">
      <c r="B1927" s="294"/>
      <c r="C1927" s="294"/>
      <c r="D1927" s="294"/>
      <c r="E1927" s="294"/>
      <c r="F1927" s="294"/>
      <c r="G1927" s="294"/>
      <c r="H1927" s="294"/>
      <c r="I1927" s="294"/>
      <c r="J1927" s="294"/>
      <c r="L1927" s="295"/>
      <c r="M1927" s="294"/>
      <c r="S1927" s="294"/>
      <c r="T1927" s="299"/>
      <c r="U1927" s="294"/>
      <c r="V1927" s="299"/>
      <c r="W1927" s="299"/>
      <c r="X1927" s="294"/>
      <c r="Y1927" s="299"/>
      <c r="Z1927" s="294"/>
      <c r="AA1927" s="299"/>
      <c r="AB1927" s="299"/>
      <c r="AC1927" s="294"/>
      <c r="AD1927" s="294"/>
      <c r="AE1927" s="294"/>
      <c r="AF1927" s="294"/>
    </row>
    <row r="1928" spans="2:32" x14ac:dyDescent="0.25">
      <c r="B1928" s="294"/>
      <c r="C1928" s="294"/>
      <c r="D1928" s="294"/>
      <c r="E1928" s="294"/>
      <c r="F1928" s="294"/>
      <c r="G1928" s="294"/>
      <c r="H1928" s="294"/>
      <c r="I1928" s="294"/>
      <c r="J1928" s="294"/>
      <c r="L1928" s="295"/>
      <c r="M1928" s="294"/>
      <c r="S1928" s="294"/>
      <c r="T1928" s="299"/>
      <c r="U1928" s="294"/>
      <c r="V1928" s="299"/>
      <c r="W1928" s="299"/>
      <c r="X1928" s="294"/>
      <c r="Y1928" s="299"/>
      <c r="Z1928" s="294"/>
      <c r="AA1928" s="299"/>
      <c r="AB1928" s="299"/>
      <c r="AC1928" s="294"/>
      <c r="AD1928" s="294"/>
      <c r="AE1928" s="294"/>
      <c r="AF1928" s="294"/>
    </row>
    <row r="1929" spans="2:32" x14ac:dyDescent="0.25">
      <c r="B1929" s="294"/>
      <c r="C1929" s="294"/>
      <c r="D1929" s="294"/>
      <c r="E1929" s="294"/>
      <c r="F1929" s="294"/>
      <c r="G1929" s="294"/>
      <c r="H1929" s="294"/>
      <c r="I1929" s="294"/>
      <c r="J1929" s="294"/>
      <c r="L1929" s="295"/>
      <c r="M1929" s="294"/>
      <c r="S1929" s="294"/>
      <c r="T1929" s="299"/>
      <c r="U1929" s="294"/>
      <c r="V1929" s="299"/>
      <c r="W1929" s="299"/>
      <c r="X1929" s="294"/>
      <c r="Y1929" s="299"/>
      <c r="Z1929" s="294"/>
      <c r="AA1929" s="299"/>
      <c r="AB1929" s="299"/>
      <c r="AC1929" s="294"/>
      <c r="AD1929" s="294"/>
      <c r="AE1929" s="294"/>
      <c r="AF1929" s="294"/>
    </row>
    <row r="1930" spans="2:32" x14ac:dyDescent="0.25">
      <c r="B1930" s="294"/>
      <c r="C1930" s="294"/>
      <c r="D1930" s="294"/>
      <c r="E1930" s="294"/>
      <c r="F1930" s="294"/>
      <c r="G1930" s="294"/>
      <c r="H1930" s="294"/>
      <c r="I1930" s="294"/>
      <c r="J1930" s="294"/>
      <c r="L1930" s="295"/>
      <c r="M1930" s="294"/>
      <c r="S1930" s="294"/>
      <c r="T1930" s="299"/>
      <c r="U1930" s="294"/>
      <c r="V1930" s="299"/>
      <c r="W1930" s="299"/>
      <c r="X1930" s="294"/>
      <c r="Y1930" s="299"/>
      <c r="Z1930" s="294"/>
      <c r="AA1930" s="299"/>
      <c r="AB1930" s="299"/>
      <c r="AC1930" s="294"/>
      <c r="AD1930" s="294"/>
      <c r="AE1930" s="294"/>
      <c r="AF1930" s="294"/>
    </row>
    <row r="1931" spans="2:32" x14ac:dyDescent="0.25">
      <c r="B1931" s="294"/>
      <c r="C1931" s="294"/>
      <c r="D1931" s="294"/>
      <c r="E1931" s="294"/>
      <c r="F1931" s="294"/>
      <c r="G1931" s="294"/>
      <c r="H1931" s="294"/>
      <c r="I1931" s="294"/>
      <c r="J1931" s="294"/>
      <c r="L1931" s="295"/>
      <c r="M1931" s="294"/>
      <c r="S1931" s="294"/>
      <c r="T1931" s="299"/>
      <c r="U1931" s="294"/>
      <c r="V1931" s="299"/>
      <c r="W1931" s="299"/>
      <c r="X1931" s="294"/>
      <c r="Y1931" s="299"/>
      <c r="Z1931" s="294"/>
      <c r="AA1931" s="299"/>
      <c r="AB1931" s="299"/>
      <c r="AC1931" s="294"/>
      <c r="AD1931" s="294"/>
      <c r="AE1931" s="294"/>
      <c r="AF1931" s="294"/>
    </row>
    <row r="1932" spans="2:32" x14ac:dyDescent="0.25">
      <c r="B1932" s="294"/>
      <c r="C1932" s="294"/>
      <c r="D1932" s="294"/>
      <c r="E1932" s="294"/>
      <c r="F1932" s="294"/>
      <c r="G1932" s="294"/>
      <c r="H1932" s="294"/>
      <c r="I1932" s="294"/>
      <c r="J1932" s="294"/>
      <c r="L1932" s="295"/>
      <c r="M1932" s="294"/>
      <c r="S1932" s="294"/>
      <c r="T1932" s="299"/>
      <c r="U1932" s="294"/>
      <c r="V1932" s="299"/>
      <c r="W1932" s="299"/>
      <c r="X1932" s="294"/>
      <c r="Y1932" s="299"/>
      <c r="Z1932" s="294"/>
      <c r="AA1932" s="299"/>
      <c r="AB1932" s="299"/>
      <c r="AC1932" s="294"/>
      <c r="AD1932" s="294"/>
      <c r="AE1932" s="294"/>
      <c r="AF1932" s="294"/>
    </row>
    <row r="1933" spans="2:32" x14ac:dyDescent="0.25">
      <c r="B1933" s="294"/>
      <c r="C1933" s="294"/>
      <c r="D1933" s="294"/>
      <c r="E1933" s="294"/>
      <c r="F1933" s="294"/>
      <c r="G1933" s="294"/>
      <c r="H1933" s="294"/>
      <c r="I1933" s="294"/>
      <c r="J1933" s="294"/>
      <c r="L1933" s="295"/>
      <c r="M1933" s="294"/>
      <c r="S1933" s="294"/>
      <c r="T1933" s="299"/>
      <c r="U1933" s="294"/>
      <c r="V1933" s="299"/>
      <c r="W1933" s="299"/>
      <c r="X1933" s="294"/>
      <c r="Y1933" s="299"/>
      <c r="Z1933" s="294"/>
      <c r="AA1933" s="299"/>
      <c r="AB1933" s="299"/>
      <c r="AC1933" s="294"/>
      <c r="AD1933" s="294"/>
      <c r="AE1933" s="294"/>
      <c r="AF1933" s="294"/>
    </row>
    <row r="1934" spans="2:32" x14ac:dyDescent="0.25">
      <c r="B1934" s="294"/>
      <c r="C1934" s="294"/>
      <c r="D1934" s="294"/>
      <c r="E1934" s="294"/>
      <c r="F1934" s="294"/>
      <c r="G1934" s="294"/>
      <c r="H1934" s="294"/>
      <c r="I1934" s="294"/>
      <c r="J1934" s="294"/>
      <c r="L1934" s="295"/>
      <c r="M1934" s="294"/>
      <c r="S1934" s="294"/>
      <c r="T1934" s="299"/>
      <c r="U1934" s="294"/>
      <c r="V1934" s="299"/>
      <c r="W1934" s="299"/>
      <c r="X1934" s="294"/>
      <c r="Y1934" s="299"/>
      <c r="Z1934" s="294"/>
      <c r="AA1934" s="299"/>
      <c r="AB1934" s="299"/>
      <c r="AC1934" s="294"/>
      <c r="AD1934" s="294"/>
      <c r="AE1934" s="294"/>
      <c r="AF1934" s="294"/>
    </row>
    <row r="1935" spans="2:32" x14ac:dyDescent="0.25">
      <c r="B1935" s="294"/>
      <c r="C1935" s="294"/>
      <c r="D1935" s="294"/>
      <c r="E1935" s="294"/>
      <c r="F1935" s="294"/>
      <c r="G1935" s="294"/>
      <c r="H1935" s="294"/>
      <c r="I1935" s="294"/>
      <c r="J1935" s="294"/>
      <c r="L1935" s="295"/>
      <c r="M1935" s="294"/>
      <c r="S1935" s="294"/>
      <c r="T1935" s="299"/>
      <c r="U1935" s="294"/>
      <c r="V1935" s="299"/>
      <c r="W1935" s="299"/>
      <c r="X1935" s="294"/>
      <c r="Y1935" s="299"/>
      <c r="Z1935" s="294"/>
      <c r="AA1935" s="299"/>
      <c r="AB1935" s="299"/>
      <c r="AC1935" s="294"/>
      <c r="AD1935" s="294"/>
      <c r="AE1935" s="294"/>
      <c r="AF1935" s="294"/>
    </row>
    <row r="1936" spans="2:32" x14ac:dyDescent="0.25">
      <c r="B1936" s="294"/>
      <c r="C1936" s="294"/>
      <c r="D1936" s="294"/>
      <c r="E1936" s="294"/>
      <c r="F1936" s="294"/>
      <c r="G1936" s="294"/>
      <c r="H1936" s="294"/>
      <c r="I1936" s="294"/>
      <c r="J1936" s="294"/>
      <c r="L1936" s="295"/>
      <c r="M1936" s="294"/>
      <c r="S1936" s="294"/>
      <c r="T1936" s="299"/>
      <c r="U1936" s="294"/>
      <c r="V1936" s="299"/>
      <c r="W1936" s="299"/>
      <c r="X1936" s="294"/>
      <c r="Y1936" s="299"/>
      <c r="Z1936" s="294"/>
      <c r="AA1936" s="299"/>
      <c r="AB1936" s="299"/>
      <c r="AC1936" s="294"/>
      <c r="AD1936" s="294"/>
      <c r="AE1936" s="294"/>
      <c r="AF1936" s="294"/>
    </row>
    <row r="1937" spans="2:32" x14ac:dyDescent="0.25">
      <c r="B1937" s="294"/>
      <c r="C1937" s="294"/>
      <c r="D1937" s="294"/>
      <c r="E1937" s="294"/>
      <c r="F1937" s="294"/>
      <c r="G1937" s="294"/>
      <c r="H1937" s="294"/>
      <c r="I1937" s="294"/>
      <c r="J1937" s="294"/>
      <c r="L1937" s="295"/>
      <c r="M1937" s="294"/>
      <c r="S1937" s="294"/>
      <c r="T1937" s="299"/>
      <c r="U1937" s="294"/>
      <c r="V1937" s="299"/>
      <c r="W1937" s="299"/>
      <c r="X1937" s="294"/>
      <c r="Y1937" s="299"/>
      <c r="Z1937" s="294"/>
      <c r="AA1937" s="299"/>
      <c r="AB1937" s="299"/>
      <c r="AC1937" s="294"/>
      <c r="AD1937" s="294"/>
      <c r="AE1937" s="294"/>
      <c r="AF1937" s="294"/>
    </row>
    <row r="1938" spans="2:32" x14ac:dyDescent="0.25">
      <c r="B1938" s="294"/>
      <c r="C1938" s="294"/>
      <c r="D1938" s="294"/>
      <c r="E1938" s="294"/>
      <c r="F1938" s="294"/>
      <c r="G1938" s="294"/>
      <c r="H1938" s="294"/>
      <c r="I1938" s="294"/>
      <c r="J1938" s="294"/>
      <c r="L1938" s="295"/>
      <c r="M1938" s="294"/>
      <c r="S1938" s="294"/>
      <c r="T1938" s="299"/>
      <c r="U1938" s="294"/>
      <c r="V1938" s="299"/>
      <c r="W1938" s="299"/>
      <c r="X1938" s="294"/>
      <c r="Y1938" s="299"/>
      <c r="Z1938" s="294"/>
      <c r="AA1938" s="299"/>
      <c r="AB1938" s="299"/>
      <c r="AC1938" s="294"/>
      <c r="AD1938" s="294"/>
      <c r="AE1938" s="294"/>
      <c r="AF1938" s="294"/>
    </row>
    <row r="1939" spans="2:32" x14ac:dyDescent="0.25">
      <c r="B1939" s="294"/>
      <c r="C1939" s="294"/>
      <c r="D1939" s="294"/>
      <c r="E1939" s="294"/>
      <c r="F1939" s="294"/>
      <c r="G1939" s="294"/>
      <c r="H1939" s="294"/>
      <c r="I1939" s="294"/>
      <c r="J1939" s="294"/>
      <c r="L1939" s="295"/>
      <c r="M1939" s="294"/>
      <c r="S1939" s="294"/>
      <c r="T1939" s="299"/>
      <c r="U1939" s="294"/>
      <c r="V1939" s="299"/>
      <c r="W1939" s="299"/>
      <c r="X1939" s="294"/>
      <c r="Y1939" s="299"/>
      <c r="Z1939" s="294"/>
      <c r="AA1939" s="299"/>
      <c r="AB1939" s="299"/>
      <c r="AC1939" s="294"/>
      <c r="AD1939" s="294"/>
      <c r="AE1939" s="294"/>
      <c r="AF1939" s="294"/>
    </row>
    <row r="1940" spans="2:32" x14ac:dyDescent="0.25">
      <c r="B1940" s="294"/>
      <c r="C1940" s="294"/>
      <c r="D1940" s="294"/>
      <c r="E1940" s="294"/>
      <c r="F1940" s="294"/>
      <c r="G1940" s="294"/>
      <c r="H1940" s="294"/>
      <c r="I1940" s="294"/>
      <c r="J1940" s="294"/>
      <c r="L1940" s="295"/>
      <c r="M1940" s="294"/>
      <c r="S1940" s="294"/>
      <c r="T1940" s="299"/>
      <c r="U1940" s="294"/>
      <c r="V1940" s="299"/>
      <c r="W1940" s="299"/>
      <c r="X1940" s="294"/>
      <c r="Y1940" s="299"/>
      <c r="Z1940" s="294"/>
      <c r="AA1940" s="299"/>
      <c r="AB1940" s="299"/>
      <c r="AC1940" s="294"/>
      <c r="AD1940" s="294"/>
      <c r="AE1940" s="294"/>
      <c r="AF1940" s="294"/>
    </row>
    <row r="1941" spans="2:32" x14ac:dyDescent="0.25">
      <c r="B1941" s="294"/>
      <c r="C1941" s="294"/>
      <c r="D1941" s="294"/>
      <c r="E1941" s="294"/>
      <c r="F1941" s="294"/>
      <c r="G1941" s="294"/>
      <c r="H1941" s="294"/>
      <c r="I1941" s="294"/>
      <c r="J1941" s="294"/>
      <c r="L1941" s="295"/>
      <c r="M1941" s="294"/>
      <c r="S1941" s="294"/>
      <c r="T1941" s="299"/>
      <c r="U1941" s="294"/>
      <c r="V1941" s="299"/>
      <c r="W1941" s="299"/>
      <c r="X1941" s="294"/>
      <c r="Y1941" s="299"/>
      <c r="Z1941" s="294"/>
      <c r="AA1941" s="299"/>
      <c r="AB1941" s="299"/>
      <c r="AC1941" s="294"/>
      <c r="AD1941" s="294"/>
      <c r="AE1941" s="294"/>
      <c r="AF1941" s="294"/>
    </row>
    <row r="1942" spans="2:32" x14ac:dyDescent="0.25">
      <c r="B1942" s="294"/>
      <c r="C1942" s="294"/>
      <c r="D1942" s="294"/>
      <c r="E1942" s="294"/>
      <c r="F1942" s="294"/>
      <c r="G1942" s="294"/>
      <c r="H1942" s="294"/>
      <c r="I1942" s="294"/>
      <c r="J1942" s="294"/>
      <c r="L1942" s="295"/>
      <c r="M1942" s="294"/>
      <c r="S1942" s="294"/>
      <c r="T1942" s="299"/>
      <c r="U1942" s="294"/>
      <c r="V1942" s="299"/>
      <c r="W1942" s="299"/>
      <c r="X1942" s="294"/>
      <c r="Y1942" s="299"/>
      <c r="Z1942" s="294"/>
      <c r="AA1942" s="299"/>
      <c r="AB1942" s="299"/>
      <c r="AC1942" s="294"/>
      <c r="AD1942" s="294"/>
      <c r="AE1942" s="294"/>
      <c r="AF1942" s="294"/>
    </row>
    <row r="1943" spans="2:32" x14ac:dyDescent="0.25">
      <c r="B1943" s="294"/>
      <c r="C1943" s="294"/>
      <c r="D1943" s="294"/>
      <c r="E1943" s="294"/>
      <c r="F1943" s="294"/>
      <c r="G1943" s="294"/>
      <c r="H1943" s="294"/>
      <c r="I1943" s="294"/>
      <c r="J1943" s="294"/>
      <c r="L1943" s="295"/>
      <c r="M1943" s="294"/>
      <c r="S1943" s="294"/>
      <c r="T1943" s="299"/>
      <c r="U1943" s="294"/>
      <c r="V1943" s="299"/>
      <c r="W1943" s="299"/>
      <c r="X1943" s="294"/>
      <c r="Y1943" s="299"/>
      <c r="Z1943" s="294"/>
      <c r="AA1943" s="299"/>
      <c r="AB1943" s="299"/>
      <c r="AC1943" s="294"/>
      <c r="AD1943" s="294"/>
      <c r="AE1943" s="294"/>
      <c r="AF1943" s="294"/>
    </row>
    <row r="1944" spans="2:32" x14ac:dyDescent="0.25">
      <c r="B1944" s="294"/>
      <c r="C1944" s="294"/>
      <c r="D1944" s="294"/>
      <c r="E1944" s="294"/>
      <c r="F1944" s="294"/>
      <c r="G1944" s="294"/>
      <c r="H1944" s="294"/>
      <c r="I1944" s="294"/>
      <c r="J1944" s="294"/>
      <c r="L1944" s="295"/>
      <c r="M1944" s="294"/>
      <c r="S1944" s="294"/>
      <c r="T1944" s="299"/>
      <c r="U1944" s="294"/>
      <c r="V1944" s="299"/>
      <c r="W1944" s="299"/>
      <c r="X1944" s="294"/>
      <c r="Y1944" s="299"/>
      <c r="Z1944" s="294"/>
      <c r="AA1944" s="299"/>
      <c r="AB1944" s="299"/>
      <c r="AC1944" s="294"/>
      <c r="AD1944" s="294"/>
      <c r="AE1944" s="294"/>
      <c r="AF1944" s="294"/>
    </row>
    <row r="1945" spans="2:32" x14ac:dyDescent="0.25">
      <c r="B1945" s="294"/>
      <c r="C1945" s="294"/>
      <c r="D1945" s="294"/>
      <c r="E1945" s="294"/>
      <c r="F1945" s="294"/>
      <c r="G1945" s="294"/>
      <c r="H1945" s="294"/>
      <c r="I1945" s="294"/>
      <c r="J1945" s="294"/>
      <c r="L1945" s="295"/>
      <c r="M1945" s="294"/>
      <c r="S1945" s="294"/>
      <c r="T1945" s="299"/>
      <c r="U1945" s="294"/>
      <c r="V1945" s="299"/>
      <c r="W1945" s="299"/>
      <c r="X1945" s="294"/>
      <c r="Y1945" s="299"/>
      <c r="Z1945" s="294"/>
      <c r="AA1945" s="299"/>
      <c r="AB1945" s="299"/>
      <c r="AC1945" s="294"/>
      <c r="AD1945" s="294"/>
      <c r="AE1945" s="294"/>
      <c r="AF1945" s="294"/>
    </row>
    <row r="1946" spans="2:32" x14ac:dyDescent="0.25">
      <c r="B1946" s="294"/>
      <c r="C1946" s="294"/>
      <c r="D1946" s="294"/>
      <c r="E1946" s="294"/>
      <c r="F1946" s="294"/>
      <c r="G1946" s="294"/>
      <c r="H1946" s="294"/>
      <c r="I1946" s="294"/>
      <c r="J1946" s="294"/>
      <c r="L1946" s="295"/>
      <c r="M1946" s="294"/>
      <c r="S1946" s="294"/>
      <c r="T1946" s="299"/>
      <c r="U1946" s="294"/>
      <c r="V1946" s="299"/>
      <c r="W1946" s="299"/>
      <c r="X1946" s="294"/>
      <c r="Y1946" s="299"/>
      <c r="Z1946" s="294"/>
      <c r="AA1946" s="299"/>
      <c r="AB1946" s="299"/>
      <c r="AC1946" s="294"/>
      <c r="AD1946" s="294"/>
      <c r="AE1946" s="294"/>
      <c r="AF1946" s="294"/>
    </row>
    <row r="1947" spans="2:32" x14ac:dyDescent="0.25">
      <c r="B1947" s="294"/>
      <c r="C1947" s="294"/>
      <c r="D1947" s="294"/>
      <c r="E1947" s="294"/>
      <c r="F1947" s="294"/>
      <c r="G1947" s="294"/>
      <c r="H1947" s="294"/>
      <c r="I1947" s="294"/>
      <c r="J1947" s="294"/>
      <c r="L1947" s="295"/>
      <c r="M1947" s="294"/>
      <c r="S1947" s="294"/>
      <c r="T1947" s="299"/>
      <c r="U1947" s="294"/>
      <c r="V1947" s="299"/>
      <c r="W1947" s="299"/>
      <c r="X1947" s="294"/>
      <c r="Y1947" s="299"/>
      <c r="Z1947" s="294"/>
      <c r="AA1947" s="299"/>
      <c r="AB1947" s="299"/>
      <c r="AC1947" s="294"/>
      <c r="AD1947" s="294"/>
      <c r="AE1947" s="294"/>
      <c r="AF1947" s="294"/>
    </row>
    <row r="1948" spans="2:32" x14ac:dyDescent="0.25">
      <c r="B1948" s="294"/>
      <c r="C1948" s="294"/>
      <c r="D1948" s="294"/>
      <c r="E1948" s="294"/>
      <c r="F1948" s="294"/>
      <c r="G1948" s="294"/>
      <c r="H1948" s="294"/>
      <c r="I1948" s="294"/>
      <c r="J1948" s="294"/>
      <c r="L1948" s="295"/>
      <c r="M1948" s="294"/>
      <c r="S1948" s="294"/>
      <c r="T1948" s="299"/>
      <c r="U1948" s="294"/>
      <c r="V1948" s="299"/>
      <c r="W1948" s="299"/>
      <c r="X1948" s="294"/>
      <c r="Y1948" s="299"/>
      <c r="Z1948" s="294"/>
      <c r="AA1948" s="299"/>
      <c r="AB1948" s="299"/>
      <c r="AC1948" s="294"/>
      <c r="AD1948" s="294"/>
      <c r="AE1948" s="294"/>
      <c r="AF1948" s="294"/>
    </row>
    <row r="1949" spans="2:32" x14ac:dyDescent="0.25">
      <c r="B1949" s="294"/>
      <c r="C1949" s="294"/>
      <c r="D1949" s="294"/>
      <c r="E1949" s="294"/>
      <c r="F1949" s="294"/>
      <c r="G1949" s="294"/>
      <c r="H1949" s="294"/>
      <c r="I1949" s="294"/>
      <c r="J1949" s="294"/>
      <c r="L1949" s="295"/>
      <c r="M1949" s="294"/>
      <c r="S1949" s="294"/>
      <c r="T1949" s="299"/>
      <c r="U1949" s="294"/>
      <c r="V1949" s="299"/>
      <c r="W1949" s="299"/>
      <c r="X1949" s="294"/>
      <c r="Y1949" s="299"/>
      <c r="Z1949" s="294"/>
      <c r="AA1949" s="299"/>
      <c r="AB1949" s="299"/>
      <c r="AC1949" s="294"/>
      <c r="AD1949" s="294"/>
      <c r="AE1949" s="294"/>
      <c r="AF1949" s="294"/>
    </row>
    <row r="1950" spans="2:32" x14ac:dyDescent="0.25">
      <c r="B1950" s="294"/>
      <c r="C1950" s="294"/>
      <c r="D1950" s="294"/>
      <c r="E1950" s="294"/>
      <c r="F1950" s="294"/>
      <c r="G1950" s="294"/>
      <c r="H1950" s="294"/>
      <c r="I1950" s="294"/>
      <c r="J1950" s="294"/>
      <c r="L1950" s="295"/>
      <c r="M1950" s="294"/>
      <c r="S1950" s="294"/>
      <c r="T1950" s="299"/>
      <c r="U1950" s="294"/>
      <c r="V1950" s="299"/>
      <c r="W1950" s="299"/>
      <c r="X1950" s="294"/>
      <c r="Y1950" s="299"/>
      <c r="Z1950" s="294"/>
      <c r="AA1950" s="299"/>
      <c r="AB1950" s="299"/>
      <c r="AC1950" s="294"/>
      <c r="AD1950" s="294"/>
      <c r="AE1950" s="294"/>
      <c r="AF1950" s="294"/>
    </row>
    <row r="1951" spans="2:32" x14ac:dyDescent="0.25">
      <c r="B1951" s="294"/>
      <c r="C1951" s="294"/>
      <c r="D1951" s="294"/>
      <c r="E1951" s="294"/>
      <c r="F1951" s="294"/>
      <c r="G1951" s="294"/>
      <c r="H1951" s="294"/>
      <c r="I1951" s="294"/>
      <c r="J1951" s="294"/>
      <c r="L1951" s="295"/>
      <c r="M1951" s="294"/>
      <c r="S1951" s="294"/>
      <c r="T1951" s="299"/>
      <c r="U1951" s="294"/>
      <c r="V1951" s="299"/>
      <c r="W1951" s="299"/>
      <c r="X1951" s="294"/>
      <c r="Y1951" s="299"/>
      <c r="Z1951" s="294"/>
      <c r="AA1951" s="299"/>
      <c r="AB1951" s="299"/>
      <c r="AC1951" s="294"/>
      <c r="AD1951" s="294"/>
      <c r="AE1951" s="294"/>
      <c r="AF1951" s="294"/>
    </row>
    <row r="1952" spans="2:32" x14ac:dyDescent="0.25">
      <c r="B1952" s="294"/>
      <c r="C1952" s="294"/>
      <c r="D1952" s="294"/>
      <c r="E1952" s="294"/>
      <c r="F1952" s="294"/>
      <c r="G1952" s="294"/>
      <c r="H1952" s="294"/>
      <c r="I1952" s="294"/>
      <c r="J1952" s="294"/>
      <c r="L1952" s="295"/>
      <c r="M1952" s="294"/>
      <c r="S1952" s="294"/>
      <c r="T1952" s="299"/>
      <c r="U1952" s="294"/>
      <c r="V1952" s="299"/>
      <c r="W1952" s="299"/>
      <c r="X1952" s="294"/>
      <c r="Y1952" s="299"/>
      <c r="Z1952" s="294"/>
      <c r="AA1952" s="299"/>
      <c r="AB1952" s="299"/>
      <c r="AC1952" s="294"/>
      <c r="AD1952" s="294"/>
      <c r="AE1952" s="294"/>
      <c r="AF1952" s="294"/>
    </row>
    <row r="1953" spans="2:32" x14ac:dyDescent="0.25">
      <c r="B1953" s="294"/>
      <c r="C1953" s="294"/>
      <c r="D1953" s="294"/>
      <c r="E1953" s="294"/>
      <c r="F1953" s="294"/>
      <c r="G1953" s="294"/>
      <c r="H1953" s="294"/>
      <c r="I1953" s="294"/>
      <c r="J1953" s="294"/>
      <c r="L1953" s="295"/>
      <c r="M1953" s="294"/>
      <c r="S1953" s="294"/>
      <c r="T1953" s="299"/>
      <c r="U1953" s="294"/>
      <c r="V1953" s="299"/>
      <c r="W1953" s="299"/>
      <c r="X1953" s="294"/>
      <c r="Y1953" s="299"/>
      <c r="Z1953" s="294"/>
      <c r="AA1953" s="299"/>
      <c r="AB1953" s="299"/>
      <c r="AC1953" s="294"/>
      <c r="AD1953" s="294"/>
      <c r="AE1953" s="294"/>
      <c r="AF1953" s="294"/>
    </row>
    <row r="1954" spans="2:32" x14ac:dyDescent="0.25">
      <c r="B1954" s="294"/>
      <c r="C1954" s="294"/>
      <c r="D1954" s="294"/>
      <c r="E1954" s="294"/>
      <c r="F1954" s="294"/>
      <c r="G1954" s="294"/>
      <c r="H1954" s="294"/>
      <c r="I1954" s="294"/>
      <c r="J1954" s="294"/>
      <c r="L1954" s="295"/>
      <c r="M1954" s="294"/>
      <c r="S1954" s="294"/>
      <c r="T1954" s="299"/>
      <c r="U1954" s="294"/>
      <c r="V1954" s="299"/>
      <c r="W1954" s="299"/>
      <c r="X1954" s="294"/>
      <c r="Y1954" s="299"/>
      <c r="Z1954" s="294"/>
      <c r="AA1954" s="299"/>
      <c r="AB1954" s="299"/>
      <c r="AC1954" s="294"/>
      <c r="AD1954" s="294"/>
      <c r="AE1954" s="294"/>
      <c r="AF1954" s="294"/>
    </row>
    <row r="1955" spans="2:32" x14ac:dyDescent="0.25">
      <c r="B1955" s="294"/>
      <c r="C1955" s="294"/>
      <c r="D1955" s="294"/>
      <c r="E1955" s="294"/>
      <c r="F1955" s="294"/>
      <c r="G1955" s="294"/>
      <c r="H1955" s="294"/>
      <c r="I1955" s="294"/>
      <c r="J1955" s="294"/>
      <c r="L1955" s="295"/>
      <c r="M1955" s="294"/>
      <c r="S1955" s="294"/>
      <c r="T1955" s="299"/>
      <c r="U1955" s="294"/>
      <c r="V1955" s="299"/>
      <c r="W1955" s="299"/>
      <c r="X1955" s="294"/>
      <c r="Y1955" s="299"/>
      <c r="Z1955" s="294"/>
      <c r="AA1955" s="299"/>
      <c r="AB1955" s="299"/>
      <c r="AC1955" s="294"/>
      <c r="AD1955" s="294"/>
      <c r="AE1955" s="294"/>
      <c r="AF1955" s="294"/>
    </row>
    <row r="1956" spans="2:32" x14ac:dyDescent="0.25">
      <c r="B1956" s="294"/>
      <c r="C1956" s="294"/>
      <c r="D1956" s="294"/>
      <c r="E1956" s="294"/>
      <c r="F1956" s="294"/>
      <c r="G1956" s="294"/>
      <c r="H1956" s="294"/>
      <c r="I1956" s="294"/>
      <c r="J1956" s="294"/>
      <c r="L1956" s="295"/>
      <c r="M1956" s="294"/>
      <c r="S1956" s="294"/>
      <c r="T1956" s="299"/>
      <c r="U1956" s="294"/>
      <c r="V1956" s="299"/>
      <c r="W1956" s="299"/>
      <c r="X1956" s="294"/>
      <c r="Y1956" s="299"/>
      <c r="Z1956" s="294"/>
      <c r="AA1956" s="299"/>
      <c r="AB1956" s="299"/>
      <c r="AC1956" s="294"/>
      <c r="AD1956" s="294"/>
      <c r="AE1956" s="294"/>
      <c r="AF1956" s="294"/>
    </row>
    <row r="1957" spans="2:32" x14ac:dyDescent="0.25">
      <c r="B1957" s="294"/>
      <c r="C1957" s="294"/>
      <c r="D1957" s="294"/>
      <c r="E1957" s="294"/>
      <c r="F1957" s="294"/>
      <c r="G1957" s="294"/>
      <c r="H1957" s="294"/>
      <c r="I1957" s="294"/>
      <c r="J1957" s="294"/>
      <c r="L1957" s="295"/>
      <c r="M1957" s="294"/>
      <c r="S1957" s="294"/>
      <c r="T1957" s="299"/>
      <c r="U1957" s="294"/>
      <c r="V1957" s="299"/>
      <c r="W1957" s="299"/>
      <c r="X1957" s="294"/>
      <c r="Y1957" s="299"/>
      <c r="Z1957" s="294"/>
      <c r="AA1957" s="299"/>
      <c r="AB1957" s="299"/>
      <c r="AC1957" s="294"/>
      <c r="AD1957" s="294"/>
      <c r="AE1957" s="294"/>
      <c r="AF1957" s="294"/>
    </row>
    <row r="1958" spans="2:32" x14ac:dyDescent="0.25">
      <c r="B1958" s="294"/>
      <c r="C1958" s="294"/>
      <c r="D1958" s="294"/>
      <c r="E1958" s="294"/>
      <c r="F1958" s="294"/>
      <c r="G1958" s="294"/>
      <c r="H1958" s="294"/>
      <c r="I1958" s="294"/>
      <c r="J1958" s="294"/>
      <c r="L1958" s="295"/>
      <c r="M1958" s="294"/>
      <c r="S1958" s="294"/>
      <c r="T1958" s="299"/>
      <c r="U1958" s="294"/>
      <c r="V1958" s="299"/>
      <c r="W1958" s="299"/>
      <c r="X1958" s="294"/>
      <c r="Y1958" s="299"/>
      <c r="Z1958" s="294"/>
      <c r="AA1958" s="299"/>
      <c r="AB1958" s="299"/>
      <c r="AC1958" s="294"/>
      <c r="AD1958" s="294"/>
      <c r="AE1958" s="294"/>
      <c r="AF1958" s="294"/>
    </row>
    <row r="1959" spans="2:32" x14ac:dyDescent="0.25">
      <c r="B1959" s="294"/>
      <c r="C1959" s="294"/>
      <c r="D1959" s="294"/>
      <c r="E1959" s="294"/>
      <c r="F1959" s="294"/>
      <c r="G1959" s="294"/>
      <c r="H1959" s="294"/>
      <c r="I1959" s="294"/>
      <c r="J1959" s="294"/>
      <c r="L1959" s="295"/>
      <c r="M1959" s="294"/>
      <c r="S1959" s="294"/>
      <c r="T1959" s="299"/>
      <c r="U1959" s="294"/>
      <c r="V1959" s="299"/>
      <c r="W1959" s="299"/>
      <c r="X1959" s="294"/>
      <c r="Y1959" s="299"/>
      <c r="Z1959" s="294"/>
      <c r="AA1959" s="299"/>
      <c r="AB1959" s="299"/>
      <c r="AC1959" s="294"/>
      <c r="AD1959" s="294"/>
      <c r="AE1959" s="294"/>
      <c r="AF1959" s="294"/>
    </row>
    <row r="1960" spans="2:32" x14ac:dyDescent="0.25">
      <c r="B1960" s="294"/>
      <c r="C1960" s="294"/>
      <c r="D1960" s="294"/>
      <c r="E1960" s="294"/>
      <c r="F1960" s="294"/>
      <c r="G1960" s="294"/>
      <c r="H1960" s="294"/>
      <c r="I1960" s="294"/>
      <c r="J1960" s="294"/>
      <c r="L1960" s="295"/>
      <c r="M1960" s="294"/>
      <c r="S1960" s="294"/>
      <c r="T1960" s="299"/>
      <c r="U1960" s="294"/>
      <c r="V1960" s="299"/>
      <c r="W1960" s="299"/>
      <c r="X1960" s="294"/>
      <c r="Y1960" s="299"/>
      <c r="Z1960" s="294"/>
      <c r="AA1960" s="299"/>
      <c r="AB1960" s="299"/>
      <c r="AC1960" s="294"/>
      <c r="AD1960" s="294"/>
      <c r="AE1960" s="294"/>
      <c r="AF1960" s="294"/>
    </row>
    <row r="1961" spans="2:32" x14ac:dyDescent="0.25">
      <c r="B1961" s="294"/>
      <c r="C1961" s="294"/>
      <c r="D1961" s="294"/>
      <c r="E1961" s="294"/>
      <c r="F1961" s="294"/>
      <c r="G1961" s="294"/>
      <c r="H1961" s="294"/>
      <c r="I1961" s="294"/>
      <c r="J1961" s="294"/>
      <c r="L1961" s="295"/>
      <c r="M1961" s="294"/>
      <c r="S1961" s="294"/>
      <c r="T1961" s="299"/>
      <c r="U1961" s="294"/>
      <c r="V1961" s="299"/>
      <c r="W1961" s="299"/>
      <c r="X1961" s="294"/>
      <c r="Y1961" s="299"/>
      <c r="Z1961" s="294"/>
      <c r="AA1961" s="299"/>
      <c r="AB1961" s="299"/>
      <c r="AC1961" s="294"/>
      <c r="AD1961" s="294"/>
      <c r="AE1961" s="294"/>
      <c r="AF1961" s="294"/>
    </row>
    <row r="1962" spans="2:32" x14ac:dyDescent="0.25">
      <c r="B1962" s="294"/>
      <c r="C1962" s="294"/>
      <c r="D1962" s="294"/>
      <c r="E1962" s="294"/>
      <c r="F1962" s="294"/>
      <c r="G1962" s="294"/>
      <c r="H1962" s="294"/>
      <c r="I1962" s="294"/>
      <c r="J1962" s="294"/>
      <c r="L1962" s="295"/>
      <c r="M1962" s="294"/>
      <c r="S1962" s="294"/>
      <c r="T1962" s="299"/>
      <c r="U1962" s="294"/>
      <c r="V1962" s="299"/>
      <c r="W1962" s="299"/>
      <c r="X1962" s="294"/>
      <c r="Y1962" s="299"/>
      <c r="Z1962" s="294"/>
      <c r="AA1962" s="299"/>
      <c r="AB1962" s="299"/>
      <c r="AC1962" s="294"/>
      <c r="AD1962" s="294"/>
      <c r="AE1962" s="294"/>
      <c r="AF1962" s="294"/>
    </row>
    <row r="1963" spans="2:32" x14ac:dyDescent="0.25">
      <c r="B1963" s="294"/>
      <c r="C1963" s="294"/>
      <c r="D1963" s="294"/>
      <c r="E1963" s="294"/>
      <c r="F1963" s="294"/>
      <c r="G1963" s="294"/>
      <c r="H1963" s="294"/>
      <c r="I1963" s="294"/>
      <c r="J1963" s="294"/>
      <c r="L1963" s="295"/>
      <c r="M1963" s="294"/>
      <c r="S1963" s="294"/>
      <c r="T1963" s="299"/>
      <c r="U1963" s="294"/>
      <c r="V1963" s="299"/>
      <c r="W1963" s="299"/>
      <c r="X1963" s="294"/>
      <c r="Y1963" s="299"/>
      <c r="Z1963" s="294"/>
      <c r="AA1963" s="299"/>
      <c r="AB1963" s="299"/>
      <c r="AC1963" s="294"/>
      <c r="AD1963" s="294"/>
      <c r="AE1963" s="294"/>
      <c r="AF1963" s="294"/>
    </row>
    <row r="1964" spans="2:32" x14ac:dyDescent="0.25">
      <c r="B1964" s="294"/>
      <c r="C1964" s="294"/>
      <c r="D1964" s="294"/>
      <c r="E1964" s="294"/>
      <c r="F1964" s="294"/>
      <c r="G1964" s="294"/>
      <c r="H1964" s="294"/>
      <c r="I1964" s="294"/>
      <c r="J1964" s="294"/>
      <c r="L1964" s="295"/>
      <c r="M1964" s="294"/>
      <c r="S1964" s="294"/>
      <c r="T1964" s="299"/>
      <c r="U1964" s="294"/>
      <c r="V1964" s="299"/>
      <c r="W1964" s="299"/>
      <c r="X1964" s="294"/>
      <c r="Y1964" s="299"/>
      <c r="Z1964" s="294"/>
      <c r="AA1964" s="299"/>
      <c r="AB1964" s="299"/>
      <c r="AC1964" s="294"/>
      <c r="AD1964" s="294"/>
      <c r="AE1964" s="294"/>
      <c r="AF1964" s="294"/>
    </row>
    <row r="1965" spans="2:32" x14ac:dyDescent="0.25">
      <c r="B1965" s="294"/>
      <c r="C1965" s="294"/>
      <c r="D1965" s="294"/>
      <c r="E1965" s="294"/>
      <c r="F1965" s="294"/>
      <c r="G1965" s="294"/>
      <c r="H1965" s="294"/>
      <c r="I1965" s="294"/>
      <c r="J1965" s="294"/>
      <c r="L1965" s="295"/>
      <c r="M1965" s="294"/>
      <c r="S1965" s="294"/>
      <c r="T1965" s="299"/>
      <c r="U1965" s="294"/>
      <c r="V1965" s="299"/>
      <c r="W1965" s="299"/>
      <c r="X1965" s="294"/>
      <c r="Y1965" s="299"/>
      <c r="Z1965" s="294"/>
      <c r="AA1965" s="299"/>
      <c r="AB1965" s="299"/>
      <c r="AC1965" s="294"/>
      <c r="AD1965" s="294"/>
      <c r="AE1965" s="294"/>
      <c r="AF1965" s="294"/>
    </row>
    <row r="1966" spans="2:32" x14ac:dyDescent="0.25">
      <c r="B1966" s="294"/>
      <c r="C1966" s="294"/>
      <c r="D1966" s="294"/>
      <c r="E1966" s="294"/>
      <c r="F1966" s="294"/>
      <c r="G1966" s="294"/>
      <c r="H1966" s="294"/>
      <c r="I1966" s="294"/>
      <c r="J1966" s="294"/>
      <c r="L1966" s="295"/>
      <c r="M1966" s="294"/>
      <c r="S1966" s="294"/>
      <c r="T1966" s="299"/>
      <c r="U1966" s="294"/>
      <c r="V1966" s="299"/>
      <c r="W1966" s="299"/>
      <c r="X1966" s="294"/>
      <c r="Y1966" s="299"/>
      <c r="Z1966" s="294"/>
      <c r="AA1966" s="299"/>
      <c r="AB1966" s="299"/>
      <c r="AC1966" s="294"/>
      <c r="AD1966" s="294"/>
      <c r="AE1966" s="294"/>
      <c r="AF1966" s="294"/>
    </row>
    <row r="1967" spans="2:32" x14ac:dyDescent="0.25">
      <c r="B1967" s="294"/>
      <c r="C1967" s="294"/>
      <c r="D1967" s="294"/>
      <c r="E1967" s="294"/>
      <c r="F1967" s="294"/>
      <c r="G1967" s="294"/>
      <c r="H1967" s="294"/>
      <c r="I1967" s="294"/>
      <c r="J1967" s="294"/>
      <c r="L1967" s="295"/>
      <c r="M1967" s="294"/>
      <c r="S1967" s="294"/>
      <c r="T1967" s="299"/>
      <c r="U1967" s="294"/>
      <c r="V1967" s="299"/>
      <c r="W1967" s="299"/>
      <c r="X1967" s="294"/>
      <c r="Y1967" s="299"/>
      <c r="Z1967" s="294"/>
      <c r="AA1967" s="299"/>
      <c r="AB1967" s="299"/>
      <c r="AC1967" s="294"/>
      <c r="AD1967" s="294"/>
      <c r="AE1967" s="294"/>
      <c r="AF1967" s="294"/>
    </row>
    <row r="1968" spans="2:32" x14ac:dyDescent="0.25">
      <c r="B1968" s="294"/>
      <c r="C1968" s="294"/>
      <c r="D1968" s="294"/>
      <c r="E1968" s="294"/>
      <c r="F1968" s="294"/>
      <c r="G1968" s="294"/>
      <c r="H1968" s="294"/>
      <c r="I1968" s="294"/>
      <c r="J1968" s="294"/>
      <c r="L1968" s="295"/>
      <c r="M1968" s="294"/>
      <c r="S1968" s="294"/>
      <c r="T1968" s="299"/>
      <c r="U1968" s="294"/>
      <c r="V1968" s="299"/>
      <c r="W1968" s="299"/>
      <c r="X1968" s="294"/>
      <c r="Y1968" s="299"/>
      <c r="Z1968" s="294"/>
      <c r="AA1968" s="299"/>
      <c r="AB1968" s="299"/>
      <c r="AC1968" s="294"/>
      <c r="AD1968" s="294"/>
      <c r="AE1968" s="294"/>
      <c r="AF1968" s="294"/>
    </row>
    <row r="1969" spans="2:32" x14ac:dyDescent="0.25">
      <c r="B1969" s="294"/>
      <c r="C1969" s="294"/>
      <c r="D1969" s="294"/>
      <c r="E1969" s="294"/>
      <c r="F1969" s="294"/>
      <c r="G1969" s="294"/>
      <c r="H1969" s="294"/>
      <c r="I1969" s="294"/>
      <c r="J1969" s="294"/>
      <c r="L1969" s="295"/>
      <c r="M1969" s="294"/>
      <c r="S1969" s="294"/>
      <c r="T1969" s="299"/>
      <c r="U1969" s="294"/>
      <c r="V1969" s="299"/>
      <c r="W1969" s="299"/>
      <c r="X1969" s="294"/>
      <c r="Y1969" s="299"/>
      <c r="Z1969" s="294"/>
      <c r="AA1969" s="299"/>
      <c r="AB1969" s="299"/>
      <c r="AC1969" s="294"/>
      <c r="AD1969" s="294"/>
      <c r="AE1969" s="294"/>
      <c r="AF1969" s="294"/>
    </row>
    <row r="1970" spans="2:32" x14ac:dyDescent="0.25">
      <c r="B1970" s="294"/>
      <c r="C1970" s="294"/>
      <c r="D1970" s="294"/>
      <c r="E1970" s="294"/>
      <c r="F1970" s="294"/>
      <c r="G1970" s="294"/>
      <c r="H1970" s="294"/>
      <c r="I1970" s="294"/>
      <c r="J1970" s="294"/>
      <c r="L1970" s="295"/>
      <c r="M1970" s="294"/>
      <c r="S1970" s="294"/>
      <c r="T1970" s="299"/>
      <c r="U1970" s="294"/>
      <c r="V1970" s="299"/>
      <c r="W1970" s="299"/>
      <c r="X1970" s="294"/>
      <c r="Y1970" s="299"/>
      <c r="Z1970" s="294"/>
      <c r="AA1970" s="299"/>
      <c r="AB1970" s="299"/>
      <c r="AC1970" s="294"/>
      <c r="AD1970" s="294"/>
      <c r="AE1970" s="294"/>
      <c r="AF1970" s="294"/>
    </row>
    <row r="1971" spans="2:32" x14ac:dyDescent="0.25">
      <c r="B1971" s="294"/>
      <c r="C1971" s="294"/>
      <c r="D1971" s="294"/>
      <c r="E1971" s="294"/>
      <c r="F1971" s="294"/>
      <c r="G1971" s="294"/>
      <c r="H1971" s="294"/>
      <c r="I1971" s="294"/>
      <c r="J1971" s="294"/>
      <c r="L1971" s="295"/>
      <c r="M1971" s="294"/>
      <c r="S1971" s="294"/>
      <c r="T1971" s="299"/>
      <c r="U1971" s="294"/>
      <c r="V1971" s="299"/>
      <c r="W1971" s="299"/>
      <c r="X1971" s="294"/>
      <c r="Y1971" s="299"/>
      <c r="Z1971" s="294"/>
      <c r="AA1971" s="299"/>
      <c r="AB1971" s="299"/>
      <c r="AC1971" s="294"/>
      <c r="AD1971" s="294"/>
      <c r="AE1971" s="294"/>
      <c r="AF1971" s="294"/>
    </row>
    <row r="1972" spans="2:32" x14ac:dyDescent="0.25">
      <c r="B1972" s="294"/>
      <c r="C1972" s="294"/>
      <c r="D1972" s="294"/>
      <c r="E1972" s="294"/>
      <c r="F1972" s="294"/>
      <c r="G1972" s="294"/>
      <c r="H1972" s="294"/>
      <c r="I1972" s="294"/>
      <c r="J1972" s="294"/>
      <c r="L1972" s="295"/>
      <c r="M1972" s="294"/>
      <c r="S1972" s="294"/>
      <c r="T1972" s="299"/>
      <c r="U1972" s="294"/>
      <c r="V1972" s="299"/>
      <c r="W1972" s="299"/>
      <c r="X1972" s="294"/>
      <c r="Y1972" s="299"/>
      <c r="Z1972" s="294"/>
      <c r="AA1972" s="299"/>
      <c r="AB1972" s="299"/>
      <c r="AC1972" s="294"/>
      <c r="AD1972" s="294"/>
      <c r="AE1972" s="294"/>
      <c r="AF1972" s="294"/>
    </row>
    <row r="1973" spans="2:32" x14ac:dyDescent="0.25">
      <c r="B1973" s="294"/>
      <c r="C1973" s="294"/>
      <c r="D1973" s="294"/>
      <c r="E1973" s="294"/>
      <c r="F1973" s="294"/>
      <c r="G1973" s="294"/>
      <c r="H1973" s="294"/>
      <c r="I1973" s="294"/>
      <c r="J1973" s="294"/>
      <c r="L1973" s="295"/>
      <c r="M1973" s="294"/>
      <c r="S1973" s="294"/>
      <c r="T1973" s="299"/>
      <c r="U1973" s="294"/>
      <c r="V1973" s="299"/>
      <c r="W1973" s="299"/>
      <c r="X1973" s="294"/>
      <c r="Y1973" s="299"/>
      <c r="Z1973" s="294"/>
      <c r="AA1973" s="299"/>
      <c r="AB1973" s="299"/>
      <c r="AC1973" s="294"/>
      <c r="AD1973" s="294"/>
      <c r="AE1973" s="294"/>
      <c r="AF1973" s="294"/>
    </row>
    <row r="1974" spans="2:32" x14ac:dyDescent="0.25">
      <c r="B1974" s="294"/>
      <c r="C1974" s="294"/>
      <c r="D1974" s="294"/>
      <c r="E1974" s="294"/>
      <c r="F1974" s="294"/>
      <c r="G1974" s="294"/>
      <c r="H1974" s="294"/>
      <c r="I1974" s="294"/>
      <c r="J1974" s="294"/>
      <c r="L1974" s="295"/>
      <c r="M1974" s="294"/>
      <c r="S1974" s="294"/>
      <c r="T1974" s="299"/>
      <c r="U1974" s="294"/>
      <c r="V1974" s="299"/>
      <c r="W1974" s="299"/>
      <c r="X1974" s="294"/>
      <c r="Y1974" s="299"/>
      <c r="Z1974" s="294"/>
      <c r="AA1974" s="299"/>
      <c r="AB1974" s="299"/>
      <c r="AC1974" s="294"/>
      <c r="AD1974" s="294"/>
      <c r="AE1974" s="294"/>
      <c r="AF1974" s="294"/>
    </row>
    <row r="1975" spans="2:32" x14ac:dyDescent="0.25">
      <c r="B1975" s="294"/>
      <c r="C1975" s="294"/>
      <c r="D1975" s="294"/>
      <c r="E1975" s="294"/>
      <c r="F1975" s="294"/>
      <c r="G1975" s="294"/>
      <c r="H1975" s="294"/>
      <c r="I1975" s="294"/>
      <c r="J1975" s="294"/>
      <c r="L1975" s="295"/>
      <c r="M1975" s="294"/>
      <c r="S1975" s="294"/>
      <c r="T1975" s="299"/>
      <c r="U1975" s="294"/>
      <c r="V1975" s="299"/>
      <c r="W1975" s="299"/>
      <c r="X1975" s="294"/>
      <c r="Y1975" s="299"/>
      <c r="Z1975" s="294"/>
      <c r="AA1975" s="299"/>
      <c r="AB1975" s="299"/>
      <c r="AC1975" s="294"/>
      <c r="AD1975" s="294"/>
      <c r="AE1975" s="294"/>
      <c r="AF1975" s="294"/>
    </row>
    <row r="1976" spans="2:32" x14ac:dyDescent="0.25">
      <c r="B1976" s="294"/>
      <c r="C1976" s="294"/>
      <c r="D1976" s="294"/>
      <c r="E1976" s="294"/>
      <c r="F1976" s="294"/>
      <c r="G1976" s="294"/>
      <c r="H1976" s="294"/>
      <c r="I1976" s="294"/>
      <c r="J1976" s="294"/>
      <c r="L1976" s="295"/>
      <c r="M1976" s="294"/>
      <c r="S1976" s="294"/>
      <c r="T1976" s="299"/>
      <c r="U1976" s="294"/>
      <c r="V1976" s="299"/>
      <c r="W1976" s="299"/>
      <c r="X1976" s="294"/>
      <c r="Y1976" s="299"/>
      <c r="Z1976" s="294"/>
      <c r="AA1976" s="299"/>
      <c r="AB1976" s="299"/>
      <c r="AC1976" s="294"/>
      <c r="AD1976" s="294"/>
      <c r="AE1976" s="294"/>
      <c r="AF1976" s="294"/>
    </row>
    <row r="1977" spans="2:32" x14ac:dyDescent="0.25">
      <c r="B1977" s="294"/>
      <c r="C1977" s="294"/>
      <c r="D1977" s="294"/>
      <c r="E1977" s="294"/>
      <c r="F1977" s="294"/>
      <c r="G1977" s="294"/>
      <c r="H1977" s="294"/>
      <c r="I1977" s="294"/>
      <c r="J1977" s="294"/>
      <c r="L1977" s="295"/>
      <c r="M1977" s="294"/>
      <c r="S1977" s="294"/>
      <c r="T1977" s="299"/>
      <c r="U1977" s="294"/>
      <c r="V1977" s="299"/>
      <c r="W1977" s="299"/>
      <c r="X1977" s="294"/>
      <c r="Y1977" s="299"/>
      <c r="Z1977" s="294"/>
      <c r="AA1977" s="299"/>
      <c r="AB1977" s="299"/>
      <c r="AC1977" s="294"/>
      <c r="AD1977" s="294"/>
      <c r="AE1977" s="294"/>
      <c r="AF1977" s="294"/>
    </row>
    <row r="1978" spans="2:32" x14ac:dyDescent="0.25">
      <c r="B1978" s="294"/>
      <c r="C1978" s="294"/>
      <c r="D1978" s="294"/>
      <c r="E1978" s="294"/>
      <c r="F1978" s="294"/>
      <c r="G1978" s="294"/>
      <c r="H1978" s="294"/>
      <c r="I1978" s="294"/>
      <c r="J1978" s="294"/>
      <c r="L1978" s="295"/>
      <c r="M1978" s="294"/>
      <c r="S1978" s="294"/>
      <c r="T1978" s="299"/>
      <c r="U1978" s="294"/>
      <c r="V1978" s="299"/>
      <c r="W1978" s="299"/>
      <c r="X1978" s="294"/>
      <c r="Y1978" s="299"/>
      <c r="Z1978" s="294"/>
      <c r="AA1978" s="299"/>
      <c r="AB1978" s="299"/>
      <c r="AC1978" s="294"/>
      <c r="AD1978" s="294"/>
      <c r="AE1978" s="294"/>
      <c r="AF1978" s="294"/>
    </row>
    <row r="1979" spans="2:32" x14ac:dyDescent="0.25">
      <c r="B1979" s="294"/>
      <c r="C1979" s="294"/>
      <c r="D1979" s="294"/>
      <c r="E1979" s="294"/>
      <c r="F1979" s="294"/>
      <c r="G1979" s="294"/>
      <c r="H1979" s="294"/>
      <c r="I1979" s="294"/>
      <c r="J1979" s="294"/>
      <c r="L1979" s="295"/>
      <c r="M1979" s="294"/>
      <c r="S1979" s="294"/>
      <c r="T1979" s="299"/>
      <c r="U1979" s="294"/>
      <c r="V1979" s="299"/>
      <c r="W1979" s="299"/>
      <c r="X1979" s="294"/>
      <c r="Y1979" s="299"/>
      <c r="Z1979" s="294"/>
      <c r="AA1979" s="299"/>
      <c r="AB1979" s="299"/>
      <c r="AC1979" s="294"/>
      <c r="AD1979" s="294"/>
      <c r="AE1979" s="294"/>
      <c r="AF1979" s="294"/>
    </row>
    <row r="1980" spans="2:32" x14ac:dyDescent="0.25">
      <c r="B1980" s="294"/>
      <c r="C1980" s="294"/>
      <c r="D1980" s="294"/>
      <c r="E1980" s="294"/>
      <c r="F1980" s="294"/>
      <c r="G1980" s="294"/>
      <c r="H1980" s="294"/>
      <c r="I1980" s="294"/>
      <c r="J1980" s="294"/>
      <c r="L1980" s="295"/>
      <c r="M1980" s="294"/>
      <c r="S1980" s="294"/>
      <c r="T1980" s="299"/>
      <c r="U1980" s="294"/>
      <c r="V1980" s="299"/>
      <c r="W1980" s="299"/>
      <c r="X1980" s="294"/>
      <c r="Y1980" s="299"/>
      <c r="Z1980" s="294"/>
      <c r="AA1980" s="299"/>
      <c r="AB1980" s="299"/>
      <c r="AC1980" s="294"/>
      <c r="AD1980" s="294"/>
      <c r="AE1980" s="294"/>
      <c r="AF1980" s="294"/>
    </row>
    <row r="1981" spans="2:32" x14ac:dyDescent="0.25">
      <c r="B1981" s="294"/>
      <c r="C1981" s="294"/>
      <c r="D1981" s="294"/>
      <c r="E1981" s="294"/>
      <c r="F1981" s="294"/>
      <c r="G1981" s="294"/>
      <c r="H1981" s="294"/>
      <c r="I1981" s="294"/>
      <c r="J1981" s="294"/>
      <c r="L1981" s="295"/>
      <c r="M1981" s="294"/>
      <c r="S1981" s="294"/>
      <c r="T1981" s="299"/>
      <c r="U1981" s="294"/>
      <c r="V1981" s="299"/>
      <c r="W1981" s="299"/>
      <c r="X1981" s="294"/>
      <c r="Y1981" s="299"/>
      <c r="Z1981" s="294"/>
      <c r="AA1981" s="299"/>
      <c r="AB1981" s="299"/>
      <c r="AC1981" s="294"/>
      <c r="AD1981" s="294"/>
      <c r="AE1981" s="294"/>
      <c r="AF1981" s="294"/>
    </row>
    <row r="1982" spans="2:32" x14ac:dyDescent="0.25">
      <c r="B1982" s="294"/>
      <c r="C1982" s="294"/>
      <c r="D1982" s="294"/>
      <c r="E1982" s="294"/>
      <c r="F1982" s="294"/>
      <c r="G1982" s="294"/>
      <c r="H1982" s="294"/>
      <c r="I1982" s="294"/>
      <c r="J1982" s="294"/>
      <c r="L1982" s="295"/>
      <c r="M1982" s="294"/>
      <c r="S1982" s="294"/>
      <c r="T1982" s="299"/>
      <c r="U1982" s="294"/>
      <c r="V1982" s="299"/>
      <c r="W1982" s="299"/>
      <c r="X1982" s="294"/>
      <c r="Y1982" s="299"/>
      <c r="Z1982" s="294"/>
      <c r="AA1982" s="299"/>
      <c r="AB1982" s="299"/>
      <c r="AC1982" s="294"/>
      <c r="AD1982" s="294"/>
      <c r="AE1982" s="294"/>
      <c r="AF1982" s="294"/>
    </row>
    <row r="1983" spans="2:32" x14ac:dyDescent="0.25">
      <c r="B1983" s="294"/>
      <c r="C1983" s="294"/>
      <c r="D1983" s="294"/>
      <c r="E1983" s="294"/>
      <c r="F1983" s="294"/>
      <c r="G1983" s="294"/>
      <c r="H1983" s="294"/>
      <c r="I1983" s="294"/>
      <c r="J1983" s="294"/>
      <c r="L1983" s="295"/>
      <c r="M1983" s="294"/>
      <c r="S1983" s="294"/>
      <c r="T1983" s="299"/>
      <c r="U1983" s="294"/>
      <c r="V1983" s="299"/>
      <c r="W1983" s="299"/>
      <c r="X1983" s="294"/>
      <c r="Y1983" s="299"/>
      <c r="Z1983" s="294"/>
      <c r="AA1983" s="299"/>
      <c r="AB1983" s="299"/>
      <c r="AC1983" s="294"/>
      <c r="AD1983" s="294"/>
      <c r="AE1983" s="294"/>
      <c r="AF1983" s="294"/>
    </row>
    <row r="1984" spans="2:32" x14ac:dyDescent="0.25">
      <c r="B1984" s="294"/>
      <c r="C1984" s="294"/>
      <c r="D1984" s="294"/>
      <c r="E1984" s="294"/>
      <c r="F1984" s="294"/>
      <c r="G1984" s="294"/>
      <c r="H1984" s="294"/>
      <c r="I1984" s="294"/>
      <c r="J1984" s="294"/>
      <c r="L1984" s="295"/>
      <c r="M1984" s="294"/>
      <c r="S1984" s="294"/>
      <c r="T1984" s="299"/>
      <c r="U1984" s="294"/>
      <c r="V1984" s="299"/>
      <c r="W1984" s="299"/>
      <c r="X1984" s="294"/>
      <c r="Y1984" s="299"/>
      <c r="Z1984" s="294"/>
      <c r="AA1984" s="299"/>
      <c r="AB1984" s="299"/>
      <c r="AC1984" s="294"/>
      <c r="AD1984" s="294"/>
      <c r="AE1984" s="294"/>
      <c r="AF1984" s="294"/>
    </row>
    <row r="1985" spans="2:32" x14ac:dyDescent="0.25">
      <c r="B1985" s="294"/>
      <c r="C1985" s="294"/>
      <c r="D1985" s="294"/>
      <c r="E1985" s="294"/>
      <c r="F1985" s="294"/>
      <c r="G1985" s="294"/>
      <c r="H1985" s="294"/>
      <c r="I1985" s="294"/>
      <c r="J1985" s="294"/>
      <c r="L1985" s="295"/>
      <c r="M1985" s="294"/>
      <c r="S1985" s="294"/>
      <c r="T1985" s="299"/>
      <c r="U1985" s="294"/>
      <c r="V1985" s="299"/>
      <c r="W1985" s="299"/>
      <c r="X1985" s="294"/>
      <c r="Y1985" s="299"/>
      <c r="Z1985" s="294"/>
      <c r="AA1985" s="299"/>
      <c r="AB1985" s="299"/>
      <c r="AC1985" s="294"/>
      <c r="AD1985" s="294"/>
      <c r="AE1985" s="294"/>
      <c r="AF1985" s="294"/>
    </row>
    <row r="1986" spans="2:32" x14ac:dyDescent="0.25">
      <c r="B1986" s="294"/>
      <c r="C1986" s="294"/>
      <c r="D1986" s="294"/>
      <c r="E1986" s="294"/>
      <c r="F1986" s="294"/>
      <c r="G1986" s="294"/>
      <c r="H1986" s="294"/>
      <c r="I1986" s="294"/>
      <c r="J1986" s="294"/>
      <c r="L1986" s="295"/>
      <c r="M1986" s="294"/>
      <c r="S1986" s="294"/>
      <c r="T1986" s="299"/>
      <c r="U1986" s="294"/>
      <c r="V1986" s="299"/>
      <c r="W1986" s="299"/>
      <c r="X1986" s="294"/>
      <c r="Y1986" s="299"/>
      <c r="Z1986" s="294"/>
      <c r="AA1986" s="299"/>
      <c r="AB1986" s="299"/>
      <c r="AC1986" s="294"/>
      <c r="AD1986" s="294"/>
      <c r="AE1986" s="294"/>
      <c r="AF1986" s="294"/>
    </row>
    <row r="1987" spans="2:32" x14ac:dyDescent="0.25">
      <c r="B1987" s="294"/>
      <c r="C1987" s="294"/>
      <c r="D1987" s="294"/>
      <c r="E1987" s="294"/>
      <c r="F1987" s="294"/>
      <c r="G1987" s="294"/>
      <c r="H1987" s="294"/>
      <c r="I1987" s="294"/>
      <c r="J1987" s="294"/>
      <c r="L1987" s="295"/>
      <c r="M1987" s="294"/>
      <c r="S1987" s="294"/>
      <c r="T1987" s="299"/>
      <c r="U1987" s="294"/>
      <c r="V1987" s="299"/>
      <c r="W1987" s="299"/>
      <c r="X1987" s="294"/>
      <c r="Y1987" s="299"/>
      <c r="Z1987" s="294"/>
      <c r="AA1987" s="299"/>
      <c r="AB1987" s="299"/>
      <c r="AC1987" s="294"/>
      <c r="AD1987" s="294"/>
      <c r="AE1987" s="294"/>
      <c r="AF1987" s="294"/>
    </row>
    <row r="1988" spans="2:32" x14ac:dyDescent="0.25">
      <c r="B1988" s="294"/>
      <c r="C1988" s="294"/>
      <c r="D1988" s="294"/>
      <c r="E1988" s="294"/>
      <c r="F1988" s="294"/>
      <c r="G1988" s="294"/>
      <c r="H1988" s="294"/>
      <c r="I1988" s="294"/>
      <c r="J1988" s="294"/>
      <c r="L1988" s="295"/>
      <c r="M1988" s="294"/>
      <c r="S1988" s="294"/>
      <c r="T1988" s="299"/>
      <c r="U1988" s="294"/>
      <c r="V1988" s="299"/>
      <c r="W1988" s="299"/>
      <c r="X1988" s="294"/>
      <c r="Y1988" s="299"/>
      <c r="Z1988" s="294"/>
      <c r="AA1988" s="299"/>
      <c r="AB1988" s="299"/>
      <c r="AC1988" s="294"/>
      <c r="AD1988" s="294"/>
      <c r="AE1988" s="294"/>
      <c r="AF1988" s="294"/>
    </row>
    <row r="1989" spans="2:32" x14ac:dyDescent="0.25">
      <c r="B1989" s="294"/>
      <c r="C1989" s="294"/>
      <c r="D1989" s="294"/>
      <c r="E1989" s="294"/>
      <c r="F1989" s="294"/>
      <c r="G1989" s="294"/>
      <c r="H1989" s="294"/>
      <c r="I1989" s="294"/>
      <c r="J1989" s="294"/>
      <c r="L1989" s="295"/>
      <c r="M1989" s="294"/>
      <c r="S1989" s="294"/>
      <c r="T1989" s="299"/>
      <c r="U1989" s="294"/>
      <c r="V1989" s="299"/>
      <c r="W1989" s="299"/>
      <c r="X1989" s="294"/>
      <c r="Y1989" s="299"/>
      <c r="Z1989" s="294"/>
      <c r="AA1989" s="299"/>
      <c r="AB1989" s="299"/>
      <c r="AC1989" s="294"/>
      <c r="AD1989" s="294"/>
      <c r="AE1989" s="294"/>
      <c r="AF1989" s="294"/>
    </row>
    <row r="1990" spans="2:32" x14ac:dyDescent="0.25">
      <c r="B1990" s="294"/>
      <c r="C1990" s="294"/>
      <c r="D1990" s="294"/>
      <c r="E1990" s="294"/>
      <c r="F1990" s="294"/>
      <c r="G1990" s="294"/>
      <c r="H1990" s="294"/>
      <c r="I1990" s="294"/>
      <c r="J1990" s="294"/>
      <c r="L1990" s="295"/>
      <c r="M1990" s="294"/>
      <c r="S1990" s="294"/>
      <c r="T1990" s="299"/>
      <c r="U1990" s="294"/>
      <c r="V1990" s="299"/>
      <c r="W1990" s="299"/>
      <c r="X1990" s="294"/>
      <c r="Y1990" s="299"/>
      <c r="Z1990" s="294"/>
      <c r="AA1990" s="299"/>
      <c r="AB1990" s="299"/>
      <c r="AC1990" s="294"/>
      <c r="AD1990" s="294"/>
      <c r="AE1990" s="294"/>
      <c r="AF1990" s="294"/>
    </row>
    <row r="1991" spans="2:32" x14ac:dyDescent="0.25">
      <c r="B1991" s="294"/>
      <c r="C1991" s="294"/>
      <c r="D1991" s="294"/>
      <c r="E1991" s="294"/>
      <c r="F1991" s="294"/>
      <c r="G1991" s="294"/>
      <c r="H1991" s="294"/>
      <c r="I1991" s="294"/>
      <c r="J1991" s="294"/>
      <c r="L1991" s="295"/>
      <c r="M1991" s="294"/>
      <c r="S1991" s="294"/>
      <c r="T1991" s="299"/>
      <c r="U1991" s="294"/>
      <c r="V1991" s="299"/>
      <c r="W1991" s="299"/>
      <c r="X1991" s="294"/>
      <c r="Y1991" s="299"/>
      <c r="Z1991" s="294"/>
      <c r="AA1991" s="299"/>
      <c r="AB1991" s="299"/>
      <c r="AC1991" s="294"/>
      <c r="AD1991" s="294"/>
      <c r="AE1991" s="294"/>
      <c r="AF1991" s="294"/>
    </row>
    <row r="1992" spans="2:32" x14ac:dyDescent="0.25">
      <c r="B1992" s="294"/>
      <c r="C1992" s="294"/>
      <c r="D1992" s="294"/>
      <c r="E1992" s="294"/>
      <c r="F1992" s="294"/>
      <c r="G1992" s="294"/>
      <c r="H1992" s="294"/>
      <c r="I1992" s="294"/>
      <c r="J1992" s="294"/>
      <c r="L1992" s="295"/>
      <c r="M1992" s="294"/>
      <c r="S1992" s="294"/>
      <c r="T1992" s="299"/>
      <c r="U1992" s="294"/>
      <c r="V1992" s="299"/>
      <c r="W1992" s="299"/>
      <c r="X1992" s="294"/>
      <c r="Y1992" s="299"/>
      <c r="Z1992" s="294"/>
      <c r="AA1992" s="299"/>
      <c r="AB1992" s="299"/>
      <c r="AC1992" s="294"/>
      <c r="AD1992" s="294"/>
      <c r="AE1992" s="294"/>
      <c r="AF1992" s="294"/>
    </row>
    <row r="1993" spans="2:32" x14ac:dyDescent="0.25">
      <c r="B1993" s="294"/>
      <c r="C1993" s="294"/>
      <c r="D1993" s="294"/>
      <c r="E1993" s="294"/>
      <c r="F1993" s="294"/>
      <c r="G1993" s="294"/>
      <c r="H1993" s="294"/>
      <c r="I1993" s="294"/>
      <c r="J1993" s="294"/>
      <c r="L1993" s="295"/>
      <c r="M1993" s="294"/>
      <c r="S1993" s="294"/>
      <c r="T1993" s="299"/>
      <c r="U1993" s="294"/>
      <c r="V1993" s="299"/>
      <c r="W1993" s="299"/>
      <c r="X1993" s="294"/>
      <c r="Y1993" s="299"/>
      <c r="Z1993" s="294"/>
      <c r="AA1993" s="299"/>
      <c r="AB1993" s="299"/>
      <c r="AC1993" s="294"/>
      <c r="AD1993" s="294"/>
      <c r="AE1993" s="294"/>
      <c r="AF1993" s="294"/>
    </row>
    <row r="1994" spans="2:32" x14ac:dyDescent="0.25">
      <c r="B1994" s="294"/>
      <c r="C1994" s="294"/>
      <c r="D1994" s="294"/>
      <c r="E1994" s="294"/>
      <c r="F1994" s="294"/>
      <c r="G1994" s="294"/>
      <c r="H1994" s="294"/>
      <c r="I1994" s="294"/>
      <c r="J1994" s="294"/>
      <c r="L1994" s="295"/>
      <c r="M1994" s="294"/>
      <c r="S1994" s="294"/>
      <c r="T1994" s="299"/>
      <c r="U1994" s="294"/>
      <c r="V1994" s="299"/>
      <c r="W1994" s="299"/>
      <c r="X1994" s="294"/>
      <c r="Y1994" s="299"/>
      <c r="Z1994" s="294"/>
      <c r="AA1994" s="299"/>
      <c r="AB1994" s="299"/>
      <c r="AC1994" s="294"/>
      <c r="AD1994" s="294"/>
      <c r="AE1994" s="294"/>
      <c r="AF1994" s="294"/>
    </row>
    <row r="1995" spans="2:32" x14ac:dyDescent="0.25">
      <c r="B1995" s="294"/>
      <c r="C1995" s="294"/>
      <c r="D1995" s="294"/>
      <c r="E1995" s="294"/>
      <c r="F1995" s="294"/>
      <c r="G1995" s="294"/>
      <c r="H1995" s="294"/>
      <c r="I1995" s="294"/>
      <c r="J1995" s="294"/>
      <c r="L1995" s="295"/>
      <c r="M1995" s="294"/>
      <c r="S1995" s="294"/>
      <c r="T1995" s="299"/>
      <c r="U1995" s="294"/>
      <c r="V1995" s="299"/>
      <c r="W1995" s="299"/>
      <c r="X1995" s="294"/>
      <c r="Y1995" s="299"/>
      <c r="Z1995" s="294"/>
      <c r="AA1995" s="299"/>
      <c r="AB1995" s="299"/>
      <c r="AC1995" s="294"/>
      <c r="AD1995" s="294"/>
      <c r="AE1995" s="294"/>
      <c r="AF1995" s="294"/>
    </row>
    <row r="1996" spans="2:32" x14ac:dyDescent="0.25">
      <c r="B1996" s="294"/>
      <c r="C1996" s="294"/>
      <c r="D1996" s="294"/>
      <c r="E1996" s="294"/>
      <c r="F1996" s="294"/>
      <c r="G1996" s="294"/>
      <c r="H1996" s="294"/>
      <c r="I1996" s="294"/>
      <c r="J1996" s="294"/>
      <c r="L1996" s="295"/>
      <c r="M1996" s="294"/>
      <c r="S1996" s="294"/>
      <c r="T1996" s="299"/>
      <c r="U1996" s="294"/>
      <c r="V1996" s="299"/>
      <c r="W1996" s="299"/>
      <c r="X1996" s="294"/>
      <c r="Y1996" s="299"/>
      <c r="Z1996" s="294"/>
      <c r="AA1996" s="299"/>
      <c r="AB1996" s="299"/>
      <c r="AC1996" s="294"/>
      <c r="AD1996" s="294"/>
      <c r="AE1996" s="294"/>
      <c r="AF1996" s="294"/>
    </row>
    <row r="1997" spans="2:32" x14ac:dyDescent="0.25">
      <c r="B1997" s="294"/>
      <c r="C1997" s="294"/>
      <c r="D1997" s="294"/>
      <c r="E1997" s="294"/>
      <c r="F1997" s="294"/>
      <c r="G1997" s="294"/>
      <c r="H1997" s="294"/>
      <c r="I1997" s="294"/>
      <c r="J1997" s="294"/>
      <c r="L1997" s="295"/>
      <c r="M1997" s="294"/>
      <c r="S1997" s="294"/>
      <c r="T1997" s="299"/>
      <c r="U1997" s="294"/>
      <c r="V1997" s="299"/>
      <c r="W1997" s="299"/>
      <c r="X1997" s="294"/>
      <c r="Y1997" s="299"/>
      <c r="Z1997" s="294"/>
      <c r="AA1997" s="299"/>
      <c r="AB1997" s="299"/>
      <c r="AC1997" s="294"/>
      <c r="AD1997" s="294"/>
      <c r="AE1997" s="294"/>
      <c r="AF1997" s="294"/>
    </row>
    <row r="1998" spans="2:32" x14ac:dyDescent="0.25">
      <c r="B1998" s="294"/>
      <c r="C1998" s="294"/>
      <c r="D1998" s="294"/>
      <c r="E1998" s="294"/>
      <c r="F1998" s="294"/>
      <c r="G1998" s="294"/>
      <c r="H1998" s="294"/>
      <c r="I1998" s="294"/>
      <c r="J1998" s="294"/>
      <c r="L1998" s="295"/>
      <c r="M1998" s="294"/>
      <c r="S1998" s="294"/>
      <c r="T1998" s="299"/>
      <c r="U1998" s="294"/>
      <c r="V1998" s="299"/>
      <c r="W1998" s="299"/>
      <c r="X1998" s="294"/>
      <c r="Y1998" s="299"/>
      <c r="Z1998" s="294"/>
      <c r="AA1998" s="299"/>
      <c r="AB1998" s="299"/>
      <c r="AC1998" s="294"/>
      <c r="AD1998" s="294"/>
      <c r="AE1998" s="294"/>
      <c r="AF1998" s="294"/>
    </row>
    <row r="1999" spans="2:32" x14ac:dyDescent="0.25">
      <c r="B1999" s="294"/>
      <c r="C1999" s="294"/>
      <c r="D1999" s="294"/>
      <c r="E1999" s="294"/>
      <c r="F1999" s="294"/>
      <c r="G1999" s="294"/>
      <c r="H1999" s="294"/>
      <c r="I1999" s="294"/>
      <c r="J1999" s="294"/>
      <c r="L1999" s="295"/>
      <c r="M1999" s="294"/>
      <c r="S1999" s="294"/>
      <c r="T1999" s="299"/>
      <c r="U1999" s="294"/>
      <c r="V1999" s="299"/>
      <c r="W1999" s="299"/>
      <c r="X1999" s="294"/>
      <c r="Y1999" s="299"/>
      <c r="Z1999" s="294"/>
      <c r="AA1999" s="299"/>
      <c r="AB1999" s="299"/>
      <c r="AC1999" s="294"/>
      <c r="AD1999" s="294"/>
      <c r="AE1999" s="294"/>
      <c r="AF1999" s="294"/>
    </row>
    <row r="2000" spans="2:32" x14ac:dyDescent="0.25">
      <c r="B2000" s="294"/>
      <c r="C2000" s="294"/>
      <c r="D2000" s="294"/>
      <c r="E2000" s="294"/>
      <c r="F2000" s="294"/>
      <c r="G2000" s="294"/>
      <c r="H2000" s="294"/>
      <c r="I2000" s="294"/>
      <c r="J2000" s="294"/>
      <c r="L2000" s="295"/>
      <c r="M2000" s="294"/>
      <c r="S2000" s="294"/>
      <c r="T2000" s="299"/>
      <c r="U2000" s="294"/>
      <c r="V2000" s="299"/>
      <c r="W2000" s="299"/>
      <c r="X2000" s="294"/>
      <c r="Y2000" s="299"/>
      <c r="Z2000" s="294"/>
      <c r="AA2000" s="299"/>
      <c r="AB2000" s="299"/>
      <c r="AC2000" s="294"/>
      <c r="AD2000" s="294"/>
      <c r="AE2000" s="294"/>
      <c r="AF2000" s="294"/>
    </row>
    <row r="2001" spans="2:32" x14ac:dyDescent="0.25">
      <c r="B2001" s="294"/>
      <c r="C2001" s="294"/>
      <c r="D2001" s="294"/>
      <c r="E2001" s="294"/>
      <c r="F2001" s="294"/>
      <c r="G2001" s="294"/>
      <c r="H2001" s="294"/>
      <c r="I2001" s="294"/>
      <c r="J2001" s="294"/>
      <c r="L2001" s="295"/>
      <c r="M2001" s="294"/>
      <c r="S2001" s="294"/>
      <c r="T2001" s="299"/>
      <c r="U2001" s="294"/>
      <c r="V2001" s="299"/>
      <c r="W2001" s="299"/>
      <c r="X2001" s="294"/>
      <c r="Y2001" s="299"/>
      <c r="Z2001" s="294"/>
      <c r="AA2001" s="299"/>
      <c r="AB2001" s="299"/>
      <c r="AC2001" s="294"/>
      <c r="AD2001" s="294"/>
      <c r="AE2001" s="294"/>
      <c r="AF2001" s="294"/>
    </row>
    <row r="2002" spans="2:32" x14ac:dyDescent="0.25">
      <c r="B2002" s="294"/>
      <c r="C2002" s="294"/>
      <c r="D2002" s="294"/>
      <c r="E2002" s="294"/>
      <c r="F2002" s="294"/>
      <c r="G2002" s="294"/>
      <c r="H2002" s="294"/>
      <c r="I2002" s="294"/>
      <c r="J2002" s="294"/>
      <c r="L2002" s="295"/>
      <c r="M2002" s="294"/>
      <c r="S2002" s="294"/>
      <c r="T2002" s="299"/>
      <c r="U2002" s="294"/>
      <c r="V2002" s="299"/>
      <c r="W2002" s="299"/>
      <c r="X2002" s="294"/>
      <c r="Y2002" s="299"/>
      <c r="Z2002" s="294"/>
      <c r="AA2002" s="299"/>
      <c r="AB2002" s="299"/>
      <c r="AC2002" s="294"/>
      <c r="AD2002" s="294"/>
      <c r="AE2002" s="294"/>
      <c r="AF2002" s="294"/>
    </row>
    <row r="2003" spans="2:32" x14ac:dyDescent="0.25">
      <c r="B2003" s="294"/>
      <c r="C2003" s="294"/>
      <c r="D2003" s="294"/>
      <c r="E2003" s="294"/>
      <c r="F2003" s="294"/>
      <c r="G2003" s="294"/>
      <c r="H2003" s="294"/>
      <c r="I2003" s="294"/>
      <c r="J2003" s="294"/>
      <c r="L2003" s="295"/>
      <c r="M2003" s="294"/>
      <c r="S2003" s="294"/>
      <c r="T2003" s="299"/>
      <c r="U2003" s="294"/>
      <c r="V2003" s="299"/>
      <c r="W2003" s="299"/>
      <c r="X2003" s="294"/>
      <c r="Y2003" s="299"/>
      <c r="Z2003" s="294"/>
      <c r="AA2003" s="299"/>
      <c r="AB2003" s="299"/>
      <c r="AC2003" s="294"/>
      <c r="AD2003" s="294"/>
      <c r="AE2003" s="294"/>
      <c r="AF2003" s="294"/>
    </row>
    <row r="2004" spans="2:32" x14ac:dyDescent="0.25">
      <c r="B2004" s="294"/>
      <c r="C2004" s="294"/>
      <c r="D2004" s="294"/>
      <c r="E2004" s="294"/>
      <c r="F2004" s="294"/>
      <c r="G2004" s="294"/>
      <c r="H2004" s="294"/>
      <c r="I2004" s="294"/>
      <c r="J2004" s="294"/>
      <c r="L2004" s="295"/>
      <c r="M2004" s="294"/>
      <c r="S2004" s="294"/>
      <c r="T2004" s="299"/>
      <c r="U2004" s="294"/>
      <c r="V2004" s="299"/>
      <c r="W2004" s="299"/>
      <c r="X2004" s="294"/>
      <c r="Y2004" s="299"/>
      <c r="Z2004" s="294"/>
      <c r="AA2004" s="299"/>
      <c r="AB2004" s="299"/>
      <c r="AC2004" s="294"/>
      <c r="AD2004" s="294"/>
      <c r="AE2004" s="294"/>
      <c r="AF2004" s="294"/>
    </row>
    <row r="2005" spans="2:32" x14ac:dyDescent="0.25">
      <c r="B2005" s="294"/>
      <c r="C2005" s="294"/>
      <c r="D2005" s="294"/>
      <c r="E2005" s="294"/>
      <c r="F2005" s="294"/>
      <c r="G2005" s="294"/>
      <c r="H2005" s="294"/>
      <c r="I2005" s="294"/>
      <c r="J2005" s="294"/>
      <c r="L2005" s="295"/>
      <c r="M2005" s="294"/>
      <c r="S2005" s="294"/>
      <c r="T2005" s="299"/>
      <c r="U2005" s="294"/>
      <c r="V2005" s="299"/>
      <c r="W2005" s="299"/>
      <c r="X2005" s="294"/>
      <c r="Y2005" s="299"/>
      <c r="Z2005" s="294"/>
      <c r="AA2005" s="299"/>
      <c r="AB2005" s="299"/>
      <c r="AC2005" s="294"/>
      <c r="AD2005" s="294"/>
      <c r="AE2005" s="294"/>
      <c r="AF2005" s="294"/>
    </row>
    <row r="2006" spans="2:32" x14ac:dyDescent="0.25">
      <c r="B2006" s="294"/>
      <c r="C2006" s="294"/>
      <c r="D2006" s="294"/>
      <c r="E2006" s="294"/>
      <c r="F2006" s="294"/>
      <c r="G2006" s="294"/>
      <c r="H2006" s="294"/>
      <c r="I2006" s="294"/>
      <c r="J2006" s="294"/>
      <c r="L2006" s="295"/>
      <c r="M2006" s="294"/>
      <c r="S2006" s="294"/>
      <c r="T2006" s="299"/>
      <c r="U2006" s="294"/>
      <c r="V2006" s="299"/>
      <c r="W2006" s="299"/>
      <c r="X2006" s="294"/>
      <c r="Y2006" s="299"/>
      <c r="Z2006" s="294"/>
      <c r="AA2006" s="299"/>
      <c r="AB2006" s="299"/>
      <c r="AC2006" s="294"/>
      <c r="AD2006" s="294"/>
      <c r="AE2006" s="294"/>
      <c r="AF2006" s="294"/>
    </row>
    <row r="2007" spans="2:32" x14ac:dyDescent="0.25">
      <c r="B2007" s="294"/>
      <c r="C2007" s="294"/>
      <c r="D2007" s="294"/>
      <c r="E2007" s="294"/>
      <c r="F2007" s="294"/>
      <c r="G2007" s="294"/>
      <c r="H2007" s="294"/>
      <c r="I2007" s="294"/>
      <c r="J2007" s="294"/>
      <c r="L2007" s="295"/>
      <c r="M2007" s="294"/>
      <c r="S2007" s="294"/>
      <c r="T2007" s="299"/>
      <c r="U2007" s="294"/>
      <c r="V2007" s="299"/>
      <c r="W2007" s="299"/>
      <c r="X2007" s="294"/>
      <c r="Y2007" s="299"/>
      <c r="Z2007" s="294"/>
      <c r="AA2007" s="299"/>
      <c r="AB2007" s="299"/>
      <c r="AC2007" s="294"/>
      <c r="AD2007" s="294"/>
      <c r="AE2007" s="294"/>
      <c r="AF2007" s="294"/>
    </row>
    <row r="2008" spans="2:32" x14ac:dyDescent="0.25">
      <c r="B2008" s="294"/>
      <c r="C2008" s="294"/>
      <c r="D2008" s="294"/>
      <c r="E2008" s="294"/>
      <c r="F2008" s="294"/>
      <c r="G2008" s="294"/>
      <c r="H2008" s="294"/>
      <c r="I2008" s="294"/>
      <c r="J2008" s="294"/>
      <c r="L2008" s="295"/>
      <c r="M2008" s="294"/>
      <c r="S2008" s="294"/>
      <c r="T2008" s="299"/>
      <c r="U2008" s="294"/>
      <c r="V2008" s="299"/>
      <c r="W2008" s="299"/>
      <c r="X2008" s="294"/>
      <c r="Y2008" s="299"/>
      <c r="Z2008" s="294"/>
      <c r="AA2008" s="299"/>
      <c r="AB2008" s="299"/>
      <c r="AC2008" s="294"/>
      <c r="AD2008" s="294"/>
      <c r="AE2008" s="294"/>
      <c r="AF2008" s="294"/>
    </row>
    <row r="2009" spans="2:32" x14ac:dyDescent="0.25">
      <c r="B2009" s="294"/>
      <c r="C2009" s="294"/>
      <c r="D2009" s="294"/>
      <c r="E2009" s="294"/>
      <c r="F2009" s="294"/>
      <c r="G2009" s="294"/>
      <c r="H2009" s="294"/>
      <c r="I2009" s="294"/>
      <c r="J2009" s="294"/>
      <c r="L2009" s="295"/>
      <c r="M2009" s="294"/>
      <c r="S2009" s="294"/>
      <c r="T2009" s="299"/>
      <c r="U2009" s="294"/>
      <c r="V2009" s="299"/>
      <c r="W2009" s="299"/>
      <c r="X2009" s="294"/>
      <c r="Y2009" s="299"/>
      <c r="Z2009" s="294"/>
      <c r="AA2009" s="299"/>
      <c r="AB2009" s="299"/>
      <c r="AC2009" s="294"/>
      <c r="AD2009" s="294"/>
      <c r="AE2009" s="294"/>
      <c r="AF2009" s="294"/>
    </row>
    <row r="2010" spans="2:32" x14ac:dyDescent="0.25">
      <c r="B2010" s="294"/>
      <c r="C2010" s="294"/>
      <c r="D2010" s="294"/>
      <c r="E2010" s="294"/>
      <c r="F2010" s="294"/>
      <c r="G2010" s="294"/>
      <c r="H2010" s="294"/>
      <c r="I2010" s="294"/>
      <c r="J2010" s="294"/>
      <c r="L2010" s="295"/>
      <c r="M2010" s="294"/>
      <c r="S2010" s="294"/>
      <c r="T2010" s="299"/>
      <c r="U2010" s="294"/>
      <c r="V2010" s="299"/>
      <c r="W2010" s="299"/>
      <c r="X2010" s="294"/>
      <c r="Y2010" s="299"/>
      <c r="Z2010" s="294"/>
      <c r="AA2010" s="299"/>
      <c r="AB2010" s="299"/>
      <c r="AC2010" s="294"/>
      <c r="AD2010" s="294"/>
      <c r="AE2010" s="294"/>
      <c r="AF2010" s="294"/>
    </row>
    <row r="2011" spans="2:32" x14ac:dyDescent="0.25">
      <c r="B2011" s="294"/>
      <c r="C2011" s="294"/>
      <c r="D2011" s="294"/>
      <c r="E2011" s="294"/>
      <c r="F2011" s="294"/>
      <c r="G2011" s="294"/>
      <c r="H2011" s="294"/>
      <c r="I2011" s="294"/>
      <c r="J2011" s="294"/>
      <c r="L2011" s="295"/>
      <c r="M2011" s="294"/>
      <c r="S2011" s="294"/>
      <c r="T2011" s="299"/>
      <c r="U2011" s="294"/>
      <c r="V2011" s="299"/>
      <c r="W2011" s="299"/>
      <c r="X2011" s="294"/>
      <c r="Y2011" s="299"/>
      <c r="Z2011" s="294"/>
      <c r="AA2011" s="299"/>
      <c r="AB2011" s="299"/>
      <c r="AC2011" s="294"/>
      <c r="AD2011" s="294"/>
      <c r="AE2011" s="294"/>
      <c r="AF2011" s="294"/>
    </row>
    <row r="2012" spans="2:32" x14ac:dyDescent="0.25">
      <c r="B2012" s="294"/>
      <c r="C2012" s="294"/>
      <c r="D2012" s="294"/>
      <c r="E2012" s="294"/>
      <c r="F2012" s="294"/>
      <c r="G2012" s="294"/>
      <c r="H2012" s="294"/>
      <c r="I2012" s="294"/>
      <c r="J2012" s="294"/>
      <c r="L2012" s="295"/>
      <c r="M2012" s="294"/>
      <c r="S2012" s="294"/>
      <c r="T2012" s="299"/>
      <c r="U2012" s="294"/>
      <c r="V2012" s="299"/>
      <c r="W2012" s="299"/>
      <c r="X2012" s="294"/>
      <c r="Y2012" s="299"/>
      <c r="Z2012" s="294"/>
      <c r="AA2012" s="299"/>
      <c r="AB2012" s="299"/>
      <c r="AC2012" s="294"/>
      <c r="AD2012" s="294"/>
      <c r="AE2012" s="294"/>
      <c r="AF2012" s="294"/>
    </row>
    <row r="2013" spans="2:32" x14ac:dyDescent="0.25">
      <c r="B2013" s="294"/>
      <c r="C2013" s="294"/>
      <c r="D2013" s="294"/>
      <c r="E2013" s="294"/>
      <c r="F2013" s="294"/>
      <c r="G2013" s="294"/>
      <c r="H2013" s="294"/>
      <c r="I2013" s="294"/>
      <c r="J2013" s="294"/>
      <c r="L2013" s="295"/>
      <c r="M2013" s="294"/>
      <c r="S2013" s="294"/>
      <c r="T2013" s="299"/>
      <c r="U2013" s="294"/>
      <c r="V2013" s="299"/>
      <c r="W2013" s="299"/>
      <c r="X2013" s="294"/>
      <c r="Y2013" s="299"/>
      <c r="Z2013" s="294"/>
      <c r="AA2013" s="299"/>
      <c r="AB2013" s="299"/>
      <c r="AC2013" s="294"/>
      <c r="AD2013" s="294"/>
      <c r="AE2013" s="294"/>
      <c r="AF2013" s="294"/>
    </row>
    <row r="2014" spans="2:32" x14ac:dyDescent="0.25">
      <c r="B2014" s="294"/>
      <c r="C2014" s="294"/>
      <c r="D2014" s="294"/>
      <c r="E2014" s="294"/>
      <c r="F2014" s="294"/>
      <c r="G2014" s="294"/>
      <c r="H2014" s="294"/>
      <c r="I2014" s="294"/>
      <c r="J2014" s="294"/>
      <c r="L2014" s="295"/>
      <c r="M2014" s="294"/>
      <c r="S2014" s="294"/>
      <c r="T2014" s="299"/>
      <c r="U2014" s="294"/>
      <c r="V2014" s="299"/>
      <c r="W2014" s="299"/>
      <c r="X2014" s="294"/>
      <c r="Y2014" s="299"/>
      <c r="Z2014" s="294"/>
      <c r="AA2014" s="299"/>
      <c r="AB2014" s="299"/>
      <c r="AC2014" s="294"/>
      <c r="AD2014" s="294"/>
      <c r="AE2014" s="294"/>
      <c r="AF2014" s="294"/>
    </row>
    <row r="2015" spans="2:32" x14ac:dyDescent="0.25">
      <c r="B2015" s="294"/>
      <c r="C2015" s="294"/>
      <c r="D2015" s="294"/>
      <c r="E2015" s="294"/>
      <c r="F2015" s="294"/>
      <c r="G2015" s="294"/>
      <c r="H2015" s="294"/>
      <c r="I2015" s="294"/>
      <c r="J2015" s="294"/>
      <c r="L2015" s="295"/>
      <c r="M2015" s="294"/>
      <c r="S2015" s="294"/>
      <c r="T2015" s="299"/>
      <c r="U2015" s="294"/>
      <c r="V2015" s="299"/>
      <c r="W2015" s="299"/>
      <c r="X2015" s="294"/>
      <c r="Y2015" s="299"/>
      <c r="Z2015" s="294"/>
      <c r="AA2015" s="299"/>
      <c r="AB2015" s="299"/>
      <c r="AC2015" s="294"/>
      <c r="AD2015" s="294"/>
      <c r="AE2015" s="294"/>
      <c r="AF2015" s="294"/>
    </row>
    <row r="2016" spans="2:32" x14ac:dyDescent="0.25">
      <c r="B2016" s="294"/>
      <c r="C2016" s="294"/>
      <c r="D2016" s="294"/>
      <c r="E2016" s="294"/>
      <c r="F2016" s="294"/>
      <c r="G2016" s="294"/>
      <c r="H2016" s="294"/>
      <c r="I2016" s="294"/>
      <c r="J2016" s="294"/>
      <c r="L2016" s="295"/>
      <c r="M2016" s="294"/>
      <c r="S2016" s="294"/>
      <c r="T2016" s="299"/>
      <c r="U2016" s="294"/>
      <c r="V2016" s="299"/>
      <c r="W2016" s="299"/>
      <c r="X2016" s="294"/>
      <c r="Y2016" s="299"/>
      <c r="Z2016" s="294"/>
      <c r="AA2016" s="299"/>
      <c r="AB2016" s="299"/>
      <c r="AC2016" s="294"/>
      <c r="AD2016" s="294"/>
      <c r="AE2016" s="294"/>
      <c r="AF2016" s="294"/>
    </row>
    <row r="2017" spans="2:32" x14ac:dyDescent="0.25">
      <c r="B2017" s="294"/>
      <c r="C2017" s="294"/>
      <c r="D2017" s="294"/>
      <c r="E2017" s="294"/>
      <c r="F2017" s="294"/>
      <c r="G2017" s="294"/>
      <c r="H2017" s="294"/>
      <c r="I2017" s="294"/>
      <c r="J2017" s="294"/>
      <c r="L2017" s="295"/>
      <c r="M2017" s="294"/>
      <c r="S2017" s="294"/>
      <c r="T2017" s="299"/>
      <c r="U2017" s="294"/>
      <c r="V2017" s="299"/>
      <c r="W2017" s="299"/>
      <c r="X2017" s="294"/>
      <c r="Y2017" s="299"/>
      <c r="Z2017" s="294"/>
      <c r="AA2017" s="299"/>
      <c r="AB2017" s="299"/>
      <c r="AC2017" s="294"/>
      <c r="AD2017" s="294"/>
      <c r="AE2017" s="294"/>
      <c r="AF2017" s="294"/>
    </row>
    <row r="2018" spans="2:32" x14ac:dyDescent="0.25">
      <c r="B2018" s="294"/>
      <c r="C2018" s="294"/>
      <c r="D2018" s="294"/>
      <c r="E2018" s="294"/>
      <c r="F2018" s="294"/>
      <c r="G2018" s="294"/>
      <c r="H2018" s="294"/>
      <c r="I2018" s="294"/>
      <c r="J2018" s="294"/>
      <c r="L2018" s="295"/>
      <c r="M2018" s="294"/>
      <c r="S2018" s="294"/>
      <c r="T2018" s="299"/>
      <c r="U2018" s="294"/>
      <c r="V2018" s="299"/>
      <c r="W2018" s="299"/>
      <c r="X2018" s="294"/>
      <c r="Y2018" s="299"/>
      <c r="Z2018" s="294"/>
      <c r="AA2018" s="299"/>
      <c r="AB2018" s="299"/>
      <c r="AC2018" s="294"/>
      <c r="AD2018" s="294"/>
      <c r="AE2018" s="294"/>
      <c r="AF2018" s="294"/>
    </row>
    <row r="2019" spans="2:32" x14ac:dyDescent="0.25">
      <c r="B2019" s="294"/>
      <c r="C2019" s="294"/>
      <c r="D2019" s="294"/>
      <c r="E2019" s="294"/>
      <c r="F2019" s="294"/>
      <c r="G2019" s="294"/>
      <c r="H2019" s="294"/>
      <c r="I2019" s="294"/>
      <c r="J2019" s="294"/>
      <c r="L2019" s="295"/>
      <c r="M2019" s="294"/>
      <c r="S2019" s="294"/>
      <c r="T2019" s="299"/>
      <c r="U2019" s="294"/>
      <c r="V2019" s="299"/>
      <c r="W2019" s="299"/>
      <c r="X2019" s="294"/>
      <c r="Y2019" s="299"/>
      <c r="Z2019" s="294"/>
      <c r="AA2019" s="299"/>
      <c r="AB2019" s="299"/>
      <c r="AC2019" s="294"/>
      <c r="AD2019" s="294"/>
      <c r="AE2019" s="294"/>
      <c r="AF2019" s="294"/>
    </row>
    <row r="2020" spans="2:32" x14ac:dyDescent="0.25">
      <c r="B2020" s="294"/>
      <c r="C2020" s="294"/>
      <c r="D2020" s="294"/>
      <c r="E2020" s="294"/>
      <c r="F2020" s="294"/>
      <c r="G2020" s="294"/>
      <c r="H2020" s="294"/>
      <c r="I2020" s="294"/>
      <c r="J2020" s="294"/>
      <c r="L2020" s="295"/>
      <c r="M2020" s="294"/>
      <c r="S2020" s="294"/>
      <c r="T2020" s="299"/>
      <c r="U2020" s="294"/>
      <c r="V2020" s="299"/>
      <c r="W2020" s="299"/>
      <c r="X2020" s="294"/>
      <c r="Y2020" s="299"/>
      <c r="Z2020" s="294"/>
      <c r="AA2020" s="299"/>
      <c r="AB2020" s="299"/>
      <c r="AC2020" s="294"/>
      <c r="AD2020" s="294"/>
      <c r="AE2020" s="294"/>
      <c r="AF2020" s="294"/>
    </row>
    <row r="2021" spans="2:32" x14ac:dyDescent="0.25">
      <c r="B2021" s="294"/>
      <c r="C2021" s="294"/>
      <c r="D2021" s="294"/>
      <c r="E2021" s="294"/>
      <c r="F2021" s="294"/>
      <c r="G2021" s="294"/>
      <c r="H2021" s="294"/>
      <c r="I2021" s="294"/>
      <c r="J2021" s="294"/>
      <c r="L2021" s="295"/>
      <c r="M2021" s="294"/>
      <c r="S2021" s="294"/>
      <c r="T2021" s="299"/>
      <c r="U2021" s="294"/>
      <c r="V2021" s="299"/>
      <c r="W2021" s="299"/>
      <c r="X2021" s="294"/>
      <c r="Y2021" s="299"/>
      <c r="Z2021" s="294"/>
      <c r="AA2021" s="299"/>
      <c r="AB2021" s="299"/>
      <c r="AC2021" s="294"/>
      <c r="AD2021" s="294"/>
      <c r="AE2021" s="294"/>
      <c r="AF2021" s="294"/>
    </row>
    <row r="2022" spans="2:32" x14ac:dyDescent="0.25">
      <c r="B2022" s="294"/>
      <c r="C2022" s="294"/>
      <c r="D2022" s="294"/>
      <c r="E2022" s="294"/>
      <c r="F2022" s="294"/>
      <c r="G2022" s="294"/>
      <c r="H2022" s="294"/>
      <c r="I2022" s="294"/>
      <c r="J2022" s="294"/>
      <c r="L2022" s="295"/>
      <c r="M2022" s="294"/>
      <c r="S2022" s="294"/>
      <c r="T2022" s="299"/>
      <c r="U2022" s="294"/>
      <c r="V2022" s="299"/>
      <c r="W2022" s="299"/>
      <c r="X2022" s="294"/>
      <c r="Y2022" s="299"/>
      <c r="Z2022" s="294"/>
      <c r="AA2022" s="299"/>
      <c r="AB2022" s="299"/>
      <c r="AC2022" s="294"/>
      <c r="AD2022" s="294"/>
      <c r="AE2022" s="294"/>
      <c r="AF2022" s="294"/>
    </row>
    <row r="2023" spans="2:32" x14ac:dyDescent="0.25">
      <c r="B2023" s="294"/>
      <c r="C2023" s="294"/>
      <c r="D2023" s="294"/>
      <c r="E2023" s="294"/>
      <c r="F2023" s="294"/>
      <c r="G2023" s="294"/>
      <c r="H2023" s="294"/>
      <c r="I2023" s="294"/>
      <c r="J2023" s="294"/>
      <c r="L2023" s="295"/>
      <c r="M2023" s="294"/>
      <c r="S2023" s="294"/>
      <c r="T2023" s="299"/>
      <c r="U2023" s="294"/>
      <c r="V2023" s="299"/>
      <c r="W2023" s="299"/>
      <c r="X2023" s="294"/>
      <c r="Y2023" s="299"/>
      <c r="Z2023" s="294"/>
      <c r="AA2023" s="299"/>
      <c r="AB2023" s="299"/>
      <c r="AC2023" s="294"/>
      <c r="AD2023" s="294"/>
      <c r="AE2023" s="294"/>
      <c r="AF2023" s="294"/>
    </row>
    <row r="2024" spans="2:32" x14ac:dyDescent="0.25">
      <c r="B2024" s="294"/>
      <c r="C2024" s="294"/>
      <c r="D2024" s="294"/>
      <c r="E2024" s="294"/>
      <c r="F2024" s="294"/>
      <c r="G2024" s="294"/>
      <c r="H2024" s="294"/>
      <c r="I2024" s="294"/>
      <c r="J2024" s="294"/>
      <c r="L2024" s="295"/>
      <c r="M2024" s="294"/>
      <c r="S2024" s="294"/>
      <c r="T2024" s="299"/>
      <c r="U2024" s="294"/>
      <c r="V2024" s="299"/>
      <c r="W2024" s="299"/>
      <c r="X2024" s="294"/>
      <c r="Y2024" s="299"/>
      <c r="Z2024" s="294"/>
      <c r="AA2024" s="299"/>
      <c r="AB2024" s="299"/>
      <c r="AC2024" s="294"/>
      <c r="AD2024" s="294"/>
      <c r="AE2024" s="294"/>
      <c r="AF2024" s="294"/>
    </row>
    <row r="2025" spans="2:32" x14ac:dyDescent="0.25">
      <c r="B2025" s="294"/>
      <c r="C2025" s="294"/>
      <c r="D2025" s="294"/>
      <c r="E2025" s="294"/>
      <c r="F2025" s="294"/>
      <c r="G2025" s="294"/>
      <c r="H2025" s="294"/>
      <c r="I2025" s="294"/>
      <c r="J2025" s="294"/>
      <c r="L2025" s="295"/>
      <c r="M2025" s="294"/>
      <c r="S2025" s="294"/>
      <c r="T2025" s="299"/>
      <c r="U2025" s="294"/>
      <c r="V2025" s="299"/>
      <c r="W2025" s="299"/>
      <c r="X2025" s="294"/>
      <c r="Y2025" s="299"/>
      <c r="Z2025" s="294"/>
      <c r="AA2025" s="299"/>
      <c r="AB2025" s="299"/>
      <c r="AC2025" s="294"/>
      <c r="AD2025" s="294"/>
      <c r="AE2025" s="294"/>
      <c r="AF2025" s="294"/>
    </row>
    <row r="2026" spans="2:32" x14ac:dyDescent="0.25">
      <c r="B2026" s="294"/>
      <c r="C2026" s="294"/>
      <c r="D2026" s="294"/>
      <c r="E2026" s="294"/>
      <c r="F2026" s="294"/>
      <c r="G2026" s="294"/>
      <c r="H2026" s="294"/>
      <c r="I2026" s="294"/>
      <c r="J2026" s="294"/>
      <c r="L2026" s="295"/>
      <c r="M2026" s="294"/>
      <c r="S2026" s="294"/>
      <c r="T2026" s="299"/>
      <c r="U2026" s="294"/>
      <c r="V2026" s="299"/>
      <c r="W2026" s="299"/>
      <c r="X2026" s="294"/>
      <c r="Y2026" s="299"/>
      <c r="Z2026" s="294"/>
      <c r="AA2026" s="299"/>
      <c r="AB2026" s="299"/>
      <c r="AC2026" s="294"/>
      <c r="AD2026" s="294"/>
      <c r="AE2026" s="294"/>
      <c r="AF2026" s="294"/>
    </row>
    <row r="2027" spans="2:32" x14ac:dyDescent="0.25">
      <c r="B2027" s="294"/>
      <c r="C2027" s="294"/>
      <c r="D2027" s="294"/>
      <c r="E2027" s="294"/>
      <c r="F2027" s="294"/>
      <c r="G2027" s="294"/>
      <c r="H2027" s="294"/>
      <c r="I2027" s="294"/>
      <c r="J2027" s="294"/>
      <c r="L2027" s="295"/>
      <c r="M2027" s="294"/>
      <c r="S2027" s="294"/>
      <c r="T2027" s="299"/>
      <c r="U2027" s="294"/>
      <c r="V2027" s="299"/>
      <c r="W2027" s="299"/>
      <c r="X2027" s="294"/>
      <c r="Y2027" s="299"/>
      <c r="Z2027" s="294"/>
      <c r="AA2027" s="299"/>
      <c r="AB2027" s="299"/>
      <c r="AC2027" s="294"/>
      <c r="AD2027" s="294"/>
      <c r="AE2027" s="294"/>
      <c r="AF2027" s="294"/>
    </row>
    <row r="2028" spans="2:32" x14ac:dyDescent="0.25">
      <c r="B2028" s="294"/>
      <c r="C2028" s="294"/>
      <c r="D2028" s="294"/>
      <c r="E2028" s="294"/>
      <c r="F2028" s="294"/>
      <c r="G2028" s="294"/>
      <c r="H2028" s="294"/>
      <c r="I2028" s="294"/>
      <c r="J2028" s="294"/>
      <c r="L2028" s="295"/>
      <c r="M2028" s="294"/>
      <c r="S2028" s="294"/>
      <c r="T2028" s="299"/>
      <c r="U2028" s="294"/>
      <c r="V2028" s="299"/>
      <c r="W2028" s="299"/>
      <c r="X2028" s="294"/>
      <c r="Y2028" s="299"/>
      <c r="Z2028" s="294"/>
      <c r="AA2028" s="299"/>
      <c r="AB2028" s="299"/>
      <c r="AC2028" s="294"/>
      <c r="AD2028" s="294"/>
      <c r="AE2028" s="294"/>
      <c r="AF2028" s="294"/>
    </row>
    <row r="2029" spans="2:32" x14ac:dyDescent="0.25">
      <c r="B2029" s="294"/>
      <c r="C2029" s="294"/>
      <c r="D2029" s="294"/>
      <c r="E2029" s="294"/>
      <c r="F2029" s="294"/>
      <c r="G2029" s="294"/>
      <c r="H2029" s="294"/>
      <c r="I2029" s="294"/>
      <c r="J2029" s="294"/>
      <c r="L2029" s="295"/>
      <c r="M2029" s="294"/>
      <c r="S2029" s="294"/>
      <c r="T2029" s="299"/>
      <c r="U2029" s="294"/>
      <c r="V2029" s="299"/>
      <c r="W2029" s="299"/>
      <c r="X2029" s="294"/>
      <c r="Y2029" s="299"/>
      <c r="Z2029" s="294"/>
      <c r="AA2029" s="299"/>
      <c r="AB2029" s="299"/>
      <c r="AC2029" s="294"/>
      <c r="AD2029" s="294"/>
      <c r="AE2029" s="294"/>
      <c r="AF2029" s="294"/>
    </row>
    <row r="2030" spans="2:32" x14ac:dyDescent="0.25">
      <c r="B2030" s="294"/>
      <c r="C2030" s="294"/>
      <c r="D2030" s="294"/>
      <c r="E2030" s="294"/>
      <c r="F2030" s="294"/>
      <c r="G2030" s="294"/>
      <c r="H2030" s="294"/>
      <c r="I2030" s="294"/>
      <c r="J2030" s="294"/>
      <c r="L2030" s="295"/>
      <c r="M2030" s="294"/>
      <c r="S2030" s="294"/>
      <c r="T2030" s="299"/>
      <c r="U2030" s="294"/>
      <c r="V2030" s="299"/>
      <c r="W2030" s="299"/>
      <c r="X2030" s="294"/>
      <c r="Y2030" s="299"/>
      <c r="Z2030" s="294"/>
      <c r="AA2030" s="299"/>
      <c r="AB2030" s="299"/>
      <c r="AC2030" s="294"/>
      <c r="AD2030" s="294"/>
      <c r="AE2030" s="294"/>
      <c r="AF2030" s="294"/>
    </row>
    <row r="2031" spans="2:32" x14ac:dyDescent="0.25">
      <c r="B2031" s="294"/>
      <c r="C2031" s="294"/>
      <c r="D2031" s="294"/>
      <c r="E2031" s="294"/>
      <c r="F2031" s="294"/>
      <c r="G2031" s="294"/>
      <c r="H2031" s="294"/>
      <c r="I2031" s="294"/>
      <c r="J2031" s="294"/>
      <c r="L2031" s="295"/>
      <c r="M2031" s="294"/>
      <c r="S2031" s="294"/>
      <c r="T2031" s="299"/>
      <c r="U2031" s="294"/>
      <c r="V2031" s="299"/>
      <c r="W2031" s="299"/>
      <c r="X2031" s="294"/>
      <c r="Y2031" s="299"/>
      <c r="Z2031" s="294"/>
      <c r="AA2031" s="299"/>
      <c r="AB2031" s="299"/>
      <c r="AC2031" s="294"/>
      <c r="AD2031" s="294"/>
      <c r="AE2031" s="294"/>
      <c r="AF2031" s="294"/>
    </row>
    <row r="2032" spans="2:32" x14ac:dyDescent="0.25">
      <c r="B2032" s="294"/>
      <c r="C2032" s="294"/>
      <c r="D2032" s="294"/>
      <c r="E2032" s="294"/>
      <c r="F2032" s="294"/>
      <c r="G2032" s="294"/>
      <c r="H2032" s="294"/>
      <c r="I2032" s="294"/>
      <c r="J2032" s="294"/>
      <c r="L2032" s="295"/>
      <c r="M2032" s="294"/>
      <c r="S2032" s="294"/>
      <c r="T2032" s="299"/>
      <c r="U2032" s="294"/>
      <c r="V2032" s="299"/>
      <c r="W2032" s="299"/>
      <c r="X2032" s="294"/>
      <c r="Y2032" s="299"/>
      <c r="Z2032" s="294"/>
      <c r="AA2032" s="299"/>
      <c r="AB2032" s="299"/>
      <c r="AC2032" s="294"/>
      <c r="AD2032" s="294"/>
      <c r="AE2032" s="294"/>
      <c r="AF2032" s="294"/>
    </row>
    <row r="2033" spans="2:32" x14ac:dyDescent="0.25">
      <c r="B2033" s="294"/>
      <c r="C2033" s="294"/>
      <c r="D2033" s="294"/>
      <c r="E2033" s="294"/>
      <c r="F2033" s="294"/>
      <c r="G2033" s="294"/>
      <c r="H2033" s="294"/>
      <c r="I2033" s="294"/>
      <c r="J2033" s="294"/>
      <c r="L2033" s="295"/>
      <c r="M2033" s="294"/>
      <c r="S2033" s="294"/>
      <c r="T2033" s="299"/>
      <c r="U2033" s="294"/>
      <c r="V2033" s="299"/>
      <c r="W2033" s="299"/>
      <c r="X2033" s="294"/>
      <c r="Y2033" s="299"/>
      <c r="Z2033" s="294"/>
      <c r="AA2033" s="299"/>
      <c r="AB2033" s="299"/>
      <c r="AC2033" s="294"/>
      <c r="AD2033" s="294"/>
      <c r="AE2033" s="294"/>
      <c r="AF2033" s="294"/>
    </row>
    <row r="2034" spans="2:32" x14ac:dyDescent="0.25">
      <c r="B2034" s="294"/>
      <c r="C2034" s="294"/>
      <c r="D2034" s="294"/>
      <c r="E2034" s="294"/>
      <c r="F2034" s="294"/>
      <c r="G2034" s="294"/>
      <c r="H2034" s="294"/>
      <c r="I2034" s="294"/>
      <c r="J2034" s="294"/>
      <c r="L2034" s="295"/>
      <c r="M2034" s="294"/>
      <c r="S2034" s="294"/>
      <c r="T2034" s="299"/>
      <c r="U2034" s="294"/>
      <c r="V2034" s="299"/>
      <c r="W2034" s="299"/>
      <c r="X2034" s="294"/>
      <c r="Y2034" s="299"/>
      <c r="Z2034" s="294"/>
      <c r="AA2034" s="299"/>
      <c r="AB2034" s="299"/>
      <c r="AC2034" s="294"/>
      <c r="AD2034" s="294"/>
      <c r="AE2034" s="294"/>
      <c r="AF2034" s="294"/>
    </row>
    <row r="2035" spans="2:32" x14ac:dyDescent="0.25">
      <c r="B2035" s="294"/>
      <c r="C2035" s="294"/>
      <c r="D2035" s="294"/>
      <c r="E2035" s="294"/>
      <c r="F2035" s="294"/>
      <c r="G2035" s="294"/>
      <c r="H2035" s="294"/>
      <c r="I2035" s="294"/>
      <c r="J2035" s="294"/>
      <c r="L2035" s="295"/>
      <c r="M2035" s="294"/>
      <c r="S2035" s="294"/>
      <c r="T2035" s="299"/>
      <c r="U2035" s="294"/>
      <c r="V2035" s="299"/>
      <c r="W2035" s="299"/>
      <c r="X2035" s="294"/>
      <c r="Y2035" s="299"/>
      <c r="Z2035" s="294"/>
      <c r="AA2035" s="299"/>
      <c r="AB2035" s="299"/>
      <c r="AC2035" s="294"/>
      <c r="AD2035" s="294"/>
      <c r="AE2035" s="294"/>
      <c r="AF2035" s="294"/>
    </row>
    <row r="2036" spans="2:32" x14ac:dyDescent="0.25">
      <c r="B2036" s="294"/>
      <c r="C2036" s="294"/>
      <c r="D2036" s="294"/>
      <c r="E2036" s="294"/>
      <c r="F2036" s="294"/>
      <c r="G2036" s="294"/>
      <c r="H2036" s="294"/>
      <c r="I2036" s="294"/>
      <c r="J2036" s="294"/>
      <c r="L2036" s="295"/>
      <c r="M2036" s="294"/>
      <c r="S2036" s="294"/>
      <c r="T2036" s="299"/>
      <c r="U2036" s="294"/>
      <c r="V2036" s="299"/>
      <c r="W2036" s="299"/>
      <c r="X2036" s="294"/>
      <c r="Y2036" s="299"/>
      <c r="Z2036" s="294"/>
      <c r="AA2036" s="299"/>
      <c r="AB2036" s="299"/>
      <c r="AC2036" s="294"/>
      <c r="AD2036" s="294"/>
      <c r="AE2036" s="294"/>
      <c r="AF2036" s="294"/>
    </row>
    <row r="2037" spans="2:32" x14ac:dyDescent="0.25">
      <c r="B2037" s="294"/>
      <c r="C2037" s="294"/>
      <c r="D2037" s="294"/>
      <c r="E2037" s="294"/>
      <c r="F2037" s="294"/>
      <c r="G2037" s="294"/>
      <c r="H2037" s="294"/>
      <c r="I2037" s="294"/>
      <c r="J2037" s="294"/>
      <c r="L2037" s="295"/>
      <c r="M2037" s="294"/>
      <c r="S2037" s="294"/>
      <c r="T2037" s="299"/>
      <c r="U2037" s="294"/>
      <c r="V2037" s="299"/>
      <c r="W2037" s="299"/>
      <c r="X2037" s="294"/>
      <c r="Y2037" s="299"/>
      <c r="Z2037" s="294"/>
      <c r="AA2037" s="299"/>
      <c r="AB2037" s="299"/>
      <c r="AC2037" s="294"/>
      <c r="AD2037" s="294"/>
      <c r="AE2037" s="294"/>
      <c r="AF2037" s="294"/>
    </row>
    <row r="2038" spans="2:32" x14ac:dyDescent="0.25">
      <c r="B2038" s="294"/>
      <c r="C2038" s="294"/>
      <c r="D2038" s="294"/>
      <c r="E2038" s="294"/>
      <c r="F2038" s="294"/>
      <c r="G2038" s="294"/>
      <c r="H2038" s="294"/>
      <c r="I2038" s="294"/>
      <c r="J2038" s="294"/>
      <c r="L2038" s="295"/>
      <c r="M2038" s="294"/>
      <c r="S2038" s="294"/>
      <c r="T2038" s="299"/>
      <c r="U2038" s="294"/>
      <c r="V2038" s="299"/>
      <c r="W2038" s="299"/>
      <c r="X2038" s="294"/>
      <c r="Y2038" s="299"/>
      <c r="Z2038" s="294"/>
      <c r="AA2038" s="299"/>
      <c r="AB2038" s="299"/>
      <c r="AC2038" s="294"/>
      <c r="AD2038" s="294"/>
      <c r="AE2038" s="294"/>
      <c r="AF2038" s="294"/>
    </row>
    <row r="2039" spans="2:32" x14ac:dyDescent="0.25">
      <c r="B2039" s="294"/>
      <c r="C2039" s="294"/>
      <c r="D2039" s="294"/>
      <c r="E2039" s="294"/>
      <c r="F2039" s="294"/>
      <c r="G2039" s="294"/>
      <c r="H2039" s="294"/>
      <c r="I2039" s="294"/>
      <c r="J2039" s="294"/>
      <c r="L2039" s="295"/>
      <c r="M2039" s="294"/>
      <c r="S2039" s="294"/>
      <c r="T2039" s="299"/>
      <c r="U2039" s="294"/>
      <c r="V2039" s="299"/>
      <c r="W2039" s="299"/>
      <c r="X2039" s="294"/>
      <c r="Y2039" s="299"/>
      <c r="Z2039" s="294"/>
      <c r="AA2039" s="299"/>
      <c r="AB2039" s="299"/>
      <c r="AC2039" s="294"/>
      <c r="AD2039" s="294"/>
      <c r="AE2039" s="294"/>
      <c r="AF2039" s="294"/>
    </row>
    <row r="2040" spans="2:32" x14ac:dyDescent="0.25">
      <c r="B2040" s="294"/>
      <c r="C2040" s="294"/>
      <c r="D2040" s="294"/>
      <c r="E2040" s="294"/>
      <c r="F2040" s="294"/>
      <c r="G2040" s="294"/>
      <c r="H2040" s="294"/>
      <c r="I2040" s="294"/>
      <c r="J2040" s="294"/>
      <c r="L2040" s="295"/>
      <c r="M2040" s="294"/>
      <c r="S2040" s="294"/>
      <c r="T2040" s="299"/>
      <c r="U2040" s="294"/>
      <c r="V2040" s="299"/>
      <c r="W2040" s="299"/>
      <c r="X2040" s="294"/>
      <c r="Y2040" s="299"/>
      <c r="Z2040" s="294"/>
      <c r="AA2040" s="299"/>
      <c r="AB2040" s="299"/>
      <c r="AC2040" s="294"/>
      <c r="AD2040" s="294"/>
      <c r="AE2040" s="294"/>
      <c r="AF2040" s="294"/>
    </row>
    <row r="2041" spans="2:32" x14ac:dyDescent="0.25">
      <c r="B2041" s="294"/>
      <c r="C2041" s="294"/>
      <c r="D2041" s="294"/>
      <c r="E2041" s="294"/>
      <c r="F2041" s="294"/>
      <c r="G2041" s="294"/>
      <c r="H2041" s="294"/>
      <c r="I2041" s="294"/>
      <c r="J2041" s="294"/>
      <c r="L2041" s="295"/>
      <c r="M2041" s="294"/>
      <c r="S2041" s="294"/>
      <c r="T2041" s="299"/>
      <c r="U2041" s="294"/>
      <c r="V2041" s="299"/>
      <c r="W2041" s="299"/>
      <c r="X2041" s="294"/>
      <c r="Y2041" s="299"/>
      <c r="Z2041" s="294"/>
      <c r="AA2041" s="299"/>
      <c r="AB2041" s="299"/>
      <c r="AC2041" s="294"/>
      <c r="AD2041" s="294"/>
      <c r="AE2041" s="294"/>
      <c r="AF2041" s="294"/>
    </row>
    <row r="2042" spans="2:32" x14ac:dyDescent="0.25">
      <c r="B2042" s="294"/>
      <c r="C2042" s="294"/>
      <c r="D2042" s="294"/>
      <c r="E2042" s="294"/>
      <c r="F2042" s="294"/>
      <c r="G2042" s="294"/>
      <c r="H2042" s="294"/>
      <c r="I2042" s="294"/>
      <c r="J2042" s="294"/>
      <c r="L2042" s="295"/>
      <c r="M2042" s="294"/>
      <c r="S2042" s="294"/>
      <c r="T2042" s="299"/>
      <c r="U2042" s="294"/>
      <c r="V2042" s="299"/>
      <c r="W2042" s="299"/>
      <c r="X2042" s="294"/>
      <c r="Y2042" s="299"/>
      <c r="Z2042" s="294"/>
      <c r="AA2042" s="299"/>
      <c r="AB2042" s="299"/>
      <c r="AC2042" s="294"/>
      <c r="AD2042" s="294"/>
      <c r="AE2042" s="294"/>
      <c r="AF2042" s="294"/>
    </row>
    <row r="2043" spans="2:32" x14ac:dyDescent="0.25">
      <c r="B2043" s="294"/>
      <c r="C2043" s="294"/>
      <c r="D2043" s="294"/>
      <c r="E2043" s="294"/>
      <c r="F2043" s="294"/>
      <c r="G2043" s="294"/>
      <c r="H2043" s="294"/>
      <c r="I2043" s="294"/>
      <c r="J2043" s="294"/>
      <c r="L2043" s="295"/>
      <c r="M2043" s="294"/>
      <c r="S2043" s="294"/>
      <c r="T2043" s="299"/>
      <c r="U2043" s="294"/>
      <c r="V2043" s="299"/>
      <c r="W2043" s="299"/>
      <c r="X2043" s="294"/>
      <c r="Y2043" s="299"/>
      <c r="Z2043" s="294"/>
      <c r="AA2043" s="299"/>
      <c r="AB2043" s="299"/>
      <c r="AC2043" s="294"/>
      <c r="AD2043" s="294"/>
      <c r="AE2043" s="294"/>
      <c r="AF2043" s="294"/>
    </row>
    <row r="2044" spans="2:32" x14ac:dyDescent="0.25">
      <c r="B2044" s="294"/>
      <c r="C2044" s="294"/>
      <c r="D2044" s="294"/>
      <c r="E2044" s="294"/>
      <c r="F2044" s="294"/>
      <c r="G2044" s="294"/>
      <c r="H2044" s="294"/>
      <c r="I2044" s="294"/>
      <c r="J2044" s="294"/>
      <c r="L2044" s="295"/>
      <c r="M2044" s="294"/>
      <c r="S2044" s="294"/>
      <c r="T2044" s="299"/>
      <c r="U2044" s="294"/>
      <c r="V2044" s="299"/>
      <c r="W2044" s="299"/>
      <c r="X2044" s="294"/>
      <c r="Y2044" s="299"/>
      <c r="Z2044" s="294"/>
      <c r="AA2044" s="299"/>
      <c r="AB2044" s="299"/>
      <c r="AC2044" s="294"/>
      <c r="AD2044" s="294"/>
      <c r="AE2044" s="294"/>
      <c r="AF2044" s="294"/>
    </row>
    <row r="2045" spans="2:32" x14ac:dyDescent="0.25">
      <c r="B2045" s="294"/>
      <c r="C2045" s="294"/>
      <c r="D2045" s="294"/>
      <c r="E2045" s="294"/>
      <c r="F2045" s="294"/>
      <c r="G2045" s="294"/>
      <c r="H2045" s="294"/>
      <c r="I2045" s="294"/>
      <c r="J2045" s="294"/>
      <c r="L2045" s="295"/>
      <c r="M2045" s="294"/>
      <c r="S2045" s="294"/>
      <c r="T2045" s="299"/>
      <c r="U2045" s="294"/>
      <c r="V2045" s="299"/>
      <c r="W2045" s="299"/>
      <c r="X2045" s="294"/>
      <c r="Y2045" s="299"/>
      <c r="Z2045" s="294"/>
      <c r="AA2045" s="299"/>
      <c r="AB2045" s="299"/>
      <c r="AC2045" s="294"/>
      <c r="AD2045" s="294"/>
      <c r="AE2045" s="294"/>
      <c r="AF2045" s="294"/>
    </row>
    <row r="2046" spans="2:32" x14ac:dyDescent="0.25">
      <c r="B2046" s="294"/>
      <c r="C2046" s="294"/>
      <c r="D2046" s="294"/>
      <c r="E2046" s="294"/>
      <c r="F2046" s="294"/>
      <c r="G2046" s="294"/>
      <c r="H2046" s="294"/>
      <c r="I2046" s="294"/>
      <c r="J2046" s="294"/>
      <c r="L2046" s="295"/>
      <c r="M2046" s="294"/>
      <c r="S2046" s="294"/>
      <c r="T2046" s="299"/>
      <c r="U2046" s="294"/>
      <c r="V2046" s="299"/>
      <c r="W2046" s="299"/>
      <c r="X2046" s="294"/>
      <c r="Y2046" s="299"/>
      <c r="Z2046" s="294"/>
      <c r="AA2046" s="299"/>
      <c r="AB2046" s="299"/>
      <c r="AC2046" s="294"/>
      <c r="AD2046" s="294"/>
      <c r="AE2046" s="294"/>
      <c r="AF2046" s="294"/>
    </row>
    <row r="2047" spans="2:32" x14ac:dyDescent="0.25">
      <c r="B2047" s="294"/>
      <c r="C2047" s="294"/>
      <c r="D2047" s="294"/>
      <c r="E2047" s="294"/>
      <c r="F2047" s="294"/>
      <c r="G2047" s="294"/>
      <c r="H2047" s="294"/>
      <c r="I2047" s="294"/>
      <c r="J2047" s="294"/>
      <c r="L2047" s="295"/>
      <c r="M2047" s="294"/>
      <c r="S2047" s="294"/>
      <c r="T2047" s="299"/>
      <c r="U2047" s="294"/>
      <c r="V2047" s="299"/>
      <c r="W2047" s="299"/>
      <c r="X2047" s="294"/>
      <c r="Y2047" s="299"/>
      <c r="Z2047" s="294"/>
      <c r="AA2047" s="299"/>
      <c r="AB2047" s="299"/>
      <c r="AC2047" s="294"/>
      <c r="AD2047" s="294"/>
      <c r="AE2047" s="294"/>
      <c r="AF2047" s="294"/>
    </row>
    <row r="2048" spans="2:32" x14ac:dyDescent="0.25">
      <c r="B2048" s="294"/>
      <c r="C2048" s="294"/>
      <c r="D2048" s="294"/>
      <c r="E2048" s="294"/>
      <c r="F2048" s="294"/>
      <c r="G2048" s="294"/>
      <c r="H2048" s="294"/>
      <c r="I2048" s="294"/>
      <c r="J2048" s="294"/>
      <c r="L2048" s="295"/>
      <c r="M2048" s="294"/>
      <c r="S2048" s="294"/>
      <c r="T2048" s="299"/>
      <c r="U2048" s="294"/>
      <c r="V2048" s="299"/>
      <c r="W2048" s="299"/>
      <c r="X2048" s="294"/>
      <c r="Y2048" s="299"/>
      <c r="Z2048" s="294"/>
      <c r="AA2048" s="299"/>
      <c r="AB2048" s="299"/>
      <c r="AC2048" s="294"/>
      <c r="AD2048" s="294"/>
      <c r="AE2048" s="294"/>
      <c r="AF2048" s="294"/>
    </row>
    <row r="2049" spans="2:32" x14ac:dyDescent="0.25">
      <c r="B2049" s="294"/>
      <c r="C2049" s="294"/>
      <c r="D2049" s="294"/>
      <c r="E2049" s="294"/>
      <c r="F2049" s="294"/>
      <c r="G2049" s="294"/>
      <c r="H2049" s="294"/>
      <c r="I2049" s="294"/>
      <c r="J2049" s="294"/>
      <c r="L2049" s="295"/>
      <c r="M2049" s="294"/>
      <c r="S2049" s="294"/>
      <c r="T2049" s="299"/>
      <c r="U2049" s="294"/>
      <c r="V2049" s="299"/>
      <c r="W2049" s="299"/>
      <c r="X2049" s="294"/>
      <c r="Y2049" s="299"/>
      <c r="Z2049" s="294"/>
      <c r="AA2049" s="299"/>
      <c r="AB2049" s="299"/>
      <c r="AC2049" s="294"/>
      <c r="AD2049" s="294"/>
      <c r="AE2049" s="294"/>
      <c r="AF2049" s="294"/>
    </row>
    <row r="2050" spans="2:32" x14ac:dyDescent="0.25">
      <c r="B2050" s="294"/>
      <c r="C2050" s="294"/>
      <c r="D2050" s="294"/>
      <c r="E2050" s="294"/>
      <c r="F2050" s="294"/>
      <c r="G2050" s="294"/>
      <c r="H2050" s="294"/>
      <c r="I2050" s="294"/>
      <c r="J2050" s="294"/>
      <c r="L2050" s="295"/>
      <c r="M2050" s="294"/>
      <c r="S2050" s="294"/>
      <c r="T2050" s="299"/>
      <c r="U2050" s="294"/>
      <c r="V2050" s="299"/>
      <c r="W2050" s="299"/>
      <c r="X2050" s="294"/>
      <c r="Y2050" s="299"/>
      <c r="Z2050" s="294"/>
      <c r="AA2050" s="299"/>
      <c r="AB2050" s="299"/>
      <c r="AC2050" s="294"/>
      <c r="AD2050" s="294"/>
      <c r="AE2050" s="294"/>
      <c r="AF2050" s="294"/>
    </row>
    <row r="2051" spans="2:32" x14ac:dyDescent="0.25">
      <c r="B2051" s="294"/>
      <c r="C2051" s="294"/>
      <c r="D2051" s="294"/>
      <c r="E2051" s="294"/>
      <c r="F2051" s="294"/>
      <c r="G2051" s="294"/>
      <c r="H2051" s="294"/>
      <c r="I2051" s="294"/>
      <c r="J2051" s="294"/>
      <c r="L2051" s="295"/>
      <c r="M2051" s="294"/>
      <c r="S2051" s="294"/>
      <c r="T2051" s="299"/>
      <c r="U2051" s="294"/>
      <c r="V2051" s="299"/>
      <c r="W2051" s="299"/>
      <c r="X2051" s="294"/>
      <c r="Y2051" s="299"/>
      <c r="Z2051" s="294"/>
      <c r="AA2051" s="299"/>
      <c r="AB2051" s="299"/>
      <c r="AC2051" s="294"/>
      <c r="AD2051" s="294"/>
      <c r="AE2051" s="294"/>
      <c r="AF2051" s="294"/>
    </row>
    <row r="2052" spans="2:32" x14ac:dyDescent="0.25">
      <c r="B2052" s="294"/>
      <c r="C2052" s="294"/>
      <c r="D2052" s="294"/>
      <c r="E2052" s="294"/>
      <c r="F2052" s="294"/>
      <c r="G2052" s="294"/>
      <c r="H2052" s="294"/>
      <c r="I2052" s="294"/>
      <c r="J2052" s="294"/>
      <c r="L2052" s="295"/>
      <c r="M2052" s="294"/>
      <c r="S2052" s="294"/>
      <c r="T2052" s="299"/>
      <c r="U2052" s="294"/>
      <c r="V2052" s="299"/>
      <c r="W2052" s="299"/>
      <c r="X2052" s="294"/>
      <c r="Y2052" s="299"/>
      <c r="Z2052" s="294"/>
      <c r="AA2052" s="299"/>
      <c r="AB2052" s="299"/>
      <c r="AC2052" s="294"/>
      <c r="AD2052" s="294"/>
      <c r="AE2052" s="294"/>
      <c r="AF2052" s="294"/>
    </row>
    <row r="2053" spans="2:32" x14ac:dyDescent="0.25">
      <c r="B2053" s="294"/>
      <c r="C2053" s="294"/>
      <c r="D2053" s="294"/>
      <c r="E2053" s="294"/>
      <c r="F2053" s="294"/>
      <c r="G2053" s="294"/>
      <c r="H2053" s="294"/>
      <c r="I2053" s="294"/>
      <c r="J2053" s="294"/>
      <c r="L2053" s="295"/>
      <c r="M2053" s="294"/>
      <c r="S2053" s="294"/>
      <c r="T2053" s="299"/>
      <c r="U2053" s="294"/>
      <c r="V2053" s="299"/>
      <c r="W2053" s="299"/>
      <c r="X2053" s="294"/>
      <c r="Y2053" s="299"/>
      <c r="Z2053" s="294"/>
      <c r="AA2053" s="299"/>
      <c r="AB2053" s="299"/>
      <c r="AC2053" s="294"/>
      <c r="AD2053" s="294"/>
      <c r="AE2053" s="294"/>
      <c r="AF2053" s="294"/>
    </row>
    <row r="2054" spans="2:32" x14ac:dyDescent="0.25">
      <c r="B2054" s="294"/>
      <c r="C2054" s="294"/>
      <c r="D2054" s="294"/>
      <c r="E2054" s="294"/>
      <c r="F2054" s="294"/>
      <c r="G2054" s="294"/>
      <c r="H2054" s="294"/>
      <c r="I2054" s="294"/>
      <c r="J2054" s="294"/>
      <c r="L2054" s="295"/>
      <c r="M2054" s="294"/>
      <c r="S2054" s="294"/>
      <c r="T2054" s="299"/>
      <c r="U2054" s="294"/>
      <c r="V2054" s="299"/>
      <c r="W2054" s="299"/>
      <c r="X2054" s="294"/>
      <c r="Y2054" s="299"/>
      <c r="Z2054" s="294"/>
      <c r="AA2054" s="299"/>
      <c r="AB2054" s="299"/>
      <c r="AC2054" s="294"/>
      <c r="AD2054" s="294"/>
      <c r="AE2054" s="294"/>
      <c r="AF2054" s="294"/>
    </row>
    <row r="2055" spans="2:32" x14ac:dyDescent="0.25">
      <c r="B2055" s="294"/>
      <c r="C2055" s="294"/>
      <c r="D2055" s="294"/>
      <c r="E2055" s="294"/>
      <c r="F2055" s="294"/>
      <c r="G2055" s="294"/>
      <c r="H2055" s="294"/>
      <c r="I2055" s="294"/>
      <c r="J2055" s="294"/>
      <c r="L2055" s="295"/>
      <c r="M2055" s="294"/>
      <c r="S2055" s="294"/>
      <c r="T2055" s="299"/>
      <c r="U2055" s="294"/>
      <c r="V2055" s="299"/>
      <c r="W2055" s="299"/>
      <c r="X2055" s="294"/>
      <c r="Y2055" s="299"/>
      <c r="Z2055" s="294"/>
      <c r="AA2055" s="299"/>
      <c r="AB2055" s="299"/>
      <c r="AC2055" s="294"/>
      <c r="AD2055" s="294"/>
      <c r="AE2055" s="294"/>
      <c r="AF2055" s="294"/>
    </row>
    <row r="2056" spans="2:32" x14ac:dyDescent="0.25">
      <c r="B2056" s="294"/>
      <c r="C2056" s="294"/>
      <c r="D2056" s="294"/>
      <c r="E2056" s="294"/>
      <c r="F2056" s="294"/>
      <c r="G2056" s="294"/>
      <c r="H2056" s="294"/>
      <c r="I2056" s="294"/>
      <c r="J2056" s="294"/>
      <c r="L2056" s="295"/>
      <c r="M2056" s="294"/>
      <c r="S2056" s="294"/>
      <c r="T2056" s="299"/>
      <c r="U2056" s="294"/>
      <c r="V2056" s="299"/>
      <c r="W2056" s="299"/>
      <c r="X2056" s="294"/>
      <c r="Y2056" s="299"/>
      <c r="Z2056" s="294"/>
      <c r="AA2056" s="299"/>
      <c r="AB2056" s="299"/>
      <c r="AC2056" s="294"/>
      <c r="AD2056" s="294"/>
      <c r="AE2056" s="294"/>
      <c r="AF2056" s="294"/>
    </row>
    <row r="2057" spans="2:32" x14ac:dyDescent="0.25">
      <c r="B2057" s="294"/>
      <c r="C2057" s="294"/>
      <c r="D2057" s="294"/>
      <c r="E2057" s="294"/>
      <c r="F2057" s="294"/>
      <c r="G2057" s="294"/>
      <c r="H2057" s="294"/>
      <c r="I2057" s="294"/>
      <c r="J2057" s="294"/>
      <c r="L2057" s="295"/>
      <c r="M2057" s="294"/>
      <c r="S2057" s="294"/>
      <c r="T2057" s="299"/>
      <c r="U2057" s="294"/>
      <c r="V2057" s="299"/>
      <c r="W2057" s="299"/>
      <c r="X2057" s="294"/>
      <c r="Y2057" s="299"/>
      <c r="Z2057" s="294"/>
      <c r="AA2057" s="299"/>
      <c r="AB2057" s="299"/>
      <c r="AC2057" s="294"/>
      <c r="AD2057" s="294"/>
      <c r="AE2057" s="294"/>
      <c r="AF2057" s="294"/>
    </row>
    <row r="2058" spans="2:32" x14ac:dyDescent="0.25">
      <c r="B2058" s="294"/>
      <c r="C2058" s="294"/>
      <c r="D2058" s="294"/>
      <c r="E2058" s="294"/>
      <c r="F2058" s="294"/>
      <c r="G2058" s="294"/>
      <c r="H2058" s="294"/>
      <c r="I2058" s="294"/>
      <c r="J2058" s="294"/>
      <c r="L2058" s="295"/>
      <c r="M2058" s="294"/>
      <c r="S2058" s="294"/>
      <c r="T2058" s="299"/>
      <c r="U2058" s="294"/>
      <c r="V2058" s="299"/>
      <c r="W2058" s="299"/>
      <c r="X2058" s="294"/>
      <c r="Y2058" s="299"/>
      <c r="Z2058" s="294"/>
      <c r="AA2058" s="299"/>
      <c r="AB2058" s="299"/>
      <c r="AC2058" s="294"/>
      <c r="AD2058" s="294"/>
      <c r="AE2058" s="294"/>
      <c r="AF2058" s="294"/>
    </row>
    <row r="2059" spans="2:32" x14ac:dyDescent="0.25">
      <c r="B2059" s="294"/>
      <c r="C2059" s="294"/>
      <c r="D2059" s="294"/>
      <c r="E2059" s="294"/>
      <c r="F2059" s="294"/>
      <c r="G2059" s="294"/>
      <c r="H2059" s="294"/>
      <c r="I2059" s="294"/>
      <c r="J2059" s="294"/>
      <c r="L2059" s="295"/>
      <c r="M2059" s="294"/>
      <c r="S2059" s="294"/>
      <c r="T2059" s="299"/>
      <c r="U2059" s="294"/>
      <c r="V2059" s="299"/>
      <c r="W2059" s="299"/>
      <c r="X2059" s="294"/>
      <c r="Y2059" s="299"/>
      <c r="Z2059" s="294"/>
      <c r="AA2059" s="299"/>
      <c r="AB2059" s="299"/>
      <c r="AC2059" s="294"/>
      <c r="AD2059" s="294"/>
      <c r="AE2059" s="294"/>
      <c r="AF2059" s="294"/>
    </row>
    <row r="2060" spans="2:32" x14ac:dyDescent="0.25">
      <c r="B2060" s="294"/>
      <c r="C2060" s="294"/>
      <c r="D2060" s="294"/>
      <c r="E2060" s="294"/>
      <c r="F2060" s="294"/>
      <c r="G2060" s="294"/>
      <c r="H2060" s="294"/>
      <c r="I2060" s="294"/>
      <c r="J2060" s="294"/>
      <c r="L2060" s="295"/>
      <c r="M2060" s="294"/>
      <c r="S2060" s="294"/>
      <c r="T2060" s="299"/>
      <c r="U2060" s="294"/>
      <c r="V2060" s="299"/>
      <c r="W2060" s="299"/>
      <c r="X2060" s="294"/>
      <c r="Y2060" s="299"/>
      <c r="Z2060" s="294"/>
      <c r="AA2060" s="299"/>
      <c r="AB2060" s="299"/>
      <c r="AC2060" s="294"/>
      <c r="AD2060" s="294"/>
      <c r="AE2060" s="294"/>
      <c r="AF2060" s="294"/>
    </row>
    <row r="2061" spans="2:32" x14ac:dyDescent="0.25">
      <c r="B2061" s="294"/>
      <c r="C2061" s="294"/>
      <c r="D2061" s="294"/>
      <c r="E2061" s="294"/>
      <c r="F2061" s="294"/>
      <c r="G2061" s="294"/>
      <c r="H2061" s="294"/>
      <c r="I2061" s="294"/>
      <c r="J2061" s="294"/>
      <c r="L2061" s="295"/>
      <c r="M2061" s="294"/>
      <c r="S2061" s="294"/>
      <c r="T2061" s="299"/>
      <c r="U2061" s="294"/>
      <c r="V2061" s="299"/>
      <c r="W2061" s="299"/>
      <c r="X2061" s="294"/>
      <c r="Y2061" s="299"/>
      <c r="Z2061" s="294"/>
      <c r="AA2061" s="299"/>
      <c r="AB2061" s="299"/>
      <c r="AC2061" s="294"/>
      <c r="AD2061" s="294"/>
      <c r="AE2061" s="294"/>
      <c r="AF2061" s="294"/>
    </row>
    <row r="2062" spans="2:32" x14ac:dyDescent="0.25">
      <c r="B2062" s="294"/>
      <c r="C2062" s="294"/>
      <c r="D2062" s="294"/>
      <c r="E2062" s="294"/>
      <c r="F2062" s="294"/>
      <c r="G2062" s="294"/>
      <c r="H2062" s="294"/>
      <c r="I2062" s="294"/>
      <c r="J2062" s="294"/>
      <c r="L2062" s="295"/>
      <c r="M2062" s="294"/>
      <c r="S2062" s="294"/>
      <c r="T2062" s="299"/>
      <c r="U2062" s="294"/>
      <c r="V2062" s="299"/>
      <c r="W2062" s="299"/>
      <c r="X2062" s="294"/>
      <c r="Y2062" s="299"/>
      <c r="Z2062" s="294"/>
      <c r="AA2062" s="299"/>
      <c r="AB2062" s="299"/>
      <c r="AC2062" s="294"/>
      <c r="AD2062" s="294"/>
      <c r="AE2062" s="294"/>
      <c r="AF2062" s="294"/>
    </row>
    <row r="2063" spans="2:32" x14ac:dyDescent="0.25">
      <c r="B2063" s="294"/>
      <c r="C2063" s="294"/>
      <c r="D2063" s="294"/>
      <c r="E2063" s="294"/>
      <c r="F2063" s="294"/>
      <c r="G2063" s="294"/>
      <c r="H2063" s="294"/>
      <c r="I2063" s="294"/>
      <c r="J2063" s="294"/>
      <c r="L2063" s="295"/>
      <c r="M2063" s="294"/>
      <c r="S2063" s="294"/>
      <c r="T2063" s="299"/>
      <c r="U2063" s="294"/>
      <c r="V2063" s="299"/>
      <c r="W2063" s="299"/>
      <c r="X2063" s="294"/>
      <c r="Y2063" s="299"/>
      <c r="Z2063" s="294"/>
      <c r="AA2063" s="299"/>
      <c r="AB2063" s="299"/>
      <c r="AC2063" s="294"/>
      <c r="AD2063" s="294"/>
      <c r="AE2063" s="294"/>
      <c r="AF2063" s="294"/>
    </row>
    <row r="2064" spans="2:32" x14ac:dyDescent="0.25">
      <c r="B2064" s="294"/>
      <c r="C2064" s="294"/>
      <c r="D2064" s="294"/>
      <c r="E2064" s="294"/>
      <c r="F2064" s="294"/>
      <c r="G2064" s="294"/>
      <c r="H2064" s="294"/>
      <c r="I2064" s="294"/>
      <c r="J2064" s="294"/>
      <c r="L2064" s="295"/>
      <c r="M2064" s="294"/>
      <c r="S2064" s="294"/>
      <c r="T2064" s="299"/>
      <c r="U2064" s="294"/>
      <c r="V2064" s="299"/>
      <c r="W2064" s="299"/>
      <c r="X2064" s="294"/>
      <c r="Y2064" s="299"/>
      <c r="Z2064" s="294"/>
      <c r="AA2064" s="299"/>
      <c r="AB2064" s="299"/>
      <c r="AC2064" s="294"/>
      <c r="AD2064" s="294"/>
      <c r="AE2064" s="294"/>
      <c r="AF2064" s="294"/>
    </row>
    <row r="2065" spans="2:32" x14ac:dyDescent="0.25">
      <c r="B2065" s="294"/>
      <c r="C2065" s="294"/>
      <c r="D2065" s="294"/>
      <c r="E2065" s="294"/>
      <c r="F2065" s="294"/>
      <c r="G2065" s="294"/>
      <c r="H2065" s="294"/>
      <c r="I2065" s="294"/>
      <c r="J2065" s="294"/>
      <c r="L2065" s="295"/>
      <c r="M2065" s="294"/>
      <c r="S2065" s="294"/>
      <c r="T2065" s="299"/>
      <c r="U2065" s="294"/>
      <c r="V2065" s="299"/>
      <c r="W2065" s="299"/>
      <c r="X2065" s="294"/>
      <c r="Y2065" s="299"/>
      <c r="Z2065" s="294"/>
      <c r="AA2065" s="299"/>
      <c r="AB2065" s="299"/>
      <c r="AC2065" s="294"/>
      <c r="AD2065" s="294"/>
      <c r="AE2065" s="294"/>
      <c r="AF2065" s="294"/>
    </row>
    <row r="2066" spans="2:32" x14ac:dyDescent="0.25">
      <c r="B2066" s="294"/>
      <c r="C2066" s="294"/>
      <c r="D2066" s="294"/>
      <c r="E2066" s="294"/>
      <c r="F2066" s="294"/>
      <c r="G2066" s="294"/>
      <c r="H2066" s="294"/>
      <c r="I2066" s="294"/>
      <c r="J2066" s="294"/>
      <c r="L2066" s="295"/>
      <c r="M2066" s="294"/>
      <c r="S2066" s="294"/>
      <c r="T2066" s="299"/>
      <c r="U2066" s="294"/>
      <c r="V2066" s="299"/>
      <c r="W2066" s="299"/>
      <c r="X2066" s="294"/>
      <c r="Y2066" s="299"/>
      <c r="Z2066" s="294"/>
      <c r="AA2066" s="299"/>
      <c r="AB2066" s="299"/>
      <c r="AC2066" s="294"/>
      <c r="AD2066" s="294"/>
      <c r="AE2066" s="294"/>
      <c r="AF2066" s="294"/>
    </row>
    <row r="2067" spans="2:32" x14ac:dyDescent="0.25">
      <c r="B2067" s="294"/>
      <c r="C2067" s="294"/>
      <c r="D2067" s="294"/>
      <c r="E2067" s="294"/>
      <c r="F2067" s="294"/>
      <c r="G2067" s="294"/>
      <c r="H2067" s="294"/>
      <c r="I2067" s="294"/>
      <c r="J2067" s="294"/>
      <c r="L2067" s="295"/>
      <c r="M2067" s="294"/>
      <c r="S2067" s="294"/>
      <c r="T2067" s="299"/>
      <c r="U2067" s="294"/>
      <c r="V2067" s="299"/>
      <c r="W2067" s="299"/>
      <c r="X2067" s="294"/>
      <c r="Y2067" s="299"/>
      <c r="Z2067" s="294"/>
      <c r="AA2067" s="299"/>
      <c r="AB2067" s="299"/>
      <c r="AC2067" s="294"/>
      <c r="AD2067" s="294"/>
      <c r="AE2067" s="294"/>
      <c r="AF2067" s="294"/>
    </row>
    <row r="2068" spans="2:32" x14ac:dyDescent="0.25">
      <c r="B2068" s="294"/>
      <c r="C2068" s="294"/>
      <c r="D2068" s="294"/>
      <c r="E2068" s="294"/>
      <c r="F2068" s="294"/>
      <c r="G2068" s="294"/>
      <c r="H2068" s="294"/>
      <c r="I2068" s="294"/>
      <c r="J2068" s="294"/>
      <c r="L2068" s="295"/>
      <c r="M2068" s="294"/>
      <c r="S2068" s="294"/>
      <c r="T2068" s="299"/>
      <c r="U2068" s="294"/>
      <c r="V2068" s="299"/>
      <c r="W2068" s="299"/>
      <c r="X2068" s="294"/>
      <c r="Y2068" s="299"/>
      <c r="Z2068" s="294"/>
      <c r="AA2068" s="299"/>
      <c r="AB2068" s="299"/>
      <c r="AC2068" s="294"/>
      <c r="AD2068" s="294"/>
      <c r="AE2068" s="294"/>
      <c r="AF2068" s="294"/>
    </row>
    <row r="2069" spans="2:32" x14ac:dyDescent="0.25">
      <c r="B2069" s="294"/>
      <c r="C2069" s="294"/>
      <c r="D2069" s="294"/>
      <c r="E2069" s="294"/>
      <c r="F2069" s="294"/>
      <c r="G2069" s="294"/>
      <c r="H2069" s="294"/>
      <c r="I2069" s="294"/>
      <c r="J2069" s="294"/>
      <c r="L2069" s="295"/>
      <c r="M2069" s="294"/>
      <c r="S2069" s="294"/>
      <c r="T2069" s="299"/>
      <c r="U2069" s="294"/>
      <c r="V2069" s="299"/>
      <c r="W2069" s="299"/>
      <c r="X2069" s="294"/>
      <c r="Y2069" s="299"/>
      <c r="Z2069" s="294"/>
      <c r="AA2069" s="299"/>
      <c r="AB2069" s="299"/>
      <c r="AC2069" s="294"/>
      <c r="AD2069" s="294"/>
      <c r="AE2069" s="294"/>
      <c r="AF2069" s="294"/>
    </row>
    <row r="2070" spans="2:32" x14ac:dyDescent="0.25">
      <c r="B2070" s="294"/>
      <c r="C2070" s="294"/>
      <c r="D2070" s="294"/>
      <c r="E2070" s="294"/>
      <c r="F2070" s="294"/>
      <c r="G2070" s="294"/>
      <c r="H2070" s="294"/>
      <c r="I2070" s="294"/>
      <c r="J2070" s="294"/>
      <c r="L2070" s="295"/>
      <c r="M2070" s="294"/>
      <c r="S2070" s="294"/>
      <c r="T2070" s="299"/>
      <c r="U2070" s="294"/>
      <c r="V2070" s="299"/>
      <c r="W2070" s="299"/>
      <c r="X2070" s="294"/>
      <c r="Y2070" s="299"/>
      <c r="Z2070" s="294"/>
      <c r="AA2070" s="299"/>
      <c r="AB2070" s="299"/>
      <c r="AC2070" s="294"/>
      <c r="AD2070" s="294"/>
      <c r="AE2070" s="294"/>
      <c r="AF2070" s="294"/>
    </row>
    <row r="2071" spans="2:32" x14ac:dyDescent="0.25">
      <c r="B2071" s="294"/>
      <c r="C2071" s="294"/>
      <c r="D2071" s="294"/>
      <c r="E2071" s="294"/>
      <c r="F2071" s="294"/>
      <c r="G2071" s="294"/>
      <c r="H2071" s="294"/>
      <c r="I2071" s="294"/>
      <c r="J2071" s="294"/>
      <c r="L2071" s="295"/>
      <c r="M2071" s="294"/>
      <c r="S2071" s="294"/>
      <c r="T2071" s="299"/>
      <c r="U2071" s="294"/>
      <c r="V2071" s="299"/>
      <c r="W2071" s="299"/>
      <c r="X2071" s="294"/>
      <c r="Y2071" s="299"/>
      <c r="Z2071" s="294"/>
      <c r="AA2071" s="299"/>
      <c r="AB2071" s="299"/>
      <c r="AC2071" s="294"/>
      <c r="AD2071" s="294"/>
      <c r="AE2071" s="294"/>
      <c r="AF2071" s="294"/>
    </row>
    <row r="2072" spans="2:32" x14ac:dyDescent="0.25">
      <c r="B2072" s="294"/>
      <c r="C2072" s="294"/>
      <c r="D2072" s="294"/>
      <c r="E2072" s="294"/>
      <c r="F2072" s="294"/>
      <c r="G2072" s="294"/>
      <c r="H2072" s="294"/>
      <c r="I2072" s="294"/>
      <c r="J2072" s="294"/>
      <c r="L2072" s="295"/>
      <c r="M2072" s="294"/>
      <c r="S2072" s="294"/>
      <c r="T2072" s="299"/>
      <c r="U2072" s="294"/>
      <c r="V2072" s="299"/>
      <c r="W2072" s="299"/>
      <c r="X2072" s="294"/>
      <c r="Y2072" s="299"/>
      <c r="Z2072" s="294"/>
      <c r="AA2072" s="299"/>
      <c r="AB2072" s="299"/>
      <c r="AC2072" s="294"/>
      <c r="AD2072" s="294"/>
      <c r="AE2072" s="294"/>
      <c r="AF2072" s="294"/>
    </row>
    <row r="2073" spans="2:32" x14ac:dyDescent="0.25">
      <c r="B2073" s="294"/>
      <c r="C2073" s="294"/>
      <c r="D2073" s="294"/>
      <c r="E2073" s="294"/>
      <c r="F2073" s="294"/>
      <c r="G2073" s="294"/>
      <c r="H2073" s="294"/>
      <c r="I2073" s="294"/>
      <c r="J2073" s="294"/>
      <c r="L2073" s="295"/>
      <c r="M2073" s="294"/>
      <c r="S2073" s="294"/>
      <c r="T2073" s="299"/>
      <c r="U2073" s="294"/>
      <c r="V2073" s="299"/>
      <c r="W2073" s="299"/>
      <c r="X2073" s="294"/>
      <c r="Y2073" s="299"/>
      <c r="Z2073" s="294"/>
      <c r="AA2073" s="299"/>
      <c r="AB2073" s="299"/>
      <c r="AC2073" s="294"/>
      <c r="AD2073" s="294"/>
      <c r="AE2073" s="294"/>
      <c r="AF2073" s="294"/>
    </row>
    <row r="2074" spans="2:32" x14ac:dyDescent="0.25">
      <c r="B2074" s="294"/>
      <c r="C2074" s="294"/>
      <c r="D2074" s="294"/>
      <c r="E2074" s="294"/>
      <c r="F2074" s="294"/>
      <c r="G2074" s="294"/>
      <c r="H2074" s="294"/>
      <c r="I2074" s="294"/>
      <c r="J2074" s="294"/>
      <c r="L2074" s="295"/>
      <c r="M2074" s="294"/>
      <c r="S2074" s="294"/>
      <c r="T2074" s="299"/>
      <c r="U2074" s="294"/>
      <c r="V2074" s="299"/>
      <c r="W2074" s="299"/>
      <c r="X2074" s="294"/>
      <c r="Y2074" s="299"/>
      <c r="Z2074" s="294"/>
      <c r="AA2074" s="299"/>
      <c r="AB2074" s="299"/>
      <c r="AC2074" s="294"/>
      <c r="AD2074" s="294"/>
      <c r="AE2074" s="294"/>
      <c r="AF2074" s="294"/>
    </row>
    <row r="2075" spans="2:32" x14ac:dyDescent="0.25">
      <c r="B2075" s="294"/>
      <c r="C2075" s="294"/>
      <c r="D2075" s="294"/>
      <c r="E2075" s="294"/>
      <c r="F2075" s="294"/>
      <c r="G2075" s="294"/>
      <c r="H2075" s="294"/>
      <c r="I2075" s="294"/>
      <c r="J2075" s="294"/>
      <c r="L2075" s="295"/>
      <c r="M2075" s="294"/>
      <c r="S2075" s="294"/>
      <c r="T2075" s="299"/>
      <c r="U2075" s="294"/>
      <c r="V2075" s="299"/>
      <c r="W2075" s="299"/>
      <c r="X2075" s="294"/>
      <c r="Y2075" s="299"/>
      <c r="Z2075" s="294"/>
      <c r="AA2075" s="299"/>
      <c r="AB2075" s="299"/>
      <c r="AC2075" s="294"/>
      <c r="AD2075" s="294"/>
      <c r="AE2075" s="294"/>
      <c r="AF2075" s="294"/>
    </row>
    <row r="2076" spans="2:32" x14ac:dyDescent="0.25">
      <c r="B2076" s="294"/>
      <c r="C2076" s="294"/>
      <c r="D2076" s="294"/>
      <c r="E2076" s="294"/>
      <c r="F2076" s="294"/>
      <c r="G2076" s="294"/>
      <c r="H2076" s="294"/>
      <c r="I2076" s="294"/>
      <c r="J2076" s="294"/>
      <c r="L2076" s="295"/>
      <c r="M2076" s="294"/>
      <c r="S2076" s="294"/>
      <c r="T2076" s="299"/>
      <c r="U2076" s="294"/>
      <c r="V2076" s="299"/>
      <c r="W2076" s="299"/>
      <c r="X2076" s="294"/>
      <c r="Y2076" s="299"/>
      <c r="Z2076" s="294"/>
      <c r="AA2076" s="299"/>
      <c r="AB2076" s="299"/>
      <c r="AC2076" s="294"/>
      <c r="AD2076" s="294"/>
      <c r="AE2076" s="294"/>
      <c r="AF2076" s="294"/>
    </row>
    <row r="2077" spans="2:32" x14ac:dyDescent="0.25">
      <c r="B2077" s="294"/>
      <c r="C2077" s="294"/>
      <c r="D2077" s="294"/>
      <c r="E2077" s="294"/>
      <c r="F2077" s="294"/>
      <c r="G2077" s="294"/>
      <c r="H2077" s="294"/>
      <c r="I2077" s="294"/>
      <c r="J2077" s="294"/>
      <c r="L2077" s="295"/>
      <c r="M2077" s="294"/>
      <c r="S2077" s="294"/>
      <c r="T2077" s="299"/>
      <c r="U2077" s="294"/>
      <c r="V2077" s="299"/>
      <c r="W2077" s="299"/>
      <c r="X2077" s="294"/>
      <c r="Y2077" s="299"/>
      <c r="Z2077" s="294"/>
      <c r="AA2077" s="299"/>
      <c r="AB2077" s="299"/>
      <c r="AC2077" s="294"/>
      <c r="AD2077" s="294"/>
      <c r="AE2077" s="294"/>
      <c r="AF2077" s="294"/>
    </row>
    <row r="2078" spans="2:32" x14ac:dyDescent="0.25">
      <c r="B2078" s="294"/>
      <c r="C2078" s="294"/>
      <c r="D2078" s="294"/>
      <c r="E2078" s="294"/>
      <c r="F2078" s="294"/>
      <c r="G2078" s="294"/>
      <c r="H2078" s="294"/>
      <c r="I2078" s="294"/>
      <c r="J2078" s="294"/>
      <c r="L2078" s="295"/>
      <c r="M2078" s="294"/>
      <c r="S2078" s="294"/>
      <c r="T2078" s="299"/>
      <c r="U2078" s="294"/>
      <c r="V2078" s="299"/>
      <c r="W2078" s="299"/>
      <c r="X2078" s="294"/>
      <c r="Y2078" s="299"/>
      <c r="Z2078" s="294"/>
      <c r="AA2078" s="299"/>
      <c r="AB2078" s="299"/>
      <c r="AC2078" s="294"/>
      <c r="AD2078" s="294"/>
      <c r="AE2078" s="294"/>
      <c r="AF2078" s="294"/>
    </row>
    <row r="2079" spans="2:32" x14ac:dyDescent="0.25">
      <c r="B2079" s="294"/>
      <c r="C2079" s="294"/>
      <c r="D2079" s="294"/>
      <c r="E2079" s="294"/>
      <c r="F2079" s="294"/>
      <c r="G2079" s="294"/>
      <c r="H2079" s="294"/>
      <c r="I2079" s="294"/>
      <c r="J2079" s="294"/>
      <c r="L2079" s="295"/>
      <c r="M2079" s="294"/>
      <c r="S2079" s="294"/>
      <c r="T2079" s="299"/>
      <c r="U2079" s="294"/>
      <c r="V2079" s="299"/>
      <c r="W2079" s="299"/>
      <c r="X2079" s="294"/>
      <c r="Y2079" s="299"/>
      <c r="Z2079" s="294"/>
      <c r="AA2079" s="299"/>
      <c r="AB2079" s="299"/>
      <c r="AC2079" s="294"/>
      <c r="AD2079" s="294"/>
      <c r="AE2079" s="294"/>
      <c r="AF2079" s="294"/>
    </row>
    <row r="2080" spans="2:32" x14ac:dyDescent="0.25">
      <c r="B2080" s="294"/>
      <c r="C2080" s="294"/>
      <c r="D2080" s="294"/>
      <c r="E2080" s="294"/>
      <c r="F2080" s="294"/>
      <c r="G2080" s="294"/>
      <c r="H2080" s="294"/>
      <c r="I2080" s="294"/>
      <c r="J2080" s="294"/>
      <c r="L2080" s="295"/>
      <c r="M2080" s="294"/>
      <c r="S2080" s="294"/>
      <c r="T2080" s="299"/>
      <c r="U2080" s="294"/>
      <c r="V2080" s="299"/>
      <c r="W2080" s="299"/>
      <c r="X2080" s="294"/>
      <c r="Y2080" s="299"/>
      <c r="Z2080" s="294"/>
      <c r="AA2080" s="299"/>
      <c r="AB2080" s="299"/>
      <c r="AC2080" s="294"/>
      <c r="AD2080" s="294"/>
      <c r="AE2080" s="294"/>
      <c r="AF2080" s="294"/>
    </row>
    <row r="2081" spans="2:32" x14ac:dyDescent="0.25">
      <c r="B2081" s="294"/>
      <c r="C2081" s="294"/>
      <c r="D2081" s="294"/>
      <c r="E2081" s="294"/>
      <c r="F2081" s="294"/>
      <c r="G2081" s="294"/>
      <c r="H2081" s="294"/>
      <c r="I2081" s="294"/>
      <c r="J2081" s="294"/>
      <c r="L2081" s="295"/>
      <c r="M2081" s="294"/>
      <c r="S2081" s="294"/>
      <c r="T2081" s="299"/>
      <c r="U2081" s="294"/>
      <c r="V2081" s="299"/>
      <c r="W2081" s="299"/>
      <c r="X2081" s="294"/>
      <c r="Y2081" s="299"/>
      <c r="Z2081" s="294"/>
      <c r="AA2081" s="299"/>
      <c r="AB2081" s="299"/>
      <c r="AC2081" s="294"/>
      <c r="AD2081" s="294"/>
      <c r="AE2081" s="294"/>
      <c r="AF2081" s="294"/>
    </row>
    <row r="2082" spans="2:32" x14ac:dyDescent="0.25">
      <c r="B2082" s="294"/>
      <c r="C2082" s="294"/>
      <c r="D2082" s="294"/>
      <c r="E2082" s="294"/>
      <c r="F2082" s="294"/>
      <c r="G2082" s="294"/>
      <c r="H2082" s="294"/>
      <c r="I2082" s="294"/>
      <c r="J2082" s="294"/>
      <c r="L2082" s="295"/>
      <c r="M2082" s="294"/>
      <c r="S2082" s="294"/>
      <c r="T2082" s="299"/>
      <c r="U2082" s="294"/>
      <c r="V2082" s="299"/>
      <c r="W2082" s="299"/>
      <c r="X2082" s="294"/>
      <c r="Y2082" s="299"/>
      <c r="Z2082" s="294"/>
      <c r="AA2082" s="299"/>
      <c r="AB2082" s="299"/>
      <c r="AC2082" s="294"/>
      <c r="AD2082" s="294"/>
      <c r="AE2082" s="294"/>
      <c r="AF2082" s="294"/>
    </row>
    <row r="2083" spans="2:32" x14ac:dyDescent="0.25">
      <c r="B2083" s="294"/>
      <c r="C2083" s="294"/>
      <c r="D2083" s="294"/>
      <c r="E2083" s="294"/>
      <c r="F2083" s="294"/>
      <c r="G2083" s="294"/>
      <c r="H2083" s="294"/>
      <c r="I2083" s="294"/>
      <c r="J2083" s="294"/>
      <c r="L2083" s="295"/>
      <c r="M2083" s="294"/>
      <c r="S2083" s="294"/>
      <c r="T2083" s="299"/>
      <c r="U2083" s="294"/>
      <c r="V2083" s="299"/>
      <c r="W2083" s="299"/>
      <c r="X2083" s="294"/>
      <c r="Y2083" s="299"/>
      <c r="Z2083" s="294"/>
      <c r="AA2083" s="299"/>
      <c r="AB2083" s="299"/>
      <c r="AC2083" s="294"/>
      <c r="AD2083" s="294"/>
      <c r="AE2083" s="294"/>
      <c r="AF2083" s="294"/>
    </row>
    <row r="2084" spans="2:32" x14ac:dyDescent="0.25">
      <c r="B2084" s="294"/>
      <c r="C2084" s="294"/>
      <c r="D2084" s="294"/>
      <c r="E2084" s="294"/>
      <c r="F2084" s="294"/>
      <c r="G2084" s="294"/>
      <c r="H2084" s="294"/>
      <c r="I2084" s="294"/>
      <c r="J2084" s="294"/>
      <c r="L2084" s="295"/>
      <c r="M2084" s="294"/>
      <c r="S2084" s="294"/>
      <c r="T2084" s="299"/>
      <c r="U2084" s="294"/>
      <c r="V2084" s="299"/>
      <c r="W2084" s="299"/>
      <c r="X2084" s="294"/>
      <c r="Y2084" s="299"/>
      <c r="Z2084" s="294"/>
      <c r="AA2084" s="299"/>
      <c r="AB2084" s="299"/>
      <c r="AC2084" s="294"/>
      <c r="AD2084" s="294"/>
      <c r="AE2084" s="294"/>
      <c r="AF2084" s="294"/>
    </row>
    <row r="2085" spans="2:32" x14ac:dyDescent="0.25">
      <c r="B2085" s="294"/>
      <c r="C2085" s="294"/>
      <c r="D2085" s="294"/>
      <c r="E2085" s="294"/>
      <c r="F2085" s="294"/>
      <c r="G2085" s="294"/>
      <c r="H2085" s="294"/>
      <c r="I2085" s="294"/>
      <c r="J2085" s="294"/>
      <c r="L2085" s="295"/>
      <c r="M2085" s="294"/>
      <c r="S2085" s="294"/>
      <c r="T2085" s="299"/>
      <c r="U2085" s="294"/>
      <c r="V2085" s="299"/>
      <c r="W2085" s="299"/>
      <c r="X2085" s="294"/>
      <c r="Y2085" s="299"/>
      <c r="Z2085" s="294"/>
      <c r="AA2085" s="299"/>
      <c r="AB2085" s="299"/>
      <c r="AC2085" s="294"/>
      <c r="AD2085" s="294"/>
      <c r="AE2085" s="294"/>
      <c r="AF2085" s="294"/>
    </row>
    <row r="2086" spans="2:32" x14ac:dyDescent="0.25">
      <c r="B2086" s="294"/>
      <c r="C2086" s="294"/>
      <c r="D2086" s="294"/>
      <c r="E2086" s="294"/>
      <c r="F2086" s="294"/>
      <c r="G2086" s="294"/>
      <c r="H2086" s="294"/>
      <c r="I2086" s="294"/>
      <c r="J2086" s="294"/>
      <c r="L2086" s="295"/>
      <c r="M2086" s="294"/>
      <c r="S2086" s="294"/>
      <c r="T2086" s="299"/>
      <c r="U2086" s="294"/>
      <c r="V2086" s="299"/>
      <c r="W2086" s="299"/>
      <c r="X2086" s="294"/>
      <c r="Y2086" s="299"/>
      <c r="Z2086" s="294"/>
      <c r="AA2086" s="299"/>
      <c r="AB2086" s="299"/>
      <c r="AC2086" s="294"/>
      <c r="AD2086" s="294"/>
      <c r="AE2086" s="294"/>
      <c r="AF2086" s="294"/>
    </row>
    <row r="2087" spans="2:32" x14ac:dyDescent="0.25">
      <c r="B2087" s="294"/>
      <c r="C2087" s="294"/>
      <c r="D2087" s="294"/>
      <c r="E2087" s="294"/>
      <c r="F2087" s="294"/>
      <c r="G2087" s="294"/>
      <c r="H2087" s="294"/>
      <c r="I2087" s="294"/>
      <c r="J2087" s="294"/>
      <c r="L2087" s="295"/>
      <c r="M2087" s="294"/>
      <c r="S2087" s="294"/>
      <c r="T2087" s="299"/>
      <c r="U2087" s="294"/>
      <c r="V2087" s="299"/>
      <c r="W2087" s="299"/>
      <c r="X2087" s="294"/>
      <c r="Y2087" s="299"/>
      <c r="Z2087" s="294"/>
      <c r="AA2087" s="299"/>
      <c r="AB2087" s="299"/>
      <c r="AC2087" s="294"/>
      <c r="AD2087" s="294"/>
      <c r="AE2087" s="294"/>
      <c r="AF2087" s="294"/>
    </row>
    <row r="2088" spans="2:32" x14ac:dyDescent="0.25">
      <c r="B2088" s="294"/>
      <c r="C2088" s="294"/>
      <c r="D2088" s="294"/>
      <c r="E2088" s="294"/>
      <c r="F2088" s="294"/>
      <c r="G2088" s="294"/>
      <c r="H2088" s="294"/>
      <c r="I2088" s="294"/>
      <c r="J2088" s="294"/>
      <c r="L2088" s="295"/>
      <c r="M2088" s="294"/>
      <c r="S2088" s="294"/>
      <c r="T2088" s="299"/>
      <c r="U2088" s="294"/>
      <c r="V2088" s="299"/>
      <c r="W2088" s="299"/>
      <c r="X2088" s="294"/>
      <c r="Y2088" s="299"/>
      <c r="Z2088" s="294"/>
      <c r="AA2088" s="299"/>
      <c r="AB2088" s="299"/>
      <c r="AC2088" s="294"/>
      <c r="AD2088" s="294"/>
      <c r="AE2088" s="294"/>
      <c r="AF2088" s="294"/>
    </row>
    <row r="2089" spans="2:32" x14ac:dyDescent="0.25">
      <c r="B2089" s="294"/>
      <c r="C2089" s="294"/>
      <c r="D2089" s="294"/>
      <c r="E2089" s="294"/>
      <c r="F2089" s="294"/>
      <c r="G2089" s="294"/>
      <c r="H2089" s="294"/>
      <c r="I2089" s="294"/>
      <c r="J2089" s="294"/>
      <c r="L2089" s="295"/>
      <c r="M2089" s="294"/>
      <c r="S2089" s="294"/>
      <c r="T2089" s="299"/>
      <c r="U2089" s="294"/>
      <c r="V2089" s="299"/>
      <c r="W2089" s="299"/>
      <c r="X2089" s="294"/>
      <c r="Y2089" s="299"/>
      <c r="Z2089" s="294"/>
      <c r="AA2089" s="299"/>
      <c r="AB2089" s="299"/>
      <c r="AC2089" s="294"/>
      <c r="AD2089" s="294"/>
      <c r="AE2089" s="294"/>
      <c r="AF2089" s="294"/>
    </row>
    <row r="2090" spans="2:32" x14ac:dyDescent="0.25">
      <c r="B2090" s="294"/>
      <c r="C2090" s="294"/>
      <c r="D2090" s="294"/>
      <c r="E2090" s="294"/>
      <c r="F2090" s="294"/>
      <c r="G2090" s="294"/>
      <c r="H2090" s="294"/>
      <c r="I2090" s="294"/>
      <c r="J2090" s="294"/>
      <c r="L2090" s="295"/>
      <c r="M2090" s="294"/>
      <c r="S2090" s="294"/>
      <c r="T2090" s="299"/>
      <c r="U2090" s="294"/>
      <c r="V2090" s="299"/>
      <c r="W2090" s="299"/>
      <c r="X2090" s="294"/>
      <c r="Y2090" s="299"/>
      <c r="Z2090" s="294"/>
      <c r="AA2090" s="299"/>
      <c r="AB2090" s="299"/>
      <c r="AC2090" s="294"/>
      <c r="AD2090" s="294"/>
      <c r="AE2090" s="294"/>
      <c r="AF2090" s="294"/>
    </row>
    <row r="2091" spans="2:32" x14ac:dyDescent="0.25">
      <c r="B2091" s="294"/>
      <c r="C2091" s="294"/>
      <c r="D2091" s="294"/>
      <c r="E2091" s="294"/>
      <c r="F2091" s="294"/>
      <c r="G2091" s="294"/>
      <c r="H2091" s="294"/>
      <c r="I2091" s="294"/>
      <c r="J2091" s="294"/>
      <c r="L2091" s="295"/>
      <c r="M2091" s="294"/>
      <c r="S2091" s="294"/>
      <c r="T2091" s="299"/>
      <c r="U2091" s="294"/>
      <c r="V2091" s="299"/>
      <c r="W2091" s="299"/>
      <c r="X2091" s="294"/>
      <c r="Y2091" s="299"/>
      <c r="Z2091" s="294"/>
      <c r="AA2091" s="299"/>
      <c r="AB2091" s="299"/>
      <c r="AC2091" s="294"/>
      <c r="AD2091" s="294"/>
      <c r="AE2091" s="294"/>
      <c r="AF2091" s="294"/>
    </row>
    <row r="2092" spans="2:32" x14ac:dyDescent="0.25">
      <c r="B2092" s="294"/>
      <c r="C2092" s="294"/>
      <c r="D2092" s="294"/>
      <c r="E2092" s="294"/>
      <c r="F2092" s="294"/>
      <c r="G2092" s="294"/>
      <c r="H2092" s="294"/>
      <c r="I2092" s="294"/>
      <c r="J2092" s="294"/>
      <c r="L2092" s="295"/>
      <c r="M2092" s="294"/>
      <c r="S2092" s="294"/>
      <c r="T2092" s="299"/>
      <c r="U2092" s="294"/>
      <c r="V2092" s="299"/>
      <c r="W2092" s="299"/>
      <c r="X2092" s="294"/>
      <c r="Y2092" s="299"/>
      <c r="Z2092" s="294"/>
      <c r="AA2092" s="299"/>
      <c r="AB2092" s="299"/>
      <c r="AC2092" s="294"/>
      <c r="AD2092" s="294"/>
      <c r="AE2092" s="294"/>
      <c r="AF2092" s="294"/>
    </row>
    <row r="2093" spans="2:32" x14ac:dyDescent="0.25">
      <c r="B2093" s="294"/>
      <c r="C2093" s="294"/>
      <c r="D2093" s="294"/>
      <c r="E2093" s="294"/>
      <c r="F2093" s="294"/>
      <c r="G2093" s="294"/>
      <c r="H2093" s="294"/>
      <c r="I2093" s="294"/>
      <c r="J2093" s="294"/>
      <c r="L2093" s="295"/>
      <c r="M2093" s="294"/>
      <c r="S2093" s="294"/>
      <c r="T2093" s="299"/>
      <c r="U2093" s="294"/>
      <c r="V2093" s="299"/>
      <c r="W2093" s="299"/>
      <c r="X2093" s="294"/>
      <c r="Y2093" s="299"/>
      <c r="Z2093" s="294"/>
      <c r="AA2093" s="299"/>
      <c r="AB2093" s="299"/>
      <c r="AC2093" s="294"/>
      <c r="AD2093" s="294"/>
      <c r="AE2093" s="294"/>
      <c r="AF2093" s="294"/>
    </row>
    <row r="2094" spans="2:32" x14ac:dyDescent="0.25">
      <c r="B2094" s="294"/>
      <c r="C2094" s="294"/>
      <c r="D2094" s="294"/>
      <c r="E2094" s="294"/>
      <c r="F2094" s="294"/>
      <c r="G2094" s="294"/>
      <c r="H2094" s="294"/>
      <c r="I2094" s="294"/>
      <c r="J2094" s="294"/>
      <c r="L2094" s="295"/>
      <c r="M2094" s="294"/>
      <c r="S2094" s="294"/>
      <c r="T2094" s="299"/>
      <c r="U2094" s="294"/>
      <c r="V2094" s="299"/>
      <c r="W2094" s="299"/>
      <c r="X2094" s="294"/>
      <c r="Y2094" s="299"/>
      <c r="Z2094" s="294"/>
      <c r="AA2094" s="299"/>
      <c r="AB2094" s="299"/>
      <c r="AC2094" s="294"/>
      <c r="AD2094" s="294"/>
      <c r="AE2094" s="294"/>
      <c r="AF2094" s="294"/>
    </row>
    <row r="2095" spans="2:32" x14ac:dyDescent="0.25">
      <c r="B2095" s="294"/>
      <c r="C2095" s="294"/>
      <c r="D2095" s="294"/>
      <c r="E2095" s="294"/>
      <c r="F2095" s="294"/>
      <c r="G2095" s="294"/>
      <c r="H2095" s="294"/>
      <c r="I2095" s="294"/>
      <c r="J2095" s="294"/>
      <c r="L2095" s="295"/>
      <c r="M2095" s="294"/>
      <c r="S2095" s="294"/>
      <c r="T2095" s="299"/>
      <c r="U2095" s="294"/>
      <c r="V2095" s="299"/>
      <c r="W2095" s="299"/>
      <c r="X2095" s="294"/>
      <c r="Y2095" s="299"/>
      <c r="Z2095" s="294"/>
      <c r="AA2095" s="299"/>
      <c r="AB2095" s="299"/>
      <c r="AC2095" s="294"/>
      <c r="AD2095" s="294"/>
      <c r="AE2095" s="294"/>
      <c r="AF2095" s="294"/>
    </row>
    <row r="2096" spans="2:32" x14ac:dyDescent="0.25">
      <c r="B2096" s="294"/>
      <c r="C2096" s="294"/>
      <c r="D2096" s="294"/>
      <c r="E2096" s="294"/>
      <c r="F2096" s="294"/>
      <c r="G2096" s="294"/>
      <c r="H2096" s="294"/>
      <c r="I2096" s="294"/>
      <c r="J2096" s="294"/>
      <c r="L2096" s="295"/>
      <c r="M2096" s="294"/>
      <c r="S2096" s="294"/>
      <c r="T2096" s="299"/>
      <c r="U2096" s="294"/>
      <c r="V2096" s="299"/>
      <c r="W2096" s="299"/>
      <c r="X2096" s="294"/>
      <c r="Y2096" s="299"/>
      <c r="Z2096" s="294"/>
      <c r="AA2096" s="299"/>
      <c r="AB2096" s="299"/>
      <c r="AC2096" s="294"/>
      <c r="AD2096" s="294"/>
      <c r="AE2096" s="294"/>
      <c r="AF2096" s="294"/>
    </row>
    <row r="2097" spans="2:32" x14ac:dyDescent="0.25">
      <c r="B2097" s="294"/>
      <c r="C2097" s="294"/>
      <c r="D2097" s="294"/>
      <c r="E2097" s="294"/>
      <c r="F2097" s="294"/>
      <c r="G2097" s="294"/>
      <c r="H2097" s="294"/>
      <c r="I2097" s="294"/>
      <c r="J2097" s="294"/>
      <c r="L2097" s="295"/>
      <c r="M2097" s="294"/>
      <c r="S2097" s="294"/>
      <c r="T2097" s="299"/>
      <c r="U2097" s="294"/>
      <c r="V2097" s="299"/>
      <c r="W2097" s="299"/>
      <c r="X2097" s="294"/>
      <c r="Y2097" s="299"/>
      <c r="Z2097" s="294"/>
      <c r="AA2097" s="299"/>
      <c r="AB2097" s="299"/>
      <c r="AC2097" s="294"/>
      <c r="AD2097" s="294"/>
      <c r="AE2097" s="294"/>
      <c r="AF2097" s="294"/>
    </row>
    <row r="2098" spans="2:32" x14ac:dyDescent="0.25">
      <c r="B2098" s="294"/>
      <c r="C2098" s="294"/>
      <c r="D2098" s="294"/>
      <c r="E2098" s="294"/>
      <c r="F2098" s="294"/>
      <c r="G2098" s="294"/>
      <c r="H2098" s="294"/>
      <c r="I2098" s="294"/>
      <c r="J2098" s="294"/>
      <c r="L2098" s="295"/>
      <c r="M2098" s="294"/>
      <c r="S2098" s="294"/>
      <c r="T2098" s="299"/>
      <c r="U2098" s="294"/>
      <c r="V2098" s="299"/>
      <c r="W2098" s="299"/>
      <c r="X2098" s="294"/>
      <c r="Y2098" s="299"/>
      <c r="Z2098" s="294"/>
      <c r="AA2098" s="299"/>
      <c r="AB2098" s="299"/>
      <c r="AC2098" s="294"/>
      <c r="AD2098" s="294"/>
      <c r="AE2098" s="294"/>
      <c r="AF2098" s="294"/>
    </row>
    <row r="2099" spans="2:32" x14ac:dyDescent="0.25">
      <c r="B2099" s="294"/>
      <c r="C2099" s="294"/>
      <c r="D2099" s="294"/>
      <c r="E2099" s="294"/>
      <c r="F2099" s="294"/>
      <c r="G2099" s="294"/>
      <c r="H2099" s="294"/>
      <c r="I2099" s="294"/>
      <c r="J2099" s="294"/>
      <c r="L2099" s="295"/>
      <c r="M2099" s="294"/>
      <c r="S2099" s="294"/>
      <c r="T2099" s="299"/>
      <c r="U2099" s="294"/>
      <c r="V2099" s="299"/>
      <c r="W2099" s="299"/>
      <c r="X2099" s="294"/>
      <c r="Y2099" s="299"/>
      <c r="Z2099" s="294"/>
      <c r="AA2099" s="299"/>
      <c r="AB2099" s="299"/>
      <c r="AC2099" s="294"/>
      <c r="AD2099" s="294"/>
      <c r="AE2099" s="294"/>
      <c r="AF2099" s="294"/>
    </row>
    <row r="2100" spans="2:32" x14ac:dyDescent="0.25">
      <c r="B2100" s="294"/>
      <c r="C2100" s="294"/>
      <c r="D2100" s="294"/>
      <c r="E2100" s="294"/>
      <c r="F2100" s="294"/>
      <c r="G2100" s="294"/>
      <c r="H2100" s="294"/>
      <c r="I2100" s="294"/>
      <c r="J2100" s="294"/>
      <c r="L2100" s="295"/>
      <c r="M2100" s="294"/>
      <c r="S2100" s="294"/>
      <c r="T2100" s="299"/>
      <c r="U2100" s="294"/>
      <c r="V2100" s="299"/>
      <c r="W2100" s="299"/>
      <c r="X2100" s="294"/>
      <c r="Y2100" s="299"/>
      <c r="Z2100" s="294"/>
      <c r="AA2100" s="299"/>
      <c r="AB2100" s="299"/>
      <c r="AC2100" s="294"/>
      <c r="AD2100" s="294"/>
      <c r="AE2100" s="294"/>
      <c r="AF2100" s="294"/>
    </row>
    <row r="2101" spans="2:32" x14ac:dyDescent="0.25">
      <c r="B2101" s="294"/>
      <c r="C2101" s="294"/>
      <c r="D2101" s="294"/>
      <c r="E2101" s="294"/>
      <c r="F2101" s="294"/>
      <c r="G2101" s="294"/>
      <c r="H2101" s="294"/>
      <c r="I2101" s="294"/>
      <c r="J2101" s="294"/>
      <c r="L2101" s="295"/>
      <c r="M2101" s="294"/>
      <c r="S2101" s="294"/>
      <c r="T2101" s="299"/>
      <c r="U2101" s="294"/>
      <c r="V2101" s="299"/>
      <c r="W2101" s="299"/>
      <c r="X2101" s="294"/>
      <c r="Y2101" s="299"/>
      <c r="Z2101" s="294"/>
      <c r="AA2101" s="299"/>
      <c r="AB2101" s="299"/>
      <c r="AC2101" s="294"/>
      <c r="AD2101" s="294"/>
      <c r="AE2101" s="294"/>
      <c r="AF2101" s="294"/>
    </row>
    <row r="2102" spans="2:32" x14ac:dyDescent="0.25">
      <c r="B2102" s="294"/>
      <c r="C2102" s="294"/>
      <c r="D2102" s="294"/>
      <c r="E2102" s="294"/>
      <c r="F2102" s="294"/>
      <c r="G2102" s="294"/>
      <c r="H2102" s="294"/>
      <c r="I2102" s="294"/>
      <c r="J2102" s="294"/>
      <c r="L2102" s="295"/>
      <c r="M2102" s="294"/>
      <c r="S2102" s="294"/>
      <c r="T2102" s="299"/>
      <c r="U2102" s="294"/>
      <c r="V2102" s="299"/>
      <c r="W2102" s="299"/>
      <c r="X2102" s="294"/>
      <c r="Y2102" s="299"/>
      <c r="Z2102" s="294"/>
      <c r="AA2102" s="299"/>
      <c r="AB2102" s="299"/>
      <c r="AC2102" s="294"/>
      <c r="AD2102" s="294"/>
      <c r="AE2102" s="294"/>
      <c r="AF2102" s="294"/>
    </row>
    <row r="2103" spans="2:32" x14ac:dyDescent="0.25">
      <c r="B2103" s="294"/>
      <c r="C2103" s="294"/>
      <c r="D2103" s="294"/>
      <c r="E2103" s="294"/>
      <c r="F2103" s="294"/>
      <c r="G2103" s="294"/>
      <c r="H2103" s="294"/>
      <c r="I2103" s="294"/>
      <c r="J2103" s="294"/>
      <c r="L2103" s="295"/>
      <c r="M2103" s="294"/>
      <c r="S2103" s="294"/>
      <c r="T2103" s="299"/>
      <c r="U2103" s="294"/>
      <c r="V2103" s="299"/>
      <c r="W2103" s="299"/>
      <c r="X2103" s="294"/>
      <c r="Y2103" s="299"/>
      <c r="Z2103" s="294"/>
      <c r="AA2103" s="299"/>
      <c r="AB2103" s="299"/>
      <c r="AC2103" s="294"/>
      <c r="AD2103" s="294"/>
      <c r="AE2103" s="294"/>
      <c r="AF2103" s="294"/>
    </row>
    <row r="2104" spans="2:32" x14ac:dyDescent="0.25">
      <c r="B2104" s="294"/>
      <c r="C2104" s="294"/>
      <c r="D2104" s="294"/>
      <c r="E2104" s="294"/>
      <c r="F2104" s="294"/>
      <c r="G2104" s="294"/>
      <c r="H2104" s="294"/>
      <c r="I2104" s="294"/>
      <c r="J2104" s="294"/>
      <c r="L2104" s="295"/>
      <c r="M2104" s="294"/>
      <c r="S2104" s="294"/>
      <c r="T2104" s="299"/>
      <c r="U2104" s="294"/>
      <c r="V2104" s="299"/>
      <c r="W2104" s="299"/>
      <c r="X2104" s="294"/>
      <c r="Y2104" s="299"/>
      <c r="Z2104" s="294"/>
      <c r="AA2104" s="299"/>
      <c r="AB2104" s="299"/>
      <c r="AC2104" s="294"/>
      <c r="AD2104" s="294"/>
      <c r="AE2104" s="294"/>
      <c r="AF2104" s="294"/>
    </row>
    <row r="2105" spans="2:32" x14ac:dyDescent="0.25">
      <c r="B2105" s="294"/>
      <c r="C2105" s="294"/>
      <c r="D2105" s="294"/>
      <c r="E2105" s="294"/>
      <c r="F2105" s="294"/>
      <c r="G2105" s="294"/>
      <c r="H2105" s="294"/>
      <c r="I2105" s="294"/>
      <c r="J2105" s="294"/>
      <c r="L2105" s="295"/>
      <c r="M2105" s="294"/>
      <c r="S2105" s="294"/>
      <c r="T2105" s="299"/>
      <c r="U2105" s="294"/>
      <c r="V2105" s="299"/>
      <c r="W2105" s="299"/>
      <c r="X2105" s="294"/>
      <c r="Y2105" s="299"/>
      <c r="Z2105" s="294"/>
      <c r="AA2105" s="299"/>
      <c r="AB2105" s="299"/>
      <c r="AC2105" s="294"/>
      <c r="AD2105" s="294"/>
      <c r="AE2105" s="294"/>
      <c r="AF2105" s="294"/>
    </row>
    <row r="2106" spans="2:32" x14ac:dyDescent="0.25">
      <c r="B2106" s="294"/>
      <c r="C2106" s="294"/>
      <c r="D2106" s="294"/>
      <c r="E2106" s="294"/>
      <c r="F2106" s="294"/>
      <c r="G2106" s="294"/>
      <c r="H2106" s="294"/>
      <c r="I2106" s="294"/>
      <c r="J2106" s="294"/>
      <c r="L2106" s="295"/>
      <c r="M2106" s="294"/>
      <c r="S2106" s="294"/>
      <c r="T2106" s="299"/>
      <c r="U2106" s="294"/>
      <c r="V2106" s="299"/>
      <c r="W2106" s="299"/>
      <c r="X2106" s="294"/>
      <c r="Y2106" s="299"/>
      <c r="Z2106" s="294"/>
      <c r="AA2106" s="299"/>
      <c r="AB2106" s="299"/>
      <c r="AC2106" s="294"/>
      <c r="AD2106" s="294"/>
      <c r="AE2106" s="294"/>
      <c r="AF2106" s="294"/>
    </row>
    <row r="2107" spans="2:32" x14ac:dyDescent="0.25">
      <c r="B2107" s="294"/>
      <c r="C2107" s="294"/>
      <c r="D2107" s="294"/>
      <c r="E2107" s="294"/>
      <c r="F2107" s="294"/>
      <c r="G2107" s="294"/>
      <c r="H2107" s="294"/>
      <c r="I2107" s="294"/>
      <c r="J2107" s="294"/>
      <c r="L2107" s="295"/>
      <c r="M2107" s="294"/>
      <c r="S2107" s="294"/>
      <c r="T2107" s="299"/>
      <c r="U2107" s="294"/>
      <c r="V2107" s="299"/>
      <c r="W2107" s="299"/>
      <c r="X2107" s="294"/>
      <c r="Y2107" s="299"/>
      <c r="Z2107" s="294"/>
      <c r="AA2107" s="299"/>
      <c r="AB2107" s="299"/>
      <c r="AC2107" s="294"/>
      <c r="AD2107" s="294"/>
      <c r="AE2107" s="294"/>
      <c r="AF2107" s="294"/>
    </row>
    <row r="2108" spans="2:32" x14ac:dyDescent="0.25">
      <c r="B2108" s="294"/>
      <c r="C2108" s="294"/>
      <c r="D2108" s="294"/>
      <c r="E2108" s="294"/>
      <c r="F2108" s="294"/>
      <c r="G2108" s="294"/>
      <c r="H2108" s="294"/>
      <c r="I2108" s="294"/>
      <c r="J2108" s="294"/>
      <c r="L2108" s="295"/>
      <c r="M2108" s="294"/>
      <c r="S2108" s="294"/>
      <c r="T2108" s="299"/>
      <c r="U2108" s="294"/>
      <c r="V2108" s="299"/>
      <c r="W2108" s="299"/>
      <c r="X2108" s="294"/>
      <c r="Y2108" s="299"/>
      <c r="Z2108" s="294"/>
      <c r="AA2108" s="299"/>
      <c r="AB2108" s="299"/>
      <c r="AC2108" s="294"/>
      <c r="AD2108" s="294"/>
      <c r="AE2108" s="294"/>
      <c r="AF2108" s="294"/>
    </row>
    <row r="2109" spans="2:32" x14ac:dyDescent="0.25">
      <c r="B2109" s="294"/>
      <c r="C2109" s="294"/>
      <c r="D2109" s="294"/>
      <c r="E2109" s="294"/>
      <c r="F2109" s="294"/>
      <c r="G2109" s="294"/>
      <c r="H2109" s="294"/>
      <c r="I2109" s="294"/>
      <c r="J2109" s="294"/>
      <c r="L2109" s="295"/>
      <c r="M2109" s="294"/>
      <c r="S2109" s="294"/>
      <c r="T2109" s="299"/>
      <c r="U2109" s="294"/>
      <c r="V2109" s="299"/>
      <c r="W2109" s="299"/>
      <c r="X2109" s="294"/>
      <c r="Y2109" s="299"/>
      <c r="Z2109" s="294"/>
      <c r="AA2109" s="299"/>
      <c r="AB2109" s="299"/>
      <c r="AC2109" s="294"/>
      <c r="AD2109" s="294"/>
      <c r="AE2109" s="294"/>
      <c r="AF2109" s="294"/>
    </row>
    <row r="2110" spans="2:32" x14ac:dyDescent="0.25">
      <c r="B2110" s="294"/>
      <c r="C2110" s="294"/>
      <c r="D2110" s="294"/>
      <c r="E2110" s="294"/>
      <c r="F2110" s="294"/>
      <c r="G2110" s="294"/>
      <c r="H2110" s="294"/>
      <c r="I2110" s="294"/>
      <c r="J2110" s="294"/>
      <c r="L2110" s="295"/>
      <c r="M2110" s="294"/>
      <c r="S2110" s="294"/>
      <c r="T2110" s="299"/>
      <c r="U2110" s="294"/>
      <c r="V2110" s="299"/>
      <c r="W2110" s="299"/>
      <c r="X2110" s="294"/>
      <c r="Y2110" s="299"/>
      <c r="Z2110" s="294"/>
      <c r="AA2110" s="299"/>
      <c r="AB2110" s="299"/>
      <c r="AC2110" s="294"/>
      <c r="AD2110" s="294"/>
      <c r="AE2110" s="294"/>
      <c r="AF2110" s="294"/>
    </row>
    <row r="2111" spans="2:32" x14ac:dyDescent="0.25">
      <c r="B2111" s="294"/>
      <c r="C2111" s="294"/>
      <c r="D2111" s="294"/>
      <c r="E2111" s="294"/>
      <c r="F2111" s="294"/>
      <c r="G2111" s="294"/>
      <c r="H2111" s="294"/>
      <c r="I2111" s="294"/>
      <c r="J2111" s="294"/>
      <c r="L2111" s="295"/>
      <c r="M2111" s="294"/>
      <c r="S2111" s="294"/>
      <c r="T2111" s="299"/>
      <c r="U2111" s="294"/>
      <c r="V2111" s="299"/>
      <c r="W2111" s="299"/>
      <c r="X2111" s="294"/>
      <c r="Y2111" s="299"/>
      <c r="Z2111" s="294"/>
      <c r="AA2111" s="299"/>
      <c r="AB2111" s="299"/>
      <c r="AC2111" s="294"/>
      <c r="AD2111" s="294"/>
      <c r="AE2111" s="294"/>
      <c r="AF2111" s="294"/>
    </row>
    <row r="2112" spans="2:32" x14ac:dyDescent="0.25">
      <c r="B2112" s="294"/>
      <c r="C2112" s="294"/>
      <c r="D2112" s="294"/>
      <c r="E2112" s="294"/>
      <c r="F2112" s="294"/>
      <c r="G2112" s="294"/>
      <c r="H2112" s="294"/>
      <c r="I2112" s="294"/>
      <c r="J2112" s="294"/>
      <c r="L2112" s="295"/>
      <c r="M2112" s="294"/>
      <c r="S2112" s="294"/>
      <c r="T2112" s="299"/>
      <c r="U2112" s="294"/>
      <c r="V2112" s="299"/>
      <c r="W2112" s="299"/>
      <c r="X2112" s="294"/>
      <c r="Y2112" s="299"/>
      <c r="Z2112" s="294"/>
      <c r="AA2112" s="299"/>
      <c r="AB2112" s="299"/>
      <c r="AC2112" s="294"/>
      <c r="AD2112" s="294"/>
      <c r="AE2112" s="294"/>
      <c r="AF2112" s="294"/>
    </row>
    <row r="2113" spans="2:32" x14ac:dyDescent="0.25">
      <c r="B2113" s="294"/>
      <c r="C2113" s="294"/>
      <c r="D2113" s="294"/>
      <c r="E2113" s="294"/>
      <c r="F2113" s="294"/>
      <c r="G2113" s="294"/>
      <c r="H2113" s="294"/>
      <c r="I2113" s="294"/>
      <c r="J2113" s="294"/>
      <c r="L2113" s="295"/>
      <c r="M2113" s="294"/>
      <c r="S2113" s="294"/>
      <c r="T2113" s="299"/>
      <c r="U2113" s="294"/>
      <c r="V2113" s="299"/>
      <c r="W2113" s="299"/>
      <c r="X2113" s="294"/>
      <c r="Y2113" s="299"/>
      <c r="Z2113" s="294"/>
      <c r="AA2113" s="299"/>
      <c r="AB2113" s="299"/>
      <c r="AC2113" s="294"/>
      <c r="AD2113" s="294"/>
      <c r="AE2113" s="294"/>
      <c r="AF2113" s="294"/>
    </row>
    <row r="2114" spans="2:32" x14ac:dyDescent="0.25">
      <c r="B2114" s="294"/>
      <c r="C2114" s="294"/>
      <c r="D2114" s="294"/>
      <c r="E2114" s="294"/>
      <c r="F2114" s="294"/>
      <c r="G2114" s="294"/>
      <c r="H2114" s="294"/>
      <c r="I2114" s="294"/>
      <c r="J2114" s="294"/>
      <c r="L2114" s="295"/>
      <c r="M2114" s="294"/>
      <c r="S2114" s="294"/>
      <c r="T2114" s="299"/>
      <c r="U2114" s="294"/>
      <c r="V2114" s="299"/>
      <c r="W2114" s="299"/>
      <c r="X2114" s="294"/>
      <c r="Y2114" s="299"/>
      <c r="Z2114" s="294"/>
      <c r="AA2114" s="299"/>
      <c r="AB2114" s="299"/>
      <c r="AC2114" s="294"/>
      <c r="AD2114" s="294"/>
      <c r="AE2114" s="294"/>
      <c r="AF2114" s="294"/>
    </row>
    <row r="2115" spans="2:32" x14ac:dyDescent="0.25">
      <c r="B2115" s="294"/>
      <c r="C2115" s="294"/>
      <c r="D2115" s="294"/>
      <c r="E2115" s="294"/>
      <c r="F2115" s="294"/>
      <c r="G2115" s="294"/>
      <c r="H2115" s="294"/>
      <c r="I2115" s="294"/>
      <c r="J2115" s="294"/>
      <c r="L2115" s="295"/>
      <c r="M2115" s="294"/>
      <c r="S2115" s="294"/>
      <c r="T2115" s="299"/>
      <c r="U2115" s="294"/>
      <c r="V2115" s="299"/>
      <c r="W2115" s="299"/>
      <c r="X2115" s="294"/>
      <c r="Y2115" s="299"/>
      <c r="Z2115" s="294"/>
      <c r="AA2115" s="299"/>
      <c r="AB2115" s="299"/>
      <c r="AC2115" s="294"/>
      <c r="AD2115" s="294"/>
      <c r="AE2115" s="294"/>
      <c r="AF2115" s="294"/>
    </row>
    <row r="2116" spans="2:32" x14ac:dyDescent="0.25">
      <c r="B2116" s="294"/>
      <c r="C2116" s="294"/>
      <c r="D2116" s="294"/>
      <c r="E2116" s="294"/>
      <c r="F2116" s="294"/>
      <c r="G2116" s="294"/>
      <c r="H2116" s="294"/>
      <c r="I2116" s="294"/>
      <c r="J2116" s="294"/>
      <c r="L2116" s="295"/>
      <c r="M2116" s="294"/>
      <c r="S2116" s="294"/>
      <c r="T2116" s="299"/>
      <c r="U2116" s="294"/>
      <c r="V2116" s="299"/>
      <c r="W2116" s="299"/>
      <c r="X2116" s="294"/>
      <c r="Y2116" s="299"/>
      <c r="Z2116" s="294"/>
      <c r="AA2116" s="299"/>
      <c r="AB2116" s="299"/>
      <c r="AC2116" s="294"/>
      <c r="AD2116" s="294"/>
      <c r="AE2116" s="294"/>
      <c r="AF2116" s="294"/>
    </row>
    <row r="2117" spans="2:32" x14ac:dyDescent="0.25">
      <c r="B2117" s="294"/>
      <c r="C2117" s="294"/>
      <c r="D2117" s="294"/>
      <c r="E2117" s="294"/>
      <c r="F2117" s="294"/>
      <c r="G2117" s="294"/>
      <c r="H2117" s="294"/>
      <c r="I2117" s="294"/>
      <c r="J2117" s="294"/>
      <c r="L2117" s="295"/>
      <c r="M2117" s="294"/>
      <c r="S2117" s="294"/>
      <c r="T2117" s="299"/>
      <c r="U2117" s="294"/>
      <c r="V2117" s="299"/>
      <c r="W2117" s="299"/>
      <c r="X2117" s="294"/>
      <c r="Y2117" s="299"/>
      <c r="Z2117" s="294"/>
      <c r="AA2117" s="299"/>
      <c r="AB2117" s="299"/>
      <c r="AC2117" s="294"/>
      <c r="AD2117" s="294"/>
      <c r="AE2117" s="294"/>
      <c r="AF2117" s="294"/>
    </row>
    <row r="2118" spans="2:32" x14ac:dyDescent="0.25">
      <c r="B2118" s="294"/>
      <c r="C2118" s="294"/>
      <c r="D2118" s="294"/>
      <c r="E2118" s="294"/>
      <c r="F2118" s="294"/>
      <c r="G2118" s="294"/>
      <c r="H2118" s="294"/>
      <c r="I2118" s="294"/>
      <c r="J2118" s="294"/>
      <c r="L2118" s="295"/>
      <c r="M2118" s="294"/>
      <c r="S2118" s="294"/>
      <c r="T2118" s="299"/>
      <c r="U2118" s="294"/>
      <c r="V2118" s="299"/>
      <c r="W2118" s="299"/>
      <c r="X2118" s="294"/>
      <c r="Y2118" s="299"/>
      <c r="Z2118" s="294"/>
      <c r="AA2118" s="299"/>
      <c r="AB2118" s="299"/>
      <c r="AC2118" s="294"/>
      <c r="AD2118" s="294"/>
      <c r="AE2118" s="294"/>
      <c r="AF2118" s="294"/>
    </row>
    <row r="2119" spans="2:32" x14ac:dyDescent="0.25">
      <c r="B2119" s="294"/>
      <c r="C2119" s="294"/>
      <c r="D2119" s="294"/>
      <c r="E2119" s="294"/>
      <c r="F2119" s="294"/>
      <c r="G2119" s="294"/>
      <c r="H2119" s="294"/>
      <c r="I2119" s="294"/>
      <c r="J2119" s="294"/>
      <c r="L2119" s="295"/>
      <c r="M2119" s="294"/>
      <c r="S2119" s="294"/>
      <c r="T2119" s="299"/>
      <c r="U2119" s="294"/>
      <c r="V2119" s="299"/>
      <c r="W2119" s="299"/>
      <c r="X2119" s="294"/>
      <c r="Y2119" s="299"/>
      <c r="Z2119" s="294"/>
      <c r="AA2119" s="299"/>
      <c r="AB2119" s="299"/>
      <c r="AC2119" s="294"/>
      <c r="AD2119" s="294"/>
      <c r="AE2119" s="294"/>
      <c r="AF2119" s="294"/>
    </row>
    <row r="2120" spans="2:32" x14ac:dyDescent="0.25">
      <c r="B2120" s="294"/>
      <c r="C2120" s="294"/>
      <c r="D2120" s="294"/>
      <c r="E2120" s="294"/>
      <c r="F2120" s="294"/>
      <c r="G2120" s="294"/>
      <c r="H2120" s="294"/>
      <c r="I2120" s="294"/>
      <c r="J2120" s="294"/>
      <c r="L2120" s="295"/>
      <c r="M2120" s="294"/>
      <c r="S2120" s="294"/>
      <c r="T2120" s="299"/>
      <c r="U2120" s="294"/>
      <c r="V2120" s="299"/>
      <c r="W2120" s="299"/>
      <c r="X2120" s="294"/>
      <c r="Y2120" s="299"/>
      <c r="Z2120" s="294"/>
      <c r="AA2120" s="299"/>
      <c r="AB2120" s="299"/>
      <c r="AC2120" s="294"/>
      <c r="AD2120" s="294"/>
      <c r="AE2120" s="294"/>
      <c r="AF2120" s="294"/>
    </row>
    <row r="2121" spans="2:32" x14ac:dyDescent="0.25">
      <c r="B2121" s="294"/>
      <c r="C2121" s="294"/>
      <c r="D2121" s="294"/>
      <c r="E2121" s="294"/>
      <c r="F2121" s="294"/>
      <c r="G2121" s="294"/>
      <c r="H2121" s="294"/>
      <c r="I2121" s="294"/>
      <c r="J2121" s="294"/>
      <c r="L2121" s="295"/>
      <c r="M2121" s="294"/>
      <c r="S2121" s="294"/>
      <c r="T2121" s="299"/>
      <c r="U2121" s="294"/>
      <c r="V2121" s="299"/>
      <c r="W2121" s="299"/>
      <c r="X2121" s="294"/>
      <c r="Y2121" s="299"/>
      <c r="Z2121" s="294"/>
      <c r="AA2121" s="299"/>
      <c r="AB2121" s="299"/>
      <c r="AC2121" s="294"/>
      <c r="AD2121" s="294"/>
      <c r="AE2121" s="294"/>
      <c r="AF2121" s="294"/>
    </row>
    <row r="2122" spans="2:32" x14ac:dyDescent="0.25">
      <c r="B2122" s="294"/>
      <c r="C2122" s="294"/>
      <c r="D2122" s="294"/>
      <c r="E2122" s="294"/>
      <c r="F2122" s="294"/>
      <c r="G2122" s="294"/>
      <c r="H2122" s="294"/>
      <c r="I2122" s="294"/>
      <c r="J2122" s="294"/>
      <c r="L2122" s="295"/>
      <c r="M2122" s="294"/>
      <c r="S2122" s="294"/>
      <c r="T2122" s="299"/>
      <c r="U2122" s="294"/>
      <c r="V2122" s="299"/>
      <c r="W2122" s="299"/>
      <c r="X2122" s="294"/>
      <c r="Y2122" s="299"/>
      <c r="Z2122" s="294"/>
      <c r="AA2122" s="299"/>
      <c r="AB2122" s="299"/>
      <c r="AC2122" s="294"/>
      <c r="AD2122" s="294"/>
      <c r="AE2122" s="294"/>
      <c r="AF2122" s="294"/>
    </row>
    <row r="2123" spans="2:32" x14ac:dyDescent="0.25">
      <c r="B2123" s="294"/>
      <c r="C2123" s="294"/>
      <c r="D2123" s="294"/>
      <c r="E2123" s="294"/>
      <c r="F2123" s="294"/>
      <c r="G2123" s="294"/>
      <c r="H2123" s="294"/>
      <c r="I2123" s="294"/>
      <c r="J2123" s="294"/>
      <c r="L2123" s="295"/>
      <c r="M2123" s="294"/>
      <c r="S2123" s="294"/>
      <c r="T2123" s="299"/>
      <c r="U2123" s="294"/>
      <c r="V2123" s="299"/>
      <c r="W2123" s="299"/>
      <c r="X2123" s="294"/>
      <c r="Y2123" s="299"/>
      <c r="Z2123" s="294"/>
      <c r="AA2123" s="299"/>
      <c r="AB2123" s="299"/>
      <c r="AC2123" s="294"/>
      <c r="AD2123" s="294"/>
      <c r="AE2123" s="294"/>
      <c r="AF2123" s="294"/>
    </row>
    <row r="2124" spans="2:32" x14ac:dyDescent="0.25">
      <c r="B2124" s="294"/>
      <c r="C2124" s="294"/>
      <c r="D2124" s="294"/>
      <c r="E2124" s="294"/>
      <c r="F2124" s="294"/>
      <c r="G2124" s="294"/>
      <c r="H2124" s="294"/>
      <c r="I2124" s="294"/>
      <c r="J2124" s="294"/>
      <c r="L2124" s="295"/>
      <c r="M2124" s="294"/>
      <c r="S2124" s="294"/>
      <c r="T2124" s="299"/>
      <c r="U2124" s="294"/>
      <c r="V2124" s="299"/>
      <c r="W2124" s="299"/>
      <c r="X2124" s="294"/>
      <c r="Y2124" s="299"/>
      <c r="Z2124" s="294"/>
      <c r="AA2124" s="299"/>
      <c r="AB2124" s="299"/>
      <c r="AC2124" s="294"/>
      <c r="AD2124" s="294"/>
      <c r="AE2124" s="294"/>
      <c r="AF2124" s="294"/>
    </row>
    <row r="2125" spans="2:32" x14ac:dyDescent="0.25">
      <c r="B2125" s="294"/>
      <c r="C2125" s="294"/>
      <c r="D2125" s="294"/>
      <c r="E2125" s="294"/>
      <c r="F2125" s="294"/>
      <c r="G2125" s="294"/>
      <c r="H2125" s="294"/>
      <c r="I2125" s="294"/>
      <c r="J2125" s="294"/>
      <c r="L2125" s="295"/>
      <c r="M2125" s="294"/>
      <c r="S2125" s="294"/>
      <c r="T2125" s="299"/>
      <c r="U2125" s="294"/>
      <c r="V2125" s="299"/>
      <c r="W2125" s="299"/>
      <c r="X2125" s="294"/>
      <c r="Y2125" s="299"/>
      <c r="Z2125" s="294"/>
      <c r="AA2125" s="299"/>
      <c r="AB2125" s="299"/>
      <c r="AC2125" s="294"/>
      <c r="AD2125" s="294"/>
      <c r="AE2125" s="294"/>
      <c r="AF2125" s="294"/>
    </row>
    <row r="2126" spans="2:32" x14ac:dyDescent="0.25">
      <c r="B2126" s="294"/>
      <c r="C2126" s="294"/>
      <c r="D2126" s="294"/>
      <c r="E2126" s="294"/>
      <c r="F2126" s="294"/>
      <c r="G2126" s="294"/>
      <c r="H2126" s="294"/>
      <c r="I2126" s="294"/>
      <c r="J2126" s="294"/>
      <c r="L2126" s="295"/>
      <c r="M2126" s="294"/>
      <c r="S2126" s="294"/>
      <c r="T2126" s="299"/>
      <c r="U2126" s="294"/>
      <c r="V2126" s="299"/>
      <c r="W2126" s="299"/>
      <c r="X2126" s="294"/>
      <c r="Y2126" s="299"/>
      <c r="Z2126" s="294"/>
      <c r="AA2126" s="299"/>
      <c r="AB2126" s="299"/>
      <c r="AC2126" s="294"/>
      <c r="AD2126" s="294"/>
      <c r="AE2126" s="294"/>
      <c r="AF2126" s="294"/>
    </row>
    <row r="2127" spans="2:32" x14ac:dyDescent="0.25">
      <c r="B2127" s="294"/>
      <c r="C2127" s="294"/>
      <c r="D2127" s="294"/>
      <c r="E2127" s="294"/>
      <c r="F2127" s="294"/>
      <c r="G2127" s="294"/>
      <c r="H2127" s="294"/>
      <c r="I2127" s="294"/>
      <c r="J2127" s="294"/>
      <c r="L2127" s="295"/>
      <c r="M2127" s="294"/>
      <c r="S2127" s="294"/>
      <c r="T2127" s="299"/>
      <c r="U2127" s="294"/>
      <c r="V2127" s="299"/>
      <c r="W2127" s="299"/>
      <c r="X2127" s="294"/>
      <c r="Y2127" s="299"/>
      <c r="Z2127" s="294"/>
      <c r="AA2127" s="299"/>
      <c r="AB2127" s="299"/>
      <c r="AC2127" s="294"/>
      <c r="AD2127" s="294"/>
      <c r="AE2127" s="294"/>
      <c r="AF2127" s="294"/>
    </row>
    <row r="2128" spans="2:32" x14ac:dyDescent="0.25">
      <c r="B2128" s="294"/>
      <c r="C2128" s="294"/>
      <c r="D2128" s="294"/>
      <c r="E2128" s="294"/>
      <c r="F2128" s="294"/>
      <c r="G2128" s="294"/>
      <c r="H2128" s="294"/>
      <c r="I2128" s="294"/>
      <c r="J2128" s="294"/>
      <c r="L2128" s="295"/>
      <c r="M2128" s="294"/>
      <c r="S2128" s="294"/>
      <c r="T2128" s="299"/>
      <c r="U2128" s="294"/>
      <c r="V2128" s="299"/>
      <c r="W2128" s="299"/>
      <c r="X2128" s="294"/>
      <c r="Y2128" s="299"/>
      <c r="Z2128" s="294"/>
      <c r="AA2128" s="299"/>
      <c r="AB2128" s="299"/>
      <c r="AC2128" s="294"/>
      <c r="AD2128" s="294"/>
      <c r="AE2128" s="294"/>
      <c r="AF2128" s="294"/>
    </row>
    <row r="2129" spans="2:32" x14ac:dyDescent="0.25">
      <c r="B2129" s="294"/>
      <c r="C2129" s="294"/>
      <c r="D2129" s="294"/>
      <c r="E2129" s="294"/>
      <c r="F2129" s="294"/>
      <c r="G2129" s="294"/>
      <c r="H2129" s="294"/>
      <c r="I2129" s="294"/>
      <c r="J2129" s="294"/>
      <c r="L2129" s="295"/>
      <c r="M2129" s="294"/>
      <c r="S2129" s="294"/>
      <c r="T2129" s="299"/>
      <c r="U2129" s="294"/>
      <c r="V2129" s="299"/>
      <c r="W2129" s="299"/>
      <c r="X2129" s="294"/>
      <c r="Y2129" s="299"/>
      <c r="Z2129" s="294"/>
      <c r="AA2129" s="299"/>
      <c r="AB2129" s="299"/>
      <c r="AC2129" s="294"/>
      <c r="AD2129" s="294"/>
      <c r="AE2129" s="294"/>
      <c r="AF2129" s="294"/>
    </row>
    <row r="2130" spans="2:32" x14ac:dyDescent="0.25">
      <c r="B2130" s="294"/>
      <c r="C2130" s="294"/>
      <c r="D2130" s="294"/>
      <c r="E2130" s="294"/>
      <c r="F2130" s="294"/>
      <c r="G2130" s="294"/>
      <c r="H2130" s="294"/>
      <c r="I2130" s="294"/>
      <c r="J2130" s="294"/>
      <c r="L2130" s="295"/>
      <c r="M2130" s="294"/>
      <c r="S2130" s="294"/>
      <c r="T2130" s="299"/>
      <c r="U2130" s="294"/>
      <c r="V2130" s="299"/>
      <c r="W2130" s="299"/>
      <c r="X2130" s="294"/>
      <c r="Y2130" s="299"/>
      <c r="Z2130" s="294"/>
      <c r="AA2130" s="299"/>
      <c r="AB2130" s="299"/>
      <c r="AC2130" s="294"/>
      <c r="AD2130" s="294"/>
      <c r="AE2130" s="294"/>
      <c r="AF2130" s="294"/>
    </row>
    <row r="2131" spans="2:32" x14ac:dyDescent="0.25">
      <c r="B2131" s="294"/>
      <c r="C2131" s="294"/>
      <c r="D2131" s="294"/>
      <c r="E2131" s="294"/>
      <c r="F2131" s="294"/>
      <c r="G2131" s="294"/>
      <c r="H2131" s="294"/>
      <c r="I2131" s="294"/>
      <c r="J2131" s="294"/>
      <c r="L2131" s="295"/>
      <c r="M2131" s="294"/>
      <c r="S2131" s="294"/>
      <c r="T2131" s="299"/>
      <c r="U2131" s="294"/>
      <c r="V2131" s="299"/>
      <c r="W2131" s="299"/>
      <c r="X2131" s="294"/>
      <c r="Y2131" s="299"/>
      <c r="Z2131" s="294"/>
      <c r="AA2131" s="299"/>
      <c r="AB2131" s="299"/>
      <c r="AC2131" s="294"/>
      <c r="AD2131" s="294"/>
      <c r="AE2131" s="294"/>
      <c r="AF2131" s="294"/>
    </row>
    <row r="2132" spans="2:32" x14ac:dyDescent="0.25">
      <c r="B2132" s="294"/>
      <c r="C2132" s="294"/>
      <c r="D2132" s="294"/>
      <c r="E2132" s="294"/>
      <c r="F2132" s="294"/>
      <c r="G2132" s="294"/>
      <c r="H2132" s="294"/>
      <c r="I2132" s="294"/>
      <c r="J2132" s="294"/>
      <c r="L2132" s="295"/>
      <c r="M2132" s="294"/>
      <c r="S2132" s="294"/>
      <c r="T2132" s="299"/>
      <c r="U2132" s="294"/>
      <c r="V2132" s="299"/>
      <c r="W2132" s="299"/>
      <c r="X2132" s="294"/>
      <c r="Y2132" s="299"/>
      <c r="Z2132" s="294"/>
      <c r="AA2132" s="299"/>
      <c r="AB2132" s="299"/>
      <c r="AC2132" s="294"/>
      <c r="AD2132" s="294"/>
      <c r="AE2132" s="294"/>
      <c r="AF2132" s="294"/>
    </row>
    <row r="2133" spans="2:32" x14ac:dyDescent="0.25">
      <c r="B2133" s="294"/>
      <c r="C2133" s="294"/>
      <c r="D2133" s="294"/>
      <c r="E2133" s="294"/>
      <c r="F2133" s="294"/>
      <c r="G2133" s="294"/>
      <c r="H2133" s="294"/>
      <c r="I2133" s="294"/>
      <c r="J2133" s="294"/>
      <c r="L2133" s="295"/>
      <c r="M2133" s="294"/>
      <c r="S2133" s="294"/>
      <c r="T2133" s="299"/>
      <c r="U2133" s="294"/>
      <c r="V2133" s="299"/>
      <c r="W2133" s="299"/>
      <c r="X2133" s="294"/>
      <c r="Y2133" s="299"/>
      <c r="Z2133" s="294"/>
      <c r="AA2133" s="299"/>
      <c r="AB2133" s="299"/>
      <c r="AC2133" s="294"/>
      <c r="AD2133" s="294"/>
      <c r="AE2133" s="294"/>
      <c r="AF2133" s="294"/>
    </row>
    <row r="2134" spans="2:32" x14ac:dyDescent="0.25">
      <c r="B2134" s="294"/>
      <c r="C2134" s="294"/>
      <c r="D2134" s="294"/>
      <c r="E2134" s="294"/>
      <c r="F2134" s="294"/>
      <c r="G2134" s="294"/>
      <c r="H2134" s="294"/>
      <c r="I2134" s="294"/>
      <c r="J2134" s="294"/>
      <c r="L2134" s="295"/>
      <c r="M2134" s="294"/>
      <c r="S2134" s="294"/>
      <c r="T2134" s="299"/>
      <c r="U2134" s="294"/>
      <c r="V2134" s="299"/>
      <c r="W2134" s="299"/>
      <c r="X2134" s="294"/>
      <c r="Y2134" s="299"/>
      <c r="Z2134" s="294"/>
      <c r="AA2134" s="299"/>
      <c r="AB2134" s="299"/>
      <c r="AC2134" s="294"/>
      <c r="AD2134" s="294"/>
      <c r="AE2134" s="294"/>
      <c r="AF2134" s="294"/>
    </row>
    <row r="2135" spans="2:32" x14ac:dyDescent="0.25">
      <c r="B2135" s="294"/>
      <c r="C2135" s="294"/>
      <c r="D2135" s="294"/>
      <c r="E2135" s="294"/>
      <c r="F2135" s="294"/>
      <c r="G2135" s="294"/>
      <c r="H2135" s="294"/>
      <c r="I2135" s="294"/>
      <c r="J2135" s="294"/>
      <c r="L2135" s="295"/>
      <c r="M2135" s="294"/>
      <c r="S2135" s="294"/>
      <c r="T2135" s="299"/>
      <c r="U2135" s="294"/>
      <c r="V2135" s="299"/>
      <c r="W2135" s="299"/>
      <c r="X2135" s="294"/>
      <c r="Y2135" s="299"/>
      <c r="Z2135" s="294"/>
      <c r="AA2135" s="299"/>
      <c r="AB2135" s="299"/>
      <c r="AC2135" s="294"/>
      <c r="AD2135" s="294"/>
      <c r="AE2135" s="294"/>
      <c r="AF2135" s="294"/>
    </row>
    <row r="2136" spans="2:32" x14ac:dyDescent="0.25">
      <c r="B2136" s="294"/>
      <c r="C2136" s="294"/>
      <c r="D2136" s="294"/>
      <c r="E2136" s="294"/>
      <c r="F2136" s="294"/>
      <c r="G2136" s="294"/>
      <c r="H2136" s="294"/>
      <c r="I2136" s="294"/>
      <c r="J2136" s="294"/>
      <c r="L2136" s="295"/>
      <c r="M2136" s="294"/>
      <c r="S2136" s="294"/>
      <c r="T2136" s="299"/>
      <c r="U2136" s="294"/>
      <c r="V2136" s="299"/>
      <c r="W2136" s="299"/>
      <c r="X2136" s="294"/>
      <c r="Y2136" s="299"/>
      <c r="Z2136" s="294"/>
      <c r="AA2136" s="299"/>
      <c r="AB2136" s="299"/>
      <c r="AC2136" s="294"/>
      <c r="AD2136" s="294"/>
      <c r="AE2136" s="294"/>
      <c r="AF2136" s="294"/>
    </row>
    <row r="2137" spans="2:32" x14ac:dyDescent="0.25">
      <c r="B2137" s="294"/>
      <c r="C2137" s="294"/>
      <c r="D2137" s="294"/>
      <c r="E2137" s="294"/>
      <c r="F2137" s="294"/>
      <c r="G2137" s="294"/>
      <c r="H2137" s="294"/>
      <c r="I2137" s="294"/>
      <c r="J2137" s="294"/>
      <c r="L2137" s="295"/>
      <c r="M2137" s="294"/>
      <c r="S2137" s="294"/>
      <c r="T2137" s="299"/>
      <c r="U2137" s="294"/>
      <c r="V2137" s="299"/>
      <c r="W2137" s="299"/>
      <c r="X2137" s="294"/>
      <c r="Y2137" s="299"/>
      <c r="Z2137" s="294"/>
      <c r="AA2137" s="299"/>
      <c r="AB2137" s="299"/>
      <c r="AC2137" s="294"/>
      <c r="AD2137" s="294"/>
      <c r="AE2137" s="294"/>
      <c r="AF2137" s="294"/>
    </row>
    <row r="2138" spans="2:32" x14ac:dyDescent="0.25">
      <c r="B2138" s="294"/>
      <c r="C2138" s="294"/>
      <c r="D2138" s="294"/>
      <c r="E2138" s="294"/>
      <c r="F2138" s="294"/>
      <c r="G2138" s="294"/>
      <c r="H2138" s="294"/>
      <c r="I2138" s="294"/>
      <c r="J2138" s="294"/>
      <c r="L2138" s="295"/>
      <c r="M2138" s="294"/>
      <c r="S2138" s="294"/>
      <c r="T2138" s="299"/>
      <c r="U2138" s="294"/>
      <c r="V2138" s="299"/>
      <c r="W2138" s="299"/>
      <c r="X2138" s="294"/>
      <c r="Y2138" s="299"/>
      <c r="Z2138" s="294"/>
      <c r="AA2138" s="299"/>
      <c r="AB2138" s="299"/>
      <c r="AC2138" s="294"/>
      <c r="AD2138" s="294"/>
      <c r="AE2138" s="294"/>
      <c r="AF2138" s="294"/>
    </row>
    <row r="2139" spans="2:32" x14ac:dyDescent="0.25">
      <c r="B2139" s="294"/>
      <c r="C2139" s="294"/>
      <c r="D2139" s="294"/>
      <c r="E2139" s="294"/>
      <c r="F2139" s="294"/>
      <c r="G2139" s="294"/>
      <c r="H2139" s="294"/>
      <c r="I2139" s="294"/>
      <c r="J2139" s="294"/>
      <c r="L2139" s="295"/>
      <c r="M2139" s="294"/>
      <c r="S2139" s="294"/>
      <c r="T2139" s="299"/>
      <c r="U2139" s="294"/>
      <c r="V2139" s="299"/>
      <c r="W2139" s="299"/>
      <c r="X2139" s="294"/>
      <c r="Y2139" s="299"/>
      <c r="Z2139" s="294"/>
      <c r="AA2139" s="299"/>
      <c r="AB2139" s="299"/>
      <c r="AC2139" s="294"/>
      <c r="AD2139" s="294"/>
      <c r="AE2139" s="294"/>
      <c r="AF2139" s="294"/>
    </row>
    <row r="2140" spans="2:32" x14ac:dyDescent="0.25">
      <c r="B2140" s="294"/>
      <c r="C2140" s="294"/>
      <c r="D2140" s="294"/>
      <c r="E2140" s="294"/>
      <c r="F2140" s="294"/>
      <c r="G2140" s="294"/>
      <c r="H2140" s="294"/>
      <c r="I2140" s="294"/>
      <c r="J2140" s="294"/>
      <c r="L2140" s="295"/>
      <c r="M2140" s="294"/>
      <c r="S2140" s="294"/>
      <c r="T2140" s="299"/>
      <c r="U2140" s="294"/>
      <c r="V2140" s="299"/>
      <c r="W2140" s="299"/>
      <c r="X2140" s="294"/>
      <c r="Y2140" s="299"/>
      <c r="Z2140" s="294"/>
      <c r="AA2140" s="299"/>
      <c r="AB2140" s="299"/>
      <c r="AC2140" s="294"/>
      <c r="AD2140" s="294"/>
      <c r="AE2140" s="294"/>
      <c r="AF2140" s="294"/>
    </row>
    <row r="2141" spans="2:32" x14ac:dyDescent="0.25">
      <c r="B2141" s="294"/>
      <c r="C2141" s="294"/>
      <c r="D2141" s="294"/>
      <c r="E2141" s="294"/>
      <c r="F2141" s="294"/>
      <c r="G2141" s="294"/>
      <c r="H2141" s="294"/>
      <c r="I2141" s="294"/>
      <c r="J2141" s="294"/>
      <c r="L2141" s="295"/>
      <c r="M2141" s="294"/>
      <c r="S2141" s="294"/>
      <c r="T2141" s="299"/>
      <c r="U2141" s="294"/>
      <c r="V2141" s="299"/>
      <c r="W2141" s="299"/>
      <c r="X2141" s="294"/>
      <c r="Y2141" s="299"/>
      <c r="Z2141" s="294"/>
      <c r="AA2141" s="299"/>
      <c r="AB2141" s="299"/>
      <c r="AC2141" s="294"/>
      <c r="AD2141" s="294"/>
      <c r="AE2141" s="294"/>
      <c r="AF2141" s="294"/>
    </row>
    <row r="2142" spans="2:32" x14ac:dyDescent="0.25">
      <c r="B2142" s="294"/>
      <c r="C2142" s="294"/>
      <c r="D2142" s="294"/>
      <c r="E2142" s="294"/>
      <c r="F2142" s="294"/>
      <c r="G2142" s="294"/>
      <c r="H2142" s="294"/>
      <c r="I2142" s="294"/>
      <c r="J2142" s="294"/>
      <c r="L2142" s="295"/>
      <c r="M2142" s="294"/>
      <c r="S2142" s="294"/>
      <c r="T2142" s="299"/>
      <c r="U2142" s="294"/>
      <c r="V2142" s="299"/>
      <c r="W2142" s="299"/>
      <c r="X2142" s="294"/>
      <c r="Y2142" s="299"/>
      <c r="Z2142" s="294"/>
      <c r="AA2142" s="299"/>
      <c r="AB2142" s="299"/>
      <c r="AC2142" s="294"/>
      <c r="AD2142" s="294"/>
      <c r="AE2142" s="294"/>
      <c r="AF2142" s="294"/>
    </row>
    <row r="2143" spans="2:32" x14ac:dyDescent="0.25">
      <c r="B2143" s="294"/>
      <c r="C2143" s="294"/>
      <c r="D2143" s="294"/>
      <c r="E2143" s="294"/>
      <c r="F2143" s="294"/>
      <c r="G2143" s="294"/>
      <c r="H2143" s="294"/>
      <c r="I2143" s="294"/>
      <c r="J2143" s="294"/>
      <c r="L2143" s="295"/>
      <c r="M2143" s="294"/>
      <c r="S2143" s="294"/>
      <c r="T2143" s="299"/>
      <c r="U2143" s="294"/>
      <c r="V2143" s="299"/>
      <c r="W2143" s="299"/>
      <c r="X2143" s="294"/>
      <c r="Y2143" s="299"/>
      <c r="Z2143" s="294"/>
      <c r="AA2143" s="299"/>
      <c r="AB2143" s="299"/>
      <c r="AC2143" s="294"/>
      <c r="AD2143" s="294"/>
      <c r="AE2143" s="294"/>
      <c r="AF2143" s="294"/>
    </row>
    <row r="2144" spans="2:32" x14ac:dyDescent="0.25">
      <c r="B2144" s="294"/>
      <c r="C2144" s="294"/>
      <c r="D2144" s="294"/>
      <c r="E2144" s="294"/>
      <c r="F2144" s="294"/>
      <c r="G2144" s="294"/>
      <c r="H2144" s="294"/>
      <c r="I2144" s="294"/>
      <c r="J2144" s="294"/>
      <c r="L2144" s="295"/>
      <c r="M2144" s="294"/>
      <c r="S2144" s="294"/>
      <c r="T2144" s="299"/>
      <c r="U2144" s="294"/>
      <c r="V2144" s="299"/>
      <c r="W2144" s="299"/>
      <c r="X2144" s="294"/>
      <c r="Y2144" s="299"/>
      <c r="Z2144" s="294"/>
      <c r="AA2144" s="299"/>
      <c r="AB2144" s="299"/>
      <c r="AC2144" s="294"/>
      <c r="AD2144" s="294"/>
      <c r="AE2144" s="294"/>
      <c r="AF2144" s="294"/>
    </row>
    <row r="2145" spans="2:32" x14ac:dyDescent="0.25">
      <c r="B2145" s="294"/>
      <c r="C2145" s="294"/>
      <c r="D2145" s="294"/>
      <c r="E2145" s="294"/>
      <c r="F2145" s="294"/>
      <c r="G2145" s="294"/>
      <c r="H2145" s="294"/>
      <c r="I2145" s="294"/>
      <c r="J2145" s="294"/>
      <c r="L2145" s="295"/>
      <c r="M2145" s="294"/>
      <c r="S2145" s="294"/>
      <c r="T2145" s="299"/>
      <c r="U2145" s="294"/>
      <c r="V2145" s="299"/>
      <c r="W2145" s="299"/>
      <c r="X2145" s="294"/>
      <c r="Y2145" s="299"/>
      <c r="Z2145" s="294"/>
      <c r="AA2145" s="299"/>
      <c r="AB2145" s="299"/>
      <c r="AC2145" s="294"/>
      <c r="AD2145" s="294"/>
      <c r="AE2145" s="294"/>
      <c r="AF2145" s="294"/>
    </row>
    <row r="2146" spans="2:32" x14ac:dyDescent="0.25">
      <c r="B2146" s="294"/>
      <c r="C2146" s="294"/>
      <c r="D2146" s="294"/>
      <c r="E2146" s="294"/>
      <c r="F2146" s="294"/>
      <c r="G2146" s="294"/>
      <c r="H2146" s="294"/>
      <c r="I2146" s="294"/>
      <c r="J2146" s="294"/>
      <c r="L2146" s="295"/>
      <c r="M2146" s="294"/>
      <c r="S2146" s="294"/>
      <c r="T2146" s="299"/>
      <c r="U2146" s="294"/>
      <c r="V2146" s="299"/>
      <c r="W2146" s="299"/>
      <c r="X2146" s="294"/>
      <c r="Y2146" s="299"/>
      <c r="Z2146" s="294"/>
      <c r="AA2146" s="299"/>
      <c r="AB2146" s="299"/>
      <c r="AC2146" s="294"/>
      <c r="AD2146" s="294"/>
      <c r="AE2146" s="294"/>
      <c r="AF2146" s="294"/>
    </row>
    <row r="2147" spans="2:32" x14ac:dyDescent="0.25">
      <c r="B2147" s="294"/>
      <c r="C2147" s="294"/>
      <c r="D2147" s="294"/>
      <c r="E2147" s="294"/>
      <c r="F2147" s="294"/>
      <c r="G2147" s="294"/>
      <c r="H2147" s="294"/>
      <c r="I2147" s="294"/>
      <c r="J2147" s="294"/>
      <c r="L2147" s="295"/>
      <c r="M2147" s="294"/>
      <c r="S2147" s="294"/>
      <c r="T2147" s="299"/>
      <c r="U2147" s="294"/>
      <c r="V2147" s="299"/>
      <c r="W2147" s="299"/>
      <c r="X2147" s="294"/>
      <c r="Y2147" s="299"/>
      <c r="Z2147" s="294"/>
      <c r="AA2147" s="299"/>
      <c r="AB2147" s="299"/>
      <c r="AC2147" s="294"/>
      <c r="AD2147" s="294"/>
      <c r="AE2147" s="294"/>
      <c r="AF2147" s="294"/>
    </row>
    <row r="2148" spans="2:32" x14ac:dyDescent="0.25">
      <c r="B2148" s="294"/>
      <c r="C2148" s="294"/>
      <c r="D2148" s="294"/>
      <c r="E2148" s="294"/>
      <c r="F2148" s="294"/>
      <c r="G2148" s="294"/>
      <c r="H2148" s="294"/>
      <c r="I2148" s="294"/>
      <c r="J2148" s="294"/>
      <c r="L2148" s="295"/>
      <c r="M2148" s="294"/>
      <c r="S2148" s="294"/>
      <c r="T2148" s="299"/>
      <c r="U2148" s="294"/>
      <c r="V2148" s="299"/>
      <c r="W2148" s="299"/>
      <c r="X2148" s="294"/>
      <c r="Y2148" s="299"/>
      <c r="Z2148" s="294"/>
      <c r="AA2148" s="299"/>
      <c r="AB2148" s="299"/>
      <c r="AC2148" s="294"/>
      <c r="AD2148" s="294"/>
      <c r="AE2148" s="294"/>
      <c r="AF2148" s="294"/>
    </row>
    <row r="2149" spans="2:32" x14ac:dyDescent="0.25">
      <c r="B2149" s="294"/>
      <c r="C2149" s="294"/>
      <c r="D2149" s="294"/>
      <c r="E2149" s="294"/>
      <c r="F2149" s="294"/>
      <c r="G2149" s="294"/>
      <c r="H2149" s="294"/>
      <c r="I2149" s="294"/>
      <c r="J2149" s="294"/>
      <c r="L2149" s="295"/>
      <c r="M2149" s="294"/>
      <c r="S2149" s="294"/>
      <c r="T2149" s="299"/>
      <c r="U2149" s="294"/>
      <c r="V2149" s="299"/>
      <c r="W2149" s="299"/>
      <c r="X2149" s="294"/>
      <c r="Y2149" s="299"/>
      <c r="Z2149" s="294"/>
      <c r="AA2149" s="299"/>
      <c r="AB2149" s="299"/>
      <c r="AC2149" s="294"/>
      <c r="AD2149" s="294"/>
      <c r="AE2149" s="294"/>
      <c r="AF2149" s="294"/>
    </row>
    <row r="2150" spans="2:32" x14ac:dyDescent="0.25">
      <c r="B2150" s="294"/>
      <c r="C2150" s="294"/>
      <c r="D2150" s="294"/>
      <c r="E2150" s="294"/>
      <c r="F2150" s="294"/>
      <c r="G2150" s="294"/>
      <c r="H2150" s="294"/>
      <c r="I2150" s="294"/>
      <c r="J2150" s="294"/>
      <c r="L2150" s="295"/>
      <c r="M2150" s="294"/>
      <c r="S2150" s="294"/>
      <c r="T2150" s="299"/>
      <c r="U2150" s="294"/>
      <c r="V2150" s="299"/>
      <c r="W2150" s="299"/>
      <c r="X2150" s="294"/>
      <c r="Y2150" s="299"/>
      <c r="Z2150" s="294"/>
      <c r="AA2150" s="299"/>
      <c r="AB2150" s="299"/>
      <c r="AC2150" s="294"/>
      <c r="AD2150" s="294"/>
      <c r="AE2150" s="294"/>
      <c r="AF2150" s="294"/>
    </row>
    <row r="2151" spans="2:32" x14ac:dyDescent="0.25">
      <c r="B2151" s="294"/>
      <c r="C2151" s="294"/>
      <c r="D2151" s="294"/>
      <c r="E2151" s="294"/>
      <c r="F2151" s="294"/>
      <c r="G2151" s="294"/>
      <c r="H2151" s="294"/>
      <c r="I2151" s="294"/>
      <c r="J2151" s="294"/>
      <c r="L2151" s="295"/>
      <c r="M2151" s="294"/>
      <c r="S2151" s="294"/>
      <c r="T2151" s="299"/>
      <c r="U2151" s="294"/>
      <c r="V2151" s="299"/>
      <c r="W2151" s="299"/>
      <c r="X2151" s="294"/>
      <c r="Y2151" s="299"/>
      <c r="Z2151" s="294"/>
      <c r="AA2151" s="299"/>
      <c r="AB2151" s="299"/>
      <c r="AC2151" s="294"/>
      <c r="AD2151" s="294"/>
      <c r="AE2151" s="294"/>
      <c r="AF2151" s="294"/>
    </row>
    <row r="2152" spans="2:32" x14ac:dyDescent="0.25">
      <c r="B2152" s="294"/>
      <c r="C2152" s="294"/>
      <c r="D2152" s="294"/>
      <c r="E2152" s="294"/>
      <c r="F2152" s="294"/>
      <c r="G2152" s="294"/>
      <c r="H2152" s="294"/>
      <c r="I2152" s="294"/>
      <c r="J2152" s="294"/>
      <c r="L2152" s="295"/>
      <c r="M2152" s="294"/>
      <c r="S2152" s="294"/>
      <c r="T2152" s="299"/>
      <c r="U2152" s="294"/>
      <c r="V2152" s="299"/>
      <c r="W2152" s="299"/>
      <c r="X2152" s="294"/>
      <c r="Y2152" s="299"/>
      <c r="Z2152" s="294"/>
      <c r="AA2152" s="299"/>
      <c r="AB2152" s="299"/>
      <c r="AC2152" s="294"/>
      <c r="AD2152" s="294"/>
      <c r="AE2152" s="294"/>
      <c r="AF2152" s="294"/>
    </row>
    <row r="2153" spans="2:32" x14ac:dyDescent="0.25">
      <c r="B2153" s="294"/>
      <c r="C2153" s="294"/>
      <c r="D2153" s="294"/>
      <c r="E2153" s="294"/>
      <c r="F2153" s="294"/>
      <c r="G2153" s="294"/>
      <c r="H2153" s="294"/>
      <c r="I2153" s="294"/>
      <c r="J2153" s="294"/>
      <c r="L2153" s="295"/>
      <c r="M2153" s="294"/>
      <c r="S2153" s="294"/>
      <c r="T2153" s="299"/>
      <c r="U2153" s="294"/>
      <c r="V2153" s="299"/>
      <c r="W2153" s="299"/>
      <c r="X2153" s="294"/>
      <c r="Y2153" s="299"/>
      <c r="Z2153" s="294"/>
      <c r="AA2153" s="299"/>
      <c r="AB2153" s="299"/>
      <c r="AC2153" s="294"/>
      <c r="AD2153" s="294"/>
      <c r="AE2153" s="294"/>
      <c r="AF2153" s="294"/>
    </row>
    <row r="2154" spans="2:32" x14ac:dyDescent="0.25">
      <c r="B2154" s="294"/>
      <c r="C2154" s="294"/>
      <c r="D2154" s="294"/>
      <c r="E2154" s="294"/>
      <c r="F2154" s="294"/>
      <c r="G2154" s="294"/>
      <c r="H2154" s="294"/>
      <c r="I2154" s="294"/>
      <c r="J2154" s="294"/>
      <c r="L2154" s="295"/>
      <c r="M2154" s="294"/>
      <c r="S2154" s="294"/>
      <c r="T2154" s="299"/>
      <c r="U2154" s="294"/>
      <c r="V2154" s="299"/>
      <c r="W2154" s="299"/>
      <c r="X2154" s="294"/>
      <c r="Y2154" s="299"/>
      <c r="Z2154" s="294"/>
      <c r="AA2154" s="299"/>
      <c r="AB2154" s="299"/>
      <c r="AC2154" s="294"/>
      <c r="AD2154" s="294"/>
      <c r="AE2154" s="294"/>
      <c r="AF2154" s="294"/>
    </row>
    <row r="2155" spans="2:32" x14ac:dyDescent="0.25">
      <c r="B2155" s="294"/>
      <c r="C2155" s="294"/>
      <c r="D2155" s="294"/>
      <c r="E2155" s="294"/>
      <c r="F2155" s="294"/>
      <c r="G2155" s="294"/>
      <c r="H2155" s="294"/>
      <c r="I2155" s="294"/>
      <c r="J2155" s="294"/>
      <c r="L2155" s="295"/>
      <c r="M2155" s="294"/>
      <c r="S2155" s="294"/>
      <c r="T2155" s="299"/>
      <c r="U2155" s="294"/>
      <c r="V2155" s="299"/>
      <c r="W2155" s="299"/>
      <c r="X2155" s="294"/>
      <c r="Y2155" s="299"/>
      <c r="Z2155" s="294"/>
      <c r="AA2155" s="299"/>
      <c r="AB2155" s="299"/>
      <c r="AC2155" s="294"/>
      <c r="AD2155" s="294"/>
      <c r="AE2155" s="294"/>
      <c r="AF2155" s="294"/>
    </row>
    <row r="2156" spans="2:32" x14ac:dyDescent="0.25">
      <c r="B2156" s="294"/>
      <c r="C2156" s="294"/>
      <c r="D2156" s="294"/>
      <c r="E2156" s="294"/>
      <c r="F2156" s="294"/>
      <c r="G2156" s="294"/>
      <c r="H2156" s="294"/>
      <c r="I2156" s="294"/>
      <c r="J2156" s="294"/>
      <c r="L2156" s="295"/>
      <c r="M2156" s="294"/>
      <c r="S2156" s="294"/>
      <c r="T2156" s="299"/>
      <c r="U2156" s="294"/>
      <c r="V2156" s="299"/>
      <c r="W2156" s="299"/>
      <c r="X2156" s="294"/>
      <c r="Y2156" s="299"/>
      <c r="Z2156" s="294"/>
      <c r="AA2156" s="299"/>
      <c r="AB2156" s="299"/>
      <c r="AC2156" s="294"/>
      <c r="AD2156" s="294"/>
      <c r="AE2156" s="294"/>
      <c r="AF2156" s="294"/>
    </row>
    <row r="2157" spans="2:32" x14ac:dyDescent="0.25">
      <c r="B2157" s="294"/>
      <c r="C2157" s="294"/>
      <c r="D2157" s="294"/>
      <c r="E2157" s="294"/>
      <c r="F2157" s="294"/>
      <c r="G2157" s="294"/>
      <c r="H2157" s="294"/>
      <c r="I2157" s="294"/>
      <c r="J2157" s="294"/>
      <c r="L2157" s="295"/>
      <c r="M2157" s="294"/>
      <c r="S2157" s="294"/>
      <c r="T2157" s="299"/>
      <c r="U2157" s="294"/>
      <c r="V2157" s="299"/>
      <c r="W2157" s="299"/>
      <c r="X2157" s="294"/>
      <c r="Y2157" s="299"/>
      <c r="Z2157" s="294"/>
      <c r="AA2157" s="299"/>
      <c r="AB2157" s="299"/>
      <c r="AC2157" s="294"/>
      <c r="AD2157" s="294"/>
      <c r="AE2157" s="294"/>
      <c r="AF2157" s="294"/>
    </row>
    <row r="2158" spans="2:32" x14ac:dyDescent="0.25">
      <c r="B2158" s="294"/>
      <c r="C2158" s="294"/>
      <c r="D2158" s="294"/>
      <c r="E2158" s="294"/>
      <c r="F2158" s="294"/>
      <c r="G2158" s="294"/>
      <c r="H2158" s="294"/>
      <c r="I2158" s="294"/>
      <c r="J2158" s="294"/>
      <c r="L2158" s="295"/>
      <c r="M2158" s="294"/>
      <c r="S2158" s="294"/>
      <c r="T2158" s="299"/>
      <c r="U2158" s="294"/>
      <c r="V2158" s="299"/>
      <c r="W2158" s="299"/>
      <c r="X2158" s="294"/>
      <c r="Y2158" s="299"/>
      <c r="Z2158" s="294"/>
      <c r="AA2158" s="299"/>
      <c r="AB2158" s="299"/>
      <c r="AC2158" s="294"/>
      <c r="AD2158" s="294"/>
      <c r="AE2158" s="294"/>
      <c r="AF2158" s="294"/>
    </row>
    <row r="2159" spans="2:32" x14ac:dyDescent="0.25">
      <c r="B2159" s="294"/>
      <c r="C2159" s="294"/>
      <c r="D2159" s="294"/>
      <c r="E2159" s="294"/>
      <c r="F2159" s="294"/>
      <c r="G2159" s="294"/>
      <c r="H2159" s="294"/>
      <c r="I2159" s="294"/>
      <c r="J2159" s="294"/>
      <c r="L2159" s="295"/>
      <c r="M2159" s="294"/>
      <c r="S2159" s="294"/>
      <c r="T2159" s="299"/>
      <c r="U2159" s="294"/>
      <c r="V2159" s="299"/>
      <c r="W2159" s="299"/>
      <c r="X2159" s="294"/>
      <c r="Y2159" s="299"/>
      <c r="Z2159" s="294"/>
      <c r="AA2159" s="299"/>
      <c r="AB2159" s="299"/>
      <c r="AC2159" s="294"/>
      <c r="AD2159" s="294"/>
      <c r="AE2159" s="294"/>
      <c r="AF2159" s="294"/>
    </row>
    <row r="2160" spans="2:32" x14ac:dyDescent="0.25">
      <c r="B2160" s="294"/>
      <c r="C2160" s="294"/>
      <c r="D2160" s="294"/>
      <c r="E2160" s="294"/>
      <c r="F2160" s="294"/>
      <c r="G2160" s="294"/>
      <c r="H2160" s="294"/>
      <c r="I2160" s="294"/>
      <c r="J2160" s="294"/>
      <c r="L2160" s="295"/>
      <c r="M2160" s="294"/>
      <c r="S2160" s="294"/>
      <c r="T2160" s="299"/>
      <c r="U2160" s="294"/>
      <c r="V2160" s="299"/>
      <c r="W2160" s="299"/>
      <c r="X2160" s="294"/>
      <c r="Y2160" s="299"/>
      <c r="Z2160" s="294"/>
      <c r="AA2160" s="299"/>
      <c r="AB2160" s="299"/>
      <c r="AC2160" s="294"/>
      <c r="AD2160" s="294"/>
      <c r="AE2160" s="294"/>
      <c r="AF2160" s="294"/>
    </row>
    <row r="2161" spans="2:32" x14ac:dyDescent="0.25">
      <c r="B2161" s="294"/>
      <c r="C2161" s="294"/>
      <c r="D2161" s="294"/>
      <c r="E2161" s="294"/>
      <c r="F2161" s="294"/>
      <c r="G2161" s="294"/>
      <c r="H2161" s="294"/>
      <c r="I2161" s="294"/>
      <c r="J2161" s="294"/>
      <c r="L2161" s="295"/>
      <c r="M2161" s="294"/>
      <c r="S2161" s="294"/>
      <c r="T2161" s="299"/>
      <c r="U2161" s="294"/>
      <c r="V2161" s="299"/>
      <c r="W2161" s="299"/>
      <c r="X2161" s="294"/>
      <c r="Y2161" s="299"/>
      <c r="Z2161" s="294"/>
      <c r="AA2161" s="299"/>
      <c r="AB2161" s="299"/>
      <c r="AC2161" s="294"/>
      <c r="AD2161" s="294"/>
      <c r="AE2161" s="294"/>
      <c r="AF2161" s="294"/>
    </row>
    <row r="2162" spans="2:32" x14ac:dyDescent="0.25">
      <c r="B2162" s="294"/>
      <c r="C2162" s="294"/>
      <c r="D2162" s="294"/>
      <c r="E2162" s="294"/>
      <c r="F2162" s="294"/>
      <c r="G2162" s="294"/>
      <c r="H2162" s="294"/>
      <c r="I2162" s="294"/>
      <c r="J2162" s="294"/>
      <c r="L2162" s="295"/>
      <c r="M2162" s="294"/>
      <c r="S2162" s="294"/>
      <c r="T2162" s="299"/>
      <c r="U2162" s="294"/>
      <c r="V2162" s="299"/>
      <c r="W2162" s="299"/>
      <c r="X2162" s="294"/>
      <c r="Y2162" s="299"/>
      <c r="Z2162" s="294"/>
      <c r="AA2162" s="299"/>
      <c r="AB2162" s="299"/>
      <c r="AC2162" s="294"/>
      <c r="AD2162" s="294"/>
      <c r="AE2162" s="294"/>
      <c r="AF2162" s="294"/>
    </row>
    <row r="2163" spans="2:32" x14ac:dyDescent="0.25">
      <c r="B2163" s="294"/>
      <c r="C2163" s="294"/>
      <c r="D2163" s="294"/>
      <c r="E2163" s="294"/>
      <c r="F2163" s="294"/>
      <c r="G2163" s="294"/>
      <c r="H2163" s="294"/>
      <c r="I2163" s="294"/>
      <c r="J2163" s="294"/>
      <c r="L2163" s="295"/>
      <c r="M2163" s="294"/>
      <c r="S2163" s="294"/>
      <c r="T2163" s="299"/>
      <c r="U2163" s="294"/>
      <c r="V2163" s="299"/>
      <c r="W2163" s="299"/>
      <c r="X2163" s="294"/>
      <c r="Y2163" s="299"/>
      <c r="Z2163" s="294"/>
      <c r="AA2163" s="299"/>
      <c r="AB2163" s="299"/>
      <c r="AC2163" s="294"/>
      <c r="AD2163" s="294"/>
      <c r="AE2163" s="294"/>
      <c r="AF2163" s="294"/>
    </row>
    <row r="2164" spans="2:32" x14ac:dyDescent="0.25">
      <c r="B2164" s="294"/>
      <c r="C2164" s="294"/>
      <c r="D2164" s="294"/>
      <c r="E2164" s="294"/>
      <c r="F2164" s="294"/>
      <c r="G2164" s="294"/>
      <c r="H2164" s="294"/>
      <c r="I2164" s="294"/>
      <c r="J2164" s="294"/>
      <c r="L2164" s="295"/>
      <c r="M2164" s="294"/>
      <c r="S2164" s="294"/>
      <c r="T2164" s="299"/>
      <c r="U2164" s="294"/>
      <c r="V2164" s="299"/>
      <c r="W2164" s="299"/>
      <c r="X2164" s="294"/>
      <c r="Y2164" s="299"/>
      <c r="Z2164" s="294"/>
      <c r="AA2164" s="299"/>
      <c r="AB2164" s="299"/>
      <c r="AC2164" s="294"/>
      <c r="AD2164" s="294"/>
      <c r="AE2164" s="294"/>
      <c r="AF2164" s="294"/>
    </row>
    <row r="2165" spans="2:32" x14ac:dyDescent="0.25">
      <c r="B2165" s="294"/>
      <c r="C2165" s="294"/>
      <c r="D2165" s="294"/>
      <c r="E2165" s="294"/>
      <c r="F2165" s="294"/>
      <c r="G2165" s="294"/>
      <c r="H2165" s="294"/>
      <c r="I2165" s="294"/>
      <c r="J2165" s="294"/>
      <c r="L2165" s="295"/>
      <c r="M2165" s="294"/>
      <c r="S2165" s="294"/>
      <c r="T2165" s="299"/>
      <c r="U2165" s="294"/>
      <c r="V2165" s="299"/>
      <c r="W2165" s="299"/>
      <c r="X2165" s="294"/>
      <c r="Y2165" s="299"/>
      <c r="Z2165" s="294"/>
      <c r="AA2165" s="299"/>
      <c r="AB2165" s="299"/>
      <c r="AC2165" s="294"/>
      <c r="AD2165" s="294"/>
      <c r="AE2165" s="294"/>
      <c r="AF2165" s="294"/>
    </row>
    <row r="2166" spans="2:32" x14ac:dyDescent="0.25">
      <c r="B2166" s="294"/>
      <c r="C2166" s="294"/>
      <c r="D2166" s="294"/>
      <c r="E2166" s="294"/>
      <c r="F2166" s="294"/>
      <c r="G2166" s="294"/>
      <c r="H2166" s="294"/>
      <c r="I2166" s="294"/>
      <c r="J2166" s="294"/>
      <c r="L2166" s="295"/>
      <c r="M2166" s="294"/>
      <c r="S2166" s="294"/>
      <c r="T2166" s="299"/>
      <c r="U2166" s="294"/>
      <c r="V2166" s="299"/>
      <c r="W2166" s="299"/>
      <c r="X2166" s="294"/>
      <c r="Y2166" s="299"/>
      <c r="Z2166" s="294"/>
      <c r="AA2166" s="299"/>
      <c r="AB2166" s="299"/>
      <c r="AC2166" s="294"/>
      <c r="AD2166" s="294"/>
      <c r="AE2166" s="294"/>
      <c r="AF2166" s="294"/>
    </row>
    <row r="2167" spans="2:32" x14ac:dyDescent="0.25">
      <c r="B2167" s="294"/>
      <c r="C2167" s="294"/>
      <c r="D2167" s="294"/>
      <c r="E2167" s="294"/>
      <c r="F2167" s="294"/>
      <c r="G2167" s="294"/>
      <c r="H2167" s="294"/>
      <c r="I2167" s="294"/>
      <c r="J2167" s="294"/>
      <c r="L2167" s="295"/>
      <c r="M2167" s="294"/>
      <c r="S2167" s="294"/>
      <c r="T2167" s="299"/>
      <c r="U2167" s="294"/>
      <c r="V2167" s="299"/>
      <c r="W2167" s="299"/>
      <c r="X2167" s="294"/>
      <c r="Y2167" s="299"/>
      <c r="Z2167" s="294"/>
      <c r="AA2167" s="299"/>
      <c r="AB2167" s="299"/>
      <c r="AC2167" s="294"/>
      <c r="AD2167" s="294"/>
      <c r="AE2167" s="294"/>
      <c r="AF2167" s="294"/>
    </row>
    <row r="2168" spans="2:32" x14ac:dyDescent="0.25">
      <c r="B2168" s="294"/>
      <c r="C2168" s="294"/>
      <c r="D2168" s="294"/>
      <c r="E2168" s="294"/>
      <c r="F2168" s="294"/>
      <c r="G2168" s="294"/>
      <c r="H2168" s="294"/>
      <c r="I2168" s="294"/>
      <c r="J2168" s="294"/>
      <c r="L2168" s="295"/>
      <c r="M2168" s="294"/>
      <c r="S2168" s="294"/>
      <c r="T2168" s="299"/>
      <c r="U2168" s="294"/>
      <c r="V2168" s="299"/>
      <c r="W2168" s="299"/>
      <c r="X2168" s="294"/>
      <c r="Y2168" s="299"/>
      <c r="Z2168" s="294"/>
      <c r="AA2168" s="299"/>
      <c r="AB2168" s="299"/>
      <c r="AC2168" s="294"/>
      <c r="AD2168" s="294"/>
      <c r="AE2168" s="294"/>
      <c r="AF2168" s="294"/>
    </row>
    <row r="2169" spans="2:32" x14ac:dyDescent="0.25">
      <c r="B2169" s="294"/>
      <c r="C2169" s="294"/>
      <c r="D2169" s="294"/>
      <c r="E2169" s="294"/>
      <c r="F2169" s="294"/>
      <c r="G2169" s="294"/>
      <c r="H2169" s="294"/>
      <c r="I2169" s="294"/>
      <c r="J2169" s="294"/>
      <c r="L2169" s="295"/>
      <c r="M2169" s="294"/>
      <c r="S2169" s="294"/>
      <c r="T2169" s="299"/>
      <c r="U2169" s="294"/>
      <c r="V2169" s="299"/>
      <c r="W2169" s="299"/>
      <c r="X2169" s="294"/>
      <c r="Y2169" s="299"/>
      <c r="Z2169" s="294"/>
      <c r="AA2169" s="299"/>
      <c r="AB2169" s="299"/>
      <c r="AC2169" s="294"/>
      <c r="AD2169" s="294"/>
      <c r="AE2169" s="294"/>
      <c r="AF2169" s="294"/>
    </row>
    <row r="2170" spans="2:32" x14ac:dyDescent="0.25">
      <c r="B2170" s="294"/>
      <c r="C2170" s="294"/>
      <c r="D2170" s="294"/>
      <c r="E2170" s="294"/>
      <c r="F2170" s="294"/>
      <c r="G2170" s="294"/>
      <c r="H2170" s="294"/>
      <c r="I2170" s="294"/>
      <c r="J2170" s="294"/>
      <c r="L2170" s="295"/>
      <c r="M2170" s="294"/>
      <c r="S2170" s="294"/>
      <c r="T2170" s="299"/>
      <c r="U2170" s="294"/>
      <c r="V2170" s="299"/>
      <c r="W2170" s="299"/>
      <c r="X2170" s="294"/>
      <c r="Y2170" s="299"/>
      <c r="Z2170" s="294"/>
      <c r="AA2170" s="299"/>
      <c r="AB2170" s="299"/>
      <c r="AC2170" s="294"/>
      <c r="AD2170" s="294"/>
      <c r="AE2170" s="294"/>
      <c r="AF2170" s="294"/>
    </row>
    <row r="2171" spans="2:32" x14ac:dyDescent="0.25">
      <c r="B2171" s="294"/>
      <c r="C2171" s="294"/>
      <c r="D2171" s="294"/>
      <c r="E2171" s="294"/>
      <c r="F2171" s="294"/>
      <c r="G2171" s="294"/>
      <c r="H2171" s="294"/>
      <c r="I2171" s="294"/>
      <c r="J2171" s="294"/>
      <c r="L2171" s="295"/>
      <c r="M2171" s="294"/>
      <c r="S2171" s="294"/>
      <c r="T2171" s="299"/>
      <c r="U2171" s="294"/>
      <c r="V2171" s="299"/>
      <c r="W2171" s="299"/>
      <c r="X2171" s="294"/>
      <c r="Y2171" s="299"/>
      <c r="Z2171" s="294"/>
      <c r="AA2171" s="299"/>
      <c r="AB2171" s="299"/>
      <c r="AC2171" s="294"/>
      <c r="AD2171" s="294"/>
      <c r="AE2171" s="294"/>
      <c r="AF2171" s="294"/>
    </row>
    <row r="2172" spans="2:32" x14ac:dyDescent="0.25">
      <c r="B2172" s="294"/>
      <c r="C2172" s="294"/>
      <c r="D2172" s="294"/>
      <c r="E2172" s="294"/>
      <c r="F2172" s="294"/>
      <c r="G2172" s="294"/>
      <c r="H2172" s="294"/>
      <c r="I2172" s="294"/>
      <c r="J2172" s="294"/>
      <c r="L2172" s="295"/>
      <c r="M2172" s="294"/>
      <c r="S2172" s="294"/>
      <c r="T2172" s="299"/>
      <c r="U2172" s="294"/>
      <c r="V2172" s="299"/>
      <c r="W2172" s="299"/>
      <c r="X2172" s="294"/>
      <c r="Y2172" s="299"/>
      <c r="Z2172" s="294"/>
      <c r="AA2172" s="299"/>
      <c r="AB2172" s="299"/>
      <c r="AC2172" s="294"/>
      <c r="AD2172" s="294"/>
      <c r="AE2172" s="294"/>
      <c r="AF2172" s="294"/>
    </row>
    <row r="2173" spans="2:32" x14ac:dyDescent="0.25">
      <c r="B2173" s="294"/>
      <c r="C2173" s="294"/>
      <c r="D2173" s="294"/>
      <c r="E2173" s="294"/>
      <c r="F2173" s="294"/>
      <c r="G2173" s="294"/>
      <c r="H2173" s="294"/>
      <c r="I2173" s="294"/>
      <c r="J2173" s="294"/>
      <c r="L2173" s="295"/>
      <c r="M2173" s="294"/>
      <c r="S2173" s="294"/>
      <c r="T2173" s="299"/>
      <c r="U2173" s="294"/>
      <c r="V2173" s="299"/>
      <c r="W2173" s="299"/>
      <c r="X2173" s="294"/>
      <c r="Y2173" s="299"/>
      <c r="Z2173" s="294"/>
      <c r="AA2173" s="299"/>
      <c r="AB2173" s="299"/>
      <c r="AC2173" s="294"/>
      <c r="AD2173" s="294"/>
      <c r="AE2173" s="294"/>
      <c r="AF2173" s="294"/>
    </row>
    <row r="2174" spans="2:32" x14ac:dyDescent="0.25">
      <c r="B2174" s="294"/>
      <c r="C2174" s="294"/>
      <c r="D2174" s="294"/>
      <c r="E2174" s="294"/>
      <c r="F2174" s="294"/>
      <c r="G2174" s="294"/>
      <c r="H2174" s="294"/>
      <c r="I2174" s="294"/>
      <c r="J2174" s="294"/>
      <c r="L2174" s="295"/>
      <c r="M2174" s="294"/>
      <c r="S2174" s="294"/>
      <c r="T2174" s="299"/>
      <c r="U2174" s="294"/>
      <c r="V2174" s="299"/>
      <c r="W2174" s="299"/>
      <c r="X2174" s="294"/>
      <c r="Y2174" s="299"/>
      <c r="Z2174" s="294"/>
      <c r="AA2174" s="299"/>
      <c r="AB2174" s="299"/>
      <c r="AC2174" s="294"/>
      <c r="AD2174" s="294"/>
      <c r="AE2174" s="294"/>
      <c r="AF2174" s="294"/>
    </row>
    <row r="2175" spans="2:32" x14ac:dyDescent="0.25">
      <c r="B2175" s="294"/>
      <c r="C2175" s="294"/>
      <c r="D2175" s="294"/>
      <c r="E2175" s="294"/>
      <c r="F2175" s="294"/>
      <c r="G2175" s="294"/>
      <c r="H2175" s="294"/>
      <c r="I2175" s="294"/>
      <c r="J2175" s="294"/>
      <c r="L2175" s="295"/>
      <c r="M2175" s="294"/>
      <c r="S2175" s="294"/>
      <c r="T2175" s="299"/>
      <c r="U2175" s="294"/>
      <c r="V2175" s="299"/>
      <c r="W2175" s="299"/>
      <c r="X2175" s="294"/>
      <c r="Y2175" s="299"/>
      <c r="Z2175" s="294"/>
      <c r="AA2175" s="299"/>
      <c r="AB2175" s="299"/>
      <c r="AC2175" s="294"/>
      <c r="AD2175" s="294"/>
      <c r="AE2175" s="294"/>
      <c r="AF2175" s="294"/>
    </row>
    <row r="2176" spans="2:32" x14ac:dyDescent="0.25">
      <c r="B2176" s="294"/>
      <c r="C2176" s="294"/>
      <c r="D2176" s="294"/>
      <c r="E2176" s="294"/>
      <c r="F2176" s="294"/>
      <c r="G2176" s="294"/>
      <c r="H2176" s="294"/>
      <c r="I2176" s="294"/>
      <c r="J2176" s="294"/>
      <c r="L2176" s="295"/>
      <c r="M2176" s="294"/>
      <c r="S2176" s="294"/>
      <c r="T2176" s="299"/>
      <c r="U2176" s="294"/>
      <c r="V2176" s="299"/>
      <c r="W2176" s="299"/>
      <c r="X2176" s="294"/>
      <c r="Y2176" s="299"/>
      <c r="Z2176" s="294"/>
      <c r="AA2176" s="299"/>
      <c r="AB2176" s="299"/>
      <c r="AC2176" s="294"/>
      <c r="AD2176" s="294"/>
      <c r="AE2176" s="294"/>
      <c r="AF2176" s="294"/>
    </row>
    <row r="2177" spans="2:32" x14ac:dyDescent="0.25">
      <c r="B2177" s="294"/>
      <c r="C2177" s="294"/>
      <c r="D2177" s="294"/>
      <c r="E2177" s="294"/>
      <c r="F2177" s="294"/>
      <c r="G2177" s="294"/>
      <c r="H2177" s="294"/>
      <c r="I2177" s="294"/>
      <c r="J2177" s="294"/>
      <c r="L2177" s="295"/>
      <c r="M2177" s="294"/>
      <c r="S2177" s="294"/>
      <c r="T2177" s="299"/>
      <c r="U2177" s="294"/>
      <c r="V2177" s="299"/>
      <c r="W2177" s="299"/>
      <c r="X2177" s="294"/>
      <c r="Y2177" s="299"/>
      <c r="Z2177" s="294"/>
      <c r="AA2177" s="299"/>
      <c r="AB2177" s="299"/>
      <c r="AC2177" s="294"/>
      <c r="AD2177" s="294"/>
      <c r="AE2177" s="294"/>
      <c r="AF2177" s="294"/>
    </row>
    <row r="2178" spans="2:32" x14ac:dyDescent="0.25">
      <c r="B2178" s="294"/>
      <c r="C2178" s="294"/>
      <c r="D2178" s="294"/>
      <c r="E2178" s="294"/>
      <c r="F2178" s="294"/>
      <c r="G2178" s="294"/>
      <c r="H2178" s="294"/>
      <c r="I2178" s="294"/>
      <c r="J2178" s="294"/>
      <c r="L2178" s="295"/>
      <c r="M2178" s="294"/>
      <c r="S2178" s="294"/>
      <c r="T2178" s="299"/>
      <c r="U2178" s="294"/>
      <c r="V2178" s="299"/>
      <c r="W2178" s="299"/>
      <c r="X2178" s="294"/>
      <c r="Y2178" s="299"/>
      <c r="Z2178" s="294"/>
      <c r="AA2178" s="299"/>
      <c r="AB2178" s="299"/>
      <c r="AC2178" s="294"/>
      <c r="AD2178" s="294"/>
      <c r="AE2178" s="294"/>
      <c r="AF2178" s="294"/>
    </row>
    <row r="2179" spans="2:32" x14ac:dyDescent="0.25">
      <c r="B2179" s="294"/>
      <c r="C2179" s="294"/>
      <c r="D2179" s="294"/>
      <c r="E2179" s="294"/>
      <c r="F2179" s="294"/>
      <c r="G2179" s="294"/>
      <c r="H2179" s="294"/>
      <c r="I2179" s="294"/>
      <c r="J2179" s="294"/>
      <c r="L2179" s="295"/>
      <c r="M2179" s="294"/>
      <c r="S2179" s="294"/>
      <c r="T2179" s="299"/>
      <c r="U2179" s="294"/>
      <c r="V2179" s="299"/>
      <c r="W2179" s="299"/>
      <c r="X2179" s="294"/>
      <c r="Y2179" s="299"/>
      <c r="Z2179" s="294"/>
      <c r="AA2179" s="299"/>
      <c r="AB2179" s="299"/>
      <c r="AC2179" s="294"/>
      <c r="AD2179" s="294"/>
      <c r="AE2179" s="294"/>
      <c r="AF2179" s="294"/>
    </row>
    <row r="2180" spans="2:32" x14ac:dyDescent="0.25">
      <c r="B2180" s="294"/>
      <c r="C2180" s="294"/>
      <c r="D2180" s="294"/>
      <c r="E2180" s="294"/>
      <c r="F2180" s="294"/>
      <c r="G2180" s="294"/>
      <c r="H2180" s="294"/>
      <c r="I2180" s="294"/>
      <c r="J2180" s="294"/>
      <c r="L2180" s="295"/>
      <c r="M2180" s="294"/>
      <c r="S2180" s="294"/>
      <c r="T2180" s="299"/>
      <c r="U2180" s="294"/>
      <c r="V2180" s="299"/>
      <c r="W2180" s="299"/>
      <c r="X2180" s="294"/>
      <c r="Y2180" s="299"/>
      <c r="Z2180" s="294"/>
      <c r="AA2180" s="299"/>
      <c r="AB2180" s="299"/>
      <c r="AC2180" s="294"/>
      <c r="AD2180" s="294"/>
      <c r="AE2180" s="294"/>
      <c r="AF2180" s="294"/>
    </row>
    <row r="2181" spans="2:32" x14ac:dyDescent="0.25">
      <c r="B2181" s="294"/>
      <c r="C2181" s="294"/>
      <c r="D2181" s="294"/>
      <c r="E2181" s="294"/>
      <c r="F2181" s="294"/>
      <c r="G2181" s="294"/>
      <c r="H2181" s="294"/>
      <c r="I2181" s="294"/>
      <c r="J2181" s="294"/>
      <c r="L2181" s="295"/>
      <c r="M2181" s="294"/>
      <c r="S2181" s="294"/>
      <c r="T2181" s="299"/>
      <c r="U2181" s="294"/>
      <c r="V2181" s="299"/>
      <c r="W2181" s="299"/>
      <c r="X2181" s="294"/>
      <c r="Y2181" s="299"/>
      <c r="Z2181" s="294"/>
      <c r="AA2181" s="299"/>
      <c r="AB2181" s="299"/>
      <c r="AC2181" s="294"/>
      <c r="AD2181" s="294"/>
      <c r="AE2181" s="294"/>
      <c r="AF2181" s="294"/>
    </row>
    <row r="2182" spans="2:32" x14ac:dyDescent="0.25">
      <c r="B2182" s="294"/>
      <c r="C2182" s="294"/>
      <c r="D2182" s="294"/>
      <c r="E2182" s="294"/>
      <c r="F2182" s="294"/>
      <c r="G2182" s="294"/>
      <c r="H2182" s="294"/>
      <c r="I2182" s="294"/>
      <c r="J2182" s="294"/>
      <c r="L2182" s="295"/>
      <c r="M2182" s="294"/>
      <c r="S2182" s="294"/>
      <c r="T2182" s="299"/>
      <c r="U2182" s="294"/>
      <c r="V2182" s="299"/>
      <c r="W2182" s="299"/>
      <c r="X2182" s="294"/>
      <c r="Y2182" s="299"/>
      <c r="Z2182" s="294"/>
      <c r="AA2182" s="299"/>
      <c r="AB2182" s="299"/>
      <c r="AC2182" s="294"/>
      <c r="AD2182" s="294"/>
      <c r="AE2182" s="294"/>
      <c r="AF2182" s="294"/>
    </row>
    <row r="2183" spans="2:32" x14ac:dyDescent="0.25">
      <c r="B2183" s="294"/>
      <c r="C2183" s="294"/>
      <c r="D2183" s="294"/>
      <c r="E2183" s="294"/>
      <c r="F2183" s="294"/>
      <c r="G2183" s="294"/>
      <c r="H2183" s="294"/>
      <c r="I2183" s="294"/>
      <c r="J2183" s="294"/>
      <c r="L2183" s="295"/>
      <c r="M2183" s="294"/>
      <c r="S2183" s="294"/>
      <c r="T2183" s="299"/>
      <c r="U2183" s="294"/>
      <c r="V2183" s="299"/>
      <c r="W2183" s="299"/>
      <c r="X2183" s="294"/>
      <c r="Y2183" s="299"/>
      <c r="Z2183" s="294"/>
      <c r="AA2183" s="299"/>
      <c r="AB2183" s="299"/>
      <c r="AC2183" s="294"/>
      <c r="AD2183" s="294"/>
      <c r="AE2183" s="294"/>
      <c r="AF2183" s="294"/>
    </row>
    <row r="2184" spans="2:32" x14ac:dyDescent="0.25">
      <c r="B2184" s="294"/>
      <c r="C2184" s="294"/>
      <c r="D2184" s="294"/>
      <c r="E2184" s="294"/>
      <c r="F2184" s="294"/>
      <c r="G2184" s="294"/>
      <c r="H2184" s="294"/>
      <c r="I2184" s="294"/>
      <c r="J2184" s="294"/>
      <c r="L2184" s="295"/>
      <c r="M2184" s="294"/>
      <c r="S2184" s="294"/>
      <c r="T2184" s="299"/>
      <c r="U2184" s="294"/>
      <c r="V2184" s="299"/>
      <c r="W2184" s="299"/>
      <c r="X2184" s="294"/>
      <c r="Y2184" s="299"/>
      <c r="Z2184" s="294"/>
      <c r="AA2184" s="299"/>
      <c r="AB2184" s="299"/>
      <c r="AC2184" s="294"/>
      <c r="AD2184" s="294"/>
      <c r="AE2184" s="294"/>
      <c r="AF2184" s="294"/>
    </row>
    <row r="2185" spans="2:32" x14ac:dyDescent="0.25">
      <c r="B2185" s="294"/>
      <c r="C2185" s="294"/>
      <c r="D2185" s="294"/>
      <c r="E2185" s="294"/>
      <c r="F2185" s="294"/>
      <c r="G2185" s="294"/>
      <c r="H2185" s="294"/>
      <c r="I2185" s="294"/>
      <c r="J2185" s="294"/>
      <c r="L2185" s="295"/>
      <c r="M2185" s="294"/>
      <c r="S2185" s="294"/>
      <c r="T2185" s="299"/>
      <c r="U2185" s="294"/>
      <c r="V2185" s="299"/>
      <c r="W2185" s="299"/>
      <c r="X2185" s="294"/>
      <c r="Y2185" s="299"/>
      <c r="Z2185" s="294"/>
      <c r="AA2185" s="299"/>
      <c r="AB2185" s="299"/>
      <c r="AC2185" s="294"/>
      <c r="AD2185" s="294"/>
      <c r="AE2185" s="294"/>
      <c r="AF2185" s="294"/>
    </row>
    <row r="2186" spans="2:32" x14ac:dyDescent="0.25">
      <c r="B2186" s="294"/>
      <c r="C2186" s="294"/>
      <c r="D2186" s="294"/>
      <c r="E2186" s="294"/>
      <c r="F2186" s="294"/>
      <c r="G2186" s="294"/>
      <c r="H2186" s="294"/>
      <c r="I2186" s="294"/>
      <c r="J2186" s="294"/>
      <c r="L2186" s="295"/>
      <c r="M2186" s="294"/>
      <c r="S2186" s="294"/>
      <c r="T2186" s="299"/>
      <c r="U2186" s="294"/>
      <c r="V2186" s="299"/>
      <c r="W2186" s="299"/>
      <c r="X2186" s="294"/>
      <c r="Y2186" s="299"/>
      <c r="Z2186" s="294"/>
      <c r="AA2186" s="299"/>
      <c r="AB2186" s="299"/>
      <c r="AC2186" s="294"/>
      <c r="AD2186" s="294"/>
      <c r="AE2186" s="294"/>
      <c r="AF2186" s="294"/>
    </row>
    <row r="2187" spans="2:32" x14ac:dyDescent="0.25">
      <c r="B2187" s="294"/>
      <c r="C2187" s="294"/>
      <c r="D2187" s="294"/>
      <c r="E2187" s="294"/>
      <c r="F2187" s="294"/>
      <c r="G2187" s="294"/>
      <c r="H2187" s="294"/>
      <c r="I2187" s="294"/>
      <c r="J2187" s="294"/>
      <c r="L2187" s="295"/>
      <c r="M2187" s="294"/>
      <c r="S2187" s="294"/>
      <c r="T2187" s="299"/>
      <c r="U2187" s="294"/>
      <c r="V2187" s="299"/>
      <c r="W2187" s="299"/>
      <c r="X2187" s="294"/>
      <c r="Y2187" s="299"/>
      <c r="Z2187" s="294"/>
      <c r="AA2187" s="299"/>
      <c r="AB2187" s="299"/>
      <c r="AC2187" s="294"/>
      <c r="AD2187" s="294"/>
      <c r="AE2187" s="294"/>
      <c r="AF2187" s="294"/>
    </row>
    <row r="2188" spans="2:32" x14ac:dyDescent="0.25">
      <c r="B2188" s="294"/>
      <c r="C2188" s="294"/>
      <c r="D2188" s="294"/>
      <c r="E2188" s="294"/>
      <c r="F2188" s="294"/>
      <c r="G2188" s="294"/>
      <c r="H2188" s="294"/>
      <c r="I2188" s="294"/>
      <c r="J2188" s="294"/>
      <c r="L2188" s="295"/>
      <c r="M2188" s="294"/>
      <c r="S2188" s="294"/>
      <c r="T2188" s="299"/>
      <c r="U2188" s="294"/>
      <c r="V2188" s="299"/>
      <c r="W2188" s="299"/>
      <c r="X2188" s="294"/>
      <c r="Y2188" s="299"/>
      <c r="Z2188" s="294"/>
      <c r="AA2188" s="299"/>
      <c r="AB2188" s="299"/>
      <c r="AC2188" s="294"/>
      <c r="AD2188" s="294"/>
      <c r="AE2188" s="294"/>
      <c r="AF2188" s="294"/>
    </row>
    <row r="2189" spans="2:32" x14ac:dyDescent="0.25">
      <c r="B2189" s="294"/>
      <c r="C2189" s="294"/>
      <c r="D2189" s="294"/>
      <c r="E2189" s="294"/>
      <c r="F2189" s="294"/>
      <c r="G2189" s="294"/>
      <c r="H2189" s="294"/>
      <c r="I2189" s="294"/>
      <c r="J2189" s="294"/>
      <c r="L2189" s="295"/>
      <c r="M2189" s="294"/>
      <c r="S2189" s="294"/>
      <c r="T2189" s="299"/>
      <c r="U2189" s="294"/>
      <c r="V2189" s="299"/>
      <c r="W2189" s="299"/>
      <c r="X2189" s="294"/>
      <c r="Y2189" s="299"/>
      <c r="Z2189" s="294"/>
      <c r="AA2189" s="299"/>
      <c r="AB2189" s="299"/>
      <c r="AC2189" s="294"/>
      <c r="AD2189" s="294"/>
      <c r="AE2189" s="294"/>
      <c r="AF2189" s="294"/>
    </row>
    <row r="2190" spans="2:32" x14ac:dyDescent="0.25">
      <c r="B2190" s="294"/>
      <c r="C2190" s="294"/>
      <c r="D2190" s="294"/>
      <c r="E2190" s="294"/>
      <c r="F2190" s="294"/>
      <c r="G2190" s="294"/>
      <c r="H2190" s="294"/>
      <c r="I2190" s="294"/>
      <c r="J2190" s="294"/>
      <c r="L2190" s="295"/>
      <c r="M2190" s="294"/>
      <c r="S2190" s="294"/>
      <c r="T2190" s="299"/>
      <c r="U2190" s="294"/>
      <c r="V2190" s="299"/>
      <c r="W2190" s="299"/>
      <c r="X2190" s="294"/>
      <c r="Y2190" s="299"/>
      <c r="Z2190" s="294"/>
      <c r="AA2190" s="299"/>
      <c r="AB2190" s="299"/>
      <c r="AC2190" s="294"/>
      <c r="AD2190" s="294"/>
      <c r="AE2190" s="294"/>
      <c r="AF2190" s="294"/>
    </row>
    <row r="2191" spans="2:32" x14ac:dyDescent="0.25">
      <c r="B2191" s="294"/>
      <c r="C2191" s="294"/>
      <c r="D2191" s="294"/>
      <c r="E2191" s="294"/>
      <c r="F2191" s="294"/>
      <c r="G2191" s="294"/>
      <c r="H2191" s="294"/>
      <c r="I2191" s="294"/>
      <c r="J2191" s="294"/>
      <c r="L2191" s="295"/>
      <c r="M2191" s="294"/>
      <c r="S2191" s="294"/>
      <c r="T2191" s="299"/>
      <c r="U2191" s="294"/>
      <c r="V2191" s="299"/>
      <c r="W2191" s="299"/>
      <c r="X2191" s="294"/>
      <c r="Y2191" s="299"/>
      <c r="Z2191" s="294"/>
      <c r="AA2191" s="299"/>
      <c r="AB2191" s="299"/>
      <c r="AC2191" s="294"/>
      <c r="AD2191" s="294"/>
      <c r="AE2191" s="294"/>
      <c r="AF2191" s="294"/>
    </row>
    <row r="2192" spans="2:32" x14ac:dyDescent="0.25">
      <c r="B2192" s="294"/>
      <c r="C2192" s="294"/>
      <c r="D2192" s="294"/>
      <c r="E2192" s="294"/>
      <c r="F2192" s="294"/>
      <c r="G2192" s="294"/>
      <c r="H2192" s="294"/>
      <c r="I2192" s="294"/>
      <c r="J2192" s="294"/>
      <c r="L2192" s="295"/>
      <c r="M2192" s="294"/>
      <c r="S2192" s="294"/>
      <c r="T2192" s="299"/>
      <c r="U2192" s="294"/>
      <c r="V2192" s="299"/>
      <c r="W2192" s="299"/>
      <c r="X2192" s="294"/>
      <c r="Y2192" s="299"/>
      <c r="Z2192" s="294"/>
      <c r="AA2192" s="299"/>
      <c r="AB2192" s="299"/>
      <c r="AC2192" s="294"/>
      <c r="AD2192" s="294"/>
      <c r="AE2192" s="294"/>
      <c r="AF2192" s="294"/>
    </row>
    <row r="2193" spans="2:32" x14ac:dyDescent="0.25">
      <c r="B2193" s="294"/>
      <c r="C2193" s="294"/>
      <c r="D2193" s="294"/>
      <c r="E2193" s="294"/>
      <c r="F2193" s="294"/>
      <c r="G2193" s="294"/>
      <c r="H2193" s="294"/>
      <c r="I2193" s="294"/>
      <c r="J2193" s="294"/>
      <c r="L2193" s="295"/>
      <c r="M2193" s="294"/>
      <c r="S2193" s="294"/>
      <c r="T2193" s="299"/>
      <c r="U2193" s="294"/>
      <c r="V2193" s="299"/>
      <c r="W2193" s="299"/>
      <c r="X2193" s="294"/>
      <c r="Y2193" s="299"/>
      <c r="Z2193" s="294"/>
      <c r="AA2193" s="299"/>
      <c r="AB2193" s="299"/>
      <c r="AC2193" s="294"/>
      <c r="AD2193" s="294"/>
      <c r="AE2193" s="294"/>
      <c r="AF2193" s="294"/>
    </row>
    <row r="2194" spans="2:32" x14ac:dyDescent="0.25">
      <c r="B2194" s="294"/>
      <c r="C2194" s="294"/>
      <c r="D2194" s="294"/>
      <c r="E2194" s="294"/>
      <c r="F2194" s="294"/>
      <c r="G2194" s="294"/>
      <c r="H2194" s="294"/>
      <c r="I2194" s="294"/>
      <c r="J2194" s="294"/>
      <c r="L2194" s="295"/>
      <c r="M2194" s="294"/>
      <c r="S2194" s="294"/>
      <c r="T2194" s="299"/>
      <c r="U2194" s="294"/>
      <c r="V2194" s="299"/>
      <c r="W2194" s="299"/>
      <c r="X2194" s="294"/>
      <c r="Y2194" s="299"/>
      <c r="Z2194" s="294"/>
      <c r="AA2194" s="299"/>
      <c r="AB2194" s="299"/>
      <c r="AC2194" s="294"/>
      <c r="AD2194" s="294"/>
      <c r="AE2194" s="294"/>
      <c r="AF2194" s="294"/>
    </row>
    <row r="2195" spans="2:32" x14ac:dyDescent="0.25">
      <c r="B2195" s="294"/>
      <c r="C2195" s="294"/>
      <c r="D2195" s="294"/>
      <c r="E2195" s="294"/>
      <c r="F2195" s="294"/>
      <c r="G2195" s="294"/>
      <c r="H2195" s="294"/>
      <c r="I2195" s="294"/>
      <c r="J2195" s="294"/>
      <c r="L2195" s="295"/>
      <c r="M2195" s="294"/>
      <c r="S2195" s="294"/>
      <c r="T2195" s="299"/>
      <c r="U2195" s="294"/>
      <c r="V2195" s="299"/>
      <c r="W2195" s="299"/>
      <c r="X2195" s="294"/>
      <c r="Y2195" s="299"/>
      <c r="Z2195" s="294"/>
      <c r="AA2195" s="299"/>
      <c r="AB2195" s="299"/>
      <c r="AC2195" s="294"/>
      <c r="AD2195" s="294"/>
      <c r="AE2195" s="294"/>
      <c r="AF2195" s="294"/>
    </row>
    <row r="2196" spans="2:32" x14ac:dyDescent="0.25">
      <c r="B2196" s="294"/>
      <c r="C2196" s="294"/>
      <c r="D2196" s="294"/>
      <c r="E2196" s="294"/>
      <c r="F2196" s="294"/>
      <c r="G2196" s="294"/>
      <c r="H2196" s="294"/>
      <c r="I2196" s="294"/>
      <c r="J2196" s="294"/>
      <c r="L2196" s="295"/>
      <c r="M2196" s="294"/>
      <c r="S2196" s="294"/>
      <c r="T2196" s="299"/>
      <c r="U2196" s="294"/>
      <c r="V2196" s="299"/>
      <c r="W2196" s="299"/>
      <c r="X2196" s="294"/>
      <c r="Y2196" s="299"/>
      <c r="Z2196" s="294"/>
      <c r="AA2196" s="299"/>
      <c r="AB2196" s="299"/>
      <c r="AC2196" s="294"/>
      <c r="AD2196" s="294"/>
      <c r="AE2196" s="294"/>
      <c r="AF2196" s="294"/>
    </row>
    <row r="2197" spans="2:32" x14ac:dyDescent="0.25">
      <c r="B2197" s="294"/>
      <c r="C2197" s="294"/>
      <c r="D2197" s="294"/>
      <c r="E2197" s="294"/>
      <c r="F2197" s="294"/>
      <c r="G2197" s="294"/>
      <c r="H2197" s="294"/>
      <c r="I2197" s="294"/>
      <c r="J2197" s="294"/>
      <c r="L2197" s="295"/>
      <c r="M2197" s="294"/>
      <c r="S2197" s="294"/>
      <c r="T2197" s="299"/>
      <c r="U2197" s="294"/>
      <c r="V2197" s="299"/>
      <c r="W2197" s="299"/>
      <c r="X2197" s="294"/>
      <c r="Y2197" s="299"/>
      <c r="Z2197" s="294"/>
      <c r="AA2197" s="299"/>
      <c r="AB2197" s="299"/>
      <c r="AC2197" s="294"/>
      <c r="AD2197" s="294"/>
      <c r="AE2197" s="294"/>
      <c r="AF2197" s="294"/>
    </row>
    <row r="2198" spans="2:32" x14ac:dyDescent="0.25">
      <c r="B2198" s="294"/>
      <c r="C2198" s="294"/>
      <c r="D2198" s="294"/>
      <c r="E2198" s="294"/>
      <c r="F2198" s="294"/>
      <c r="G2198" s="294"/>
      <c r="H2198" s="294"/>
      <c r="I2198" s="294"/>
      <c r="J2198" s="294"/>
      <c r="L2198" s="295"/>
      <c r="M2198" s="294"/>
      <c r="S2198" s="294"/>
      <c r="T2198" s="299"/>
      <c r="U2198" s="294"/>
      <c r="V2198" s="299"/>
      <c r="W2198" s="299"/>
      <c r="X2198" s="294"/>
      <c r="Y2198" s="299"/>
      <c r="Z2198" s="294"/>
      <c r="AA2198" s="299"/>
      <c r="AB2198" s="299"/>
      <c r="AC2198" s="294"/>
      <c r="AD2198" s="294"/>
      <c r="AE2198" s="294"/>
      <c r="AF2198" s="294"/>
    </row>
    <row r="2199" spans="2:32" x14ac:dyDescent="0.25">
      <c r="B2199" s="294"/>
      <c r="C2199" s="294"/>
      <c r="D2199" s="294"/>
      <c r="E2199" s="294"/>
      <c r="F2199" s="294"/>
      <c r="G2199" s="294"/>
      <c r="H2199" s="294"/>
      <c r="I2199" s="294"/>
      <c r="J2199" s="294"/>
      <c r="L2199" s="295"/>
      <c r="M2199" s="294"/>
      <c r="S2199" s="294"/>
      <c r="T2199" s="299"/>
      <c r="U2199" s="294"/>
      <c r="V2199" s="299"/>
      <c r="W2199" s="299"/>
      <c r="X2199" s="294"/>
      <c r="Y2199" s="299"/>
      <c r="Z2199" s="294"/>
      <c r="AA2199" s="299"/>
      <c r="AB2199" s="299"/>
      <c r="AC2199" s="294"/>
      <c r="AD2199" s="294"/>
      <c r="AE2199" s="294"/>
      <c r="AF2199" s="294"/>
    </row>
    <row r="2200" spans="2:32" x14ac:dyDescent="0.25">
      <c r="B2200" s="294"/>
      <c r="C2200" s="294"/>
      <c r="D2200" s="294"/>
      <c r="E2200" s="294"/>
      <c r="F2200" s="294"/>
      <c r="G2200" s="294"/>
      <c r="H2200" s="294"/>
      <c r="I2200" s="294"/>
      <c r="J2200" s="294"/>
      <c r="L2200" s="295"/>
      <c r="M2200" s="294"/>
      <c r="S2200" s="294"/>
      <c r="T2200" s="299"/>
      <c r="U2200" s="294"/>
      <c r="V2200" s="299"/>
      <c r="W2200" s="299"/>
      <c r="X2200" s="294"/>
      <c r="Y2200" s="299"/>
      <c r="Z2200" s="294"/>
      <c r="AA2200" s="299"/>
      <c r="AB2200" s="299"/>
      <c r="AC2200" s="294"/>
      <c r="AD2200" s="294"/>
      <c r="AE2200" s="294"/>
      <c r="AF2200" s="294"/>
    </row>
    <row r="2201" spans="2:32" x14ac:dyDescent="0.25">
      <c r="B2201" s="294"/>
      <c r="C2201" s="294"/>
      <c r="D2201" s="294"/>
      <c r="E2201" s="294"/>
      <c r="F2201" s="294"/>
      <c r="G2201" s="294"/>
      <c r="H2201" s="294"/>
      <c r="I2201" s="294"/>
      <c r="J2201" s="294"/>
      <c r="L2201" s="295"/>
      <c r="M2201" s="294"/>
      <c r="S2201" s="294"/>
      <c r="T2201" s="299"/>
      <c r="U2201" s="294"/>
      <c r="V2201" s="299"/>
      <c r="W2201" s="299"/>
      <c r="X2201" s="294"/>
      <c r="Y2201" s="299"/>
      <c r="Z2201" s="294"/>
      <c r="AA2201" s="299"/>
      <c r="AB2201" s="299"/>
      <c r="AC2201" s="294"/>
      <c r="AD2201" s="294"/>
      <c r="AE2201" s="294"/>
      <c r="AF2201" s="294"/>
    </row>
    <row r="2202" spans="2:32" x14ac:dyDescent="0.25">
      <c r="B2202" s="294"/>
      <c r="C2202" s="294"/>
      <c r="D2202" s="294"/>
      <c r="E2202" s="294"/>
      <c r="F2202" s="294"/>
      <c r="G2202" s="294"/>
      <c r="H2202" s="294"/>
      <c r="I2202" s="294"/>
      <c r="J2202" s="294"/>
      <c r="L2202" s="295"/>
      <c r="M2202" s="294"/>
      <c r="S2202" s="294"/>
      <c r="T2202" s="299"/>
      <c r="U2202" s="294"/>
      <c r="V2202" s="299"/>
      <c r="W2202" s="299"/>
      <c r="X2202" s="294"/>
      <c r="Y2202" s="299"/>
      <c r="Z2202" s="294"/>
      <c r="AA2202" s="299"/>
      <c r="AB2202" s="299"/>
      <c r="AC2202" s="294"/>
      <c r="AD2202" s="294"/>
      <c r="AE2202" s="294"/>
      <c r="AF2202" s="294"/>
    </row>
    <row r="2203" spans="2:32" x14ac:dyDescent="0.25">
      <c r="B2203" s="294"/>
      <c r="C2203" s="294"/>
      <c r="D2203" s="294"/>
      <c r="E2203" s="294"/>
      <c r="F2203" s="294"/>
      <c r="G2203" s="294"/>
      <c r="H2203" s="294"/>
      <c r="I2203" s="294"/>
      <c r="J2203" s="294"/>
      <c r="L2203" s="295"/>
      <c r="M2203" s="294"/>
      <c r="S2203" s="294"/>
      <c r="T2203" s="299"/>
      <c r="U2203" s="294"/>
      <c r="V2203" s="299"/>
      <c r="W2203" s="299"/>
      <c r="X2203" s="294"/>
      <c r="Y2203" s="299"/>
      <c r="Z2203" s="294"/>
      <c r="AA2203" s="299"/>
      <c r="AB2203" s="299"/>
      <c r="AC2203" s="294"/>
      <c r="AD2203" s="294"/>
      <c r="AE2203" s="294"/>
      <c r="AF2203" s="294"/>
    </row>
    <row r="2204" spans="2:32" x14ac:dyDescent="0.25">
      <c r="B2204" s="294"/>
      <c r="C2204" s="294"/>
      <c r="D2204" s="294"/>
      <c r="E2204" s="294"/>
      <c r="F2204" s="294"/>
      <c r="G2204" s="294"/>
      <c r="H2204" s="294"/>
      <c r="I2204" s="294"/>
      <c r="J2204" s="294"/>
      <c r="L2204" s="295"/>
      <c r="M2204" s="294"/>
      <c r="S2204" s="294"/>
      <c r="T2204" s="299"/>
      <c r="U2204" s="294"/>
      <c r="V2204" s="299"/>
      <c r="W2204" s="299"/>
      <c r="X2204" s="294"/>
      <c r="Y2204" s="299"/>
      <c r="Z2204" s="294"/>
      <c r="AA2204" s="299"/>
      <c r="AB2204" s="299"/>
      <c r="AC2204" s="294"/>
      <c r="AD2204" s="294"/>
      <c r="AE2204" s="294"/>
      <c r="AF2204" s="294"/>
    </row>
    <row r="2205" spans="2:32" x14ac:dyDescent="0.25">
      <c r="B2205" s="294"/>
      <c r="C2205" s="294"/>
      <c r="D2205" s="294"/>
      <c r="E2205" s="294"/>
      <c r="F2205" s="294"/>
      <c r="G2205" s="294"/>
      <c r="H2205" s="294"/>
      <c r="I2205" s="294"/>
      <c r="J2205" s="294"/>
      <c r="L2205" s="295"/>
      <c r="M2205" s="294"/>
      <c r="S2205" s="294"/>
      <c r="T2205" s="299"/>
      <c r="U2205" s="294"/>
      <c r="V2205" s="299"/>
      <c r="W2205" s="299"/>
      <c r="X2205" s="294"/>
      <c r="Y2205" s="299"/>
      <c r="Z2205" s="294"/>
      <c r="AA2205" s="299"/>
      <c r="AB2205" s="299"/>
      <c r="AC2205" s="294"/>
      <c r="AD2205" s="294"/>
      <c r="AE2205" s="294"/>
      <c r="AF2205" s="294"/>
    </row>
    <row r="2206" spans="2:32" x14ac:dyDescent="0.25">
      <c r="B2206" s="294"/>
      <c r="C2206" s="294"/>
      <c r="D2206" s="294"/>
      <c r="E2206" s="294"/>
      <c r="F2206" s="294"/>
      <c r="G2206" s="294"/>
      <c r="H2206" s="294"/>
      <c r="I2206" s="294"/>
      <c r="J2206" s="294"/>
      <c r="L2206" s="295"/>
      <c r="M2206" s="294"/>
      <c r="S2206" s="294"/>
      <c r="T2206" s="299"/>
      <c r="U2206" s="294"/>
      <c r="V2206" s="299"/>
      <c r="W2206" s="299"/>
      <c r="X2206" s="294"/>
      <c r="Y2206" s="299"/>
      <c r="Z2206" s="294"/>
      <c r="AA2206" s="299"/>
      <c r="AB2206" s="299"/>
      <c r="AC2206" s="294"/>
      <c r="AD2206" s="294"/>
      <c r="AE2206" s="294"/>
      <c r="AF2206" s="294"/>
    </row>
    <row r="2207" spans="2:32" x14ac:dyDescent="0.25">
      <c r="B2207" s="294"/>
      <c r="C2207" s="294"/>
      <c r="D2207" s="294"/>
      <c r="E2207" s="294"/>
      <c r="F2207" s="294"/>
      <c r="G2207" s="294"/>
      <c r="H2207" s="294"/>
      <c r="I2207" s="294"/>
      <c r="J2207" s="294"/>
      <c r="L2207" s="295"/>
      <c r="M2207" s="294"/>
      <c r="S2207" s="294"/>
      <c r="T2207" s="299"/>
      <c r="U2207" s="294"/>
      <c r="V2207" s="299"/>
      <c r="W2207" s="299"/>
      <c r="X2207" s="294"/>
      <c r="Y2207" s="299"/>
      <c r="Z2207" s="294"/>
      <c r="AA2207" s="299"/>
      <c r="AB2207" s="299"/>
      <c r="AC2207" s="294"/>
      <c r="AD2207" s="294"/>
      <c r="AE2207" s="294"/>
      <c r="AF2207" s="294"/>
    </row>
    <row r="2208" spans="2:32" x14ac:dyDescent="0.25">
      <c r="B2208" s="294"/>
      <c r="C2208" s="294"/>
      <c r="D2208" s="294"/>
      <c r="E2208" s="294"/>
      <c r="F2208" s="294"/>
      <c r="G2208" s="294"/>
      <c r="H2208" s="294"/>
      <c r="I2208" s="294"/>
      <c r="J2208" s="294"/>
      <c r="L2208" s="295"/>
      <c r="M2208" s="294"/>
      <c r="S2208" s="294"/>
      <c r="T2208" s="299"/>
      <c r="U2208" s="294"/>
      <c r="V2208" s="299"/>
      <c r="W2208" s="299"/>
      <c r="X2208" s="294"/>
      <c r="Y2208" s="299"/>
      <c r="Z2208" s="294"/>
      <c r="AA2208" s="299"/>
      <c r="AB2208" s="299"/>
      <c r="AC2208" s="294"/>
      <c r="AD2208" s="294"/>
      <c r="AE2208" s="294"/>
      <c r="AF2208" s="294"/>
    </row>
    <row r="2209" spans="2:32" x14ac:dyDescent="0.25">
      <c r="B2209" s="294"/>
      <c r="C2209" s="294"/>
      <c r="D2209" s="294"/>
      <c r="E2209" s="294"/>
      <c r="F2209" s="294"/>
      <c r="G2209" s="294"/>
      <c r="H2209" s="294"/>
      <c r="I2209" s="294"/>
      <c r="J2209" s="294"/>
      <c r="L2209" s="295"/>
      <c r="M2209" s="294"/>
      <c r="S2209" s="294"/>
      <c r="T2209" s="299"/>
      <c r="U2209" s="294"/>
      <c r="V2209" s="299"/>
      <c r="W2209" s="299"/>
      <c r="X2209" s="294"/>
      <c r="Y2209" s="299"/>
      <c r="Z2209" s="294"/>
      <c r="AA2209" s="299"/>
      <c r="AB2209" s="299"/>
      <c r="AC2209" s="294"/>
      <c r="AD2209" s="294"/>
      <c r="AE2209" s="294"/>
      <c r="AF2209" s="294"/>
    </row>
    <row r="2210" spans="2:32" x14ac:dyDescent="0.25">
      <c r="B2210" s="294"/>
      <c r="C2210" s="294"/>
      <c r="D2210" s="294"/>
      <c r="E2210" s="294"/>
      <c r="F2210" s="294"/>
      <c r="G2210" s="294"/>
      <c r="H2210" s="294"/>
      <c r="I2210" s="294"/>
      <c r="J2210" s="294"/>
      <c r="L2210" s="295"/>
      <c r="M2210" s="294"/>
      <c r="S2210" s="294"/>
      <c r="T2210" s="299"/>
      <c r="U2210" s="294"/>
      <c r="V2210" s="299"/>
      <c r="W2210" s="299"/>
      <c r="X2210" s="294"/>
      <c r="Y2210" s="299"/>
      <c r="Z2210" s="294"/>
      <c r="AA2210" s="299"/>
      <c r="AB2210" s="299"/>
      <c r="AC2210" s="294"/>
      <c r="AD2210" s="294"/>
      <c r="AE2210" s="294"/>
      <c r="AF2210" s="294"/>
    </row>
    <row r="2211" spans="2:32" x14ac:dyDescent="0.25">
      <c r="B2211" s="294"/>
      <c r="C2211" s="294"/>
      <c r="D2211" s="294"/>
      <c r="E2211" s="294"/>
      <c r="F2211" s="294"/>
      <c r="G2211" s="294"/>
      <c r="H2211" s="294"/>
      <c r="I2211" s="294"/>
      <c r="J2211" s="294"/>
      <c r="L2211" s="295"/>
      <c r="M2211" s="294"/>
      <c r="S2211" s="294"/>
      <c r="T2211" s="299"/>
      <c r="U2211" s="294"/>
      <c r="V2211" s="299"/>
      <c r="W2211" s="299"/>
      <c r="X2211" s="294"/>
      <c r="Y2211" s="299"/>
      <c r="Z2211" s="294"/>
      <c r="AA2211" s="299"/>
      <c r="AB2211" s="299"/>
      <c r="AC2211" s="294"/>
      <c r="AD2211" s="294"/>
      <c r="AE2211" s="294"/>
      <c r="AF2211" s="294"/>
    </row>
    <row r="2212" spans="2:32" x14ac:dyDescent="0.25">
      <c r="B2212" s="294"/>
      <c r="C2212" s="294"/>
      <c r="D2212" s="294"/>
      <c r="E2212" s="294"/>
      <c r="F2212" s="294"/>
      <c r="G2212" s="294"/>
      <c r="H2212" s="294"/>
      <c r="I2212" s="294"/>
      <c r="J2212" s="294"/>
      <c r="L2212" s="295"/>
      <c r="M2212" s="294"/>
      <c r="S2212" s="294"/>
      <c r="T2212" s="299"/>
      <c r="U2212" s="294"/>
      <c r="V2212" s="299"/>
      <c r="W2212" s="299"/>
      <c r="X2212" s="294"/>
      <c r="Y2212" s="299"/>
      <c r="Z2212" s="294"/>
      <c r="AA2212" s="299"/>
      <c r="AB2212" s="299"/>
      <c r="AC2212" s="294"/>
      <c r="AD2212" s="294"/>
      <c r="AE2212" s="294"/>
      <c r="AF2212" s="294"/>
    </row>
    <row r="2213" spans="2:32" x14ac:dyDescent="0.25">
      <c r="B2213" s="294"/>
      <c r="C2213" s="294"/>
      <c r="D2213" s="294"/>
      <c r="E2213" s="294"/>
      <c r="F2213" s="294"/>
      <c r="G2213" s="294"/>
      <c r="H2213" s="294"/>
      <c r="I2213" s="294"/>
      <c r="J2213" s="294"/>
      <c r="L2213" s="295"/>
      <c r="M2213" s="294"/>
      <c r="S2213" s="294"/>
      <c r="T2213" s="299"/>
      <c r="U2213" s="294"/>
      <c r="V2213" s="299"/>
      <c r="W2213" s="299"/>
      <c r="X2213" s="294"/>
      <c r="Y2213" s="299"/>
      <c r="Z2213" s="294"/>
      <c r="AA2213" s="299"/>
      <c r="AB2213" s="299"/>
      <c r="AC2213" s="294"/>
      <c r="AD2213" s="294"/>
      <c r="AE2213" s="294"/>
      <c r="AF2213" s="294"/>
    </row>
    <row r="2214" spans="2:32" x14ac:dyDescent="0.25">
      <c r="B2214" s="294"/>
      <c r="C2214" s="294"/>
      <c r="D2214" s="294"/>
      <c r="E2214" s="294"/>
      <c r="F2214" s="294"/>
      <c r="G2214" s="294"/>
      <c r="H2214" s="294"/>
      <c r="I2214" s="294"/>
      <c r="J2214" s="294"/>
      <c r="L2214" s="295"/>
      <c r="M2214" s="294"/>
      <c r="S2214" s="294"/>
      <c r="T2214" s="299"/>
      <c r="U2214" s="294"/>
      <c r="V2214" s="299"/>
      <c r="W2214" s="299"/>
      <c r="X2214" s="294"/>
      <c r="Y2214" s="299"/>
      <c r="Z2214" s="294"/>
      <c r="AA2214" s="299"/>
      <c r="AB2214" s="299"/>
      <c r="AC2214" s="294"/>
      <c r="AD2214" s="294"/>
      <c r="AE2214" s="294"/>
      <c r="AF2214" s="294"/>
    </row>
    <row r="2215" spans="2:32" x14ac:dyDescent="0.25">
      <c r="B2215" s="294"/>
      <c r="C2215" s="294"/>
      <c r="D2215" s="294"/>
      <c r="E2215" s="294"/>
      <c r="F2215" s="294"/>
      <c r="G2215" s="294"/>
      <c r="H2215" s="294"/>
      <c r="I2215" s="294"/>
      <c r="J2215" s="294"/>
      <c r="L2215" s="295"/>
      <c r="M2215" s="294"/>
      <c r="S2215" s="294"/>
      <c r="T2215" s="299"/>
      <c r="U2215" s="294"/>
      <c r="V2215" s="299"/>
      <c r="W2215" s="299"/>
      <c r="X2215" s="294"/>
      <c r="Y2215" s="299"/>
      <c r="Z2215" s="294"/>
      <c r="AA2215" s="299"/>
      <c r="AB2215" s="299"/>
      <c r="AC2215" s="294"/>
      <c r="AD2215" s="294"/>
      <c r="AE2215" s="294"/>
      <c r="AF2215" s="294"/>
    </row>
    <row r="2216" spans="2:32" x14ac:dyDescent="0.25">
      <c r="B2216" s="294"/>
      <c r="C2216" s="294"/>
      <c r="D2216" s="294"/>
      <c r="E2216" s="294"/>
      <c r="F2216" s="294"/>
      <c r="G2216" s="294"/>
      <c r="H2216" s="294"/>
      <c r="I2216" s="294"/>
      <c r="J2216" s="294"/>
      <c r="L2216" s="295"/>
      <c r="M2216" s="294"/>
      <c r="S2216" s="294"/>
      <c r="T2216" s="299"/>
      <c r="U2216" s="294"/>
      <c r="V2216" s="299"/>
      <c r="W2216" s="299"/>
      <c r="X2216" s="294"/>
      <c r="Y2216" s="299"/>
      <c r="Z2216" s="294"/>
      <c r="AA2216" s="299"/>
      <c r="AB2216" s="299"/>
      <c r="AC2216" s="294"/>
      <c r="AD2216" s="294"/>
      <c r="AE2216" s="294"/>
      <c r="AF2216" s="294"/>
    </row>
    <row r="2217" spans="2:32" x14ac:dyDescent="0.25">
      <c r="B2217" s="294"/>
      <c r="C2217" s="294"/>
      <c r="D2217" s="294"/>
      <c r="E2217" s="294"/>
      <c r="F2217" s="294"/>
      <c r="G2217" s="294"/>
      <c r="H2217" s="294"/>
      <c r="I2217" s="294"/>
      <c r="J2217" s="294"/>
      <c r="L2217" s="295"/>
      <c r="M2217" s="294"/>
      <c r="S2217" s="294"/>
      <c r="T2217" s="299"/>
      <c r="U2217" s="294"/>
      <c r="V2217" s="299"/>
      <c r="W2217" s="299"/>
      <c r="X2217" s="294"/>
      <c r="Y2217" s="299"/>
      <c r="Z2217" s="294"/>
      <c r="AA2217" s="299"/>
      <c r="AB2217" s="299"/>
      <c r="AC2217" s="294"/>
      <c r="AD2217" s="294"/>
      <c r="AE2217" s="294"/>
      <c r="AF2217" s="294"/>
    </row>
    <row r="2218" spans="2:32" x14ac:dyDescent="0.25">
      <c r="B2218" s="294"/>
      <c r="C2218" s="294"/>
      <c r="D2218" s="294"/>
      <c r="E2218" s="294"/>
      <c r="F2218" s="294"/>
      <c r="G2218" s="294"/>
      <c r="H2218" s="294"/>
      <c r="I2218" s="294"/>
      <c r="J2218" s="294"/>
      <c r="L2218" s="295"/>
      <c r="M2218" s="294"/>
      <c r="S2218" s="294"/>
      <c r="T2218" s="299"/>
      <c r="U2218" s="294"/>
      <c r="V2218" s="299"/>
      <c r="W2218" s="299"/>
      <c r="X2218" s="294"/>
      <c r="Y2218" s="299"/>
      <c r="Z2218" s="294"/>
      <c r="AA2218" s="299"/>
      <c r="AB2218" s="299"/>
      <c r="AC2218" s="294"/>
      <c r="AD2218" s="294"/>
      <c r="AE2218" s="294"/>
      <c r="AF2218" s="294"/>
    </row>
    <row r="2219" spans="2:32" x14ac:dyDescent="0.25">
      <c r="B2219" s="294"/>
      <c r="C2219" s="294"/>
      <c r="D2219" s="294"/>
      <c r="E2219" s="294"/>
      <c r="F2219" s="294"/>
      <c r="G2219" s="294"/>
      <c r="H2219" s="294"/>
      <c r="I2219" s="294"/>
      <c r="J2219" s="294"/>
      <c r="L2219" s="295"/>
      <c r="M2219" s="294"/>
      <c r="S2219" s="294"/>
      <c r="T2219" s="299"/>
      <c r="U2219" s="294"/>
      <c r="V2219" s="299"/>
      <c r="W2219" s="299"/>
      <c r="X2219" s="294"/>
      <c r="Y2219" s="299"/>
      <c r="Z2219" s="294"/>
      <c r="AA2219" s="299"/>
      <c r="AB2219" s="299"/>
      <c r="AC2219" s="294"/>
      <c r="AD2219" s="294"/>
      <c r="AE2219" s="294"/>
      <c r="AF2219" s="294"/>
    </row>
    <row r="2220" spans="2:32" x14ac:dyDescent="0.25">
      <c r="B2220" s="294"/>
      <c r="C2220" s="294"/>
      <c r="D2220" s="294"/>
      <c r="E2220" s="294"/>
      <c r="F2220" s="294"/>
      <c r="G2220" s="294"/>
      <c r="H2220" s="294"/>
      <c r="I2220" s="294"/>
      <c r="J2220" s="294"/>
      <c r="L2220" s="295"/>
      <c r="M2220" s="294"/>
      <c r="S2220" s="294"/>
      <c r="T2220" s="299"/>
      <c r="U2220" s="294"/>
      <c r="V2220" s="299"/>
      <c r="W2220" s="299"/>
      <c r="X2220" s="294"/>
      <c r="Y2220" s="299"/>
      <c r="Z2220" s="294"/>
      <c r="AA2220" s="299"/>
      <c r="AB2220" s="299"/>
      <c r="AC2220" s="294"/>
      <c r="AD2220" s="294"/>
      <c r="AE2220" s="294"/>
      <c r="AF2220" s="294"/>
    </row>
    <row r="2221" spans="2:32" x14ac:dyDescent="0.25">
      <c r="B2221" s="294"/>
      <c r="C2221" s="294"/>
      <c r="D2221" s="294"/>
      <c r="E2221" s="294"/>
      <c r="F2221" s="294"/>
      <c r="G2221" s="294"/>
      <c r="H2221" s="294"/>
      <c r="I2221" s="294"/>
      <c r="J2221" s="294"/>
      <c r="L2221" s="295"/>
      <c r="M2221" s="294"/>
      <c r="S2221" s="294"/>
      <c r="T2221" s="299"/>
      <c r="U2221" s="294"/>
      <c r="V2221" s="299"/>
      <c r="W2221" s="299"/>
      <c r="X2221" s="294"/>
      <c r="Y2221" s="299"/>
      <c r="Z2221" s="294"/>
      <c r="AA2221" s="299"/>
      <c r="AB2221" s="299"/>
      <c r="AC2221" s="294"/>
      <c r="AD2221" s="294"/>
      <c r="AE2221" s="294"/>
      <c r="AF2221" s="294"/>
    </row>
    <row r="2222" spans="2:32" x14ac:dyDescent="0.25">
      <c r="B2222" s="294"/>
      <c r="C2222" s="294"/>
      <c r="D2222" s="294"/>
      <c r="E2222" s="294"/>
      <c r="F2222" s="294"/>
      <c r="G2222" s="294"/>
      <c r="H2222" s="294"/>
      <c r="I2222" s="294"/>
      <c r="J2222" s="294"/>
      <c r="L2222" s="295"/>
      <c r="M2222" s="294"/>
      <c r="S2222" s="294"/>
      <c r="T2222" s="299"/>
      <c r="U2222" s="294"/>
      <c r="V2222" s="299"/>
      <c r="W2222" s="299"/>
      <c r="X2222" s="294"/>
      <c r="Y2222" s="299"/>
      <c r="Z2222" s="294"/>
      <c r="AA2222" s="299"/>
      <c r="AB2222" s="299"/>
      <c r="AC2222" s="294"/>
      <c r="AD2222" s="294"/>
      <c r="AE2222" s="294"/>
      <c r="AF2222" s="294"/>
    </row>
    <row r="2223" spans="2:32" x14ac:dyDescent="0.25">
      <c r="B2223" s="294"/>
      <c r="C2223" s="294"/>
      <c r="D2223" s="294"/>
      <c r="E2223" s="294"/>
      <c r="F2223" s="294"/>
      <c r="G2223" s="294"/>
      <c r="H2223" s="294"/>
      <c r="I2223" s="294"/>
      <c r="J2223" s="294"/>
      <c r="L2223" s="295"/>
      <c r="M2223" s="294"/>
      <c r="S2223" s="294"/>
      <c r="T2223" s="299"/>
      <c r="U2223" s="294"/>
      <c r="V2223" s="299"/>
      <c r="W2223" s="299"/>
      <c r="X2223" s="294"/>
      <c r="Y2223" s="299"/>
      <c r="Z2223" s="294"/>
      <c r="AA2223" s="299"/>
      <c r="AB2223" s="299"/>
      <c r="AC2223" s="294"/>
      <c r="AD2223" s="294"/>
      <c r="AE2223" s="294"/>
      <c r="AF2223" s="294"/>
    </row>
    <row r="2224" spans="2:32" x14ac:dyDescent="0.25">
      <c r="B2224" s="294"/>
      <c r="C2224" s="294"/>
      <c r="D2224" s="294"/>
      <c r="E2224" s="294"/>
      <c r="F2224" s="294"/>
      <c r="G2224" s="294"/>
      <c r="H2224" s="294"/>
      <c r="I2224" s="294"/>
      <c r="J2224" s="294"/>
      <c r="L2224" s="295"/>
      <c r="M2224" s="294"/>
      <c r="S2224" s="294"/>
      <c r="T2224" s="299"/>
      <c r="U2224" s="294"/>
      <c r="V2224" s="299"/>
      <c r="W2224" s="299"/>
      <c r="X2224" s="294"/>
      <c r="Y2224" s="299"/>
      <c r="Z2224" s="294"/>
      <c r="AA2224" s="299"/>
      <c r="AB2224" s="299"/>
      <c r="AC2224" s="294"/>
      <c r="AD2224" s="294"/>
      <c r="AE2224" s="294"/>
      <c r="AF2224" s="294"/>
    </row>
    <row r="2225" spans="2:32" x14ac:dyDescent="0.25">
      <c r="B2225" s="294"/>
      <c r="C2225" s="294"/>
      <c r="D2225" s="294"/>
      <c r="E2225" s="294"/>
      <c r="F2225" s="294"/>
      <c r="G2225" s="294"/>
      <c r="H2225" s="294"/>
      <c r="I2225" s="294"/>
      <c r="J2225" s="294"/>
      <c r="L2225" s="295"/>
      <c r="M2225" s="294"/>
      <c r="S2225" s="294"/>
      <c r="T2225" s="299"/>
      <c r="U2225" s="294"/>
      <c r="V2225" s="299"/>
      <c r="W2225" s="299"/>
      <c r="X2225" s="294"/>
      <c r="Y2225" s="299"/>
      <c r="Z2225" s="294"/>
      <c r="AA2225" s="299"/>
      <c r="AB2225" s="299"/>
      <c r="AC2225" s="294"/>
      <c r="AD2225" s="294"/>
      <c r="AE2225" s="294"/>
      <c r="AF2225" s="294"/>
    </row>
    <row r="2226" spans="2:32" x14ac:dyDescent="0.25">
      <c r="B2226" s="294"/>
      <c r="C2226" s="294"/>
      <c r="D2226" s="294"/>
      <c r="E2226" s="294"/>
      <c r="F2226" s="294"/>
      <c r="G2226" s="294"/>
      <c r="H2226" s="294"/>
      <c r="I2226" s="294"/>
      <c r="J2226" s="294"/>
      <c r="L2226" s="295"/>
      <c r="M2226" s="294"/>
      <c r="S2226" s="294"/>
      <c r="T2226" s="299"/>
      <c r="U2226" s="294"/>
      <c r="V2226" s="299"/>
      <c r="W2226" s="299"/>
      <c r="X2226" s="294"/>
      <c r="Y2226" s="299"/>
      <c r="Z2226" s="294"/>
      <c r="AA2226" s="299"/>
      <c r="AB2226" s="299"/>
      <c r="AC2226" s="294"/>
      <c r="AD2226" s="294"/>
      <c r="AE2226" s="294"/>
      <c r="AF2226" s="294"/>
    </row>
    <row r="2227" spans="2:32" x14ac:dyDescent="0.25">
      <c r="B2227" s="294"/>
      <c r="C2227" s="294"/>
      <c r="D2227" s="294"/>
      <c r="E2227" s="294"/>
      <c r="F2227" s="294"/>
      <c r="G2227" s="294"/>
      <c r="H2227" s="294"/>
      <c r="I2227" s="294"/>
      <c r="J2227" s="294"/>
      <c r="L2227" s="295"/>
      <c r="M2227" s="294"/>
      <c r="S2227" s="294"/>
      <c r="T2227" s="299"/>
      <c r="U2227" s="294"/>
      <c r="V2227" s="299"/>
      <c r="W2227" s="299"/>
      <c r="X2227" s="294"/>
      <c r="Y2227" s="299"/>
      <c r="Z2227" s="294"/>
      <c r="AA2227" s="299"/>
      <c r="AB2227" s="299"/>
      <c r="AC2227" s="294"/>
      <c r="AD2227" s="294"/>
      <c r="AE2227" s="294"/>
      <c r="AF2227" s="294"/>
    </row>
    <row r="2228" spans="2:32" x14ac:dyDescent="0.25">
      <c r="B2228" s="294"/>
      <c r="C2228" s="294"/>
      <c r="D2228" s="294"/>
      <c r="E2228" s="294"/>
      <c r="F2228" s="294"/>
      <c r="G2228" s="294"/>
      <c r="H2228" s="294"/>
      <c r="I2228" s="294"/>
      <c r="J2228" s="294"/>
      <c r="L2228" s="295"/>
      <c r="M2228" s="294"/>
      <c r="S2228" s="294"/>
      <c r="T2228" s="299"/>
      <c r="U2228" s="294"/>
      <c r="V2228" s="299"/>
      <c r="W2228" s="299"/>
      <c r="X2228" s="294"/>
      <c r="Y2228" s="299"/>
      <c r="Z2228" s="294"/>
      <c r="AA2228" s="299"/>
      <c r="AB2228" s="299"/>
      <c r="AC2228" s="294"/>
      <c r="AD2228" s="294"/>
      <c r="AE2228" s="294"/>
      <c r="AF2228" s="294"/>
    </row>
    <row r="2229" spans="2:32" x14ac:dyDescent="0.25">
      <c r="B2229" s="294"/>
      <c r="C2229" s="294"/>
      <c r="D2229" s="294"/>
      <c r="E2229" s="294"/>
      <c r="F2229" s="294"/>
      <c r="G2229" s="294"/>
      <c r="H2229" s="294"/>
      <c r="I2229" s="294"/>
      <c r="J2229" s="294"/>
      <c r="L2229" s="295"/>
      <c r="M2229" s="294"/>
      <c r="S2229" s="294"/>
      <c r="T2229" s="299"/>
      <c r="U2229" s="294"/>
      <c r="V2229" s="299"/>
      <c r="W2229" s="299"/>
      <c r="X2229" s="294"/>
      <c r="Y2229" s="299"/>
      <c r="Z2229" s="294"/>
      <c r="AA2229" s="299"/>
      <c r="AB2229" s="299"/>
      <c r="AC2229" s="294"/>
      <c r="AD2229" s="294"/>
      <c r="AE2229" s="294"/>
      <c r="AF2229" s="294"/>
    </row>
    <row r="2230" spans="2:32" x14ac:dyDescent="0.25">
      <c r="B2230" s="294"/>
      <c r="C2230" s="294"/>
      <c r="D2230" s="294"/>
      <c r="E2230" s="294"/>
      <c r="F2230" s="294"/>
      <c r="G2230" s="294"/>
      <c r="H2230" s="294"/>
      <c r="I2230" s="294"/>
      <c r="J2230" s="294"/>
      <c r="L2230" s="295"/>
      <c r="M2230" s="294"/>
      <c r="S2230" s="294"/>
      <c r="T2230" s="299"/>
      <c r="U2230" s="294"/>
      <c r="V2230" s="299"/>
      <c r="W2230" s="299"/>
      <c r="X2230" s="294"/>
      <c r="Y2230" s="299"/>
      <c r="Z2230" s="294"/>
      <c r="AA2230" s="299"/>
      <c r="AB2230" s="299"/>
      <c r="AC2230" s="294"/>
      <c r="AD2230" s="294"/>
      <c r="AE2230" s="294"/>
      <c r="AF2230" s="294"/>
    </row>
    <row r="2231" spans="2:32" x14ac:dyDescent="0.25">
      <c r="B2231" s="294"/>
      <c r="C2231" s="294"/>
      <c r="D2231" s="294"/>
      <c r="E2231" s="294"/>
      <c r="F2231" s="294"/>
      <c r="G2231" s="294"/>
      <c r="H2231" s="294"/>
      <c r="I2231" s="294"/>
      <c r="J2231" s="294"/>
      <c r="L2231" s="295"/>
      <c r="M2231" s="294"/>
      <c r="S2231" s="294"/>
      <c r="T2231" s="299"/>
      <c r="U2231" s="294"/>
      <c r="V2231" s="299"/>
      <c r="W2231" s="299"/>
      <c r="X2231" s="294"/>
      <c r="Y2231" s="299"/>
      <c r="Z2231" s="294"/>
      <c r="AA2231" s="299"/>
      <c r="AB2231" s="299"/>
      <c r="AC2231" s="294"/>
      <c r="AD2231" s="294"/>
      <c r="AE2231" s="294"/>
      <c r="AF2231" s="294"/>
    </row>
    <row r="2232" spans="2:32" x14ac:dyDescent="0.25">
      <c r="B2232" s="294"/>
      <c r="C2232" s="294"/>
      <c r="D2232" s="294"/>
      <c r="E2232" s="294"/>
      <c r="F2232" s="294"/>
      <c r="G2232" s="294"/>
      <c r="H2232" s="294"/>
      <c r="I2232" s="294"/>
      <c r="J2232" s="294"/>
      <c r="L2232" s="295"/>
      <c r="M2232" s="294"/>
      <c r="S2232" s="294"/>
      <c r="T2232" s="299"/>
      <c r="U2232" s="294"/>
      <c r="V2232" s="299"/>
      <c r="W2232" s="299"/>
      <c r="X2232" s="294"/>
      <c r="Y2232" s="299"/>
      <c r="Z2232" s="294"/>
      <c r="AA2232" s="299"/>
      <c r="AB2232" s="299"/>
      <c r="AC2232" s="294"/>
      <c r="AD2232" s="294"/>
      <c r="AE2232" s="294"/>
      <c r="AF2232" s="294"/>
    </row>
    <row r="2233" spans="2:32" x14ac:dyDescent="0.25">
      <c r="B2233" s="294"/>
      <c r="C2233" s="294"/>
      <c r="D2233" s="294"/>
      <c r="E2233" s="294"/>
      <c r="F2233" s="294"/>
      <c r="G2233" s="294"/>
      <c r="H2233" s="294"/>
      <c r="I2233" s="294"/>
      <c r="J2233" s="294"/>
      <c r="L2233" s="295"/>
      <c r="M2233" s="294"/>
      <c r="S2233" s="294"/>
      <c r="T2233" s="299"/>
      <c r="U2233" s="294"/>
      <c r="V2233" s="299"/>
      <c r="W2233" s="299"/>
      <c r="X2233" s="294"/>
      <c r="Y2233" s="299"/>
      <c r="Z2233" s="294"/>
      <c r="AA2233" s="299"/>
      <c r="AB2233" s="299"/>
      <c r="AC2233" s="294"/>
      <c r="AD2233" s="294"/>
      <c r="AE2233" s="294"/>
      <c r="AF2233" s="294"/>
    </row>
    <row r="2234" spans="2:32" x14ac:dyDescent="0.25">
      <c r="B2234" s="294"/>
      <c r="C2234" s="294"/>
      <c r="D2234" s="294"/>
      <c r="E2234" s="294"/>
      <c r="F2234" s="294"/>
      <c r="G2234" s="294"/>
      <c r="H2234" s="294"/>
      <c r="I2234" s="294"/>
      <c r="J2234" s="294"/>
      <c r="L2234" s="295"/>
      <c r="M2234" s="294"/>
      <c r="S2234" s="294"/>
      <c r="T2234" s="299"/>
      <c r="U2234" s="294"/>
      <c r="V2234" s="299"/>
      <c r="W2234" s="299"/>
      <c r="X2234" s="294"/>
      <c r="Y2234" s="299"/>
      <c r="Z2234" s="294"/>
      <c r="AA2234" s="299"/>
      <c r="AB2234" s="299"/>
      <c r="AC2234" s="294"/>
      <c r="AD2234" s="294"/>
      <c r="AE2234" s="294"/>
      <c r="AF2234" s="294"/>
    </row>
    <row r="2235" spans="2:32" x14ac:dyDescent="0.25">
      <c r="B2235" s="294"/>
      <c r="C2235" s="294"/>
      <c r="D2235" s="294"/>
      <c r="E2235" s="294"/>
      <c r="F2235" s="294"/>
      <c r="G2235" s="294"/>
      <c r="H2235" s="294"/>
      <c r="I2235" s="294"/>
      <c r="J2235" s="294"/>
      <c r="L2235" s="295"/>
      <c r="M2235" s="294"/>
      <c r="S2235" s="294"/>
      <c r="T2235" s="299"/>
      <c r="U2235" s="294"/>
      <c r="V2235" s="299"/>
      <c r="W2235" s="299"/>
      <c r="X2235" s="294"/>
      <c r="Y2235" s="299"/>
      <c r="Z2235" s="294"/>
      <c r="AA2235" s="299"/>
      <c r="AB2235" s="299"/>
      <c r="AC2235" s="294"/>
      <c r="AD2235" s="294"/>
      <c r="AE2235" s="294"/>
      <c r="AF2235" s="294"/>
    </row>
    <row r="2236" spans="2:32" x14ac:dyDescent="0.25">
      <c r="B2236" s="294"/>
      <c r="C2236" s="294"/>
      <c r="D2236" s="294"/>
      <c r="E2236" s="294"/>
      <c r="F2236" s="294"/>
      <c r="G2236" s="294"/>
      <c r="H2236" s="294"/>
      <c r="I2236" s="294"/>
      <c r="J2236" s="294"/>
      <c r="L2236" s="295"/>
      <c r="M2236" s="294"/>
      <c r="S2236" s="294"/>
      <c r="T2236" s="299"/>
      <c r="U2236" s="294"/>
      <c r="V2236" s="299"/>
      <c r="W2236" s="299"/>
      <c r="X2236" s="294"/>
      <c r="Y2236" s="299"/>
      <c r="Z2236" s="294"/>
      <c r="AA2236" s="299"/>
      <c r="AB2236" s="299"/>
      <c r="AC2236" s="294"/>
      <c r="AD2236" s="294"/>
      <c r="AE2236" s="294"/>
      <c r="AF2236" s="294"/>
    </row>
    <row r="2237" spans="2:32" x14ac:dyDescent="0.25">
      <c r="B2237" s="294"/>
      <c r="C2237" s="294"/>
      <c r="D2237" s="294"/>
      <c r="E2237" s="294"/>
      <c r="F2237" s="294"/>
      <c r="G2237" s="294"/>
      <c r="H2237" s="294"/>
      <c r="I2237" s="294"/>
      <c r="J2237" s="294"/>
      <c r="L2237" s="295"/>
      <c r="M2237" s="294"/>
      <c r="S2237" s="294"/>
      <c r="T2237" s="299"/>
      <c r="U2237" s="294"/>
      <c r="V2237" s="299"/>
      <c r="W2237" s="299"/>
      <c r="X2237" s="294"/>
      <c r="Y2237" s="299"/>
      <c r="Z2237" s="294"/>
      <c r="AA2237" s="299"/>
      <c r="AB2237" s="299"/>
      <c r="AC2237" s="294"/>
      <c r="AD2237" s="294"/>
      <c r="AE2237" s="294"/>
      <c r="AF2237" s="294"/>
    </row>
    <row r="2238" spans="2:32" x14ac:dyDescent="0.25">
      <c r="B2238" s="294"/>
      <c r="C2238" s="294"/>
      <c r="D2238" s="294"/>
      <c r="E2238" s="294"/>
      <c r="F2238" s="294"/>
      <c r="G2238" s="294"/>
      <c r="H2238" s="294"/>
      <c r="I2238" s="294"/>
      <c r="J2238" s="294"/>
      <c r="L2238" s="295"/>
      <c r="M2238" s="294"/>
      <c r="S2238" s="294"/>
      <c r="T2238" s="299"/>
      <c r="U2238" s="294"/>
      <c r="V2238" s="299"/>
      <c r="W2238" s="299"/>
      <c r="X2238" s="294"/>
      <c r="Y2238" s="299"/>
      <c r="Z2238" s="294"/>
      <c r="AA2238" s="299"/>
      <c r="AB2238" s="299"/>
      <c r="AC2238" s="294"/>
      <c r="AD2238" s="294"/>
      <c r="AE2238" s="294"/>
      <c r="AF2238" s="294"/>
    </row>
    <row r="2239" spans="2:32" x14ac:dyDescent="0.25">
      <c r="B2239" s="294"/>
      <c r="C2239" s="294"/>
      <c r="D2239" s="294"/>
      <c r="E2239" s="294"/>
      <c r="F2239" s="294"/>
      <c r="G2239" s="294"/>
      <c r="H2239" s="294"/>
      <c r="I2239" s="294"/>
      <c r="J2239" s="294"/>
      <c r="L2239" s="295"/>
      <c r="M2239" s="294"/>
      <c r="S2239" s="294"/>
      <c r="T2239" s="299"/>
      <c r="U2239" s="294"/>
      <c r="V2239" s="299"/>
      <c r="W2239" s="299"/>
      <c r="X2239" s="294"/>
      <c r="Y2239" s="299"/>
      <c r="Z2239" s="294"/>
      <c r="AA2239" s="299"/>
      <c r="AB2239" s="299"/>
      <c r="AC2239" s="294"/>
      <c r="AD2239" s="294"/>
      <c r="AE2239" s="294"/>
      <c r="AF2239" s="294"/>
    </row>
    <row r="2240" spans="2:32" x14ac:dyDescent="0.25">
      <c r="B2240" s="294"/>
      <c r="C2240" s="294"/>
      <c r="D2240" s="294"/>
      <c r="E2240" s="294"/>
      <c r="F2240" s="294"/>
      <c r="G2240" s="294"/>
      <c r="H2240" s="294"/>
      <c r="I2240" s="294"/>
      <c r="J2240" s="294"/>
      <c r="L2240" s="295"/>
      <c r="M2240" s="294"/>
      <c r="S2240" s="294"/>
      <c r="T2240" s="299"/>
      <c r="U2240" s="294"/>
      <c r="V2240" s="299"/>
      <c r="W2240" s="299"/>
      <c r="X2240" s="294"/>
      <c r="Y2240" s="299"/>
      <c r="Z2240" s="294"/>
      <c r="AA2240" s="299"/>
      <c r="AB2240" s="299"/>
      <c r="AC2240" s="294"/>
      <c r="AD2240" s="294"/>
      <c r="AE2240" s="294"/>
      <c r="AF2240" s="294"/>
    </row>
    <row r="2241" spans="2:32" x14ac:dyDescent="0.25">
      <c r="B2241" s="294"/>
      <c r="C2241" s="294"/>
      <c r="D2241" s="294"/>
      <c r="E2241" s="294"/>
      <c r="F2241" s="294"/>
      <c r="G2241" s="294"/>
      <c r="H2241" s="294"/>
      <c r="I2241" s="294"/>
      <c r="J2241" s="294"/>
      <c r="L2241" s="295"/>
      <c r="M2241" s="294"/>
      <c r="S2241" s="294"/>
      <c r="T2241" s="299"/>
      <c r="U2241" s="294"/>
      <c r="V2241" s="299"/>
      <c r="W2241" s="299"/>
      <c r="X2241" s="294"/>
      <c r="Y2241" s="299"/>
      <c r="Z2241" s="294"/>
      <c r="AA2241" s="299"/>
      <c r="AB2241" s="299"/>
      <c r="AC2241" s="294"/>
      <c r="AD2241" s="294"/>
      <c r="AE2241" s="294"/>
      <c r="AF2241" s="294"/>
    </row>
    <row r="2242" spans="2:32" x14ac:dyDescent="0.25">
      <c r="B2242" s="294"/>
      <c r="C2242" s="294"/>
      <c r="D2242" s="294"/>
      <c r="E2242" s="294"/>
      <c r="F2242" s="294"/>
      <c r="G2242" s="294"/>
      <c r="H2242" s="294"/>
      <c r="I2242" s="294"/>
      <c r="J2242" s="294"/>
      <c r="L2242" s="295"/>
      <c r="M2242" s="294"/>
      <c r="S2242" s="294"/>
      <c r="T2242" s="299"/>
      <c r="U2242" s="294"/>
      <c r="V2242" s="299"/>
      <c r="W2242" s="299"/>
      <c r="X2242" s="294"/>
      <c r="Y2242" s="299"/>
      <c r="Z2242" s="294"/>
      <c r="AA2242" s="299"/>
      <c r="AB2242" s="299"/>
      <c r="AC2242" s="294"/>
      <c r="AD2242" s="294"/>
      <c r="AE2242" s="294"/>
      <c r="AF2242" s="294"/>
    </row>
    <row r="2243" spans="2:32" x14ac:dyDescent="0.25">
      <c r="B2243" s="294"/>
      <c r="C2243" s="294"/>
      <c r="D2243" s="294"/>
      <c r="E2243" s="294"/>
      <c r="F2243" s="294"/>
      <c r="G2243" s="294"/>
      <c r="H2243" s="294"/>
      <c r="I2243" s="294"/>
      <c r="J2243" s="294"/>
      <c r="L2243" s="295"/>
      <c r="M2243" s="294"/>
      <c r="S2243" s="294"/>
      <c r="T2243" s="299"/>
      <c r="U2243" s="294"/>
      <c r="V2243" s="299"/>
      <c r="W2243" s="299"/>
      <c r="X2243" s="294"/>
      <c r="Y2243" s="299"/>
      <c r="Z2243" s="294"/>
      <c r="AA2243" s="299"/>
      <c r="AB2243" s="299"/>
      <c r="AC2243" s="294"/>
      <c r="AD2243" s="294"/>
      <c r="AE2243" s="294"/>
      <c r="AF2243" s="294"/>
    </row>
    <row r="2244" spans="2:32" x14ac:dyDescent="0.25">
      <c r="B2244" s="294"/>
      <c r="C2244" s="294"/>
      <c r="D2244" s="294"/>
      <c r="E2244" s="294"/>
      <c r="F2244" s="294"/>
      <c r="G2244" s="294"/>
      <c r="H2244" s="294"/>
      <c r="I2244" s="294"/>
      <c r="J2244" s="294"/>
      <c r="L2244" s="295"/>
      <c r="M2244" s="294"/>
      <c r="S2244" s="294"/>
      <c r="T2244" s="299"/>
      <c r="U2244" s="294"/>
      <c r="V2244" s="299"/>
      <c r="W2244" s="299"/>
      <c r="X2244" s="294"/>
      <c r="Y2244" s="299"/>
      <c r="Z2244" s="294"/>
      <c r="AA2244" s="299"/>
      <c r="AB2244" s="299"/>
      <c r="AC2244" s="294"/>
      <c r="AD2244" s="294"/>
      <c r="AE2244" s="294"/>
      <c r="AF2244" s="294"/>
    </row>
    <row r="2245" spans="2:32" x14ac:dyDescent="0.25">
      <c r="B2245" s="294"/>
      <c r="C2245" s="294"/>
      <c r="D2245" s="294"/>
      <c r="E2245" s="294"/>
      <c r="F2245" s="294"/>
      <c r="G2245" s="294"/>
      <c r="H2245" s="294"/>
      <c r="I2245" s="294"/>
      <c r="J2245" s="294"/>
      <c r="L2245" s="295"/>
      <c r="M2245" s="294"/>
      <c r="S2245" s="294"/>
      <c r="T2245" s="299"/>
      <c r="U2245" s="294"/>
      <c r="V2245" s="299"/>
      <c r="W2245" s="299"/>
      <c r="X2245" s="294"/>
      <c r="Y2245" s="299"/>
      <c r="Z2245" s="294"/>
      <c r="AA2245" s="299"/>
      <c r="AB2245" s="299"/>
      <c r="AC2245" s="294"/>
      <c r="AD2245" s="294"/>
      <c r="AE2245" s="294"/>
      <c r="AF2245" s="294"/>
    </row>
    <row r="2246" spans="2:32" x14ac:dyDescent="0.25">
      <c r="B2246" s="294"/>
      <c r="C2246" s="294"/>
      <c r="D2246" s="294"/>
      <c r="E2246" s="294"/>
      <c r="F2246" s="294"/>
      <c r="G2246" s="294"/>
      <c r="H2246" s="294"/>
      <c r="I2246" s="294"/>
      <c r="J2246" s="294"/>
      <c r="L2246" s="295"/>
      <c r="M2246" s="294"/>
      <c r="S2246" s="294"/>
      <c r="T2246" s="299"/>
      <c r="U2246" s="294"/>
      <c r="V2246" s="299"/>
      <c r="W2246" s="299"/>
      <c r="X2246" s="294"/>
      <c r="Y2246" s="299"/>
      <c r="Z2246" s="294"/>
      <c r="AA2246" s="299"/>
      <c r="AB2246" s="299"/>
      <c r="AC2246" s="294"/>
      <c r="AD2246" s="294"/>
      <c r="AE2246" s="294"/>
      <c r="AF2246" s="294"/>
    </row>
    <row r="2247" spans="2:32" x14ac:dyDescent="0.25">
      <c r="B2247" s="294"/>
      <c r="C2247" s="294"/>
      <c r="D2247" s="294"/>
      <c r="E2247" s="294"/>
      <c r="F2247" s="294"/>
      <c r="G2247" s="294"/>
      <c r="H2247" s="294"/>
      <c r="I2247" s="294"/>
      <c r="J2247" s="294"/>
      <c r="L2247" s="295"/>
      <c r="M2247" s="294"/>
      <c r="S2247" s="294"/>
      <c r="T2247" s="299"/>
      <c r="U2247" s="294"/>
      <c r="V2247" s="299"/>
      <c r="W2247" s="299"/>
      <c r="X2247" s="294"/>
      <c r="Y2247" s="299"/>
      <c r="Z2247" s="294"/>
      <c r="AA2247" s="299"/>
      <c r="AB2247" s="299"/>
      <c r="AC2247" s="294"/>
      <c r="AD2247" s="294"/>
      <c r="AE2247" s="294"/>
      <c r="AF2247" s="294"/>
    </row>
    <row r="2248" spans="2:32" x14ac:dyDescent="0.25">
      <c r="B2248" s="294"/>
      <c r="C2248" s="294"/>
      <c r="D2248" s="294"/>
      <c r="E2248" s="294"/>
      <c r="F2248" s="294"/>
      <c r="G2248" s="294"/>
      <c r="H2248" s="294"/>
      <c r="I2248" s="294"/>
      <c r="J2248" s="294"/>
      <c r="L2248" s="295"/>
      <c r="M2248" s="294"/>
      <c r="S2248" s="294"/>
      <c r="T2248" s="299"/>
      <c r="U2248" s="294"/>
      <c r="V2248" s="299"/>
      <c r="W2248" s="299"/>
      <c r="X2248" s="294"/>
      <c r="Y2248" s="299"/>
      <c r="Z2248" s="294"/>
      <c r="AA2248" s="299"/>
      <c r="AB2248" s="299"/>
      <c r="AC2248" s="294"/>
      <c r="AD2248" s="294"/>
      <c r="AE2248" s="294"/>
      <c r="AF2248" s="294"/>
    </row>
    <row r="2249" spans="2:32" x14ac:dyDescent="0.25">
      <c r="B2249" s="294"/>
      <c r="C2249" s="294"/>
      <c r="D2249" s="294"/>
      <c r="E2249" s="294"/>
      <c r="F2249" s="294"/>
      <c r="G2249" s="294"/>
      <c r="H2249" s="294"/>
      <c r="I2249" s="294"/>
      <c r="J2249" s="294"/>
      <c r="L2249" s="295"/>
      <c r="M2249" s="294"/>
      <c r="S2249" s="294"/>
      <c r="T2249" s="299"/>
      <c r="U2249" s="294"/>
      <c r="V2249" s="299"/>
      <c r="W2249" s="299"/>
      <c r="X2249" s="294"/>
      <c r="Y2249" s="299"/>
      <c r="Z2249" s="294"/>
      <c r="AA2249" s="299"/>
      <c r="AB2249" s="299"/>
      <c r="AC2249" s="294"/>
      <c r="AD2249" s="294"/>
      <c r="AE2249" s="294"/>
      <c r="AF2249" s="294"/>
    </row>
    <row r="2250" spans="2:32" x14ac:dyDescent="0.25">
      <c r="B2250" s="294"/>
      <c r="C2250" s="294"/>
      <c r="D2250" s="294"/>
      <c r="E2250" s="294"/>
      <c r="F2250" s="294"/>
      <c r="G2250" s="294"/>
      <c r="H2250" s="294"/>
      <c r="I2250" s="294"/>
      <c r="J2250" s="294"/>
      <c r="L2250" s="295"/>
      <c r="M2250" s="294"/>
      <c r="S2250" s="294"/>
      <c r="T2250" s="299"/>
      <c r="U2250" s="294"/>
      <c r="V2250" s="299"/>
      <c r="W2250" s="299"/>
      <c r="X2250" s="294"/>
      <c r="Y2250" s="299"/>
      <c r="Z2250" s="294"/>
      <c r="AA2250" s="299"/>
      <c r="AB2250" s="299"/>
      <c r="AC2250" s="294"/>
      <c r="AD2250" s="294"/>
      <c r="AE2250" s="294"/>
      <c r="AF2250" s="294"/>
    </row>
    <row r="2251" spans="2:32" x14ac:dyDescent="0.25">
      <c r="B2251" s="294"/>
      <c r="C2251" s="294"/>
      <c r="D2251" s="294"/>
      <c r="E2251" s="294"/>
      <c r="F2251" s="294"/>
      <c r="G2251" s="294"/>
      <c r="H2251" s="294"/>
      <c r="I2251" s="294"/>
      <c r="J2251" s="294"/>
      <c r="L2251" s="295"/>
      <c r="M2251" s="294"/>
      <c r="S2251" s="294"/>
      <c r="T2251" s="299"/>
      <c r="U2251" s="294"/>
      <c r="V2251" s="299"/>
      <c r="W2251" s="299"/>
      <c r="X2251" s="294"/>
      <c r="Y2251" s="299"/>
      <c r="Z2251" s="294"/>
      <c r="AA2251" s="299"/>
      <c r="AB2251" s="299"/>
      <c r="AC2251" s="294"/>
      <c r="AD2251" s="294"/>
      <c r="AE2251" s="294"/>
      <c r="AF2251" s="294"/>
    </row>
    <row r="2252" spans="2:32" x14ac:dyDescent="0.25">
      <c r="B2252" s="294"/>
      <c r="C2252" s="294"/>
      <c r="D2252" s="294"/>
      <c r="E2252" s="294"/>
      <c r="F2252" s="294"/>
      <c r="G2252" s="294"/>
      <c r="H2252" s="294"/>
      <c r="I2252" s="294"/>
      <c r="J2252" s="294"/>
      <c r="L2252" s="295"/>
      <c r="M2252" s="294"/>
      <c r="S2252" s="294"/>
      <c r="T2252" s="299"/>
      <c r="U2252" s="294"/>
      <c r="V2252" s="299"/>
      <c r="W2252" s="299"/>
      <c r="X2252" s="294"/>
      <c r="Y2252" s="299"/>
      <c r="Z2252" s="294"/>
      <c r="AA2252" s="299"/>
      <c r="AB2252" s="299"/>
      <c r="AC2252" s="294"/>
      <c r="AD2252" s="294"/>
      <c r="AE2252" s="294"/>
      <c r="AF2252" s="294"/>
    </row>
    <row r="2253" spans="2:32" x14ac:dyDescent="0.25">
      <c r="B2253" s="294"/>
      <c r="C2253" s="294"/>
      <c r="D2253" s="294"/>
      <c r="E2253" s="294"/>
      <c r="F2253" s="294"/>
      <c r="G2253" s="294"/>
      <c r="H2253" s="294"/>
      <c r="I2253" s="294"/>
      <c r="J2253" s="294"/>
      <c r="L2253" s="295"/>
      <c r="M2253" s="294"/>
      <c r="S2253" s="294"/>
      <c r="T2253" s="299"/>
      <c r="U2253" s="294"/>
      <c r="V2253" s="299"/>
      <c r="W2253" s="299"/>
      <c r="X2253" s="294"/>
      <c r="Y2253" s="299"/>
      <c r="Z2253" s="294"/>
      <c r="AA2253" s="299"/>
      <c r="AB2253" s="299"/>
      <c r="AC2253" s="294"/>
      <c r="AD2253" s="294"/>
      <c r="AE2253" s="294"/>
      <c r="AF2253" s="294"/>
    </row>
    <row r="2254" spans="2:32" x14ac:dyDescent="0.25">
      <c r="B2254" s="294"/>
      <c r="C2254" s="294"/>
      <c r="D2254" s="294"/>
      <c r="E2254" s="294"/>
      <c r="F2254" s="294"/>
      <c r="G2254" s="294"/>
      <c r="H2254" s="294"/>
      <c r="I2254" s="294"/>
      <c r="J2254" s="294"/>
      <c r="L2254" s="295"/>
      <c r="M2254" s="294"/>
      <c r="S2254" s="294"/>
      <c r="T2254" s="299"/>
      <c r="U2254" s="294"/>
      <c r="V2254" s="299"/>
      <c r="W2254" s="299"/>
      <c r="X2254" s="294"/>
      <c r="Y2254" s="299"/>
      <c r="Z2254" s="294"/>
      <c r="AA2254" s="299"/>
      <c r="AB2254" s="299"/>
      <c r="AC2254" s="294"/>
      <c r="AD2254" s="294"/>
      <c r="AE2254" s="294"/>
      <c r="AF2254" s="294"/>
    </row>
    <row r="2255" spans="2:32" x14ac:dyDescent="0.25">
      <c r="B2255" s="294"/>
      <c r="C2255" s="294"/>
      <c r="D2255" s="294"/>
      <c r="E2255" s="294"/>
      <c r="F2255" s="294"/>
      <c r="G2255" s="294"/>
      <c r="H2255" s="294"/>
      <c r="I2255" s="294"/>
      <c r="J2255" s="294"/>
      <c r="L2255" s="295"/>
      <c r="M2255" s="294"/>
      <c r="S2255" s="294"/>
      <c r="T2255" s="299"/>
      <c r="U2255" s="294"/>
      <c r="V2255" s="299"/>
      <c r="W2255" s="299"/>
      <c r="X2255" s="294"/>
      <c r="Y2255" s="299"/>
      <c r="Z2255" s="294"/>
      <c r="AA2255" s="299"/>
      <c r="AB2255" s="299"/>
      <c r="AC2255" s="294"/>
      <c r="AD2255" s="294"/>
      <c r="AE2255" s="294"/>
      <c r="AF2255" s="294"/>
    </row>
    <row r="2256" spans="2:32" x14ac:dyDescent="0.25">
      <c r="B2256" s="294"/>
      <c r="C2256" s="294"/>
      <c r="D2256" s="294"/>
      <c r="E2256" s="294"/>
      <c r="F2256" s="294"/>
      <c r="G2256" s="294"/>
      <c r="H2256" s="294"/>
      <c r="I2256" s="294"/>
      <c r="J2256" s="294"/>
      <c r="L2256" s="295"/>
      <c r="M2256" s="294"/>
      <c r="S2256" s="294"/>
      <c r="T2256" s="299"/>
      <c r="U2256" s="294"/>
      <c r="V2256" s="299"/>
      <c r="W2256" s="299"/>
      <c r="X2256" s="294"/>
      <c r="Y2256" s="299"/>
      <c r="Z2256" s="294"/>
      <c r="AA2256" s="299"/>
      <c r="AB2256" s="299"/>
      <c r="AC2256" s="294"/>
      <c r="AD2256" s="294"/>
      <c r="AE2256" s="294"/>
      <c r="AF2256" s="294"/>
    </row>
    <row r="2257" spans="2:32" x14ac:dyDescent="0.25">
      <c r="B2257" s="294"/>
      <c r="C2257" s="294"/>
      <c r="D2257" s="294"/>
      <c r="E2257" s="294"/>
      <c r="F2257" s="294"/>
      <c r="G2257" s="294"/>
      <c r="H2257" s="294"/>
      <c r="I2257" s="294"/>
      <c r="J2257" s="294"/>
      <c r="L2257" s="295"/>
      <c r="M2257" s="294"/>
      <c r="S2257" s="294"/>
      <c r="T2257" s="299"/>
      <c r="U2257" s="294"/>
      <c r="V2257" s="299"/>
      <c r="W2257" s="299"/>
      <c r="X2257" s="294"/>
      <c r="Y2257" s="299"/>
      <c r="Z2257" s="294"/>
      <c r="AA2257" s="299"/>
      <c r="AB2257" s="299"/>
      <c r="AC2257" s="294"/>
      <c r="AD2257" s="294"/>
      <c r="AE2257" s="294"/>
      <c r="AF2257" s="294"/>
    </row>
    <row r="2258" spans="2:32" x14ac:dyDescent="0.25">
      <c r="B2258" s="294"/>
      <c r="C2258" s="294"/>
      <c r="D2258" s="294"/>
      <c r="E2258" s="294"/>
      <c r="F2258" s="294"/>
      <c r="G2258" s="294"/>
      <c r="H2258" s="294"/>
      <c r="I2258" s="294"/>
      <c r="J2258" s="294"/>
      <c r="L2258" s="295"/>
      <c r="M2258" s="294"/>
      <c r="S2258" s="294"/>
      <c r="T2258" s="299"/>
      <c r="U2258" s="294"/>
      <c r="V2258" s="299"/>
      <c r="W2258" s="299"/>
      <c r="X2258" s="294"/>
      <c r="Y2258" s="299"/>
      <c r="Z2258" s="294"/>
      <c r="AA2258" s="299"/>
      <c r="AB2258" s="299"/>
      <c r="AC2258" s="294"/>
      <c r="AD2258" s="294"/>
      <c r="AE2258" s="294"/>
      <c r="AF2258" s="294"/>
    </row>
    <row r="2259" spans="2:32" x14ac:dyDescent="0.25">
      <c r="B2259" s="294"/>
      <c r="C2259" s="294"/>
      <c r="D2259" s="294"/>
      <c r="E2259" s="294"/>
      <c r="F2259" s="294"/>
      <c r="G2259" s="294"/>
      <c r="H2259" s="294"/>
      <c r="I2259" s="294"/>
      <c r="J2259" s="294"/>
      <c r="L2259" s="295"/>
      <c r="M2259" s="294"/>
      <c r="S2259" s="294"/>
      <c r="T2259" s="299"/>
      <c r="U2259" s="294"/>
      <c r="V2259" s="299"/>
      <c r="W2259" s="299"/>
      <c r="X2259" s="294"/>
      <c r="Y2259" s="299"/>
      <c r="Z2259" s="294"/>
      <c r="AA2259" s="299"/>
      <c r="AB2259" s="299"/>
      <c r="AC2259" s="294"/>
      <c r="AD2259" s="294"/>
      <c r="AE2259" s="294"/>
      <c r="AF2259" s="294"/>
    </row>
    <row r="2260" spans="2:32" x14ac:dyDescent="0.25">
      <c r="B2260" s="294"/>
      <c r="C2260" s="294"/>
      <c r="D2260" s="294"/>
      <c r="E2260" s="294"/>
      <c r="F2260" s="294"/>
      <c r="G2260" s="294"/>
      <c r="H2260" s="294"/>
      <c r="I2260" s="294"/>
      <c r="J2260" s="294"/>
      <c r="L2260" s="295"/>
      <c r="M2260" s="294"/>
      <c r="S2260" s="294"/>
      <c r="T2260" s="299"/>
      <c r="U2260" s="294"/>
      <c r="V2260" s="299"/>
      <c r="W2260" s="299"/>
      <c r="X2260" s="294"/>
      <c r="Y2260" s="299"/>
      <c r="Z2260" s="294"/>
      <c r="AA2260" s="299"/>
      <c r="AB2260" s="299"/>
      <c r="AC2260" s="294"/>
      <c r="AD2260" s="294"/>
      <c r="AE2260" s="294"/>
      <c r="AF2260" s="294"/>
    </row>
    <row r="2261" spans="2:32" x14ac:dyDescent="0.25">
      <c r="B2261" s="294"/>
      <c r="C2261" s="294"/>
      <c r="D2261" s="294"/>
      <c r="E2261" s="294"/>
      <c r="F2261" s="294"/>
      <c r="G2261" s="294"/>
      <c r="H2261" s="294"/>
      <c r="I2261" s="294"/>
      <c r="J2261" s="294"/>
      <c r="L2261" s="295"/>
      <c r="M2261" s="294"/>
      <c r="S2261" s="294"/>
      <c r="T2261" s="299"/>
      <c r="U2261" s="294"/>
      <c r="V2261" s="299"/>
      <c r="W2261" s="299"/>
      <c r="X2261" s="294"/>
      <c r="Y2261" s="299"/>
      <c r="Z2261" s="294"/>
      <c r="AA2261" s="299"/>
      <c r="AB2261" s="299"/>
      <c r="AC2261" s="294"/>
      <c r="AD2261" s="294"/>
      <c r="AE2261" s="294"/>
      <c r="AF2261" s="294"/>
    </row>
    <row r="2262" spans="2:32" x14ac:dyDescent="0.25">
      <c r="B2262" s="294"/>
      <c r="C2262" s="294"/>
      <c r="D2262" s="294"/>
      <c r="E2262" s="294"/>
      <c r="F2262" s="294"/>
      <c r="G2262" s="294"/>
      <c r="H2262" s="294"/>
      <c r="I2262" s="294"/>
      <c r="J2262" s="294"/>
      <c r="L2262" s="295"/>
      <c r="M2262" s="294"/>
      <c r="S2262" s="294"/>
      <c r="T2262" s="299"/>
      <c r="U2262" s="294"/>
      <c r="V2262" s="299"/>
      <c r="W2262" s="299"/>
      <c r="X2262" s="294"/>
      <c r="Y2262" s="299"/>
      <c r="Z2262" s="294"/>
      <c r="AA2262" s="299"/>
      <c r="AB2262" s="299"/>
      <c r="AC2262" s="294"/>
      <c r="AD2262" s="294"/>
      <c r="AE2262" s="294"/>
      <c r="AF2262" s="294"/>
    </row>
    <row r="2263" spans="2:32" x14ac:dyDescent="0.25">
      <c r="B2263" s="294"/>
      <c r="C2263" s="294"/>
      <c r="D2263" s="294"/>
      <c r="E2263" s="294"/>
      <c r="F2263" s="294"/>
      <c r="G2263" s="294"/>
      <c r="H2263" s="294"/>
      <c r="I2263" s="294"/>
      <c r="J2263" s="294"/>
      <c r="L2263" s="295"/>
      <c r="M2263" s="294"/>
      <c r="S2263" s="294"/>
      <c r="T2263" s="299"/>
      <c r="U2263" s="294"/>
      <c r="V2263" s="299"/>
      <c r="W2263" s="299"/>
      <c r="X2263" s="294"/>
      <c r="Y2263" s="299"/>
      <c r="Z2263" s="294"/>
      <c r="AA2263" s="299"/>
      <c r="AB2263" s="299"/>
      <c r="AC2263" s="294"/>
      <c r="AD2263" s="294"/>
      <c r="AE2263" s="294"/>
      <c r="AF2263" s="294"/>
    </row>
    <row r="2264" spans="2:32" x14ac:dyDescent="0.25">
      <c r="B2264" s="294"/>
      <c r="C2264" s="294"/>
      <c r="D2264" s="294"/>
      <c r="E2264" s="294"/>
      <c r="F2264" s="294"/>
      <c r="G2264" s="294"/>
      <c r="H2264" s="294"/>
      <c r="I2264" s="294"/>
      <c r="J2264" s="294"/>
      <c r="L2264" s="295"/>
      <c r="M2264" s="294"/>
      <c r="S2264" s="294"/>
      <c r="T2264" s="299"/>
      <c r="U2264" s="294"/>
      <c r="V2264" s="299"/>
      <c r="W2264" s="299"/>
      <c r="X2264" s="294"/>
      <c r="Y2264" s="299"/>
      <c r="Z2264" s="294"/>
      <c r="AA2264" s="299"/>
      <c r="AB2264" s="299"/>
      <c r="AC2264" s="294"/>
      <c r="AD2264" s="294"/>
      <c r="AE2264" s="294"/>
      <c r="AF2264" s="294"/>
    </row>
    <row r="2265" spans="2:32" x14ac:dyDescent="0.25">
      <c r="B2265" s="294"/>
      <c r="C2265" s="294"/>
      <c r="D2265" s="294"/>
      <c r="E2265" s="294"/>
      <c r="F2265" s="294"/>
      <c r="G2265" s="294"/>
      <c r="H2265" s="294"/>
      <c r="I2265" s="294"/>
      <c r="J2265" s="294"/>
      <c r="L2265" s="295"/>
      <c r="M2265" s="294"/>
      <c r="S2265" s="294"/>
      <c r="T2265" s="299"/>
      <c r="U2265" s="294"/>
      <c r="V2265" s="299"/>
      <c r="W2265" s="299"/>
      <c r="X2265" s="294"/>
      <c r="Y2265" s="299"/>
      <c r="Z2265" s="294"/>
      <c r="AA2265" s="299"/>
      <c r="AB2265" s="299"/>
      <c r="AC2265" s="294"/>
      <c r="AD2265" s="294"/>
      <c r="AE2265" s="294"/>
      <c r="AF2265" s="294"/>
    </row>
    <row r="2266" spans="2:32" x14ac:dyDescent="0.25">
      <c r="B2266" s="294"/>
      <c r="C2266" s="294"/>
      <c r="D2266" s="294"/>
      <c r="E2266" s="294"/>
      <c r="F2266" s="294"/>
      <c r="G2266" s="294"/>
      <c r="H2266" s="294"/>
      <c r="I2266" s="294"/>
      <c r="J2266" s="294"/>
      <c r="L2266" s="295"/>
      <c r="M2266" s="294"/>
      <c r="S2266" s="294"/>
      <c r="T2266" s="299"/>
      <c r="U2266" s="294"/>
      <c r="V2266" s="299"/>
      <c r="W2266" s="299"/>
      <c r="X2266" s="294"/>
      <c r="Y2266" s="299"/>
      <c r="Z2266" s="294"/>
      <c r="AA2266" s="299"/>
      <c r="AB2266" s="299"/>
      <c r="AC2266" s="294"/>
      <c r="AD2266" s="294"/>
      <c r="AE2266" s="294"/>
      <c r="AF2266" s="294"/>
    </row>
    <row r="2267" spans="2:32" x14ac:dyDescent="0.25">
      <c r="B2267" s="294"/>
      <c r="C2267" s="294"/>
      <c r="D2267" s="294"/>
      <c r="E2267" s="294"/>
      <c r="F2267" s="294"/>
      <c r="G2267" s="294"/>
      <c r="H2267" s="294"/>
      <c r="I2267" s="294"/>
      <c r="J2267" s="294"/>
      <c r="L2267" s="295"/>
      <c r="M2267" s="294"/>
      <c r="S2267" s="294"/>
      <c r="T2267" s="299"/>
      <c r="U2267" s="294"/>
      <c r="V2267" s="299"/>
      <c r="W2267" s="299"/>
      <c r="X2267" s="294"/>
      <c r="Y2267" s="299"/>
      <c r="Z2267" s="294"/>
      <c r="AA2267" s="299"/>
      <c r="AB2267" s="299"/>
      <c r="AC2267" s="294"/>
      <c r="AD2267" s="294"/>
      <c r="AE2267" s="294"/>
      <c r="AF2267" s="294"/>
    </row>
    <row r="2268" spans="2:32" x14ac:dyDescent="0.25">
      <c r="B2268" s="294"/>
      <c r="C2268" s="294"/>
      <c r="D2268" s="294"/>
      <c r="E2268" s="294"/>
      <c r="F2268" s="294"/>
      <c r="G2268" s="294"/>
      <c r="H2268" s="294"/>
      <c r="I2268" s="294"/>
      <c r="J2268" s="294"/>
      <c r="L2268" s="295"/>
      <c r="M2268" s="294"/>
      <c r="S2268" s="294"/>
      <c r="T2268" s="299"/>
      <c r="U2268" s="294"/>
      <c r="V2268" s="299"/>
      <c r="W2268" s="299"/>
      <c r="X2268" s="294"/>
      <c r="Y2268" s="299"/>
      <c r="Z2268" s="294"/>
      <c r="AA2268" s="299"/>
      <c r="AB2268" s="299"/>
      <c r="AC2268" s="294"/>
      <c r="AD2268" s="294"/>
      <c r="AE2268" s="294"/>
      <c r="AF2268" s="294"/>
    </row>
    <row r="2269" spans="2:32" x14ac:dyDescent="0.25">
      <c r="B2269" s="294"/>
      <c r="C2269" s="294"/>
      <c r="D2269" s="294"/>
      <c r="E2269" s="294"/>
      <c r="F2269" s="294"/>
      <c r="G2269" s="294"/>
      <c r="H2269" s="294"/>
      <c r="I2269" s="294"/>
      <c r="J2269" s="294"/>
      <c r="L2269" s="295"/>
      <c r="M2269" s="294"/>
      <c r="S2269" s="294"/>
      <c r="T2269" s="299"/>
      <c r="U2269" s="294"/>
      <c r="V2269" s="299"/>
      <c r="W2269" s="299"/>
      <c r="X2269" s="294"/>
      <c r="Y2269" s="299"/>
      <c r="Z2269" s="294"/>
      <c r="AA2269" s="299"/>
      <c r="AB2269" s="299"/>
      <c r="AC2269" s="294"/>
      <c r="AD2269" s="294"/>
      <c r="AE2269" s="294"/>
      <c r="AF2269" s="294"/>
    </row>
    <row r="2270" spans="2:32" x14ac:dyDescent="0.25">
      <c r="B2270" s="294"/>
      <c r="C2270" s="294"/>
      <c r="D2270" s="294"/>
      <c r="E2270" s="294"/>
      <c r="F2270" s="294"/>
      <c r="G2270" s="294"/>
      <c r="H2270" s="294"/>
      <c r="I2270" s="294"/>
      <c r="J2270" s="294"/>
      <c r="L2270" s="295"/>
      <c r="M2270" s="294"/>
      <c r="S2270" s="294"/>
      <c r="T2270" s="299"/>
      <c r="U2270" s="294"/>
      <c r="V2270" s="299"/>
      <c r="W2270" s="299"/>
      <c r="X2270" s="294"/>
      <c r="Y2270" s="299"/>
      <c r="Z2270" s="294"/>
      <c r="AA2270" s="299"/>
      <c r="AB2270" s="299"/>
      <c r="AC2270" s="294"/>
      <c r="AD2270" s="294"/>
      <c r="AE2270" s="294"/>
      <c r="AF2270" s="294"/>
    </row>
    <row r="2271" spans="2:32" x14ac:dyDescent="0.25">
      <c r="B2271" s="294"/>
      <c r="C2271" s="294"/>
      <c r="D2271" s="294"/>
      <c r="E2271" s="294"/>
      <c r="F2271" s="294"/>
      <c r="G2271" s="294"/>
      <c r="H2271" s="294"/>
      <c r="I2271" s="294"/>
      <c r="J2271" s="294"/>
      <c r="L2271" s="295"/>
      <c r="M2271" s="294"/>
      <c r="S2271" s="294"/>
      <c r="T2271" s="299"/>
      <c r="U2271" s="294"/>
      <c r="V2271" s="299"/>
      <c r="W2271" s="299"/>
      <c r="X2271" s="294"/>
      <c r="Y2271" s="299"/>
      <c r="Z2271" s="294"/>
      <c r="AA2271" s="299"/>
      <c r="AB2271" s="299"/>
      <c r="AC2271" s="294"/>
      <c r="AD2271" s="294"/>
      <c r="AE2271" s="294"/>
      <c r="AF2271" s="294"/>
    </row>
    <row r="2272" spans="2:32" x14ac:dyDescent="0.25">
      <c r="B2272" s="294"/>
      <c r="C2272" s="294"/>
      <c r="D2272" s="294"/>
      <c r="E2272" s="294"/>
      <c r="F2272" s="294"/>
      <c r="G2272" s="294"/>
      <c r="H2272" s="294"/>
      <c r="I2272" s="294"/>
      <c r="J2272" s="294"/>
      <c r="L2272" s="295"/>
      <c r="M2272" s="294"/>
      <c r="S2272" s="294"/>
      <c r="T2272" s="299"/>
      <c r="U2272" s="294"/>
      <c r="V2272" s="299"/>
      <c r="W2272" s="299"/>
      <c r="X2272" s="294"/>
      <c r="Y2272" s="299"/>
      <c r="Z2272" s="294"/>
      <c r="AA2272" s="299"/>
      <c r="AB2272" s="299"/>
      <c r="AC2272" s="294"/>
      <c r="AD2272" s="294"/>
      <c r="AE2272" s="294"/>
      <c r="AF2272" s="294"/>
    </row>
    <row r="2273" spans="2:32" x14ac:dyDescent="0.25">
      <c r="B2273" s="294"/>
      <c r="C2273" s="294"/>
      <c r="D2273" s="294"/>
      <c r="E2273" s="294"/>
      <c r="F2273" s="294"/>
      <c r="G2273" s="294"/>
      <c r="H2273" s="294"/>
      <c r="I2273" s="294"/>
      <c r="J2273" s="294"/>
      <c r="L2273" s="295"/>
      <c r="M2273" s="294"/>
      <c r="S2273" s="294"/>
      <c r="T2273" s="299"/>
      <c r="U2273" s="294"/>
      <c r="V2273" s="299"/>
      <c r="W2273" s="299"/>
      <c r="X2273" s="294"/>
      <c r="Y2273" s="299"/>
      <c r="Z2273" s="294"/>
      <c r="AA2273" s="299"/>
      <c r="AB2273" s="299"/>
      <c r="AC2273" s="294"/>
      <c r="AD2273" s="294"/>
      <c r="AE2273" s="294"/>
      <c r="AF2273" s="294"/>
    </row>
    <row r="2274" spans="2:32" x14ac:dyDescent="0.25">
      <c r="B2274" s="294"/>
      <c r="C2274" s="294"/>
      <c r="D2274" s="294"/>
      <c r="E2274" s="294"/>
      <c r="F2274" s="294"/>
      <c r="G2274" s="294"/>
      <c r="H2274" s="294"/>
      <c r="I2274" s="294"/>
      <c r="J2274" s="294"/>
      <c r="L2274" s="295"/>
      <c r="M2274" s="294"/>
      <c r="S2274" s="294"/>
      <c r="T2274" s="299"/>
      <c r="U2274" s="294"/>
      <c r="V2274" s="299"/>
      <c r="W2274" s="299"/>
      <c r="X2274" s="294"/>
      <c r="Y2274" s="299"/>
      <c r="Z2274" s="294"/>
      <c r="AA2274" s="299"/>
      <c r="AB2274" s="299"/>
      <c r="AC2274" s="294"/>
      <c r="AD2274" s="294"/>
      <c r="AE2274" s="294"/>
      <c r="AF2274" s="294"/>
    </row>
    <row r="2275" spans="2:32" x14ac:dyDescent="0.25">
      <c r="B2275" s="294"/>
      <c r="C2275" s="294"/>
      <c r="D2275" s="294"/>
      <c r="E2275" s="294"/>
      <c r="F2275" s="294"/>
      <c r="G2275" s="294"/>
      <c r="H2275" s="294"/>
      <c r="I2275" s="294"/>
      <c r="J2275" s="294"/>
      <c r="L2275" s="295"/>
      <c r="M2275" s="294"/>
      <c r="S2275" s="294"/>
      <c r="T2275" s="299"/>
      <c r="U2275" s="294"/>
      <c r="V2275" s="299"/>
      <c r="W2275" s="299"/>
      <c r="X2275" s="294"/>
      <c r="Y2275" s="299"/>
      <c r="Z2275" s="294"/>
      <c r="AA2275" s="299"/>
      <c r="AB2275" s="299"/>
      <c r="AC2275" s="294"/>
      <c r="AD2275" s="294"/>
      <c r="AE2275" s="294"/>
      <c r="AF2275" s="294"/>
    </row>
    <row r="2276" spans="2:32" x14ac:dyDescent="0.25">
      <c r="B2276" s="294"/>
      <c r="C2276" s="294"/>
      <c r="D2276" s="294"/>
      <c r="E2276" s="294"/>
      <c r="F2276" s="294"/>
      <c r="G2276" s="294"/>
      <c r="H2276" s="294"/>
      <c r="I2276" s="294"/>
      <c r="J2276" s="294"/>
      <c r="L2276" s="295"/>
      <c r="M2276" s="294"/>
      <c r="S2276" s="294"/>
      <c r="T2276" s="299"/>
      <c r="U2276" s="294"/>
      <c r="V2276" s="299"/>
      <c r="W2276" s="299"/>
      <c r="X2276" s="294"/>
      <c r="Y2276" s="299"/>
      <c r="Z2276" s="294"/>
      <c r="AA2276" s="299"/>
      <c r="AB2276" s="299"/>
      <c r="AC2276" s="294"/>
      <c r="AD2276" s="294"/>
      <c r="AE2276" s="294"/>
      <c r="AF2276" s="294"/>
    </row>
    <row r="2277" spans="2:32" x14ac:dyDescent="0.25">
      <c r="B2277" s="294"/>
      <c r="C2277" s="294"/>
      <c r="D2277" s="294"/>
      <c r="E2277" s="294"/>
      <c r="F2277" s="294"/>
      <c r="G2277" s="294"/>
      <c r="H2277" s="294"/>
      <c r="I2277" s="294"/>
      <c r="J2277" s="294"/>
      <c r="L2277" s="295"/>
      <c r="M2277" s="294"/>
      <c r="S2277" s="294"/>
      <c r="T2277" s="299"/>
      <c r="U2277" s="294"/>
      <c r="V2277" s="299"/>
      <c r="W2277" s="299"/>
      <c r="X2277" s="294"/>
      <c r="Y2277" s="299"/>
      <c r="Z2277" s="294"/>
      <c r="AA2277" s="299"/>
      <c r="AB2277" s="299"/>
      <c r="AC2277" s="294"/>
      <c r="AD2277" s="294"/>
      <c r="AE2277" s="294"/>
      <c r="AF2277" s="294"/>
    </row>
    <row r="2278" spans="2:32" x14ac:dyDescent="0.25">
      <c r="B2278" s="294"/>
      <c r="C2278" s="294"/>
      <c r="D2278" s="294"/>
      <c r="E2278" s="294"/>
      <c r="F2278" s="294"/>
      <c r="G2278" s="294"/>
      <c r="H2278" s="294"/>
      <c r="I2278" s="294"/>
      <c r="J2278" s="294"/>
      <c r="L2278" s="295"/>
      <c r="M2278" s="294"/>
      <c r="S2278" s="294"/>
      <c r="T2278" s="299"/>
      <c r="U2278" s="294"/>
      <c r="V2278" s="299"/>
      <c r="W2278" s="299"/>
      <c r="X2278" s="294"/>
      <c r="Y2278" s="299"/>
      <c r="Z2278" s="294"/>
      <c r="AA2278" s="299"/>
      <c r="AB2278" s="299"/>
      <c r="AC2278" s="294"/>
      <c r="AD2278" s="294"/>
      <c r="AE2278" s="294"/>
      <c r="AF2278" s="294"/>
    </row>
    <row r="2279" spans="2:32" x14ac:dyDescent="0.25">
      <c r="B2279" s="294"/>
      <c r="C2279" s="294"/>
      <c r="D2279" s="294"/>
      <c r="E2279" s="294"/>
      <c r="F2279" s="294"/>
      <c r="G2279" s="294"/>
      <c r="H2279" s="294"/>
      <c r="I2279" s="294"/>
      <c r="J2279" s="294"/>
      <c r="L2279" s="295"/>
      <c r="M2279" s="294"/>
      <c r="S2279" s="294"/>
      <c r="T2279" s="299"/>
      <c r="U2279" s="294"/>
      <c r="V2279" s="299"/>
      <c r="W2279" s="299"/>
      <c r="X2279" s="294"/>
      <c r="Y2279" s="299"/>
      <c r="Z2279" s="294"/>
      <c r="AA2279" s="299"/>
      <c r="AB2279" s="299"/>
      <c r="AC2279" s="294"/>
      <c r="AD2279" s="294"/>
      <c r="AE2279" s="294"/>
      <c r="AF2279" s="294"/>
    </row>
    <row r="2280" spans="2:32" x14ac:dyDescent="0.25">
      <c r="B2280" s="294"/>
      <c r="C2280" s="294"/>
      <c r="D2280" s="294"/>
      <c r="E2280" s="294"/>
      <c r="F2280" s="294"/>
      <c r="G2280" s="294"/>
      <c r="H2280" s="294"/>
      <c r="I2280" s="294"/>
      <c r="J2280" s="294"/>
      <c r="L2280" s="295"/>
      <c r="M2280" s="294"/>
      <c r="S2280" s="294"/>
      <c r="T2280" s="299"/>
      <c r="U2280" s="294"/>
      <c r="V2280" s="299"/>
      <c r="W2280" s="299"/>
      <c r="X2280" s="294"/>
      <c r="Y2280" s="299"/>
      <c r="Z2280" s="294"/>
      <c r="AA2280" s="299"/>
      <c r="AB2280" s="299"/>
      <c r="AC2280" s="294"/>
      <c r="AD2280" s="294"/>
      <c r="AE2280" s="294"/>
      <c r="AF2280" s="294"/>
    </row>
    <row r="2281" spans="2:32" x14ac:dyDescent="0.25">
      <c r="B2281" s="294"/>
      <c r="C2281" s="294"/>
      <c r="D2281" s="294"/>
      <c r="E2281" s="294"/>
      <c r="F2281" s="294"/>
      <c r="G2281" s="294"/>
      <c r="H2281" s="294"/>
      <c r="I2281" s="294"/>
      <c r="J2281" s="294"/>
      <c r="L2281" s="295"/>
      <c r="M2281" s="294"/>
      <c r="S2281" s="294"/>
      <c r="T2281" s="299"/>
      <c r="U2281" s="294"/>
      <c r="V2281" s="299"/>
      <c r="W2281" s="299"/>
      <c r="X2281" s="294"/>
      <c r="Y2281" s="299"/>
      <c r="Z2281" s="294"/>
      <c r="AA2281" s="299"/>
      <c r="AB2281" s="299"/>
      <c r="AC2281" s="294"/>
      <c r="AD2281" s="294"/>
      <c r="AE2281" s="294"/>
      <c r="AF2281" s="294"/>
    </row>
    <row r="2282" spans="2:32" x14ac:dyDescent="0.25">
      <c r="B2282" s="294"/>
      <c r="C2282" s="294"/>
      <c r="D2282" s="294"/>
      <c r="E2282" s="294"/>
      <c r="F2282" s="294"/>
      <c r="G2282" s="294"/>
      <c r="H2282" s="294"/>
      <c r="I2282" s="294"/>
      <c r="J2282" s="294"/>
      <c r="L2282" s="295"/>
      <c r="M2282" s="294"/>
      <c r="S2282" s="294"/>
      <c r="T2282" s="299"/>
      <c r="U2282" s="294"/>
      <c r="V2282" s="299"/>
      <c r="W2282" s="299"/>
      <c r="X2282" s="294"/>
      <c r="Y2282" s="299"/>
      <c r="Z2282" s="294"/>
      <c r="AA2282" s="299"/>
      <c r="AB2282" s="299"/>
      <c r="AC2282" s="294"/>
      <c r="AD2282" s="294"/>
      <c r="AE2282" s="294"/>
      <c r="AF2282" s="294"/>
    </row>
    <row r="2283" spans="2:32" x14ac:dyDescent="0.25">
      <c r="B2283" s="294"/>
      <c r="C2283" s="294"/>
      <c r="D2283" s="294"/>
      <c r="E2283" s="294"/>
      <c r="F2283" s="294"/>
      <c r="G2283" s="294"/>
      <c r="H2283" s="294"/>
      <c r="I2283" s="294"/>
      <c r="J2283" s="294"/>
      <c r="L2283" s="295"/>
      <c r="M2283" s="294"/>
      <c r="S2283" s="294"/>
      <c r="T2283" s="299"/>
      <c r="U2283" s="294"/>
      <c r="V2283" s="299"/>
      <c r="W2283" s="299"/>
      <c r="X2283" s="294"/>
      <c r="Y2283" s="299"/>
      <c r="Z2283" s="294"/>
      <c r="AA2283" s="299"/>
      <c r="AB2283" s="299"/>
      <c r="AC2283" s="294"/>
      <c r="AD2283" s="294"/>
      <c r="AE2283" s="294"/>
      <c r="AF2283" s="294"/>
    </row>
    <row r="2284" spans="2:32" x14ac:dyDescent="0.25">
      <c r="B2284" s="294"/>
      <c r="C2284" s="294"/>
      <c r="D2284" s="294"/>
      <c r="E2284" s="294"/>
      <c r="F2284" s="294"/>
      <c r="G2284" s="294"/>
      <c r="H2284" s="294"/>
      <c r="I2284" s="294"/>
      <c r="J2284" s="294"/>
      <c r="L2284" s="295"/>
      <c r="M2284" s="294"/>
      <c r="S2284" s="294"/>
      <c r="T2284" s="299"/>
      <c r="U2284" s="294"/>
      <c r="V2284" s="299"/>
      <c r="W2284" s="299"/>
      <c r="X2284" s="294"/>
      <c r="Y2284" s="299"/>
      <c r="Z2284" s="294"/>
      <c r="AA2284" s="299"/>
      <c r="AB2284" s="299"/>
      <c r="AC2284" s="294"/>
      <c r="AD2284" s="294"/>
      <c r="AE2284" s="294"/>
      <c r="AF2284" s="294"/>
    </row>
    <row r="2285" spans="2:32" x14ac:dyDescent="0.25">
      <c r="B2285" s="294"/>
      <c r="C2285" s="294"/>
      <c r="D2285" s="294"/>
      <c r="E2285" s="294"/>
      <c r="F2285" s="294"/>
      <c r="G2285" s="294"/>
      <c r="H2285" s="294"/>
      <c r="I2285" s="294"/>
      <c r="J2285" s="294"/>
      <c r="L2285" s="295"/>
      <c r="M2285" s="294"/>
      <c r="S2285" s="294"/>
      <c r="T2285" s="299"/>
      <c r="U2285" s="294"/>
      <c r="V2285" s="299"/>
      <c r="W2285" s="299"/>
      <c r="X2285" s="294"/>
      <c r="Y2285" s="299"/>
      <c r="Z2285" s="294"/>
      <c r="AA2285" s="299"/>
      <c r="AB2285" s="299"/>
      <c r="AC2285" s="294"/>
      <c r="AD2285" s="294"/>
      <c r="AE2285" s="294"/>
      <c r="AF2285" s="294"/>
    </row>
    <row r="2286" spans="2:32" x14ac:dyDescent="0.25">
      <c r="B2286" s="294"/>
      <c r="C2286" s="294"/>
      <c r="D2286" s="294"/>
      <c r="E2286" s="294"/>
      <c r="F2286" s="294"/>
      <c r="G2286" s="294"/>
      <c r="H2286" s="294"/>
      <c r="I2286" s="294"/>
      <c r="J2286" s="294"/>
      <c r="L2286" s="295"/>
      <c r="M2286" s="294"/>
      <c r="S2286" s="294"/>
      <c r="T2286" s="299"/>
      <c r="U2286" s="294"/>
      <c r="V2286" s="299"/>
      <c r="W2286" s="299"/>
      <c r="X2286" s="294"/>
      <c r="Y2286" s="299"/>
      <c r="Z2286" s="294"/>
      <c r="AA2286" s="299"/>
      <c r="AB2286" s="299"/>
      <c r="AC2286" s="294"/>
      <c r="AD2286" s="294"/>
      <c r="AE2286" s="294"/>
      <c r="AF2286" s="294"/>
    </row>
    <row r="2287" spans="2:32" x14ac:dyDescent="0.25">
      <c r="B2287" s="294"/>
      <c r="C2287" s="294"/>
      <c r="D2287" s="294"/>
      <c r="E2287" s="294"/>
      <c r="F2287" s="294"/>
      <c r="G2287" s="294"/>
      <c r="H2287" s="294"/>
      <c r="I2287" s="294"/>
      <c r="J2287" s="294"/>
      <c r="L2287" s="295"/>
      <c r="M2287" s="294"/>
      <c r="S2287" s="294"/>
      <c r="T2287" s="299"/>
      <c r="U2287" s="294"/>
      <c r="V2287" s="299"/>
      <c r="W2287" s="299"/>
      <c r="X2287" s="294"/>
      <c r="Y2287" s="299"/>
      <c r="Z2287" s="294"/>
      <c r="AA2287" s="299"/>
      <c r="AB2287" s="299"/>
      <c r="AC2287" s="294"/>
      <c r="AD2287" s="294"/>
      <c r="AE2287" s="294"/>
      <c r="AF2287" s="294"/>
    </row>
    <row r="2288" spans="2:32" x14ac:dyDescent="0.25">
      <c r="B2288" s="294"/>
      <c r="C2288" s="294"/>
      <c r="D2288" s="294"/>
      <c r="E2288" s="294"/>
      <c r="F2288" s="294"/>
      <c r="G2288" s="294"/>
      <c r="H2288" s="294"/>
      <c r="I2288" s="294"/>
      <c r="J2288" s="294"/>
      <c r="L2288" s="295"/>
      <c r="M2288" s="294"/>
      <c r="S2288" s="294"/>
      <c r="T2288" s="299"/>
      <c r="U2288" s="294"/>
      <c r="V2288" s="299"/>
      <c r="W2288" s="299"/>
      <c r="X2288" s="294"/>
      <c r="Y2288" s="299"/>
      <c r="Z2288" s="294"/>
      <c r="AA2288" s="299"/>
      <c r="AB2288" s="299"/>
      <c r="AC2288" s="294"/>
      <c r="AD2288" s="294"/>
      <c r="AE2288" s="294"/>
      <c r="AF2288" s="294"/>
    </row>
    <row r="2289" spans="2:32" x14ac:dyDescent="0.25">
      <c r="B2289" s="294"/>
      <c r="C2289" s="294"/>
      <c r="D2289" s="294"/>
      <c r="E2289" s="294"/>
      <c r="F2289" s="294"/>
      <c r="G2289" s="294"/>
      <c r="H2289" s="294"/>
      <c r="I2289" s="294"/>
      <c r="J2289" s="294"/>
      <c r="L2289" s="295"/>
      <c r="M2289" s="294"/>
      <c r="S2289" s="294"/>
      <c r="T2289" s="299"/>
      <c r="U2289" s="294"/>
      <c r="V2289" s="299"/>
      <c r="W2289" s="299"/>
      <c r="X2289" s="294"/>
      <c r="Y2289" s="299"/>
      <c r="Z2289" s="294"/>
      <c r="AA2289" s="299"/>
      <c r="AB2289" s="299"/>
      <c r="AC2289" s="294"/>
      <c r="AD2289" s="294"/>
      <c r="AE2289" s="294"/>
      <c r="AF2289" s="294"/>
    </row>
    <row r="2290" spans="2:32" x14ac:dyDescent="0.25">
      <c r="B2290" s="294"/>
      <c r="C2290" s="294"/>
      <c r="D2290" s="294"/>
      <c r="E2290" s="294"/>
      <c r="F2290" s="294"/>
      <c r="G2290" s="294"/>
      <c r="H2290" s="294"/>
      <c r="I2290" s="294"/>
      <c r="J2290" s="294"/>
      <c r="L2290" s="295"/>
      <c r="M2290" s="294"/>
      <c r="S2290" s="294"/>
      <c r="T2290" s="299"/>
      <c r="U2290" s="294"/>
      <c r="V2290" s="299"/>
      <c r="W2290" s="299"/>
      <c r="X2290" s="294"/>
      <c r="Y2290" s="299"/>
      <c r="Z2290" s="294"/>
      <c r="AA2290" s="299"/>
      <c r="AB2290" s="299"/>
      <c r="AC2290" s="294"/>
      <c r="AD2290" s="294"/>
      <c r="AE2290" s="294"/>
      <c r="AF2290" s="294"/>
    </row>
    <row r="2291" spans="2:32" x14ac:dyDescent="0.25">
      <c r="B2291" s="294"/>
      <c r="C2291" s="294"/>
      <c r="D2291" s="294"/>
      <c r="E2291" s="294"/>
      <c r="F2291" s="294"/>
      <c r="G2291" s="294"/>
      <c r="H2291" s="294"/>
      <c r="I2291" s="294"/>
      <c r="J2291" s="294"/>
      <c r="L2291" s="295"/>
      <c r="M2291" s="294"/>
      <c r="S2291" s="294"/>
      <c r="T2291" s="299"/>
      <c r="U2291" s="294"/>
      <c r="V2291" s="299"/>
      <c r="W2291" s="299"/>
      <c r="X2291" s="294"/>
      <c r="Y2291" s="299"/>
      <c r="Z2291" s="294"/>
      <c r="AA2291" s="299"/>
      <c r="AB2291" s="299"/>
      <c r="AC2291" s="294"/>
      <c r="AD2291" s="294"/>
      <c r="AE2291" s="294"/>
      <c r="AF2291" s="294"/>
    </row>
    <row r="2292" spans="2:32" x14ac:dyDescent="0.25">
      <c r="B2292" s="294"/>
      <c r="C2292" s="294"/>
      <c r="D2292" s="294"/>
      <c r="E2292" s="294"/>
      <c r="F2292" s="294"/>
      <c r="G2292" s="294"/>
      <c r="H2292" s="294"/>
      <c r="I2292" s="294"/>
      <c r="J2292" s="294"/>
      <c r="L2292" s="295"/>
      <c r="M2292" s="294"/>
      <c r="S2292" s="294"/>
      <c r="T2292" s="299"/>
      <c r="U2292" s="294"/>
      <c r="V2292" s="299"/>
      <c r="W2292" s="299"/>
      <c r="X2292" s="294"/>
      <c r="Y2292" s="299"/>
      <c r="Z2292" s="294"/>
      <c r="AA2292" s="299"/>
      <c r="AB2292" s="299"/>
      <c r="AC2292" s="294"/>
      <c r="AD2292" s="294"/>
      <c r="AE2292" s="294"/>
      <c r="AF2292" s="294"/>
    </row>
    <row r="2293" spans="2:32" x14ac:dyDescent="0.25">
      <c r="B2293" s="294"/>
      <c r="C2293" s="294"/>
      <c r="D2293" s="294"/>
      <c r="E2293" s="294"/>
      <c r="F2293" s="294"/>
      <c r="G2293" s="294"/>
      <c r="H2293" s="294"/>
      <c r="I2293" s="294"/>
      <c r="J2293" s="294"/>
      <c r="L2293" s="295"/>
      <c r="M2293" s="294"/>
      <c r="S2293" s="294"/>
      <c r="T2293" s="299"/>
      <c r="U2293" s="294"/>
      <c r="V2293" s="299"/>
      <c r="W2293" s="299"/>
      <c r="X2293" s="294"/>
      <c r="Y2293" s="299"/>
      <c r="Z2293" s="294"/>
      <c r="AA2293" s="299"/>
      <c r="AB2293" s="299"/>
      <c r="AC2293" s="294"/>
      <c r="AD2293" s="294"/>
      <c r="AE2293" s="294"/>
      <c r="AF2293" s="294"/>
    </row>
    <row r="2294" spans="2:32" x14ac:dyDescent="0.25">
      <c r="B2294" s="294"/>
      <c r="C2294" s="294"/>
      <c r="D2294" s="294"/>
      <c r="E2294" s="294"/>
      <c r="F2294" s="294"/>
      <c r="G2294" s="294"/>
      <c r="H2294" s="294"/>
      <c r="I2294" s="294"/>
      <c r="J2294" s="294"/>
      <c r="L2294" s="295"/>
      <c r="M2294" s="294"/>
      <c r="S2294" s="294"/>
      <c r="T2294" s="299"/>
      <c r="U2294" s="294"/>
      <c r="V2294" s="299"/>
      <c r="W2294" s="299"/>
      <c r="X2294" s="294"/>
      <c r="Y2294" s="299"/>
      <c r="Z2294" s="294"/>
      <c r="AA2294" s="299"/>
      <c r="AB2294" s="299"/>
      <c r="AC2294" s="294"/>
      <c r="AD2294" s="294"/>
      <c r="AE2294" s="294"/>
      <c r="AF2294" s="294"/>
    </row>
    <row r="2295" spans="2:32" x14ac:dyDescent="0.25">
      <c r="B2295" s="294"/>
      <c r="C2295" s="294"/>
      <c r="D2295" s="294"/>
      <c r="E2295" s="294"/>
      <c r="F2295" s="294"/>
      <c r="G2295" s="294"/>
      <c r="H2295" s="294"/>
      <c r="I2295" s="294"/>
      <c r="J2295" s="294"/>
      <c r="L2295" s="295"/>
      <c r="M2295" s="294"/>
      <c r="S2295" s="294"/>
      <c r="T2295" s="299"/>
      <c r="U2295" s="294"/>
      <c r="V2295" s="299"/>
      <c r="W2295" s="299"/>
      <c r="X2295" s="294"/>
      <c r="Y2295" s="299"/>
      <c r="Z2295" s="294"/>
      <c r="AA2295" s="299"/>
      <c r="AB2295" s="299"/>
      <c r="AC2295" s="294"/>
      <c r="AD2295" s="294"/>
      <c r="AE2295" s="294"/>
      <c r="AF2295" s="294"/>
    </row>
    <row r="2296" spans="2:32" x14ac:dyDescent="0.25">
      <c r="B2296" s="294"/>
      <c r="C2296" s="294"/>
      <c r="D2296" s="294"/>
      <c r="E2296" s="294"/>
      <c r="F2296" s="294"/>
      <c r="G2296" s="294"/>
      <c r="H2296" s="294"/>
      <c r="I2296" s="294"/>
      <c r="J2296" s="294"/>
      <c r="L2296" s="295"/>
      <c r="M2296" s="294"/>
      <c r="S2296" s="294"/>
      <c r="T2296" s="299"/>
      <c r="U2296" s="294"/>
      <c r="V2296" s="299"/>
      <c r="W2296" s="299"/>
      <c r="X2296" s="294"/>
      <c r="Y2296" s="299"/>
      <c r="Z2296" s="294"/>
      <c r="AA2296" s="299"/>
      <c r="AB2296" s="299"/>
      <c r="AC2296" s="294"/>
      <c r="AD2296" s="294"/>
      <c r="AE2296" s="294"/>
      <c r="AF2296" s="294"/>
    </row>
    <row r="2297" spans="2:32" x14ac:dyDescent="0.25">
      <c r="B2297" s="294"/>
      <c r="C2297" s="294"/>
      <c r="D2297" s="294"/>
      <c r="E2297" s="294"/>
      <c r="F2297" s="294"/>
      <c r="G2297" s="294"/>
      <c r="H2297" s="294"/>
      <c r="I2297" s="294"/>
      <c r="J2297" s="294"/>
      <c r="L2297" s="295"/>
      <c r="M2297" s="294"/>
      <c r="S2297" s="294"/>
      <c r="T2297" s="299"/>
      <c r="U2297" s="294"/>
      <c r="V2297" s="299"/>
      <c r="W2297" s="299"/>
      <c r="X2297" s="294"/>
      <c r="Y2297" s="299"/>
      <c r="Z2297" s="294"/>
      <c r="AA2297" s="299"/>
      <c r="AB2297" s="299"/>
      <c r="AC2297" s="294"/>
      <c r="AD2297" s="294"/>
      <c r="AE2297" s="294"/>
      <c r="AF2297" s="294"/>
    </row>
    <row r="2298" spans="2:32" x14ac:dyDescent="0.25">
      <c r="B2298" s="294"/>
      <c r="C2298" s="294"/>
      <c r="D2298" s="294"/>
      <c r="E2298" s="294"/>
      <c r="F2298" s="294"/>
      <c r="G2298" s="294"/>
      <c r="H2298" s="294"/>
      <c r="I2298" s="294"/>
      <c r="J2298" s="294"/>
      <c r="L2298" s="295"/>
      <c r="M2298" s="294"/>
      <c r="S2298" s="294"/>
      <c r="T2298" s="299"/>
      <c r="U2298" s="294"/>
      <c r="V2298" s="299"/>
      <c r="W2298" s="299"/>
      <c r="X2298" s="294"/>
      <c r="Y2298" s="299"/>
      <c r="Z2298" s="294"/>
      <c r="AA2298" s="299"/>
      <c r="AB2298" s="299"/>
      <c r="AC2298" s="294"/>
      <c r="AD2298" s="294"/>
      <c r="AE2298" s="294"/>
      <c r="AF2298" s="294"/>
    </row>
    <row r="2299" spans="2:32" x14ac:dyDescent="0.25">
      <c r="B2299" s="294"/>
      <c r="C2299" s="294"/>
      <c r="D2299" s="294"/>
      <c r="E2299" s="294"/>
      <c r="F2299" s="294"/>
      <c r="G2299" s="294"/>
      <c r="H2299" s="294"/>
      <c r="I2299" s="294"/>
      <c r="J2299" s="294"/>
      <c r="L2299" s="295"/>
      <c r="M2299" s="294"/>
      <c r="S2299" s="294"/>
      <c r="T2299" s="299"/>
      <c r="U2299" s="294"/>
      <c r="V2299" s="299"/>
      <c r="W2299" s="299"/>
      <c r="X2299" s="294"/>
      <c r="Y2299" s="299"/>
      <c r="Z2299" s="294"/>
      <c r="AA2299" s="299"/>
      <c r="AB2299" s="299"/>
      <c r="AC2299" s="294"/>
      <c r="AD2299" s="294"/>
      <c r="AE2299" s="294"/>
      <c r="AF2299" s="294"/>
    </row>
    <row r="2300" spans="2:32" x14ac:dyDescent="0.25">
      <c r="B2300" s="294"/>
      <c r="C2300" s="294"/>
      <c r="D2300" s="294"/>
      <c r="E2300" s="294"/>
      <c r="F2300" s="294"/>
      <c r="G2300" s="294"/>
      <c r="H2300" s="294"/>
      <c r="I2300" s="294"/>
      <c r="J2300" s="294"/>
      <c r="L2300" s="295"/>
      <c r="M2300" s="294"/>
      <c r="S2300" s="294"/>
      <c r="T2300" s="299"/>
      <c r="U2300" s="294"/>
      <c r="V2300" s="299"/>
      <c r="W2300" s="299"/>
      <c r="X2300" s="294"/>
      <c r="Y2300" s="299"/>
      <c r="Z2300" s="294"/>
      <c r="AA2300" s="299"/>
      <c r="AB2300" s="299"/>
      <c r="AC2300" s="294"/>
      <c r="AD2300" s="294"/>
      <c r="AE2300" s="294"/>
      <c r="AF2300" s="294"/>
    </row>
    <row r="2301" spans="2:32" x14ac:dyDescent="0.25">
      <c r="B2301" s="294"/>
      <c r="C2301" s="294"/>
      <c r="D2301" s="294"/>
      <c r="E2301" s="294"/>
      <c r="F2301" s="294"/>
      <c r="G2301" s="294"/>
      <c r="H2301" s="294"/>
      <c r="I2301" s="294"/>
      <c r="J2301" s="294"/>
      <c r="L2301" s="295"/>
      <c r="M2301" s="294"/>
      <c r="S2301" s="294"/>
      <c r="T2301" s="299"/>
      <c r="U2301" s="294"/>
      <c r="V2301" s="299"/>
      <c r="W2301" s="299"/>
      <c r="X2301" s="294"/>
      <c r="Y2301" s="299"/>
      <c r="Z2301" s="294"/>
      <c r="AA2301" s="299"/>
      <c r="AB2301" s="299"/>
      <c r="AC2301" s="294"/>
      <c r="AD2301" s="294"/>
      <c r="AE2301" s="294"/>
      <c r="AF2301" s="294"/>
    </row>
    <row r="2302" spans="2:32" x14ac:dyDescent="0.25">
      <c r="B2302" s="294"/>
      <c r="C2302" s="294"/>
      <c r="D2302" s="294"/>
      <c r="E2302" s="294"/>
      <c r="F2302" s="294"/>
      <c r="G2302" s="294"/>
      <c r="H2302" s="294"/>
      <c r="I2302" s="294"/>
      <c r="J2302" s="294"/>
      <c r="L2302" s="295"/>
      <c r="M2302" s="294"/>
      <c r="S2302" s="294"/>
      <c r="T2302" s="299"/>
      <c r="U2302" s="294"/>
      <c r="V2302" s="299"/>
      <c r="W2302" s="299"/>
      <c r="X2302" s="294"/>
      <c r="Y2302" s="299"/>
      <c r="Z2302" s="294"/>
      <c r="AA2302" s="299"/>
      <c r="AB2302" s="299"/>
      <c r="AC2302" s="294"/>
      <c r="AD2302" s="294"/>
      <c r="AE2302" s="294"/>
      <c r="AF2302" s="294"/>
    </row>
    <row r="2303" spans="2:32" x14ac:dyDescent="0.25">
      <c r="B2303" s="294"/>
      <c r="C2303" s="294"/>
      <c r="D2303" s="294"/>
      <c r="E2303" s="294"/>
      <c r="F2303" s="294"/>
      <c r="G2303" s="294"/>
      <c r="H2303" s="294"/>
      <c r="I2303" s="294"/>
      <c r="J2303" s="294"/>
      <c r="L2303" s="295"/>
      <c r="M2303" s="294"/>
      <c r="S2303" s="294"/>
      <c r="T2303" s="299"/>
      <c r="U2303" s="294"/>
      <c r="V2303" s="299"/>
      <c r="W2303" s="299"/>
      <c r="X2303" s="294"/>
      <c r="Y2303" s="299"/>
      <c r="Z2303" s="294"/>
      <c r="AA2303" s="299"/>
      <c r="AB2303" s="299"/>
      <c r="AC2303" s="294"/>
      <c r="AD2303" s="294"/>
      <c r="AE2303" s="294"/>
      <c r="AF2303" s="294"/>
    </row>
    <row r="2304" spans="2:32" x14ac:dyDescent="0.25">
      <c r="B2304" s="294"/>
      <c r="C2304" s="294"/>
      <c r="D2304" s="294"/>
      <c r="E2304" s="294"/>
      <c r="F2304" s="294"/>
      <c r="G2304" s="294"/>
      <c r="H2304" s="294"/>
      <c r="I2304" s="294"/>
      <c r="J2304" s="294"/>
      <c r="L2304" s="295"/>
      <c r="M2304" s="294"/>
      <c r="S2304" s="294"/>
      <c r="T2304" s="299"/>
      <c r="U2304" s="294"/>
      <c r="V2304" s="299"/>
      <c r="W2304" s="299"/>
      <c r="X2304" s="294"/>
      <c r="Y2304" s="299"/>
      <c r="Z2304" s="294"/>
      <c r="AA2304" s="299"/>
      <c r="AB2304" s="299"/>
      <c r="AC2304" s="294"/>
      <c r="AD2304" s="294"/>
      <c r="AE2304" s="294"/>
      <c r="AF2304" s="294"/>
    </row>
    <row r="2305" spans="2:32" x14ac:dyDescent="0.25">
      <c r="B2305" s="294"/>
      <c r="C2305" s="294"/>
      <c r="D2305" s="294"/>
      <c r="E2305" s="294"/>
      <c r="F2305" s="294"/>
      <c r="G2305" s="294"/>
      <c r="H2305" s="294"/>
      <c r="I2305" s="294"/>
      <c r="J2305" s="294"/>
      <c r="L2305" s="295"/>
      <c r="M2305" s="294"/>
      <c r="S2305" s="294"/>
      <c r="T2305" s="299"/>
      <c r="U2305" s="294"/>
      <c r="V2305" s="299"/>
      <c r="W2305" s="299"/>
      <c r="X2305" s="294"/>
      <c r="Y2305" s="299"/>
      <c r="Z2305" s="294"/>
      <c r="AA2305" s="299"/>
      <c r="AB2305" s="299"/>
      <c r="AC2305" s="294"/>
      <c r="AD2305" s="294"/>
      <c r="AE2305" s="294"/>
      <c r="AF2305" s="294"/>
    </row>
    <row r="2306" spans="2:32" x14ac:dyDescent="0.25">
      <c r="B2306" s="294"/>
      <c r="C2306" s="294"/>
      <c r="D2306" s="294"/>
      <c r="E2306" s="294"/>
      <c r="F2306" s="294"/>
      <c r="G2306" s="294"/>
      <c r="H2306" s="294"/>
      <c r="I2306" s="294"/>
      <c r="J2306" s="294"/>
      <c r="L2306" s="295"/>
      <c r="M2306" s="294"/>
      <c r="S2306" s="294"/>
      <c r="T2306" s="299"/>
      <c r="U2306" s="294"/>
      <c r="V2306" s="299"/>
      <c r="W2306" s="299"/>
      <c r="X2306" s="294"/>
      <c r="Y2306" s="299"/>
      <c r="Z2306" s="294"/>
      <c r="AA2306" s="299"/>
      <c r="AB2306" s="299"/>
      <c r="AC2306" s="294"/>
      <c r="AD2306" s="294"/>
      <c r="AE2306" s="294"/>
      <c r="AF2306" s="294"/>
    </row>
    <row r="2307" spans="2:32" x14ac:dyDescent="0.25">
      <c r="B2307" s="294"/>
      <c r="C2307" s="294"/>
      <c r="D2307" s="294"/>
      <c r="E2307" s="294"/>
      <c r="F2307" s="294"/>
      <c r="G2307" s="294"/>
      <c r="H2307" s="294"/>
      <c r="I2307" s="294"/>
      <c r="J2307" s="294"/>
      <c r="L2307" s="295"/>
      <c r="M2307" s="294"/>
      <c r="S2307" s="294"/>
      <c r="T2307" s="299"/>
      <c r="U2307" s="294"/>
      <c r="V2307" s="299"/>
      <c r="W2307" s="299"/>
      <c r="X2307" s="294"/>
      <c r="Y2307" s="299"/>
      <c r="Z2307" s="294"/>
      <c r="AA2307" s="299"/>
      <c r="AB2307" s="299"/>
      <c r="AC2307" s="294"/>
      <c r="AD2307" s="294"/>
      <c r="AE2307" s="294"/>
      <c r="AF2307" s="294"/>
    </row>
    <row r="2308" spans="2:32" x14ac:dyDescent="0.25">
      <c r="B2308" s="294"/>
      <c r="C2308" s="294"/>
      <c r="D2308" s="294"/>
      <c r="E2308" s="294"/>
      <c r="F2308" s="294"/>
      <c r="G2308" s="294"/>
      <c r="H2308" s="294"/>
      <c r="I2308" s="294"/>
      <c r="J2308" s="294"/>
      <c r="L2308" s="295"/>
      <c r="M2308" s="294"/>
      <c r="S2308" s="294"/>
      <c r="T2308" s="299"/>
      <c r="U2308" s="294"/>
      <c r="V2308" s="299"/>
      <c r="W2308" s="299"/>
      <c r="X2308" s="294"/>
      <c r="Y2308" s="299"/>
      <c r="Z2308" s="294"/>
      <c r="AA2308" s="299"/>
      <c r="AB2308" s="299"/>
      <c r="AC2308" s="294"/>
      <c r="AD2308" s="294"/>
      <c r="AE2308" s="294"/>
      <c r="AF2308" s="294"/>
    </row>
    <row r="2309" spans="2:32" x14ac:dyDescent="0.25">
      <c r="B2309" s="294"/>
      <c r="C2309" s="294"/>
      <c r="D2309" s="294"/>
      <c r="E2309" s="294"/>
      <c r="F2309" s="294"/>
      <c r="G2309" s="294"/>
      <c r="H2309" s="294"/>
      <c r="I2309" s="294"/>
      <c r="J2309" s="294"/>
      <c r="L2309" s="295"/>
      <c r="M2309" s="294"/>
      <c r="S2309" s="294"/>
      <c r="T2309" s="299"/>
      <c r="U2309" s="294"/>
      <c r="V2309" s="299"/>
      <c r="W2309" s="299"/>
      <c r="X2309" s="294"/>
      <c r="Y2309" s="299"/>
      <c r="Z2309" s="294"/>
      <c r="AA2309" s="299"/>
      <c r="AB2309" s="299"/>
      <c r="AC2309" s="294"/>
      <c r="AD2309" s="294"/>
      <c r="AE2309" s="294"/>
      <c r="AF2309" s="294"/>
    </row>
    <row r="2310" spans="2:32" x14ac:dyDescent="0.25">
      <c r="B2310" s="294"/>
      <c r="C2310" s="294"/>
      <c r="D2310" s="294"/>
      <c r="E2310" s="294"/>
      <c r="F2310" s="294"/>
      <c r="G2310" s="294"/>
      <c r="H2310" s="294"/>
      <c r="I2310" s="294"/>
      <c r="J2310" s="294"/>
      <c r="L2310" s="295"/>
      <c r="M2310" s="294"/>
      <c r="S2310" s="294"/>
      <c r="T2310" s="299"/>
      <c r="U2310" s="294"/>
      <c r="V2310" s="299"/>
      <c r="W2310" s="299"/>
      <c r="X2310" s="294"/>
      <c r="Y2310" s="299"/>
      <c r="Z2310" s="294"/>
      <c r="AA2310" s="299"/>
      <c r="AB2310" s="299"/>
      <c r="AC2310" s="294"/>
      <c r="AD2310" s="294"/>
      <c r="AE2310" s="294"/>
      <c r="AF2310" s="294"/>
    </row>
    <row r="2311" spans="2:32" x14ac:dyDescent="0.25">
      <c r="B2311" s="294"/>
      <c r="C2311" s="294"/>
      <c r="D2311" s="294"/>
      <c r="E2311" s="294"/>
      <c r="F2311" s="294"/>
      <c r="G2311" s="294"/>
      <c r="H2311" s="294"/>
      <c r="I2311" s="294"/>
      <c r="J2311" s="294"/>
      <c r="L2311" s="295"/>
      <c r="M2311" s="294"/>
      <c r="S2311" s="294"/>
      <c r="T2311" s="299"/>
      <c r="U2311" s="294"/>
      <c r="V2311" s="299"/>
      <c r="W2311" s="299"/>
      <c r="X2311" s="294"/>
      <c r="Y2311" s="299"/>
      <c r="Z2311" s="294"/>
      <c r="AA2311" s="299"/>
      <c r="AB2311" s="299"/>
      <c r="AC2311" s="294"/>
      <c r="AD2311" s="294"/>
      <c r="AE2311" s="294"/>
      <c r="AF2311" s="294"/>
    </row>
    <row r="2312" spans="2:32" x14ac:dyDescent="0.25">
      <c r="B2312" s="294"/>
      <c r="C2312" s="294"/>
      <c r="D2312" s="294"/>
      <c r="E2312" s="294"/>
      <c r="F2312" s="294"/>
      <c r="G2312" s="294"/>
      <c r="H2312" s="294"/>
      <c r="I2312" s="294"/>
      <c r="J2312" s="294"/>
      <c r="L2312" s="295"/>
      <c r="M2312" s="294"/>
      <c r="S2312" s="294"/>
      <c r="T2312" s="299"/>
      <c r="U2312" s="294"/>
      <c r="V2312" s="299"/>
      <c r="W2312" s="299"/>
      <c r="X2312" s="294"/>
      <c r="Y2312" s="299"/>
      <c r="Z2312" s="294"/>
      <c r="AA2312" s="299"/>
      <c r="AB2312" s="299"/>
      <c r="AC2312" s="294"/>
      <c r="AD2312" s="294"/>
      <c r="AE2312" s="294"/>
      <c r="AF2312" s="294"/>
    </row>
    <row r="2313" spans="2:32" x14ac:dyDescent="0.25">
      <c r="B2313" s="294"/>
      <c r="C2313" s="294"/>
      <c r="D2313" s="294"/>
      <c r="E2313" s="294"/>
      <c r="F2313" s="294"/>
      <c r="G2313" s="294"/>
      <c r="H2313" s="294"/>
      <c r="I2313" s="294"/>
      <c r="J2313" s="294"/>
      <c r="L2313" s="295"/>
      <c r="M2313" s="294"/>
      <c r="S2313" s="294"/>
      <c r="T2313" s="299"/>
      <c r="U2313" s="294"/>
      <c r="V2313" s="299"/>
      <c r="W2313" s="299"/>
      <c r="X2313" s="294"/>
      <c r="Y2313" s="299"/>
      <c r="Z2313" s="294"/>
      <c r="AA2313" s="299"/>
      <c r="AB2313" s="299"/>
      <c r="AC2313" s="294"/>
      <c r="AD2313" s="294"/>
      <c r="AE2313" s="294"/>
      <c r="AF2313" s="294"/>
    </row>
    <row r="2314" spans="2:32" x14ac:dyDescent="0.25">
      <c r="B2314" s="294"/>
      <c r="C2314" s="294"/>
      <c r="D2314" s="294"/>
      <c r="E2314" s="294"/>
      <c r="F2314" s="294"/>
      <c r="G2314" s="294"/>
      <c r="H2314" s="294"/>
      <c r="I2314" s="294"/>
      <c r="J2314" s="294"/>
      <c r="L2314" s="295"/>
      <c r="M2314" s="294"/>
      <c r="S2314" s="294"/>
      <c r="T2314" s="299"/>
      <c r="U2314" s="294"/>
      <c r="V2314" s="299"/>
      <c r="W2314" s="299"/>
      <c r="X2314" s="294"/>
      <c r="Y2314" s="299"/>
      <c r="Z2314" s="294"/>
      <c r="AA2314" s="299"/>
      <c r="AB2314" s="299"/>
      <c r="AC2314" s="294"/>
      <c r="AD2314" s="294"/>
      <c r="AE2314" s="294"/>
      <c r="AF2314" s="294"/>
    </row>
    <row r="2315" spans="2:32" x14ac:dyDescent="0.25">
      <c r="B2315" s="294"/>
      <c r="C2315" s="294"/>
      <c r="D2315" s="294"/>
      <c r="E2315" s="294"/>
      <c r="F2315" s="294"/>
      <c r="G2315" s="294"/>
      <c r="H2315" s="294"/>
      <c r="I2315" s="294"/>
      <c r="J2315" s="294"/>
      <c r="L2315" s="295"/>
      <c r="M2315" s="294"/>
      <c r="S2315" s="294"/>
      <c r="T2315" s="299"/>
      <c r="U2315" s="294"/>
      <c r="V2315" s="299"/>
      <c r="W2315" s="299"/>
      <c r="X2315" s="294"/>
      <c r="Y2315" s="299"/>
      <c r="Z2315" s="294"/>
      <c r="AA2315" s="299"/>
      <c r="AB2315" s="299"/>
      <c r="AC2315" s="294"/>
      <c r="AD2315" s="294"/>
      <c r="AE2315" s="294"/>
      <c r="AF2315" s="294"/>
    </row>
    <row r="2316" spans="2:32" x14ac:dyDescent="0.25">
      <c r="B2316" s="294"/>
      <c r="C2316" s="294"/>
      <c r="D2316" s="294"/>
      <c r="E2316" s="294"/>
      <c r="F2316" s="294"/>
      <c r="G2316" s="294"/>
      <c r="H2316" s="294"/>
      <c r="I2316" s="294"/>
      <c r="J2316" s="294"/>
      <c r="L2316" s="295"/>
      <c r="M2316" s="294"/>
      <c r="S2316" s="294"/>
      <c r="T2316" s="299"/>
      <c r="U2316" s="294"/>
      <c r="V2316" s="299"/>
      <c r="W2316" s="299"/>
      <c r="X2316" s="294"/>
      <c r="Y2316" s="299"/>
      <c r="Z2316" s="294"/>
      <c r="AA2316" s="299"/>
      <c r="AB2316" s="299"/>
      <c r="AC2316" s="294"/>
      <c r="AD2316" s="294"/>
      <c r="AE2316" s="294"/>
      <c r="AF2316" s="294"/>
    </row>
    <row r="2317" spans="2:32" x14ac:dyDescent="0.25">
      <c r="B2317" s="294"/>
      <c r="C2317" s="294"/>
      <c r="D2317" s="294"/>
      <c r="E2317" s="294"/>
      <c r="F2317" s="294"/>
      <c r="G2317" s="294"/>
      <c r="H2317" s="294"/>
      <c r="I2317" s="294"/>
      <c r="J2317" s="294"/>
      <c r="L2317" s="295"/>
      <c r="M2317" s="294"/>
      <c r="S2317" s="294"/>
      <c r="T2317" s="299"/>
      <c r="U2317" s="294"/>
      <c r="V2317" s="299"/>
      <c r="W2317" s="299"/>
      <c r="X2317" s="294"/>
      <c r="Y2317" s="299"/>
      <c r="Z2317" s="294"/>
      <c r="AA2317" s="299"/>
      <c r="AB2317" s="299"/>
      <c r="AC2317" s="294"/>
      <c r="AD2317" s="294"/>
      <c r="AE2317" s="294"/>
      <c r="AF2317" s="294"/>
    </row>
    <row r="2318" spans="2:32" x14ac:dyDescent="0.25">
      <c r="B2318" s="294"/>
      <c r="C2318" s="294"/>
      <c r="D2318" s="294"/>
      <c r="E2318" s="294"/>
      <c r="F2318" s="294"/>
      <c r="G2318" s="294"/>
      <c r="H2318" s="294"/>
      <c r="I2318" s="294"/>
      <c r="J2318" s="294"/>
      <c r="L2318" s="295"/>
      <c r="M2318" s="294"/>
      <c r="S2318" s="294"/>
      <c r="T2318" s="299"/>
      <c r="U2318" s="294"/>
      <c r="V2318" s="299"/>
      <c r="W2318" s="299"/>
      <c r="X2318" s="294"/>
      <c r="Y2318" s="299"/>
      <c r="Z2318" s="294"/>
      <c r="AA2318" s="299"/>
      <c r="AB2318" s="299"/>
      <c r="AC2318" s="294"/>
      <c r="AD2318" s="294"/>
      <c r="AE2318" s="294"/>
      <c r="AF2318" s="294"/>
    </row>
    <row r="2319" spans="2:32" x14ac:dyDescent="0.25">
      <c r="B2319" s="294"/>
      <c r="C2319" s="294"/>
      <c r="D2319" s="294"/>
      <c r="E2319" s="294"/>
      <c r="F2319" s="294"/>
      <c r="G2319" s="294"/>
      <c r="H2319" s="294"/>
      <c r="I2319" s="294"/>
      <c r="J2319" s="294"/>
      <c r="L2319" s="295"/>
      <c r="M2319" s="294"/>
      <c r="S2319" s="294"/>
      <c r="T2319" s="299"/>
      <c r="U2319" s="294"/>
      <c r="V2319" s="299"/>
      <c r="W2319" s="299"/>
      <c r="X2319" s="294"/>
      <c r="Y2319" s="299"/>
      <c r="Z2319" s="294"/>
      <c r="AA2319" s="299"/>
      <c r="AB2319" s="299"/>
      <c r="AC2319" s="294"/>
      <c r="AD2319" s="294"/>
      <c r="AE2319" s="294"/>
      <c r="AF2319" s="294"/>
    </row>
    <row r="2320" spans="2:32" x14ac:dyDescent="0.25">
      <c r="B2320" s="294"/>
      <c r="C2320" s="294"/>
      <c r="D2320" s="294"/>
      <c r="E2320" s="294"/>
      <c r="F2320" s="294"/>
      <c r="G2320" s="294"/>
      <c r="H2320" s="294"/>
      <c r="I2320" s="294"/>
      <c r="J2320" s="294"/>
      <c r="L2320" s="295"/>
      <c r="M2320" s="294"/>
      <c r="S2320" s="294"/>
      <c r="T2320" s="299"/>
      <c r="U2320" s="294"/>
      <c r="V2320" s="299"/>
      <c r="W2320" s="299"/>
      <c r="X2320" s="294"/>
      <c r="Y2320" s="299"/>
      <c r="Z2320" s="294"/>
      <c r="AA2320" s="299"/>
      <c r="AB2320" s="299"/>
      <c r="AC2320" s="294"/>
      <c r="AD2320" s="294"/>
      <c r="AE2320" s="294"/>
      <c r="AF2320" s="294"/>
    </row>
    <row r="2321" spans="2:32" x14ac:dyDescent="0.25">
      <c r="B2321" s="294"/>
      <c r="C2321" s="294"/>
      <c r="D2321" s="294"/>
      <c r="E2321" s="294"/>
      <c r="F2321" s="294"/>
      <c r="G2321" s="294"/>
      <c r="H2321" s="294"/>
      <c r="I2321" s="294"/>
      <c r="J2321" s="294"/>
      <c r="L2321" s="295"/>
      <c r="M2321" s="294"/>
      <c r="S2321" s="294"/>
      <c r="T2321" s="299"/>
      <c r="U2321" s="294"/>
      <c r="V2321" s="299"/>
      <c r="W2321" s="299"/>
      <c r="X2321" s="294"/>
      <c r="Y2321" s="299"/>
      <c r="Z2321" s="294"/>
      <c r="AA2321" s="299"/>
      <c r="AB2321" s="299"/>
      <c r="AC2321" s="294"/>
      <c r="AD2321" s="294"/>
      <c r="AE2321" s="294"/>
      <c r="AF2321" s="294"/>
    </row>
    <row r="2322" spans="2:32" x14ac:dyDescent="0.25">
      <c r="B2322" s="294"/>
      <c r="C2322" s="294"/>
      <c r="D2322" s="294"/>
      <c r="E2322" s="294"/>
      <c r="F2322" s="294"/>
      <c r="G2322" s="294"/>
      <c r="H2322" s="294"/>
      <c r="I2322" s="294"/>
      <c r="J2322" s="294"/>
      <c r="L2322" s="295"/>
      <c r="M2322" s="294"/>
      <c r="S2322" s="294"/>
      <c r="T2322" s="299"/>
      <c r="U2322" s="294"/>
      <c r="V2322" s="299"/>
      <c r="W2322" s="299"/>
      <c r="X2322" s="294"/>
      <c r="Y2322" s="299"/>
      <c r="Z2322" s="294"/>
      <c r="AA2322" s="299"/>
      <c r="AB2322" s="299"/>
      <c r="AC2322" s="294"/>
      <c r="AD2322" s="294"/>
      <c r="AE2322" s="294"/>
      <c r="AF2322" s="294"/>
    </row>
    <row r="2323" spans="2:32" x14ac:dyDescent="0.25">
      <c r="B2323" s="294"/>
      <c r="C2323" s="294"/>
      <c r="D2323" s="294"/>
      <c r="E2323" s="294"/>
      <c r="F2323" s="294"/>
      <c r="G2323" s="294"/>
      <c r="H2323" s="294"/>
      <c r="I2323" s="294"/>
      <c r="J2323" s="294"/>
      <c r="L2323" s="295"/>
      <c r="M2323" s="294"/>
      <c r="S2323" s="294"/>
      <c r="T2323" s="299"/>
      <c r="U2323" s="294"/>
      <c r="V2323" s="299"/>
      <c r="W2323" s="299"/>
      <c r="X2323" s="294"/>
      <c r="Y2323" s="299"/>
      <c r="Z2323" s="294"/>
      <c r="AA2323" s="299"/>
      <c r="AB2323" s="299"/>
      <c r="AC2323" s="294"/>
      <c r="AD2323" s="294"/>
      <c r="AE2323" s="294"/>
      <c r="AF2323" s="294"/>
    </row>
    <row r="2324" spans="2:32" x14ac:dyDescent="0.25">
      <c r="B2324" s="294"/>
      <c r="C2324" s="294"/>
      <c r="D2324" s="294"/>
      <c r="E2324" s="294"/>
      <c r="F2324" s="294"/>
      <c r="G2324" s="294"/>
      <c r="H2324" s="294"/>
      <c r="I2324" s="294"/>
      <c r="J2324" s="294"/>
      <c r="L2324" s="295"/>
      <c r="M2324" s="294"/>
      <c r="S2324" s="294"/>
      <c r="T2324" s="299"/>
      <c r="U2324" s="294"/>
      <c r="V2324" s="299"/>
      <c r="W2324" s="299"/>
      <c r="X2324" s="294"/>
      <c r="Y2324" s="299"/>
      <c r="Z2324" s="294"/>
      <c r="AA2324" s="299"/>
      <c r="AB2324" s="299"/>
      <c r="AC2324" s="294"/>
      <c r="AD2324" s="294"/>
      <c r="AE2324" s="294"/>
      <c r="AF2324" s="294"/>
    </row>
    <row r="2325" spans="2:32" x14ac:dyDescent="0.25">
      <c r="B2325" s="294"/>
      <c r="C2325" s="294"/>
      <c r="D2325" s="294"/>
      <c r="E2325" s="294"/>
      <c r="F2325" s="294"/>
      <c r="G2325" s="294"/>
      <c r="H2325" s="294"/>
      <c r="I2325" s="294"/>
      <c r="J2325" s="294"/>
      <c r="L2325" s="295"/>
      <c r="M2325" s="294"/>
      <c r="S2325" s="294"/>
      <c r="T2325" s="299"/>
      <c r="U2325" s="294"/>
      <c r="V2325" s="299"/>
      <c r="W2325" s="299"/>
      <c r="X2325" s="294"/>
      <c r="Y2325" s="299"/>
      <c r="Z2325" s="294"/>
      <c r="AA2325" s="299"/>
      <c r="AB2325" s="299"/>
      <c r="AC2325" s="294"/>
      <c r="AD2325" s="294"/>
      <c r="AE2325" s="294"/>
      <c r="AF2325" s="294"/>
    </row>
    <row r="2326" spans="2:32" x14ac:dyDescent="0.25">
      <c r="B2326" s="294"/>
      <c r="C2326" s="294"/>
      <c r="D2326" s="294"/>
      <c r="E2326" s="294"/>
      <c r="F2326" s="294"/>
      <c r="G2326" s="294"/>
      <c r="H2326" s="294"/>
      <c r="I2326" s="294"/>
      <c r="J2326" s="294"/>
      <c r="L2326" s="295"/>
      <c r="M2326" s="294"/>
      <c r="S2326" s="294"/>
      <c r="T2326" s="299"/>
      <c r="U2326" s="294"/>
      <c r="V2326" s="299"/>
      <c r="W2326" s="299"/>
      <c r="X2326" s="294"/>
      <c r="Y2326" s="299"/>
      <c r="Z2326" s="294"/>
      <c r="AA2326" s="299"/>
      <c r="AB2326" s="299"/>
      <c r="AC2326" s="294"/>
      <c r="AD2326" s="294"/>
      <c r="AE2326" s="294"/>
      <c r="AF2326" s="294"/>
    </row>
    <row r="2327" spans="2:32" x14ac:dyDescent="0.25">
      <c r="B2327" s="294"/>
      <c r="C2327" s="294"/>
      <c r="D2327" s="294"/>
      <c r="E2327" s="294"/>
      <c r="F2327" s="294"/>
      <c r="G2327" s="294"/>
      <c r="H2327" s="294"/>
      <c r="I2327" s="294"/>
      <c r="J2327" s="294"/>
      <c r="L2327" s="295"/>
      <c r="M2327" s="294"/>
      <c r="S2327" s="294"/>
      <c r="T2327" s="299"/>
      <c r="U2327" s="294"/>
      <c r="V2327" s="299"/>
      <c r="W2327" s="299"/>
      <c r="X2327" s="294"/>
      <c r="Y2327" s="299"/>
      <c r="Z2327" s="294"/>
      <c r="AA2327" s="299"/>
      <c r="AB2327" s="299"/>
      <c r="AC2327" s="294"/>
      <c r="AD2327" s="294"/>
      <c r="AE2327" s="294"/>
      <c r="AF2327" s="294"/>
    </row>
    <row r="2328" spans="2:32" x14ac:dyDescent="0.25">
      <c r="B2328" s="294"/>
      <c r="C2328" s="294"/>
      <c r="D2328" s="294"/>
      <c r="E2328" s="294"/>
      <c r="F2328" s="294"/>
      <c r="G2328" s="294"/>
      <c r="H2328" s="294"/>
      <c r="I2328" s="294"/>
      <c r="J2328" s="294"/>
      <c r="L2328" s="295"/>
      <c r="M2328" s="294"/>
      <c r="S2328" s="294"/>
      <c r="T2328" s="299"/>
      <c r="U2328" s="294"/>
      <c r="V2328" s="299"/>
      <c r="W2328" s="299"/>
      <c r="X2328" s="294"/>
      <c r="Y2328" s="299"/>
      <c r="Z2328" s="294"/>
      <c r="AA2328" s="299"/>
      <c r="AB2328" s="299"/>
      <c r="AC2328" s="294"/>
      <c r="AD2328" s="294"/>
      <c r="AE2328" s="294"/>
      <c r="AF2328" s="294"/>
    </row>
    <row r="2329" spans="2:32" x14ac:dyDescent="0.25">
      <c r="B2329" s="294"/>
      <c r="C2329" s="294"/>
      <c r="D2329" s="294"/>
      <c r="E2329" s="294"/>
      <c r="F2329" s="294"/>
      <c r="G2329" s="294"/>
      <c r="H2329" s="294"/>
      <c r="I2329" s="294"/>
      <c r="J2329" s="294"/>
      <c r="L2329" s="295"/>
      <c r="M2329" s="294"/>
      <c r="S2329" s="294"/>
      <c r="T2329" s="299"/>
      <c r="U2329" s="294"/>
      <c r="V2329" s="299"/>
      <c r="W2329" s="299"/>
      <c r="X2329" s="294"/>
      <c r="Y2329" s="299"/>
      <c r="Z2329" s="294"/>
      <c r="AA2329" s="299"/>
      <c r="AB2329" s="299"/>
      <c r="AC2329" s="294"/>
      <c r="AD2329" s="294"/>
      <c r="AE2329" s="294"/>
      <c r="AF2329" s="294"/>
    </row>
    <row r="2330" spans="2:32" x14ac:dyDescent="0.25">
      <c r="B2330" s="294"/>
      <c r="C2330" s="294"/>
      <c r="D2330" s="294"/>
      <c r="E2330" s="294"/>
      <c r="F2330" s="294"/>
      <c r="G2330" s="294"/>
      <c r="H2330" s="294"/>
      <c r="I2330" s="294"/>
      <c r="J2330" s="294"/>
      <c r="L2330" s="295"/>
      <c r="M2330" s="294"/>
      <c r="S2330" s="294"/>
      <c r="T2330" s="299"/>
      <c r="U2330" s="294"/>
      <c r="V2330" s="299"/>
      <c r="W2330" s="299"/>
      <c r="X2330" s="294"/>
      <c r="Y2330" s="299"/>
      <c r="Z2330" s="294"/>
      <c r="AA2330" s="299"/>
      <c r="AB2330" s="299"/>
      <c r="AC2330" s="294"/>
      <c r="AD2330" s="294"/>
      <c r="AE2330" s="294"/>
      <c r="AF2330" s="294"/>
    </row>
    <row r="2331" spans="2:32" x14ac:dyDescent="0.25">
      <c r="B2331" s="294"/>
      <c r="C2331" s="294"/>
      <c r="D2331" s="294"/>
      <c r="E2331" s="294"/>
      <c r="F2331" s="294"/>
      <c r="G2331" s="294"/>
      <c r="H2331" s="294"/>
      <c r="I2331" s="294"/>
      <c r="J2331" s="294"/>
      <c r="L2331" s="295"/>
      <c r="M2331" s="294"/>
      <c r="S2331" s="294"/>
      <c r="T2331" s="299"/>
      <c r="U2331" s="294"/>
      <c r="V2331" s="299"/>
      <c r="W2331" s="299"/>
      <c r="X2331" s="294"/>
      <c r="Y2331" s="299"/>
      <c r="Z2331" s="294"/>
      <c r="AA2331" s="299"/>
      <c r="AB2331" s="299"/>
      <c r="AC2331" s="294"/>
      <c r="AD2331" s="294"/>
      <c r="AE2331" s="294"/>
      <c r="AF2331" s="294"/>
    </row>
    <row r="2332" spans="2:32" x14ac:dyDescent="0.25">
      <c r="B2332" s="294"/>
      <c r="C2332" s="294"/>
      <c r="D2332" s="294"/>
      <c r="E2332" s="294"/>
      <c r="F2332" s="294"/>
      <c r="G2332" s="294"/>
      <c r="H2332" s="294"/>
      <c r="I2332" s="294"/>
      <c r="J2332" s="294"/>
      <c r="L2332" s="295"/>
      <c r="M2332" s="294"/>
      <c r="S2332" s="294"/>
      <c r="T2332" s="299"/>
      <c r="U2332" s="294"/>
      <c r="V2332" s="299"/>
      <c r="W2332" s="299"/>
      <c r="X2332" s="294"/>
      <c r="Y2332" s="299"/>
      <c r="Z2332" s="294"/>
      <c r="AA2332" s="299"/>
      <c r="AB2332" s="299"/>
      <c r="AC2332" s="294"/>
      <c r="AD2332" s="294"/>
      <c r="AE2332" s="294"/>
      <c r="AF2332" s="294"/>
    </row>
    <row r="2333" spans="2:32" x14ac:dyDescent="0.25">
      <c r="B2333" s="294"/>
      <c r="C2333" s="294"/>
      <c r="D2333" s="294"/>
      <c r="E2333" s="294"/>
      <c r="F2333" s="294"/>
      <c r="G2333" s="294"/>
      <c r="H2333" s="294"/>
      <c r="I2333" s="294"/>
      <c r="J2333" s="294"/>
      <c r="L2333" s="295"/>
      <c r="M2333" s="294"/>
      <c r="S2333" s="294"/>
      <c r="T2333" s="299"/>
      <c r="U2333" s="294"/>
      <c r="V2333" s="299"/>
      <c r="W2333" s="299"/>
      <c r="X2333" s="294"/>
      <c r="Y2333" s="299"/>
      <c r="Z2333" s="294"/>
      <c r="AA2333" s="299"/>
      <c r="AB2333" s="299"/>
      <c r="AC2333" s="294"/>
      <c r="AD2333" s="294"/>
      <c r="AE2333" s="294"/>
      <c r="AF2333" s="294"/>
    </row>
    <row r="2334" spans="2:32" x14ac:dyDescent="0.25">
      <c r="B2334" s="294"/>
      <c r="C2334" s="294"/>
      <c r="D2334" s="294"/>
      <c r="E2334" s="294"/>
      <c r="F2334" s="294"/>
      <c r="G2334" s="294"/>
      <c r="H2334" s="294"/>
      <c r="I2334" s="294"/>
      <c r="J2334" s="294"/>
      <c r="L2334" s="295"/>
      <c r="M2334" s="294"/>
      <c r="S2334" s="294"/>
      <c r="T2334" s="299"/>
      <c r="U2334" s="294"/>
      <c r="V2334" s="299"/>
      <c r="W2334" s="299"/>
      <c r="X2334" s="294"/>
      <c r="Y2334" s="299"/>
      <c r="Z2334" s="294"/>
      <c r="AA2334" s="299"/>
      <c r="AB2334" s="299"/>
      <c r="AC2334" s="294"/>
      <c r="AD2334" s="294"/>
      <c r="AE2334" s="294"/>
      <c r="AF2334" s="294"/>
    </row>
    <row r="2335" spans="2:32" x14ac:dyDescent="0.25">
      <c r="B2335" s="294"/>
      <c r="C2335" s="294"/>
      <c r="D2335" s="294"/>
      <c r="E2335" s="294"/>
      <c r="F2335" s="294"/>
      <c r="G2335" s="294"/>
      <c r="H2335" s="294"/>
      <c r="I2335" s="294"/>
      <c r="J2335" s="294"/>
      <c r="L2335" s="295"/>
      <c r="M2335" s="294"/>
      <c r="S2335" s="294"/>
      <c r="T2335" s="299"/>
      <c r="U2335" s="294"/>
      <c r="V2335" s="299"/>
      <c r="W2335" s="299"/>
      <c r="X2335" s="294"/>
      <c r="Y2335" s="299"/>
      <c r="Z2335" s="294"/>
      <c r="AA2335" s="299"/>
      <c r="AB2335" s="299"/>
      <c r="AC2335" s="294"/>
      <c r="AD2335" s="294"/>
      <c r="AE2335" s="294"/>
      <c r="AF2335" s="294"/>
    </row>
    <row r="2336" spans="2:32" x14ac:dyDescent="0.25">
      <c r="B2336" s="294"/>
      <c r="C2336" s="294"/>
      <c r="D2336" s="294"/>
      <c r="E2336" s="294"/>
      <c r="F2336" s="294"/>
      <c r="G2336" s="294"/>
      <c r="H2336" s="294"/>
      <c r="I2336" s="294"/>
      <c r="J2336" s="294"/>
      <c r="L2336" s="295"/>
      <c r="M2336" s="294"/>
      <c r="S2336" s="294"/>
      <c r="T2336" s="299"/>
      <c r="U2336" s="294"/>
      <c r="V2336" s="299"/>
      <c r="W2336" s="299"/>
      <c r="X2336" s="294"/>
      <c r="Y2336" s="299"/>
      <c r="Z2336" s="294"/>
      <c r="AA2336" s="299"/>
      <c r="AB2336" s="299"/>
      <c r="AC2336" s="294"/>
      <c r="AD2336" s="294"/>
      <c r="AE2336" s="294"/>
      <c r="AF2336" s="294"/>
    </row>
    <row r="2337" spans="2:32" x14ac:dyDescent="0.25">
      <c r="B2337" s="294"/>
      <c r="C2337" s="294"/>
      <c r="D2337" s="294"/>
      <c r="E2337" s="294"/>
      <c r="F2337" s="294"/>
      <c r="G2337" s="294"/>
      <c r="H2337" s="294"/>
      <c r="I2337" s="294"/>
      <c r="J2337" s="294"/>
      <c r="L2337" s="295"/>
      <c r="M2337" s="294"/>
      <c r="S2337" s="294"/>
      <c r="T2337" s="299"/>
      <c r="U2337" s="294"/>
      <c r="V2337" s="299"/>
      <c r="W2337" s="299"/>
      <c r="X2337" s="294"/>
      <c r="Y2337" s="299"/>
      <c r="Z2337" s="294"/>
      <c r="AA2337" s="299"/>
      <c r="AB2337" s="299"/>
      <c r="AC2337" s="294"/>
      <c r="AD2337" s="294"/>
      <c r="AE2337" s="294"/>
      <c r="AF2337" s="294"/>
    </row>
    <row r="2338" spans="2:32" x14ac:dyDescent="0.25">
      <c r="B2338" s="294"/>
      <c r="C2338" s="294"/>
      <c r="D2338" s="294"/>
      <c r="E2338" s="294"/>
      <c r="F2338" s="294"/>
      <c r="G2338" s="294"/>
      <c r="H2338" s="294"/>
      <c r="I2338" s="294"/>
      <c r="J2338" s="294"/>
      <c r="L2338" s="295"/>
      <c r="M2338" s="294"/>
      <c r="S2338" s="294"/>
      <c r="T2338" s="299"/>
      <c r="U2338" s="294"/>
      <c r="V2338" s="299"/>
      <c r="W2338" s="299"/>
      <c r="X2338" s="294"/>
      <c r="Y2338" s="299"/>
      <c r="Z2338" s="294"/>
      <c r="AA2338" s="299"/>
      <c r="AB2338" s="299"/>
      <c r="AC2338" s="294"/>
      <c r="AD2338" s="294"/>
      <c r="AE2338" s="294"/>
      <c r="AF2338" s="294"/>
    </row>
    <row r="2339" spans="2:32" x14ac:dyDescent="0.25">
      <c r="B2339" s="294"/>
      <c r="C2339" s="294"/>
      <c r="D2339" s="294"/>
      <c r="E2339" s="294"/>
      <c r="F2339" s="294"/>
      <c r="G2339" s="294"/>
      <c r="H2339" s="294"/>
      <c r="I2339" s="294"/>
      <c r="J2339" s="294"/>
      <c r="L2339" s="295"/>
      <c r="M2339" s="294"/>
      <c r="S2339" s="294"/>
      <c r="T2339" s="299"/>
      <c r="U2339" s="294"/>
      <c r="V2339" s="299"/>
      <c r="W2339" s="299"/>
      <c r="X2339" s="294"/>
      <c r="Y2339" s="299"/>
      <c r="Z2339" s="294"/>
      <c r="AA2339" s="299"/>
      <c r="AB2339" s="299"/>
      <c r="AC2339" s="294"/>
      <c r="AD2339" s="294"/>
      <c r="AE2339" s="294"/>
      <c r="AF2339" s="294"/>
    </row>
    <row r="2340" spans="2:32" x14ac:dyDescent="0.25">
      <c r="B2340" s="294"/>
      <c r="C2340" s="294"/>
      <c r="D2340" s="294"/>
      <c r="E2340" s="294"/>
      <c r="F2340" s="294"/>
      <c r="G2340" s="294"/>
      <c r="H2340" s="294"/>
      <c r="I2340" s="294"/>
      <c r="J2340" s="294"/>
      <c r="L2340" s="295"/>
      <c r="M2340" s="294"/>
      <c r="S2340" s="294"/>
      <c r="T2340" s="299"/>
      <c r="U2340" s="294"/>
      <c r="V2340" s="299"/>
      <c r="W2340" s="299"/>
      <c r="X2340" s="294"/>
      <c r="Y2340" s="299"/>
      <c r="Z2340" s="294"/>
      <c r="AA2340" s="299"/>
      <c r="AB2340" s="299"/>
      <c r="AC2340" s="294"/>
      <c r="AD2340" s="294"/>
      <c r="AE2340" s="294"/>
      <c r="AF2340" s="294"/>
    </row>
    <row r="2341" spans="2:32" x14ac:dyDescent="0.25">
      <c r="B2341" s="294"/>
      <c r="C2341" s="294"/>
      <c r="D2341" s="294"/>
      <c r="E2341" s="294"/>
      <c r="F2341" s="294"/>
      <c r="G2341" s="294"/>
      <c r="H2341" s="294"/>
      <c r="I2341" s="294"/>
      <c r="J2341" s="294"/>
      <c r="L2341" s="295"/>
      <c r="M2341" s="294"/>
      <c r="S2341" s="294"/>
      <c r="T2341" s="299"/>
      <c r="U2341" s="294"/>
      <c r="V2341" s="299"/>
      <c r="W2341" s="299"/>
      <c r="X2341" s="294"/>
      <c r="Y2341" s="299"/>
      <c r="Z2341" s="294"/>
      <c r="AA2341" s="299"/>
      <c r="AB2341" s="299"/>
      <c r="AC2341" s="294"/>
      <c r="AD2341" s="294"/>
      <c r="AE2341" s="294"/>
      <c r="AF2341" s="294"/>
    </row>
    <row r="2342" spans="2:32" x14ac:dyDescent="0.25">
      <c r="B2342" s="294"/>
      <c r="C2342" s="294"/>
      <c r="D2342" s="294"/>
      <c r="E2342" s="294"/>
      <c r="F2342" s="294"/>
      <c r="G2342" s="294"/>
      <c r="H2342" s="294"/>
      <c r="I2342" s="294"/>
      <c r="J2342" s="294"/>
      <c r="L2342" s="295"/>
      <c r="M2342" s="294"/>
      <c r="S2342" s="294"/>
      <c r="T2342" s="299"/>
      <c r="U2342" s="294"/>
      <c r="V2342" s="299"/>
      <c r="W2342" s="299"/>
      <c r="X2342" s="294"/>
      <c r="Y2342" s="299"/>
      <c r="Z2342" s="294"/>
      <c r="AA2342" s="299"/>
      <c r="AB2342" s="299"/>
      <c r="AC2342" s="294"/>
      <c r="AD2342" s="294"/>
      <c r="AE2342" s="294"/>
      <c r="AF2342" s="294"/>
    </row>
    <row r="2343" spans="2:32" x14ac:dyDescent="0.25">
      <c r="B2343" s="294"/>
      <c r="C2343" s="294"/>
      <c r="D2343" s="294"/>
      <c r="E2343" s="294"/>
      <c r="F2343" s="294"/>
      <c r="G2343" s="294"/>
      <c r="H2343" s="294"/>
      <c r="I2343" s="294"/>
      <c r="J2343" s="294"/>
      <c r="L2343" s="295"/>
      <c r="M2343" s="294"/>
      <c r="S2343" s="294"/>
      <c r="T2343" s="299"/>
      <c r="U2343" s="294"/>
      <c r="V2343" s="299"/>
      <c r="W2343" s="299"/>
      <c r="X2343" s="294"/>
      <c r="Y2343" s="299"/>
      <c r="Z2343" s="294"/>
      <c r="AA2343" s="299"/>
      <c r="AB2343" s="299"/>
      <c r="AC2343" s="294"/>
      <c r="AD2343" s="294"/>
      <c r="AE2343" s="294"/>
      <c r="AF2343" s="294"/>
    </row>
    <row r="2344" spans="2:32" x14ac:dyDescent="0.25">
      <c r="B2344" s="294"/>
      <c r="C2344" s="294"/>
      <c r="D2344" s="294"/>
      <c r="E2344" s="294"/>
      <c r="F2344" s="294"/>
      <c r="G2344" s="294"/>
      <c r="H2344" s="294"/>
      <c r="I2344" s="294"/>
      <c r="J2344" s="294"/>
      <c r="L2344" s="295"/>
      <c r="M2344" s="294"/>
      <c r="S2344" s="294"/>
      <c r="T2344" s="299"/>
      <c r="U2344" s="294"/>
      <c r="V2344" s="299"/>
      <c r="W2344" s="299"/>
      <c r="X2344" s="294"/>
      <c r="Y2344" s="299"/>
      <c r="Z2344" s="294"/>
      <c r="AA2344" s="299"/>
      <c r="AB2344" s="299"/>
      <c r="AC2344" s="294"/>
      <c r="AD2344" s="294"/>
      <c r="AE2344" s="294"/>
      <c r="AF2344" s="294"/>
    </row>
    <row r="2345" spans="2:32" x14ac:dyDescent="0.25">
      <c r="B2345" s="294"/>
      <c r="C2345" s="294"/>
      <c r="D2345" s="294"/>
      <c r="E2345" s="294"/>
      <c r="F2345" s="294"/>
      <c r="G2345" s="294"/>
      <c r="H2345" s="294"/>
      <c r="I2345" s="294"/>
      <c r="J2345" s="294"/>
      <c r="L2345" s="295"/>
      <c r="M2345" s="294"/>
      <c r="S2345" s="294"/>
      <c r="T2345" s="299"/>
      <c r="U2345" s="294"/>
      <c r="V2345" s="299"/>
      <c r="W2345" s="299"/>
      <c r="X2345" s="294"/>
      <c r="Y2345" s="299"/>
      <c r="Z2345" s="294"/>
      <c r="AA2345" s="299"/>
      <c r="AB2345" s="299"/>
      <c r="AC2345" s="294"/>
      <c r="AD2345" s="294"/>
      <c r="AE2345" s="294"/>
      <c r="AF2345" s="294"/>
    </row>
    <row r="2346" spans="2:32" x14ac:dyDescent="0.25">
      <c r="B2346" s="294"/>
      <c r="C2346" s="294"/>
      <c r="D2346" s="294"/>
      <c r="E2346" s="294"/>
      <c r="F2346" s="294"/>
      <c r="G2346" s="294"/>
      <c r="H2346" s="294"/>
      <c r="I2346" s="294"/>
      <c r="J2346" s="294"/>
      <c r="L2346" s="295"/>
      <c r="M2346" s="294"/>
      <c r="S2346" s="294"/>
      <c r="T2346" s="299"/>
      <c r="U2346" s="294"/>
      <c r="V2346" s="299"/>
      <c r="W2346" s="299"/>
      <c r="X2346" s="294"/>
      <c r="Y2346" s="299"/>
      <c r="Z2346" s="294"/>
      <c r="AA2346" s="299"/>
      <c r="AB2346" s="299"/>
      <c r="AC2346" s="294"/>
      <c r="AD2346" s="294"/>
      <c r="AE2346" s="294"/>
      <c r="AF2346" s="294"/>
    </row>
    <row r="2347" spans="2:32" x14ac:dyDescent="0.25">
      <c r="B2347" s="294"/>
      <c r="C2347" s="294"/>
      <c r="D2347" s="294"/>
      <c r="E2347" s="294"/>
      <c r="F2347" s="294"/>
      <c r="G2347" s="294"/>
      <c r="H2347" s="294"/>
      <c r="I2347" s="294"/>
      <c r="J2347" s="294"/>
      <c r="L2347" s="295"/>
      <c r="M2347" s="294"/>
      <c r="S2347" s="294"/>
      <c r="T2347" s="299"/>
      <c r="U2347" s="294"/>
      <c r="V2347" s="299"/>
      <c r="W2347" s="299"/>
      <c r="X2347" s="294"/>
      <c r="Y2347" s="299"/>
      <c r="Z2347" s="294"/>
      <c r="AA2347" s="299"/>
      <c r="AB2347" s="299"/>
      <c r="AC2347" s="294"/>
      <c r="AD2347" s="294"/>
      <c r="AE2347" s="294"/>
      <c r="AF2347" s="294"/>
    </row>
    <row r="2348" spans="2:32" x14ac:dyDescent="0.25">
      <c r="B2348" s="294"/>
      <c r="C2348" s="294"/>
      <c r="D2348" s="294"/>
      <c r="E2348" s="294"/>
      <c r="F2348" s="294"/>
      <c r="G2348" s="294"/>
      <c r="H2348" s="294"/>
      <c r="I2348" s="294"/>
      <c r="J2348" s="294"/>
      <c r="L2348" s="295"/>
      <c r="M2348" s="294"/>
      <c r="S2348" s="294"/>
      <c r="T2348" s="299"/>
      <c r="U2348" s="294"/>
      <c r="V2348" s="299"/>
      <c r="W2348" s="299"/>
      <c r="X2348" s="294"/>
      <c r="Y2348" s="299"/>
      <c r="Z2348" s="294"/>
      <c r="AA2348" s="299"/>
      <c r="AB2348" s="299"/>
      <c r="AC2348" s="294"/>
      <c r="AD2348" s="294"/>
      <c r="AE2348" s="294"/>
      <c r="AF2348" s="294"/>
    </row>
    <row r="2349" spans="2:32" x14ac:dyDescent="0.25">
      <c r="B2349" s="294"/>
      <c r="C2349" s="294"/>
      <c r="D2349" s="294"/>
      <c r="E2349" s="294"/>
      <c r="F2349" s="294"/>
      <c r="G2349" s="294"/>
      <c r="H2349" s="294"/>
      <c r="I2349" s="294"/>
      <c r="J2349" s="294"/>
      <c r="L2349" s="295"/>
      <c r="M2349" s="294"/>
      <c r="S2349" s="294"/>
      <c r="T2349" s="299"/>
      <c r="U2349" s="294"/>
      <c r="V2349" s="299"/>
      <c r="W2349" s="299"/>
      <c r="X2349" s="294"/>
      <c r="Y2349" s="299"/>
      <c r="Z2349" s="294"/>
      <c r="AA2349" s="299"/>
      <c r="AB2349" s="299"/>
      <c r="AC2349" s="294"/>
      <c r="AD2349" s="294"/>
      <c r="AE2349" s="294"/>
      <c r="AF2349" s="294"/>
    </row>
    <row r="2350" spans="2:32" x14ac:dyDescent="0.25">
      <c r="B2350" s="294"/>
      <c r="C2350" s="294"/>
      <c r="D2350" s="294"/>
      <c r="E2350" s="294"/>
      <c r="F2350" s="294"/>
      <c r="G2350" s="294"/>
      <c r="H2350" s="294"/>
      <c r="I2350" s="294"/>
      <c r="J2350" s="294"/>
      <c r="L2350" s="295"/>
      <c r="M2350" s="294"/>
      <c r="S2350" s="294"/>
      <c r="T2350" s="299"/>
      <c r="U2350" s="294"/>
      <c r="V2350" s="299"/>
      <c r="W2350" s="299"/>
      <c r="X2350" s="294"/>
      <c r="Y2350" s="299"/>
      <c r="Z2350" s="294"/>
      <c r="AA2350" s="299"/>
      <c r="AB2350" s="299"/>
      <c r="AC2350" s="294"/>
      <c r="AD2350" s="294"/>
      <c r="AE2350" s="294"/>
      <c r="AF2350" s="294"/>
    </row>
    <row r="2351" spans="2:32" x14ac:dyDescent="0.25">
      <c r="B2351" s="294"/>
      <c r="C2351" s="294"/>
      <c r="D2351" s="294"/>
      <c r="E2351" s="294"/>
      <c r="F2351" s="294"/>
      <c r="G2351" s="294"/>
      <c r="H2351" s="294"/>
      <c r="I2351" s="294"/>
      <c r="J2351" s="294"/>
      <c r="L2351" s="295"/>
      <c r="M2351" s="294"/>
      <c r="S2351" s="294"/>
      <c r="T2351" s="299"/>
      <c r="U2351" s="294"/>
      <c r="V2351" s="299"/>
      <c r="W2351" s="299"/>
      <c r="X2351" s="294"/>
      <c r="Y2351" s="299"/>
      <c r="Z2351" s="294"/>
      <c r="AA2351" s="299"/>
      <c r="AB2351" s="299"/>
      <c r="AC2351" s="294"/>
      <c r="AD2351" s="294"/>
      <c r="AE2351" s="294"/>
      <c r="AF2351" s="294"/>
    </row>
    <row r="2352" spans="2:32" x14ac:dyDescent="0.25">
      <c r="B2352" s="294"/>
      <c r="C2352" s="294"/>
      <c r="D2352" s="294"/>
      <c r="E2352" s="294"/>
      <c r="F2352" s="294"/>
      <c r="G2352" s="294"/>
      <c r="H2352" s="294"/>
      <c r="I2352" s="294"/>
      <c r="J2352" s="294"/>
      <c r="L2352" s="295"/>
      <c r="M2352" s="294"/>
      <c r="S2352" s="294"/>
      <c r="T2352" s="299"/>
      <c r="U2352" s="294"/>
      <c r="V2352" s="299"/>
      <c r="W2352" s="299"/>
      <c r="X2352" s="294"/>
      <c r="Y2352" s="299"/>
      <c r="Z2352" s="294"/>
      <c r="AA2352" s="299"/>
      <c r="AB2352" s="299"/>
      <c r="AC2352" s="294"/>
      <c r="AD2352" s="294"/>
      <c r="AE2352" s="294"/>
      <c r="AF2352" s="294"/>
    </row>
    <row r="2353" spans="2:32" x14ac:dyDescent="0.25">
      <c r="B2353" s="294"/>
      <c r="C2353" s="294"/>
      <c r="D2353" s="294"/>
      <c r="E2353" s="294"/>
      <c r="F2353" s="294"/>
      <c r="G2353" s="294"/>
      <c r="H2353" s="294"/>
      <c r="I2353" s="294"/>
      <c r="J2353" s="294"/>
      <c r="L2353" s="295"/>
      <c r="M2353" s="294"/>
      <c r="S2353" s="294"/>
      <c r="T2353" s="299"/>
      <c r="U2353" s="294"/>
      <c r="V2353" s="299"/>
      <c r="W2353" s="299"/>
      <c r="X2353" s="294"/>
      <c r="Y2353" s="299"/>
      <c r="Z2353" s="294"/>
      <c r="AA2353" s="299"/>
      <c r="AB2353" s="299"/>
      <c r="AC2353" s="294"/>
      <c r="AD2353" s="294"/>
      <c r="AE2353" s="294"/>
      <c r="AF2353" s="294"/>
    </row>
    <row r="2354" spans="2:32" x14ac:dyDescent="0.25">
      <c r="B2354" s="294"/>
      <c r="C2354" s="294"/>
      <c r="D2354" s="294"/>
      <c r="E2354" s="294"/>
      <c r="F2354" s="294"/>
      <c r="G2354" s="294"/>
      <c r="H2354" s="294"/>
      <c r="I2354" s="294"/>
      <c r="J2354" s="294"/>
      <c r="L2354" s="295"/>
      <c r="M2354" s="294"/>
      <c r="S2354" s="294"/>
      <c r="T2354" s="299"/>
      <c r="U2354" s="294"/>
      <c r="V2354" s="299"/>
      <c r="W2354" s="299"/>
      <c r="X2354" s="294"/>
      <c r="Y2354" s="299"/>
      <c r="Z2354" s="294"/>
      <c r="AA2354" s="299"/>
      <c r="AB2354" s="299"/>
      <c r="AC2354" s="294"/>
      <c r="AD2354" s="294"/>
      <c r="AE2354" s="294"/>
      <c r="AF2354" s="294"/>
    </row>
    <row r="2355" spans="2:32" x14ac:dyDescent="0.25">
      <c r="B2355" s="294"/>
      <c r="C2355" s="294"/>
      <c r="D2355" s="294"/>
      <c r="E2355" s="294"/>
      <c r="F2355" s="294"/>
      <c r="G2355" s="294"/>
      <c r="H2355" s="294"/>
      <c r="I2355" s="294"/>
      <c r="J2355" s="294"/>
      <c r="L2355" s="295"/>
      <c r="M2355" s="294"/>
      <c r="S2355" s="294"/>
      <c r="T2355" s="299"/>
      <c r="U2355" s="294"/>
      <c r="V2355" s="299"/>
      <c r="W2355" s="299"/>
      <c r="X2355" s="294"/>
      <c r="Y2355" s="299"/>
      <c r="Z2355" s="294"/>
      <c r="AA2355" s="299"/>
      <c r="AB2355" s="299"/>
      <c r="AC2355" s="294"/>
      <c r="AD2355" s="294"/>
      <c r="AE2355" s="294"/>
      <c r="AF2355" s="294"/>
    </row>
    <row r="2356" spans="2:32" x14ac:dyDescent="0.25">
      <c r="B2356" s="294"/>
      <c r="C2356" s="294"/>
      <c r="D2356" s="294"/>
      <c r="E2356" s="294"/>
      <c r="F2356" s="294"/>
      <c r="G2356" s="294"/>
      <c r="H2356" s="294"/>
      <c r="I2356" s="294"/>
      <c r="J2356" s="294"/>
      <c r="L2356" s="295"/>
      <c r="M2356" s="294"/>
      <c r="S2356" s="294"/>
      <c r="T2356" s="299"/>
      <c r="U2356" s="294"/>
      <c r="V2356" s="299"/>
      <c r="W2356" s="299"/>
      <c r="X2356" s="294"/>
      <c r="Y2356" s="299"/>
      <c r="Z2356" s="294"/>
      <c r="AA2356" s="299"/>
      <c r="AB2356" s="299"/>
      <c r="AC2356" s="294"/>
      <c r="AD2356" s="294"/>
      <c r="AE2356" s="294"/>
      <c r="AF2356" s="294"/>
    </row>
    <row r="2357" spans="2:32" x14ac:dyDescent="0.25">
      <c r="B2357" s="294"/>
      <c r="C2357" s="294"/>
      <c r="D2357" s="294"/>
      <c r="E2357" s="294"/>
      <c r="F2357" s="294"/>
      <c r="G2357" s="294"/>
      <c r="H2357" s="294"/>
      <c r="I2357" s="294"/>
      <c r="J2357" s="294"/>
      <c r="L2357" s="295"/>
      <c r="M2357" s="294"/>
      <c r="S2357" s="294"/>
      <c r="T2357" s="299"/>
      <c r="U2357" s="294"/>
      <c r="V2357" s="299"/>
      <c r="W2357" s="299"/>
      <c r="X2357" s="294"/>
      <c r="Y2357" s="299"/>
      <c r="Z2357" s="294"/>
      <c r="AA2357" s="299"/>
      <c r="AB2357" s="299"/>
      <c r="AC2357" s="294"/>
      <c r="AD2357" s="294"/>
      <c r="AE2357" s="294"/>
      <c r="AF2357" s="294"/>
    </row>
    <row r="2358" spans="2:32" x14ac:dyDescent="0.25">
      <c r="B2358" s="294"/>
      <c r="C2358" s="294"/>
      <c r="D2358" s="294"/>
      <c r="E2358" s="294"/>
      <c r="F2358" s="294"/>
      <c r="G2358" s="294"/>
      <c r="H2358" s="294"/>
      <c r="I2358" s="294"/>
      <c r="J2358" s="294"/>
      <c r="L2358" s="295"/>
      <c r="M2358" s="294"/>
      <c r="S2358" s="294"/>
      <c r="T2358" s="299"/>
      <c r="U2358" s="294"/>
      <c r="V2358" s="299"/>
      <c r="W2358" s="299"/>
      <c r="X2358" s="294"/>
      <c r="Y2358" s="299"/>
      <c r="Z2358" s="294"/>
      <c r="AA2358" s="299"/>
      <c r="AB2358" s="299"/>
      <c r="AC2358" s="294"/>
      <c r="AD2358" s="294"/>
      <c r="AE2358" s="294"/>
      <c r="AF2358" s="294"/>
    </row>
    <row r="2359" spans="2:32" x14ac:dyDescent="0.25">
      <c r="B2359" s="294"/>
      <c r="C2359" s="294"/>
      <c r="D2359" s="294"/>
      <c r="E2359" s="294"/>
      <c r="F2359" s="294"/>
      <c r="G2359" s="294"/>
      <c r="H2359" s="294"/>
      <c r="I2359" s="294"/>
      <c r="J2359" s="294"/>
      <c r="L2359" s="295"/>
      <c r="M2359" s="294"/>
      <c r="S2359" s="294"/>
      <c r="T2359" s="299"/>
      <c r="U2359" s="294"/>
      <c r="V2359" s="299"/>
      <c r="W2359" s="299"/>
      <c r="X2359" s="294"/>
      <c r="Y2359" s="299"/>
      <c r="Z2359" s="294"/>
      <c r="AA2359" s="299"/>
      <c r="AB2359" s="299"/>
      <c r="AC2359" s="294"/>
      <c r="AD2359" s="294"/>
      <c r="AE2359" s="294"/>
      <c r="AF2359" s="294"/>
    </row>
    <row r="2360" spans="2:32" x14ac:dyDescent="0.25">
      <c r="B2360" s="294"/>
      <c r="C2360" s="294"/>
      <c r="D2360" s="294"/>
      <c r="E2360" s="294"/>
      <c r="F2360" s="294"/>
      <c r="G2360" s="294"/>
      <c r="H2360" s="294"/>
      <c r="I2360" s="294"/>
      <c r="J2360" s="294"/>
      <c r="L2360" s="295"/>
      <c r="M2360" s="294"/>
      <c r="S2360" s="294"/>
      <c r="T2360" s="299"/>
      <c r="U2360" s="294"/>
      <c r="V2360" s="299"/>
      <c r="W2360" s="299"/>
      <c r="X2360" s="294"/>
      <c r="Y2360" s="299"/>
      <c r="Z2360" s="294"/>
      <c r="AA2360" s="299"/>
      <c r="AB2360" s="299"/>
      <c r="AC2360" s="294"/>
      <c r="AD2360" s="294"/>
      <c r="AE2360" s="294"/>
      <c r="AF2360" s="294"/>
    </row>
    <row r="2361" spans="2:32" x14ac:dyDescent="0.25">
      <c r="B2361" s="294"/>
      <c r="C2361" s="294"/>
      <c r="D2361" s="294"/>
      <c r="E2361" s="294"/>
      <c r="F2361" s="294"/>
      <c r="G2361" s="294"/>
      <c r="H2361" s="294"/>
      <c r="I2361" s="294"/>
      <c r="J2361" s="294"/>
      <c r="L2361" s="295"/>
      <c r="M2361" s="294"/>
      <c r="S2361" s="294"/>
      <c r="T2361" s="299"/>
      <c r="U2361" s="294"/>
      <c r="V2361" s="299"/>
      <c r="W2361" s="299"/>
      <c r="X2361" s="294"/>
      <c r="Y2361" s="299"/>
      <c r="Z2361" s="294"/>
      <c r="AA2361" s="299"/>
      <c r="AB2361" s="299"/>
      <c r="AC2361" s="294"/>
      <c r="AD2361" s="294"/>
      <c r="AE2361" s="294"/>
      <c r="AF2361" s="294"/>
    </row>
    <row r="2362" spans="2:32" x14ac:dyDescent="0.25">
      <c r="B2362" s="294"/>
      <c r="C2362" s="294"/>
      <c r="D2362" s="294"/>
      <c r="E2362" s="294"/>
      <c r="F2362" s="294"/>
      <c r="G2362" s="294"/>
      <c r="H2362" s="294"/>
      <c r="I2362" s="294"/>
      <c r="J2362" s="294"/>
      <c r="L2362" s="295"/>
      <c r="M2362" s="294"/>
      <c r="S2362" s="294"/>
      <c r="T2362" s="299"/>
      <c r="U2362" s="294"/>
      <c r="V2362" s="299"/>
      <c r="W2362" s="299"/>
      <c r="X2362" s="294"/>
      <c r="Y2362" s="299"/>
      <c r="Z2362" s="294"/>
      <c r="AA2362" s="299"/>
      <c r="AB2362" s="299"/>
      <c r="AC2362" s="294"/>
      <c r="AD2362" s="294"/>
      <c r="AE2362" s="294"/>
      <c r="AF2362" s="294"/>
    </row>
    <row r="2363" spans="2:32" x14ac:dyDescent="0.25">
      <c r="B2363" s="294"/>
      <c r="C2363" s="294"/>
      <c r="D2363" s="294"/>
      <c r="E2363" s="294"/>
      <c r="F2363" s="294"/>
      <c r="G2363" s="294"/>
      <c r="H2363" s="294"/>
      <c r="I2363" s="294"/>
      <c r="J2363" s="294"/>
      <c r="L2363" s="295"/>
      <c r="M2363" s="294"/>
      <c r="S2363" s="294"/>
      <c r="T2363" s="299"/>
      <c r="U2363" s="294"/>
      <c r="V2363" s="299"/>
      <c r="W2363" s="299"/>
      <c r="X2363" s="294"/>
      <c r="Y2363" s="299"/>
      <c r="Z2363" s="294"/>
      <c r="AA2363" s="299"/>
      <c r="AB2363" s="299"/>
      <c r="AC2363" s="294"/>
      <c r="AD2363" s="294"/>
      <c r="AE2363" s="294"/>
      <c r="AF2363" s="294"/>
    </row>
    <row r="2364" spans="2:32" x14ac:dyDescent="0.25">
      <c r="B2364" s="294"/>
      <c r="C2364" s="294"/>
      <c r="D2364" s="294"/>
      <c r="E2364" s="294"/>
      <c r="F2364" s="294"/>
      <c r="G2364" s="294"/>
      <c r="H2364" s="294"/>
      <c r="I2364" s="294"/>
      <c r="J2364" s="294"/>
      <c r="L2364" s="295"/>
      <c r="M2364" s="294"/>
      <c r="S2364" s="294"/>
      <c r="T2364" s="299"/>
      <c r="U2364" s="294"/>
      <c r="V2364" s="299"/>
      <c r="W2364" s="299"/>
      <c r="X2364" s="294"/>
      <c r="Y2364" s="299"/>
      <c r="Z2364" s="294"/>
      <c r="AA2364" s="299"/>
      <c r="AB2364" s="299"/>
      <c r="AC2364" s="294"/>
      <c r="AD2364" s="294"/>
      <c r="AE2364" s="294"/>
      <c r="AF2364" s="294"/>
    </row>
    <row r="2365" spans="2:32" x14ac:dyDescent="0.25">
      <c r="B2365" s="294"/>
      <c r="C2365" s="294"/>
      <c r="D2365" s="294"/>
      <c r="E2365" s="294"/>
      <c r="F2365" s="294"/>
      <c r="G2365" s="294"/>
      <c r="H2365" s="294"/>
      <c r="I2365" s="294"/>
      <c r="J2365" s="294"/>
      <c r="L2365" s="295"/>
      <c r="M2365" s="294"/>
      <c r="S2365" s="294"/>
      <c r="T2365" s="299"/>
      <c r="U2365" s="294"/>
      <c r="V2365" s="299"/>
      <c r="W2365" s="299"/>
      <c r="X2365" s="294"/>
      <c r="Y2365" s="299"/>
      <c r="Z2365" s="294"/>
      <c r="AA2365" s="299"/>
      <c r="AB2365" s="299"/>
      <c r="AC2365" s="294"/>
      <c r="AD2365" s="294"/>
      <c r="AE2365" s="294"/>
      <c r="AF2365" s="294"/>
    </row>
    <row r="2366" spans="2:32" x14ac:dyDescent="0.25">
      <c r="B2366" s="294"/>
      <c r="C2366" s="294"/>
      <c r="D2366" s="294"/>
      <c r="E2366" s="294"/>
      <c r="F2366" s="294"/>
      <c r="G2366" s="294"/>
      <c r="H2366" s="294"/>
      <c r="I2366" s="294"/>
      <c r="J2366" s="294"/>
      <c r="L2366" s="295"/>
      <c r="M2366" s="294"/>
      <c r="S2366" s="294"/>
      <c r="T2366" s="299"/>
      <c r="U2366" s="294"/>
      <c r="V2366" s="299"/>
      <c r="W2366" s="299"/>
      <c r="X2366" s="294"/>
      <c r="Y2366" s="299"/>
      <c r="Z2366" s="294"/>
      <c r="AA2366" s="299"/>
      <c r="AB2366" s="299"/>
      <c r="AC2366" s="294"/>
      <c r="AD2366" s="294"/>
      <c r="AE2366" s="294"/>
      <c r="AF2366" s="294"/>
    </row>
    <row r="2367" spans="2:32" x14ac:dyDescent="0.25">
      <c r="B2367" s="294"/>
      <c r="C2367" s="294"/>
      <c r="D2367" s="294"/>
      <c r="E2367" s="294"/>
      <c r="F2367" s="294"/>
      <c r="G2367" s="294"/>
      <c r="H2367" s="294"/>
      <c r="I2367" s="294"/>
      <c r="J2367" s="294"/>
      <c r="L2367" s="295"/>
      <c r="M2367" s="294"/>
      <c r="S2367" s="294"/>
      <c r="T2367" s="299"/>
      <c r="U2367" s="294"/>
      <c r="V2367" s="299"/>
      <c r="W2367" s="299"/>
      <c r="X2367" s="294"/>
      <c r="Y2367" s="299"/>
      <c r="Z2367" s="294"/>
      <c r="AA2367" s="299"/>
      <c r="AB2367" s="299"/>
      <c r="AC2367" s="294"/>
      <c r="AD2367" s="294"/>
      <c r="AE2367" s="294"/>
      <c r="AF2367" s="294"/>
    </row>
    <row r="2368" spans="2:32" x14ac:dyDescent="0.25">
      <c r="B2368" s="294"/>
      <c r="C2368" s="294"/>
      <c r="D2368" s="294"/>
      <c r="E2368" s="294"/>
      <c r="F2368" s="294"/>
      <c r="G2368" s="294"/>
      <c r="H2368" s="294"/>
      <c r="I2368" s="294"/>
      <c r="J2368" s="294"/>
      <c r="L2368" s="295"/>
      <c r="M2368" s="294"/>
      <c r="S2368" s="294"/>
      <c r="T2368" s="299"/>
      <c r="U2368" s="294"/>
      <c r="V2368" s="299"/>
      <c r="W2368" s="299"/>
      <c r="X2368" s="294"/>
      <c r="Y2368" s="299"/>
      <c r="Z2368" s="294"/>
      <c r="AA2368" s="299"/>
      <c r="AB2368" s="299"/>
      <c r="AC2368" s="294"/>
      <c r="AD2368" s="294"/>
      <c r="AE2368" s="294"/>
      <c r="AF2368" s="294"/>
    </row>
    <row r="2369" spans="2:32" x14ac:dyDescent="0.25">
      <c r="B2369" s="294"/>
      <c r="C2369" s="294"/>
      <c r="D2369" s="294"/>
      <c r="E2369" s="294"/>
      <c r="F2369" s="294"/>
      <c r="G2369" s="294"/>
      <c r="H2369" s="294"/>
      <c r="I2369" s="294"/>
      <c r="J2369" s="294"/>
      <c r="L2369" s="295"/>
      <c r="M2369" s="294"/>
      <c r="S2369" s="294"/>
      <c r="T2369" s="299"/>
      <c r="U2369" s="294"/>
      <c r="V2369" s="299"/>
      <c r="W2369" s="299"/>
      <c r="X2369" s="294"/>
      <c r="Y2369" s="299"/>
      <c r="Z2369" s="294"/>
      <c r="AA2369" s="299"/>
      <c r="AB2369" s="299"/>
      <c r="AC2369" s="294"/>
      <c r="AD2369" s="294"/>
      <c r="AE2369" s="294"/>
      <c r="AF2369" s="294"/>
    </row>
    <row r="2370" spans="2:32" x14ac:dyDescent="0.25">
      <c r="B2370" s="294"/>
      <c r="C2370" s="294"/>
      <c r="D2370" s="294"/>
      <c r="E2370" s="294"/>
      <c r="F2370" s="294"/>
      <c r="G2370" s="294"/>
      <c r="H2370" s="294"/>
      <c r="I2370" s="294"/>
      <c r="J2370" s="294"/>
      <c r="L2370" s="295"/>
      <c r="M2370" s="294"/>
      <c r="S2370" s="294"/>
      <c r="T2370" s="299"/>
      <c r="U2370" s="294"/>
      <c r="V2370" s="299"/>
      <c r="W2370" s="299"/>
      <c r="X2370" s="294"/>
      <c r="Y2370" s="299"/>
      <c r="Z2370" s="294"/>
      <c r="AA2370" s="299"/>
      <c r="AB2370" s="299"/>
      <c r="AC2370" s="294"/>
      <c r="AD2370" s="294"/>
      <c r="AE2370" s="294"/>
      <c r="AF2370" s="294"/>
    </row>
    <row r="2371" spans="2:32" x14ac:dyDescent="0.25">
      <c r="B2371" s="294"/>
      <c r="C2371" s="294"/>
      <c r="D2371" s="294"/>
      <c r="E2371" s="294"/>
      <c r="F2371" s="294"/>
      <c r="G2371" s="294"/>
      <c r="H2371" s="294"/>
      <c r="I2371" s="294"/>
      <c r="J2371" s="294"/>
      <c r="L2371" s="295"/>
      <c r="M2371" s="294"/>
      <c r="S2371" s="294"/>
      <c r="T2371" s="299"/>
      <c r="U2371" s="294"/>
      <c r="V2371" s="299"/>
      <c r="W2371" s="299"/>
      <c r="X2371" s="294"/>
      <c r="Y2371" s="299"/>
      <c r="Z2371" s="294"/>
      <c r="AA2371" s="299"/>
      <c r="AB2371" s="299"/>
      <c r="AC2371" s="294"/>
      <c r="AD2371" s="294"/>
      <c r="AE2371" s="294"/>
      <c r="AF2371" s="294"/>
    </row>
    <row r="2372" spans="2:32" x14ac:dyDescent="0.25">
      <c r="B2372" s="294"/>
      <c r="C2372" s="294"/>
      <c r="D2372" s="294"/>
      <c r="E2372" s="294"/>
      <c r="F2372" s="294"/>
      <c r="G2372" s="294"/>
      <c r="H2372" s="294"/>
      <c r="I2372" s="294"/>
      <c r="J2372" s="294"/>
      <c r="L2372" s="295"/>
      <c r="M2372" s="294"/>
      <c r="S2372" s="294"/>
      <c r="T2372" s="299"/>
      <c r="U2372" s="294"/>
      <c r="V2372" s="299"/>
      <c r="W2372" s="299"/>
      <c r="X2372" s="294"/>
      <c r="Y2372" s="299"/>
      <c r="Z2372" s="294"/>
      <c r="AA2372" s="299"/>
      <c r="AB2372" s="299"/>
      <c r="AC2372" s="294"/>
      <c r="AD2372" s="294"/>
      <c r="AE2372" s="294"/>
      <c r="AF2372" s="294"/>
    </row>
    <row r="2373" spans="2:32" x14ac:dyDescent="0.25">
      <c r="B2373" s="294"/>
      <c r="C2373" s="294"/>
      <c r="D2373" s="294"/>
      <c r="E2373" s="294"/>
      <c r="F2373" s="294"/>
      <c r="G2373" s="294"/>
      <c r="H2373" s="294"/>
      <c r="I2373" s="294"/>
      <c r="J2373" s="294"/>
      <c r="L2373" s="295"/>
      <c r="M2373" s="294"/>
      <c r="S2373" s="294"/>
      <c r="T2373" s="299"/>
      <c r="U2373" s="294"/>
      <c r="V2373" s="299"/>
      <c r="W2373" s="299"/>
      <c r="X2373" s="294"/>
      <c r="Y2373" s="299"/>
      <c r="Z2373" s="294"/>
      <c r="AA2373" s="299"/>
      <c r="AB2373" s="299"/>
      <c r="AC2373" s="294"/>
      <c r="AD2373" s="294"/>
      <c r="AE2373" s="294"/>
      <c r="AF2373" s="294"/>
    </row>
    <row r="2374" spans="2:32" x14ac:dyDescent="0.25">
      <c r="B2374" s="294"/>
      <c r="C2374" s="294"/>
      <c r="D2374" s="294"/>
      <c r="E2374" s="294"/>
      <c r="F2374" s="294"/>
      <c r="G2374" s="294"/>
      <c r="H2374" s="294"/>
      <c r="I2374" s="294"/>
      <c r="J2374" s="294"/>
      <c r="L2374" s="295"/>
      <c r="M2374" s="294"/>
      <c r="S2374" s="294"/>
      <c r="T2374" s="299"/>
      <c r="U2374" s="294"/>
      <c r="V2374" s="299"/>
      <c r="W2374" s="299"/>
      <c r="X2374" s="294"/>
      <c r="Y2374" s="299"/>
      <c r="Z2374" s="294"/>
      <c r="AA2374" s="299"/>
      <c r="AB2374" s="299"/>
      <c r="AC2374" s="294"/>
      <c r="AD2374" s="294"/>
      <c r="AE2374" s="294"/>
      <c r="AF2374" s="294"/>
    </row>
    <row r="2375" spans="2:32" x14ac:dyDescent="0.25">
      <c r="B2375" s="294"/>
      <c r="C2375" s="294"/>
      <c r="D2375" s="294"/>
      <c r="E2375" s="294"/>
      <c r="F2375" s="294"/>
      <c r="G2375" s="294"/>
      <c r="H2375" s="294"/>
      <c r="I2375" s="294"/>
      <c r="J2375" s="294"/>
      <c r="L2375" s="295"/>
      <c r="M2375" s="294"/>
      <c r="S2375" s="294"/>
      <c r="T2375" s="299"/>
      <c r="U2375" s="294"/>
      <c r="V2375" s="299"/>
      <c r="W2375" s="299"/>
      <c r="X2375" s="294"/>
      <c r="Y2375" s="299"/>
      <c r="Z2375" s="294"/>
      <c r="AA2375" s="299"/>
      <c r="AB2375" s="299"/>
      <c r="AC2375" s="294"/>
      <c r="AD2375" s="294"/>
      <c r="AE2375" s="294"/>
      <c r="AF2375" s="294"/>
    </row>
    <row r="2376" spans="2:32" x14ac:dyDescent="0.25">
      <c r="B2376" s="294"/>
      <c r="C2376" s="294"/>
      <c r="D2376" s="294"/>
      <c r="E2376" s="294"/>
      <c r="F2376" s="294"/>
      <c r="G2376" s="294"/>
      <c r="H2376" s="294"/>
      <c r="I2376" s="294"/>
      <c r="J2376" s="294"/>
      <c r="L2376" s="295"/>
      <c r="M2376" s="294"/>
      <c r="S2376" s="294"/>
      <c r="T2376" s="299"/>
      <c r="U2376" s="294"/>
      <c r="V2376" s="299"/>
      <c r="W2376" s="299"/>
      <c r="X2376" s="294"/>
      <c r="Y2376" s="299"/>
      <c r="Z2376" s="294"/>
      <c r="AA2376" s="299"/>
      <c r="AB2376" s="299"/>
      <c r="AC2376" s="294"/>
      <c r="AD2376" s="294"/>
      <c r="AE2376" s="294"/>
      <c r="AF2376" s="294"/>
    </row>
    <row r="2377" spans="2:32" x14ac:dyDescent="0.25">
      <c r="B2377" s="294"/>
      <c r="C2377" s="294"/>
      <c r="D2377" s="294"/>
      <c r="E2377" s="294"/>
      <c r="F2377" s="294"/>
      <c r="G2377" s="294"/>
      <c r="H2377" s="294"/>
      <c r="I2377" s="294"/>
      <c r="J2377" s="294"/>
      <c r="L2377" s="295"/>
      <c r="M2377" s="294"/>
      <c r="S2377" s="294"/>
      <c r="T2377" s="299"/>
      <c r="U2377" s="294"/>
      <c r="V2377" s="299"/>
      <c r="W2377" s="299"/>
      <c r="X2377" s="294"/>
      <c r="Y2377" s="299"/>
      <c r="Z2377" s="294"/>
      <c r="AA2377" s="299"/>
      <c r="AB2377" s="299"/>
      <c r="AC2377" s="294"/>
      <c r="AD2377" s="294"/>
      <c r="AE2377" s="294"/>
      <c r="AF2377" s="294"/>
    </row>
    <row r="2378" spans="2:32" x14ac:dyDescent="0.25">
      <c r="B2378" s="294"/>
      <c r="C2378" s="294"/>
      <c r="D2378" s="294"/>
      <c r="E2378" s="294"/>
      <c r="F2378" s="294"/>
      <c r="G2378" s="294"/>
      <c r="H2378" s="294"/>
      <c r="I2378" s="294"/>
      <c r="J2378" s="294"/>
      <c r="L2378" s="295"/>
      <c r="M2378" s="294"/>
      <c r="S2378" s="294"/>
      <c r="T2378" s="299"/>
      <c r="U2378" s="294"/>
      <c r="V2378" s="299"/>
      <c r="W2378" s="299"/>
      <c r="X2378" s="294"/>
      <c r="Y2378" s="299"/>
      <c r="Z2378" s="294"/>
      <c r="AA2378" s="299"/>
      <c r="AB2378" s="299"/>
      <c r="AC2378" s="294"/>
      <c r="AD2378" s="294"/>
      <c r="AE2378" s="294"/>
      <c r="AF2378" s="294"/>
    </row>
    <row r="2379" spans="2:32" x14ac:dyDescent="0.25">
      <c r="B2379" s="294"/>
      <c r="C2379" s="294"/>
      <c r="D2379" s="294"/>
      <c r="E2379" s="294"/>
      <c r="F2379" s="294"/>
      <c r="G2379" s="294"/>
      <c r="H2379" s="294"/>
      <c r="I2379" s="294"/>
      <c r="J2379" s="294"/>
      <c r="L2379" s="295"/>
      <c r="M2379" s="294"/>
      <c r="S2379" s="294"/>
      <c r="T2379" s="299"/>
      <c r="U2379" s="294"/>
      <c r="V2379" s="299"/>
      <c r="W2379" s="299"/>
      <c r="X2379" s="294"/>
      <c r="Y2379" s="299"/>
      <c r="Z2379" s="294"/>
      <c r="AA2379" s="299"/>
      <c r="AB2379" s="299"/>
      <c r="AC2379" s="294"/>
      <c r="AD2379" s="294"/>
      <c r="AE2379" s="294"/>
      <c r="AF2379" s="294"/>
    </row>
    <row r="2380" spans="2:32" x14ac:dyDescent="0.25">
      <c r="B2380" s="294"/>
      <c r="C2380" s="294"/>
      <c r="D2380" s="294"/>
      <c r="E2380" s="294"/>
      <c r="F2380" s="294"/>
      <c r="G2380" s="294"/>
      <c r="H2380" s="294"/>
      <c r="I2380" s="294"/>
      <c r="J2380" s="294"/>
      <c r="L2380" s="295"/>
      <c r="M2380" s="294"/>
      <c r="S2380" s="294"/>
      <c r="T2380" s="299"/>
      <c r="U2380" s="294"/>
      <c r="V2380" s="299"/>
      <c r="W2380" s="299"/>
      <c r="X2380" s="294"/>
      <c r="Y2380" s="299"/>
      <c r="Z2380" s="294"/>
      <c r="AA2380" s="299"/>
      <c r="AB2380" s="299"/>
      <c r="AC2380" s="294"/>
      <c r="AD2380" s="294"/>
      <c r="AE2380" s="294"/>
      <c r="AF2380" s="294"/>
    </row>
    <row r="2381" spans="2:32" x14ac:dyDescent="0.25">
      <c r="B2381" s="294"/>
      <c r="C2381" s="294"/>
      <c r="D2381" s="294"/>
      <c r="E2381" s="294"/>
      <c r="F2381" s="294"/>
      <c r="G2381" s="294"/>
      <c r="H2381" s="294"/>
      <c r="I2381" s="294"/>
      <c r="J2381" s="294"/>
      <c r="L2381" s="295"/>
      <c r="M2381" s="294"/>
      <c r="S2381" s="294"/>
      <c r="T2381" s="299"/>
      <c r="U2381" s="294"/>
      <c r="V2381" s="299"/>
      <c r="W2381" s="299"/>
      <c r="X2381" s="294"/>
      <c r="Y2381" s="299"/>
      <c r="Z2381" s="294"/>
      <c r="AA2381" s="299"/>
      <c r="AB2381" s="299"/>
      <c r="AC2381" s="294"/>
      <c r="AD2381" s="294"/>
      <c r="AE2381" s="294"/>
      <c r="AF2381" s="294"/>
    </row>
    <row r="2382" spans="2:32" x14ac:dyDescent="0.25">
      <c r="B2382" s="294"/>
      <c r="C2382" s="294"/>
      <c r="D2382" s="294"/>
      <c r="E2382" s="294"/>
      <c r="F2382" s="294"/>
      <c r="G2382" s="294"/>
      <c r="H2382" s="294"/>
      <c r="I2382" s="294"/>
      <c r="J2382" s="294"/>
      <c r="L2382" s="295"/>
      <c r="M2382" s="294"/>
      <c r="S2382" s="294"/>
      <c r="T2382" s="299"/>
      <c r="U2382" s="294"/>
      <c r="V2382" s="299"/>
      <c r="W2382" s="299"/>
      <c r="X2382" s="294"/>
      <c r="Y2382" s="299"/>
      <c r="Z2382" s="294"/>
      <c r="AA2382" s="299"/>
      <c r="AB2382" s="299"/>
      <c r="AC2382" s="294"/>
      <c r="AD2382" s="294"/>
      <c r="AE2382" s="294"/>
      <c r="AF2382" s="294"/>
    </row>
    <row r="2383" spans="2:32" x14ac:dyDescent="0.25">
      <c r="B2383" s="294"/>
      <c r="C2383" s="294"/>
      <c r="D2383" s="294"/>
      <c r="E2383" s="294"/>
      <c r="F2383" s="294"/>
      <c r="G2383" s="294"/>
      <c r="H2383" s="294"/>
      <c r="I2383" s="294"/>
      <c r="J2383" s="294"/>
      <c r="L2383" s="295"/>
      <c r="M2383" s="294"/>
      <c r="S2383" s="294"/>
      <c r="T2383" s="299"/>
      <c r="U2383" s="294"/>
      <c r="V2383" s="299"/>
      <c r="W2383" s="299"/>
      <c r="X2383" s="294"/>
      <c r="Y2383" s="299"/>
      <c r="Z2383" s="294"/>
      <c r="AA2383" s="299"/>
      <c r="AB2383" s="299"/>
      <c r="AC2383" s="294"/>
      <c r="AD2383" s="294"/>
      <c r="AE2383" s="294"/>
      <c r="AF2383" s="294"/>
    </row>
  </sheetData>
  <mergeCells count="78">
    <mergeCell ref="B1:N1"/>
    <mergeCell ref="B3:N3"/>
    <mergeCell ref="B5:N5"/>
    <mergeCell ref="B7:N7"/>
    <mergeCell ref="H229:I229"/>
    <mergeCell ref="J229:L229"/>
    <mergeCell ref="M229:N229"/>
    <mergeCell ref="F225:N225"/>
    <mergeCell ref="H226:I226"/>
    <mergeCell ref="J226:L226"/>
    <mergeCell ref="M226:N226"/>
    <mergeCell ref="H227:I227"/>
    <mergeCell ref="J227:L227"/>
    <mergeCell ref="M227:N227"/>
    <mergeCell ref="M228:N228"/>
    <mergeCell ref="H228:I228"/>
    <mergeCell ref="H233:I233"/>
    <mergeCell ref="J233:L233"/>
    <mergeCell ref="M233:N233"/>
    <mergeCell ref="G247:G249"/>
    <mergeCell ref="H247:H249"/>
    <mergeCell ref="I247:I249"/>
    <mergeCell ref="J247:K249"/>
    <mergeCell ref="H234:I234"/>
    <mergeCell ref="J234:L234"/>
    <mergeCell ref="J241:K241"/>
    <mergeCell ref="J242:K242"/>
    <mergeCell ref="J243:K243"/>
    <mergeCell ref="L247:L249"/>
    <mergeCell ref="M247:M249"/>
    <mergeCell ref="J244:K244"/>
    <mergeCell ref="G238:G240"/>
    <mergeCell ref="H231:I231"/>
    <mergeCell ref="J231:L231"/>
    <mergeCell ref="H232:I232"/>
    <mergeCell ref="J232:L232"/>
    <mergeCell ref="M232:N232"/>
    <mergeCell ref="H238:H240"/>
    <mergeCell ref="I238:I240"/>
    <mergeCell ref="J238:K240"/>
    <mergeCell ref="L238:L240"/>
    <mergeCell ref="J250:K250"/>
    <mergeCell ref="J251:K251"/>
    <mergeCell ref="J252:K252"/>
    <mergeCell ref="J253:K253"/>
    <mergeCell ref="J269:K269"/>
    <mergeCell ref="J270:K270"/>
    <mergeCell ref="J271:K271"/>
    <mergeCell ref="J259:K259"/>
    <mergeCell ref="J260:K260"/>
    <mergeCell ref="J261:K261"/>
    <mergeCell ref="J262:K262"/>
    <mergeCell ref="J266:K268"/>
    <mergeCell ref="I256:I258"/>
    <mergeCell ref="J256:K258"/>
    <mergeCell ref="L256:L258"/>
    <mergeCell ref="M256:M258"/>
    <mergeCell ref="G266:G268"/>
    <mergeCell ref="H266:H268"/>
    <mergeCell ref="I266:I268"/>
    <mergeCell ref="G256:G258"/>
    <mergeCell ref="H256:H258"/>
    <mergeCell ref="U279:V279"/>
    <mergeCell ref="O115:Q115"/>
    <mergeCell ref="P285:R285"/>
    <mergeCell ref="L266:L268"/>
    <mergeCell ref="M266:M268"/>
    <mergeCell ref="J228:L228"/>
    <mergeCell ref="M231:N231"/>
    <mergeCell ref="M234:N234"/>
    <mergeCell ref="H237:K237"/>
    <mergeCell ref="M238:M240"/>
    <mergeCell ref="H235:I235"/>
    <mergeCell ref="J235:L235"/>
    <mergeCell ref="M235:N235"/>
    <mergeCell ref="H230:I230"/>
    <mergeCell ref="J230:L230"/>
    <mergeCell ref="M230:N230"/>
  </mergeCells>
  <pageMargins left="0.51181102362204722" right="0.31496062992125984" top="0.78740157480314965" bottom="0.59055118110236227" header="0.31496062992125984" footer="0.31496062992125984"/>
  <pageSetup paperSize="9" scale="60" orientation="landscape" horizontalDpi="0" verticalDpi="0" r:id="rId1"/>
  <drawing r:id="rId2"/>
  <tableParts count="2"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2187"/>
  <sheetViews>
    <sheetView topLeftCell="A7" workbookViewId="0">
      <selection activeCell="E40" sqref="E40"/>
    </sheetView>
  </sheetViews>
  <sheetFormatPr defaultRowHeight="15" x14ac:dyDescent="0.25"/>
  <cols>
    <col min="1" max="1" width="2" style="294" customWidth="1"/>
    <col min="2" max="2" width="10" style="291" customWidth="1"/>
    <col min="3" max="3" width="38.42578125" style="292" customWidth="1"/>
    <col min="4" max="4" width="28" style="292" customWidth="1"/>
    <col min="5" max="5" width="12.28515625" style="292" customWidth="1"/>
    <col min="6" max="6" width="11" style="292" customWidth="1"/>
    <col min="7" max="7" width="30.85546875" style="293" customWidth="1"/>
    <col min="8" max="8" width="11.5703125" style="291" customWidth="1"/>
    <col min="9" max="9" width="11.42578125" style="291" customWidth="1"/>
    <col min="10" max="10" width="4.85546875" style="291" customWidth="1"/>
    <col min="11" max="11" width="8.42578125" style="294" customWidth="1"/>
    <col min="12" max="12" width="12" style="327" customWidth="1"/>
    <col min="13" max="13" width="11.85546875" style="291" customWidth="1"/>
    <col min="14" max="14" width="16.7109375" style="294" bestFit="1" customWidth="1"/>
    <col min="15" max="15" width="16.7109375" style="294" customWidth="1"/>
    <col min="16" max="16" width="9.7109375" style="298" customWidth="1"/>
    <col min="17" max="17" width="15.42578125" style="298" bestFit="1" customWidth="1"/>
    <col min="18" max="18" width="20" style="294" customWidth="1"/>
    <col min="19" max="19" width="16.7109375" style="294" bestFit="1" customWidth="1"/>
    <col min="20" max="16384" width="9.140625" style="294"/>
  </cols>
  <sheetData>
    <row r="1" spans="2:4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554"/>
      <c r="P1" s="413"/>
      <c r="Q1" s="413"/>
      <c r="R1" s="1466"/>
      <c r="S1" s="1466"/>
      <c r="T1" s="1466"/>
      <c r="U1" s="1466"/>
      <c r="V1" s="1466"/>
      <c r="W1" s="1466"/>
      <c r="X1" s="1466"/>
      <c r="Y1" s="1466"/>
      <c r="Z1" s="1466"/>
      <c r="AA1" s="1466"/>
      <c r="AB1" s="1466"/>
      <c r="AC1" s="1466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</row>
    <row r="2" spans="2:40" s="410" customFormat="1" ht="12.75" customHeight="1" x14ac:dyDescent="0.35">
      <c r="C2" s="412"/>
      <c r="D2" s="411"/>
      <c r="G2" s="412"/>
      <c r="U2" s="412"/>
      <c r="V2" s="411"/>
      <c r="Y2" s="412"/>
    </row>
    <row r="3" spans="2:4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554"/>
      <c r="P3" s="413"/>
      <c r="Q3" s="413"/>
      <c r="R3" s="1466"/>
      <c r="S3" s="1466"/>
      <c r="T3" s="1466"/>
      <c r="U3" s="1466"/>
      <c r="V3" s="1466"/>
      <c r="W3" s="1466"/>
      <c r="X3" s="1466"/>
      <c r="Y3" s="1466"/>
      <c r="Z3" s="1466"/>
      <c r="AA3" s="1466"/>
      <c r="AB3" s="1466"/>
      <c r="AC3" s="1466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</row>
    <row r="4" spans="2:40" s="410" customFormat="1" ht="10.5" customHeight="1" x14ac:dyDescent="0.35">
      <c r="C4" s="412"/>
      <c r="D4" s="411"/>
      <c r="G4" s="412"/>
      <c r="U4" s="412"/>
      <c r="V4" s="411"/>
      <c r="Y4" s="412"/>
    </row>
    <row r="5" spans="2:4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555"/>
      <c r="P5" s="414"/>
      <c r="Q5" s="414"/>
      <c r="R5" s="1470"/>
      <c r="S5" s="1470"/>
      <c r="T5" s="1470"/>
      <c r="U5" s="1470"/>
      <c r="V5" s="1470"/>
      <c r="W5" s="1470"/>
      <c r="X5" s="1470"/>
      <c r="Y5" s="1470"/>
      <c r="Z5" s="1470"/>
      <c r="AA5" s="1470"/>
      <c r="AB5" s="1470"/>
      <c r="AC5" s="1470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</row>
    <row r="6" spans="2:40" s="5" customFormat="1" ht="23.25" customHeight="1" x14ac:dyDescent="0.25">
      <c r="B6" s="556"/>
      <c r="C6" s="270"/>
      <c r="D6" s="270"/>
      <c r="E6" s="270"/>
      <c r="F6" s="270"/>
      <c r="G6" s="553"/>
      <c r="H6" s="556"/>
      <c r="I6" s="556"/>
      <c r="J6" s="556"/>
      <c r="L6" s="277"/>
      <c r="M6" s="556"/>
      <c r="N6" s="556"/>
      <c r="O6" s="556"/>
      <c r="P6" s="556"/>
      <c r="Q6" s="556"/>
      <c r="R6" s="272"/>
      <c r="S6" s="272"/>
      <c r="U6" s="270"/>
      <c r="V6" s="270"/>
      <c r="W6" s="270"/>
      <c r="X6" s="270"/>
      <c r="Y6" s="553"/>
      <c r="Z6" s="556"/>
      <c r="AA6" s="556"/>
      <c r="AB6" s="556"/>
      <c r="AD6" s="277"/>
      <c r="AE6" s="556"/>
      <c r="AI6" s="272"/>
      <c r="AJ6" s="272"/>
      <c r="AK6" s="272"/>
      <c r="AL6" s="272"/>
      <c r="AM6" s="272"/>
    </row>
    <row r="7" spans="2:40" s="5" customFormat="1" ht="30" customHeight="1" x14ac:dyDescent="0.25">
      <c r="B7" s="1543" t="s">
        <v>2948</v>
      </c>
      <c r="C7" s="1543"/>
      <c r="D7" s="1543"/>
      <c r="E7" s="1543"/>
      <c r="F7" s="1543"/>
      <c r="G7" s="1543"/>
      <c r="H7" s="1543"/>
      <c r="I7" s="1543"/>
      <c r="J7" s="1543"/>
      <c r="K7" s="1543"/>
      <c r="L7" s="1543"/>
      <c r="M7" s="1543"/>
      <c r="N7" s="1543"/>
      <c r="O7" s="557"/>
      <c r="P7" s="526"/>
      <c r="Q7" s="526"/>
      <c r="R7" s="1543"/>
      <c r="S7" s="1543"/>
      <c r="T7" s="1543"/>
      <c r="U7" s="1543"/>
      <c r="V7" s="1543"/>
      <c r="W7" s="1543"/>
      <c r="X7" s="1543"/>
      <c r="Y7" s="1543"/>
      <c r="Z7" s="1543"/>
      <c r="AA7" s="1543"/>
      <c r="AB7" s="1543"/>
      <c r="AC7" s="1543"/>
      <c r="AD7" s="526"/>
      <c r="AE7" s="526"/>
      <c r="AF7" s="526"/>
      <c r="AG7" s="526"/>
      <c r="AH7" s="526"/>
      <c r="AI7" s="526"/>
      <c r="AJ7" s="526"/>
      <c r="AK7" s="526"/>
      <c r="AL7" s="526"/>
      <c r="AM7" s="526"/>
      <c r="AN7" s="526"/>
    </row>
    <row r="8" spans="2:40" x14ac:dyDescent="0.25">
      <c r="B8" s="1544"/>
      <c r="C8" s="1544"/>
      <c r="L8" s="295"/>
    </row>
    <row r="9" spans="2:40" ht="19.5" customHeight="1" x14ac:dyDescent="0.25">
      <c r="B9" s="1563" t="s">
        <v>2719</v>
      </c>
      <c r="C9" s="1567" t="s">
        <v>2622</v>
      </c>
      <c r="D9" s="1567"/>
      <c r="E9" s="1567"/>
      <c r="F9" s="1567"/>
      <c r="G9" s="1567"/>
      <c r="H9" s="1567"/>
      <c r="I9" s="1567"/>
      <c r="J9" s="1567"/>
      <c r="K9" s="1567"/>
      <c r="L9" s="1567"/>
      <c r="M9" s="1567"/>
      <c r="N9" s="1567"/>
      <c r="O9" s="1567"/>
      <c r="P9" s="1567"/>
      <c r="Q9" s="1567"/>
      <c r="R9" s="1567"/>
      <c r="S9" s="1564">
        <v>639.66999999999996</v>
      </c>
    </row>
    <row r="10" spans="2:40" x14ac:dyDescent="0.25">
      <c r="B10" s="1563"/>
      <c r="C10" s="1567"/>
      <c r="D10" s="1567"/>
      <c r="E10" s="1567"/>
      <c r="F10" s="1567"/>
      <c r="G10" s="1567"/>
      <c r="H10" s="1567"/>
      <c r="I10" s="1567"/>
      <c r="J10" s="1567"/>
      <c r="K10" s="1567"/>
      <c r="L10" s="1567"/>
      <c r="M10" s="1567"/>
      <c r="N10" s="1567"/>
      <c r="O10" s="1567"/>
      <c r="P10" s="1567"/>
      <c r="Q10" s="1567"/>
      <c r="R10" s="1567"/>
      <c r="S10" s="1564"/>
    </row>
    <row r="11" spans="2:40" s="299" customFormat="1" ht="15" customHeight="1" x14ac:dyDescent="0.25">
      <c r="B11" s="1563"/>
      <c r="C11" s="1565" t="s">
        <v>2623</v>
      </c>
      <c r="D11" s="1565" t="s">
        <v>2624</v>
      </c>
      <c r="E11" s="1565" t="s">
        <v>2722</v>
      </c>
      <c r="F11" s="1565" t="s">
        <v>2593</v>
      </c>
      <c r="G11" s="1567" t="s">
        <v>2765</v>
      </c>
      <c r="H11" s="1570" t="s">
        <v>2729</v>
      </c>
      <c r="I11" s="1570" t="s">
        <v>3113</v>
      </c>
      <c r="J11" s="1563" t="s">
        <v>2738</v>
      </c>
      <c r="K11" s="1563" t="s">
        <v>2626</v>
      </c>
      <c r="L11" s="1565" t="s">
        <v>2627</v>
      </c>
      <c r="M11" s="562" t="s">
        <v>3096</v>
      </c>
      <c r="N11" s="562"/>
      <c r="O11" s="1568" t="s">
        <v>3115</v>
      </c>
      <c r="P11" s="1542" t="s">
        <v>3097</v>
      </c>
      <c r="Q11" s="1542"/>
      <c r="R11" s="1569" t="s">
        <v>2734</v>
      </c>
      <c r="S11" s="1545" t="s">
        <v>2736</v>
      </c>
    </row>
    <row r="12" spans="2:40" s="299" customFormat="1" ht="15" customHeight="1" x14ac:dyDescent="0.25">
      <c r="B12" s="1563"/>
      <c r="C12" s="1565"/>
      <c r="D12" s="1565"/>
      <c r="E12" s="1565"/>
      <c r="F12" s="1565"/>
      <c r="G12" s="1567"/>
      <c r="H12" s="1570"/>
      <c r="I12" s="1570"/>
      <c r="J12" s="1563"/>
      <c r="K12" s="1563"/>
      <c r="L12" s="1565"/>
      <c r="M12" s="1565" t="s">
        <v>2628</v>
      </c>
      <c r="N12" s="1541" t="s">
        <v>2480</v>
      </c>
      <c r="O12" s="1568"/>
      <c r="P12" s="1542" t="s">
        <v>3098</v>
      </c>
      <c r="Q12" s="560" t="s">
        <v>2480</v>
      </c>
      <c r="R12" s="1569"/>
      <c r="S12" s="1545"/>
    </row>
    <row r="13" spans="2:40" s="299" customFormat="1" ht="33" customHeight="1" x14ac:dyDescent="0.25">
      <c r="B13" s="1563"/>
      <c r="C13" s="1565"/>
      <c r="D13" s="1565"/>
      <c r="E13" s="1565"/>
      <c r="F13" s="1565"/>
      <c r="G13" s="1567"/>
      <c r="H13" s="1570"/>
      <c r="I13" s="1570"/>
      <c r="J13" s="1563"/>
      <c r="K13" s="1563"/>
      <c r="L13" s="1565"/>
      <c r="M13" s="1565"/>
      <c r="N13" s="1541"/>
      <c r="O13" s="1568"/>
      <c r="P13" s="1542"/>
      <c r="Q13" s="561">
        <v>18</v>
      </c>
      <c r="R13" s="558"/>
      <c r="S13" s="559"/>
    </row>
    <row r="14" spans="2:40" s="299" customFormat="1" ht="15.75" x14ac:dyDescent="0.25">
      <c r="B14" s="295">
        <v>1177</v>
      </c>
      <c r="C14" s="304" t="s">
        <v>3091</v>
      </c>
      <c r="D14" s="304" t="s">
        <v>3092</v>
      </c>
      <c r="E14" s="304" t="s">
        <v>3093</v>
      </c>
      <c r="F14" s="304" t="s">
        <v>3094</v>
      </c>
      <c r="G14" s="304" t="s">
        <v>3095</v>
      </c>
      <c r="H14" s="305">
        <v>1</v>
      </c>
      <c r="I14" s="295">
        <v>40</v>
      </c>
      <c r="J14" s="295">
        <v>0</v>
      </c>
      <c r="K14" s="295">
        <v>0</v>
      </c>
      <c r="L14" s="306">
        <v>41144</v>
      </c>
      <c r="M14" s="316">
        <f t="shared" ref="M14:M22" si="0">2579.96/599.28</f>
        <v>4.3050994526765454</v>
      </c>
      <c r="N14" s="307">
        <f t="shared" ref="N14:N22" si="1">M14*S$9</f>
        <v>2753.8429668936055</v>
      </c>
      <c r="O14" s="307">
        <v>0</v>
      </c>
      <c r="P14" s="295">
        <v>0</v>
      </c>
      <c r="Q14" s="311">
        <f t="shared" ref="Q14:Q22" si="2">P14*Q13</f>
        <v>0</v>
      </c>
      <c r="R14" s="313">
        <v>0</v>
      </c>
      <c r="S14" s="313">
        <f>N14</f>
        <v>2753.8429668936055</v>
      </c>
    </row>
    <row r="15" spans="2:40" s="299" customFormat="1" ht="15.75" x14ac:dyDescent="0.25">
      <c r="B15" s="295">
        <v>1203</v>
      </c>
      <c r="C15" s="304" t="s">
        <v>3099</v>
      </c>
      <c r="D15" s="304" t="s">
        <v>3092</v>
      </c>
      <c r="E15" s="304" t="s">
        <v>3093</v>
      </c>
      <c r="F15" s="304" t="s">
        <v>3094</v>
      </c>
      <c r="G15" s="304" t="s">
        <v>3095</v>
      </c>
      <c r="H15" s="305">
        <v>1</v>
      </c>
      <c r="I15" s="295">
        <v>40</v>
      </c>
      <c r="J15" s="295">
        <v>0</v>
      </c>
      <c r="K15" s="295">
        <v>0</v>
      </c>
      <c r="L15" s="306">
        <v>42736</v>
      </c>
      <c r="M15" s="316">
        <f t="shared" si="0"/>
        <v>4.3050994526765454</v>
      </c>
      <c r="N15" s="307">
        <f t="shared" si="1"/>
        <v>2753.8429668936055</v>
      </c>
      <c r="O15" s="307">
        <v>0</v>
      </c>
      <c r="P15" s="295">
        <v>0</v>
      </c>
      <c r="Q15" s="311">
        <f t="shared" si="2"/>
        <v>0</v>
      </c>
      <c r="R15" s="313">
        <v>0</v>
      </c>
      <c r="S15" s="313">
        <f>N15</f>
        <v>2753.8429668936055</v>
      </c>
    </row>
    <row r="16" spans="2:40" s="299" customFormat="1" ht="15.75" x14ac:dyDescent="0.25">
      <c r="B16" s="295">
        <v>1158</v>
      </c>
      <c r="C16" s="304" t="s">
        <v>3100</v>
      </c>
      <c r="D16" s="304" t="s">
        <v>3092</v>
      </c>
      <c r="E16" s="304" t="s">
        <v>3093</v>
      </c>
      <c r="F16" s="304" t="s">
        <v>3094</v>
      </c>
      <c r="G16" s="304" t="s">
        <v>3095</v>
      </c>
      <c r="H16" s="305">
        <v>1</v>
      </c>
      <c r="I16" s="295">
        <v>40</v>
      </c>
      <c r="J16" s="295">
        <v>0</v>
      </c>
      <c r="K16" s="295">
        <v>0</v>
      </c>
      <c r="L16" s="306">
        <v>39814</v>
      </c>
      <c r="M16" s="316">
        <f t="shared" si="0"/>
        <v>4.3050994526765454</v>
      </c>
      <c r="N16" s="307">
        <f t="shared" si="1"/>
        <v>2753.8429668936055</v>
      </c>
      <c r="O16" s="307">
        <v>0</v>
      </c>
      <c r="P16" s="295">
        <v>0</v>
      </c>
      <c r="Q16" s="311">
        <f t="shared" si="2"/>
        <v>0</v>
      </c>
      <c r="R16" s="313">
        <v>0</v>
      </c>
      <c r="S16" s="313">
        <f>N16</f>
        <v>2753.8429668936055</v>
      </c>
    </row>
    <row r="17" spans="2:19" s="299" customFormat="1" ht="15.75" x14ac:dyDescent="0.25">
      <c r="B17" s="295">
        <v>1204</v>
      </c>
      <c r="C17" s="304" t="s">
        <v>3101</v>
      </c>
      <c r="D17" s="304" t="s">
        <v>3092</v>
      </c>
      <c r="E17" s="304" t="s">
        <v>3093</v>
      </c>
      <c r="F17" s="304" t="s">
        <v>3094</v>
      </c>
      <c r="G17" s="304" t="s">
        <v>3095</v>
      </c>
      <c r="H17" s="305">
        <v>1</v>
      </c>
      <c r="I17" s="295">
        <v>40</v>
      </c>
      <c r="J17" s="295">
        <v>0</v>
      </c>
      <c r="K17" s="295">
        <v>0</v>
      </c>
      <c r="L17" s="306">
        <v>42736</v>
      </c>
      <c r="M17" s="316">
        <f t="shared" si="0"/>
        <v>4.3050994526765454</v>
      </c>
      <c r="N17" s="307">
        <f t="shared" si="1"/>
        <v>2753.8429668936055</v>
      </c>
      <c r="O17" s="307">
        <v>0</v>
      </c>
      <c r="P17" s="295">
        <v>0</v>
      </c>
      <c r="Q17" s="311">
        <f t="shared" si="2"/>
        <v>0</v>
      </c>
      <c r="R17" s="313">
        <v>0</v>
      </c>
      <c r="S17" s="313">
        <f>N17</f>
        <v>2753.8429668936055</v>
      </c>
    </row>
    <row r="18" spans="2:19" s="299" customFormat="1" ht="15.75" x14ac:dyDescent="0.25">
      <c r="B18" s="295">
        <v>1202</v>
      </c>
      <c r="C18" s="304" t="s">
        <v>3102</v>
      </c>
      <c r="D18" s="304" t="s">
        <v>3092</v>
      </c>
      <c r="E18" s="304" t="s">
        <v>3093</v>
      </c>
      <c r="F18" s="304" t="s">
        <v>3094</v>
      </c>
      <c r="G18" s="304" t="s">
        <v>3095</v>
      </c>
      <c r="H18" s="305">
        <v>1</v>
      </c>
      <c r="I18" s="295">
        <v>40</v>
      </c>
      <c r="J18" s="295">
        <v>0</v>
      </c>
      <c r="K18" s="295">
        <v>0</v>
      </c>
      <c r="L18" s="306">
        <v>42736</v>
      </c>
      <c r="M18" s="316">
        <f t="shared" si="0"/>
        <v>4.3050994526765454</v>
      </c>
      <c r="N18" s="307">
        <f t="shared" si="1"/>
        <v>2753.8429668936055</v>
      </c>
      <c r="O18" s="307">
        <f>N18*45%</f>
        <v>1239.2293351021226</v>
      </c>
      <c r="P18" s="295">
        <v>0</v>
      </c>
      <c r="Q18" s="311">
        <f t="shared" si="2"/>
        <v>0</v>
      </c>
      <c r="R18" s="313">
        <v>0</v>
      </c>
      <c r="S18" s="313">
        <f>N18+O18</f>
        <v>3993.0723019957281</v>
      </c>
    </row>
    <row r="19" spans="2:19" s="299" customFormat="1" ht="15.75" x14ac:dyDescent="0.25">
      <c r="B19" s="295">
        <v>1205</v>
      </c>
      <c r="C19" s="304" t="s">
        <v>3103</v>
      </c>
      <c r="D19" s="304" t="s">
        <v>3092</v>
      </c>
      <c r="E19" s="304" t="s">
        <v>3093</v>
      </c>
      <c r="F19" s="304" t="s">
        <v>3094</v>
      </c>
      <c r="G19" s="304" t="s">
        <v>3095</v>
      </c>
      <c r="H19" s="305">
        <v>1</v>
      </c>
      <c r="I19" s="295">
        <v>40</v>
      </c>
      <c r="J19" s="295">
        <v>0</v>
      </c>
      <c r="K19" s="295">
        <v>0</v>
      </c>
      <c r="L19" s="306">
        <v>42736</v>
      </c>
      <c r="M19" s="316">
        <f t="shared" si="0"/>
        <v>4.3050994526765454</v>
      </c>
      <c r="N19" s="307">
        <f t="shared" si="1"/>
        <v>2753.8429668936055</v>
      </c>
      <c r="O19" s="307">
        <v>0</v>
      </c>
      <c r="P19" s="295">
        <v>0</v>
      </c>
      <c r="Q19" s="311">
        <f t="shared" si="2"/>
        <v>0</v>
      </c>
      <c r="R19" s="313">
        <v>0</v>
      </c>
      <c r="S19" s="313">
        <f>N19</f>
        <v>2753.8429668936055</v>
      </c>
    </row>
    <row r="20" spans="2:19" s="299" customFormat="1" ht="15.75" x14ac:dyDescent="0.25">
      <c r="B20" s="295">
        <v>1180</v>
      </c>
      <c r="C20" s="304" t="s">
        <v>3104</v>
      </c>
      <c r="D20" s="304" t="s">
        <v>3092</v>
      </c>
      <c r="E20" s="304" t="s">
        <v>3093</v>
      </c>
      <c r="F20" s="304" t="s">
        <v>3094</v>
      </c>
      <c r="G20" s="304" t="s">
        <v>3095</v>
      </c>
      <c r="H20" s="305">
        <v>1</v>
      </c>
      <c r="I20" s="295">
        <v>40</v>
      </c>
      <c r="J20" s="295">
        <v>0</v>
      </c>
      <c r="K20" s="295">
        <v>0</v>
      </c>
      <c r="L20" s="306">
        <v>41275</v>
      </c>
      <c r="M20" s="316">
        <f t="shared" si="0"/>
        <v>4.3050994526765454</v>
      </c>
      <c r="N20" s="307">
        <f t="shared" si="1"/>
        <v>2753.8429668936055</v>
      </c>
      <c r="O20" s="307">
        <v>0</v>
      </c>
      <c r="P20" s="295">
        <v>0</v>
      </c>
      <c r="Q20" s="311">
        <f t="shared" si="2"/>
        <v>0</v>
      </c>
      <c r="R20" s="313">
        <v>0</v>
      </c>
      <c r="S20" s="313">
        <f>N20</f>
        <v>2753.8429668936055</v>
      </c>
    </row>
    <row r="21" spans="2:19" s="299" customFormat="1" ht="15.75" x14ac:dyDescent="0.25">
      <c r="B21" s="295">
        <v>1179</v>
      </c>
      <c r="C21" s="304" t="s">
        <v>3105</v>
      </c>
      <c r="D21" s="304" t="s">
        <v>3092</v>
      </c>
      <c r="E21" s="304" t="s">
        <v>3093</v>
      </c>
      <c r="F21" s="304" t="s">
        <v>3094</v>
      </c>
      <c r="G21" s="304" t="s">
        <v>3095</v>
      </c>
      <c r="H21" s="305">
        <v>1</v>
      </c>
      <c r="I21" s="295">
        <v>40</v>
      </c>
      <c r="J21" s="295">
        <v>0</v>
      </c>
      <c r="K21" s="295">
        <v>0</v>
      </c>
      <c r="L21" s="306">
        <v>41275</v>
      </c>
      <c r="M21" s="316">
        <f t="shared" si="0"/>
        <v>4.3050994526765454</v>
      </c>
      <c r="N21" s="307">
        <f t="shared" si="1"/>
        <v>2753.8429668936055</v>
      </c>
      <c r="O21" s="307">
        <v>0</v>
      </c>
      <c r="P21" s="295">
        <v>0</v>
      </c>
      <c r="Q21" s="311">
        <f t="shared" si="2"/>
        <v>0</v>
      </c>
      <c r="R21" s="313">
        <v>0</v>
      </c>
      <c r="S21" s="313">
        <f>N21</f>
        <v>2753.8429668936055</v>
      </c>
    </row>
    <row r="22" spans="2:19" s="299" customFormat="1" ht="15.75" x14ac:dyDescent="0.25">
      <c r="B22" s="295">
        <v>1160</v>
      </c>
      <c r="C22" s="304" t="s">
        <v>3106</v>
      </c>
      <c r="D22" s="304" t="s">
        <v>3092</v>
      </c>
      <c r="E22" s="304" t="s">
        <v>3093</v>
      </c>
      <c r="F22" s="304" t="s">
        <v>3094</v>
      </c>
      <c r="G22" s="304" t="s">
        <v>3095</v>
      </c>
      <c r="H22" s="305">
        <v>1</v>
      </c>
      <c r="I22" s="295">
        <v>40</v>
      </c>
      <c r="J22" s="295">
        <v>0</v>
      </c>
      <c r="K22" s="295">
        <v>0</v>
      </c>
      <c r="L22" s="306">
        <v>39814</v>
      </c>
      <c r="M22" s="316">
        <f t="shared" si="0"/>
        <v>4.3050994526765454</v>
      </c>
      <c r="N22" s="307">
        <f t="shared" si="1"/>
        <v>2753.8429668936055</v>
      </c>
      <c r="O22" s="307">
        <v>0</v>
      </c>
      <c r="P22" s="295">
        <v>0</v>
      </c>
      <c r="Q22" s="311">
        <f t="shared" si="2"/>
        <v>0</v>
      </c>
      <c r="R22" s="313">
        <v>0</v>
      </c>
      <c r="S22" s="313">
        <f>N22</f>
        <v>2753.8429668936055</v>
      </c>
    </row>
    <row r="23" spans="2:19" s="299" customFormat="1" x14ac:dyDescent="0.25">
      <c r="B23" s="1565" t="s">
        <v>2934</v>
      </c>
      <c r="C23" s="1565"/>
      <c r="D23" s="1565"/>
      <c r="E23" s="1565"/>
      <c r="F23" s="1565"/>
      <c r="G23" s="1565"/>
      <c r="H23" s="1565"/>
      <c r="I23" s="1565"/>
      <c r="J23" s="1565"/>
      <c r="K23" s="1565"/>
      <c r="L23" s="1565"/>
      <c r="M23" s="1565"/>
      <c r="N23" s="302">
        <f>SUM(N14:N22)</f>
        <v>24784.586702042445</v>
      </c>
      <c r="O23" s="302">
        <f>SUM(O14:O22)</f>
        <v>1239.2293351021226</v>
      </c>
      <c r="P23" s="315"/>
      <c r="Q23" s="302">
        <f>SUM(Q14:Q22)</f>
        <v>0</v>
      </c>
      <c r="R23" s="302">
        <f>SUM(R14:R22)</f>
        <v>0</v>
      </c>
      <c r="S23" s="302">
        <f>SUM(S14:S22)</f>
        <v>26023.816037144567</v>
      </c>
    </row>
    <row r="24" spans="2:19" s="299" customFormat="1" ht="15.75" x14ac:dyDescent="0.25">
      <c r="B24" s="295">
        <v>1212</v>
      </c>
      <c r="C24" s="304" t="s">
        <v>3107</v>
      </c>
      <c r="D24" s="304" t="s">
        <v>3108</v>
      </c>
      <c r="E24" s="304" t="s">
        <v>2723</v>
      </c>
      <c r="F24" s="304" t="s">
        <v>3094</v>
      </c>
      <c r="G24" s="304" t="s">
        <v>3095</v>
      </c>
      <c r="H24" s="305">
        <v>1</v>
      </c>
      <c r="I24" s="295">
        <v>40</v>
      </c>
      <c r="J24" s="295">
        <v>0</v>
      </c>
      <c r="K24" s="295">
        <v>0</v>
      </c>
      <c r="L24" s="306">
        <v>43256</v>
      </c>
      <c r="M24" s="295">
        <f>2996.4/599.28</f>
        <v>5</v>
      </c>
      <c r="N24" s="307">
        <f>M24*S$9</f>
        <v>3198.35</v>
      </c>
      <c r="O24" s="307">
        <v>0</v>
      </c>
      <c r="P24" s="295">
        <v>22</v>
      </c>
      <c r="Q24" s="311">
        <f>Q$13*P24</f>
        <v>396</v>
      </c>
      <c r="R24" s="313">
        <f>N24/3</f>
        <v>1066.1166666666666</v>
      </c>
      <c r="S24" s="313">
        <f>N24</f>
        <v>3198.35</v>
      </c>
    </row>
    <row r="25" spans="2:19" s="299" customFormat="1" ht="15.75" x14ac:dyDescent="0.25">
      <c r="B25" s="295">
        <v>1213</v>
      </c>
      <c r="C25" s="304" t="s">
        <v>3109</v>
      </c>
      <c r="D25" s="304" t="s">
        <v>3110</v>
      </c>
      <c r="E25" s="304" t="s">
        <v>2723</v>
      </c>
      <c r="F25" s="304" t="s">
        <v>3094</v>
      </c>
      <c r="G25" s="304" t="s">
        <v>3095</v>
      </c>
      <c r="H25" s="305">
        <v>1</v>
      </c>
      <c r="I25" s="295">
        <v>40</v>
      </c>
      <c r="J25" s="295">
        <v>0</v>
      </c>
      <c r="K25" s="295">
        <v>0</v>
      </c>
      <c r="L25" s="306">
        <v>43256</v>
      </c>
      <c r="M25" s="295">
        <f>1797.84/599.28</f>
        <v>3</v>
      </c>
      <c r="N25" s="307">
        <f>M25*S$9</f>
        <v>1919.0099999999998</v>
      </c>
      <c r="O25" s="307">
        <v>0</v>
      </c>
      <c r="P25" s="295">
        <v>22</v>
      </c>
      <c r="Q25" s="311">
        <f>Q$13*P25</f>
        <v>396</v>
      </c>
      <c r="R25" s="313">
        <f>N25/3</f>
        <v>639.66999999999996</v>
      </c>
      <c r="S25" s="313">
        <f>N25</f>
        <v>1919.0099999999998</v>
      </c>
    </row>
    <row r="26" spans="2:19" s="299" customFormat="1" ht="15.75" x14ac:dyDescent="0.25">
      <c r="B26" s="295">
        <v>1211</v>
      </c>
      <c r="C26" s="304" t="s">
        <v>3111</v>
      </c>
      <c r="D26" s="304" t="s">
        <v>3112</v>
      </c>
      <c r="E26" s="304" t="s">
        <v>2723</v>
      </c>
      <c r="F26" s="304" t="s">
        <v>3094</v>
      </c>
      <c r="G26" s="304" t="s">
        <v>3095</v>
      </c>
      <c r="H26" s="305">
        <v>1</v>
      </c>
      <c r="I26" s="295">
        <v>40</v>
      </c>
      <c r="J26" s="295">
        <v>0</v>
      </c>
      <c r="K26" s="295">
        <v>0</v>
      </c>
      <c r="L26" s="306">
        <v>43256</v>
      </c>
      <c r="M26" s="295">
        <f>4494.6/599.28</f>
        <v>7.5000000000000009</v>
      </c>
      <c r="N26" s="307">
        <f>M26*S$9</f>
        <v>4797.5250000000005</v>
      </c>
      <c r="O26" s="307">
        <v>0</v>
      </c>
      <c r="P26" s="295">
        <v>22</v>
      </c>
      <c r="Q26" s="311">
        <f>Q$13*P26</f>
        <v>396</v>
      </c>
      <c r="R26" s="313">
        <f>N26/3</f>
        <v>1599.1750000000002</v>
      </c>
      <c r="S26" s="313">
        <f>N26</f>
        <v>4797.5250000000005</v>
      </c>
    </row>
    <row r="27" spans="2:19" s="299" customFormat="1" x14ac:dyDescent="0.25">
      <c r="B27" s="1565" t="s">
        <v>2755</v>
      </c>
      <c r="C27" s="1565"/>
      <c r="D27" s="1565"/>
      <c r="E27" s="1565"/>
      <c r="F27" s="1565"/>
      <c r="G27" s="1565"/>
      <c r="H27" s="1565"/>
      <c r="I27" s="1565"/>
      <c r="J27" s="1565"/>
      <c r="K27" s="1565"/>
      <c r="L27" s="1565"/>
      <c r="M27" s="1565"/>
      <c r="N27" s="302">
        <f>SUM(N24:N26)</f>
        <v>9914.8850000000002</v>
      </c>
      <c r="O27" s="302">
        <f>SUM(O24:O26)</f>
        <v>0</v>
      </c>
      <c r="P27" s="315"/>
      <c r="Q27" s="302">
        <f>SUM(Q24:Q26)</f>
        <v>1188</v>
      </c>
      <c r="R27" s="302">
        <f>SUM(R24:R26)</f>
        <v>3304.9616666666666</v>
      </c>
      <c r="S27" s="302">
        <f>SUM(S24:S26)</f>
        <v>9914.8850000000002</v>
      </c>
    </row>
    <row r="28" spans="2:19" s="299" customFormat="1" ht="15.75" x14ac:dyDescent="0.25">
      <c r="B28" s="295"/>
      <c r="C28" s="1422" t="s">
        <v>7863</v>
      </c>
      <c r="D28" s="596" t="s">
        <v>1574</v>
      </c>
      <c r="E28" s="304"/>
      <c r="F28" s="304"/>
      <c r="G28" s="304"/>
      <c r="H28" s="305"/>
      <c r="I28" s="295"/>
      <c r="J28" s="295"/>
      <c r="K28" s="295"/>
      <c r="L28" s="306"/>
      <c r="M28" s="295"/>
      <c r="N28" s="307"/>
      <c r="O28" s="307"/>
      <c r="P28" s="311"/>
      <c r="Q28" s="311"/>
    </row>
    <row r="29" spans="2:19" x14ac:dyDescent="0.25">
      <c r="C29" s="292" t="s">
        <v>7869</v>
      </c>
      <c r="D29" s="1431">
        <f>N23</f>
        <v>24784.586702042445</v>
      </c>
      <c r="L29" s="295"/>
      <c r="O29" s="1566"/>
      <c r="P29" s="1566"/>
    </row>
    <row r="30" spans="2:19" x14ac:dyDescent="0.25">
      <c r="C30" s="292" t="s">
        <v>7870</v>
      </c>
      <c r="D30" s="1431">
        <f>O18</f>
        <v>1239.2293351021226</v>
      </c>
      <c r="L30" s="295"/>
    </row>
    <row r="31" spans="2:19" x14ac:dyDescent="0.25">
      <c r="C31" s="292" t="s">
        <v>7862</v>
      </c>
      <c r="D31" s="1431">
        <f>S23</f>
        <v>26023.816037144567</v>
      </c>
      <c r="L31" s="295"/>
    </row>
    <row r="32" spans="2:19" x14ac:dyDescent="0.25">
      <c r="L32" s="295"/>
    </row>
    <row r="33" spans="2:17" x14ac:dyDescent="0.25">
      <c r="C33" s="571" t="s">
        <v>7864</v>
      </c>
      <c r="D33" s="571" t="s">
        <v>1574</v>
      </c>
      <c r="L33" s="295"/>
    </row>
    <row r="34" spans="2:17" x14ac:dyDescent="0.25">
      <c r="C34" s="292" t="s">
        <v>7865</v>
      </c>
      <c r="D34" s="1431">
        <f>N27</f>
        <v>9914.8850000000002</v>
      </c>
      <c r="L34" s="295"/>
    </row>
    <row r="35" spans="2:17" x14ac:dyDescent="0.25">
      <c r="C35" s="292" t="s">
        <v>7866</v>
      </c>
      <c r="D35" s="1431">
        <f>R27</f>
        <v>3304.9616666666666</v>
      </c>
      <c r="L35" s="295"/>
    </row>
    <row r="36" spans="2:17" x14ac:dyDescent="0.25">
      <c r="C36" s="292" t="s">
        <v>7867</v>
      </c>
      <c r="D36" s="1431">
        <f>S27</f>
        <v>9914.8850000000002</v>
      </c>
      <c r="L36" s="295"/>
    </row>
    <row r="37" spans="2:17" x14ac:dyDescent="0.25">
      <c r="C37" s="292" t="s">
        <v>7868</v>
      </c>
      <c r="D37" s="1431">
        <f>Q27</f>
        <v>1188</v>
      </c>
      <c r="L37" s="295"/>
    </row>
    <row r="38" spans="2:17" x14ac:dyDescent="0.25">
      <c r="L38" s="295"/>
    </row>
    <row r="39" spans="2:17" x14ac:dyDescent="0.25">
      <c r="L39" s="295"/>
    </row>
    <row r="40" spans="2:17" x14ac:dyDescent="0.25">
      <c r="L40" s="295"/>
    </row>
    <row r="41" spans="2:17" x14ac:dyDescent="0.25">
      <c r="B41" s="294"/>
      <c r="C41" s="294"/>
      <c r="D41" s="294"/>
      <c r="E41" s="294"/>
      <c r="F41" s="294"/>
      <c r="G41" s="294"/>
      <c r="H41" s="294"/>
      <c r="I41" s="294"/>
      <c r="J41" s="294"/>
      <c r="L41" s="295"/>
      <c r="M41" s="294"/>
      <c r="P41" s="294"/>
      <c r="Q41" s="294"/>
    </row>
    <row r="42" spans="2:17" x14ac:dyDescent="0.25">
      <c r="B42" s="294"/>
      <c r="C42" s="294"/>
      <c r="D42" s="294"/>
      <c r="E42" s="294"/>
      <c r="F42" s="294"/>
      <c r="G42" s="294"/>
      <c r="H42" s="294"/>
      <c r="I42" s="294"/>
      <c r="J42" s="294"/>
      <c r="L42" s="295"/>
      <c r="M42" s="294"/>
      <c r="P42" s="294"/>
      <c r="Q42" s="294"/>
    </row>
    <row r="43" spans="2:17" x14ac:dyDescent="0.25">
      <c r="B43" s="294"/>
      <c r="C43" s="294"/>
      <c r="D43" s="294"/>
      <c r="E43" s="294"/>
      <c r="F43" s="294"/>
      <c r="G43" s="294"/>
      <c r="H43" s="294"/>
      <c r="I43" s="294"/>
      <c r="J43" s="294"/>
      <c r="L43" s="295"/>
      <c r="M43" s="294"/>
      <c r="P43" s="294"/>
      <c r="Q43" s="294"/>
    </row>
    <row r="44" spans="2:17" x14ac:dyDescent="0.25">
      <c r="B44" s="294"/>
      <c r="C44" s="294"/>
      <c r="D44" s="294"/>
      <c r="E44" s="294"/>
      <c r="F44" s="294"/>
      <c r="G44" s="294"/>
      <c r="H44" s="294"/>
      <c r="I44" s="294"/>
      <c r="J44" s="294"/>
      <c r="L44" s="295"/>
      <c r="M44" s="294"/>
      <c r="P44" s="294"/>
      <c r="Q44" s="294"/>
    </row>
    <row r="45" spans="2:17" x14ac:dyDescent="0.25">
      <c r="B45" s="294"/>
      <c r="C45" s="294"/>
      <c r="D45" s="294"/>
      <c r="E45" s="294"/>
      <c r="F45" s="294"/>
      <c r="G45" s="294"/>
      <c r="H45" s="294"/>
      <c r="I45" s="294"/>
      <c r="J45" s="294"/>
      <c r="L45" s="295"/>
      <c r="M45" s="294"/>
      <c r="P45" s="294"/>
      <c r="Q45" s="294"/>
    </row>
    <row r="46" spans="2:17" x14ac:dyDescent="0.25">
      <c r="B46" s="294"/>
      <c r="C46" s="294"/>
      <c r="D46" s="294"/>
      <c r="E46" s="294"/>
      <c r="F46" s="294"/>
      <c r="G46" s="294"/>
      <c r="H46" s="294"/>
      <c r="I46" s="294"/>
      <c r="J46" s="294"/>
      <c r="L46" s="295"/>
      <c r="M46" s="294"/>
      <c r="P46" s="294"/>
      <c r="Q46" s="294"/>
    </row>
    <row r="47" spans="2:17" x14ac:dyDescent="0.25">
      <c r="B47" s="294"/>
      <c r="C47" s="294"/>
      <c r="D47" s="294"/>
      <c r="E47" s="294"/>
      <c r="F47" s="294"/>
      <c r="G47" s="294"/>
      <c r="H47" s="294"/>
      <c r="I47" s="294"/>
      <c r="J47" s="294"/>
      <c r="L47" s="295"/>
      <c r="M47" s="294"/>
      <c r="P47" s="294"/>
      <c r="Q47" s="294"/>
    </row>
    <row r="48" spans="2:17" x14ac:dyDescent="0.25">
      <c r="B48" s="294"/>
      <c r="C48" s="294"/>
      <c r="D48" s="294"/>
      <c r="E48" s="294"/>
      <c r="F48" s="294"/>
      <c r="G48" s="294"/>
      <c r="H48" s="294"/>
      <c r="I48" s="294"/>
      <c r="J48" s="294"/>
      <c r="L48" s="295"/>
      <c r="M48" s="294"/>
      <c r="P48" s="294"/>
      <c r="Q48" s="294"/>
    </row>
    <row r="49" spans="2:17" x14ac:dyDescent="0.25">
      <c r="B49" s="294"/>
      <c r="C49" s="294"/>
      <c r="D49" s="294"/>
      <c r="E49" s="294"/>
      <c r="F49" s="294"/>
      <c r="G49" s="294"/>
      <c r="H49" s="294"/>
      <c r="I49" s="294"/>
      <c r="J49" s="294"/>
      <c r="L49" s="295"/>
      <c r="M49" s="294"/>
      <c r="P49" s="294"/>
      <c r="Q49" s="294"/>
    </row>
    <row r="50" spans="2:17" x14ac:dyDescent="0.25">
      <c r="B50" s="294"/>
      <c r="C50" s="294"/>
      <c r="D50" s="294"/>
      <c r="E50" s="294"/>
      <c r="F50" s="294"/>
      <c r="G50" s="294"/>
      <c r="H50" s="294"/>
      <c r="I50" s="294"/>
      <c r="J50" s="294"/>
      <c r="L50" s="295"/>
      <c r="M50" s="294"/>
      <c r="P50" s="294"/>
      <c r="Q50" s="294"/>
    </row>
    <row r="51" spans="2:17" x14ac:dyDescent="0.25">
      <c r="B51" s="294"/>
      <c r="C51" s="294"/>
      <c r="D51" s="294"/>
      <c r="E51" s="294"/>
      <c r="F51" s="294"/>
      <c r="G51" s="294"/>
      <c r="H51" s="294"/>
      <c r="I51" s="294"/>
      <c r="J51" s="294"/>
      <c r="L51" s="295"/>
      <c r="M51" s="294"/>
      <c r="P51" s="294"/>
      <c r="Q51" s="294"/>
    </row>
    <row r="52" spans="2:17" x14ac:dyDescent="0.25">
      <c r="B52" s="294"/>
      <c r="C52" s="294"/>
      <c r="D52" s="294"/>
      <c r="E52" s="294"/>
      <c r="F52" s="294"/>
      <c r="G52" s="294"/>
      <c r="H52" s="294"/>
      <c r="I52" s="294"/>
      <c r="J52" s="294"/>
      <c r="L52" s="295"/>
      <c r="M52" s="294"/>
      <c r="P52" s="294"/>
      <c r="Q52" s="294"/>
    </row>
    <row r="53" spans="2:17" x14ac:dyDescent="0.25">
      <c r="B53" s="294"/>
      <c r="C53" s="294"/>
      <c r="D53" s="294"/>
      <c r="E53" s="294"/>
      <c r="F53" s="294"/>
      <c r="G53" s="294"/>
      <c r="H53" s="294"/>
      <c r="I53" s="294"/>
      <c r="J53" s="294"/>
      <c r="L53" s="295"/>
      <c r="M53" s="294"/>
      <c r="P53" s="294"/>
      <c r="Q53" s="294"/>
    </row>
    <row r="54" spans="2:17" x14ac:dyDescent="0.25">
      <c r="B54" s="294"/>
      <c r="C54" s="294"/>
      <c r="D54" s="294"/>
      <c r="E54" s="294"/>
      <c r="F54" s="294"/>
      <c r="G54" s="294"/>
      <c r="H54" s="294"/>
      <c r="I54" s="294"/>
      <c r="J54" s="294"/>
      <c r="L54" s="295"/>
      <c r="M54" s="294"/>
      <c r="P54" s="294"/>
      <c r="Q54" s="294"/>
    </row>
    <row r="55" spans="2:17" x14ac:dyDescent="0.25">
      <c r="B55" s="294"/>
      <c r="C55" s="294"/>
      <c r="D55" s="294"/>
      <c r="E55" s="294"/>
      <c r="F55" s="294"/>
      <c r="G55" s="294"/>
      <c r="H55" s="294"/>
      <c r="I55" s="294"/>
      <c r="J55" s="294"/>
      <c r="L55" s="295"/>
      <c r="M55" s="294"/>
      <c r="P55" s="294"/>
      <c r="Q55" s="294"/>
    </row>
    <row r="56" spans="2:17" x14ac:dyDescent="0.25">
      <c r="B56" s="294"/>
      <c r="C56" s="294"/>
      <c r="D56" s="294"/>
      <c r="E56" s="294"/>
      <c r="F56" s="294"/>
      <c r="G56" s="294"/>
      <c r="H56" s="294"/>
      <c r="I56" s="294"/>
      <c r="J56" s="294"/>
      <c r="L56" s="295"/>
      <c r="M56" s="294"/>
      <c r="P56" s="294"/>
      <c r="Q56" s="294"/>
    </row>
    <row r="57" spans="2:17" x14ac:dyDescent="0.25">
      <c r="B57" s="294"/>
      <c r="C57" s="294"/>
      <c r="D57" s="294"/>
      <c r="E57" s="294"/>
      <c r="F57" s="294"/>
      <c r="G57" s="294"/>
      <c r="H57" s="294"/>
      <c r="I57" s="294"/>
      <c r="J57" s="294"/>
      <c r="L57" s="295"/>
      <c r="M57" s="294"/>
      <c r="P57" s="294"/>
      <c r="Q57" s="294"/>
    </row>
    <row r="58" spans="2:17" x14ac:dyDescent="0.25">
      <c r="B58" s="294"/>
      <c r="C58" s="294"/>
      <c r="D58" s="294"/>
      <c r="E58" s="294"/>
      <c r="F58" s="294"/>
      <c r="G58" s="294"/>
      <c r="H58" s="294"/>
      <c r="I58" s="294"/>
      <c r="J58" s="294"/>
      <c r="L58" s="295"/>
      <c r="M58" s="294"/>
      <c r="P58" s="294"/>
      <c r="Q58" s="294"/>
    </row>
    <row r="59" spans="2:17" x14ac:dyDescent="0.25">
      <c r="B59" s="294"/>
      <c r="C59" s="294"/>
      <c r="D59" s="294"/>
      <c r="E59" s="294"/>
      <c r="F59" s="294"/>
      <c r="G59" s="294"/>
      <c r="H59" s="294"/>
      <c r="I59" s="294"/>
      <c r="J59" s="294"/>
      <c r="L59" s="295"/>
      <c r="M59" s="294"/>
      <c r="P59" s="294"/>
      <c r="Q59" s="294"/>
    </row>
    <row r="60" spans="2:17" x14ac:dyDescent="0.25">
      <c r="B60" s="294"/>
      <c r="C60" s="294"/>
      <c r="D60" s="294"/>
      <c r="E60" s="294"/>
      <c r="F60" s="294"/>
      <c r="G60" s="294"/>
      <c r="H60" s="294"/>
      <c r="I60" s="294"/>
      <c r="J60" s="294"/>
      <c r="L60" s="295"/>
      <c r="M60" s="294"/>
      <c r="P60" s="294"/>
      <c r="Q60" s="294"/>
    </row>
    <row r="61" spans="2:17" x14ac:dyDescent="0.25">
      <c r="B61" s="294"/>
      <c r="C61" s="294"/>
      <c r="D61" s="294"/>
      <c r="E61" s="294"/>
      <c r="F61" s="294"/>
      <c r="G61" s="294"/>
      <c r="H61" s="294"/>
      <c r="I61" s="294"/>
      <c r="J61" s="294"/>
      <c r="L61" s="295"/>
      <c r="M61" s="294"/>
      <c r="P61" s="294"/>
      <c r="Q61" s="294"/>
    </row>
    <row r="62" spans="2:17" x14ac:dyDescent="0.25">
      <c r="B62" s="294"/>
      <c r="C62" s="294"/>
      <c r="D62" s="294"/>
      <c r="E62" s="294"/>
      <c r="F62" s="294"/>
      <c r="G62" s="294"/>
      <c r="H62" s="294"/>
      <c r="I62" s="294"/>
      <c r="J62" s="294"/>
      <c r="L62" s="295"/>
      <c r="M62" s="294"/>
      <c r="P62" s="294"/>
      <c r="Q62" s="294"/>
    </row>
    <row r="63" spans="2:17" x14ac:dyDescent="0.25">
      <c r="B63" s="294"/>
      <c r="C63" s="294"/>
      <c r="D63" s="294"/>
      <c r="E63" s="294"/>
      <c r="F63" s="294"/>
      <c r="G63" s="294"/>
      <c r="H63" s="294"/>
      <c r="I63" s="294"/>
      <c r="J63" s="294"/>
      <c r="L63" s="295"/>
      <c r="M63" s="294"/>
      <c r="P63" s="294"/>
      <c r="Q63" s="294"/>
    </row>
    <row r="64" spans="2:17" x14ac:dyDescent="0.25">
      <c r="B64" s="294"/>
      <c r="C64" s="294"/>
      <c r="D64" s="294"/>
      <c r="E64" s="294"/>
      <c r="F64" s="294"/>
      <c r="G64" s="294"/>
      <c r="H64" s="294"/>
      <c r="I64" s="294"/>
      <c r="J64" s="294"/>
      <c r="L64" s="295"/>
      <c r="M64" s="294"/>
      <c r="P64" s="294"/>
      <c r="Q64" s="294"/>
    </row>
    <row r="65" spans="2:17" x14ac:dyDescent="0.25">
      <c r="B65" s="294"/>
      <c r="C65" s="294"/>
      <c r="D65" s="294"/>
      <c r="E65" s="294"/>
      <c r="F65" s="294"/>
      <c r="G65" s="294"/>
      <c r="H65" s="294"/>
      <c r="I65" s="294"/>
      <c r="J65" s="294"/>
      <c r="L65" s="295"/>
      <c r="M65" s="294"/>
      <c r="P65" s="294"/>
      <c r="Q65" s="294"/>
    </row>
    <row r="66" spans="2:17" x14ac:dyDescent="0.25">
      <c r="B66" s="294"/>
      <c r="C66" s="294"/>
      <c r="D66" s="294"/>
      <c r="E66" s="294"/>
      <c r="F66" s="294"/>
      <c r="G66" s="294"/>
      <c r="H66" s="294"/>
      <c r="I66" s="294"/>
      <c r="J66" s="294"/>
      <c r="L66" s="295"/>
      <c r="M66" s="294"/>
      <c r="P66" s="294"/>
      <c r="Q66" s="294"/>
    </row>
    <row r="67" spans="2:17" x14ac:dyDescent="0.25">
      <c r="B67" s="294"/>
      <c r="C67" s="294"/>
      <c r="D67" s="294"/>
      <c r="E67" s="294"/>
      <c r="F67" s="294"/>
      <c r="G67" s="294"/>
      <c r="H67" s="294"/>
      <c r="I67" s="294"/>
      <c r="J67" s="294"/>
      <c r="L67" s="295"/>
      <c r="M67" s="294"/>
      <c r="P67" s="294"/>
      <c r="Q67" s="294"/>
    </row>
    <row r="68" spans="2:17" x14ac:dyDescent="0.25">
      <c r="B68" s="294"/>
      <c r="C68" s="294"/>
      <c r="D68" s="294"/>
      <c r="E68" s="294"/>
      <c r="F68" s="294"/>
      <c r="G68" s="294"/>
      <c r="H68" s="294"/>
      <c r="I68" s="294"/>
      <c r="J68" s="294"/>
      <c r="L68" s="295"/>
      <c r="M68" s="294"/>
      <c r="P68" s="294"/>
      <c r="Q68" s="294"/>
    </row>
    <row r="69" spans="2:17" x14ac:dyDescent="0.25">
      <c r="B69" s="294"/>
      <c r="C69" s="294"/>
      <c r="D69" s="294"/>
      <c r="E69" s="294"/>
      <c r="F69" s="294"/>
      <c r="G69" s="294"/>
      <c r="H69" s="294"/>
      <c r="I69" s="294"/>
      <c r="J69" s="294"/>
      <c r="L69" s="295"/>
      <c r="M69" s="294"/>
      <c r="P69" s="294"/>
      <c r="Q69" s="294"/>
    </row>
    <row r="70" spans="2:17" x14ac:dyDescent="0.25">
      <c r="B70" s="294"/>
      <c r="C70" s="294"/>
      <c r="D70" s="294"/>
      <c r="E70" s="294"/>
      <c r="F70" s="294"/>
      <c r="G70" s="294"/>
      <c r="H70" s="294"/>
      <c r="I70" s="294"/>
      <c r="J70" s="294"/>
      <c r="L70" s="295"/>
      <c r="M70" s="294"/>
      <c r="P70" s="294"/>
      <c r="Q70" s="294"/>
    </row>
    <row r="71" spans="2:17" x14ac:dyDescent="0.25">
      <c r="B71" s="294"/>
      <c r="C71" s="294"/>
      <c r="D71" s="294"/>
      <c r="E71" s="294"/>
      <c r="F71" s="294"/>
      <c r="G71" s="294"/>
      <c r="H71" s="294"/>
      <c r="I71" s="294"/>
      <c r="J71" s="294"/>
      <c r="L71" s="295"/>
      <c r="M71" s="294"/>
      <c r="P71" s="294"/>
      <c r="Q71" s="294"/>
    </row>
    <row r="72" spans="2:17" x14ac:dyDescent="0.25">
      <c r="B72" s="294"/>
      <c r="C72" s="294"/>
      <c r="D72" s="294"/>
      <c r="E72" s="294"/>
      <c r="F72" s="294"/>
      <c r="G72" s="294"/>
      <c r="H72" s="294"/>
      <c r="I72" s="294"/>
      <c r="J72" s="294"/>
      <c r="L72" s="295"/>
      <c r="M72" s="294"/>
      <c r="P72" s="294"/>
      <c r="Q72" s="294"/>
    </row>
    <row r="73" spans="2:17" x14ac:dyDescent="0.25">
      <c r="B73" s="294"/>
      <c r="C73" s="294"/>
      <c r="D73" s="294"/>
      <c r="E73" s="294"/>
      <c r="F73" s="294"/>
      <c r="G73" s="294"/>
      <c r="H73" s="294"/>
      <c r="I73" s="294"/>
      <c r="J73" s="294"/>
      <c r="L73" s="295"/>
      <c r="M73" s="294"/>
      <c r="P73" s="294"/>
      <c r="Q73" s="294"/>
    </row>
    <row r="74" spans="2:17" x14ac:dyDescent="0.25">
      <c r="B74" s="294"/>
      <c r="C74" s="294"/>
      <c r="D74" s="294"/>
      <c r="E74" s="294"/>
      <c r="F74" s="294"/>
      <c r="G74" s="294"/>
      <c r="H74" s="294"/>
      <c r="I74" s="294"/>
      <c r="J74" s="294"/>
      <c r="L74" s="295"/>
      <c r="M74" s="294"/>
      <c r="P74" s="294"/>
      <c r="Q74" s="294"/>
    </row>
    <row r="75" spans="2:17" x14ac:dyDescent="0.25">
      <c r="B75" s="294"/>
      <c r="C75" s="294"/>
      <c r="D75" s="294"/>
      <c r="E75" s="294"/>
      <c r="F75" s="294"/>
      <c r="G75" s="294"/>
      <c r="H75" s="294"/>
      <c r="I75" s="294"/>
      <c r="J75" s="294"/>
      <c r="L75" s="295"/>
      <c r="M75" s="294"/>
      <c r="P75" s="294"/>
      <c r="Q75" s="294"/>
    </row>
    <row r="76" spans="2:17" x14ac:dyDescent="0.25">
      <c r="B76" s="294"/>
      <c r="C76" s="294"/>
      <c r="D76" s="294"/>
      <c r="E76" s="294"/>
      <c r="F76" s="294"/>
      <c r="G76" s="294"/>
      <c r="H76" s="294"/>
      <c r="I76" s="294"/>
      <c r="J76" s="294"/>
      <c r="L76" s="295"/>
      <c r="M76" s="294"/>
      <c r="P76" s="294"/>
      <c r="Q76" s="294"/>
    </row>
    <row r="77" spans="2:17" x14ac:dyDescent="0.25">
      <c r="B77" s="294"/>
      <c r="C77" s="294"/>
      <c r="D77" s="294"/>
      <c r="E77" s="294"/>
      <c r="F77" s="294"/>
      <c r="G77" s="294"/>
      <c r="H77" s="294"/>
      <c r="I77" s="294"/>
      <c r="J77" s="294"/>
      <c r="L77" s="295"/>
      <c r="M77" s="294"/>
      <c r="P77" s="294"/>
      <c r="Q77" s="294"/>
    </row>
    <row r="78" spans="2:17" x14ac:dyDescent="0.25">
      <c r="B78" s="294"/>
      <c r="C78" s="294"/>
      <c r="D78" s="294"/>
      <c r="E78" s="294"/>
      <c r="F78" s="294"/>
      <c r="G78" s="294"/>
      <c r="H78" s="294"/>
      <c r="I78" s="294"/>
      <c r="J78" s="294"/>
      <c r="L78" s="295"/>
      <c r="M78" s="294"/>
      <c r="P78" s="294"/>
      <c r="Q78" s="294"/>
    </row>
    <row r="79" spans="2:17" x14ac:dyDescent="0.25">
      <c r="B79" s="294"/>
      <c r="C79" s="294"/>
      <c r="D79" s="294"/>
      <c r="E79" s="294"/>
      <c r="F79" s="294"/>
      <c r="G79" s="294"/>
      <c r="H79" s="294"/>
      <c r="I79" s="294"/>
      <c r="J79" s="294"/>
      <c r="L79" s="295"/>
      <c r="M79" s="294"/>
      <c r="P79" s="294"/>
      <c r="Q79" s="294"/>
    </row>
    <row r="80" spans="2:17" x14ac:dyDescent="0.25">
      <c r="B80" s="294"/>
      <c r="C80" s="294"/>
      <c r="D80" s="294"/>
      <c r="E80" s="294"/>
      <c r="F80" s="294"/>
      <c r="G80" s="294"/>
      <c r="H80" s="294"/>
      <c r="I80" s="294"/>
      <c r="J80" s="294"/>
      <c r="L80" s="295"/>
      <c r="M80" s="294"/>
      <c r="P80" s="294"/>
      <c r="Q80" s="294"/>
    </row>
    <row r="81" spans="2:17" x14ac:dyDescent="0.25">
      <c r="B81" s="294"/>
      <c r="C81" s="294"/>
      <c r="D81" s="294"/>
      <c r="E81" s="294"/>
      <c r="F81" s="294"/>
      <c r="G81" s="294"/>
      <c r="H81" s="294"/>
      <c r="I81" s="294"/>
      <c r="J81" s="294"/>
      <c r="L81" s="295"/>
      <c r="M81" s="294"/>
      <c r="P81" s="294"/>
      <c r="Q81" s="294"/>
    </row>
    <row r="82" spans="2:17" x14ac:dyDescent="0.25">
      <c r="B82" s="294"/>
      <c r="C82" s="294"/>
      <c r="D82" s="294"/>
      <c r="E82" s="294"/>
      <c r="F82" s="294"/>
      <c r="G82" s="294"/>
      <c r="H82" s="294"/>
      <c r="I82" s="294"/>
      <c r="J82" s="294"/>
      <c r="L82" s="295"/>
      <c r="M82" s="294"/>
      <c r="P82" s="294"/>
      <c r="Q82" s="294"/>
    </row>
    <row r="83" spans="2:17" x14ac:dyDescent="0.25">
      <c r="B83" s="294"/>
      <c r="C83" s="294"/>
      <c r="D83" s="294"/>
      <c r="E83" s="294"/>
      <c r="F83" s="294"/>
      <c r="G83" s="294"/>
      <c r="H83" s="294"/>
      <c r="I83" s="294"/>
      <c r="J83" s="294"/>
      <c r="L83" s="295"/>
      <c r="M83" s="294"/>
      <c r="P83" s="294"/>
      <c r="Q83" s="294"/>
    </row>
    <row r="84" spans="2:17" x14ac:dyDescent="0.25">
      <c r="B84" s="294"/>
      <c r="C84" s="294"/>
      <c r="D84" s="294"/>
      <c r="E84" s="294"/>
      <c r="F84" s="294"/>
      <c r="G84" s="294"/>
      <c r="H84" s="294"/>
      <c r="I84" s="294"/>
      <c r="J84" s="294"/>
      <c r="L84" s="295"/>
      <c r="M84" s="294"/>
      <c r="P84" s="294"/>
      <c r="Q84" s="294"/>
    </row>
    <row r="85" spans="2:17" x14ac:dyDescent="0.25">
      <c r="B85" s="294"/>
      <c r="C85" s="294"/>
      <c r="D85" s="294"/>
      <c r="E85" s="294"/>
      <c r="F85" s="294"/>
      <c r="G85" s="294"/>
      <c r="H85" s="294"/>
      <c r="I85" s="294"/>
      <c r="J85" s="294"/>
      <c r="L85" s="295"/>
      <c r="M85" s="294"/>
      <c r="P85" s="294"/>
      <c r="Q85" s="294"/>
    </row>
    <row r="86" spans="2:17" x14ac:dyDescent="0.25">
      <c r="B86" s="294"/>
      <c r="C86" s="294"/>
      <c r="D86" s="294"/>
      <c r="E86" s="294"/>
      <c r="F86" s="294"/>
      <c r="G86" s="294"/>
      <c r="H86" s="294"/>
      <c r="I86" s="294"/>
      <c r="J86" s="294"/>
      <c r="L86" s="295"/>
      <c r="M86" s="294"/>
      <c r="P86" s="294"/>
      <c r="Q86" s="294"/>
    </row>
    <row r="87" spans="2:17" x14ac:dyDescent="0.25">
      <c r="B87" s="294"/>
      <c r="C87" s="294"/>
      <c r="D87" s="294"/>
      <c r="E87" s="294"/>
      <c r="F87" s="294"/>
      <c r="G87" s="294"/>
      <c r="H87" s="294"/>
      <c r="I87" s="294"/>
      <c r="J87" s="294"/>
      <c r="L87" s="295"/>
      <c r="M87" s="294"/>
      <c r="P87" s="294"/>
      <c r="Q87" s="294"/>
    </row>
    <row r="88" spans="2:17" x14ac:dyDescent="0.25">
      <c r="B88" s="294"/>
      <c r="C88" s="294"/>
      <c r="D88" s="294"/>
      <c r="E88" s="294"/>
      <c r="F88" s="294"/>
      <c r="G88" s="294"/>
      <c r="H88" s="294"/>
      <c r="I88" s="294"/>
      <c r="J88" s="294"/>
      <c r="L88" s="295"/>
      <c r="M88" s="294"/>
      <c r="P88" s="294"/>
      <c r="Q88" s="294"/>
    </row>
    <row r="89" spans="2:17" x14ac:dyDescent="0.25">
      <c r="B89" s="294"/>
      <c r="C89" s="294"/>
      <c r="D89" s="294"/>
      <c r="E89" s="294"/>
      <c r="F89" s="294"/>
      <c r="G89" s="294"/>
      <c r="H89" s="294"/>
      <c r="I89" s="294"/>
      <c r="J89" s="294"/>
      <c r="L89" s="295"/>
      <c r="M89" s="294"/>
      <c r="P89" s="294"/>
      <c r="Q89" s="294"/>
    </row>
    <row r="90" spans="2:17" x14ac:dyDescent="0.25">
      <c r="B90" s="294"/>
      <c r="C90" s="294"/>
      <c r="D90" s="294"/>
      <c r="E90" s="294"/>
      <c r="F90" s="294"/>
      <c r="G90" s="294"/>
      <c r="H90" s="294"/>
      <c r="I90" s="294"/>
      <c r="J90" s="294"/>
      <c r="L90" s="295"/>
      <c r="M90" s="294"/>
      <c r="P90" s="294"/>
      <c r="Q90" s="294"/>
    </row>
    <row r="91" spans="2:17" x14ac:dyDescent="0.25">
      <c r="B91" s="294"/>
      <c r="C91" s="294"/>
      <c r="D91" s="294"/>
      <c r="E91" s="294"/>
      <c r="F91" s="294"/>
      <c r="G91" s="294"/>
      <c r="H91" s="294"/>
      <c r="I91" s="294"/>
      <c r="J91" s="294"/>
      <c r="L91" s="295"/>
      <c r="M91" s="294"/>
      <c r="P91" s="294"/>
      <c r="Q91" s="294"/>
    </row>
    <row r="92" spans="2:17" x14ac:dyDescent="0.25">
      <c r="B92" s="294"/>
      <c r="C92" s="294"/>
      <c r="D92" s="294"/>
      <c r="E92" s="294"/>
      <c r="F92" s="294"/>
      <c r="G92" s="294"/>
      <c r="H92" s="294"/>
      <c r="I92" s="294"/>
      <c r="J92" s="294"/>
      <c r="L92" s="295"/>
      <c r="M92" s="294"/>
      <c r="P92" s="294"/>
      <c r="Q92" s="294"/>
    </row>
    <row r="93" spans="2:17" x14ac:dyDescent="0.25">
      <c r="B93" s="294"/>
      <c r="C93" s="294"/>
      <c r="D93" s="294"/>
      <c r="E93" s="294"/>
      <c r="F93" s="294"/>
      <c r="G93" s="294"/>
      <c r="H93" s="294"/>
      <c r="I93" s="294"/>
      <c r="J93" s="294"/>
      <c r="L93" s="295"/>
      <c r="M93" s="294"/>
      <c r="P93" s="294"/>
      <c r="Q93" s="294"/>
    </row>
    <row r="94" spans="2:17" x14ac:dyDescent="0.25">
      <c r="B94" s="294"/>
      <c r="C94" s="294"/>
      <c r="D94" s="294"/>
      <c r="E94" s="294"/>
      <c r="F94" s="294"/>
      <c r="G94" s="294"/>
      <c r="H94" s="294"/>
      <c r="I94" s="294"/>
      <c r="J94" s="294"/>
      <c r="L94" s="295"/>
      <c r="M94" s="294"/>
      <c r="P94" s="294"/>
      <c r="Q94" s="294"/>
    </row>
    <row r="95" spans="2:17" x14ac:dyDescent="0.25">
      <c r="B95" s="294"/>
      <c r="C95" s="294"/>
      <c r="D95" s="294"/>
      <c r="E95" s="294"/>
      <c r="F95" s="294"/>
      <c r="G95" s="294"/>
      <c r="H95" s="294"/>
      <c r="I95" s="294"/>
      <c r="J95" s="294"/>
      <c r="L95" s="295"/>
      <c r="M95" s="294"/>
      <c r="P95" s="294"/>
      <c r="Q95" s="294"/>
    </row>
    <row r="96" spans="2:17" x14ac:dyDescent="0.25">
      <c r="B96" s="294"/>
      <c r="C96" s="294"/>
      <c r="D96" s="294"/>
      <c r="E96" s="294"/>
      <c r="F96" s="294"/>
      <c r="G96" s="294"/>
      <c r="H96" s="294"/>
      <c r="I96" s="294"/>
      <c r="J96" s="294"/>
      <c r="L96" s="295"/>
      <c r="M96" s="294"/>
      <c r="P96" s="294"/>
      <c r="Q96" s="294"/>
    </row>
    <row r="97" spans="2:17" x14ac:dyDescent="0.25">
      <c r="B97" s="294"/>
      <c r="C97" s="294"/>
      <c r="D97" s="294"/>
      <c r="E97" s="294"/>
      <c r="F97" s="294"/>
      <c r="G97" s="294"/>
      <c r="H97" s="294"/>
      <c r="I97" s="294"/>
      <c r="J97" s="294"/>
      <c r="L97" s="295"/>
      <c r="M97" s="294"/>
      <c r="P97" s="294"/>
      <c r="Q97" s="294"/>
    </row>
    <row r="98" spans="2:17" x14ac:dyDescent="0.25">
      <c r="B98" s="294"/>
      <c r="C98" s="294"/>
      <c r="D98" s="294"/>
      <c r="E98" s="294"/>
      <c r="F98" s="294"/>
      <c r="G98" s="294"/>
      <c r="H98" s="294"/>
      <c r="I98" s="294"/>
      <c r="J98" s="294"/>
      <c r="L98" s="295"/>
      <c r="M98" s="294"/>
      <c r="P98" s="294"/>
      <c r="Q98" s="294"/>
    </row>
    <row r="99" spans="2:17" x14ac:dyDescent="0.25">
      <c r="B99" s="294"/>
      <c r="C99" s="294"/>
      <c r="D99" s="294"/>
      <c r="E99" s="294"/>
      <c r="F99" s="294"/>
      <c r="G99" s="294"/>
      <c r="H99" s="294"/>
      <c r="I99" s="294"/>
      <c r="J99" s="294"/>
      <c r="L99" s="295"/>
      <c r="M99" s="294"/>
      <c r="P99" s="294"/>
      <c r="Q99" s="294"/>
    </row>
    <row r="100" spans="2:17" x14ac:dyDescent="0.25">
      <c r="B100" s="294"/>
      <c r="C100" s="294"/>
      <c r="D100" s="294"/>
      <c r="E100" s="294"/>
      <c r="F100" s="294"/>
      <c r="G100" s="294"/>
      <c r="H100" s="294"/>
      <c r="I100" s="294"/>
      <c r="J100" s="294"/>
      <c r="L100" s="295"/>
      <c r="M100" s="294"/>
      <c r="P100" s="294"/>
      <c r="Q100" s="294"/>
    </row>
    <row r="101" spans="2:17" x14ac:dyDescent="0.25">
      <c r="B101" s="294"/>
      <c r="C101" s="294"/>
      <c r="D101" s="294"/>
      <c r="E101" s="294"/>
      <c r="F101" s="294"/>
      <c r="G101" s="294"/>
      <c r="H101" s="294"/>
      <c r="I101" s="294"/>
      <c r="J101" s="294"/>
      <c r="L101" s="295"/>
      <c r="M101" s="294"/>
      <c r="P101" s="294"/>
      <c r="Q101" s="294"/>
    </row>
    <row r="102" spans="2:17" x14ac:dyDescent="0.25">
      <c r="B102" s="294"/>
      <c r="C102" s="294"/>
      <c r="D102" s="294"/>
      <c r="E102" s="294"/>
      <c r="F102" s="294"/>
      <c r="G102" s="294"/>
      <c r="H102" s="294"/>
      <c r="I102" s="294"/>
      <c r="J102" s="294"/>
      <c r="L102" s="295"/>
      <c r="M102" s="294"/>
      <c r="P102" s="294"/>
      <c r="Q102" s="294"/>
    </row>
    <row r="103" spans="2:17" x14ac:dyDescent="0.25">
      <c r="B103" s="294"/>
      <c r="C103" s="294"/>
      <c r="D103" s="294"/>
      <c r="E103" s="294"/>
      <c r="F103" s="294"/>
      <c r="G103" s="294"/>
      <c r="H103" s="294"/>
      <c r="I103" s="294"/>
      <c r="J103" s="294"/>
      <c r="L103" s="295"/>
      <c r="M103" s="294"/>
      <c r="P103" s="294"/>
      <c r="Q103" s="294"/>
    </row>
    <row r="104" spans="2:17" x14ac:dyDescent="0.25">
      <c r="B104" s="294"/>
      <c r="C104" s="294"/>
      <c r="D104" s="294"/>
      <c r="E104" s="294"/>
      <c r="F104" s="294"/>
      <c r="G104" s="294"/>
      <c r="H104" s="294"/>
      <c r="I104" s="294"/>
      <c r="J104" s="294"/>
      <c r="L104" s="295"/>
      <c r="M104" s="294"/>
      <c r="P104" s="294"/>
      <c r="Q104" s="294"/>
    </row>
    <row r="105" spans="2:17" x14ac:dyDescent="0.25">
      <c r="B105" s="294"/>
      <c r="C105" s="294"/>
      <c r="D105" s="294"/>
      <c r="E105" s="294"/>
      <c r="F105" s="294"/>
      <c r="G105" s="294"/>
      <c r="H105" s="294"/>
      <c r="I105" s="294"/>
      <c r="J105" s="294"/>
      <c r="L105" s="295"/>
      <c r="M105" s="294"/>
      <c r="P105" s="294"/>
      <c r="Q105" s="294"/>
    </row>
    <row r="106" spans="2:17" x14ac:dyDescent="0.25">
      <c r="B106" s="294"/>
      <c r="C106" s="294"/>
      <c r="D106" s="294"/>
      <c r="E106" s="294"/>
      <c r="F106" s="294"/>
      <c r="G106" s="294"/>
      <c r="H106" s="294"/>
      <c r="I106" s="294"/>
      <c r="J106" s="294"/>
      <c r="L106" s="295"/>
      <c r="M106" s="294"/>
      <c r="P106" s="294"/>
      <c r="Q106" s="294"/>
    </row>
    <row r="107" spans="2:17" x14ac:dyDescent="0.25">
      <c r="B107" s="294"/>
      <c r="C107" s="294"/>
      <c r="D107" s="294"/>
      <c r="E107" s="294"/>
      <c r="F107" s="294"/>
      <c r="G107" s="294"/>
      <c r="H107" s="294"/>
      <c r="I107" s="294"/>
      <c r="J107" s="294"/>
      <c r="L107" s="295"/>
      <c r="M107" s="294"/>
      <c r="P107" s="294"/>
      <c r="Q107" s="294"/>
    </row>
    <row r="108" spans="2:17" x14ac:dyDescent="0.25">
      <c r="B108" s="294"/>
      <c r="C108" s="294"/>
      <c r="D108" s="294"/>
      <c r="E108" s="294"/>
      <c r="F108" s="294"/>
      <c r="G108" s="294"/>
      <c r="H108" s="294"/>
      <c r="I108" s="294"/>
      <c r="J108" s="294"/>
      <c r="L108" s="295"/>
      <c r="M108" s="294"/>
      <c r="P108" s="294"/>
      <c r="Q108" s="294"/>
    </row>
    <row r="109" spans="2:17" x14ac:dyDescent="0.25">
      <c r="B109" s="294"/>
      <c r="C109" s="294"/>
      <c r="D109" s="294"/>
      <c r="E109" s="294"/>
      <c r="F109" s="294"/>
      <c r="G109" s="294"/>
      <c r="H109" s="294"/>
      <c r="I109" s="294"/>
      <c r="J109" s="294"/>
      <c r="L109" s="295"/>
      <c r="M109" s="294"/>
      <c r="P109" s="294"/>
      <c r="Q109" s="294"/>
    </row>
    <row r="110" spans="2:17" x14ac:dyDescent="0.25">
      <c r="B110" s="294"/>
      <c r="C110" s="294"/>
      <c r="D110" s="294"/>
      <c r="E110" s="294"/>
      <c r="F110" s="294"/>
      <c r="G110" s="294"/>
      <c r="H110" s="294"/>
      <c r="I110" s="294"/>
      <c r="J110" s="294"/>
      <c r="L110" s="295"/>
      <c r="M110" s="294"/>
      <c r="P110" s="294"/>
      <c r="Q110" s="294"/>
    </row>
    <row r="111" spans="2:17" x14ac:dyDescent="0.25">
      <c r="B111" s="294"/>
      <c r="C111" s="294"/>
      <c r="D111" s="294"/>
      <c r="E111" s="294"/>
      <c r="F111" s="294"/>
      <c r="G111" s="294"/>
      <c r="H111" s="294"/>
      <c r="I111" s="294"/>
      <c r="J111" s="294"/>
      <c r="L111" s="295"/>
      <c r="M111" s="294"/>
      <c r="P111" s="294"/>
      <c r="Q111" s="294"/>
    </row>
    <row r="112" spans="2:17" x14ac:dyDescent="0.25">
      <c r="B112" s="294"/>
      <c r="C112" s="294"/>
      <c r="D112" s="294"/>
      <c r="E112" s="294"/>
      <c r="F112" s="294"/>
      <c r="G112" s="294"/>
      <c r="H112" s="294"/>
      <c r="I112" s="294"/>
      <c r="J112" s="294"/>
      <c r="L112" s="295"/>
      <c r="M112" s="294"/>
      <c r="P112" s="294"/>
      <c r="Q112" s="294"/>
    </row>
    <row r="113" spans="2:17" x14ac:dyDescent="0.25">
      <c r="B113" s="294"/>
      <c r="C113" s="294"/>
      <c r="D113" s="294"/>
      <c r="E113" s="294"/>
      <c r="F113" s="294"/>
      <c r="G113" s="294"/>
      <c r="H113" s="294"/>
      <c r="I113" s="294"/>
      <c r="J113" s="294"/>
      <c r="L113" s="295"/>
      <c r="M113" s="294"/>
      <c r="P113" s="294"/>
      <c r="Q113" s="294"/>
    </row>
    <row r="114" spans="2:17" x14ac:dyDescent="0.25">
      <c r="B114" s="294"/>
      <c r="C114" s="294"/>
      <c r="D114" s="294"/>
      <c r="E114" s="294"/>
      <c r="F114" s="294"/>
      <c r="G114" s="294"/>
      <c r="H114" s="294"/>
      <c r="I114" s="294"/>
      <c r="J114" s="294"/>
      <c r="L114" s="295"/>
      <c r="M114" s="294"/>
      <c r="P114" s="294"/>
      <c r="Q114" s="294"/>
    </row>
    <row r="115" spans="2:17" x14ac:dyDescent="0.25">
      <c r="B115" s="294"/>
      <c r="C115" s="294"/>
      <c r="D115" s="294"/>
      <c r="E115" s="294"/>
      <c r="F115" s="294"/>
      <c r="G115" s="294"/>
      <c r="H115" s="294"/>
      <c r="I115" s="294"/>
      <c r="J115" s="294"/>
      <c r="L115" s="295"/>
      <c r="M115" s="294"/>
      <c r="P115" s="294"/>
      <c r="Q115" s="294"/>
    </row>
    <row r="116" spans="2:17" x14ac:dyDescent="0.25">
      <c r="B116" s="294"/>
      <c r="C116" s="294"/>
      <c r="D116" s="294"/>
      <c r="E116" s="294"/>
      <c r="F116" s="294"/>
      <c r="G116" s="294"/>
      <c r="H116" s="294"/>
      <c r="I116" s="294"/>
      <c r="J116" s="294"/>
      <c r="L116" s="295"/>
      <c r="M116" s="294"/>
      <c r="P116" s="294"/>
      <c r="Q116" s="294"/>
    </row>
    <row r="117" spans="2:17" x14ac:dyDescent="0.25">
      <c r="B117" s="294"/>
      <c r="C117" s="294"/>
      <c r="D117" s="294"/>
      <c r="E117" s="294"/>
      <c r="F117" s="294"/>
      <c r="G117" s="294"/>
      <c r="H117" s="294"/>
      <c r="I117" s="294"/>
      <c r="J117" s="294"/>
      <c r="L117" s="295"/>
      <c r="M117" s="294"/>
      <c r="P117" s="294"/>
      <c r="Q117" s="294"/>
    </row>
    <row r="118" spans="2:17" x14ac:dyDescent="0.25">
      <c r="B118" s="294"/>
      <c r="C118" s="294"/>
      <c r="D118" s="294"/>
      <c r="E118" s="294"/>
      <c r="F118" s="294"/>
      <c r="G118" s="294"/>
      <c r="H118" s="294"/>
      <c r="I118" s="294"/>
      <c r="J118" s="294"/>
      <c r="L118" s="295"/>
      <c r="M118" s="294"/>
      <c r="P118" s="294"/>
      <c r="Q118" s="294"/>
    </row>
    <row r="119" spans="2:17" x14ac:dyDescent="0.25">
      <c r="B119" s="294"/>
      <c r="C119" s="294"/>
      <c r="D119" s="294"/>
      <c r="E119" s="294"/>
      <c r="F119" s="294"/>
      <c r="G119" s="294"/>
      <c r="H119" s="294"/>
      <c r="I119" s="294"/>
      <c r="J119" s="294"/>
      <c r="L119" s="295"/>
      <c r="M119" s="294"/>
      <c r="P119" s="294"/>
      <c r="Q119" s="294"/>
    </row>
    <row r="120" spans="2:17" x14ac:dyDescent="0.25">
      <c r="B120" s="294"/>
      <c r="C120" s="294"/>
      <c r="D120" s="294"/>
      <c r="E120" s="294"/>
      <c r="F120" s="294"/>
      <c r="G120" s="294"/>
      <c r="H120" s="294"/>
      <c r="I120" s="294"/>
      <c r="J120" s="294"/>
      <c r="L120" s="295"/>
      <c r="M120" s="294"/>
      <c r="P120" s="294"/>
      <c r="Q120" s="294"/>
    </row>
    <row r="121" spans="2:17" x14ac:dyDescent="0.25">
      <c r="B121" s="294"/>
      <c r="C121" s="294"/>
      <c r="D121" s="294"/>
      <c r="E121" s="294"/>
      <c r="F121" s="294"/>
      <c r="G121" s="294"/>
      <c r="H121" s="294"/>
      <c r="I121" s="294"/>
      <c r="J121" s="294"/>
      <c r="L121" s="295"/>
      <c r="M121" s="294"/>
      <c r="P121" s="294"/>
      <c r="Q121" s="294"/>
    </row>
    <row r="122" spans="2:17" x14ac:dyDescent="0.25">
      <c r="B122" s="294"/>
      <c r="C122" s="294"/>
      <c r="D122" s="294"/>
      <c r="E122" s="294"/>
      <c r="F122" s="294"/>
      <c r="G122" s="294"/>
      <c r="H122" s="294"/>
      <c r="I122" s="294"/>
      <c r="J122" s="294"/>
      <c r="L122" s="295"/>
      <c r="M122" s="294"/>
      <c r="P122" s="294"/>
      <c r="Q122" s="294"/>
    </row>
    <row r="123" spans="2:17" x14ac:dyDescent="0.25">
      <c r="B123" s="294"/>
      <c r="C123" s="294"/>
      <c r="D123" s="294"/>
      <c r="E123" s="294"/>
      <c r="F123" s="294"/>
      <c r="G123" s="294"/>
      <c r="H123" s="294"/>
      <c r="I123" s="294"/>
      <c r="J123" s="294"/>
      <c r="L123" s="295"/>
      <c r="M123" s="294"/>
      <c r="P123" s="294"/>
      <c r="Q123" s="294"/>
    </row>
    <row r="124" spans="2:17" x14ac:dyDescent="0.25">
      <c r="B124" s="294"/>
      <c r="C124" s="294"/>
      <c r="D124" s="294"/>
      <c r="E124" s="294"/>
      <c r="F124" s="294"/>
      <c r="G124" s="294"/>
      <c r="H124" s="294"/>
      <c r="I124" s="294"/>
      <c r="J124" s="294"/>
      <c r="L124" s="295"/>
      <c r="M124" s="294"/>
      <c r="P124" s="294"/>
      <c r="Q124" s="294"/>
    </row>
    <row r="125" spans="2:17" x14ac:dyDescent="0.25">
      <c r="B125" s="294"/>
      <c r="C125" s="294"/>
      <c r="D125" s="294"/>
      <c r="E125" s="294"/>
      <c r="F125" s="294"/>
      <c r="G125" s="294"/>
      <c r="H125" s="294"/>
      <c r="I125" s="294"/>
      <c r="J125" s="294"/>
      <c r="L125" s="295"/>
      <c r="M125" s="294"/>
      <c r="P125" s="294"/>
      <c r="Q125" s="294"/>
    </row>
    <row r="126" spans="2:17" x14ac:dyDescent="0.25">
      <c r="B126" s="294"/>
      <c r="C126" s="294"/>
      <c r="D126" s="294"/>
      <c r="E126" s="294"/>
      <c r="F126" s="294"/>
      <c r="G126" s="294"/>
      <c r="H126" s="294"/>
      <c r="I126" s="294"/>
      <c r="J126" s="294"/>
      <c r="L126" s="295"/>
      <c r="M126" s="294"/>
      <c r="P126" s="294"/>
      <c r="Q126" s="294"/>
    </row>
    <row r="127" spans="2:17" x14ac:dyDescent="0.25">
      <c r="B127" s="294"/>
      <c r="C127" s="294"/>
      <c r="D127" s="294"/>
      <c r="E127" s="294"/>
      <c r="F127" s="294"/>
      <c r="G127" s="294"/>
      <c r="H127" s="294"/>
      <c r="I127" s="294"/>
      <c r="J127" s="294"/>
      <c r="L127" s="295"/>
      <c r="M127" s="294"/>
      <c r="P127" s="294"/>
      <c r="Q127" s="294"/>
    </row>
    <row r="128" spans="2:17" x14ac:dyDescent="0.25">
      <c r="B128" s="294"/>
      <c r="C128" s="294"/>
      <c r="D128" s="294"/>
      <c r="E128" s="294"/>
      <c r="F128" s="294"/>
      <c r="G128" s="294"/>
      <c r="H128" s="294"/>
      <c r="I128" s="294"/>
      <c r="J128" s="294"/>
      <c r="L128" s="295"/>
      <c r="M128" s="294"/>
      <c r="P128" s="294"/>
      <c r="Q128" s="294"/>
    </row>
    <row r="129" spans="2:17" x14ac:dyDescent="0.25">
      <c r="B129" s="294"/>
      <c r="C129" s="294"/>
      <c r="D129" s="294"/>
      <c r="E129" s="294"/>
      <c r="F129" s="294"/>
      <c r="G129" s="294"/>
      <c r="H129" s="294"/>
      <c r="I129" s="294"/>
      <c r="J129" s="294"/>
      <c r="L129" s="295"/>
      <c r="M129" s="294"/>
      <c r="P129" s="294"/>
      <c r="Q129" s="294"/>
    </row>
    <row r="130" spans="2:17" x14ac:dyDescent="0.25">
      <c r="B130" s="294"/>
      <c r="C130" s="294"/>
      <c r="D130" s="294"/>
      <c r="E130" s="294"/>
      <c r="F130" s="294"/>
      <c r="G130" s="294"/>
      <c r="H130" s="294"/>
      <c r="I130" s="294"/>
      <c r="J130" s="294"/>
      <c r="L130" s="295"/>
      <c r="M130" s="294"/>
      <c r="P130" s="294"/>
      <c r="Q130" s="294"/>
    </row>
    <row r="131" spans="2:17" x14ac:dyDescent="0.25">
      <c r="B131" s="294"/>
      <c r="C131" s="294"/>
      <c r="D131" s="294"/>
      <c r="E131" s="294"/>
      <c r="F131" s="294"/>
      <c r="G131" s="294"/>
      <c r="H131" s="294"/>
      <c r="I131" s="294"/>
      <c r="J131" s="294"/>
      <c r="L131" s="295"/>
      <c r="M131" s="294"/>
      <c r="P131" s="294"/>
      <c r="Q131" s="294"/>
    </row>
    <row r="132" spans="2:17" x14ac:dyDescent="0.25">
      <c r="B132" s="294"/>
      <c r="C132" s="294"/>
      <c r="D132" s="294"/>
      <c r="E132" s="294"/>
      <c r="F132" s="294"/>
      <c r="G132" s="294"/>
      <c r="H132" s="294"/>
      <c r="I132" s="294"/>
      <c r="J132" s="294"/>
      <c r="L132" s="295"/>
      <c r="M132" s="294"/>
      <c r="P132" s="294"/>
      <c r="Q132" s="294"/>
    </row>
    <row r="133" spans="2:17" x14ac:dyDescent="0.25">
      <c r="B133" s="294"/>
      <c r="C133" s="294"/>
      <c r="D133" s="294"/>
      <c r="E133" s="294"/>
      <c r="F133" s="294"/>
      <c r="G133" s="294"/>
      <c r="H133" s="294"/>
      <c r="I133" s="294"/>
      <c r="J133" s="294"/>
      <c r="L133" s="295"/>
      <c r="M133" s="294"/>
      <c r="P133" s="294"/>
      <c r="Q133" s="294"/>
    </row>
    <row r="134" spans="2:17" x14ac:dyDescent="0.25">
      <c r="B134" s="294"/>
      <c r="C134" s="294"/>
      <c r="D134" s="294"/>
      <c r="E134" s="294"/>
      <c r="F134" s="294"/>
      <c r="G134" s="294"/>
      <c r="H134" s="294"/>
      <c r="I134" s="294"/>
      <c r="J134" s="294"/>
      <c r="L134" s="295"/>
      <c r="M134" s="294"/>
      <c r="P134" s="294"/>
      <c r="Q134" s="294"/>
    </row>
    <row r="135" spans="2:17" x14ac:dyDescent="0.25">
      <c r="B135" s="294"/>
      <c r="C135" s="294"/>
      <c r="D135" s="294"/>
      <c r="E135" s="294"/>
      <c r="F135" s="294"/>
      <c r="G135" s="294"/>
      <c r="H135" s="294"/>
      <c r="I135" s="294"/>
      <c r="J135" s="294"/>
      <c r="L135" s="295"/>
      <c r="M135" s="294"/>
      <c r="P135" s="294"/>
      <c r="Q135" s="294"/>
    </row>
    <row r="136" spans="2:17" x14ac:dyDescent="0.25">
      <c r="B136" s="294"/>
      <c r="C136" s="294"/>
      <c r="D136" s="294"/>
      <c r="E136" s="294"/>
      <c r="F136" s="294"/>
      <c r="G136" s="294"/>
      <c r="H136" s="294"/>
      <c r="I136" s="294"/>
      <c r="J136" s="294"/>
      <c r="L136" s="295"/>
      <c r="M136" s="294"/>
      <c r="P136" s="294"/>
      <c r="Q136" s="294"/>
    </row>
    <row r="137" spans="2:17" x14ac:dyDescent="0.25">
      <c r="B137" s="294"/>
      <c r="C137" s="294"/>
      <c r="D137" s="294"/>
      <c r="E137" s="294"/>
      <c r="F137" s="294"/>
      <c r="G137" s="294"/>
      <c r="H137" s="294"/>
      <c r="I137" s="294"/>
      <c r="J137" s="294"/>
      <c r="L137" s="295"/>
      <c r="M137" s="294"/>
      <c r="P137" s="294"/>
      <c r="Q137" s="294"/>
    </row>
    <row r="138" spans="2:17" x14ac:dyDescent="0.25">
      <c r="B138" s="294"/>
      <c r="C138" s="294"/>
      <c r="D138" s="294"/>
      <c r="E138" s="294"/>
      <c r="F138" s="294"/>
      <c r="G138" s="294"/>
      <c r="H138" s="294"/>
      <c r="I138" s="294"/>
      <c r="J138" s="294"/>
      <c r="L138" s="295"/>
      <c r="M138" s="294"/>
      <c r="P138" s="294"/>
      <c r="Q138" s="294"/>
    </row>
    <row r="139" spans="2:17" x14ac:dyDescent="0.25">
      <c r="B139" s="294"/>
      <c r="C139" s="294"/>
      <c r="D139" s="294"/>
      <c r="E139" s="294"/>
      <c r="F139" s="294"/>
      <c r="G139" s="294"/>
      <c r="H139" s="294"/>
      <c r="I139" s="294"/>
      <c r="J139" s="294"/>
      <c r="L139" s="295"/>
      <c r="M139" s="294"/>
      <c r="P139" s="294"/>
      <c r="Q139" s="294"/>
    </row>
    <row r="140" spans="2:17" x14ac:dyDescent="0.25">
      <c r="B140" s="294"/>
      <c r="C140" s="294"/>
      <c r="D140" s="294"/>
      <c r="E140" s="294"/>
      <c r="F140" s="294"/>
      <c r="G140" s="294"/>
      <c r="H140" s="294"/>
      <c r="I140" s="294"/>
      <c r="J140" s="294"/>
      <c r="L140" s="295"/>
      <c r="M140" s="294"/>
      <c r="P140" s="294"/>
      <c r="Q140" s="294"/>
    </row>
    <row r="141" spans="2:17" x14ac:dyDescent="0.25">
      <c r="B141" s="294"/>
      <c r="C141" s="294"/>
      <c r="D141" s="294"/>
      <c r="E141" s="294"/>
      <c r="F141" s="294"/>
      <c r="G141" s="294"/>
      <c r="H141" s="294"/>
      <c r="I141" s="294"/>
      <c r="J141" s="294"/>
      <c r="L141" s="295"/>
      <c r="M141" s="294"/>
      <c r="P141" s="294"/>
      <c r="Q141" s="294"/>
    </row>
    <row r="142" spans="2:17" x14ac:dyDescent="0.25">
      <c r="B142" s="294"/>
      <c r="C142" s="294"/>
      <c r="D142" s="294"/>
      <c r="E142" s="294"/>
      <c r="F142" s="294"/>
      <c r="G142" s="294"/>
      <c r="H142" s="294"/>
      <c r="I142" s="294"/>
      <c r="J142" s="294"/>
      <c r="L142" s="295"/>
      <c r="M142" s="294"/>
      <c r="P142" s="294"/>
      <c r="Q142" s="294"/>
    </row>
    <row r="143" spans="2:17" x14ac:dyDescent="0.25">
      <c r="B143" s="294"/>
      <c r="C143" s="294"/>
      <c r="D143" s="294"/>
      <c r="E143" s="294"/>
      <c r="F143" s="294"/>
      <c r="G143" s="294"/>
      <c r="H143" s="294"/>
      <c r="I143" s="294"/>
      <c r="J143" s="294"/>
      <c r="L143" s="295"/>
      <c r="M143" s="294"/>
      <c r="P143" s="294"/>
      <c r="Q143" s="294"/>
    </row>
    <row r="144" spans="2:17" x14ac:dyDescent="0.25">
      <c r="B144" s="294"/>
      <c r="C144" s="294"/>
      <c r="D144" s="294"/>
      <c r="E144" s="294"/>
      <c r="F144" s="294"/>
      <c r="G144" s="294"/>
      <c r="H144" s="294"/>
      <c r="I144" s="294"/>
      <c r="J144" s="294"/>
      <c r="L144" s="295"/>
      <c r="M144" s="294"/>
      <c r="P144" s="294"/>
      <c r="Q144" s="294"/>
    </row>
    <row r="145" spans="2:17" x14ac:dyDescent="0.25">
      <c r="B145" s="294"/>
      <c r="C145" s="294"/>
      <c r="D145" s="294"/>
      <c r="E145" s="294"/>
      <c r="F145" s="294"/>
      <c r="G145" s="294"/>
      <c r="H145" s="294"/>
      <c r="I145" s="294"/>
      <c r="J145" s="294"/>
      <c r="L145" s="295"/>
      <c r="M145" s="294"/>
      <c r="P145" s="294"/>
      <c r="Q145" s="294"/>
    </row>
    <row r="146" spans="2:17" x14ac:dyDescent="0.25">
      <c r="B146" s="294"/>
      <c r="C146" s="294"/>
      <c r="D146" s="294"/>
      <c r="E146" s="294"/>
      <c r="F146" s="294"/>
      <c r="G146" s="294"/>
      <c r="H146" s="294"/>
      <c r="I146" s="294"/>
      <c r="J146" s="294"/>
      <c r="L146" s="295"/>
      <c r="M146" s="294"/>
      <c r="P146" s="294"/>
      <c r="Q146" s="294"/>
    </row>
    <row r="147" spans="2:17" x14ac:dyDescent="0.25">
      <c r="B147" s="294"/>
      <c r="C147" s="294"/>
      <c r="D147" s="294"/>
      <c r="E147" s="294"/>
      <c r="F147" s="294"/>
      <c r="G147" s="294"/>
      <c r="H147" s="294"/>
      <c r="I147" s="294"/>
      <c r="J147" s="294"/>
      <c r="L147" s="295"/>
      <c r="M147" s="294"/>
      <c r="P147" s="294"/>
      <c r="Q147" s="294"/>
    </row>
    <row r="148" spans="2:17" x14ac:dyDescent="0.25">
      <c r="B148" s="294"/>
      <c r="C148" s="294"/>
      <c r="D148" s="294"/>
      <c r="E148" s="294"/>
      <c r="F148" s="294"/>
      <c r="G148" s="294"/>
      <c r="H148" s="294"/>
      <c r="I148" s="294"/>
      <c r="J148" s="294"/>
      <c r="L148" s="295"/>
      <c r="M148" s="294"/>
      <c r="P148" s="294"/>
      <c r="Q148" s="294"/>
    </row>
    <row r="149" spans="2:17" x14ac:dyDescent="0.25">
      <c r="B149" s="294"/>
      <c r="C149" s="294"/>
      <c r="D149" s="294"/>
      <c r="E149" s="294"/>
      <c r="F149" s="294"/>
      <c r="G149" s="294"/>
      <c r="H149" s="294"/>
      <c r="I149" s="294"/>
      <c r="J149" s="294"/>
      <c r="L149" s="295"/>
      <c r="M149" s="294"/>
      <c r="P149" s="294"/>
      <c r="Q149" s="294"/>
    </row>
    <row r="150" spans="2:17" x14ac:dyDescent="0.25">
      <c r="B150" s="294"/>
      <c r="C150" s="294"/>
      <c r="D150" s="294"/>
      <c r="E150" s="294"/>
      <c r="F150" s="294"/>
      <c r="G150" s="294"/>
      <c r="H150" s="294"/>
      <c r="I150" s="294"/>
      <c r="J150" s="294"/>
      <c r="L150" s="295"/>
      <c r="M150" s="294"/>
      <c r="P150" s="294"/>
      <c r="Q150" s="294"/>
    </row>
    <row r="151" spans="2:17" x14ac:dyDescent="0.25">
      <c r="B151" s="294"/>
      <c r="C151" s="294"/>
      <c r="D151" s="294"/>
      <c r="E151" s="294"/>
      <c r="F151" s="294"/>
      <c r="G151" s="294"/>
      <c r="H151" s="294"/>
      <c r="I151" s="294"/>
      <c r="J151" s="294"/>
      <c r="L151" s="295"/>
      <c r="M151" s="294"/>
      <c r="P151" s="294"/>
      <c r="Q151" s="294"/>
    </row>
    <row r="152" spans="2:17" x14ac:dyDescent="0.25">
      <c r="B152" s="294"/>
      <c r="C152" s="294"/>
      <c r="D152" s="294"/>
      <c r="E152" s="294"/>
      <c r="F152" s="294"/>
      <c r="G152" s="294"/>
      <c r="H152" s="294"/>
      <c r="I152" s="294"/>
      <c r="J152" s="294"/>
      <c r="L152" s="295"/>
      <c r="M152" s="294"/>
      <c r="P152" s="294"/>
      <c r="Q152" s="294"/>
    </row>
    <row r="153" spans="2:17" x14ac:dyDescent="0.25">
      <c r="B153" s="294"/>
      <c r="C153" s="294"/>
      <c r="D153" s="294"/>
      <c r="E153" s="294"/>
      <c r="F153" s="294"/>
      <c r="G153" s="294"/>
      <c r="H153" s="294"/>
      <c r="I153" s="294"/>
      <c r="J153" s="294"/>
      <c r="L153" s="295"/>
      <c r="M153" s="294"/>
      <c r="P153" s="294"/>
      <c r="Q153" s="294"/>
    </row>
    <row r="154" spans="2:17" x14ac:dyDescent="0.25">
      <c r="B154" s="294"/>
      <c r="C154" s="294"/>
      <c r="D154" s="294"/>
      <c r="E154" s="294"/>
      <c r="F154" s="294"/>
      <c r="G154" s="294"/>
      <c r="H154" s="294"/>
      <c r="I154" s="294"/>
      <c r="J154" s="294"/>
      <c r="L154" s="295"/>
      <c r="M154" s="294"/>
      <c r="P154" s="294"/>
      <c r="Q154" s="294"/>
    </row>
    <row r="155" spans="2:17" x14ac:dyDescent="0.25">
      <c r="B155" s="294"/>
      <c r="C155" s="294"/>
      <c r="D155" s="294"/>
      <c r="E155" s="294"/>
      <c r="F155" s="294"/>
      <c r="G155" s="294"/>
      <c r="H155" s="294"/>
      <c r="I155" s="294"/>
      <c r="J155" s="294"/>
      <c r="L155" s="295"/>
      <c r="M155" s="294"/>
      <c r="P155" s="294"/>
      <c r="Q155" s="294"/>
    </row>
    <row r="156" spans="2:17" x14ac:dyDescent="0.25">
      <c r="B156" s="294"/>
      <c r="C156" s="294"/>
      <c r="D156" s="294"/>
      <c r="E156" s="294"/>
      <c r="F156" s="294"/>
      <c r="G156" s="294"/>
      <c r="H156" s="294"/>
      <c r="I156" s="294"/>
      <c r="J156" s="294"/>
      <c r="L156" s="295"/>
      <c r="M156" s="294"/>
      <c r="P156" s="294"/>
      <c r="Q156" s="294"/>
    </row>
    <row r="157" spans="2:17" x14ac:dyDescent="0.25">
      <c r="B157" s="294"/>
      <c r="C157" s="294"/>
      <c r="D157" s="294"/>
      <c r="E157" s="294"/>
      <c r="F157" s="294"/>
      <c r="G157" s="294"/>
      <c r="H157" s="294"/>
      <c r="I157" s="294"/>
      <c r="J157" s="294"/>
      <c r="L157" s="295"/>
      <c r="M157" s="294"/>
      <c r="P157" s="294"/>
      <c r="Q157" s="294"/>
    </row>
    <row r="158" spans="2:17" x14ac:dyDescent="0.25">
      <c r="B158" s="294"/>
      <c r="C158" s="294"/>
      <c r="D158" s="294"/>
      <c r="E158" s="294"/>
      <c r="F158" s="294"/>
      <c r="G158" s="294"/>
      <c r="H158" s="294"/>
      <c r="I158" s="294"/>
      <c r="J158" s="294"/>
      <c r="L158" s="295"/>
      <c r="M158" s="294"/>
      <c r="P158" s="294"/>
      <c r="Q158" s="294"/>
    </row>
    <row r="159" spans="2:17" x14ac:dyDescent="0.25">
      <c r="B159" s="294"/>
      <c r="C159" s="294"/>
      <c r="D159" s="294"/>
      <c r="E159" s="294"/>
      <c r="F159" s="294"/>
      <c r="G159" s="294"/>
      <c r="H159" s="294"/>
      <c r="I159" s="294"/>
      <c r="J159" s="294"/>
      <c r="L159" s="295"/>
      <c r="M159" s="294"/>
      <c r="P159" s="294"/>
      <c r="Q159" s="294"/>
    </row>
    <row r="160" spans="2:17" x14ac:dyDescent="0.25">
      <c r="B160" s="294"/>
      <c r="C160" s="294"/>
      <c r="D160" s="294"/>
      <c r="E160" s="294"/>
      <c r="F160" s="294"/>
      <c r="G160" s="294"/>
      <c r="H160" s="294"/>
      <c r="I160" s="294"/>
      <c r="J160" s="294"/>
      <c r="L160" s="295"/>
      <c r="M160" s="294"/>
      <c r="P160" s="294"/>
      <c r="Q160" s="294"/>
    </row>
    <row r="161" spans="2:17" x14ac:dyDescent="0.25">
      <c r="B161" s="294"/>
      <c r="C161" s="294"/>
      <c r="D161" s="294"/>
      <c r="E161" s="294"/>
      <c r="F161" s="294"/>
      <c r="G161" s="294"/>
      <c r="H161" s="294"/>
      <c r="I161" s="294"/>
      <c r="J161" s="294"/>
      <c r="L161" s="295"/>
      <c r="M161" s="294"/>
      <c r="P161" s="294"/>
      <c r="Q161" s="294"/>
    </row>
    <row r="162" spans="2:17" x14ac:dyDescent="0.25">
      <c r="B162" s="294"/>
      <c r="C162" s="294"/>
      <c r="D162" s="294"/>
      <c r="E162" s="294"/>
      <c r="F162" s="294"/>
      <c r="G162" s="294"/>
      <c r="H162" s="294"/>
      <c r="I162" s="294"/>
      <c r="J162" s="294"/>
      <c r="L162" s="295"/>
      <c r="M162" s="294"/>
      <c r="P162" s="294"/>
      <c r="Q162" s="294"/>
    </row>
    <row r="163" spans="2:17" x14ac:dyDescent="0.25">
      <c r="B163" s="294"/>
      <c r="C163" s="294"/>
      <c r="D163" s="294"/>
      <c r="E163" s="294"/>
      <c r="F163" s="294"/>
      <c r="G163" s="294"/>
      <c r="H163" s="294"/>
      <c r="I163" s="294"/>
      <c r="J163" s="294"/>
      <c r="L163" s="295"/>
      <c r="M163" s="294"/>
      <c r="P163" s="294"/>
      <c r="Q163" s="294"/>
    </row>
    <row r="164" spans="2:17" x14ac:dyDescent="0.25">
      <c r="B164" s="294"/>
      <c r="C164" s="294"/>
      <c r="D164" s="294"/>
      <c r="E164" s="294"/>
      <c r="F164" s="294"/>
      <c r="G164" s="294"/>
      <c r="H164" s="294"/>
      <c r="I164" s="294"/>
      <c r="J164" s="294"/>
      <c r="L164" s="295"/>
      <c r="M164" s="294"/>
      <c r="P164" s="294"/>
      <c r="Q164" s="294"/>
    </row>
    <row r="165" spans="2:17" x14ac:dyDescent="0.25">
      <c r="B165" s="294"/>
      <c r="C165" s="294"/>
      <c r="D165" s="294"/>
      <c r="E165" s="294"/>
      <c r="F165" s="294"/>
      <c r="G165" s="294"/>
      <c r="H165" s="294"/>
      <c r="I165" s="294"/>
      <c r="J165" s="294"/>
      <c r="L165" s="295"/>
      <c r="M165" s="294"/>
      <c r="P165" s="294"/>
      <c r="Q165" s="294"/>
    </row>
    <row r="166" spans="2:17" x14ac:dyDescent="0.25">
      <c r="B166" s="294"/>
      <c r="C166" s="294"/>
      <c r="D166" s="294"/>
      <c r="E166" s="294"/>
      <c r="F166" s="294"/>
      <c r="G166" s="294"/>
      <c r="H166" s="294"/>
      <c r="I166" s="294"/>
      <c r="J166" s="294"/>
      <c r="L166" s="295"/>
      <c r="M166" s="294"/>
      <c r="P166" s="294"/>
      <c r="Q166" s="294"/>
    </row>
    <row r="167" spans="2:17" x14ac:dyDescent="0.25">
      <c r="B167" s="294"/>
      <c r="C167" s="294"/>
      <c r="D167" s="294"/>
      <c r="E167" s="294"/>
      <c r="F167" s="294"/>
      <c r="G167" s="294"/>
      <c r="H167" s="294"/>
      <c r="I167" s="294"/>
      <c r="J167" s="294"/>
      <c r="L167" s="295"/>
      <c r="M167" s="294"/>
      <c r="P167" s="294"/>
      <c r="Q167" s="294"/>
    </row>
    <row r="168" spans="2:17" x14ac:dyDescent="0.25">
      <c r="B168" s="294"/>
      <c r="C168" s="294"/>
      <c r="D168" s="294"/>
      <c r="E168" s="294"/>
      <c r="F168" s="294"/>
      <c r="G168" s="294"/>
      <c r="H168" s="294"/>
      <c r="I168" s="294"/>
      <c r="J168" s="294"/>
      <c r="L168" s="295"/>
      <c r="M168" s="294"/>
      <c r="P168" s="294"/>
      <c r="Q168" s="294"/>
    </row>
    <row r="169" spans="2:17" x14ac:dyDescent="0.25">
      <c r="B169" s="294"/>
      <c r="C169" s="294"/>
      <c r="D169" s="294"/>
      <c r="E169" s="294"/>
      <c r="F169" s="294"/>
      <c r="G169" s="294"/>
      <c r="H169" s="294"/>
      <c r="I169" s="294"/>
      <c r="J169" s="294"/>
      <c r="L169" s="295"/>
      <c r="M169" s="294"/>
      <c r="P169" s="294"/>
      <c r="Q169" s="294"/>
    </row>
    <row r="170" spans="2:17" x14ac:dyDescent="0.25">
      <c r="B170" s="294"/>
      <c r="C170" s="294"/>
      <c r="D170" s="294"/>
      <c r="E170" s="294"/>
      <c r="F170" s="294"/>
      <c r="G170" s="294"/>
      <c r="H170" s="294"/>
      <c r="I170" s="294"/>
      <c r="J170" s="294"/>
      <c r="L170" s="295"/>
      <c r="M170" s="294"/>
      <c r="P170" s="294"/>
      <c r="Q170" s="294"/>
    </row>
    <row r="171" spans="2:17" x14ac:dyDescent="0.25">
      <c r="B171" s="294"/>
      <c r="C171" s="294"/>
      <c r="D171" s="294"/>
      <c r="E171" s="294"/>
      <c r="F171" s="294"/>
      <c r="G171" s="294"/>
      <c r="H171" s="294"/>
      <c r="I171" s="294"/>
      <c r="J171" s="294"/>
      <c r="L171" s="295"/>
      <c r="M171" s="294"/>
      <c r="P171" s="294"/>
      <c r="Q171" s="294"/>
    </row>
    <row r="172" spans="2:17" x14ac:dyDescent="0.25">
      <c r="B172" s="294"/>
      <c r="C172" s="294"/>
      <c r="D172" s="294"/>
      <c r="E172" s="294"/>
      <c r="F172" s="294"/>
      <c r="G172" s="294"/>
      <c r="H172" s="294"/>
      <c r="I172" s="294"/>
      <c r="J172" s="294"/>
      <c r="L172" s="295"/>
      <c r="M172" s="294"/>
      <c r="P172" s="294"/>
      <c r="Q172" s="294"/>
    </row>
    <row r="173" spans="2:17" x14ac:dyDescent="0.25">
      <c r="B173" s="294"/>
      <c r="C173" s="294"/>
      <c r="D173" s="294"/>
      <c r="E173" s="294"/>
      <c r="F173" s="294"/>
      <c r="G173" s="294"/>
      <c r="H173" s="294"/>
      <c r="I173" s="294"/>
      <c r="J173" s="294"/>
      <c r="L173" s="295"/>
      <c r="M173" s="294"/>
      <c r="P173" s="294"/>
      <c r="Q173" s="294"/>
    </row>
    <row r="174" spans="2:17" x14ac:dyDescent="0.25">
      <c r="B174" s="294"/>
      <c r="C174" s="294"/>
      <c r="D174" s="294"/>
      <c r="E174" s="294"/>
      <c r="F174" s="294"/>
      <c r="G174" s="294"/>
      <c r="H174" s="294"/>
      <c r="I174" s="294"/>
      <c r="J174" s="294"/>
      <c r="L174" s="295"/>
      <c r="M174" s="294"/>
      <c r="P174" s="294"/>
      <c r="Q174" s="294"/>
    </row>
    <row r="175" spans="2:17" x14ac:dyDescent="0.25">
      <c r="B175" s="294"/>
      <c r="C175" s="294"/>
      <c r="D175" s="294"/>
      <c r="E175" s="294"/>
      <c r="F175" s="294"/>
      <c r="G175" s="294"/>
      <c r="H175" s="294"/>
      <c r="I175" s="294"/>
      <c r="J175" s="294"/>
      <c r="L175" s="295"/>
      <c r="M175" s="294"/>
      <c r="P175" s="294"/>
      <c r="Q175" s="294"/>
    </row>
    <row r="176" spans="2:17" x14ac:dyDescent="0.25">
      <c r="B176" s="294"/>
      <c r="C176" s="294"/>
      <c r="D176" s="294"/>
      <c r="E176" s="294"/>
      <c r="F176" s="294"/>
      <c r="G176" s="294"/>
      <c r="H176" s="294"/>
      <c r="I176" s="294"/>
      <c r="J176" s="294"/>
      <c r="L176" s="295"/>
      <c r="M176" s="294"/>
      <c r="P176" s="294"/>
      <c r="Q176" s="294"/>
    </row>
    <row r="177" spans="2:17" x14ac:dyDescent="0.25">
      <c r="B177" s="294"/>
      <c r="C177" s="294"/>
      <c r="D177" s="294"/>
      <c r="E177" s="294"/>
      <c r="F177" s="294"/>
      <c r="G177" s="294"/>
      <c r="H177" s="294"/>
      <c r="I177" s="294"/>
      <c r="J177" s="294"/>
      <c r="L177" s="295"/>
      <c r="M177" s="294"/>
      <c r="P177" s="294"/>
      <c r="Q177" s="294"/>
    </row>
    <row r="178" spans="2:17" x14ac:dyDescent="0.25">
      <c r="B178" s="294"/>
      <c r="C178" s="294"/>
      <c r="D178" s="294"/>
      <c r="E178" s="294"/>
      <c r="F178" s="294"/>
      <c r="G178" s="294"/>
      <c r="H178" s="294"/>
      <c r="I178" s="294"/>
      <c r="J178" s="294"/>
      <c r="L178" s="295"/>
      <c r="M178" s="294"/>
      <c r="P178" s="294"/>
      <c r="Q178" s="294"/>
    </row>
    <row r="179" spans="2:17" x14ac:dyDescent="0.25">
      <c r="B179" s="294"/>
      <c r="C179" s="294"/>
      <c r="D179" s="294"/>
      <c r="E179" s="294"/>
      <c r="F179" s="294"/>
      <c r="G179" s="294"/>
      <c r="H179" s="294"/>
      <c r="I179" s="294"/>
      <c r="J179" s="294"/>
      <c r="L179" s="295"/>
      <c r="M179" s="294"/>
      <c r="P179" s="294"/>
      <c r="Q179" s="294"/>
    </row>
    <row r="180" spans="2:17" x14ac:dyDescent="0.25">
      <c r="B180" s="294"/>
      <c r="C180" s="294"/>
      <c r="D180" s="294"/>
      <c r="E180" s="294"/>
      <c r="F180" s="294"/>
      <c r="G180" s="294"/>
      <c r="H180" s="294"/>
      <c r="I180" s="294"/>
      <c r="J180" s="294"/>
      <c r="L180" s="295"/>
      <c r="M180" s="294"/>
      <c r="P180" s="294"/>
      <c r="Q180" s="294"/>
    </row>
    <row r="181" spans="2:17" x14ac:dyDescent="0.25">
      <c r="B181" s="294"/>
      <c r="C181" s="294"/>
      <c r="D181" s="294"/>
      <c r="E181" s="294"/>
      <c r="F181" s="294"/>
      <c r="G181" s="294"/>
      <c r="H181" s="294"/>
      <c r="I181" s="294"/>
      <c r="J181" s="294"/>
      <c r="L181" s="295"/>
      <c r="M181" s="294"/>
      <c r="P181" s="294"/>
      <c r="Q181" s="294"/>
    </row>
    <row r="182" spans="2:17" x14ac:dyDescent="0.25">
      <c r="B182" s="294"/>
      <c r="C182" s="294"/>
      <c r="D182" s="294"/>
      <c r="E182" s="294"/>
      <c r="F182" s="294"/>
      <c r="G182" s="294"/>
      <c r="H182" s="294"/>
      <c r="I182" s="294"/>
      <c r="J182" s="294"/>
      <c r="L182" s="295"/>
      <c r="M182" s="294"/>
      <c r="P182" s="294"/>
      <c r="Q182" s="294"/>
    </row>
    <row r="183" spans="2:17" x14ac:dyDescent="0.25">
      <c r="B183" s="294"/>
      <c r="C183" s="294"/>
      <c r="D183" s="294"/>
      <c r="E183" s="294"/>
      <c r="F183" s="294"/>
      <c r="G183" s="294"/>
      <c r="H183" s="294"/>
      <c r="I183" s="294"/>
      <c r="J183" s="294"/>
      <c r="L183" s="295"/>
      <c r="M183" s="294"/>
      <c r="P183" s="294"/>
      <c r="Q183" s="294"/>
    </row>
    <row r="184" spans="2:17" x14ac:dyDescent="0.25">
      <c r="B184" s="294"/>
      <c r="C184" s="294"/>
      <c r="D184" s="294"/>
      <c r="E184" s="294"/>
      <c r="F184" s="294"/>
      <c r="G184" s="294"/>
      <c r="H184" s="294"/>
      <c r="I184" s="294"/>
      <c r="J184" s="294"/>
      <c r="L184" s="295"/>
      <c r="M184" s="294"/>
      <c r="P184" s="294"/>
      <c r="Q184" s="294"/>
    </row>
    <row r="185" spans="2:17" x14ac:dyDescent="0.25">
      <c r="B185" s="294"/>
      <c r="C185" s="294"/>
      <c r="D185" s="294"/>
      <c r="E185" s="294"/>
      <c r="F185" s="294"/>
      <c r="G185" s="294"/>
      <c r="H185" s="294"/>
      <c r="I185" s="294"/>
      <c r="J185" s="294"/>
      <c r="L185" s="295"/>
      <c r="M185" s="294"/>
      <c r="P185" s="294"/>
      <c r="Q185" s="294"/>
    </row>
    <row r="186" spans="2:17" x14ac:dyDescent="0.25">
      <c r="B186" s="294"/>
      <c r="C186" s="294"/>
      <c r="D186" s="294"/>
      <c r="E186" s="294"/>
      <c r="F186" s="294"/>
      <c r="G186" s="294"/>
      <c r="H186" s="294"/>
      <c r="I186" s="294"/>
      <c r="J186" s="294"/>
      <c r="L186" s="295"/>
      <c r="M186" s="294"/>
      <c r="P186" s="294"/>
      <c r="Q186" s="294"/>
    </row>
    <row r="187" spans="2:17" x14ac:dyDescent="0.25">
      <c r="B187" s="294"/>
      <c r="C187" s="294"/>
      <c r="D187" s="294"/>
      <c r="E187" s="294"/>
      <c r="F187" s="294"/>
      <c r="G187" s="294"/>
      <c r="H187" s="294"/>
      <c r="I187" s="294"/>
      <c r="J187" s="294"/>
      <c r="L187" s="295"/>
      <c r="M187" s="294"/>
      <c r="P187" s="294"/>
      <c r="Q187" s="294"/>
    </row>
    <row r="188" spans="2:17" x14ac:dyDescent="0.25">
      <c r="B188" s="294"/>
      <c r="C188" s="294"/>
      <c r="D188" s="294"/>
      <c r="E188" s="294"/>
      <c r="F188" s="294"/>
      <c r="G188" s="294"/>
      <c r="H188" s="294"/>
      <c r="I188" s="294"/>
      <c r="J188" s="294"/>
      <c r="L188" s="295"/>
      <c r="M188" s="294"/>
      <c r="P188" s="294"/>
      <c r="Q188" s="294"/>
    </row>
    <row r="189" spans="2:17" x14ac:dyDescent="0.25">
      <c r="B189" s="294"/>
      <c r="C189" s="294"/>
      <c r="D189" s="294"/>
      <c r="E189" s="294"/>
      <c r="F189" s="294"/>
      <c r="G189" s="294"/>
      <c r="H189" s="294"/>
      <c r="I189" s="294"/>
      <c r="J189" s="294"/>
      <c r="L189" s="295"/>
      <c r="M189" s="294"/>
      <c r="P189" s="294"/>
      <c r="Q189" s="294"/>
    </row>
    <row r="190" spans="2:17" x14ac:dyDescent="0.25">
      <c r="B190" s="294"/>
      <c r="C190" s="294"/>
      <c r="D190" s="294"/>
      <c r="E190" s="294"/>
      <c r="F190" s="294"/>
      <c r="G190" s="294"/>
      <c r="H190" s="294"/>
      <c r="I190" s="294"/>
      <c r="J190" s="294"/>
      <c r="L190" s="295"/>
      <c r="M190" s="294"/>
      <c r="P190" s="294"/>
      <c r="Q190" s="294"/>
    </row>
    <row r="191" spans="2:17" x14ac:dyDescent="0.25">
      <c r="B191" s="294"/>
      <c r="C191" s="294"/>
      <c r="D191" s="294"/>
      <c r="E191" s="294"/>
      <c r="F191" s="294"/>
      <c r="G191" s="294"/>
      <c r="H191" s="294"/>
      <c r="I191" s="294"/>
      <c r="J191" s="294"/>
      <c r="L191" s="295"/>
      <c r="M191" s="294"/>
      <c r="P191" s="294"/>
      <c r="Q191" s="294"/>
    </row>
    <row r="192" spans="2:17" x14ac:dyDescent="0.25">
      <c r="B192" s="294"/>
      <c r="C192" s="294"/>
      <c r="D192" s="294"/>
      <c r="E192" s="294"/>
      <c r="F192" s="294"/>
      <c r="G192" s="294"/>
      <c r="H192" s="294"/>
      <c r="I192" s="294"/>
      <c r="J192" s="294"/>
      <c r="L192" s="295"/>
      <c r="M192" s="294"/>
      <c r="P192" s="294"/>
      <c r="Q192" s="294"/>
    </row>
    <row r="193" spans="2:17" x14ac:dyDescent="0.25">
      <c r="B193" s="294"/>
      <c r="C193" s="294"/>
      <c r="D193" s="294"/>
      <c r="E193" s="294"/>
      <c r="F193" s="294"/>
      <c r="G193" s="294"/>
      <c r="H193" s="294"/>
      <c r="I193" s="294"/>
      <c r="J193" s="294"/>
      <c r="L193" s="295"/>
      <c r="M193" s="294"/>
      <c r="P193" s="294"/>
      <c r="Q193" s="294"/>
    </row>
    <row r="194" spans="2:17" x14ac:dyDescent="0.25">
      <c r="B194" s="294"/>
      <c r="C194" s="294"/>
      <c r="D194" s="294"/>
      <c r="E194" s="294"/>
      <c r="F194" s="294"/>
      <c r="G194" s="294"/>
      <c r="H194" s="294"/>
      <c r="I194" s="294"/>
      <c r="J194" s="294"/>
      <c r="L194" s="295"/>
      <c r="M194" s="294"/>
      <c r="P194" s="294"/>
      <c r="Q194" s="294"/>
    </row>
    <row r="195" spans="2:17" x14ac:dyDescent="0.25">
      <c r="B195" s="294"/>
      <c r="C195" s="294"/>
      <c r="D195" s="294"/>
      <c r="E195" s="294"/>
      <c r="F195" s="294"/>
      <c r="G195" s="294"/>
      <c r="H195" s="294"/>
      <c r="I195" s="294"/>
      <c r="J195" s="294"/>
      <c r="L195" s="295"/>
      <c r="M195" s="294"/>
      <c r="P195" s="294"/>
      <c r="Q195" s="294"/>
    </row>
    <row r="196" spans="2:17" x14ac:dyDescent="0.25">
      <c r="B196" s="294"/>
      <c r="C196" s="294"/>
      <c r="D196" s="294"/>
      <c r="E196" s="294"/>
      <c r="F196" s="294"/>
      <c r="G196" s="294"/>
      <c r="H196" s="294"/>
      <c r="I196" s="294"/>
      <c r="J196" s="294"/>
      <c r="L196" s="295"/>
      <c r="M196" s="294"/>
      <c r="P196" s="294"/>
      <c r="Q196" s="294"/>
    </row>
    <row r="197" spans="2:17" x14ac:dyDescent="0.25">
      <c r="B197" s="294"/>
      <c r="C197" s="294"/>
      <c r="D197" s="294"/>
      <c r="E197" s="294"/>
      <c r="F197" s="294"/>
      <c r="G197" s="294"/>
      <c r="H197" s="294"/>
      <c r="I197" s="294"/>
      <c r="J197" s="294"/>
      <c r="L197" s="295"/>
      <c r="M197" s="294"/>
      <c r="P197" s="294"/>
      <c r="Q197" s="294"/>
    </row>
    <row r="198" spans="2:17" x14ac:dyDescent="0.25">
      <c r="B198" s="294"/>
      <c r="C198" s="294"/>
      <c r="D198" s="294"/>
      <c r="E198" s="294"/>
      <c r="F198" s="294"/>
      <c r="G198" s="294"/>
      <c r="H198" s="294"/>
      <c r="I198" s="294"/>
      <c r="J198" s="294"/>
      <c r="L198" s="295"/>
      <c r="M198" s="294"/>
      <c r="P198" s="294"/>
      <c r="Q198" s="294"/>
    </row>
    <row r="199" spans="2:17" x14ac:dyDescent="0.25">
      <c r="B199" s="294"/>
      <c r="C199" s="294"/>
      <c r="D199" s="294"/>
      <c r="E199" s="294"/>
      <c r="F199" s="294"/>
      <c r="G199" s="294"/>
      <c r="H199" s="294"/>
      <c r="I199" s="294"/>
      <c r="J199" s="294"/>
      <c r="L199" s="295"/>
      <c r="M199" s="294"/>
      <c r="P199" s="294"/>
      <c r="Q199" s="294"/>
    </row>
    <row r="200" spans="2:17" x14ac:dyDescent="0.25">
      <c r="B200" s="294"/>
      <c r="C200" s="294"/>
      <c r="D200" s="294"/>
      <c r="E200" s="294"/>
      <c r="F200" s="294"/>
      <c r="G200" s="294"/>
      <c r="H200" s="294"/>
      <c r="I200" s="294"/>
      <c r="J200" s="294"/>
      <c r="L200" s="295"/>
      <c r="M200" s="294"/>
      <c r="P200" s="294"/>
      <c r="Q200" s="294"/>
    </row>
    <row r="201" spans="2:17" x14ac:dyDescent="0.25">
      <c r="B201" s="294"/>
      <c r="C201" s="294"/>
      <c r="D201" s="294"/>
      <c r="E201" s="294"/>
      <c r="F201" s="294"/>
      <c r="G201" s="294"/>
      <c r="H201" s="294"/>
      <c r="I201" s="294"/>
      <c r="J201" s="294"/>
      <c r="L201" s="295"/>
      <c r="M201" s="294"/>
      <c r="P201" s="294"/>
      <c r="Q201" s="294"/>
    </row>
    <row r="202" spans="2:17" x14ac:dyDescent="0.25">
      <c r="B202" s="294"/>
      <c r="C202" s="294"/>
      <c r="D202" s="294"/>
      <c r="E202" s="294"/>
      <c r="F202" s="294"/>
      <c r="G202" s="294"/>
      <c r="H202" s="294"/>
      <c r="I202" s="294"/>
      <c r="J202" s="294"/>
      <c r="L202" s="295"/>
      <c r="M202" s="294"/>
      <c r="P202" s="294"/>
      <c r="Q202" s="294"/>
    </row>
    <row r="203" spans="2:17" x14ac:dyDescent="0.25">
      <c r="B203" s="294"/>
      <c r="C203" s="294"/>
      <c r="D203" s="294"/>
      <c r="E203" s="294"/>
      <c r="F203" s="294"/>
      <c r="G203" s="294"/>
      <c r="H203" s="294"/>
      <c r="I203" s="294"/>
      <c r="J203" s="294"/>
      <c r="L203" s="295"/>
      <c r="M203" s="294"/>
      <c r="P203" s="294"/>
      <c r="Q203" s="294"/>
    </row>
    <row r="204" spans="2:17" x14ac:dyDescent="0.25">
      <c r="B204" s="294"/>
      <c r="C204" s="294"/>
      <c r="D204" s="294"/>
      <c r="E204" s="294"/>
      <c r="F204" s="294"/>
      <c r="G204" s="294"/>
      <c r="H204" s="294"/>
      <c r="I204" s="294"/>
      <c r="J204" s="294"/>
      <c r="L204" s="295"/>
      <c r="M204" s="294"/>
      <c r="P204" s="294"/>
      <c r="Q204" s="294"/>
    </row>
    <row r="205" spans="2:17" x14ac:dyDescent="0.25">
      <c r="B205" s="294"/>
      <c r="C205" s="294"/>
      <c r="D205" s="294"/>
      <c r="E205" s="294"/>
      <c r="F205" s="294"/>
      <c r="G205" s="294"/>
      <c r="H205" s="294"/>
      <c r="I205" s="294"/>
      <c r="J205" s="294"/>
      <c r="L205" s="295"/>
      <c r="M205" s="294"/>
      <c r="P205" s="294"/>
      <c r="Q205" s="294"/>
    </row>
    <row r="206" spans="2:17" x14ac:dyDescent="0.25">
      <c r="B206" s="294"/>
      <c r="C206" s="294"/>
      <c r="D206" s="294"/>
      <c r="E206" s="294"/>
      <c r="F206" s="294"/>
      <c r="G206" s="294"/>
      <c r="H206" s="294"/>
      <c r="I206" s="294"/>
      <c r="J206" s="294"/>
      <c r="L206" s="295"/>
      <c r="M206" s="294"/>
      <c r="P206" s="294"/>
      <c r="Q206" s="294"/>
    </row>
    <row r="207" spans="2:17" x14ac:dyDescent="0.25">
      <c r="B207" s="294"/>
      <c r="C207" s="294"/>
      <c r="D207" s="294"/>
      <c r="E207" s="294"/>
      <c r="F207" s="294"/>
      <c r="G207" s="294"/>
      <c r="H207" s="294"/>
      <c r="I207" s="294"/>
      <c r="J207" s="294"/>
      <c r="L207" s="295"/>
      <c r="M207" s="294"/>
      <c r="P207" s="294"/>
      <c r="Q207" s="294"/>
    </row>
    <row r="208" spans="2:17" x14ac:dyDescent="0.25">
      <c r="B208" s="294"/>
      <c r="C208" s="294"/>
      <c r="D208" s="294"/>
      <c r="E208" s="294"/>
      <c r="F208" s="294"/>
      <c r="G208" s="294"/>
      <c r="H208" s="294"/>
      <c r="I208" s="294"/>
      <c r="J208" s="294"/>
      <c r="L208" s="295"/>
      <c r="M208" s="294"/>
      <c r="P208" s="294"/>
      <c r="Q208" s="294"/>
    </row>
    <row r="209" spans="2:17" x14ac:dyDescent="0.25">
      <c r="B209" s="294"/>
      <c r="C209" s="294"/>
      <c r="D209" s="294"/>
      <c r="E209" s="294"/>
      <c r="F209" s="294"/>
      <c r="G209" s="294"/>
      <c r="H209" s="294"/>
      <c r="I209" s="294"/>
      <c r="J209" s="294"/>
      <c r="L209" s="295"/>
      <c r="M209" s="294"/>
      <c r="P209" s="294"/>
      <c r="Q209" s="294"/>
    </row>
    <row r="210" spans="2:17" x14ac:dyDescent="0.25">
      <c r="B210" s="294"/>
      <c r="C210" s="294"/>
      <c r="D210" s="294"/>
      <c r="E210" s="294"/>
      <c r="F210" s="294"/>
      <c r="G210" s="294"/>
      <c r="H210" s="294"/>
      <c r="I210" s="294"/>
      <c r="J210" s="294"/>
      <c r="L210" s="295"/>
      <c r="M210" s="294"/>
      <c r="P210" s="294"/>
      <c r="Q210" s="294"/>
    </row>
    <row r="211" spans="2:17" x14ac:dyDescent="0.25">
      <c r="B211" s="294"/>
      <c r="C211" s="294"/>
      <c r="D211" s="294"/>
      <c r="E211" s="294"/>
      <c r="F211" s="294"/>
      <c r="G211" s="294"/>
      <c r="H211" s="294"/>
      <c r="I211" s="294"/>
      <c r="J211" s="294"/>
      <c r="L211" s="295"/>
      <c r="M211" s="294"/>
      <c r="P211" s="294"/>
      <c r="Q211" s="294"/>
    </row>
    <row r="212" spans="2:17" x14ac:dyDescent="0.25">
      <c r="B212" s="294"/>
      <c r="C212" s="294"/>
      <c r="D212" s="294"/>
      <c r="E212" s="294"/>
      <c r="F212" s="294"/>
      <c r="G212" s="294"/>
      <c r="H212" s="294"/>
      <c r="I212" s="294"/>
      <c r="J212" s="294"/>
      <c r="L212" s="295"/>
      <c r="M212" s="294"/>
      <c r="P212" s="294"/>
      <c r="Q212" s="294"/>
    </row>
    <row r="213" spans="2:17" x14ac:dyDescent="0.25">
      <c r="B213" s="294"/>
      <c r="C213" s="294"/>
      <c r="D213" s="294"/>
      <c r="E213" s="294"/>
      <c r="F213" s="294"/>
      <c r="G213" s="294"/>
      <c r="H213" s="294"/>
      <c r="I213" s="294"/>
      <c r="J213" s="294"/>
      <c r="L213" s="295"/>
      <c r="M213" s="294"/>
      <c r="P213" s="294"/>
      <c r="Q213" s="294"/>
    </row>
    <row r="214" spans="2:17" x14ac:dyDescent="0.25">
      <c r="B214" s="294"/>
      <c r="C214" s="294"/>
      <c r="D214" s="294"/>
      <c r="E214" s="294"/>
      <c r="F214" s="294"/>
      <c r="G214" s="294"/>
      <c r="H214" s="294"/>
      <c r="I214" s="294"/>
      <c r="J214" s="294"/>
      <c r="L214" s="295"/>
      <c r="M214" s="294"/>
      <c r="P214" s="294"/>
      <c r="Q214" s="294"/>
    </row>
    <row r="215" spans="2:17" x14ac:dyDescent="0.25">
      <c r="B215" s="294"/>
      <c r="C215" s="294"/>
      <c r="D215" s="294"/>
      <c r="E215" s="294"/>
      <c r="F215" s="294"/>
      <c r="G215" s="294"/>
      <c r="H215" s="294"/>
      <c r="I215" s="294"/>
      <c r="J215" s="294"/>
      <c r="L215" s="295"/>
      <c r="M215" s="294"/>
      <c r="P215" s="294"/>
      <c r="Q215" s="294"/>
    </row>
    <row r="216" spans="2:17" x14ac:dyDescent="0.25">
      <c r="B216" s="294"/>
      <c r="C216" s="294"/>
      <c r="D216" s="294"/>
      <c r="E216" s="294"/>
      <c r="F216" s="294"/>
      <c r="G216" s="294"/>
      <c r="H216" s="294"/>
      <c r="I216" s="294"/>
      <c r="J216" s="294"/>
      <c r="L216" s="295"/>
      <c r="M216" s="294"/>
      <c r="P216" s="294"/>
      <c r="Q216" s="294"/>
    </row>
    <row r="217" spans="2:17" x14ac:dyDescent="0.25">
      <c r="B217" s="294"/>
      <c r="C217" s="294"/>
      <c r="D217" s="294"/>
      <c r="E217" s="294"/>
      <c r="F217" s="294"/>
      <c r="G217" s="294"/>
      <c r="H217" s="294"/>
      <c r="I217" s="294"/>
      <c r="J217" s="294"/>
      <c r="L217" s="295"/>
      <c r="M217" s="294"/>
      <c r="P217" s="294"/>
      <c r="Q217" s="294"/>
    </row>
    <row r="218" spans="2:17" x14ac:dyDescent="0.25">
      <c r="B218" s="294"/>
      <c r="C218" s="294"/>
      <c r="D218" s="294"/>
      <c r="E218" s="294"/>
      <c r="F218" s="294"/>
      <c r="G218" s="294"/>
      <c r="H218" s="294"/>
      <c r="I218" s="294"/>
      <c r="J218" s="294"/>
      <c r="L218" s="295"/>
      <c r="M218" s="294"/>
      <c r="P218" s="294"/>
      <c r="Q218" s="294"/>
    </row>
    <row r="219" spans="2:17" x14ac:dyDescent="0.25">
      <c r="B219" s="294"/>
      <c r="C219" s="294"/>
      <c r="D219" s="294"/>
      <c r="E219" s="294"/>
      <c r="F219" s="294"/>
      <c r="G219" s="294"/>
      <c r="H219" s="294"/>
      <c r="I219" s="294"/>
      <c r="J219" s="294"/>
      <c r="L219" s="295"/>
      <c r="M219" s="294"/>
      <c r="P219" s="294"/>
      <c r="Q219" s="294"/>
    </row>
    <row r="220" spans="2:17" x14ac:dyDescent="0.25">
      <c r="B220" s="294"/>
      <c r="C220" s="294"/>
      <c r="D220" s="294"/>
      <c r="E220" s="294"/>
      <c r="F220" s="294"/>
      <c r="G220" s="294"/>
      <c r="H220" s="294"/>
      <c r="I220" s="294"/>
      <c r="J220" s="294"/>
      <c r="L220" s="295"/>
      <c r="M220" s="294"/>
      <c r="P220" s="294"/>
      <c r="Q220" s="294"/>
    </row>
    <row r="221" spans="2:17" x14ac:dyDescent="0.25">
      <c r="B221" s="294"/>
      <c r="C221" s="294"/>
      <c r="D221" s="294"/>
      <c r="E221" s="294"/>
      <c r="F221" s="294"/>
      <c r="G221" s="294"/>
      <c r="H221" s="294"/>
      <c r="I221" s="294"/>
      <c r="J221" s="294"/>
      <c r="L221" s="295"/>
      <c r="M221" s="294"/>
      <c r="P221" s="294"/>
      <c r="Q221" s="294"/>
    </row>
    <row r="222" spans="2:17" x14ac:dyDescent="0.25">
      <c r="B222" s="294"/>
      <c r="C222" s="294"/>
      <c r="D222" s="294"/>
      <c r="E222" s="294"/>
      <c r="F222" s="294"/>
      <c r="G222" s="294"/>
      <c r="H222" s="294"/>
      <c r="I222" s="294"/>
      <c r="J222" s="294"/>
      <c r="L222" s="295"/>
      <c r="M222" s="294"/>
      <c r="P222" s="294"/>
      <c r="Q222" s="294"/>
    </row>
    <row r="223" spans="2:17" x14ac:dyDescent="0.25">
      <c r="B223" s="294"/>
      <c r="C223" s="294"/>
      <c r="D223" s="294"/>
      <c r="E223" s="294"/>
      <c r="F223" s="294"/>
      <c r="G223" s="294"/>
      <c r="H223" s="294"/>
      <c r="I223" s="294"/>
      <c r="J223" s="294"/>
      <c r="L223" s="295"/>
      <c r="M223" s="294"/>
      <c r="P223" s="294"/>
      <c r="Q223" s="294"/>
    </row>
    <row r="224" spans="2:17" x14ac:dyDescent="0.25">
      <c r="B224" s="294"/>
      <c r="C224" s="294"/>
      <c r="D224" s="294"/>
      <c r="E224" s="294"/>
      <c r="F224" s="294"/>
      <c r="G224" s="294"/>
      <c r="H224" s="294"/>
      <c r="I224" s="294"/>
      <c r="J224" s="294"/>
      <c r="L224" s="295"/>
      <c r="M224" s="294"/>
      <c r="P224" s="294"/>
      <c r="Q224" s="294"/>
    </row>
    <row r="225" spans="2:17" x14ac:dyDescent="0.25">
      <c r="B225" s="294"/>
      <c r="C225" s="294"/>
      <c r="D225" s="294"/>
      <c r="E225" s="294"/>
      <c r="F225" s="294"/>
      <c r="G225" s="294"/>
      <c r="H225" s="294"/>
      <c r="I225" s="294"/>
      <c r="J225" s="294"/>
      <c r="L225" s="295"/>
      <c r="M225" s="294"/>
      <c r="P225" s="294"/>
      <c r="Q225" s="294"/>
    </row>
    <row r="226" spans="2:17" x14ac:dyDescent="0.25">
      <c r="B226" s="294"/>
      <c r="C226" s="294"/>
      <c r="D226" s="294"/>
      <c r="E226" s="294"/>
      <c r="F226" s="294"/>
      <c r="G226" s="294"/>
      <c r="H226" s="294"/>
      <c r="I226" s="294"/>
      <c r="J226" s="294"/>
      <c r="L226" s="295"/>
      <c r="M226" s="294"/>
      <c r="P226" s="294"/>
      <c r="Q226" s="294"/>
    </row>
    <row r="227" spans="2:17" x14ac:dyDescent="0.25">
      <c r="B227" s="294"/>
      <c r="C227" s="294"/>
      <c r="D227" s="294"/>
      <c r="E227" s="294"/>
      <c r="F227" s="294"/>
      <c r="G227" s="294"/>
      <c r="H227" s="294"/>
      <c r="I227" s="294"/>
      <c r="J227" s="294"/>
      <c r="L227" s="295"/>
      <c r="M227" s="294"/>
      <c r="P227" s="294"/>
      <c r="Q227" s="294"/>
    </row>
    <row r="228" spans="2:17" x14ac:dyDescent="0.25">
      <c r="B228" s="294"/>
      <c r="C228" s="294"/>
      <c r="D228" s="294"/>
      <c r="E228" s="294"/>
      <c r="F228" s="294"/>
      <c r="G228" s="294"/>
      <c r="H228" s="294"/>
      <c r="I228" s="294"/>
      <c r="J228" s="294"/>
      <c r="L228" s="295"/>
      <c r="M228" s="294"/>
      <c r="P228" s="294"/>
      <c r="Q228" s="294"/>
    </row>
    <row r="229" spans="2:17" x14ac:dyDescent="0.25">
      <c r="B229" s="294"/>
      <c r="C229" s="294"/>
      <c r="D229" s="294"/>
      <c r="E229" s="294"/>
      <c r="F229" s="294"/>
      <c r="G229" s="294"/>
      <c r="H229" s="294"/>
      <c r="I229" s="294"/>
      <c r="J229" s="294"/>
      <c r="L229" s="295"/>
      <c r="M229" s="294"/>
      <c r="P229" s="294"/>
      <c r="Q229" s="294"/>
    </row>
    <row r="230" spans="2:17" x14ac:dyDescent="0.25">
      <c r="B230" s="294"/>
      <c r="C230" s="294"/>
      <c r="D230" s="294"/>
      <c r="E230" s="294"/>
      <c r="F230" s="294"/>
      <c r="G230" s="294"/>
      <c r="H230" s="294"/>
      <c r="I230" s="294"/>
      <c r="J230" s="294"/>
      <c r="L230" s="295"/>
      <c r="M230" s="294"/>
      <c r="P230" s="294"/>
      <c r="Q230" s="294"/>
    </row>
    <row r="231" spans="2:17" x14ac:dyDescent="0.25">
      <c r="B231" s="294"/>
      <c r="C231" s="294"/>
      <c r="D231" s="294"/>
      <c r="E231" s="294"/>
      <c r="F231" s="294"/>
      <c r="G231" s="294"/>
      <c r="H231" s="294"/>
      <c r="I231" s="294"/>
      <c r="J231" s="294"/>
      <c r="L231" s="295"/>
      <c r="M231" s="294"/>
      <c r="P231" s="294"/>
      <c r="Q231" s="294"/>
    </row>
    <row r="232" spans="2:17" x14ac:dyDescent="0.25">
      <c r="B232" s="294"/>
      <c r="C232" s="294"/>
      <c r="D232" s="294"/>
      <c r="E232" s="294"/>
      <c r="F232" s="294"/>
      <c r="G232" s="294"/>
      <c r="H232" s="294"/>
      <c r="I232" s="294"/>
      <c r="J232" s="294"/>
      <c r="L232" s="295"/>
      <c r="M232" s="294"/>
      <c r="P232" s="294"/>
      <c r="Q232" s="294"/>
    </row>
    <row r="233" spans="2:17" x14ac:dyDescent="0.25">
      <c r="B233" s="294"/>
      <c r="C233" s="294"/>
      <c r="D233" s="294"/>
      <c r="E233" s="294"/>
      <c r="F233" s="294"/>
      <c r="G233" s="294"/>
      <c r="H233" s="294"/>
      <c r="I233" s="294"/>
      <c r="J233" s="294"/>
      <c r="L233" s="295"/>
      <c r="M233" s="294"/>
      <c r="P233" s="294"/>
      <c r="Q233" s="294"/>
    </row>
    <row r="234" spans="2:17" x14ac:dyDescent="0.25">
      <c r="B234" s="294"/>
      <c r="C234" s="294"/>
      <c r="D234" s="294"/>
      <c r="E234" s="294"/>
      <c r="F234" s="294"/>
      <c r="G234" s="294"/>
      <c r="H234" s="294"/>
      <c r="I234" s="294"/>
      <c r="J234" s="294"/>
      <c r="L234" s="295"/>
      <c r="M234" s="294"/>
      <c r="P234" s="294"/>
      <c r="Q234" s="294"/>
    </row>
    <row r="235" spans="2:17" x14ac:dyDescent="0.25">
      <c r="B235" s="294"/>
      <c r="C235" s="294"/>
      <c r="D235" s="294"/>
      <c r="E235" s="294"/>
      <c r="F235" s="294"/>
      <c r="G235" s="294"/>
      <c r="H235" s="294"/>
      <c r="I235" s="294"/>
      <c r="J235" s="294"/>
      <c r="L235" s="295"/>
      <c r="M235" s="294"/>
      <c r="P235" s="294"/>
      <c r="Q235" s="294"/>
    </row>
    <row r="236" spans="2:17" x14ac:dyDescent="0.25">
      <c r="B236" s="294"/>
      <c r="C236" s="294"/>
      <c r="D236" s="294"/>
      <c r="E236" s="294"/>
      <c r="F236" s="294"/>
      <c r="G236" s="294"/>
      <c r="H236" s="294"/>
      <c r="I236" s="294"/>
      <c r="J236" s="294"/>
      <c r="L236" s="295"/>
      <c r="M236" s="294"/>
      <c r="P236" s="294"/>
      <c r="Q236" s="294"/>
    </row>
    <row r="237" spans="2:17" x14ac:dyDescent="0.25">
      <c r="B237" s="294"/>
      <c r="C237" s="294"/>
      <c r="D237" s="294"/>
      <c r="E237" s="294"/>
      <c r="F237" s="294"/>
      <c r="G237" s="294"/>
      <c r="H237" s="294"/>
      <c r="I237" s="294"/>
      <c r="J237" s="294"/>
      <c r="L237" s="295"/>
      <c r="M237" s="294"/>
      <c r="P237" s="294"/>
      <c r="Q237" s="294"/>
    </row>
    <row r="238" spans="2:17" x14ac:dyDescent="0.25">
      <c r="B238" s="294"/>
      <c r="C238" s="294"/>
      <c r="D238" s="294"/>
      <c r="E238" s="294"/>
      <c r="F238" s="294"/>
      <c r="G238" s="294"/>
      <c r="H238" s="294"/>
      <c r="I238" s="294"/>
      <c r="J238" s="294"/>
      <c r="L238" s="295"/>
      <c r="M238" s="294"/>
      <c r="P238" s="294"/>
      <c r="Q238" s="294"/>
    </row>
    <row r="239" spans="2:17" x14ac:dyDescent="0.25">
      <c r="B239" s="294"/>
      <c r="C239" s="294"/>
      <c r="D239" s="294"/>
      <c r="E239" s="294"/>
      <c r="F239" s="294"/>
      <c r="G239" s="294"/>
      <c r="H239" s="294"/>
      <c r="I239" s="294"/>
      <c r="J239" s="294"/>
      <c r="L239" s="295"/>
      <c r="M239" s="294"/>
      <c r="P239" s="294"/>
      <c r="Q239" s="294"/>
    </row>
    <row r="240" spans="2:17" x14ac:dyDescent="0.25">
      <c r="B240" s="294"/>
      <c r="C240" s="294"/>
      <c r="D240" s="294"/>
      <c r="E240" s="294"/>
      <c r="F240" s="294"/>
      <c r="G240" s="294"/>
      <c r="H240" s="294"/>
      <c r="I240" s="294"/>
      <c r="J240" s="294"/>
      <c r="L240" s="295"/>
      <c r="M240" s="294"/>
      <c r="P240" s="294"/>
      <c r="Q240" s="294"/>
    </row>
    <row r="241" spans="2:17" x14ac:dyDescent="0.25">
      <c r="B241" s="294"/>
      <c r="C241" s="294"/>
      <c r="D241" s="294"/>
      <c r="E241" s="294"/>
      <c r="F241" s="294"/>
      <c r="G241" s="294"/>
      <c r="H241" s="294"/>
      <c r="I241" s="294"/>
      <c r="J241" s="294"/>
      <c r="L241" s="295"/>
      <c r="M241" s="294"/>
      <c r="P241" s="294"/>
      <c r="Q241" s="294"/>
    </row>
    <row r="242" spans="2:17" x14ac:dyDescent="0.25">
      <c r="B242" s="294"/>
      <c r="C242" s="294"/>
      <c r="D242" s="294"/>
      <c r="E242" s="294"/>
      <c r="F242" s="294"/>
      <c r="G242" s="294"/>
      <c r="H242" s="294"/>
      <c r="I242" s="294"/>
      <c r="J242" s="294"/>
      <c r="L242" s="295"/>
      <c r="M242" s="294"/>
      <c r="P242" s="294"/>
      <c r="Q242" s="294"/>
    </row>
    <row r="243" spans="2:17" x14ac:dyDescent="0.25">
      <c r="B243" s="294"/>
      <c r="C243" s="294"/>
      <c r="D243" s="294"/>
      <c r="E243" s="294"/>
      <c r="F243" s="294"/>
      <c r="G243" s="294"/>
      <c r="H243" s="294"/>
      <c r="I243" s="294"/>
      <c r="J243" s="294"/>
      <c r="L243" s="295"/>
      <c r="M243" s="294"/>
      <c r="P243" s="294"/>
      <c r="Q243" s="294"/>
    </row>
    <row r="244" spans="2:17" x14ac:dyDescent="0.25">
      <c r="B244" s="294"/>
      <c r="C244" s="294"/>
      <c r="D244" s="294"/>
      <c r="E244" s="294"/>
      <c r="F244" s="294"/>
      <c r="G244" s="294"/>
      <c r="H244" s="294"/>
      <c r="I244" s="294"/>
      <c r="J244" s="294"/>
      <c r="L244" s="295"/>
      <c r="M244" s="294"/>
      <c r="P244" s="294"/>
      <c r="Q244" s="294"/>
    </row>
    <row r="245" spans="2:17" x14ac:dyDescent="0.25">
      <c r="B245" s="294"/>
      <c r="C245" s="294"/>
      <c r="D245" s="294"/>
      <c r="E245" s="294"/>
      <c r="F245" s="294"/>
      <c r="G245" s="294"/>
      <c r="H245" s="294"/>
      <c r="I245" s="294"/>
      <c r="J245" s="294"/>
      <c r="L245" s="295"/>
      <c r="M245" s="294"/>
      <c r="P245" s="294"/>
      <c r="Q245" s="294"/>
    </row>
    <row r="246" spans="2:17" x14ac:dyDescent="0.25">
      <c r="B246" s="294"/>
      <c r="C246" s="294"/>
      <c r="D246" s="294"/>
      <c r="E246" s="294"/>
      <c r="F246" s="294"/>
      <c r="G246" s="294"/>
      <c r="H246" s="294"/>
      <c r="I246" s="294"/>
      <c r="J246" s="294"/>
      <c r="L246" s="295"/>
      <c r="M246" s="294"/>
      <c r="P246" s="294"/>
      <c r="Q246" s="294"/>
    </row>
    <row r="247" spans="2:17" x14ac:dyDescent="0.25">
      <c r="B247" s="294"/>
      <c r="C247" s="294"/>
      <c r="D247" s="294"/>
      <c r="E247" s="294"/>
      <c r="F247" s="294"/>
      <c r="G247" s="294"/>
      <c r="H247" s="294"/>
      <c r="I247" s="294"/>
      <c r="J247" s="294"/>
      <c r="L247" s="295"/>
      <c r="M247" s="294"/>
      <c r="P247" s="294"/>
      <c r="Q247" s="294"/>
    </row>
    <row r="248" spans="2:17" x14ac:dyDescent="0.25">
      <c r="B248" s="294"/>
      <c r="C248" s="294"/>
      <c r="D248" s="294"/>
      <c r="E248" s="294"/>
      <c r="F248" s="294"/>
      <c r="G248" s="294"/>
      <c r="H248" s="294"/>
      <c r="I248" s="294"/>
      <c r="J248" s="294"/>
      <c r="L248" s="295"/>
      <c r="M248" s="294"/>
      <c r="P248" s="294"/>
      <c r="Q248" s="294"/>
    </row>
    <row r="249" spans="2:17" x14ac:dyDescent="0.25">
      <c r="B249" s="294"/>
      <c r="C249" s="294"/>
      <c r="D249" s="294"/>
      <c r="E249" s="294"/>
      <c r="F249" s="294"/>
      <c r="G249" s="294"/>
      <c r="H249" s="294"/>
      <c r="I249" s="294"/>
      <c r="J249" s="294"/>
      <c r="L249" s="295"/>
      <c r="M249" s="294"/>
      <c r="P249" s="294"/>
      <c r="Q249" s="294"/>
    </row>
    <row r="250" spans="2:17" x14ac:dyDescent="0.25">
      <c r="B250" s="294"/>
      <c r="C250" s="294"/>
      <c r="D250" s="294"/>
      <c r="E250" s="294"/>
      <c r="F250" s="294"/>
      <c r="G250" s="294"/>
      <c r="H250" s="294"/>
      <c r="I250" s="294"/>
      <c r="J250" s="294"/>
      <c r="L250" s="295"/>
      <c r="M250" s="294"/>
      <c r="P250" s="294"/>
      <c r="Q250" s="294"/>
    </row>
    <row r="251" spans="2:17" x14ac:dyDescent="0.25">
      <c r="B251" s="294"/>
      <c r="C251" s="294"/>
      <c r="D251" s="294"/>
      <c r="E251" s="294"/>
      <c r="F251" s="294"/>
      <c r="G251" s="294"/>
      <c r="H251" s="294"/>
      <c r="I251" s="294"/>
      <c r="J251" s="294"/>
      <c r="L251" s="295"/>
      <c r="M251" s="294"/>
      <c r="P251" s="294"/>
      <c r="Q251" s="294"/>
    </row>
    <row r="252" spans="2:17" x14ac:dyDescent="0.25">
      <c r="B252" s="294"/>
      <c r="C252" s="294"/>
      <c r="D252" s="294"/>
      <c r="E252" s="294"/>
      <c r="F252" s="294"/>
      <c r="G252" s="294"/>
      <c r="H252" s="294"/>
      <c r="I252" s="294"/>
      <c r="J252" s="294"/>
      <c r="L252" s="295"/>
      <c r="M252" s="294"/>
      <c r="P252" s="294"/>
      <c r="Q252" s="294"/>
    </row>
    <row r="253" spans="2:17" x14ac:dyDescent="0.25">
      <c r="B253" s="294"/>
      <c r="C253" s="294"/>
      <c r="D253" s="294"/>
      <c r="E253" s="294"/>
      <c r="F253" s="294"/>
      <c r="G253" s="294"/>
      <c r="H253" s="294"/>
      <c r="I253" s="294"/>
      <c r="J253" s="294"/>
      <c r="L253" s="295"/>
      <c r="M253" s="294"/>
      <c r="P253" s="294"/>
      <c r="Q253" s="294"/>
    </row>
    <row r="254" spans="2:17" x14ac:dyDescent="0.25">
      <c r="B254" s="294"/>
      <c r="C254" s="294"/>
      <c r="D254" s="294"/>
      <c r="E254" s="294"/>
      <c r="F254" s="294"/>
      <c r="G254" s="294"/>
      <c r="H254" s="294"/>
      <c r="I254" s="294"/>
      <c r="J254" s="294"/>
      <c r="L254" s="295"/>
      <c r="M254" s="294"/>
      <c r="P254" s="294"/>
      <c r="Q254" s="294"/>
    </row>
    <row r="255" spans="2:17" x14ac:dyDescent="0.25">
      <c r="B255" s="294"/>
      <c r="C255" s="294"/>
      <c r="D255" s="294"/>
      <c r="E255" s="294"/>
      <c r="F255" s="294"/>
      <c r="G255" s="294"/>
      <c r="H255" s="294"/>
      <c r="I255" s="294"/>
      <c r="J255" s="294"/>
      <c r="L255" s="295"/>
      <c r="M255" s="294"/>
      <c r="P255" s="294"/>
      <c r="Q255" s="294"/>
    </row>
    <row r="256" spans="2:17" x14ac:dyDescent="0.25">
      <c r="B256" s="294"/>
      <c r="C256" s="294"/>
      <c r="D256" s="294"/>
      <c r="E256" s="294"/>
      <c r="F256" s="294"/>
      <c r="G256" s="294"/>
      <c r="H256" s="294"/>
      <c r="I256" s="294"/>
      <c r="J256" s="294"/>
      <c r="L256" s="295"/>
      <c r="M256" s="294"/>
      <c r="P256" s="294"/>
      <c r="Q256" s="294"/>
    </row>
    <row r="257" spans="2:17" x14ac:dyDescent="0.25">
      <c r="B257" s="294"/>
      <c r="C257" s="294"/>
      <c r="D257" s="294"/>
      <c r="E257" s="294"/>
      <c r="F257" s="294"/>
      <c r="G257" s="294"/>
      <c r="H257" s="294"/>
      <c r="I257" s="294"/>
      <c r="J257" s="294"/>
      <c r="L257" s="295"/>
      <c r="M257" s="294"/>
      <c r="P257" s="294"/>
      <c r="Q257" s="294"/>
    </row>
    <row r="258" spans="2:17" x14ac:dyDescent="0.25">
      <c r="B258" s="294"/>
      <c r="C258" s="294"/>
      <c r="D258" s="294"/>
      <c r="E258" s="294"/>
      <c r="F258" s="294"/>
      <c r="G258" s="294"/>
      <c r="H258" s="294"/>
      <c r="I258" s="294"/>
      <c r="J258" s="294"/>
      <c r="L258" s="295"/>
      <c r="M258" s="294"/>
      <c r="P258" s="294"/>
      <c r="Q258" s="294"/>
    </row>
    <row r="259" spans="2:17" x14ac:dyDescent="0.25">
      <c r="B259" s="294"/>
      <c r="C259" s="294"/>
      <c r="D259" s="294"/>
      <c r="E259" s="294"/>
      <c r="F259" s="294"/>
      <c r="G259" s="294"/>
      <c r="H259" s="294"/>
      <c r="I259" s="294"/>
      <c r="J259" s="294"/>
      <c r="L259" s="295"/>
      <c r="M259" s="294"/>
      <c r="P259" s="294"/>
      <c r="Q259" s="294"/>
    </row>
    <row r="260" spans="2:17" x14ac:dyDescent="0.25">
      <c r="B260" s="294"/>
      <c r="C260" s="294"/>
      <c r="D260" s="294"/>
      <c r="E260" s="294"/>
      <c r="F260" s="294"/>
      <c r="G260" s="294"/>
      <c r="H260" s="294"/>
      <c r="I260" s="294"/>
      <c r="J260" s="294"/>
      <c r="L260" s="295"/>
      <c r="M260" s="294"/>
      <c r="P260" s="294"/>
      <c r="Q260" s="294"/>
    </row>
    <row r="261" spans="2:17" x14ac:dyDescent="0.25">
      <c r="B261" s="294"/>
      <c r="C261" s="294"/>
      <c r="D261" s="294"/>
      <c r="E261" s="294"/>
      <c r="F261" s="294"/>
      <c r="G261" s="294"/>
      <c r="H261" s="294"/>
      <c r="I261" s="294"/>
      <c r="J261" s="294"/>
      <c r="L261" s="295"/>
      <c r="M261" s="294"/>
      <c r="P261" s="294"/>
      <c r="Q261" s="294"/>
    </row>
    <row r="262" spans="2:17" x14ac:dyDescent="0.25">
      <c r="B262" s="294"/>
      <c r="C262" s="294"/>
      <c r="D262" s="294"/>
      <c r="E262" s="294"/>
      <c r="F262" s="294"/>
      <c r="G262" s="294"/>
      <c r="H262" s="294"/>
      <c r="I262" s="294"/>
      <c r="J262" s="294"/>
      <c r="L262" s="295"/>
      <c r="M262" s="294"/>
      <c r="P262" s="294"/>
      <c r="Q262" s="294"/>
    </row>
    <row r="263" spans="2:17" x14ac:dyDescent="0.25">
      <c r="B263" s="294"/>
      <c r="C263" s="294"/>
      <c r="D263" s="294"/>
      <c r="E263" s="294"/>
      <c r="F263" s="294"/>
      <c r="G263" s="294"/>
      <c r="H263" s="294"/>
      <c r="I263" s="294"/>
      <c r="J263" s="294"/>
      <c r="L263" s="295"/>
      <c r="M263" s="294"/>
      <c r="P263" s="294"/>
      <c r="Q263" s="294"/>
    </row>
    <row r="264" spans="2:17" x14ac:dyDescent="0.25">
      <c r="B264" s="294"/>
      <c r="C264" s="294"/>
      <c r="D264" s="294"/>
      <c r="E264" s="294"/>
      <c r="F264" s="294"/>
      <c r="G264" s="294"/>
      <c r="H264" s="294"/>
      <c r="I264" s="294"/>
      <c r="J264" s="294"/>
      <c r="L264" s="295"/>
      <c r="M264" s="294"/>
      <c r="P264" s="294"/>
      <c r="Q264" s="294"/>
    </row>
    <row r="265" spans="2:17" x14ac:dyDescent="0.25">
      <c r="B265" s="294"/>
      <c r="C265" s="294"/>
      <c r="D265" s="294"/>
      <c r="E265" s="294"/>
      <c r="F265" s="294"/>
      <c r="G265" s="294"/>
      <c r="H265" s="294"/>
      <c r="I265" s="294"/>
      <c r="J265" s="294"/>
      <c r="L265" s="295"/>
      <c r="M265" s="294"/>
      <c r="P265" s="294"/>
      <c r="Q265" s="294"/>
    </row>
    <row r="266" spans="2:17" x14ac:dyDescent="0.25">
      <c r="B266" s="294"/>
      <c r="C266" s="294"/>
      <c r="D266" s="294"/>
      <c r="E266" s="294"/>
      <c r="F266" s="294"/>
      <c r="G266" s="294"/>
      <c r="H266" s="294"/>
      <c r="I266" s="294"/>
      <c r="J266" s="294"/>
      <c r="L266" s="295"/>
      <c r="M266" s="294"/>
      <c r="P266" s="294"/>
      <c r="Q266" s="294"/>
    </row>
    <row r="267" spans="2:17" x14ac:dyDescent="0.25">
      <c r="B267" s="294"/>
      <c r="C267" s="294"/>
      <c r="D267" s="294"/>
      <c r="E267" s="294"/>
      <c r="F267" s="294"/>
      <c r="G267" s="294"/>
      <c r="H267" s="294"/>
      <c r="I267" s="294"/>
      <c r="J267" s="294"/>
      <c r="L267" s="295"/>
      <c r="M267" s="294"/>
      <c r="P267" s="294"/>
      <c r="Q267" s="294"/>
    </row>
    <row r="268" spans="2:17" x14ac:dyDescent="0.25">
      <c r="B268" s="294"/>
      <c r="C268" s="294"/>
      <c r="D268" s="294"/>
      <c r="E268" s="294"/>
      <c r="F268" s="294"/>
      <c r="G268" s="294"/>
      <c r="H268" s="294"/>
      <c r="I268" s="294"/>
      <c r="J268" s="294"/>
      <c r="L268" s="295"/>
      <c r="M268" s="294"/>
      <c r="P268" s="294"/>
      <c r="Q268" s="294"/>
    </row>
    <row r="269" spans="2:17" x14ac:dyDescent="0.25">
      <c r="B269" s="294"/>
      <c r="C269" s="294"/>
      <c r="D269" s="294"/>
      <c r="E269" s="294"/>
      <c r="F269" s="294"/>
      <c r="G269" s="294"/>
      <c r="H269" s="294"/>
      <c r="I269" s="294"/>
      <c r="J269" s="294"/>
      <c r="L269" s="295"/>
      <c r="M269" s="294"/>
      <c r="P269" s="294"/>
      <c r="Q269" s="294"/>
    </row>
    <row r="270" spans="2:17" x14ac:dyDescent="0.25">
      <c r="B270" s="294"/>
      <c r="C270" s="294"/>
      <c r="D270" s="294"/>
      <c r="E270" s="294"/>
      <c r="F270" s="294"/>
      <c r="G270" s="294"/>
      <c r="H270" s="294"/>
      <c r="I270" s="294"/>
      <c r="J270" s="294"/>
      <c r="L270" s="295"/>
      <c r="M270" s="294"/>
      <c r="P270" s="294"/>
      <c r="Q270" s="294"/>
    </row>
    <row r="271" spans="2:17" x14ac:dyDescent="0.25">
      <c r="B271" s="294"/>
      <c r="C271" s="294"/>
      <c r="D271" s="294"/>
      <c r="E271" s="294"/>
      <c r="F271" s="294"/>
      <c r="G271" s="294"/>
      <c r="H271" s="294"/>
      <c r="I271" s="294"/>
      <c r="J271" s="294"/>
      <c r="L271" s="295"/>
      <c r="M271" s="294"/>
      <c r="P271" s="294"/>
      <c r="Q271" s="294"/>
    </row>
    <row r="272" spans="2:17" x14ac:dyDescent="0.25">
      <c r="B272" s="294"/>
      <c r="C272" s="294"/>
      <c r="D272" s="294"/>
      <c r="E272" s="294"/>
      <c r="F272" s="294"/>
      <c r="G272" s="294"/>
      <c r="H272" s="294"/>
      <c r="I272" s="294"/>
      <c r="J272" s="294"/>
      <c r="L272" s="295"/>
      <c r="M272" s="294"/>
      <c r="P272" s="294"/>
      <c r="Q272" s="294"/>
    </row>
    <row r="273" spans="2:17" x14ac:dyDescent="0.25">
      <c r="B273" s="294"/>
      <c r="C273" s="294"/>
      <c r="D273" s="294"/>
      <c r="E273" s="294"/>
      <c r="F273" s="294"/>
      <c r="G273" s="294"/>
      <c r="H273" s="294"/>
      <c r="I273" s="294"/>
      <c r="J273" s="294"/>
      <c r="L273" s="295"/>
      <c r="M273" s="294"/>
      <c r="P273" s="294"/>
      <c r="Q273" s="294"/>
    </row>
    <row r="274" spans="2:17" x14ac:dyDescent="0.25">
      <c r="B274" s="294"/>
      <c r="C274" s="294"/>
      <c r="D274" s="294"/>
      <c r="E274" s="294"/>
      <c r="F274" s="294"/>
      <c r="G274" s="294"/>
      <c r="H274" s="294"/>
      <c r="I274" s="294"/>
      <c r="J274" s="294"/>
      <c r="L274" s="295"/>
      <c r="M274" s="294"/>
      <c r="P274" s="294"/>
      <c r="Q274" s="294"/>
    </row>
    <row r="275" spans="2:17" x14ac:dyDescent="0.25">
      <c r="B275" s="294"/>
      <c r="C275" s="294"/>
      <c r="D275" s="294"/>
      <c r="E275" s="294"/>
      <c r="F275" s="294"/>
      <c r="G275" s="294"/>
      <c r="H275" s="294"/>
      <c r="I275" s="294"/>
      <c r="J275" s="294"/>
      <c r="L275" s="295"/>
      <c r="M275" s="294"/>
      <c r="P275" s="294"/>
      <c r="Q275" s="294"/>
    </row>
    <row r="276" spans="2:17" x14ac:dyDescent="0.25">
      <c r="B276" s="294"/>
      <c r="C276" s="294"/>
      <c r="D276" s="294"/>
      <c r="E276" s="294"/>
      <c r="F276" s="294"/>
      <c r="G276" s="294"/>
      <c r="H276" s="294"/>
      <c r="I276" s="294"/>
      <c r="J276" s="294"/>
      <c r="L276" s="295"/>
      <c r="M276" s="294"/>
      <c r="P276" s="294"/>
      <c r="Q276" s="294"/>
    </row>
    <row r="277" spans="2:17" x14ac:dyDescent="0.25">
      <c r="B277" s="294"/>
      <c r="C277" s="294"/>
      <c r="D277" s="294"/>
      <c r="E277" s="294"/>
      <c r="F277" s="294"/>
      <c r="G277" s="294"/>
      <c r="H277" s="294"/>
      <c r="I277" s="294"/>
      <c r="J277" s="294"/>
      <c r="L277" s="295"/>
      <c r="M277" s="294"/>
      <c r="P277" s="294"/>
      <c r="Q277" s="294"/>
    </row>
    <row r="278" spans="2:17" x14ac:dyDescent="0.25">
      <c r="B278" s="294"/>
      <c r="C278" s="294"/>
      <c r="D278" s="294"/>
      <c r="E278" s="294"/>
      <c r="F278" s="294"/>
      <c r="G278" s="294"/>
      <c r="H278" s="294"/>
      <c r="I278" s="294"/>
      <c r="J278" s="294"/>
      <c r="L278" s="295"/>
      <c r="M278" s="294"/>
      <c r="P278" s="294"/>
      <c r="Q278" s="294"/>
    </row>
    <row r="279" spans="2:17" x14ac:dyDescent="0.25">
      <c r="B279" s="294"/>
      <c r="C279" s="294"/>
      <c r="D279" s="294"/>
      <c r="E279" s="294"/>
      <c r="F279" s="294"/>
      <c r="G279" s="294"/>
      <c r="H279" s="294"/>
      <c r="I279" s="294"/>
      <c r="J279" s="294"/>
      <c r="L279" s="295"/>
      <c r="M279" s="294"/>
      <c r="P279" s="294"/>
      <c r="Q279" s="294"/>
    </row>
    <row r="280" spans="2:17" x14ac:dyDescent="0.25">
      <c r="B280" s="294"/>
      <c r="C280" s="294"/>
      <c r="D280" s="294"/>
      <c r="E280" s="294"/>
      <c r="F280" s="294"/>
      <c r="G280" s="294"/>
      <c r="H280" s="294"/>
      <c r="I280" s="294"/>
      <c r="J280" s="294"/>
      <c r="L280" s="295"/>
      <c r="M280" s="294"/>
      <c r="P280" s="294"/>
      <c r="Q280" s="294"/>
    </row>
    <row r="281" spans="2:17" x14ac:dyDescent="0.25">
      <c r="B281" s="294"/>
      <c r="C281" s="294"/>
      <c r="D281" s="294"/>
      <c r="E281" s="294"/>
      <c r="F281" s="294"/>
      <c r="G281" s="294"/>
      <c r="H281" s="294"/>
      <c r="I281" s="294"/>
      <c r="J281" s="294"/>
      <c r="L281" s="295"/>
      <c r="M281" s="294"/>
      <c r="P281" s="294"/>
      <c r="Q281" s="294"/>
    </row>
    <row r="282" spans="2:17" x14ac:dyDescent="0.25">
      <c r="B282" s="294"/>
      <c r="C282" s="294"/>
      <c r="D282" s="294"/>
      <c r="E282" s="294"/>
      <c r="F282" s="294"/>
      <c r="G282" s="294"/>
      <c r="H282" s="294"/>
      <c r="I282" s="294"/>
      <c r="J282" s="294"/>
      <c r="L282" s="295"/>
      <c r="M282" s="294"/>
      <c r="P282" s="294"/>
      <c r="Q282" s="294"/>
    </row>
    <row r="283" spans="2:17" x14ac:dyDescent="0.25">
      <c r="B283" s="294"/>
      <c r="C283" s="294"/>
      <c r="D283" s="294"/>
      <c r="E283" s="294"/>
      <c r="F283" s="294"/>
      <c r="G283" s="294"/>
      <c r="H283" s="294"/>
      <c r="I283" s="294"/>
      <c r="J283" s="294"/>
      <c r="L283" s="295"/>
      <c r="M283" s="294"/>
      <c r="P283" s="294"/>
      <c r="Q283" s="294"/>
    </row>
    <row r="284" spans="2:17" x14ac:dyDescent="0.25">
      <c r="B284" s="294"/>
      <c r="C284" s="294"/>
      <c r="D284" s="294"/>
      <c r="E284" s="294"/>
      <c r="F284" s="294"/>
      <c r="G284" s="294"/>
      <c r="H284" s="294"/>
      <c r="I284" s="294"/>
      <c r="J284" s="294"/>
      <c r="L284" s="295"/>
      <c r="M284" s="294"/>
      <c r="P284" s="294"/>
      <c r="Q284" s="294"/>
    </row>
    <row r="285" spans="2:17" x14ac:dyDescent="0.25">
      <c r="B285" s="294"/>
      <c r="C285" s="294"/>
      <c r="D285" s="294"/>
      <c r="E285" s="294"/>
      <c r="F285" s="294"/>
      <c r="G285" s="294"/>
      <c r="H285" s="294"/>
      <c r="I285" s="294"/>
      <c r="J285" s="294"/>
      <c r="L285" s="295"/>
      <c r="M285" s="294"/>
      <c r="P285" s="294"/>
      <c r="Q285" s="294"/>
    </row>
    <row r="286" spans="2:17" x14ac:dyDescent="0.25">
      <c r="B286" s="294"/>
      <c r="C286" s="294"/>
      <c r="D286" s="294"/>
      <c r="E286" s="294"/>
      <c r="F286" s="294"/>
      <c r="G286" s="294"/>
      <c r="H286" s="294"/>
      <c r="I286" s="294"/>
      <c r="J286" s="294"/>
      <c r="L286" s="295"/>
      <c r="M286" s="294"/>
      <c r="P286" s="294"/>
      <c r="Q286" s="294"/>
    </row>
    <row r="287" spans="2:17" x14ac:dyDescent="0.25">
      <c r="B287" s="294"/>
      <c r="C287" s="294"/>
      <c r="D287" s="294"/>
      <c r="E287" s="294"/>
      <c r="F287" s="294"/>
      <c r="G287" s="294"/>
      <c r="H287" s="294"/>
      <c r="I287" s="294"/>
      <c r="J287" s="294"/>
      <c r="L287" s="295"/>
      <c r="M287" s="294"/>
      <c r="P287" s="294"/>
      <c r="Q287" s="294"/>
    </row>
    <row r="288" spans="2:17" x14ac:dyDescent="0.25">
      <c r="B288" s="294"/>
      <c r="C288" s="294"/>
      <c r="D288" s="294"/>
      <c r="E288" s="294"/>
      <c r="F288" s="294"/>
      <c r="G288" s="294"/>
      <c r="H288" s="294"/>
      <c r="I288" s="294"/>
      <c r="J288" s="294"/>
      <c r="L288" s="295"/>
      <c r="M288" s="294"/>
      <c r="P288" s="294"/>
      <c r="Q288" s="294"/>
    </row>
    <row r="289" spans="2:17" x14ac:dyDescent="0.25">
      <c r="B289" s="294"/>
      <c r="C289" s="294"/>
      <c r="D289" s="294"/>
      <c r="E289" s="294"/>
      <c r="F289" s="294"/>
      <c r="G289" s="294"/>
      <c r="H289" s="294"/>
      <c r="I289" s="294"/>
      <c r="J289" s="294"/>
      <c r="L289" s="295"/>
      <c r="M289" s="294"/>
      <c r="P289" s="294"/>
      <c r="Q289" s="294"/>
    </row>
    <row r="290" spans="2:17" x14ac:dyDescent="0.25">
      <c r="B290" s="294"/>
      <c r="C290" s="294"/>
      <c r="D290" s="294"/>
      <c r="E290" s="294"/>
      <c r="F290" s="294"/>
      <c r="G290" s="294"/>
      <c r="H290" s="294"/>
      <c r="I290" s="294"/>
      <c r="J290" s="294"/>
      <c r="L290" s="295"/>
      <c r="M290" s="294"/>
      <c r="P290" s="294"/>
      <c r="Q290" s="294"/>
    </row>
    <row r="291" spans="2:17" x14ac:dyDescent="0.25">
      <c r="B291" s="294"/>
      <c r="C291" s="294"/>
      <c r="D291" s="294"/>
      <c r="E291" s="294"/>
      <c r="F291" s="294"/>
      <c r="G291" s="294"/>
      <c r="H291" s="294"/>
      <c r="I291" s="294"/>
      <c r="J291" s="294"/>
      <c r="L291" s="295"/>
      <c r="M291" s="294"/>
      <c r="P291" s="294"/>
      <c r="Q291" s="294"/>
    </row>
    <row r="292" spans="2:17" x14ac:dyDescent="0.25">
      <c r="B292" s="294"/>
      <c r="C292" s="294"/>
      <c r="D292" s="294"/>
      <c r="E292" s="294"/>
      <c r="F292" s="294"/>
      <c r="G292" s="294"/>
      <c r="H292" s="294"/>
      <c r="I292" s="294"/>
      <c r="J292" s="294"/>
      <c r="L292" s="295"/>
      <c r="M292" s="294"/>
      <c r="P292" s="294"/>
      <c r="Q292" s="294"/>
    </row>
    <row r="293" spans="2:17" x14ac:dyDescent="0.25">
      <c r="B293" s="294"/>
      <c r="C293" s="294"/>
      <c r="D293" s="294"/>
      <c r="E293" s="294"/>
      <c r="F293" s="294"/>
      <c r="G293" s="294"/>
      <c r="H293" s="294"/>
      <c r="I293" s="294"/>
      <c r="J293" s="294"/>
      <c r="L293" s="295"/>
      <c r="M293" s="294"/>
      <c r="P293" s="294"/>
      <c r="Q293" s="294"/>
    </row>
    <row r="294" spans="2:17" x14ac:dyDescent="0.25">
      <c r="B294" s="294"/>
      <c r="C294" s="294"/>
      <c r="D294" s="294"/>
      <c r="E294" s="294"/>
      <c r="F294" s="294"/>
      <c r="G294" s="294"/>
      <c r="H294" s="294"/>
      <c r="I294" s="294"/>
      <c r="J294" s="294"/>
      <c r="L294" s="295"/>
      <c r="M294" s="294"/>
      <c r="P294" s="294"/>
      <c r="Q294" s="294"/>
    </row>
    <row r="295" spans="2:17" x14ac:dyDescent="0.25">
      <c r="B295" s="294"/>
      <c r="C295" s="294"/>
      <c r="D295" s="294"/>
      <c r="E295" s="294"/>
      <c r="F295" s="294"/>
      <c r="G295" s="294"/>
      <c r="H295" s="294"/>
      <c r="I295" s="294"/>
      <c r="J295" s="294"/>
      <c r="L295" s="295"/>
      <c r="M295" s="294"/>
      <c r="P295" s="294"/>
      <c r="Q295" s="294"/>
    </row>
    <row r="296" spans="2:17" x14ac:dyDescent="0.25">
      <c r="B296" s="294"/>
      <c r="C296" s="294"/>
      <c r="D296" s="294"/>
      <c r="E296" s="294"/>
      <c r="F296" s="294"/>
      <c r="G296" s="294"/>
      <c r="H296" s="294"/>
      <c r="I296" s="294"/>
      <c r="J296" s="294"/>
      <c r="L296" s="295"/>
      <c r="M296" s="294"/>
      <c r="P296" s="294"/>
      <c r="Q296" s="294"/>
    </row>
    <row r="297" spans="2:17" x14ac:dyDescent="0.25">
      <c r="B297" s="294"/>
      <c r="C297" s="294"/>
      <c r="D297" s="294"/>
      <c r="E297" s="294"/>
      <c r="F297" s="294"/>
      <c r="G297" s="294"/>
      <c r="H297" s="294"/>
      <c r="I297" s="294"/>
      <c r="J297" s="294"/>
      <c r="L297" s="295"/>
      <c r="M297" s="294"/>
      <c r="P297" s="294"/>
      <c r="Q297" s="294"/>
    </row>
    <row r="298" spans="2:17" x14ac:dyDescent="0.25">
      <c r="B298" s="294"/>
      <c r="C298" s="294"/>
      <c r="D298" s="294"/>
      <c r="E298" s="294"/>
      <c r="F298" s="294"/>
      <c r="G298" s="294"/>
      <c r="H298" s="294"/>
      <c r="I298" s="294"/>
      <c r="J298" s="294"/>
      <c r="L298" s="295"/>
      <c r="M298" s="294"/>
      <c r="P298" s="294"/>
      <c r="Q298" s="294"/>
    </row>
    <row r="299" spans="2:17" x14ac:dyDescent="0.25">
      <c r="B299" s="294"/>
      <c r="C299" s="294"/>
      <c r="D299" s="294"/>
      <c r="E299" s="294"/>
      <c r="F299" s="294"/>
      <c r="G299" s="294"/>
      <c r="H299" s="294"/>
      <c r="I299" s="294"/>
      <c r="J299" s="294"/>
      <c r="L299" s="295"/>
      <c r="M299" s="294"/>
      <c r="P299" s="294"/>
      <c r="Q299" s="294"/>
    </row>
    <row r="300" spans="2:17" x14ac:dyDescent="0.25">
      <c r="B300" s="294"/>
      <c r="C300" s="294"/>
      <c r="D300" s="294"/>
      <c r="E300" s="294"/>
      <c r="F300" s="294"/>
      <c r="G300" s="294"/>
      <c r="H300" s="294"/>
      <c r="I300" s="294"/>
      <c r="J300" s="294"/>
      <c r="L300" s="295"/>
      <c r="M300" s="294"/>
      <c r="P300" s="294"/>
      <c r="Q300" s="294"/>
    </row>
    <row r="301" spans="2:17" x14ac:dyDescent="0.25">
      <c r="B301" s="294"/>
      <c r="C301" s="294"/>
      <c r="D301" s="294"/>
      <c r="E301" s="294"/>
      <c r="F301" s="294"/>
      <c r="G301" s="294"/>
      <c r="H301" s="294"/>
      <c r="I301" s="294"/>
      <c r="J301" s="294"/>
      <c r="L301" s="295"/>
      <c r="M301" s="294"/>
      <c r="P301" s="294"/>
      <c r="Q301" s="294"/>
    </row>
    <row r="302" spans="2:17" x14ac:dyDescent="0.25">
      <c r="B302" s="294"/>
      <c r="C302" s="294"/>
      <c r="D302" s="294"/>
      <c r="E302" s="294"/>
      <c r="F302" s="294"/>
      <c r="G302" s="294"/>
      <c r="H302" s="294"/>
      <c r="I302" s="294"/>
      <c r="J302" s="294"/>
      <c r="L302" s="295"/>
      <c r="M302" s="294"/>
      <c r="P302" s="294"/>
      <c r="Q302" s="294"/>
    </row>
    <row r="303" spans="2:17" x14ac:dyDescent="0.25">
      <c r="B303" s="294"/>
      <c r="C303" s="294"/>
      <c r="D303" s="294"/>
      <c r="E303" s="294"/>
      <c r="F303" s="294"/>
      <c r="G303" s="294"/>
      <c r="H303" s="294"/>
      <c r="I303" s="294"/>
      <c r="J303" s="294"/>
      <c r="L303" s="295"/>
      <c r="M303" s="294"/>
      <c r="P303" s="294"/>
      <c r="Q303" s="294"/>
    </row>
    <row r="304" spans="2:17" x14ac:dyDescent="0.25">
      <c r="B304" s="294"/>
      <c r="C304" s="294"/>
      <c r="D304" s="294"/>
      <c r="E304" s="294"/>
      <c r="F304" s="294"/>
      <c r="G304" s="294"/>
      <c r="H304" s="294"/>
      <c r="I304" s="294"/>
      <c r="J304" s="294"/>
      <c r="L304" s="295"/>
      <c r="M304" s="294"/>
      <c r="P304" s="294"/>
      <c r="Q304" s="294"/>
    </row>
    <row r="305" spans="2:17" x14ac:dyDescent="0.25">
      <c r="B305" s="294"/>
      <c r="C305" s="294"/>
      <c r="D305" s="294"/>
      <c r="E305" s="294"/>
      <c r="F305" s="294"/>
      <c r="G305" s="294"/>
      <c r="H305" s="294"/>
      <c r="I305" s="294"/>
      <c r="J305" s="294"/>
      <c r="L305" s="295"/>
      <c r="M305" s="294"/>
      <c r="P305" s="294"/>
      <c r="Q305" s="294"/>
    </row>
    <row r="306" spans="2:17" x14ac:dyDescent="0.25">
      <c r="B306" s="294"/>
      <c r="C306" s="294"/>
      <c r="D306" s="294"/>
      <c r="E306" s="294"/>
      <c r="F306" s="294"/>
      <c r="G306" s="294"/>
      <c r="H306" s="294"/>
      <c r="I306" s="294"/>
      <c r="J306" s="294"/>
      <c r="L306" s="295"/>
      <c r="M306" s="294"/>
      <c r="P306" s="294"/>
      <c r="Q306" s="294"/>
    </row>
    <row r="307" spans="2:17" x14ac:dyDescent="0.25">
      <c r="B307" s="294"/>
      <c r="C307" s="294"/>
      <c r="D307" s="294"/>
      <c r="E307" s="294"/>
      <c r="F307" s="294"/>
      <c r="G307" s="294"/>
      <c r="H307" s="294"/>
      <c r="I307" s="294"/>
      <c r="J307" s="294"/>
      <c r="L307" s="295"/>
      <c r="M307" s="294"/>
      <c r="P307" s="294"/>
      <c r="Q307" s="294"/>
    </row>
    <row r="308" spans="2:17" x14ac:dyDescent="0.25">
      <c r="B308" s="294"/>
      <c r="C308" s="294"/>
      <c r="D308" s="294"/>
      <c r="E308" s="294"/>
      <c r="F308" s="294"/>
      <c r="G308" s="294"/>
      <c r="H308" s="294"/>
      <c r="I308" s="294"/>
      <c r="J308" s="294"/>
      <c r="L308" s="295"/>
      <c r="M308" s="294"/>
      <c r="P308" s="294"/>
      <c r="Q308" s="294"/>
    </row>
    <row r="309" spans="2:17" x14ac:dyDescent="0.25">
      <c r="B309" s="294"/>
      <c r="C309" s="294"/>
      <c r="D309" s="294"/>
      <c r="E309" s="294"/>
      <c r="F309" s="294"/>
      <c r="G309" s="294"/>
      <c r="H309" s="294"/>
      <c r="I309" s="294"/>
      <c r="J309" s="294"/>
      <c r="L309" s="295"/>
      <c r="M309" s="294"/>
      <c r="P309" s="294"/>
      <c r="Q309" s="294"/>
    </row>
    <row r="310" spans="2:17" x14ac:dyDescent="0.25">
      <c r="B310" s="294"/>
      <c r="C310" s="294"/>
      <c r="D310" s="294"/>
      <c r="E310" s="294"/>
      <c r="F310" s="294"/>
      <c r="G310" s="294"/>
      <c r="H310" s="294"/>
      <c r="I310" s="294"/>
      <c r="J310" s="294"/>
      <c r="L310" s="295"/>
      <c r="M310" s="294"/>
      <c r="P310" s="294"/>
      <c r="Q310" s="294"/>
    </row>
    <row r="311" spans="2:17" x14ac:dyDescent="0.25">
      <c r="B311" s="294"/>
      <c r="C311" s="294"/>
      <c r="D311" s="294"/>
      <c r="E311" s="294"/>
      <c r="F311" s="294"/>
      <c r="G311" s="294"/>
      <c r="H311" s="294"/>
      <c r="I311" s="294"/>
      <c r="J311" s="294"/>
      <c r="L311" s="295"/>
      <c r="M311" s="294"/>
      <c r="P311" s="294"/>
      <c r="Q311" s="294"/>
    </row>
    <row r="312" spans="2:17" x14ac:dyDescent="0.25">
      <c r="B312" s="294"/>
      <c r="C312" s="294"/>
      <c r="D312" s="294"/>
      <c r="E312" s="294"/>
      <c r="F312" s="294"/>
      <c r="G312" s="294"/>
      <c r="H312" s="294"/>
      <c r="I312" s="294"/>
      <c r="J312" s="294"/>
      <c r="L312" s="295"/>
      <c r="M312" s="294"/>
      <c r="P312" s="294"/>
      <c r="Q312" s="294"/>
    </row>
    <row r="313" spans="2:17" x14ac:dyDescent="0.25">
      <c r="B313" s="294"/>
      <c r="C313" s="294"/>
      <c r="D313" s="294"/>
      <c r="E313" s="294"/>
      <c r="F313" s="294"/>
      <c r="G313" s="294"/>
      <c r="H313" s="294"/>
      <c r="I313" s="294"/>
      <c r="J313" s="294"/>
      <c r="L313" s="295"/>
      <c r="M313" s="294"/>
      <c r="P313" s="294"/>
      <c r="Q313" s="294"/>
    </row>
    <row r="314" spans="2:17" x14ac:dyDescent="0.25">
      <c r="B314" s="294"/>
      <c r="C314" s="294"/>
      <c r="D314" s="294"/>
      <c r="E314" s="294"/>
      <c r="F314" s="294"/>
      <c r="G314" s="294"/>
      <c r="H314" s="294"/>
      <c r="I314" s="294"/>
      <c r="J314" s="294"/>
      <c r="L314" s="295"/>
      <c r="M314" s="294"/>
      <c r="P314" s="294"/>
      <c r="Q314" s="294"/>
    </row>
    <row r="315" spans="2:17" x14ac:dyDescent="0.25">
      <c r="B315" s="294"/>
      <c r="C315" s="294"/>
      <c r="D315" s="294"/>
      <c r="E315" s="294"/>
      <c r="F315" s="294"/>
      <c r="G315" s="294"/>
      <c r="H315" s="294"/>
      <c r="I315" s="294"/>
      <c r="J315" s="294"/>
      <c r="L315" s="295"/>
      <c r="M315" s="294"/>
      <c r="P315" s="294"/>
      <c r="Q315" s="294"/>
    </row>
    <row r="316" spans="2:17" x14ac:dyDescent="0.25">
      <c r="B316" s="294"/>
      <c r="C316" s="294"/>
      <c r="D316" s="294"/>
      <c r="E316" s="294"/>
      <c r="F316" s="294"/>
      <c r="G316" s="294"/>
      <c r="H316" s="294"/>
      <c r="I316" s="294"/>
      <c r="J316" s="294"/>
      <c r="L316" s="295"/>
      <c r="M316" s="294"/>
      <c r="P316" s="294"/>
      <c r="Q316" s="294"/>
    </row>
    <row r="317" spans="2:17" x14ac:dyDescent="0.25">
      <c r="B317" s="294"/>
      <c r="C317" s="294"/>
      <c r="D317" s="294"/>
      <c r="E317" s="294"/>
      <c r="F317" s="294"/>
      <c r="G317" s="294"/>
      <c r="H317" s="294"/>
      <c r="I317" s="294"/>
      <c r="J317" s="294"/>
      <c r="L317" s="295"/>
      <c r="M317" s="294"/>
      <c r="P317" s="294"/>
      <c r="Q317" s="294"/>
    </row>
    <row r="318" spans="2:17" x14ac:dyDescent="0.25">
      <c r="B318" s="294"/>
      <c r="C318" s="294"/>
      <c r="D318" s="294"/>
      <c r="E318" s="294"/>
      <c r="F318" s="294"/>
      <c r="G318" s="294"/>
      <c r="H318" s="294"/>
      <c r="I318" s="294"/>
      <c r="J318" s="294"/>
      <c r="L318" s="295"/>
      <c r="M318" s="294"/>
      <c r="P318" s="294"/>
      <c r="Q318" s="294"/>
    </row>
    <row r="319" spans="2:17" x14ac:dyDescent="0.25">
      <c r="B319" s="294"/>
      <c r="C319" s="294"/>
      <c r="D319" s="294"/>
      <c r="E319" s="294"/>
      <c r="F319" s="294"/>
      <c r="G319" s="294"/>
      <c r="H319" s="294"/>
      <c r="I319" s="294"/>
      <c r="J319" s="294"/>
      <c r="L319" s="295"/>
      <c r="M319" s="294"/>
      <c r="P319" s="294"/>
      <c r="Q319" s="294"/>
    </row>
    <row r="320" spans="2:17" x14ac:dyDescent="0.25">
      <c r="B320" s="294"/>
      <c r="C320" s="294"/>
      <c r="D320" s="294"/>
      <c r="E320" s="294"/>
      <c r="F320" s="294"/>
      <c r="G320" s="294"/>
      <c r="H320" s="294"/>
      <c r="I320" s="294"/>
      <c r="J320" s="294"/>
      <c r="L320" s="295"/>
      <c r="M320" s="294"/>
      <c r="P320" s="294"/>
      <c r="Q320" s="294"/>
    </row>
    <row r="321" spans="2:17" x14ac:dyDescent="0.25">
      <c r="B321" s="294"/>
      <c r="C321" s="294"/>
      <c r="D321" s="294"/>
      <c r="E321" s="294"/>
      <c r="F321" s="294"/>
      <c r="G321" s="294"/>
      <c r="H321" s="294"/>
      <c r="I321" s="294"/>
      <c r="J321" s="294"/>
      <c r="L321" s="295"/>
      <c r="M321" s="294"/>
      <c r="P321" s="294"/>
      <c r="Q321" s="294"/>
    </row>
    <row r="322" spans="2:17" x14ac:dyDescent="0.25">
      <c r="B322" s="294"/>
      <c r="C322" s="294"/>
      <c r="D322" s="294"/>
      <c r="E322" s="294"/>
      <c r="F322" s="294"/>
      <c r="G322" s="294"/>
      <c r="H322" s="294"/>
      <c r="I322" s="294"/>
      <c r="J322" s="294"/>
      <c r="L322" s="295"/>
      <c r="M322" s="294"/>
      <c r="P322" s="294"/>
      <c r="Q322" s="294"/>
    </row>
    <row r="323" spans="2:17" x14ac:dyDescent="0.25">
      <c r="B323" s="294"/>
      <c r="C323" s="294"/>
      <c r="D323" s="294"/>
      <c r="E323" s="294"/>
      <c r="F323" s="294"/>
      <c r="G323" s="294"/>
      <c r="H323" s="294"/>
      <c r="I323" s="294"/>
      <c r="J323" s="294"/>
      <c r="L323" s="295"/>
      <c r="M323" s="294"/>
      <c r="P323" s="294"/>
      <c r="Q323" s="294"/>
    </row>
    <row r="324" spans="2:17" x14ac:dyDescent="0.25">
      <c r="B324" s="294"/>
      <c r="C324" s="294"/>
      <c r="D324" s="294"/>
      <c r="E324" s="294"/>
      <c r="F324" s="294"/>
      <c r="G324" s="294"/>
      <c r="H324" s="294"/>
      <c r="I324" s="294"/>
      <c r="J324" s="294"/>
      <c r="L324" s="295"/>
      <c r="M324" s="294"/>
      <c r="P324" s="294"/>
      <c r="Q324" s="294"/>
    </row>
    <row r="325" spans="2:17" x14ac:dyDescent="0.25">
      <c r="B325" s="294"/>
      <c r="C325" s="294"/>
      <c r="D325" s="294"/>
      <c r="E325" s="294"/>
      <c r="F325" s="294"/>
      <c r="G325" s="294"/>
      <c r="H325" s="294"/>
      <c r="I325" s="294"/>
      <c r="J325" s="294"/>
      <c r="L325" s="295"/>
      <c r="M325" s="294"/>
      <c r="P325" s="294"/>
      <c r="Q325" s="294"/>
    </row>
    <row r="326" spans="2:17" x14ac:dyDescent="0.25">
      <c r="B326" s="294"/>
      <c r="C326" s="294"/>
      <c r="D326" s="294"/>
      <c r="E326" s="294"/>
      <c r="F326" s="294"/>
      <c r="G326" s="294"/>
      <c r="H326" s="294"/>
      <c r="I326" s="294"/>
      <c r="J326" s="294"/>
      <c r="L326" s="295"/>
      <c r="M326" s="294"/>
      <c r="P326" s="294"/>
      <c r="Q326" s="294"/>
    </row>
    <row r="327" spans="2:17" x14ac:dyDescent="0.25">
      <c r="B327" s="294"/>
      <c r="C327" s="294"/>
      <c r="D327" s="294"/>
      <c r="E327" s="294"/>
      <c r="F327" s="294"/>
      <c r="G327" s="294"/>
      <c r="H327" s="294"/>
      <c r="I327" s="294"/>
      <c r="J327" s="294"/>
      <c r="L327" s="295"/>
      <c r="M327" s="294"/>
      <c r="P327" s="294"/>
      <c r="Q327" s="294"/>
    </row>
    <row r="328" spans="2:17" x14ac:dyDescent="0.25">
      <c r="B328" s="294"/>
      <c r="C328" s="294"/>
      <c r="D328" s="294"/>
      <c r="E328" s="294"/>
      <c r="F328" s="294"/>
      <c r="G328" s="294"/>
      <c r="H328" s="294"/>
      <c r="I328" s="294"/>
      <c r="J328" s="294"/>
      <c r="L328" s="295"/>
      <c r="M328" s="294"/>
      <c r="P328" s="294"/>
      <c r="Q328" s="294"/>
    </row>
    <row r="329" spans="2:17" x14ac:dyDescent="0.25">
      <c r="B329" s="294"/>
      <c r="C329" s="294"/>
      <c r="D329" s="294"/>
      <c r="E329" s="294"/>
      <c r="F329" s="294"/>
      <c r="G329" s="294"/>
      <c r="H329" s="294"/>
      <c r="I329" s="294"/>
      <c r="J329" s="294"/>
      <c r="L329" s="295"/>
      <c r="M329" s="294"/>
      <c r="P329" s="294"/>
      <c r="Q329" s="294"/>
    </row>
    <row r="330" spans="2:17" x14ac:dyDescent="0.25">
      <c r="B330" s="294"/>
      <c r="C330" s="294"/>
      <c r="D330" s="294"/>
      <c r="E330" s="294"/>
      <c r="F330" s="294"/>
      <c r="G330" s="294"/>
      <c r="H330" s="294"/>
      <c r="I330" s="294"/>
      <c r="J330" s="294"/>
      <c r="L330" s="295"/>
      <c r="M330" s="294"/>
      <c r="P330" s="294"/>
      <c r="Q330" s="294"/>
    </row>
    <row r="331" spans="2:17" x14ac:dyDescent="0.25">
      <c r="B331" s="294"/>
      <c r="C331" s="294"/>
      <c r="D331" s="294"/>
      <c r="E331" s="294"/>
      <c r="F331" s="294"/>
      <c r="G331" s="294"/>
      <c r="H331" s="294"/>
      <c r="I331" s="294"/>
      <c r="J331" s="294"/>
      <c r="L331" s="295"/>
      <c r="M331" s="294"/>
      <c r="P331" s="294"/>
      <c r="Q331" s="294"/>
    </row>
    <row r="332" spans="2:17" x14ac:dyDescent="0.25">
      <c r="B332" s="294"/>
      <c r="C332" s="294"/>
      <c r="D332" s="294"/>
      <c r="E332" s="294"/>
      <c r="F332" s="294"/>
      <c r="G332" s="294"/>
      <c r="H332" s="294"/>
      <c r="I332" s="294"/>
      <c r="J332" s="294"/>
      <c r="L332" s="295"/>
      <c r="M332" s="294"/>
      <c r="P332" s="294"/>
      <c r="Q332" s="294"/>
    </row>
    <row r="333" spans="2:17" x14ac:dyDescent="0.25">
      <c r="B333" s="294"/>
      <c r="C333" s="294"/>
      <c r="D333" s="294"/>
      <c r="E333" s="294"/>
      <c r="F333" s="294"/>
      <c r="G333" s="294"/>
      <c r="H333" s="294"/>
      <c r="I333" s="294"/>
      <c r="J333" s="294"/>
      <c r="L333" s="295"/>
      <c r="M333" s="294"/>
      <c r="P333" s="294"/>
      <c r="Q333" s="294"/>
    </row>
    <row r="334" spans="2:17" x14ac:dyDescent="0.25">
      <c r="B334" s="294"/>
      <c r="C334" s="294"/>
      <c r="D334" s="294"/>
      <c r="E334" s="294"/>
      <c r="F334" s="294"/>
      <c r="G334" s="294"/>
      <c r="H334" s="294"/>
      <c r="I334" s="294"/>
      <c r="J334" s="294"/>
      <c r="L334" s="295"/>
      <c r="M334" s="294"/>
      <c r="P334" s="294"/>
      <c r="Q334" s="294"/>
    </row>
    <row r="335" spans="2:17" x14ac:dyDescent="0.25">
      <c r="B335" s="294"/>
      <c r="C335" s="294"/>
      <c r="D335" s="294"/>
      <c r="E335" s="294"/>
      <c r="F335" s="294"/>
      <c r="G335" s="294"/>
      <c r="H335" s="294"/>
      <c r="I335" s="294"/>
      <c r="J335" s="294"/>
      <c r="L335" s="295"/>
      <c r="M335" s="294"/>
      <c r="P335" s="294"/>
      <c r="Q335" s="294"/>
    </row>
    <row r="336" spans="2:17" x14ac:dyDescent="0.25">
      <c r="B336" s="294"/>
      <c r="C336" s="294"/>
      <c r="D336" s="294"/>
      <c r="E336" s="294"/>
      <c r="F336" s="294"/>
      <c r="G336" s="294"/>
      <c r="H336" s="294"/>
      <c r="I336" s="294"/>
      <c r="J336" s="294"/>
      <c r="L336" s="295"/>
      <c r="M336" s="294"/>
      <c r="P336" s="294"/>
      <c r="Q336" s="294"/>
    </row>
    <row r="337" spans="2:17" x14ac:dyDescent="0.25">
      <c r="B337" s="294"/>
      <c r="C337" s="294"/>
      <c r="D337" s="294"/>
      <c r="E337" s="294"/>
      <c r="F337" s="294"/>
      <c r="G337" s="294"/>
      <c r="H337" s="294"/>
      <c r="I337" s="294"/>
      <c r="J337" s="294"/>
      <c r="L337" s="295"/>
      <c r="M337" s="294"/>
      <c r="P337" s="294"/>
      <c r="Q337" s="294"/>
    </row>
    <row r="338" spans="2:17" x14ac:dyDescent="0.25">
      <c r="B338" s="294"/>
      <c r="C338" s="294"/>
      <c r="D338" s="294"/>
      <c r="E338" s="294"/>
      <c r="F338" s="294"/>
      <c r="G338" s="294"/>
      <c r="H338" s="294"/>
      <c r="I338" s="294"/>
      <c r="J338" s="294"/>
      <c r="L338" s="295"/>
      <c r="M338" s="294"/>
      <c r="P338" s="294"/>
      <c r="Q338" s="294"/>
    </row>
    <row r="339" spans="2:17" x14ac:dyDescent="0.25">
      <c r="B339" s="294"/>
      <c r="C339" s="294"/>
      <c r="D339" s="294"/>
      <c r="E339" s="294"/>
      <c r="F339" s="294"/>
      <c r="G339" s="294"/>
      <c r="H339" s="294"/>
      <c r="I339" s="294"/>
      <c r="J339" s="294"/>
      <c r="L339" s="295"/>
      <c r="M339" s="294"/>
      <c r="P339" s="294"/>
      <c r="Q339" s="294"/>
    </row>
    <row r="340" spans="2:17" x14ac:dyDescent="0.25">
      <c r="B340" s="294"/>
      <c r="C340" s="294"/>
      <c r="D340" s="294"/>
      <c r="E340" s="294"/>
      <c r="F340" s="294"/>
      <c r="G340" s="294"/>
      <c r="H340" s="294"/>
      <c r="I340" s="294"/>
      <c r="J340" s="294"/>
      <c r="L340" s="295"/>
      <c r="M340" s="294"/>
      <c r="P340" s="294"/>
      <c r="Q340" s="294"/>
    </row>
    <row r="341" spans="2:17" x14ac:dyDescent="0.25">
      <c r="B341" s="294"/>
      <c r="C341" s="294"/>
      <c r="D341" s="294"/>
      <c r="E341" s="294"/>
      <c r="F341" s="294"/>
      <c r="G341" s="294"/>
      <c r="H341" s="294"/>
      <c r="I341" s="294"/>
      <c r="J341" s="294"/>
      <c r="L341" s="295"/>
      <c r="M341" s="294"/>
      <c r="P341" s="294"/>
      <c r="Q341" s="294"/>
    </row>
    <row r="342" spans="2:17" x14ac:dyDescent="0.25">
      <c r="B342" s="294"/>
      <c r="C342" s="294"/>
      <c r="D342" s="294"/>
      <c r="E342" s="294"/>
      <c r="F342" s="294"/>
      <c r="G342" s="294"/>
      <c r="H342" s="294"/>
      <c r="I342" s="294"/>
      <c r="J342" s="294"/>
      <c r="L342" s="295"/>
      <c r="M342" s="294"/>
      <c r="P342" s="294"/>
      <c r="Q342" s="294"/>
    </row>
    <row r="343" spans="2:17" x14ac:dyDescent="0.25">
      <c r="B343" s="294"/>
      <c r="C343" s="294"/>
      <c r="D343" s="294"/>
      <c r="E343" s="294"/>
      <c r="F343" s="294"/>
      <c r="G343" s="294"/>
      <c r="H343" s="294"/>
      <c r="I343" s="294"/>
      <c r="J343" s="294"/>
      <c r="L343" s="295"/>
      <c r="M343" s="294"/>
      <c r="P343" s="294"/>
      <c r="Q343" s="294"/>
    </row>
    <row r="344" spans="2:17" x14ac:dyDescent="0.25">
      <c r="B344" s="294"/>
      <c r="C344" s="294"/>
      <c r="D344" s="294"/>
      <c r="E344" s="294"/>
      <c r="F344" s="294"/>
      <c r="G344" s="294"/>
      <c r="H344" s="294"/>
      <c r="I344" s="294"/>
      <c r="J344" s="294"/>
      <c r="L344" s="295"/>
      <c r="M344" s="294"/>
      <c r="P344" s="294"/>
      <c r="Q344" s="294"/>
    </row>
    <row r="345" spans="2:17" x14ac:dyDescent="0.25">
      <c r="B345" s="294"/>
      <c r="C345" s="294"/>
      <c r="D345" s="294"/>
      <c r="E345" s="294"/>
      <c r="F345" s="294"/>
      <c r="G345" s="294"/>
      <c r="H345" s="294"/>
      <c r="I345" s="294"/>
      <c r="J345" s="294"/>
      <c r="L345" s="295"/>
      <c r="M345" s="294"/>
      <c r="P345" s="294"/>
      <c r="Q345" s="294"/>
    </row>
    <row r="346" spans="2:17" x14ac:dyDescent="0.25">
      <c r="B346" s="294"/>
      <c r="C346" s="294"/>
      <c r="D346" s="294"/>
      <c r="E346" s="294"/>
      <c r="F346" s="294"/>
      <c r="G346" s="294"/>
      <c r="H346" s="294"/>
      <c r="I346" s="294"/>
      <c r="J346" s="294"/>
      <c r="L346" s="295"/>
      <c r="M346" s="294"/>
      <c r="P346" s="294"/>
      <c r="Q346" s="294"/>
    </row>
    <row r="347" spans="2:17" x14ac:dyDescent="0.25">
      <c r="B347" s="294"/>
      <c r="C347" s="294"/>
      <c r="D347" s="294"/>
      <c r="E347" s="294"/>
      <c r="F347" s="294"/>
      <c r="G347" s="294"/>
      <c r="H347" s="294"/>
      <c r="I347" s="294"/>
      <c r="J347" s="294"/>
      <c r="L347" s="295"/>
      <c r="M347" s="294"/>
      <c r="P347" s="294"/>
      <c r="Q347" s="294"/>
    </row>
    <row r="348" spans="2:17" x14ac:dyDescent="0.25">
      <c r="B348" s="294"/>
      <c r="C348" s="294"/>
      <c r="D348" s="294"/>
      <c r="E348" s="294"/>
      <c r="F348" s="294"/>
      <c r="G348" s="294"/>
      <c r="H348" s="294"/>
      <c r="I348" s="294"/>
      <c r="J348" s="294"/>
      <c r="L348" s="295"/>
      <c r="M348" s="294"/>
      <c r="P348" s="294"/>
      <c r="Q348" s="294"/>
    </row>
    <row r="349" spans="2:17" x14ac:dyDescent="0.25">
      <c r="B349" s="294"/>
      <c r="C349" s="294"/>
      <c r="D349" s="294"/>
      <c r="E349" s="294"/>
      <c r="F349" s="294"/>
      <c r="G349" s="294"/>
      <c r="H349" s="294"/>
      <c r="I349" s="294"/>
      <c r="J349" s="294"/>
      <c r="L349" s="295"/>
      <c r="M349" s="294"/>
      <c r="P349" s="294"/>
      <c r="Q349" s="294"/>
    </row>
    <row r="350" spans="2:17" x14ac:dyDescent="0.25">
      <c r="B350" s="294"/>
      <c r="C350" s="294"/>
      <c r="D350" s="294"/>
      <c r="E350" s="294"/>
      <c r="F350" s="294"/>
      <c r="G350" s="294"/>
      <c r="H350" s="294"/>
      <c r="I350" s="294"/>
      <c r="J350" s="294"/>
      <c r="L350" s="295"/>
      <c r="M350" s="294"/>
      <c r="P350" s="294"/>
      <c r="Q350" s="294"/>
    </row>
    <row r="351" spans="2:17" x14ac:dyDescent="0.25">
      <c r="B351" s="294"/>
      <c r="C351" s="294"/>
      <c r="D351" s="294"/>
      <c r="E351" s="294"/>
      <c r="F351" s="294"/>
      <c r="G351" s="294"/>
      <c r="H351" s="294"/>
      <c r="I351" s="294"/>
      <c r="J351" s="294"/>
      <c r="L351" s="295"/>
      <c r="M351" s="294"/>
      <c r="P351" s="294"/>
      <c r="Q351" s="294"/>
    </row>
    <row r="352" spans="2:17" x14ac:dyDescent="0.25">
      <c r="B352" s="294"/>
      <c r="C352" s="294"/>
      <c r="D352" s="294"/>
      <c r="E352" s="294"/>
      <c r="F352" s="294"/>
      <c r="G352" s="294"/>
      <c r="H352" s="294"/>
      <c r="I352" s="294"/>
      <c r="J352" s="294"/>
      <c r="L352" s="295"/>
      <c r="M352" s="294"/>
      <c r="P352" s="294"/>
      <c r="Q352" s="294"/>
    </row>
    <row r="353" spans="2:17" x14ac:dyDescent="0.25">
      <c r="B353" s="294"/>
      <c r="C353" s="294"/>
      <c r="D353" s="294"/>
      <c r="E353" s="294"/>
      <c r="F353" s="294"/>
      <c r="G353" s="294"/>
      <c r="H353" s="294"/>
      <c r="I353" s="294"/>
      <c r="J353" s="294"/>
      <c r="L353" s="295"/>
      <c r="M353" s="294"/>
      <c r="P353" s="294"/>
      <c r="Q353" s="294"/>
    </row>
    <row r="354" spans="2:17" x14ac:dyDescent="0.25">
      <c r="B354" s="294"/>
      <c r="C354" s="294"/>
      <c r="D354" s="294"/>
      <c r="E354" s="294"/>
      <c r="F354" s="294"/>
      <c r="G354" s="294"/>
      <c r="H354" s="294"/>
      <c r="I354" s="294"/>
      <c r="J354" s="294"/>
      <c r="L354" s="295"/>
      <c r="M354" s="294"/>
      <c r="P354" s="294"/>
      <c r="Q354" s="294"/>
    </row>
    <row r="355" spans="2:17" x14ac:dyDescent="0.25">
      <c r="B355" s="294"/>
      <c r="C355" s="294"/>
      <c r="D355" s="294"/>
      <c r="E355" s="294"/>
      <c r="F355" s="294"/>
      <c r="G355" s="294"/>
      <c r="H355" s="294"/>
      <c r="I355" s="294"/>
      <c r="J355" s="294"/>
      <c r="L355" s="295"/>
      <c r="M355" s="294"/>
      <c r="P355" s="294"/>
      <c r="Q355" s="294"/>
    </row>
    <row r="356" spans="2:17" x14ac:dyDescent="0.25">
      <c r="B356" s="294"/>
      <c r="C356" s="294"/>
      <c r="D356" s="294"/>
      <c r="E356" s="294"/>
      <c r="F356" s="294"/>
      <c r="G356" s="294"/>
      <c r="H356" s="294"/>
      <c r="I356" s="294"/>
      <c r="J356" s="294"/>
      <c r="L356" s="295"/>
      <c r="M356" s="294"/>
      <c r="P356" s="294"/>
      <c r="Q356" s="294"/>
    </row>
    <row r="357" spans="2:17" x14ac:dyDescent="0.25">
      <c r="B357" s="294"/>
      <c r="C357" s="294"/>
      <c r="D357" s="294"/>
      <c r="E357" s="294"/>
      <c r="F357" s="294"/>
      <c r="G357" s="294"/>
      <c r="H357" s="294"/>
      <c r="I357" s="294"/>
      <c r="J357" s="294"/>
      <c r="L357" s="295"/>
      <c r="M357" s="294"/>
      <c r="P357" s="294"/>
      <c r="Q357" s="294"/>
    </row>
    <row r="358" spans="2:17" x14ac:dyDescent="0.25">
      <c r="B358" s="294"/>
      <c r="C358" s="294"/>
      <c r="D358" s="294"/>
      <c r="E358" s="294"/>
      <c r="F358" s="294"/>
      <c r="G358" s="294"/>
      <c r="H358" s="294"/>
      <c r="I358" s="294"/>
      <c r="J358" s="294"/>
      <c r="L358" s="295"/>
      <c r="M358" s="294"/>
      <c r="P358" s="294"/>
      <c r="Q358" s="294"/>
    </row>
    <row r="359" spans="2:17" x14ac:dyDescent="0.25">
      <c r="B359" s="294"/>
      <c r="C359" s="294"/>
      <c r="D359" s="294"/>
      <c r="E359" s="294"/>
      <c r="F359" s="294"/>
      <c r="G359" s="294"/>
      <c r="H359" s="294"/>
      <c r="I359" s="294"/>
      <c r="J359" s="294"/>
      <c r="L359" s="295"/>
      <c r="M359" s="294"/>
      <c r="P359" s="294"/>
      <c r="Q359" s="294"/>
    </row>
    <row r="360" spans="2:17" x14ac:dyDescent="0.25">
      <c r="B360" s="294"/>
      <c r="C360" s="294"/>
      <c r="D360" s="294"/>
      <c r="E360" s="294"/>
      <c r="F360" s="294"/>
      <c r="G360" s="294"/>
      <c r="H360" s="294"/>
      <c r="I360" s="294"/>
      <c r="J360" s="294"/>
      <c r="L360" s="295"/>
      <c r="M360" s="294"/>
      <c r="P360" s="294"/>
      <c r="Q360" s="294"/>
    </row>
    <row r="361" spans="2:17" x14ac:dyDescent="0.25">
      <c r="B361" s="294"/>
      <c r="C361" s="294"/>
      <c r="D361" s="294"/>
      <c r="E361" s="294"/>
      <c r="F361" s="294"/>
      <c r="G361" s="294"/>
      <c r="H361" s="294"/>
      <c r="I361" s="294"/>
      <c r="J361" s="294"/>
      <c r="L361" s="295"/>
      <c r="M361" s="294"/>
      <c r="P361" s="294"/>
      <c r="Q361" s="294"/>
    </row>
    <row r="362" spans="2:17" x14ac:dyDescent="0.25">
      <c r="B362" s="294"/>
      <c r="C362" s="294"/>
      <c r="D362" s="294"/>
      <c r="E362" s="294"/>
      <c r="F362" s="294"/>
      <c r="G362" s="294"/>
      <c r="H362" s="294"/>
      <c r="I362" s="294"/>
      <c r="J362" s="294"/>
      <c r="L362" s="295"/>
      <c r="M362" s="294"/>
      <c r="P362" s="294"/>
      <c r="Q362" s="294"/>
    </row>
    <row r="363" spans="2:17" x14ac:dyDescent="0.25">
      <c r="B363" s="294"/>
      <c r="C363" s="294"/>
      <c r="D363" s="294"/>
      <c r="E363" s="294"/>
      <c r="F363" s="294"/>
      <c r="G363" s="294"/>
      <c r="H363" s="294"/>
      <c r="I363" s="294"/>
      <c r="J363" s="294"/>
      <c r="L363" s="295"/>
      <c r="M363" s="294"/>
      <c r="P363" s="294"/>
      <c r="Q363" s="294"/>
    </row>
    <row r="364" spans="2:17" x14ac:dyDescent="0.25">
      <c r="B364" s="294"/>
      <c r="C364" s="294"/>
      <c r="D364" s="294"/>
      <c r="E364" s="294"/>
      <c r="F364" s="294"/>
      <c r="G364" s="294"/>
      <c r="H364" s="294"/>
      <c r="I364" s="294"/>
      <c r="J364" s="294"/>
      <c r="L364" s="295"/>
      <c r="M364" s="294"/>
      <c r="P364" s="294"/>
      <c r="Q364" s="294"/>
    </row>
    <row r="365" spans="2:17" x14ac:dyDescent="0.25">
      <c r="B365" s="294"/>
      <c r="C365" s="294"/>
      <c r="D365" s="294"/>
      <c r="E365" s="294"/>
      <c r="F365" s="294"/>
      <c r="G365" s="294"/>
      <c r="H365" s="294"/>
      <c r="I365" s="294"/>
      <c r="J365" s="294"/>
      <c r="L365" s="295"/>
      <c r="M365" s="294"/>
      <c r="P365" s="294"/>
      <c r="Q365" s="294"/>
    </row>
    <row r="366" spans="2:17" x14ac:dyDescent="0.25">
      <c r="B366" s="294"/>
      <c r="C366" s="294"/>
      <c r="D366" s="294"/>
      <c r="E366" s="294"/>
      <c r="F366" s="294"/>
      <c r="G366" s="294"/>
      <c r="H366" s="294"/>
      <c r="I366" s="294"/>
      <c r="J366" s="294"/>
      <c r="L366" s="295"/>
      <c r="M366" s="294"/>
      <c r="P366" s="294"/>
      <c r="Q366" s="294"/>
    </row>
    <row r="367" spans="2:17" x14ac:dyDescent="0.25">
      <c r="B367" s="294"/>
      <c r="C367" s="294"/>
      <c r="D367" s="294"/>
      <c r="E367" s="294"/>
      <c r="F367" s="294"/>
      <c r="G367" s="294"/>
      <c r="H367" s="294"/>
      <c r="I367" s="294"/>
      <c r="J367" s="294"/>
      <c r="L367" s="295"/>
      <c r="M367" s="294"/>
      <c r="P367" s="294"/>
      <c r="Q367" s="294"/>
    </row>
    <row r="368" spans="2:17" x14ac:dyDescent="0.25">
      <c r="B368" s="294"/>
      <c r="C368" s="294"/>
      <c r="D368" s="294"/>
      <c r="E368" s="294"/>
      <c r="F368" s="294"/>
      <c r="G368" s="294"/>
      <c r="H368" s="294"/>
      <c r="I368" s="294"/>
      <c r="J368" s="294"/>
      <c r="L368" s="295"/>
      <c r="M368" s="294"/>
      <c r="P368" s="294"/>
      <c r="Q368" s="294"/>
    </row>
    <row r="369" spans="2:17" x14ac:dyDescent="0.25">
      <c r="B369" s="294"/>
      <c r="C369" s="294"/>
      <c r="D369" s="294"/>
      <c r="E369" s="294"/>
      <c r="F369" s="294"/>
      <c r="G369" s="294"/>
      <c r="H369" s="294"/>
      <c r="I369" s="294"/>
      <c r="J369" s="294"/>
      <c r="L369" s="295"/>
      <c r="M369" s="294"/>
      <c r="P369" s="294"/>
      <c r="Q369" s="294"/>
    </row>
    <row r="370" spans="2:17" x14ac:dyDescent="0.25">
      <c r="B370" s="294"/>
      <c r="C370" s="294"/>
      <c r="D370" s="294"/>
      <c r="E370" s="294"/>
      <c r="F370" s="294"/>
      <c r="G370" s="294"/>
      <c r="H370" s="294"/>
      <c r="I370" s="294"/>
      <c r="J370" s="294"/>
      <c r="L370" s="295"/>
      <c r="M370" s="294"/>
      <c r="P370" s="294"/>
      <c r="Q370" s="294"/>
    </row>
    <row r="371" spans="2:17" x14ac:dyDescent="0.25">
      <c r="B371" s="294"/>
      <c r="C371" s="294"/>
      <c r="D371" s="294"/>
      <c r="E371" s="294"/>
      <c r="F371" s="294"/>
      <c r="G371" s="294"/>
      <c r="H371" s="294"/>
      <c r="I371" s="294"/>
      <c r="J371" s="294"/>
      <c r="L371" s="295"/>
      <c r="M371" s="294"/>
      <c r="P371" s="294"/>
      <c r="Q371" s="294"/>
    </row>
    <row r="372" spans="2:17" x14ac:dyDescent="0.25">
      <c r="B372" s="294"/>
      <c r="C372" s="294"/>
      <c r="D372" s="294"/>
      <c r="E372" s="294"/>
      <c r="F372" s="294"/>
      <c r="G372" s="294"/>
      <c r="H372" s="294"/>
      <c r="I372" s="294"/>
      <c r="J372" s="294"/>
      <c r="L372" s="295"/>
      <c r="M372" s="294"/>
      <c r="P372" s="294"/>
      <c r="Q372" s="294"/>
    </row>
    <row r="373" spans="2:17" x14ac:dyDescent="0.25">
      <c r="B373" s="294"/>
      <c r="C373" s="294"/>
      <c r="D373" s="294"/>
      <c r="E373" s="294"/>
      <c r="F373" s="294"/>
      <c r="G373" s="294"/>
      <c r="H373" s="294"/>
      <c r="I373" s="294"/>
      <c r="J373" s="294"/>
      <c r="L373" s="295"/>
      <c r="M373" s="294"/>
      <c r="P373" s="294"/>
      <c r="Q373" s="294"/>
    </row>
    <row r="374" spans="2:17" x14ac:dyDescent="0.25">
      <c r="B374" s="294"/>
      <c r="C374" s="294"/>
      <c r="D374" s="294"/>
      <c r="E374" s="294"/>
      <c r="F374" s="294"/>
      <c r="G374" s="294"/>
      <c r="H374" s="294"/>
      <c r="I374" s="294"/>
      <c r="J374" s="294"/>
      <c r="L374" s="295"/>
      <c r="M374" s="294"/>
      <c r="P374" s="294"/>
      <c r="Q374" s="294"/>
    </row>
    <row r="375" spans="2:17" x14ac:dyDescent="0.25">
      <c r="B375" s="294"/>
      <c r="C375" s="294"/>
      <c r="D375" s="294"/>
      <c r="E375" s="294"/>
      <c r="F375" s="294"/>
      <c r="G375" s="294"/>
      <c r="H375" s="294"/>
      <c r="I375" s="294"/>
      <c r="J375" s="294"/>
      <c r="L375" s="295"/>
      <c r="M375" s="294"/>
      <c r="P375" s="294"/>
      <c r="Q375" s="294"/>
    </row>
    <row r="376" spans="2:17" x14ac:dyDescent="0.25">
      <c r="B376" s="294"/>
      <c r="C376" s="294"/>
      <c r="D376" s="294"/>
      <c r="E376" s="294"/>
      <c r="F376" s="294"/>
      <c r="G376" s="294"/>
      <c r="H376" s="294"/>
      <c r="I376" s="294"/>
      <c r="J376" s="294"/>
      <c r="L376" s="295"/>
      <c r="M376" s="294"/>
      <c r="P376" s="294"/>
      <c r="Q376" s="294"/>
    </row>
    <row r="377" spans="2:17" x14ac:dyDescent="0.25">
      <c r="B377" s="294"/>
      <c r="C377" s="294"/>
      <c r="D377" s="294"/>
      <c r="E377" s="294"/>
      <c r="F377" s="294"/>
      <c r="G377" s="294"/>
      <c r="H377" s="294"/>
      <c r="I377" s="294"/>
      <c r="J377" s="294"/>
      <c r="L377" s="295"/>
      <c r="M377" s="294"/>
      <c r="P377" s="294"/>
      <c r="Q377" s="294"/>
    </row>
    <row r="378" spans="2:17" x14ac:dyDescent="0.25">
      <c r="B378" s="294"/>
      <c r="C378" s="294"/>
      <c r="D378" s="294"/>
      <c r="E378" s="294"/>
      <c r="F378" s="294"/>
      <c r="G378" s="294"/>
      <c r="H378" s="294"/>
      <c r="I378" s="294"/>
      <c r="J378" s="294"/>
      <c r="L378" s="295"/>
      <c r="M378" s="294"/>
      <c r="P378" s="294"/>
      <c r="Q378" s="294"/>
    </row>
    <row r="379" spans="2:17" x14ac:dyDescent="0.25">
      <c r="B379" s="294"/>
      <c r="C379" s="294"/>
      <c r="D379" s="294"/>
      <c r="E379" s="294"/>
      <c r="F379" s="294"/>
      <c r="G379" s="294"/>
      <c r="H379" s="294"/>
      <c r="I379" s="294"/>
      <c r="J379" s="294"/>
      <c r="L379" s="295"/>
      <c r="M379" s="294"/>
      <c r="P379" s="294"/>
      <c r="Q379" s="294"/>
    </row>
    <row r="380" spans="2:17" x14ac:dyDescent="0.25">
      <c r="B380" s="294"/>
      <c r="C380" s="294"/>
      <c r="D380" s="294"/>
      <c r="E380" s="294"/>
      <c r="F380" s="294"/>
      <c r="G380" s="294"/>
      <c r="H380" s="294"/>
      <c r="I380" s="294"/>
      <c r="J380" s="294"/>
      <c r="L380" s="295"/>
      <c r="M380" s="294"/>
      <c r="P380" s="294"/>
      <c r="Q380" s="294"/>
    </row>
    <row r="381" spans="2:17" x14ac:dyDescent="0.25">
      <c r="B381" s="294"/>
      <c r="C381" s="294"/>
      <c r="D381" s="294"/>
      <c r="E381" s="294"/>
      <c r="F381" s="294"/>
      <c r="G381" s="294"/>
      <c r="H381" s="294"/>
      <c r="I381" s="294"/>
      <c r="J381" s="294"/>
      <c r="L381" s="295"/>
      <c r="M381" s="294"/>
      <c r="P381" s="294"/>
      <c r="Q381" s="294"/>
    </row>
    <row r="382" spans="2:17" x14ac:dyDescent="0.25">
      <c r="B382" s="294"/>
      <c r="C382" s="294"/>
      <c r="D382" s="294"/>
      <c r="E382" s="294"/>
      <c r="F382" s="294"/>
      <c r="G382" s="294"/>
      <c r="H382" s="294"/>
      <c r="I382" s="294"/>
      <c r="J382" s="294"/>
      <c r="L382" s="295"/>
      <c r="M382" s="294"/>
      <c r="P382" s="294"/>
      <c r="Q382" s="294"/>
    </row>
    <row r="383" spans="2:17" x14ac:dyDescent="0.25">
      <c r="B383" s="294"/>
      <c r="C383" s="294"/>
      <c r="D383" s="294"/>
      <c r="E383" s="294"/>
      <c r="F383" s="294"/>
      <c r="G383" s="294"/>
      <c r="H383" s="294"/>
      <c r="I383" s="294"/>
      <c r="J383" s="294"/>
      <c r="L383" s="295"/>
      <c r="M383" s="294"/>
      <c r="P383" s="294"/>
      <c r="Q383" s="294"/>
    </row>
    <row r="384" spans="2:17" x14ac:dyDescent="0.25">
      <c r="B384" s="294"/>
      <c r="C384" s="294"/>
      <c r="D384" s="294"/>
      <c r="E384" s="294"/>
      <c r="F384" s="294"/>
      <c r="G384" s="294"/>
      <c r="H384" s="294"/>
      <c r="I384" s="294"/>
      <c r="J384" s="294"/>
      <c r="L384" s="295"/>
      <c r="M384" s="294"/>
      <c r="P384" s="294"/>
      <c r="Q384" s="294"/>
    </row>
    <row r="385" spans="2:17" x14ac:dyDescent="0.25">
      <c r="B385" s="294"/>
      <c r="C385" s="294"/>
      <c r="D385" s="294"/>
      <c r="E385" s="294"/>
      <c r="F385" s="294"/>
      <c r="G385" s="294"/>
      <c r="H385" s="294"/>
      <c r="I385" s="294"/>
      <c r="J385" s="294"/>
      <c r="L385" s="295"/>
      <c r="M385" s="294"/>
      <c r="P385" s="294"/>
      <c r="Q385" s="294"/>
    </row>
    <row r="386" spans="2:17" x14ac:dyDescent="0.25">
      <c r="B386" s="294"/>
      <c r="C386" s="294"/>
      <c r="D386" s="294"/>
      <c r="E386" s="294"/>
      <c r="F386" s="294"/>
      <c r="G386" s="294"/>
      <c r="H386" s="294"/>
      <c r="I386" s="294"/>
      <c r="J386" s="294"/>
      <c r="L386" s="295"/>
      <c r="M386" s="294"/>
      <c r="P386" s="294"/>
      <c r="Q386" s="294"/>
    </row>
    <row r="387" spans="2:17" x14ac:dyDescent="0.25">
      <c r="B387" s="294"/>
      <c r="C387" s="294"/>
      <c r="D387" s="294"/>
      <c r="E387" s="294"/>
      <c r="F387" s="294"/>
      <c r="G387" s="294"/>
      <c r="H387" s="294"/>
      <c r="I387" s="294"/>
      <c r="J387" s="294"/>
      <c r="L387" s="295"/>
      <c r="M387" s="294"/>
      <c r="P387" s="294"/>
      <c r="Q387" s="294"/>
    </row>
    <row r="388" spans="2:17" x14ac:dyDescent="0.25">
      <c r="B388" s="294"/>
      <c r="C388" s="294"/>
      <c r="D388" s="294"/>
      <c r="E388" s="294"/>
      <c r="F388" s="294"/>
      <c r="G388" s="294"/>
      <c r="H388" s="294"/>
      <c r="I388" s="294"/>
      <c r="J388" s="294"/>
      <c r="L388" s="295"/>
      <c r="M388" s="294"/>
      <c r="P388" s="294"/>
      <c r="Q388" s="294"/>
    </row>
    <row r="389" spans="2:17" x14ac:dyDescent="0.25">
      <c r="B389" s="294"/>
      <c r="C389" s="294"/>
      <c r="D389" s="294"/>
      <c r="E389" s="294"/>
      <c r="F389" s="294"/>
      <c r="G389" s="294"/>
      <c r="H389" s="294"/>
      <c r="I389" s="294"/>
      <c r="J389" s="294"/>
      <c r="L389" s="295"/>
      <c r="M389" s="294"/>
      <c r="P389" s="294"/>
      <c r="Q389" s="294"/>
    </row>
    <row r="390" spans="2:17" x14ac:dyDescent="0.25">
      <c r="B390" s="294"/>
      <c r="C390" s="294"/>
      <c r="D390" s="294"/>
      <c r="E390" s="294"/>
      <c r="F390" s="294"/>
      <c r="G390" s="294"/>
      <c r="H390" s="294"/>
      <c r="I390" s="294"/>
      <c r="J390" s="294"/>
      <c r="L390" s="295"/>
      <c r="M390" s="294"/>
      <c r="P390" s="294"/>
      <c r="Q390" s="294"/>
    </row>
    <row r="391" spans="2:17" x14ac:dyDescent="0.25">
      <c r="B391" s="294"/>
      <c r="C391" s="294"/>
      <c r="D391" s="294"/>
      <c r="E391" s="294"/>
      <c r="F391" s="294"/>
      <c r="G391" s="294"/>
      <c r="H391" s="294"/>
      <c r="I391" s="294"/>
      <c r="J391" s="294"/>
      <c r="L391" s="295"/>
      <c r="M391" s="294"/>
      <c r="P391" s="294"/>
      <c r="Q391" s="294"/>
    </row>
    <row r="392" spans="2:17" x14ac:dyDescent="0.25">
      <c r="B392" s="294"/>
      <c r="C392" s="294"/>
      <c r="D392" s="294"/>
      <c r="E392" s="294"/>
      <c r="F392" s="294"/>
      <c r="G392" s="294"/>
      <c r="H392" s="294"/>
      <c r="I392" s="294"/>
      <c r="J392" s="294"/>
      <c r="L392" s="295"/>
      <c r="M392" s="294"/>
      <c r="P392" s="294"/>
      <c r="Q392" s="294"/>
    </row>
    <row r="393" spans="2:17" x14ac:dyDescent="0.25">
      <c r="B393" s="294"/>
      <c r="C393" s="294"/>
      <c r="D393" s="294"/>
      <c r="E393" s="294"/>
      <c r="F393" s="294"/>
      <c r="G393" s="294"/>
      <c r="H393" s="294"/>
      <c r="I393" s="294"/>
      <c r="J393" s="294"/>
      <c r="L393" s="295"/>
      <c r="M393" s="294"/>
      <c r="P393" s="294"/>
      <c r="Q393" s="294"/>
    </row>
    <row r="394" spans="2:17" x14ac:dyDescent="0.25">
      <c r="B394" s="294"/>
      <c r="C394" s="294"/>
      <c r="D394" s="294"/>
      <c r="E394" s="294"/>
      <c r="F394" s="294"/>
      <c r="G394" s="294"/>
      <c r="H394" s="294"/>
      <c r="I394" s="294"/>
      <c r="J394" s="294"/>
      <c r="L394" s="295"/>
      <c r="M394" s="294"/>
      <c r="P394" s="294"/>
      <c r="Q394" s="294"/>
    </row>
    <row r="395" spans="2:17" x14ac:dyDescent="0.25">
      <c r="B395" s="294"/>
      <c r="C395" s="294"/>
      <c r="D395" s="294"/>
      <c r="E395" s="294"/>
      <c r="F395" s="294"/>
      <c r="G395" s="294"/>
      <c r="H395" s="294"/>
      <c r="I395" s="294"/>
      <c r="J395" s="294"/>
      <c r="L395" s="295"/>
      <c r="M395" s="294"/>
      <c r="P395" s="294"/>
      <c r="Q395" s="294"/>
    </row>
    <row r="396" spans="2:17" x14ac:dyDescent="0.25">
      <c r="B396" s="294"/>
      <c r="C396" s="294"/>
      <c r="D396" s="294"/>
      <c r="E396" s="294"/>
      <c r="F396" s="294"/>
      <c r="G396" s="294"/>
      <c r="H396" s="294"/>
      <c r="I396" s="294"/>
      <c r="J396" s="294"/>
      <c r="L396" s="295"/>
      <c r="M396" s="294"/>
      <c r="P396" s="294"/>
      <c r="Q396" s="294"/>
    </row>
    <row r="397" spans="2:17" x14ac:dyDescent="0.25">
      <c r="B397" s="294"/>
      <c r="C397" s="294"/>
      <c r="D397" s="294"/>
      <c r="E397" s="294"/>
      <c r="F397" s="294"/>
      <c r="G397" s="294"/>
      <c r="H397" s="294"/>
      <c r="I397" s="294"/>
      <c r="J397" s="294"/>
      <c r="L397" s="295"/>
      <c r="M397" s="294"/>
      <c r="P397" s="294"/>
      <c r="Q397" s="294"/>
    </row>
    <row r="398" spans="2:17" x14ac:dyDescent="0.25">
      <c r="B398" s="294"/>
      <c r="C398" s="294"/>
      <c r="D398" s="294"/>
      <c r="E398" s="294"/>
      <c r="F398" s="294"/>
      <c r="G398" s="294"/>
      <c r="H398" s="294"/>
      <c r="I398" s="294"/>
      <c r="J398" s="294"/>
      <c r="L398" s="295"/>
      <c r="M398" s="294"/>
      <c r="P398" s="294"/>
      <c r="Q398" s="294"/>
    </row>
    <row r="399" spans="2:17" x14ac:dyDescent="0.25">
      <c r="B399" s="294"/>
      <c r="C399" s="294"/>
      <c r="D399" s="294"/>
      <c r="E399" s="294"/>
      <c r="F399" s="294"/>
      <c r="G399" s="294"/>
      <c r="H399" s="294"/>
      <c r="I399" s="294"/>
      <c r="J399" s="294"/>
      <c r="L399" s="295"/>
      <c r="M399" s="294"/>
      <c r="P399" s="294"/>
      <c r="Q399" s="294"/>
    </row>
    <row r="400" spans="2:17" x14ac:dyDescent="0.25">
      <c r="B400" s="294"/>
      <c r="C400" s="294"/>
      <c r="D400" s="294"/>
      <c r="E400" s="294"/>
      <c r="F400" s="294"/>
      <c r="G400" s="294"/>
      <c r="H400" s="294"/>
      <c r="I400" s="294"/>
      <c r="J400" s="294"/>
      <c r="L400" s="295"/>
      <c r="M400" s="294"/>
      <c r="P400" s="294"/>
      <c r="Q400" s="294"/>
    </row>
    <row r="401" spans="2:17" x14ac:dyDescent="0.25">
      <c r="B401" s="294"/>
      <c r="C401" s="294"/>
      <c r="D401" s="294"/>
      <c r="E401" s="294"/>
      <c r="F401" s="294"/>
      <c r="G401" s="294"/>
      <c r="H401" s="294"/>
      <c r="I401" s="294"/>
      <c r="J401" s="294"/>
      <c r="L401" s="295"/>
      <c r="M401" s="294"/>
      <c r="P401" s="294"/>
      <c r="Q401" s="294"/>
    </row>
    <row r="402" spans="2:17" x14ac:dyDescent="0.25">
      <c r="B402" s="294"/>
      <c r="C402" s="294"/>
      <c r="D402" s="294"/>
      <c r="E402" s="294"/>
      <c r="F402" s="294"/>
      <c r="G402" s="294"/>
      <c r="H402" s="294"/>
      <c r="I402" s="294"/>
      <c r="J402" s="294"/>
      <c r="L402" s="295"/>
      <c r="M402" s="294"/>
      <c r="P402" s="294"/>
      <c r="Q402" s="294"/>
    </row>
    <row r="403" spans="2:17" x14ac:dyDescent="0.25">
      <c r="B403" s="294"/>
      <c r="C403" s="294"/>
      <c r="D403" s="294"/>
      <c r="E403" s="294"/>
      <c r="F403" s="294"/>
      <c r="G403" s="294"/>
      <c r="H403" s="294"/>
      <c r="I403" s="294"/>
      <c r="J403" s="294"/>
      <c r="L403" s="295"/>
      <c r="M403" s="294"/>
      <c r="P403" s="294"/>
      <c r="Q403" s="294"/>
    </row>
    <row r="404" spans="2:17" x14ac:dyDescent="0.25">
      <c r="B404" s="294"/>
      <c r="C404" s="294"/>
      <c r="D404" s="294"/>
      <c r="E404" s="294"/>
      <c r="F404" s="294"/>
      <c r="G404" s="294"/>
      <c r="H404" s="294"/>
      <c r="I404" s="294"/>
      <c r="J404" s="294"/>
      <c r="L404" s="295"/>
      <c r="M404" s="294"/>
      <c r="P404" s="294"/>
      <c r="Q404" s="294"/>
    </row>
    <row r="405" spans="2:17" x14ac:dyDescent="0.25">
      <c r="B405" s="294"/>
      <c r="C405" s="294"/>
      <c r="D405" s="294"/>
      <c r="E405" s="294"/>
      <c r="F405" s="294"/>
      <c r="G405" s="294"/>
      <c r="H405" s="294"/>
      <c r="I405" s="294"/>
      <c r="J405" s="294"/>
      <c r="L405" s="295"/>
      <c r="M405" s="294"/>
      <c r="P405" s="294"/>
      <c r="Q405" s="294"/>
    </row>
    <row r="406" spans="2:17" x14ac:dyDescent="0.25">
      <c r="B406" s="294"/>
      <c r="C406" s="294"/>
      <c r="D406" s="294"/>
      <c r="E406" s="294"/>
      <c r="F406" s="294"/>
      <c r="G406" s="294"/>
      <c r="H406" s="294"/>
      <c r="I406" s="294"/>
      <c r="J406" s="294"/>
      <c r="L406" s="295"/>
      <c r="M406" s="294"/>
      <c r="P406" s="294"/>
      <c r="Q406" s="294"/>
    </row>
    <row r="407" spans="2:17" x14ac:dyDescent="0.25">
      <c r="B407" s="294"/>
      <c r="C407" s="294"/>
      <c r="D407" s="294"/>
      <c r="E407" s="294"/>
      <c r="F407" s="294"/>
      <c r="G407" s="294"/>
      <c r="H407" s="294"/>
      <c r="I407" s="294"/>
      <c r="J407" s="294"/>
      <c r="L407" s="295"/>
      <c r="M407" s="294"/>
      <c r="P407" s="294"/>
      <c r="Q407" s="294"/>
    </row>
    <row r="408" spans="2:17" x14ac:dyDescent="0.25">
      <c r="B408" s="294"/>
      <c r="C408" s="294"/>
      <c r="D408" s="294"/>
      <c r="E408" s="294"/>
      <c r="F408" s="294"/>
      <c r="G408" s="294"/>
      <c r="H408" s="294"/>
      <c r="I408" s="294"/>
      <c r="J408" s="294"/>
      <c r="L408" s="295"/>
      <c r="M408" s="294"/>
      <c r="P408" s="294"/>
      <c r="Q408" s="294"/>
    </row>
    <row r="409" spans="2:17" x14ac:dyDescent="0.25">
      <c r="B409" s="294"/>
      <c r="C409" s="294"/>
      <c r="D409" s="294"/>
      <c r="E409" s="294"/>
      <c r="F409" s="294"/>
      <c r="G409" s="294"/>
      <c r="H409" s="294"/>
      <c r="I409" s="294"/>
      <c r="J409" s="294"/>
      <c r="L409" s="295"/>
      <c r="M409" s="294"/>
      <c r="P409" s="294"/>
      <c r="Q409" s="294"/>
    </row>
    <row r="410" spans="2:17" x14ac:dyDescent="0.25">
      <c r="B410" s="294"/>
      <c r="C410" s="294"/>
      <c r="D410" s="294"/>
      <c r="E410" s="294"/>
      <c r="F410" s="294"/>
      <c r="G410" s="294"/>
      <c r="H410" s="294"/>
      <c r="I410" s="294"/>
      <c r="J410" s="294"/>
      <c r="L410" s="295"/>
      <c r="M410" s="294"/>
      <c r="P410" s="294"/>
      <c r="Q410" s="294"/>
    </row>
    <row r="411" spans="2:17" x14ac:dyDescent="0.25">
      <c r="B411" s="294"/>
      <c r="C411" s="294"/>
      <c r="D411" s="294"/>
      <c r="E411" s="294"/>
      <c r="F411" s="294"/>
      <c r="G411" s="294"/>
      <c r="H411" s="294"/>
      <c r="I411" s="294"/>
      <c r="J411" s="294"/>
      <c r="L411" s="295"/>
      <c r="M411" s="294"/>
      <c r="P411" s="294"/>
      <c r="Q411" s="294"/>
    </row>
    <row r="412" spans="2:17" x14ac:dyDescent="0.25">
      <c r="B412" s="294"/>
      <c r="C412" s="294"/>
      <c r="D412" s="294"/>
      <c r="E412" s="294"/>
      <c r="F412" s="294"/>
      <c r="G412" s="294"/>
      <c r="H412" s="294"/>
      <c r="I412" s="294"/>
      <c r="J412" s="294"/>
      <c r="L412" s="295"/>
      <c r="M412" s="294"/>
      <c r="P412" s="294"/>
      <c r="Q412" s="294"/>
    </row>
    <row r="413" spans="2:17" x14ac:dyDescent="0.25">
      <c r="B413" s="294"/>
      <c r="C413" s="294"/>
      <c r="D413" s="294"/>
      <c r="E413" s="294"/>
      <c r="F413" s="294"/>
      <c r="G413" s="294"/>
      <c r="H413" s="294"/>
      <c r="I413" s="294"/>
      <c r="J413" s="294"/>
      <c r="L413" s="295"/>
      <c r="M413" s="294"/>
      <c r="P413" s="294"/>
      <c r="Q413" s="294"/>
    </row>
    <row r="414" spans="2:17" x14ac:dyDescent="0.25">
      <c r="B414" s="294"/>
      <c r="C414" s="294"/>
      <c r="D414" s="294"/>
      <c r="E414" s="294"/>
      <c r="F414" s="294"/>
      <c r="G414" s="294"/>
      <c r="H414" s="294"/>
      <c r="I414" s="294"/>
      <c r="J414" s="294"/>
      <c r="L414" s="295"/>
      <c r="M414" s="294"/>
      <c r="P414" s="294"/>
      <c r="Q414" s="294"/>
    </row>
    <row r="415" spans="2:17" x14ac:dyDescent="0.25">
      <c r="B415" s="294"/>
      <c r="C415" s="294"/>
      <c r="D415" s="294"/>
      <c r="E415" s="294"/>
      <c r="F415" s="294"/>
      <c r="G415" s="294"/>
      <c r="H415" s="294"/>
      <c r="I415" s="294"/>
      <c r="J415" s="294"/>
      <c r="L415" s="295"/>
      <c r="M415" s="294"/>
      <c r="P415" s="294"/>
      <c r="Q415" s="294"/>
    </row>
    <row r="416" spans="2:17" x14ac:dyDescent="0.25">
      <c r="B416" s="294"/>
      <c r="C416" s="294"/>
      <c r="D416" s="294"/>
      <c r="E416" s="294"/>
      <c r="F416" s="294"/>
      <c r="G416" s="294"/>
      <c r="H416" s="294"/>
      <c r="I416" s="294"/>
      <c r="J416" s="294"/>
      <c r="L416" s="295"/>
      <c r="M416" s="294"/>
      <c r="P416" s="294"/>
      <c r="Q416" s="294"/>
    </row>
    <row r="417" spans="2:17" x14ac:dyDescent="0.25">
      <c r="B417" s="294"/>
      <c r="C417" s="294"/>
      <c r="D417" s="294"/>
      <c r="E417" s="294"/>
      <c r="F417" s="294"/>
      <c r="G417" s="294"/>
      <c r="H417" s="294"/>
      <c r="I417" s="294"/>
      <c r="J417" s="294"/>
      <c r="L417" s="295"/>
      <c r="M417" s="294"/>
      <c r="P417" s="294"/>
      <c r="Q417" s="294"/>
    </row>
    <row r="418" spans="2:17" x14ac:dyDescent="0.25">
      <c r="B418" s="294"/>
      <c r="C418" s="294"/>
      <c r="D418" s="294"/>
      <c r="E418" s="294"/>
      <c r="F418" s="294"/>
      <c r="G418" s="294"/>
      <c r="H418" s="294"/>
      <c r="I418" s="294"/>
      <c r="J418" s="294"/>
      <c r="L418" s="295"/>
      <c r="M418" s="294"/>
      <c r="P418" s="294"/>
      <c r="Q418" s="294"/>
    </row>
    <row r="419" spans="2:17" x14ac:dyDescent="0.25">
      <c r="B419" s="294"/>
      <c r="C419" s="294"/>
      <c r="D419" s="294"/>
      <c r="E419" s="294"/>
      <c r="F419" s="294"/>
      <c r="G419" s="294"/>
      <c r="H419" s="294"/>
      <c r="I419" s="294"/>
      <c r="J419" s="294"/>
      <c r="L419" s="295"/>
      <c r="M419" s="294"/>
      <c r="P419" s="294"/>
      <c r="Q419" s="294"/>
    </row>
    <row r="420" spans="2:17" x14ac:dyDescent="0.25">
      <c r="B420" s="294"/>
      <c r="C420" s="294"/>
      <c r="D420" s="294"/>
      <c r="E420" s="294"/>
      <c r="F420" s="294"/>
      <c r="G420" s="294"/>
      <c r="H420" s="294"/>
      <c r="I420" s="294"/>
      <c r="J420" s="294"/>
      <c r="L420" s="295"/>
      <c r="M420" s="294"/>
      <c r="P420" s="294"/>
      <c r="Q420" s="294"/>
    </row>
    <row r="421" spans="2:17" x14ac:dyDescent="0.25">
      <c r="B421" s="294"/>
      <c r="C421" s="294"/>
      <c r="D421" s="294"/>
      <c r="E421" s="294"/>
      <c r="F421" s="294"/>
      <c r="G421" s="294"/>
      <c r="H421" s="294"/>
      <c r="I421" s="294"/>
      <c r="J421" s="294"/>
      <c r="L421" s="295"/>
      <c r="M421" s="294"/>
      <c r="P421" s="294"/>
      <c r="Q421" s="294"/>
    </row>
    <row r="422" spans="2:17" x14ac:dyDescent="0.25">
      <c r="B422" s="294"/>
      <c r="C422" s="294"/>
      <c r="D422" s="294"/>
      <c r="E422" s="294"/>
      <c r="F422" s="294"/>
      <c r="G422" s="294"/>
      <c r="H422" s="294"/>
      <c r="I422" s="294"/>
      <c r="J422" s="294"/>
      <c r="L422" s="295"/>
      <c r="M422" s="294"/>
      <c r="P422" s="294"/>
      <c r="Q422" s="294"/>
    </row>
    <row r="423" spans="2:17" x14ac:dyDescent="0.25">
      <c r="B423" s="294"/>
      <c r="C423" s="294"/>
      <c r="D423" s="294"/>
      <c r="E423" s="294"/>
      <c r="F423" s="294"/>
      <c r="G423" s="294"/>
      <c r="H423" s="294"/>
      <c r="I423" s="294"/>
      <c r="J423" s="294"/>
      <c r="L423" s="295"/>
      <c r="M423" s="294"/>
      <c r="P423" s="294"/>
      <c r="Q423" s="294"/>
    </row>
    <row r="424" spans="2:17" x14ac:dyDescent="0.25">
      <c r="B424" s="294"/>
      <c r="C424" s="294"/>
      <c r="D424" s="294"/>
      <c r="E424" s="294"/>
      <c r="F424" s="294"/>
      <c r="G424" s="294"/>
      <c r="H424" s="294"/>
      <c r="I424" s="294"/>
      <c r="J424" s="294"/>
      <c r="L424" s="295"/>
      <c r="M424" s="294"/>
      <c r="P424" s="294"/>
      <c r="Q424" s="294"/>
    </row>
    <row r="425" spans="2:17" x14ac:dyDescent="0.25">
      <c r="B425" s="294"/>
      <c r="C425" s="294"/>
      <c r="D425" s="294"/>
      <c r="E425" s="294"/>
      <c r="F425" s="294"/>
      <c r="G425" s="294"/>
      <c r="H425" s="294"/>
      <c r="I425" s="294"/>
      <c r="J425" s="294"/>
      <c r="L425" s="295"/>
      <c r="M425" s="294"/>
      <c r="P425" s="294"/>
      <c r="Q425" s="294"/>
    </row>
    <row r="426" spans="2:17" x14ac:dyDescent="0.25">
      <c r="B426" s="294"/>
      <c r="C426" s="294"/>
      <c r="D426" s="294"/>
      <c r="E426" s="294"/>
      <c r="F426" s="294"/>
      <c r="G426" s="294"/>
      <c r="H426" s="294"/>
      <c r="I426" s="294"/>
      <c r="J426" s="294"/>
      <c r="L426" s="295"/>
      <c r="M426" s="294"/>
      <c r="P426" s="294"/>
      <c r="Q426" s="294"/>
    </row>
    <row r="427" spans="2:17" x14ac:dyDescent="0.25">
      <c r="B427" s="294"/>
      <c r="C427" s="294"/>
      <c r="D427" s="294"/>
      <c r="E427" s="294"/>
      <c r="F427" s="294"/>
      <c r="G427" s="294"/>
      <c r="H427" s="294"/>
      <c r="I427" s="294"/>
      <c r="J427" s="294"/>
      <c r="L427" s="295"/>
      <c r="M427" s="294"/>
      <c r="P427" s="294"/>
      <c r="Q427" s="294"/>
    </row>
    <row r="428" spans="2:17" x14ac:dyDescent="0.25">
      <c r="B428" s="294"/>
      <c r="C428" s="294"/>
      <c r="D428" s="294"/>
      <c r="E428" s="294"/>
      <c r="F428" s="294"/>
      <c r="G428" s="294"/>
      <c r="H428" s="294"/>
      <c r="I428" s="294"/>
      <c r="J428" s="294"/>
      <c r="L428" s="295"/>
      <c r="M428" s="294"/>
      <c r="P428" s="294"/>
      <c r="Q428" s="294"/>
    </row>
    <row r="429" spans="2:17" x14ac:dyDescent="0.25">
      <c r="B429" s="294"/>
      <c r="C429" s="294"/>
      <c r="D429" s="294"/>
      <c r="E429" s="294"/>
      <c r="F429" s="294"/>
      <c r="G429" s="294"/>
      <c r="H429" s="294"/>
      <c r="I429" s="294"/>
      <c r="J429" s="294"/>
      <c r="L429" s="295"/>
      <c r="M429" s="294"/>
      <c r="P429" s="294"/>
      <c r="Q429" s="294"/>
    </row>
    <row r="430" spans="2:17" x14ac:dyDescent="0.25">
      <c r="B430" s="294"/>
      <c r="C430" s="294"/>
      <c r="D430" s="294"/>
      <c r="E430" s="294"/>
      <c r="F430" s="294"/>
      <c r="G430" s="294"/>
      <c r="H430" s="294"/>
      <c r="I430" s="294"/>
      <c r="J430" s="294"/>
      <c r="L430" s="295"/>
      <c r="M430" s="294"/>
      <c r="P430" s="294"/>
      <c r="Q430" s="294"/>
    </row>
    <row r="431" spans="2:17" x14ac:dyDescent="0.25">
      <c r="B431" s="294"/>
      <c r="C431" s="294"/>
      <c r="D431" s="294"/>
      <c r="E431" s="294"/>
      <c r="F431" s="294"/>
      <c r="G431" s="294"/>
      <c r="H431" s="294"/>
      <c r="I431" s="294"/>
      <c r="J431" s="294"/>
      <c r="L431" s="295"/>
      <c r="M431" s="294"/>
      <c r="P431" s="294"/>
      <c r="Q431" s="294"/>
    </row>
    <row r="432" spans="2:17" x14ac:dyDescent="0.25">
      <c r="B432" s="294"/>
      <c r="C432" s="294"/>
      <c r="D432" s="294"/>
      <c r="E432" s="294"/>
      <c r="F432" s="294"/>
      <c r="G432" s="294"/>
      <c r="H432" s="294"/>
      <c r="I432" s="294"/>
      <c r="J432" s="294"/>
      <c r="L432" s="295"/>
      <c r="M432" s="294"/>
      <c r="P432" s="294"/>
      <c r="Q432" s="294"/>
    </row>
    <row r="433" spans="2:17" x14ac:dyDescent="0.25">
      <c r="B433" s="294"/>
      <c r="C433" s="294"/>
      <c r="D433" s="294"/>
      <c r="E433" s="294"/>
      <c r="F433" s="294"/>
      <c r="G433" s="294"/>
      <c r="H433" s="294"/>
      <c r="I433" s="294"/>
      <c r="J433" s="294"/>
      <c r="L433" s="295"/>
      <c r="M433" s="294"/>
      <c r="P433" s="294"/>
      <c r="Q433" s="294"/>
    </row>
    <row r="434" spans="2:17" x14ac:dyDescent="0.25">
      <c r="B434" s="294"/>
      <c r="C434" s="294"/>
      <c r="D434" s="294"/>
      <c r="E434" s="294"/>
      <c r="F434" s="294"/>
      <c r="G434" s="294"/>
      <c r="H434" s="294"/>
      <c r="I434" s="294"/>
      <c r="J434" s="294"/>
      <c r="L434" s="295"/>
      <c r="M434" s="294"/>
      <c r="P434" s="294"/>
      <c r="Q434" s="294"/>
    </row>
    <row r="435" spans="2:17" x14ac:dyDescent="0.25">
      <c r="B435" s="294"/>
      <c r="C435" s="294"/>
      <c r="D435" s="294"/>
      <c r="E435" s="294"/>
      <c r="F435" s="294"/>
      <c r="G435" s="294"/>
      <c r="H435" s="294"/>
      <c r="I435" s="294"/>
      <c r="J435" s="294"/>
      <c r="L435" s="295"/>
      <c r="M435" s="294"/>
      <c r="P435" s="294"/>
      <c r="Q435" s="294"/>
    </row>
    <row r="436" spans="2:17" x14ac:dyDescent="0.25">
      <c r="B436" s="294"/>
      <c r="C436" s="294"/>
      <c r="D436" s="294"/>
      <c r="E436" s="294"/>
      <c r="F436" s="294"/>
      <c r="G436" s="294"/>
      <c r="H436" s="294"/>
      <c r="I436" s="294"/>
      <c r="J436" s="294"/>
      <c r="L436" s="295"/>
      <c r="M436" s="294"/>
      <c r="P436" s="294"/>
      <c r="Q436" s="294"/>
    </row>
    <row r="437" spans="2:17" x14ac:dyDescent="0.25">
      <c r="B437" s="294"/>
      <c r="C437" s="294"/>
      <c r="D437" s="294"/>
      <c r="E437" s="294"/>
      <c r="F437" s="294"/>
      <c r="G437" s="294"/>
      <c r="H437" s="294"/>
      <c r="I437" s="294"/>
      <c r="J437" s="294"/>
      <c r="L437" s="295"/>
      <c r="M437" s="294"/>
      <c r="P437" s="294"/>
      <c r="Q437" s="294"/>
    </row>
    <row r="438" spans="2:17" x14ac:dyDescent="0.25">
      <c r="B438" s="294"/>
      <c r="C438" s="294"/>
      <c r="D438" s="294"/>
      <c r="E438" s="294"/>
      <c r="F438" s="294"/>
      <c r="G438" s="294"/>
      <c r="H438" s="294"/>
      <c r="I438" s="294"/>
      <c r="J438" s="294"/>
      <c r="L438" s="295"/>
      <c r="M438" s="294"/>
      <c r="P438" s="294"/>
      <c r="Q438" s="294"/>
    </row>
    <row r="439" spans="2:17" x14ac:dyDescent="0.25">
      <c r="B439" s="294"/>
      <c r="C439" s="294"/>
      <c r="D439" s="294"/>
      <c r="E439" s="294"/>
      <c r="F439" s="294"/>
      <c r="G439" s="294"/>
      <c r="H439" s="294"/>
      <c r="I439" s="294"/>
      <c r="J439" s="294"/>
      <c r="L439" s="295"/>
      <c r="M439" s="294"/>
      <c r="P439" s="294"/>
      <c r="Q439" s="294"/>
    </row>
    <row r="440" spans="2:17" x14ac:dyDescent="0.25">
      <c r="B440" s="294"/>
      <c r="C440" s="294"/>
      <c r="D440" s="294"/>
      <c r="E440" s="294"/>
      <c r="F440" s="294"/>
      <c r="G440" s="294"/>
      <c r="H440" s="294"/>
      <c r="I440" s="294"/>
      <c r="J440" s="294"/>
      <c r="L440" s="295"/>
      <c r="M440" s="294"/>
      <c r="P440" s="294"/>
      <c r="Q440" s="294"/>
    </row>
    <row r="441" spans="2:17" x14ac:dyDescent="0.25">
      <c r="B441" s="294"/>
      <c r="C441" s="294"/>
      <c r="D441" s="294"/>
      <c r="E441" s="294"/>
      <c r="F441" s="294"/>
      <c r="G441" s="294"/>
      <c r="H441" s="294"/>
      <c r="I441" s="294"/>
      <c r="J441" s="294"/>
      <c r="L441" s="295"/>
      <c r="M441" s="294"/>
      <c r="P441" s="294"/>
      <c r="Q441" s="294"/>
    </row>
    <row r="442" spans="2:17" x14ac:dyDescent="0.25">
      <c r="B442" s="294"/>
      <c r="C442" s="294"/>
      <c r="D442" s="294"/>
      <c r="E442" s="294"/>
      <c r="F442" s="294"/>
      <c r="G442" s="294"/>
      <c r="H442" s="294"/>
      <c r="I442" s="294"/>
      <c r="J442" s="294"/>
      <c r="L442" s="295"/>
      <c r="M442" s="294"/>
      <c r="P442" s="294"/>
      <c r="Q442" s="294"/>
    </row>
    <row r="443" spans="2:17" x14ac:dyDescent="0.25">
      <c r="B443" s="294"/>
      <c r="C443" s="294"/>
      <c r="D443" s="294"/>
      <c r="E443" s="294"/>
      <c r="F443" s="294"/>
      <c r="G443" s="294"/>
      <c r="H443" s="294"/>
      <c r="I443" s="294"/>
      <c r="J443" s="294"/>
      <c r="L443" s="295"/>
      <c r="M443" s="294"/>
      <c r="P443" s="294"/>
      <c r="Q443" s="294"/>
    </row>
    <row r="444" spans="2:17" x14ac:dyDescent="0.25">
      <c r="B444" s="294"/>
      <c r="C444" s="294"/>
      <c r="D444" s="294"/>
      <c r="E444" s="294"/>
      <c r="F444" s="294"/>
      <c r="G444" s="294"/>
      <c r="H444" s="294"/>
      <c r="I444" s="294"/>
      <c r="J444" s="294"/>
      <c r="L444" s="295"/>
      <c r="M444" s="294"/>
      <c r="P444" s="294"/>
      <c r="Q444" s="294"/>
    </row>
    <row r="445" spans="2:17" x14ac:dyDescent="0.25">
      <c r="B445" s="294"/>
      <c r="C445" s="294"/>
      <c r="D445" s="294"/>
      <c r="E445" s="294"/>
      <c r="F445" s="294"/>
      <c r="G445" s="294"/>
      <c r="H445" s="294"/>
      <c r="I445" s="294"/>
      <c r="J445" s="294"/>
      <c r="L445" s="295"/>
      <c r="M445" s="294"/>
      <c r="P445" s="294"/>
      <c r="Q445" s="294"/>
    </row>
    <row r="446" spans="2:17" x14ac:dyDescent="0.25">
      <c r="B446" s="294"/>
      <c r="C446" s="294"/>
      <c r="D446" s="294"/>
      <c r="E446" s="294"/>
      <c r="F446" s="294"/>
      <c r="G446" s="294"/>
      <c r="H446" s="294"/>
      <c r="I446" s="294"/>
      <c r="J446" s="294"/>
      <c r="L446" s="295"/>
      <c r="M446" s="294"/>
      <c r="P446" s="294"/>
      <c r="Q446" s="294"/>
    </row>
    <row r="447" spans="2:17" x14ac:dyDescent="0.25">
      <c r="B447" s="294"/>
      <c r="C447" s="294"/>
      <c r="D447" s="294"/>
      <c r="E447" s="294"/>
      <c r="F447" s="294"/>
      <c r="G447" s="294"/>
      <c r="H447" s="294"/>
      <c r="I447" s="294"/>
      <c r="J447" s="294"/>
      <c r="L447" s="295"/>
      <c r="M447" s="294"/>
      <c r="P447" s="294"/>
      <c r="Q447" s="294"/>
    </row>
    <row r="448" spans="2:17" x14ac:dyDescent="0.25">
      <c r="B448" s="294"/>
      <c r="C448" s="294"/>
      <c r="D448" s="294"/>
      <c r="E448" s="294"/>
      <c r="F448" s="294"/>
      <c r="G448" s="294"/>
      <c r="H448" s="294"/>
      <c r="I448" s="294"/>
      <c r="J448" s="294"/>
      <c r="L448" s="295"/>
      <c r="M448" s="294"/>
      <c r="P448" s="294"/>
      <c r="Q448" s="294"/>
    </row>
    <row r="449" spans="2:17" x14ac:dyDescent="0.25">
      <c r="B449" s="294"/>
      <c r="C449" s="294"/>
      <c r="D449" s="294"/>
      <c r="E449" s="294"/>
      <c r="F449" s="294"/>
      <c r="G449" s="294"/>
      <c r="H449" s="294"/>
      <c r="I449" s="294"/>
      <c r="J449" s="294"/>
      <c r="L449" s="295"/>
      <c r="M449" s="294"/>
      <c r="P449" s="294"/>
      <c r="Q449" s="294"/>
    </row>
    <row r="450" spans="2:17" x14ac:dyDescent="0.25">
      <c r="B450" s="294"/>
      <c r="C450" s="294"/>
      <c r="D450" s="294"/>
      <c r="E450" s="294"/>
      <c r="F450" s="294"/>
      <c r="G450" s="294"/>
      <c r="H450" s="294"/>
      <c r="I450" s="294"/>
      <c r="J450" s="294"/>
      <c r="L450" s="295"/>
      <c r="M450" s="294"/>
      <c r="P450" s="294"/>
      <c r="Q450" s="294"/>
    </row>
    <row r="451" spans="2:17" x14ac:dyDescent="0.25">
      <c r="B451" s="294"/>
      <c r="C451" s="294"/>
      <c r="D451" s="294"/>
      <c r="E451" s="294"/>
      <c r="F451" s="294"/>
      <c r="G451" s="294"/>
      <c r="H451" s="294"/>
      <c r="I451" s="294"/>
      <c r="J451" s="294"/>
      <c r="L451" s="295"/>
      <c r="M451" s="294"/>
      <c r="P451" s="294"/>
      <c r="Q451" s="294"/>
    </row>
    <row r="452" spans="2:17" x14ac:dyDescent="0.25">
      <c r="B452" s="294"/>
      <c r="C452" s="294"/>
      <c r="D452" s="294"/>
      <c r="E452" s="294"/>
      <c r="F452" s="294"/>
      <c r="G452" s="294"/>
      <c r="H452" s="294"/>
      <c r="I452" s="294"/>
      <c r="J452" s="294"/>
      <c r="L452" s="295"/>
      <c r="M452" s="294"/>
      <c r="P452" s="294"/>
      <c r="Q452" s="294"/>
    </row>
    <row r="453" spans="2:17" x14ac:dyDescent="0.25">
      <c r="B453" s="294"/>
      <c r="C453" s="294"/>
      <c r="D453" s="294"/>
      <c r="E453" s="294"/>
      <c r="F453" s="294"/>
      <c r="G453" s="294"/>
      <c r="H453" s="294"/>
      <c r="I453" s="294"/>
      <c r="J453" s="294"/>
      <c r="L453" s="295"/>
      <c r="M453" s="294"/>
      <c r="P453" s="294"/>
      <c r="Q453" s="294"/>
    </row>
    <row r="454" spans="2:17" x14ac:dyDescent="0.25">
      <c r="B454" s="294"/>
      <c r="C454" s="294"/>
      <c r="D454" s="294"/>
      <c r="E454" s="294"/>
      <c r="F454" s="294"/>
      <c r="G454" s="294"/>
      <c r="H454" s="294"/>
      <c r="I454" s="294"/>
      <c r="J454" s="294"/>
      <c r="L454" s="295"/>
      <c r="M454" s="294"/>
      <c r="P454" s="294"/>
      <c r="Q454" s="294"/>
    </row>
    <row r="455" spans="2:17" x14ac:dyDescent="0.25">
      <c r="B455" s="294"/>
      <c r="C455" s="294"/>
      <c r="D455" s="294"/>
      <c r="E455" s="294"/>
      <c r="F455" s="294"/>
      <c r="G455" s="294"/>
      <c r="H455" s="294"/>
      <c r="I455" s="294"/>
      <c r="J455" s="294"/>
      <c r="L455" s="295"/>
      <c r="M455" s="294"/>
      <c r="P455" s="294"/>
      <c r="Q455" s="294"/>
    </row>
    <row r="456" spans="2:17" x14ac:dyDescent="0.25">
      <c r="B456" s="294"/>
      <c r="C456" s="294"/>
      <c r="D456" s="294"/>
      <c r="E456" s="294"/>
      <c r="F456" s="294"/>
      <c r="G456" s="294"/>
      <c r="H456" s="294"/>
      <c r="I456" s="294"/>
      <c r="J456" s="294"/>
      <c r="L456" s="295"/>
      <c r="M456" s="294"/>
      <c r="P456" s="294"/>
      <c r="Q456" s="294"/>
    </row>
    <row r="457" spans="2:17" x14ac:dyDescent="0.25">
      <c r="B457" s="294"/>
      <c r="C457" s="294"/>
      <c r="D457" s="294"/>
      <c r="E457" s="294"/>
      <c r="F457" s="294"/>
      <c r="G457" s="294"/>
      <c r="H457" s="294"/>
      <c r="I457" s="294"/>
      <c r="J457" s="294"/>
      <c r="L457" s="295"/>
      <c r="M457" s="294"/>
      <c r="P457" s="294"/>
      <c r="Q457" s="294"/>
    </row>
    <row r="458" spans="2:17" x14ac:dyDescent="0.25">
      <c r="B458" s="294"/>
      <c r="C458" s="294"/>
      <c r="D458" s="294"/>
      <c r="E458" s="294"/>
      <c r="F458" s="294"/>
      <c r="G458" s="294"/>
      <c r="H458" s="294"/>
      <c r="I458" s="294"/>
      <c r="J458" s="294"/>
      <c r="L458" s="295"/>
      <c r="M458" s="294"/>
      <c r="P458" s="294"/>
      <c r="Q458" s="294"/>
    </row>
    <row r="459" spans="2:17" x14ac:dyDescent="0.25">
      <c r="B459" s="294"/>
      <c r="C459" s="294"/>
      <c r="D459" s="294"/>
      <c r="E459" s="294"/>
      <c r="F459" s="294"/>
      <c r="G459" s="294"/>
      <c r="H459" s="294"/>
      <c r="I459" s="294"/>
      <c r="J459" s="294"/>
      <c r="L459" s="295"/>
      <c r="M459" s="294"/>
      <c r="P459" s="294"/>
      <c r="Q459" s="294"/>
    </row>
    <row r="460" spans="2:17" x14ac:dyDescent="0.25">
      <c r="B460" s="294"/>
      <c r="C460" s="294"/>
      <c r="D460" s="294"/>
      <c r="E460" s="294"/>
      <c r="F460" s="294"/>
      <c r="G460" s="294"/>
      <c r="H460" s="294"/>
      <c r="I460" s="294"/>
      <c r="J460" s="294"/>
      <c r="L460" s="295"/>
      <c r="M460" s="294"/>
      <c r="P460" s="294"/>
      <c r="Q460" s="294"/>
    </row>
    <row r="461" spans="2:17" x14ac:dyDescent="0.25">
      <c r="B461" s="294"/>
      <c r="C461" s="294"/>
      <c r="D461" s="294"/>
      <c r="E461" s="294"/>
      <c r="F461" s="294"/>
      <c r="G461" s="294"/>
      <c r="H461" s="294"/>
      <c r="I461" s="294"/>
      <c r="J461" s="294"/>
      <c r="L461" s="295"/>
      <c r="M461" s="294"/>
      <c r="P461" s="294"/>
      <c r="Q461" s="294"/>
    </row>
    <row r="462" spans="2:17" x14ac:dyDescent="0.25">
      <c r="B462" s="294"/>
      <c r="C462" s="294"/>
      <c r="D462" s="294"/>
      <c r="E462" s="294"/>
      <c r="F462" s="294"/>
      <c r="G462" s="294"/>
      <c r="H462" s="294"/>
      <c r="I462" s="294"/>
      <c r="J462" s="294"/>
      <c r="L462" s="295"/>
      <c r="M462" s="294"/>
      <c r="P462" s="294"/>
      <c r="Q462" s="294"/>
    </row>
    <row r="463" spans="2:17" x14ac:dyDescent="0.25">
      <c r="B463" s="294"/>
      <c r="C463" s="294"/>
      <c r="D463" s="294"/>
      <c r="E463" s="294"/>
      <c r="F463" s="294"/>
      <c r="G463" s="294"/>
      <c r="H463" s="294"/>
      <c r="I463" s="294"/>
      <c r="J463" s="294"/>
      <c r="L463" s="295"/>
      <c r="M463" s="294"/>
      <c r="P463" s="294"/>
      <c r="Q463" s="294"/>
    </row>
    <row r="464" spans="2:17" x14ac:dyDescent="0.25">
      <c r="B464" s="294"/>
      <c r="C464" s="294"/>
      <c r="D464" s="294"/>
      <c r="E464" s="294"/>
      <c r="F464" s="294"/>
      <c r="G464" s="294"/>
      <c r="H464" s="294"/>
      <c r="I464" s="294"/>
      <c r="J464" s="294"/>
      <c r="L464" s="295"/>
      <c r="M464" s="294"/>
      <c r="P464" s="294"/>
      <c r="Q464" s="294"/>
    </row>
    <row r="465" spans="2:17" x14ac:dyDescent="0.25">
      <c r="B465" s="294"/>
      <c r="C465" s="294"/>
      <c r="D465" s="294"/>
      <c r="E465" s="294"/>
      <c r="F465" s="294"/>
      <c r="G465" s="294"/>
      <c r="H465" s="294"/>
      <c r="I465" s="294"/>
      <c r="J465" s="294"/>
      <c r="L465" s="295"/>
      <c r="M465" s="294"/>
      <c r="P465" s="294"/>
      <c r="Q465" s="294"/>
    </row>
    <row r="466" spans="2:17" x14ac:dyDescent="0.25">
      <c r="B466" s="294"/>
      <c r="C466" s="294"/>
      <c r="D466" s="294"/>
      <c r="E466" s="294"/>
      <c r="F466" s="294"/>
      <c r="G466" s="294"/>
      <c r="H466" s="294"/>
      <c r="I466" s="294"/>
      <c r="J466" s="294"/>
      <c r="L466" s="295"/>
      <c r="M466" s="294"/>
      <c r="P466" s="294"/>
      <c r="Q466" s="294"/>
    </row>
    <row r="467" spans="2:17" x14ac:dyDescent="0.25">
      <c r="B467" s="294"/>
      <c r="C467" s="294"/>
      <c r="D467" s="294"/>
      <c r="E467" s="294"/>
      <c r="F467" s="294"/>
      <c r="G467" s="294"/>
      <c r="H467" s="294"/>
      <c r="I467" s="294"/>
      <c r="J467" s="294"/>
      <c r="L467" s="295"/>
      <c r="M467" s="294"/>
      <c r="P467" s="294"/>
      <c r="Q467" s="294"/>
    </row>
    <row r="468" spans="2:17" x14ac:dyDescent="0.25">
      <c r="B468" s="294"/>
      <c r="C468" s="294"/>
      <c r="D468" s="294"/>
      <c r="E468" s="294"/>
      <c r="F468" s="294"/>
      <c r="G468" s="294"/>
      <c r="H468" s="294"/>
      <c r="I468" s="294"/>
      <c r="J468" s="294"/>
      <c r="L468" s="295"/>
      <c r="M468" s="294"/>
      <c r="P468" s="294"/>
      <c r="Q468" s="294"/>
    </row>
    <row r="469" spans="2:17" x14ac:dyDescent="0.25">
      <c r="B469" s="294"/>
      <c r="C469" s="294"/>
      <c r="D469" s="294"/>
      <c r="E469" s="294"/>
      <c r="F469" s="294"/>
      <c r="G469" s="294"/>
      <c r="H469" s="294"/>
      <c r="I469" s="294"/>
      <c r="J469" s="294"/>
      <c r="L469" s="295"/>
      <c r="M469" s="294"/>
      <c r="P469" s="294"/>
      <c r="Q469" s="294"/>
    </row>
    <row r="470" spans="2:17" x14ac:dyDescent="0.25">
      <c r="B470" s="294"/>
      <c r="C470" s="294"/>
      <c r="D470" s="294"/>
      <c r="E470" s="294"/>
      <c r="F470" s="294"/>
      <c r="G470" s="294"/>
      <c r="H470" s="294"/>
      <c r="I470" s="294"/>
      <c r="J470" s="294"/>
      <c r="L470" s="295"/>
      <c r="M470" s="294"/>
      <c r="P470" s="294"/>
      <c r="Q470" s="294"/>
    </row>
    <row r="471" spans="2:17" x14ac:dyDescent="0.25">
      <c r="B471" s="294"/>
      <c r="C471" s="294"/>
      <c r="D471" s="294"/>
      <c r="E471" s="294"/>
      <c r="F471" s="294"/>
      <c r="G471" s="294"/>
      <c r="H471" s="294"/>
      <c r="I471" s="294"/>
      <c r="J471" s="294"/>
      <c r="L471" s="295"/>
      <c r="M471" s="294"/>
      <c r="P471" s="294"/>
      <c r="Q471" s="294"/>
    </row>
    <row r="472" spans="2:17" x14ac:dyDescent="0.25">
      <c r="B472" s="294"/>
      <c r="C472" s="294"/>
      <c r="D472" s="294"/>
      <c r="E472" s="294"/>
      <c r="F472" s="294"/>
      <c r="G472" s="294"/>
      <c r="H472" s="294"/>
      <c r="I472" s="294"/>
      <c r="J472" s="294"/>
      <c r="L472" s="295"/>
      <c r="M472" s="294"/>
      <c r="P472" s="294"/>
      <c r="Q472" s="294"/>
    </row>
    <row r="473" spans="2:17" x14ac:dyDescent="0.25">
      <c r="B473" s="294"/>
      <c r="C473" s="294"/>
      <c r="D473" s="294"/>
      <c r="E473" s="294"/>
      <c r="F473" s="294"/>
      <c r="G473" s="294"/>
      <c r="H473" s="294"/>
      <c r="I473" s="294"/>
      <c r="J473" s="294"/>
      <c r="L473" s="295"/>
      <c r="M473" s="294"/>
      <c r="P473" s="294"/>
      <c r="Q473" s="294"/>
    </row>
    <row r="474" spans="2:17" x14ac:dyDescent="0.25">
      <c r="B474" s="294"/>
      <c r="C474" s="294"/>
      <c r="D474" s="294"/>
      <c r="E474" s="294"/>
      <c r="F474" s="294"/>
      <c r="G474" s="294"/>
      <c r="H474" s="294"/>
      <c r="I474" s="294"/>
      <c r="J474" s="294"/>
      <c r="L474" s="295"/>
      <c r="M474" s="294"/>
      <c r="P474" s="294"/>
      <c r="Q474" s="294"/>
    </row>
    <row r="475" spans="2:17" x14ac:dyDescent="0.25">
      <c r="B475" s="294"/>
      <c r="C475" s="294"/>
      <c r="D475" s="294"/>
      <c r="E475" s="294"/>
      <c r="F475" s="294"/>
      <c r="G475" s="294"/>
      <c r="H475" s="294"/>
      <c r="I475" s="294"/>
      <c r="J475" s="294"/>
      <c r="L475" s="295"/>
      <c r="M475" s="294"/>
      <c r="P475" s="294"/>
      <c r="Q475" s="294"/>
    </row>
    <row r="476" spans="2:17" x14ac:dyDescent="0.25">
      <c r="B476" s="294"/>
      <c r="C476" s="294"/>
      <c r="D476" s="294"/>
      <c r="E476" s="294"/>
      <c r="F476" s="294"/>
      <c r="G476" s="294"/>
      <c r="H476" s="294"/>
      <c r="I476" s="294"/>
      <c r="J476" s="294"/>
      <c r="L476" s="295"/>
      <c r="M476" s="294"/>
      <c r="P476" s="294"/>
      <c r="Q476" s="294"/>
    </row>
    <row r="477" spans="2:17" x14ac:dyDescent="0.25">
      <c r="B477" s="294"/>
      <c r="C477" s="294"/>
      <c r="D477" s="294"/>
      <c r="E477" s="294"/>
      <c r="F477" s="294"/>
      <c r="G477" s="294"/>
      <c r="H477" s="294"/>
      <c r="I477" s="294"/>
      <c r="J477" s="294"/>
      <c r="L477" s="295"/>
      <c r="M477" s="294"/>
      <c r="P477" s="294"/>
      <c r="Q477" s="294"/>
    </row>
    <row r="478" spans="2:17" x14ac:dyDescent="0.25">
      <c r="B478" s="294"/>
      <c r="C478" s="294"/>
      <c r="D478" s="294"/>
      <c r="E478" s="294"/>
      <c r="F478" s="294"/>
      <c r="G478" s="294"/>
      <c r="H478" s="294"/>
      <c r="I478" s="294"/>
      <c r="J478" s="294"/>
      <c r="L478" s="295"/>
      <c r="M478" s="294"/>
      <c r="P478" s="294"/>
      <c r="Q478" s="294"/>
    </row>
    <row r="479" spans="2:17" x14ac:dyDescent="0.25">
      <c r="B479" s="294"/>
      <c r="C479" s="294"/>
      <c r="D479" s="294"/>
      <c r="E479" s="294"/>
      <c r="F479" s="294"/>
      <c r="G479" s="294"/>
      <c r="H479" s="294"/>
      <c r="I479" s="294"/>
      <c r="J479" s="294"/>
      <c r="L479" s="295"/>
      <c r="M479" s="294"/>
      <c r="P479" s="294"/>
      <c r="Q479" s="294"/>
    </row>
    <row r="480" spans="2:17" x14ac:dyDescent="0.25">
      <c r="B480" s="294"/>
      <c r="C480" s="294"/>
      <c r="D480" s="294"/>
      <c r="E480" s="294"/>
      <c r="F480" s="294"/>
      <c r="G480" s="294"/>
      <c r="H480" s="294"/>
      <c r="I480" s="294"/>
      <c r="J480" s="294"/>
      <c r="L480" s="295"/>
      <c r="M480" s="294"/>
      <c r="P480" s="294"/>
      <c r="Q480" s="294"/>
    </row>
    <row r="481" spans="2:17" x14ac:dyDescent="0.25">
      <c r="B481" s="294"/>
      <c r="C481" s="294"/>
      <c r="D481" s="294"/>
      <c r="E481" s="294"/>
      <c r="F481" s="294"/>
      <c r="G481" s="294"/>
      <c r="H481" s="294"/>
      <c r="I481" s="294"/>
      <c r="J481" s="294"/>
      <c r="L481" s="295"/>
      <c r="M481" s="294"/>
      <c r="P481" s="294"/>
      <c r="Q481" s="294"/>
    </row>
    <row r="482" spans="2:17" x14ac:dyDescent="0.25">
      <c r="B482" s="294"/>
      <c r="C482" s="294"/>
      <c r="D482" s="294"/>
      <c r="E482" s="294"/>
      <c r="F482" s="294"/>
      <c r="G482" s="294"/>
      <c r="H482" s="294"/>
      <c r="I482" s="294"/>
      <c r="J482" s="294"/>
      <c r="L482" s="295"/>
      <c r="M482" s="294"/>
      <c r="P482" s="294"/>
      <c r="Q482" s="294"/>
    </row>
    <row r="483" spans="2:17" x14ac:dyDescent="0.25">
      <c r="B483" s="294"/>
      <c r="C483" s="294"/>
      <c r="D483" s="294"/>
      <c r="E483" s="294"/>
      <c r="F483" s="294"/>
      <c r="G483" s="294"/>
      <c r="H483" s="294"/>
      <c r="I483" s="294"/>
      <c r="J483" s="294"/>
      <c r="L483" s="295"/>
      <c r="M483" s="294"/>
      <c r="P483" s="294"/>
      <c r="Q483" s="294"/>
    </row>
    <row r="484" spans="2:17" x14ac:dyDescent="0.25">
      <c r="B484" s="294"/>
      <c r="C484" s="294"/>
      <c r="D484" s="294"/>
      <c r="E484" s="294"/>
      <c r="F484" s="294"/>
      <c r="G484" s="294"/>
      <c r="H484" s="294"/>
      <c r="I484" s="294"/>
      <c r="J484" s="294"/>
      <c r="L484" s="295"/>
      <c r="M484" s="294"/>
      <c r="P484" s="294"/>
      <c r="Q484" s="294"/>
    </row>
    <row r="485" spans="2:17" x14ac:dyDescent="0.25">
      <c r="B485" s="294"/>
      <c r="C485" s="294"/>
      <c r="D485" s="294"/>
      <c r="E485" s="294"/>
      <c r="F485" s="294"/>
      <c r="G485" s="294"/>
      <c r="H485" s="294"/>
      <c r="I485" s="294"/>
      <c r="J485" s="294"/>
      <c r="L485" s="295"/>
      <c r="M485" s="294"/>
      <c r="P485" s="294"/>
      <c r="Q485" s="294"/>
    </row>
    <row r="486" spans="2:17" x14ac:dyDescent="0.25">
      <c r="B486" s="294"/>
      <c r="C486" s="294"/>
      <c r="D486" s="294"/>
      <c r="E486" s="294"/>
      <c r="F486" s="294"/>
      <c r="G486" s="294"/>
      <c r="H486" s="294"/>
      <c r="I486" s="294"/>
      <c r="J486" s="294"/>
      <c r="L486" s="295"/>
      <c r="M486" s="294"/>
      <c r="P486" s="294"/>
      <c r="Q486" s="294"/>
    </row>
    <row r="487" spans="2:17" x14ac:dyDescent="0.25">
      <c r="B487" s="294"/>
      <c r="C487" s="294"/>
      <c r="D487" s="294"/>
      <c r="E487" s="294"/>
      <c r="F487" s="294"/>
      <c r="G487" s="294"/>
      <c r="H487" s="294"/>
      <c r="I487" s="294"/>
      <c r="J487" s="294"/>
      <c r="L487" s="295"/>
      <c r="M487" s="294"/>
      <c r="P487" s="294"/>
      <c r="Q487" s="294"/>
    </row>
    <row r="488" spans="2:17" x14ac:dyDescent="0.25">
      <c r="B488" s="294"/>
      <c r="C488" s="294"/>
      <c r="D488" s="294"/>
      <c r="E488" s="294"/>
      <c r="F488" s="294"/>
      <c r="G488" s="294"/>
      <c r="H488" s="294"/>
      <c r="I488" s="294"/>
      <c r="J488" s="294"/>
      <c r="L488" s="295"/>
      <c r="M488" s="294"/>
      <c r="P488" s="294"/>
      <c r="Q488" s="294"/>
    </row>
    <row r="489" spans="2:17" x14ac:dyDescent="0.25">
      <c r="B489" s="294"/>
      <c r="C489" s="294"/>
      <c r="D489" s="294"/>
      <c r="E489" s="294"/>
      <c r="F489" s="294"/>
      <c r="G489" s="294"/>
      <c r="H489" s="294"/>
      <c r="I489" s="294"/>
      <c r="J489" s="294"/>
      <c r="L489" s="295"/>
      <c r="M489" s="294"/>
      <c r="P489" s="294"/>
      <c r="Q489" s="294"/>
    </row>
    <row r="490" spans="2:17" x14ac:dyDescent="0.25">
      <c r="B490" s="294"/>
      <c r="C490" s="294"/>
      <c r="D490" s="294"/>
      <c r="E490" s="294"/>
      <c r="F490" s="294"/>
      <c r="G490" s="294"/>
      <c r="H490" s="294"/>
      <c r="I490" s="294"/>
      <c r="J490" s="294"/>
      <c r="L490" s="295"/>
      <c r="M490" s="294"/>
      <c r="P490" s="294"/>
      <c r="Q490" s="294"/>
    </row>
    <row r="491" spans="2:17" x14ac:dyDescent="0.25">
      <c r="B491" s="294"/>
      <c r="C491" s="294"/>
      <c r="D491" s="294"/>
      <c r="E491" s="294"/>
      <c r="F491" s="294"/>
      <c r="G491" s="294"/>
      <c r="H491" s="294"/>
      <c r="I491" s="294"/>
      <c r="J491" s="294"/>
      <c r="L491" s="295"/>
      <c r="M491" s="294"/>
      <c r="P491" s="294"/>
      <c r="Q491" s="294"/>
    </row>
    <row r="492" spans="2:17" x14ac:dyDescent="0.25">
      <c r="B492" s="294"/>
      <c r="C492" s="294"/>
      <c r="D492" s="294"/>
      <c r="E492" s="294"/>
      <c r="F492" s="294"/>
      <c r="G492" s="294"/>
      <c r="H492" s="294"/>
      <c r="I492" s="294"/>
      <c r="J492" s="294"/>
      <c r="L492" s="295"/>
      <c r="M492" s="294"/>
      <c r="P492" s="294"/>
      <c r="Q492" s="294"/>
    </row>
    <row r="493" spans="2:17" x14ac:dyDescent="0.25">
      <c r="B493" s="294"/>
      <c r="C493" s="294"/>
      <c r="D493" s="294"/>
      <c r="E493" s="294"/>
      <c r="F493" s="294"/>
      <c r="G493" s="294"/>
      <c r="H493" s="294"/>
      <c r="I493" s="294"/>
      <c r="J493" s="294"/>
      <c r="L493" s="295"/>
      <c r="M493" s="294"/>
      <c r="P493" s="294"/>
      <c r="Q493" s="294"/>
    </row>
    <row r="494" spans="2:17" x14ac:dyDescent="0.25">
      <c r="B494" s="294"/>
      <c r="C494" s="294"/>
      <c r="D494" s="294"/>
      <c r="E494" s="294"/>
      <c r="F494" s="294"/>
      <c r="G494" s="294"/>
      <c r="H494" s="294"/>
      <c r="I494" s="294"/>
      <c r="J494" s="294"/>
      <c r="L494" s="295"/>
      <c r="M494" s="294"/>
      <c r="P494" s="294"/>
      <c r="Q494" s="294"/>
    </row>
    <row r="495" spans="2:17" x14ac:dyDescent="0.25">
      <c r="B495" s="294"/>
      <c r="C495" s="294"/>
      <c r="D495" s="294"/>
      <c r="E495" s="294"/>
      <c r="F495" s="294"/>
      <c r="G495" s="294"/>
      <c r="H495" s="294"/>
      <c r="I495" s="294"/>
      <c r="J495" s="294"/>
      <c r="L495" s="295"/>
      <c r="M495" s="294"/>
      <c r="P495" s="294"/>
      <c r="Q495" s="294"/>
    </row>
    <row r="496" spans="2:17" x14ac:dyDescent="0.25">
      <c r="B496" s="294"/>
      <c r="C496" s="294"/>
      <c r="D496" s="294"/>
      <c r="E496" s="294"/>
      <c r="F496" s="294"/>
      <c r="G496" s="294"/>
      <c r="H496" s="294"/>
      <c r="I496" s="294"/>
      <c r="J496" s="294"/>
      <c r="L496" s="295"/>
      <c r="M496" s="294"/>
      <c r="P496" s="294"/>
      <c r="Q496" s="294"/>
    </row>
    <row r="497" spans="2:17" x14ac:dyDescent="0.25">
      <c r="B497" s="294"/>
      <c r="C497" s="294"/>
      <c r="D497" s="294"/>
      <c r="E497" s="294"/>
      <c r="F497" s="294"/>
      <c r="G497" s="294"/>
      <c r="H497" s="294"/>
      <c r="I497" s="294"/>
      <c r="J497" s="294"/>
      <c r="L497" s="295"/>
      <c r="M497" s="294"/>
      <c r="P497" s="294"/>
      <c r="Q497" s="294"/>
    </row>
    <row r="498" spans="2:17" x14ac:dyDescent="0.25">
      <c r="B498" s="294"/>
      <c r="C498" s="294"/>
      <c r="D498" s="294"/>
      <c r="E498" s="294"/>
      <c r="F498" s="294"/>
      <c r="G498" s="294"/>
      <c r="H498" s="294"/>
      <c r="I498" s="294"/>
      <c r="J498" s="294"/>
      <c r="L498" s="295"/>
      <c r="M498" s="294"/>
      <c r="P498" s="294"/>
      <c r="Q498" s="294"/>
    </row>
    <row r="499" spans="2:17" x14ac:dyDescent="0.25">
      <c r="B499" s="294"/>
      <c r="C499" s="294"/>
      <c r="D499" s="294"/>
      <c r="E499" s="294"/>
      <c r="F499" s="294"/>
      <c r="G499" s="294"/>
      <c r="H499" s="294"/>
      <c r="I499" s="294"/>
      <c r="J499" s="294"/>
      <c r="L499" s="295"/>
      <c r="M499" s="294"/>
      <c r="P499" s="294"/>
      <c r="Q499" s="294"/>
    </row>
    <row r="500" spans="2:17" x14ac:dyDescent="0.25">
      <c r="B500" s="294"/>
      <c r="C500" s="294"/>
      <c r="D500" s="294"/>
      <c r="E500" s="294"/>
      <c r="F500" s="294"/>
      <c r="G500" s="294"/>
      <c r="H500" s="294"/>
      <c r="I500" s="294"/>
      <c r="J500" s="294"/>
      <c r="L500" s="295"/>
      <c r="M500" s="294"/>
      <c r="P500" s="294"/>
      <c r="Q500" s="294"/>
    </row>
    <row r="501" spans="2:17" x14ac:dyDescent="0.25">
      <c r="B501" s="294"/>
      <c r="C501" s="294"/>
      <c r="D501" s="294"/>
      <c r="E501" s="294"/>
      <c r="F501" s="294"/>
      <c r="G501" s="294"/>
      <c r="H501" s="294"/>
      <c r="I501" s="294"/>
      <c r="J501" s="294"/>
      <c r="L501" s="295"/>
      <c r="M501" s="294"/>
      <c r="P501" s="294"/>
      <c r="Q501" s="294"/>
    </row>
    <row r="502" spans="2:17" x14ac:dyDescent="0.25">
      <c r="B502" s="294"/>
      <c r="C502" s="294"/>
      <c r="D502" s="294"/>
      <c r="E502" s="294"/>
      <c r="F502" s="294"/>
      <c r="G502" s="294"/>
      <c r="H502" s="294"/>
      <c r="I502" s="294"/>
      <c r="J502" s="294"/>
      <c r="L502" s="295"/>
      <c r="M502" s="294"/>
      <c r="P502" s="294"/>
      <c r="Q502" s="294"/>
    </row>
    <row r="503" spans="2:17" x14ac:dyDescent="0.25">
      <c r="B503" s="294"/>
      <c r="C503" s="294"/>
      <c r="D503" s="294"/>
      <c r="E503" s="294"/>
      <c r="F503" s="294"/>
      <c r="G503" s="294"/>
      <c r="H503" s="294"/>
      <c r="I503" s="294"/>
      <c r="J503" s="294"/>
      <c r="L503" s="295"/>
      <c r="M503" s="294"/>
      <c r="P503" s="294"/>
      <c r="Q503" s="294"/>
    </row>
    <row r="504" spans="2:17" x14ac:dyDescent="0.25">
      <c r="B504" s="294"/>
      <c r="C504" s="294"/>
      <c r="D504" s="294"/>
      <c r="E504" s="294"/>
      <c r="F504" s="294"/>
      <c r="G504" s="294"/>
      <c r="H504" s="294"/>
      <c r="I504" s="294"/>
      <c r="J504" s="294"/>
      <c r="L504" s="295"/>
      <c r="M504" s="294"/>
      <c r="P504" s="294"/>
      <c r="Q504" s="294"/>
    </row>
    <row r="505" spans="2:17" x14ac:dyDescent="0.25">
      <c r="B505" s="294"/>
      <c r="C505" s="294"/>
      <c r="D505" s="294"/>
      <c r="E505" s="294"/>
      <c r="F505" s="294"/>
      <c r="G505" s="294"/>
      <c r="H505" s="294"/>
      <c r="I505" s="294"/>
      <c r="J505" s="294"/>
      <c r="L505" s="295"/>
      <c r="M505" s="294"/>
      <c r="P505" s="294"/>
      <c r="Q505" s="294"/>
    </row>
    <row r="506" spans="2:17" x14ac:dyDescent="0.25">
      <c r="B506" s="294"/>
      <c r="C506" s="294"/>
      <c r="D506" s="294"/>
      <c r="E506" s="294"/>
      <c r="F506" s="294"/>
      <c r="G506" s="294"/>
      <c r="H506" s="294"/>
      <c r="I506" s="294"/>
      <c r="J506" s="294"/>
      <c r="L506" s="295"/>
      <c r="M506" s="294"/>
      <c r="P506" s="294"/>
      <c r="Q506" s="294"/>
    </row>
    <row r="507" spans="2:17" x14ac:dyDescent="0.25">
      <c r="B507" s="294"/>
      <c r="C507" s="294"/>
      <c r="D507" s="294"/>
      <c r="E507" s="294"/>
      <c r="F507" s="294"/>
      <c r="G507" s="294"/>
      <c r="H507" s="294"/>
      <c r="I507" s="294"/>
      <c r="J507" s="294"/>
      <c r="L507" s="295"/>
      <c r="M507" s="294"/>
      <c r="P507" s="294"/>
      <c r="Q507" s="294"/>
    </row>
    <row r="508" spans="2:17" x14ac:dyDescent="0.25">
      <c r="B508" s="294"/>
      <c r="C508" s="294"/>
      <c r="D508" s="294"/>
      <c r="E508" s="294"/>
      <c r="F508" s="294"/>
      <c r="G508" s="294"/>
      <c r="H508" s="294"/>
      <c r="I508" s="294"/>
      <c r="J508" s="294"/>
      <c r="L508" s="295"/>
      <c r="M508" s="294"/>
      <c r="P508" s="294"/>
      <c r="Q508" s="294"/>
    </row>
    <row r="509" spans="2:17" x14ac:dyDescent="0.25">
      <c r="B509" s="294"/>
      <c r="C509" s="294"/>
      <c r="D509" s="294"/>
      <c r="E509" s="294"/>
      <c r="F509" s="294"/>
      <c r="G509" s="294"/>
      <c r="H509" s="294"/>
      <c r="I509" s="294"/>
      <c r="J509" s="294"/>
      <c r="L509" s="295"/>
      <c r="M509" s="294"/>
      <c r="P509" s="294"/>
      <c r="Q509" s="294"/>
    </row>
    <row r="510" spans="2:17" x14ac:dyDescent="0.25">
      <c r="B510" s="294"/>
      <c r="C510" s="294"/>
      <c r="D510" s="294"/>
      <c r="E510" s="294"/>
      <c r="F510" s="294"/>
      <c r="G510" s="294"/>
      <c r="H510" s="294"/>
      <c r="I510" s="294"/>
      <c r="J510" s="294"/>
      <c r="L510" s="295"/>
      <c r="M510" s="294"/>
      <c r="P510" s="294"/>
      <c r="Q510" s="294"/>
    </row>
    <row r="511" spans="2:17" x14ac:dyDescent="0.25">
      <c r="B511" s="294"/>
      <c r="C511" s="294"/>
      <c r="D511" s="294"/>
      <c r="E511" s="294"/>
      <c r="F511" s="294"/>
      <c r="G511" s="294"/>
      <c r="H511" s="294"/>
      <c r="I511" s="294"/>
      <c r="J511" s="294"/>
      <c r="L511" s="295"/>
      <c r="M511" s="294"/>
      <c r="P511" s="294"/>
      <c r="Q511" s="294"/>
    </row>
    <row r="512" spans="2:17" x14ac:dyDescent="0.25">
      <c r="B512" s="294"/>
      <c r="C512" s="294"/>
      <c r="D512" s="294"/>
      <c r="E512" s="294"/>
      <c r="F512" s="294"/>
      <c r="G512" s="294"/>
      <c r="H512" s="294"/>
      <c r="I512" s="294"/>
      <c r="J512" s="294"/>
      <c r="L512" s="295"/>
      <c r="M512" s="294"/>
      <c r="P512" s="294"/>
      <c r="Q512" s="294"/>
    </row>
    <row r="513" spans="2:17" x14ac:dyDescent="0.25">
      <c r="B513" s="294"/>
      <c r="C513" s="294"/>
      <c r="D513" s="294"/>
      <c r="E513" s="294"/>
      <c r="F513" s="294"/>
      <c r="G513" s="294"/>
      <c r="H513" s="294"/>
      <c r="I513" s="294"/>
      <c r="J513" s="294"/>
      <c r="L513" s="295"/>
      <c r="M513" s="294"/>
      <c r="P513" s="294"/>
      <c r="Q513" s="294"/>
    </row>
    <row r="514" spans="2:17" x14ac:dyDescent="0.25">
      <c r="B514" s="294"/>
      <c r="C514" s="294"/>
      <c r="D514" s="294"/>
      <c r="E514" s="294"/>
      <c r="F514" s="294"/>
      <c r="G514" s="294"/>
      <c r="H514" s="294"/>
      <c r="I514" s="294"/>
      <c r="J514" s="294"/>
      <c r="L514" s="295"/>
      <c r="M514" s="294"/>
      <c r="P514" s="294"/>
      <c r="Q514" s="294"/>
    </row>
    <row r="515" spans="2:17" x14ac:dyDescent="0.25">
      <c r="B515" s="294"/>
      <c r="C515" s="294"/>
      <c r="D515" s="294"/>
      <c r="E515" s="294"/>
      <c r="F515" s="294"/>
      <c r="G515" s="294"/>
      <c r="H515" s="294"/>
      <c r="I515" s="294"/>
      <c r="J515" s="294"/>
      <c r="L515" s="295"/>
      <c r="M515" s="294"/>
      <c r="P515" s="294"/>
      <c r="Q515" s="294"/>
    </row>
    <row r="516" spans="2:17" x14ac:dyDescent="0.25">
      <c r="B516" s="294"/>
      <c r="C516" s="294"/>
      <c r="D516" s="294"/>
      <c r="E516" s="294"/>
      <c r="F516" s="294"/>
      <c r="G516" s="294"/>
      <c r="H516" s="294"/>
      <c r="I516" s="294"/>
      <c r="J516" s="294"/>
      <c r="L516" s="295"/>
      <c r="M516" s="294"/>
      <c r="P516" s="294"/>
      <c r="Q516" s="294"/>
    </row>
    <row r="517" spans="2:17" x14ac:dyDescent="0.25">
      <c r="B517" s="294"/>
      <c r="C517" s="294"/>
      <c r="D517" s="294"/>
      <c r="E517" s="294"/>
      <c r="F517" s="294"/>
      <c r="G517" s="294"/>
      <c r="H517" s="294"/>
      <c r="I517" s="294"/>
      <c r="J517" s="294"/>
      <c r="L517" s="295"/>
      <c r="M517" s="294"/>
      <c r="P517" s="294"/>
      <c r="Q517" s="294"/>
    </row>
    <row r="518" spans="2:17" x14ac:dyDescent="0.25">
      <c r="B518" s="294"/>
      <c r="C518" s="294"/>
      <c r="D518" s="294"/>
      <c r="E518" s="294"/>
      <c r="F518" s="294"/>
      <c r="G518" s="294"/>
      <c r="H518" s="294"/>
      <c r="I518" s="294"/>
      <c r="J518" s="294"/>
      <c r="L518" s="295"/>
      <c r="M518" s="294"/>
      <c r="P518" s="294"/>
      <c r="Q518" s="294"/>
    </row>
    <row r="519" spans="2:17" x14ac:dyDescent="0.25">
      <c r="B519" s="294"/>
      <c r="C519" s="294"/>
      <c r="D519" s="294"/>
      <c r="E519" s="294"/>
      <c r="F519" s="294"/>
      <c r="G519" s="294"/>
      <c r="H519" s="294"/>
      <c r="I519" s="294"/>
      <c r="J519" s="294"/>
      <c r="L519" s="295"/>
      <c r="M519" s="294"/>
      <c r="P519" s="294"/>
      <c r="Q519" s="294"/>
    </row>
    <row r="520" spans="2:17" x14ac:dyDescent="0.25">
      <c r="B520" s="294"/>
      <c r="C520" s="294"/>
      <c r="D520" s="294"/>
      <c r="E520" s="294"/>
      <c r="F520" s="294"/>
      <c r="G520" s="294"/>
      <c r="H520" s="294"/>
      <c r="I520" s="294"/>
      <c r="J520" s="294"/>
      <c r="L520" s="295"/>
      <c r="M520" s="294"/>
      <c r="P520" s="294"/>
      <c r="Q520" s="294"/>
    </row>
    <row r="521" spans="2:17" x14ac:dyDescent="0.25">
      <c r="B521" s="294"/>
      <c r="C521" s="294"/>
      <c r="D521" s="294"/>
      <c r="E521" s="294"/>
      <c r="F521" s="294"/>
      <c r="G521" s="294"/>
      <c r="H521" s="294"/>
      <c r="I521" s="294"/>
      <c r="J521" s="294"/>
      <c r="L521" s="295"/>
      <c r="M521" s="294"/>
      <c r="P521" s="294"/>
      <c r="Q521" s="294"/>
    </row>
    <row r="522" spans="2:17" x14ac:dyDescent="0.25">
      <c r="B522" s="294"/>
      <c r="C522" s="294"/>
      <c r="D522" s="294"/>
      <c r="E522" s="294"/>
      <c r="F522" s="294"/>
      <c r="G522" s="294"/>
      <c r="H522" s="294"/>
      <c r="I522" s="294"/>
      <c r="J522" s="294"/>
      <c r="L522" s="295"/>
      <c r="M522" s="294"/>
      <c r="P522" s="294"/>
      <c r="Q522" s="294"/>
    </row>
    <row r="523" spans="2:17" x14ac:dyDescent="0.25">
      <c r="B523" s="294"/>
      <c r="C523" s="294"/>
      <c r="D523" s="294"/>
      <c r="E523" s="294"/>
      <c r="F523" s="294"/>
      <c r="G523" s="294"/>
      <c r="H523" s="294"/>
      <c r="I523" s="294"/>
      <c r="J523" s="294"/>
      <c r="L523" s="295"/>
      <c r="M523" s="294"/>
      <c r="P523" s="294"/>
      <c r="Q523" s="294"/>
    </row>
    <row r="524" spans="2:17" x14ac:dyDescent="0.25">
      <c r="B524" s="294"/>
      <c r="C524" s="294"/>
      <c r="D524" s="294"/>
      <c r="E524" s="294"/>
      <c r="F524" s="294"/>
      <c r="G524" s="294"/>
      <c r="H524" s="294"/>
      <c r="I524" s="294"/>
      <c r="J524" s="294"/>
      <c r="L524" s="295"/>
      <c r="M524" s="294"/>
      <c r="P524" s="294"/>
      <c r="Q524" s="294"/>
    </row>
    <row r="525" spans="2:17" x14ac:dyDescent="0.25">
      <c r="B525" s="294"/>
      <c r="C525" s="294"/>
      <c r="D525" s="294"/>
      <c r="E525" s="294"/>
      <c r="F525" s="294"/>
      <c r="G525" s="294"/>
      <c r="H525" s="294"/>
      <c r="I525" s="294"/>
      <c r="J525" s="294"/>
      <c r="L525" s="295"/>
      <c r="M525" s="294"/>
      <c r="P525" s="294"/>
      <c r="Q525" s="294"/>
    </row>
    <row r="526" spans="2:17" x14ac:dyDescent="0.25">
      <c r="B526" s="294"/>
      <c r="C526" s="294"/>
      <c r="D526" s="294"/>
      <c r="E526" s="294"/>
      <c r="F526" s="294"/>
      <c r="G526" s="294"/>
      <c r="H526" s="294"/>
      <c r="I526" s="294"/>
      <c r="J526" s="294"/>
      <c r="L526" s="295"/>
      <c r="M526" s="294"/>
      <c r="P526" s="294"/>
      <c r="Q526" s="294"/>
    </row>
    <row r="527" spans="2:17" x14ac:dyDescent="0.25">
      <c r="B527" s="294"/>
      <c r="C527" s="294"/>
      <c r="D527" s="294"/>
      <c r="E527" s="294"/>
      <c r="F527" s="294"/>
      <c r="G527" s="294"/>
      <c r="H527" s="294"/>
      <c r="I527" s="294"/>
      <c r="J527" s="294"/>
      <c r="L527" s="295"/>
      <c r="M527" s="294"/>
      <c r="P527" s="294"/>
      <c r="Q527" s="294"/>
    </row>
    <row r="528" spans="2:17" x14ac:dyDescent="0.25">
      <c r="B528" s="294"/>
      <c r="C528" s="294"/>
      <c r="D528" s="294"/>
      <c r="E528" s="294"/>
      <c r="F528" s="294"/>
      <c r="G528" s="294"/>
      <c r="H528" s="294"/>
      <c r="I528" s="294"/>
      <c r="J528" s="294"/>
      <c r="L528" s="295"/>
      <c r="M528" s="294"/>
      <c r="P528" s="294"/>
      <c r="Q528" s="294"/>
    </row>
    <row r="529" spans="2:17" x14ac:dyDescent="0.25">
      <c r="B529" s="294"/>
      <c r="C529" s="294"/>
      <c r="D529" s="294"/>
      <c r="E529" s="294"/>
      <c r="F529" s="294"/>
      <c r="G529" s="294"/>
      <c r="H529" s="294"/>
      <c r="I529" s="294"/>
      <c r="J529" s="294"/>
      <c r="L529" s="295"/>
      <c r="M529" s="294"/>
      <c r="P529" s="294"/>
      <c r="Q529" s="294"/>
    </row>
    <row r="530" spans="2:17" x14ac:dyDescent="0.25">
      <c r="B530" s="294"/>
      <c r="C530" s="294"/>
      <c r="D530" s="294"/>
      <c r="E530" s="294"/>
      <c r="F530" s="294"/>
      <c r="G530" s="294"/>
      <c r="H530" s="294"/>
      <c r="I530" s="294"/>
      <c r="J530" s="294"/>
      <c r="L530" s="295"/>
      <c r="M530" s="294"/>
      <c r="P530" s="294"/>
      <c r="Q530" s="294"/>
    </row>
    <row r="531" spans="2:17" x14ac:dyDescent="0.25">
      <c r="B531" s="294"/>
      <c r="C531" s="294"/>
      <c r="D531" s="294"/>
      <c r="E531" s="294"/>
      <c r="F531" s="294"/>
      <c r="G531" s="294"/>
      <c r="H531" s="294"/>
      <c r="I531" s="294"/>
      <c r="J531" s="294"/>
      <c r="L531" s="295"/>
      <c r="M531" s="294"/>
      <c r="P531" s="294"/>
      <c r="Q531" s="294"/>
    </row>
    <row r="532" spans="2:17" x14ac:dyDescent="0.25">
      <c r="B532" s="294"/>
      <c r="C532" s="294"/>
      <c r="D532" s="294"/>
      <c r="E532" s="294"/>
      <c r="F532" s="294"/>
      <c r="G532" s="294"/>
      <c r="H532" s="294"/>
      <c r="I532" s="294"/>
      <c r="J532" s="294"/>
      <c r="L532" s="295"/>
      <c r="M532" s="294"/>
      <c r="P532" s="294"/>
      <c r="Q532" s="294"/>
    </row>
    <row r="533" spans="2:17" x14ac:dyDescent="0.25">
      <c r="B533" s="294"/>
      <c r="C533" s="294"/>
      <c r="D533" s="294"/>
      <c r="E533" s="294"/>
      <c r="F533" s="294"/>
      <c r="G533" s="294"/>
      <c r="H533" s="294"/>
      <c r="I533" s="294"/>
      <c r="J533" s="294"/>
      <c r="L533" s="295"/>
      <c r="M533" s="294"/>
      <c r="P533" s="294"/>
      <c r="Q533" s="294"/>
    </row>
    <row r="534" spans="2:17" x14ac:dyDescent="0.25">
      <c r="B534" s="294"/>
      <c r="C534" s="294"/>
      <c r="D534" s="294"/>
      <c r="E534" s="294"/>
      <c r="F534" s="294"/>
      <c r="G534" s="294"/>
      <c r="H534" s="294"/>
      <c r="I534" s="294"/>
      <c r="J534" s="294"/>
      <c r="L534" s="295"/>
      <c r="M534" s="294"/>
      <c r="P534" s="294"/>
      <c r="Q534" s="294"/>
    </row>
    <row r="535" spans="2:17" x14ac:dyDescent="0.25">
      <c r="B535" s="294"/>
      <c r="C535" s="294"/>
      <c r="D535" s="294"/>
      <c r="E535" s="294"/>
      <c r="F535" s="294"/>
      <c r="G535" s="294"/>
      <c r="H535" s="294"/>
      <c r="I535" s="294"/>
      <c r="J535" s="294"/>
      <c r="L535" s="295"/>
      <c r="M535" s="294"/>
      <c r="P535" s="294"/>
      <c r="Q535" s="294"/>
    </row>
    <row r="536" spans="2:17" x14ac:dyDescent="0.25">
      <c r="B536" s="294"/>
      <c r="C536" s="294"/>
      <c r="D536" s="294"/>
      <c r="E536" s="294"/>
      <c r="F536" s="294"/>
      <c r="G536" s="294"/>
      <c r="H536" s="294"/>
      <c r="I536" s="294"/>
      <c r="J536" s="294"/>
      <c r="L536" s="295"/>
      <c r="M536" s="294"/>
      <c r="P536" s="294"/>
      <c r="Q536" s="294"/>
    </row>
    <row r="537" spans="2:17" x14ac:dyDescent="0.25">
      <c r="B537" s="294"/>
      <c r="C537" s="294"/>
      <c r="D537" s="294"/>
      <c r="E537" s="294"/>
      <c r="F537" s="294"/>
      <c r="G537" s="294"/>
      <c r="H537" s="294"/>
      <c r="I537" s="294"/>
      <c r="J537" s="294"/>
      <c r="L537" s="295"/>
      <c r="M537" s="294"/>
      <c r="P537" s="294"/>
      <c r="Q537" s="294"/>
    </row>
    <row r="538" spans="2:17" x14ac:dyDescent="0.25">
      <c r="B538" s="294"/>
      <c r="C538" s="294"/>
      <c r="D538" s="294"/>
      <c r="E538" s="294"/>
      <c r="F538" s="294"/>
      <c r="G538" s="294"/>
      <c r="H538" s="294"/>
      <c r="I538" s="294"/>
      <c r="J538" s="294"/>
      <c r="L538" s="295"/>
      <c r="M538" s="294"/>
      <c r="P538" s="294"/>
      <c r="Q538" s="294"/>
    </row>
    <row r="539" spans="2:17" x14ac:dyDescent="0.25">
      <c r="B539" s="294"/>
      <c r="C539" s="294"/>
      <c r="D539" s="294"/>
      <c r="E539" s="294"/>
      <c r="F539" s="294"/>
      <c r="G539" s="294"/>
      <c r="H539" s="294"/>
      <c r="I539" s="294"/>
      <c r="J539" s="294"/>
      <c r="L539" s="295"/>
      <c r="M539" s="294"/>
      <c r="P539" s="294"/>
      <c r="Q539" s="294"/>
    </row>
    <row r="540" spans="2:17" x14ac:dyDescent="0.25">
      <c r="B540" s="294"/>
      <c r="C540" s="294"/>
      <c r="D540" s="294"/>
      <c r="E540" s="294"/>
      <c r="F540" s="294"/>
      <c r="G540" s="294"/>
      <c r="H540" s="294"/>
      <c r="I540" s="294"/>
      <c r="J540" s="294"/>
      <c r="L540" s="295"/>
      <c r="M540" s="294"/>
      <c r="P540" s="294"/>
      <c r="Q540" s="294"/>
    </row>
    <row r="541" spans="2:17" x14ac:dyDescent="0.25">
      <c r="B541" s="294"/>
      <c r="C541" s="294"/>
      <c r="D541" s="294"/>
      <c r="E541" s="294"/>
      <c r="F541" s="294"/>
      <c r="G541" s="294"/>
      <c r="H541" s="294"/>
      <c r="I541" s="294"/>
      <c r="J541" s="294"/>
      <c r="L541" s="295"/>
      <c r="M541" s="294"/>
      <c r="P541" s="294"/>
      <c r="Q541" s="294"/>
    </row>
    <row r="542" spans="2:17" x14ac:dyDescent="0.25">
      <c r="B542" s="294"/>
      <c r="C542" s="294"/>
      <c r="D542" s="294"/>
      <c r="E542" s="294"/>
      <c r="F542" s="294"/>
      <c r="G542" s="294"/>
      <c r="H542" s="294"/>
      <c r="I542" s="294"/>
      <c r="J542" s="294"/>
      <c r="L542" s="295"/>
      <c r="M542" s="294"/>
      <c r="P542" s="294"/>
      <c r="Q542" s="294"/>
    </row>
    <row r="543" spans="2:17" x14ac:dyDescent="0.25">
      <c r="B543" s="294"/>
      <c r="C543" s="294"/>
      <c r="D543" s="294"/>
      <c r="E543" s="294"/>
      <c r="F543" s="294"/>
      <c r="G543" s="294"/>
      <c r="H543" s="294"/>
      <c r="I543" s="294"/>
      <c r="J543" s="294"/>
      <c r="L543" s="295"/>
      <c r="M543" s="294"/>
      <c r="P543" s="294"/>
      <c r="Q543" s="294"/>
    </row>
    <row r="544" spans="2:17" x14ac:dyDescent="0.25">
      <c r="B544" s="294"/>
      <c r="C544" s="294"/>
      <c r="D544" s="294"/>
      <c r="E544" s="294"/>
      <c r="F544" s="294"/>
      <c r="G544" s="294"/>
      <c r="H544" s="294"/>
      <c r="I544" s="294"/>
      <c r="J544" s="294"/>
      <c r="L544" s="295"/>
      <c r="M544" s="294"/>
      <c r="P544" s="294"/>
      <c r="Q544" s="294"/>
    </row>
    <row r="545" spans="2:17" x14ac:dyDescent="0.25">
      <c r="B545" s="294"/>
      <c r="C545" s="294"/>
      <c r="D545" s="294"/>
      <c r="E545" s="294"/>
      <c r="F545" s="294"/>
      <c r="G545" s="294"/>
      <c r="H545" s="294"/>
      <c r="I545" s="294"/>
      <c r="J545" s="294"/>
      <c r="L545" s="295"/>
      <c r="M545" s="294"/>
      <c r="P545" s="294"/>
      <c r="Q545" s="294"/>
    </row>
    <row r="546" spans="2:17" x14ac:dyDescent="0.25">
      <c r="B546" s="294"/>
      <c r="C546" s="294"/>
      <c r="D546" s="294"/>
      <c r="E546" s="294"/>
      <c r="F546" s="294"/>
      <c r="G546" s="294"/>
      <c r="H546" s="294"/>
      <c r="I546" s="294"/>
      <c r="J546" s="294"/>
      <c r="L546" s="295"/>
      <c r="M546" s="294"/>
      <c r="P546" s="294"/>
      <c r="Q546" s="294"/>
    </row>
    <row r="547" spans="2:17" x14ac:dyDescent="0.25">
      <c r="B547" s="294"/>
      <c r="C547" s="294"/>
      <c r="D547" s="294"/>
      <c r="E547" s="294"/>
      <c r="F547" s="294"/>
      <c r="G547" s="294"/>
      <c r="H547" s="294"/>
      <c r="I547" s="294"/>
      <c r="J547" s="294"/>
      <c r="L547" s="295"/>
      <c r="M547" s="294"/>
      <c r="P547" s="294"/>
      <c r="Q547" s="294"/>
    </row>
    <row r="548" spans="2:17" x14ac:dyDescent="0.25">
      <c r="B548" s="294"/>
      <c r="C548" s="294"/>
      <c r="D548" s="294"/>
      <c r="E548" s="294"/>
      <c r="F548" s="294"/>
      <c r="G548" s="294"/>
      <c r="H548" s="294"/>
      <c r="I548" s="294"/>
      <c r="J548" s="294"/>
      <c r="L548" s="295"/>
      <c r="M548" s="294"/>
      <c r="P548" s="294"/>
      <c r="Q548" s="294"/>
    </row>
    <row r="549" spans="2:17" x14ac:dyDescent="0.25">
      <c r="B549" s="294"/>
      <c r="C549" s="294"/>
      <c r="D549" s="294"/>
      <c r="E549" s="294"/>
      <c r="F549" s="294"/>
      <c r="G549" s="294"/>
      <c r="H549" s="294"/>
      <c r="I549" s="294"/>
      <c r="J549" s="294"/>
      <c r="L549" s="295"/>
      <c r="M549" s="294"/>
      <c r="P549" s="294"/>
      <c r="Q549" s="294"/>
    </row>
    <row r="550" spans="2:17" x14ac:dyDescent="0.25">
      <c r="B550" s="294"/>
      <c r="C550" s="294"/>
      <c r="D550" s="294"/>
      <c r="E550" s="294"/>
      <c r="F550" s="294"/>
      <c r="G550" s="294"/>
      <c r="H550" s="294"/>
      <c r="I550" s="294"/>
      <c r="J550" s="294"/>
      <c r="L550" s="295"/>
      <c r="M550" s="294"/>
      <c r="P550" s="294"/>
      <c r="Q550" s="294"/>
    </row>
    <row r="551" spans="2:17" x14ac:dyDescent="0.25">
      <c r="B551" s="294"/>
      <c r="C551" s="294"/>
      <c r="D551" s="294"/>
      <c r="E551" s="294"/>
      <c r="F551" s="294"/>
      <c r="G551" s="294"/>
      <c r="H551" s="294"/>
      <c r="I551" s="294"/>
      <c r="J551" s="294"/>
      <c r="L551" s="295"/>
      <c r="M551" s="294"/>
      <c r="P551" s="294"/>
      <c r="Q551" s="294"/>
    </row>
    <row r="552" spans="2:17" x14ac:dyDescent="0.25">
      <c r="B552" s="294"/>
      <c r="C552" s="294"/>
      <c r="D552" s="294"/>
      <c r="E552" s="294"/>
      <c r="F552" s="294"/>
      <c r="G552" s="294"/>
      <c r="H552" s="294"/>
      <c r="I552" s="294"/>
      <c r="J552" s="294"/>
      <c r="L552" s="295"/>
      <c r="M552" s="294"/>
      <c r="P552" s="294"/>
      <c r="Q552" s="294"/>
    </row>
    <row r="553" spans="2:17" x14ac:dyDescent="0.25">
      <c r="B553" s="294"/>
      <c r="C553" s="294"/>
      <c r="D553" s="294"/>
      <c r="E553" s="294"/>
      <c r="F553" s="294"/>
      <c r="G553" s="294"/>
      <c r="H553" s="294"/>
      <c r="I553" s="294"/>
      <c r="J553" s="294"/>
      <c r="L553" s="295"/>
      <c r="M553" s="294"/>
      <c r="P553" s="294"/>
      <c r="Q553" s="294"/>
    </row>
    <row r="554" spans="2:17" x14ac:dyDescent="0.25">
      <c r="B554" s="294"/>
      <c r="C554" s="294"/>
      <c r="D554" s="294"/>
      <c r="E554" s="294"/>
      <c r="F554" s="294"/>
      <c r="G554" s="294"/>
      <c r="H554" s="294"/>
      <c r="I554" s="294"/>
      <c r="J554" s="294"/>
      <c r="L554" s="295"/>
      <c r="M554" s="294"/>
      <c r="P554" s="294"/>
      <c r="Q554" s="294"/>
    </row>
    <row r="555" spans="2:17" x14ac:dyDescent="0.25">
      <c r="B555" s="294"/>
      <c r="C555" s="294"/>
      <c r="D555" s="294"/>
      <c r="E555" s="294"/>
      <c r="F555" s="294"/>
      <c r="G555" s="294"/>
      <c r="H555" s="294"/>
      <c r="I555" s="294"/>
      <c r="J555" s="294"/>
      <c r="L555" s="295"/>
      <c r="M555" s="294"/>
      <c r="P555" s="294"/>
      <c r="Q555" s="294"/>
    </row>
    <row r="556" spans="2:17" x14ac:dyDescent="0.25">
      <c r="B556" s="294"/>
      <c r="C556" s="294"/>
      <c r="D556" s="294"/>
      <c r="E556" s="294"/>
      <c r="F556" s="294"/>
      <c r="G556" s="294"/>
      <c r="H556" s="294"/>
      <c r="I556" s="294"/>
      <c r="J556" s="294"/>
      <c r="L556" s="295"/>
      <c r="M556" s="294"/>
      <c r="P556" s="294"/>
      <c r="Q556" s="294"/>
    </row>
    <row r="557" spans="2:17" x14ac:dyDescent="0.25">
      <c r="B557" s="294"/>
      <c r="C557" s="294"/>
      <c r="D557" s="294"/>
      <c r="E557" s="294"/>
      <c r="F557" s="294"/>
      <c r="G557" s="294"/>
      <c r="H557" s="294"/>
      <c r="I557" s="294"/>
      <c r="J557" s="294"/>
      <c r="L557" s="295"/>
      <c r="M557" s="294"/>
      <c r="P557" s="294"/>
      <c r="Q557" s="294"/>
    </row>
    <row r="558" spans="2:17" x14ac:dyDescent="0.25">
      <c r="B558" s="294"/>
      <c r="C558" s="294"/>
      <c r="D558" s="294"/>
      <c r="E558" s="294"/>
      <c r="F558" s="294"/>
      <c r="G558" s="294"/>
      <c r="H558" s="294"/>
      <c r="I558" s="294"/>
      <c r="J558" s="294"/>
      <c r="L558" s="295"/>
      <c r="M558" s="294"/>
      <c r="P558" s="294"/>
      <c r="Q558" s="294"/>
    </row>
    <row r="559" spans="2:17" x14ac:dyDescent="0.25">
      <c r="B559" s="294"/>
      <c r="C559" s="294"/>
      <c r="D559" s="294"/>
      <c r="E559" s="294"/>
      <c r="F559" s="294"/>
      <c r="G559" s="294"/>
      <c r="H559" s="294"/>
      <c r="I559" s="294"/>
      <c r="J559" s="294"/>
      <c r="L559" s="295"/>
      <c r="M559" s="294"/>
      <c r="P559" s="294"/>
      <c r="Q559" s="294"/>
    </row>
    <row r="560" spans="2:17" x14ac:dyDescent="0.25">
      <c r="B560" s="294"/>
      <c r="C560" s="294"/>
      <c r="D560" s="294"/>
      <c r="E560" s="294"/>
      <c r="F560" s="294"/>
      <c r="G560" s="294"/>
      <c r="H560" s="294"/>
      <c r="I560" s="294"/>
      <c r="J560" s="294"/>
      <c r="L560" s="295"/>
      <c r="M560" s="294"/>
      <c r="P560" s="294"/>
      <c r="Q560" s="294"/>
    </row>
    <row r="561" spans="2:17" x14ac:dyDescent="0.25">
      <c r="B561" s="294"/>
      <c r="C561" s="294"/>
      <c r="D561" s="294"/>
      <c r="E561" s="294"/>
      <c r="F561" s="294"/>
      <c r="G561" s="294"/>
      <c r="H561" s="294"/>
      <c r="I561" s="294"/>
      <c r="J561" s="294"/>
      <c r="L561" s="295"/>
      <c r="M561" s="294"/>
      <c r="P561" s="294"/>
      <c r="Q561" s="294"/>
    </row>
    <row r="562" spans="2:17" x14ac:dyDescent="0.25">
      <c r="B562" s="294"/>
      <c r="C562" s="294"/>
      <c r="D562" s="294"/>
      <c r="E562" s="294"/>
      <c r="F562" s="294"/>
      <c r="G562" s="294"/>
      <c r="H562" s="294"/>
      <c r="I562" s="294"/>
      <c r="J562" s="294"/>
      <c r="L562" s="295"/>
      <c r="M562" s="294"/>
      <c r="P562" s="294"/>
      <c r="Q562" s="294"/>
    </row>
    <row r="563" spans="2:17" x14ac:dyDescent="0.25">
      <c r="B563" s="294"/>
      <c r="C563" s="294"/>
      <c r="D563" s="294"/>
      <c r="E563" s="294"/>
      <c r="F563" s="294"/>
      <c r="G563" s="294"/>
      <c r="H563" s="294"/>
      <c r="I563" s="294"/>
      <c r="J563" s="294"/>
      <c r="L563" s="295"/>
      <c r="M563" s="294"/>
      <c r="P563" s="294"/>
      <c r="Q563" s="294"/>
    </row>
    <row r="564" spans="2:17" x14ac:dyDescent="0.25">
      <c r="B564" s="294"/>
      <c r="C564" s="294"/>
      <c r="D564" s="294"/>
      <c r="E564" s="294"/>
      <c r="F564" s="294"/>
      <c r="G564" s="294"/>
      <c r="H564" s="294"/>
      <c r="I564" s="294"/>
      <c r="J564" s="294"/>
      <c r="L564" s="295"/>
      <c r="M564" s="294"/>
      <c r="P564" s="294"/>
      <c r="Q564" s="294"/>
    </row>
    <row r="565" spans="2:17" x14ac:dyDescent="0.25">
      <c r="B565" s="294"/>
      <c r="C565" s="294"/>
      <c r="D565" s="294"/>
      <c r="E565" s="294"/>
      <c r="F565" s="294"/>
      <c r="G565" s="294"/>
      <c r="H565" s="294"/>
      <c r="I565" s="294"/>
      <c r="J565" s="294"/>
      <c r="L565" s="295"/>
      <c r="M565" s="294"/>
      <c r="P565" s="294"/>
      <c r="Q565" s="294"/>
    </row>
    <row r="566" spans="2:17" x14ac:dyDescent="0.25">
      <c r="B566" s="294"/>
      <c r="C566" s="294"/>
      <c r="D566" s="294"/>
      <c r="E566" s="294"/>
      <c r="F566" s="294"/>
      <c r="G566" s="294"/>
      <c r="H566" s="294"/>
      <c r="I566" s="294"/>
      <c r="J566" s="294"/>
      <c r="L566" s="295"/>
      <c r="M566" s="294"/>
      <c r="P566" s="294"/>
      <c r="Q566" s="294"/>
    </row>
    <row r="567" spans="2:17" x14ac:dyDescent="0.25">
      <c r="B567" s="294"/>
      <c r="C567" s="294"/>
      <c r="D567" s="294"/>
      <c r="E567" s="294"/>
      <c r="F567" s="294"/>
      <c r="G567" s="294"/>
      <c r="H567" s="294"/>
      <c r="I567" s="294"/>
      <c r="J567" s="294"/>
      <c r="L567" s="295"/>
      <c r="M567" s="294"/>
      <c r="P567" s="294"/>
      <c r="Q567" s="294"/>
    </row>
    <row r="568" spans="2:17" x14ac:dyDescent="0.25">
      <c r="B568" s="294"/>
      <c r="C568" s="294"/>
      <c r="D568" s="294"/>
      <c r="E568" s="294"/>
      <c r="F568" s="294"/>
      <c r="G568" s="294"/>
      <c r="H568" s="294"/>
      <c r="I568" s="294"/>
      <c r="J568" s="294"/>
      <c r="L568" s="295"/>
      <c r="M568" s="294"/>
      <c r="P568" s="294"/>
      <c r="Q568" s="294"/>
    </row>
    <row r="569" spans="2:17" x14ac:dyDescent="0.25">
      <c r="B569" s="294"/>
      <c r="C569" s="294"/>
      <c r="D569" s="294"/>
      <c r="E569" s="294"/>
      <c r="F569" s="294"/>
      <c r="G569" s="294"/>
      <c r="H569" s="294"/>
      <c r="I569" s="294"/>
      <c r="J569" s="294"/>
      <c r="L569" s="295"/>
      <c r="M569" s="294"/>
      <c r="P569" s="294"/>
      <c r="Q569" s="294"/>
    </row>
    <row r="570" spans="2:17" x14ac:dyDescent="0.25">
      <c r="B570" s="294"/>
      <c r="C570" s="294"/>
      <c r="D570" s="294"/>
      <c r="E570" s="294"/>
      <c r="F570" s="294"/>
      <c r="G570" s="294"/>
      <c r="H570" s="294"/>
      <c r="I570" s="294"/>
      <c r="J570" s="294"/>
      <c r="L570" s="295"/>
      <c r="M570" s="294"/>
      <c r="P570" s="294"/>
      <c r="Q570" s="294"/>
    </row>
    <row r="571" spans="2:17" x14ac:dyDescent="0.25">
      <c r="B571" s="294"/>
      <c r="C571" s="294"/>
      <c r="D571" s="294"/>
      <c r="E571" s="294"/>
      <c r="F571" s="294"/>
      <c r="G571" s="294"/>
      <c r="H571" s="294"/>
      <c r="I571" s="294"/>
      <c r="J571" s="294"/>
      <c r="L571" s="295"/>
      <c r="M571" s="294"/>
      <c r="P571" s="294"/>
      <c r="Q571" s="294"/>
    </row>
    <row r="572" spans="2:17" x14ac:dyDescent="0.25">
      <c r="B572" s="294"/>
      <c r="C572" s="294"/>
      <c r="D572" s="294"/>
      <c r="E572" s="294"/>
      <c r="F572" s="294"/>
      <c r="G572" s="294"/>
      <c r="H572" s="294"/>
      <c r="I572" s="294"/>
      <c r="J572" s="294"/>
      <c r="L572" s="295"/>
      <c r="M572" s="294"/>
      <c r="P572" s="294"/>
      <c r="Q572" s="294"/>
    </row>
    <row r="573" spans="2:17" x14ac:dyDescent="0.25">
      <c r="B573" s="294"/>
      <c r="C573" s="294"/>
      <c r="D573" s="294"/>
      <c r="E573" s="294"/>
      <c r="F573" s="294"/>
      <c r="G573" s="294"/>
      <c r="H573" s="294"/>
      <c r="I573" s="294"/>
      <c r="J573" s="294"/>
      <c r="L573" s="295"/>
      <c r="M573" s="294"/>
      <c r="P573" s="294"/>
      <c r="Q573" s="294"/>
    </row>
    <row r="574" spans="2:17" x14ac:dyDescent="0.25">
      <c r="B574" s="294"/>
      <c r="C574" s="294"/>
      <c r="D574" s="294"/>
      <c r="E574" s="294"/>
      <c r="F574" s="294"/>
      <c r="G574" s="294"/>
      <c r="H574" s="294"/>
      <c r="I574" s="294"/>
      <c r="J574" s="294"/>
      <c r="L574" s="295"/>
      <c r="M574" s="294"/>
      <c r="P574" s="294"/>
      <c r="Q574" s="294"/>
    </row>
    <row r="575" spans="2:17" x14ac:dyDescent="0.25">
      <c r="B575" s="294"/>
      <c r="C575" s="294"/>
      <c r="D575" s="294"/>
      <c r="E575" s="294"/>
      <c r="F575" s="294"/>
      <c r="G575" s="294"/>
      <c r="H575" s="294"/>
      <c r="I575" s="294"/>
      <c r="J575" s="294"/>
      <c r="L575" s="295"/>
      <c r="M575" s="294"/>
      <c r="P575" s="294"/>
      <c r="Q575" s="294"/>
    </row>
    <row r="576" spans="2:17" x14ac:dyDescent="0.25">
      <c r="B576" s="294"/>
      <c r="C576" s="294"/>
      <c r="D576" s="294"/>
      <c r="E576" s="294"/>
      <c r="F576" s="294"/>
      <c r="G576" s="294"/>
      <c r="H576" s="294"/>
      <c r="I576" s="294"/>
      <c r="J576" s="294"/>
      <c r="L576" s="295"/>
      <c r="M576" s="294"/>
      <c r="P576" s="294"/>
      <c r="Q576" s="294"/>
    </row>
    <row r="577" spans="2:17" x14ac:dyDescent="0.25">
      <c r="B577" s="294"/>
      <c r="C577" s="294"/>
      <c r="D577" s="294"/>
      <c r="E577" s="294"/>
      <c r="F577" s="294"/>
      <c r="G577" s="294"/>
      <c r="H577" s="294"/>
      <c r="I577" s="294"/>
      <c r="J577" s="294"/>
      <c r="L577" s="295"/>
      <c r="M577" s="294"/>
      <c r="P577" s="294"/>
      <c r="Q577" s="294"/>
    </row>
    <row r="578" spans="2:17" x14ac:dyDescent="0.25">
      <c r="B578" s="294"/>
      <c r="C578" s="294"/>
      <c r="D578" s="294"/>
      <c r="E578" s="294"/>
      <c r="F578" s="294"/>
      <c r="G578" s="294"/>
      <c r="H578" s="294"/>
      <c r="I578" s="294"/>
      <c r="J578" s="294"/>
      <c r="L578" s="295"/>
      <c r="M578" s="294"/>
      <c r="P578" s="294"/>
      <c r="Q578" s="294"/>
    </row>
    <row r="579" spans="2:17" x14ac:dyDescent="0.25">
      <c r="B579" s="294"/>
      <c r="C579" s="294"/>
      <c r="D579" s="294"/>
      <c r="E579" s="294"/>
      <c r="F579" s="294"/>
      <c r="G579" s="294"/>
      <c r="H579" s="294"/>
      <c r="I579" s="294"/>
      <c r="J579" s="294"/>
      <c r="L579" s="295"/>
      <c r="M579" s="294"/>
      <c r="P579" s="294"/>
      <c r="Q579" s="294"/>
    </row>
    <row r="580" spans="2:17" x14ac:dyDescent="0.25">
      <c r="B580" s="294"/>
      <c r="C580" s="294"/>
      <c r="D580" s="294"/>
      <c r="E580" s="294"/>
      <c r="F580" s="294"/>
      <c r="G580" s="294"/>
      <c r="H580" s="294"/>
      <c r="I580" s="294"/>
      <c r="J580" s="294"/>
      <c r="L580" s="295"/>
      <c r="M580" s="294"/>
      <c r="P580" s="294"/>
      <c r="Q580" s="294"/>
    </row>
    <row r="581" spans="2:17" x14ac:dyDescent="0.25">
      <c r="B581" s="294"/>
      <c r="C581" s="294"/>
      <c r="D581" s="294"/>
      <c r="E581" s="294"/>
      <c r="F581" s="294"/>
      <c r="G581" s="294"/>
      <c r="H581" s="294"/>
      <c r="I581" s="294"/>
      <c r="J581" s="294"/>
      <c r="L581" s="295"/>
      <c r="M581" s="294"/>
      <c r="P581" s="294"/>
      <c r="Q581" s="294"/>
    </row>
    <row r="582" spans="2:17" x14ac:dyDescent="0.25">
      <c r="B582" s="294"/>
      <c r="C582" s="294"/>
      <c r="D582" s="294"/>
      <c r="E582" s="294"/>
      <c r="F582" s="294"/>
      <c r="G582" s="294"/>
      <c r="H582" s="294"/>
      <c r="I582" s="294"/>
      <c r="J582" s="294"/>
      <c r="L582" s="295"/>
      <c r="M582" s="294"/>
      <c r="P582" s="294"/>
      <c r="Q582" s="294"/>
    </row>
    <row r="583" spans="2:17" x14ac:dyDescent="0.25">
      <c r="B583" s="294"/>
      <c r="C583" s="294"/>
      <c r="D583" s="294"/>
      <c r="E583" s="294"/>
      <c r="F583" s="294"/>
      <c r="G583" s="294"/>
      <c r="H583" s="294"/>
      <c r="I583" s="294"/>
      <c r="J583" s="294"/>
      <c r="L583" s="295"/>
      <c r="M583" s="294"/>
      <c r="P583" s="294"/>
      <c r="Q583" s="294"/>
    </row>
    <row r="584" spans="2:17" x14ac:dyDescent="0.25">
      <c r="B584" s="294"/>
      <c r="C584" s="294"/>
      <c r="D584" s="294"/>
      <c r="E584" s="294"/>
      <c r="F584" s="294"/>
      <c r="G584" s="294"/>
      <c r="H584" s="294"/>
      <c r="I584" s="294"/>
      <c r="J584" s="294"/>
      <c r="L584" s="295"/>
      <c r="M584" s="294"/>
      <c r="P584" s="294"/>
      <c r="Q584" s="294"/>
    </row>
    <row r="585" spans="2:17" x14ac:dyDescent="0.25">
      <c r="B585" s="294"/>
      <c r="C585" s="294"/>
      <c r="D585" s="294"/>
      <c r="E585" s="294"/>
      <c r="F585" s="294"/>
      <c r="G585" s="294"/>
      <c r="H585" s="294"/>
      <c r="I585" s="294"/>
      <c r="J585" s="294"/>
      <c r="L585" s="295"/>
      <c r="M585" s="294"/>
      <c r="P585" s="294"/>
      <c r="Q585" s="294"/>
    </row>
    <row r="586" spans="2:17" x14ac:dyDescent="0.25">
      <c r="B586" s="294"/>
      <c r="C586" s="294"/>
      <c r="D586" s="294"/>
      <c r="E586" s="294"/>
      <c r="F586" s="294"/>
      <c r="G586" s="294"/>
      <c r="H586" s="294"/>
      <c r="I586" s="294"/>
      <c r="J586" s="294"/>
      <c r="L586" s="295"/>
      <c r="M586" s="294"/>
      <c r="P586" s="294"/>
      <c r="Q586" s="294"/>
    </row>
    <row r="587" spans="2:17" x14ac:dyDescent="0.25">
      <c r="B587" s="294"/>
      <c r="C587" s="294"/>
      <c r="D587" s="294"/>
      <c r="E587" s="294"/>
      <c r="F587" s="294"/>
      <c r="G587" s="294"/>
      <c r="H587" s="294"/>
      <c r="I587" s="294"/>
      <c r="J587" s="294"/>
      <c r="L587" s="295"/>
      <c r="M587" s="294"/>
      <c r="P587" s="294"/>
      <c r="Q587" s="294"/>
    </row>
    <row r="588" spans="2:17" x14ac:dyDescent="0.25">
      <c r="B588" s="294"/>
      <c r="C588" s="294"/>
      <c r="D588" s="294"/>
      <c r="E588" s="294"/>
      <c r="F588" s="294"/>
      <c r="G588" s="294"/>
      <c r="H588" s="294"/>
      <c r="I588" s="294"/>
      <c r="J588" s="294"/>
      <c r="L588" s="295"/>
      <c r="M588" s="294"/>
      <c r="P588" s="294"/>
      <c r="Q588" s="294"/>
    </row>
    <row r="589" spans="2:17" x14ac:dyDescent="0.25">
      <c r="B589" s="294"/>
      <c r="C589" s="294"/>
      <c r="D589" s="294"/>
      <c r="E589" s="294"/>
      <c r="F589" s="294"/>
      <c r="G589" s="294"/>
      <c r="H589" s="294"/>
      <c r="I589" s="294"/>
      <c r="J589" s="294"/>
      <c r="L589" s="295"/>
      <c r="M589" s="294"/>
      <c r="P589" s="294"/>
      <c r="Q589" s="294"/>
    </row>
    <row r="590" spans="2:17" x14ac:dyDescent="0.25">
      <c r="B590" s="294"/>
      <c r="C590" s="294"/>
      <c r="D590" s="294"/>
      <c r="E590" s="294"/>
      <c r="F590" s="294"/>
      <c r="G590" s="294"/>
      <c r="H590" s="294"/>
      <c r="I590" s="294"/>
      <c r="J590" s="294"/>
      <c r="L590" s="295"/>
      <c r="M590" s="294"/>
      <c r="P590" s="294"/>
      <c r="Q590" s="294"/>
    </row>
    <row r="591" spans="2:17" x14ac:dyDescent="0.25">
      <c r="B591" s="294"/>
      <c r="C591" s="294"/>
      <c r="D591" s="294"/>
      <c r="E591" s="294"/>
      <c r="F591" s="294"/>
      <c r="G591" s="294"/>
      <c r="H591" s="294"/>
      <c r="I591" s="294"/>
      <c r="J591" s="294"/>
      <c r="L591" s="295"/>
      <c r="M591" s="294"/>
      <c r="P591" s="294"/>
      <c r="Q591" s="294"/>
    </row>
    <row r="592" spans="2:17" x14ac:dyDescent="0.25">
      <c r="B592" s="294"/>
      <c r="C592" s="294"/>
      <c r="D592" s="294"/>
      <c r="E592" s="294"/>
      <c r="F592" s="294"/>
      <c r="G592" s="294"/>
      <c r="H592" s="294"/>
      <c r="I592" s="294"/>
      <c r="J592" s="294"/>
      <c r="L592" s="295"/>
      <c r="M592" s="294"/>
      <c r="P592" s="294"/>
      <c r="Q592" s="294"/>
    </row>
    <row r="593" spans="2:17" x14ac:dyDescent="0.25">
      <c r="B593" s="294"/>
      <c r="C593" s="294"/>
      <c r="D593" s="294"/>
      <c r="E593" s="294"/>
      <c r="F593" s="294"/>
      <c r="G593" s="294"/>
      <c r="H593" s="294"/>
      <c r="I593" s="294"/>
      <c r="J593" s="294"/>
      <c r="L593" s="295"/>
      <c r="M593" s="294"/>
      <c r="P593" s="294"/>
      <c r="Q593" s="294"/>
    </row>
    <row r="594" spans="2:17" x14ac:dyDescent="0.25">
      <c r="B594" s="294"/>
      <c r="C594" s="294"/>
      <c r="D594" s="294"/>
      <c r="E594" s="294"/>
      <c r="F594" s="294"/>
      <c r="G594" s="294"/>
      <c r="H594" s="294"/>
      <c r="I594" s="294"/>
      <c r="J594" s="294"/>
      <c r="L594" s="295"/>
      <c r="M594" s="294"/>
      <c r="P594" s="294"/>
      <c r="Q594" s="294"/>
    </row>
    <row r="595" spans="2:17" x14ac:dyDescent="0.25">
      <c r="B595" s="294"/>
      <c r="C595" s="294"/>
      <c r="D595" s="294"/>
      <c r="E595" s="294"/>
      <c r="F595" s="294"/>
      <c r="G595" s="294"/>
      <c r="H595" s="294"/>
      <c r="I595" s="294"/>
      <c r="J595" s="294"/>
      <c r="L595" s="295"/>
      <c r="M595" s="294"/>
      <c r="P595" s="294"/>
      <c r="Q595" s="294"/>
    </row>
    <row r="596" spans="2:17" x14ac:dyDescent="0.25">
      <c r="B596" s="294"/>
      <c r="C596" s="294"/>
      <c r="D596" s="294"/>
      <c r="E596" s="294"/>
      <c r="F596" s="294"/>
      <c r="G596" s="294"/>
      <c r="H596" s="294"/>
      <c r="I596" s="294"/>
      <c r="J596" s="294"/>
      <c r="L596" s="295"/>
      <c r="M596" s="294"/>
      <c r="P596" s="294"/>
      <c r="Q596" s="294"/>
    </row>
    <row r="597" spans="2:17" x14ac:dyDescent="0.25">
      <c r="B597" s="294"/>
      <c r="C597" s="294"/>
      <c r="D597" s="294"/>
      <c r="E597" s="294"/>
      <c r="F597" s="294"/>
      <c r="G597" s="294"/>
      <c r="H597" s="294"/>
      <c r="I597" s="294"/>
      <c r="J597" s="294"/>
      <c r="L597" s="295"/>
      <c r="M597" s="294"/>
      <c r="P597" s="294"/>
      <c r="Q597" s="294"/>
    </row>
    <row r="598" spans="2:17" x14ac:dyDescent="0.25">
      <c r="B598" s="294"/>
      <c r="C598" s="294"/>
      <c r="D598" s="294"/>
      <c r="E598" s="294"/>
      <c r="F598" s="294"/>
      <c r="G598" s="294"/>
      <c r="H598" s="294"/>
      <c r="I598" s="294"/>
      <c r="J598" s="294"/>
      <c r="L598" s="295"/>
      <c r="M598" s="294"/>
      <c r="P598" s="294"/>
      <c r="Q598" s="294"/>
    </row>
    <row r="599" spans="2:17" x14ac:dyDescent="0.25">
      <c r="B599" s="294"/>
      <c r="C599" s="294"/>
      <c r="D599" s="294"/>
      <c r="E599" s="294"/>
      <c r="F599" s="294"/>
      <c r="G599" s="294"/>
      <c r="H599" s="294"/>
      <c r="I599" s="294"/>
      <c r="J599" s="294"/>
      <c r="L599" s="295"/>
      <c r="M599" s="294"/>
      <c r="P599" s="294"/>
      <c r="Q599" s="294"/>
    </row>
    <row r="600" spans="2:17" x14ac:dyDescent="0.25">
      <c r="B600" s="294"/>
      <c r="C600" s="294"/>
      <c r="D600" s="294"/>
      <c r="E600" s="294"/>
      <c r="F600" s="294"/>
      <c r="G600" s="294"/>
      <c r="H600" s="294"/>
      <c r="I600" s="294"/>
      <c r="J600" s="294"/>
      <c r="L600" s="295"/>
      <c r="M600" s="294"/>
      <c r="P600" s="294"/>
      <c r="Q600" s="294"/>
    </row>
    <row r="601" spans="2:17" x14ac:dyDescent="0.25">
      <c r="B601" s="294"/>
      <c r="C601" s="294"/>
      <c r="D601" s="294"/>
      <c r="E601" s="294"/>
      <c r="F601" s="294"/>
      <c r="G601" s="294"/>
      <c r="H601" s="294"/>
      <c r="I601" s="294"/>
      <c r="J601" s="294"/>
      <c r="L601" s="295"/>
      <c r="M601" s="294"/>
      <c r="P601" s="294"/>
      <c r="Q601" s="294"/>
    </row>
    <row r="602" spans="2:17" x14ac:dyDescent="0.25">
      <c r="B602" s="294"/>
      <c r="C602" s="294"/>
      <c r="D602" s="294"/>
      <c r="E602" s="294"/>
      <c r="F602" s="294"/>
      <c r="G602" s="294"/>
      <c r="H602" s="294"/>
      <c r="I602" s="294"/>
      <c r="J602" s="294"/>
      <c r="L602" s="295"/>
      <c r="M602" s="294"/>
      <c r="P602" s="294"/>
      <c r="Q602" s="294"/>
    </row>
    <row r="603" spans="2:17" x14ac:dyDescent="0.25">
      <c r="B603" s="294"/>
      <c r="C603" s="294"/>
      <c r="D603" s="294"/>
      <c r="E603" s="294"/>
      <c r="F603" s="294"/>
      <c r="G603" s="294"/>
      <c r="H603" s="294"/>
      <c r="I603" s="294"/>
      <c r="J603" s="294"/>
      <c r="L603" s="295"/>
      <c r="M603" s="294"/>
      <c r="P603" s="294"/>
      <c r="Q603" s="294"/>
    </row>
    <row r="604" spans="2:17" x14ac:dyDescent="0.25">
      <c r="B604" s="294"/>
      <c r="C604" s="294"/>
      <c r="D604" s="294"/>
      <c r="E604" s="294"/>
      <c r="F604" s="294"/>
      <c r="G604" s="294"/>
      <c r="H604" s="294"/>
      <c r="I604" s="294"/>
      <c r="J604" s="294"/>
      <c r="L604" s="295"/>
      <c r="M604" s="294"/>
      <c r="P604" s="294"/>
      <c r="Q604" s="294"/>
    </row>
    <row r="605" spans="2:17" x14ac:dyDescent="0.25">
      <c r="B605" s="294"/>
      <c r="C605" s="294"/>
      <c r="D605" s="294"/>
      <c r="E605" s="294"/>
      <c r="F605" s="294"/>
      <c r="G605" s="294"/>
      <c r="H605" s="294"/>
      <c r="I605" s="294"/>
      <c r="J605" s="294"/>
      <c r="L605" s="295"/>
      <c r="M605" s="294"/>
      <c r="P605" s="294"/>
      <c r="Q605" s="294"/>
    </row>
    <row r="606" spans="2:17" x14ac:dyDescent="0.25">
      <c r="B606" s="294"/>
      <c r="C606" s="294"/>
      <c r="D606" s="294"/>
      <c r="E606" s="294"/>
      <c r="F606" s="294"/>
      <c r="G606" s="294"/>
      <c r="H606" s="294"/>
      <c r="I606" s="294"/>
      <c r="J606" s="294"/>
      <c r="L606" s="295"/>
      <c r="M606" s="294"/>
      <c r="P606" s="294"/>
      <c r="Q606" s="294"/>
    </row>
    <row r="607" spans="2:17" x14ac:dyDescent="0.25">
      <c r="B607" s="294"/>
      <c r="C607" s="294"/>
      <c r="D607" s="294"/>
      <c r="E607" s="294"/>
      <c r="F607" s="294"/>
      <c r="G607" s="294"/>
      <c r="H607" s="294"/>
      <c r="I607" s="294"/>
      <c r="J607" s="294"/>
      <c r="L607" s="295"/>
      <c r="M607" s="294"/>
      <c r="P607" s="294"/>
      <c r="Q607" s="294"/>
    </row>
    <row r="608" spans="2:17" x14ac:dyDescent="0.25">
      <c r="B608" s="294"/>
      <c r="C608" s="294"/>
      <c r="D608" s="294"/>
      <c r="E608" s="294"/>
      <c r="F608" s="294"/>
      <c r="G608" s="294"/>
      <c r="H608" s="294"/>
      <c r="I608" s="294"/>
      <c r="J608" s="294"/>
      <c r="L608" s="295"/>
      <c r="M608" s="294"/>
      <c r="P608" s="294"/>
      <c r="Q608" s="294"/>
    </row>
    <row r="609" spans="2:17" x14ac:dyDescent="0.25">
      <c r="B609" s="294"/>
      <c r="C609" s="294"/>
      <c r="D609" s="294"/>
      <c r="E609" s="294"/>
      <c r="F609" s="294"/>
      <c r="G609" s="294"/>
      <c r="H609" s="294"/>
      <c r="I609" s="294"/>
      <c r="J609" s="294"/>
      <c r="L609" s="295"/>
      <c r="M609" s="294"/>
      <c r="P609" s="294"/>
      <c r="Q609" s="294"/>
    </row>
    <row r="610" spans="2:17" x14ac:dyDescent="0.25">
      <c r="B610" s="294"/>
      <c r="C610" s="294"/>
      <c r="D610" s="294"/>
      <c r="E610" s="294"/>
      <c r="F610" s="294"/>
      <c r="G610" s="294"/>
      <c r="H610" s="294"/>
      <c r="I610" s="294"/>
      <c r="J610" s="294"/>
      <c r="L610" s="295"/>
      <c r="M610" s="294"/>
      <c r="P610" s="294"/>
      <c r="Q610" s="294"/>
    </row>
    <row r="611" spans="2:17" x14ac:dyDescent="0.25">
      <c r="B611" s="294"/>
      <c r="C611" s="294"/>
      <c r="D611" s="294"/>
      <c r="E611" s="294"/>
      <c r="F611" s="294"/>
      <c r="G611" s="294"/>
      <c r="H611" s="294"/>
      <c r="I611" s="294"/>
      <c r="J611" s="294"/>
      <c r="L611" s="295"/>
      <c r="M611" s="294"/>
      <c r="P611" s="294"/>
      <c r="Q611" s="294"/>
    </row>
    <row r="612" spans="2:17" x14ac:dyDescent="0.25">
      <c r="B612" s="294"/>
      <c r="C612" s="294"/>
      <c r="D612" s="294"/>
      <c r="E612" s="294"/>
      <c r="F612" s="294"/>
      <c r="G612" s="294"/>
      <c r="H612" s="294"/>
      <c r="I612" s="294"/>
      <c r="J612" s="294"/>
      <c r="L612" s="295"/>
      <c r="M612" s="294"/>
      <c r="P612" s="294"/>
      <c r="Q612" s="294"/>
    </row>
    <row r="613" spans="2:17" x14ac:dyDescent="0.25">
      <c r="B613" s="294"/>
      <c r="C613" s="294"/>
      <c r="D613" s="294"/>
      <c r="E613" s="294"/>
      <c r="F613" s="294"/>
      <c r="G613" s="294"/>
      <c r="H613" s="294"/>
      <c r="I613" s="294"/>
      <c r="J613" s="294"/>
      <c r="L613" s="295"/>
      <c r="M613" s="294"/>
      <c r="P613" s="294"/>
      <c r="Q613" s="294"/>
    </row>
    <row r="614" spans="2:17" x14ac:dyDescent="0.25">
      <c r="B614" s="294"/>
      <c r="C614" s="294"/>
      <c r="D614" s="294"/>
      <c r="E614" s="294"/>
      <c r="F614" s="294"/>
      <c r="G614" s="294"/>
      <c r="H614" s="294"/>
      <c r="I614" s="294"/>
      <c r="J614" s="294"/>
      <c r="L614" s="295"/>
      <c r="M614" s="294"/>
      <c r="P614" s="294"/>
      <c r="Q614" s="294"/>
    </row>
    <row r="615" spans="2:17" x14ac:dyDescent="0.25">
      <c r="B615" s="294"/>
      <c r="C615" s="294"/>
      <c r="D615" s="294"/>
      <c r="E615" s="294"/>
      <c r="F615" s="294"/>
      <c r="G615" s="294"/>
      <c r="H615" s="294"/>
      <c r="I615" s="294"/>
      <c r="J615" s="294"/>
      <c r="L615" s="295"/>
      <c r="M615" s="294"/>
      <c r="P615" s="294"/>
      <c r="Q615" s="294"/>
    </row>
    <row r="616" spans="2:17" x14ac:dyDescent="0.25">
      <c r="B616" s="294"/>
      <c r="C616" s="294"/>
      <c r="D616" s="294"/>
      <c r="E616" s="294"/>
      <c r="F616" s="294"/>
      <c r="G616" s="294"/>
      <c r="H616" s="294"/>
      <c r="I616" s="294"/>
      <c r="J616" s="294"/>
      <c r="L616" s="295"/>
      <c r="M616" s="294"/>
      <c r="P616" s="294"/>
      <c r="Q616" s="294"/>
    </row>
    <row r="617" spans="2:17" x14ac:dyDescent="0.25">
      <c r="B617" s="294"/>
      <c r="C617" s="294"/>
      <c r="D617" s="294"/>
      <c r="E617" s="294"/>
      <c r="F617" s="294"/>
      <c r="G617" s="294"/>
      <c r="H617" s="294"/>
      <c r="I617" s="294"/>
      <c r="J617" s="294"/>
      <c r="L617" s="295"/>
      <c r="M617" s="294"/>
      <c r="P617" s="294"/>
      <c r="Q617" s="294"/>
    </row>
    <row r="618" spans="2:17" x14ac:dyDescent="0.25">
      <c r="B618" s="294"/>
      <c r="C618" s="294"/>
      <c r="D618" s="294"/>
      <c r="E618" s="294"/>
      <c r="F618" s="294"/>
      <c r="G618" s="294"/>
      <c r="H618" s="294"/>
      <c r="I618" s="294"/>
      <c r="J618" s="294"/>
      <c r="L618" s="295"/>
      <c r="M618" s="294"/>
      <c r="P618" s="294"/>
      <c r="Q618" s="294"/>
    </row>
    <row r="619" spans="2:17" x14ac:dyDescent="0.25">
      <c r="B619" s="294"/>
      <c r="C619" s="294"/>
      <c r="D619" s="294"/>
      <c r="E619" s="294"/>
      <c r="F619" s="294"/>
      <c r="G619" s="294"/>
      <c r="H619" s="294"/>
      <c r="I619" s="294"/>
      <c r="J619" s="294"/>
      <c r="L619" s="295"/>
      <c r="M619" s="294"/>
      <c r="P619" s="294"/>
      <c r="Q619" s="294"/>
    </row>
    <row r="620" spans="2:17" x14ac:dyDescent="0.25">
      <c r="B620" s="294"/>
      <c r="C620" s="294"/>
      <c r="D620" s="294"/>
      <c r="E620" s="294"/>
      <c r="F620" s="294"/>
      <c r="G620" s="294"/>
      <c r="H620" s="294"/>
      <c r="I620" s="294"/>
      <c r="J620" s="294"/>
      <c r="L620" s="295"/>
      <c r="M620" s="294"/>
      <c r="P620" s="294"/>
      <c r="Q620" s="294"/>
    </row>
    <row r="621" spans="2:17" x14ac:dyDescent="0.25">
      <c r="B621" s="294"/>
      <c r="C621" s="294"/>
      <c r="D621" s="294"/>
      <c r="E621" s="294"/>
      <c r="F621" s="294"/>
      <c r="G621" s="294"/>
      <c r="H621" s="294"/>
      <c r="I621" s="294"/>
      <c r="J621" s="294"/>
      <c r="L621" s="295"/>
      <c r="M621" s="294"/>
      <c r="P621" s="294"/>
      <c r="Q621" s="294"/>
    </row>
    <row r="622" spans="2:17" x14ac:dyDescent="0.25">
      <c r="B622" s="294"/>
      <c r="C622" s="294"/>
      <c r="D622" s="294"/>
      <c r="E622" s="294"/>
      <c r="F622" s="294"/>
      <c r="G622" s="294"/>
      <c r="H622" s="294"/>
      <c r="I622" s="294"/>
      <c r="J622" s="294"/>
      <c r="L622" s="295"/>
      <c r="M622" s="294"/>
      <c r="P622" s="294"/>
      <c r="Q622" s="294"/>
    </row>
    <row r="623" spans="2:17" x14ac:dyDescent="0.25">
      <c r="B623" s="294"/>
      <c r="C623" s="294"/>
      <c r="D623" s="294"/>
      <c r="E623" s="294"/>
      <c r="F623" s="294"/>
      <c r="G623" s="294"/>
      <c r="H623" s="294"/>
      <c r="I623" s="294"/>
      <c r="J623" s="294"/>
      <c r="L623" s="295"/>
      <c r="M623" s="294"/>
      <c r="P623" s="294"/>
      <c r="Q623" s="294"/>
    </row>
    <row r="624" spans="2:17" x14ac:dyDescent="0.25">
      <c r="B624" s="294"/>
      <c r="C624" s="294"/>
      <c r="D624" s="294"/>
      <c r="E624" s="294"/>
      <c r="F624" s="294"/>
      <c r="G624" s="294"/>
      <c r="H624" s="294"/>
      <c r="I624" s="294"/>
      <c r="J624" s="294"/>
      <c r="L624" s="295"/>
      <c r="M624" s="294"/>
      <c r="P624" s="294"/>
      <c r="Q624" s="294"/>
    </row>
    <row r="625" spans="2:17" x14ac:dyDescent="0.25">
      <c r="B625" s="294"/>
      <c r="C625" s="294"/>
      <c r="D625" s="294"/>
      <c r="E625" s="294"/>
      <c r="F625" s="294"/>
      <c r="G625" s="294"/>
      <c r="H625" s="294"/>
      <c r="I625" s="294"/>
      <c r="J625" s="294"/>
      <c r="L625" s="295"/>
      <c r="M625" s="294"/>
      <c r="P625" s="294"/>
      <c r="Q625" s="294"/>
    </row>
    <row r="626" spans="2:17" x14ac:dyDescent="0.25">
      <c r="B626" s="294"/>
      <c r="C626" s="294"/>
      <c r="D626" s="294"/>
      <c r="E626" s="294"/>
      <c r="F626" s="294"/>
      <c r="G626" s="294"/>
      <c r="H626" s="294"/>
      <c r="I626" s="294"/>
      <c r="J626" s="294"/>
      <c r="L626" s="295"/>
      <c r="M626" s="294"/>
      <c r="P626" s="294"/>
      <c r="Q626" s="294"/>
    </row>
    <row r="627" spans="2:17" x14ac:dyDescent="0.25">
      <c r="B627" s="294"/>
      <c r="C627" s="294"/>
      <c r="D627" s="294"/>
      <c r="E627" s="294"/>
      <c r="F627" s="294"/>
      <c r="G627" s="294"/>
      <c r="H627" s="294"/>
      <c r="I627" s="294"/>
      <c r="J627" s="294"/>
      <c r="L627" s="295"/>
      <c r="M627" s="294"/>
      <c r="P627" s="294"/>
      <c r="Q627" s="294"/>
    </row>
    <row r="628" spans="2:17" x14ac:dyDescent="0.25">
      <c r="B628" s="294"/>
      <c r="C628" s="294"/>
      <c r="D628" s="294"/>
      <c r="E628" s="294"/>
      <c r="F628" s="294"/>
      <c r="G628" s="294"/>
      <c r="H628" s="294"/>
      <c r="I628" s="294"/>
      <c r="J628" s="294"/>
      <c r="L628" s="295"/>
      <c r="M628" s="294"/>
      <c r="P628" s="294"/>
      <c r="Q628" s="294"/>
    </row>
    <row r="629" spans="2:17" x14ac:dyDescent="0.25">
      <c r="B629" s="294"/>
      <c r="C629" s="294"/>
      <c r="D629" s="294"/>
      <c r="E629" s="294"/>
      <c r="F629" s="294"/>
      <c r="G629" s="294"/>
      <c r="H629" s="294"/>
      <c r="I629" s="294"/>
      <c r="J629" s="294"/>
      <c r="L629" s="295"/>
      <c r="M629" s="294"/>
      <c r="P629" s="294"/>
      <c r="Q629" s="294"/>
    </row>
    <row r="630" spans="2:17" x14ac:dyDescent="0.25">
      <c r="B630" s="294"/>
      <c r="C630" s="294"/>
      <c r="D630" s="294"/>
      <c r="E630" s="294"/>
      <c r="F630" s="294"/>
      <c r="G630" s="294"/>
      <c r="H630" s="294"/>
      <c r="I630" s="294"/>
      <c r="J630" s="294"/>
      <c r="L630" s="295"/>
      <c r="M630" s="294"/>
      <c r="P630" s="294"/>
      <c r="Q630" s="294"/>
    </row>
    <row r="631" spans="2:17" x14ac:dyDescent="0.25">
      <c r="B631" s="294"/>
      <c r="C631" s="294"/>
      <c r="D631" s="294"/>
      <c r="E631" s="294"/>
      <c r="F631" s="294"/>
      <c r="G631" s="294"/>
      <c r="H631" s="294"/>
      <c r="I631" s="294"/>
      <c r="J631" s="294"/>
      <c r="L631" s="295"/>
      <c r="M631" s="294"/>
      <c r="P631" s="294"/>
      <c r="Q631" s="294"/>
    </row>
    <row r="632" spans="2:17" x14ac:dyDescent="0.25">
      <c r="B632" s="294"/>
      <c r="C632" s="294"/>
      <c r="D632" s="294"/>
      <c r="E632" s="294"/>
      <c r="F632" s="294"/>
      <c r="G632" s="294"/>
      <c r="H632" s="294"/>
      <c r="I632" s="294"/>
      <c r="J632" s="294"/>
      <c r="L632" s="295"/>
      <c r="M632" s="294"/>
      <c r="P632" s="294"/>
      <c r="Q632" s="294"/>
    </row>
    <row r="633" spans="2:17" x14ac:dyDescent="0.25">
      <c r="B633" s="294"/>
      <c r="C633" s="294"/>
      <c r="D633" s="294"/>
      <c r="E633" s="294"/>
      <c r="F633" s="294"/>
      <c r="G633" s="294"/>
      <c r="H633" s="294"/>
      <c r="I633" s="294"/>
      <c r="J633" s="294"/>
      <c r="L633" s="295"/>
      <c r="M633" s="294"/>
      <c r="P633" s="294"/>
      <c r="Q633" s="294"/>
    </row>
    <row r="634" spans="2:17" x14ac:dyDescent="0.25">
      <c r="B634" s="294"/>
      <c r="C634" s="294"/>
      <c r="D634" s="294"/>
      <c r="E634" s="294"/>
      <c r="F634" s="294"/>
      <c r="G634" s="294"/>
      <c r="H634" s="294"/>
      <c r="I634" s="294"/>
      <c r="J634" s="294"/>
      <c r="L634" s="295"/>
      <c r="M634" s="294"/>
      <c r="P634" s="294"/>
      <c r="Q634" s="294"/>
    </row>
    <row r="635" spans="2:17" x14ac:dyDescent="0.25">
      <c r="B635" s="294"/>
      <c r="C635" s="294"/>
      <c r="D635" s="294"/>
      <c r="E635" s="294"/>
      <c r="F635" s="294"/>
      <c r="G635" s="294"/>
      <c r="H635" s="294"/>
      <c r="I635" s="294"/>
      <c r="J635" s="294"/>
      <c r="L635" s="295"/>
      <c r="M635" s="294"/>
      <c r="P635" s="294"/>
      <c r="Q635" s="294"/>
    </row>
    <row r="636" spans="2:17" x14ac:dyDescent="0.25">
      <c r="B636" s="294"/>
      <c r="C636" s="294"/>
      <c r="D636" s="294"/>
      <c r="E636" s="294"/>
      <c r="F636" s="294"/>
      <c r="G636" s="294"/>
      <c r="H636" s="294"/>
      <c r="I636" s="294"/>
      <c r="J636" s="294"/>
      <c r="L636" s="295"/>
      <c r="M636" s="294"/>
      <c r="P636" s="294"/>
      <c r="Q636" s="294"/>
    </row>
    <row r="637" spans="2:17" x14ac:dyDescent="0.25">
      <c r="B637" s="294"/>
      <c r="C637" s="294"/>
      <c r="D637" s="294"/>
      <c r="E637" s="294"/>
      <c r="F637" s="294"/>
      <c r="G637" s="294"/>
      <c r="H637" s="294"/>
      <c r="I637" s="294"/>
      <c r="J637" s="294"/>
      <c r="L637" s="295"/>
      <c r="M637" s="294"/>
      <c r="P637" s="294"/>
      <c r="Q637" s="294"/>
    </row>
    <row r="638" spans="2:17" x14ac:dyDescent="0.25">
      <c r="B638" s="294"/>
      <c r="C638" s="294"/>
      <c r="D638" s="294"/>
      <c r="E638" s="294"/>
      <c r="F638" s="294"/>
      <c r="G638" s="294"/>
      <c r="H638" s="294"/>
      <c r="I638" s="294"/>
      <c r="J638" s="294"/>
      <c r="L638" s="295"/>
      <c r="M638" s="294"/>
      <c r="P638" s="294"/>
      <c r="Q638" s="294"/>
    </row>
    <row r="639" spans="2:17" x14ac:dyDescent="0.25">
      <c r="B639" s="294"/>
      <c r="C639" s="294"/>
      <c r="D639" s="294"/>
      <c r="E639" s="294"/>
      <c r="F639" s="294"/>
      <c r="G639" s="294"/>
      <c r="H639" s="294"/>
      <c r="I639" s="294"/>
      <c r="J639" s="294"/>
      <c r="L639" s="295"/>
      <c r="M639" s="294"/>
      <c r="P639" s="294"/>
      <c r="Q639" s="294"/>
    </row>
    <row r="640" spans="2:17" x14ac:dyDescent="0.25">
      <c r="B640" s="294"/>
      <c r="C640" s="294"/>
      <c r="D640" s="294"/>
      <c r="E640" s="294"/>
      <c r="F640" s="294"/>
      <c r="G640" s="294"/>
      <c r="H640" s="294"/>
      <c r="I640" s="294"/>
      <c r="J640" s="294"/>
      <c r="L640" s="295"/>
      <c r="M640" s="294"/>
      <c r="P640" s="294"/>
      <c r="Q640" s="294"/>
    </row>
    <row r="641" spans="2:17" x14ac:dyDescent="0.25">
      <c r="B641" s="294"/>
      <c r="C641" s="294"/>
      <c r="D641" s="294"/>
      <c r="E641" s="294"/>
      <c r="F641" s="294"/>
      <c r="G641" s="294"/>
      <c r="H641" s="294"/>
      <c r="I641" s="294"/>
      <c r="J641" s="294"/>
      <c r="L641" s="295"/>
      <c r="M641" s="294"/>
      <c r="P641" s="294"/>
      <c r="Q641" s="294"/>
    </row>
    <row r="642" spans="2:17" x14ac:dyDescent="0.25">
      <c r="B642" s="294"/>
      <c r="C642" s="294"/>
      <c r="D642" s="294"/>
      <c r="E642" s="294"/>
      <c r="F642" s="294"/>
      <c r="G642" s="294"/>
      <c r="H642" s="294"/>
      <c r="I642" s="294"/>
      <c r="J642" s="294"/>
      <c r="L642" s="295"/>
      <c r="M642" s="294"/>
      <c r="P642" s="294"/>
      <c r="Q642" s="294"/>
    </row>
    <row r="643" spans="2:17" x14ac:dyDescent="0.25">
      <c r="B643" s="294"/>
      <c r="C643" s="294"/>
      <c r="D643" s="294"/>
      <c r="E643" s="294"/>
      <c r="F643" s="294"/>
      <c r="G643" s="294"/>
      <c r="H643" s="294"/>
      <c r="I643" s="294"/>
      <c r="J643" s="294"/>
      <c r="L643" s="295"/>
      <c r="M643" s="294"/>
      <c r="P643" s="294"/>
      <c r="Q643" s="294"/>
    </row>
    <row r="644" spans="2:17" x14ac:dyDescent="0.25">
      <c r="B644" s="294"/>
      <c r="C644" s="294"/>
      <c r="D644" s="294"/>
      <c r="E644" s="294"/>
      <c r="F644" s="294"/>
      <c r="G644" s="294"/>
      <c r="H644" s="294"/>
      <c r="I644" s="294"/>
      <c r="J644" s="294"/>
      <c r="L644" s="295"/>
      <c r="M644" s="294"/>
      <c r="P644" s="294"/>
      <c r="Q644" s="294"/>
    </row>
    <row r="645" spans="2:17" x14ac:dyDescent="0.25">
      <c r="B645" s="294"/>
      <c r="C645" s="294"/>
      <c r="D645" s="294"/>
      <c r="E645" s="294"/>
      <c r="F645" s="294"/>
      <c r="G645" s="294"/>
      <c r="H645" s="294"/>
      <c r="I645" s="294"/>
      <c r="J645" s="294"/>
      <c r="L645" s="295"/>
      <c r="M645" s="294"/>
      <c r="P645" s="294"/>
      <c r="Q645" s="294"/>
    </row>
    <row r="646" spans="2:17" x14ac:dyDescent="0.25">
      <c r="B646" s="294"/>
      <c r="C646" s="294"/>
      <c r="D646" s="294"/>
      <c r="E646" s="294"/>
      <c r="F646" s="294"/>
      <c r="G646" s="294"/>
      <c r="H646" s="294"/>
      <c r="I646" s="294"/>
      <c r="J646" s="294"/>
      <c r="L646" s="295"/>
      <c r="M646" s="294"/>
      <c r="P646" s="294"/>
      <c r="Q646" s="294"/>
    </row>
    <row r="647" spans="2:17" x14ac:dyDescent="0.25">
      <c r="B647" s="294"/>
      <c r="C647" s="294"/>
      <c r="D647" s="294"/>
      <c r="E647" s="294"/>
      <c r="F647" s="294"/>
      <c r="G647" s="294"/>
      <c r="H647" s="294"/>
      <c r="I647" s="294"/>
      <c r="J647" s="294"/>
      <c r="L647" s="295"/>
      <c r="M647" s="294"/>
      <c r="P647" s="294"/>
      <c r="Q647" s="294"/>
    </row>
    <row r="648" spans="2:17" x14ac:dyDescent="0.25">
      <c r="B648" s="294"/>
      <c r="C648" s="294"/>
      <c r="D648" s="294"/>
      <c r="E648" s="294"/>
      <c r="F648" s="294"/>
      <c r="G648" s="294"/>
      <c r="H648" s="294"/>
      <c r="I648" s="294"/>
      <c r="J648" s="294"/>
      <c r="L648" s="295"/>
      <c r="M648" s="294"/>
      <c r="P648" s="294"/>
      <c r="Q648" s="294"/>
    </row>
    <row r="649" spans="2:17" x14ac:dyDescent="0.25">
      <c r="B649" s="294"/>
      <c r="C649" s="294"/>
      <c r="D649" s="294"/>
      <c r="E649" s="294"/>
      <c r="F649" s="294"/>
      <c r="G649" s="294"/>
      <c r="H649" s="294"/>
      <c r="I649" s="294"/>
      <c r="J649" s="294"/>
      <c r="L649" s="295"/>
      <c r="M649" s="294"/>
      <c r="P649" s="294"/>
      <c r="Q649" s="294"/>
    </row>
    <row r="650" spans="2:17" x14ac:dyDescent="0.25">
      <c r="B650" s="294"/>
      <c r="C650" s="294"/>
      <c r="D650" s="294"/>
      <c r="E650" s="294"/>
      <c r="F650" s="294"/>
      <c r="G650" s="294"/>
      <c r="H650" s="294"/>
      <c r="I650" s="294"/>
      <c r="J650" s="294"/>
      <c r="L650" s="295"/>
      <c r="M650" s="294"/>
      <c r="P650" s="294"/>
      <c r="Q650" s="294"/>
    </row>
    <row r="651" spans="2:17" x14ac:dyDescent="0.25">
      <c r="B651" s="294"/>
      <c r="C651" s="294"/>
      <c r="D651" s="294"/>
      <c r="E651" s="294"/>
      <c r="F651" s="294"/>
      <c r="G651" s="294"/>
      <c r="H651" s="294"/>
      <c r="I651" s="294"/>
      <c r="J651" s="294"/>
      <c r="L651" s="295"/>
      <c r="M651" s="294"/>
      <c r="P651" s="294"/>
      <c r="Q651" s="294"/>
    </row>
    <row r="652" spans="2:17" x14ac:dyDescent="0.25">
      <c r="B652" s="294"/>
      <c r="C652" s="294"/>
      <c r="D652" s="294"/>
      <c r="E652" s="294"/>
      <c r="F652" s="294"/>
      <c r="G652" s="294"/>
      <c r="H652" s="294"/>
      <c r="I652" s="294"/>
      <c r="J652" s="294"/>
      <c r="L652" s="295"/>
      <c r="M652" s="294"/>
      <c r="P652" s="294"/>
      <c r="Q652" s="294"/>
    </row>
    <row r="653" spans="2:17" x14ac:dyDescent="0.25">
      <c r="B653" s="294"/>
      <c r="C653" s="294"/>
      <c r="D653" s="294"/>
      <c r="E653" s="294"/>
      <c r="F653" s="294"/>
      <c r="G653" s="294"/>
      <c r="H653" s="294"/>
      <c r="I653" s="294"/>
      <c r="J653" s="294"/>
      <c r="L653" s="295"/>
      <c r="M653" s="294"/>
      <c r="P653" s="294"/>
      <c r="Q653" s="294"/>
    </row>
    <row r="654" spans="2:17" x14ac:dyDescent="0.25">
      <c r="B654" s="294"/>
      <c r="C654" s="294"/>
      <c r="D654" s="294"/>
      <c r="E654" s="294"/>
      <c r="F654" s="294"/>
      <c r="G654" s="294"/>
      <c r="H654" s="294"/>
      <c r="I654" s="294"/>
      <c r="J654" s="294"/>
      <c r="L654" s="295"/>
      <c r="M654" s="294"/>
      <c r="P654" s="294"/>
      <c r="Q654" s="294"/>
    </row>
    <row r="655" spans="2:17" x14ac:dyDescent="0.25">
      <c r="B655" s="294"/>
      <c r="C655" s="294"/>
      <c r="D655" s="294"/>
      <c r="E655" s="294"/>
      <c r="F655" s="294"/>
      <c r="G655" s="294"/>
      <c r="H655" s="294"/>
      <c r="I655" s="294"/>
      <c r="J655" s="294"/>
      <c r="L655" s="295"/>
      <c r="M655" s="294"/>
      <c r="P655" s="294"/>
      <c r="Q655" s="294"/>
    </row>
    <row r="656" spans="2:17" x14ac:dyDescent="0.25">
      <c r="B656" s="294"/>
      <c r="C656" s="294"/>
      <c r="D656" s="294"/>
      <c r="E656" s="294"/>
      <c r="F656" s="294"/>
      <c r="G656" s="294"/>
      <c r="H656" s="294"/>
      <c r="I656" s="294"/>
      <c r="J656" s="294"/>
      <c r="L656" s="295"/>
      <c r="M656" s="294"/>
      <c r="P656" s="294"/>
      <c r="Q656" s="294"/>
    </row>
    <row r="657" spans="2:17" x14ac:dyDescent="0.25">
      <c r="B657" s="294"/>
      <c r="C657" s="294"/>
      <c r="D657" s="294"/>
      <c r="E657" s="294"/>
      <c r="F657" s="294"/>
      <c r="G657" s="294"/>
      <c r="H657" s="294"/>
      <c r="I657" s="294"/>
      <c r="J657" s="294"/>
      <c r="L657" s="295"/>
      <c r="M657" s="294"/>
      <c r="P657" s="294"/>
      <c r="Q657" s="294"/>
    </row>
    <row r="658" spans="2:17" x14ac:dyDescent="0.25">
      <c r="B658" s="294"/>
      <c r="C658" s="294"/>
      <c r="D658" s="294"/>
      <c r="E658" s="294"/>
      <c r="F658" s="294"/>
      <c r="G658" s="294"/>
      <c r="H658" s="294"/>
      <c r="I658" s="294"/>
      <c r="J658" s="294"/>
      <c r="L658" s="295"/>
      <c r="M658" s="294"/>
      <c r="P658" s="294"/>
      <c r="Q658" s="294"/>
    </row>
    <row r="659" spans="2:17" x14ac:dyDescent="0.25">
      <c r="B659" s="294"/>
      <c r="C659" s="294"/>
      <c r="D659" s="294"/>
      <c r="E659" s="294"/>
      <c r="F659" s="294"/>
      <c r="G659" s="294"/>
      <c r="H659" s="294"/>
      <c r="I659" s="294"/>
      <c r="J659" s="294"/>
      <c r="L659" s="295"/>
      <c r="M659" s="294"/>
      <c r="P659" s="294"/>
      <c r="Q659" s="294"/>
    </row>
    <row r="660" spans="2:17" x14ac:dyDescent="0.25">
      <c r="B660" s="294"/>
      <c r="C660" s="294"/>
      <c r="D660" s="294"/>
      <c r="E660" s="294"/>
      <c r="F660" s="294"/>
      <c r="G660" s="294"/>
      <c r="H660" s="294"/>
      <c r="I660" s="294"/>
      <c r="J660" s="294"/>
      <c r="L660" s="295"/>
      <c r="M660" s="294"/>
      <c r="P660" s="294"/>
      <c r="Q660" s="294"/>
    </row>
    <row r="661" spans="2:17" x14ac:dyDescent="0.25">
      <c r="B661" s="294"/>
      <c r="C661" s="294"/>
      <c r="D661" s="294"/>
      <c r="E661" s="294"/>
      <c r="F661" s="294"/>
      <c r="G661" s="294"/>
      <c r="H661" s="294"/>
      <c r="I661" s="294"/>
      <c r="J661" s="294"/>
      <c r="L661" s="295"/>
      <c r="M661" s="294"/>
      <c r="P661" s="294"/>
      <c r="Q661" s="294"/>
    </row>
    <row r="662" spans="2:17" x14ac:dyDescent="0.25">
      <c r="B662" s="294"/>
      <c r="C662" s="294"/>
      <c r="D662" s="294"/>
      <c r="E662" s="294"/>
      <c r="F662" s="294"/>
      <c r="G662" s="294"/>
      <c r="H662" s="294"/>
      <c r="I662" s="294"/>
      <c r="J662" s="294"/>
      <c r="L662" s="295"/>
      <c r="M662" s="294"/>
      <c r="P662" s="294"/>
      <c r="Q662" s="294"/>
    </row>
    <row r="663" spans="2:17" x14ac:dyDescent="0.25">
      <c r="B663" s="294"/>
      <c r="C663" s="294"/>
      <c r="D663" s="294"/>
      <c r="E663" s="294"/>
      <c r="F663" s="294"/>
      <c r="G663" s="294"/>
      <c r="H663" s="294"/>
      <c r="I663" s="294"/>
      <c r="J663" s="294"/>
      <c r="L663" s="295"/>
      <c r="M663" s="294"/>
      <c r="P663" s="294"/>
      <c r="Q663" s="294"/>
    </row>
    <row r="664" spans="2:17" x14ac:dyDescent="0.25">
      <c r="B664" s="294"/>
      <c r="C664" s="294"/>
      <c r="D664" s="294"/>
      <c r="E664" s="294"/>
      <c r="F664" s="294"/>
      <c r="G664" s="294"/>
      <c r="H664" s="294"/>
      <c r="I664" s="294"/>
      <c r="J664" s="294"/>
      <c r="L664" s="295"/>
      <c r="M664" s="294"/>
      <c r="P664" s="294"/>
      <c r="Q664" s="294"/>
    </row>
    <row r="665" spans="2:17" x14ac:dyDescent="0.25">
      <c r="B665" s="294"/>
      <c r="C665" s="294"/>
      <c r="D665" s="294"/>
      <c r="E665" s="294"/>
      <c r="F665" s="294"/>
      <c r="G665" s="294"/>
      <c r="H665" s="294"/>
      <c r="I665" s="294"/>
      <c r="J665" s="294"/>
      <c r="L665" s="295"/>
      <c r="M665" s="294"/>
      <c r="P665" s="294"/>
      <c r="Q665" s="294"/>
    </row>
    <row r="666" spans="2:17" x14ac:dyDescent="0.25">
      <c r="B666" s="294"/>
      <c r="C666" s="294"/>
      <c r="D666" s="294"/>
      <c r="E666" s="294"/>
      <c r="F666" s="294"/>
      <c r="G666" s="294"/>
      <c r="H666" s="294"/>
      <c r="I666" s="294"/>
      <c r="J666" s="294"/>
      <c r="L666" s="295"/>
      <c r="M666" s="294"/>
      <c r="P666" s="294"/>
      <c r="Q666" s="294"/>
    </row>
    <row r="667" spans="2:17" x14ac:dyDescent="0.25">
      <c r="B667" s="294"/>
      <c r="C667" s="294"/>
      <c r="D667" s="294"/>
      <c r="E667" s="294"/>
      <c r="F667" s="294"/>
      <c r="G667" s="294"/>
      <c r="H667" s="294"/>
      <c r="I667" s="294"/>
      <c r="J667" s="294"/>
      <c r="L667" s="295"/>
      <c r="M667" s="294"/>
      <c r="P667" s="294"/>
      <c r="Q667" s="294"/>
    </row>
    <row r="668" spans="2:17" x14ac:dyDescent="0.25">
      <c r="B668" s="294"/>
      <c r="C668" s="294"/>
      <c r="D668" s="294"/>
      <c r="E668" s="294"/>
      <c r="F668" s="294"/>
      <c r="G668" s="294"/>
      <c r="H668" s="294"/>
      <c r="I668" s="294"/>
      <c r="J668" s="294"/>
      <c r="L668" s="295"/>
      <c r="M668" s="294"/>
      <c r="P668" s="294"/>
      <c r="Q668" s="294"/>
    </row>
    <row r="669" spans="2:17" x14ac:dyDescent="0.25">
      <c r="B669" s="294"/>
      <c r="C669" s="294"/>
      <c r="D669" s="294"/>
      <c r="E669" s="294"/>
      <c r="F669" s="294"/>
      <c r="G669" s="294"/>
      <c r="H669" s="294"/>
      <c r="I669" s="294"/>
      <c r="J669" s="294"/>
      <c r="L669" s="295"/>
      <c r="M669" s="294"/>
      <c r="P669" s="294"/>
      <c r="Q669" s="294"/>
    </row>
    <row r="670" spans="2:17" x14ac:dyDescent="0.25">
      <c r="B670" s="294"/>
      <c r="C670" s="294"/>
      <c r="D670" s="294"/>
      <c r="E670" s="294"/>
      <c r="F670" s="294"/>
      <c r="G670" s="294"/>
      <c r="H670" s="294"/>
      <c r="I670" s="294"/>
      <c r="J670" s="294"/>
      <c r="L670" s="295"/>
      <c r="M670" s="294"/>
      <c r="P670" s="294"/>
      <c r="Q670" s="294"/>
    </row>
    <row r="671" spans="2:17" x14ac:dyDescent="0.25">
      <c r="B671" s="294"/>
      <c r="C671" s="294"/>
      <c r="D671" s="294"/>
      <c r="E671" s="294"/>
      <c r="F671" s="294"/>
      <c r="G671" s="294"/>
      <c r="H671" s="294"/>
      <c r="I671" s="294"/>
      <c r="J671" s="294"/>
      <c r="L671" s="295"/>
      <c r="M671" s="294"/>
      <c r="P671" s="294"/>
      <c r="Q671" s="294"/>
    </row>
    <row r="672" spans="2:17" x14ac:dyDescent="0.25">
      <c r="B672" s="294"/>
      <c r="C672" s="294"/>
      <c r="D672" s="294"/>
      <c r="E672" s="294"/>
      <c r="F672" s="294"/>
      <c r="G672" s="294"/>
      <c r="H672" s="294"/>
      <c r="I672" s="294"/>
      <c r="J672" s="294"/>
      <c r="L672" s="295"/>
      <c r="M672" s="294"/>
      <c r="P672" s="294"/>
      <c r="Q672" s="294"/>
    </row>
    <row r="673" spans="2:17" x14ac:dyDescent="0.25">
      <c r="B673" s="294"/>
      <c r="C673" s="294"/>
      <c r="D673" s="294"/>
      <c r="E673" s="294"/>
      <c r="F673" s="294"/>
      <c r="G673" s="294"/>
      <c r="H673" s="294"/>
      <c r="I673" s="294"/>
      <c r="J673" s="294"/>
      <c r="L673" s="295"/>
      <c r="M673" s="294"/>
      <c r="P673" s="294"/>
      <c r="Q673" s="294"/>
    </row>
    <row r="674" spans="2:17" x14ac:dyDescent="0.25">
      <c r="B674" s="294"/>
      <c r="C674" s="294"/>
      <c r="D674" s="294"/>
      <c r="E674" s="294"/>
      <c r="F674" s="294"/>
      <c r="G674" s="294"/>
      <c r="H674" s="294"/>
      <c r="I674" s="294"/>
      <c r="J674" s="294"/>
      <c r="L674" s="295"/>
      <c r="M674" s="294"/>
      <c r="P674" s="294"/>
      <c r="Q674" s="294"/>
    </row>
    <row r="675" spans="2:17" x14ac:dyDescent="0.25">
      <c r="B675" s="294"/>
      <c r="C675" s="294"/>
      <c r="D675" s="294"/>
      <c r="E675" s="294"/>
      <c r="F675" s="294"/>
      <c r="G675" s="294"/>
      <c r="H675" s="294"/>
      <c r="I675" s="294"/>
      <c r="J675" s="294"/>
      <c r="L675" s="295"/>
      <c r="M675" s="294"/>
      <c r="P675" s="294"/>
      <c r="Q675" s="294"/>
    </row>
    <row r="676" spans="2:17" x14ac:dyDescent="0.25">
      <c r="B676" s="294"/>
      <c r="C676" s="294"/>
      <c r="D676" s="294"/>
      <c r="E676" s="294"/>
      <c r="F676" s="294"/>
      <c r="G676" s="294"/>
      <c r="H676" s="294"/>
      <c r="I676" s="294"/>
      <c r="J676" s="294"/>
      <c r="L676" s="295"/>
      <c r="M676" s="294"/>
      <c r="P676" s="294"/>
      <c r="Q676" s="294"/>
    </row>
    <row r="677" spans="2:17" x14ac:dyDescent="0.25">
      <c r="B677" s="294"/>
      <c r="C677" s="294"/>
      <c r="D677" s="294"/>
      <c r="E677" s="294"/>
      <c r="F677" s="294"/>
      <c r="G677" s="294"/>
      <c r="H677" s="294"/>
      <c r="I677" s="294"/>
      <c r="J677" s="294"/>
      <c r="L677" s="295"/>
      <c r="M677" s="294"/>
      <c r="P677" s="294"/>
      <c r="Q677" s="294"/>
    </row>
    <row r="678" spans="2:17" x14ac:dyDescent="0.25">
      <c r="B678" s="294"/>
      <c r="C678" s="294"/>
      <c r="D678" s="294"/>
      <c r="E678" s="294"/>
      <c r="F678" s="294"/>
      <c r="G678" s="294"/>
      <c r="H678" s="294"/>
      <c r="I678" s="294"/>
      <c r="J678" s="294"/>
      <c r="L678" s="295"/>
      <c r="M678" s="294"/>
      <c r="P678" s="294"/>
      <c r="Q678" s="294"/>
    </row>
    <row r="679" spans="2:17" x14ac:dyDescent="0.25">
      <c r="B679" s="294"/>
      <c r="C679" s="294"/>
      <c r="D679" s="294"/>
      <c r="E679" s="294"/>
      <c r="F679" s="294"/>
      <c r="G679" s="294"/>
      <c r="H679" s="294"/>
      <c r="I679" s="294"/>
      <c r="J679" s="294"/>
      <c r="L679" s="295"/>
      <c r="M679" s="294"/>
      <c r="P679" s="294"/>
      <c r="Q679" s="294"/>
    </row>
    <row r="680" spans="2:17" x14ac:dyDescent="0.25">
      <c r="B680" s="294"/>
      <c r="C680" s="294"/>
      <c r="D680" s="294"/>
      <c r="E680" s="294"/>
      <c r="F680" s="294"/>
      <c r="G680" s="294"/>
      <c r="H680" s="294"/>
      <c r="I680" s="294"/>
      <c r="J680" s="294"/>
      <c r="L680" s="295"/>
      <c r="M680" s="294"/>
      <c r="P680" s="294"/>
      <c r="Q680" s="294"/>
    </row>
    <row r="681" spans="2:17" x14ac:dyDescent="0.25">
      <c r="B681" s="294"/>
      <c r="C681" s="294"/>
      <c r="D681" s="294"/>
      <c r="E681" s="294"/>
      <c r="F681" s="294"/>
      <c r="G681" s="294"/>
      <c r="H681" s="294"/>
      <c r="I681" s="294"/>
      <c r="J681" s="294"/>
      <c r="L681" s="295"/>
      <c r="M681" s="294"/>
      <c r="P681" s="294"/>
      <c r="Q681" s="294"/>
    </row>
    <row r="682" spans="2:17" x14ac:dyDescent="0.25">
      <c r="B682" s="294"/>
      <c r="C682" s="294"/>
      <c r="D682" s="294"/>
      <c r="E682" s="294"/>
      <c r="F682" s="294"/>
      <c r="G682" s="294"/>
      <c r="H682" s="294"/>
      <c r="I682" s="294"/>
      <c r="J682" s="294"/>
      <c r="L682" s="295"/>
      <c r="M682" s="294"/>
      <c r="P682" s="294"/>
      <c r="Q682" s="294"/>
    </row>
    <row r="683" spans="2:17" x14ac:dyDescent="0.25">
      <c r="B683" s="294"/>
      <c r="C683" s="294"/>
      <c r="D683" s="294"/>
      <c r="E683" s="294"/>
      <c r="F683" s="294"/>
      <c r="G683" s="294"/>
      <c r="H683" s="294"/>
      <c r="I683" s="294"/>
      <c r="J683" s="294"/>
      <c r="L683" s="295"/>
      <c r="M683" s="294"/>
      <c r="P683" s="294"/>
      <c r="Q683" s="294"/>
    </row>
    <row r="684" spans="2:17" x14ac:dyDescent="0.25">
      <c r="B684" s="294"/>
      <c r="C684" s="294"/>
      <c r="D684" s="294"/>
      <c r="E684" s="294"/>
      <c r="F684" s="294"/>
      <c r="G684" s="294"/>
      <c r="H684" s="294"/>
      <c r="I684" s="294"/>
      <c r="J684" s="294"/>
      <c r="L684" s="295"/>
      <c r="M684" s="294"/>
      <c r="P684" s="294"/>
      <c r="Q684" s="294"/>
    </row>
    <row r="685" spans="2:17" x14ac:dyDescent="0.25">
      <c r="B685" s="294"/>
      <c r="C685" s="294"/>
      <c r="D685" s="294"/>
      <c r="E685" s="294"/>
      <c r="F685" s="294"/>
      <c r="G685" s="294"/>
      <c r="H685" s="294"/>
      <c r="I685" s="294"/>
      <c r="J685" s="294"/>
      <c r="L685" s="295"/>
      <c r="M685" s="294"/>
      <c r="P685" s="294"/>
      <c r="Q685" s="294"/>
    </row>
    <row r="686" spans="2:17" x14ac:dyDescent="0.25">
      <c r="B686" s="294"/>
      <c r="C686" s="294"/>
      <c r="D686" s="294"/>
      <c r="E686" s="294"/>
      <c r="F686" s="294"/>
      <c r="G686" s="294"/>
      <c r="H686" s="294"/>
      <c r="I686" s="294"/>
      <c r="J686" s="294"/>
      <c r="L686" s="295"/>
      <c r="M686" s="294"/>
      <c r="P686" s="294"/>
      <c r="Q686" s="294"/>
    </row>
    <row r="687" spans="2:17" x14ac:dyDescent="0.25">
      <c r="B687" s="294"/>
      <c r="C687" s="294"/>
      <c r="D687" s="294"/>
      <c r="E687" s="294"/>
      <c r="F687" s="294"/>
      <c r="G687" s="294"/>
      <c r="H687" s="294"/>
      <c r="I687" s="294"/>
      <c r="J687" s="294"/>
      <c r="L687" s="295"/>
      <c r="M687" s="294"/>
      <c r="P687" s="294"/>
      <c r="Q687" s="294"/>
    </row>
    <row r="688" spans="2:17" x14ac:dyDescent="0.25">
      <c r="B688" s="294"/>
      <c r="C688" s="294"/>
      <c r="D688" s="294"/>
      <c r="E688" s="294"/>
      <c r="F688" s="294"/>
      <c r="G688" s="294"/>
      <c r="H688" s="294"/>
      <c r="I688" s="294"/>
      <c r="J688" s="294"/>
      <c r="L688" s="295"/>
      <c r="M688" s="294"/>
      <c r="P688" s="294"/>
      <c r="Q688" s="294"/>
    </row>
    <row r="689" spans="2:17" x14ac:dyDescent="0.25">
      <c r="B689" s="294"/>
      <c r="C689" s="294"/>
      <c r="D689" s="294"/>
      <c r="E689" s="294"/>
      <c r="F689" s="294"/>
      <c r="G689" s="294"/>
      <c r="H689" s="294"/>
      <c r="I689" s="294"/>
      <c r="J689" s="294"/>
      <c r="L689" s="295"/>
      <c r="M689" s="294"/>
      <c r="P689" s="294"/>
      <c r="Q689" s="294"/>
    </row>
    <row r="690" spans="2:17" x14ac:dyDescent="0.25">
      <c r="B690" s="294"/>
      <c r="C690" s="294"/>
      <c r="D690" s="294"/>
      <c r="E690" s="294"/>
      <c r="F690" s="294"/>
      <c r="G690" s="294"/>
      <c r="H690" s="294"/>
      <c r="I690" s="294"/>
      <c r="J690" s="294"/>
      <c r="L690" s="295"/>
      <c r="M690" s="294"/>
      <c r="P690" s="294"/>
      <c r="Q690" s="294"/>
    </row>
    <row r="691" spans="2:17" x14ac:dyDescent="0.25">
      <c r="B691" s="294"/>
      <c r="C691" s="294"/>
      <c r="D691" s="294"/>
      <c r="E691" s="294"/>
      <c r="F691" s="294"/>
      <c r="G691" s="294"/>
      <c r="H691" s="294"/>
      <c r="I691" s="294"/>
      <c r="J691" s="294"/>
      <c r="L691" s="295"/>
      <c r="M691" s="294"/>
      <c r="P691" s="294"/>
      <c r="Q691" s="294"/>
    </row>
    <row r="692" spans="2:17" x14ac:dyDescent="0.25">
      <c r="B692" s="294"/>
      <c r="C692" s="294"/>
      <c r="D692" s="294"/>
      <c r="E692" s="294"/>
      <c r="F692" s="294"/>
      <c r="G692" s="294"/>
      <c r="H692" s="294"/>
      <c r="I692" s="294"/>
      <c r="J692" s="294"/>
      <c r="L692" s="295"/>
      <c r="M692" s="294"/>
      <c r="P692" s="294"/>
      <c r="Q692" s="294"/>
    </row>
    <row r="693" spans="2:17" x14ac:dyDescent="0.25">
      <c r="B693" s="294"/>
      <c r="C693" s="294"/>
      <c r="D693" s="294"/>
      <c r="E693" s="294"/>
      <c r="F693" s="294"/>
      <c r="G693" s="294"/>
      <c r="H693" s="294"/>
      <c r="I693" s="294"/>
      <c r="J693" s="294"/>
      <c r="L693" s="295"/>
      <c r="M693" s="294"/>
      <c r="P693" s="294"/>
      <c r="Q693" s="294"/>
    </row>
    <row r="694" spans="2:17" x14ac:dyDescent="0.25">
      <c r="B694" s="294"/>
      <c r="C694" s="294"/>
      <c r="D694" s="294"/>
      <c r="E694" s="294"/>
      <c r="F694" s="294"/>
      <c r="G694" s="294"/>
      <c r="H694" s="294"/>
      <c r="I694" s="294"/>
      <c r="J694" s="294"/>
      <c r="L694" s="295"/>
      <c r="M694" s="294"/>
      <c r="P694" s="294"/>
      <c r="Q694" s="294"/>
    </row>
    <row r="695" spans="2:17" x14ac:dyDescent="0.25">
      <c r="B695" s="294"/>
      <c r="C695" s="294"/>
      <c r="D695" s="294"/>
      <c r="E695" s="294"/>
      <c r="F695" s="294"/>
      <c r="G695" s="294"/>
      <c r="H695" s="294"/>
      <c r="I695" s="294"/>
      <c r="J695" s="294"/>
      <c r="L695" s="295"/>
      <c r="M695" s="294"/>
      <c r="P695" s="294"/>
      <c r="Q695" s="294"/>
    </row>
    <row r="696" spans="2:17" x14ac:dyDescent="0.25">
      <c r="B696" s="294"/>
      <c r="C696" s="294"/>
      <c r="D696" s="294"/>
      <c r="E696" s="294"/>
      <c r="F696" s="294"/>
      <c r="G696" s="294"/>
      <c r="H696" s="294"/>
      <c r="I696" s="294"/>
      <c r="J696" s="294"/>
      <c r="L696" s="295"/>
      <c r="M696" s="294"/>
      <c r="P696" s="294"/>
      <c r="Q696" s="294"/>
    </row>
    <row r="697" spans="2:17" x14ac:dyDescent="0.25">
      <c r="B697" s="294"/>
      <c r="C697" s="294"/>
      <c r="D697" s="294"/>
      <c r="E697" s="294"/>
      <c r="F697" s="294"/>
      <c r="G697" s="294"/>
      <c r="H697" s="294"/>
      <c r="I697" s="294"/>
      <c r="J697" s="294"/>
      <c r="L697" s="295"/>
      <c r="M697" s="294"/>
      <c r="P697" s="294"/>
      <c r="Q697" s="294"/>
    </row>
    <row r="698" spans="2:17" x14ac:dyDescent="0.25">
      <c r="B698" s="294"/>
      <c r="C698" s="294"/>
      <c r="D698" s="294"/>
      <c r="E698" s="294"/>
      <c r="F698" s="294"/>
      <c r="G698" s="294"/>
      <c r="H698" s="294"/>
      <c r="I698" s="294"/>
      <c r="J698" s="294"/>
      <c r="L698" s="295"/>
      <c r="M698" s="294"/>
      <c r="P698" s="294"/>
      <c r="Q698" s="294"/>
    </row>
    <row r="699" spans="2:17" x14ac:dyDescent="0.25">
      <c r="B699" s="294"/>
      <c r="C699" s="294"/>
      <c r="D699" s="294"/>
      <c r="E699" s="294"/>
      <c r="F699" s="294"/>
      <c r="G699" s="294"/>
      <c r="H699" s="294"/>
      <c r="I699" s="294"/>
      <c r="J699" s="294"/>
      <c r="L699" s="295"/>
      <c r="M699" s="294"/>
      <c r="P699" s="294"/>
      <c r="Q699" s="294"/>
    </row>
    <row r="700" spans="2:17" x14ac:dyDescent="0.25">
      <c r="B700" s="294"/>
      <c r="C700" s="294"/>
      <c r="D700" s="294"/>
      <c r="E700" s="294"/>
      <c r="F700" s="294"/>
      <c r="G700" s="294"/>
      <c r="H700" s="294"/>
      <c r="I700" s="294"/>
      <c r="J700" s="294"/>
      <c r="L700" s="295"/>
      <c r="M700" s="294"/>
      <c r="P700" s="294"/>
      <c r="Q700" s="294"/>
    </row>
    <row r="701" spans="2:17" x14ac:dyDescent="0.25">
      <c r="B701" s="294"/>
      <c r="C701" s="294"/>
      <c r="D701" s="294"/>
      <c r="E701" s="294"/>
      <c r="F701" s="294"/>
      <c r="G701" s="294"/>
      <c r="H701" s="294"/>
      <c r="I701" s="294"/>
      <c r="J701" s="294"/>
      <c r="L701" s="295"/>
      <c r="M701" s="294"/>
      <c r="P701" s="294"/>
      <c r="Q701" s="294"/>
    </row>
    <row r="702" spans="2:17" x14ac:dyDescent="0.25">
      <c r="B702" s="294"/>
      <c r="C702" s="294"/>
      <c r="D702" s="294"/>
      <c r="E702" s="294"/>
      <c r="F702" s="294"/>
      <c r="G702" s="294"/>
      <c r="H702" s="294"/>
      <c r="I702" s="294"/>
      <c r="J702" s="294"/>
      <c r="L702" s="295"/>
      <c r="M702" s="294"/>
      <c r="P702" s="294"/>
      <c r="Q702" s="294"/>
    </row>
    <row r="703" spans="2:17" x14ac:dyDescent="0.25">
      <c r="B703" s="294"/>
      <c r="C703" s="294"/>
      <c r="D703" s="294"/>
      <c r="E703" s="294"/>
      <c r="F703" s="294"/>
      <c r="G703" s="294"/>
      <c r="H703" s="294"/>
      <c r="I703" s="294"/>
      <c r="J703" s="294"/>
      <c r="L703" s="295"/>
      <c r="M703" s="294"/>
      <c r="P703" s="294"/>
      <c r="Q703" s="294"/>
    </row>
    <row r="704" spans="2:17" x14ac:dyDescent="0.25">
      <c r="B704" s="294"/>
      <c r="C704" s="294"/>
      <c r="D704" s="294"/>
      <c r="E704" s="294"/>
      <c r="F704" s="294"/>
      <c r="G704" s="294"/>
      <c r="H704" s="294"/>
      <c r="I704" s="294"/>
      <c r="J704" s="294"/>
      <c r="L704" s="295"/>
      <c r="M704" s="294"/>
      <c r="P704" s="294"/>
      <c r="Q704" s="294"/>
    </row>
    <row r="705" spans="2:17" x14ac:dyDescent="0.25">
      <c r="B705" s="294"/>
      <c r="C705" s="294"/>
      <c r="D705" s="294"/>
      <c r="E705" s="294"/>
      <c r="F705" s="294"/>
      <c r="G705" s="294"/>
      <c r="H705" s="294"/>
      <c r="I705" s="294"/>
      <c r="J705" s="294"/>
      <c r="L705" s="295"/>
      <c r="M705" s="294"/>
      <c r="P705" s="294"/>
      <c r="Q705" s="294"/>
    </row>
    <row r="706" spans="2:17" x14ac:dyDescent="0.25">
      <c r="B706" s="294"/>
      <c r="C706" s="294"/>
      <c r="D706" s="294"/>
      <c r="E706" s="294"/>
      <c r="F706" s="294"/>
      <c r="G706" s="294"/>
      <c r="H706" s="294"/>
      <c r="I706" s="294"/>
      <c r="J706" s="294"/>
      <c r="L706" s="295"/>
      <c r="M706" s="294"/>
      <c r="P706" s="294"/>
      <c r="Q706" s="294"/>
    </row>
    <row r="707" spans="2:17" x14ac:dyDescent="0.25">
      <c r="B707" s="294"/>
      <c r="C707" s="294"/>
      <c r="D707" s="294"/>
      <c r="E707" s="294"/>
      <c r="F707" s="294"/>
      <c r="G707" s="294"/>
      <c r="H707" s="294"/>
      <c r="I707" s="294"/>
      <c r="J707" s="294"/>
      <c r="L707" s="295"/>
      <c r="M707" s="294"/>
      <c r="P707" s="294"/>
      <c r="Q707" s="294"/>
    </row>
    <row r="708" spans="2:17" x14ac:dyDescent="0.25">
      <c r="B708" s="294"/>
      <c r="C708" s="294"/>
      <c r="D708" s="294"/>
      <c r="E708" s="294"/>
      <c r="F708" s="294"/>
      <c r="G708" s="294"/>
      <c r="H708" s="294"/>
      <c r="I708" s="294"/>
      <c r="J708" s="294"/>
      <c r="L708" s="295"/>
      <c r="M708" s="294"/>
      <c r="P708" s="294"/>
      <c r="Q708" s="294"/>
    </row>
    <row r="709" spans="2:17" x14ac:dyDescent="0.25">
      <c r="B709" s="294"/>
      <c r="C709" s="294"/>
      <c r="D709" s="294"/>
      <c r="E709" s="294"/>
      <c r="F709" s="294"/>
      <c r="G709" s="294"/>
      <c r="H709" s="294"/>
      <c r="I709" s="294"/>
      <c r="J709" s="294"/>
      <c r="L709" s="295"/>
      <c r="M709" s="294"/>
      <c r="P709" s="294"/>
      <c r="Q709" s="294"/>
    </row>
    <row r="710" spans="2:17" x14ac:dyDescent="0.25">
      <c r="B710" s="294"/>
      <c r="C710" s="294"/>
      <c r="D710" s="294"/>
      <c r="E710" s="294"/>
      <c r="F710" s="294"/>
      <c r="G710" s="294"/>
      <c r="H710" s="294"/>
      <c r="I710" s="294"/>
      <c r="J710" s="294"/>
      <c r="L710" s="295"/>
      <c r="M710" s="294"/>
      <c r="P710" s="294"/>
      <c r="Q710" s="294"/>
    </row>
    <row r="711" spans="2:17" x14ac:dyDescent="0.25">
      <c r="B711" s="294"/>
      <c r="C711" s="294"/>
      <c r="D711" s="294"/>
      <c r="E711" s="294"/>
      <c r="F711" s="294"/>
      <c r="G711" s="294"/>
      <c r="H711" s="294"/>
      <c r="I711" s="294"/>
      <c r="J711" s="294"/>
      <c r="L711" s="295"/>
      <c r="M711" s="294"/>
      <c r="P711" s="294"/>
      <c r="Q711" s="294"/>
    </row>
    <row r="712" spans="2:17" x14ac:dyDescent="0.25">
      <c r="B712" s="294"/>
      <c r="C712" s="294"/>
      <c r="D712" s="294"/>
      <c r="E712" s="294"/>
      <c r="F712" s="294"/>
      <c r="G712" s="294"/>
      <c r="H712" s="294"/>
      <c r="I712" s="294"/>
      <c r="J712" s="294"/>
      <c r="L712" s="295"/>
      <c r="M712" s="294"/>
      <c r="P712" s="294"/>
      <c r="Q712" s="294"/>
    </row>
    <row r="713" spans="2:17" x14ac:dyDescent="0.25">
      <c r="B713" s="294"/>
      <c r="C713" s="294"/>
      <c r="D713" s="294"/>
      <c r="E713" s="294"/>
      <c r="F713" s="294"/>
      <c r="G713" s="294"/>
      <c r="H713" s="294"/>
      <c r="I713" s="294"/>
      <c r="J713" s="294"/>
      <c r="L713" s="295"/>
      <c r="M713" s="294"/>
      <c r="P713" s="294"/>
      <c r="Q713" s="294"/>
    </row>
    <row r="714" spans="2:17" x14ac:dyDescent="0.25">
      <c r="B714" s="294"/>
      <c r="C714" s="294"/>
      <c r="D714" s="294"/>
      <c r="E714" s="294"/>
      <c r="F714" s="294"/>
      <c r="G714" s="294"/>
      <c r="H714" s="294"/>
      <c r="I714" s="294"/>
      <c r="J714" s="294"/>
      <c r="L714" s="295"/>
      <c r="M714" s="294"/>
      <c r="P714" s="294"/>
      <c r="Q714" s="294"/>
    </row>
    <row r="715" spans="2:17" x14ac:dyDescent="0.25">
      <c r="B715" s="294"/>
      <c r="C715" s="294"/>
      <c r="D715" s="294"/>
      <c r="E715" s="294"/>
      <c r="F715" s="294"/>
      <c r="G715" s="294"/>
      <c r="H715" s="294"/>
      <c r="I715" s="294"/>
      <c r="J715" s="294"/>
      <c r="L715" s="295"/>
      <c r="M715" s="294"/>
      <c r="P715" s="294"/>
      <c r="Q715" s="294"/>
    </row>
    <row r="716" spans="2:17" x14ac:dyDescent="0.25">
      <c r="B716" s="294"/>
      <c r="C716" s="294"/>
      <c r="D716" s="294"/>
      <c r="E716" s="294"/>
      <c r="F716" s="294"/>
      <c r="G716" s="294"/>
      <c r="H716" s="294"/>
      <c r="I716" s="294"/>
      <c r="J716" s="294"/>
      <c r="L716" s="295"/>
      <c r="M716" s="294"/>
      <c r="P716" s="294"/>
      <c r="Q716" s="294"/>
    </row>
    <row r="717" spans="2:17" x14ac:dyDescent="0.25">
      <c r="B717" s="294"/>
      <c r="C717" s="294"/>
      <c r="D717" s="294"/>
      <c r="E717" s="294"/>
      <c r="F717" s="294"/>
      <c r="G717" s="294"/>
      <c r="H717" s="294"/>
      <c r="I717" s="294"/>
      <c r="J717" s="294"/>
      <c r="L717" s="295"/>
      <c r="M717" s="294"/>
      <c r="P717" s="294"/>
      <c r="Q717" s="294"/>
    </row>
    <row r="718" spans="2:17" x14ac:dyDescent="0.25">
      <c r="B718" s="294"/>
      <c r="C718" s="294"/>
      <c r="D718" s="294"/>
      <c r="E718" s="294"/>
      <c r="F718" s="294"/>
      <c r="G718" s="294"/>
      <c r="H718" s="294"/>
      <c r="I718" s="294"/>
      <c r="J718" s="294"/>
      <c r="L718" s="295"/>
      <c r="M718" s="294"/>
      <c r="P718" s="294"/>
      <c r="Q718" s="294"/>
    </row>
    <row r="719" spans="2:17" x14ac:dyDescent="0.25">
      <c r="B719" s="294"/>
      <c r="C719" s="294"/>
      <c r="D719" s="294"/>
      <c r="E719" s="294"/>
      <c r="F719" s="294"/>
      <c r="G719" s="294"/>
      <c r="H719" s="294"/>
      <c r="I719" s="294"/>
      <c r="J719" s="294"/>
      <c r="L719" s="295"/>
      <c r="M719" s="294"/>
      <c r="P719" s="294"/>
      <c r="Q719" s="294"/>
    </row>
    <row r="720" spans="2:17" x14ac:dyDescent="0.25">
      <c r="B720" s="294"/>
      <c r="C720" s="294"/>
      <c r="D720" s="294"/>
      <c r="E720" s="294"/>
      <c r="F720" s="294"/>
      <c r="G720" s="294"/>
      <c r="H720" s="294"/>
      <c r="I720" s="294"/>
      <c r="J720" s="294"/>
      <c r="L720" s="295"/>
      <c r="M720" s="294"/>
      <c r="P720" s="294"/>
      <c r="Q720" s="294"/>
    </row>
    <row r="721" spans="2:17" x14ac:dyDescent="0.25">
      <c r="B721" s="294"/>
      <c r="C721" s="294"/>
      <c r="D721" s="294"/>
      <c r="E721" s="294"/>
      <c r="F721" s="294"/>
      <c r="G721" s="294"/>
      <c r="H721" s="294"/>
      <c r="I721" s="294"/>
      <c r="J721" s="294"/>
      <c r="L721" s="295"/>
      <c r="M721" s="294"/>
      <c r="P721" s="294"/>
      <c r="Q721" s="294"/>
    </row>
    <row r="722" spans="2:17" x14ac:dyDescent="0.25">
      <c r="B722" s="294"/>
      <c r="C722" s="294"/>
      <c r="D722" s="294"/>
      <c r="E722" s="294"/>
      <c r="F722" s="294"/>
      <c r="G722" s="294"/>
      <c r="H722" s="294"/>
      <c r="I722" s="294"/>
      <c r="J722" s="294"/>
      <c r="L722" s="295"/>
      <c r="M722" s="294"/>
      <c r="P722" s="294"/>
      <c r="Q722" s="294"/>
    </row>
    <row r="723" spans="2:17" x14ac:dyDescent="0.25">
      <c r="B723" s="294"/>
      <c r="C723" s="294"/>
      <c r="D723" s="294"/>
      <c r="E723" s="294"/>
      <c r="F723" s="294"/>
      <c r="G723" s="294"/>
      <c r="H723" s="294"/>
      <c r="I723" s="294"/>
      <c r="J723" s="294"/>
      <c r="L723" s="295"/>
      <c r="M723" s="294"/>
      <c r="P723" s="294"/>
      <c r="Q723" s="294"/>
    </row>
    <row r="724" spans="2:17" x14ac:dyDescent="0.25">
      <c r="B724" s="294"/>
      <c r="C724" s="294"/>
      <c r="D724" s="294"/>
      <c r="E724" s="294"/>
      <c r="F724" s="294"/>
      <c r="G724" s="294"/>
      <c r="H724" s="294"/>
      <c r="I724" s="294"/>
      <c r="J724" s="294"/>
      <c r="L724" s="295"/>
      <c r="M724" s="294"/>
      <c r="P724" s="294"/>
      <c r="Q724" s="294"/>
    </row>
    <row r="725" spans="2:17" x14ac:dyDescent="0.25">
      <c r="B725" s="294"/>
      <c r="C725" s="294"/>
      <c r="D725" s="294"/>
      <c r="E725" s="294"/>
      <c r="F725" s="294"/>
      <c r="G725" s="294"/>
      <c r="H725" s="294"/>
      <c r="I725" s="294"/>
      <c r="J725" s="294"/>
      <c r="L725" s="295"/>
      <c r="M725" s="294"/>
      <c r="P725" s="294"/>
      <c r="Q725" s="294"/>
    </row>
    <row r="726" spans="2:17" x14ac:dyDescent="0.25">
      <c r="B726" s="294"/>
      <c r="C726" s="294"/>
      <c r="D726" s="294"/>
      <c r="E726" s="294"/>
      <c r="F726" s="294"/>
      <c r="G726" s="294"/>
      <c r="H726" s="294"/>
      <c r="I726" s="294"/>
      <c r="J726" s="294"/>
      <c r="L726" s="295"/>
      <c r="M726" s="294"/>
      <c r="P726" s="294"/>
      <c r="Q726" s="294"/>
    </row>
    <row r="727" spans="2:17" x14ac:dyDescent="0.25">
      <c r="B727" s="294"/>
      <c r="C727" s="294"/>
      <c r="D727" s="294"/>
      <c r="E727" s="294"/>
      <c r="F727" s="294"/>
      <c r="G727" s="294"/>
      <c r="H727" s="294"/>
      <c r="I727" s="294"/>
      <c r="J727" s="294"/>
      <c r="L727" s="295"/>
      <c r="M727" s="294"/>
      <c r="P727" s="294"/>
      <c r="Q727" s="294"/>
    </row>
    <row r="728" spans="2:17" x14ac:dyDescent="0.25">
      <c r="B728" s="294"/>
      <c r="C728" s="294"/>
      <c r="D728" s="294"/>
      <c r="E728" s="294"/>
      <c r="F728" s="294"/>
      <c r="G728" s="294"/>
      <c r="H728" s="294"/>
      <c r="I728" s="294"/>
      <c r="J728" s="294"/>
      <c r="L728" s="295"/>
      <c r="M728" s="294"/>
      <c r="P728" s="294"/>
      <c r="Q728" s="294"/>
    </row>
    <row r="729" spans="2:17" x14ac:dyDescent="0.25">
      <c r="B729" s="294"/>
      <c r="C729" s="294"/>
      <c r="D729" s="294"/>
      <c r="E729" s="294"/>
      <c r="F729" s="294"/>
      <c r="G729" s="294"/>
      <c r="H729" s="294"/>
      <c r="I729" s="294"/>
      <c r="J729" s="294"/>
      <c r="L729" s="295"/>
      <c r="M729" s="294"/>
      <c r="P729" s="294"/>
      <c r="Q729" s="294"/>
    </row>
    <row r="730" spans="2:17" x14ac:dyDescent="0.25">
      <c r="B730" s="294"/>
      <c r="C730" s="294"/>
      <c r="D730" s="294"/>
      <c r="E730" s="294"/>
      <c r="F730" s="294"/>
      <c r="G730" s="294"/>
      <c r="H730" s="294"/>
      <c r="I730" s="294"/>
      <c r="J730" s="294"/>
      <c r="L730" s="295"/>
      <c r="M730" s="294"/>
      <c r="P730" s="294"/>
      <c r="Q730" s="294"/>
    </row>
    <row r="731" spans="2:17" x14ac:dyDescent="0.25">
      <c r="B731" s="294"/>
      <c r="C731" s="294"/>
      <c r="D731" s="294"/>
      <c r="E731" s="294"/>
      <c r="F731" s="294"/>
      <c r="G731" s="294"/>
      <c r="H731" s="294"/>
      <c r="I731" s="294"/>
      <c r="J731" s="294"/>
      <c r="L731" s="295"/>
      <c r="M731" s="294"/>
      <c r="P731" s="294"/>
      <c r="Q731" s="294"/>
    </row>
    <row r="732" spans="2:17" x14ac:dyDescent="0.25">
      <c r="B732" s="294"/>
      <c r="C732" s="294"/>
      <c r="D732" s="294"/>
      <c r="E732" s="294"/>
      <c r="F732" s="294"/>
      <c r="G732" s="294"/>
      <c r="H732" s="294"/>
      <c r="I732" s="294"/>
      <c r="J732" s="294"/>
      <c r="L732" s="295"/>
      <c r="M732" s="294"/>
      <c r="P732" s="294"/>
      <c r="Q732" s="294"/>
    </row>
    <row r="733" spans="2:17" x14ac:dyDescent="0.25">
      <c r="B733" s="294"/>
      <c r="C733" s="294"/>
      <c r="D733" s="294"/>
      <c r="E733" s="294"/>
      <c r="F733" s="294"/>
      <c r="G733" s="294"/>
      <c r="H733" s="294"/>
      <c r="I733" s="294"/>
      <c r="J733" s="294"/>
      <c r="L733" s="295"/>
      <c r="M733" s="294"/>
      <c r="P733" s="294"/>
      <c r="Q733" s="294"/>
    </row>
    <row r="734" spans="2:17" x14ac:dyDescent="0.25">
      <c r="B734" s="294"/>
      <c r="C734" s="294"/>
      <c r="D734" s="294"/>
      <c r="E734" s="294"/>
      <c r="F734" s="294"/>
      <c r="G734" s="294"/>
      <c r="H734" s="294"/>
      <c r="I734" s="294"/>
      <c r="J734" s="294"/>
      <c r="L734" s="295"/>
      <c r="M734" s="294"/>
      <c r="P734" s="294"/>
      <c r="Q734" s="294"/>
    </row>
    <row r="735" spans="2:17" x14ac:dyDescent="0.25">
      <c r="B735" s="294"/>
      <c r="C735" s="294"/>
      <c r="D735" s="294"/>
      <c r="E735" s="294"/>
      <c r="F735" s="294"/>
      <c r="G735" s="294"/>
      <c r="H735" s="294"/>
      <c r="I735" s="294"/>
      <c r="J735" s="294"/>
      <c r="L735" s="295"/>
      <c r="M735" s="294"/>
      <c r="P735" s="294"/>
      <c r="Q735" s="294"/>
    </row>
    <row r="736" spans="2:17" x14ac:dyDescent="0.25">
      <c r="B736" s="294"/>
      <c r="C736" s="294"/>
      <c r="D736" s="294"/>
      <c r="E736" s="294"/>
      <c r="F736" s="294"/>
      <c r="G736" s="294"/>
      <c r="H736" s="294"/>
      <c r="I736" s="294"/>
      <c r="J736" s="294"/>
      <c r="L736" s="295"/>
      <c r="M736" s="294"/>
      <c r="P736" s="294"/>
      <c r="Q736" s="294"/>
    </row>
    <row r="737" spans="2:17" x14ac:dyDescent="0.25">
      <c r="B737" s="294"/>
      <c r="C737" s="294"/>
      <c r="D737" s="294"/>
      <c r="E737" s="294"/>
      <c r="F737" s="294"/>
      <c r="G737" s="294"/>
      <c r="H737" s="294"/>
      <c r="I737" s="294"/>
      <c r="J737" s="294"/>
      <c r="L737" s="295"/>
      <c r="M737" s="294"/>
      <c r="P737" s="294"/>
      <c r="Q737" s="294"/>
    </row>
    <row r="738" spans="2:17" x14ac:dyDescent="0.25">
      <c r="B738" s="294"/>
      <c r="C738" s="294"/>
      <c r="D738" s="294"/>
      <c r="E738" s="294"/>
      <c r="F738" s="294"/>
      <c r="G738" s="294"/>
      <c r="H738" s="294"/>
      <c r="I738" s="294"/>
      <c r="J738" s="294"/>
      <c r="L738" s="295"/>
      <c r="M738" s="294"/>
      <c r="P738" s="294"/>
      <c r="Q738" s="294"/>
    </row>
    <row r="739" spans="2:17" x14ac:dyDescent="0.25">
      <c r="B739" s="294"/>
      <c r="C739" s="294"/>
      <c r="D739" s="294"/>
      <c r="E739" s="294"/>
      <c r="F739" s="294"/>
      <c r="G739" s="294"/>
      <c r="H739" s="294"/>
      <c r="I739" s="294"/>
      <c r="J739" s="294"/>
      <c r="L739" s="295"/>
      <c r="M739" s="294"/>
      <c r="P739" s="294"/>
      <c r="Q739" s="294"/>
    </row>
    <row r="740" spans="2:17" x14ac:dyDescent="0.25">
      <c r="B740" s="294"/>
      <c r="C740" s="294"/>
      <c r="D740" s="294"/>
      <c r="E740" s="294"/>
      <c r="F740" s="294"/>
      <c r="G740" s="294"/>
      <c r="H740" s="294"/>
      <c r="I740" s="294"/>
      <c r="J740" s="294"/>
      <c r="L740" s="295"/>
      <c r="M740" s="294"/>
      <c r="P740" s="294"/>
      <c r="Q740" s="294"/>
    </row>
    <row r="741" spans="2:17" x14ac:dyDescent="0.25">
      <c r="B741" s="294"/>
      <c r="C741" s="294"/>
      <c r="D741" s="294"/>
      <c r="E741" s="294"/>
      <c r="F741" s="294"/>
      <c r="G741" s="294"/>
      <c r="H741" s="294"/>
      <c r="I741" s="294"/>
      <c r="J741" s="294"/>
      <c r="L741" s="295"/>
      <c r="M741" s="294"/>
      <c r="P741" s="294"/>
      <c r="Q741" s="294"/>
    </row>
    <row r="742" spans="2:17" x14ac:dyDescent="0.25">
      <c r="B742" s="294"/>
      <c r="C742" s="294"/>
      <c r="D742" s="294"/>
      <c r="E742" s="294"/>
      <c r="F742" s="294"/>
      <c r="G742" s="294"/>
      <c r="H742" s="294"/>
      <c r="I742" s="294"/>
      <c r="J742" s="294"/>
      <c r="L742" s="295"/>
      <c r="M742" s="294"/>
      <c r="P742" s="294"/>
      <c r="Q742" s="294"/>
    </row>
    <row r="743" spans="2:17" x14ac:dyDescent="0.25">
      <c r="B743" s="294"/>
      <c r="C743" s="294"/>
      <c r="D743" s="294"/>
      <c r="E743" s="294"/>
      <c r="F743" s="294"/>
      <c r="G743" s="294"/>
      <c r="H743" s="294"/>
      <c r="I743" s="294"/>
      <c r="J743" s="294"/>
      <c r="L743" s="295"/>
      <c r="M743" s="294"/>
      <c r="P743" s="294"/>
      <c r="Q743" s="294"/>
    </row>
    <row r="744" spans="2:17" x14ac:dyDescent="0.25">
      <c r="B744" s="294"/>
      <c r="C744" s="294"/>
      <c r="D744" s="294"/>
      <c r="E744" s="294"/>
      <c r="F744" s="294"/>
      <c r="G744" s="294"/>
      <c r="H744" s="294"/>
      <c r="I744" s="294"/>
      <c r="J744" s="294"/>
      <c r="L744" s="295"/>
      <c r="M744" s="294"/>
      <c r="P744" s="294"/>
      <c r="Q744" s="294"/>
    </row>
    <row r="745" spans="2:17" x14ac:dyDescent="0.25">
      <c r="B745" s="294"/>
      <c r="C745" s="294"/>
      <c r="D745" s="294"/>
      <c r="E745" s="294"/>
      <c r="F745" s="294"/>
      <c r="G745" s="294"/>
      <c r="H745" s="294"/>
      <c r="I745" s="294"/>
      <c r="J745" s="294"/>
      <c r="L745" s="295"/>
      <c r="M745" s="294"/>
      <c r="P745" s="294"/>
      <c r="Q745" s="294"/>
    </row>
    <row r="746" spans="2:17" x14ac:dyDescent="0.25">
      <c r="B746" s="294"/>
      <c r="C746" s="294"/>
      <c r="D746" s="294"/>
      <c r="E746" s="294"/>
      <c r="F746" s="294"/>
      <c r="G746" s="294"/>
      <c r="H746" s="294"/>
      <c r="I746" s="294"/>
      <c r="J746" s="294"/>
      <c r="L746" s="295"/>
      <c r="M746" s="294"/>
      <c r="P746" s="294"/>
      <c r="Q746" s="294"/>
    </row>
    <row r="747" spans="2:17" x14ac:dyDescent="0.25">
      <c r="B747" s="294"/>
      <c r="C747" s="294"/>
      <c r="D747" s="294"/>
      <c r="E747" s="294"/>
      <c r="F747" s="294"/>
      <c r="G747" s="294"/>
      <c r="H747" s="294"/>
      <c r="I747" s="294"/>
      <c r="J747" s="294"/>
      <c r="L747" s="295"/>
      <c r="M747" s="294"/>
      <c r="P747" s="294"/>
      <c r="Q747" s="294"/>
    </row>
    <row r="748" spans="2:17" x14ac:dyDescent="0.25">
      <c r="B748" s="294"/>
      <c r="C748" s="294"/>
      <c r="D748" s="294"/>
      <c r="E748" s="294"/>
      <c r="F748" s="294"/>
      <c r="G748" s="294"/>
      <c r="H748" s="294"/>
      <c r="I748" s="294"/>
      <c r="J748" s="294"/>
      <c r="L748" s="295"/>
      <c r="M748" s="294"/>
      <c r="P748" s="294"/>
      <c r="Q748" s="294"/>
    </row>
    <row r="749" spans="2:17" x14ac:dyDescent="0.25">
      <c r="B749" s="294"/>
      <c r="C749" s="294"/>
      <c r="D749" s="294"/>
      <c r="E749" s="294"/>
      <c r="F749" s="294"/>
      <c r="G749" s="294"/>
      <c r="H749" s="294"/>
      <c r="I749" s="294"/>
      <c r="J749" s="294"/>
      <c r="L749" s="295"/>
      <c r="M749" s="294"/>
      <c r="P749" s="294"/>
      <c r="Q749" s="294"/>
    </row>
    <row r="750" spans="2:17" x14ac:dyDescent="0.25">
      <c r="B750" s="294"/>
      <c r="C750" s="294"/>
      <c r="D750" s="294"/>
      <c r="E750" s="294"/>
      <c r="F750" s="294"/>
      <c r="G750" s="294"/>
      <c r="H750" s="294"/>
      <c r="I750" s="294"/>
      <c r="J750" s="294"/>
      <c r="L750" s="295"/>
      <c r="M750" s="294"/>
      <c r="P750" s="294"/>
      <c r="Q750" s="294"/>
    </row>
    <row r="751" spans="2:17" x14ac:dyDescent="0.25">
      <c r="B751" s="294"/>
      <c r="C751" s="294"/>
      <c r="D751" s="294"/>
      <c r="E751" s="294"/>
      <c r="F751" s="294"/>
      <c r="G751" s="294"/>
      <c r="H751" s="294"/>
      <c r="I751" s="294"/>
      <c r="J751" s="294"/>
      <c r="L751" s="295"/>
      <c r="M751" s="294"/>
      <c r="P751" s="294"/>
      <c r="Q751" s="294"/>
    </row>
    <row r="752" spans="2:17" x14ac:dyDescent="0.25">
      <c r="B752" s="294"/>
      <c r="C752" s="294"/>
      <c r="D752" s="294"/>
      <c r="E752" s="294"/>
      <c r="F752" s="294"/>
      <c r="G752" s="294"/>
      <c r="H752" s="294"/>
      <c r="I752" s="294"/>
      <c r="J752" s="294"/>
      <c r="L752" s="295"/>
      <c r="M752" s="294"/>
      <c r="P752" s="294"/>
      <c r="Q752" s="294"/>
    </row>
    <row r="753" spans="2:17" x14ac:dyDescent="0.25">
      <c r="B753" s="294"/>
      <c r="C753" s="294"/>
      <c r="D753" s="294"/>
      <c r="E753" s="294"/>
      <c r="F753" s="294"/>
      <c r="G753" s="294"/>
      <c r="H753" s="294"/>
      <c r="I753" s="294"/>
      <c r="J753" s="294"/>
      <c r="L753" s="295"/>
      <c r="M753" s="294"/>
      <c r="P753" s="294"/>
      <c r="Q753" s="294"/>
    </row>
    <row r="754" spans="2:17" x14ac:dyDescent="0.25">
      <c r="B754" s="294"/>
      <c r="C754" s="294"/>
      <c r="D754" s="294"/>
      <c r="E754" s="294"/>
      <c r="F754" s="294"/>
      <c r="G754" s="294"/>
      <c r="H754" s="294"/>
      <c r="I754" s="294"/>
      <c r="J754" s="294"/>
      <c r="L754" s="295"/>
      <c r="M754" s="294"/>
      <c r="P754" s="294"/>
      <c r="Q754" s="294"/>
    </row>
    <row r="755" spans="2:17" x14ac:dyDescent="0.25">
      <c r="B755" s="294"/>
      <c r="C755" s="294"/>
      <c r="D755" s="294"/>
      <c r="E755" s="294"/>
      <c r="F755" s="294"/>
      <c r="G755" s="294"/>
      <c r="H755" s="294"/>
      <c r="I755" s="294"/>
      <c r="J755" s="294"/>
      <c r="L755" s="295"/>
      <c r="M755" s="294"/>
      <c r="P755" s="294"/>
      <c r="Q755" s="294"/>
    </row>
    <row r="756" spans="2:17" x14ac:dyDescent="0.25">
      <c r="B756" s="294"/>
      <c r="C756" s="294"/>
      <c r="D756" s="294"/>
      <c r="E756" s="294"/>
      <c r="F756" s="294"/>
      <c r="G756" s="294"/>
      <c r="H756" s="294"/>
      <c r="I756" s="294"/>
      <c r="J756" s="294"/>
      <c r="L756" s="295"/>
      <c r="M756" s="294"/>
      <c r="P756" s="294"/>
      <c r="Q756" s="294"/>
    </row>
    <row r="757" spans="2:17" x14ac:dyDescent="0.25">
      <c r="B757" s="294"/>
      <c r="C757" s="294"/>
      <c r="D757" s="294"/>
      <c r="E757" s="294"/>
      <c r="F757" s="294"/>
      <c r="G757" s="294"/>
      <c r="H757" s="294"/>
      <c r="I757" s="294"/>
      <c r="J757" s="294"/>
      <c r="L757" s="295"/>
      <c r="M757" s="294"/>
      <c r="P757" s="294"/>
      <c r="Q757" s="294"/>
    </row>
    <row r="758" spans="2:17" x14ac:dyDescent="0.25">
      <c r="B758" s="294"/>
      <c r="C758" s="294"/>
      <c r="D758" s="294"/>
      <c r="E758" s="294"/>
      <c r="F758" s="294"/>
      <c r="G758" s="294"/>
      <c r="H758" s="294"/>
      <c r="I758" s="294"/>
      <c r="J758" s="294"/>
      <c r="L758" s="295"/>
      <c r="M758" s="294"/>
      <c r="P758" s="294"/>
      <c r="Q758" s="294"/>
    </row>
    <row r="759" spans="2:17" x14ac:dyDescent="0.25">
      <c r="B759" s="294"/>
      <c r="C759" s="294"/>
      <c r="D759" s="294"/>
      <c r="E759" s="294"/>
      <c r="F759" s="294"/>
      <c r="G759" s="294"/>
      <c r="H759" s="294"/>
      <c r="I759" s="294"/>
      <c r="J759" s="294"/>
      <c r="L759" s="295"/>
      <c r="M759" s="294"/>
      <c r="P759" s="294"/>
      <c r="Q759" s="294"/>
    </row>
    <row r="760" spans="2:17" x14ac:dyDescent="0.25">
      <c r="B760" s="294"/>
      <c r="C760" s="294"/>
      <c r="D760" s="294"/>
      <c r="E760" s="294"/>
      <c r="F760" s="294"/>
      <c r="G760" s="294"/>
      <c r="H760" s="294"/>
      <c r="I760" s="294"/>
      <c r="J760" s="294"/>
      <c r="L760" s="295"/>
      <c r="M760" s="294"/>
      <c r="P760" s="294"/>
      <c r="Q760" s="294"/>
    </row>
    <row r="761" spans="2:17" x14ac:dyDescent="0.25">
      <c r="B761" s="294"/>
      <c r="C761" s="294"/>
      <c r="D761" s="294"/>
      <c r="E761" s="294"/>
      <c r="F761" s="294"/>
      <c r="G761" s="294"/>
      <c r="H761" s="294"/>
      <c r="I761" s="294"/>
      <c r="J761" s="294"/>
      <c r="L761" s="295"/>
      <c r="M761" s="294"/>
      <c r="P761" s="294"/>
      <c r="Q761" s="294"/>
    </row>
    <row r="762" spans="2:17" x14ac:dyDescent="0.25">
      <c r="B762" s="294"/>
      <c r="C762" s="294"/>
      <c r="D762" s="294"/>
      <c r="E762" s="294"/>
      <c r="F762" s="294"/>
      <c r="G762" s="294"/>
      <c r="H762" s="294"/>
      <c r="I762" s="294"/>
      <c r="J762" s="294"/>
      <c r="L762" s="295"/>
      <c r="M762" s="294"/>
      <c r="P762" s="294"/>
      <c r="Q762" s="294"/>
    </row>
    <row r="763" spans="2:17" x14ac:dyDescent="0.25">
      <c r="B763" s="294"/>
      <c r="C763" s="294"/>
      <c r="D763" s="294"/>
      <c r="E763" s="294"/>
      <c r="F763" s="294"/>
      <c r="G763" s="294"/>
      <c r="H763" s="294"/>
      <c r="I763" s="294"/>
      <c r="J763" s="294"/>
      <c r="L763" s="295"/>
      <c r="M763" s="294"/>
      <c r="P763" s="294"/>
      <c r="Q763" s="294"/>
    </row>
    <row r="764" spans="2:17" x14ac:dyDescent="0.25">
      <c r="B764" s="294"/>
      <c r="C764" s="294"/>
      <c r="D764" s="294"/>
      <c r="E764" s="294"/>
      <c r="F764" s="294"/>
      <c r="G764" s="294"/>
      <c r="H764" s="294"/>
      <c r="I764" s="294"/>
      <c r="J764" s="294"/>
      <c r="L764" s="295"/>
      <c r="M764" s="294"/>
      <c r="P764" s="294"/>
      <c r="Q764" s="294"/>
    </row>
    <row r="765" spans="2:17" x14ac:dyDescent="0.25">
      <c r="B765" s="294"/>
      <c r="C765" s="294"/>
      <c r="D765" s="294"/>
      <c r="E765" s="294"/>
      <c r="F765" s="294"/>
      <c r="G765" s="294"/>
      <c r="H765" s="294"/>
      <c r="I765" s="294"/>
      <c r="J765" s="294"/>
      <c r="L765" s="295"/>
      <c r="M765" s="294"/>
      <c r="P765" s="294"/>
      <c r="Q765" s="294"/>
    </row>
    <row r="766" spans="2:17" x14ac:dyDescent="0.25">
      <c r="B766" s="294"/>
      <c r="C766" s="294"/>
      <c r="D766" s="294"/>
      <c r="E766" s="294"/>
      <c r="F766" s="294"/>
      <c r="G766" s="294"/>
      <c r="H766" s="294"/>
      <c r="I766" s="294"/>
      <c r="J766" s="294"/>
      <c r="L766" s="295"/>
      <c r="M766" s="294"/>
      <c r="P766" s="294"/>
      <c r="Q766" s="294"/>
    </row>
    <row r="767" spans="2:17" x14ac:dyDescent="0.25">
      <c r="B767" s="294"/>
      <c r="C767" s="294"/>
      <c r="D767" s="294"/>
      <c r="E767" s="294"/>
      <c r="F767" s="294"/>
      <c r="G767" s="294"/>
      <c r="H767" s="294"/>
      <c r="I767" s="294"/>
      <c r="J767" s="294"/>
      <c r="L767" s="295"/>
      <c r="M767" s="294"/>
      <c r="P767" s="294"/>
      <c r="Q767" s="294"/>
    </row>
    <row r="768" spans="2:17" x14ac:dyDescent="0.25">
      <c r="B768" s="294"/>
      <c r="C768" s="294"/>
      <c r="D768" s="294"/>
      <c r="E768" s="294"/>
      <c r="F768" s="294"/>
      <c r="G768" s="294"/>
      <c r="H768" s="294"/>
      <c r="I768" s="294"/>
      <c r="J768" s="294"/>
      <c r="L768" s="295"/>
      <c r="M768" s="294"/>
      <c r="P768" s="294"/>
      <c r="Q768" s="294"/>
    </row>
    <row r="769" spans="2:17" x14ac:dyDescent="0.25">
      <c r="B769" s="294"/>
      <c r="C769" s="294"/>
      <c r="D769" s="294"/>
      <c r="E769" s="294"/>
      <c r="F769" s="294"/>
      <c r="G769" s="294"/>
      <c r="H769" s="294"/>
      <c r="I769" s="294"/>
      <c r="J769" s="294"/>
      <c r="L769" s="295"/>
      <c r="M769" s="294"/>
      <c r="P769" s="294"/>
      <c r="Q769" s="294"/>
    </row>
    <row r="770" spans="2:17" x14ac:dyDescent="0.25">
      <c r="B770" s="294"/>
      <c r="C770" s="294"/>
      <c r="D770" s="294"/>
      <c r="E770" s="294"/>
      <c r="F770" s="294"/>
      <c r="G770" s="294"/>
      <c r="H770" s="294"/>
      <c r="I770" s="294"/>
      <c r="J770" s="294"/>
      <c r="L770" s="295"/>
      <c r="M770" s="294"/>
      <c r="P770" s="294"/>
      <c r="Q770" s="294"/>
    </row>
    <row r="771" spans="2:17" x14ac:dyDescent="0.25">
      <c r="B771" s="294"/>
      <c r="C771" s="294"/>
      <c r="D771" s="294"/>
      <c r="E771" s="294"/>
      <c r="F771" s="294"/>
      <c r="G771" s="294"/>
      <c r="H771" s="294"/>
      <c r="I771" s="294"/>
      <c r="J771" s="294"/>
      <c r="L771" s="295"/>
      <c r="M771" s="294"/>
      <c r="P771" s="294"/>
      <c r="Q771" s="294"/>
    </row>
    <row r="772" spans="2:17" x14ac:dyDescent="0.25">
      <c r="B772" s="294"/>
      <c r="C772" s="294"/>
      <c r="D772" s="294"/>
      <c r="E772" s="294"/>
      <c r="F772" s="294"/>
      <c r="G772" s="294"/>
      <c r="H772" s="294"/>
      <c r="I772" s="294"/>
      <c r="J772" s="294"/>
      <c r="L772" s="295"/>
      <c r="M772" s="294"/>
      <c r="P772" s="294"/>
      <c r="Q772" s="294"/>
    </row>
    <row r="773" spans="2:17" x14ac:dyDescent="0.25">
      <c r="B773" s="294"/>
      <c r="C773" s="294"/>
      <c r="D773" s="294"/>
      <c r="E773" s="294"/>
      <c r="F773" s="294"/>
      <c r="G773" s="294"/>
      <c r="H773" s="294"/>
      <c r="I773" s="294"/>
      <c r="J773" s="294"/>
      <c r="L773" s="295"/>
      <c r="M773" s="294"/>
      <c r="P773" s="294"/>
      <c r="Q773" s="294"/>
    </row>
    <row r="774" spans="2:17" x14ac:dyDescent="0.25">
      <c r="B774" s="294"/>
      <c r="C774" s="294"/>
      <c r="D774" s="294"/>
      <c r="E774" s="294"/>
      <c r="F774" s="294"/>
      <c r="G774" s="294"/>
      <c r="H774" s="294"/>
      <c r="I774" s="294"/>
      <c r="J774" s="294"/>
      <c r="L774" s="295"/>
      <c r="M774" s="294"/>
      <c r="P774" s="294"/>
      <c r="Q774" s="294"/>
    </row>
    <row r="775" spans="2:17" x14ac:dyDescent="0.25">
      <c r="B775" s="294"/>
      <c r="C775" s="294"/>
      <c r="D775" s="294"/>
      <c r="E775" s="294"/>
      <c r="F775" s="294"/>
      <c r="G775" s="294"/>
      <c r="H775" s="294"/>
      <c r="I775" s="294"/>
      <c r="J775" s="294"/>
      <c r="L775" s="295"/>
      <c r="M775" s="294"/>
      <c r="P775" s="294"/>
      <c r="Q775" s="294"/>
    </row>
    <row r="776" spans="2:17" x14ac:dyDescent="0.25">
      <c r="B776" s="294"/>
      <c r="C776" s="294"/>
      <c r="D776" s="294"/>
      <c r="E776" s="294"/>
      <c r="F776" s="294"/>
      <c r="G776" s="294"/>
      <c r="H776" s="294"/>
      <c r="I776" s="294"/>
      <c r="J776" s="294"/>
      <c r="L776" s="295"/>
      <c r="M776" s="294"/>
      <c r="P776" s="294"/>
      <c r="Q776" s="294"/>
    </row>
    <row r="777" spans="2:17" x14ac:dyDescent="0.25">
      <c r="B777" s="294"/>
      <c r="C777" s="294"/>
      <c r="D777" s="294"/>
      <c r="E777" s="294"/>
      <c r="F777" s="294"/>
      <c r="G777" s="294"/>
      <c r="H777" s="294"/>
      <c r="I777" s="294"/>
      <c r="J777" s="294"/>
      <c r="L777" s="295"/>
      <c r="M777" s="294"/>
      <c r="P777" s="294"/>
      <c r="Q777" s="294"/>
    </row>
    <row r="778" spans="2:17" x14ac:dyDescent="0.25">
      <c r="B778" s="294"/>
      <c r="C778" s="294"/>
      <c r="D778" s="294"/>
      <c r="E778" s="294"/>
      <c r="F778" s="294"/>
      <c r="G778" s="294"/>
      <c r="H778" s="294"/>
      <c r="I778" s="294"/>
      <c r="J778" s="294"/>
      <c r="L778" s="295"/>
      <c r="M778" s="294"/>
      <c r="P778" s="294"/>
      <c r="Q778" s="294"/>
    </row>
    <row r="779" spans="2:17" x14ac:dyDescent="0.25">
      <c r="B779" s="294"/>
      <c r="C779" s="294"/>
      <c r="D779" s="294"/>
      <c r="E779" s="294"/>
      <c r="F779" s="294"/>
      <c r="G779" s="294"/>
      <c r="H779" s="294"/>
      <c r="I779" s="294"/>
      <c r="J779" s="294"/>
      <c r="L779" s="295"/>
      <c r="M779" s="294"/>
      <c r="P779" s="294"/>
      <c r="Q779" s="294"/>
    </row>
    <row r="780" spans="2:17" x14ac:dyDescent="0.25">
      <c r="B780" s="294"/>
      <c r="C780" s="294"/>
      <c r="D780" s="294"/>
      <c r="E780" s="294"/>
      <c r="F780" s="294"/>
      <c r="G780" s="294"/>
      <c r="H780" s="294"/>
      <c r="I780" s="294"/>
      <c r="J780" s="294"/>
      <c r="L780" s="295"/>
      <c r="M780" s="294"/>
      <c r="P780" s="294"/>
      <c r="Q780" s="294"/>
    </row>
    <row r="781" spans="2:17" x14ac:dyDescent="0.25">
      <c r="B781" s="294"/>
      <c r="C781" s="294"/>
      <c r="D781" s="294"/>
      <c r="E781" s="294"/>
      <c r="F781" s="294"/>
      <c r="G781" s="294"/>
      <c r="H781" s="294"/>
      <c r="I781" s="294"/>
      <c r="J781" s="294"/>
      <c r="L781" s="295"/>
      <c r="M781" s="294"/>
      <c r="P781" s="294"/>
      <c r="Q781" s="294"/>
    </row>
    <row r="782" spans="2:17" x14ac:dyDescent="0.25">
      <c r="B782" s="294"/>
      <c r="C782" s="294"/>
      <c r="D782" s="294"/>
      <c r="E782" s="294"/>
      <c r="F782" s="294"/>
      <c r="G782" s="294"/>
      <c r="H782" s="294"/>
      <c r="I782" s="294"/>
      <c r="J782" s="294"/>
      <c r="L782" s="295"/>
      <c r="M782" s="294"/>
      <c r="P782" s="294"/>
      <c r="Q782" s="294"/>
    </row>
    <row r="783" spans="2:17" x14ac:dyDescent="0.25">
      <c r="B783" s="294"/>
      <c r="C783" s="294"/>
      <c r="D783" s="294"/>
      <c r="E783" s="294"/>
      <c r="F783" s="294"/>
      <c r="G783" s="294"/>
      <c r="H783" s="294"/>
      <c r="I783" s="294"/>
      <c r="J783" s="294"/>
      <c r="L783" s="295"/>
      <c r="M783" s="294"/>
      <c r="P783" s="294"/>
      <c r="Q783" s="294"/>
    </row>
    <row r="784" spans="2:17" x14ac:dyDescent="0.25">
      <c r="B784" s="294"/>
      <c r="C784" s="294"/>
      <c r="D784" s="294"/>
      <c r="E784" s="294"/>
      <c r="F784" s="294"/>
      <c r="G784" s="294"/>
      <c r="H784" s="294"/>
      <c r="I784" s="294"/>
      <c r="J784" s="294"/>
      <c r="L784" s="295"/>
      <c r="M784" s="294"/>
      <c r="P784" s="294"/>
      <c r="Q784" s="294"/>
    </row>
    <row r="785" spans="2:17" x14ac:dyDescent="0.25">
      <c r="B785" s="294"/>
      <c r="C785" s="294"/>
      <c r="D785" s="294"/>
      <c r="E785" s="294"/>
      <c r="F785" s="294"/>
      <c r="G785" s="294"/>
      <c r="H785" s="294"/>
      <c r="I785" s="294"/>
      <c r="J785" s="294"/>
      <c r="L785" s="295"/>
      <c r="M785" s="294"/>
      <c r="P785" s="294"/>
      <c r="Q785" s="294"/>
    </row>
    <row r="786" spans="2:17" x14ac:dyDescent="0.25">
      <c r="B786" s="294"/>
      <c r="C786" s="294"/>
      <c r="D786" s="294"/>
      <c r="E786" s="294"/>
      <c r="F786" s="294"/>
      <c r="G786" s="294"/>
      <c r="H786" s="294"/>
      <c r="I786" s="294"/>
      <c r="J786" s="294"/>
      <c r="L786" s="295"/>
      <c r="M786" s="294"/>
      <c r="P786" s="294"/>
      <c r="Q786" s="294"/>
    </row>
    <row r="787" spans="2:17" x14ac:dyDescent="0.25">
      <c r="B787" s="294"/>
      <c r="C787" s="294"/>
      <c r="D787" s="294"/>
      <c r="E787" s="294"/>
      <c r="F787" s="294"/>
      <c r="G787" s="294"/>
      <c r="H787" s="294"/>
      <c r="I787" s="294"/>
      <c r="J787" s="294"/>
      <c r="L787" s="295"/>
      <c r="M787" s="294"/>
      <c r="P787" s="294"/>
      <c r="Q787" s="294"/>
    </row>
    <row r="788" spans="2:17" x14ac:dyDescent="0.25">
      <c r="B788" s="294"/>
      <c r="C788" s="294"/>
      <c r="D788" s="294"/>
      <c r="E788" s="294"/>
      <c r="F788" s="294"/>
      <c r="G788" s="294"/>
      <c r="H788" s="294"/>
      <c r="I788" s="294"/>
      <c r="J788" s="294"/>
      <c r="L788" s="295"/>
      <c r="M788" s="294"/>
      <c r="P788" s="294"/>
      <c r="Q788" s="294"/>
    </row>
    <row r="789" spans="2:17" x14ac:dyDescent="0.25">
      <c r="B789" s="294"/>
      <c r="C789" s="294"/>
      <c r="D789" s="294"/>
      <c r="E789" s="294"/>
      <c r="F789" s="294"/>
      <c r="G789" s="294"/>
      <c r="H789" s="294"/>
      <c r="I789" s="294"/>
      <c r="J789" s="294"/>
      <c r="L789" s="295"/>
      <c r="M789" s="294"/>
      <c r="P789" s="294"/>
      <c r="Q789" s="294"/>
    </row>
    <row r="790" spans="2:17" x14ac:dyDescent="0.25">
      <c r="B790" s="294"/>
      <c r="C790" s="294"/>
      <c r="D790" s="294"/>
      <c r="E790" s="294"/>
      <c r="F790" s="294"/>
      <c r="G790" s="294"/>
      <c r="H790" s="294"/>
      <c r="I790" s="294"/>
      <c r="J790" s="294"/>
      <c r="L790" s="295"/>
      <c r="M790" s="294"/>
      <c r="P790" s="294"/>
      <c r="Q790" s="294"/>
    </row>
    <row r="791" spans="2:17" x14ac:dyDescent="0.25">
      <c r="B791" s="294"/>
      <c r="C791" s="294"/>
      <c r="D791" s="294"/>
      <c r="E791" s="294"/>
      <c r="F791" s="294"/>
      <c r="G791" s="294"/>
      <c r="H791" s="294"/>
      <c r="I791" s="294"/>
      <c r="J791" s="294"/>
      <c r="L791" s="295"/>
      <c r="M791" s="294"/>
      <c r="P791" s="294"/>
      <c r="Q791" s="294"/>
    </row>
    <row r="792" spans="2:17" x14ac:dyDescent="0.25">
      <c r="B792" s="294"/>
      <c r="C792" s="294"/>
      <c r="D792" s="294"/>
      <c r="E792" s="294"/>
      <c r="F792" s="294"/>
      <c r="G792" s="294"/>
      <c r="H792" s="294"/>
      <c r="I792" s="294"/>
      <c r="J792" s="294"/>
      <c r="L792" s="295"/>
      <c r="M792" s="294"/>
      <c r="P792" s="294"/>
      <c r="Q792" s="294"/>
    </row>
    <row r="793" spans="2:17" x14ac:dyDescent="0.25">
      <c r="B793" s="294"/>
      <c r="C793" s="294"/>
      <c r="D793" s="294"/>
      <c r="E793" s="294"/>
      <c r="F793" s="294"/>
      <c r="G793" s="294"/>
      <c r="H793" s="294"/>
      <c r="I793" s="294"/>
      <c r="J793" s="294"/>
      <c r="L793" s="295"/>
      <c r="M793" s="294"/>
      <c r="P793" s="294"/>
      <c r="Q793" s="294"/>
    </row>
    <row r="794" spans="2:17" x14ac:dyDescent="0.25">
      <c r="B794" s="294"/>
      <c r="C794" s="294"/>
      <c r="D794" s="294"/>
      <c r="E794" s="294"/>
      <c r="F794" s="294"/>
      <c r="G794" s="294"/>
      <c r="H794" s="294"/>
      <c r="I794" s="294"/>
      <c r="J794" s="294"/>
      <c r="L794" s="295"/>
      <c r="M794" s="294"/>
      <c r="P794" s="294"/>
      <c r="Q794" s="294"/>
    </row>
    <row r="795" spans="2:17" x14ac:dyDescent="0.25">
      <c r="B795" s="294"/>
      <c r="C795" s="294"/>
      <c r="D795" s="294"/>
      <c r="E795" s="294"/>
      <c r="F795" s="294"/>
      <c r="G795" s="294"/>
      <c r="H795" s="294"/>
      <c r="I795" s="294"/>
      <c r="J795" s="294"/>
      <c r="L795" s="295"/>
      <c r="M795" s="294"/>
      <c r="P795" s="294"/>
      <c r="Q795" s="294"/>
    </row>
    <row r="796" spans="2:17" x14ac:dyDescent="0.25">
      <c r="B796" s="294"/>
      <c r="C796" s="294"/>
      <c r="D796" s="294"/>
      <c r="E796" s="294"/>
      <c r="F796" s="294"/>
      <c r="G796" s="294"/>
      <c r="H796" s="294"/>
      <c r="I796" s="294"/>
      <c r="J796" s="294"/>
      <c r="L796" s="295"/>
      <c r="M796" s="294"/>
      <c r="P796" s="294"/>
      <c r="Q796" s="294"/>
    </row>
    <row r="797" spans="2:17" x14ac:dyDescent="0.25">
      <c r="B797" s="294"/>
      <c r="C797" s="294"/>
      <c r="D797" s="294"/>
      <c r="E797" s="294"/>
      <c r="F797" s="294"/>
      <c r="G797" s="294"/>
      <c r="H797" s="294"/>
      <c r="I797" s="294"/>
      <c r="J797" s="294"/>
      <c r="L797" s="295"/>
      <c r="M797" s="294"/>
      <c r="P797" s="294"/>
      <c r="Q797" s="294"/>
    </row>
    <row r="798" spans="2:17" x14ac:dyDescent="0.25">
      <c r="B798" s="294"/>
      <c r="C798" s="294"/>
      <c r="D798" s="294"/>
      <c r="E798" s="294"/>
      <c r="F798" s="294"/>
      <c r="G798" s="294"/>
      <c r="H798" s="294"/>
      <c r="I798" s="294"/>
      <c r="J798" s="294"/>
      <c r="L798" s="295"/>
      <c r="M798" s="294"/>
      <c r="P798" s="294"/>
      <c r="Q798" s="294"/>
    </row>
    <row r="799" spans="2:17" x14ac:dyDescent="0.25">
      <c r="B799" s="294"/>
      <c r="C799" s="294"/>
      <c r="D799" s="294"/>
      <c r="E799" s="294"/>
      <c r="F799" s="294"/>
      <c r="G799" s="294"/>
      <c r="H799" s="294"/>
      <c r="I799" s="294"/>
      <c r="J799" s="294"/>
      <c r="L799" s="295"/>
      <c r="M799" s="294"/>
      <c r="P799" s="294"/>
      <c r="Q799" s="294"/>
    </row>
    <row r="800" spans="2:17" x14ac:dyDescent="0.25">
      <c r="B800" s="294"/>
      <c r="C800" s="294"/>
      <c r="D800" s="294"/>
      <c r="E800" s="294"/>
      <c r="F800" s="294"/>
      <c r="G800" s="294"/>
      <c r="H800" s="294"/>
      <c r="I800" s="294"/>
      <c r="J800" s="294"/>
      <c r="L800" s="295"/>
      <c r="M800" s="294"/>
      <c r="P800" s="294"/>
      <c r="Q800" s="294"/>
    </row>
    <row r="801" spans="2:17" x14ac:dyDescent="0.25">
      <c r="B801" s="294"/>
      <c r="C801" s="294"/>
      <c r="D801" s="294"/>
      <c r="E801" s="294"/>
      <c r="F801" s="294"/>
      <c r="G801" s="294"/>
      <c r="H801" s="294"/>
      <c r="I801" s="294"/>
      <c r="J801" s="294"/>
      <c r="L801" s="295"/>
      <c r="M801" s="294"/>
      <c r="P801" s="294"/>
      <c r="Q801" s="294"/>
    </row>
    <row r="802" spans="2:17" x14ac:dyDescent="0.25">
      <c r="B802" s="294"/>
      <c r="C802" s="294"/>
      <c r="D802" s="294"/>
      <c r="E802" s="294"/>
      <c r="F802" s="294"/>
      <c r="G802" s="294"/>
      <c r="H802" s="294"/>
      <c r="I802" s="294"/>
      <c r="J802" s="294"/>
      <c r="L802" s="295"/>
      <c r="M802" s="294"/>
      <c r="P802" s="294"/>
      <c r="Q802" s="294"/>
    </row>
    <row r="803" spans="2:17" x14ac:dyDescent="0.25">
      <c r="B803" s="294"/>
      <c r="C803" s="294"/>
      <c r="D803" s="294"/>
      <c r="E803" s="294"/>
      <c r="F803" s="294"/>
      <c r="G803" s="294"/>
      <c r="H803" s="294"/>
      <c r="I803" s="294"/>
      <c r="J803" s="294"/>
      <c r="L803" s="295"/>
      <c r="M803" s="294"/>
      <c r="P803" s="294"/>
      <c r="Q803" s="294"/>
    </row>
    <row r="804" spans="2:17" x14ac:dyDescent="0.25">
      <c r="B804" s="294"/>
      <c r="C804" s="294"/>
      <c r="D804" s="294"/>
      <c r="E804" s="294"/>
      <c r="F804" s="294"/>
      <c r="G804" s="294"/>
      <c r="H804" s="294"/>
      <c r="I804" s="294"/>
      <c r="J804" s="294"/>
      <c r="L804" s="295"/>
      <c r="M804" s="294"/>
      <c r="P804" s="294"/>
      <c r="Q804" s="294"/>
    </row>
    <row r="805" spans="2:17" x14ac:dyDescent="0.25">
      <c r="B805" s="294"/>
      <c r="C805" s="294"/>
      <c r="D805" s="294"/>
      <c r="E805" s="294"/>
      <c r="F805" s="294"/>
      <c r="G805" s="294"/>
      <c r="H805" s="294"/>
      <c r="I805" s="294"/>
      <c r="J805" s="294"/>
      <c r="L805" s="295"/>
      <c r="M805" s="294"/>
      <c r="P805" s="294"/>
      <c r="Q805" s="294"/>
    </row>
    <row r="806" spans="2:17" x14ac:dyDescent="0.25">
      <c r="B806" s="294"/>
      <c r="C806" s="294"/>
      <c r="D806" s="294"/>
      <c r="E806" s="294"/>
      <c r="F806" s="294"/>
      <c r="G806" s="294"/>
      <c r="H806" s="294"/>
      <c r="I806" s="294"/>
      <c r="J806" s="294"/>
      <c r="L806" s="295"/>
      <c r="M806" s="294"/>
      <c r="P806" s="294"/>
      <c r="Q806" s="294"/>
    </row>
    <row r="807" spans="2:17" x14ac:dyDescent="0.25">
      <c r="B807" s="294"/>
      <c r="C807" s="294"/>
      <c r="D807" s="294"/>
      <c r="E807" s="294"/>
      <c r="F807" s="294"/>
      <c r="G807" s="294"/>
      <c r="H807" s="294"/>
      <c r="I807" s="294"/>
      <c r="J807" s="294"/>
      <c r="L807" s="295"/>
      <c r="M807" s="294"/>
      <c r="P807" s="294"/>
      <c r="Q807" s="294"/>
    </row>
    <row r="808" spans="2:17" x14ac:dyDescent="0.25">
      <c r="B808" s="294"/>
      <c r="C808" s="294"/>
      <c r="D808" s="294"/>
      <c r="E808" s="294"/>
      <c r="F808" s="294"/>
      <c r="G808" s="294"/>
      <c r="H808" s="294"/>
      <c r="I808" s="294"/>
      <c r="J808" s="294"/>
      <c r="L808" s="295"/>
      <c r="M808" s="294"/>
      <c r="P808" s="294"/>
      <c r="Q808" s="294"/>
    </row>
    <row r="809" spans="2:17" x14ac:dyDescent="0.25">
      <c r="B809" s="294"/>
      <c r="C809" s="294"/>
      <c r="D809" s="294"/>
      <c r="E809" s="294"/>
      <c r="F809" s="294"/>
      <c r="G809" s="294"/>
      <c r="H809" s="294"/>
      <c r="I809" s="294"/>
      <c r="J809" s="294"/>
      <c r="L809" s="295"/>
      <c r="M809" s="294"/>
      <c r="P809" s="294"/>
      <c r="Q809" s="294"/>
    </row>
    <row r="810" spans="2:17" x14ac:dyDescent="0.25">
      <c r="B810" s="294"/>
      <c r="C810" s="294"/>
      <c r="D810" s="294"/>
      <c r="E810" s="294"/>
      <c r="F810" s="294"/>
      <c r="G810" s="294"/>
      <c r="H810" s="294"/>
      <c r="I810" s="294"/>
      <c r="J810" s="294"/>
      <c r="L810" s="295"/>
      <c r="M810" s="294"/>
      <c r="P810" s="294"/>
      <c r="Q810" s="294"/>
    </row>
    <row r="811" spans="2:17" x14ac:dyDescent="0.25">
      <c r="B811" s="294"/>
      <c r="C811" s="294"/>
      <c r="D811" s="294"/>
      <c r="E811" s="294"/>
      <c r="F811" s="294"/>
      <c r="G811" s="294"/>
      <c r="H811" s="294"/>
      <c r="I811" s="294"/>
      <c r="J811" s="294"/>
      <c r="L811" s="295"/>
      <c r="M811" s="294"/>
      <c r="P811" s="294"/>
      <c r="Q811" s="294"/>
    </row>
    <row r="812" spans="2:17" x14ac:dyDescent="0.25">
      <c r="B812" s="294"/>
      <c r="C812" s="294"/>
      <c r="D812" s="294"/>
      <c r="E812" s="294"/>
      <c r="F812" s="294"/>
      <c r="G812" s="294"/>
      <c r="H812" s="294"/>
      <c r="I812" s="294"/>
      <c r="J812" s="294"/>
      <c r="L812" s="295"/>
      <c r="M812" s="294"/>
      <c r="P812" s="294"/>
      <c r="Q812" s="294"/>
    </row>
    <row r="813" spans="2:17" x14ac:dyDescent="0.25">
      <c r="B813" s="294"/>
      <c r="C813" s="294"/>
      <c r="D813" s="294"/>
      <c r="E813" s="294"/>
      <c r="F813" s="294"/>
      <c r="G813" s="294"/>
      <c r="H813" s="294"/>
      <c r="I813" s="294"/>
      <c r="J813" s="294"/>
      <c r="L813" s="295"/>
      <c r="M813" s="294"/>
      <c r="P813" s="294"/>
      <c r="Q813" s="294"/>
    </row>
    <row r="814" spans="2:17" x14ac:dyDescent="0.25">
      <c r="B814" s="294"/>
      <c r="C814" s="294"/>
      <c r="D814" s="294"/>
      <c r="E814" s="294"/>
      <c r="F814" s="294"/>
      <c r="G814" s="294"/>
      <c r="H814" s="294"/>
      <c r="I814" s="294"/>
      <c r="J814" s="294"/>
      <c r="L814" s="295"/>
      <c r="M814" s="294"/>
      <c r="P814" s="294"/>
      <c r="Q814" s="294"/>
    </row>
    <row r="815" spans="2:17" x14ac:dyDescent="0.25">
      <c r="B815" s="294"/>
      <c r="C815" s="294"/>
      <c r="D815" s="294"/>
      <c r="E815" s="294"/>
      <c r="F815" s="294"/>
      <c r="G815" s="294"/>
      <c r="H815" s="294"/>
      <c r="I815" s="294"/>
      <c r="J815" s="294"/>
      <c r="L815" s="295"/>
      <c r="M815" s="294"/>
      <c r="P815" s="294"/>
      <c r="Q815" s="294"/>
    </row>
    <row r="816" spans="2:17" x14ac:dyDescent="0.25">
      <c r="B816" s="294"/>
      <c r="C816" s="294"/>
      <c r="D816" s="294"/>
      <c r="E816" s="294"/>
      <c r="F816" s="294"/>
      <c r="G816" s="294"/>
      <c r="H816" s="294"/>
      <c r="I816" s="294"/>
      <c r="J816" s="294"/>
      <c r="L816" s="295"/>
      <c r="M816" s="294"/>
      <c r="P816" s="294"/>
      <c r="Q816" s="294"/>
    </row>
    <row r="817" spans="2:17" x14ac:dyDescent="0.25">
      <c r="B817" s="294"/>
      <c r="C817" s="294"/>
      <c r="D817" s="294"/>
      <c r="E817" s="294"/>
      <c r="F817" s="294"/>
      <c r="G817" s="294"/>
      <c r="H817" s="294"/>
      <c r="I817" s="294"/>
      <c r="J817" s="294"/>
      <c r="L817" s="295"/>
      <c r="M817" s="294"/>
      <c r="P817" s="294"/>
      <c r="Q817" s="294"/>
    </row>
    <row r="818" spans="2:17" x14ac:dyDescent="0.25">
      <c r="B818" s="294"/>
      <c r="C818" s="294"/>
      <c r="D818" s="294"/>
      <c r="E818" s="294"/>
      <c r="F818" s="294"/>
      <c r="G818" s="294"/>
      <c r="H818" s="294"/>
      <c r="I818" s="294"/>
      <c r="J818" s="294"/>
      <c r="L818" s="295"/>
      <c r="M818" s="294"/>
      <c r="P818" s="294"/>
      <c r="Q818" s="294"/>
    </row>
    <row r="819" spans="2:17" x14ac:dyDescent="0.25">
      <c r="B819" s="294"/>
      <c r="C819" s="294"/>
      <c r="D819" s="294"/>
      <c r="E819" s="294"/>
      <c r="F819" s="294"/>
      <c r="G819" s="294"/>
      <c r="H819" s="294"/>
      <c r="I819" s="294"/>
      <c r="J819" s="294"/>
      <c r="L819" s="295"/>
      <c r="M819" s="294"/>
      <c r="P819" s="294"/>
      <c r="Q819" s="294"/>
    </row>
    <row r="820" spans="2:17" x14ac:dyDescent="0.25">
      <c r="B820" s="294"/>
      <c r="C820" s="294"/>
      <c r="D820" s="294"/>
      <c r="E820" s="294"/>
      <c r="F820" s="294"/>
      <c r="G820" s="294"/>
      <c r="H820" s="294"/>
      <c r="I820" s="294"/>
      <c r="J820" s="294"/>
      <c r="L820" s="295"/>
      <c r="M820" s="294"/>
      <c r="P820" s="294"/>
      <c r="Q820" s="294"/>
    </row>
    <row r="821" spans="2:17" x14ac:dyDescent="0.25">
      <c r="B821" s="294"/>
      <c r="C821" s="294"/>
      <c r="D821" s="294"/>
      <c r="E821" s="294"/>
      <c r="F821" s="294"/>
      <c r="G821" s="294"/>
      <c r="H821" s="294"/>
      <c r="I821" s="294"/>
      <c r="J821" s="294"/>
      <c r="L821" s="295"/>
      <c r="M821" s="294"/>
      <c r="P821" s="294"/>
      <c r="Q821" s="294"/>
    </row>
    <row r="822" spans="2:17" x14ac:dyDescent="0.25">
      <c r="B822" s="294"/>
      <c r="C822" s="294"/>
      <c r="D822" s="294"/>
      <c r="E822" s="294"/>
      <c r="F822" s="294"/>
      <c r="G822" s="294"/>
      <c r="H822" s="294"/>
      <c r="I822" s="294"/>
      <c r="J822" s="294"/>
      <c r="L822" s="295"/>
      <c r="M822" s="294"/>
      <c r="P822" s="294"/>
      <c r="Q822" s="294"/>
    </row>
    <row r="823" spans="2:17" x14ac:dyDescent="0.25">
      <c r="B823" s="294"/>
      <c r="C823" s="294"/>
      <c r="D823" s="294"/>
      <c r="E823" s="294"/>
      <c r="F823" s="294"/>
      <c r="G823" s="294"/>
      <c r="H823" s="294"/>
      <c r="I823" s="294"/>
      <c r="J823" s="294"/>
      <c r="L823" s="295"/>
      <c r="M823" s="294"/>
      <c r="P823" s="294"/>
      <c r="Q823" s="294"/>
    </row>
    <row r="824" spans="2:17" x14ac:dyDescent="0.25">
      <c r="B824" s="294"/>
      <c r="C824" s="294"/>
      <c r="D824" s="294"/>
      <c r="E824" s="294"/>
      <c r="F824" s="294"/>
      <c r="G824" s="294"/>
      <c r="H824" s="294"/>
      <c r="I824" s="294"/>
      <c r="J824" s="294"/>
      <c r="L824" s="295"/>
      <c r="M824" s="294"/>
      <c r="P824" s="294"/>
      <c r="Q824" s="294"/>
    </row>
    <row r="825" spans="2:17" x14ac:dyDescent="0.25">
      <c r="B825" s="294"/>
      <c r="C825" s="294"/>
      <c r="D825" s="294"/>
      <c r="E825" s="294"/>
      <c r="F825" s="294"/>
      <c r="G825" s="294"/>
      <c r="H825" s="294"/>
      <c r="I825" s="294"/>
      <c r="J825" s="294"/>
      <c r="L825" s="295"/>
      <c r="M825" s="294"/>
      <c r="P825" s="294"/>
      <c r="Q825" s="294"/>
    </row>
    <row r="826" spans="2:17" x14ac:dyDescent="0.25">
      <c r="B826" s="294"/>
      <c r="C826" s="294"/>
      <c r="D826" s="294"/>
      <c r="E826" s="294"/>
      <c r="F826" s="294"/>
      <c r="G826" s="294"/>
      <c r="H826" s="294"/>
      <c r="I826" s="294"/>
      <c r="J826" s="294"/>
      <c r="L826" s="295"/>
      <c r="M826" s="294"/>
      <c r="P826" s="294"/>
      <c r="Q826" s="294"/>
    </row>
    <row r="827" spans="2:17" x14ac:dyDescent="0.25">
      <c r="B827" s="294"/>
      <c r="C827" s="294"/>
      <c r="D827" s="294"/>
      <c r="E827" s="294"/>
      <c r="F827" s="294"/>
      <c r="G827" s="294"/>
      <c r="H827" s="294"/>
      <c r="I827" s="294"/>
      <c r="J827" s="294"/>
      <c r="L827" s="295"/>
      <c r="M827" s="294"/>
      <c r="P827" s="294"/>
      <c r="Q827" s="294"/>
    </row>
    <row r="828" spans="2:17" x14ac:dyDescent="0.25">
      <c r="B828" s="294"/>
      <c r="C828" s="294"/>
      <c r="D828" s="294"/>
      <c r="E828" s="294"/>
      <c r="F828" s="294"/>
      <c r="G828" s="294"/>
      <c r="H828" s="294"/>
      <c r="I828" s="294"/>
      <c r="J828" s="294"/>
      <c r="L828" s="295"/>
      <c r="M828" s="294"/>
      <c r="P828" s="294"/>
      <c r="Q828" s="294"/>
    </row>
    <row r="829" spans="2:17" x14ac:dyDescent="0.25">
      <c r="B829" s="294"/>
      <c r="C829" s="294"/>
      <c r="D829" s="294"/>
      <c r="E829" s="294"/>
      <c r="F829" s="294"/>
      <c r="G829" s="294"/>
      <c r="H829" s="294"/>
      <c r="I829" s="294"/>
      <c r="J829" s="294"/>
      <c r="L829" s="295"/>
      <c r="M829" s="294"/>
      <c r="P829" s="294"/>
      <c r="Q829" s="294"/>
    </row>
    <row r="830" spans="2:17" x14ac:dyDescent="0.25">
      <c r="B830" s="294"/>
      <c r="C830" s="294"/>
      <c r="D830" s="294"/>
      <c r="E830" s="294"/>
      <c r="F830" s="294"/>
      <c r="G830" s="294"/>
      <c r="H830" s="294"/>
      <c r="I830" s="294"/>
      <c r="J830" s="294"/>
      <c r="L830" s="295"/>
      <c r="M830" s="294"/>
      <c r="P830" s="294"/>
      <c r="Q830" s="294"/>
    </row>
    <row r="831" spans="2:17" x14ac:dyDescent="0.25">
      <c r="B831" s="294"/>
      <c r="C831" s="294"/>
      <c r="D831" s="294"/>
      <c r="E831" s="294"/>
      <c r="F831" s="294"/>
      <c r="G831" s="294"/>
      <c r="H831" s="294"/>
      <c r="I831" s="294"/>
      <c r="J831" s="294"/>
      <c r="L831" s="295"/>
      <c r="M831" s="294"/>
      <c r="P831" s="294"/>
      <c r="Q831" s="294"/>
    </row>
    <row r="832" spans="2:17" x14ac:dyDescent="0.25">
      <c r="B832" s="294"/>
      <c r="C832" s="294"/>
      <c r="D832" s="294"/>
      <c r="E832" s="294"/>
      <c r="F832" s="294"/>
      <c r="G832" s="294"/>
      <c r="H832" s="294"/>
      <c r="I832" s="294"/>
      <c r="J832" s="294"/>
      <c r="L832" s="295"/>
      <c r="M832" s="294"/>
      <c r="P832" s="294"/>
      <c r="Q832" s="294"/>
    </row>
    <row r="833" spans="2:17" x14ac:dyDescent="0.25">
      <c r="B833" s="294"/>
      <c r="C833" s="294"/>
      <c r="D833" s="294"/>
      <c r="E833" s="294"/>
      <c r="F833" s="294"/>
      <c r="G833" s="294"/>
      <c r="H833" s="294"/>
      <c r="I833" s="294"/>
      <c r="J833" s="294"/>
      <c r="L833" s="295"/>
      <c r="M833" s="294"/>
      <c r="P833" s="294"/>
      <c r="Q833" s="294"/>
    </row>
    <row r="834" spans="2:17" x14ac:dyDescent="0.25">
      <c r="B834" s="294"/>
      <c r="C834" s="294"/>
      <c r="D834" s="294"/>
      <c r="E834" s="294"/>
      <c r="F834" s="294"/>
      <c r="G834" s="294"/>
      <c r="H834" s="294"/>
      <c r="I834" s="294"/>
      <c r="J834" s="294"/>
      <c r="L834" s="295"/>
      <c r="M834" s="294"/>
      <c r="P834" s="294"/>
      <c r="Q834" s="294"/>
    </row>
    <row r="835" spans="2:17" x14ac:dyDescent="0.25">
      <c r="B835" s="294"/>
      <c r="C835" s="294"/>
      <c r="D835" s="294"/>
      <c r="E835" s="294"/>
      <c r="F835" s="294"/>
      <c r="G835" s="294"/>
      <c r="H835" s="294"/>
      <c r="I835" s="294"/>
      <c r="J835" s="294"/>
      <c r="L835" s="295"/>
      <c r="M835" s="294"/>
      <c r="P835" s="294"/>
      <c r="Q835" s="294"/>
    </row>
    <row r="836" spans="2:17" x14ac:dyDescent="0.25">
      <c r="B836" s="294"/>
      <c r="C836" s="294"/>
      <c r="D836" s="294"/>
      <c r="E836" s="294"/>
      <c r="F836" s="294"/>
      <c r="G836" s="294"/>
      <c r="H836" s="294"/>
      <c r="I836" s="294"/>
      <c r="J836" s="294"/>
      <c r="L836" s="295"/>
      <c r="M836" s="294"/>
      <c r="P836" s="294"/>
      <c r="Q836" s="294"/>
    </row>
    <row r="837" spans="2:17" x14ac:dyDescent="0.25">
      <c r="B837" s="294"/>
      <c r="C837" s="294"/>
      <c r="D837" s="294"/>
      <c r="E837" s="294"/>
      <c r="F837" s="294"/>
      <c r="G837" s="294"/>
      <c r="H837" s="294"/>
      <c r="I837" s="294"/>
      <c r="J837" s="294"/>
      <c r="L837" s="295"/>
      <c r="M837" s="294"/>
      <c r="P837" s="294"/>
      <c r="Q837" s="294"/>
    </row>
    <row r="838" spans="2:17" x14ac:dyDescent="0.25">
      <c r="B838" s="294"/>
      <c r="C838" s="294"/>
      <c r="D838" s="294"/>
      <c r="E838" s="294"/>
      <c r="F838" s="294"/>
      <c r="G838" s="294"/>
      <c r="H838" s="294"/>
      <c r="I838" s="294"/>
      <c r="J838" s="294"/>
      <c r="L838" s="295"/>
      <c r="M838" s="294"/>
      <c r="P838" s="294"/>
      <c r="Q838" s="294"/>
    </row>
    <row r="839" spans="2:17" x14ac:dyDescent="0.25">
      <c r="B839" s="294"/>
      <c r="C839" s="294"/>
      <c r="D839" s="294"/>
      <c r="E839" s="294"/>
      <c r="F839" s="294"/>
      <c r="G839" s="294"/>
      <c r="H839" s="294"/>
      <c r="I839" s="294"/>
      <c r="J839" s="294"/>
      <c r="L839" s="295"/>
      <c r="M839" s="294"/>
      <c r="P839" s="294"/>
      <c r="Q839" s="294"/>
    </row>
    <row r="840" spans="2:17" x14ac:dyDescent="0.25">
      <c r="B840" s="294"/>
      <c r="C840" s="294"/>
      <c r="D840" s="294"/>
      <c r="E840" s="294"/>
      <c r="F840" s="294"/>
      <c r="G840" s="294"/>
      <c r="H840" s="294"/>
      <c r="I840" s="294"/>
      <c r="J840" s="294"/>
      <c r="L840" s="295"/>
      <c r="M840" s="294"/>
      <c r="P840" s="294"/>
      <c r="Q840" s="294"/>
    </row>
    <row r="841" spans="2:17" x14ac:dyDescent="0.25">
      <c r="B841" s="294"/>
      <c r="C841" s="294"/>
      <c r="D841" s="294"/>
      <c r="E841" s="294"/>
      <c r="F841" s="294"/>
      <c r="G841" s="294"/>
      <c r="H841" s="294"/>
      <c r="I841" s="294"/>
      <c r="J841" s="294"/>
      <c r="L841" s="295"/>
      <c r="M841" s="294"/>
      <c r="P841" s="294"/>
      <c r="Q841" s="294"/>
    </row>
    <row r="842" spans="2:17" x14ac:dyDescent="0.25">
      <c r="B842" s="294"/>
      <c r="C842" s="294"/>
      <c r="D842" s="294"/>
      <c r="E842" s="294"/>
      <c r="F842" s="294"/>
      <c r="G842" s="294"/>
      <c r="H842" s="294"/>
      <c r="I842" s="294"/>
      <c r="J842" s="294"/>
      <c r="L842" s="295"/>
      <c r="M842" s="294"/>
      <c r="P842" s="294"/>
      <c r="Q842" s="294"/>
    </row>
    <row r="843" spans="2:17" x14ac:dyDescent="0.25">
      <c r="B843" s="294"/>
      <c r="C843" s="294"/>
      <c r="D843" s="294"/>
      <c r="E843" s="294"/>
      <c r="F843" s="294"/>
      <c r="G843" s="294"/>
      <c r="H843" s="294"/>
      <c r="I843" s="294"/>
      <c r="J843" s="294"/>
      <c r="L843" s="295"/>
      <c r="M843" s="294"/>
      <c r="P843" s="294"/>
      <c r="Q843" s="294"/>
    </row>
    <row r="844" spans="2:17" x14ac:dyDescent="0.25">
      <c r="B844" s="294"/>
      <c r="C844" s="294"/>
      <c r="D844" s="294"/>
      <c r="E844" s="294"/>
      <c r="F844" s="294"/>
      <c r="G844" s="294"/>
      <c r="H844" s="294"/>
      <c r="I844" s="294"/>
      <c r="J844" s="294"/>
      <c r="L844" s="295"/>
      <c r="M844" s="294"/>
      <c r="P844" s="294"/>
      <c r="Q844" s="294"/>
    </row>
    <row r="845" spans="2:17" x14ac:dyDescent="0.25">
      <c r="B845" s="294"/>
      <c r="C845" s="294"/>
      <c r="D845" s="294"/>
      <c r="E845" s="294"/>
      <c r="F845" s="294"/>
      <c r="G845" s="294"/>
      <c r="H845" s="294"/>
      <c r="I845" s="294"/>
      <c r="J845" s="294"/>
      <c r="L845" s="295"/>
      <c r="M845" s="294"/>
      <c r="P845" s="294"/>
      <c r="Q845" s="294"/>
    </row>
    <row r="846" spans="2:17" x14ac:dyDescent="0.25">
      <c r="B846" s="294"/>
      <c r="C846" s="294"/>
      <c r="D846" s="294"/>
      <c r="E846" s="294"/>
      <c r="F846" s="294"/>
      <c r="G846" s="294"/>
      <c r="H846" s="294"/>
      <c r="I846" s="294"/>
      <c r="J846" s="294"/>
      <c r="L846" s="295"/>
      <c r="M846" s="294"/>
      <c r="P846" s="294"/>
      <c r="Q846" s="294"/>
    </row>
    <row r="847" spans="2:17" x14ac:dyDescent="0.25">
      <c r="B847" s="294"/>
      <c r="C847" s="294"/>
      <c r="D847" s="294"/>
      <c r="E847" s="294"/>
      <c r="F847" s="294"/>
      <c r="G847" s="294"/>
      <c r="H847" s="294"/>
      <c r="I847" s="294"/>
      <c r="J847" s="294"/>
      <c r="L847" s="295"/>
      <c r="M847" s="294"/>
      <c r="P847" s="294"/>
      <c r="Q847" s="294"/>
    </row>
    <row r="848" spans="2:17" x14ac:dyDescent="0.25">
      <c r="B848" s="294"/>
      <c r="C848" s="294"/>
      <c r="D848" s="294"/>
      <c r="E848" s="294"/>
      <c r="F848" s="294"/>
      <c r="G848" s="294"/>
      <c r="H848" s="294"/>
      <c r="I848" s="294"/>
      <c r="J848" s="294"/>
      <c r="L848" s="295"/>
      <c r="M848" s="294"/>
      <c r="P848" s="294"/>
      <c r="Q848" s="294"/>
    </row>
    <row r="849" spans="2:17" x14ac:dyDescent="0.25">
      <c r="B849" s="294"/>
      <c r="C849" s="294"/>
      <c r="D849" s="294"/>
      <c r="E849" s="294"/>
      <c r="F849" s="294"/>
      <c r="G849" s="294"/>
      <c r="H849" s="294"/>
      <c r="I849" s="294"/>
      <c r="J849" s="294"/>
      <c r="L849" s="295"/>
      <c r="M849" s="294"/>
      <c r="P849" s="294"/>
      <c r="Q849" s="294"/>
    </row>
    <row r="850" spans="2:17" x14ac:dyDescent="0.25">
      <c r="B850" s="294"/>
      <c r="C850" s="294"/>
      <c r="D850" s="294"/>
      <c r="E850" s="294"/>
      <c r="F850" s="294"/>
      <c r="G850" s="294"/>
      <c r="H850" s="294"/>
      <c r="I850" s="294"/>
      <c r="J850" s="294"/>
      <c r="L850" s="295"/>
      <c r="M850" s="294"/>
      <c r="P850" s="294"/>
      <c r="Q850" s="294"/>
    </row>
    <row r="851" spans="2:17" x14ac:dyDescent="0.25">
      <c r="B851" s="294"/>
      <c r="C851" s="294"/>
      <c r="D851" s="294"/>
      <c r="E851" s="294"/>
      <c r="F851" s="294"/>
      <c r="G851" s="294"/>
      <c r="H851" s="294"/>
      <c r="I851" s="294"/>
      <c r="J851" s="294"/>
      <c r="L851" s="295"/>
      <c r="M851" s="294"/>
      <c r="P851" s="294"/>
      <c r="Q851" s="294"/>
    </row>
    <row r="852" spans="2:17" x14ac:dyDescent="0.25">
      <c r="B852" s="294"/>
      <c r="C852" s="294"/>
      <c r="D852" s="294"/>
      <c r="E852" s="294"/>
      <c r="F852" s="294"/>
      <c r="G852" s="294"/>
      <c r="H852" s="294"/>
      <c r="I852" s="294"/>
      <c r="J852" s="294"/>
      <c r="L852" s="295"/>
      <c r="M852" s="294"/>
      <c r="P852" s="294"/>
      <c r="Q852" s="294"/>
    </row>
    <row r="853" spans="2:17" x14ac:dyDescent="0.25">
      <c r="B853" s="294"/>
      <c r="C853" s="294"/>
      <c r="D853" s="294"/>
      <c r="E853" s="294"/>
      <c r="F853" s="294"/>
      <c r="G853" s="294"/>
      <c r="H853" s="294"/>
      <c r="I853" s="294"/>
      <c r="J853" s="294"/>
      <c r="L853" s="295"/>
      <c r="M853" s="294"/>
      <c r="P853" s="294"/>
      <c r="Q853" s="294"/>
    </row>
    <row r="854" spans="2:17" x14ac:dyDescent="0.25">
      <c r="B854" s="294"/>
      <c r="C854" s="294"/>
      <c r="D854" s="294"/>
      <c r="E854" s="294"/>
      <c r="F854" s="294"/>
      <c r="G854" s="294"/>
      <c r="H854" s="294"/>
      <c r="I854" s="294"/>
      <c r="J854" s="294"/>
      <c r="L854" s="295"/>
      <c r="M854" s="294"/>
      <c r="P854" s="294"/>
      <c r="Q854" s="294"/>
    </row>
    <row r="855" spans="2:17" x14ac:dyDescent="0.25">
      <c r="B855" s="294"/>
      <c r="C855" s="294"/>
      <c r="D855" s="294"/>
      <c r="E855" s="294"/>
      <c r="F855" s="294"/>
      <c r="G855" s="294"/>
      <c r="H855" s="294"/>
      <c r="I855" s="294"/>
      <c r="J855" s="294"/>
      <c r="L855" s="295"/>
      <c r="M855" s="294"/>
      <c r="P855" s="294"/>
      <c r="Q855" s="294"/>
    </row>
    <row r="856" spans="2:17" x14ac:dyDescent="0.25">
      <c r="B856" s="294"/>
      <c r="C856" s="294"/>
      <c r="D856" s="294"/>
      <c r="E856" s="294"/>
      <c r="F856" s="294"/>
      <c r="G856" s="294"/>
      <c r="H856" s="294"/>
      <c r="I856" s="294"/>
      <c r="J856" s="294"/>
      <c r="L856" s="295"/>
      <c r="M856" s="294"/>
      <c r="P856" s="294"/>
      <c r="Q856" s="294"/>
    </row>
    <row r="857" spans="2:17" x14ac:dyDescent="0.25">
      <c r="B857" s="294"/>
      <c r="C857" s="294"/>
      <c r="D857" s="294"/>
      <c r="E857" s="294"/>
      <c r="F857" s="294"/>
      <c r="G857" s="294"/>
      <c r="H857" s="294"/>
      <c r="I857" s="294"/>
      <c r="J857" s="294"/>
      <c r="L857" s="295"/>
      <c r="M857" s="294"/>
      <c r="P857" s="294"/>
      <c r="Q857" s="294"/>
    </row>
    <row r="858" spans="2:17" x14ac:dyDescent="0.25">
      <c r="B858" s="294"/>
      <c r="C858" s="294"/>
      <c r="D858" s="294"/>
      <c r="E858" s="294"/>
      <c r="F858" s="294"/>
      <c r="G858" s="294"/>
      <c r="H858" s="294"/>
      <c r="I858" s="294"/>
      <c r="J858" s="294"/>
      <c r="L858" s="295"/>
      <c r="M858" s="294"/>
      <c r="P858" s="294"/>
      <c r="Q858" s="294"/>
    </row>
    <row r="859" spans="2:17" x14ac:dyDescent="0.25">
      <c r="B859" s="294"/>
      <c r="C859" s="294"/>
      <c r="D859" s="294"/>
      <c r="E859" s="294"/>
      <c r="F859" s="294"/>
      <c r="G859" s="294"/>
      <c r="H859" s="294"/>
      <c r="I859" s="294"/>
      <c r="J859" s="294"/>
      <c r="L859" s="295"/>
      <c r="M859" s="294"/>
      <c r="P859" s="294"/>
      <c r="Q859" s="294"/>
    </row>
    <row r="860" spans="2:17" x14ac:dyDescent="0.25">
      <c r="B860" s="294"/>
      <c r="C860" s="294"/>
      <c r="D860" s="294"/>
      <c r="E860" s="294"/>
      <c r="F860" s="294"/>
      <c r="G860" s="294"/>
      <c r="H860" s="294"/>
      <c r="I860" s="294"/>
      <c r="J860" s="294"/>
      <c r="L860" s="295"/>
      <c r="M860" s="294"/>
      <c r="P860" s="294"/>
      <c r="Q860" s="294"/>
    </row>
    <row r="861" spans="2:17" x14ac:dyDescent="0.25">
      <c r="B861" s="294"/>
      <c r="C861" s="294"/>
      <c r="D861" s="294"/>
      <c r="E861" s="294"/>
      <c r="F861" s="294"/>
      <c r="G861" s="294"/>
      <c r="H861" s="294"/>
      <c r="I861" s="294"/>
      <c r="J861" s="294"/>
      <c r="L861" s="295"/>
      <c r="M861" s="294"/>
      <c r="P861" s="294"/>
      <c r="Q861" s="294"/>
    </row>
    <row r="862" spans="2:17" x14ac:dyDescent="0.25">
      <c r="B862" s="294"/>
      <c r="C862" s="294"/>
      <c r="D862" s="294"/>
      <c r="E862" s="294"/>
      <c r="F862" s="294"/>
      <c r="G862" s="294"/>
      <c r="H862" s="294"/>
      <c r="I862" s="294"/>
      <c r="J862" s="294"/>
      <c r="L862" s="295"/>
      <c r="M862" s="294"/>
      <c r="P862" s="294"/>
      <c r="Q862" s="294"/>
    </row>
    <row r="863" spans="2:17" x14ac:dyDescent="0.25">
      <c r="B863" s="294"/>
      <c r="C863" s="294"/>
      <c r="D863" s="294"/>
      <c r="E863" s="294"/>
      <c r="F863" s="294"/>
      <c r="G863" s="294"/>
      <c r="H863" s="294"/>
      <c r="I863" s="294"/>
      <c r="J863" s="294"/>
      <c r="L863" s="295"/>
      <c r="M863" s="294"/>
      <c r="P863" s="294"/>
      <c r="Q863" s="294"/>
    </row>
    <row r="864" spans="2:17" x14ac:dyDescent="0.25">
      <c r="B864" s="294"/>
      <c r="C864" s="294"/>
      <c r="D864" s="294"/>
      <c r="E864" s="294"/>
      <c r="F864" s="294"/>
      <c r="G864" s="294"/>
      <c r="H864" s="294"/>
      <c r="I864" s="294"/>
      <c r="J864" s="294"/>
      <c r="L864" s="295"/>
      <c r="M864" s="294"/>
      <c r="P864" s="294"/>
      <c r="Q864" s="294"/>
    </row>
    <row r="865" spans="2:17" x14ac:dyDescent="0.25">
      <c r="B865" s="294"/>
      <c r="C865" s="294"/>
      <c r="D865" s="294"/>
      <c r="E865" s="294"/>
      <c r="F865" s="294"/>
      <c r="G865" s="294"/>
      <c r="H865" s="294"/>
      <c r="I865" s="294"/>
      <c r="J865" s="294"/>
      <c r="L865" s="295"/>
      <c r="M865" s="294"/>
      <c r="P865" s="294"/>
      <c r="Q865" s="294"/>
    </row>
    <row r="866" spans="2:17" x14ac:dyDescent="0.25">
      <c r="B866" s="294"/>
      <c r="C866" s="294"/>
      <c r="D866" s="294"/>
      <c r="E866" s="294"/>
      <c r="F866" s="294"/>
      <c r="G866" s="294"/>
      <c r="H866" s="294"/>
      <c r="I866" s="294"/>
      <c r="J866" s="294"/>
      <c r="L866" s="295"/>
      <c r="M866" s="294"/>
      <c r="P866" s="294"/>
      <c r="Q866" s="294"/>
    </row>
    <row r="867" spans="2:17" x14ac:dyDescent="0.25">
      <c r="B867" s="294"/>
      <c r="C867" s="294"/>
      <c r="D867" s="294"/>
      <c r="E867" s="294"/>
      <c r="F867" s="294"/>
      <c r="G867" s="294"/>
      <c r="H867" s="294"/>
      <c r="I867" s="294"/>
      <c r="J867" s="294"/>
      <c r="L867" s="295"/>
      <c r="M867" s="294"/>
      <c r="P867" s="294"/>
      <c r="Q867" s="294"/>
    </row>
    <row r="868" spans="2:17" x14ac:dyDescent="0.25">
      <c r="B868" s="294"/>
      <c r="C868" s="294"/>
      <c r="D868" s="294"/>
      <c r="E868" s="294"/>
      <c r="F868" s="294"/>
      <c r="G868" s="294"/>
      <c r="H868" s="294"/>
      <c r="I868" s="294"/>
      <c r="J868" s="294"/>
      <c r="L868" s="295"/>
      <c r="M868" s="294"/>
      <c r="P868" s="294"/>
      <c r="Q868" s="294"/>
    </row>
    <row r="869" spans="2:17" x14ac:dyDescent="0.25">
      <c r="B869" s="294"/>
      <c r="C869" s="294"/>
      <c r="D869" s="294"/>
      <c r="E869" s="294"/>
      <c r="F869" s="294"/>
      <c r="G869" s="294"/>
      <c r="H869" s="294"/>
      <c r="I869" s="294"/>
      <c r="J869" s="294"/>
      <c r="L869" s="295"/>
      <c r="M869" s="294"/>
      <c r="P869" s="294"/>
      <c r="Q869" s="294"/>
    </row>
    <row r="870" spans="2:17" x14ac:dyDescent="0.25">
      <c r="B870" s="294"/>
      <c r="C870" s="294"/>
      <c r="D870" s="294"/>
      <c r="E870" s="294"/>
      <c r="F870" s="294"/>
      <c r="G870" s="294"/>
      <c r="H870" s="294"/>
      <c r="I870" s="294"/>
      <c r="J870" s="294"/>
      <c r="L870" s="295"/>
      <c r="M870" s="294"/>
      <c r="P870" s="294"/>
      <c r="Q870" s="294"/>
    </row>
    <row r="871" spans="2:17" x14ac:dyDescent="0.25">
      <c r="B871" s="294"/>
      <c r="C871" s="294"/>
      <c r="D871" s="294"/>
      <c r="E871" s="294"/>
      <c r="F871" s="294"/>
      <c r="G871" s="294"/>
      <c r="H871" s="294"/>
      <c r="I871" s="294"/>
      <c r="J871" s="294"/>
      <c r="L871" s="295"/>
      <c r="M871" s="294"/>
      <c r="P871" s="294"/>
      <c r="Q871" s="294"/>
    </row>
    <row r="872" spans="2:17" x14ac:dyDescent="0.25">
      <c r="B872" s="294"/>
      <c r="C872" s="294"/>
      <c r="D872" s="294"/>
      <c r="E872" s="294"/>
      <c r="F872" s="294"/>
      <c r="G872" s="294"/>
      <c r="H872" s="294"/>
      <c r="I872" s="294"/>
      <c r="J872" s="294"/>
      <c r="L872" s="295"/>
      <c r="M872" s="294"/>
      <c r="P872" s="294"/>
      <c r="Q872" s="294"/>
    </row>
    <row r="873" spans="2:17" x14ac:dyDescent="0.25">
      <c r="B873" s="294"/>
      <c r="C873" s="294"/>
      <c r="D873" s="294"/>
      <c r="E873" s="294"/>
      <c r="F873" s="294"/>
      <c r="G873" s="294"/>
      <c r="H873" s="294"/>
      <c r="I873" s="294"/>
      <c r="J873" s="294"/>
      <c r="L873" s="295"/>
      <c r="M873" s="294"/>
      <c r="P873" s="294"/>
      <c r="Q873" s="294"/>
    </row>
    <row r="874" spans="2:17" x14ac:dyDescent="0.25">
      <c r="B874" s="294"/>
      <c r="C874" s="294"/>
      <c r="D874" s="294"/>
      <c r="E874" s="294"/>
      <c r="F874" s="294"/>
      <c r="G874" s="294"/>
      <c r="H874" s="294"/>
      <c r="I874" s="294"/>
      <c r="J874" s="294"/>
      <c r="L874" s="295"/>
      <c r="M874" s="294"/>
      <c r="P874" s="294"/>
      <c r="Q874" s="294"/>
    </row>
    <row r="875" spans="2:17" x14ac:dyDescent="0.25">
      <c r="B875" s="294"/>
      <c r="C875" s="294"/>
      <c r="D875" s="294"/>
      <c r="E875" s="294"/>
      <c r="F875" s="294"/>
      <c r="G875" s="294"/>
      <c r="H875" s="294"/>
      <c r="I875" s="294"/>
      <c r="J875" s="294"/>
      <c r="L875" s="295"/>
      <c r="M875" s="294"/>
      <c r="P875" s="294"/>
      <c r="Q875" s="294"/>
    </row>
    <row r="876" spans="2:17" x14ac:dyDescent="0.25">
      <c r="B876" s="294"/>
      <c r="C876" s="294"/>
      <c r="D876" s="294"/>
      <c r="E876" s="294"/>
      <c r="F876" s="294"/>
      <c r="G876" s="294"/>
      <c r="H876" s="294"/>
      <c r="I876" s="294"/>
      <c r="J876" s="294"/>
      <c r="L876" s="295"/>
      <c r="M876" s="294"/>
      <c r="P876" s="294"/>
      <c r="Q876" s="294"/>
    </row>
    <row r="877" spans="2:17" x14ac:dyDescent="0.25">
      <c r="B877" s="294"/>
      <c r="C877" s="294"/>
      <c r="D877" s="294"/>
      <c r="E877" s="294"/>
      <c r="F877" s="294"/>
      <c r="G877" s="294"/>
      <c r="H877" s="294"/>
      <c r="I877" s="294"/>
      <c r="J877" s="294"/>
      <c r="L877" s="295"/>
      <c r="M877" s="294"/>
      <c r="P877" s="294"/>
      <c r="Q877" s="294"/>
    </row>
    <row r="878" spans="2:17" x14ac:dyDescent="0.25">
      <c r="B878" s="294"/>
      <c r="C878" s="294"/>
      <c r="D878" s="294"/>
      <c r="E878" s="294"/>
      <c r="F878" s="294"/>
      <c r="G878" s="294"/>
      <c r="H878" s="294"/>
      <c r="I878" s="294"/>
      <c r="J878" s="294"/>
      <c r="L878" s="295"/>
      <c r="M878" s="294"/>
      <c r="P878" s="294"/>
      <c r="Q878" s="294"/>
    </row>
    <row r="879" spans="2:17" x14ac:dyDescent="0.25">
      <c r="B879" s="294"/>
      <c r="C879" s="294"/>
      <c r="D879" s="294"/>
      <c r="E879" s="294"/>
      <c r="F879" s="294"/>
      <c r="G879" s="294"/>
      <c r="H879" s="294"/>
      <c r="I879" s="294"/>
      <c r="J879" s="294"/>
      <c r="L879" s="295"/>
      <c r="M879" s="294"/>
      <c r="P879" s="294"/>
      <c r="Q879" s="294"/>
    </row>
    <row r="880" spans="2:17" x14ac:dyDescent="0.25">
      <c r="B880" s="294"/>
      <c r="C880" s="294"/>
      <c r="D880" s="294"/>
      <c r="E880" s="294"/>
      <c r="F880" s="294"/>
      <c r="G880" s="294"/>
      <c r="H880" s="294"/>
      <c r="I880" s="294"/>
      <c r="J880" s="294"/>
      <c r="L880" s="295"/>
      <c r="M880" s="294"/>
      <c r="P880" s="294"/>
      <c r="Q880" s="294"/>
    </row>
    <row r="881" spans="2:17" x14ac:dyDescent="0.25">
      <c r="B881" s="294"/>
      <c r="C881" s="294"/>
      <c r="D881" s="294"/>
      <c r="E881" s="294"/>
      <c r="F881" s="294"/>
      <c r="G881" s="294"/>
      <c r="H881" s="294"/>
      <c r="I881" s="294"/>
      <c r="J881" s="294"/>
      <c r="L881" s="295"/>
      <c r="M881" s="294"/>
      <c r="P881" s="294"/>
      <c r="Q881" s="294"/>
    </row>
    <row r="882" spans="2:17" x14ac:dyDescent="0.25">
      <c r="B882" s="294"/>
      <c r="C882" s="294"/>
      <c r="D882" s="294"/>
      <c r="E882" s="294"/>
      <c r="F882" s="294"/>
      <c r="G882" s="294"/>
      <c r="H882" s="294"/>
      <c r="I882" s="294"/>
      <c r="J882" s="294"/>
      <c r="L882" s="295"/>
      <c r="M882" s="294"/>
      <c r="P882" s="294"/>
      <c r="Q882" s="294"/>
    </row>
    <row r="883" spans="2:17" x14ac:dyDescent="0.25">
      <c r="B883" s="294"/>
      <c r="C883" s="294"/>
      <c r="D883" s="294"/>
      <c r="E883" s="294"/>
      <c r="F883" s="294"/>
      <c r="G883" s="294"/>
      <c r="H883" s="294"/>
      <c r="I883" s="294"/>
      <c r="J883" s="294"/>
      <c r="L883" s="295"/>
      <c r="M883" s="294"/>
      <c r="P883" s="294"/>
      <c r="Q883" s="294"/>
    </row>
    <row r="884" spans="2:17" x14ac:dyDescent="0.25">
      <c r="B884" s="294"/>
      <c r="C884" s="294"/>
      <c r="D884" s="294"/>
      <c r="E884" s="294"/>
      <c r="F884" s="294"/>
      <c r="G884" s="294"/>
      <c r="H884" s="294"/>
      <c r="I884" s="294"/>
      <c r="J884" s="294"/>
      <c r="L884" s="295"/>
      <c r="M884" s="294"/>
      <c r="P884" s="294"/>
      <c r="Q884" s="294"/>
    </row>
    <row r="885" spans="2:17" x14ac:dyDescent="0.25">
      <c r="B885" s="294"/>
      <c r="C885" s="294"/>
      <c r="D885" s="294"/>
      <c r="E885" s="294"/>
      <c r="F885" s="294"/>
      <c r="G885" s="294"/>
      <c r="H885" s="294"/>
      <c r="I885" s="294"/>
      <c r="J885" s="294"/>
      <c r="L885" s="295"/>
      <c r="M885" s="294"/>
      <c r="P885" s="294"/>
      <c r="Q885" s="294"/>
    </row>
    <row r="886" spans="2:17" x14ac:dyDescent="0.25">
      <c r="B886" s="294"/>
      <c r="C886" s="294"/>
      <c r="D886" s="294"/>
      <c r="E886" s="294"/>
      <c r="F886" s="294"/>
      <c r="G886" s="294"/>
      <c r="H886" s="294"/>
      <c r="I886" s="294"/>
      <c r="J886" s="294"/>
      <c r="L886" s="295"/>
      <c r="M886" s="294"/>
      <c r="P886" s="294"/>
      <c r="Q886" s="294"/>
    </row>
    <row r="887" spans="2:17" x14ac:dyDescent="0.25">
      <c r="B887" s="294"/>
      <c r="C887" s="294"/>
      <c r="D887" s="294"/>
      <c r="E887" s="294"/>
      <c r="F887" s="294"/>
      <c r="G887" s="294"/>
      <c r="H887" s="294"/>
      <c r="I887" s="294"/>
      <c r="J887" s="294"/>
      <c r="L887" s="295"/>
      <c r="M887" s="294"/>
      <c r="P887" s="294"/>
      <c r="Q887" s="294"/>
    </row>
    <row r="888" spans="2:17" x14ac:dyDescent="0.25">
      <c r="B888" s="294"/>
      <c r="C888" s="294"/>
      <c r="D888" s="294"/>
      <c r="E888" s="294"/>
      <c r="F888" s="294"/>
      <c r="G888" s="294"/>
      <c r="H888" s="294"/>
      <c r="I888" s="294"/>
      <c r="J888" s="294"/>
      <c r="L888" s="295"/>
      <c r="M888" s="294"/>
      <c r="P888" s="294"/>
      <c r="Q888" s="294"/>
    </row>
    <row r="889" spans="2:17" x14ac:dyDescent="0.25">
      <c r="B889" s="294"/>
      <c r="C889" s="294"/>
      <c r="D889" s="294"/>
      <c r="E889" s="294"/>
      <c r="F889" s="294"/>
      <c r="G889" s="294"/>
      <c r="H889" s="294"/>
      <c r="I889" s="294"/>
      <c r="J889" s="294"/>
      <c r="L889" s="295"/>
      <c r="M889" s="294"/>
      <c r="P889" s="294"/>
      <c r="Q889" s="294"/>
    </row>
    <row r="890" spans="2:17" x14ac:dyDescent="0.25">
      <c r="B890" s="294"/>
      <c r="C890" s="294"/>
      <c r="D890" s="294"/>
      <c r="E890" s="294"/>
      <c r="F890" s="294"/>
      <c r="G890" s="294"/>
      <c r="H890" s="294"/>
      <c r="I890" s="294"/>
      <c r="J890" s="294"/>
      <c r="L890" s="295"/>
      <c r="M890" s="294"/>
      <c r="P890" s="294"/>
      <c r="Q890" s="294"/>
    </row>
    <row r="891" spans="2:17" x14ac:dyDescent="0.25">
      <c r="B891" s="294"/>
      <c r="C891" s="294"/>
      <c r="D891" s="294"/>
      <c r="E891" s="294"/>
      <c r="F891" s="294"/>
      <c r="G891" s="294"/>
      <c r="H891" s="294"/>
      <c r="I891" s="294"/>
      <c r="J891" s="294"/>
      <c r="L891" s="295"/>
      <c r="M891" s="294"/>
      <c r="P891" s="294"/>
      <c r="Q891" s="294"/>
    </row>
    <row r="892" spans="2:17" x14ac:dyDescent="0.25">
      <c r="B892" s="294"/>
      <c r="C892" s="294"/>
      <c r="D892" s="294"/>
      <c r="E892" s="294"/>
      <c r="F892" s="294"/>
      <c r="G892" s="294"/>
      <c r="H892" s="294"/>
      <c r="I892" s="294"/>
      <c r="J892" s="294"/>
      <c r="L892" s="295"/>
      <c r="M892" s="294"/>
      <c r="P892" s="294"/>
      <c r="Q892" s="294"/>
    </row>
    <row r="893" spans="2:17" x14ac:dyDescent="0.25">
      <c r="B893" s="294"/>
      <c r="C893" s="294"/>
      <c r="D893" s="294"/>
      <c r="E893" s="294"/>
      <c r="F893" s="294"/>
      <c r="G893" s="294"/>
      <c r="H893" s="294"/>
      <c r="I893" s="294"/>
      <c r="J893" s="294"/>
      <c r="L893" s="295"/>
      <c r="M893" s="294"/>
      <c r="P893" s="294"/>
      <c r="Q893" s="294"/>
    </row>
    <row r="894" spans="2:17" x14ac:dyDescent="0.25">
      <c r="B894" s="294"/>
      <c r="C894" s="294"/>
      <c r="D894" s="294"/>
      <c r="E894" s="294"/>
      <c r="F894" s="294"/>
      <c r="G894" s="294"/>
      <c r="H894" s="294"/>
      <c r="I894" s="294"/>
      <c r="J894" s="294"/>
      <c r="L894" s="295"/>
      <c r="M894" s="294"/>
      <c r="P894" s="294"/>
      <c r="Q894" s="294"/>
    </row>
    <row r="895" spans="2:17" x14ac:dyDescent="0.25">
      <c r="B895" s="294"/>
      <c r="C895" s="294"/>
      <c r="D895" s="294"/>
      <c r="E895" s="294"/>
      <c r="F895" s="294"/>
      <c r="G895" s="294"/>
      <c r="H895" s="294"/>
      <c r="I895" s="294"/>
      <c r="J895" s="294"/>
      <c r="L895" s="295"/>
      <c r="M895" s="294"/>
      <c r="P895" s="294"/>
      <c r="Q895" s="294"/>
    </row>
    <row r="896" spans="2:17" x14ac:dyDescent="0.25">
      <c r="B896" s="294"/>
      <c r="C896" s="294"/>
      <c r="D896" s="294"/>
      <c r="E896" s="294"/>
      <c r="F896" s="294"/>
      <c r="G896" s="294"/>
      <c r="H896" s="294"/>
      <c r="I896" s="294"/>
      <c r="J896" s="294"/>
      <c r="L896" s="295"/>
      <c r="M896" s="294"/>
      <c r="P896" s="294"/>
      <c r="Q896" s="294"/>
    </row>
    <row r="897" spans="2:17" x14ac:dyDescent="0.25">
      <c r="B897" s="294"/>
      <c r="C897" s="294"/>
      <c r="D897" s="294"/>
      <c r="E897" s="294"/>
      <c r="F897" s="294"/>
      <c r="G897" s="294"/>
      <c r="H897" s="294"/>
      <c r="I897" s="294"/>
      <c r="J897" s="294"/>
      <c r="L897" s="295"/>
      <c r="M897" s="294"/>
      <c r="P897" s="294"/>
      <c r="Q897" s="294"/>
    </row>
    <row r="898" spans="2:17" x14ac:dyDescent="0.25">
      <c r="B898" s="294"/>
      <c r="C898" s="294"/>
      <c r="D898" s="294"/>
      <c r="E898" s="294"/>
      <c r="F898" s="294"/>
      <c r="G898" s="294"/>
      <c r="H898" s="294"/>
      <c r="I898" s="294"/>
      <c r="J898" s="294"/>
      <c r="L898" s="295"/>
      <c r="M898" s="294"/>
      <c r="P898" s="294"/>
      <c r="Q898" s="294"/>
    </row>
    <row r="899" spans="2:17" x14ac:dyDescent="0.25">
      <c r="B899" s="294"/>
      <c r="C899" s="294"/>
      <c r="D899" s="294"/>
      <c r="E899" s="294"/>
      <c r="F899" s="294"/>
      <c r="G899" s="294"/>
      <c r="H899" s="294"/>
      <c r="I899" s="294"/>
      <c r="J899" s="294"/>
      <c r="L899" s="295"/>
      <c r="M899" s="294"/>
      <c r="P899" s="294"/>
      <c r="Q899" s="294"/>
    </row>
    <row r="900" spans="2:17" x14ac:dyDescent="0.25">
      <c r="B900" s="294"/>
      <c r="C900" s="294"/>
      <c r="D900" s="294"/>
      <c r="E900" s="294"/>
      <c r="F900" s="294"/>
      <c r="G900" s="294"/>
      <c r="H900" s="294"/>
      <c r="I900" s="294"/>
      <c r="J900" s="294"/>
      <c r="L900" s="295"/>
      <c r="M900" s="294"/>
      <c r="P900" s="294"/>
      <c r="Q900" s="294"/>
    </row>
    <row r="901" spans="2:17" x14ac:dyDescent="0.25">
      <c r="B901" s="294"/>
      <c r="C901" s="294"/>
      <c r="D901" s="294"/>
      <c r="E901" s="294"/>
      <c r="F901" s="294"/>
      <c r="G901" s="294"/>
      <c r="H901" s="294"/>
      <c r="I901" s="294"/>
      <c r="J901" s="294"/>
      <c r="L901" s="295"/>
      <c r="M901" s="294"/>
      <c r="P901" s="294"/>
      <c r="Q901" s="294"/>
    </row>
    <row r="902" spans="2:17" x14ac:dyDescent="0.25">
      <c r="B902" s="294"/>
      <c r="C902" s="294"/>
      <c r="D902" s="294"/>
      <c r="E902" s="294"/>
      <c r="F902" s="294"/>
      <c r="G902" s="294"/>
      <c r="H902" s="294"/>
      <c r="I902" s="294"/>
      <c r="J902" s="294"/>
      <c r="L902" s="295"/>
      <c r="M902" s="294"/>
      <c r="P902" s="294"/>
      <c r="Q902" s="294"/>
    </row>
    <row r="903" spans="2:17" x14ac:dyDescent="0.25">
      <c r="B903" s="294"/>
      <c r="C903" s="294"/>
      <c r="D903" s="294"/>
      <c r="E903" s="294"/>
      <c r="F903" s="294"/>
      <c r="G903" s="294"/>
      <c r="H903" s="294"/>
      <c r="I903" s="294"/>
      <c r="J903" s="294"/>
      <c r="L903" s="295"/>
      <c r="M903" s="294"/>
      <c r="P903" s="294"/>
      <c r="Q903" s="294"/>
    </row>
    <row r="904" spans="2:17" x14ac:dyDescent="0.25">
      <c r="B904" s="294"/>
      <c r="C904" s="294"/>
      <c r="D904" s="294"/>
      <c r="E904" s="294"/>
      <c r="F904" s="294"/>
      <c r="G904" s="294"/>
      <c r="H904" s="294"/>
      <c r="I904" s="294"/>
      <c r="J904" s="294"/>
      <c r="L904" s="295"/>
      <c r="M904" s="294"/>
      <c r="P904" s="294"/>
      <c r="Q904" s="294"/>
    </row>
    <row r="905" spans="2:17" x14ac:dyDescent="0.25">
      <c r="B905" s="294"/>
      <c r="C905" s="294"/>
      <c r="D905" s="294"/>
      <c r="E905" s="294"/>
      <c r="F905" s="294"/>
      <c r="G905" s="294"/>
      <c r="H905" s="294"/>
      <c r="I905" s="294"/>
      <c r="J905" s="294"/>
      <c r="L905" s="295"/>
      <c r="M905" s="294"/>
      <c r="P905" s="294"/>
      <c r="Q905" s="294"/>
    </row>
    <row r="906" spans="2:17" x14ac:dyDescent="0.25">
      <c r="B906" s="294"/>
      <c r="C906" s="294"/>
      <c r="D906" s="294"/>
      <c r="E906" s="294"/>
      <c r="F906" s="294"/>
      <c r="G906" s="294"/>
      <c r="H906" s="294"/>
      <c r="I906" s="294"/>
      <c r="J906" s="294"/>
      <c r="L906" s="295"/>
      <c r="M906" s="294"/>
      <c r="P906" s="294"/>
      <c r="Q906" s="294"/>
    </row>
    <row r="907" spans="2:17" x14ac:dyDescent="0.25">
      <c r="B907" s="294"/>
      <c r="C907" s="294"/>
      <c r="D907" s="294"/>
      <c r="E907" s="294"/>
      <c r="F907" s="294"/>
      <c r="G907" s="294"/>
      <c r="H907" s="294"/>
      <c r="I907" s="294"/>
      <c r="J907" s="294"/>
      <c r="L907" s="295"/>
      <c r="M907" s="294"/>
      <c r="P907" s="294"/>
      <c r="Q907" s="294"/>
    </row>
    <row r="908" spans="2:17" x14ac:dyDescent="0.25">
      <c r="B908" s="294"/>
      <c r="C908" s="294"/>
      <c r="D908" s="294"/>
      <c r="E908" s="294"/>
      <c r="F908" s="294"/>
      <c r="G908" s="294"/>
      <c r="H908" s="294"/>
      <c r="I908" s="294"/>
      <c r="J908" s="294"/>
      <c r="L908" s="295"/>
      <c r="M908" s="294"/>
      <c r="P908" s="294"/>
      <c r="Q908" s="294"/>
    </row>
    <row r="909" spans="2:17" x14ac:dyDescent="0.25">
      <c r="B909" s="294"/>
      <c r="C909" s="294"/>
      <c r="D909" s="294"/>
      <c r="E909" s="294"/>
      <c r="F909" s="294"/>
      <c r="G909" s="294"/>
      <c r="H909" s="294"/>
      <c r="I909" s="294"/>
      <c r="J909" s="294"/>
      <c r="L909" s="295"/>
      <c r="M909" s="294"/>
      <c r="P909" s="294"/>
      <c r="Q909" s="294"/>
    </row>
    <row r="910" spans="2:17" x14ac:dyDescent="0.25">
      <c r="B910" s="294"/>
      <c r="C910" s="294"/>
      <c r="D910" s="294"/>
      <c r="E910" s="294"/>
      <c r="F910" s="294"/>
      <c r="G910" s="294"/>
      <c r="H910" s="294"/>
      <c r="I910" s="294"/>
      <c r="J910" s="294"/>
      <c r="L910" s="295"/>
      <c r="M910" s="294"/>
      <c r="P910" s="294"/>
      <c r="Q910" s="294"/>
    </row>
    <row r="911" spans="2:17" x14ac:dyDescent="0.25">
      <c r="B911" s="294"/>
      <c r="C911" s="294"/>
      <c r="D911" s="294"/>
      <c r="E911" s="294"/>
      <c r="F911" s="294"/>
      <c r="G911" s="294"/>
      <c r="H911" s="294"/>
      <c r="I911" s="294"/>
      <c r="J911" s="294"/>
      <c r="L911" s="295"/>
      <c r="M911" s="294"/>
      <c r="P911" s="294"/>
      <c r="Q911" s="294"/>
    </row>
    <row r="912" spans="2:17" x14ac:dyDescent="0.25">
      <c r="B912" s="294"/>
      <c r="C912" s="294"/>
      <c r="D912" s="294"/>
      <c r="E912" s="294"/>
      <c r="F912" s="294"/>
      <c r="G912" s="294"/>
      <c r="H912" s="294"/>
      <c r="I912" s="294"/>
      <c r="J912" s="294"/>
      <c r="L912" s="295"/>
      <c r="M912" s="294"/>
      <c r="P912" s="294"/>
      <c r="Q912" s="294"/>
    </row>
    <row r="913" spans="2:17" x14ac:dyDescent="0.25">
      <c r="B913" s="294"/>
      <c r="C913" s="294"/>
      <c r="D913" s="294"/>
      <c r="E913" s="294"/>
      <c r="F913" s="294"/>
      <c r="G913" s="294"/>
      <c r="H913" s="294"/>
      <c r="I913" s="294"/>
      <c r="J913" s="294"/>
      <c r="L913" s="295"/>
      <c r="M913" s="294"/>
      <c r="P913" s="294"/>
      <c r="Q913" s="294"/>
    </row>
    <row r="914" spans="2:17" x14ac:dyDescent="0.25">
      <c r="B914" s="294"/>
      <c r="C914" s="294"/>
      <c r="D914" s="294"/>
      <c r="E914" s="294"/>
      <c r="F914" s="294"/>
      <c r="G914" s="294"/>
      <c r="H914" s="294"/>
      <c r="I914" s="294"/>
      <c r="J914" s="294"/>
      <c r="L914" s="295"/>
      <c r="M914" s="294"/>
      <c r="P914" s="294"/>
      <c r="Q914" s="294"/>
    </row>
    <row r="915" spans="2:17" x14ac:dyDescent="0.25">
      <c r="B915" s="294"/>
      <c r="C915" s="294"/>
      <c r="D915" s="294"/>
      <c r="E915" s="294"/>
      <c r="F915" s="294"/>
      <c r="G915" s="294"/>
      <c r="H915" s="294"/>
      <c r="I915" s="294"/>
      <c r="J915" s="294"/>
      <c r="L915" s="295"/>
      <c r="M915" s="294"/>
      <c r="P915" s="294"/>
      <c r="Q915" s="294"/>
    </row>
    <row r="916" spans="2:17" x14ac:dyDescent="0.25">
      <c r="B916" s="294"/>
      <c r="C916" s="294"/>
      <c r="D916" s="294"/>
      <c r="E916" s="294"/>
      <c r="F916" s="294"/>
      <c r="G916" s="294"/>
      <c r="H916" s="294"/>
      <c r="I916" s="294"/>
      <c r="J916" s="294"/>
      <c r="L916" s="295"/>
      <c r="M916" s="294"/>
      <c r="P916" s="294"/>
      <c r="Q916" s="294"/>
    </row>
    <row r="917" spans="2:17" x14ac:dyDescent="0.25">
      <c r="B917" s="294"/>
      <c r="C917" s="294"/>
      <c r="D917" s="294"/>
      <c r="E917" s="294"/>
      <c r="F917" s="294"/>
      <c r="G917" s="294"/>
      <c r="H917" s="294"/>
      <c r="I917" s="294"/>
      <c r="J917" s="294"/>
      <c r="L917" s="295"/>
      <c r="M917" s="294"/>
      <c r="P917" s="294"/>
      <c r="Q917" s="294"/>
    </row>
    <row r="918" spans="2:17" x14ac:dyDescent="0.25">
      <c r="B918" s="294"/>
      <c r="C918" s="294"/>
      <c r="D918" s="294"/>
      <c r="E918" s="294"/>
      <c r="F918" s="294"/>
      <c r="G918" s="294"/>
      <c r="H918" s="294"/>
      <c r="I918" s="294"/>
      <c r="J918" s="294"/>
      <c r="L918" s="295"/>
      <c r="M918" s="294"/>
      <c r="P918" s="294"/>
      <c r="Q918" s="294"/>
    </row>
    <row r="919" spans="2:17" x14ac:dyDescent="0.25">
      <c r="B919" s="294"/>
      <c r="C919" s="294"/>
      <c r="D919" s="294"/>
      <c r="E919" s="294"/>
      <c r="F919" s="294"/>
      <c r="G919" s="294"/>
      <c r="H919" s="294"/>
      <c r="I919" s="294"/>
      <c r="J919" s="294"/>
      <c r="L919" s="295"/>
      <c r="M919" s="294"/>
      <c r="P919" s="294"/>
      <c r="Q919" s="294"/>
    </row>
    <row r="920" spans="2:17" x14ac:dyDescent="0.25">
      <c r="B920" s="294"/>
      <c r="C920" s="294"/>
      <c r="D920" s="294"/>
      <c r="E920" s="294"/>
      <c r="F920" s="294"/>
      <c r="G920" s="294"/>
      <c r="H920" s="294"/>
      <c r="I920" s="294"/>
      <c r="J920" s="294"/>
      <c r="L920" s="295"/>
      <c r="M920" s="294"/>
      <c r="P920" s="294"/>
      <c r="Q920" s="294"/>
    </row>
    <row r="921" spans="2:17" x14ac:dyDescent="0.25">
      <c r="B921" s="294"/>
      <c r="C921" s="294"/>
      <c r="D921" s="294"/>
      <c r="E921" s="294"/>
      <c r="F921" s="294"/>
      <c r="G921" s="294"/>
      <c r="H921" s="294"/>
      <c r="I921" s="294"/>
      <c r="J921" s="294"/>
      <c r="L921" s="295"/>
      <c r="M921" s="294"/>
      <c r="P921" s="294"/>
      <c r="Q921" s="294"/>
    </row>
    <row r="922" spans="2:17" x14ac:dyDescent="0.25">
      <c r="B922" s="294"/>
      <c r="C922" s="294"/>
      <c r="D922" s="294"/>
      <c r="E922" s="294"/>
      <c r="F922" s="294"/>
      <c r="G922" s="294"/>
      <c r="H922" s="294"/>
      <c r="I922" s="294"/>
      <c r="J922" s="294"/>
      <c r="L922" s="295"/>
      <c r="M922" s="294"/>
      <c r="P922" s="294"/>
      <c r="Q922" s="294"/>
    </row>
    <row r="923" spans="2:17" x14ac:dyDescent="0.25">
      <c r="B923" s="294"/>
      <c r="C923" s="294"/>
      <c r="D923" s="294"/>
      <c r="E923" s="294"/>
      <c r="F923" s="294"/>
      <c r="G923" s="294"/>
      <c r="H923" s="294"/>
      <c r="I923" s="294"/>
      <c r="J923" s="294"/>
      <c r="L923" s="295"/>
      <c r="M923" s="294"/>
      <c r="P923" s="294"/>
      <c r="Q923" s="294"/>
    </row>
    <row r="924" spans="2:17" x14ac:dyDescent="0.25">
      <c r="B924" s="294"/>
      <c r="C924" s="294"/>
      <c r="D924" s="294"/>
      <c r="E924" s="294"/>
      <c r="F924" s="294"/>
      <c r="G924" s="294"/>
      <c r="H924" s="294"/>
      <c r="I924" s="294"/>
      <c r="J924" s="294"/>
      <c r="L924" s="295"/>
      <c r="M924" s="294"/>
      <c r="P924" s="294"/>
      <c r="Q924" s="294"/>
    </row>
    <row r="925" spans="2:17" x14ac:dyDescent="0.25">
      <c r="B925" s="294"/>
      <c r="C925" s="294"/>
      <c r="D925" s="294"/>
      <c r="E925" s="294"/>
      <c r="F925" s="294"/>
      <c r="G925" s="294"/>
      <c r="H925" s="294"/>
      <c r="I925" s="294"/>
      <c r="J925" s="294"/>
      <c r="L925" s="295"/>
      <c r="M925" s="294"/>
      <c r="P925" s="294"/>
      <c r="Q925" s="294"/>
    </row>
    <row r="926" spans="2:17" x14ac:dyDescent="0.25">
      <c r="B926" s="294"/>
      <c r="C926" s="294"/>
      <c r="D926" s="294"/>
      <c r="E926" s="294"/>
      <c r="F926" s="294"/>
      <c r="G926" s="294"/>
      <c r="H926" s="294"/>
      <c r="I926" s="294"/>
      <c r="J926" s="294"/>
      <c r="L926" s="295"/>
      <c r="M926" s="294"/>
      <c r="P926" s="294"/>
      <c r="Q926" s="294"/>
    </row>
    <row r="927" spans="2:17" x14ac:dyDescent="0.25">
      <c r="B927" s="294"/>
      <c r="C927" s="294"/>
      <c r="D927" s="294"/>
      <c r="E927" s="294"/>
      <c r="F927" s="294"/>
      <c r="G927" s="294"/>
      <c r="H927" s="294"/>
      <c r="I927" s="294"/>
      <c r="J927" s="294"/>
      <c r="L927" s="295"/>
      <c r="M927" s="294"/>
      <c r="P927" s="294"/>
      <c r="Q927" s="294"/>
    </row>
    <row r="928" spans="2:17" x14ac:dyDescent="0.25">
      <c r="B928" s="294"/>
      <c r="C928" s="294"/>
      <c r="D928" s="294"/>
      <c r="E928" s="294"/>
      <c r="F928" s="294"/>
      <c r="G928" s="294"/>
      <c r="H928" s="294"/>
      <c r="I928" s="294"/>
      <c r="J928" s="294"/>
      <c r="L928" s="295"/>
      <c r="M928" s="294"/>
      <c r="P928" s="294"/>
      <c r="Q928" s="294"/>
    </row>
    <row r="929" spans="2:17" x14ac:dyDescent="0.25">
      <c r="B929" s="294"/>
      <c r="C929" s="294"/>
      <c r="D929" s="294"/>
      <c r="E929" s="294"/>
      <c r="F929" s="294"/>
      <c r="G929" s="294"/>
      <c r="H929" s="294"/>
      <c r="I929" s="294"/>
      <c r="J929" s="294"/>
      <c r="L929" s="295"/>
      <c r="M929" s="294"/>
      <c r="P929" s="294"/>
      <c r="Q929" s="294"/>
    </row>
    <row r="930" spans="2:17" x14ac:dyDescent="0.25">
      <c r="B930" s="294"/>
      <c r="C930" s="294"/>
      <c r="D930" s="294"/>
      <c r="E930" s="294"/>
      <c r="F930" s="294"/>
      <c r="G930" s="294"/>
      <c r="H930" s="294"/>
      <c r="I930" s="294"/>
      <c r="J930" s="294"/>
      <c r="L930" s="295"/>
      <c r="M930" s="294"/>
      <c r="P930" s="294"/>
      <c r="Q930" s="294"/>
    </row>
    <row r="931" spans="2:17" x14ac:dyDescent="0.25">
      <c r="B931" s="294"/>
      <c r="C931" s="294"/>
      <c r="D931" s="294"/>
      <c r="E931" s="294"/>
      <c r="F931" s="294"/>
      <c r="G931" s="294"/>
      <c r="H931" s="294"/>
      <c r="I931" s="294"/>
      <c r="J931" s="294"/>
      <c r="L931" s="295"/>
      <c r="M931" s="294"/>
      <c r="P931" s="294"/>
      <c r="Q931" s="294"/>
    </row>
    <row r="932" spans="2:17" x14ac:dyDescent="0.25">
      <c r="B932" s="294"/>
      <c r="C932" s="294"/>
      <c r="D932" s="294"/>
      <c r="E932" s="294"/>
      <c r="F932" s="294"/>
      <c r="G932" s="294"/>
      <c r="H932" s="294"/>
      <c r="I932" s="294"/>
      <c r="J932" s="294"/>
      <c r="L932" s="295"/>
      <c r="M932" s="294"/>
      <c r="P932" s="294"/>
      <c r="Q932" s="294"/>
    </row>
    <row r="933" spans="2:17" x14ac:dyDescent="0.25">
      <c r="B933" s="294"/>
      <c r="C933" s="294"/>
      <c r="D933" s="294"/>
      <c r="E933" s="294"/>
      <c r="F933" s="294"/>
      <c r="G933" s="294"/>
      <c r="H933" s="294"/>
      <c r="I933" s="294"/>
      <c r="J933" s="294"/>
      <c r="L933" s="295"/>
      <c r="M933" s="294"/>
      <c r="P933" s="294"/>
      <c r="Q933" s="294"/>
    </row>
    <row r="934" spans="2:17" x14ac:dyDescent="0.25">
      <c r="B934" s="294"/>
      <c r="C934" s="294"/>
      <c r="D934" s="294"/>
      <c r="E934" s="294"/>
      <c r="F934" s="294"/>
      <c r="G934" s="294"/>
      <c r="H934" s="294"/>
      <c r="I934" s="294"/>
      <c r="J934" s="294"/>
      <c r="L934" s="295"/>
      <c r="M934" s="294"/>
      <c r="P934" s="294"/>
      <c r="Q934" s="294"/>
    </row>
    <row r="935" spans="2:17" x14ac:dyDescent="0.25">
      <c r="B935" s="294"/>
      <c r="C935" s="294"/>
      <c r="D935" s="294"/>
      <c r="E935" s="294"/>
      <c r="F935" s="294"/>
      <c r="G935" s="294"/>
      <c r="H935" s="294"/>
      <c r="I935" s="294"/>
      <c r="J935" s="294"/>
      <c r="L935" s="295"/>
      <c r="M935" s="294"/>
      <c r="P935" s="294"/>
      <c r="Q935" s="294"/>
    </row>
    <row r="936" spans="2:17" x14ac:dyDescent="0.25">
      <c r="B936" s="294"/>
      <c r="C936" s="294"/>
      <c r="D936" s="294"/>
      <c r="E936" s="294"/>
      <c r="F936" s="294"/>
      <c r="G936" s="294"/>
      <c r="H936" s="294"/>
      <c r="I936" s="294"/>
      <c r="J936" s="294"/>
      <c r="L936" s="295"/>
      <c r="M936" s="294"/>
      <c r="P936" s="294"/>
      <c r="Q936" s="294"/>
    </row>
    <row r="937" spans="2:17" x14ac:dyDescent="0.25">
      <c r="B937" s="294"/>
      <c r="C937" s="294"/>
      <c r="D937" s="294"/>
      <c r="E937" s="294"/>
      <c r="F937" s="294"/>
      <c r="G937" s="294"/>
      <c r="H937" s="294"/>
      <c r="I937" s="294"/>
      <c r="J937" s="294"/>
      <c r="L937" s="295"/>
      <c r="M937" s="294"/>
      <c r="P937" s="294"/>
      <c r="Q937" s="294"/>
    </row>
    <row r="938" spans="2:17" x14ac:dyDescent="0.25">
      <c r="B938" s="294"/>
      <c r="C938" s="294"/>
      <c r="D938" s="294"/>
      <c r="E938" s="294"/>
      <c r="F938" s="294"/>
      <c r="G938" s="294"/>
      <c r="H938" s="294"/>
      <c r="I938" s="294"/>
      <c r="J938" s="294"/>
      <c r="L938" s="295"/>
      <c r="M938" s="294"/>
      <c r="P938" s="294"/>
      <c r="Q938" s="294"/>
    </row>
    <row r="939" spans="2:17" x14ac:dyDescent="0.25">
      <c r="B939" s="294"/>
      <c r="C939" s="294"/>
      <c r="D939" s="294"/>
      <c r="E939" s="294"/>
      <c r="F939" s="294"/>
      <c r="G939" s="294"/>
      <c r="H939" s="294"/>
      <c r="I939" s="294"/>
      <c r="J939" s="294"/>
      <c r="L939" s="295"/>
      <c r="M939" s="294"/>
      <c r="P939" s="294"/>
      <c r="Q939" s="294"/>
    </row>
    <row r="940" spans="2:17" x14ac:dyDescent="0.25">
      <c r="B940" s="294"/>
      <c r="C940" s="294"/>
      <c r="D940" s="294"/>
      <c r="E940" s="294"/>
      <c r="F940" s="294"/>
      <c r="G940" s="294"/>
      <c r="H940" s="294"/>
      <c r="I940" s="294"/>
      <c r="J940" s="294"/>
      <c r="L940" s="295"/>
      <c r="M940" s="294"/>
      <c r="P940" s="294"/>
      <c r="Q940" s="294"/>
    </row>
    <row r="941" spans="2:17" x14ac:dyDescent="0.25">
      <c r="B941" s="294"/>
      <c r="C941" s="294"/>
      <c r="D941" s="294"/>
      <c r="E941" s="294"/>
      <c r="F941" s="294"/>
      <c r="G941" s="294"/>
      <c r="H941" s="294"/>
      <c r="I941" s="294"/>
      <c r="J941" s="294"/>
      <c r="L941" s="295"/>
      <c r="M941" s="294"/>
      <c r="P941" s="294"/>
      <c r="Q941" s="294"/>
    </row>
    <row r="942" spans="2:17" x14ac:dyDescent="0.25">
      <c r="B942" s="294"/>
      <c r="C942" s="294"/>
      <c r="D942" s="294"/>
      <c r="E942" s="294"/>
      <c r="F942" s="294"/>
      <c r="G942" s="294"/>
      <c r="H942" s="294"/>
      <c r="I942" s="294"/>
      <c r="J942" s="294"/>
      <c r="L942" s="295"/>
      <c r="M942" s="294"/>
      <c r="P942" s="294"/>
      <c r="Q942" s="294"/>
    </row>
    <row r="943" spans="2:17" x14ac:dyDescent="0.25">
      <c r="B943" s="294"/>
      <c r="C943" s="294"/>
      <c r="D943" s="294"/>
      <c r="E943" s="294"/>
      <c r="F943" s="294"/>
      <c r="G943" s="294"/>
      <c r="H943" s="294"/>
      <c r="I943" s="294"/>
      <c r="J943" s="294"/>
      <c r="L943" s="295"/>
      <c r="M943" s="294"/>
      <c r="P943" s="294"/>
      <c r="Q943" s="294"/>
    </row>
    <row r="944" spans="2:17" x14ac:dyDescent="0.25">
      <c r="B944" s="294"/>
      <c r="C944" s="294"/>
      <c r="D944" s="294"/>
      <c r="E944" s="294"/>
      <c r="F944" s="294"/>
      <c r="G944" s="294"/>
      <c r="H944" s="294"/>
      <c r="I944" s="294"/>
      <c r="J944" s="294"/>
      <c r="L944" s="295"/>
      <c r="M944" s="294"/>
      <c r="P944" s="294"/>
      <c r="Q944" s="294"/>
    </row>
    <row r="945" spans="2:17" x14ac:dyDescent="0.25">
      <c r="B945" s="294"/>
      <c r="C945" s="294"/>
      <c r="D945" s="294"/>
      <c r="E945" s="294"/>
      <c r="F945" s="294"/>
      <c r="G945" s="294"/>
      <c r="H945" s="294"/>
      <c r="I945" s="294"/>
      <c r="J945" s="294"/>
      <c r="L945" s="295"/>
      <c r="M945" s="294"/>
      <c r="P945" s="294"/>
      <c r="Q945" s="294"/>
    </row>
    <row r="946" spans="2:17" x14ac:dyDescent="0.25">
      <c r="B946" s="294"/>
      <c r="C946" s="294"/>
      <c r="D946" s="294"/>
      <c r="E946" s="294"/>
      <c r="F946" s="294"/>
      <c r="G946" s="294"/>
      <c r="H946" s="294"/>
      <c r="I946" s="294"/>
      <c r="J946" s="294"/>
      <c r="L946" s="295"/>
      <c r="M946" s="294"/>
      <c r="P946" s="294"/>
      <c r="Q946" s="294"/>
    </row>
    <row r="947" spans="2:17" x14ac:dyDescent="0.25">
      <c r="B947" s="294"/>
      <c r="C947" s="294"/>
      <c r="D947" s="294"/>
      <c r="E947" s="294"/>
      <c r="F947" s="294"/>
      <c r="G947" s="294"/>
      <c r="H947" s="294"/>
      <c r="I947" s="294"/>
      <c r="J947" s="294"/>
      <c r="L947" s="295"/>
      <c r="M947" s="294"/>
      <c r="P947" s="294"/>
      <c r="Q947" s="294"/>
    </row>
    <row r="948" spans="2:17" x14ac:dyDescent="0.25">
      <c r="B948" s="294"/>
      <c r="C948" s="294"/>
      <c r="D948" s="294"/>
      <c r="E948" s="294"/>
      <c r="F948" s="294"/>
      <c r="G948" s="294"/>
      <c r="H948" s="294"/>
      <c r="I948" s="294"/>
      <c r="J948" s="294"/>
      <c r="L948" s="295"/>
      <c r="M948" s="294"/>
      <c r="P948" s="294"/>
      <c r="Q948" s="294"/>
    </row>
    <row r="949" spans="2:17" x14ac:dyDescent="0.25">
      <c r="B949" s="294"/>
      <c r="C949" s="294"/>
      <c r="D949" s="294"/>
      <c r="E949" s="294"/>
      <c r="F949" s="294"/>
      <c r="G949" s="294"/>
      <c r="H949" s="294"/>
      <c r="I949" s="294"/>
      <c r="J949" s="294"/>
      <c r="L949" s="295"/>
      <c r="M949" s="294"/>
      <c r="P949" s="294"/>
      <c r="Q949" s="294"/>
    </row>
    <row r="950" spans="2:17" x14ac:dyDescent="0.25">
      <c r="B950" s="294"/>
      <c r="C950" s="294"/>
      <c r="D950" s="294"/>
      <c r="E950" s="294"/>
      <c r="F950" s="294"/>
      <c r="G950" s="294"/>
      <c r="H950" s="294"/>
      <c r="I950" s="294"/>
      <c r="J950" s="294"/>
      <c r="L950" s="295"/>
      <c r="M950" s="294"/>
      <c r="P950" s="294"/>
      <c r="Q950" s="294"/>
    </row>
    <row r="951" spans="2:17" x14ac:dyDescent="0.25">
      <c r="B951" s="294"/>
      <c r="C951" s="294"/>
      <c r="D951" s="294"/>
      <c r="E951" s="294"/>
      <c r="F951" s="294"/>
      <c r="G951" s="294"/>
      <c r="H951" s="294"/>
      <c r="I951" s="294"/>
      <c r="J951" s="294"/>
      <c r="L951" s="295"/>
      <c r="M951" s="294"/>
      <c r="P951" s="294"/>
      <c r="Q951" s="294"/>
    </row>
    <row r="952" spans="2:17" x14ac:dyDescent="0.25">
      <c r="B952" s="294"/>
      <c r="C952" s="294"/>
      <c r="D952" s="294"/>
      <c r="E952" s="294"/>
      <c r="F952" s="294"/>
      <c r="G952" s="294"/>
      <c r="H952" s="294"/>
      <c r="I952" s="294"/>
      <c r="J952" s="294"/>
      <c r="L952" s="295"/>
      <c r="M952" s="294"/>
      <c r="P952" s="294"/>
      <c r="Q952" s="294"/>
    </row>
    <row r="953" spans="2:17" x14ac:dyDescent="0.25">
      <c r="B953" s="294"/>
      <c r="C953" s="294"/>
      <c r="D953" s="294"/>
      <c r="E953" s="294"/>
      <c r="F953" s="294"/>
      <c r="G953" s="294"/>
      <c r="H953" s="294"/>
      <c r="I953" s="294"/>
      <c r="J953" s="294"/>
      <c r="L953" s="295"/>
      <c r="M953" s="294"/>
      <c r="P953" s="294"/>
      <c r="Q953" s="294"/>
    </row>
    <row r="954" spans="2:17" x14ac:dyDescent="0.25">
      <c r="B954" s="294"/>
      <c r="C954" s="294"/>
      <c r="D954" s="294"/>
      <c r="E954" s="294"/>
      <c r="F954" s="294"/>
      <c r="G954" s="294"/>
      <c r="H954" s="294"/>
      <c r="I954" s="294"/>
      <c r="J954" s="294"/>
      <c r="L954" s="295"/>
      <c r="M954" s="294"/>
      <c r="P954" s="294"/>
      <c r="Q954" s="294"/>
    </row>
    <row r="955" spans="2:17" x14ac:dyDescent="0.25">
      <c r="B955" s="294"/>
      <c r="C955" s="294"/>
      <c r="D955" s="294"/>
      <c r="E955" s="294"/>
      <c r="F955" s="294"/>
      <c r="G955" s="294"/>
      <c r="H955" s="294"/>
      <c r="I955" s="294"/>
      <c r="J955" s="294"/>
      <c r="L955" s="295"/>
      <c r="M955" s="294"/>
      <c r="P955" s="294"/>
      <c r="Q955" s="294"/>
    </row>
    <row r="956" spans="2:17" x14ac:dyDescent="0.25">
      <c r="B956" s="294"/>
      <c r="C956" s="294"/>
      <c r="D956" s="294"/>
      <c r="E956" s="294"/>
      <c r="F956" s="294"/>
      <c r="G956" s="294"/>
      <c r="H956" s="294"/>
      <c r="I956" s="294"/>
      <c r="J956" s="294"/>
      <c r="L956" s="295"/>
      <c r="M956" s="294"/>
      <c r="P956" s="294"/>
      <c r="Q956" s="294"/>
    </row>
    <row r="957" spans="2:17" x14ac:dyDescent="0.25">
      <c r="B957" s="294"/>
      <c r="C957" s="294"/>
      <c r="D957" s="294"/>
      <c r="E957" s="294"/>
      <c r="F957" s="294"/>
      <c r="G957" s="294"/>
      <c r="H957" s="294"/>
      <c r="I957" s="294"/>
      <c r="J957" s="294"/>
      <c r="L957" s="295"/>
      <c r="M957" s="294"/>
      <c r="P957" s="294"/>
      <c r="Q957" s="294"/>
    </row>
    <row r="958" spans="2:17" x14ac:dyDescent="0.25">
      <c r="B958" s="294"/>
      <c r="C958" s="294"/>
      <c r="D958" s="294"/>
      <c r="E958" s="294"/>
      <c r="F958" s="294"/>
      <c r="G958" s="294"/>
      <c r="H958" s="294"/>
      <c r="I958" s="294"/>
      <c r="J958" s="294"/>
      <c r="L958" s="295"/>
      <c r="M958" s="294"/>
      <c r="P958" s="294"/>
      <c r="Q958" s="294"/>
    </row>
    <row r="959" spans="2:17" x14ac:dyDescent="0.25">
      <c r="B959" s="294"/>
      <c r="C959" s="294"/>
      <c r="D959" s="294"/>
      <c r="E959" s="294"/>
      <c r="F959" s="294"/>
      <c r="G959" s="294"/>
      <c r="H959" s="294"/>
      <c r="I959" s="294"/>
      <c r="J959" s="294"/>
      <c r="L959" s="295"/>
      <c r="M959" s="294"/>
      <c r="P959" s="294"/>
      <c r="Q959" s="294"/>
    </row>
    <row r="960" spans="2:17" x14ac:dyDescent="0.25">
      <c r="B960" s="294"/>
      <c r="C960" s="294"/>
      <c r="D960" s="294"/>
      <c r="E960" s="294"/>
      <c r="F960" s="294"/>
      <c r="G960" s="294"/>
      <c r="H960" s="294"/>
      <c r="I960" s="294"/>
      <c r="J960" s="294"/>
      <c r="L960" s="295"/>
      <c r="M960" s="294"/>
      <c r="P960" s="294"/>
      <c r="Q960" s="294"/>
    </row>
    <row r="961" spans="2:17" x14ac:dyDescent="0.25">
      <c r="B961" s="294"/>
      <c r="C961" s="294"/>
      <c r="D961" s="294"/>
      <c r="E961" s="294"/>
      <c r="F961" s="294"/>
      <c r="G961" s="294"/>
      <c r="H961" s="294"/>
      <c r="I961" s="294"/>
      <c r="J961" s="294"/>
      <c r="L961" s="295"/>
      <c r="M961" s="294"/>
      <c r="P961" s="294"/>
      <c r="Q961" s="294"/>
    </row>
    <row r="962" spans="2:17" x14ac:dyDescent="0.25">
      <c r="B962" s="294"/>
      <c r="C962" s="294"/>
      <c r="D962" s="294"/>
      <c r="E962" s="294"/>
      <c r="F962" s="294"/>
      <c r="G962" s="294"/>
      <c r="H962" s="294"/>
      <c r="I962" s="294"/>
      <c r="J962" s="294"/>
      <c r="L962" s="295"/>
      <c r="M962" s="294"/>
      <c r="P962" s="294"/>
      <c r="Q962" s="294"/>
    </row>
    <row r="963" spans="2:17" x14ac:dyDescent="0.25">
      <c r="B963" s="294"/>
      <c r="C963" s="294"/>
      <c r="D963" s="294"/>
      <c r="E963" s="294"/>
      <c r="F963" s="294"/>
      <c r="G963" s="294"/>
      <c r="H963" s="294"/>
      <c r="I963" s="294"/>
      <c r="J963" s="294"/>
      <c r="L963" s="295"/>
      <c r="M963" s="294"/>
      <c r="P963" s="294"/>
      <c r="Q963" s="294"/>
    </row>
    <row r="964" spans="2:17" x14ac:dyDescent="0.25">
      <c r="B964" s="294"/>
      <c r="C964" s="294"/>
      <c r="D964" s="294"/>
      <c r="E964" s="294"/>
      <c r="F964" s="294"/>
      <c r="G964" s="294"/>
      <c r="H964" s="294"/>
      <c r="I964" s="294"/>
      <c r="J964" s="294"/>
      <c r="L964" s="295"/>
      <c r="M964" s="294"/>
      <c r="P964" s="294"/>
      <c r="Q964" s="294"/>
    </row>
    <row r="965" spans="2:17" x14ac:dyDescent="0.25">
      <c r="B965" s="294"/>
      <c r="C965" s="294"/>
      <c r="D965" s="294"/>
      <c r="E965" s="294"/>
      <c r="F965" s="294"/>
      <c r="G965" s="294"/>
      <c r="H965" s="294"/>
      <c r="I965" s="294"/>
      <c r="J965" s="294"/>
      <c r="L965" s="295"/>
      <c r="M965" s="294"/>
      <c r="P965" s="294"/>
      <c r="Q965" s="294"/>
    </row>
    <row r="966" spans="2:17" x14ac:dyDescent="0.25">
      <c r="B966" s="294"/>
      <c r="C966" s="294"/>
      <c r="D966" s="294"/>
      <c r="E966" s="294"/>
      <c r="F966" s="294"/>
      <c r="G966" s="294"/>
      <c r="H966" s="294"/>
      <c r="I966" s="294"/>
      <c r="J966" s="294"/>
      <c r="L966" s="295"/>
      <c r="M966" s="294"/>
      <c r="P966" s="294"/>
      <c r="Q966" s="294"/>
    </row>
    <row r="967" spans="2:17" x14ac:dyDescent="0.25">
      <c r="B967" s="294"/>
      <c r="C967" s="294"/>
      <c r="D967" s="294"/>
      <c r="E967" s="294"/>
      <c r="F967" s="294"/>
      <c r="G967" s="294"/>
      <c r="H967" s="294"/>
      <c r="I967" s="294"/>
      <c r="J967" s="294"/>
      <c r="L967" s="295"/>
      <c r="M967" s="294"/>
      <c r="P967" s="294"/>
      <c r="Q967" s="294"/>
    </row>
    <row r="968" spans="2:17" x14ac:dyDescent="0.25">
      <c r="B968" s="294"/>
      <c r="C968" s="294"/>
      <c r="D968" s="294"/>
      <c r="E968" s="294"/>
      <c r="F968" s="294"/>
      <c r="G968" s="294"/>
      <c r="H968" s="294"/>
      <c r="I968" s="294"/>
      <c r="J968" s="294"/>
      <c r="L968" s="295"/>
      <c r="M968" s="294"/>
      <c r="P968" s="294"/>
      <c r="Q968" s="294"/>
    </row>
    <row r="969" spans="2:17" x14ac:dyDescent="0.25">
      <c r="B969" s="294"/>
      <c r="C969" s="294"/>
      <c r="D969" s="294"/>
      <c r="E969" s="294"/>
      <c r="F969" s="294"/>
      <c r="G969" s="294"/>
      <c r="H969" s="294"/>
      <c r="I969" s="294"/>
      <c r="J969" s="294"/>
      <c r="L969" s="295"/>
      <c r="M969" s="294"/>
      <c r="P969" s="294"/>
      <c r="Q969" s="294"/>
    </row>
    <row r="970" spans="2:17" x14ac:dyDescent="0.25">
      <c r="B970" s="294"/>
      <c r="C970" s="294"/>
      <c r="D970" s="294"/>
      <c r="E970" s="294"/>
      <c r="F970" s="294"/>
      <c r="G970" s="294"/>
      <c r="H970" s="294"/>
      <c r="I970" s="294"/>
      <c r="J970" s="294"/>
      <c r="L970" s="295"/>
      <c r="M970" s="294"/>
      <c r="P970" s="294"/>
      <c r="Q970" s="294"/>
    </row>
    <row r="971" spans="2:17" x14ac:dyDescent="0.25">
      <c r="B971" s="294"/>
      <c r="C971" s="294"/>
      <c r="D971" s="294"/>
      <c r="E971" s="294"/>
      <c r="F971" s="294"/>
      <c r="G971" s="294"/>
      <c r="H971" s="294"/>
      <c r="I971" s="294"/>
      <c r="J971" s="294"/>
      <c r="L971" s="295"/>
      <c r="M971" s="294"/>
      <c r="P971" s="294"/>
      <c r="Q971" s="294"/>
    </row>
    <row r="972" spans="2:17" x14ac:dyDescent="0.25">
      <c r="B972" s="294"/>
      <c r="C972" s="294"/>
      <c r="D972" s="294"/>
      <c r="E972" s="294"/>
      <c r="F972" s="294"/>
      <c r="G972" s="294"/>
      <c r="H972" s="294"/>
      <c r="I972" s="294"/>
      <c r="J972" s="294"/>
      <c r="L972" s="295"/>
      <c r="M972" s="294"/>
      <c r="P972" s="294"/>
      <c r="Q972" s="294"/>
    </row>
    <row r="973" spans="2:17" x14ac:dyDescent="0.25">
      <c r="B973" s="294"/>
      <c r="C973" s="294"/>
      <c r="D973" s="294"/>
      <c r="E973" s="294"/>
      <c r="F973" s="294"/>
      <c r="G973" s="294"/>
      <c r="H973" s="294"/>
      <c r="I973" s="294"/>
      <c r="J973" s="294"/>
      <c r="L973" s="295"/>
      <c r="M973" s="294"/>
      <c r="P973" s="294"/>
      <c r="Q973" s="294"/>
    </row>
    <row r="974" spans="2:17" x14ac:dyDescent="0.25">
      <c r="B974" s="294"/>
      <c r="C974" s="294"/>
      <c r="D974" s="294"/>
      <c r="E974" s="294"/>
      <c r="F974" s="294"/>
      <c r="G974" s="294"/>
      <c r="H974" s="294"/>
      <c r="I974" s="294"/>
      <c r="J974" s="294"/>
      <c r="L974" s="295"/>
      <c r="M974" s="294"/>
      <c r="P974" s="294"/>
      <c r="Q974" s="294"/>
    </row>
    <row r="975" spans="2:17" x14ac:dyDescent="0.25">
      <c r="B975" s="294"/>
      <c r="C975" s="294"/>
      <c r="D975" s="294"/>
      <c r="E975" s="294"/>
      <c r="F975" s="294"/>
      <c r="G975" s="294"/>
      <c r="H975" s="294"/>
      <c r="I975" s="294"/>
      <c r="J975" s="294"/>
      <c r="L975" s="295"/>
      <c r="M975" s="294"/>
      <c r="P975" s="294"/>
      <c r="Q975" s="294"/>
    </row>
    <row r="976" spans="2:17" x14ac:dyDescent="0.25">
      <c r="B976" s="294"/>
      <c r="C976" s="294"/>
      <c r="D976" s="294"/>
      <c r="E976" s="294"/>
      <c r="F976" s="294"/>
      <c r="G976" s="294"/>
      <c r="H976" s="294"/>
      <c r="I976" s="294"/>
      <c r="J976" s="294"/>
      <c r="L976" s="295"/>
      <c r="M976" s="294"/>
      <c r="P976" s="294"/>
      <c r="Q976" s="294"/>
    </row>
    <row r="977" spans="2:17" x14ac:dyDescent="0.25">
      <c r="B977" s="294"/>
      <c r="C977" s="294"/>
      <c r="D977" s="294"/>
      <c r="E977" s="294"/>
      <c r="F977" s="294"/>
      <c r="G977" s="294"/>
      <c r="H977" s="294"/>
      <c r="I977" s="294"/>
      <c r="J977" s="294"/>
      <c r="L977" s="295"/>
      <c r="M977" s="294"/>
      <c r="P977" s="294"/>
      <c r="Q977" s="294"/>
    </row>
    <row r="978" spans="2:17" x14ac:dyDescent="0.25">
      <c r="B978" s="294"/>
      <c r="C978" s="294"/>
      <c r="D978" s="294"/>
      <c r="E978" s="294"/>
      <c r="F978" s="294"/>
      <c r="G978" s="294"/>
      <c r="H978" s="294"/>
      <c r="I978" s="294"/>
      <c r="J978" s="294"/>
      <c r="L978" s="295"/>
      <c r="M978" s="294"/>
      <c r="P978" s="294"/>
      <c r="Q978" s="294"/>
    </row>
    <row r="979" spans="2:17" x14ac:dyDescent="0.25">
      <c r="B979" s="294"/>
      <c r="C979" s="294"/>
      <c r="D979" s="294"/>
      <c r="E979" s="294"/>
      <c r="F979" s="294"/>
      <c r="G979" s="294"/>
      <c r="H979" s="294"/>
      <c r="I979" s="294"/>
      <c r="J979" s="294"/>
      <c r="L979" s="295"/>
      <c r="M979" s="294"/>
      <c r="P979" s="294"/>
      <c r="Q979" s="294"/>
    </row>
    <row r="980" spans="2:17" x14ac:dyDescent="0.25">
      <c r="B980" s="294"/>
      <c r="C980" s="294"/>
      <c r="D980" s="294"/>
      <c r="E980" s="294"/>
      <c r="F980" s="294"/>
      <c r="G980" s="294"/>
      <c r="H980" s="294"/>
      <c r="I980" s="294"/>
      <c r="J980" s="294"/>
      <c r="L980" s="295"/>
      <c r="M980" s="294"/>
      <c r="P980" s="294"/>
      <c r="Q980" s="294"/>
    </row>
    <row r="981" spans="2:17" x14ac:dyDescent="0.25">
      <c r="B981" s="294"/>
      <c r="C981" s="294"/>
      <c r="D981" s="294"/>
      <c r="E981" s="294"/>
      <c r="F981" s="294"/>
      <c r="G981" s="294"/>
      <c r="H981" s="294"/>
      <c r="I981" s="294"/>
      <c r="J981" s="294"/>
      <c r="L981" s="295"/>
      <c r="M981" s="294"/>
      <c r="P981" s="294"/>
      <c r="Q981" s="294"/>
    </row>
    <row r="982" spans="2:17" x14ac:dyDescent="0.25">
      <c r="B982" s="294"/>
      <c r="C982" s="294"/>
      <c r="D982" s="294"/>
      <c r="E982" s="294"/>
      <c r="F982" s="294"/>
      <c r="G982" s="294"/>
      <c r="H982" s="294"/>
      <c r="I982" s="294"/>
      <c r="J982" s="294"/>
      <c r="L982" s="295"/>
      <c r="M982" s="294"/>
      <c r="P982" s="294"/>
      <c r="Q982" s="294"/>
    </row>
    <row r="983" spans="2:17" x14ac:dyDescent="0.25">
      <c r="B983" s="294"/>
      <c r="C983" s="294"/>
      <c r="D983" s="294"/>
      <c r="E983" s="294"/>
      <c r="F983" s="294"/>
      <c r="G983" s="294"/>
      <c r="H983" s="294"/>
      <c r="I983" s="294"/>
      <c r="J983" s="294"/>
      <c r="L983" s="295"/>
      <c r="M983" s="294"/>
      <c r="P983" s="294"/>
      <c r="Q983" s="294"/>
    </row>
    <row r="984" spans="2:17" x14ac:dyDescent="0.25">
      <c r="B984" s="294"/>
      <c r="C984" s="294"/>
      <c r="D984" s="294"/>
      <c r="E984" s="294"/>
      <c r="F984" s="294"/>
      <c r="G984" s="294"/>
      <c r="H984" s="294"/>
      <c r="I984" s="294"/>
      <c r="J984" s="294"/>
      <c r="L984" s="295"/>
      <c r="M984" s="294"/>
      <c r="P984" s="294"/>
      <c r="Q984" s="294"/>
    </row>
    <row r="985" spans="2:17" x14ac:dyDescent="0.25">
      <c r="B985" s="294"/>
      <c r="C985" s="294"/>
      <c r="D985" s="294"/>
      <c r="E985" s="294"/>
      <c r="F985" s="294"/>
      <c r="G985" s="294"/>
      <c r="H985" s="294"/>
      <c r="I985" s="294"/>
      <c r="J985" s="294"/>
      <c r="L985" s="295"/>
      <c r="M985" s="294"/>
      <c r="P985" s="294"/>
      <c r="Q985" s="294"/>
    </row>
    <row r="986" spans="2:17" x14ac:dyDescent="0.25">
      <c r="B986" s="294"/>
      <c r="C986" s="294"/>
      <c r="D986" s="294"/>
      <c r="E986" s="294"/>
      <c r="F986" s="294"/>
      <c r="G986" s="294"/>
      <c r="H986" s="294"/>
      <c r="I986" s="294"/>
      <c r="J986" s="294"/>
      <c r="L986" s="295"/>
      <c r="M986" s="294"/>
      <c r="P986" s="294"/>
      <c r="Q986" s="294"/>
    </row>
    <row r="987" spans="2:17" x14ac:dyDescent="0.25">
      <c r="B987" s="294"/>
      <c r="C987" s="294"/>
      <c r="D987" s="294"/>
      <c r="E987" s="294"/>
      <c r="F987" s="294"/>
      <c r="G987" s="294"/>
      <c r="H987" s="294"/>
      <c r="I987" s="294"/>
      <c r="J987" s="294"/>
      <c r="L987" s="295"/>
      <c r="M987" s="294"/>
      <c r="P987" s="294"/>
      <c r="Q987" s="294"/>
    </row>
    <row r="988" spans="2:17" x14ac:dyDescent="0.25">
      <c r="B988" s="294"/>
      <c r="C988" s="294"/>
      <c r="D988" s="294"/>
      <c r="E988" s="294"/>
      <c r="F988" s="294"/>
      <c r="G988" s="294"/>
      <c r="H988" s="294"/>
      <c r="I988" s="294"/>
      <c r="J988" s="294"/>
      <c r="L988" s="295"/>
      <c r="M988" s="294"/>
      <c r="P988" s="294"/>
      <c r="Q988" s="294"/>
    </row>
    <row r="989" spans="2:17" x14ac:dyDescent="0.25">
      <c r="B989" s="294"/>
      <c r="C989" s="294"/>
      <c r="D989" s="294"/>
      <c r="E989" s="294"/>
      <c r="F989" s="294"/>
      <c r="G989" s="294"/>
      <c r="H989" s="294"/>
      <c r="I989" s="294"/>
      <c r="J989" s="294"/>
      <c r="L989" s="295"/>
      <c r="M989" s="294"/>
      <c r="P989" s="294"/>
      <c r="Q989" s="294"/>
    </row>
    <row r="990" spans="2:17" x14ac:dyDescent="0.25">
      <c r="B990" s="294"/>
      <c r="C990" s="294"/>
      <c r="D990" s="294"/>
      <c r="E990" s="294"/>
      <c r="F990" s="294"/>
      <c r="G990" s="294"/>
      <c r="H990" s="294"/>
      <c r="I990" s="294"/>
      <c r="J990" s="294"/>
      <c r="L990" s="295"/>
      <c r="M990" s="294"/>
      <c r="P990" s="294"/>
      <c r="Q990" s="294"/>
    </row>
    <row r="991" spans="2:17" x14ac:dyDescent="0.25">
      <c r="B991" s="294"/>
      <c r="C991" s="294"/>
      <c r="D991" s="294"/>
      <c r="E991" s="294"/>
      <c r="F991" s="294"/>
      <c r="G991" s="294"/>
      <c r="H991" s="294"/>
      <c r="I991" s="294"/>
      <c r="J991" s="294"/>
      <c r="L991" s="295"/>
      <c r="M991" s="294"/>
      <c r="P991" s="294"/>
      <c r="Q991" s="294"/>
    </row>
    <row r="992" spans="2:17" x14ac:dyDescent="0.25">
      <c r="B992" s="294"/>
      <c r="C992" s="294"/>
      <c r="D992" s="294"/>
      <c r="E992" s="294"/>
      <c r="F992" s="294"/>
      <c r="G992" s="294"/>
      <c r="H992" s="294"/>
      <c r="I992" s="294"/>
      <c r="J992" s="294"/>
      <c r="L992" s="295"/>
      <c r="M992" s="294"/>
      <c r="P992" s="294"/>
      <c r="Q992" s="294"/>
    </row>
    <row r="993" spans="2:17" x14ac:dyDescent="0.25">
      <c r="B993" s="294"/>
      <c r="C993" s="294"/>
      <c r="D993" s="294"/>
      <c r="E993" s="294"/>
      <c r="F993" s="294"/>
      <c r="G993" s="294"/>
      <c r="H993" s="294"/>
      <c r="I993" s="294"/>
      <c r="J993" s="294"/>
      <c r="L993" s="295"/>
      <c r="M993" s="294"/>
      <c r="P993" s="294"/>
      <c r="Q993" s="294"/>
    </row>
    <row r="994" spans="2:17" x14ac:dyDescent="0.25">
      <c r="B994" s="294"/>
      <c r="C994" s="294"/>
      <c r="D994" s="294"/>
      <c r="E994" s="294"/>
      <c r="F994" s="294"/>
      <c r="G994" s="294"/>
      <c r="H994" s="294"/>
      <c r="I994" s="294"/>
      <c r="J994" s="294"/>
      <c r="L994" s="295"/>
      <c r="M994" s="294"/>
      <c r="P994" s="294"/>
      <c r="Q994" s="294"/>
    </row>
    <row r="995" spans="2:17" x14ac:dyDescent="0.25">
      <c r="B995" s="294"/>
      <c r="C995" s="294"/>
      <c r="D995" s="294"/>
      <c r="E995" s="294"/>
      <c r="F995" s="294"/>
      <c r="G995" s="294"/>
      <c r="H995" s="294"/>
      <c r="I995" s="294"/>
      <c r="J995" s="294"/>
      <c r="L995" s="295"/>
      <c r="M995" s="294"/>
      <c r="P995" s="294"/>
      <c r="Q995" s="294"/>
    </row>
    <row r="996" spans="2:17" x14ac:dyDescent="0.25">
      <c r="B996" s="294"/>
      <c r="C996" s="294"/>
      <c r="D996" s="294"/>
      <c r="E996" s="294"/>
      <c r="F996" s="294"/>
      <c r="G996" s="294"/>
      <c r="H996" s="294"/>
      <c r="I996" s="294"/>
      <c r="J996" s="294"/>
      <c r="L996" s="295"/>
      <c r="M996" s="294"/>
      <c r="P996" s="294"/>
      <c r="Q996" s="294"/>
    </row>
    <row r="997" spans="2:17" x14ac:dyDescent="0.25">
      <c r="B997" s="294"/>
      <c r="C997" s="294"/>
      <c r="D997" s="294"/>
      <c r="E997" s="294"/>
      <c r="F997" s="294"/>
      <c r="G997" s="294"/>
      <c r="H997" s="294"/>
      <c r="I997" s="294"/>
      <c r="J997" s="294"/>
      <c r="L997" s="295"/>
      <c r="M997" s="294"/>
      <c r="P997" s="294"/>
      <c r="Q997" s="294"/>
    </row>
    <row r="998" spans="2:17" x14ac:dyDescent="0.25">
      <c r="B998" s="294"/>
      <c r="C998" s="294"/>
      <c r="D998" s="294"/>
      <c r="E998" s="294"/>
      <c r="F998" s="294"/>
      <c r="G998" s="294"/>
      <c r="H998" s="294"/>
      <c r="I998" s="294"/>
      <c r="J998" s="294"/>
      <c r="L998" s="295"/>
      <c r="M998" s="294"/>
      <c r="P998" s="294"/>
      <c r="Q998" s="294"/>
    </row>
    <row r="999" spans="2:17" x14ac:dyDescent="0.25">
      <c r="B999" s="294"/>
      <c r="C999" s="294"/>
      <c r="D999" s="294"/>
      <c r="E999" s="294"/>
      <c r="F999" s="294"/>
      <c r="G999" s="294"/>
      <c r="H999" s="294"/>
      <c r="I999" s="294"/>
      <c r="J999" s="294"/>
      <c r="L999" s="295"/>
      <c r="M999" s="294"/>
      <c r="P999" s="294"/>
      <c r="Q999" s="294"/>
    </row>
    <row r="1000" spans="2:17" x14ac:dyDescent="0.25">
      <c r="B1000" s="294"/>
      <c r="C1000" s="294"/>
      <c r="D1000" s="294"/>
      <c r="E1000" s="294"/>
      <c r="F1000" s="294"/>
      <c r="G1000" s="294"/>
      <c r="H1000" s="294"/>
      <c r="I1000" s="294"/>
      <c r="J1000" s="294"/>
      <c r="L1000" s="295"/>
      <c r="M1000" s="294"/>
      <c r="P1000" s="294"/>
      <c r="Q1000" s="294"/>
    </row>
    <row r="1001" spans="2:17" x14ac:dyDescent="0.25">
      <c r="B1001" s="294"/>
      <c r="C1001" s="294"/>
      <c r="D1001" s="294"/>
      <c r="E1001" s="294"/>
      <c r="F1001" s="294"/>
      <c r="G1001" s="294"/>
      <c r="H1001" s="294"/>
      <c r="I1001" s="294"/>
      <c r="J1001" s="294"/>
      <c r="L1001" s="295"/>
      <c r="M1001" s="294"/>
      <c r="P1001" s="294"/>
      <c r="Q1001" s="294"/>
    </row>
    <row r="1002" spans="2:17" x14ac:dyDescent="0.25">
      <c r="B1002" s="294"/>
      <c r="C1002" s="294"/>
      <c r="D1002" s="294"/>
      <c r="E1002" s="294"/>
      <c r="F1002" s="294"/>
      <c r="G1002" s="294"/>
      <c r="H1002" s="294"/>
      <c r="I1002" s="294"/>
      <c r="J1002" s="294"/>
      <c r="L1002" s="295"/>
      <c r="M1002" s="294"/>
      <c r="P1002" s="294"/>
      <c r="Q1002" s="294"/>
    </row>
    <row r="1003" spans="2:17" x14ac:dyDescent="0.25">
      <c r="B1003" s="294"/>
      <c r="C1003" s="294"/>
      <c r="D1003" s="294"/>
      <c r="E1003" s="294"/>
      <c r="F1003" s="294"/>
      <c r="G1003" s="294"/>
      <c r="H1003" s="294"/>
      <c r="I1003" s="294"/>
      <c r="J1003" s="294"/>
      <c r="L1003" s="295"/>
      <c r="M1003" s="294"/>
      <c r="P1003" s="294"/>
      <c r="Q1003" s="294"/>
    </row>
    <row r="1004" spans="2:17" x14ac:dyDescent="0.25">
      <c r="B1004" s="294"/>
      <c r="C1004" s="294"/>
      <c r="D1004" s="294"/>
      <c r="E1004" s="294"/>
      <c r="F1004" s="294"/>
      <c r="G1004" s="294"/>
      <c r="H1004" s="294"/>
      <c r="I1004" s="294"/>
      <c r="J1004" s="294"/>
      <c r="L1004" s="295"/>
      <c r="M1004" s="294"/>
      <c r="P1004" s="294"/>
      <c r="Q1004" s="294"/>
    </row>
    <row r="1005" spans="2:17" x14ac:dyDescent="0.25">
      <c r="B1005" s="294"/>
      <c r="C1005" s="294"/>
      <c r="D1005" s="294"/>
      <c r="E1005" s="294"/>
      <c r="F1005" s="294"/>
      <c r="G1005" s="294"/>
      <c r="H1005" s="294"/>
      <c r="I1005" s="294"/>
      <c r="J1005" s="294"/>
      <c r="L1005" s="295"/>
      <c r="M1005" s="294"/>
      <c r="P1005" s="294"/>
      <c r="Q1005" s="294"/>
    </row>
    <row r="1006" spans="2:17" x14ac:dyDescent="0.25">
      <c r="B1006" s="294"/>
      <c r="C1006" s="294"/>
      <c r="D1006" s="294"/>
      <c r="E1006" s="294"/>
      <c r="F1006" s="294"/>
      <c r="G1006" s="294"/>
      <c r="H1006" s="294"/>
      <c r="I1006" s="294"/>
      <c r="J1006" s="294"/>
      <c r="L1006" s="295"/>
      <c r="M1006" s="294"/>
      <c r="P1006" s="294"/>
      <c r="Q1006" s="294"/>
    </row>
    <row r="1007" spans="2:17" x14ac:dyDescent="0.25">
      <c r="B1007" s="294"/>
      <c r="C1007" s="294"/>
      <c r="D1007" s="294"/>
      <c r="E1007" s="294"/>
      <c r="F1007" s="294"/>
      <c r="G1007" s="294"/>
      <c r="H1007" s="294"/>
      <c r="I1007" s="294"/>
      <c r="J1007" s="294"/>
      <c r="L1007" s="295"/>
      <c r="M1007" s="294"/>
      <c r="P1007" s="294"/>
      <c r="Q1007" s="294"/>
    </row>
    <row r="1008" spans="2:17" x14ac:dyDescent="0.25">
      <c r="B1008" s="294"/>
      <c r="C1008" s="294"/>
      <c r="D1008" s="294"/>
      <c r="E1008" s="294"/>
      <c r="F1008" s="294"/>
      <c r="G1008" s="294"/>
      <c r="H1008" s="294"/>
      <c r="I1008" s="294"/>
      <c r="J1008" s="294"/>
      <c r="L1008" s="295"/>
      <c r="M1008" s="294"/>
      <c r="P1008" s="294"/>
      <c r="Q1008" s="294"/>
    </row>
    <row r="1009" spans="2:17" x14ac:dyDescent="0.25">
      <c r="B1009" s="294"/>
      <c r="C1009" s="294"/>
      <c r="D1009" s="294"/>
      <c r="E1009" s="294"/>
      <c r="F1009" s="294"/>
      <c r="G1009" s="294"/>
      <c r="H1009" s="294"/>
      <c r="I1009" s="294"/>
      <c r="J1009" s="294"/>
      <c r="L1009" s="295"/>
      <c r="M1009" s="294"/>
      <c r="P1009" s="294"/>
      <c r="Q1009" s="294"/>
    </row>
    <row r="1010" spans="2:17" x14ac:dyDescent="0.25">
      <c r="B1010" s="294"/>
      <c r="C1010" s="294"/>
      <c r="D1010" s="294"/>
      <c r="E1010" s="294"/>
      <c r="F1010" s="294"/>
      <c r="G1010" s="294"/>
      <c r="H1010" s="294"/>
      <c r="I1010" s="294"/>
      <c r="J1010" s="294"/>
      <c r="L1010" s="295"/>
      <c r="M1010" s="294"/>
      <c r="P1010" s="294"/>
      <c r="Q1010" s="294"/>
    </row>
    <row r="1011" spans="2:17" x14ac:dyDescent="0.25">
      <c r="B1011" s="294"/>
      <c r="C1011" s="294"/>
      <c r="D1011" s="294"/>
      <c r="E1011" s="294"/>
      <c r="F1011" s="294"/>
      <c r="G1011" s="294"/>
      <c r="H1011" s="294"/>
      <c r="I1011" s="294"/>
      <c r="J1011" s="294"/>
      <c r="L1011" s="295"/>
      <c r="M1011" s="294"/>
      <c r="P1011" s="294"/>
      <c r="Q1011" s="294"/>
    </row>
    <row r="1012" spans="2:17" x14ac:dyDescent="0.25">
      <c r="B1012" s="294"/>
      <c r="C1012" s="294"/>
      <c r="D1012" s="294"/>
      <c r="E1012" s="294"/>
      <c r="F1012" s="294"/>
      <c r="G1012" s="294"/>
      <c r="H1012" s="294"/>
      <c r="I1012" s="294"/>
      <c r="J1012" s="294"/>
      <c r="L1012" s="295"/>
      <c r="M1012" s="294"/>
      <c r="P1012" s="294"/>
      <c r="Q1012" s="294"/>
    </row>
    <row r="1013" spans="2:17" x14ac:dyDescent="0.25">
      <c r="B1013" s="294"/>
      <c r="C1013" s="294"/>
      <c r="D1013" s="294"/>
      <c r="E1013" s="294"/>
      <c r="F1013" s="294"/>
      <c r="G1013" s="294"/>
      <c r="H1013" s="294"/>
      <c r="I1013" s="294"/>
      <c r="J1013" s="294"/>
      <c r="L1013" s="295"/>
      <c r="M1013" s="294"/>
      <c r="P1013" s="294"/>
      <c r="Q1013" s="294"/>
    </row>
    <row r="1014" spans="2:17" x14ac:dyDescent="0.25">
      <c r="B1014" s="294"/>
      <c r="C1014" s="294"/>
      <c r="D1014" s="294"/>
      <c r="E1014" s="294"/>
      <c r="F1014" s="294"/>
      <c r="G1014" s="294"/>
      <c r="H1014" s="294"/>
      <c r="I1014" s="294"/>
      <c r="J1014" s="294"/>
      <c r="L1014" s="295"/>
      <c r="M1014" s="294"/>
      <c r="P1014" s="294"/>
      <c r="Q1014" s="294"/>
    </row>
    <row r="1015" spans="2:17" x14ac:dyDescent="0.25">
      <c r="B1015" s="294"/>
      <c r="C1015" s="294"/>
      <c r="D1015" s="294"/>
      <c r="E1015" s="294"/>
      <c r="F1015" s="294"/>
      <c r="G1015" s="294"/>
      <c r="H1015" s="294"/>
      <c r="I1015" s="294"/>
      <c r="J1015" s="294"/>
      <c r="L1015" s="295"/>
      <c r="M1015" s="294"/>
      <c r="P1015" s="294"/>
      <c r="Q1015" s="294"/>
    </row>
    <row r="1016" spans="2:17" x14ac:dyDescent="0.25">
      <c r="B1016" s="294"/>
      <c r="C1016" s="294"/>
      <c r="D1016" s="294"/>
      <c r="E1016" s="294"/>
      <c r="F1016" s="294"/>
      <c r="G1016" s="294"/>
      <c r="H1016" s="294"/>
      <c r="I1016" s="294"/>
      <c r="J1016" s="294"/>
      <c r="L1016" s="295"/>
      <c r="M1016" s="294"/>
      <c r="P1016" s="294"/>
      <c r="Q1016" s="294"/>
    </row>
    <row r="1017" spans="2:17" x14ac:dyDescent="0.25">
      <c r="B1017" s="294"/>
      <c r="C1017" s="294"/>
      <c r="D1017" s="294"/>
      <c r="E1017" s="294"/>
      <c r="F1017" s="294"/>
      <c r="G1017" s="294"/>
      <c r="H1017" s="294"/>
      <c r="I1017" s="294"/>
      <c r="J1017" s="294"/>
      <c r="L1017" s="295"/>
      <c r="M1017" s="294"/>
      <c r="P1017" s="294"/>
      <c r="Q1017" s="294"/>
    </row>
    <row r="1018" spans="2:17" x14ac:dyDescent="0.25">
      <c r="B1018" s="294"/>
      <c r="C1018" s="294"/>
      <c r="D1018" s="294"/>
      <c r="E1018" s="294"/>
      <c r="F1018" s="294"/>
      <c r="G1018" s="294"/>
      <c r="H1018" s="294"/>
      <c r="I1018" s="294"/>
      <c r="J1018" s="294"/>
      <c r="L1018" s="295"/>
      <c r="M1018" s="294"/>
      <c r="P1018" s="294"/>
      <c r="Q1018" s="294"/>
    </row>
    <row r="1019" spans="2:17" x14ac:dyDescent="0.25">
      <c r="B1019" s="294"/>
      <c r="C1019" s="294"/>
      <c r="D1019" s="294"/>
      <c r="E1019" s="294"/>
      <c r="F1019" s="294"/>
      <c r="G1019" s="294"/>
      <c r="H1019" s="294"/>
      <c r="I1019" s="294"/>
      <c r="J1019" s="294"/>
      <c r="L1019" s="295"/>
      <c r="M1019" s="294"/>
      <c r="P1019" s="294"/>
      <c r="Q1019" s="294"/>
    </row>
    <row r="1020" spans="2:17" x14ac:dyDescent="0.25">
      <c r="B1020" s="294"/>
      <c r="C1020" s="294"/>
      <c r="D1020" s="294"/>
      <c r="E1020" s="294"/>
      <c r="F1020" s="294"/>
      <c r="G1020" s="294"/>
      <c r="H1020" s="294"/>
      <c r="I1020" s="294"/>
      <c r="J1020" s="294"/>
      <c r="L1020" s="295"/>
      <c r="M1020" s="294"/>
      <c r="P1020" s="294"/>
      <c r="Q1020" s="294"/>
    </row>
    <row r="1021" spans="2:17" x14ac:dyDescent="0.25">
      <c r="B1021" s="294"/>
      <c r="C1021" s="294"/>
      <c r="D1021" s="294"/>
      <c r="E1021" s="294"/>
      <c r="F1021" s="294"/>
      <c r="G1021" s="294"/>
      <c r="H1021" s="294"/>
      <c r="I1021" s="294"/>
      <c r="J1021" s="294"/>
      <c r="L1021" s="295"/>
      <c r="M1021" s="294"/>
      <c r="P1021" s="294"/>
      <c r="Q1021" s="294"/>
    </row>
    <row r="1022" spans="2:17" x14ac:dyDescent="0.25">
      <c r="B1022" s="294"/>
      <c r="C1022" s="294"/>
      <c r="D1022" s="294"/>
      <c r="E1022" s="294"/>
      <c r="F1022" s="294"/>
      <c r="G1022" s="294"/>
      <c r="H1022" s="294"/>
      <c r="I1022" s="294"/>
      <c r="J1022" s="294"/>
      <c r="L1022" s="295"/>
      <c r="M1022" s="294"/>
      <c r="P1022" s="294"/>
      <c r="Q1022" s="294"/>
    </row>
    <row r="1023" spans="2:17" x14ac:dyDescent="0.25">
      <c r="B1023" s="294"/>
      <c r="C1023" s="294"/>
      <c r="D1023" s="294"/>
      <c r="E1023" s="294"/>
      <c r="F1023" s="294"/>
      <c r="G1023" s="294"/>
      <c r="H1023" s="294"/>
      <c r="I1023" s="294"/>
      <c r="J1023" s="294"/>
      <c r="L1023" s="295"/>
      <c r="M1023" s="294"/>
      <c r="P1023" s="294"/>
      <c r="Q1023" s="294"/>
    </row>
    <row r="1024" spans="2:17" x14ac:dyDescent="0.25">
      <c r="B1024" s="294"/>
      <c r="C1024" s="294"/>
      <c r="D1024" s="294"/>
      <c r="E1024" s="294"/>
      <c r="F1024" s="294"/>
      <c r="G1024" s="294"/>
      <c r="H1024" s="294"/>
      <c r="I1024" s="294"/>
      <c r="J1024" s="294"/>
      <c r="L1024" s="295"/>
      <c r="M1024" s="294"/>
      <c r="P1024" s="294"/>
      <c r="Q1024" s="294"/>
    </row>
    <row r="1025" spans="2:17" x14ac:dyDescent="0.25">
      <c r="B1025" s="294"/>
      <c r="C1025" s="294"/>
      <c r="D1025" s="294"/>
      <c r="E1025" s="294"/>
      <c r="F1025" s="294"/>
      <c r="G1025" s="294"/>
      <c r="H1025" s="294"/>
      <c r="I1025" s="294"/>
      <c r="J1025" s="294"/>
      <c r="L1025" s="295"/>
      <c r="M1025" s="294"/>
      <c r="P1025" s="294"/>
      <c r="Q1025" s="294"/>
    </row>
    <row r="1026" spans="2:17" x14ac:dyDescent="0.25">
      <c r="B1026" s="294"/>
      <c r="C1026" s="294"/>
      <c r="D1026" s="294"/>
      <c r="E1026" s="294"/>
      <c r="F1026" s="294"/>
      <c r="G1026" s="294"/>
      <c r="H1026" s="294"/>
      <c r="I1026" s="294"/>
      <c r="J1026" s="294"/>
      <c r="L1026" s="295"/>
      <c r="M1026" s="294"/>
      <c r="P1026" s="294"/>
      <c r="Q1026" s="294"/>
    </row>
    <row r="1027" spans="2:17" x14ac:dyDescent="0.25">
      <c r="B1027" s="294"/>
      <c r="C1027" s="294"/>
      <c r="D1027" s="294"/>
      <c r="E1027" s="294"/>
      <c r="F1027" s="294"/>
      <c r="G1027" s="294"/>
      <c r="H1027" s="294"/>
      <c r="I1027" s="294"/>
      <c r="J1027" s="294"/>
      <c r="L1027" s="295"/>
      <c r="M1027" s="294"/>
      <c r="P1027" s="294"/>
      <c r="Q1027" s="294"/>
    </row>
    <row r="1028" spans="2:17" x14ac:dyDescent="0.25">
      <c r="B1028" s="294"/>
      <c r="C1028" s="294"/>
      <c r="D1028" s="294"/>
      <c r="E1028" s="294"/>
      <c r="F1028" s="294"/>
      <c r="G1028" s="294"/>
      <c r="H1028" s="294"/>
      <c r="I1028" s="294"/>
      <c r="J1028" s="294"/>
      <c r="L1028" s="295"/>
      <c r="M1028" s="294"/>
      <c r="P1028" s="294"/>
      <c r="Q1028" s="294"/>
    </row>
    <row r="1029" spans="2:17" x14ac:dyDescent="0.25">
      <c r="B1029" s="294"/>
      <c r="C1029" s="294"/>
      <c r="D1029" s="294"/>
      <c r="E1029" s="294"/>
      <c r="F1029" s="294"/>
      <c r="G1029" s="294"/>
      <c r="H1029" s="294"/>
      <c r="I1029" s="294"/>
      <c r="J1029" s="294"/>
      <c r="L1029" s="295"/>
      <c r="M1029" s="294"/>
      <c r="P1029" s="294"/>
      <c r="Q1029" s="294"/>
    </row>
    <row r="1030" spans="2:17" x14ac:dyDescent="0.25">
      <c r="B1030" s="294"/>
      <c r="C1030" s="294"/>
      <c r="D1030" s="294"/>
      <c r="E1030" s="294"/>
      <c r="F1030" s="294"/>
      <c r="G1030" s="294"/>
      <c r="H1030" s="294"/>
      <c r="I1030" s="294"/>
      <c r="J1030" s="294"/>
      <c r="L1030" s="295"/>
      <c r="M1030" s="294"/>
      <c r="P1030" s="294"/>
      <c r="Q1030" s="294"/>
    </row>
    <row r="1031" spans="2:17" x14ac:dyDescent="0.25">
      <c r="B1031" s="294"/>
      <c r="C1031" s="294"/>
      <c r="D1031" s="294"/>
      <c r="E1031" s="294"/>
      <c r="F1031" s="294"/>
      <c r="G1031" s="294"/>
      <c r="H1031" s="294"/>
      <c r="I1031" s="294"/>
      <c r="J1031" s="294"/>
      <c r="L1031" s="295"/>
      <c r="M1031" s="294"/>
      <c r="P1031" s="294"/>
      <c r="Q1031" s="294"/>
    </row>
    <row r="1032" spans="2:17" x14ac:dyDescent="0.25">
      <c r="B1032" s="294"/>
      <c r="C1032" s="294"/>
      <c r="D1032" s="294"/>
      <c r="E1032" s="294"/>
      <c r="F1032" s="294"/>
      <c r="G1032" s="294"/>
      <c r="H1032" s="294"/>
      <c r="I1032" s="294"/>
      <c r="J1032" s="294"/>
      <c r="L1032" s="295"/>
      <c r="M1032" s="294"/>
      <c r="P1032" s="294"/>
      <c r="Q1032" s="294"/>
    </row>
    <row r="1033" spans="2:17" x14ac:dyDescent="0.25">
      <c r="B1033" s="294"/>
      <c r="C1033" s="294"/>
      <c r="D1033" s="294"/>
      <c r="E1033" s="294"/>
      <c r="F1033" s="294"/>
      <c r="G1033" s="294"/>
      <c r="H1033" s="294"/>
      <c r="I1033" s="294"/>
      <c r="J1033" s="294"/>
      <c r="L1033" s="295"/>
      <c r="M1033" s="294"/>
      <c r="P1033" s="294"/>
      <c r="Q1033" s="294"/>
    </row>
    <row r="1034" spans="2:17" x14ac:dyDescent="0.25">
      <c r="B1034" s="294"/>
      <c r="C1034" s="294"/>
      <c r="D1034" s="294"/>
      <c r="E1034" s="294"/>
      <c r="F1034" s="294"/>
      <c r="G1034" s="294"/>
      <c r="H1034" s="294"/>
      <c r="I1034" s="294"/>
      <c r="J1034" s="294"/>
      <c r="L1034" s="295"/>
      <c r="M1034" s="294"/>
      <c r="P1034" s="294"/>
      <c r="Q1034" s="294"/>
    </row>
    <row r="1035" spans="2:17" x14ac:dyDescent="0.25">
      <c r="B1035" s="294"/>
      <c r="C1035" s="294"/>
      <c r="D1035" s="294"/>
      <c r="E1035" s="294"/>
      <c r="F1035" s="294"/>
      <c r="G1035" s="294"/>
      <c r="H1035" s="294"/>
      <c r="I1035" s="294"/>
      <c r="J1035" s="294"/>
      <c r="L1035" s="295"/>
      <c r="M1035" s="294"/>
      <c r="P1035" s="294"/>
      <c r="Q1035" s="294"/>
    </row>
    <row r="1036" spans="2:17" x14ac:dyDescent="0.25">
      <c r="B1036" s="294"/>
      <c r="C1036" s="294"/>
      <c r="D1036" s="294"/>
      <c r="E1036" s="294"/>
      <c r="F1036" s="294"/>
      <c r="G1036" s="294"/>
      <c r="H1036" s="294"/>
      <c r="I1036" s="294"/>
      <c r="J1036" s="294"/>
      <c r="L1036" s="295"/>
      <c r="M1036" s="294"/>
      <c r="P1036" s="294"/>
      <c r="Q1036" s="294"/>
    </row>
    <row r="1037" spans="2:17" x14ac:dyDescent="0.25">
      <c r="B1037" s="294"/>
      <c r="C1037" s="294"/>
      <c r="D1037" s="294"/>
      <c r="E1037" s="294"/>
      <c r="F1037" s="294"/>
      <c r="G1037" s="294"/>
      <c r="H1037" s="294"/>
      <c r="I1037" s="294"/>
      <c r="J1037" s="294"/>
      <c r="L1037" s="295"/>
      <c r="M1037" s="294"/>
      <c r="P1037" s="294"/>
      <c r="Q1037" s="294"/>
    </row>
    <row r="1038" spans="2:17" x14ac:dyDescent="0.25">
      <c r="B1038" s="294"/>
      <c r="C1038" s="294"/>
      <c r="D1038" s="294"/>
      <c r="E1038" s="294"/>
      <c r="F1038" s="294"/>
      <c r="G1038" s="294"/>
      <c r="H1038" s="294"/>
      <c r="I1038" s="294"/>
      <c r="J1038" s="294"/>
      <c r="L1038" s="295"/>
      <c r="M1038" s="294"/>
      <c r="P1038" s="294"/>
      <c r="Q1038" s="294"/>
    </row>
    <row r="1039" spans="2:17" x14ac:dyDescent="0.25">
      <c r="B1039" s="294"/>
      <c r="C1039" s="294"/>
      <c r="D1039" s="294"/>
      <c r="E1039" s="294"/>
      <c r="F1039" s="294"/>
      <c r="G1039" s="294"/>
      <c r="H1039" s="294"/>
      <c r="I1039" s="294"/>
      <c r="J1039" s="294"/>
      <c r="L1039" s="295"/>
      <c r="M1039" s="294"/>
      <c r="P1039" s="294"/>
      <c r="Q1039" s="294"/>
    </row>
    <row r="1040" spans="2:17" x14ac:dyDescent="0.25">
      <c r="B1040" s="294"/>
      <c r="C1040" s="294"/>
      <c r="D1040" s="294"/>
      <c r="E1040" s="294"/>
      <c r="F1040" s="294"/>
      <c r="G1040" s="294"/>
      <c r="H1040" s="294"/>
      <c r="I1040" s="294"/>
      <c r="J1040" s="294"/>
      <c r="L1040" s="295"/>
      <c r="M1040" s="294"/>
      <c r="P1040" s="294"/>
      <c r="Q1040" s="294"/>
    </row>
    <row r="1041" spans="2:17" x14ac:dyDescent="0.25">
      <c r="B1041" s="294"/>
      <c r="C1041" s="294"/>
      <c r="D1041" s="294"/>
      <c r="E1041" s="294"/>
      <c r="F1041" s="294"/>
      <c r="G1041" s="294"/>
      <c r="H1041" s="294"/>
      <c r="I1041" s="294"/>
      <c r="J1041" s="294"/>
      <c r="L1041" s="295"/>
      <c r="M1041" s="294"/>
      <c r="P1041" s="294"/>
      <c r="Q1041" s="294"/>
    </row>
    <row r="1042" spans="2:17" x14ac:dyDescent="0.25">
      <c r="B1042" s="294"/>
      <c r="C1042" s="294"/>
      <c r="D1042" s="294"/>
      <c r="E1042" s="294"/>
      <c r="F1042" s="294"/>
      <c r="G1042" s="294"/>
      <c r="H1042" s="294"/>
      <c r="I1042" s="294"/>
      <c r="J1042" s="294"/>
      <c r="L1042" s="295"/>
      <c r="M1042" s="294"/>
      <c r="P1042" s="294"/>
      <c r="Q1042" s="294"/>
    </row>
    <row r="1043" spans="2:17" x14ac:dyDescent="0.25">
      <c r="B1043" s="294"/>
      <c r="C1043" s="294"/>
      <c r="D1043" s="294"/>
      <c r="E1043" s="294"/>
      <c r="F1043" s="294"/>
      <c r="G1043" s="294"/>
      <c r="H1043" s="294"/>
      <c r="I1043" s="294"/>
      <c r="J1043" s="294"/>
      <c r="L1043" s="295"/>
      <c r="M1043" s="294"/>
      <c r="P1043" s="294"/>
      <c r="Q1043" s="294"/>
    </row>
    <row r="1044" spans="2:17" x14ac:dyDescent="0.25">
      <c r="B1044" s="294"/>
      <c r="C1044" s="294"/>
      <c r="D1044" s="294"/>
      <c r="E1044" s="294"/>
      <c r="F1044" s="294"/>
      <c r="G1044" s="294"/>
      <c r="H1044" s="294"/>
      <c r="I1044" s="294"/>
      <c r="J1044" s="294"/>
      <c r="L1044" s="295"/>
      <c r="M1044" s="294"/>
      <c r="P1044" s="294"/>
      <c r="Q1044" s="294"/>
    </row>
    <row r="1045" spans="2:17" x14ac:dyDescent="0.25">
      <c r="B1045" s="294"/>
      <c r="C1045" s="294"/>
      <c r="D1045" s="294"/>
      <c r="E1045" s="294"/>
      <c r="F1045" s="294"/>
      <c r="G1045" s="294"/>
      <c r="H1045" s="294"/>
      <c r="I1045" s="294"/>
      <c r="J1045" s="294"/>
      <c r="L1045" s="295"/>
      <c r="M1045" s="294"/>
      <c r="P1045" s="294"/>
      <c r="Q1045" s="294"/>
    </row>
    <row r="1046" spans="2:17" x14ac:dyDescent="0.25">
      <c r="B1046" s="294"/>
      <c r="C1046" s="294"/>
      <c r="D1046" s="294"/>
      <c r="E1046" s="294"/>
      <c r="F1046" s="294"/>
      <c r="G1046" s="294"/>
      <c r="H1046" s="294"/>
      <c r="I1046" s="294"/>
      <c r="J1046" s="294"/>
      <c r="L1046" s="295"/>
      <c r="M1046" s="294"/>
      <c r="P1046" s="294"/>
      <c r="Q1046" s="294"/>
    </row>
    <row r="1047" spans="2:17" x14ac:dyDescent="0.25">
      <c r="B1047" s="294"/>
      <c r="C1047" s="294"/>
      <c r="D1047" s="294"/>
      <c r="E1047" s="294"/>
      <c r="F1047" s="294"/>
      <c r="G1047" s="294"/>
      <c r="H1047" s="294"/>
      <c r="I1047" s="294"/>
      <c r="J1047" s="294"/>
      <c r="L1047" s="295"/>
      <c r="M1047" s="294"/>
      <c r="P1047" s="294"/>
      <c r="Q1047" s="294"/>
    </row>
    <row r="1048" spans="2:17" x14ac:dyDescent="0.25">
      <c r="B1048" s="294"/>
      <c r="C1048" s="294"/>
      <c r="D1048" s="294"/>
      <c r="E1048" s="294"/>
      <c r="F1048" s="294"/>
      <c r="G1048" s="294"/>
      <c r="H1048" s="294"/>
      <c r="I1048" s="294"/>
      <c r="J1048" s="294"/>
      <c r="L1048" s="295"/>
      <c r="M1048" s="294"/>
      <c r="P1048" s="294"/>
      <c r="Q1048" s="294"/>
    </row>
    <row r="1049" spans="2:17" x14ac:dyDescent="0.25">
      <c r="B1049" s="294"/>
      <c r="C1049" s="294"/>
      <c r="D1049" s="294"/>
      <c r="E1049" s="294"/>
      <c r="F1049" s="294"/>
      <c r="G1049" s="294"/>
      <c r="H1049" s="294"/>
      <c r="I1049" s="294"/>
      <c r="J1049" s="294"/>
      <c r="L1049" s="295"/>
      <c r="M1049" s="294"/>
      <c r="P1049" s="294"/>
      <c r="Q1049" s="294"/>
    </row>
    <row r="1050" spans="2:17" x14ac:dyDescent="0.25">
      <c r="B1050" s="294"/>
      <c r="C1050" s="294"/>
      <c r="D1050" s="294"/>
      <c r="E1050" s="294"/>
      <c r="F1050" s="294"/>
      <c r="G1050" s="294"/>
      <c r="H1050" s="294"/>
      <c r="I1050" s="294"/>
      <c r="J1050" s="294"/>
      <c r="L1050" s="295"/>
      <c r="M1050" s="294"/>
      <c r="P1050" s="294"/>
      <c r="Q1050" s="294"/>
    </row>
    <row r="1051" spans="2:17" x14ac:dyDescent="0.25">
      <c r="B1051" s="294"/>
      <c r="C1051" s="294"/>
      <c r="D1051" s="294"/>
      <c r="E1051" s="294"/>
      <c r="F1051" s="294"/>
      <c r="G1051" s="294"/>
      <c r="H1051" s="294"/>
      <c r="I1051" s="294"/>
      <c r="J1051" s="294"/>
      <c r="L1051" s="295"/>
      <c r="M1051" s="294"/>
      <c r="P1051" s="294"/>
      <c r="Q1051" s="294"/>
    </row>
    <row r="1052" spans="2:17" x14ac:dyDescent="0.25">
      <c r="B1052" s="294"/>
      <c r="C1052" s="294"/>
      <c r="D1052" s="294"/>
      <c r="E1052" s="294"/>
      <c r="F1052" s="294"/>
      <c r="G1052" s="294"/>
      <c r="H1052" s="294"/>
      <c r="I1052" s="294"/>
      <c r="J1052" s="294"/>
      <c r="L1052" s="295"/>
      <c r="M1052" s="294"/>
      <c r="P1052" s="294"/>
      <c r="Q1052" s="294"/>
    </row>
    <row r="1053" spans="2:17" x14ac:dyDescent="0.25">
      <c r="B1053" s="294"/>
      <c r="C1053" s="294"/>
      <c r="D1053" s="294"/>
      <c r="E1053" s="294"/>
      <c r="F1053" s="294"/>
      <c r="G1053" s="294"/>
      <c r="H1053" s="294"/>
      <c r="I1053" s="294"/>
      <c r="J1053" s="294"/>
      <c r="L1053" s="295"/>
      <c r="M1053" s="294"/>
      <c r="P1053" s="294"/>
      <c r="Q1053" s="294"/>
    </row>
    <row r="1054" spans="2:17" x14ac:dyDescent="0.25">
      <c r="B1054" s="294"/>
      <c r="C1054" s="294"/>
      <c r="D1054" s="294"/>
      <c r="E1054" s="294"/>
      <c r="F1054" s="294"/>
      <c r="G1054" s="294"/>
      <c r="H1054" s="294"/>
      <c r="I1054" s="294"/>
      <c r="J1054" s="294"/>
      <c r="L1054" s="295"/>
      <c r="M1054" s="294"/>
      <c r="P1054" s="294"/>
      <c r="Q1054" s="294"/>
    </row>
    <row r="1055" spans="2:17" x14ac:dyDescent="0.25">
      <c r="B1055" s="294"/>
      <c r="C1055" s="294"/>
      <c r="D1055" s="294"/>
      <c r="E1055" s="294"/>
      <c r="F1055" s="294"/>
      <c r="G1055" s="294"/>
      <c r="H1055" s="294"/>
      <c r="I1055" s="294"/>
      <c r="J1055" s="294"/>
      <c r="L1055" s="295"/>
      <c r="M1055" s="294"/>
      <c r="P1055" s="294"/>
      <c r="Q1055" s="294"/>
    </row>
    <row r="1056" spans="2:17" x14ac:dyDescent="0.25">
      <c r="B1056" s="294"/>
      <c r="C1056" s="294"/>
      <c r="D1056" s="294"/>
      <c r="E1056" s="294"/>
      <c r="F1056" s="294"/>
      <c r="G1056" s="294"/>
      <c r="H1056" s="294"/>
      <c r="I1056" s="294"/>
      <c r="J1056" s="294"/>
      <c r="L1056" s="295"/>
      <c r="M1056" s="294"/>
      <c r="P1056" s="294"/>
      <c r="Q1056" s="294"/>
    </row>
    <row r="1057" spans="2:17" x14ac:dyDescent="0.25">
      <c r="B1057" s="294"/>
      <c r="C1057" s="294"/>
      <c r="D1057" s="294"/>
      <c r="E1057" s="294"/>
      <c r="F1057" s="294"/>
      <c r="G1057" s="294"/>
      <c r="H1057" s="294"/>
      <c r="I1057" s="294"/>
      <c r="J1057" s="294"/>
      <c r="L1057" s="295"/>
      <c r="M1057" s="294"/>
      <c r="P1057" s="294"/>
      <c r="Q1057" s="294"/>
    </row>
    <row r="1058" spans="2:17" x14ac:dyDescent="0.25">
      <c r="B1058" s="294"/>
      <c r="C1058" s="294"/>
      <c r="D1058" s="294"/>
      <c r="E1058" s="294"/>
      <c r="F1058" s="294"/>
      <c r="G1058" s="294"/>
      <c r="H1058" s="294"/>
      <c r="I1058" s="294"/>
      <c r="J1058" s="294"/>
      <c r="L1058" s="295"/>
      <c r="M1058" s="294"/>
      <c r="P1058" s="294"/>
      <c r="Q1058" s="294"/>
    </row>
    <row r="1059" spans="2:17" x14ac:dyDescent="0.25">
      <c r="B1059" s="294"/>
      <c r="C1059" s="294"/>
      <c r="D1059" s="294"/>
      <c r="E1059" s="294"/>
      <c r="F1059" s="294"/>
      <c r="G1059" s="294"/>
      <c r="H1059" s="294"/>
      <c r="I1059" s="294"/>
      <c r="J1059" s="294"/>
      <c r="L1059" s="295"/>
      <c r="M1059" s="294"/>
      <c r="P1059" s="294"/>
      <c r="Q1059" s="294"/>
    </row>
    <row r="1060" spans="2:17" x14ac:dyDescent="0.25">
      <c r="B1060" s="294"/>
      <c r="C1060" s="294"/>
      <c r="D1060" s="294"/>
      <c r="E1060" s="294"/>
      <c r="F1060" s="294"/>
      <c r="G1060" s="294"/>
      <c r="H1060" s="294"/>
      <c r="I1060" s="294"/>
      <c r="J1060" s="294"/>
      <c r="L1060" s="295"/>
      <c r="M1060" s="294"/>
      <c r="P1060" s="294"/>
      <c r="Q1060" s="294"/>
    </row>
    <row r="1061" spans="2:17" x14ac:dyDescent="0.25">
      <c r="B1061" s="294"/>
      <c r="C1061" s="294"/>
      <c r="D1061" s="294"/>
      <c r="E1061" s="294"/>
      <c r="F1061" s="294"/>
      <c r="G1061" s="294"/>
      <c r="H1061" s="294"/>
      <c r="I1061" s="294"/>
      <c r="J1061" s="294"/>
      <c r="L1061" s="295"/>
      <c r="M1061" s="294"/>
      <c r="P1061" s="294"/>
      <c r="Q1061" s="294"/>
    </row>
    <row r="1062" spans="2:17" x14ac:dyDescent="0.25">
      <c r="B1062" s="294"/>
      <c r="C1062" s="294"/>
      <c r="D1062" s="294"/>
      <c r="E1062" s="294"/>
      <c r="F1062" s="294"/>
      <c r="G1062" s="294"/>
      <c r="H1062" s="294"/>
      <c r="I1062" s="294"/>
      <c r="J1062" s="294"/>
      <c r="L1062" s="295"/>
      <c r="M1062" s="294"/>
      <c r="P1062" s="294"/>
      <c r="Q1062" s="294"/>
    </row>
    <row r="1063" spans="2:17" x14ac:dyDescent="0.25">
      <c r="B1063" s="294"/>
      <c r="C1063" s="294"/>
      <c r="D1063" s="294"/>
      <c r="E1063" s="294"/>
      <c r="F1063" s="294"/>
      <c r="G1063" s="294"/>
      <c r="H1063" s="294"/>
      <c r="I1063" s="294"/>
      <c r="J1063" s="294"/>
      <c r="L1063" s="295"/>
      <c r="M1063" s="294"/>
      <c r="P1063" s="294"/>
      <c r="Q1063" s="294"/>
    </row>
    <row r="1064" spans="2:17" x14ac:dyDescent="0.25">
      <c r="B1064" s="294"/>
      <c r="C1064" s="294"/>
      <c r="D1064" s="294"/>
      <c r="E1064" s="294"/>
      <c r="F1064" s="294"/>
      <c r="G1064" s="294"/>
      <c r="H1064" s="294"/>
      <c r="I1064" s="294"/>
      <c r="J1064" s="294"/>
      <c r="L1064" s="295"/>
      <c r="M1064" s="294"/>
      <c r="P1064" s="294"/>
      <c r="Q1064" s="294"/>
    </row>
    <row r="1065" spans="2:17" x14ac:dyDescent="0.25">
      <c r="B1065" s="294"/>
      <c r="C1065" s="294"/>
      <c r="D1065" s="294"/>
      <c r="E1065" s="294"/>
      <c r="F1065" s="294"/>
      <c r="G1065" s="294"/>
      <c r="H1065" s="294"/>
      <c r="I1065" s="294"/>
      <c r="J1065" s="294"/>
      <c r="L1065" s="295"/>
      <c r="M1065" s="294"/>
      <c r="P1065" s="294"/>
      <c r="Q1065" s="294"/>
    </row>
    <row r="1066" spans="2:17" x14ac:dyDescent="0.25">
      <c r="B1066" s="294"/>
      <c r="C1066" s="294"/>
      <c r="D1066" s="294"/>
      <c r="E1066" s="294"/>
      <c r="F1066" s="294"/>
      <c r="G1066" s="294"/>
      <c r="H1066" s="294"/>
      <c r="I1066" s="294"/>
      <c r="J1066" s="294"/>
      <c r="L1066" s="295"/>
      <c r="M1066" s="294"/>
      <c r="P1066" s="294"/>
      <c r="Q1066" s="294"/>
    </row>
    <row r="1067" spans="2:17" x14ac:dyDescent="0.25">
      <c r="B1067" s="294"/>
      <c r="C1067" s="294"/>
      <c r="D1067" s="294"/>
      <c r="E1067" s="294"/>
      <c r="F1067" s="294"/>
      <c r="G1067" s="294"/>
      <c r="H1067" s="294"/>
      <c r="I1067" s="294"/>
      <c r="J1067" s="294"/>
      <c r="L1067" s="295"/>
      <c r="M1067" s="294"/>
      <c r="P1067" s="294"/>
      <c r="Q1067" s="294"/>
    </row>
    <row r="1068" spans="2:17" x14ac:dyDescent="0.25">
      <c r="B1068" s="294"/>
      <c r="C1068" s="294"/>
      <c r="D1068" s="294"/>
      <c r="E1068" s="294"/>
      <c r="F1068" s="294"/>
      <c r="G1068" s="294"/>
      <c r="H1068" s="294"/>
      <c r="I1068" s="294"/>
      <c r="J1068" s="294"/>
      <c r="L1068" s="295"/>
      <c r="M1068" s="294"/>
      <c r="P1068" s="294"/>
      <c r="Q1068" s="294"/>
    </row>
    <row r="1069" spans="2:17" x14ac:dyDescent="0.25">
      <c r="B1069" s="294"/>
      <c r="C1069" s="294"/>
      <c r="D1069" s="294"/>
      <c r="E1069" s="294"/>
      <c r="F1069" s="294"/>
      <c r="G1069" s="294"/>
      <c r="H1069" s="294"/>
      <c r="I1069" s="294"/>
      <c r="J1069" s="294"/>
      <c r="L1069" s="295"/>
      <c r="M1069" s="294"/>
      <c r="P1069" s="294"/>
      <c r="Q1069" s="294"/>
    </row>
    <row r="1070" spans="2:17" x14ac:dyDescent="0.25">
      <c r="B1070" s="294"/>
      <c r="C1070" s="294"/>
      <c r="D1070" s="294"/>
      <c r="E1070" s="294"/>
      <c r="F1070" s="294"/>
      <c r="G1070" s="294"/>
      <c r="H1070" s="294"/>
      <c r="I1070" s="294"/>
      <c r="J1070" s="294"/>
      <c r="L1070" s="295"/>
      <c r="M1070" s="294"/>
      <c r="P1070" s="294"/>
      <c r="Q1070" s="294"/>
    </row>
    <row r="1071" spans="2:17" x14ac:dyDescent="0.25">
      <c r="B1071" s="294"/>
      <c r="C1071" s="294"/>
      <c r="D1071" s="294"/>
      <c r="E1071" s="294"/>
      <c r="F1071" s="294"/>
      <c r="G1071" s="294"/>
      <c r="H1071" s="294"/>
      <c r="I1071" s="294"/>
      <c r="J1071" s="294"/>
      <c r="L1071" s="295"/>
      <c r="M1071" s="294"/>
      <c r="P1071" s="294"/>
      <c r="Q1071" s="294"/>
    </row>
    <row r="1072" spans="2:17" x14ac:dyDescent="0.25">
      <c r="B1072" s="294"/>
      <c r="C1072" s="294"/>
      <c r="D1072" s="294"/>
      <c r="E1072" s="294"/>
      <c r="F1072" s="294"/>
      <c r="G1072" s="294"/>
      <c r="H1072" s="294"/>
      <c r="I1072" s="294"/>
      <c r="J1072" s="294"/>
      <c r="L1072" s="295"/>
      <c r="M1072" s="294"/>
      <c r="P1072" s="294"/>
      <c r="Q1072" s="294"/>
    </row>
    <row r="1073" spans="2:17" x14ac:dyDescent="0.25">
      <c r="B1073" s="294"/>
      <c r="C1073" s="294"/>
      <c r="D1073" s="294"/>
      <c r="E1073" s="294"/>
      <c r="F1073" s="294"/>
      <c r="G1073" s="294"/>
      <c r="H1073" s="294"/>
      <c r="I1073" s="294"/>
      <c r="J1073" s="294"/>
      <c r="L1073" s="295"/>
      <c r="M1073" s="294"/>
      <c r="P1073" s="294"/>
      <c r="Q1073" s="294"/>
    </row>
    <row r="1074" spans="2:17" x14ac:dyDescent="0.25">
      <c r="B1074" s="294"/>
      <c r="C1074" s="294"/>
      <c r="D1074" s="294"/>
      <c r="E1074" s="294"/>
      <c r="F1074" s="294"/>
      <c r="G1074" s="294"/>
      <c r="H1074" s="294"/>
      <c r="I1074" s="294"/>
      <c r="J1074" s="294"/>
      <c r="L1074" s="295"/>
      <c r="M1074" s="294"/>
      <c r="P1074" s="294"/>
      <c r="Q1074" s="294"/>
    </row>
    <row r="1075" spans="2:17" x14ac:dyDescent="0.25">
      <c r="B1075" s="294"/>
      <c r="C1075" s="294"/>
      <c r="D1075" s="294"/>
      <c r="E1075" s="294"/>
      <c r="F1075" s="294"/>
      <c r="G1075" s="294"/>
      <c r="H1075" s="294"/>
      <c r="I1075" s="294"/>
      <c r="J1075" s="294"/>
      <c r="L1075" s="295"/>
      <c r="M1075" s="294"/>
      <c r="P1075" s="294"/>
      <c r="Q1075" s="294"/>
    </row>
    <row r="1076" spans="2:17" x14ac:dyDescent="0.25">
      <c r="B1076" s="294"/>
      <c r="C1076" s="294"/>
      <c r="D1076" s="294"/>
      <c r="E1076" s="294"/>
      <c r="F1076" s="294"/>
      <c r="G1076" s="294"/>
      <c r="H1076" s="294"/>
      <c r="I1076" s="294"/>
      <c r="J1076" s="294"/>
      <c r="L1076" s="295"/>
      <c r="M1076" s="294"/>
      <c r="P1076" s="294"/>
      <c r="Q1076" s="294"/>
    </row>
    <row r="1077" spans="2:17" x14ac:dyDescent="0.25">
      <c r="B1077" s="294"/>
      <c r="C1077" s="294"/>
      <c r="D1077" s="294"/>
      <c r="E1077" s="294"/>
      <c r="F1077" s="294"/>
      <c r="G1077" s="294"/>
      <c r="H1077" s="294"/>
      <c r="I1077" s="294"/>
      <c r="J1077" s="294"/>
      <c r="L1077" s="295"/>
      <c r="M1077" s="294"/>
      <c r="P1077" s="294"/>
      <c r="Q1077" s="294"/>
    </row>
    <row r="1078" spans="2:17" x14ac:dyDescent="0.25">
      <c r="B1078" s="294"/>
      <c r="C1078" s="294"/>
      <c r="D1078" s="294"/>
      <c r="E1078" s="294"/>
      <c r="F1078" s="294"/>
      <c r="G1078" s="294"/>
      <c r="H1078" s="294"/>
      <c r="I1078" s="294"/>
      <c r="J1078" s="294"/>
      <c r="L1078" s="295"/>
      <c r="M1078" s="294"/>
      <c r="P1078" s="294"/>
      <c r="Q1078" s="294"/>
    </row>
    <row r="1079" spans="2:17" x14ac:dyDescent="0.25">
      <c r="B1079" s="294"/>
      <c r="C1079" s="294"/>
      <c r="D1079" s="294"/>
      <c r="E1079" s="294"/>
      <c r="F1079" s="294"/>
      <c r="G1079" s="294"/>
      <c r="H1079" s="294"/>
      <c r="I1079" s="294"/>
      <c r="J1079" s="294"/>
      <c r="L1079" s="295"/>
      <c r="M1079" s="294"/>
      <c r="P1079" s="294"/>
      <c r="Q1079" s="294"/>
    </row>
    <row r="1080" spans="2:17" x14ac:dyDescent="0.25">
      <c r="B1080" s="294"/>
      <c r="C1080" s="294"/>
      <c r="D1080" s="294"/>
      <c r="E1080" s="294"/>
      <c r="F1080" s="294"/>
      <c r="G1080" s="294"/>
      <c r="H1080" s="294"/>
      <c r="I1080" s="294"/>
      <c r="J1080" s="294"/>
      <c r="L1080" s="295"/>
      <c r="M1080" s="294"/>
      <c r="P1080" s="294"/>
      <c r="Q1080" s="294"/>
    </row>
    <row r="1081" spans="2:17" x14ac:dyDescent="0.25">
      <c r="B1081" s="294"/>
      <c r="C1081" s="294"/>
      <c r="D1081" s="294"/>
      <c r="E1081" s="294"/>
      <c r="F1081" s="294"/>
      <c r="G1081" s="294"/>
      <c r="H1081" s="294"/>
      <c r="I1081" s="294"/>
      <c r="J1081" s="294"/>
      <c r="L1081" s="295"/>
      <c r="M1081" s="294"/>
      <c r="P1081" s="294"/>
      <c r="Q1081" s="294"/>
    </row>
    <row r="1082" spans="2:17" x14ac:dyDescent="0.25">
      <c r="B1082" s="294"/>
      <c r="C1082" s="294"/>
      <c r="D1082" s="294"/>
      <c r="E1082" s="294"/>
      <c r="F1082" s="294"/>
      <c r="G1082" s="294"/>
      <c r="H1082" s="294"/>
      <c r="I1082" s="294"/>
      <c r="J1082" s="294"/>
      <c r="L1082" s="295"/>
      <c r="M1082" s="294"/>
      <c r="P1082" s="294"/>
      <c r="Q1082" s="294"/>
    </row>
    <row r="1083" spans="2:17" x14ac:dyDescent="0.25">
      <c r="B1083" s="294"/>
      <c r="C1083" s="294"/>
      <c r="D1083" s="294"/>
      <c r="E1083" s="294"/>
      <c r="F1083" s="294"/>
      <c r="G1083" s="294"/>
      <c r="H1083" s="294"/>
      <c r="I1083" s="294"/>
      <c r="J1083" s="294"/>
      <c r="L1083" s="295"/>
      <c r="M1083" s="294"/>
      <c r="P1083" s="294"/>
      <c r="Q1083" s="294"/>
    </row>
    <row r="1084" spans="2:17" x14ac:dyDescent="0.25">
      <c r="B1084" s="294"/>
      <c r="C1084" s="294"/>
      <c r="D1084" s="294"/>
      <c r="E1084" s="294"/>
      <c r="F1084" s="294"/>
      <c r="G1084" s="294"/>
      <c r="H1084" s="294"/>
      <c r="I1084" s="294"/>
      <c r="J1084" s="294"/>
      <c r="L1084" s="295"/>
      <c r="M1084" s="294"/>
      <c r="P1084" s="294"/>
      <c r="Q1084" s="294"/>
    </row>
    <row r="1085" spans="2:17" x14ac:dyDescent="0.25">
      <c r="B1085" s="294"/>
      <c r="C1085" s="294"/>
      <c r="D1085" s="294"/>
      <c r="E1085" s="294"/>
      <c r="F1085" s="294"/>
      <c r="G1085" s="294"/>
      <c r="H1085" s="294"/>
      <c r="I1085" s="294"/>
      <c r="J1085" s="294"/>
      <c r="L1085" s="295"/>
      <c r="M1085" s="294"/>
      <c r="P1085" s="294"/>
      <c r="Q1085" s="294"/>
    </row>
    <row r="1086" spans="2:17" x14ac:dyDescent="0.25">
      <c r="B1086" s="294"/>
      <c r="C1086" s="294"/>
      <c r="D1086" s="294"/>
      <c r="E1086" s="294"/>
      <c r="F1086" s="294"/>
      <c r="G1086" s="294"/>
      <c r="H1086" s="294"/>
      <c r="I1086" s="294"/>
      <c r="J1086" s="294"/>
      <c r="L1086" s="295"/>
      <c r="M1086" s="294"/>
      <c r="P1086" s="294"/>
      <c r="Q1086" s="294"/>
    </row>
    <row r="1087" spans="2:17" x14ac:dyDescent="0.25">
      <c r="B1087" s="294"/>
      <c r="C1087" s="294"/>
      <c r="D1087" s="294"/>
      <c r="E1087" s="294"/>
      <c r="F1087" s="294"/>
      <c r="G1087" s="294"/>
      <c r="H1087" s="294"/>
      <c r="I1087" s="294"/>
      <c r="J1087" s="294"/>
      <c r="L1087" s="295"/>
      <c r="M1087" s="294"/>
      <c r="P1087" s="294"/>
      <c r="Q1087" s="294"/>
    </row>
    <row r="1088" spans="2:17" x14ac:dyDescent="0.25">
      <c r="B1088" s="294"/>
      <c r="C1088" s="294"/>
      <c r="D1088" s="294"/>
      <c r="E1088" s="294"/>
      <c r="F1088" s="294"/>
      <c r="G1088" s="294"/>
      <c r="H1088" s="294"/>
      <c r="I1088" s="294"/>
      <c r="J1088" s="294"/>
      <c r="L1088" s="295"/>
      <c r="M1088" s="294"/>
      <c r="P1088" s="294"/>
      <c r="Q1088" s="294"/>
    </row>
    <row r="1089" spans="2:17" x14ac:dyDescent="0.25">
      <c r="B1089" s="294"/>
      <c r="C1089" s="294"/>
      <c r="D1089" s="294"/>
      <c r="E1089" s="294"/>
      <c r="F1089" s="294"/>
      <c r="G1089" s="294"/>
      <c r="H1089" s="294"/>
      <c r="I1089" s="294"/>
      <c r="J1089" s="294"/>
      <c r="L1089" s="295"/>
      <c r="M1089" s="294"/>
      <c r="P1089" s="294"/>
      <c r="Q1089" s="294"/>
    </row>
    <row r="1090" spans="2:17" x14ac:dyDescent="0.25">
      <c r="B1090" s="294"/>
      <c r="C1090" s="294"/>
      <c r="D1090" s="294"/>
      <c r="E1090" s="294"/>
      <c r="F1090" s="294"/>
      <c r="G1090" s="294"/>
      <c r="H1090" s="294"/>
      <c r="I1090" s="294"/>
      <c r="J1090" s="294"/>
      <c r="L1090" s="295"/>
      <c r="M1090" s="294"/>
      <c r="P1090" s="294"/>
      <c r="Q1090" s="294"/>
    </row>
    <row r="1091" spans="2:17" x14ac:dyDescent="0.25">
      <c r="B1091" s="294"/>
      <c r="C1091" s="294"/>
      <c r="D1091" s="294"/>
      <c r="E1091" s="294"/>
      <c r="F1091" s="294"/>
      <c r="G1091" s="294"/>
      <c r="H1091" s="294"/>
      <c r="I1091" s="294"/>
      <c r="J1091" s="294"/>
      <c r="L1091" s="295"/>
      <c r="M1091" s="294"/>
      <c r="P1091" s="294"/>
      <c r="Q1091" s="294"/>
    </row>
    <row r="1092" spans="2:17" x14ac:dyDescent="0.25">
      <c r="B1092" s="294"/>
      <c r="C1092" s="294"/>
      <c r="D1092" s="294"/>
      <c r="E1092" s="294"/>
      <c r="F1092" s="294"/>
      <c r="G1092" s="294"/>
      <c r="H1092" s="294"/>
      <c r="I1092" s="294"/>
      <c r="J1092" s="294"/>
      <c r="L1092" s="295"/>
      <c r="M1092" s="294"/>
      <c r="P1092" s="294"/>
      <c r="Q1092" s="294"/>
    </row>
    <row r="1093" spans="2:17" x14ac:dyDescent="0.25">
      <c r="B1093" s="294"/>
      <c r="C1093" s="294"/>
      <c r="D1093" s="294"/>
      <c r="E1093" s="294"/>
      <c r="F1093" s="294"/>
      <c r="G1093" s="294"/>
      <c r="H1093" s="294"/>
      <c r="I1093" s="294"/>
      <c r="J1093" s="294"/>
      <c r="L1093" s="295"/>
      <c r="M1093" s="294"/>
      <c r="P1093" s="294"/>
      <c r="Q1093" s="294"/>
    </row>
    <row r="1094" spans="2:17" x14ac:dyDescent="0.25">
      <c r="B1094" s="294"/>
      <c r="C1094" s="294"/>
      <c r="D1094" s="294"/>
      <c r="E1094" s="294"/>
      <c r="F1094" s="294"/>
      <c r="G1094" s="294"/>
      <c r="H1094" s="294"/>
      <c r="I1094" s="294"/>
      <c r="J1094" s="294"/>
      <c r="L1094" s="295"/>
      <c r="M1094" s="294"/>
      <c r="P1094" s="294"/>
      <c r="Q1094" s="294"/>
    </row>
    <row r="1095" spans="2:17" x14ac:dyDescent="0.25">
      <c r="B1095" s="294"/>
      <c r="C1095" s="294"/>
      <c r="D1095" s="294"/>
      <c r="E1095" s="294"/>
      <c r="F1095" s="294"/>
      <c r="G1095" s="294"/>
      <c r="H1095" s="294"/>
      <c r="I1095" s="294"/>
      <c r="J1095" s="294"/>
      <c r="L1095" s="295"/>
      <c r="M1095" s="294"/>
      <c r="P1095" s="294"/>
      <c r="Q1095" s="294"/>
    </row>
    <row r="1096" spans="2:17" x14ac:dyDescent="0.25">
      <c r="B1096" s="294"/>
      <c r="C1096" s="294"/>
      <c r="D1096" s="294"/>
      <c r="E1096" s="294"/>
      <c r="F1096" s="294"/>
      <c r="G1096" s="294"/>
      <c r="H1096" s="294"/>
      <c r="I1096" s="294"/>
      <c r="J1096" s="294"/>
      <c r="L1096" s="295"/>
      <c r="M1096" s="294"/>
      <c r="P1096" s="294"/>
      <c r="Q1096" s="294"/>
    </row>
    <row r="1097" spans="2:17" x14ac:dyDescent="0.25">
      <c r="B1097" s="294"/>
      <c r="C1097" s="294"/>
      <c r="D1097" s="294"/>
      <c r="E1097" s="294"/>
      <c r="F1097" s="294"/>
      <c r="G1097" s="294"/>
      <c r="H1097" s="294"/>
      <c r="I1097" s="294"/>
      <c r="J1097" s="294"/>
      <c r="L1097" s="295"/>
      <c r="M1097" s="294"/>
      <c r="P1097" s="294"/>
      <c r="Q1097" s="294"/>
    </row>
    <row r="1098" spans="2:17" x14ac:dyDescent="0.25">
      <c r="B1098" s="294"/>
      <c r="C1098" s="294"/>
      <c r="D1098" s="294"/>
      <c r="E1098" s="294"/>
      <c r="F1098" s="294"/>
      <c r="G1098" s="294"/>
      <c r="H1098" s="294"/>
      <c r="I1098" s="294"/>
      <c r="J1098" s="294"/>
      <c r="L1098" s="295"/>
      <c r="M1098" s="294"/>
      <c r="P1098" s="294"/>
      <c r="Q1098" s="294"/>
    </row>
    <row r="1099" spans="2:17" x14ac:dyDescent="0.25">
      <c r="B1099" s="294"/>
      <c r="C1099" s="294"/>
      <c r="D1099" s="294"/>
      <c r="E1099" s="294"/>
      <c r="F1099" s="294"/>
      <c r="G1099" s="294"/>
      <c r="H1099" s="294"/>
      <c r="I1099" s="294"/>
      <c r="J1099" s="294"/>
      <c r="L1099" s="295"/>
      <c r="M1099" s="294"/>
      <c r="P1099" s="294"/>
      <c r="Q1099" s="294"/>
    </row>
    <row r="1100" spans="2:17" x14ac:dyDescent="0.25">
      <c r="B1100" s="294"/>
      <c r="C1100" s="294"/>
      <c r="D1100" s="294"/>
      <c r="E1100" s="294"/>
      <c r="F1100" s="294"/>
      <c r="G1100" s="294"/>
      <c r="H1100" s="294"/>
      <c r="I1100" s="294"/>
      <c r="J1100" s="294"/>
      <c r="L1100" s="295"/>
      <c r="M1100" s="294"/>
      <c r="P1100" s="294"/>
      <c r="Q1100" s="294"/>
    </row>
    <row r="1101" spans="2:17" x14ac:dyDescent="0.25">
      <c r="B1101" s="294"/>
      <c r="C1101" s="294"/>
      <c r="D1101" s="294"/>
      <c r="E1101" s="294"/>
      <c r="F1101" s="294"/>
      <c r="G1101" s="294"/>
      <c r="H1101" s="294"/>
      <c r="I1101" s="294"/>
      <c r="J1101" s="294"/>
      <c r="L1101" s="295"/>
      <c r="M1101" s="294"/>
      <c r="P1101" s="294"/>
      <c r="Q1101" s="294"/>
    </row>
    <row r="1102" spans="2:17" x14ac:dyDescent="0.25">
      <c r="B1102" s="294"/>
      <c r="C1102" s="294"/>
      <c r="D1102" s="294"/>
      <c r="E1102" s="294"/>
      <c r="F1102" s="294"/>
      <c r="G1102" s="294"/>
      <c r="H1102" s="294"/>
      <c r="I1102" s="294"/>
      <c r="J1102" s="294"/>
      <c r="L1102" s="295"/>
      <c r="M1102" s="294"/>
      <c r="P1102" s="294"/>
      <c r="Q1102" s="294"/>
    </row>
    <row r="1103" spans="2:17" x14ac:dyDescent="0.25">
      <c r="B1103" s="294"/>
      <c r="C1103" s="294"/>
      <c r="D1103" s="294"/>
      <c r="E1103" s="294"/>
      <c r="F1103" s="294"/>
      <c r="G1103" s="294"/>
      <c r="H1103" s="294"/>
      <c r="I1103" s="294"/>
      <c r="J1103" s="294"/>
      <c r="L1103" s="295"/>
      <c r="M1103" s="294"/>
      <c r="P1103" s="294"/>
      <c r="Q1103" s="294"/>
    </row>
    <row r="1104" spans="2:17" x14ac:dyDescent="0.25">
      <c r="B1104" s="294"/>
      <c r="C1104" s="294"/>
      <c r="D1104" s="294"/>
      <c r="E1104" s="294"/>
      <c r="F1104" s="294"/>
      <c r="G1104" s="294"/>
      <c r="H1104" s="294"/>
      <c r="I1104" s="294"/>
      <c r="J1104" s="294"/>
      <c r="L1104" s="295"/>
      <c r="M1104" s="294"/>
      <c r="P1104" s="294"/>
      <c r="Q1104" s="294"/>
    </row>
    <row r="1105" spans="2:17" x14ac:dyDescent="0.25">
      <c r="B1105" s="294"/>
      <c r="C1105" s="294"/>
      <c r="D1105" s="294"/>
      <c r="E1105" s="294"/>
      <c r="F1105" s="294"/>
      <c r="G1105" s="294"/>
      <c r="H1105" s="294"/>
      <c r="I1105" s="294"/>
      <c r="J1105" s="294"/>
      <c r="L1105" s="295"/>
      <c r="M1105" s="294"/>
      <c r="P1105" s="294"/>
      <c r="Q1105" s="294"/>
    </row>
    <row r="1106" spans="2:17" x14ac:dyDescent="0.25">
      <c r="B1106" s="294"/>
      <c r="C1106" s="294"/>
      <c r="D1106" s="294"/>
      <c r="E1106" s="294"/>
      <c r="F1106" s="294"/>
      <c r="G1106" s="294"/>
      <c r="H1106" s="294"/>
      <c r="I1106" s="294"/>
      <c r="J1106" s="294"/>
      <c r="L1106" s="295"/>
      <c r="M1106" s="294"/>
      <c r="P1106" s="294"/>
      <c r="Q1106" s="294"/>
    </row>
    <row r="1107" spans="2:17" x14ac:dyDescent="0.25">
      <c r="B1107" s="294"/>
      <c r="C1107" s="294"/>
      <c r="D1107" s="294"/>
      <c r="E1107" s="294"/>
      <c r="F1107" s="294"/>
      <c r="G1107" s="294"/>
      <c r="H1107" s="294"/>
      <c r="I1107" s="294"/>
      <c r="J1107" s="294"/>
      <c r="L1107" s="295"/>
      <c r="M1107" s="294"/>
      <c r="P1107" s="294"/>
      <c r="Q1107" s="294"/>
    </row>
    <row r="1108" spans="2:17" x14ac:dyDescent="0.25">
      <c r="B1108" s="294"/>
      <c r="C1108" s="294"/>
      <c r="D1108" s="294"/>
      <c r="E1108" s="294"/>
      <c r="F1108" s="294"/>
      <c r="G1108" s="294"/>
      <c r="H1108" s="294"/>
      <c r="I1108" s="294"/>
      <c r="J1108" s="294"/>
      <c r="L1108" s="295"/>
      <c r="M1108" s="294"/>
      <c r="P1108" s="294"/>
      <c r="Q1108" s="294"/>
    </row>
    <row r="1109" spans="2:17" x14ac:dyDescent="0.25">
      <c r="B1109" s="294"/>
      <c r="C1109" s="294"/>
      <c r="D1109" s="294"/>
      <c r="E1109" s="294"/>
      <c r="F1109" s="294"/>
      <c r="G1109" s="294"/>
      <c r="H1109" s="294"/>
      <c r="I1109" s="294"/>
      <c r="J1109" s="294"/>
      <c r="L1109" s="295"/>
      <c r="M1109" s="294"/>
      <c r="P1109" s="294"/>
      <c r="Q1109" s="294"/>
    </row>
    <row r="1110" spans="2:17" x14ac:dyDescent="0.25">
      <c r="B1110" s="294"/>
      <c r="C1110" s="294"/>
      <c r="D1110" s="294"/>
      <c r="E1110" s="294"/>
      <c r="F1110" s="294"/>
      <c r="G1110" s="294"/>
      <c r="H1110" s="294"/>
      <c r="I1110" s="294"/>
      <c r="J1110" s="294"/>
      <c r="L1110" s="295"/>
      <c r="M1110" s="294"/>
      <c r="P1110" s="294"/>
      <c r="Q1110" s="294"/>
    </row>
    <row r="1111" spans="2:17" x14ac:dyDescent="0.25">
      <c r="B1111" s="294"/>
      <c r="C1111" s="294"/>
      <c r="D1111" s="294"/>
      <c r="E1111" s="294"/>
      <c r="F1111" s="294"/>
      <c r="G1111" s="294"/>
      <c r="H1111" s="294"/>
      <c r="I1111" s="294"/>
      <c r="J1111" s="294"/>
      <c r="L1111" s="295"/>
      <c r="M1111" s="294"/>
      <c r="P1111" s="294"/>
      <c r="Q1111" s="294"/>
    </row>
    <row r="1112" spans="2:17" x14ac:dyDescent="0.25">
      <c r="B1112" s="294"/>
      <c r="C1112" s="294"/>
      <c r="D1112" s="294"/>
      <c r="E1112" s="294"/>
      <c r="F1112" s="294"/>
      <c r="G1112" s="294"/>
      <c r="H1112" s="294"/>
      <c r="I1112" s="294"/>
      <c r="J1112" s="294"/>
      <c r="L1112" s="295"/>
      <c r="M1112" s="294"/>
      <c r="P1112" s="294"/>
      <c r="Q1112" s="294"/>
    </row>
    <row r="1113" spans="2:17" x14ac:dyDescent="0.25">
      <c r="B1113" s="294"/>
      <c r="C1113" s="294"/>
      <c r="D1113" s="294"/>
      <c r="E1113" s="294"/>
      <c r="F1113" s="294"/>
      <c r="G1113" s="294"/>
      <c r="H1113" s="294"/>
      <c r="I1113" s="294"/>
      <c r="J1113" s="294"/>
      <c r="L1113" s="295"/>
      <c r="M1113" s="294"/>
      <c r="P1113" s="294"/>
      <c r="Q1113" s="294"/>
    </row>
    <row r="1114" spans="2:17" x14ac:dyDescent="0.25">
      <c r="B1114" s="294"/>
      <c r="C1114" s="294"/>
      <c r="D1114" s="294"/>
      <c r="E1114" s="294"/>
      <c r="F1114" s="294"/>
      <c r="G1114" s="294"/>
      <c r="H1114" s="294"/>
      <c r="I1114" s="294"/>
      <c r="J1114" s="294"/>
      <c r="L1114" s="295"/>
      <c r="M1114" s="294"/>
      <c r="P1114" s="294"/>
      <c r="Q1114" s="294"/>
    </row>
    <row r="1115" spans="2:17" x14ac:dyDescent="0.25">
      <c r="B1115" s="294"/>
      <c r="C1115" s="294"/>
      <c r="D1115" s="294"/>
      <c r="E1115" s="294"/>
      <c r="F1115" s="294"/>
      <c r="G1115" s="294"/>
      <c r="H1115" s="294"/>
      <c r="I1115" s="294"/>
      <c r="J1115" s="294"/>
      <c r="L1115" s="295"/>
      <c r="M1115" s="294"/>
      <c r="P1115" s="294"/>
      <c r="Q1115" s="294"/>
    </row>
    <row r="1116" spans="2:17" x14ac:dyDescent="0.25">
      <c r="B1116" s="294"/>
      <c r="C1116" s="294"/>
      <c r="D1116" s="294"/>
      <c r="E1116" s="294"/>
      <c r="F1116" s="294"/>
      <c r="G1116" s="294"/>
      <c r="H1116" s="294"/>
      <c r="I1116" s="294"/>
      <c r="J1116" s="294"/>
      <c r="L1116" s="295"/>
      <c r="M1116" s="294"/>
      <c r="P1116" s="294"/>
      <c r="Q1116" s="294"/>
    </row>
    <row r="1117" spans="2:17" x14ac:dyDescent="0.25">
      <c r="B1117" s="294"/>
      <c r="C1117" s="294"/>
      <c r="D1117" s="294"/>
      <c r="E1117" s="294"/>
      <c r="F1117" s="294"/>
      <c r="G1117" s="294"/>
      <c r="H1117" s="294"/>
      <c r="I1117" s="294"/>
      <c r="J1117" s="294"/>
      <c r="L1117" s="295"/>
      <c r="M1117" s="294"/>
      <c r="P1117" s="294"/>
      <c r="Q1117" s="294"/>
    </row>
    <row r="1118" spans="2:17" x14ac:dyDescent="0.25">
      <c r="B1118" s="294"/>
      <c r="C1118" s="294"/>
      <c r="D1118" s="294"/>
      <c r="E1118" s="294"/>
      <c r="F1118" s="294"/>
      <c r="G1118" s="294"/>
      <c r="H1118" s="294"/>
      <c r="I1118" s="294"/>
      <c r="J1118" s="294"/>
      <c r="L1118" s="295"/>
      <c r="M1118" s="294"/>
      <c r="P1118" s="294"/>
      <c r="Q1118" s="294"/>
    </row>
    <row r="1119" spans="2:17" x14ac:dyDescent="0.25">
      <c r="B1119" s="294"/>
      <c r="C1119" s="294"/>
      <c r="D1119" s="294"/>
      <c r="E1119" s="294"/>
      <c r="F1119" s="294"/>
      <c r="G1119" s="294"/>
      <c r="H1119" s="294"/>
      <c r="I1119" s="294"/>
      <c r="J1119" s="294"/>
      <c r="L1119" s="295"/>
      <c r="M1119" s="294"/>
      <c r="P1119" s="294"/>
      <c r="Q1119" s="294"/>
    </row>
    <row r="1120" spans="2:17" x14ac:dyDescent="0.25">
      <c r="B1120" s="294"/>
      <c r="C1120" s="294"/>
      <c r="D1120" s="294"/>
      <c r="E1120" s="294"/>
      <c r="F1120" s="294"/>
      <c r="G1120" s="294"/>
      <c r="H1120" s="294"/>
      <c r="I1120" s="294"/>
      <c r="J1120" s="294"/>
      <c r="L1120" s="295"/>
      <c r="M1120" s="294"/>
      <c r="P1120" s="294"/>
      <c r="Q1120" s="294"/>
    </row>
    <row r="1121" spans="2:17" x14ac:dyDescent="0.25">
      <c r="B1121" s="294"/>
      <c r="C1121" s="294"/>
      <c r="D1121" s="294"/>
      <c r="E1121" s="294"/>
      <c r="F1121" s="294"/>
      <c r="G1121" s="294"/>
      <c r="H1121" s="294"/>
      <c r="I1121" s="294"/>
      <c r="J1121" s="294"/>
      <c r="L1121" s="295"/>
      <c r="M1121" s="294"/>
      <c r="P1121" s="294"/>
      <c r="Q1121" s="294"/>
    </row>
    <row r="1122" spans="2:17" x14ac:dyDescent="0.25">
      <c r="B1122" s="294"/>
      <c r="C1122" s="294"/>
      <c r="D1122" s="294"/>
      <c r="E1122" s="294"/>
      <c r="F1122" s="294"/>
      <c r="G1122" s="294"/>
      <c r="H1122" s="294"/>
      <c r="I1122" s="294"/>
      <c r="J1122" s="294"/>
      <c r="L1122" s="295"/>
      <c r="M1122" s="294"/>
      <c r="P1122" s="294"/>
      <c r="Q1122" s="294"/>
    </row>
    <row r="1123" spans="2:17" x14ac:dyDescent="0.25">
      <c r="B1123" s="294"/>
      <c r="C1123" s="294"/>
      <c r="D1123" s="294"/>
      <c r="E1123" s="294"/>
      <c r="F1123" s="294"/>
      <c r="G1123" s="294"/>
      <c r="H1123" s="294"/>
      <c r="I1123" s="294"/>
      <c r="J1123" s="294"/>
      <c r="L1123" s="295"/>
      <c r="M1123" s="294"/>
      <c r="P1123" s="294"/>
      <c r="Q1123" s="294"/>
    </row>
    <row r="1124" spans="2:17" x14ac:dyDescent="0.25">
      <c r="B1124" s="294"/>
      <c r="C1124" s="294"/>
      <c r="D1124" s="294"/>
      <c r="E1124" s="294"/>
      <c r="F1124" s="294"/>
      <c r="G1124" s="294"/>
      <c r="H1124" s="294"/>
      <c r="I1124" s="294"/>
      <c r="J1124" s="294"/>
      <c r="L1124" s="295"/>
      <c r="M1124" s="294"/>
      <c r="P1124" s="294"/>
      <c r="Q1124" s="294"/>
    </row>
    <row r="1125" spans="2:17" x14ac:dyDescent="0.25">
      <c r="B1125" s="294"/>
      <c r="C1125" s="294"/>
      <c r="D1125" s="294"/>
      <c r="E1125" s="294"/>
      <c r="F1125" s="294"/>
      <c r="G1125" s="294"/>
      <c r="H1125" s="294"/>
      <c r="I1125" s="294"/>
      <c r="J1125" s="294"/>
      <c r="L1125" s="295"/>
      <c r="M1125" s="294"/>
      <c r="P1125" s="294"/>
      <c r="Q1125" s="294"/>
    </row>
    <row r="1126" spans="2:17" x14ac:dyDescent="0.25">
      <c r="B1126" s="294"/>
      <c r="C1126" s="294"/>
      <c r="D1126" s="294"/>
      <c r="E1126" s="294"/>
      <c r="F1126" s="294"/>
      <c r="G1126" s="294"/>
      <c r="H1126" s="294"/>
      <c r="I1126" s="294"/>
      <c r="J1126" s="294"/>
      <c r="L1126" s="295"/>
      <c r="M1126" s="294"/>
      <c r="P1126" s="294"/>
      <c r="Q1126" s="294"/>
    </row>
    <row r="1127" spans="2:17" x14ac:dyDescent="0.25">
      <c r="B1127" s="294"/>
      <c r="C1127" s="294"/>
      <c r="D1127" s="294"/>
      <c r="E1127" s="294"/>
      <c r="F1127" s="294"/>
      <c r="G1127" s="294"/>
      <c r="H1127" s="294"/>
      <c r="I1127" s="294"/>
      <c r="J1127" s="294"/>
      <c r="L1127" s="295"/>
      <c r="M1127" s="294"/>
      <c r="P1127" s="294"/>
      <c r="Q1127" s="294"/>
    </row>
    <row r="1128" spans="2:17" x14ac:dyDescent="0.25">
      <c r="B1128" s="294"/>
      <c r="C1128" s="294"/>
      <c r="D1128" s="294"/>
      <c r="E1128" s="294"/>
      <c r="F1128" s="294"/>
      <c r="G1128" s="294"/>
      <c r="H1128" s="294"/>
      <c r="I1128" s="294"/>
      <c r="J1128" s="294"/>
      <c r="L1128" s="295"/>
      <c r="M1128" s="294"/>
      <c r="P1128" s="294"/>
      <c r="Q1128" s="294"/>
    </row>
    <row r="1129" spans="2:17" x14ac:dyDescent="0.25">
      <c r="B1129" s="294"/>
      <c r="C1129" s="294"/>
      <c r="D1129" s="294"/>
      <c r="E1129" s="294"/>
      <c r="F1129" s="294"/>
      <c r="G1129" s="294"/>
      <c r="H1129" s="294"/>
      <c r="I1129" s="294"/>
      <c r="J1129" s="294"/>
      <c r="L1129" s="295"/>
      <c r="M1129" s="294"/>
      <c r="P1129" s="294"/>
      <c r="Q1129" s="294"/>
    </row>
    <row r="1130" spans="2:17" x14ac:dyDescent="0.25">
      <c r="B1130" s="294"/>
      <c r="C1130" s="294"/>
      <c r="D1130" s="294"/>
      <c r="E1130" s="294"/>
      <c r="F1130" s="294"/>
      <c r="G1130" s="294"/>
      <c r="H1130" s="294"/>
      <c r="I1130" s="294"/>
      <c r="J1130" s="294"/>
      <c r="L1130" s="295"/>
      <c r="M1130" s="294"/>
      <c r="P1130" s="294"/>
      <c r="Q1130" s="294"/>
    </row>
    <row r="1131" spans="2:17" x14ac:dyDescent="0.25">
      <c r="B1131" s="294"/>
      <c r="C1131" s="294"/>
      <c r="D1131" s="294"/>
      <c r="E1131" s="294"/>
      <c r="F1131" s="294"/>
      <c r="G1131" s="294"/>
      <c r="H1131" s="294"/>
      <c r="I1131" s="294"/>
      <c r="J1131" s="294"/>
      <c r="L1131" s="295"/>
      <c r="M1131" s="294"/>
      <c r="P1131" s="294"/>
      <c r="Q1131" s="294"/>
    </row>
    <row r="1132" spans="2:17" x14ac:dyDescent="0.25">
      <c r="B1132" s="294"/>
      <c r="C1132" s="294"/>
      <c r="D1132" s="294"/>
      <c r="E1132" s="294"/>
      <c r="F1132" s="294"/>
      <c r="G1132" s="294"/>
      <c r="H1132" s="294"/>
      <c r="I1132" s="294"/>
      <c r="J1132" s="294"/>
      <c r="L1132" s="295"/>
      <c r="M1132" s="294"/>
      <c r="P1132" s="294"/>
      <c r="Q1132" s="294"/>
    </row>
    <row r="1133" spans="2:17" x14ac:dyDescent="0.25">
      <c r="B1133" s="294"/>
      <c r="C1133" s="294"/>
      <c r="D1133" s="294"/>
      <c r="E1133" s="294"/>
      <c r="F1133" s="294"/>
      <c r="G1133" s="294"/>
      <c r="H1133" s="294"/>
      <c r="I1133" s="294"/>
      <c r="J1133" s="294"/>
      <c r="L1133" s="295"/>
      <c r="M1133" s="294"/>
      <c r="P1133" s="294"/>
      <c r="Q1133" s="294"/>
    </row>
    <row r="1134" spans="2:17" x14ac:dyDescent="0.25">
      <c r="B1134" s="294"/>
      <c r="C1134" s="294"/>
      <c r="D1134" s="294"/>
      <c r="E1134" s="294"/>
      <c r="F1134" s="294"/>
      <c r="G1134" s="294"/>
      <c r="H1134" s="294"/>
      <c r="I1134" s="294"/>
      <c r="J1134" s="294"/>
      <c r="L1134" s="295"/>
      <c r="M1134" s="294"/>
      <c r="P1134" s="294"/>
      <c r="Q1134" s="294"/>
    </row>
    <row r="1135" spans="2:17" x14ac:dyDescent="0.25">
      <c r="B1135" s="294"/>
      <c r="C1135" s="294"/>
      <c r="D1135" s="294"/>
      <c r="E1135" s="294"/>
      <c r="F1135" s="294"/>
      <c r="G1135" s="294"/>
      <c r="H1135" s="294"/>
      <c r="I1135" s="294"/>
      <c r="J1135" s="294"/>
      <c r="L1135" s="295"/>
      <c r="M1135" s="294"/>
      <c r="P1135" s="294"/>
      <c r="Q1135" s="294"/>
    </row>
    <row r="1136" spans="2:17" x14ac:dyDescent="0.25">
      <c r="B1136" s="294"/>
      <c r="C1136" s="294"/>
      <c r="D1136" s="294"/>
      <c r="E1136" s="294"/>
      <c r="F1136" s="294"/>
      <c r="G1136" s="294"/>
      <c r="H1136" s="294"/>
      <c r="I1136" s="294"/>
      <c r="J1136" s="294"/>
      <c r="L1136" s="295"/>
      <c r="M1136" s="294"/>
      <c r="P1136" s="294"/>
      <c r="Q1136" s="294"/>
    </row>
    <row r="1137" spans="2:17" x14ac:dyDescent="0.25">
      <c r="B1137" s="294"/>
      <c r="C1137" s="294"/>
      <c r="D1137" s="294"/>
      <c r="E1137" s="294"/>
      <c r="F1137" s="294"/>
      <c r="G1137" s="294"/>
      <c r="H1137" s="294"/>
      <c r="I1137" s="294"/>
      <c r="J1137" s="294"/>
      <c r="L1137" s="295"/>
      <c r="M1137" s="294"/>
      <c r="P1137" s="294"/>
      <c r="Q1137" s="294"/>
    </row>
    <row r="1138" spans="2:17" x14ac:dyDescent="0.25">
      <c r="B1138" s="294"/>
      <c r="C1138" s="294"/>
      <c r="D1138" s="294"/>
      <c r="E1138" s="294"/>
      <c r="F1138" s="294"/>
      <c r="G1138" s="294"/>
      <c r="H1138" s="294"/>
      <c r="I1138" s="294"/>
      <c r="J1138" s="294"/>
      <c r="L1138" s="295"/>
      <c r="M1138" s="294"/>
      <c r="P1138" s="294"/>
      <c r="Q1138" s="294"/>
    </row>
    <row r="1139" spans="2:17" x14ac:dyDescent="0.25">
      <c r="B1139" s="294"/>
      <c r="C1139" s="294"/>
      <c r="D1139" s="294"/>
      <c r="E1139" s="294"/>
      <c r="F1139" s="294"/>
      <c r="G1139" s="294"/>
      <c r="H1139" s="294"/>
      <c r="I1139" s="294"/>
      <c r="J1139" s="294"/>
      <c r="L1139" s="295"/>
      <c r="M1139" s="294"/>
      <c r="P1139" s="294"/>
      <c r="Q1139" s="294"/>
    </row>
    <row r="1140" spans="2:17" x14ac:dyDescent="0.25">
      <c r="B1140" s="294"/>
      <c r="C1140" s="294"/>
      <c r="D1140" s="294"/>
      <c r="E1140" s="294"/>
      <c r="F1140" s="294"/>
      <c r="G1140" s="294"/>
      <c r="H1140" s="294"/>
      <c r="I1140" s="294"/>
      <c r="J1140" s="294"/>
      <c r="L1140" s="295"/>
      <c r="M1140" s="294"/>
      <c r="P1140" s="294"/>
      <c r="Q1140" s="294"/>
    </row>
    <row r="1141" spans="2:17" x14ac:dyDescent="0.25">
      <c r="B1141" s="294"/>
      <c r="C1141" s="294"/>
      <c r="D1141" s="294"/>
      <c r="E1141" s="294"/>
      <c r="F1141" s="294"/>
      <c r="G1141" s="294"/>
      <c r="H1141" s="294"/>
      <c r="I1141" s="294"/>
      <c r="J1141" s="294"/>
      <c r="L1141" s="295"/>
      <c r="M1141" s="294"/>
      <c r="P1141" s="294"/>
      <c r="Q1141" s="294"/>
    </row>
    <row r="1142" spans="2:17" x14ac:dyDescent="0.25">
      <c r="B1142" s="294"/>
      <c r="C1142" s="294"/>
      <c r="D1142" s="294"/>
      <c r="E1142" s="294"/>
      <c r="F1142" s="294"/>
      <c r="G1142" s="294"/>
      <c r="H1142" s="294"/>
      <c r="I1142" s="294"/>
      <c r="J1142" s="294"/>
      <c r="L1142" s="295"/>
      <c r="M1142" s="294"/>
      <c r="P1142" s="294"/>
      <c r="Q1142" s="294"/>
    </row>
    <row r="1143" spans="2:17" x14ac:dyDescent="0.25">
      <c r="B1143" s="294"/>
      <c r="C1143" s="294"/>
      <c r="D1143" s="294"/>
      <c r="E1143" s="294"/>
      <c r="F1143" s="294"/>
      <c r="G1143" s="294"/>
      <c r="H1143" s="294"/>
      <c r="I1143" s="294"/>
      <c r="J1143" s="294"/>
      <c r="L1143" s="295"/>
      <c r="M1143" s="294"/>
      <c r="P1143" s="294"/>
      <c r="Q1143" s="294"/>
    </row>
    <row r="1144" spans="2:17" x14ac:dyDescent="0.25">
      <c r="B1144" s="294"/>
      <c r="C1144" s="294"/>
      <c r="D1144" s="294"/>
      <c r="E1144" s="294"/>
      <c r="F1144" s="294"/>
      <c r="G1144" s="294"/>
      <c r="H1144" s="294"/>
      <c r="I1144" s="294"/>
      <c r="J1144" s="294"/>
      <c r="L1144" s="295"/>
      <c r="M1144" s="294"/>
      <c r="P1144" s="294"/>
      <c r="Q1144" s="294"/>
    </row>
    <row r="1145" spans="2:17" x14ac:dyDescent="0.25">
      <c r="B1145" s="294"/>
      <c r="C1145" s="294"/>
      <c r="D1145" s="294"/>
      <c r="E1145" s="294"/>
      <c r="F1145" s="294"/>
      <c r="G1145" s="294"/>
      <c r="H1145" s="294"/>
      <c r="I1145" s="294"/>
      <c r="J1145" s="294"/>
      <c r="L1145" s="295"/>
      <c r="M1145" s="294"/>
      <c r="P1145" s="294"/>
      <c r="Q1145" s="294"/>
    </row>
    <row r="1146" spans="2:17" x14ac:dyDescent="0.25">
      <c r="B1146" s="294"/>
      <c r="C1146" s="294"/>
      <c r="D1146" s="294"/>
      <c r="E1146" s="294"/>
      <c r="F1146" s="294"/>
      <c r="G1146" s="294"/>
      <c r="H1146" s="294"/>
      <c r="I1146" s="294"/>
      <c r="J1146" s="294"/>
      <c r="L1146" s="295"/>
      <c r="M1146" s="294"/>
      <c r="P1146" s="294"/>
      <c r="Q1146" s="294"/>
    </row>
    <row r="1147" spans="2:17" x14ac:dyDescent="0.25">
      <c r="B1147" s="294"/>
      <c r="C1147" s="294"/>
      <c r="D1147" s="294"/>
      <c r="E1147" s="294"/>
      <c r="F1147" s="294"/>
      <c r="G1147" s="294"/>
      <c r="H1147" s="294"/>
      <c r="I1147" s="294"/>
      <c r="J1147" s="294"/>
      <c r="L1147" s="295"/>
      <c r="M1147" s="294"/>
      <c r="P1147" s="294"/>
      <c r="Q1147" s="294"/>
    </row>
    <row r="1148" spans="2:17" x14ac:dyDescent="0.25">
      <c r="B1148" s="294"/>
      <c r="C1148" s="294"/>
      <c r="D1148" s="294"/>
      <c r="E1148" s="294"/>
      <c r="F1148" s="294"/>
      <c r="G1148" s="294"/>
      <c r="H1148" s="294"/>
      <c r="I1148" s="294"/>
      <c r="J1148" s="294"/>
      <c r="L1148" s="295"/>
      <c r="M1148" s="294"/>
      <c r="P1148" s="294"/>
      <c r="Q1148" s="294"/>
    </row>
    <row r="1149" spans="2:17" x14ac:dyDescent="0.25">
      <c r="B1149" s="294"/>
      <c r="C1149" s="294"/>
      <c r="D1149" s="294"/>
      <c r="E1149" s="294"/>
      <c r="F1149" s="294"/>
      <c r="G1149" s="294"/>
      <c r="H1149" s="294"/>
      <c r="I1149" s="294"/>
      <c r="J1149" s="294"/>
      <c r="L1149" s="295"/>
      <c r="M1149" s="294"/>
      <c r="P1149" s="294"/>
      <c r="Q1149" s="294"/>
    </row>
    <row r="1150" spans="2:17" x14ac:dyDescent="0.25">
      <c r="B1150" s="294"/>
      <c r="C1150" s="294"/>
      <c r="D1150" s="294"/>
      <c r="E1150" s="294"/>
      <c r="F1150" s="294"/>
      <c r="G1150" s="294"/>
      <c r="H1150" s="294"/>
      <c r="I1150" s="294"/>
      <c r="J1150" s="294"/>
      <c r="L1150" s="295"/>
      <c r="M1150" s="294"/>
      <c r="P1150" s="294"/>
      <c r="Q1150" s="294"/>
    </row>
    <row r="1151" spans="2:17" x14ac:dyDescent="0.25">
      <c r="B1151" s="294"/>
      <c r="C1151" s="294"/>
      <c r="D1151" s="294"/>
      <c r="E1151" s="294"/>
      <c r="F1151" s="294"/>
      <c r="G1151" s="294"/>
      <c r="H1151" s="294"/>
      <c r="I1151" s="294"/>
      <c r="J1151" s="294"/>
      <c r="L1151" s="295"/>
      <c r="M1151" s="294"/>
      <c r="P1151" s="294"/>
      <c r="Q1151" s="294"/>
    </row>
    <row r="1152" spans="2:17" x14ac:dyDescent="0.25">
      <c r="B1152" s="294"/>
      <c r="C1152" s="294"/>
      <c r="D1152" s="294"/>
      <c r="E1152" s="294"/>
      <c r="F1152" s="294"/>
      <c r="G1152" s="294"/>
      <c r="H1152" s="294"/>
      <c r="I1152" s="294"/>
      <c r="J1152" s="294"/>
      <c r="L1152" s="295"/>
      <c r="M1152" s="294"/>
      <c r="P1152" s="294"/>
      <c r="Q1152" s="294"/>
    </row>
    <row r="1153" spans="2:17" x14ac:dyDescent="0.25">
      <c r="B1153" s="294"/>
      <c r="C1153" s="294"/>
      <c r="D1153" s="294"/>
      <c r="E1153" s="294"/>
      <c r="F1153" s="294"/>
      <c r="G1153" s="294"/>
      <c r="H1153" s="294"/>
      <c r="I1153" s="294"/>
      <c r="J1153" s="294"/>
      <c r="L1153" s="295"/>
      <c r="M1153" s="294"/>
      <c r="P1153" s="294"/>
      <c r="Q1153" s="294"/>
    </row>
    <row r="1154" spans="2:17" x14ac:dyDescent="0.25">
      <c r="B1154" s="294"/>
      <c r="C1154" s="294"/>
      <c r="D1154" s="294"/>
      <c r="E1154" s="294"/>
      <c r="F1154" s="294"/>
      <c r="G1154" s="294"/>
      <c r="H1154" s="294"/>
      <c r="I1154" s="294"/>
      <c r="J1154" s="294"/>
      <c r="L1154" s="295"/>
      <c r="M1154" s="294"/>
      <c r="P1154" s="294"/>
      <c r="Q1154" s="294"/>
    </row>
    <row r="1155" spans="2:17" x14ac:dyDescent="0.25">
      <c r="B1155" s="294"/>
      <c r="C1155" s="294"/>
      <c r="D1155" s="294"/>
      <c r="E1155" s="294"/>
      <c r="F1155" s="294"/>
      <c r="G1155" s="294"/>
      <c r="H1155" s="294"/>
      <c r="I1155" s="294"/>
      <c r="J1155" s="294"/>
      <c r="L1155" s="295"/>
      <c r="M1155" s="294"/>
      <c r="P1155" s="294"/>
      <c r="Q1155" s="294"/>
    </row>
    <row r="1156" spans="2:17" x14ac:dyDescent="0.25">
      <c r="B1156" s="294"/>
      <c r="C1156" s="294"/>
      <c r="D1156" s="294"/>
      <c r="E1156" s="294"/>
      <c r="F1156" s="294"/>
      <c r="G1156" s="294"/>
      <c r="H1156" s="294"/>
      <c r="I1156" s="294"/>
      <c r="J1156" s="294"/>
      <c r="L1156" s="295"/>
      <c r="M1156" s="294"/>
      <c r="P1156" s="294"/>
      <c r="Q1156" s="294"/>
    </row>
    <row r="1157" spans="2:17" x14ac:dyDescent="0.25">
      <c r="B1157" s="294"/>
      <c r="C1157" s="294"/>
      <c r="D1157" s="294"/>
      <c r="E1157" s="294"/>
      <c r="F1157" s="294"/>
      <c r="G1157" s="294"/>
      <c r="H1157" s="294"/>
      <c r="I1157" s="294"/>
      <c r="J1157" s="294"/>
      <c r="L1157" s="295"/>
      <c r="M1157" s="294"/>
      <c r="P1157" s="294"/>
      <c r="Q1157" s="294"/>
    </row>
    <row r="1158" spans="2:17" x14ac:dyDescent="0.25">
      <c r="B1158" s="294"/>
      <c r="C1158" s="294"/>
      <c r="D1158" s="294"/>
      <c r="E1158" s="294"/>
      <c r="F1158" s="294"/>
      <c r="G1158" s="294"/>
      <c r="H1158" s="294"/>
      <c r="I1158" s="294"/>
      <c r="J1158" s="294"/>
      <c r="L1158" s="295"/>
      <c r="M1158" s="294"/>
      <c r="P1158" s="294"/>
      <c r="Q1158" s="294"/>
    </row>
    <row r="1159" spans="2:17" x14ac:dyDescent="0.25">
      <c r="B1159" s="294"/>
      <c r="C1159" s="294"/>
      <c r="D1159" s="294"/>
      <c r="E1159" s="294"/>
      <c r="F1159" s="294"/>
      <c r="G1159" s="294"/>
      <c r="H1159" s="294"/>
      <c r="I1159" s="294"/>
      <c r="J1159" s="294"/>
      <c r="L1159" s="295"/>
      <c r="M1159" s="294"/>
      <c r="P1159" s="294"/>
      <c r="Q1159" s="294"/>
    </row>
    <row r="1160" spans="2:17" x14ac:dyDescent="0.25">
      <c r="B1160" s="294"/>
      <c r="C1160" s="294"/>
      <c r="D1160" s="294"/>
      <c r="E1160" s="294"/>
      <c r="F1160" s="294"/>
      <c r="G1160" s="294"/>
      <c r="H1160" s="294"/>
      <c r="I1160" s="294"/>
      <c r="J1160" s="294"/>
      <c r="L1160" s="295"/>
      <c r="M1160" s="294"/>
      <c r="P1160" s="294"/>
      <c r="Q1160" s="294"/>
    </row>
    <row r="1161" spans="2:17" x14ac:dyDescent="0.25">
      <c r="B1161" s="294"/>
      <c r="C1161" s="294"/>
      <c r="D1161" s="294"/>
      <c r="E1161" s="294"/>
      <c r="F1161" s="294"/>
      <c r="G1161" s="294"/>
      <c r="H1161" s="294"/>
      <c r="I1161" s="294"/>
      <c r="J1161" s="294"/>
      <c r="L1161" s="295"/>
      <c r="M1161" s="294"/>
      <c r="P1161" s="294"/>
      <c r="Q1161" s="294"/>
    </row>
    <row r="1162" spans="2:17" x14ac:dyDescent="0.25">
      <c r="B1162" s="294"/>
      <c r="C1162" s="294"/>
      <c r="D1162" s="294"/>
      <c r="E1162" s="294"/>
      <c r="F1162" s="294"/>
      <c r="G1162" s="294"/>
      <c r="H1162" s="294"/>
      <c r="I1162" s="294"/>
      <c r="J1162" s="294"/>
      <c r="L1162" s="295"/>
      <c r="M1162" s="294"/>
      <c r="P1162" s="294"/>
      <c r="Q1162" s="294"/>
    </row>
    <row r="1163" spans="2:17" x14ac:dyDescent="0.25">
      <c r="B1163" s="294"/>
      <c r="C1163" s="294"/>
      <c r="D1163" s="294"/>
      <c r="E1163" s="294"/>
      <c r="F1163" s="294"/>
      <c r="G1163" s="294"/>
      <c r="H1163" s="294"/>
      <c r="I1163" s="294"/>
      <c r="J1163" s="294"/>
      <c r="L1163" s="295"/>
      <c r="M1163" s="294"/>
      <c r="P1163" s="294"/>
      <c r="Q1163" s="294"/>
    </row>
    <row r="1164" spans="2:17" x14ac:dyDescent="0.25">
      <c r="B1164" s="294"/>
      <c r="C1164" s="294"/>
      <c r="D1164" s="294"/>
      <c r="E1164" s="294"/>
      <c r="F1164" s="294"/>
      <c r="G1164" s="294"/>
      <c r="H1164" s="294"/>
      <c r="I1164" s="294"/>
      <c r="J1164" s="294"/>
      <c r="L1164" s="295"/>
      <c r="M1164" s="294"/>
      <c r="P1164" s="294"/>
      <c r="Q1164" s="294"/>
    </row>
    <row r="1165" spans="2:17" x14ac:dyDescent="0.25">
      <c r="B1165" s="294"/>
      <c r="C1165" s="294"/>
      <c r="D1165" s="294"/>
      <c r="E1165" s="294"/>
      <c r="F1165" s="294"/>
      <c r="G1165" s="294"/>
      <c r="H1165" s="294"/>
      <c r="I1165" s="294"/>
      <c r="J1165" s="294"/>
      <c r="L1165" s="295"/>
      <c r="M1165" s="294"/>
      <c r="P1165" s="294"/>
      <c r="Q1165" s="294"/>
    </row>
    <row r="1166" spans="2:17" x14ac:dyDescent="0.25">
      <c r="B1166" s="294"/>
      <c r="C1166" s="294"/>
      <c r="D1166" s="294"/>
      <c r="E1166" s="294"/>
      <c r="F1166" s="294"/>
      <c r="G1166" s="294"/>
      <c r="H1166" s="294"/>
      <c r="I1166" s="294"/>
      <c r="J1166" s="294"/>
      <c r="L1166" s="295"/>
      <c r="M1166" s="294"/>
      <c r="P1166" s="294"/>
      <c r="Q1166" s="294"/>
    </row>
    <row r="1167" spans="2:17" x14ac:dyDescent="0.25">
      <c r="B1167" s="294"/>
      <c r="C1167" s="294"/>
      <c r="D1167" s="294"/>
      <c r="E1167" s="294"/>
      <c r="F1167" s="294"/>
      <c r="G1167" s="294"/>
      <c r="H1167" s="294"/>
      <c r="I1167" s="294"/>
      <c r="J1167" s="294"/>
      <c r="L1167" s="295"/>
      <c r="M1167" s="294"/>
      <c r="P1167" s="294"/>
      <c r="Q1167" s="294"/>
    </row>
    <row r="1168" spans="2:17" x14ac:dyDescent="0.25">
      <c r="B1168" s="294"/>
      <c r="C1168" s="294"/>
      <c r="D1168" s="294"/>
      <c r="E1168" s="294"/>
      <c r="F1168" s="294"/>
      <c r="G1168" s="294"/>
      <c r="H1168" s="294"/>
      <c r="I1168" s="294"/>
      <c r="J1168" s="294"/>
      <c r="L1168" s="295"/>
      <c r="M1168" s="294"/>
      <c r="P1168" s="294"/>
      <c r="Q1168" s="294"/>
    </row>
    <row r="1169" spans="2:17" x14ac:dyDescent="0.25">
      <c r="B1169" s="294"/>
      <c r="C1169" s="294"/>
      <c r="D1169" s="294"/>
      <c r="E1169" s="294"/>
      <c r="F1169" s="294"/>
      <c r="G1169" s="294"/>
      <c r="H1169" s="294"/>
      <c r="I1169" s="294"/>
      <c r="J1169" s="294"/>
      <c r="L1169" s="295"/>
      <c r="M1169" s="294"/>
      <c r="P1169" s="294"/>
      <c r="Q1169" s="294"/>
    </row>
    <row r="1170" spans="2:17" x14ac:dyDescent="0.25">
      <c r="B1170" s="294"/>
      <c r="C1170" s="294"/>
      <c r="D1170" s="294"/>
      <c r="E1170" s="294"/>
      <c r="F1170" s="294"/>
      <c r="G1170" s="294"/>
      <c r="H1170" s="294"/>
      <c r="I1170" s="294"/>
      <c r="J1170" s="294"/>
      <c r="L1170" s="295"/>
      <c r="M1170" s="294"/>
      <c r="P1170" s="294"/>
      <c r="Q1170" s="294"/>
    </row>
    <row r="1171" spans="2:17" x14ac:dyDescent="0.25">
      <c r="B1171" s="294"/>
      <c r="C1171" s="294"/>
      <c r="D1171" s="294"/>
      <c r="E1171" s="294"/>
      <c r="F1171" s="294"/>
      <c r="G1171" s="294"/>
      <c r="H1171" s="294"/>
      <c r="I1171" s="294"/>
      <c r="J1171" s="294"/>
      <c r="L1171" s="295"/>
      <c r="M1171" s="294"/>
      <c r="P1171" s="294"/>
      <c r="Q1171" s="294"/>
    </row>
    <row r="1172" spans="2:17" x14ac:dyDescent="0.25">
      <c r="B1172" s="294"/>
      <c r="C1172" s="294"/>
      <c r="D1172" s="294"/>
      <c r="E1172" s="294"/>
      <c r="F1172" s="294"/>
      <c r="G1172" s="294"/>
      <c r="H1172" s="294"/>
      <c r="I1172" s="294"/>
      <c r="J1172" s="294"/>
      <c r="L1172" s="295"/>
      <c r="M1172" s="294"/>
      <c r="P1172" s="294"/>
      <c r="Q1172" s="294"/>
    </row>
    <row r="1173" spans="2:17" x14ac:dyDescent="0.25">
      <c r="B1173" s="294"/>
      <c r="C1173" s="294"/>
      <c r="D1173" s="294"/>
      <c r="E1173" s="294"/>
      <c r="F1173" s="294"/>
      <c r="G1173" s="294"/>
      <c r="H1173" s="294"/>
      <c r="I1173" s="294"/>
      <c r="J1173" s="294"/>
      <c r="L1173" s="295"/>
      <c r="M1173" s="294"/>
      <c r="P1173" s="294"/>
      <c r="Q1173" s="294"/>
    </row>
    <row r="1174" spans="2:17" x14ac:dyDescent="0.25">
      <c r="B1174" s="294"/>
      <c r="C1174" s="294"/>
      <c r="D1174" s="294"/>
      <c r="E1174" s="294"/>
      <c r="F1174" s="294"/>
      <c r="G1174" s="294"/>
      <c r="H1174" s="294"/>
      <c r="I1174" s="294"/>
      <c r="J1174" s="294"/>
      <c r="L1174" s="295"/>
      <c r="M1174" s="294"/>
      <c r="P1174" s="294"/>
      <c r="Q1174" s="294"/>
    </row>
    <row r="1175" spans="2:17" x14ac:dyDescent="0.25">
      <c r="B1175" s="294"/>
      <c r="C1175" s="294"/>
      <c r="D1175" s="294"/>
      <c r="E1175" s="294"/>
      <c r="F1175" s="294"/>
      <c r="G1175" s="294"/>
      <c r="H1175" s="294"/>
      <c r="I1175" s="294"/>
      <c r="J1175" s="294"/>
      <c r="L1175" s="295"/>
      <c r="M1175" s="294"/>
      <c r="P1175" s="294"/>
      <c r="Q1175" s="294"/>
    </row>
    <row r="1176" spans="2:17" x14ac:dyDescent="0.25">
      <c r="B1176" s="294"/>
      <c r="C1176" s="294"/>
      <c r="D1176" s="294"/>
      <c r="E1176" s="294"/>
      <c r="F1176" s="294"/>
      <c r="G1176" s="294"/>
      <c r="H1176" s="294"/>
      <c r="I1176" s="294"/>
      <c r="J1176" s="294"/>
      <c r="L1176" s="295"/>
      <c r="M1176" s="294"/>
      <c r="P1176" s="294"/>
      <c r="Q1176" s="294"/>
    </row>
    <row r="1177" spans="2:17" x14ac:dyDescent="0.25">
      <c r="B1177" s="294"/>
      <c r="C1177" s="294"/>
      <c r="D1177" s="294"/>
      <c r="E1177" s="294"/>
      <c r="F1177" s="294"/>
      <c r="G1177" s="294"/>
      <c r="H1177" s="294"/>
      <c r="I1177" s="294"/>
      <c r="J1177" s="294"/>
      <c r="L1177" s="295"/>
      <c r="M1177" s="294"/>
      <c r="P1177" s="294"/>
      <c r="Q1177" s="294"/>
    </row>
    <row r="1178" spans="2:17" x14ac:dyDescent="0.25">
      <c r="B1178" s="294"/>
      <c r="C1178" s="294"/>
      <c r="D1178" s="294"/>
      <c r="E1178" s="294"/>
      <c r="F1178" s="294"/>
      <c r="G1178" s="294"/>
      <c r="H1178" s="294"/>
      <c r="I1178" s="294"/>
      <c r="J1178" s="294"/>
      <c r="L1178" s="295"/>
      <c r="M1178" s="294"/>
      <c r="P1178" s="294"/>
      <c r="Q1178" s="294"/>
    </row>
    <row r="1179" spans="2:17" x14ac:dyDescent="0.25">
      <c r="B1179" s="294"/>
      <c r="C1179" s="294"/>
      <c r="D1179" s="294"/>
      <c r="E1179" s="294"/>
      <c r="F1179" s="294"/>
      <c r="G1179" s="294"/>
      <c r="H1179" s="294"/>
      <c r="I1179" s="294"/>
      <c r="J1179" s="294"/>
      <c r="L1179" s="295"/>
      <c r="M1179" s="294"/>
      <c r="P1179" s="294"/>
      <c r="Q1179" s="294"/>
    </row>
    <row r="1180" spans="2:17" x14ac:dyDescent="0.25">
      <c r="B1180" s="294"/>
      <c r="C1180" s="294"/>
      <c r="D1180" s="294"/>
      <c r="E1180" s="294"/>
      <c r="F1180" s="294"/>
      <c r="G1180" s="294"/>
      <c r="H1180" s="294"/>
      <c r="I1180" s="294"/>
      <c r="J1180" s="294"/>
      <c r="L1180" s="295"/>
      <c r="M1180" s="294"/>
      <c r="P1180" s="294"/>
      <c r="Q1180" s="294"/>
    </row>
    <row r="1181" spans="2:17" x14ac:dyDescent="0.25">
      <c r="B1181" s="294"/>
      <c r="C1181" s="294"/>
      <c r="D1181" s="294"/>
      <c r="E1181" s="294"/>
      <c r="F1181" s="294"/>
      <c r="G1181" s="294"/>
      <c r="H1181" s="294"/>
      <c r="I1181" s="294"/>
      <c r="J1181" s="294"/>
      <c r="L1181" s="295"/>
      <c r="M1181" s="294"/>
      <c r="P1181" s="294"/>
      <c r="Q1181" s="294"/>
    </row>
    <row r="1182" spans="2:17" x14ac:dyDescent="0.25">
      <c r="B1182" s="294"/>
      <c r="C1182" s="294"/>
      <c r="D1182" s="294"/>
      <c r="E1182" s="294"/>
      <c r="F1182" s="294"/>
      <c r="G1182" s="294"/>
      <c r="H1182" s="294"/>
      <c r="I1182" s="294"/>
      <c r="J1182" s="294"/>
      <c r="L1182" s="295"/>
      <c r="M1182" s="294"/>
      <c r="P1182" s="294"/>
      <c r="Q1182" s="294"/>
    </row>
    <row r="1183" spans="2:17" x14ac:dyDescent="0.25">
      <c r="B1183" s="294"/>
      <c r="C1183" s="294"/>
      <c r="D1183" s="294"/>
      <c r="E1183" s="294"/>
      <c r="F1183" s="294"/>
      <c r="G1183" s="294"/>
      <c r="H1183" s="294"/>
      <c r="I1183" s="294"/>
      <c r="J1183" s="294"/>
      <c r="L1183" s="295"/>
      <c r="M1183" s="294"/>
      <c r="P1183" s="294"/>
      <c r="Q1183" s="294"/>
    </row>
    <row r="1184" spans="2:17" x14ac:dyDescent="0.25">
      <c r="B1184" s="294"/>
      <c r="C1184" s="294"/>
      <c r="D1184" s="294"/>
      <c r="E1184" s="294"/>
      <c r="F1184" s="294"/>
      <c r="G1184" s="294"/>
      <c r="H1184" s="294"/>
      <c r="I1184" s="294"/>
      <c r="J1184" s="294"/>
      <c r="L1184" s="295"/>
      <c r="M1184" s="294"/>
      <c r="P1184" s="294"/>
      <c r="Q1184" s="294"/>
    </row>
    <row r="1185" spans="2:17" x14ac:dyDescent="0.25">
      <c r="B1185" s="294"/>
      <c r="C1185" s="294"/>
      <c r="D1185" s="294"/>
      <c r="E1185" s="294"/>
      <c r="F1185" s="294"/>
      <c r="G1185" s="294"/>
      <c r="H1185" s="294"/>
      <c r="I1185" s="294"/>
      <c r="J1185" s="294"/>
      <c r="L1185" s="295"/>
      <c r="M1185" s="294"/>
      <c r="P1185" s="294"/>
      <c r="Q1185" s="294"/>
    </row>
    <row r="1186" spans="2:17" x14ac:dyDescent="0.25">
      <c r="B1186" s="294"/>
      <c r="C1186" s="294"/>
      <c r="D1186" s="294"/>
      <c r="E1186" s="294"/>
      <c r="F1186" s="294"/>
      <c r="G1186" s="294"/>
      <c r="H1186" s="294"/>
      <c r="I1186" s="294"/>
      <c r="J1186" s="294"/>
      <c r="L1186" s="295"/>
      <c r="M1186" s="294"/>
      <c r="P1186" s="294"/>
      <c r="Q1186" s="294"/>
    </row>
    <row r="1187" spans="2:17" x14ac:dyDescent="0.25">
      <c r="B1187" s="294"/>
      <c r="C1187" s="294"/>
      <c r="D1187" s="294"/>
      <c r="E1187" s="294"/>
      <c r="F1187" s="294"/>
      <c r="G1187" s="294"/>
      <c r="H1187" s="294"/>
      <c r="I1187" s="294"/>
      <c r="J1187" s="294"/>
      <c r="L1187" s="295"/>
      <c r="M1187" s="294"/>
      <c r="P1187" s="294"/>
      <c r="Q1187" s="294"/>
    </row>
    <row r="1188" spans="2:17" x14ac:dyDescent="0.25">
      <c r="B1188" s="294"/>
      <c r="C1188" s="294"/>
      <c r="D1188" s="294"/>
      <c r="E1188" s="294"/>
      <c r="F1188" s="294"/>
      <c r="G1188" s="294"/>
      <c r="H1188" s="294"/>
      <c r="I1188" s="294"/>
      <c r="J1188" s="294"/>
      <c r="L1188" s="295"/>
      <c r="M1188" s="294"/>
      <c r="P1188" s="294"/>
      <c r="Q1188" s="294"/>
    </row>
    <row r="1189" spans="2:17" x14ac:dyDescent="0.25">
      <c r="B1189" s="294"/>
      <c r="C1189" s="294"/>
      <c r="D1189" s="294"/>
      <c r="E1189" s="294"/>
      <c r="F1189" s="294"/>
      <c r="G1189" s="294"/>
      <c r="H1189" s="294"/>
      <c r="I1189" s="294"/>
      <c r="J1189" s="294"/>
      <c r="L1189" s="295"/>
      <c r="M1189" s="294"/>
      <c r="P1189" s="294"/>
      <c r="Q1189" s="294"/>
    </row>
    <row r="1190" spans="2:17" x14ac:dyDescent="0.25">
      <c r="B1190" s="294"/>
      <c r="C1190" s="294"/>
      <c r="D1190" s="294"/>
      <c r="E1190" s="294"/>
      <c r="F1190" s="294"/>
      <c r="G1190" s="294"/>
      <c r="H1190" s="294"/>
      <c r="I1190" s="294"/>
      <c r="J1190" s="294"/>
      <c r="L1190" s="295"/>
      <c r="M1190" s="294"/>
      <c r="P1190" s="294"/>
      <c r="Q1190" s="294"/>
    </row>
    <row r="1191" spans="2:17" x14ac:dyDescent="0.25">
      <c r="B1191" s="294"/>
      <c r="C1191" s="294"/>
      <c r="D1191" s="294"/>
      <c r="E1191" s="294"/>
      <c r="F1191" s="294"/>
      <c r="G1191" s="294"/>
      <c r="H1191" s="294"/>
      <c r="I1191" s="294"/>
      <c r="J1191" s="294"/>
      <c r="L1191" s="295"/>
      <c r="M1191" s="294"/>
      <c r="P1191" s="294"/>
      <c r="Q1191" s="294"/>
    </row>
    <row r="1192" spans="2:17" x14ac:dyDescent="0.25">
      <c r="B1192" s="294"/>
      <c r="C1192" s="294"/>
      <c r="D1192" s="294"/>
      <c r="E1192" s="294"/>
      <c r="F1192" s="294"/>
      <c r="G1192" s="294"/>
      <c r="H1192" s="294"/>
      <c r="I1192" s="294"/>
      <c r="J1192" s="294"/>
      <c r="L1192" s="295"/>
      <c r="M1192" s="294"/>
      <c r="P1192" s="294"/>
      <c r="Q1192" s="294"/>
    </row>
    <row r="1193" spans="2:17" x14ac:dyDescent="0.25">
      <c r="B1193" s="294"/>
      <c r="C1193" s="294"/>
      <c r="D1193" s="294"/>
      <c r="E1193" s="294"/>
      <c r="F1193" s="294"/>
      <c r="G1193" s="294"/>
      <c r="H1193" s="294"/>
      <c r="I1193" s="294"/>
      <c r="J1193" s="294"/>
      <c r="L1193" s="295"/>
      <c r="M1193" s="294"/>
      <c r="P1193" s="294"/>
      <c r="Q1193" s="294"/>
    </row>
    <row r="1194" spans="2:17" x14ac:dyDescent="0.25">
      <c r="B1194" s="294"/>
      <c r="C1194" s="294"/>
      <c r="D1194" s="294"/>
      <c r="E1194" s="294"/>
      <c r="F1194" s="294"/>
      <c r="G1194" s="294"/>
      <c r="H1194" s="294"/>
      <c r="I1194" s="294"/>
      <c r="J1194" s="294"/>
      <c r="L1194" s="295"/>
      <c r="M1194" s="294"/>
      <c r="P1194" s="294"/>
      <c r="Q1194" s="294"/>
    </row>
    <row r="1195" spans="2:17" x14ac:dyDescent="0.25">
      <c r="B1195" s="294"/>
      <c r="C1195" s="294"/>
      <c r="D1195" s="294"/>
      <c r="E1195" s="294"/>
      <c r="F1195" s="294"/>
      <c r="G1195" s="294"/>
      <c r="H1195" s="294"/>
      <c r="I1195" s="294"/>
      <c r="J1195" s="294"/>
      <c r="L1195" s="295"/>
      <c r="M1195" s="294"/>
      <c r="P1195" s="294"/>
      <c r="Q1195" s="294"/>
    </row>
    <row r="1196" spans="2:17" x14ac:dyDescent="0.25">
      <c r="B1196" s="294"/>
      <c r="C1196" s="294"/>
      <c r="D1196" s="294"/>
      <c r="E1196" s="294"/>
      <c r="F1196" s="294"/>
      <c r="G1196" s="294"/>
      <c r="H1196" s="294"/>
      <c r="I1196" s="294"/>
      <c r="J1196" s="294"/>
      <c r="L1196" s="295"/>
      <c r="M1196" s="294"/>
      <c r="P1196" s="294"/>
      <c r="Q1196" s="294"/>
    </row>
    <row r="1197" spans="2:17" x14ac:dyDescent="0.25">
      <c r="B1197" s="294"/>
      <c r="C1197" s="294"/>
      <c r="D1197" s="294"/>
      <c r="E1197" s="294"/>
      <c r="F1197" s="294"/>
      <c r="G1197" s="294"/>
      <c r="H1197" s="294"/>
      <c r="I1197" s="294"/>
      <c r="J1197" s="294"/>
      <c r="L1197" s="295"/>
      <c r="M1197" s="294"/>
      <c r="P1197" s="294"/>
      <c r="Q1197" s="294"/>
    </row>
    <row r="1198" spans="2:17" x14ac:dyDescent="0.25">
      <c r="B1198" s="294"/>
      <c r="C1198" s="294"/>
      <c r="D1198" s="294"/>
      <c r="E1198" s="294"/>
      <c r="F1198" s="294"/>
      <c r="G1198" s="294"/>
      <c r="H1198" s="294"/>
      <c r="I1198" s="294"/>
      <c r="J1198" s="294"/>
      <c r="L1198" s="295"/>
      <c r="M1198" s="294"/>
      <c r="P1198" s="294"/>
      <c r="Q1198" s="294"/>
    </row>
    <row r="1199" spans="2:17" x14ac:dyDescent="0.25">
      <c r="B1199" s="294"/>
      <c r="C1199" s="294"/>
      <c r="D1199" s="294"/>
      <c r="E1199" s="294"/>
      <c r="F1199" s="294"/>
      <c r="G1199" s="294"/>
      <c r="H1199" s="294"/>
      <c r="I1199" s="294"/>
      <c r="J1199" s="294"/>
      <c r="L1199" s="295"/>
      <c r="M1199" s="294"/>
      <c r="P1199" s="294"/>
      <c r="Q1199" s="294"/>
    </row>
    <row r="1200" spans="2:17" x14ac:dyDescent="0.25">
      <c r="B1200" s="294"/>
      <c r="C1200" s="294"/>
      <c r="D1200" s="294"/>
      <c r="E1200" s="294"/>
      <c r="F1200" s="294"/>
      <c r="G1200" s="294"/>
      <c r="H1200" s="294"/>
      <c r="I1200" s="294"/>
      <c r="J1200" s="294"/>
      <c r="L1200" s="295"/>
      <c r="M1200" s="294"/>
      <c r="P1200" s="294"/>
      <c r="Q1200" s="294"/>
    </row>
    <row r="1201" spans="2:17" x14ac:dyDescent="0.25">
      <c r="B1201" s="294"/>
      <c r="C1201" s="294"/>
      <c r="D1201" s="294"/>
      <c r="E1201" s="294"/>
      <c r="F1201" s="294"/>
      <c r="G1201" s="294"/>
      <c r="H1201" s="294"/>
      <c r="I1201" s="294"/>
      <c r="J1201" s="294"/>
      <c r="L1201" s="295"/>
      <c r="M1201" s="294"/>
      <c r="P1201" s="294"/>
      <c r="Q1201" s="294"/>
    </row>
    <row r="1202" spans="2:17" x14ac:dyDescent="0.25">
      <c r="B1202" s="294"/>
      <c r="C1202" s="294"/>
      <c r="D1202" s="294"/>
      <c r="E1202" s="294"/>
      <c r="F1202" s="294"/>
      <c r="G1202" s="294"/>
      <c r="H1202" s="294"/>
      <c r="I1202" s="294"/>
      <c r="J1202" s="294"/>
      <c r="L1202" s="295"/>
      <c r="M1202" s="294"/>
      <c r="P1202" s="294"/>
      <c r="Q1202" s="294"/>
    </row>
    <row r="1203" spans="2:17" x14ac:dyDescent="0.25">
      <c r="B1203" s="294"/>
      <c r="C1203" s="294"/>
      <c r="D1203" s="294"/>
      <c r="E1203" s="294"/>
      <c r="F1203" s="294"/>
      <c r="G1203" s="294"/>
      <c r="H1203" s="294"/>
      <c r="I1203" s="294"/>
      <c r="J1203" s="294"/>
      <c r="L1203" s="295"/>
      <c r="M1203" s="294"/>
      <c r="P1203" s="294"/>
      <c r="Q1203" s="294"/>
    </row>
    <row r="1204" spans="2:17" x14ac:dyDescent="0.25">
      <c r="B1204" s="294"/>
      <c r="C1204" s="294"/>
      <c r="D1204" s="294"/>
      <c r="E1204" s="294"/>
      <c r="F1204" s="294"/>
      <c r="G1204" s="294"/>
      <c r="H1204" s="294"/>
      <c r="I1204" s="294"/>
      <c r="J1204" s="294"/>
      <c r="L1204" s="295"/>
      <c r="M1204" s="294"/>
      <c r="P1204" s="294"/>
      <c r="Q1204" s="294"/>
    </row>
    <row r="1205" spans="2:17" x14ac:dyDescent="0.25">
      <c r="B1205" s="294"/>
      <c r="C1205" s="294"/>
      <c r="D1205" s="294"/>
      <c r="E1205" s="294"/>
      <c r="F1205" s="294"/>
      <c r="G1205" s="294"/>
      <c r="H1205" s="294"/>
      <c r="I1205" s="294"/>
      <c r="J1205" s="294"/>
      <c r="L1205" s="295"/>
      <c r="M1205" s="294"/>
      <c r="P1205" s="294"/>
      <c r="Q1205" s="294"/>
    </row>
    <row r="1206" spans="2:17" x14ac:dyDescent="0.25">
      <c r="B1206" s="294"/>
      <c r="C1206" s="294"/>
      <c r="D1206" s="294"/>
      <c r="E1206" s="294"/>
      <c r="F1206" s="294"/>
      <c r="G1206" s="294"/>
      <c r="H1206" s="294"/>
      <c r="I1206" s="294"/>
      <c r="J1206" s="294"/>
      <c r="L1206" s="295"/>
      <c r="M1206" s="294"/>
      <c r="P1206" s="294"/>
      <c r="Q1206" s="294"/>
    </row>
    <row r="1207" spans="2:17" x14ac:dyDescent="0.25">
      <c r="B1207" s="294"/>
      <c r="C1207" s="294"/>
      <c r="D1207" s="294"/>
      <c r="E1207" s="294"/>
      <c r="F1207" s="294"/>
      <c r="G1207" s="294"/>
      <c r="H1207" s="294"/>
      <c r="I1207" s="294"/>
      <c r="J1207" s="294"/>
      <c r="L1207" s="295"/>
      <c r="M1207" s="294"/>
      <c r="P1207" s="294"/>
      <c r="Q1207" s="294"/>
    </row>
    <row r="1208" spans="2:17" x14ac:dyDescent="0.25">
      <c r="B1208" s="294"/>
      <c r="C1208" s="294"/>
      <c r="D1208" s="294"/>
      <c r="E1208" s="294"/>
      <c r="F1208" s="294"/>
      <c r="G1208" s="294"/>
      <c r="H1208" s="294"/>
      <c r="I1208" s="294"/>
      <c r="J1208" s="294"/>
      <c r="L1208" s="295"/>
      <c r="M1208" s="294"/>
      <c r="P1208" s="294"/>
      <c r="Q1208" s="294"/>
    </row>
    <row r="1209" spans="2:17" x14ac:dyDescent="0.25">
      <c r="B1209" s="294"/>
      <c r="C1209" s="294"/>
      <c r="D1209" s="294"/>
      <c r="E1209" s="294"/>
      <c r="F1209" s="294"/>
      <c r="G1209" s="294"/>
      <c r="H1209" s="294"/>
      <c r="I1209" s="294"/>
      <c r="J1209" s="294"/>
      <c r="L1209" s="295"/>
      <c r="M1209" s="294"/>
      <c r="P1209" s="294"/>
      <c r="Q1209" s="294"/>
    </row>
    <row r="1210" spans="2:17" x14ac:dyDescent="0.25">
      <c r="B1210" s="294"/>
      <c r="C1210" s="294"/>
      <c r="D1210" s="294"/>
      <c r="E1210" s="294"/>
      <c r="F1210" s="294"/>
      <c r="G1210" s="294"/>
      <c r="H1210" s="294"/>
      <c r="I1210" s="294"/>
      <c r="J1210" s="294"/>
      <c r="L1210" s="295"/>
      <c r="M1210" s="294"/>
      <c r="P1210" s="294"/>
      <c r="Q1210" s="294"/>
    </row>
    <row r="1211" spans="2:17" x14ac:dyDescent="0.25">
      <c r="B1211" s="294"/>
      <c r="C1211" s="294"/>
      <c r="D1211" s="294"/>
      <c r="E1211" s="294"/>
      <c r="F1211" s="294"/>
      <c r="G1211" s="294"/>
      <c r="H1211" s="294"/>
      <c r="I1211" s="294"/>
      <c r="J1211" s="294"/>
      <c r="L1211" s="295"/>
      <c r="M1211" s="294"/>
      <c r="P1211" s="294"/>
      <c r="Q1211" s="294"/>
    </row>
    <row r="1212" spans="2:17" x14ac:dyDescent="0.25">
      <c r="B1212" s="294"/>
      <c r="C1212" s="294"/>
      <c r="D1212" s="294"/>
      <c r="E1212" s="294"/>
      <c r="F1212" s="294"/>
      <c r="G1212" s="294"/>
      <c r="H1212" s="294"/>
      <c r="I1212" s="294"/>
      <c r="J1212" s="294"/>
      <c r="L1212" s="295"/>
      <c r="M1212" s="294"/>
      <c r="P1212" s="294"/>
      <c r="Q1212" s="294"/>
    </row>
    <row r="1213" spans="2:17" x14ac:dyDescent="0.25">
      <c r="B1213" s="294"/>
      <c r="C1213" s="294"/>
      <c r="D1213" s="294"/>
      <c r="E1213" s="294"/>
      <c r="F1213" s="294"/>
      <c r="G1213" s="294"/>
      <c r="H1213" s="294"/>
      <c r="I1213" s="294"/>
      <c r="J1213" s="294"/>
      <c r="L1213" s="295"/>
      <c r="M1213" s="294"/>
      <c r="P1213" s="294"/>
      <c r="Q1213" s="294"/>
    </row>
    <row r="1214" spans="2:17" x14ac:dyDescent="0.25">
      <c r="B1214" s="294"/>
      <c r="C1214" s="294"/>
      <c r="D1214" s="294"/>
      <c r="E1214" s="294"/>
      <c r="F1214" s="294"/>
      <c r="G1214" s="294"/>
      <c r="H1214" s="294"/>
      <c r="I1214" s="294"/>
      <c r="J1214" s="294"/>
      <c r="L1214" s="295"/>
      <c r="M1214" s="294"/>
      <c r="P1214" s="294"/>
      <c r="Q1214" s="294"/>
    </row>
    <row r="1215" spans="2:17" x14ac:dyDescent="0.25">
      <c r="B1215" s="294"/>
      <c r="C1215" s="294"/>
      <c r="D1215" s="294"/>
      <c r="E1215" s="294"/>
      <c r="F1215" s="294"/>
      <c r="G1215" s="294"/>
      <c r="H1215" s="294"/>
      <c r="I1215" s="294"/>
      <c r="J1215" s="294"/>
      <c r="L1215" s="295"/>
      <c r="M1215" s="294"/>
      <c r="P1215" s="294"/>
      <c r="Q1215" s="294"/>
    </row>
    <row r="1216" spans="2:17" x14ac:dyDescent="0.25">
      <c r="B1216" s="294"/>
      <c r="C1216" s="294"/>
      <c r="D1216" s="294"/>
      <c r="E1216" s="294"/>
      <c r="F1216" s="294"/>
      <c r="G1216" s="294"/>
      <c r="H1216" s="294"/>
      <c r="I1216" s="294"/>
      <c r="J1216" s="294"/>
      <c r="L1216" s="295"/>
      <c r="M1216" s="294"/>
      <c r="P1216" s="294"/>
      <c r="Q1216" s="294"/>
    </row>
    <row r="1217" spans="2:17" x14ac:dyDescent="0.25">
      <c r="B1217" s="294"/>
      <c r="C1217" s="294"/>
      <c r="D1217" s="294"/>
      <c r="E1217" s="294"/>
      <c r="F1217" s="294"/>
      <c r="G1217" s="294"/>
      <c r="H1217" s="294"/>
      <c r="I1217" s="294"/>
      <c r="J1217" s="294"/>
      <c r="L1217" s="295"/>
      <c r="M1217" s="294"/>
      <c r="P1217" s="294"/>
      <c r="Q1217" s="294"/>
    </row>
    <row r="1218" spans="2:17" x14ac:dyDescent="0.25">
      <c r="B1218" s="294"/>
      <c r="C1218" s="294"/>
      <c r="D1218" s="294"/>
      <c r="E1218" s="294"/>
      <c r="F1218" s="294"/>
      <c r="G1218" s="294"/>
      <c r="H1218" s="294"/>
      <c r="I1218" s="294"/>
      <c r="J1218" s="294"/>
      <c r="L1218" s="295"/>
      <c r="M1218" s="294"/>
      <c r="P1218" s="294"/>
      <c r="Q1218" s="294"/>
    </row>
    <row r="1219" spans="2:17" x14ac:dyDescent="0.25">
      <c r="B1219" s="294"/>
      <c r="C1219" s="294"/>
      <c r="D1219" s="294"/>
      <c r="E1219" s="294"/>
      <c r="F1219" s="294"/>
      <c r="G1219" s="294"/>
      <c r="H1219" s="294"/>
      <c r="I1219" s="294"/>
      <c r="J1219" s="294"/>
      <c r="L1219" s="295"/>
      <c r="M1219" s="294"/>
      <c r="P1219" s="294"/>
      <c r="Q1219" s="294"/>
    </row>
    <row r="1220" spans="2:17" x14ac:dyDescent="0.25">
      <c r="B1220" s="294"/>
      <c r="C1220" s="294"/>
      <c r="D1220" s="294"/>
      <c r="E1220" s="294"/>
      <c r="F1220" s="294"/>
      <c r="G1220" s="294"/>
      <c r="H1220" s="294"/>
      <c r="I1220" s="294"/>
      <c r="J1220" s="294"/>
      <c r="L1220" s="295"/>
      <c r="M1220" s="294"/>
      <c r="P1220" s="294"/>
      <c r="Q1220" s="294"/>
    </row>
    <row r="1221" spans="2:17" x14ac:dyDescent="0.25">
      <c r="B1221" s="294"/>
      <c r="C1221" s="294"/>
      <c r="D1221" s="294"/>
      <c r="E1221" s="294"/>
      <c r="F1221" s="294"/>
      <c r="G1221" s="294"/>
      <c r="H1221" s="294"/>
      <c r="I1221" s="294"/>
      <c r="J1221" s="294"/>
      <c r="L1221" s="295"/>
      <c r="M1221" s="294"/>
      <c r="P1221" s="294"/>
      <c r="Q1221" s="294"/>
    </row>
    <row r="1222" spans="2:17" x14ac:dyDescent="0.25">
      <c r="B1222" s="294"/>
      <c r="C1222" s="294"/>
      <c r="D1222" s="294"/>
      <c r="E1222" s="294"/>
      <c r="F1222" s="294"/>
      <c r="G1222" s="294"/>
      <c r="H1222" s="294"/>
      <c r="I1222" s="294"/>
      <c r="J1222" s="294"/>
      <c r="L1222" s="295"/>
      <c r="M1222" s="294"/>
      <c r="P1222" s="294"/>
      <c r="Q1222" s="294"/>
    </row>
    <row r="1223" spans="2:17" x14ac:dyDescent="0.25">
      <c r="B1223" s="294"/>
      <c r="C1223" s="294"/>
      <c r="D1223" s="294"/>
      <c r="E1223" s="294"/>
      <c r="F1223" s="294"/>
      <c r="G1223" s="294"/>
      <c r="H1223" s="294"/>
      <c r="I1223" s="294"/>
      <c r="J1223" s="294"/>
      <c r="L1223" s="295"/>
      <c r="M1223" s="294"/>
      <c r="P1223" s="294"/>
      <c r="Q1223" s="294"/>
    </row>
    <row r="1224" spans="2:17" x14ac:dyDescent="0.25">
      <c r="B1224" s="294"/>
      <c r="C1224" s="294"/>
      <c r="D1224" s="294"/>
      <c r="E1224" s="294"/>
      <c r="F1224" s="294"/>
      <c r="G1224" s="294"/>
      <c r="H1224" s="294"/>
      <c r="I1224" s="294"/>
      <c r="J1224" s="294"/>
      <c r="L1224" s="295"/>
      <c r="M1224" s="294"/>
      <c r="P1224" s="294"/>
      <c r="Q1224" s="294"/>
    </row>
    <row r="1225" spans="2:17" x14ac:dyDescent="0.25">
      <c r="B1225" s="294"/>
      <c r="C1225" s="294"/>
      <c r="D1225" s="294"/>
      <c r="E1225" s="294"/>
      <c r="F1225" s="294"/>
      <c r="G1225" s="294"/>
      <c r="H1225" s="294"/>
      <c r="I1225" s="294"/>
      <c r="J1225" s="294"/>
      <c r="L1225" s="295"/>
      <c r="M1225" s="294"/>
      <c r="P1225" s="294"/>
      <c r="Q1225" s="294"/>
    </row>
    <row r="1226" spans="2:17" x14ac:dyDescent="0.25">
      <c r="B1226" s="294"/>
      <c r="C1226" s="294"/>
      <c r="D1226" s="294"/>
      <c r="E1226" s="294"/>
      <c r="F1226" s="294"/>
      <c r="G1226" s="294"/>
      <c r="H1226" s="294"/>
      <c r="I1226" s="294"/>
      <c r="J1226" s="294"/>
      <c r="L1226" s="295"/>
      <c r="M1226" s="294"/>
      <c r="P1226" s="294"/>
      <c r="Q1226" s="294"/>
    </row>
    <row r="1227" spans="2:17" x14ac:dyDescent="0.25">
      <c r="B1227" s="294"/>
      <c r="C1227" s="294"/>
      <c r="D1227" s="294"/>
      <c r="E1227" s="294"/>
      <c r="F1227" s="294"/>
      <c r="G1227" s="294"/>
      <c r="H1227" s="294"/>
      <c r="I1227" s="294"/>
      <c r="J1227" s="294"/>
      <c r="L1227" s="295"/>
      <c r="M1227" s="294"/>
      <c r="P1227" s="294"/>
      <c r="Q1227" s="294"/>
    </row>
    <row r="1228" spans="2:17" x14ac:dyDescent="0.25">
      <c r="B1228" s="294"/>
      <c r="C1228" s="294"/>
      <c r="D1228" s="294"/>
      <c r="E1228" s="294"/>
      <c r="F1228" s="294"/>
      <c r="G1228" s="294"/>
      <c r="H1228" s="294"/>
      <c r="I1228" s="294"/>
      <c r="J1228" s="294"/>
      <c r="L1228" s="295"/>
      <c r="M1228" s="294"/>
      <c r="P1228" s="294"/>
      <c r="Q1228" s="294"/>
    </row>
    <row r="1229" spans="2:17" x14ac:dyDescent="0.25">
      <c r="B1229" s="294"/>
      <c r="C1229" s="294"/>
      <c r="D1229" s="294"/>
      <c r="E1229" s="294"/>
      <c r="F1229" s="294"/>
      <c r="G1229" s="294"/>
      <c r="H1229" s="294"/>
      <c r="I1229" s="294"/>
      <c r="J1229" s="294"/>
      <c r="L1229" s="295"/>
      <c r="M1229" s="294"/>
      <c r="P1229" s="294"/>
      <c r="Q1229" s="294"/>
    </row>
    <row r="1230" spans="2:17" x14ac:dyDescent="0.25">
      <c r="B1230" s="294"/>
      <c r="C1230" s="294"/>
      <c r="D1230" s="294"/>
      <c r="E1230" s="294"/>
      <c r="F1230" s="294"/>
      <c r="G1230" s="294"/>
      <c r="H1230" s="294"/>
      <c r="I1230" s="294"/>
      <c r="J1230" s="294"/>
      <c r="L1230" s="295"/>
      <c r="M1230" s="294"/>
      <c r="P1230" s="294"/>
      <c r="Q1230" s="294"/>
    </row>
    <row r="1231" spans="2:17" x14ac:dyDescent="0.25">
      <c r="B1231" s="294"/>
      <c r="C1231" s="294"/>
      <c r="D1231" s="294"/>
      <c r="E1231" s="294"/>
      <c r="F1231" s="294"/>
      <c r="G1231" s="294"/>
      <c r="H1231" s="294"/>
      <c r="I1231" s="294"/>
      <c r="J1231" s="294"/>
      <c r="L1231" s="295"/>
      <c r="M1231" s="294"/>
      <c r="P1231" s="294"/>
      <c r="Q1231" s="294"/>
    </row>
    <row r="1232" spans="2:17" x14ac:dyDescent="0.25">
      <c r="B1232" s="294"/>
      <c r="C1232" s="294"/>
      <c r="D1232" s="294"/>
      <c r="E1232" s="294"/>
      <c r="F1232" s="294"/>
      <c r="G1232" s="294"/>
      <c r="H1232" s="294"/>
      <c r="I1232" s="294"/>
      <c r="J1232" s="294"/>
      <c r="L1232" s="295"/>
      <c r="M1232" s="294"/>
      <c r="P1232" s="294"/>
      <c r="Q1232" s="294"/>
    </row>
    <row r="1233" spans="2:17" x14ac:dyDescent="0.25">
      <c r="B1233" s="294"/>
      <c r="C1233" s="294"/>
      <c r="D1233" s="294"/>
      <c r="E1233" s="294"/>
      <c r="F1233" s="294"/>
      <c r="G1233" s="294"/>
      <c r="H1233" s="294"/>
      <c r="I1233" s="294"/>
      <c r="J1233" s="294"/>
      <c r="L1233" s="295"/>
      <c r="M1233" s="294"/>
      <c r="P1233" s="294"/>
      <c r="Q1233" s="294"/>
    </row>
    <row r="1234" spans="2:17" x14ac:dyDescent="0.25">
      <c r="B1234" s="294"/>
      <c r="C1234" s="294"/>
      <c r="D1234" s="294"/>
      <c r="E1234" s="294"/>
      <c r="F1234" s="294"/>
      <c r="G1234" s="294"/>
      <c r="H1234" s="294"/>
      <c r="I1234" s="294"/>
      <c r="J1234" s="294"/>
      <c r="L1234" s="295"/>
      <c r="M1234" s="294"/>
      <c r="P1234" s="294"/>
      <c r="Q1234" s="294"/>
    </row>
    <row r="1235" spans="2:17" x14ac:dyDescent="0.25">
      <c r="B1235" s="294"/>
      <c r="C1235" s="294"/>
      <c r="D1235" s="294"/>
      <c r="E1235" s="294"/>
      <c r="F1235" s="294"/>
      <c r="G1235" s="294"/>
      <c r="H1235" s="294"/>
      <c r="I1235" s="294"/>
      <c r="J1235" s="294"/>
      <c r="L1235" s="295"/>
      <c r="M1235" s="294"/>
      <c r="P1235" s="294"/>
      <c r="Q1235" s="294"/>
    </row>
    <row r="1236" spans="2:17" x14ac:dyDescent="0.25">
      <c r="B1236" s="294"/>
      <c r="C1236" s="294"/>
      <c r="D1236" s="294"/>
      <c r="E1236" s="294"/>
      <c r="F1236" s="294"/>
      <c r="G1236" s="294"/>
      <c r="H1236" s="294"/>
      <c r="I1236" s="294"/>
      <c r="J1236" s="294"/>
      <c r="L1236" s="295"/>
      <c r="M1236" s="294"/>
      <c r="P1236" s="294"/>
      <c r="Q1236" s="294"/>
    </row>
    <row r="1237" spans="2:17" x14ac:dyDescent="0.25">
      <c r="B1237" s="294"/>
      <c r="C1237" s="294"/>
      <c r="D1237" s="294"/>
      <c r="E1237" s="294"/>
      <c r="F1237" s="294"/>
      <c r="G1237" s="294"/>
      <c r="H1237" s="294"/>
      <c r="I1237" s="294"/>
      <c r="J1237" s="294"/>
      <c r="L1237" s="295"/>
      <c r="M1237" s="294"/>
      <c r="P1237" s="294"/>
      <c r="Q1237" s="294"/>
    </row>
    <row r="1238" spans="2:17" x14ac:dyDescent="0.25">
      <c r="B1238" s="294"/>
      <c r="C1238" s="294"/>
      <c r="D1238" s="294"/>
      <c r="E1238" s="294"/>
      <c r="F1238" s="294"/>
      <c r="G1238" s="294"/>
      <c r="H1238" s="294"/>
      <c r="I1238" s="294"/>
      <c r="J1238" s="294"/>
      <c r="L1238" s="295"/>
      <c r="M1238" s="294"/>
      <c r="P1238" s="294"/>
      <c r="Q1238" s="294"/>
    </row>
    <row r="1239" spans="2:17" x14ac:dyDescent="0.25">
      <c r="B1239" s="294"/>
      <c r="C1239" s="294"/>
      <c r="D1239" s="294"/>
      <c r="E1239" s="294"/>
      <c r="F1239" s="294"/>
      <c r="G1239" s="294"/>
      <c r="H1239" s="294"/>
      <c r="I1239" s="294"/>
      <c r="J1239" s="294"/>
      <c r="L1239" s="295"/>
      <c r="M1239" s="294"/>
      <c r="P1239" s="294"/>
      <c r="Q1239" s="294"/>
    </row>
    <row r="1240" spans="2:17" x14ac:dyDescent="0.25">
      <c r="B1240" s="294"/>
      <c r="C1240" s="294"/>
      <c r="D1240" s="294"/>
      <c r="E1240" s="294"/>
      <c r="F1240" s="294"/>
      <c r="G1240" s="294"/>
      <c r="H1240" s="294"/>
      <c r="I1240" s="294"/>
      <c r="J1240" s="294"/>
      <c r="L1240" s="295"/>
      <c r="M1240" s="294"/>
      <c r="P1240" s="294"/>
      <c r="Q1240" s="294"/>
    </row>
    <row r="1241" spans="2:17" x14ac:dyDescent="0.25">
      <c r="B1241" s="294"/>
      <c r="C1241" s="294"/>
      <c r="D1241" s="294"/>
      <c r="E1241" s="294"/>
      <c r="F1241" s="294"/>
      <c r="G1241" s="294"/>
      <c r="H1241" s="294"/>
      <c r="I1241" s="294"/>
      <c r="J1241" s="294"/>
      <c r="L1241" s="295"/>
      <c r="M1241" s="294"/>
      <c r="P1241" s="294"/>
      <c r="Q1241" s="294"/>
    </row>
    <row r="1242" spans="2:17" x14ac:dyDescent="0.25">
      <c r="B1242" s="294"/>
      <c r="C1242" s="294"/>
      <c r="D1242" s="294"/>
      <c r="E1242" s="294"/>
      <c r="F1242" s="294"/>
      <c r="G1242" s="294"/>
      <c r="H1242" s="294"/>
      <c r="I1242" s="294"/>
      <c r="J1242" s="294"/>
      <c r="L1242" s="295"/>
      <c r="M1242" s="294"/>
      <c r="P1242" s="294"/>
      <c r="Q1242" s="294"/>
    </row>
    <row r="1243" spans="2:17" x14ac:dyDescent="0.25">
      <c r="B1243" s="294"/>
      <c r="C1243" s="294"/>
      <c r="D1243" s="294"/>
      <c r="E1243" s="294"/>
      <c r="F1243" s="294"/>
      <c r="G1243" s="294"/>
      <c r="H1243" s="294"/>
      <c r="I1243" s="294"/>
      <c r="J1243" s="294"/>
      <c r="L1243" s="295"/>
      <c r="M1243" s="294"/>
      <c r="P1243" s="294"/>
      <c r="Q1243" s="294"/>
    </row>
    <row r="1244" spans="2:17" x14ac:dyDescent="0.25">
      <c r="B1244" s="294"/>
      <c r="C1244" s="294"/>
      <c r="D1244" s="294"/>
      <c r="E1244" s="294"/>
      <c r="F1244" s="294"/>
      <c r="G1244" s="294"/>
      <c r="H1244" s="294"/>
      <c r="I1244" s="294"/>
      <c r="J1244" s="294"/>
      <c r="L1244" s="295"/>
      <c r="M1244" s="294"/>
      <c r="P1244" s="294"/>
      <c r="Q1244" s="294"/>
    </row>
    <row r="1245" spans="2:17" x14ac:dyDescent="0.25">
      <c r="B1245" s="294"/>
      <c r="C1245" s="294"/>
      <c r="D1245" s="294"/>
      <c r="E1245" s="294"/>
      <c r="F1245" s="294"/>
      <c r="G1245" s="294"/>
      <c r="H1245" s="294"/>
      <c r="I1245" s="294"/>
      <c r="J1245" s="294"/>
      <c r="L1245" s="295"/>
      <c r="M1245" s="294"/>
      <c r="P1245" s="294"/>
      <c r="Q1245" s="294"/>
    </row>
    <row r="1246" spans="2:17" x14ac:dyDescent="0.25">
      <c r="B1246" s="294"/>
      <c r="C1246" s="294"/>
      <c r="D1246" s="294"/>
      <c r="E1246" s="294"/>
      <c r="F1246" s="294"/>
      <c r="G1246" s="294"/>
      <c r="H1246" s="294"/>
      <c r="I1246" s="294"/>
      <c r="J1246" s="294"/>
      <c r="L1246" s="295"/>
      <c r="M1246" s="294"/>
      <c r="P1246" s="294"/>
      <c r="Q1246" s="294"/>
    </row>
    <row r="1247" spans="2:17" x14ac:dyDescent="0.25">
      <c r="B1247" s="294"/>
      <c r="C1247" s="294"/>
      <c r="D1247" s="294"/>
      <c r="E1247" s="294"/>
      <c r="F1247" s="294"/>
      <c r="G1247" s="294"/>
      <c r="H1247" s="294"/>
      <c r="I1247" s="294"/>
      <c r="J1247" s="294"/>
      <c r="L1247" s="295"/>
      <c r="M1247" s="294"/>
      <c r="P1247" s="294"/>
      <c r="Q1247" s="294"/>
    </row>
    <row r="1248" spans="2:17" x14ac:dyDescent="0.25">
      <c r="B1248" s="294"/>
      <c r="C1248" s="294"/>
      <c r="D1248" s="294"/>
      <c r="E1248" s="294"/>
      <c r="F1248" s="294"/>
      <c r="G1248" s="294"/>
      <c r="H1248" s="294"/>
      <c r="I1248" s="294"/>
      <c r="J1248" s="294"/>
      <c r="L1248" s="295"/>
      <c r="M1248" s="294"/>
      <c r="P1248" s="294"/>
      <c r="Q1248" s="294"/>
    </row>
    <row r="1249" spans="2:17" x14ac:dyDescent="0.25">
      <c r="B1249" s="294"/>
      <c r="C1249" s="294"/>
      <c r="D1249" s="294"/>
      <c r="E1249" s="294"/>
      <c r="F1249" s="294"/>
      <c r="G1249" s="294"/>
      <c r="H1249" s="294"/>
      <c r="I1249" s="294"/>
      <c r="J1249" s="294"/>
      <c r="L1249" s="295"/>
      <c r="M1249" s="294"/>
      <c r="P1249" s="294"/>
      <c r="Q1249" s="294"/>
    </row>
    <row r="1250" spans="2:17" x14ac:dyDescent="0.25">
      <c r="B1250" s="294"/>
      <c r="C1250" s="294"/>
      <c r="D1250" s="294"/>
      <c r="E1250" s="294"/>
      <c r="F1250" s="294"/>
      <c r="G1250" s="294"/>
      <c r="H1250" s="294"/>
      <c r="I1250" s="294"/>
      <c r="J1250" s="294"/>
      <c r="L1250" s="295"/>
      <c r="M1250" s="294"/>
      <c r="P1250" s="294"/>
      <c r="Q1250" s="294"/>
    </row>
    <row r="1251" spans="2:17" x14ac:dyDescent="0.25">
      <c r="B1251" s="294"/>
      <c r="C1251" s="294"/>
      <c r="D1251" s="294"/>
      <c r="E1251" s="294"/>
      <c r="F1251" s="294"/>
      <c r="G1251" s="294"/>
      <c r="H1251" s="294"/>
      <c r="I1251" s="294"/>
      <c r="J1251" s="294"/>
      <c r="L1251" s="295"/>
      <c r="M1251" s="294"/>
      <c r="P1251" s="294"/>
      <c r="Q1251" s="294"/>
    </row>
    <row r="1252" spans="2:17" x14ac:dyDescent="0.25">
      <c r="B1252" s="294"/>
      <c r="C1252" s="294"/>
      <c r="D1252" s="294"/>
      <c r="E1252" s="294"/>
      <c r="F1252" s="294"/>
      <c r="G1252" s="294"/>
      <c r="H1252" s="294"/>
      <c r="I1252" s="294"/>
      <c r="J1252" s="294"/>
      <c r="L1252" s="295"/>
      <c r="M1252" s="294"/>
      <c r="P1252" s="294"/>
      <c r="Q1252" s="294"/>
    </row>
    <row r="1253" spans="2:17" x14ac:dyDescent="0.25">
      <c r="B1253" s="294"/>
      <c r="C1253" s="294"/>
      <c r="D1253" s="294"/>
      <c r="E1253" s="294"/>
      <c r="F1253" s="294"/>
      <c r="G1253" s="294"/>
      <c r="H1253" s="294"/>
      <c r="I1253" s="294"/>
      <c r="J1253" s="294"/>
      <c r="L1253" s="295"/>
      <c r="M1253" s="294"/>
      <c r="P1253" s="294"/>
      <c r="Q1253" s="294"/>
    </row>
    <row r="1254" spans="2:17" x14ac:dyDescent="0.25">
      <c r="B1254" s="294"/>
      <c r="C1254" s="294"/>
      <c r="D1254" s="294"/>
      <c r="E1254" s="294"/>
      <c r="F1254" s="294"/>
      <c r="G1254" s="294"/>
      <c r="H1254" s="294"/>
      <c r="I1254" s="294"/>
      <c r="J1254" s="294"/>
      <c r="L1254" s="295"/>
      <c r="M1254" s="294"/>
      <c r="P1254" s="294"/>
      <c r="Q1254" s="294"/>
    </row>
    <row r="1255" spans="2:17" x14ac:dyDescent="0.25">
      <c r="B1255" s="294"/>
      <c r="C1255" s="294"/>
      <c r="D1255" s="294"/>
      <c r="E1255" s="294"/>
      <c r="F1255" s="294"/>
      <c r="G1255" s="294"/>
      <c r="H1255" s="294"/>
      <c r="I1255" s="294"/>
      <c r="J1255" s="294"/>
      <c r="L1255" s="295"/>
      <c r="M1255" s="294"/>
      <c r="P1255" s="294"/>
      <c r="Q1255" s="294"/>
    </row>
    <row r="1256" spans="2:17" x14ac:dyDescent="0.25">
      <c r="B1256" s="294"/>
      <c r="C1256" s="294"/>
      <c r="D1256" s="294"/>
      <c r="E1256" s="294"/>
      <c r="F1256" s="294"/>
      <c r="G1256" s="294"/>
      <c r="H1256" s="294"/>
      <c r="I1256" s="294"/>
      <c r="J1256" s="294"/>
      <c r="L1256" s="295"/>
      <c r="M1256" s="294"/>
      <c r="P1256" s="294"/>
      <c r="Q1256" s="294"/>
    </row>
    <row r="1257" spans="2:17" x14ac:dyDescent="0.25">
      <c r="B1257" s="294"/>
      <c r="C1257" s="294"/>
      <c r="D1257" s="294"/>
      <c r="E1257" s="294"/>
      <c r="F1257" s="294"/>
      <c r="G1257" s="294"/>
      <c r="H1257" s="294"/>
      <c r="I1257" s="294"/>
      <c r="J1257" s="294"/>
      <c r="L1257" s="295"/>
      <c r="M1257" s="294"/>
      <c r="P1257" s="294"/>
      <c r="Q1257" s="294"/>
    </row>
    <row r="1258" spans="2:17" x14ac:dyDescent="0.25">
      <c r="B1258" s="294"/>
      <c r="C1258" s="294"/>
      <c r="D1258" s="294"/>
      <c r="E1258" s="294"/>
      <c r="F1258" s="294"/>
      <c r="G1258" s="294"/>
      <c r="H1258" s="294"/>
      <c r="I1258" s="294"/>
      <c r="J1258" s="294"/>
      <c r="L1258" s="295"/>
      <c r="M1258" s="294"/>
      <c r="P1258" s="294"/>
      <c r="Q1258" s="294"/>
    </row>
    <row r="1259" spans="2:17" x14ac:dyDescent="0.25">
      <c r="B1259" s="294"/>
      <c r="C1259" s="294"/>
      <c r="D1259" s="294"/>
      <c r="E1259" s="294"/>
      <c r="F1259" s="294"/>
      <c r="G1259" s="294"/>
      <c r="H1259" s="294"/>
      <c r="I1259" s="294"/>
      <c r="J1259" s="294"/>
      <c r="L1259" s="295"/>
      <c r="M1259" s="294"/>
      <c r="P1259" s="294"/>
      <c r="Q1259" s="294"/>
    </row>
    <row r="1260" spans="2:17" x14ac:dyDescent="0.25">
      <c r="B1260" s="294"/>
      <c r="C1260" s="294"/>
      <c r="D1260" s="294"/>
      <c r="E1260" s="294"/>
      <c r="F1260" s="294"/>
      <c r="G1260" s="294"/>
      <c r="H1260" s="294"/>
      <c r="I1260" s="294"/>
      <c r="J1260" s="294"/>
      <c r="L1260" s="295"/>
      <c r="M1260" s="294"/>
      <c r="P1260" s="294"/>
      <c r="Q1260" s="294"/>
    </row>
    <row r="1261" spans="2:17" x14ac:dyDescent="0.25">
      <c r="B1261" s="294"/>
      <c r="C1261" s="294"/>
      <c r="D1261" s="294"/>
      <c r="E1261" s="294"/>
      <c r="F1261" s="294"/>
      <c r="G1261" s="294"/>
      <c r="H1261" s="294"/>
      <c r="I1261" s="294"/>
      <c r="J1261" s="294"/>
      <c r="L1261" s="295"/>
      <c r="M1261" s="294"/>
      <c r="P1261" s="294"/>
      <c r="Q1261" s="294"/>
    </row>
    <row r="1262" spans="2:17" x14ac:dyDescent="0.25">
      <c r="B1262" s="294"/>
      <c r="C1262" s="294"/>
      <c r="D1262" s="294"/>
      <c r="E1262" s="294"/>
      <c r="F1262" s="294"/>
      <c r="G1262" s="294"/>
      <c r="H1262" s="294"/>
      <c r="I1262" s="294"/>
      <c r="J1262" s="294"/>
      <c r="L1262" s="295"/>
      <c r="M1262" s="294"/>
      <c r="P1262" s="294"/>
      <c r="Q1262" s="294"/>
    </row>
    <row r="1263" spans="2:17" x14ac:dyDescent="0.25">
      <c r="B1263" s="294"/>
      <c r="C1263" s="294"/>
      <c r="D1263" s="294"/>
      <c r="E1263" s="294"/>
      <c r="F1263" s="294"/>
      <c r="G1263" s="294"/>
      <c r="H1263" s="294"/>
      <c r="I1263" s="294"/>
      <c r="J1263" s="294"/>
      <c r="L1263" s="295"/>
      <c r="M1263" s="294"/>
      <c r="P1263" s="294"/>
      <c r="Q1263" s="294"/>
    </row>
    <row r="1264" spans="2:17" x14ac:dyDescent="0.25">
      <c r="B1264" s="294"/>
      <c r="C1264" s="294"/>
      <c r="D1264" s="294"/>
      <c r="E1264" s="294"/>
      <c r="F1264" s="294"/>
      <c r="G1264" s="294"/>
      <c r="H1264" s="294"/>
      <c r="I1264" s="294"/>
      <c r="J1264" s="294"/>
      <c r="L1264" s="295"/>
      <c r="M1264" s="294"/>
      <c r="P1264" s="294"/>
      <c r="Q1264" s="294"/>
    </row>
    <row r="1265" spans="2:17" x14ac:dyDescent="0.25">
      <c r="B1265" s="294"/>
      <c r="C1265" s="294"/>
      <c r="D1265" s="294"/>
      <c r="E1265" s="294"/>
      <c r="F1265" s="294"/>
      <c r="G1265" s="294"/>
      <c r="H1265" s="294"/>
      <c r="I1265" s="294"/>
      <c r="J1265" s="294"/>
      <c r="L1265" s="295"/>
      <c r="M1265" s="294"/>
      <c r="P1265" s="294"/>
      <c r="Q1265" s="294"/>
    </row>
    <row r="1266" spans="2:17" x14ac:dyDescent="0.25">
      <c r="B1266" s="294"/>
      <c r="C1266" s="294"/>
      <c r="D1266" s="294"/>
      <c r="E1266" s="294"/>
      <c r="F1266" s="294"/>
      <c r="G1266" s="294"/>
      <c r="H1266" s="294"/>
      <c r="I1266" s="294"/>
      <c r="J1266" s="294"/>
      <c r="L1266" s="295"/>
      <c r="M1266" s="294"/>
      <c r="P1266" s="294"/>
      <c r="Q1266" s="294"/>
    </row>
    <row r="1267" spans="2:17" x14ac:dyDescent="0.25">
      <c r="B1267" s="294"/>
      <c r="C1267" s="294"/>
      <c r="D1267" s="294"/>
      <c r="E1267" s="294"/>
      <c r="F1267" s="294"/>
      <c r="G1267" s="294"/>
      <c r="H1267" s="294"/>
      <c r="I1267" s="294"/>
      <c r="J1267" s="294"/>
      <c r="L1267" s="295"/>
      <c r="M1267" s="294"/>
      <c r="P1267" s="294"/>
      <c r="Q1267" s="294"/>
    </row>
    <row r="1268" spans="2:17" x14ac:dyDescent="0.25">
      <c r="B1268" s="294"/>
      <c r="C1268" s="294"/>
      <c r="D1268" s="294"/>
      <c r="E1268" s="294"/>
      <c r="F1268" s="294"/>
      <c r="G1268" s="294"/>
      <c r="H1268" s="294"/>
      <c r="I1268" s="294"/>
      <c r="J1268" s="294"/>
      <c r="L1268" s="295"/>
      <c r="M1268" s="294"/>
      <c r="P1268" s="294"/>
      <c r="Q1268" s="294"/>
    </row>
    <row r="1269" spans="2:17" x14ac:dyDescent="0.25">
      <c r="B1269" s="294"/>
      <c r="C1269" s="294"/>
      <c r="D1269" s="294"/>
      <c r="E1269" s="294"/>
      <c r="F1269" s="294"/>
      <c r="G1269" s="294"/>
      <c r="H1269" s="294"/>
      <c r="I1269" s="294"/>
      <c r="J1269" s="294"/>
      <c r="L1269" s="295"/>
      <c r="M1269" s="294"/>
      <c r="P1269" s="294"/>
      <c r="Q1269" s="294"/>
    </row>
    <row r="1270" spans="2:17" x14ac:dyDescent="0.25">
      <c r="B1270" s="294"/>
      <c r="C1270" s="294"/>
      <c r="D1270" s="294"/>
      <c r="E1270" s="294"/>
      <c r="F1270" s="294"/>
      <c r="G1270" s="294"/>
      <c r="H1270" s="294"/>
      <c r="I1270" s="294"/>
      <c r="J1270" s="294"/>
      <c r="L1270" s="295"/>
      <c r="M1270" s="294"/>
      <c r="P1270" s="294"/>
      <c r="Q1270" s="294"/>
    </row>
    <row r="1271" spans="2:17" x14ac:dyDescent="0.25">
      <c r="B1271" s="294"/>
      <c r="C1271" s="294"/>
      <c r="D1271" s="294"/>
      <c r="E1271" s="294"/>
      <c r="F1271" s="294"/>
      <c r="G1271" s="294"/>
      <c r="H1271" s="294"/>
      <c r="I1271" s="294"/>
      <c r="J1271" s="294"/>
      <c r="L1271" s="295"/>
      <c r="M1271" s="294"/>
      <c r="P1271" s="294"/>
      <c r="Q1271" s="294"/>
    </row>
    <row r="1272" spans="2:17" x14ac:dyDescent="0.25">
      <c r="B1272" s="294"/>
      <c r="C1272" s="294"/>
      <c r="D1272" s="294"/>
      <c r="E1272" s="294"/>
      <c r="F1272" s="294"/>
      <c r="G1272" s="294"/>
      <c r="H1272" s="294"/>
      <c r="I1272" s="294"/>
      <c r="J1272" s="294"/>
      <c r="L1272" s="295"/>
      <c r="M1272" s="294"/>
      <c r="P1272" s="294"/>
      <c r="Q1272" s="294"/>
    </row>
    <row r="1273" spans="2:17" x14ac:dyDescent="0.25">
      <c r="B1273" s="294"/>
      <c r="C1273" s="294"/>
      <c r="D1273" s="294"/>
      <c r="E1273" s="294"/>
      <c r="F1273" s="294"/>
      <c r="G1273" s="294"/>
      <c r="H1273" s="294"/>
      <c r="I1273" s="294"/>
      <c r="J1273" s="294"/>
      <c r="L1273" s="295"/>
      <c r="M1273" s="294"/>
      <c r="P1273" s="294"/>
      <c r="Q1273" s="294"/>
    </row>
    <row r="1274" spans="2:17" x14ac:dyDescent="0.25">
      <c r="B1274" s="294"/>
      <c r="C1274" s="294"/>
      <c r="D1274" s="294"/>
      <c r="E1274" s="294"/>
      <c r="F1274" s="294"/>
      <c r="G1274" s="294"/>
      <c r="H1274" s="294"/>
      <c r="I1274" s="294"/>
      <c r="J1274" s="294"/>
      <c r="L1274" s="295"/>
      <c r="M1274" s="294"/>
      <c r="P1274" s="294"/>
      <c r="Q1274" s="294"/>
    </row>
    <row r="1275" spans="2:17" x14ac:dyDescent="0.25">
      <c r="B1275" s="294"/>
      <c r="C1275" s="294"/>
      <c r="D1275" s="294"/>
      <c r="E1275" s="294"/>
      <c r="F1275" s="294"/>
      <c r="G1275" s="294"/>
      <c r="H1275" s="294"/>
      <c r="I1275" s="294"/>
      <c r="J1275" s="294"/>
      <c r="L1275" s="295"/>
      <c r="M1275" s="294"/>
      <c r="P1275" s="294"/>
      <c r="Q1275" s="294"/>
    </row>
    <row r="1276" spans="2:17" x14ac:dyDescent="0.25">
      <c r="B1276" s="294"/>
      <c r="C1276" s="294"/>
      <c r="D1276" s="294"/>
      <c r="E1276" s="294"/>
      <c r="F1276" s="294"/>
      <c r="G1276" s="294"/>
      <c r="H1276" s="294"/>
      <c r="I1276" s="294"/>
      <c r="J1276" s="294"/>
      <c r="L1276" s="295"/>
      <c r="M1276" s="294"/>
      <c r="P1276" s="294"/>
      <c r="Q1276" s="294"/>
    </row>
    <row r="1277" spans="2:17" x14ac:dyDescent="0.25">
      <c r="B1277" s="294"/>
      <c r="C1277" s="294"/>
      <c r="D1277" s="294"/>
      <c r="E1277" s="294"/>
      <c r="F1277" s="294"/>
      <c r="G1277" s="294"/>
      <c r="H1277" s="294"/>
      <c r="I1277" s="294"/>
      <c r="J1277" s="294"/>
      <c r="L1277" s="295"/>
      <c r="M1277" s="294"/>
      <c r="P1277" s="294"/>
      <c r="Q1277" s="294"/>
    </row>
    <row r="1278" spans="2:17" x14ac:dyDescent="0.25">
      <c r="B1278" s="294"/>
      <c r="C1278" s="294"/>
      <c r="D1278" s="294"/>
      <c r="E1278" s="294"/>
      <c r="F1278" s="294"/>
      <c r="G1278" s="294"/>
      <c r="H1278" s="294"/>
      <c r="I1278" s="294"/>
      <c r="J1278" s="294"/>
      <c r="L1278" s="295"/>
      <c r="M1278" s="294"/>
      <c r="P1278" s="294"/>
      <c r="Q1278" s="294"/>
    </row>
    <row r="1279" spans="2:17" x14ac:dyDescent="0.25">
      <c r="B1279" s="294"/>
      <c r="C1279" s="294"/>
      <c r="D1279" s="294"/>
      <c r="E1279" s="294"/>
      <c r="F1279" s="294"/>
      <c r="G1279" s="294"/>
      <c r="H1279" s="294"/>
      <c r="I1279" s="294"/>
      <c r="J1279" s="294"/>
      <c r="L1279" s="295"/>
      <c r="M1279" s="294"/>
      <c r="P1279" s="294"/>
      <c r="Q1279" s="294"/>
    </row>
    <row r="1280" spans="2:17" x14ac:dyDescent="0.25">
      <c r="B1280" s="294"/>
      <c r="C1280" s="294"/>
      <c r="D1280" s="294"/>
      <c r="E1280" s="294"/>
      <c r="F1280" s="294"/>
      <c r="G1280" s="294"/>
      <c r="H1280" s="294"/>
      <c r="I1280" s="294"/>
      <c r="J1280" s="294"/>
      <c r="L1280" s="295"/>
      <c r="M1280" s="294"/>
      <c r="P1280" s="294"/>
      <c r="Q1280" s="294"/>
    </row>
    <row r="1281" spans="2:17" x14ac:dyDescent="0.25">
      <c r="B1281" s="294"/>
      <c r="C1281" s="294"/>
      <c r="D1281" s="294"/>
      <c r="E1281" s="294"/>
      <c r="F1281" s="294"/>
      <c r="G1281" s="294"/>
      <c r="H1281" s="294"/>
      <c r="I1281" s="294"/>
      <c r="J1281" s="294"/>
      <c r="L1281" s="295"/>
      <c r="M1281" s="294"/>
      <c r="P1281" s="294"/>
      <c r="Q1281" s="294"/>
    </row>
    <row r="1282" spans="2:17" x14ac:dyDescent="0.25">
      <c r="B1282" s="294"/>
      <c r="C1282" s="294"/>
      <c r="D1282" s="294"/>
      <c r="E1282" s="294"/>
      <c r="F1282" s="294"/>
      <c r="G1282" s="294"/>
      <c r="H1282" s="294"/>
      <c r="I1282" s="294"/>
      <c r="J1282" s="294"/>
      <c r="L1282" s="295"/>
      <c r="M1282" s="294"/>
      <c r="P1282" s="294"/>
      <c r="Q1282" s="294"/>
    </row>
    <row r="1283" spans="2:17" x14ac:dyDescent="0.25">
      <c r="B1283" s="294"/>
      <c r="C1283" s="294"/>
      <c r="D1283" s="294"/>
      <c r="E1283" s="294"/>
      <c r="F1283" s="294"/>
      <c r="G1283" s="294"/>
      <c r="H1283" s="294"/>
      <c r="I1283" s="294"/>
      <c r="J1283" s="294"/>
      <c r="L1283" s="295"/>
      <c r="M1283" s="294"/>
      <c r="P1283" s="294"/>
      <c r="Q1283" s="294"/>
    </row>
    <row r="1284" spans="2:17" x14ac:dyDescent="0.25">
      <c r="B1284" s="294"/>
      <c r="C1284" s="294"/>
      <c r="D1284" s="294"/>
      <c r="E1284" s="294"/>
      <c r="F1284" s="294"/>
      <c r="G1284" s="294"/>
      <c r="H1284" s="294"/>
      <c r="I1284" s="294"/>
      <c r="J1284" s="294"/>
      <c r="L1284" s="295"/>
      <c r="M1284" s="294"/>
      <c r="P1284" s="294"/>
      <c r="Q1284" s="294"/>
    </row>
    <row r="1285" spans="2:17" x14ac:dyDescent="0.25">
      <c r="B1285" s="294"/>
      <c r="C1285" s="294"/>
      <c r="D1285" s="294"/>
      <c r="E1285" s="294"/>
      <c r="F1285" s="294"/>
      <c r="G1285" s="294"/>
      <c r="H1285" s="294"/>
      <c r="I1285" s="294"/>
      <c r="J1285" s="294"/>
      <c r="L1285" s="295"/>
      <c r="M1285" s="294"/>
      <c r="P1285" s="294"/>
      <c r="Q1285" s="294"/>
    </row>
    <row r="1286" spans="2:17" x14ac:dyDescent="0.25">
      <c r="B1286" s="294"/>
      <c r="C1286" s="294"/>
      <c r="D1286" s="294"/>
      <c r="E1286" s="294"/>
      <c r="F1286" s="294"/>
      <c r="G1286" s="294"/>
      <c r="H1286" s="294"/>
      <c r="I1286" s="294"/>
      <c r="J1286" s="294"/>
      <c r="L1286" s="295"/>
      <c r="M1286" s="294"/>
      <c r="P1286" s="294"/>
      <c r="Q1286" s="294"/>
    </row>
    <row r="1287" spans="2:17" x14ac:dyDescent="0.25">
      <c r="B1287" s="294"/>
      <c r="C1287" s="294"/>
      <c r="D1287" s="294"/>
      <c r="E1287" s="294"/>
      <c r="F1287" s="294"/>
      <c r="G1287" s="294"/>
      <c r="H1287" s="294"/>
      <c r="I1287" s="294"/>
      <c r="J1287" s="294"/>
      <c r="L1287" s="295"/>
      <c r="M1287" s="294"/>
      <c r="P1287" s="294"/>
      <c r="Q1287" s="294"/>
    </row>
    <row r="1288" spans="2:17" x14ac:dyDescent="0.25">
      <c r="B1288" s="294"/>
      <c r="C1288" s="294"/>
      <c r="D1288" s="294"/>
      <c r="E1288" s="294"/>
      <c r="F1288" s="294"/>
      <c r="G1288" s="294"/>
      <c r="H1288" s="294"/>
      <c r="I1288" s="294"/>
      <c r="J1288" s="294"/>
      <c r="L1288" s="295"/>
      <c r="M1288" s="294"/>
      <c r="P1288" s="294"/>
      <c r="Q1288" s="294"/>
    </row>
    <row r="1289" spans="2:17" x14ac:dyDescent="0.25">
      <c r="B1289" s="294"/>
      <c r="C1289" s="294"/>
      <c r="D1289" s="294"/>
      <c r="E1289" s="294"/>
      <c r="F1289" s="294"/>
      <c r="G1289" s="294"/>
      <c r="H1289" s="294"/>
      <c r="I1289" s="294"/>
      <c r="J1289" s="294"/>
      <c r="L1289" s="295"/>
      <c r="M1289" s="294"/>
      <c r="P1289" s="294"/>
      <c r="Q1289" s="294"/>
    </row>
    <row r="1290" spans="2:17" x14ac:dyDescent="0.25">
      <c r="B1290" s="294"/>
      <c r="C1290" s="294"/>
      <c r="D1290" s="294"/>
      <c r="E1290" s="294"/>
      <c r="F1290" s="294"/>
      <c r="G1290" s="294"/>
      <c r="H1290" s="294"/>
      <c r="I1290" s="294"/>
      <c r="J1290" s="294"/>
      <c r="L1290" s="295"/>
      <c r="M1290" s="294"/>
      <c r="P1290" s="294"/>
      <c r="Q1290" s="294"/>
    </row>
    <row r="1291" spans="2:17" x14ac:dyDescent="0.25">
      <c r="B1291" s="294"/>
      <c r="C1291" s="294"/>
      <c r="D1291" s="294"/>
      <c r="E1291" s="294"/>
      <c r="F1291" s="294"/>
      <c r="G1291" s="294"/>
      <c r="H1291" s="294"/>
      <c r="I1291" s="294"/>
      <c r="J1291" s="294"/>
      <c r="L1291" s="295"/>
      <c r="M1291" s="294"/>
      <c r="P1291" s="294"/>
      <c r="Q1291" s="294"/>
    </row>
    <row r="1292" spans="2:17" x14ac:dyDescent="0.25">
      <c r="B1292" s="294"/>
      <c r="C1292" s="294"/>
      <c r="D1292" s="294"/>
      <c r="E1292" s="294"/>
      <c r="F1292" s="294"/>
      <c r="G1292" s="294"/>
      <c r="H1292" s="294"/>
      <c r="I1292" s="294"/>
      <c r="J1292" s="294"/>
      <c r="L1292" s="295"/>
      <c r="M1292" s="294"/>
      <c r="P1292" s="294"/>
      <c r="Q1292" s="294"/>
    </row>
    <row r="1293" spans="2:17" x14ac:dyDescent="0.25">
      <c r="B1293" s="294"/>
      <c r="C1293" s="294"/>
      <c r="D1293" s="294"/>
      <c r="E1293" s="294"/>
      <c r="F1293" s="294"/>
      <c r="G1293" s="294"/>
      <c r="H1293" s="294"/>
      <c r="I1293" s="294"/>
      <c r="J1293" s="294"/>
      <c r="L1293" s="295"/>
      <c r="M1293" s="294"/>
      <c r="P1293" s="294"/>
      <c r="Q1293" s="294"/>
    </row>
    <row r="1294" spans="2:17" x14ac:dyDescent="0.25">
      <c r="B1294" s="294"/>
      <c r="C1294" s="294"/>
      <c r="D1294" s="294"/>
      <c r="E1294" s="294"/>
      <c r="F1294" s="294"/>
      <c r="G1294" s="294"/>
      <c r="H1294" s="294"/>
      <c r="I1294" s="294"/>
      <c r="J1294" s="294"/>
      <c r="L1294" s="295"/>
      <c r="M1294" s="294"/>
      <c r="P1294" s="294"/>
      <c r="Q1294" s="294"/>
    </row>
    <row r="1295" spans="2:17" x14ac:dyDescent="0.25">
      <c r="B1295" s="294"/>
      <c r="C1295" s="294"/>
      <c r="D1295" s="294"/>
      <c r="E1295" s="294"/>
      <c r="F1295" s="294"/>
      <c r="G1295" s="294"/>
      <c r="H1295" s="294"/>
      <c r="I1295" s="294"/>
      <c r="J1295" s="294"/>
      <c r="L1295" s="295"/>
      <c r="M1295" s="294"/>
      <c r="P1295" s="294"/>
      <c r="Q1295" s="294"/>
    </row>
    <row r="1296" spans="2:17" x14ac:dyDescent="0.25">
      <c r="B1296" s="294"/>
      <c r="C1296" s="294"/>
      <c r="D1296" s="294"/>
      <c r="E1296" s="294"/>
      <c r="F1296" s="294"/>
      <c r="G1296" s="294"/>
      <c r="H1296" s="294"/>
      <c r="I1296" s="294"/>
      <c r="J1296" s="294"/>
      <c r="L1296" s="295"/>
      <c r="M1296" s="294"/>
      <c r="P1296" s="294"/>
      <c r="Q1296" s="294"/>
    </row>
    <row r="1297" spans="2:17" x14ac:dyDescent="0.25">
      <c r="B1297" s="294"/>
      <c r="C1297" s="294"/>
      <c r="D1297" s="294"/>
      <c r="E1297" s="294"/>
      <c r="F1297" s="294"/>
      <c r="G1297" s="294"/>
      <c r="H1297" s="294"/>
      <c r="I1297" s="294"/>
      <c r="J1297" s="294"/>
      <c r="L1297" s="295"/>
      <c r="M1297" s="294"/>
      <c r="P1297" s="294"/>
      <c r="Q1297" s="294"/>
    </row>
    <row r="1298" spans="2:17" x14ac:dyDescent="0.25">
      <c r="B1298" s="294"/>
      <c r="C1298" s="294"/>
      <c r="D1298" s="294"/>
      <c r="E1298" s="294"/>
      <c r="F1298" s="294"/>
      <c r="G1298" s="294"/>
      <c r="H1298" s="294"/>
      <c r="I1298" s="294"/>
      <c r="J1298" s="294"/>
      <c r="L1298" s="295"/>
      <c r="M1298" s="294"/>
      <c r="P1298" s="294"/>
      <c r="Q1298" s="294"/>
    </row>
    <row r="1299" spans="2:17" x14ac:dyDescent="0.25">
      <c r="B1299" s="294"/>
      <c r="C1299" s="294"/>
      <c r="D1299" s="294"/>
      <c r="E1299" s="294"/>
      <c r="F1299" s="294"/>
      <c r="G1299" s="294"/>
      <c r="H1299" s="294"/>
      <c r="I1299" s="294"/>
      <c r="J1299" s="294"/>
      <c r="L1299" s="295"/>
      <c r="M1299" s="294"/>
      <c r="P1299" s="294"/>
      <c r="Q1299" s="294"/>
    </row>
    <row r="1300" spans="2:17" x14ac:dyDescent="0.25">
      <c r="B1300" s="294"/>
      <c r="C1300" s="294"/>
      <c r="D1300" s="294"/>
      <c r="E1300" s="294"/>
      <c r="F1300" s="294"/>
      <c r="G1300" s="294"/>
      <c r="H1300" s="294"/>
      <c r="I1300" s="294"/>
      <c r="J1300" s="294"/>
      <c r="L1300" s="295"/>
      <c r="M1300" s="294"/>
      <c r="P1300" s="294"/>
      <c r="Q1300" s="294"/>
    </row>
    <row r="1301" spans="2:17" x14ac:dyDescent="0.25">
      <c r="B1301" s="294"/>
      <c r="C1301" s="294"/>
      <c r="D1301" s="294"/>
      <c r="E1301" s="294"/>
      <c r="F1301" s="294"/>
      <c r="G1301" s="294"/>
      <c r="H1301" s="294"/>
      <c r="I1301" s="294"/>
      <c r="J1301" s="294"/>
      <c r="L1301" s="295"/>
      <c r="M1301" s="294"/>
      <c r="P1301" s="294"/>
      <c r="Q1301" s="294"/>
    </row>
    <row r="1302" spans="2:17" x14ac:dyDescent="0.25">
      <c r="B1302" s="294"/>
      <c r="C1302" s="294"/>
      <c r="D1302" s="294"/>
      <c r="E1302" s="294"/>
      <c r="F1302" s="294"/>
      <c r="G1302" s="294"/>
      <c r="H1302" s="294"/>
      <c r="I1302" s="294"/>
      <c r="J1302" s="294"/>
      <c r="L1302" s="295"/>
      <c r="M1302" s="294"/>
      <c r="P1302" s="294"/>
      <c r="Q1302" s="294"/>
    </row>
    <row r="1303" spans="2:17" x14ac:dyDescent="0.25">
      <c r="B1303" s="294"/>
      <c r="C1303" s="294"/>
      <c r="D1303" s="294"/>
      <c r="E1303" s="294"/>
      <c r="F1303" s="294"/>
      <c r="G1303" s="294"/>
      <c r="H1303" s="294"/>
      <c r="I1303" s="294"/>
      <c r="J1303" s="294"/>
      <c r="L1303" s="295"/>
      <c r="M1303" s="294"/>
      <c r="P1303" s="294"/>
      <c r="Q1303" s="294"/>
    </row>
    <row r="1304" spans="2:17" x14ac:dyDescent="0.25">
      <c r="B1304" s="294"/>
      <c r="C1304" s="294"/>
      <c r="D1304" s="294"/>
      <c r="E1304" s="294"/>
      <c r="F1304" s="294"/>
      <c r="G1304" s="294"/>
      <c r="H1304" s="294"/>
      <c r="I1304" s="294"/>
      <c r="J1304" s="294"/>
      <c r="L1304" s="295"/>
      <c r="M1304" s="294"/>
      <c r="P1304" s="294"/>
      <c r="Q1304" s="294"/>
    </row>
    <row r="1305" spans="2:17" x14ac:dyDescent="0.25">
      <c r="B1305" s="294"/>
      <c r="C1305" s="294"/>
      <c r="D1305" s="294"/>
      <c r="E1305" s="294"/>
      <c r="F1305" s="294"/>
      <c r="G1305" s="294"/>
      <c r="H1305" s="294"/>
      <c r="I1305" s="294"/>
      <c r="J1305" s="294"/>
      <c r="L1305" s="295"/>
      <c r="M1305" s="294"/>
      <c r="P1305" s="294"/>
      <c r="Q1305" s="294"/>
    </row>
    <row r="1306" spans="2:17" x14ac:dyDescent="0.25">
      <c r="B1306" s="294"/>
      <c r="C1306" s="294"/>
      <c r="D1306" s="294"/>
      <c r="E1306" s="294"/>
      <c r="F1306" s="294"/>
      <c r="G1306" s="294"/>
      <c r="H1306" s="294"/>
      <c r="I1306" s="294"/>
      <c r="J1306" s="294"/>
      <c r="L1306" s="295"/>
      <c r="M1306" s="294"/>
      <c r="P1306" s="294"/>
      <c r="Q1306" s="294"/>
    </row>
    <row r="1307" spans="2:17" x14ac:dyDescent="0.25">
      <c r="B1307" s="294"/>
      <c r="C1307" s="294"/>
      <c r="D1307" s="294"/>
      <c r="E1307" s="294"/>
      <c r="F1307" s="294"/>
      <c r="G1307" s="294"/>
      <c r="H1307" s="294"/>
      <c r="I1307" s="294"/>
      <c r="J1307" s="294"/>
      <c r="L1307" s="295"/>
      <c r="M1307" s="294"/>
      <c r="P1307" s="294"/>
      <c r="Q1307" s="294"/>
    </row>
    <row r="1308" spans="2:17" x14ac:dyDescent="0.25">
      <c r="B1308" s="294"/>
      <c r="C1308" s="294"/>
      <c r="D1308" s="294"/>
      <c r="E1308" s="294"/>
      <c r="F1308" s="294"/>
      <c r="G1308" s="294"/>
      <c r="H1308" s="294"/>
      <c r="I1308" s="294"/>
      <c r="J1308" s="294"/>
      <c r="L1308" s="295"/>
      <c r="M1308" s="294"/>
      <c r="P1308" s="294"/>
      <c r="Q1308" s="294"/>
    </row>
    <row r="1309" spans="2:17" x14ac:dyDescent="0.25">
      <c r="B1309" s="294"/>
      <c r="C1309" s="294"/>
      <c r="D1309" s="294"/>
      <c r="E1309" s="294"/>
      <c r="F1309" s="294"/>
      <c r="G1309" s="294"/>
      <c r="H1309" s="294"/>
      <c r="I1309" s="294"/>
      <c r="J1309" s="294"/>
      <c r="L1309" s="295"/>
      <c r="M1309" s="294"/>
      <c r="P1309" s="294"/>
      <c r="Q1309" s="294"/>
    </row>
    <row r="1310" spans="2:17" x14ac:dyDescent="0.25">
      <c r="B1310" s="294"/>
      <c r="C1310" s="294"/>
      <c r="D1310" s="294"/>
      <c r="E1310" s="294"/>
      <c r="F1310" s="294"/>
      <c r="G1310" s="294"/>
      <c r="H1310" s="294"/>
      <c r="I1310" s="294"/>
      <c r="J1310" s="294"/>
      <c r="L1310" s="295"/>
      <c r="M1310" s="294"/>
      <c r="P1310" s="294"/>
      <c r="Q1310" s="294"/>
    </row>
    <row r="1311" spans="2:17" x14ac:dyDescent="0.25">
      <c r="B1311" s="294"/>
      <c r="C1311" s="294"/>
      <c r="D1311" s="294"/>
      <c r="E1311" s="294"/>
      <c r="F1311" s="294"/>
      <c r="G1311" s="294"/>
      <c r="H1311" s="294"/>
      <c r="I1311" s="294"/>
      <c r="J1311" s="294"/>
      <c r="L1311" s="295"/>
      <c r="M1311" s="294"/>
      <c r="P1311" s="294"/>
      <c r="Q1311" s="294"/>
    </row>
    <row r="1312" spans="2:17" x14ac:dyDescent="0.25">
      <c r="B1312" s="294"/>
      <c r="C1312" s="294"/>
      <c r="D1312" s="294"/>
      <c r="E1312" s="294"/>
      <c r="F1312" s="294"/>
      <c r="G1312" s="294"/>
      <c r="H1312" s="294"/>
      <c r="I1312" s="294"/>
      <c r="J1312" s="294"/>
      <c r="L1312" s="295"/>
      <c r="M1312" s="294"/>
      <c r="P1312" s="294"/>
      <c r="Q1312" s="294"/>
    </row>
    <row r="1313" spans="2:17" x14ac:dyDescent="0.25">
      <c r="B1313" s="294"/>
      <c r="C1313" s="294"/>
      <c r="D1313" s="294"/>
      <c r="E1313" s="294"/>
      <c r="F1313" s="294"/>
      <c r="G1313" s="294"/>
      <c r="H1313" s="294"/>
      <c r="I1313" s="294"/>
      <c r="J1313" s="294"/>
      <c r="L1313" s="295"/>
      <c r="M1313" s="294"/>
      <c r="P1313" s="294"/>
      <c r="Q1313" s="294"/>
    </row>
    <row r="1314" spans="2:17" x14ac:dyDescent="0.25">
      <c r="B1314" s="294"/>
      <c r="C1314" s="294"/>
      <c r="D1314" s="294"/>
      <c r="E1314" s="294"/>
      <c r="F1314" s="294"/>
      <c r="G1314" s="294"/>
      <c r="H1314" s="294"/>
      <c r="I1314" s="294"/>
      <c r="J1314" s="294"/>
      <c r="L1314" s="295"/>
      <c r="M1314" s="294"/>
      <c r="P1314" s="294"/>
      <c r="Q1314" s="294"/>
    </row>
    <row r="1315" spans="2:17" x14ac:dyDescent="0.25">
      <c r="B1315" s="294"/>
      <c r="C1315" s="294"/>
      <c r="D1315" s="294"/>
      <c r="E1315" s="294"/>
      <c r="F1315" s="294"/>
      <c r="G1315" s="294"/>
      <c r="H1315" s="294"/>
      <c r="I1315" s="294"/>
      <c r="J1315" s="294"/>
      <c r="L1315" s="295"/>
      <c r="M1315" s="294"/>
      <c r="P1315" s="294"/>
      <c r="Q1315" s="294"/>
    </row>
    <row r="1316" spans="2:17" x14ac:dyDescent="0.25">
      <c r="B1316" s="294"/>
      <c r="C1316" s="294"/>
      <c r="D1316" s="294"/>
      <c r="E1316" s="294"/>
      <c r="F1316" s="294"/>
      <c r="G1316" s="294"/>
      <c r="H1316" s="294"/>
      <c r="I1316" s="294"/>
      <c r="J1316" s="294"/>
      <c r="L1316" s="295"/>
      <c r="M1316" s="294"/>
      <c r="P1316" s="294"/>
      <c r="Q1316" s="294"/>
    </row>
    <row r="1317" spans="2:17" x14ac:dyDescent="0.25">
      <c r="B1317" s="294"/>
      <c r="C1317" s="294"/>
      <c r="D1317" s="294"/>
      <c r="E1317" s="294"/>
      <c r="F1317" s="294"/>
      <c r="G1317" s="294"/>
      <c r="H1317" s="294"/>
      <c r="I1317" s="294"/>
      <c r="J1317" s="294"/>
      <c r="L1317" s="295"/>
      <c r="M1317" s="294"/>
      <c r="P1317" s="294"/>
      <c r="Q1317" s="294"/>
    </row>
    <row r="1318" spans="2:17" x14ac:dyDescent="0.25">
      <c r="B1318" s="294"/>
      <c r="C1318" s="294"/>
      <c r="D1318" s="294"/>
      <c r="E1318" s="294"/>
      <c r="F1318" s="294"/>
      <c r="G1318" s="294"/>
      <c r="H1318" s="294"/>
      <c r="I1318" s="294"/>
      <c r="J1318" s="294"/>
      <c r="L1318" s="295"/>
      <c r="M1318" s="294"/>
      <c r="P1318" s="294"/>
      <c r="Q1318" s="294"/>
    </row>
    <row r="1319" spans="2:17" x14ac:dyDescent="0.25">
      <c r="B1319" s="294"/>
      <c r="C1319" s="294"/>
      <c r="D1319" s="294"/>
      <c r="E1319" s="294"/>
      <c r="F1319" s="294"/>
      <c r="G1319" s="294"/>
      <c r="H1319" s="294"/>
      <c r="I1319" s="294"/>
      <c r="J1319" s="294"/>
      <c r="L1319" s="295"/>
      <c r="M1319" s="294"/>
      <c r="P1319" s="294"/>
      <c r="Q1319" s="294"/>
    </row>
    <row r="1320" spans="2:17" x14ac:dyDescent="0.25">
      <c r="B1320" s="294"/>
      <c r="C1320" s="294"/>
      <c r="D1320" s="294"/>
      <c r="E1320" s="294"/>
      <c r="F1320" s="294"/>
      <c r="G1320" s="294"/>
      <c r="H1320" s="294"/>
      <c r="I1320" s="294"/>
      <c r="J1320" s="294"/>
      <c r="L1320" s="295"/>
      <c r="M1320" s="294"/>
      <c r="P1320" s="294"/>
      <c r="Q1320" s="294"/>
    </row>
    <row r="1321" spans="2:17" x14ac:dyDescent="0.25">
      <c r="B1321" s="294"/>
      <c r="C1321" s="294"/>
      <c r="D1321" s="294"/>
      <c r="E1321" s="294"/>
      <c r="F1321" s="294"/>
      <c r="G1321" s="294"/>
      <c r="H1321" s="294"/>
      <c r="I1321" s="294"/>
      <c r="J1321" s="294"/>
      <c r="L1321" s="295"/>
      <c r="M1321" s="294"/>
      <c r="P1321" s="294"/>
      <c r="Q1321" s="294"/>
    </row>
    <row r="1322" spans="2:17" x14ac:dyDescent="0.25">
      <c r="B1322" s="294"/>
      <c r="C1322" s="294"/>
      <c r="D1322" s="294"/>
      <c r="E1322" s="294"/>
      <c r="F1322" s="294"/>
      <c r="G1322" s="294"/>
      <c r="H1322" s="294"/>
      <c r="I1322" s="294"/>
      <c r="J1322" s="294"/>
      <c r="L1322" s="295"/>
      <c r="M1322" s="294"/>
      <c r="P1322" s="294"/>
      <c r="Q1322" s="294"/>
    </row>
    <row r="1323" spans="2:17" x14ac:dyDescent="0.25">
      <c r="B1323" s="294"/>
      <c r="C1323" s="294"/>
      <c r="D1323" s="294"/>
      <c r="E1323" s="294"/>
      <c r="F1323" s="294"/>
      <c r="G1323" s="294"/>
      <c r="H1323" s="294"/>
      <c r="I1323" s="294"/>
      <c r="J1323" s="294"/>
      <c r="L1323" s="295"/>
      <c r="M1323" s="294"/>
      <c r="P1323" s="294"/>
      <c r="Q1323" s="294"/>
    </row>
    <row r="1324" spans="2:17" x14ac:dyDescent="0.25">
      <c r="B1324" s="294"/>
      <c r="C1324" s="294"/>
      <c r="D1324" s="294"/>
      <c r="E1324" s="294"/>
      <c r="F1324" s="294"/>
      <c r="G1324" s="294"/>
      <c r="H1324" s="294"/>
      <c r="I1324" s="294"/>
      <c r="J1324" s="294"/>
      <c r="L1324" s="295"/>
      <c r="M1324" s="294"/>
      <c r="P1324" s="294"/>
      <c r="Q1324" s="294"/>
    </row>
    <row r="1325" spans="2:17" x14ac:dyDescent="0.25">
      <c r="B1325" s="294"/>
      <c r="C1325" s="294"/>
      <c r="D1325" s="294"/>
      <c r="E1325" s="294"/>
      <c r="F1325" s="294"/>
      <c r="G1325" s="294"/>
      <c r="H1325" s="294"/>
      <c r="I1325" s="294"/>
      <c r="J1325" s="294"/>
      <c r="L1325" s="295"/>
      <c r="M1325" s="294"/>
      <c r="P1325" s="294"/>
      <c r="Q1325" s="294"/>
    </row>
    <row r="1326" spans="2:17" x14ac:dyDescent="0.25">
      <c r="B1326" s="294"/>
      <c r="C1326" s="294"/>
      <c r="D1326" s="294"/>
      <c r="E1326" s="294"/>
      <c r="F1326" s="294"/>
      <c r="G1326" s="294"/>
      <c r="H1326" s="294"/>
      <c r="I1326" s="294"/>
      <c r="J1326" s="294"/>
      <c r="L1326" s="295"/>
      <c r="M1326" s="294"/>
      <c r="P1326" s="294"/>
      <c r="Q1326" s="294"/>
    </row>
    <row r="1327" spans="2:17" x14ac:dyDescent="0.25">
      <c r="B1327" s="294"/>
      <c r="C1327" s="294"/>
      <c r="D1327" s="294"/>
      <c r="E1327" s="294"/>
      <c r="F1327" s="294"/>
      <c r="G1327" s="294"/>
      <c r="H1327" s="294"/>
      <c r="I1327" s="294"/>
      <c r="J1327" s="294"/>
      <c r="L1327" s="295"/>
      <c r="M1327" s="294"/>
      <c r="P1327" s="294"/>
      <c r="Q1327" s="294"/>
    </row>
    <row r="1328" spans="2:17" x14ac:dyDescent="0.25">
      <c r="B1328" s="294"/>
      <c r="C1328" s="294"/>
      <c r="D1328" s="294"/>
      <c r="E1328" s="294"/>
      <c r="F1328" s="294"/>
      <c r="G1328" s="294"/>
      <c r="H1328" s="294"/>
      <c r="I1328" s="294"/>
      <c r="J1328" s="294"/>
      <c r="L1328" s="295"/>
      <c r="M1328" s="294"/>
      <c r="P1328" s="294"/>
      <c r="Q1328" s="294"/>
    </row>
    <row r="1329" spans="2:17" x14ac:dyDescent="0.25">
      <c r="B1329" s="294"/>
      <c r="C1329" s="294"/>
      <c r="D1329" s="294"/>
      <c r="E1329" s="294"/>
      <c r="F1329" s="294"/>
      <c r="G1329" s="294"/>
      <c r="H1329" s="294"/>
      <c r="I1329" s="294"/>
      <c r="J1329" s="294"/>
      <c r="L1329" s="295"/>
      <c r="M1329" s="294"/>
      <c r="P1329" s="294"/>
      <c r="Q1329" s="294"/>
    </row>
    <row r="1330" spans="2:17" x14ac:dyDescent="0.25">
      <c r="B1330" s="294"/>
      <c r="C1330" s="294"/>
      <c r="D1330" s="294"/>
      <c r="E1330" s="294"/>
      <c r="F1330" s="294"/>
      <c r="G1330" s="294"/>
      <c r="H1330" s="294"/>
      <c r="I1330" s="294"/>
      <c r="J1330" s="294"/>
      <c r="L1330" s="295"/>
      <c r="M1330" s="294"/>
      <c r="P1330" s="294"/>
      <c r="Q1330" s="294"/>
    </row>
    <row r="1331" spans="2:17" x14ac:dyDescent="0.25">
      <c r="B1331" s="294"/>
      <c r="C1331" s="294"/>
      <c r="D1331" s="294"/>
      <c r="E1331" s="294"/>
      <c r="F1331" s="294"/>
      <c r="G1331" s="294"/>
      <c r="H1331" s="294"/>
      <c r="I1331" s="294"/>
      <c r="J1331" s="294"/>
      <c r="L1331" s="295"/>
      <c r="M1331" s="294"/>
      <c r="P1331" s="294"/>
      <c r="Q1331" s="294"/>
    </row>
    <row r="1332" spans="2:17" x14ac:dyDescent="0.25">
      <c r="B1332" s="294"/>
      <c r="C1332" s="294"/>
      <c r="D1332" s="294"/>
      <c r="E1332" s="294"/>
      <c r="F1332" s="294"/>
      <c r="G1332" s="294"/>
      <c r="H1332" s="294"/>
      <c r="I1332" s="294"/>
      <c r="J1332" s="294"/>
      <c r="L1332" s="295"/>
      <c r="M1332" s="294"/>
      <c r="P1332" s="294"/>
      <c r="Q1332" s="294"/>
    </row>
    <row r="1333" spans="2:17" x14ac:dyDescent="0.25">
      <c r="B1333" s="294"/>
      <c r="C1333" s="294"/>
      <c r="D1333" s="294"/>
      <c r="E1333" s="294"/>
      <c r="F1333" s="294"/>
      <c r="G1333" s="294"/>
      <c r="H1333" s="294"/>
      <c r="I1333" s="294"/>
      <c r="J1333" s="294"/>
      <c r="L1333" s="295"/>
      <c r="M1333" s="294"/>
      <c r="P1333" s="294"/>
      <c r="Q1333" s="294"/>
    </row>
    <row r="1334" spans="2:17" x14ac:dyDescent="0.25">
      <c r="B1334" s="294"/>
      <c r="C1334" s="294"/>
      <c r="D1334" s="294"/>
      <c r="E1334" s="294"/>
      <c r="F1334" s="294"/>
      <c r="G1334" s="294"/>
      <c r="H1334" s="294"/>
      <c r="I1334" s="294"/>
      <c r="J1334" s="294"/>
      <c r="L1334" s="295"/>
      <c r="M1334" s="294"/>
      <c r="P1334" s="294"/>
      <c r="Q1334" s="294"/>
    </row>
    <row r="1335" spans="2:17" x14ac:dyDescent="0.25">
      <c r="B1335" s="294"/>
      <c r="C1335" s="294"/>
      <c r="D1335" s="294"/>
      <c r="E1335" s="294"/>
      <c r="F1335" s="294"/>
      <c r="G1335" s="294"/>
      <c r="H1335" s="294"/>
      <c r="I1335" s="294"/>
      <c r="J1335" s="294"/>
      <c r="L1335" s="295"/>
      <c r="M1335" s="294"/>
      <c r="P1335" s="294"/>
      <c r="Q1335" s="294"/>
    </row>
    <row r="1336" spans="2:17" x14ac:dyDescent="0.25">
      <c r="B1336" s="294"/>
      <c r="C1336" s="294"/>
      <c r="D1336" s="294"/>
      <c r="E1336" s="294"/>
      <c r="F1336" s="294"/>
      <c r="G1336" s="294"/>
      <c r="H1336" s="294"/>
      <c r="I1336" s="294"/>
      <c r="J1336" s="294"/>
      <c r="L1336" s="295"/>
      <c r="M1336" s="294"/>
      <c r="P1336" s="294"/>
      <c r="Q1336" s="294"/>
    </row>
    <row r="1337" spans="2:17" x14ac:dyDescent="0.25">
      <c r="B1337" s="294"/>
      <c r="C1337" s="294"/>
      <c r="D1337" s="294"/>
      <c r="E1337" s="294"/>
      <c r="F1337" s="294"/>
      <c r="G1337" s="294"/>
      <c r="H1337" s="294"/>
      <c r="I1337" s="294"/>
      <c r="J1337" s="294"/>
      <c r="L1337" s="295"/>
      <c r="M1337" s="294"/>
      <c r="P1337" s="294"/>
      <c r="Q1337" s="294"/>
    </row>
    <row r="1338" spans="2:17" x14ac:dyDescent="0.25">
      <c r="B1338" s="294"/>
      <c r="C1338" s="294"/>
      <c r="D1338" s="294"/>
      <c r="E1338" s="294"/>
      <c r="F1338" s="294"/>
      <c r="G1338" s="294"/>
      <c r="H1338" s="294"/>
      <c r="I1338" s="294"/>
      <c r="J1338" s="294"/>
      <c r="L1338" s="295"/>
      <c r="M1338" s="294"/>
      <c r="P1338" s="294"/>
      <c r="Q1338" s="294"/>
    </row>
    <row r="1339" spans="2:17" x14ac:dyDescent="0.25">
      <c r="B1339" s="294"/>
      <c r="C1339" s="294"/>
      <c r="D1339" s="294"/>
      <c r="E1339" s="294"/>
      <c r="F1339" s="294"/>
      <c r="G1339" s="294"/>
      <c r="H1339" s="294"/>
      <c r="I1339" s="294"/>
      <c r="J1339" s="294"/>
      <c r="L1339" s="295"/>
      <c r="M1339" s="294"/>
      <c r="P1339" s="294"/>
      <c r="Q1339" s="294"/>
    </row>
    <row r="1340" spans="2:17" x14ac:dyDescent="0.25">
      <c r="B1340" s="294"/>
      <c r="C1340" s="294"/>
      <c r="D1340" s="294"/>
      <c r="E1340" s="294"/>
      <c r="F1340" s="294"/>
      <c r="G1340" s="294"/>
      <c r="H1340" s="294"/>
      <c r="I1340" s="294"/>
      <c r="J1340" s="294"/>
      <c r="L1340" s="295"/>
      <c r="M1340" s="294"/>
      <c r="P1340" s="294"/>
      <c r="Q1340" s="294"/>
    </row>
    <row r="1341" spans="2:17" x14ac:dyDescent="0.25">
      <c r="B1341" s="294"/>
      <c r="C1341" s="294"/>
      <c r="D1341" s="294"/>
      <c r="E1341" s="294"/>
      <c r="F1341" s="294"/>
      <c r="G1341" s="294"/>
      <c r="H1341" s="294"/>
      <c r="I1341" s="294"/>
      <c r="J1341" s="294"/>
      <c r="L1341" s="295"/>
      <c r="M1341" s="294"/>
      <c r="P1341" s="294"/>
      <c r="Q1341" s="294"/>
    </row>
    <row r="1342" spans="2:17" x14ac:dyDescent="0.25">
      <c r="B1342" s="294"/>
      <c r="C1342" s="294"/>
      <c r="D1342" s="294"/>
      <c r="E1342" s="294"/>
      <c r="F1342" s="294"/>
      <c r="G1342" s="294"/>
      <c r="H1342" s="294"/>
      <c r="I1342" s="294"/>
      <c r="J1342" s="294"/>
      <c r="L1342" s="295"/>
      <c r="M1342" s="294"/>
      <c r="P1342" s="294"/>
      <c r="Q1342" s="294"/>
    </row>
    <row r="1343" spans="2:17" x14ac:dyDescent="0.25">
      <c r="B1343" s="294"/>
      <c r="C1343" s="294"/>
      <c r="D1343" s="294"/>
      <c r="E1343" s="294"/>
      <c r="F1343" s="294"/>
      <c r="G1343" s="294"/>
      <c r="H1343" s="294"/>
      <c r="I1343" s="294"/>
      <c r="J1343" s="294"/>
      <c r="L1343" s="295"/>
      <c r="M1343" s="294"/>
      <c r="P1343" s="294"/>
      <c r="Q1343" s="294"/>
    </row>
    <row r="1344" spans="2:17" x14ac:dyDescent="0.25">
      <c r="B1344" s="294"/>
      <c r="C1344" s="294"/>
      <c r="D1344" s="294"/>
      <c r="E1344" s="294"/>
      <c r="F1344" s="294"/>
      <c r="G1344" s="294"/>
      <c r="H1344" s="294"/>
      <c r="I1344" s="294"/>
      <c r="J1344" s="294"/>
      <c r="L1344" s="295"/>
      <c r="M1344" s="294"/>
      <c r="P1344" s="294"/>
      <c r="Q1344" s="294"/>
    </row>
    <row r="1345" spans="2:17" x14ac:dyDescent="0.25">
      <c r="B1345" s="294"/>
      <c r="C1345" s="294"/>
      <c r="D1345" s="294"/>
      <c r="E1345" s="294"/>
      <c r="F1345" s="294"/>
      <c r="G1345" s="294"/>
      <c r="H1345" s="294"/>
      <c r="I1345" s="294"/>
      <c r="J1345" s="294"/>
      <c r="L1345" s="295"/>
      <c r="M1345" s="294"/>
      <c r="P1345" s="294"/>
      <c r="Q1345" s="294"/>
    </row>
    <row r="1346" spans="2:17" x14ac:dyDescent="0.25">
      <c r="B1346" s="294"/>
      <c r="C1346" s="294"/>
      <c r="D1346" s="294"/>
      <c r="E1346" s="294"/>
      <c r="F1346" s="294"/>
      <c r="G1346" s="294"/>
      <c r="H1346" s="294"/>
      <c r="I1346" s="294"/>
      <c r="J1346" s="294"/>
      <c r="L1346" s="295"/>
      <c r="M1346" s="294"/>
      <c r="P1346" s="294"/>
      <c r="Q1346" s="294"/>
    </row>
    <row r="1347" spans="2:17" x14ac:dyDescent="0.25">
      <c r="B1347" s="294"/>
      <c r="C1347" s="294"/>
      <c r="D1347" s="294"/>
      <c r="E1347" s="294"/>
      <c r="F1347" s="294"/>
      <c r="G1347" s="294"/>
      <c r="H1347" s="294"/>
      <c r="I1347" s="294"/>
      <c r="J1347" s="294"/>
      <c r="L1347" s="295"/>
      <c r="M1347" s="294"/>
      <c r="P1347" s="294"/>
      <c r="Q1347" s="294"/>
    </row>
    <row r="1348" spans="2:17" x14ac:dyDescent="0.25">
      <c r="B1348" s="294"/>
      <c r="C1348" s="294"/>
      <c r="D1348" s="294"/>
      <c r="E1348" s="294"/>
      <c r="F1348" s="294"/>
      <c r="G1348" s="294"/>
      <c r="H1348" s="294"/>
      <c r="I1348" s="294"/>
      <c r="J1348" s="294"/>
      <c r="L1348" s="295"/>
      <c r="M1348" s="294"/>
      <c r="P1348" s="294"/>
      <c r="Q1348" s="294"/>
    </row>
    <row r="1349" spans="2:17" x14ac:dyDescent="0.25">
      <c r="B1349" s="294"/>
      <c r="C1349" s="294"/>
      <c r="D1349" s="294"/>
      <c r="E1349" s="294"/>
      <c r="F1349" s="294"/>
      <c r="G1349" s="294"/>
      <c r="H1349" s="294"/>
      <c r="I1349" s="294"/>
      <c r="J1349" s="294"/>
      <c r="L1349" s="295"/>
      <c r="M1349" s="294"/>
      <c r="P1349" s="294"/>
      <c r="Q1349" s="294"/>
    </row>
    <row r="1350" spans="2:17" x14ac:dyDescent="0.25">
      <c r="B1350" s="294"/>
      <c r="C1350" s="294"/>
      <c r="D1350" s="294"/>
      <c r="E1350" s="294"/>
      <c r="F1350" s="294"/>
      <c r="G1350" s="294"/>
      <c r="H1350" s="294"/>
      <c r="I1350" s="294"/>
      <c r="J1350" s="294"/>
      <c r="L1350" s="295"/>
      <c r="M1350" s="294"/>
      <c r="P1350" s="294"/>
      <c r="Q1350" s="294"/>
    </row>
    <row r="1351" spans="2:17" x14ac:dyDescent="0.25">
      <c r="B1351" s="294"/>
      <c r="C1351" s="294"/>
      <c r="D1351" s="294"/>
      <c r="E1351" s="294"/>
      <c r="F1351" s="294"/>
      <c r="G1351" s="294"/>
      <c r="H1351" s="294"/>
      <c r="I1351" s="294"/>
      <c r="J1351" s="294"/>
      <c r="L1351" s="295"/>
      <c r="M1351" s="294"/>
      <c r="P1351" s="294"/>
      <c r="Q1351" s="294"/>
    </row>
    <row r="1352" spans="2:17" x14ac:dyDescent="0.25">
      <c r="B1352" s="294"/>
      <c r="C1352" s="294"/>
      <c r="D1352" s="294"/>
      <c r="E1352" s="294"/>
      <c r="F1352" s="294"/>
      <c r="G1352" s="294"/>
      <c r="H1352" s="294"/>
      <c r="I1352" s="294"/>
      <c r="J1352" s="294"/>
      <c r="L1352" s="295"/>
      <c r="M1352" s="294"/>
      <c r="P1352" s="294"/>
      <c r="Q1352" s="294"/>
    </row>
    <row r="1353" spans="2:17" x14ac:dyDescent="0.25">
      <c r="B1353" s="294"/>
      <c r="C1353" s="294"/>
      <c r="D1353" s="294"/>
      <c r="E1353" s="294"/>
      <c r="F1353" s="294"/>
      <c r="G1353" s="294"/>
      <c r="H1353" s="294"/>
      <c r="I1353" s="294"/>
      <c r="J1353" s="294"/>
      <c r="L1353" s="295"/>
      <c r="M1353" s="294"/>
      <c r="P1353" s="294"/>
      <c r="Q1353" s="294"/>
    </row>
    <row r="1354" spans="2:17" x14ac:dyDescent="0.25">
      <c r="B1354" s="294"/>
      <c r="C1354" s="294"/>
      <c r="D1354" s="294"/>
      <c r="E1354" s="294"/>
      <c r="F1354" s="294"/>
      <c r="G1354" s="294"/>
      <c r="H1354" s="294"/>
      <c r="I1354" s="294"/>
      <c r="J1354" s="294"/>
      <c r="L1354" s="295"/>
      <c r="M1354" s="294"/>
      <c r="P1354" s="294"/>
      <c r="Q1354" s="294"/>
    </row>
    <row r="1355" spans="2:17" x14ac:dyDescent="0.25">
      <c r="B1355" s="294"/>
      <c r="C1355" s="294"/>
      <c r="D1355" s="294"/>
      <c r="E1355" s="294"/>
      <c r="F1355" s="294"/>
      <c r="G1355" s="294"/>
      <c r="H1355" s="294"/>
      <c r="I1355" s="294"/>
      <c r="J1355" s="294"/>
      <c r="L1355" s="295"/>
      <c r="M1355" s="294"/>
      <c r="P1355" s="294"/>
      <c r="Q1355" s="294"/>
    </row>
    <row r="1356" spans="2:17" x14ac:dyDescent="0.25">
      <c r="B1356" s="294"/>
      <c r="C1356" s="294"/>
      <c r="D1356" s="294"/>
      <c r="E1356" s="294"/>
      <c r="F1356" s="294"/>
      <c r="G1356" s="294"/>
      <c r="H1356" s="294"/>
      <c r="I1356" s="294"/>
      <c r="J1356" s="294"/>
      <c r="L1356" s="295"/>
      <c r="M1356" s="294"/>
      <c r="P1356" s="294"/>
      <c r="Q1356" s="294"/>
    </row>
    <row r="1357" spans="2:17" x14ac:dyDescent="0.25">
      <c r="B1357" s="294"/>
      <c r="C1357" s="294"/>
      <c r="D1357" s="294"/>
      <c r="E1357" s="294"/>
      <c r="F1357" s="294"/>
      <c r="G1357" s="294"/>
      <c r="H1357" s="294"/>
      <c r="I1357" s="294"/>
      <c r="J1357" s="294"/>
      <c r="L1357" s="295"/>
      <c r="M1357" s="294"/>
      <c r="P1357" s="294"/>
      <c r="Q1357" s="294"/>
    </row>
    <row r="1358" spans="2:17" x14ac:dyDescent="0.25">
      <c r="B1358" s="294"/>
      <c r="C1358" s="294"/>
      <c r="D1358" s="294"/>
      <c r="E1358" s="294"/>
      <c r="F1358" s="294"/>
      <c r="G1358" s="294"/>
      <c r="H1358" s="294"/>
      <c r="I1358" s="294"/>
      <c r="J1358" s="294"/>
      <c r="L1358" s="295"/>
      <c r="M1358" s="294"/>
      <c r="P1358" s="294"/>
      <c r="Q1358" s="294"/>
    </row>
    <row r="1359" spans="2:17" x14ac:dyDescent="0.25">
      <c r="B1359" s="294"/>
      <c r="C1359" s="294"/>
      <c r="D1359" s="294"/>
      <c r="E1359" s="294"/>
      <c r="F1359" s="294"/>
      <c r="G1359" s="294"/>
      <c r="H1359" s="294"/>
      <c r="I1359" s="294"/>
      <c r="J1359" s="294"/>
      <c r="L1359" s="295"/>
      <c r="M1359" s="294"/>
      <c r="P1359" s="294"/>
      <c r="Q1359" s="294"/>
    </row>
    <row r="1360" spans="2:17" x14ac:dyDescent="0.25">
      <c r="B1360" s="294"/>
      <c r="C1360" s="294"/>
      <c r="D1360" s="294"/>
      <c r="E1360" s="294"/>
      <c r="F1360" s="294"/>
      <c r="G1360" s="294"/>
      <c r="H1360" s="294"/>
      <c r="I1360" s="294"/>
      <c r="J1360" s="294"/>
      <c r="L1360" s="295"/>
      <c r="M1360" s="294"/>
      <c r="P1360" s="294"/>
      <c r="Q1360" s="294"/>
    </row>
    <row r="1361" spans="2:17" x14ac:dyDescent="0.25">
      <c r="B1361" s="294"/>
      <c r="C1361" s="294"/>
      <c r="D1361" s="294"/>
      <c r="E1361" s="294"/>
      <c r="F1361" s="294"/>
      <c r="G1361" s="294"/>
      <c r="H1361" s="294"/>
      <c r="I1361" s="294"/>
      <c r="J1361" s="294"/>
      <c r="L1361" s="295"/>
      <c r="M1361" s="294"/>
      <c r="P1361" s="294"/>
      <c r="Q1361" s="294"/>
    </row>
    <row r="1362" spans="2:17" x14ac:dyDescent="0.25">
      <c r="B1362" s="294"/>
      <c r="C1362" s="294"/>
      <c r="D1362" s="294"/>
      <c r="E1362" s="294"/>
      <c r="F1362" s="294"/>
      <c r="G1362" s="294"/>
      <c r="H1362" s="294"/>
      <c r="I1362" s="294"/>
      <c r="J1362" s="294"/>
      <c r="L1362" s="295"/>
      <c r="M1362" s="294"/>
      <c r="P1362" s="294"/>
      <c r="Q1362" s="294"/>
    </row>
    <row r="1363" spans="2:17" x14ac:dyDescent="0.25">
      <c r="B1363" s="294"/>
      <c r="C1363" s="294"/>
      <c r="D1363" s="294"/>
      <c r="E1363" s="294"/>
      <c r="F1363" s="294"/>
      <c r="G1363" s="294"/>
      <c r="H1363" s="294"/>
      <c r="I1363" s="294"/>
      <c r="J1363" s="294"/>
      <c r="L1363" s="295"/>
      <c r="M1363" s="294"/>
      <c r="P1363" s="294"/>
      <c r="Q1363" s="294"/>
    </row>
    <row r="1364" spans="2:17" x14ac:dyDescent="0.25">
      <c r="B1364" s="294"/>
      <c r="C1364" s="294"/>
      <c r="D1364" s="294"/>
      <c r="E1364" s="294"/>
      <c r="F1364" s="294"/>
      <c r="G1364" s="294"/>
      <c r="H1364" s="294"/>
      <c r="I1364" s="294"/>
      <c r="J1364" s="294"/>
      <c r="L1364" s="295"/>
      <c r="M1364" s="294"/>
      <c r="P1364" s="294"/>
      <c r="Q1364" s="294"/>
    </row>
    <row r="1365" spans="2:17" x14ac:dyDescent="0.25">
      <c r="B1365" s="294"/>
      <c r="C1365" s="294"/>
      <c r="D1365" s="294"/>
      <c r="E1365" s="294"/>
      <c r="F1365" s="294"/>
      <c r="G1365" s="294"/>
      <c r="H1365" s="294"/>
      <c r="I1365" s="294"/>
      <c r="J1365" s="294"/>
      <c r="L1365" s="295"/>
      <c r="M1365" s="294"/>
      <c r="P1365" s="294"/>
      <c r="Q1365" s="294"/>
    </row>
    <row r="1366" spans="2:17" x14ac:dyDescent="0.25">
      <c r="B1366" s="294"/>
      <c r="C1366" s="294"/>
      <c r="D1366" s="294"/>
      <c r="E1366" s="294"/>
      <c r="F1366" s="294"/>
      <c r="G1366" s="294"/>
      <c r="H1366" s="294"/>
      <c r="I1366" s="294"/>
      <c r="J1366" s="294"/>
      <c r="L1366" s="295"/>
      <c r="M1366" s="294"/>
      <c r="P1366" s="294"/>
      <c r="Q1366" s="294"/>
    </row>
    <row r="1367" spans="2:17" x14ac:dyDescent="0.25">
      <c r="B1367" s="294"/>
      <c r="C1367" s="294"/>
      <c r="D1367" s="294"/>
      <c r="E1367" s="294"/>
      <c r="F1367" s="294"/>
      <c r="G1367" s="294"/>
      <c r="H1367" s="294"/>
      <c r="I1367" s="294"/>
      <c r="J1367" s="294"/>
      <c r="L1367" s="295"/>
      <c r="M1367" s="294"/>
      <c r="P1367" s="294"/>
      <c r="Q1367" s="294"/>
    </row>
    <row r="1368" spans="2:17" x14ac:dyDescent="0.25">
      <c r="B1368" s="294"/>
      <c r="C1368" s="294"/>
      <c r="D1368" s="294"/>
      <c r="E1368" s="294"/>
      <c r="F1368" s="294"/>
      <c r="G1368" s="294"/>
      <c r="H1368" s="294"/>
      <c r="I1368" s="294"/>
      <c r="J1368" s="294"/>
      <c r="L1368" s="295"/>
      <c r="M1368" s="294"/>
      <c r="P1368" s="294"/>
      <c r="Q1368" s="294"/>
    </row>
    <row r="1369" spans="2:17" x14ac:dyDescent="0.25">
      <c r="B1369" s="294"/>
      <c r="C1369" s="294"/>
      <c r="D1369" s="294"/>
      <c r="E1369" s="294"/>
      <c r="F1369" s="294"/>
      <c r="G1369" s="294"/>
      <c r="H1369" s="294"/>
      <c r="I1369" s="294"/>
      <c r="J1369" s="294"/>
      <c r="L1369" s="295"/>
      <c r="M1369" s="294"/>
      <c r="P1369" s="294"/>
      <c r="Q1369" s="294"/>
    </row>
    <row r="1370" spans="2:17" x14ac:dyDescent="0.25">
      <c r="B1370" s="294"/>
      <c r="C1370" s="294"/>
      <c r="D1370" s="294"/>
      <c r="E1370" s="294"/>
      <c r="F1370" s="294"/>
      <c r="G1370" s="294"/>
      <c r="H1370" s="294"/>
      <c r="I1370" s="294"/>
      <c r="J1370" s="294"/>
      <c r="L1370" s="295"/>
      <c r="M1370" s="294"/>
      <c r="P1370" s="294"/>
      <c r="Q1370" s="294"/>
    </row>
    <row r="1371" spans="2:17" x14ac:dyDescent="0.25">
      <c r="B1371" s="294"/>
      <c r="C1371" s="294"/>
      <c r="D1371" s="294"/>
      <c r="E1371" s="294"/>
      <c r="F1371" s="294"/>
      <c r="G1371" s="294"/>
      <c r="H1371" s="294"/>
      <c r="I1371" s="294"/>
      <c r="J1371" s="294"/>
      <c r="L1371" s="295"/>
      <c r="M1371" s="294"/>
      <c r="P1371" s="294"/>
      <c r="Q1371" s="294"/>
    </row>
    <row r="1372" spans="2:17" x14ac:dyDescent="0.25">
      <c r="B1372" s="294"/>
      <c r="C1372" s="294"/>
      <c r="D1372" s="294"/>
      <c r="E1372" s="294"/>
      <c r="F1372" s="294"/>
      <c r="G1372" s="294"/>
      <c r="H1372" s="294"/>
      <c r="I1372" s="294"/>
      <c r="J1372" s="294"/>
      <c r="L1372" s="295"/>
      <c r="M1372" s="294"/>
      <c r="P1372" s="294"/>
      <c r="Q1372" s="294"/>
    </row>
    <row r="1373" spans="2:17" x14ac:dyDescent="0.25">
      <c r="B1373" s="294"/>
      <c r="C1373" s="294"/>
      <c r="D1373" s="294"/>
      <c r="E1373" s="294"/>
      <c r="F1373" s="294"/>
      <c r="G1373" s="294"/>
      <c r="H1373" s="294"/>
      <c r="I1373" s="294"/>
      <c r="J1373" s="294"/>
      <c r="L1373" s="295"/>
      <c r="M1373" s="294"/>
      <c r="P1373" s="294"/>
      <c r="Q1373" s="294"/>
    </row>
    <row r="1374" spans="2:17" x14ac:dyDescent="0.25">
      <c r="B1374" s="294"/>
      <c r="C1374" s="294"/>
      <c r="D1374" s="294"/>
      <c r="E1374" s="294"/>
      <c r="F1374" s="294"/>
      <c r="G1374" s="294"/>
      <c r="H1374" s="294"/>
      <c r="I1374" s="294"/>
      <c r="J1374" s="294"/>
      <c r="L1374" s="295"/>
      <c r="M1374" s="294"/>
      <c r="P1374" s="294"/>
      <c r="Q1374" s="294"/>
    </row>
    <row r="1375" spans="2:17" x14ac:dyDescent="0.25">
      <c r="B1375" s="294"/>
      <c r="C1375" s="294"/>
      <c r="D1375" s="294"/>
      <c r="E1375" s="294"/>
      <c r="F1375" s="294"/>
      <c r="G1375" s="294"/>
      <c r="H1375" s="294"/>
      <c r="I1375" s="294"/>
      <c r="J1375" s="294"/>
      <c r="L1375" s="295"/>
      <c r="M1375" s="294"/>
      <c r="P1375" s="294"/>
      <c r="Q1375" s="294"/>
    </row>
    <row r="1376" spans="2:17" x14ac:dyDescent="0.25">
      <c r="B1376" s="294"/>
      <c r="C1376" s="294"/>
      <c r="D1376" s="294"/>
      <c r="E1376" s="294"/>
      <c r="F1376" s="294"/>
      <c r="G1376" s="294"/>
      <c r="H1376" s="294"/>
      <c r="I1376" s="294"/>
      <c r="J1376" s="294"/>
      <c r="L1376" s="295"/>
      <c r="M1376" s="294"/>
      <c r="P1376" s="294"/>
      <c r="Q1376" s="294"/>
    </row>
    <row r="1377" spans="2:17" x14ac:dyDescent="0.25">
      <c r="B1377" s="294"/>
      <c r="C1377" s="294"/>
      <c r="D1377" s="294"/>
      <c r="E1377" s="294"/>
      <c r="F1377" s="294"/>
      <c r="G1377" s="294"/>
      <c r="H1377" s="294"/>
      <c r="I1377" s="294"/>
      <c r="J1377" s="294"/>
      <c r="L1377" s="295"/>
      <c r="M1377" s="294"/>
      <c r="P1377" s="294"/>
      <c r="Q1377" s="294"/>
    </row>
    <row r="1378" spans="2:17" x14ac:dyDescent="0.25">
      <c r="B1378" s="294"/>
      <c r="C1378" s="294"/>
      <c r="D1378" s="294"/>
      <c r="E1378" s="294"/>
      <c r="F1378" s="294"/>
      <c r="G1378" s="294"/>
      <c r="H1378" s="294"/>
      <c r="I1378" s="294"/>
      <c r="J1378" s="294"/>
      <c r="L1378" s="295"/>
      <c r="M1378" s="294"/>
      <c r="P1378" s="294"/>
      <c r="Q1378" s="294"/>
    </row>
    <row r="1379" spans="2:17" x14ac:dyDescent="0.25">
      <c r="B1379" s="294"/>
      <c r="C1379" s="294"/>
      <c r="D1379" s="294"/>
      <c r="E1379" s="294"/>
      <c r="F1379" s="294"/>
      <c r="G1379" s="294"/>
      <c r="H1379" s="294"/>
      <c r="I1379" s="294"/>
      <c r="J1379" s="294"/>
      <c r="L1379" s="295"/>
      <c r="M1379" s="294"/>
      <c r="P1379" s="294"/>
      <c r="Q1379" s="294"/>
    </row>
    <row r="1380" spans="2:17" x14ac:dyDescent="0.25">
      <c r="B1380" s="294"/>
      <c r="C1380" s="294"/>
      <c r="D1380" s="294"/>
      <c r="E1380" s="294"/>
      <c r="F1380" s="294"/>
      <c r="G1380" s="294"/>
      <c r="H1380" s="294"/>
      <c r="I1380" s="294"/>
      <c r="J1380" s="294"/>
      <c r="L1380" s="295"/>
      <c r="M1380" s="294"/>
      <c r="P1380" s="294"/>
      <c r="Q1380" s="294"/>
    </row>
    <row r="1381" spans="2:17" x14ac:dyDescent="0.25">
      <c r="B1381" s="294"/>
      <c r="C1381" s="294"/>
      <c r="D1381" s="294"/>
      <c r="E1381" s="294"/>
      <c r="F1381" s="294"/>
      <c r="G1381" s="294"/>
      <c r="H1381" s="294"/>
      <c r="I1381" s="294"/>
      <c r="J1381" s="294"/>
      <c r="L1381" s="295"/>
      <c r="M1381" s="294"/>
      <c r="P1381" s="294"/>
      <c r="Q1381" s="294"/>
    </row>
    <row r="1382" spans="2:17" x14ac:dyDescent="0.25">
      <c r="B1382" s="294"/>
      <c r="C1382" s="294"/>
      <c r="D1382" s="294"/>
      <c r="E1382" s="294"/>
      <c r="F1382" s="294"/>
      <c r="G1382" s="294"/>
      <c r="H1382" s="294"/>
      <c r="I1382" s="294"/>
      <c r="J1382" s="294"/>
      <c r="L1382" s="295"/>
      <c r="M1382" s="294"/>
      <c r="P1382" s="294"/>
      <c r="Q1382" s="294"/>
    </row>
    <row r="1383" spans="2:17" x14ac:dyDescent="0.25">
      <c r="B1383" s="294"/>
      <c r="C1383" s="294"/>
      <c r="D1383" s="294"/>
      <c r="E1383" s="294"/>
      <c r="F1383" s="294"/>
      <c r="G1383" s="294"/>
      <c r="H1383" s="294"/>
      <c r="I1383" s="294"/>
      <c r="J1383" s="294"/>
      <c r="L1383" s="295"/>
      <c r="M1383" s="294"/>
      <c r="P1383" s="294"/>
      <c r="Q1383" s="294"/>
    </row>
    <row r="1384" spans="2:17" x14ac:dyDescent="0.25">
      <c r="B1384" s="294"/>
      <c r="C1384" s="294"/>
      <c r="D1384" s="294"/>
      <c r="E1384" s="294"/>
      <c r="F1384" s="294"/>
      <c r="G1384" s="294"/>
      <c r="H1384" s="294"/>
      <c r="I1384" s="294"/>
      <c r="J1384" s="294"/>
      <c r="L1384" s="295"/>
      <c r="M1384" s="294"/>
      <c r="P1384" s="294"/>
      <c r="Q1384" s="294"/>
    </row>
    <row r="1385" spans="2:17" x14ac:dyDescent="0.25">
      <c r="B1385" s="294"/>
      <c r="C1385" s="294"/>
      <c r="D1385" s="294"/>
      <c r="E1385" s="294"/>
      <c r="F1385" s="294"/>
      <c r="G1385" s="294"/>
      <c r="H1385" s="294"/>
      <c r="I1385" s="294"/>
      <c r="J1385" s="294"/>
      <c r="L1385" s="295"/>
      <c r="M1385" s="294"/>
      <c r="P1385" s="294"/>
      <c r="Q1385" s="294"/>
    </row>
    <row r="1386" spans="2:17" x14ac:dyDescent="0.25">
      <c r="B1386" s="294"/>
      <c r="C1386" s="294"/>
      <c r="D1386" s="294"/>
      <c r="E1386" s="294"/>
      <c r="F1386" s="294"/>
      <c r="G1386" s="294"/>
      <c r="H1386" s="294"/>
      <c r="I1386" s="294"/>
      <c r="J1386" s="294"/>
      <c r="L1386" s="295"/>
      <c r="M1386" s="294"/>
      <c r="P1386" s="294"/>
      <c r="Q1386" s="294"/>
    </row>
    <row r="1387" spans="2:17" x14ac:dyDescent="0.25">
      <c r="B1387" s="294"/>
      <c r="C1387" s="294"/>
      <c r="D1387" s="294"/>
      <c r="E1387" s="294"/>
      <c r="F1387" s="294"/>
      <c r="G1387" s="294"/>
      <c r="H1387" s="294"/>
      <c r="I1387" s="294"/>
      <c r="J1387" s="294"/>
      <c r="L1387" s="295"/>
      <c r="M1387" s="294"/>
      <c r="P1387" s="294"/>
      <c r="Q1387" s="294"/>
    </row>
    <row r="1388" spans="2:17" x14ac:dyDescent="0.25">
      <c r="B1388" s="294"/>
      <c r="C1388" s="294"/>
      <c r="D1388" s="294"/>
      <c r="E1388" s="294"/>
      <c r="F1388" s="294"/>
      <c r="G1388" s="294"/>
      <c r="H1388" s="294"/>
      <c r="I1388" s="294"/>
      <c r="J1388" s="294"/>
      <c r="L1388" s="295"/>
      <c r="M1388" s="294"/>
      <c r="P1388" s="294"/>
      <c r="Q1388" s="294"/>
    </row>
    <row r="1389" spans="2:17" x14ac:dyDescent="0.25">
      <c r="B1389" s="294"/>
      <c r="C1389" s="294"/>
      <c r="D1389" s="294"/>
      <c r="E1389" s="294"/>
      <c r="F1389" s="294"/>
      <c r="G1389" s="294"/>
      <c r="H1389" s="294"/>
      <c r="I1389" s="294"/>
      <c r="J1389" s="294"/>
      <c r="L1389" s="295"/>
      <c r="M1389" s="294"/>
      <c r="P1389" s="294"/>
      <c r="Q1389" s="294"/>
    </row>
    <row r="1390" spans="2:17" x14ac:dyDescent="0.25">
      <c r="B1390" s="294"/>
      <c r="C1390" s="294"/>
      <c r="D1390" s="294"/>
      <c r="E1390" s="294"/>
      <c r="F1390" s="294"/>
      <c r="G1390" s="294"/>
      <c r="H1390" s="294"/>
      <c r="I1390" s="294"/>
      <c r="J1390" s="294"/>
      <c r="L1390" s="295"/>
      <c r="M1390" s="294"/>
      <c r="P1390" s="294"/>
      <c r="Q1390" s="294"/>
    </row>
    <row r="1391" spans="2:17" x14ac:dyDescent="0.25">
      <c r="B1391" s="294"/>
      <c r="C1391" s="294"/>
      <c r="D1391" s="294"/>
      <c r="E1391" s="294"/>
      <c r="F1391" s="294"/>
      <c r="G1391" s="294"/>
      <c r="H1391" s="294"/>
      <c r="I1391" s="294"/>
      <c r="J1391" s="294"/>
      <c r="L1391" s="295"/>
      <c r="M1391" s="294"/>
      <c r="P1391" s="294"/>
      <c r="Q1391" s="294"/>
    </row>
    <row r="1392" spans="2:17" x14ac:dyDescent="0.25">
      <c r="B1392" s="294"/>
      <c r="C1392" s="294"/>
      <c r="D1392" s="294"/>
      <c r="E1392" s="294"/>
      <c r="F1392" s="294"/>
      <c r="G1392" s="294"/>
      <c r="H1392" s="294"/>
      <c r="I1392" s="294"/>
      <c r="J1392" s="294"/>
      <c r="L1392" s="295"/>
      <c r="M1392" s="294"/>
      <c r="P1392" s="294"/>
      <c r="Q1392" s="294"/>
    </row>
    <row r="1393" spans="2:17" x14ac:dyDescent="0.25">
      <c r="B1393" s="294"/>
      <c r="C1393" s="294"/>
      <c r="D1393" s="294"/>
      <c r="E1393" s="294"/>
      <c r="F1393" s="294"/>
      <c r="G1393" s="294"/>
      <c r="H1393" s="294"/>
      <c r="I1393" s="294"/>
      <c r="J1393" s="294"/>
      <c r="L1393" s="295"/>
      <c r="M1393" s="294"/>
      <c r="P1393" s="294"/>
      <c r="Q1393" s="294"/>
    </row>
    <row r="1394" spans="2:17" x14ac:dyDescent="0.25">
      <c r="B1394" s="294"/>
      <c r="C1394" s="294"/>
      <c r="D1394" s="294"/>
      <c r="E1394" s="294"/>
      <c r="F1394" s="294"/>
      <c r="G1394" s="294"/>
      <c r="H1394" s="294"/>
      <c r="I1394" s="294"/>
      <c r="J1394" s="294"/>
      <c r="L1394" s="295"/>
      <c r="M1394" s="294"/>
      <c r="P1394" s="294"/>
      <c r="Q1394" s="294"/>
    </row>
    <row r="1395" spans="2:17" x14ac:dyDescent="0.25">
      <c r="B1395" s="294"/>
      <c r="C1395" s="294"/>
      <c r="D1395" s="294"/>
      <c r="E1395" s="294"/>
      <c r="F1395" s="294"/>
      <c r="G1395" s="294"/>
      <c r="H1395" s="294"/>
      <c r="I1395" s="294"/>
      <c r="J1395" s="294"/>
      <c r="L1395" s="295"/>
      <c r="M1395" s="294"/>
      <c r="P1395" s="294"/>
      <c r="Q1395" s="294"/>
    </row>
    <row r="1396" spans="2:17" x14ac:dyDescent="0.25">
      <c r="B1396" s="294"/>
      <c r="C1396" s="294"/>
      <c r="D1396" s="294"/>
      <c r="E1396" s="294"/>
      <c r="F1396" s="294"/>
      <c r="G1396" s="294"/>
      <c r="H1396" s="294"/>
      <c r="I1396" s="294"/>
      <c r="J1396" s="294"/>
      <c r="L1396" s="295"/>
      <c r="M1396" s="294"/>
      <c r="P1396" s="294"/>
      <c r="Q1396" s="294"/>
    </row>
    <row r="1397" spans="2:17" x14ac:dyDescent="0.25">
      <c r="B1397" s="294"/>
      <c r="C1397" s="294"/>
      <c r="D1397" s="294"/>
      <c r="E1397" s="294"/>
      <c r="F1397" s="294"/>
      <c r="G1397" s="294"/>
      <c r="H1397" s="294"/>
      <c r="I1397" s="294"/>
      <c r="J1397" s="294"/>
      <c r="L1397" s="295"/>
      <c r="M1397" s="294"/>
      <c r="P1397" s="294"/>
      <c r="Q1397" s="294"/>
    </row>
    <row r="1398" spans="2:17" x14ac:dyDescent="0.25">
      <c r="B1398" s="294"/>
      <c r="C1398" s="294"/>
      <c r="D1398" s="294"/>
      <c r="E1398" s="294"/>
      <c r="F1398" s="294"/>
      <c r="G1398" s="294"/>
      <c r="H1398" s="294"/>
      <c r="I1398" s="294"/>
      <c r="J1398" s="294"/>
      <c r="L1398" s="295"/>
      <c r="M1398" s="294"/>
      <c r="P1398" s="294"/>
      <c r="Q1398" s="294"/>
    </row>
    <row r="1399" spans="2:17" x14ac:dyDescent="0.25">
      <c r="B1399" s="294"/>
      <c r="C1399" s="294"/>
      <c r="D1399" s="294"/>
      <c r="E1399" s="294"/>
      <c r="F1399" s="294"/>
      <c r="G1399" s="294"/>
      <c r="H1399" s="294"/>
      <c r="I1399" s="294"/>
      <c r="J1399" s="294"/>
      <c r="L1399" s="295"/>
      <c r="M1399" s="294"/>
      <c r="P1399" s="294"/>
      <c r="Q1399" s="294"/>
    </row>
    <row r="1400" spans="2:17" x14ac:dyDescent="0.25">
      <c r="B1400" s="294"/>
      <c r="C1400" s="294"/>
      <c r="D1400" s="294"/>
      <c r="E1400" s="294"/>
      <c r="F1400" s="294"/>
      <c r="G1400" s="294"/>
      <c r="H1400" s="294"/>
      <c r="I1400" s="294"/>
      <c r="J1400" s="294"/>
      <c r="L1400" s="295"/>
      <c r="M1400" s="294"/>
      <c r="P1400" s="294"/>
      <c r="Q1400" s="294"/>
    </row>
    <row r="1401" spans="2:17" x14ac:dyDescent="0.25">
      <c r="B1401" s="294"/>
      <c r="C1401" s="294"/>
      <c r="D1401" s="294"/>
      <c r="E1401" s="294"/>
      <c r="F1401" s="294"/>
      <c r="G1401" s="294"/>
      <c r="H1401" s="294"/>
      <c r="I1401" s="294"/>
      <c r="J1401" s="294"/>
      <c r="L1401" s="295"/>
      <c r="M1401" s="294"/>
      <c r="P1401" s="294"/>
      <c r="Q1401" s="294"/>
    </row>
    <row r="1402" spans="2:17" x14ac:dyDescent="0.25">
      <c r="B1402" s="294"/>
      <c r="C1402" s="294"/>
      <c r="D1402" s="294"/>
      <c r="E1402" s="294"/>
      <c r="F1402" s="294"/>
      <c r="G1402" s="294"/>
      <c r="H1402" s="294"/>
      <c r="I1402" s="294"/>
      <c r="J1402" s="294"/>
      <c r="L1402" s="295"/>
      <c r="M1402" s="294"/>
      <c r="P1402" s="294"/>
      <c r="Q1402" s="294"/>
    </row>
    <row r="1403" spans="2:17" x14ac:dyDescent="0.25">
      <c r="B1403" s="294"/>
      <c r="C1403" s="294"/>
      <c r="D1403" s="294"/>
      <c r="E1403" s="294"/>
      <c r="F1403" s="294"/>
      <c r="G1403" s="294"/>
      <c r="H1403" s="294"/>
      <c r="I1403" s="294"/>
      <c r="J1403" s="294"/>
      <c r="L1403" s="295"/>
      <c r="M1403" s="294"/>
      <c r="P1403" s="294"/>
      <c r="Q1403" s="294"/>
    </row>
    <row r="1404" spans="2:17" x14ac:dyDescent="0.25">
      <c r="B1404" s="294"/>
      <c r="C1404" s="294"/>
      <c r="D1404" s="294"/>
      <c r="E1404" s="294"/>
      <c r="F1404" s="294"/>
      <c r="G1404" s="294"/>
      <c r="H1404" s="294"/>
      <c r="I1404" s="294"/>
      <c r="J1404" s="294"/>
      <c r="L1404" s="295"/>
      <c r="M1404" s="294"/>
      <c r="P1404" s="294"/>
      <c r="Q1404" s="294"/>
    </row>
    <row r="1405" spans="2:17" x14ac:dyDescent="0.25">
      <c r="B1405" s="294"/>
      <c r="C1405" s="294"/>
      <c r="D1405" s="294"/>
      <c r="E1405" s="294"/>
      <c r="F1405" s="294"/>
      <c r="G1405" s="294"/>
      <c r="H1405" s="294"/>
      <c r="I1405" s="294"/>
      <c r="J1405" s="294"/>
      <c r="L1405" s="295"/>
      <c r="M1405" s="294"/>
      <c r="P1405" s="294"/>
      <c r="Q1405" s="294"/>
    </row>
    <row r="1406" spans="2:17" x14ac:dyDescent="0.25">
      <c r="B1406" s="294"/>
      <c r="C1406" s="294"/>
      <c r="D1406" s="294"/>
      <c r="E1406" s="294"/>
      <c r="F1406" s="294"/>
      <c r="G1406" s="294"/>
      <c r="H1406" s="294"/>
      <c r="I1406" s="294"/>
      <c r="J1406" s="294"/>
      <c r="L1406" s="295"/>
      <c r="M1406" s="294"/>
      <c r="P1406" s="294"/>
      <c r="Q1406" s="294"/>
    </row>
    <row r="1407" spans="2:17" x14ac:dyDescent="0.25">
      <c r="B1407" s="294"/>
      <c r="C1407" s="294"/>
      <c r="D1407" s="294"/>
      <c r="E1407" s="294"/>
      <c r="F1407" s="294"/>
      <c r="G1407" s="294"/>
      <c r="H1407" s="294"/>
      <c r="I1407" s="294"/>
      <c r="J1407" s="294"/>
      <c r="L1407" s="295"/>
      <c r="M1407" s="294"/>
      <c r="P1407" s="294"/>
      <c r="Q1407" s="294"/>
    </row>
    <row r="1408" spans="2:17" x14ac:dyDescent="0.25">
      <c r="B1408" s="294"/>
      <c r="C1408" s="294"/>
      <c r="D1408" s="294"/>
      <c r="E1408" s="294"/>
      <c r="F1408" s="294"/>
      <c r="G1408" s="294"/>
      <c r="H1408" s="294"/>
      <c r="I1408" s="294"/>
      <c r="J1408" s="294"/>
      <c r="L1408" s="295"/>
      <c r="M1408" s="294"/>
      <c r="P1408" s="294"/>
      <c r="Q1408" s="294"/>
    </row>
    <row r="1409" spans="2:17" x14ac:dyDescent="0.25">
      <c r="B1409" s="294"/>
      <c r="C1409" s="294"/>
      <c r="D1409" s="294"/>
      <c r="E1409" s="294"/>
      <c r="F1409" s="294"/>
      <c r="G1409" s="294"/>
      <c r="H1409" s="294"/>
      <c r="I1409" s="294"/>
      <c r="J1409" s="294"/>
      <c r="L1409" s="295"/>
      <c r="M1409" s="294"/>
      <c r="P1409" s="294"/>
      <c r="Q1409" s="294"/>
    </row>
    <row r="1410" spans="2:17" x14ac:dyDescent="0.25">
      <c r="B1410" s="294"/>
      <c r="C1410" s="294"/>
      <c r="D1410" s="294"/>
      <c r="E1410" s="294"/>
      <c r="F1410" s="294"/>
      <c r="G1410" s="294"/>
      <c r="H1410" s="294"/>
      <c r="I1410" s="294"/>
      <c r="J1410" s="294"/>
      <c r="L1410" s="295"/>
      <c r="M1410" s="294"/>
      <c r="P1410" s="294"/>
      <c r="Q1410" s="294"/>
    </row>
    <row r="1411" spans="2:17" x14ac:dyDescent="0.25">
      <c r="B1411" s="294"/>
      <c r="C1411" s="294"/>
      <c r="D1411" s="294"/>
      <c r="E1411" s="294"/>
      <c r="F1411" s="294"/>
      <c r="G1411" s="294"/>
      <c r="H1411" s="294"/>
      <c r="I1411" s="294"/>
      <c r="J1411" s="294"/>
      <c r="L1411" s="295"/>
      <c r="M1411" s="294"/>
      <c r="P1411" s="294"/>
      <c r="Q1411" s="294"/>
    </row>
    <row r="1412" spans="2:17" x14ac:dyDescent="0.25">
      <c r="B1412" s="294"/>
      <c r="C1412" s="294"/>
      <c r="D1412" s="294"/>
      <c r="E1412" s="294"/>
      <c r="F1412" s="294"/>
      <c r="G1412" s="294"/>
      <c r="H1412" s="294"/>
      <c r="I1412" s="294"/>
      <c r="J1412" s="294"/>
      <c r="L1412" s="295"/>
      <c r="M1412" s="294"/>
      <c r="P1412" s="294"/>
      <c r="Q1412" s="294"/>
    </row>
    <row r="1413" spans="2:17" x14ac:dyDescent="0.25">
      <c r="B1413" s="294"/>
      <c r="C1413" s="294"/>
      <c r="D1413" s="294"/>
      <c r="E1413" s="294"/>
      <c r="F1413" s="294"/>
      <c r="G1413" s="294"/>
      <c r="H1413" s="294"/>
      <c r="I1413" s="294"/>
      <c r="J1413" s="294"/>
      <c r="L1413" s="295"/>
      <c r="M1413" s="294"/>
      <c r="P1413" s="294"/>
      <c r="Q1413" s="294"/>
    </row>
    <row r="1414" spans="2:17" x14ac:dyDescent="0.25">
      <c r="B1414" s="294"/>
      <c r="C1414" s="294"/>
      <c r="D1414" s="294"/>
      <c r="E1414" s="294"/>
      <c r="F1414" s="294"/>
      <c r="G1414" s="294"/>
      <c r="H1414" s="294"/>
      <c r="I1414" s="294"/>
      <c r="J1414" s="294"/>
      <c r="L1414" s="295"/>
      <c r="M1414" s="294"/>
      <c r="P1414" s="294"/>
      <c r="Q1414" s="294"/>
    </row>
    <row r="1415" spans="2:17" x14ac:dyDescent="0.25">
      <c r="B1415" s="294"/>
      <c r="C1415" s="294"/>
      <c r="D1415" s="294"/>
      <c r="E1415" s="294"/>
      <c r="F1415" s="294"/>
      <c r="G1415" s="294"/>
      <c r="H1415" s="294"/>
      <c r="I1415" s="294"/>
      <c r="J1415" s="294"/>
      <c r="L1415" s="295"/>
      <c r="M1415" s="294"/>
      <c r="P1415" s="294"/>
      <c r="Q1415" s="294"/>
    </row>
    <row r="1416" spans="2:17" x14ac:dyDescent="0.25">
      <c r="B1416" s="294"/>
      <c r="C1416" s="294"/>
      <c r="D1416" s="294"/>
      <c r="E1416" s="294"/>
      <c r="F1416" s="294"/>
      <c r="G1416" s="294"/>
      <c r="H1416" s="294"/>
      <c r="I1416" s="294"/>
      <c r="J1416" s="294"/>
      <c r="L1416" s="295"/>
      <c r="M1416" s="294"/>
      <c r="P1416" s="294"/>
      <c r="Q1416" s="294"/>
    </row>
    <row r="1417" spans="2:17" x14ac:dyDescent="0.25">
      <c r="B1417" s="294"/>
      <c r="C1417" s="294"/>
      <c r="D1417" s="294"/>
      <c r="E1417" s="294"/>
      <c r="F1417" s="294"/>
      <c r="G1417" s="294"/>
      <c r="H1417" s="294"/>
      <c r="I1417" s="294"/>
      <c r="J1417" s="294"/>
      <c r="L1417" s="295"/>
      <c r="M1417" s="294"/>
      <c r="P1417" s="294"/>
      <c r="Q1417" s="294"/>
    </row>
    <row r="1418" spans="2:17" x14ac:dyDescent="0.25">
      <c r="B1418" s="294"/>
      <c r="C1418" s="294"/>
      <c r="D1418" s="294"/>
      <c r="E1418" s="294"/>
      <c r="F1418" s="294"/>
      <c r="G1418" s="294"/>
      <c r="H1418" s="294"/>
      <c r="I1418" s="294"/>
      <c r="J1418" s="294"/>
      <c r="L1418" s="295"/>
      <c r="M1418" s="294"/>
      <c r="P1418" s="294"/>
      <c r="Q1418" s="294"/>
    </row>
    <row r="1419" spans="2:17" x14ac:dyDescent="0.25">
      <c r="B1419" s="294"/>
      <c r="C1419" s="294"/>
      <c r="D1419" s="294"/>
      <c r="E1419" s="294"/>
      <c r="F1419" s="294"/>
      <c r="G1419" s="294"/>
      <c r="H1419" s="294"/>
      <c r="I1419" s="294"/>
      <c r="J1419" s="294"/>
      <c r="L1419" s="295"/>
      <c r="M1419" s="294"/>
      <c r="P1419" s="294"/>
      <c r="Q1419" s="294"/>
    </row>
    <row r="1420" spans="2:17" x14ac:dyDescent="0.25">
      <c r="B1420" s="294"/>
      <c r="C1420" s="294"/>
      <c r="D1420" s="294"/>
      <c r="E1420" s="294"/>
      <c r="F1420" s="294"/>
      <c r="G1420" s="294"/>
      <c r="H1420" s="294"/>
      <c r="I1420" s="294"/>
      <c r="J1420" s="294"/>
      <c r="L1420" s="295"/>
      <c r="M1420" s="294"/>
      <c r="P1420" s="294"/>
      <c r="Q1420" s="294"/>
    </row>
    <row r="1421" spans="2:17" x14ac:dyDescent="0.25">
      <c r="B1421" s="294"/>
      <c r="C1421" s="294"/>
      <c r="D1421" s="294"/>
      <c r="E1421" s="294"/>
      <c r="F1421" s="294"/>
      <c r="G1421" s="294"/>
      <c r="H1421" s="294"/>
      <c r="I1421" s="294"/>
      <c r="J1421" s="294"/>
      <c r="L1421" s="295"/>
      <c r="M1421" s="294"/>
      <c r="P1421" s="294"/>
      <c r="Q1421" s="294"/>
    </row>
    <row r="1422" spans="2:17" x14ac:dyDescent="0.25">
      <c r="B1422" s="294"/>
      <c r="C1422" s="294"/>
      <c r="D1422" s="294"/>
      <c r="E1422" s="294"/>
      <c r="F1422" s="294"/>
      <c r="G1422" s="294"/>
      <c r="H1422" s="294"/>
      <c r="I1422" s="294"/>
      <c r="J1422" s="294"/>
      <c r="L1422" s="295"/>
      <c r="M1422" s="294"/>
      <c r="P1422" s="294"/>
      <c r="Q1422" s="294"/>
    </row>
    <row r="1423" spans="2:17" x14ac:dyDescent="0.25">
      <c r="B1423" s="294"/>
      <c r="C1423" s="294"/>
      <c r="D1423" s="294"/>
      <c r="E1423" s="294"/>
      <c r="F1423" s="294"/>
      <c r="G1423" s="294"/>
      <c r="H1423" s="294"/>
      <c r="I1423" s="294"/>
      <c r="J1423" s="294"/>
      <c r="L1423" s="295"/>
      <c r="M1423" s="294"/>
      <c r="P1423" s="294"/>
      <c r="Q1423" s="294"/>
    </row>
    <row r="1424" spans="2:17" x14ac:dyDescent="0.25">
      <c r="B1424" s="294"/>
      <c r="C1424" s="294"/>
      <c r="D1424" s="294"/>
      <c r="E1424" s="294"/>
      <c r="F1424" s="294"/>
      <c r="G1424" s="294"/>
      <c r="H1424" s="294"/>
      <c r="I1424" s="294"/>
      <c r="J1424" s="294"/>
      <c r="L1424" s="295"/>
      <c r="M1424" s="294"/>
      <c r="P1424" s="294"/>
      <c r="Q1424" s="294"/>
    </row>
    <row r="1425" spans="2:17" x14ac:dyDescent="0.25">
      <c r="B1425" s="294"/>
      <c r="C1425" s="294"/>
      <c r="D1425" s="294"/>
      <c r="E1425" s="294"/>
      <c r="F1425" s="294"/>
      <c r="G1425" s="294"/>
      <c r="H1425" s="294"/>
      <c r="I1425" s="294"/>
      <c r="J1425" s="294"/>
      <c r="L1425" s="295"/>
      <c r="M1425" s="294"/>
      <c r="P1425" s="294"/>
      <c r="Q1425" s="294"/>
    </row>
    <row r="1426" spans="2:17" x14ac:dyDescent="0.25">
      <c r="B1426" s="294"/>
      <c r="C1426" s="294"/>
      <c r="D1426" s="294"/>
      <c r="E1426" s="294"/>
      <c r="F1426" s="294"/>
      <c r="G1426" s="294"/>
      <c r="H1426" s="294"/>
      <c r="I1426" s="294"/>
      <c r="J1426" s="294"/>
      <c r="L1426" s="295"/>
      <c r="M1426" s="294"/>
      <c r="P1426" s="294"/>
      <c r="Q1426" s="294"/>
    </row>
    <row r="1427" spans="2:17" x14ac:dyDescent="0.25">
      <c r="B1427" s="294"/>
      <c r="C1427" s="294"/>
      <c r="D1427" s="294"/>
      <c r="E1427" s="294"/>
      <c r="F1427" s="294"/>
      <c r="G1427" s="294"/>
      <c r="H1427" s="294"/>
      <c r="I1427" s="294"/>
      <c r="J1427" s="294"/>
      <c r="L1427" s="295"/>
      <c r="M1427" s="294"/>
      <c r="P1427" s="294"/>
      <c r="Q1427" s="294"/>
    </row>
    <row r="1428" spans="2:17" x14ac:dyDescent="0.25">
      <c r="B1428" s="294"/>
      <c r="C1428" s="294"/>
      <c r="D1428" s="294"/>
      <c r="E1428" s="294"/>
      <c r="F1428" s="294"/>
      <c r="G1428" s="294"/>
      <c r="H1428" s="294"/>
      <c r="I1428" s="294"/>
      <c r="J1428" s="294"/>
      <c r="L1428" s="295"/>
      <c r="M1428" s="294"/>
      <c r="P1428" s="294"/>
      <c r="Q1428" s="294"/>
    </row>
    <row r="1429" spans="2:17" x14ac:dyDescent="0.25">
      <c r="B1429" s="294"/>
      <c r="C1429" s="294"/>
      <c r="D1429" s="294"/>
      <c r="E1429" s="294"/>
      <c r="F1429" s="294"/>
      <c r="G1429" s="294"/>
      <c r="H1429" s="294"/>
      <c r="I1429" s="294"/>
      <c r="J1429" s="294"/>
      <c r="L1429" s="295"/>
      <c r="M1429" s="294"/>
      <c r="P1429" s="294"/>
      <c r="Q1429" s="294"/>
    </row>
    <row r="1430" spans="2:17" x14ac:dyDescent="0.25">
      <c r="B1430" s="294"/>
      <c r="C1430" s="294"/>
      <c r="D1430" s="294"/>
      <c r="E1430" s="294"/>
      <c r="F1430" s="294"/>
      <c r="G1430" s="294"/>
      <c r="H1430" s="294"/>
      <c r="I1430" s="294"/>
      <c r="J1430" s="294"/>
      <c r="L1430" s="295"/>
      <c r="M1430" s="294"/>
      <c r="P1430" s="294"/>
      <c r="Q1430" s="294"/>
    </row>
    <row r="1431" spans="2:17" x14ac:dyDescent="0.25">
      <c r="B1431" s="294"/>
      <c r="C1431" s="294"/>
      <c r="D1431" s="294"/>
      <c r="E1431" s="294"/>
      <c r="F1431" s="294"/>
      <c r="G1431" s="294"/>
      <c r="H1431" s="294"/>
      <c r="I1431" s="294"/>
      <c r="J1431" s="294"/>
      <c r="L1431" s="295"/>
      <c r="M1431" s="294"/>
      <c r="P1431" s="294"/>
      <c r="Q1431" s="294"/>
    </row>
    <row r="1432" spans="2:17" x14ac:dyDescent="0.25">
      <c r="B1432" s="294"/>
      <c r="C1432" s="294"/>
      <c r="D1432" s="294"/>
      <c r="E1432" s="294"/>
      <c r="F1432" s="294"/>
      <c r="G1432" s="294"/>
      <c r="H1432" s="294"/>
      <c r="I1432" s="294"/>
      <c r="J1432" s="294"/>
      <c r="L1432" s="295"/>
      <c r="M1432" s="294"/>
      <c r="P1432" s="294"/>
      <c r="Q1432" s="294"/>
    </row>
    <row r="1433" spans="2:17" x14ac:dyDescent="0.25">
      <c r="B1433" s="294"/>
      <c r="C1433" s="294"/>
      <c r="D1433" s="294"/>
      <c r="E1433" s="294"/>
      <c r="F1433" s="294"/>
      <c r="G1433" s="294"/>
      <c r="H1433" s="294"/>
      <c r="I1433" s="294"/>
      <c r="J1433" s="294"/>
      <c r="L1433" s="295"/>
      <c r="M1433" s="294"/>
      <c r="P1433" s="294"/>
      <c r="Q1433" s="294"/>
    </row>
    <row r="1434" spans="2:17" x14ac:dyDescent="0.25">
      <c r="B1434" s="294"/>
      <c r="C1434" s="294"/>
      <c r="D1434" s="294"/>
      <c r="E1434" s="294"/>
      <c r="F1434" s="294"/>
      <c r="G1434" s="294"/>
      <c r="H1434" s="294"/>
      <c r="I1434" s="294"/>
      <c r="J1434" s="294"/>
      <c r="L1434" s="295"/>
      <c r="M1434" s="294"/>
      <c r="P1434" s="294"/>
      <c r="Q1434" s="294"/>
    </row>
    <row r="1435" spans="2:17" x14ac:dyDescent="0.25">
      <c r="B1435" s="294"/>
      <c r="C1435" s="294"/>
      <c r="D1435" s="294"/>
      <c r="E1435" s="294"/>
      <c r="F1435" s="294"/>
      <c r="G1435" s="294"/>
      <c r="H1435" s="294"/>
      <c r="I1435" s="294"/>
      <c r="J1435" s="294"/>
      <c r="L1435" s="295"/>
      <c r="M1435" s="294"/>
      <c r="P1435" s="294"/>
      <c r="Q1435" s="294"/>
    </row>
    <row r="1436" spans="2:17" x14ac:dyDescent="0.25">
      <c r="B1436" s="294"/>
      <c r="C1436" s="294"/>
      <c r="D1436" s="294"/>
      <c r="E1436" s="294"/>
      <c r="F1436" s="294"/>
      <c r="G1436" s="294"/>
      <c r="H1436" s="294"/>
      <c r="I1436" s="294"/>
      <c r="J1436" s="294"/>
      <c r="L1436" s="295"/>
      <c r="M1436" s="294"/>
      <c r="P1436" s="294"/>
      <c r="Q1436" s="294"/>
    </row>
    <row r="1437" spans="2:17" x14ac:dyDescent="0.25">
      <c r="B1437" s="294"/>
      <c r="C1437" s="294"/>
      <c r="D1437" s="294"/>
      <c r="E1437" s="294"/>
      <c r="F1437" s="294"/>
      <c r="G1437" s="294"/>
      <c r="H1437" s="294"/>
      <c r="I1437" s="294"/>
      <c r="J1437" s="294"/>
      <c r="L1437" s="295"/>
      <c r="M1437" s="294"/>
      <c r="P1437" s="294"/>
      <c r="Q1437" s="294"/>
    </row>
    <row r="1438" spans="2:17" x14ac:dyDescent="0.25">
      <c r="B1438" s="294"/>
      <c r="C1438" s="294"/>
      <c r="D1438" s="294"/>
      <c r="E1438" s="294"/>
      <c r="F1438" s="294"/>
      <c r="G1438" s="294"/>
      <c r="H1438" s="294"/>
      <c r="I1438" s="294"/>
      <c r="J1438" s="294"/>
      <c r="L1438" s="295"/>
      <c r="M1438" s="294"/>
      <c r="P1438" s="294"/>
      <c r="Q1438" s="294"/>
    </row>
    <row r="1439" spans="2:17" x14ac:dyDescent="0.25">
      <c r="B1439" s="294"/>
      <c r="C1439" s="294"/>
      <c r="D1439" s="294"/>
      <c r="E1439" s="294"/>
      <c r="F1439" s="294"/>
      <c r="G1439" s="294"/>
      <c r="H1439" s="294"/>
      <c r="I1439" s="294"/>
      <c r="J1439" s="294"/>
      <c r="L1439" s="295"/>
      <c r="M1439" s="294"/>
      <c r="P1439" s="294"/>
      <c r="Q1439" s="294"/>
    </row>
    <row r="1440" spans="2:17" x14ac:dyDescent="0.25">
      <c r="B1440" s="294"/>
      <c r="C1440" s="294"/>
      <c r="D1440" s="294"/>
      <c r="E1440" s="294"/>
      <c r="F1440" s="294"/>
      <c r="G1440" s="294"/>
      <c r="H1440" s="294"/>
      <c r="I1440" s="294"/>
      <c r="J1440" s="294"/>
      <c r="L1440" s="295"/>
      <c r="M1440" s="294"/>
      <c r="P1440" s="294"/>
      <c r="Q1440" s="294"/>
    </row>
    <row r="1441" spans="2:17" x14ac:dyDescent="0.25">
      <c r="B1441" s="294"/>
      <c r="C1441" s="294"/>
      <c r="D1441" s="294"/>
      <c r="E1441" s="294"/>
      <c r="F1441" s="294"/>
      <c r="G1441" s="294"/>
      <c r="H1441" s="294"/>
      <c r="I1441" s="294"/>
      <c r="J1441" s="294"/>
      <c r="L1441" s="295"/>
      <c r="M1441" s="294"/>
      <c r="P1441" s="294"/>
      <c r="Q1441" s="294"/>
    </row>
    <row r="1442" spans="2:17" x14ac:dyDescent="0.25">
      <c r="B1442" s="294"/>
      <c r="C1442" s="294"/>
      <c r="D1442" s="294"/>
      <c r="E1442" s="294"/>
      <c r="F1442" s="294"/>
      <c r="G1442" s="294"/>
      <c r="H1442" s="294"/>
      <c r="I1442" s="294"/>
      <c r="J1442" s="294"/>
      <c r="L1442" s="295"/>
      <c r="M1442" s="294"/>
      <c r="P1442" s="294"/>
      <c r="Q1442" s="294"/>
    </row>
    <row r="1443" spans="2:17" x14ac:dyDescent="0.25">
      <c r="B1443" s="294"/>
      <c r="C1443" s="294"/>
      <c r="D1443" s="294"/>
      <c r="E1443" s="294"/>
      <c r="F1443" s="294"/>
      <c r="G1443" s="294"/>
      <c r="H1443" s="294"/>
      <c r="I1443" s="294"/>
      <c r="J1443" s="294"/>
      <c r="L1443" s="295"/>
      <c r="M1443" s="294"/>
      <c r="P1443" s="294"/>
      <c r="Q1443" s="294"/>
    </row>
    <row r="1444" spans="2:17" x14ac:dyDescent="0.25">
      <c r="B1444" s="294"/>
      <c r="C1444" s="294"/>
      <c r="D1444" s="294"/>
      <c r="E1444" s="294"/>
      <c r="F1444" s="294"/>
      <c r="G1444" s="294"/>
      <c r="H1444" s="294"/>
      <c r="I1444" s="294"/>
      <c r="J1444" s="294"/>
      <c r="L1444" s="295"/>
      <c r="M1444" s="294"/>
      <c r="P1444" s="294"/>
      <c r="Q1444" s="294"/>
    </row>
    <row r="1445" spans="2:17" x14ac:dyDescent="0.25">
      <c r="B1445" s="294"/>
      <c r="C1445" s="294"/>
      <c r="D1445" s="294"/>
      <c r="E1445" s="294"/>
      <c r="F1445" s="294"/>
      <c r="G1445" s="294"/>
      <c r="H1445" s="294"/>
      <c r="I1445" s="294"/>
      <c r="J1445" s="294"/>
      <c r="L1445" s="295"/>
      <c r="M1445" s="294"/>
      <c r="P1445" s="294"/>
      <c r="Q1445" s="294"/>
    </row>
    <row r="1446" spans="2:17" x14ac:dyDescent="0.25">
      <c r="B1446" s="294"/>
      <c r="C1446" s="294"/>
      <c r="D1446" s="294"/>
      <c r="E1446" s="294"/>
      <c r="F1446" s="294"/>
      <c r="G1446" s="294"/>
      <c r="H1446" s="294"/>
      <c r="I1446" s="294"/>
      <c r="J1446" s="294"/>
      <c r="L1446" s="295"/>
      <c r="M1446" s="294"/>
      <c r="P1446" s="294"/>
      <c r="Q1446" s="294"/>
    </row>
    <row r="1447" spans="2:17" x14ac:dyDescent="0.25">
      <c r="B1447" s="294"/>
      <c r="C1447" s="294"/>
      <c r="D1447" s="294"/>
      <c r="E1447" s="294"/>
      <c r="F1447" s="294"/>
      <c r="G1447" s="294"/>
      <c r="H1447" s="294"/>
      <c r="I1447" s="294"/>
      <c r="J1447" s="294"/>
      <c r="L1447" s="295"/>
      <c r="M1447" s="294"/>
      <c r="P1447" s="294"/>
      <c r="Q1447" s="294"/>
    </row>
    <row r="1448" spans="2:17" x14ac:dyDescent="0.25">
      <c r="B1448" s="294"/>
      <c r="C1448" s="294"/>
      <c r="D1448" s="294"/>
      <c r="E1448" s="294"/>
      <c r="F1448" s="294"/>
      <c r="G1448" s="294"/>
      <c r="H1448" s="294"/>
      <c r="I1448" s="294"/>
      <c r="J1448" s="294"/>
      <c r="L1448" s="295"/>
      <c r="M1448" s="294"/>
      <c r="P1448" s="294"/>
      <c r="Q1448" s="294"/>
    </row>
    <row r="1449" spans="2:17" x14ac:dyDescent="0.25">
      <c r="B1449" s="294"/>
      <c r="C1449" s="294"/>
      <c r="D1449" s="294"/>
      <c r="E1449" s="294"/>
      <c r="F1449" s="294"/>
      <c r="G1449" s="294"/>
      <c r="H1449" s="294"/>
      <c r="I1449" s="294"/>
      <c r="J1449" s="294"/>
      <c r="L1449" s="295"/>
      <c r="M1449" s="294"/>
      <c r="P1449" s="294"/>
      <c r="Q1449" s="294"/>
    </row>
    <row r="1450" spans="2:17" x14ac:dyDescent="0.25">
      <c r="B1450" s="294"/>
      <c r="C1450" s="294"/>
      <c r="D1450" s="294"/>
      <c r="E1450" s="294"/>
      <c r="F1450" s="294"/>
      <c r="G1450" s="294"/>
      <c r="H1450" s="294"/>
      <c r="I1450" s="294"/>
      <c r="J1450" s="294"/>
      <c r="L1450" s="295"/>
      <c r="M1450" s="294"/>
      <c r="P1450" s="294"/>
      <c r="Q1450" s="294"/>
    </row>
    <row r="1451" spans="2:17" x14ac:dyDescent="0.25">
      <c r="B1451" s="294"/>
      <c r="C1451" s="294"/>
      <c r="D1451" s="294"/>
      <c r="E1451" s="294"/>
      <c r="F1451" s="294"/>
      <c r="G1451" s="294"/>
      <c r="H1451" s="294"/>
      <c r="I1451" s="294"/>
      <c r="J1451" s="294"/>
      <c r="L1451" s="295"/>
      <c r="M1451" s="294"/>
      <c r="P1451" s="294"/>
      <c r="Q1451" s="294"/>
    </row>
    <row r="1452" spans="2:17" x14ac:dyDescent="0.25">
      <c r="B1452" s="294"/>
      <c r="C1452" s="294"/>
      <c r="D1452" s="294"/>
      <c r="E1452" s="294"/>
      <c r="F1452" s="294"/>
      <c r="G1452" s="294"/>
      <c r="H1452" s="294"/>
      <c r="I1452" s="294"/>
      <c r="J1452" s="294"/>
      <c r="L1452" s="295"/>
      <c r="M1452" s="294"/>
      <c r="P1452" s="294"/>
      <c r="Q1452" s="294"/>
    </row>
    <row r="1453" spans="2:17" x14ac:dyDescent="0.25">
      <c r="B1453" s="294"/>
      <c r="C1453" s="294"/>
      <c r="D1453" s="294"/>
      <c r="E1453" s="294"/>
      <c r="F1453" s="294"/>
      <c r="G1453" s="294"/>
      <c r="H1453" s="294"/>
      <c r="I1453" s="294"/>
      <c r="J1453" s="294"/>
      <c r="L1453" s="295"/>
      <c r="M1453" s="294"/>
      <c r="P1453" s="294"/>
      <c r="Q1453" s="294"/>
    </row>
    <row r="1454" spans="2:17" x14ac:dyDescent="0.25">
      <c r="B1454" s="294"/>
      <c r="C1454" s="294"/>
      <c r="D1454" s="294"/>
      <c r="E1454" s="294"/>
      <c r="F1454" s="294"/>
      <c r="G1454" s="294"/>
      <c r="H1454" s="294"/>
      <c r="I1454" s="294"/>
      <c r="J1454" s="294"/>
      <c r="L1454" s="295"/>
      <c r="M1454" s="294"/>
      <c r="P1454" s="294"/>
      <c r="Q1454" s="294"/>
    </row>
    <row r="1455" spans="2:17" x14ac:dyDescent="0.25">
      <c r="B1455" s="294"/>
      <c r="C1455" s="294"/>
      <c r="D1455" s="294"/>
      <c r="E1455" s="294"/>
      <c r="F1455" s="294"/>
      <c r="G1455" s="294"/>
      <c r="H1455" s="294"/>
      <c r="I1455" s="294"/>
      <c r="J1455" s="294"/>
      <c r="L1455" s="295"/>
      <c r="M1455" s="294"/>
      <c r="P1455" s="294"/>
      <c r="Q1455" s="294"/>
    </row>
    <row r="1456" spans="2:17" x14ac:dyDescent="0.25">
      <c r="B1456" s="294"/>
      <c r="C1456" s="294"/>
      <c r="D1456" s="294"/>
      <c r="E1456" s="294"/>
      <c r="F1456" s="294"/>
      <c r="G1456" s="294"/>
      <c r="H1456" s="294"/>
      <c r="I1456" s="294"/>
      <c r="J1456" s="294"/>
      <c r="L1456" s="295"/>
      <c r="M1456" s="294"/>
      <c r="P1456" s="294"/>
      <c r="Q1456" s="294"/>
    </row>
    <row r="1457" spans="2:17" x14ac:dyDescent="0.25">
      <c r="B1457" s="294"/>
      <c r="C1457" s="294"/>
      <c r="D1457" s="294"/>
      <c r="E1457" s="294"/>
      <c r="F1457" s="294"/>
      <c r="G1457" s="294"/>
      <c r="H1457" s="294"/>
      <c r="I1457" s="294"/>
      <c r="J1457" s="294"/>
      <c r="L1457" s="295"/>
      <c r="M1457" s="294"/>
      <c r="P1457" s="294"/>
      <c r="Q1457" s="294"/>
    </row>
    <row r="1458" spans="2:17" x14ac:dyDescent="0.25">
      <c r="B1458" s="294"/>
      <c r="C1458" s="294"/>
      <c r="D1458" s="294"/>
      <c r="E1458" s="294"/>
      <c r="F1458" s="294"/>
      <c r="G1458" s="294"/>
      <c r="H1458" s="294"/>
      <c r="I1458" s="294"/>
      <c r="J1458" s="294"/>
      <c r="L1458" s="295"/>
      <c r="M1458" s="294"/>
      <c r="P1458" s="294"/>
      <c r="Q1458" s="294"/>
    </row>
    <row r="1459" spans="2:17" x14ac:dyDescent="0.25">
      <c r="B1459" s="294"/>
      <c r="C1459" s="294"/>
      <c r="D1459" s="294"/>
      <c r="E1459" s="294"/>
      <c r="F1459" s="294"/>
      <c r="G1459" s="294"/>
      <c r="H1459" s="294"/>
      <c r="I1459" s="294"/>
      <c r="J1459" s="294"/>
      <c r="L1459" s="295"/>
      <c r="M1459" s="294"/>
      <c r="P1459" s="294"/>
      <c r="Q1459" s="294"/>
    </row>
    <row r="1460" spans="2:17" x14ac:dyDescent="0.25">
      <c r="B1460" s="294"/>
      <c r="C1460" s="294"/>
      <c r="D1460" s="294"/>
      <c r="E1460" s="294"/>
      <c r="F1460" s="294"/>
      <c r="G1460" s="294"/>
      <c r="H1460" s="294"/>
      <c r="I1460" s="294"/>
      <c r="J1460" s="294"/>
      <c r="L1460" s="295"/>
      <c r="M1460" s="294"/>
      <c r="P1460" s="294"/>
      <c r="Q1460" s="294"/>
    </row>
    <row r="1461" spans="2:17" x14ac:dyDescent="0.25">
      <c r="B1461" s="294"/>
      <c r="C1461" s="294"/>
      <c r="D1461" s="294"/>
      <c r="E1461" s="294"/>
      <c r="F1461" s="294"/>
      <c r="G1461" s="294"/>
      <c r="H1461" s="294"/>
      <c r="I1461" s="294"/>
      <c r="J1461" s="294"/>
      <c r="L1461" s="295"/>
      <c r="M1461" s="294"/>
      <c r="P1461" s="294"/>
      <c r="Q1461" s="294"/>
    </row>
    <row r="1462" spans="2:17" x14ac:dyDescent="0.25">
      <c r="B1462" s="294"/>
      <c r="C1462" s="294"/>
      <c r="D1462" s="294"/>
      <c r="E1462" s="294"/>
      <c r="F1462" s="294"/>
      <c r="G1462" s="294"/>
      <c r="H1462" s="294"/>
      <c r="I1462" s="294"/>
      <c r="J1462" s="294"/>
      <c r="L1462" s="295"/>
      <c r="M1462" s="294"/>
      <c r="P1462" s="294"/>
      <c r="Q1462" s="294"/>
    </row>
    <row r="1463" spans="2:17" x14ac:dyDescent="0.25">
      <c r="B1463" s="294"/>
      <c r="C1463" s="294"/>
      <c r="D1463" s="294"/>
      <c r="E1463" s="294"/>
      <c r="F1463" s="294"/>
      <c r="G1463" s="294"/>
      <c r="H1463" s="294"/>
      <c r="I1463" s="294"/>
      <c r="J1463" s="294"/>
      <c r="L1463" s="295"/>
      <c r="M1463" s="294"/>
      <c r="P1463" s="294"/>
      <c r="Q1463" s="294"/>
    </row>
    <row r="1464" spans="2:17" x14ac:dyDescent="0.25">
      <c r="B1464" s="294"/>
      <c r="C1464" s="294"/>
      <c r="D1464" s="294"/>
      <c r="E1464" s="294"/>
      <c r="F1464" s="294"/>
      <c r="G1464" s="294"/>
      <c r="H1464" s="294"/>
      <c r="I1464" s="294"/>
      <c r="J1464" s="294"/>
      <c r="L1464" s="295"/>
      <c r="M1464" s="294"/>
      <c r="P1464" s="294"/>
      <c r="Q1464" s="294"/>
    </row>
    <row r="1465" spans="2:17" x14ac:dyDescent="0.25">
      <c r="B1465" s="294"/>
      <c r="C1465" s="294"/>
      <c r="D1465" s="294"/>
      <c r="E1465" s="294"/>
      <c r="F1465" s="294"/>
      <c r="G1465" s="294"/>
      <c r="H1465" s="294"/>
      <c r="I1465" s="294"/>
      <c r="J1465" s="294"/>
      <c r="L1465" s="295"/>
      <c r="M1465" s="294"/>
      <c r="P1465" s="294"/>
      <c r="Q1465" s="294"/>
    </row>
    <row r="1466" spans="2:17" x14ac:dyDescent="0.25">
      <c r="B1466" s="294"/>
      <c r="C1466" s="294"/>
      <c r="D1466" s="294"/>
      <c r="E1466" s="294"/>
      <c r="F1466" s="294"/>
      <c r="G1466" s="294"/>
      <c r="H1466" s="294"/>
      <c r="I1466" s="294"/>
      <c r="J1466" s="294"/>
      <c r="L1466" s="295"/>
      <c r="M1466" s="294"/>
      <c r="P1466" s="294"/>
      <c r="Q1466" s="294"/>
    </row>
    <row r="1467" spans="2:17" x14ac:dyDescent="0.25">
      <c r="B1467" s="294"/>
      <c r="C1467" s="294"/>
      <c r="D1467" s="294"/>
      <c r="E1467" s="294"/>
      <c r="F1467" s="294"/>
      <c r="G1467" s="294"/>
      <c r="H1467" s="294"/>
      <c r="I1467" s="294"/>
      <c r="J1467" s="294"/>
      <c r="L1467" s="295"/>
      <c r="M1467" s="294"/>
      <c r="P1467" s="294"/>
      <c r="Q1467" s="294"/>
    </row>
    <row r="1468" spans="2:17" x14ac:dyDescent="0.25">
      <c r="B1468" s="294"/>
      <c r="C1468" s="294"/>
      <c r="D1468" s="294"/>
      <c r="E1468" s="294"/>
      <c r="F1468" s="294"/>
      <c r="G1468" s="294"/>
      <c r="H1468" s="294"/>
      <c r="I1468" s="294"/>
      <c r="J1468" s="294"/>
      <c r="L1468" s="295"/>
      <c r="M1468" s="294"/>
      <c r="P1468" s="294"/>
      <c r="Q1468" s="294"/>
    </row>
    <row r="1469" spans="2:17" x14ac:dyDescent="0.25">
      <c r="B1469" s="294"/>
      <c r="C1469" s="294"/>
      <c r="D1469" s="294"/>
      <c r="E1469" s="294"/>
      <c r="F1469" s="294"/>
      <c r="G1469" s="294"/>
      <c r="H1469" s="294"/>
      <c r="I1469" s="294"/>
      <c r="J1469" s="294"/>
      <c r="L1469" s="295"/>
      <c r="M1469" s="294"/>
      <c r="P1469" s="294"/>
      <c r="Q1469" s="294"/>
    </row>
    <row r="1470" spans="2:17" x14ac:dyDescent="0.25">
      <c r="B1470" s="294"/>
      <c r="C1470" s="294"/>
      <c r="D1470" s="294"/>
      <c r="E1470" s="294"/>
      <c r="F1470" s="294"/>
      <c r="G1470" s="294"/>
      <c r="H1470" s="294"/>
      <c r="I1470" s="294"/>
      <c r="J1470" s="294"/>
      <c r="L1470" s="295"/>
      <c r="M1470" s="294"/>
      <c r="P1470" s="294"/>
      <c r="Q1470" s="294"/>
    </row>
    <row r="1471" spans="2:17" x14ac:dyDescent="0.25">
      <c r="B1471" s="294"/>
      <c r="C1471" s="294"/>
      <c r="D1471" s="294"/>
      <c r="E1471" s="294"/>
      <c r="F1471" s="294"/>
      <c r="G1471" s="294"/>
      <c r="H1471" s="294"/>
      <c r="I1471" s="294"/>
      <c r="J1471" s="294"/>
      <c r="L1471" s="295"/>
      <c r="M1471" s="294"/>
      <c r="P1471" s="294"/>
      <c r="Q1471" s="294"/>
    </row>
    <row r="1472" spans="2:17" x14ac:dyDescent="0.25">
      <c r="B1472" s="294"/>
      <c r="C1472" s="294"/>
      <c r="D1472" s="294"/>
      <c r="E1472" s="294"/>
      <c r="F1472" s="294"/>
      <c r="G1472" s="294"/>
      <c r="H1472" s="294"/>
      <c r="I1472" s="294"/>
      <c r="J1472" s="294"/>
      <c r="L1472" s="295"/>
      <c r="M1472" s="294"/>
      <c r="P1472" s="294"/>
      <c r="Q1472" s="294"/>
    </row>
    <row r="1473" spans="2:17" x14ac:dyDescent="0.25">
      <c r="B1473" s="294"/>
      <c r="C1473" s="294"/>
      <c r="D1473" s="294"/>
      <c r="E1473" s="294"/>
      <c r="F1473" s="294"/>
      <c r="G1473" s="294"/>
      <c r="H1473" s="294"/>
      <c r="I1473" s="294"/>
      <c r="J1473" s="294"/>
      <c r="L1473" s="295"/>
      <c r="M1473" s="294"/>
      <c r="P1473" s="294"/>
      <c r="Q1473" s="294"/>
    </row>
    <row r="1474" spans="2:17" x14ac:dyDescent="0.25">
      <c r="B1474" s="294"/>
      <c r="C1474" s="294"/>
      <c r="D1474" s="294"/>
      <c r="E1474" s="294"/>
      <c r="F1474" s="294"/>
      <c r="G1474" s="294"/>
      <c r="H1474" s="294"/>
      <c r="I1474" s="294"/>
      <c r="J1474" s="294"/>
      <c r="L1474" s="295"/>
      <c r="M1474" s="294"/>
      <c r="P1474" s="294"/>
      <c r="Q1474" s="294"/>
    </row>
    <row r="1475" spans="2:17" x14ac:dyDescent="0.25">
      <c r="B1475" s="294"/>
      <c r="C1475" s="294"/>
      <c r="D1475" s="294"/>
      <c r="E1475" s="294"/>
      <c r="F1475" s="294"/>
      <c r="G1475" s="294"/>
      <c r="H1475" s="294"/>
      <c r="I1475" s="294"/>
      <c r="J1475" s="294"/>
      <c r="L1475" s="295"/>
      <c r="M1475" s="294"/>
      <c r="P1475" s="294"/>
      <c r="Q1475" s="294"/>
    </row>
    <row r="1476" spans="2:17" x14ac:dyDescent="0.25">
      <c r="B1476" s="294"/>
      <c r="C1476" s="294"/>
      <c r="D1476" s="294"/>
      <c r="E1476" s="294"/>
      <c r="F1476" s="294"/>
      <c r="G1476" s="294"/>
      <c r="H1476" s="294"/>
      <c r="I1476" s="294"/>
      <c r="J1476" s="294"/>
      <c r="L1476" s="295"/>
      <c r="M1476" s="294"/>
      <c r="P1476" s="294"/>
      <c r="Q1476" s="294"/>
    </row>
    <row r="1477" spans="2:17" x14ac:dyDescent="0.25">
      <c r="B1477" s="294"/>
      <c r="C1477" s="294"/>
      <c r="D1477" s="294"/>
      <c r="E1477" s="294"/>
      <c r="F1477" s="294"/>
      <c r="G1477" s="294"/>
      <c r="H1477" s="294"/>
      <c r="I1477" s="294"/>
      <c r="J1477" s="294"/>
      <c r="L1477" s="295"/>
      <c r="M1477" s="294"/>
      <c r="P1477" s="294"/>
      <c r="Q1477" s="294"/>
    </row>
    <row r="1478" spans="2:17" x14ac:dyDescent="0.25">
      <c r="B1478" s="294"/>
      <c r="C1478" s="294"/>
      <c r="D1478" s="294"/>
      <c r="E1478" s="294"/>
      <c r="F1478" s="294"/>
      <c r="G1478" s="294"/>
      <c r="H1478" s="294"/>
      <c r="I1478" s="294"/>
      <c r="J1478" s="294"/>
      <c r="L1478" s="295"/>
      <c r="M1478" s="294"/>
      <c r="P1478" s="294"/>
      <c r="Q1478" s="294"/>
    </row>
    <row r="1479" spans="2:17" x14ac:dyDescent="0.25">
      <c r="B1479" s="294"/>
      <c r="C1479" s="294"/>
      <c r="D1479" s="294"/>
      <c r="E1479" s="294"/>
      <c r="F1479" s="294"/>
      <c r="G1479" s="294"/>
      <c r="H1479" s="294"/>
      <c r="I1479" s="294"/>
      <c r="J1479" s="294"/>
      <c r="L1479" s="295"/>
      <c r="M1479" s="294"/>
      <c r="P1479" s="294"/>
      <c r="Q1479" s="294"/>
    </row>
    <row r="1480" spans="2:17" x14ac:dyDescent="0.25">
      <c r="B1480" s="294"/>
      <c r="C1480" s="294"/>
      <c r="D1480" s="294"/>
      <c r="E1480" s="294"/>
      <c r="F1480" s="294"/>
      <c r="G1480" s="294"/>
      <c r="H1480" s="294"/>
      <c r="I1480" s="294"/>
      <c r="J1480" s="294"/>
      <c r="L1480" s="295"/>
      <c r="M1480" s="294"/>
      <c r="P1480" s="294"/>
      <c r="Q1480" s="294"/>
    </row>
    <row r="1481" spans="2:17" x14ac:dyDescent="0.25">
      <c r="B1481" s="294"/>
      <c r="C1481" s="294"/>
      <c r="D1481" s="294"/>
      <c r="E1481" s="294"/>
      <c r="F1481" s="294"/>
      <c r="G1481" s="294"/>
      <c r="H1481" s="294"/>
      <c r="I1481" s="294"/>
      <c r="J1481" s="294"/>
      <c r="L1481" s="295"/>
      <c r="M1481" s="294"/>
      <c r="P1481" s="294"/>
      <c r="Q1481" s="294"/>
    </row>
    <row r="1482" spans="2:17" x14ac:dyDescent="0.25">
      <c r="B1482" s="294"/>
      <c r="C1482" s="294"/>
      <c r="D1482" s="294"/>
      <c r="E1482" s="294"/>
      <c r="F1482" s="294"/>
      <c r="G1482" s="294"/>
      <c r="H1482" s="294"/>
      <c r="I1482" s="294"/>
      <c r="J1482" s="294"/>
      <c r="L1482" s="295"/>
      <c r="M1482" s="294"/>
      <c r="P1482" s="294"/>
      <c r="Q1482" s="294"/>
    </row>
    <row r="1483" spans="2:17" x14ac:dyDescent="0.25">
      <c r="B1483" s="294"/>
      <c r="C1483" s="294"/>
      <c r="D1483" s="294"/>
      <c r="E1483" s="294"/>
      <c r="F1483" s="294"/>
      <c r="G1483" s="294"/>
      <c r="H1483" s="294"/>
      <c r="I1483" s="294"/>
      <c r="J1483" s="294"/>
      <c r="L1483" s="295"/>
      <c r="M1483" s="294"/>
      <c r="P1483" s="294"/>
      <c r="Q1483" s="294"/>
    </row>
    <row r="1484" spans="2:17" x14ac:dyDescent="0.25">
      <c r="B1484" s="294"/>
      <c r="C1484" s="294"/>
      <c r="D1484" s="294"/>
      <c r="E1484" s="294"/>
      <c r="F1484" s="294"/>
      <c r="G1484" s="294"/>
      <c r="H1484" s="294"/>
      <c r="I1484" s="294"/>
      <c r="J1484" s="294"/>
      <c r="L1484" s="295"/>
      <c r="M1484" s="294"/>
      <c r="P1484" s="294"/>
      <c r="Q1484" s="294"/>
    </row>
    <row r="1485" spans="2:17" x14ac:dyDescent="0.25">
      <c r="B1485" s="294"/>
      <c r="C1485" s="294"/>
      <c r="D1485" s="294"/>
      <c r="E1485" s="294"/>
      <c r="F1485" s="294"/>
      <c r="G1485" s="294"/>
      <c r="H1485" s="294"/>
      <c r="I1485" s="294"/>
      <c r="J1485" s="294"/>
      <c r="L1485" s="295"/>
      <c r="M1485" s="294"/>
      <c r="P1485" s="294"/>
      <c r="Q1485" s="294"/>
    </row>
    <row r="1486" spans="2:17" x14ac:dyDescent="0.25">
      <c r="B1486" s="294"/>
      <c r="C1486" s="294"/>
      <c r="D1486" s="294"/>
      <c r="E1486" s="294"/>
      <c r="F1486" s="294"/>
      <c r="G1486" s="294"/>
      <c r="H1486" s="294"/>
      <c r="I1486" s="294"/>
      <c r="J1486" s="294"/>
      <c r="L1486" s="295"/>
      <c r="M1486" s="294"/>
      <c r="P1486" s="294"/>
      <c r="Q1486" s="294"/>
    </row>
    <row r="1487" spans="2:17" x14ac:dyDescent="0.25">
      <c r="B1487" s="294"/>
      <c r="C1487" s="294"/>
      <c r="D1487" s="294"/>
      <c r="E1487" s="294"/>
      <c r="F1487" s="294"/>
      <c r="G1487" s="294"/>
      <c r="H1487" s="294"/>
      <c r="I1487" s="294"/>
      <c r="J1487" s="294"/>
      <c r="L1487" s="295"/>
      <c r="M1487" s="294"/>
      <c r="P1487" s="294"/>
      <c r="Q1487" s="294"/>
    </row>
    <row r="1488" spans="2:17" x14ac:dyDescent="0.25">
      <c r="B1488" s="294"/>
      <c r="C1488" s="294"/>
      <c r="D1488" s="294"/>
      <c r="E1488" s="294"/>
      <c r="F1488" s="294"/>
      <c r="G1488" s="294"/>
      <c r="H1488" s="294"/>
      <c r="I1488" s="294"/>
      <c r="J1488" s="294"/>
      <c r="L1488" s="295"/>
      <c r="M1488" s="294"/>
      <c r="P1488" s="294"/>
      <c r="Q1488" s="294"/>
    </row>
    <row r="1489" spans="2:17" x14ac:dyDescent="0.25">
      <c r="B1489" s="294"/>
      <c r="C1489" s="294"/>
      <c r="D1489" s="294"/>
      <c r="E1489" s="294"/>
      <c r="F1489" s="294"/>
      <c r="G1489" s="294"/>
      <c r="H1489" s="294"/>
      <c r="I1489" s="294"/>
      <c r="J1489" s="294"/>
      <c r="L1489" s="295"/>
      <c r="M1489" s="294"/>
      <c r="P1489" s="294"/>
      <c r="Q1489" s="294"/>
    </row>
    <row r="1490" spans="2:17" x14ac:dyDescent="0.25">
      <c r="B1490" s="294"/>
      <c r="C1490" s="294"/>
      <c r="D1490" s="294"/>
      <c r="E1490" s="294"/>
      <c r="F1490" s="294"/>
      <c r="G1490" s="294"/>
      <c r="H1490" s="294"/>
      <c r="I1490" s="294"/>
      <c r="J1490" s="294"/>
      <c r="L1490" s="295"/>
      <c r="M1490" s="294"/>
      <c r="P1490" s="294"/>
      <c r="Q1490" s="294"/>
    </row>
    <row r="1491" spans="2:17" x14ac:dyDescent="0.25">
      <c r="B1491" s="294"/>
      <c r="C1491" s="294"/>
      <c r="D1491" s="294"/>
      <c r="E1491" s="294"/>
      <c r="F1491" s="294"/>
      <c r="G1491" s="294"/>
      <c r="H1491" s="294"/>
      <c r="I1491" s="294"/>
      <c r="J1491" s="294"/>
      <c r="L1491" s="295"/>
      <c r="M1491" s="294"/>
      <c r="P1491" s="294"/>
      <c r="Q1491" s="294"/>
    </row>
    <row r="1492" spans="2:17" x14ac:dyDescent="0.25">
      <c r="B1492" s="294"/>
      <c r="C1492" s="294"/>
      <c r="D1492" s="294"/>
      <c r="E1492" s="294"/>
      <c r="F1492" s="294"/>
      <c r="G1492" s="294"/>
      <c r="H1492" s="294"/>
      <c r="I1492" s="294"/>
      <c r="J1492" s="294"/>
      <c r="L1492" s="295"/>
      <c r="M1492" s="294"/>
      <c r="P1492" s="294"/>
      <c r="Q1492" s="294"/>
    </row>
    <row r="1493" spans="2:17" x14ac:dyDescent="0.25">
      <c r="B1493" s="294"/>
      <c r="C1493" s="294"/>
      <c r="D1493" s="294"/>
      <c r="E1493" s="294"/>
      <c r="F1493" s="294"/>
      <c r="G1493" s="294"/>
      <c r="H1493" s="294"/>
      <c r="I1493" s="294"/>
      <c r="J1493" s="294"/>
      <c r="L1493" s="295"/>
      <c r="M1493" s="294"/>
      <c r="P1493" s="294"/>
      <c r="Q1493" s="294"/>
    </row>
    <row r="1494" spans="2:17" x14ac:dyDescent="0.25">
      <c r="B1494" s="294"/>
      <c r="C1494" s="294"/>
      <c r="D1494" s="294"/>
      <c r="E1494" s="294"/>
      <c r="F1494" s="294"/>
      <c r="G1494" s="294"/>
      <c r="H1494" s="294"/>
      <c r="I1494" s="294"/>
      <c r="J1494" s="294"/>
      <c r="L1494" s="295"/>
      <c r="M1494" s="294"/>
      <c r="P1494" s="294"/>
      <c r="Q1494" s="294"/>
    </row>
    <row r="1495" spans="2:17" x14ac:dyDescent="0.25">
      <c r="B1495" s="294"/>
      <c r="C1495" s="294"/>
      <c r="D1495" s="294"/>
      <c r="E1495" s="294"/>
      <c r="F1495" s="294"/>
      <c r="G1495" s="294"/>
      <c r="H1495" s="294"/>
      <c r="I1495" s="294"/>
      <c r="J1495" s="294"/>
      <c r="L1495" s="295"/>
      <c r="M1495" s="294"/>
      <c r="P1495" s="294"/>
      <c r="Q1495" s="294"/>
    </row>
    <row r="1496" spans="2:17" x14ac:dyDescent="0.25">
      <c r="B1496" s="294"/>
      <c r="C1496" s="294"/>
      <c r="D1496" s="294"/>
      <c r="E1496" s="294"/>
      <c r="F1496" s="294"/>
      <c r="G1496" s="294"/>
      <c r="H1496" s="294"/>
      <c r="I1496" s="294"/>
      <c r="J1496" s="294"/>
      <c r="L1496" s="295"/>
      <c r="M1496" s="294"/>
      <c r="P1496" s="294"/>
      <c r="Q1496" s="294"/>
    </row>
    <row r="1497" spans="2:17" x14ac:dyDescent="0.25">
      <c r="B1497" s="294"/>
      <c r="C1497" s="294"/>
      <c r="D1497" s="294"/>
      <c r="E1497" s="294"/>
      <c r="F1497" s="294"/>
      <c r="G1497" s="294"/>
      <c r="H1497" s="294"/>
      <c r="I1497" s="294"/>
      <c r="J1497" s="294"/>
      <c r="L1497" s="295"/>
      <c r="M1497" s="294"/>
      <c r="P1497" s="294"/>
      <c r="Q1497" s="294"/>
    </row>
    <row r="1498" spans="2:17" x14ac:dyDescent="0.25">
      <c r="B1498" s="294"/>
      <c r="C1498" s="294"/>
      <c r="D1498" s="294"/>
      <c r="E1498" s="294"/>
      <c r="F1498" s="294"/>
      <c r="G1498" s="294"/>
      <c r="H1498" s="294"/>
      <c r="I1498" s="294"/>
      <c r="J1498" s="294"/>
      <c r="L1498" s="295"/>
      <c r="M1498" s="294"/>
      <c r="P1498" s="294"/>
      <c r="Q1498" s="294"/>
    </row>
    <row r="1499" spans="2:17" x14ac:dyDescent="0.25">
      <c r="B1499" s="294"/>
      <c r="C1499" s="294"/>
      <c r="D1499" s="294"/>
      <c r="E1499" s="294"/>
      <c r="F1499" s="294"/>
      <c r="G1499" s="294"/>
      <c r="H1499" s="294"/>
      <c r="I1499" s="294"/>
      <c r="J1499" s="294"/>
      <c r="L1499" s="295"/>
      <c r="M1499" s="294"/>
      <c r="P1499" s="294"/>
      <c r="Q1499" s="294"/>
    </row>
    <row r="1500" spans="2:17" x14ac:dyDescent="0.25">
      <c r="B1500" s="294"/>
      <c r="C1500" s="294"/>
      <c r="D1500" s="294"/>
      <c r="E1500" s="294"/>
      <c r="F1500" s="294"/>
      <c r="G1500" s="294"/>
      <c r="H1500" s="294"/>
      <c r="I1500" s="294"/>
      <c r="J1500" s="294"/>
      <c r="L1500" s="295"/>
      <c r="M1500" s="294"/>
      <c r="P1500" s="294"/>
      <c r="Q1500" s="294"/>
    </row>
    <row r="1501" spans="2:17" x14ac:dyDescent="0.25">
      <c r="B1501" s="294"/>
      <c r="C1501" s="294"/>
      <c r="D1501" s="294"/>
      <c r="E1501" s="294"/>
      <c r="F1501" s="294"/>
      <c r="G1501" s="294"/>
      <c r="H1501" s="294"/>
      <c r="I1501" s="294"/>
      <c r="J1501" s="294"/>
      <c r="L1501" s="295"/>
      <c r="M1501" s="294"/>
      <c r="P1501" s="294"/>
      <c r="Q1501" s="294"/>
    </row>
    <row r="1502" spans="2:17" x14ac:dyDescent="0.25">
      <c r="B1502" s="294"/>
      <c r="C1502" s="294"/>
      <c r="D1502" s="294"/>
      <c r="E1502" s="294"/>
      <c r="F1502" s="294"/>
      <c r="G1502" s="294"/>
      <c r="H1502" s="294"/>
      <c r="I1502" s="294"/>
      <c r="J1502" s="294"/>
      <c r="L1502" s="295"/>
      <c r="M1502" s="294"/>
      <c r="P1502" s="294"/>
      <c r="Q1502" s="294"/>
    </row>
    <row r="1503" spans="2:17" x14ac:dyDescent="0.25">
      <c r="B1503" s="294"/>
      <c r="C1503" s="294"/>
      <c r="D1503" s="294"/>
      <c r="E1503" s="294"/>
      <c r="F1503" s="294"/>
      <c r="G1503" s="294"/>
      <c r="H1503" s="294"/>
      <c r="I1503" s="294"/>
      <c r="J1503" s="294"/>
      <c r="L1503" s="295"/>
      <c r="M1503" s="294"/>
      <c r="P1503" s="294"/>
      <c r="Q1503" s="294"/>
    </row>
    <row r="1504" spans="2:17" x14ac:dyDescent="0.25">
      <c r="B1504" s="294"/>
      <c r="C1504" s="294"/>
      <c r="D1504" s="294"/>
      <c r="E1504" s="294"/>
      <c r="F1504" s="294"/>
      <c r="G1504" s="294"/>
      <c r="H1504" s="294"/>
      <c r="I1504" s="294"/>
      <c r="J1504" s="294"/>
      <c r="L1504" s="295"/>
      <c r="M1504" s="294"/>
      <c r="P1504" s="294"/>
      <c r="Q1504" s="294"/>
    </row>
    <row r="1505" spans="2:17" x14ac:dyDescent="0.25">
      <c r="B1505" s="294"/>
      <c r="C1505" s="294"/>
      <c r="D1505" s="294"/>
      <c r="E1505" s="294"/>
      <c r="F1505" s="294"/>
      <c r="G1505" s="294"/>
      <c r="H1505" s="294"/>
      <c r="I1505" s="294"/>
      <c r="J1505" s="294"/>
      <c r="L1505" s="295"/>
      <c r="M1505" s="294"/>
      <c r="P1505" s="294"/>
      <c r="Q1505" s="294"/>
    </row>
    <row r="1506" spans="2:17" x14ac:dyDescent="0.25">
      <c r="B1506" s="294"/>
      <c r="C1506" s="294"/>
      <c r="D1506" s="294"/>
      <c r="E1506" s="294"/>
      <c r="F1506" s="294"/>
      <c r="G1506" s="294"/>
      <c r="H1506" s="294"/>
      <c r="I1506" s="294"/>
      <c r="J1506" s="294"/>
      <c r="L1506" s="295"/>
      <c r="M1506" s="294"/>
      <c r="P1506" s="294"/>
      <c r="Q1506" s="294"/>
    </row>
    <row r="1507" spans="2:17" x14ac:dyDescent="0.25">
      <c r="B1507" s="294"/>
      <c r="C1507" s="294"/>
      <c r="D1507" s="294"/>
      <c r="E1507" s="294"/>
      <c r="F1507" s="294"/>
      <c r="G1507" s="294"/>
      <c r="H1507" s="294"/>
      <c r="I1507" s="294"/>
      <c r="J1507" s="294"/>
      <c r="L1507" s="295"/>
      <c r="M1507" s="294"/>
      <c r="P1507" s="294"/>
      <c r="Q1507" s="294"/>
    </row>
    <row r="1508" spans="2:17" x14ac:dyDescent="0.25">
      <c r="B1508" s="294"/>
      <c r="C1508" s="294"/>
      <c r="D1508" s="294"/>
      <c r="E1508" s="294"/>
      <c r="F1508" s="294"/>
      <c r="G1508" s="294"/>
      <c r="H1508" s="294"/>
      <c r="I1508" s="294"/>
      <c r="J1508" s="294"/>
      <c r="L1508" s="295"/>
      <c r="M1508" s="294"/>
      <c r="P1508" s="294"/>
      <c r="Q1508" s="294"/>
    </row>
    <row r="1509" spans="2:17" x14ac:dyDescent="0.25">
      <c r="B1509" s="294"/>
      <c r="C1509" s="294"/>
      <c r="D1509" s="294"/>
      <c r="E1509" s="294"/>
      <c r="F1509" s="294"/>
      <c r="G1509" s="294"/>
      <c r="H1509" s="294"/>
      <c r="I1509" s="294"/>
      <c r="J1509" s="294"/>
      <c r="L1509" s="295"/>
      <c r="M1509" s="294"/>
      <c r="P1509" s="294"/>
      <c r="Q1509" s="294"/>
    </row>
    <row r="1510" spans="2:17" x14ac:dyDescent="0.25">
      <c r="B1510" s="294"/>
      <c r="C1510" s="294"/>
      <c r="D1510" s="294"/>
      <c r="E1510" s="294"/>
      <c r="F1510" s="294"/>
      <c r="G1510" s="294"/>
      <c r="H1510" s="294"/>
      <c r="I1510" s="294"/>
      <c r="J1510" s="294"/>
      <c r="L1510" s="295"/>
      <c r="M1510" s="294"/>
      <c r="P1510" s="294"/>
      <c r="Q1510" s="294"/>
    </row>
    <row r="1511" spans="2:17" x14ac:dyDescent="0.25">
      <c r="B1511" s="294"/>
      <c r="C1511" s="294"/>
      <c r="D1511" s="294"/>
      <c r="E1511" s="294"/>
      <c r="F1511" s="294"/>
      <c r="G1511" s="294"/>
      <c r="H1511" s="294"/>
      <c r="I1511" s="294"/>
      <c r="J1511" s="294"/>
      <c r="L1511" s="295"/>
      <c r="M1511" s="294"/>
      <c r="P1511" s="294"/>
      <c r="Q1511" s="294"/>
    </row>
    <row r="1512" spans="2:17" x14ac:dyDescent="0.25">
      <c r="B1512" s="294"/>
      <c r="C1512" s="294"/>
      <c r="D1512" s="294"/>
      <c r="E1512" s="294"/>
      <c r="F1512" s="294"/>
      <c r="G1512" s="294"/>
      <c r="H1512" s="294"/>
      <c r="I1512" s="294"/>
      <c r="J1512" s="294"/>
      <c r="L1512" s="295"/>
      <c r="M1512" s="294"/>
      <c r="P1512" s="294"/>
      <c r="Q1512" s="294"/>
    </row>
    <row r="1513" spans="2:17" x14ac:dyDescent="0.25">
      <c r="B1513" s="294"/>
      <c r="C1513" s="294"/>
      <c r="D1513" s="294"/>
      <c r="E1513" s="294"/>
      <c r="F1513" s="294"/>
      <c r="G1513" s="294"/>
      <c r="H1513" s="294"/>
      <c r="I1513" s="294"/>
      <c r="J1513" s="294"/>
      <c r="L1513" s="295"/>
      <c r="M1513" s="294"/>
      <c r="P1513" s="294"/>
      <c r="Q1513" s="294"/>
    </row>
    <row r="1514" spans="2:17" x14ac:dyDescent="0.25">
      <c r="B1514" s="294"/>
      <c r="C1514" s="294"/>
      <c r="D1514" s="294"/>
      <c r="E1514" s="294"/>
      <c r="F1514" s="294"/>
      <c r="G1514" s="294"/>
      <c r="H1514" s="294"/>
      <c r="I1514" s="294"/>
      <c r="J1514" s="294"/>
      <c r="L1514" s="295"/>
      <c r="M1514" s="294"/>
      <c r="P1514" s="294"/>
      <c r="Q1514" s="294"/>
    </row>
    <row r="1515" spans="2:17" x14ac:dyDescent="0.25">
      <c r="B1515" s="294"/>
      <c r="C1515" s="294"/>
      <c r="D1515" s="294"/>
      <c r="E1515" s="294"/>
      <c r="F1515" s="294"/>
      <c r="G1515" s="294"/>
      <c r="H1515" s="294"/>
      <c r="I1515" s="294"/>
      <c r="J1515" s="294"/>
      <c r="L1515" s="295"/>
      <c r="M1515" s="294"/>
      <c r="P1515" s="294"/>
      <c r="Q1515" s="294"/>
    </row>
    <row r="1516" spans="2:17" x14ac:dyDescent="0.25">
      <c r="B1516" s="294"/>
      <c r="C1516" s="294"/>
      <c r="D1516" s="294"/>
      <c r="E1516" s="294"/>
      <c r="F1516" s="294"/>
      <c r="G1516" s="294"/>
      <c r="H1516" s="294"/>
      <c r="I1516" s="294"/>
      <c r="J1516" s="294"/>
      <c r="L1516" s="295"/>
      <c r="M1516" s="294"/>
      <c r="P1516" s="294"/>
      <c r="Q1516" s="294"/>
    </row>
    <row r="1517" spans="2:17" x14ac:dyDescent="0.25">
      <c r="B1517" s="294"/>
      <c r="C1517" s="294"/>
      <c r="D1517" s="294"/>
      <c r="E1517" s="294"/>
      <c r="F1517" s="294"/>
      <c r="G1517" s="294"/>
      <c r="H1517" s="294"/>
      <c r="I1517" s="294"/>
      <c r="J1517" s="294"/>
      <c r="L1517" s="295"/>
      <c r="M1517" s="294"/>
      <c r="P1517" s="294"/>
      <c r="Q1517" s="294"/>
    </row>
    <row r="1518" spans="2:17" x14ac:dyDescent="0.25">
      <c r="B1518" s="294"/>
      <c r="C1518" s="294"/>
      <c r="D1518" s="294"/>
      <c r="E1518" s="294"/>
      <c r="F1518" s="294"/>
      <c r="G1518" s="294"/>
      <c r="H1518" s="294"/>
      <c r="I1518" s="294"/>
      <c r="J1518" s="294"/>
      <c r="L1518" s="295"/>
      <c r="M1518" s="294"/>
      <c r="P1518" s="294"/>
      <c r="Q1518" s="294"/>
    </row>
    <row r="1519" spans="2:17" x14ac:dyDescent="0.25">
      <c r="B1519" s="294"/>
      <c r="C1519" s="294"/>
      <c r="D1519" s="294"/>
      <c r="E1519" s="294"/>
      <c r="F1519" s="294"/>
      <c r="G1519" s="294"/>
      <c r="H1519" s="294"/>
      <c r="I1519" s="294"/>
      <c r="J1519" s="294"/>
      <c r="L1519" s="295"/>
      <c r="M1519" s="294"/>
      <c r="P1519" s="294"/>
      <c r="Q1519" s="294"/>
    </row>
    <row r="1520" spans="2:17" x14ac:dyDescent="0.25">
      <c r="B1520" s="294"/>
      <c r="C1520" s="294"/>
      <c r="D1520" s="294"/>
      <c r="E1520" s="294"/>
      <c r="F1520" s="294"/>
      <c r="G1520" s="294"/>
      <c r="H1520" s="294"/>
      <c r="I1520" s="294"/>
      <c r="J1520" s="294"/>
      <c r="L1520" s="295"/>
      <c r="M1520" s="294"/>
      <c r="P1520" s="294"/>
      <c r="Q1520" s="294"/>
    </row>
    <row r="1521" spans="2:17" x14ac:dyDescent="0.25">
      <c r="B1521" s="294"/>
      <c r="C1521" s="294"/>
      <c r="D1521" s="294"/>
      <c r="E1521" s="294"/>
      <c r="F1521" s="294"/>
      <c r="G1521" s="294"/>
      <c r="H1521" s="294"/>
      <c r="I1521" s="294"/>
      <c r="J1521" s="294"/>
      <c r="L1521" s="295"/>
      <c r="M1521" s="294"/>
      <c r="P1521" s="294"/>
      <c r="Q1521" s="294"/>
    </row>
    <row r="1522" spans="2:17" x14ac:dyDescent="0.25">
      <c r="B1522" s="294"/>
      <c r="C1522" s="294"/>
      <c r="D1522" s="294"/>
      <c r="E1522" s="294"/>
      <c r="F1522" s="294"/>
      <c r="G1522" s="294"/>
      <c r="H1522" s="294"/>
      <c r="I1522" s="294"/>
      <c r="J1522" s="294"/>
      <c r="L1522" s="295"/>
      <c r="M1522" s="294"/>
      <c r="P1522" s="294"/>
      <c r="Q1522" s="294"/>
    </row>
    <row r="1523" spans="2:17" x14ac:dyDescent="0.25">
      <c r="B1523" s="294"/>
      <c r="C1523" s="294"/>
      <c r="D1523" s="294"/>
      <c r="E1523" s="294"/>
      <c r="F1523" s="294"/>
      <c r="G1523" s="294"/>
      <c r="H1523" s="294"/>
      <c r="I1523" s="294"/>
      <c r="J1523" s="294"/>
      <c r="L1523" s="295"/>
      <c r="M1523" s="294"/>
      <c r="P1523" s="294"/>
      <c r="Q1523" s="294"/>
    </row>
    <row r="1524" spans="2:17" x14ac:dyDescent="0.25">
      <c r="B1524" s="294"/>
      <c r="C1524" s="294"/>
      <c r="D1524" s="294"/>
      <c r="E1524" s="294"/>
      <c r="F1524" s="294"/>
      <c r="G1524" s="294"/>
      <c r="H1524" s="294"/>
      <c r="I1524" s="294"/>
      <c r="J1524" s="294"/>
      <c r="L1524" s="295"/>
      <c r="M1524" s="294"/>
      <c r="P1524" s="294"/>
      <c r="Q1524" s="294"/>
    </row>
    <row r="1525" spans="2:17" x14ac:dyDescent="0.25">
      <c r="B1525" s="294"/>
      <c r="C1525" s="294"/>
      <c r="D1525" s="294"/>
      <c r="E1525" s="294"/>
      <c r="F1525" s="294"/>
      <c r="G1525" s="294"/>
      <c r="H1525" s="294"/>
      <c r="I1525" s="294"/>
      <c r="J1525" s="294"/>
      <c r="L1525" s="295"/>
      <c r="M1525" s="294"/>
      <c r="P1525" s="294"/>
      <c r="Q1525" s="294"/>
    </row>
    <row r="1526" spans="2:17" x14ac:dyDescent="0.25">
      <c r="B1526" s="294"/>
      <c r="C1526" s="294"/>
      <c r="D1526" s="294"/>
      <c r="E1526" s="294"/>
      <c r="F1526" s="294"/>
      <c r="G1526" s="294"/>
      <c r="H1526" s="294"/>
      <c r="I1526" s="294"/>
      <c r="J1526" s="294"/>
      <c r="L1526" s="295"/>
      <c r="M1526" s="294"/>
      <c r="P1526" s="294"/>
      <c r="Q1526" s="294"/>
    </row>
    <row r="1527" spans="2:17" x14ac:dyDescent="0.25">
      <c r="B1527" s="294"/>
      <c r="C1527" s="294"/>
      <c r="D1527" s="294"/>
      <c r="E1527" s="294"/>
      <c r="F1527" s="294"/>
      <c r="G1527" s="294"/>
      <c r="H1527" s="294"/>
      <c r="I1527" s="294"/>
      <c r="J1527" s="294"/>
      <c r="L1527" s="295"/>
      <c r="M1527" s="294"/>
      <c r="P1527" s="294"/>
      <c r="Q1527" s="294"/>
    </row>
    <row r="1528" spans="2:17" x14ac:dyDescent="0.25">
      <c r="B1528" s="294"/>
      <c r="C1528" s="294"/>
      <c r="D1528" s="294"/>
      <c r="E1528" s="294"/>
      <c r="F1528" s="294"/>
      <c r="G1528" s="294"/>
      <c r="H1528" s="294"/>
      <c r="I1528" s="294"/>
      <c r="J1528" s="294"/>
      <c r="L1528" s="295"/>
      <c r="M1528" s="294"/>
      <c r="P1528" s="294"/>
      <c r="Q1528" s="294"/>
    </row>
    <row r="1529" spans="2:17" x14ac:dyDescent="0.25">
      <c r="B1529" s="294"/>
      <c r="C1529" s="294"/>
      <c r="D1529" s="294"/>
      <c r="E1529" s="294"/>
      <c r="F1529" s="294"/>
      <c r="G1529" s="294"/>
      <c r="H1529" s="294"/>
      <c r="I1529" s="294"/>
      <c r="J1529" s="294"/>
      <c r="L1529" s="295"/>
      <c r="M1529" s="294"/>
      <c r="P1529" s="294"/>
      <c r="Q1529" s="294"/>
    </row>
    <row r="1530" spans="2:17" x14ac:dyDescent="0.25">
      <c r="B1530" s="294"/>
      <c r="C1530" s="294"/>
      <c r="D1530" s="294"/>
      <c r="E1530" s="294"/>
      <c r="F1530" s="294"/>
      <c r="G1530" s="294"/>
      <c r="H1530" s="294"/>
      <c r="I1530" s="294"/>
      <c r="J1530" s="294"/>
      <c r="L1530" s="295"/>
      <c r="M1530" s="294"/>
      <c r="P1530" s="294"/>
      <c r="Q1530" s="294"/>
    </row>
    <row r="1531" spans="2:17" x14ac:dyDescent="0.25">
      <c r="B1531" s="294"/>
      <c r="C1531" s="294"/>
      <c r="D1531" s="294"/>
      <c r="E1531" s="294"/>
      <c r="F1531" s="294"/>
      <c r="G1531" s="294"/>
      <c r="H1531" s="294"/>
      <c r="I1531" s="294"/>
      <c r="J1531" s="294"/>
      <c r="L1531" s="295"/>
      <c r="M1531" s="294"/>
      <c r="P1531" s="294"/>
      <c r="Q1531" s="294"/>
    </row>
    <row r="1532" spans="2:17" x14ac:dyDescent="0.25">
      <c r="B1532" s="294"/>
      <c r="C1532" s="294"/>
      <c r="D1532" s="294"/>
      <c r="E1532" s="294"/>
      <c r="F1532" s="294"/>
      <c r="G1532" s="294"/>
      <c r="H1532" s="294"/>
      <c r="I1532" s="294"/>
      <c r="J1532" s="294"/>
      <c r="L1532" s="295"/>
      <c r="M1532" s="294"/>
      <c r="P1532" s="294"/>
      <c r="Q1532" s="294"/>
    </row>
    <row r="1533" spans="2:17" x14ac:dyDescent="0.25">
      <c r="B1533" s="294"/>
      <c r="C1533" s="294"/>
      <c r="D1533" s="294"/>
      <c r="E1533" s="294"/>
      <c r="F1533" s="294"/>
      <c r="G1533" s="294"/>
      <c r="H1533" s="294"/>
      <c r="I1533" s="294"/>
      <c r="J1533" s="294"/>
      <c r="L1533" s="295"/>
      <c r="M1533" s="294"/>
      <c r="P1533" s="294"/>
      <c r="Q1533" s="294"/>
    </row>
    <row r="1534" spans="2:17" x14ac:dyDescent="0.25">
      <c r="B1534" s="294"/>
      <c r="C1534" s="294"/>
      <c r="D1534" s="294"/>
      <c r="E1534" s="294"/>
      <c r="F1534" s="294"/>
      <c r="G1534" s="294"/>
      <c r="H1534" s="294"/>
      <c r="I1534" s="294"/>
      <c r="J1534" s="294"/>
      <c r="L1534" s="295"/>
      <c r="M1534" s="294"/>
      <c r="P1534" s="294"/>
      <c r="Q1534" s="294"/>
    </row>
    <row r="1535" spans="2:17" x14ac:dyDescent="0.25">
      <c r="B1535" s="294"/>
      <c r="C1535" s="294"/>
      <c r="D1535" s="294"/>
      <c r="E1535" s="294"/>
      <c r="F1535" s="294"/>
      <c r="G1535" s="294"/>
      <c r="H1535" s="294"/>
      <c r="I1535" s="294"/>
      <c r="J1535" s="294"/>
      <c r="L1535" s="295"/>
      <c r="M1535" s="294"/>
      <c r="P1535" s="294"/>
      <c r="Q1535" s="294"/>
    </row>
    <row r="1536" spans="2:17" x14ac:dyDescent="0.25">
      <c r="B1536" s="294"/>
      <c r="C1536" s="294"/>
      <c r="D1536" s="294"/>
      <c r="E1536" s="294"/>
      <c r="F1536" s="294"/>
      <c r="G1536" s="294"/>
      <c r="H1536" s="294"/>
      <c r="I1536" s="294"/>
      <c r="J1536" s="294"/>
      <c r="L1536" s="295"/>
      <c r="M1536" s="294"/>
      <c r="P1536" s="294"/>
      <c r="Q1536" s="294"/>
    </row>
    <row r="1537" spans="2:17" x14ac:dyDescent="0.25">
      <c r="B1537" s="294"/>
      <c r="C1537" s="294"/>
      <c r="D1537" s="294"/>
      <c r="E1537" s="294"/>
      <c r="F1537" s="294"/>
      <c r="G1537" s="294"/>
      <c r="H1537" s="294"/>
      <c r="I1537" s="294"/>
      <c r="J1537" s="294"/>
      <c r="L1537" s="295"/>
      <c r="M1537" s="294"/>
      <c r="P1537" s="294"/>
      <c r="Q1537" s="294"/>
    </row>
    <row r="1538" spans="2:17" x14ac:dyDescent="0.25">
      <c r="B1538" s="294"/>
      <c r="C1538" s="294"/>
      <c r="D1538" s="294"/>
      <c r="E1538" s="294"/>
      <c r="F1538" s="294"/>
      <c r="G1538" s="294"/>
      <c r="H1538" s="294"/>
      <c r="I1538" s="294"/>
      <c r="J1538" s="294"/>
      <c r="L1538" s="295"/>
      <c r="M1538" s="294"/>
      <c r="P1538" s="294"/>
      <c r="Q1538" s="294"/>
    </row>
    <row r="1539" spans="2:17" x14ac:dyDescent="0.25">
      <c r="B1539" s="294"/>
      <c r="C1539" s="294"/>
      <c r="D1539" s="294"/>
      <c r="E1539" s="294"/>
      <c r="F1539" s="294"/>
      <c r="G1539" s="294"/>
      <c r="H1539" s="294"/>
      <c r="I1539" s="294"/>
      <c r="J1539" s="294"/>
      <c r="L1539" s="295"/>
      <c r="M1539" s="294"/>
      <c r="P1539" s="294"/>
      <c r="Q1539" s="294"/>
    </row>
    <row r="1540" spans="2:17" x14ac:dyDescent="0.25">
      <c r="B1540" s="294"/>
      <c r="C1540" s="294"/>
      <c r="D1540" s="294"/>
      <c r="E1540" s="294"/>
      <c r="F1540" s="294"/>
      <c r="G1540" s="294"/>
      <c r="H1540" s="294"/>
      <c r="I1540" s="294"/>
      <c r="J1540" s="294"/>
      <c r="L1540" s="295"/>
      <c r="M1540" s="294"/>
      <c r="P1540" s="294"/>
      <c r="Q1540" s="294"/>
    </row>
    <row r="1541" spans="2:17" x14ac:dyDescent="0.25">
      <c r="B1541" s="294"/>
      <c r="C1541" s="294"/>
      <c r="D1541" s="294"/>
      <c r="E1541" s="294"/>
      <c r="F1541" s="294"/>
      <c r="G1541" s="294"/>
      <c r="H1541" s="294"/>
      <c r="I1541" s="294"/>
      <c r="J1541" s="294"/>
      <c r="L1541" s="295"/>
      <c r="M1541" s="294"/>
      <c r="P1541" s="294"/>
      <c r="Q1541" s="294"/>
    </row>
    <row r="1542" spans="2:17" x14ac:dyDescent="0.25">
      <c r="B1542" s="294"/>
      <c r="C1542" s="294"/>
      <c r="D1542" s="294"/>
      <c r="E1542" s="294"/>
      <c r="F1542" s="294"/>
      <c r="G1542" s="294"/>
      <c r="H1542" s="294"/>
      <c r="I1542" s="294"/>
      <c r="J1542" s="294"/>
      <c r="L1542" s="295"/>
      <c r="M1542" s="294"/>
      <c r="P1542" s="294"/>
      <c r="Q1542" s="294"/>
    </row>
    <row r="1543" spans="2:17" x14ac:dyDescent="0.25">
      <c r="B1543" s="294"/>
      <c r="C1543" s="294"/>
      <c r="D1543" s="294"/>
      <c r="E1543" s="294"/>
      <c r="F1543" s="294"/>
      <c r="G1543" s="294"/>
      <c r="H1543" s="294"/>
      <c r="I1543" s="294"/>
      <c r="J1543" s="294"/>
      <c r="L1543" s="295"/>
      <c r="M1543" s="294"/>
      <c r="P1543" s="294"/>
      <c r="Q1543" s="294"/>
    </row>
    <row r="1544" spans="2:17" x14ac:dyDescent="0.25">
      <c r="B1544" s="294"/>
      <c r="C1544" s="294"/>
      <c r="D1544" s="294"/>
      <c r="E1544" s="294"/>
      <c r="F1544" s="294"/>
      <c r="G1544" s="294"/>
      <c r="H1544" s="294"/>
      <c r="I1544" s="294"/>
      <c r="J1544" s="294"/>
      <c r="L1544" s="295"/>
      <c r="M1544" s="294"/>
      <c r="P1544" s="294"/>
      <c r="Q1544" s="294"/>
    </row>
    <row r="1545" spans="2:17" x14ac:dyDescent="0.25">
      <c r="B1545" s="294"/>
      <c r="C1545" s="294"/>
      <c r="D1545" s="294"/>
      <c r="E1545" s="294"/>
      <c r="F1545" s="294"/>
      <c r="G1545" s="294"/>
      <c r="H1545" s="294"/>
      <c r="I1545" s="294"/>
      <c r="J1545" s="294"/>
      <c r="L1545" s="295"/>
      <c r="M1545" s="294"/>
      <c r="P1545" s="294"/>
      <c r="Q1545" s="294"/>
    </row>
    <row r="1546" spans="2:17" x14ac:dyDescent="0.25">
      <c r="B1546" s="294"/>
      <c r="C1546" s="294"/>
      <c r="D1546" s="294"/>
      <c r="E1546" s="294"/>
      <c r="F1546" s="294"/>
      <c r="G1546" s="294"/>
      <c r="H1546" s="294"/>
      <c r="I1546" s="294"/>
      <c r="J1546" s="294"/>
      <c r="L1546" s="295"/>
      <c r="M1546" s="294"/>
      <c r="P1546" s="294"/>
      <c r="Q1546" s="294"/>
    </row>
    <row r="1547" spans="2:17" x14ac:dyDescent="0.25">
      <c r="B1547" s="294"/>
      <c r="C1547" s="294"/>
      <c r="D1547" s="294"/>
      <c r="E1547" s="294"/>
      <c r="F1547" s="294"/>
      <c r="G1547" s="294"/>
      <c r="H1547" s="294"/>
      <c r="I1547" s="294"/>
      <c r="J1547" s="294"/>
      <c r="L1547" s="295"/>
      <c r="M1547" s="294"/>
      <c r="P1547" s="294"/>
      <c r="Q1547" s="294"/>
    </row>
    <row r="1548" spans="2:17" x14ac:dyDescent="0.25">
      <c r="B1548" s="294"/>
      <c r="C1548" s="294"/>
      <c r="D1548" s="294"/>
      <c r="E1548" s="294"/>
      <c r="F1548" s="294"/>
      <c r="G1548" s="294"/>
      <c r="H1548" s="294"/>
      <c r="I1548" s="294"/>
      <c r="J1548" s="294"/>
      <c r="L1548" s="295"/>
      <c r="M1548" s="294"/>
      <c r="P1548" s="294"/>
      <c r="Q1548" s="294"/>
    </row>
    <row r="1549" spans="2:17" x14ac:dyDescent="0.25">
      <c r="B1549" s="294"/>
      <c r="C1549" s="294"/>
      <c r="D1549" s="294"/>
      <c r="E1549" s="294"/>
      <c r="F1549" s="294"/>
      <c r="G1549" s="294"/>
      <c r="H1549" s="294"/>
      <c r="I1549" s="294"/>
      <c r="J1549" s="294"/>
      <c r="L1549" s="295"/>
      <c r="M1549" s="294"/>
      <c r="P1549" s="294"/>
      <c r="Q1549" s="294"/>
    </row>
    <row r="1550" spans="2:17" x14ac:dyDescent="0.25">
      <c r="B1550" s="294"/>
      <c r="C1550" s="294"/>
      <c r="D1550" s="294"/>
      <c r="E1550" s="294"/>
      <c r="F1550" s="294"/>
      <c r="G1550" s="294"/>
      <c r="H1550" s="294"/>
      <c r="I1550" s="294"/>
      <c r="J1550" s="294"/>
      <c r="L1550" s="295"/>
      <c r="M1550" s="294"/>
      <c r="P1550" s="294"/>
      <c r="Q1550" s="294"/>
    </row>
    <row r="1551" spans="2:17" x14ac:dyDescent="0.25">
      <c r="B1551" s="294"/>
      <c r="C1551" s="294"/>
      <c r="D1551" s="294"/>
      <c r="E1551" s="294"/>
      <c r="F1551" s="294"/>
      <c r="G1551" s="294"/>
      <c r="H1551" s="294"/>
      <c r="I1551" s="294"/>
      <c r="J1551" s="294"/>
      <c r="L1551" s="295"/>
      <c r="M1551" s="294"/>
      <c r="P1551" s="294"/>
      <c r="Q1551" s="294"/>
    </row>
    <row r="1552" spans="2:17" x14ac:dyDescent="0.25">
      <c r="B1552" s="294"/>
      <c r="C1552" s="294"/>
      <c r="D1552" s="294"/>
      <c r="E1552" s="294"/>
      <c r="F1552" s="294"/>
      <c r="G1552" s="294"/>
      <c r="H1552" s="294"/>
      <c r="I1552" s="294"/>
      <c r="J1552" s="294"/>
      <c r="L1552" s="295"/>
      <c r="M1552" s="294"/>
      <c r="P1552" s="294"/>
      <c r="Q1552" s="294"/>
    </row>
    <row r="1553" spans="2:17" x14ac:dyDescent="0.25">
      <c r="B1553" s="294"/>
      <c r="C1553" s="294"/>
      <c r="D1553" s="294"/>
      <c r="E1553" s="294"/>
      <c r="F1553" s="294"/>
      <c r="G1553" s="294"/>
      <c r="H1553" s="294"/>
      <c r="I1553" s="294"/>
      <c r="J1553" s="294"/>
      <c r="L1553" s="295"/>
      <c r="M1553" s="294"/>
      <c r="P1553" s="294"/>
      <c r="Q1553" s="294"/>
    </row>
    <row r="1554" spans="2:17" x14ac:dyDescent="0.25">
      <c r="B1554" s="294"/>
      <c r="C1554" s="294"/>
      <c r="D1554" s="294"/>
      <c r="E1554" s="294"/>
      <c r="F1554" s="294"/>
      <c r="G1554" s="294"/>
      <c r="H1554" s="294"/>
      <c r="I1554" s="294"/>
      <c r="J1554" s="294"/>
      <c r="L1554" s="295"/>
      <c r="M1554" s="294"/>
      <c r="P1554" s="294"/>
      <c r="Q1554" s="294"/>
    </row>
    <row r="1555" spans="2:17" x14ac:dyDescent="0.25">
      <c r="B1555" s="294"/>
      <c r="C1555" s="294"/>
      <c r="D1555" s="294"/>
      <c r="E1555" s="294"/>
      <c r="F1555" s="294"/>
      <c r="G1555" s="294"/>
      <c r="H1555" s="294"/>
      <c r="I1555" s="294"/>
      <c r="J1555" s="294"/>
      <c r="L1555" s="295"/>
      <c r="M1555" s="294"/>
      <c r="P1555" s="294"/>
      <c r="Q1555" s="294"/>
    </row>
    <row r="1556" spans="2:17" x14ac:dyDescent="0.25">
      <c r="B1556" s="294"/>
      <c r="C1556" s="294"/>
      <c r="D1556" s="294"/>
      <c r="E1556" s="294"/>
      <c r="F1556" s="294"/>
      <c r="G1556" s="294"/>
      <c r="H1556" s="294"/>
      <c r="I1556" s="294"/>
      <c r="J1556" s="294"/>
      <c r="L1556" s="295"/>
      <c r="M1556" s="294"/>
      <c r="P1556" s="294"/>
      <c r="Q1556" s="294"/>
    </row>
    <row r="1557" spans="2:17" x14ac:dyDescent="0.25">
      <c r="B1557" s="294"/>
      <c r="C1557" s="294"/>
      <c r="D1557" s="294"/>
      <c r="E1557" s="294"/>
      <c r="F1557" s="294"/>
      <c r="G1557" s="294"/>
      <c r="H1557" s="294"/>
      <c r="I1557" s="294"/>
      <c r="J1557" s="294"/>
      <c r="L1557" s="295"/>
      <c r="M1557" s="294"/>
      <c r="P1557" s="294"/>
      <c r="Q1557" s="294"/>
    </row>
    <row r="1558" spans="2:17" x14ac:dyDescent="0.25">
      <c r="B1558" s="294"/>
      <c r="C1558" s="294"/>
      <c r="D1558" s="294"/>
      <c r="E1558" s="294"/>
      <c r="F1558" s="294"/>
      <c r="G1558" s="294"/>
      <c r="H1558" s="294"/>
      <c r="I1558" s="294"/>
      <c r="J1558" s="294"/>
      <c r="L1558" s="295"/>
      <c r="M1558" s="294"/>
      <c r="P1558" s="294"/>
      <c r="Q1558" s="294"/>
    </row>
    <row r="1559" spans="2:17" x14ac:dyDescent="0.25">
      <c r="B1559" s="294"/>
      <c r="C1559" s="294"/>
      <c r="D1559" s="294"/>
      <c r="E1559" s="294"/>
      <c r="F1559" s="294"/>
      <c r="G1559" s="294"/>
      <c r="H1559" s="294"/>
      <c r="I1559" s="294"/>
      <c r="J1559" s="294"/>
      <c r="L1559" s="295"/>
      <c r="M1559" s="294"/>
      <c r="P1559" s="294"/>
      <c r="Q1559" s="294"/>
    </row>
    <row r="1560" spans="2:17" x14ac:dyDescent="0.25">
      <c r="B1560" s="294"/>
      <c r="C1560" s="294"/>
      <c r="D1560" s="294"/>
      <c r="E1560" s="294"/>
      <c r="F1560" s="294"/>
      <c r="G1560" s="294"/>
      <c r="H1560" s="294"/>
      <c r="I1560" s="294"/>
      <c r="J1560" s="294"/>
      <c r="L1560" s="295"/>
      <c r="M1560" s="294"/>
      <c r="P1560" s="294"/>
      <c r="Q1560" s="294"/>
    </row>
    <row r="1561" spans="2:17" x14ac:dyDescent="0.25">
      <c r="B1561" s="294"/>
      <c r="C1561" s="294"/>
      <c r="D1561" s="294"/>
      <c r="E1561" s="294"/>
      <c r="F1561" s="294"/>
      <c r="G1561" s="294"/>
      <c r="H1561" s="294"/>
      <c r="I1561" s="294"/>
      <c r="J1561" s="294"/>
      <c r="L1561" s="295"/>
      <c r="M1561" s="294"/>
      <c r="P1561" s="294"/>
      <c r="Q1561" s="294"/>
    </row>
    <row r="1562" spans="2:17" x14ac:dyDescent="0.25">
      <c r="B1562" s="294"/>
      <c r="C1562" s="294"/>
      <c r="D1562" s="294"/>
      <c r="E1562" s="294"/>
      <c r="F1562" s="294"/>
      <c r="G1562" s="294"/>
      <c r="H1562" s="294"/>
      <c r="I1562" s="294"/>
      <c r="J1562" s="294"/>
      <c r="L1562" s="295"/>
      <c r="M1562" s="294"/>
      <c r="P1562" s="294"/>
      <c r="Q1562" s="294"/>
    </row>
    <row r="1563" spans="2:17" x14ac:dyDescent="0.25">
      <c r="B1563" s="294"/>
      <c r="C1563" s="294"/>
      <c r="D1563" s="294"/>
      <c r="E1563" s="294"/>
      <c r="F1563" s="294"/>
      <c r="G1563" s="294"/>
      <c r="H1563" s="294"/>
      <c r="I1563" s="294"/>
      <c r="J1563" s="294"/>
      <c r="L1563" s="295"/>
      <c r="M1563" s="294"/>
      <c r="P1563" s="294"/>
      <c r="Q1563" s="294"/>
    </row>
    <row r="1564" spans="2:17" x14ac:dyDescent="0.25">
      <c r="B1564" s="294"/>
      <c r="C1564" s="294"/>
      <c r="D1564" s="294"/>
      <c r="E1564" s="294"/>
      <c r="F1564" s="294"/>
      <c r="G1564" s="294"/>
      <c r="H1564" s="294"/>
      <c r="I1564" s="294"/>
      <c r="J1564" s="294"/>
      <c r="L1564" s="295"/>
      <c r="M1564" s="294"/>
      <c r="P1564" s="294"/>
      <c r="Q1564" s="294"/>
    </row>
    <row r="1565" spans="2:17" x14ac:dyDescent="0.25">
      <c r="B1565" s="294"/>
      <c r="C1565" s="294"/>
      <c r="D1565" s="294"/>
      <c r="E1565" s="294"/>
      <c r="F1565" s="294"/>
      <c r="G1565" s="294"/>
      <c r="H1565" s="294"/>
      <c r="I1565" s="294"/>
      <c r="J1565" s="294"/>
      <c r="L1565" s="295"/>
      <c r="M1565" s="294"/>
      <c r="P1565" s="294"/>
      <c r="Q1565" s="294"/>
    </row>
    <row r="1566" spans="2:17" x14ac:dyDescent="0.25">
      <c r="B1566" s="294"/>
      <c r="C1566" s="294"/>
      <c r="D1566" s="294"/>
      <c r="E1566" s="294"/>
      <c r="F1566" s="294"/>
      <c r="G1566" s="294"/>
      <c r="H1566" s="294"/>
      <c r="I1566" s="294"/>
      <c r="J1566" s="294"/>
      <c r="L1566" s="295"/>
      <c r="M1566" s="294"/>
      <c r="P1566" s="294"/>
      <c r="Q1566" s="294"/>
    </row>
    <row r="1567" spans="2:17" x14ac:dyDescent="0.25">
      <c r="B1567" s="294"/>
      <c r="C1567" s="294"/>
      <c r="D1567" s="294"/>
      <c r="E1567" s="294"/>
      <c r="F1567" s="294"/>
      <c r="G1567" s="294"/>
      <c r="H1567" s="294"/>
      <c r="I1567" s="294"/>
      <c r="J1567" s="294"/>
      <c r="L1567" s="295"/>
      <c r="M1567" s="294"/>
      <c r="P1567" s="294"/>
      <c r="Q1567" s="294"/>
    </row>
    <row r="1568" spans="2:17" x14ac:dyDescent="0.25">
      <c r="B1568" s="294"/>
      <c r="C1568" s="294"/>
      <c r="D1568" s="294"/>
      <c r="E1568" s="294"/>
      <c r="F1568" s="294"/>
      <c r="G1568" s="294"/>
      <c r="H1568" s="294"/>
      <c r="I1568" s="294"/>
      <c r="J1568" s="294"/>
      <c r="L1568" s="295"/>
      <c r="M1568" s="294"/>
      <c r="P1568" s="294"/>
      <c r="Q1568" s="294"/>
    </row>
    <row r="1569" spans="2:17" x14ac:dyDescent="0.25">
      <c r="B1569" s="294"/>
      <c r="C1569" s="294"/>
      <c r="D1569" s="294"/>
      <c r="E1569" s="294"/>
      <c r="F1569" s="294"/>
      <c r="G1569" s="294"/>
      <c r="H1569" s="294"/>
      <c r="I1569" s="294"/>
      <c r="J1569" s="294"/>
      <c r="L1569" s="295"/>
      <c r="M1569" s="294"/>
      <c r="P1569" s="294"/>
      <c r="Q1569" s="294"/>
    </row>
    <row r="1570" spans="2:17" x14ac:dyDescent="0.25">
      <c r="B1570" s="294"/>
      <c r="C1570" s="294"/>
      <c r="D1570" s="294"/>
      <c r="E1570" s="294"/>
      <c r="F1570" s="294"/>
      <c r="G1570" s="294"/>
      <c r="H1570" s="294"/>
      <c r="I1570" s="294"/>
      <c r="J1570" s="294"/>
      <c r="L1570" s="295"/>
      <c r="M1570" s="294"/>
      <c r="P1570" s="294"/>
      <c r="Q1570" s="294"/>
    </row>
    <row r="1571" spans="2:17" x14ac:dyDescent="0.25">
      <c r="B1571" s="294"/>
      <c r="C1571" s="294"/>
      <c r="D1571" s="294"/>
      <c r="E1571" s="294"/>
      <c r="F1571" s="294"/>
      <c r="G1571" s="294"/>
      <c r="H1571" s="294"/>
      <c r="I1571" s="294"/>
      <c r="J1571" s="294"/>
      <c r="L1571" s="295"/>
      <c r="M1571" s="294"/>
      <c r="P1571" s="294"/>
      <c r="Q1571" s="294"/>
    </row>
    <row r="1572" spans="2:17" x14ac:dyDescent="0.25">
      <c r="B1572" s="294"/>
      <c r="C1572" s="294"/>
      <c r="D1572" s="294"/>
      <c r="E1572" s="294"/>
      <c r="F1572" s="294"/>
      <c r="G1572" s="294"/>
      <c r="H1572" s="294"/>
      <c r="I1572" s="294"/>
      <c r="J1572" s="294"/>
      <c r="L1572" s="295"/>
      <c r="M1572" s="294"/>
      <c r="P1572" s="294"/>
      <c r="Q1572" s="294"/>
    </row>
    <row r="1573" spans="2:17" x14ac:dyDescent="0.25">
      <c r="B1573" s="294"/>
      <c r="C1573" s="294"/>
      <c r="D1573" s="294"/>
      <c r="E1573" s="294"/>
      <c r="F1573" s="294"/>
      <c r="G1573" s="294"/>
      <c r="H1573" s="294"/>
      <c r="I1573" s="294"/>
      <c r="J1573" s="294"/>
      <c r="L1573" s="295"/>
      <c r="M1573" s="294"/>
      <c r="P1573" s="294"/>
      <c r="Q1573" s="294"/>
    </row>
    <row r="1574" spans="2:17" x14ac:dyDescent="0.25">
      <c r="B1574" s="294"/>
      <c r="C1574" s="294"/>
      <c r="D1574" s="294"/>
      <c r="E1574" s="294"/>
      <c r="F1574" s="294"/>
      <c r="G1574" s="294"/>
      <c r="H1574" s="294"/>
      <c r="I1574" s="294"/>
      <c r="J1574" s="294"/>
      <c r="L1574" s="295"/>
      <c r="M1574" s="294"/>
      <c r="P1574" s="294"/>
      <c r="Q1574" s="294"/>
    </row>
    <row r="1575" spans="2:17" x14ac:dyDescent="0.25">
      <c r="B1575" s="294"/>
      <c r="C1575" s="294"/>
      <c r="D1575" s="294"/>
      <c r="E1575" s="294"/>
      <c r="F1575" s="294"/>
      <c r="G1575" s="294"/>
      <c r="H1575" s="294"/>
      <c r="I1575" s="294"/>
      <c r="J1575" s="294"/>
      <c r="L1575" s="295"/>
      <c r="M1575" s="294"/>
      <c r="P1575" s="294"/>
      <c r="Q1575" s="294"/>
    </row>
    <row r="1576" spans="2:17" x14ac:dyDescent="0.25">
      <c r="B1576" s="294"/>
      <c r="C1576" s="294"/>
      <c r="D1576" s="294"/>
      <c r="E1576" s="294"/>
      <c r="F1576" s="294"/>
      <c r="G1576" s="294"/>
      <c r="H1576" s="294"/>
      <c r="I1576" s="294"/>
      <c r="J1576" s="294"/>
      <c r="L1576" s="295"/>
      <c r="M1576" s="294"/>
      <c r="P1576" s="294"/>
      <c r="Q1576" s="294"/>
    </row>
    <row r="1577" spans="2:17" x14ac:dyDescent="0.25">
      <c r="B1577" s="294"/>
      <c r="C1577" s="294"/>
      <c r="D1577" s="294"/>
      <c r="E1577" s="294"/>
      <c r="F1577" s="294"/>
      <c r="G1577" s="294"/>
      <c r="H1577" s="294"/>
      <c r="I1577" s="294"/>
      <c r="J1577" s="294"/>
      <c r="L1577" s="295"/>
      <c r="M1577" s="294"/>
      <c r="P1577" s="294"/>
      <c r="Q1577" s="294"/>
    </row>
    <row r="1578" spans="2:17" x14ac:dyDescent="0.25">
      <c r="B1578" s="294"/>
      <c r="C1578" s="294"/>
      <c r="D1578" s="294"/>
      <c r="E1578" s="294"/>
      <c r="F1578" s="294"/>
      <c r="G1578" s="294"/>
      <c r="H1578" s="294"/>
      <c r="I1578" s="294"/>
      <c r="J1578" s="294"/>
      <c r="L1578" s="295"/>
      <c r="M1578" s="294"/>
      <c r="P1578" s="294"/>
      <c r="Q1578" s="294"/>
    </row>
    <row r="1579" spans="2:17" x14ac:dyDescent="0.25">
      <c r="B1579" s="294"/>
      <c r="C1579" s="294"/>
      <c r="D1579" s="294"/>
      <c r="E1579" s="294"/>
      <c r="F1579" s="294"/>
      <c r="G1579" s="294"/>
      <c r="H1579" s="294"/>
      <c r="I1579" s="294"/>
      <c r="J1579" s="294"/>
      <c r="L1579" s="295"/>
      <c r="M1579" s="294"/>
      <c r="P1579" s="294"/>
      <c r="Q1579" s="294"/>
    </row>
    <row r="1580" spans="2:17" x14ac:dyDescent="0.25">
      <c r="B1580" s="294"/>
      <c r="C1580" s="294"/>
      <c r="D1580" s="294"/>
      <c r="E1580" s="294"/>
      <c r="F1580" s="294"/>
      <c r="G1580" s="294"/>
      <c r="H1580" s="294"/>
      <c r="I1580" s="294"/>
      <c r="J1580" s="294"/>
      <c r="L1580" s="295"/>
      <c r="M1580" s="294"/>
      <c r="P1580" s="294"/>
      <c r="Q1580" s="294"/>
    </row>
    <row r="1581" spans="2:17" x14ac:dyDescent="0.25">
      <c r="B1581" s="294"/>
      <c r="C1581" s="294"/>
      <c r="D1581" s="294"/>
      <c r="E1581" s="294"/>
      <c r="F1581" s="294"/>
      <c r="G1581" s="294"/>
      <c r="H1581" s="294"/>
      <c r="I1581" s="294"/>
      <c r="J1581" s="294"/>
      <c r="L1581" s="295"/>
      <c r="M1581" s="294"/>
      <c r="P1581" s="294"/>
      <c r="Q1581" s="294"/>
    </row>
    <row r="1582" spans="2:17" x14ac:dyDescent="0.25">
      <c r="B1582" s="294"/>
      <c r="C1582" s="294"/>
      <c r="D1582" s="294"/>
      <c r="E1582" s="294"/>
      <c r="F1582" s="294"/>
      <c r="G1582" s="294"/>
      <c r="H1582" s="294"/>
      <c r="I1582" s="294"/>
      <c r="J1582" s="294"/>
      <c r="L1582" s="295"/>
      <c r="M1582" s="294"/>
      <c r="P1582" s="294"/>
      <c r="Q1582" s="294"/>
    </row>
    <row r="1583" spans="2:17" x14ac:dyDescent="0.25">
      <c r="B1583" s="294"/>
      <c r="C1583" s="294"/>
      <c r="D1583" s="294"/>
      <c r="E1583" s="294"/>
      <c r="F1583" s="294"/>
      <c r="G1583" s="294"/>
      <c r="H1583" s="294"/>
      <c r="I1583" s="294"/>
      <c r="J1583" s="294"/>
      <c r="L1583" s="295"/>
      <c r="M1583" s="294"/>
      <c r="P1583" s="294"/>
      <c r="Q1583" s="294"/>
    </row>
    <row r="1584" spans="2:17" x14ac:dyDescent="0.25">
      <c r="B1584" s="294"/>
      <c r="C1584" s="294"/>
      <c r="D1584" s="294"/>
      <c r="E1584" s="294"/>
      <c r="F1584" s="294"/>
      <c r="G1584" s="294"/>
      <c r="H1584" s="294"/>
      <c r="I1584" s="294"/>
      <c r="J1584" s="294"/>
      <c r="L1584" s="295"/>
      <c r="M1584" s="294"/>
      <c r="P1584" s="294"/>
      <c r="Q1584" s="294"/>
    </row>
    <row r="1585" spans="2:17" x14ac:dyDescent="0.25">
      <c r="B1585" s="294"/>
      <c r="C1585" s="294"/>
      <c r="D1585" s="294"/>
      <c r="E1585" s="294"/>
      <c r="F1585" s="294"/>
      <c r="G1585" s="294"/>
      <c r="H1585" s="294"/>
      <c r="I1585" s="294"/>
      <c r="J1585" s="294"/>
      <c r="L1585" s="295"/>
      <c r="M1585" s="294"/>
      <c r="P1585" s="294"/>
      <c r="Q1585" s="294"/>
    </row>
    <row r="1586" spans="2:17" x14ac:dyDescent="0.25">
      <c r="B1586" s="294"/>
      <c r="C1586" s="294"/>
      <c r="D1586" s="294"/>
      <c r="E1586" s="294"/>
      <c r="F1586" s="294"/>
      <c r="G1586" s="294"/>
      <c r="H1586" s="294"/>
      <c r="I1586" s="294"/>
      <c r="J1586" s="294"/>
      <c r="L1586" s="295"/>
      <c r="M1586" s="294"/>
      <c r="P1586" s="294"/>
      <c r="Q1586" s="294"/>
    </row>
    <row r="1587" spans="2:17" x14ac:dyDescent="0.25">
      <c r="B1587" s="294"/>
      <c r="C1587" s="294"/>
      <c r="D1587" s="294"/>
      <c r="E1587" s="294"/>
      <c r="F1587" s="294"/>
      <c r="G1587" s="294"/>
      <c r="H1587" s="294"/>
      <c r="I1587" s="294"/>
      <c r="J1587" s="294"/>
      <c r="L1587" s="295"/>
      <c r="M1587" s="294"/>
      <c r="P1587" s="294"/>
      <c r="Q1587" s="294"/>
    </row>
    <row r="1588" spans="2:17" x14ac:dyDescent="0.25">
      <c r="B1588" s="294"/>
      <c r="C1588" s="294"/>
      <c r="D1588" s="294"/>
      <c r="E1588" s="294"/>
      <c r="F1588" s="294"/>
      <c r="G1588" s="294"/>
      <c r="H1588" s="294"/>
      <c r="I1588" s="294"/>
      <c r="J1588" s="294"/>
      <c r="L1588" s="295"/>
      <c r="M1588" s="294"/>
      <c r="P1588" s="294"/>
      <c r="Q1588" s="294"/>
    </row>
    <row r="1589" spans="2:17" x14ac:dyDescent="0.25">
      <c r="B1589" s="294"/>
      <c r="C1589" s="294"/>
      <c r="D1589" s="294"/>
      <c r="E1589" s="294"/>
      <c r="F1589" s="294"/>
      <c r="G1589" s="294"/>
      <c r="H1589" s="294"/>
      <c r="I1589" s="294"/>
      <c r="J1589" s="294"/>
      <c r="L1589" s="295"/>
      <c r="M1589" s="294"/>
      <c r="P1589" s="294"/>
      <c r="Q1589" s="294"/>
    </row>
    <row r="1590" spans="2:17" x14ac:dyDescent="0.25">
      <c r="B1590" s="294"/>
      <c r="C1590" s="294"/>
      <c r="D1590" s="294"/>
      <c r="E1590" s="294"/>
      <c r="F1590" s="294"/>
      <c r="G1590" s="294"/>
      <c r="H1590" s="294"/>
      <c r="I1590" s="294"/>
      <c r="J1590" s="294"/>
      <c r="L1590" s="295"/>
      <c r="M1590" s="294"/>
      <c r="P1590" s="294"/>
      <c r="Q1590" s="294"/>
    </row>
    <row r="1591" spans="2:17" x14ac:dyDescent="0.25">
      <c r="B1591" s="294"/>
      <c r="C1591" s="294"/>
      <c r="D1591" s="294"/>
      <c r="E1591" s="294"/>
      <c r="F1591" s="294"/>
      <c r="G1591" s="294"/>
      <c r="H1591" s="294"/>
      <c r="I1591" s="294"/>
      <c r="J1591" s="294"/>
      <c r="L1591" s="295"/>
      <c r="M1591" s="294"/>
      <c r="P1591" s="294"/>
      <c r="Q1591" s="294"/>
    </row>
    <row r="1592" spans="2:17" x14ac:dyDescent="0.25">
      <c r="B1592" s="294"/>
      <c r="C1592" s="294"/>
      <c r="D1592" s="294"/>
      <c r="E1592" s="294"/>
      <c r="F1592" s="294"/>
      <c r="G1592" s="294"/>
      <c r="H1592" s="294"/>
      <c r="I1592" s="294"/>
      <c r="J1592" s="294"/>
      <c r="L1592" s="295"/>
      <c r="M1592" s="294"/>
      <c r="P1592" s="294"/>
      <c r="Q1592" s="294"/>
    </row>
    <row r="1593" spans="2:17" x14ac:dyDescent="0.25">
      <c r="B1593" s="294"/>
      <c r="C1593" s="294"/>
      <c r="D1593" s="294"/>
      <c r="E1593" s="294"/>
      <c r="F1593" s="294"/>
      <c r="G1593" s="294"/>
      <c r="H1593" s="294"/>
      <c r="I1593" s="294"/>
      <c r="J1593" s="294"/>
      <c r="L1593" s="295"/>
      <c r="M1593" s="294"/>
      <c r="P1593" s="294"/>
      <c r="Q1593" s="294"/>
    </row>
    <row r="1594" spans="2:17" x14ac:dyDescent="0.25">
      <c r="B1594" s="294"/>
      <c r="C1594" s="294"/>
      <c r="D1594" s="294"/>
      <c r="E1594" s="294"/>
      <c r="F1594" s="294"/>
      <c r="G1594" s="294"/>
      <c r="H1594" s="294"/>
      <c r="I1594" s="294"/>
      <c r="J1594" s="294"/>
      <c r="L1594" s="295"/>
      <c r="M1594" s="294"/>
      <c r="P1594" s="294"/>
      <c r="Q1594" s="294"/>
    </row>
    <row r="1595" spans="2:17" x14ac:dyDescent="0.25">
      <c r="B1595" s="294"/>
      <c r="C1595" s="294"/>
      <c r="D1595" s="294"/>
      <c r="E1595" s="294"/>
      <c r="F1595" s="294"/>
      <c r="G1595" s="294"/>
      <c r="H1595" s="294"/>
      <c r="I1595" s="294"/>
      <c r="J1595" s="294"/>
      <c r="L1595" s="295"/>
      <c r="M1595" s="294"/>
      <c r="P1595" s="294"/>
      <c r="Q1595" s="294"/>
    </row>
    <row r="1596" spans="2:17" x14ac:dyDescent="0.25">
      <c r="B1596" s="294"/>
      <c r="C1596" s="294"/>
      <c r="D1596" s="294"/>
      <c r="E1596" s="294"/>
      <c r="F1596" s="294"/>
      <c r="G1596" s="294"/>
      <c r="H1596" s="294"/>
      <c r="I1596" s="294"/>
      <c r="J1596" s="294"/>
      <c r="L1596" s="295"/>
      <c r="M1596" s="294"/>
      <c r="P1596" s="294"/>
      <c r="Q1596" s="294"/>
    </row>
    <row r="1597" spans="2:17" x14ac:dyDescent="0.25">
      <c r="B1597" s="294"/>
      <c r="C1597" s="294"/>
      <c r="D1597" s="294"/>
      <c r="E1597" s="294"/>
      <c r="F1597" s="294"/>
      <c r="G1597" s="294"/>
      <c r="H1597" s="294"/>
      <c r="I1597" s="294"/>
      <c r="J1597" s="294"/>
      <c r="L1597" s="295"/>
      <c r="M1597" s="294"/>
      <c r="P1597" s="294"/>
      <c r="Q1597" s="294"/>
    </row>
    <row r="1598" spans="2:17" x14ac:dyDescent="0.25">
      <c r="B1598" s="294"/>
      <c r="C1598" s="294"/>
      <c r="D1598" s="294"/>
      <c r="E1598" s="294"/>
      <c r="F1598" s="294"/>
      <c r="G1598" s="294"/>
      <c r="H1598" s="294"/>
      <c r="I1598" s="294"/>
      <c r="J1598" s="294"/>
      <c r="L1598" s="295"/>
      <c r="M1598" s="294"/>
      <c r="P1598" s="294"/>
      <c r="Q1598" s="294"/>
    </row>
    <row r="1599" spans="2:17" x14ac:dyDescent="0.25">
      <c r="B1599" s="294"/>
      <c r="C1599" s="294"/>
      <c r="D1599" s="294"/>
      <c r="E1599" s="294"/>
      <c r="F1599" s="294"/>
      <c r="G1599" s="294"/>
      <c r="H1599" s="294"/>
      <c r="I1599" s="294"/>
      <c r="J1599" s="294"/>
      <c r="L1599" s="295"/>
      <c r="M1599" s="294"/>
      <c r="P1599" s="294"/>
      <c r="Q1599" s="294"/>
    </row>
    <row r="1600" spans="2:17" x14ac:dyDescent="0.25">
      <c r="B1600" s="294"/>
      <c r="C1600" s="294"/>
      <c r="D1600" s="294"/>
      <c r="E1600" s="294"/>
      <c r="F1600" s="294"/>
      <c r="G1600" s="294"/>
      <c r="H1600" s="294"/>
      <c r="I1600" s="294"/>
      <c r="J1600" s="294"/>
      <c r="L1600" s="295"/>
      <c r="M1600" s="294"/>
      <c r="P1600" s="294"/>
      <c r="Q1600" s="294"/>
    </row>
    <row r="1601" spans="2:17" x14ac:dyDescent="0.25">
      <c r="B1601" s="294"/>
      <c r="C1601" s="294"/>
      <c r="D1601" s="294"/>
      <c r="E1601" s="294"/>
      <c r="F1601" s="294"/>
      <c r="G1601" s="294"/>
      <c r="H1601" s="294"/>
      <c r="I1601" s="294"/>
      <c r="J1601" s="294"/>
      <c r="L1601" s="295"/>
      <c r="M1601" s="294"/>
      <c r="P1601" s="294"/>
      <c r="Q1601" s="294"/>
    </row>
    <row r="1602" spans="2:17" x14ac:dyDescent="0.25">
      <c r="B1602" s="294"/>
      <c r="C1602" s="294"/>
      <c r="D1602" s="294"/>
      <c r="E1602" s="294"/>
      <c r="F1602" s="294"/>
      <c r="G1602" s="294"/>
      <c r="H1602" s="294"/>
      <c r="I1602" s="294"/>
      <c r="J1602" s="294"/>
      <c r="L1602" s="295"/>
      <c r="M1602" s="294"/>
      <c r="P1602" s="294"/>
      <c r="Q1602" s="294"/>
    </row>
    <row r="1603" spans="2:17" x14ac:dyDescent="0.25">
      <c r="B1603" s="294"/>
      <c r="C1603" s="294"/>
      <c r="D1603" s="294"/>
      <c r="E1603" s="294"/>
      <c r="F1603" s="294"/>
      <c r="G1603" s="294"/>
      <c r="H1603" s="294"/>
      <c r="I1603" s="294"/>
      <c r="J1603" s="294"/>
      <c r="L1603" s="295"/>
      <c r="M1603" s="294"/>
      <c r="P1603" s="294"/>
      <c r="Q1603" s="294"/>
    </row>
    <row r="1604" spans="2:17" x14ac:dyDescent="0.25">
      <c r="B1604" s="294"/>
      <c r="C1604" s="294"/>
      <c r="D1604" s="294"/>
      <c r="E1604" s="294"/>
      <c r="F1604" s="294"/>
      <c r="G1604" s="294"/>
      <c r="H1604" s="294"/>
      <c r="I1604" s="294"/>
      <c r="J1604" s="294"/>
      <c r="L1604" s="295"/>
      <c r="M1604" s="294"/>
      <c r="P1604" s="294"/>
      <c r="Q1604" s="294"/>
    </row>
    <row r="1605" spans="2:17" x14ac:dyDescent="0.25">
      <c r="B1605" s="294"/>
      <c r="C1605" s="294"/>
      <c r="D1605" s="294"/>
      <c r="E1605" s="294"/>
      <c r="F1605" s="294"/>
      <c r="G1605" s="294"/>
      <c r="H1605" s="294"/>
      <c r="I1605" s="294"/>
      <c r="J1605" s="294"/>
      <c r="L1605" s="295"/>
      <c r="M1605" s="294"/>
      <c r="P1605" s="294"/>
      <c r="Q1605" s="294"/>
    </row>
    <row r="1606" spans="2:17" x14ac:dyDescent="0.25">
      <c r="B1606" s="294"/>
      <c r="C1606" s="294"/>
      <c r="D1606" s="294"/>
      <c r="E1606" s="294"/>
      <c r="F1606" s="294"/>
      <c r="G1606" s="294"/>
      <c r="H1606" s="294"/>
      <c r="I1606" s="294"/>
      <c r="J1606" s="294"/>
      <c r="L1606" s="295"/>
      <c r="M1606" s="294"/>
      <c r="P1606" s="294"/>
      <c r="Q1606" s="294"/>
    </row>
    <row r="1607" spans="2:17" x14ac:dyDescent="0.25">
      <c r="B1607" s="294"/>
      <c r="C1607" s="294"/>
      <c r="D1607" s="294"/>
      <c r="E1607" s="294"/>
      <c r="F1607" s="294"/>
      <c r="G1607" s="294"/>
      <c r="H1607" s="294"/>
      <c r="I1607" s="294"/>
      <c r="J1607" s="294"/>
      <c r="L1607" s="295"/>
      <c r="M1607" s="294"/>
      <c r="P1607" s="294"/>
      <c r="Q1607" s="294"/>
    </row>
    <row r="1608" spans="2:17" x14ac:dyDescent="0.25">
      <c r="B1608" s="294"/>
      <c r="C1608" s="294"/>
      <c r="D1608" s="294"/>
      <c r="E1608" s="294"/>
      <c r="F1608" s="294"/>
      <c r="G1608" s="294"/>
      <c r="H1608" s="294"/>
      <c r="I1608" s="294"/>
      <c r="J1608" s="294"/>
      <c r="L1608" s="295"/>
      <c r="M1608" s="294"/>
      <c r="P1608" s="294"/>
      <c r="Q1608" s="294"/>
    </row>
    <row r="1609" spans="2:17" x14ac:dyDescent="0.25">
      <c r="B1609" s="294"/>
      <c r="C1609" s="294"/>
      <c r="D1609" s="294"/>
      <c r="E1609" s="294"/>
      <c r="F1609" s="294"/>
      <c r="G1609" s="294"/>
      <c r="H1609" s="294"/>
      <c r="I1609" s="294"/>
      <c r="J1609" s="294"/>
      <c r="L1609" s="295"/>
      <c r="M1609" s="294"/>
      <c r="P1609" s="294"/>
      <c r="Q1609" s="294"/>
    </row>
    <row r="1610" spans="2:17" x14ac:dyDescent="0.25">
      <c r="B1610" s="294"/>
      <c r="C1610" s="294"/>
      <c r="D1610" s="294"/>
      <c r="E1610" s="294"/>
      <c r="F1610" s="294"/>
      <c r="G1610" s="294"/>
      <c r="H1610" s="294"/>
      <c r="I1610" s="294"/>
      <c r="J1610" s="294"/>
      <c r="L1610" s="295"/>
      <c r="M1610" s="294"/>
      <c r="P1610" s="294"/>
      <c r="Q1610" s="294"/>
    </row>
    <row r="1611" spans="2:17" x14ac:dyDescent="0.25">
      <c r="B1611" s="294"/>
      <c r="C1611" s="294"/>
      <c r="D1611" s="294"/>
      <c r="E1611" s="294"/>
      <c r="F1611" s="294"/>
      <c r="G1611" s="294"/>
      <c r="H1611" s="294"/>
      <c r="I1611" s="294"/>
      <c r="J1611" s="294"/>
      <c r="L1611" s="295"/>
      <c r="M1611" s="294"/>
      <c r="P1611" s="294"/>
      <c r="Q1611" s="294"/>
    </row>
    <row r="1612" spans="2:17" x14ac:dyDescent="0.25">
      <c r="B1612" s="294"/>
      <c r="C1612" s="294"/>
      <c r="D1612" s="294"/>
      <c r="E1612" s="294"/>
      <c r="F1612" s="294"/>
      <c r="G1612" s="294"/>
      <c r="H1612" s="294"/>
      <c r="I1612" s="294"/>
      <c r="J1612" s="294"/>
      <c r="L1612" s="295"/>
      <c r="M1612" s="294"/>
      <c r="P1612" s="294"/>
      <c r="Q1612" s="294"/>
    </row>
    <row r="1613" spans="2:17" x14ac:dyDescent="0.25">
      <c r="B1613" s="294"/>
      <c r="C1613" s="294"/>
      <c r="D1613" s="294"/>
      <c r="E1613" s="294"/>
      <c r="F1613" s="294"/>
      <c r="G1613" s="294"/>
      <c r="H1613" s="294"/>
      <c r="I1613" s="294"/>
      <c r="J1613" s="294"/>
      <c r="L1613" s="295"/>
      <c r="M1613" s="294"/>
      <c r="P1613" s="294"/>
      <c r="Q1613" s="294"/>
    </row>
    <row r="1614" spans="2:17" x14ac:dyDescent="0.25">
      <c r="B1614" s="294"/>
      <c r="C1614" s="294"/>
      <c r="D1614" s="294"/>
      <c r="E1614" s="294"/>
      <c r="F1614" s="294"/>
      <c r="G1614" s="294"/>
      <c r="H1614" s="294"/>
      <c r="I1614" s="294"/>
      <c r="J1614" s="294"/>
      <c r="L1614" s="295"/>
      <c r="M1614" s="294"/>
      <c r="P1614" s="294"/>
      <c r="Q1614" s="294"/>
    </row>
    <row r="1615" spans="2:17" x14ac:dyDescent="0.25">
      <c r="B1615" s="294"/>
      <c r="C1615" s="294"/>
      <c r="D1615" s="294"/>
      <c r="E1615" s="294"/>
      <c r="F1615" s="294"/>
      <c r="G1615" s="294"/>
      <c r="H1615" s="294"/>
      <c r="I1615" s="294"/>
      <c r="J1615" s="294"/>
      <c r="L1615" s="295"/>
      <c r="M1615" s="294"/>
      <c r="P1615" s="294"/>
      <c r="Q1615" s="294"/>
    </row>
    <row r="1616" spans="2:17" x14ac:dyDescent="0.25">
      <c r="B1616" s="294"/>
      <c r="C1616" s="294"/>
      <c r="D1616" s="294"/>
      <c r="E1616" s="294"/>
      <c r="F1616" s="294"/>
      <c r="G1616" s="294"/>
      <c r="H1616" s="294"/>
      <c r="I1616" s="294"/>
      <c r="J1616" s="294"/>
      <c r="L1616" s="295"/>
      <c r="M1616" s="294"/>
      <c r="P1616" s="294"/>
      <c r="Q1616" s="294"/>
    </row>
    <row r="1617" spans="2:17" x14ac:dyDescent="0.25">
      <c r="B1617" s="294"/>
      <c r="C1617" s="294"/>
      <c r="D1617" s="294"/>
      <c r="E1617" s="294"/>
      <c r="F1617" s="294"/>
      <c r="G1617" s="294"/>
      <c r="H1617" s="294"/>
      <c r="I1617" s="294"/>
      <c r="J1617" s="294"/>
      <c r="L1617" s="295"/>
      <c r="M1617" s="294"/>
      <c r="P1617" s="294"/>
      <c r="Q1617" s="294"/>
    </row>
    <row r="1618" spans="2:17" x14ac:dyDescent="0.25">
      <c r="B1618" s="294"/>
      <c r="C1618" s="294"/>
      <c r="D1618" s="294"/>
      <c r="E1618" s="294"/>
      <c r="F1618" s="294"/>
      <c r="G1618" s="294"/>
      <c r="H1618" s="294"/>
      <c r="I1618" s="294"/>
      <c r="J1618" s="294"/>
      <c r="L1618" s="295"/>
      <c r="M1618" s="294"/>
      <c r="P1618" s="294"/>
      <c r="Q1618" s="294"/>
    </row>
    <row r="1619" spans="2:17" x14ac:dyDescent="0.25">
      <c r="B1619" s="294"/>
      <c r="C1619" s="294"/>
      <c r="D1619" s="294"/>
      <c r="E1619" s="294"/>
      <c r="F1619" s="294"/>
      <c r="G1619" s="294"/>
      <c r="H1619" s="294"/>
      <c r="I1619" s="294"/>
      <c r="J1619" s="294"/>
      <c r="L1619" s="295"/>
      <c r="M1619" s="294"/>
      <c r="P1619" s="294"/>
      <c r="Q1619" s="294"/>
    </row>
    <row r="1620" spans="2:17" x14ac:dyDescent="0.25">
      <c r="B1620" s="294"/>
      <c r="C1620" s="294"/>
      <c r="D1620" s="294"/>
      <c r="E1620" s="294"/>
      <c r="F1620" s="294"/>
      <c r="G1620" s="294"/>
      <c r="H1620" s="294"/>
      <c r="I1620" s="294"/>
      <c r="J1620" s="294"/>
      <c r="L1620" s="295"/>
      <c r="M1620" s="294"/>
      <c r="P1620" s="294"/>
      <c r="Q1620" s="294"/>
    </row>
    <row r="1621" spans="2:17" x14ac:dyDescent="0.25">
      <c r="B1621" s="294"/>
      <c r="C1621" s="294"/>
      <c r="D1621" s="294"/>
      <c r="E1621" s="294"/>
      <c r="F1621" s="294"/>
      <c r="G1621" s="294"/>
      <c r="H1621" s="294"/>
      <c r="I1621" s="294"/>
      <c r="J1621" s="294"/>
      <c r="L1621" s="295"/>
      <c r="M1621" s="294"/>
      <c r="P1621" s="294"/>
      <c r="Q1621" s="294"/>
    </row>
    <row r="1622" spans="2:17" x14ac:dyDescent="0.25">
      <c r="B1622" s="294"/>
      <c r="C1622" s="294"/>
      <c r="D1622" s="294"/>
      <c r="E1622" s="294"/>
      <c r="F1622" s="294"/>
      <c r="G1622" s="294"/>
      <c r="H1622" s="294"/>
      <c r="I1622" s="294"/>
      <c r="J1622" s="294"/>
      <c r="L1622" s="295"/>
      <c r="M1622" s="294"/>
      <c r="P1622" s="294"/>
      <c r="Q1622" s="294"/>
    </row>
    <row r="1623" spans="2:17" x14ac:dyDescent="0.25">
      <c r="B1623" s="294"/>
      <c r="C1623" s="294"/>
      <c r="D1623" s="294"/>
      <c r="E1623" s="294"/>
      <c r="F1623" s="294"/>
      <c r="G1623" s="294"/>
      <c r="H1623" s="294"/>
      <c r="I1623" s="294"/>
      <c r="J1623" s="294"/>
      <c r="L1623" s="295"/>
      <c r="M1623" s="294"/>
      <c r="P1623" s="294"/>
      <c r="Q1623" s="294"/>
    </row>
    <row r="1624" spans="2:17" x14ac:dyDescent="0.25">
      <c r="B1624" s="294"/>
      <c r="C1624" s="294"/>
      <c r="D1624" s="294"/>
      <c r="E1624" s="294"/>
      <c r="F1624" s="294"/>
      <c r="G1624" s="294"/>
      <c r="H1624" s="294"/>
      <c r="I1624" s="294"/>
      <c r="J1624" s="294"/>
      <c r="L1624" s="295"/>
      <c r="M1624" s="294"/>
      <c r="P1624" s="294"/>
      <c r="Q1624" s="294"/>
    </row>
    <row r="1625" spans="2:17" x14ac:dyDescent="0.25">
      <c r="B1625" s="294"/>
      <c r="C1625" s="294"/>
      <c r="D1625" s="294"/>
      <c r="E1625" s="294"/>
      <c r="F1625" s="294"/>
      <c r="G1625" s="294"/>
      <c r="H1625" s="294"/>
      <c r="I1625" s="294"/>
      <c r="J1625" s="294"/>
      <c r="L1625" s="295"/>
      <c r="M1625" s="294"/>
      <c r="P1625" s="294"/>
      <c r="Q1625" s="294"/>
    </row>
    <row r="1626" spans="2:17" x14ac:dyDescent="0.25">
      <c r="B1626" s="294"/>
      <c r="C1626" s="294"/>
      <c r="D1626" s="294"/>
      <c r="E1626" s="294"/>
      <c r="F1626" s="294"/>
      <c r="G1626" s="294"/>
      <c r="H1626" s="294"/>
      <c r="I1626" s="294"/>
      <c r="J1626" s="294"/>
      <c r="L1626" s="295"/>
      <c r="M1626" s="294"/>
      <c r="P1626" s="294"/>
      <c r="Q1626" s="294"/>
    </row>
    <row r="1627" spans="2:17" x14ac:dyDescent="0.25">
      <c r="B1627" s="294"/>
      <c r="C1627" s="294"/>
      <c r="D1627" s="294"/>
      <c r="E1627" s="294"/>
      <c r="F1627" s="294"/>
      <c r="G1627" s="294"/>
      <c r="H1627" s="294"/>
      <c r="I1627" s="294"/>
      <c r="J1627" s="294"/>
      <c r="L1627" s="295"/>
      <c r="M1627" s="294"/>
      <c r="P1627" s="294"/>
      <c r="Q1627" s="294"/>
    </row>
    <row r="1628" spans="2:17" x14ac:dyDescent="0.25">
      <c r="B1628" s="294"/>
      <c r="C1628" s="294"/>
      <c r="D1628" s="294"/>
      <c r="E1628" s="294"/>
      <c r="F1628" s="294"/>
      <c r="G1628" s="294"/>
      <c r="H1628" s="294"/>
      <c r="I1628" s="294"/>
      <c r="J1628" s="294"/>
      <c r="L1628" s="295"/>
      <c r="M1628" s="294"/>
      <c r="P1628" s="294"/>
      <c r="Q1628" s="294"/>
    </row>
    <row r="1629" spans="2:17" x14ac:dyDescent="0.25">
      <c r="B1629" s="294"/>
      <c r="C1629" s="294"/>
      <c r="D1629" s="294"/>
      <c r="E1629" s="294"/>
      <c r="F1629" s="294"/>
      <c r="G1629" s="294"/>
      <c r="H1629" s="294"/>
      <c r="I1629" s="294"/>
      <c r="J1629" s="294"/>
      <c r="L1629" s="295"/>
      <c r="M1629" s="294"/>
      <c r="P1629" s="294"/>
      <c r="Q1629" s="294"/>
    </row>
    <row r="1630" spans="2:17" x14ac:dyDescent="0.25">
      <c r="B1630" s="294"/>
      <c r="C1630" s="294"/>
      <c r="D1630" s="294"/>
      <c r="E1630" s="294"/>
      <c r="F1630" s="294"/>
      <c r="G1630" s="294"/>
      <c r="H1630" s="294"/>
      <c r="I1630" s="294"/>
      <c r="J1630" s="294"/>
      <c r="L1630" s="295"/>
      <c r="M1630" s="294"/>
      <c r="P1630" s="294"/>
      <c r="Q1630" s="294"/>
    </row>
    <row r="1631" spans="2:17" x14ac:dyDescent="0.25">
      <c r="B1631" s="294"/>
      <c r="C1631" s="294"/>
      <c r="D1631" s="294"/>
      <c r="E1631" s="294"/>
      <c r="F1631" s="294"/>
      <c r="G1631" s="294"/>
      <c r="H1631" s="294"/>
      <c r="I1631" s="294"/>
      <c r="J1631" s="294"/>
      <c r="L1631" s="295"/>
      <c r="M1631" s="294"/>
      <c r="P1631" s="294"/>
      <c r="Q1631" s="294"/>
    </row>
    <row r="1632" spans="2:17" x14ac:dyDescent="0.25">
      <c r="B1632" s="294"/>
      <c r="C1632" s="294"/>
      <c r="D1632" s="294"/>
      <c r="E1632" s="294"/>
      <c r="F1632" s="294"/>
      <c r="G1632" s="294"/>
      <c r="H1632" s="294"/>
      <c r="I1632" s="294"/>
      <c r="J1632" s="294"/>
      <c r="L1632" s="295"/>
      <c r="M1632" s="294"/>
      <c r="P1632" s="294"/>
      <c r="Q1632" s="294"/>
    </row>
    <row r="1633" spans="2:17" x14ac:dyDescent="0.25">
      <c r="B1633" s="294"/>
      <c r="C1633" s="294"/>
      <c r="D1633" s="294"/>
      <c r="E1633" s="294"/>
      <c r="F1633" s="294"/>
      <c r="G1633" s="294"/>
      <c r="H1633" s="294"/>
      <c r="I1633" s="294"/>
      <c r="J1633" s="294"/>
      <c r="L1633" s="295"/>
      <c r="M1633" s="294"/>
      <c r="P1633" s="294"/>
      <c r="Q1633" s="294"/>
    </row>
    <row r="1634" spans="2:17" x14ac:dyDescent="0.25">
      <c r="B1634" s="294"/>
      <c r="C1634" s="294"/>
      <c r="D1634" s="294"/>
      <c r="E1634" s="294"/>
      <c r="F1634" s="294"/>
      <c r="G1634" s="294"/>
      <c r="H1634" s="294"/>
      <c r="I1634" s="294"/>
      <c r="J1634" s="294"/>
      <c r="L1634" s="295"/>
      <c r="M1634" s="294"/>
      <c r="P1634" s="294"/>
      <c r="Q1634" s="294"/>
    </row>
    <row r="1635" spans="2:17" x14ac:dyDescent="0.25">
      <c r="B1635" s="294"/>
      <c r="C1635" s="294"/>
      <c r="D1635" s="294"/>
      <c r="E1635" s="294"/>
      <c r="F1635" s="294"/>
      <c r="G1635" s="294"/>
      <c r="H1635" s="294"/>
      <c r="I1635" s="294"/>
      <c r="J1635" s="294"/>
      <c r="L1635" s="295"/>
      <c r="M1635" s="294"/>
      <c r="P1635" s="294"/>
      <c r="Q1635" s="294"/>
    </row>
    <row r="1636" spans="2:17" x14ac:dyDescent="0.25">
      <c r="B1636" s="294"/>
      <c r="C1636" s="294"/>
      <c r="D1636" s="294"/>
      <c r="E1636" s="294"/>
      <c r="F1636" s="294"/>
      <c r="G1636" s="294"/>
      <c r="H1636" s="294"/>
      <c r="I1636" s="294"/>
      <c r="J1636" s="294"/>
      <c r="L1636" s="295"/>
      <c r="M1636" s="294"/>
      <c r="P1636" s="294"/>
      <c r="Q1636" s="294"/>
    </row>
    <row r="1637" spans="2:17" x14ac:dyDescent="0.25">
      <c r="B1637" s="294"/>
      <c r="C1637" s="294"/>
      <c r="D1637" s="294"/>
      <c r="E1637" s="294"/>
      <c r="F1637" s="294"/>
      <c r="G1637" s="294"/>
      <c r="H1637" s="294"/>
      <c r="I1637" s="294"/>
      <c r="J1637" s="294"/>
      <c r="L1637" s="295"/>
      <c r="M1637" s="294"/>
      <c r="P1637" s="294"/>
      <c r="Q1637" s="294"/>
    </row>
    <row r="1638" spans="2:17" x14ac:dyDescent="0.25">
      <c r="B1638" s="294"/>
      <c r="C1638" s="294"/>
      <c r="D1638" s="294"/>
      <c r="E1638" s="294"/>
      <c r="F1638" s="294"/>
      <c r="G1638" s="294"/>
      <c r="H1638" s="294"/>
      <c r="I1638" s="294"/>
      <c r="J1638" s="294"/>
      <c r="L1638" s="295"/>
      <c r="M1638" s="294"/>
      <c r="P1638" s="294"/>
      <c r="Q1638" s="294"/>
    </row>
    <row r="1639" spans="2:17" x14ac:dyDescent="0.25">
      <c r="B1639" s="294"/>
      <c r="C1639" s="294"/>
      <c r="D1639" s="294"/>
      <c r="E1639" s="294"/>
      <c r="F1639" s="294"/>
      <c r="G1639" s="294"/>
      <c r="H1639" s="294"/>
      <c r="I1639" s="294"/>
      <c r="J1639" s="294"/>
      <c r="L1639" s="295"/>
      <c r="M1639" s="294"/>
      <c r="P1639" s="294"/>
      <c r="Q1639" s="294"/>
    </row>
    <row r="1640" spans="2:17" x14ac:dyDescent="0.25">
      <c r="B1640" s="294"/>
      <c r="C1640" s="294"/>
      <c r="D1640" s="294"/>
      <c r="E1640" s="294"/>
      <c r="F1640" s="294"/>
      <c r="G1640" s="294"/>
      <c r="H1640" s="294"/>
      <c r="I1640" s="294"/>
      <c r="J1640" s="294"/>
      <c r="L1640" s="295"/>
      <c r="M1640" s="294"/>
      <c r="P1640" s="294"/>
      <c r="Q1640" s="294"/>
    </row>
    <row r="1641" spans="2:17" x14ac:dyDescent="0.25">
      <c r="B1641" s="294"/>
      <c r="C1641" s="294"/>
      <c r="D1641" s="294"/>
      <c r="E1641" s="294"/>
      <c r="F1641" s="294"/>
      <c r="G1641" s="294"/>
      <c r="H1641" s="294"/>
      <c r="I1641" s="294"/>
      <c r="J1641" s="294"/>
      <c r="L1641" s="295"/>
      <c r="M1641" s="294"/>
      <c r="P1641" s="294"/>
      <c r="Q1641" s="294"/>
    </row>
    <row r="1642" spans="2:17" x14ac:dyDescent="0.25">
      <c r="B1642" s="294"/>
      <c r="C1642" s="294"/>
      <c r="D1642" s="294"/>
      <c r="E1642" s="294"/>
      <c r="F1642" s="294"/>
      <c r="G1642" s="294"/>
      <c r="H1642" s="294"/>
      <c r="I1642" s="294"/>
      <c r="J1642" s="294"/>
      <c r="L1642" s="295"/>
      <c r="M1642" s="294"/>
      <c r="P1642" s="294"/>
      <c r="Q1642" s="294"/>
    </row>
    <row r="1643" spans="2:17" x14ac:dyDescent="0.25">
      <c r="B1643" s="294"/>
      <c r="C1643" s="294"/>
      <c r="D1643" s="294"/>
      <c r="E1643" s="294"/>
      <c r="F1643" s="294"/>
      <c r="G1643" s="294"/>
      <c r="H1643" s="294"/>
      <c r="I1643" s="294"/>
      <c r="J1643" s="294"/>
      <c r="L1643" s="295"/>
      <c r="M1643" s="294"/>
      <c r="P1643" s="294"/>
      <c r="Q1643" s="294"/>
    </row>
    <row r="1644" spans="2:17" x14ac:dyDescent="0.25">
      <c r="B1644" s="294"/>
      <c r="C1644" s="294"/>
      <c r="D1644" s="294"/>
      <c r="E1644" s="294"/>
      <c r="F1644" s="294"/>
      <c r="G1644" s="294"/>
      <c r="H1644" s="294"/>
      <c r="I1644" s="294"/>
      <c r="J1644" s="294"/>
      <c r="L1644" s="295"/>
      <c r="M1644" s="294"/>
      <c r="P1644" s="294"/>
      <c r="Q1644" s="294"/>
    </row>
    <row r="1645" spans="2:17" x14ac:dyDescent="0.25">
      <c r="B1645" s="294"/>
      <c r="C1645" s="294"/>
      <c r="D1645" s="294"/>
      <c r="E1645" s="294"/>
      <c r="F1645" s="294"/>
      <c r="G1645" s="294"/>
      <c r="H1645" s="294"/>
      <c r="I1645" s="294"/>
      <c r="J1645" s="294"/>
      <c r="L1645" s="295"/>
      <c r="M1645" s="294"/>
      <c r="P1645" s="294"/>
      <c r="Q1645" s="294"/>
    </row>
    <row r="1646" spans="2:17" x14ac:dyDescent="0.25">
      <c r="B1646" s="294"/>
      <c r="C1646" s="294"/>
      <c r="D1646" s="294"/>
      <c r="E1646" s="294"/>
      <c r="F1646" s="294"/>
      <c r="G1646" s="294"/>
      <c r="H1646" s="294"/>
      <c r="I1646" s="294"/>
      <c r="J1646" s="294"/>
      <c r="L1646" s="295"/>
      <c r="M1646" s="294"/>
      <c r="P1646" s="294"/>
      <c r="Q1646" s="294"/>
    </row>
    <row r="1647" spans="2:17" x14ac:dyDescent="0.25">
      <c r="B1647" s="294"/>
      <c r="C1647" s="294"/>
      <c r="D1647" s="294"/>
      <c r="E1647" s="294"/>
      <c r="F1647" s="294"/>
      <c r="G1647" s="294"/>
      <c r="H1647" s="294"/>
      <c r="I1647" s="294"/>
      <c r="J1647" s="294"/>
      <c r="L1647" s="295"/>
      <c r="M1647" s="294"/>
      <c r="P1647" s="294"/>
      <c r="Q1647" s="294"/>
    </row>
    <row r="1648" spans="2:17" x14ac:dyDescent="0.25">
      <c r="B1648" s="294"/>
      <c r="C1648" s="294"/>
      <c r="D1648" s="294"/>
      <c r="E1648" s="294"/>
      <c r="F1648" s="294"/>
      <c r="G1648" s="294"/>
      <c r="H1648" s="294"/>
      <c r="I1648" s="294"/>
      <c r="J1648" s="294"/>
      <c r="L1648" s="295"/>
      <c r="M1648" s="294"/>
      <c r="P1648" s="294"/>
      <c r="Q1648" s="294"/>
    </row>
    <row r="1649" spans="2:17" x14ac:dyDescent="0.25">
      <c r="B1649" s="294"/>
      <c r="C1649" s="294"/>
      <c r="D1649" s="294"/>
      <c r="E1649" s="294"/>
      <c r="F1649" s="294"/>
      <c r="G1649" s="294"/>
      <c r="H1649" s="294"/>
      <c r="I1649" s="294"/>
      <c r="J1649" s="294"/>
      <c r="L1649" s="295"/>
      <c r="M1649" s="294"/>
      <c r="P1649" s="294"/>
      <c r="Q1649" s="294"/>
    </row>
    <row r="1650" spans="2:17" x14ac:dyDescent="0.25">
      <c r="B1650" s="294"/>
      <c r="C1650" s="294"/>
      <c r="D1650" s="294"/>
      <c r="E1650" s="294"/>
      <c r="F1650" s="294"/>
      <c r="G1650" s="294"/>
      <c r="H1650" s="294"/>
      <c r="I1650" s="294"/>
      <c r="J1650" s="294"/>
      <c r="L1650" s="295"/>
      <c r="M1650" s="294"/>
      <c r="P1650" s="294"/>
      <c r="Q1650" s="294"/>
    </row>
    <row r="1651" spans="2:17" x14ac:dyDescent="0.25">
      <c r="B1651" s="294"/>
      <c r="C1651" s="294"/>
      <c r="D1651" s="294"/>
      <c r="E1651" s="294"/>
      <c r="F1651" s="294"/>
      <c r="G1651" s="294"/>
      <c r="H1651" s="294"/>
      <c r="I1651" s="294"/>
      <c r="J1651" s="294"/>
      <c r="L1651" s="295"/>
      <c r="M1651" s="294"/>
      <c r="P1651" s="294"/>
      <c r="Q1651" s="294"/>
    </row>
    <row r="1652" spans="2:17" x14ac:dyDescent="0.25">
      <c r="B1652" s="294"/>
      <c r="C1652" s="294"/>
      <c r="D1652" s="294"/>
      <c r="E1652" s="294"/>
      <c r="F1652" s="294"/>
      <c r="G1652" s="294"/>
      <c r="H1652" s="294"/>
      <c r="I1652" s="294"/>
      <c r="J1652" s="294"/>
      <c r="L1652" s="295"/>
      <c r="M1652" s="294"/>
      <c r="P1652" s="294"/>
      <c r="Q1652" s="294"/>
    </row>
    <row r="1653" spans="2:17" x14ac:dyDescent="0.25">
      <c r="B1653" s="294"/>
      <c r="C1653" s="294"/>
      <c r="D1653" s="294"/>
      <c r="E1653" s="294"/>
      <c r="F1653" s="294"/>
      <c r="G1653" s="294"/>
      <c r="H1653" s="294"/>
      <c r="I1653" s="294"/>
      <c r="J1653" s="294"/>
      <c r="L1653" s="295"/>
      <c r="M1653" s="294"/>
      <c r="P1653" s="294"/>
      <c r="Q1653" s="294"/>
    </row>
    <row r="1654" spans="2:17" x14ac:dyDescent="0.25">
      <c r="B1654" s="294"/>
      <c r="C1654" s="294"/>
      <c r="D1654" s="294"/>
      <c r="E1654" s="294"/>
      <c r="F1654" s="294"/>
      <c r="G1654" s="294"/>
      <c r="H1654" s="294"/>
      <c r="I1654" s="294"/>
      <c r="J1654" s="294"/>
      <c r="L1654" s="295"/>
      <c r="M1654" s="294"/>
      <c r="P1654" s="294"/>
      <c r="Q1654" s="294"/>
    </row>
    <row r="1655" spans="2:17" x14ac:dyDescent="0.25">
      <c r="B1655" s="294"/>
      <c r="C1655" s="294"/>
      <c r="D1655" s="294"/>
      <c r="E1655" s="294"/>
      <c r="F1655" s="294"/>
      <c r="G1655" s="294"/>
      <c r="H1655" s="294"/>
      <c r="I1655" s="294"/>
      <c r="J1655" s="294"/>
      <c r="L1655" s="295"/>
      <c r="M1655" s="294"/>
      <c r="P1655" s="294"/>
      <c r="Q1655" s="294"/>
    </row>
    <row r="1656" spans="2:17" x14ac:dyDescent="0.25">
      <c r="B1656" s="294"/>
      <c r="C1656" s="294"/>
      <c r="D1656" s="294"/>
      <c r="E1656" s="294"/>
      <c r="F1656" s="294"/>
      <c r="G1656" s="294"/>
      <c r="H1656" s="294"/>
      <c r="I1656" s="294"/>
      <c r="J1656" s="294"/>
      <c r="L1656" s="295"/>
      <c r="M1656" s="294"/>
      <c r="P1656" s="294"/>
      <c r="Q1656" s="294"/>
    </row>
    <row r="1657" spans="2:17" x14ac:dyDescent="0.25">
      <c r="B1657" s="294"/>
      <c r="C1657" s="294"/>
      <c r="D1657" s="294"/>
      <c r="E1657" s="294"/>
      <c r="F1657" s="294"/>
      <c r="G1657" s="294"/>
      <c r="H1657" s="294"/>
      <c r="I1657" s="294"/>
      <c r="J1657" s="294"/>
      <c r="L1657" s="295"/>
      <c r="M1657" s="294"/>
      <c r="P1657" s="294"/>
      <c r="Q1657" s="294"/>
    </row>
    <row r="1658" spans="2:17" x14ac:dyDescent="0.25">
      <c r="B1658" s="294"/>
      <c r="C1658" s="294"/>
      <c r="D1658" s="294"/>
      <c r="E1658" s="294"/>
      <c r="F1658" s="294"/>
      <c r="G1658" s="294"/>
      <c r="H1658" s="294"/>
      <c r="I1658" s="294"/>
      <c r="J1658" s="294"/>
      <c r="L1658" s="295"/>
      <c r="M1658" s="294"/>
      <c r="P1658" s="294"/>
      <c r="Q1658" s="294"/>
    </row>
    <row r="1659" spans="2:17" x14ac:dyDescent="0.25">
      <c r="B1659" s="294"/>
      <c r="C1659" s="294"/>
      <c r="D1659" s="294"/>
      <c r="E1659" s="294"/>
      <c r="F1659" s="294"/>
      <c r="G1659" s="294"/>
      <c r="H1659" s="294"/>
      <c r="I1659" s="294"/>
      <c r="J1659" s="294"/>
      <c r="L1659" s="295"/>
      <c r="M1659" s="294"/>
      <c r="P1659" s="294"/>
      <c r="Q1659" s="294"/>
    </row>
    <row r="1660" spans="2:17" x14ac:dyDescent="0.25">
      <c r="B1660" s="294"/>
      <c r="C1660" s="294"/>
      <c r="D1660" s="294"/>
      <c r="E1660" s="294"/>
      <c r="F1660" s="294"/>
      <c r="G1660" s="294"/>
      <c r="H1660" s="294"/>
      <c r="I1660" s="294"/>
      <c r="J1660" s="294"/>
      <c r="L1660" s="295"/>
      <c r="M1660" s="294"/>
      <c r="P1660" s="294"/>
      <c r="Q1660" s="294"/>
    </row>
    <row r="1661" spans="2:17" x14ac:dyDescent="0.25">
      <c r="B1661" s="294"/>
      <c r="C1661" s="294"/>
      <c r="D1661" s="294"/>
      <c r="E1661" s="294"/>
      <c r="F1661" s="294"/>
      <c r="G1661" s="294"/>
      <c r="H1661" s="294"/>
      <c r="I1661" s="294"/>
      <c r="J1661" s="294"/>
      <c r="L1661" s="295"/>
      <c r="M1661" s="294"/>
      <c r="P1661" s="294"/>
      <c r="Q1661" s="294"/>
    </row>
    <row r="1662" spans="2:17" x14ac:dyDescent="0.25">
      <c r="B1662" s="294"/>
      <c r="C1662" s="294"/>
      <c r="D1662" s="294"/>
      <c r="E1662" s="294"/>
      <c r="F1662" s="294"/>
      <c r="G1662" s="294"/>
      <c r="H1662" s="294"/>
      <c r="I1662" s="294"/>
      <c r="J1662" s="294"/>
      <c r="L1662" s="295"/>
      <c r="M1662" s="294"/>
      <c r="P1662" s="294"/>
      <c r="Q1662" s="294"/>
    </row>
    <row r="1663" spans="2:17" x14ac:dyDescent="0.25">
      <c r="B1663" s="294"/>
      <c r="C1663" s="294"/>
      <c r="D1663" s="294"/>
      <c r="E1663" s="294"/>
      <c r="F1663" s="294"/>
      <c r="G1663" s="294"/>
      <c r="H1663" s="294"/>
      <c r="I1663" s="294"/>
      <c r="J1663" s="294"/>
      <c r="L1663" s="295"/>
      <c r="M1663" s="294"/>
      <c r="P1663" s="294"/>
      <c r="Q1663" s="294"/>
    </row>
    <row r="1664" spans="2:17" x14ac:dyDescent="0.25">
      <c r="B1664" s="294"/>
      <c r="C1664" s="294"/>
      <c r="D1664" s="294"/>
      <c r="E1664" s="294"/>
      <c r="F1664" s="294"/>
      <c r="G1664" s="294"/>
      <c r="H1664" s="294"/>
      <c r="I1664" s="294"/>
      <c r="J1664" s="294"/>
      <c r="L1664" s="295"/>
      <c r="M1664" s="294"/>
      <c r="P1664" s="294"/>
      <c r="Q1664" s="294"/>
    </row>
    <row r="1665" spans="2:17" x14ac:dyDescent="0.25">
      <c r="B1665" s="294"/>
      <c r="C1665" s="294"/>
      <c r="D1665" s="294"/>
      <c r="E1665" s="294"/>
      <c r="F1665" s="294"/>
      <c r="G1665" s="294"/>
      <c r="H1665" s="294"/>
      <c r="I1665" s="294"/>
      <c r="J1665" s="294"/>
      <c r="L1665" s="295"/>
      <c r="M1665" s="294"/>
      <c r="P1665" s="294"/>
      <c r="Q1665" s="294"/>
    </row>
    <row r="1666" spans="2:17" x14ac:dyDescent="0.25">
      <c r="B1666" s="294"/>
      <c r="C1666" s="294"/>
      <c r="D1666" s="294"/>
      <c r="E1666" s="294"/>
      <c r="F1666" s="294"/>
      <c r="G1666" s="294"/>
      <c r="H1666" s="294"/>
      <c r="I1666" s="294"/>
      <c r="J1666" s="294"/>
      <c r="L1666" s="295"/>
      <c r="M1666" s="294"/>
      <c r="P1666" s="294"/>
      <c r="Q1666" s="294"/>
    </row>
    <row r="1667" spans="2:17" x14ac:dyDescent="0.25">
      <c r="B1667" s="294"/>
      <c r="C1667" s="294"/>
      <c r="D1667" s="294"/>
      <c r="E1667" s="294"/>
      <c r="F1667" s="294"/>
      <c r="G1667" s="294"/>
      <c r="H1667" s="294"/>
      <c r="I1667" s="294"/>
      <c r="J1667" s="294"/>
      <c r="L1667" s="295"/>
      <c r="M1667" s="294"/>
      <c r="P1667" s="294"/>
      <c r="Q1667" s="294"/>
    </row>
    <row r="1668" spans="2:17" x14ac:dyDescent="0.25">
      <c r="B1668" s="294"/>
      <c r="C1668" s="294"/>
      <c r="D1668" s="294"/>
      <c r="E1668" s="294"/>
      <c r="F1668" s="294"/>
      <c r="G1668" s="294"/>
      <c r="H1668" s="294"/>
      <c r="I1668" s="294"/>
      <c r="J1668" s="294"/>
      <c r="L1668" s="295"/>
      <c r="M1668" s="294"/>
      <c r="P1668" s="294"/>
      <c r="Q1668" s="294"/>
    </row>
    <row r="1669" spans="2:17" x14ac:dyDescent="0.25">
      <c r="B1669" s="294"/>
      <c r="C1669" s="294"/>
      <c r="D1669" s="294"/>
      <c r="E1669" s="294"/>
      <c r="F1669" s="294"/>
      <c r="G1669" s="294"/>
      <c r="H1669" s="294"/>
      <c r="I1669" s="294"/>
      <c r="J1669" s="294"/>
      <c r="L1669" s="295"/>
      <c r="M1669" s="294"/>
      <c r="P1669" s="294"/>
      <c r="Q1669" s="294"/>
    </row>
    <row r="1670" spans="2:17" x14ac:dyDescent="0.25">
      <c r="B1670" s="294"/>
      <c r="C1670" s="294"/>
      <c r="D1670" s="294"/>
      <c r="E1670" s="294"/>
      <c r="F1670" s="294"/>
      <c r="G1670" s="294"/>
      <c r="H1670" s="294"/>
      <c r="I1670" s="294"/>
      <c r="J1670" s="294"/>
      <c r="L1670" s="295"/>
      <c r="M1670" s="294"/>
      <c r="P1670" s="294"/>
      <c r="Q1670" s="294"/>
    </row>
    <row r="1671" spans="2:17" x14ac:dyDescent="0.25">
      <c r="B1671" s="294"/>
      <c r="C1671" s="294"/>
      <c r="D1671" s="294"/>
      <c r="E1671" s="294"/>
      <c r="F1671" s="294"/>
      <c r="G1671" s="294"/>
      <c r="H1671" s="294"/>
      <c r="I1671" s="294"/>
      <c r="J1671" s="294"/>
      <c r="L1671" s="295"/>
      <c r="M1671" s="294"/>
      <c r="P1671" s="294"/>
      <c r="Q1671" s="294"/>
    </row>
    <row r="1672" spans="2:17" x14ac:dyDescent="0.25">
      <c r="B1672" s="294"/>
      <c r="C1672" s="294"/>
      <c r="D1672" s="294"/>
      <c r="E1672" s="294"/>
      <c r="F1672" s="294"/>
      <c r="G1672" s="294"/>
      <c r="H1672" s="294"/>
      <c r="I1672" s="294"/>
      <c r="J1672" s="294"/>
      <c r="L1672" s="295"/>
      <c r="M1672" s="294"/>
      <c r="P1672" s="294"/>
      <c r="Q1672" s="294"/>
    </row>
    <row r="1673" spans="2:17" x14ac:dyDescent="0.25">
      <c r="B1673" s="294"/>
      <c r="C1673" s="294"/>
      <c r="D1673" s="294"/>
      <c r="E1673" s="294"/>
      <c r="F1673" s="294"/>
      <c r="G1673" s="294"/>
      <c r="H1673" s="294"/>
      <c r="I1673" s="294"/>
      <c r="J1673" s="294"/>
      <c r="L1673" s="295"/>
      <c r="M1673" s="294"/>
      <c r="P1673" s="294"/>
      <c r="Q1673" s="294"/>
    </row>
    <row r="1674" spans="2:17" x14ac:dyDescent="0.25">
      <c r="B1674" s="294"/>
      <c r="C1674" s="294"/>
      <c r="D1674" s="294"/>
      <c r="E1674" s="294"/>
      <c r="F1674" s="294"/>
      <c r="G1674" s="294"/>
      <c r="H1674" s="294"/>
      <c r="I1674" s="294"/>
      <c r="J1674" s="294"/>
      <c r="L1674" s="295"/>
      <c r="M1674" s="294"/>
      <c r="P1674" s="294"/>
      <c r="Q1674" s="294"/>
    </row>
    <row r="1675" spans="2:17" x14ac:dyDescent="0.25">
      <c r="B1675" s="294"/>
      <c r="C1675" s="294"/>
      <c r="D1675" s="294"/>
      <c r="E1675" s="294"/>
      <c r="F1675" s="294"/>
      <c r="G1675" s="294"/>
      <c r="H1675" s="294"/>
      <c r="I1675" s="294"/>
      <c r="J1675" s="294"/>
      <c r="L1675" s="295"/>
      <c r="M1675" s="294"/>
      <c r="P1675" s="294"/>
      <c r="Q1675" s="294"/>
    </row>
    <row r="1676" spans="2:17" x14ac:dyDescent="0.25">
      <c r="B1676" s="294"/>
      <c r="C1676" s="294"/>
      <c r="D1676" s="294"/>
      <c r="E1676" s="294"/>
      <c r="F1676" s="294"/>
      <c r="G1676" s="294"/>
      <c r="H1676" s="294"/>
      <c r="I1676" s="294"/>
      <c r="J1676" s="294"/>
      <c r="L1676" s="295"/>
      <c r="M1676" s="294"/>
      <c r="P1676" s="294"/>
      <c r="Q1676" s="294"/>
    </row>
    <row r="1677" spans="2:17" x14ac:dyDescent="0.25">
      <c r="B1677" s="294"/>
      <c r="C1677" s="294"/>
      <c r="D1677" s="294"/>
      <c r="E1677" s="294"/>
      <c r="F1677" s="294"/>
      <c r="G1677" s="294"/>
      <c r="H1677" s="294"/>
      <c r="I1677" s="294"/>
      <c r="J1677" s="294"/>
      <c r="L1677" s="295"/>
      <c r="M1677" s="294"/>
      <c r="P1677" s="294"/>
      <c r="Q1677" s="294"/>
    </row>
    <row r="1678" spans="2:17" x14ac:dyDescent="0.25">
      <c r="B1678" s="294"/>
      <c r="C1678" s="294"/>
      <c r="D1678" s="294"/>
      <c r="E1678" s="294"/>
      <c r="F1678" s="294"/>
      <c r="G1678" s="294"/>
      <c r="H1678" s="294"/>
      <c r="I1678" s="294"/>
      <c r="J1678" s="294"/>
      <c r="L1678" s="295"/>
      <c r="M1678" s="294"/>
      <c r="P1678" s="294"/>
      <c r="Q1678" s="294"/>
    </row>
    <row r="1679" spans="2:17" x14ac:dyDescent="0.25">
      <c r="B1679" s="294"/>
      <c r="C1679" s="294"/>
      <c r="D1679" s="294"/>
      <c r="E1679" s="294"/>
      <c r="F1679" s="294"/>
      <c r="G1679" s="294"/>
      <c r="H1679" s="294"/>
      <c r="I1679" s="294"/>
      <c r="J1679" s="294"/>
      <c r="L1679" s="295"/>
      <c r="M1679" s="294"/>
      <c r="P1679" s="294"/>
      <c r="Q1679" s="294"/>
    </row>
    <row r="1680" spans="2:17" x14ac:dyDescent="0.25">
      <c r="B1680" s="294"/>
      <c r="C1680" s="294"/>
      <c r="D1680" s="294"/>
      <c r="E1680" s="294"/>
      <c r="F1680" s="294"/>
      <c r="G1680" s="294"/>
      <c r="H1680" s="294"/>
      <c r="I1680" s="294"/>
      <c r="J1680" s="294"/>
      <c r="L1680" s="295"/>
      <c r="M1680" s="294"/>
      <c r="P1680" s="294"/>
      <c r="Q1680" s="294"/>
    </row>
    <row r="1681" spans="2:17" x14ac:dyDescent="0.25">
      <c r="B1681" s="294"/>
      <c r="C1681" s="294"/>
      <c r="D1681" s="294"/>
      <c r="E1681" s="294"/>
      <c r="F1681" s="294"/>
      <c r="G1681" s="294"/>
      <c r="H1681" s="294"/>
      <c r="I1681" s="294"/>
      <c r="J1681" s="294"/>
      <c r="L1681" s="295"/>
      <c r="M1681" s="294"/>
      <c r="P1681" s="294"/>
      <c r="Q1681" s="294"/>
    </row>
    <row r="1682" spans="2:17" x14ac:dyDescent="0.25">
      <c r="B1682" s="294"/>
      <c r="C1682" s="294"/>
      <c r="D1682" s="294"/>
      <c r="E1682" s="294"/>
      <c r="F1682" s="294"/>
      <c r="G1682" s="294"/>
      <c r="H1682" s="294"/>
      <c r="I1682" s="294"/>
      <c r="J1682" s="294"/>
      <c r="L1682" s="295"/>
      <c r="M1682" s="294"/>
      <c r="P1682" s="294"/>
      <c r="Q1682" s="294"/>
    </row>
    <row r="1683" spans="2:17" x14ac:dyDescent="0.25">
      <c r="B1683" s="294"/>
      <c r="C1683" s="294"/>
      <c r="D1683" s="294"/>
      <c r="E1683" s="294"/>
      <c r="F1683" s="294"/>
      <c r="G1683" s="294"/>
      <c r="H1683" s="294"/>
      <c r="I1683" s="294"/>
      <c r="J1683" s="294"/>
      <c r="L1683" s="295"/>
      <c r="M1683" s="294"/>
      <c r="P1683" s="294"/>
      <c r="Q1683" s="294"/>
    </row>
    <row r="1684" spans="2:17" x14ac:dyDescent="0.25">
      <c r="B1684" s="294"/>
      <c r="C1684" s="294"/>
      <c r="D1684" s="294"/>
      <c r="E1684" s="294"/>
      <c r="F1684" s="294"/>
      <c r="G1684" s="294"/>
      <c r="H1684" s="294"/>
      <c r="I1684" s="294"/>
      <c r="J1684" s="294"/>
      <c r="L1684" s="295"/>
      <c r="M1684" s="294"/>
      <c r="P1684" s="294"/>
      <c r="Q1684" s="294"/>
    </row>
    <row r="1685" spans="2:17" x14ac:dyDescent="0.25">
      <c r="B1685" s="294"/>
      <c r="C1685" s="294"/>
      <c r="D1685" s="294"/>
      <c r="E1685" s="294"/>
      <c r="F1685" s="294"/>
      <c r="G1685" s="294"/>
      <c r="H1685" s="294"/>
      <c r="I1685" s="294"/>
      <c r="J1685" s="294"/>
      <c r="L1685" s="295"/>
      <c r="M1685" s="294"/>
      <c r="P1685" s="294"/>
      <c r="Q1685" s="294"/>
    </row>
    <row r="1686" spans="2:17" x14ac:dyDescent="0.25">
      <c r="B1686" s="294"/>
      <c r="C1686" s="294"/>
      <c r="D1686" s="294"/>
      <c r="E1686" s="294"/>
      <c r="F1686" s="294"/>
      <c r="G1686" s="294"/>
      <c r="H1686" s="294"/>
      <c r="I1686" s="294"/>
      <c r="J1686" s="294"/>
      <c r="L1686" s="295"/>
      <c r="M1686" s="294"/>
      <c r="P1686" s="294"/>
      <c r="Q1686" s="294"/>
    </row>
    <row r="1687" spans="2:17" x14ac:dyDescent="0.25">
      <c r="B1687" s="294"/>
      <c r="C1687" s="294"/>
      <c r="D1687" s="294"/>
      <c r="E1687" s="294"/>
      <c r="F1687" s="294"/>
      <c r="G1687" s="294"/>
      <c r="H1687" s="294"/>
      <c r="I1687" s="294"/>
      <c r="J1687" s="294"/>
      <c r="L1687" s="295"/>
      <c r="M1687" s="294"/>
      <c r="P1687" s="294"/>
      <c r="Q1687" s="294"/>
    </row>
    <row r="1688" spans="2:17" x14ac:dyDescent="0.25">
      <c r="B1688" s="294"/>
      <c r="C1688" s="294"/>
      <c r="D1688" s="294"/>
      <c r="E1688" s="294"/>
      <c r="F1688" s="294"/>
      <c r="G1688" s="294"/>
      <c r="H1688" s="294"/>
      <c r="I1688" s="294"/>
      <c r="J1688" s="294"/>
      <c r="L1688" s="295"/>
      <c r="M1688" s="294"/>
      <c r="P1688" s="294"/>
      <c r="Q1688" s="294"/>
    </row>
    <row r="1689" spans="2:17" x14ac:dyDescent="0.25">
      <c r="B1689" s="294"/>
      <c r="C1689" s="294"/>
      <c r="D1689" s="294"/>
      <c r="E1689" s="294"/>
      <c r="F1689" s="294"/>
      <c r="G1689" s="294"/>
      <c r="H1689" s="294"/>
      <c r="I1689" s="294"/>
      <c r="J1689" s="294"/>
      <c r="L1689" s="295"/>
      <c r="M1689" s="294"/>
      <c r="P1689" s="294"/>
      <c r="Q1689" s="294"/>
    </row>
    <row r="1690" spans="2:17" x14ac:dyDescent="0.25">
      <c r="B1690" s="294"/>
      <c r="C1690" s="294"/>
      <c r="D1690" s="294"/>
      <c r="E1690" s="294"/>
      <c r="F1690" s="294"/>
      <c r="G1690" s="294"/>
      <c r="H1690" s="294"/>
      <c r="I1690" s="294"/>
      <c r="J1690" s="294"/>
      <c r="L1690" s="295"/>
      <c r="M1690" s="294"/>
      <c r="P1690" s="294"/>
      <c r="Q1690" s="294"/>
    </row>
    <row r="1691" spans="2:17" x14ac:dyDescent="0.25">
      <c r="B1691" s="294"/>
      <c r="C1691" s="294"/>
      <c r="D1691" s="294"/>
      <c r="E1691" s="294"/>
      <c r="F1691" s="294"/>
      <c r="G1691" s="294"/>
      <c r="H1691" s="294"/>
      <c r="I1691" s="294"/>
      <c r="J1691" s="294"/>
      <c r="L1691" s="295"/>
      <c r="M1691" s="294"/>
      <c r="P1691" s="294"/>
      <c r="Q1691" s="294"/>
    </row>
    <row r="1692" spans="2:17" x14ac:dyDescent="0.25">
      <c r="B1692" s="294"/>
      <c r="C1692" s="294"/>
      <c r="D1692" s="294"/>
      <c r="E1692" s="294"/>
      <c r="F1692" s="294"/>
      <c r="G1692" s="294"/>
      <c r="H1692" s="294"/>
      <c r="I1692" s="294"/>
      <c r="J1692" s="294"/>
      <c r="L1692" s="295"/>
      <c r="M1692" s="294"/>
      <c r="P1692" s="294"/>
      <c r="Q1692" s="294"/>
    </row>
    <row r="1693" spans="2:17" x14ac:dyDescent="0.25">
      <c r="B1693" s="294"/>
      <c r="C1693" s="294"/>
      <c r="D1693" s="294"/>
      <c r="E1693" s="294"/>
      <c r="F1693" s="294"/>
      <c r="G1693" s="294"/>
      <c r="H1693" s="294"/>
      <c r="I1693" s="294"/>
      <c r="J1693" s="294"/>
      <c r="L1693" s="295"/>
      <c r="M1693" s="294"/>
      <c r="P1693" s="294"/>
      <c r="Q1693" s="294"/>
    </row>
    <row r="1694" spans="2:17" x14ac:dyDescent="0.25">
      <c r="B1694" s="294"/>
      <c r="C1694" s="294"/>
      <c r="D1694" s="294"/>
      <c r="E1694" s="294"/>
      <c r="F1694" s="294"/>
      <c r="G1694" s="294"/>
      <c r="H1694" s="294"/>
      <c r="I1694" s="294"/>
      <c r="J1694" s="294"/>
      <c r="L1694" s="295"/>
      <c r="M1694" s="294"/>
      <c r="P1694" s="294"/>
      <c r="Q1694" s="294"/>
    </row>
    <row r="1695" spans="2:17" x14ac:dyDescent="0.25">
      <c r="B1695" s="294"/>
      <c r="C1695" s="294"/>
      <c r="D1695" s="294"/>
      <c r="E1695" s="294"/>
      <c r="F1695" s="294"/>
      <c r="G1695" s="294"/>
      <c r="H1695" s="294"/>
      <c r="I1695" s="294"/>
      <c r="J1695" s="294"/>
      <c r="L1695" s="295"/>
      <c r="M1695" s="294"/>
      <c r="P1695" s="294"/>
      <c r="Q1695" s="294"/>
    </row>
    <row r="1696" spans="2:17" x14ac:dyDescent="0.25">
      <c r="B1696" s="294"/>
      <c r="C1696" s="294"/>
      <c r="D1696" s="294"/>
      <c r="E1696" s="294"/>
      <c r="F1696" s="294"/>
      <c r="G1696" s="294"/>
      <c r="H1696" s="294"/>
      <c r="I1696" s="294"/>
      <c r="J1696" s="294"/>
      <c r="L1696" s="295"/>
      <c r="M1696" s="294"/>
      <c r="P1696" s="294"/>
      <c r="Q1696" s="294"/>
    </row>
    <row r="1697" spans="2:17" x14ac:dyDescent="0.25">
      <c r="B1697" s="294"/>
      <c r="C1697" s="294"/>
      <c r="D1697" s="294"/>
      <c r="E1697" s="294"/>
      <c r="F1697" s="294"/>
      <c r="G1697" s="294"/>
      <c r="H1697" s="294"/>
      <c r="I1697" s="294"/>
      <c r="J1697" s="294"/>
      <c r="L1697" s="295"/>
      <c r="M1697" s="294"/>
      <c r="P1697" s="294"/>
      <c r="Q1697" s="294"/>
    </row>
    <row r="1698" spans="2:17" x14ac:dyDescent="0.25">
      <c r="B1698" s="294"/>
      <c r="C1698" s="294"/>
      <c r="D1698" s="294"/>
      <c r="E1698" s="294"/>
      <c r="F1698" s="294"/>
      <c r="G1698" s="294"/>
      <c r="H1698" s="294"/>
      <c r="I1698" s="294"/>
      <c r="J1698" s="294"/>
      <c r="L1698" s="295"/>
      <c r="M1698" s="294"/>
      <c r="P1698" s="294"/>
      <c r="Q1698" s="294"/>
    </row>
    <row r="1699" spans="2:17" x14ac:dyDescent="0.25">
      <c r="B1699" s="294"/>
      <c r="C1699" s="294"/>
      <c r="D1699" s="294"/>
      <c r="E1699" s="294"/>
      <c r="F1699" s="294"/>
      <c r="G1699" s="294"/>
      <c r="H1699" s="294"/>
      <c r="I1699" s="294"/>
      <c r="J1699" s="294"/>
      <c r="L1699" s="295"/>
      <c r="M1699" s="294"/>
      <c r="P1699" s="294"/>
      <c r="Q1699" s="294"/>
    </row>
    <row r="1700" spans="2:17" x14ac:dyDescent="0.25">
      <c r="B1700" s="294"/>
      <c r="C1700" s="294"/>
      <c r="D1700" s="294"/>
      <c r="E1700" s="294"/>
      <c r="F1700" s="294"/>
      <c r="G1700" s="294"/>
      <c r="H1700" s="294"/>
      <c r="I1700" s="294"/>
      <c r="J1700" s="294"/>
      <c r="L1700" s="295"/>
      <c r="M1700" s="294"/>
      <c r="P1700" s="294"/>
      <c r="Q1700" s="294"/>
    </row>
    <row r="1701" spans="2:17" x14ac:dyDescent="0.25">
      <c r="B1701" s="294"/>
      <c r="C1701" s="294"/>
      <c r="D1701" s="294"/>
      <c r="E1701" s="294"/>
      <c r="F1701" s="294"/>
      <c r="G1701" s="294"/>
      <c r="H1701" s="294"/>
      <c r="I1701" s="294"/>
      <c r="J1701" s="294"/>
      <c r="L1701" s="295"/>
      <c r="M1701" s="294"/>
      <c r="P1701" s="294"/>
      <c r="Q1701" s="294"/>
    </row>
    <row r="1702" spans="2:17" x14ac:dyDescent="0.25">
      <c r="B1702" s="294"/>
      <c r="C1702" s="294"/>
      <c r="D1702" s="294"/>
      <c r="E1702" s="294"/>
      <c r="F1702" s="294"/>
      <c r="G1702" s="294"/>
      <c r="H1702" s="294"/>
      <c r="I1702" s="294"/>
      <c r="J1702" s="294"/>
      <c r="L1702" s="295"/>
      <c r="M1702" s="294"/>
      <c r="P1702" s="294"/>
      <c r="Q1702" s="294"/>
    </row>
    <row r="1703" spans="2:17" x14ac:dyDescent="0.25">
      <c r="B1703" s="294"/>
      <c r="C1703" s="294"/>
      <c r="D1703" s="294"/>
      <c r="E1703" s="294"/>
      <c r="F1703" s="294"/>
      <c r="G1703" s="294"/>
      <c r="H1703" s="294"/>
      <c r="I1703" s="294"/>
      <c r="J1703" s="294"/>
      <c r="L1703" s="295"/>
      <c r="M1703" s="294"/>
      <c r="P1703" s="294"/>
      <c r="Q1703" s="294"/>
    </row>
    <row r="1704" spans="2:17" x14ac:dyDescent="0.25">
      <c r="B1704" s="294"/>
      <c r="C1704" s="294"/>
      <c r="D1704" s="294"/>
      <c r="E1704" s="294"/>
      <c r="F1704" s="294"/>
      <c r="G1704" s="294"/>
      <c r="H1704" s="294"/>
      <c r="I1704" s="294"/>
      <c r="J1704" s="294"/>
      <c r="L1704" s="295"/>
      <c r="M1704" s="294"/>
      <c r="P1704" s="294"/>
      <c r="Q1704" s="294"/>
    </row>
    <row r="1705" spans="2:17" x14ac:dyDescent="0.25">
      <c r="B1705" s="294"/>
      <c r="C1705" s="294"/>
      <c r="D1705" s="294"/>
      <c r="E1705" s="294"/>
      <c r="F1705" s="294"/>
      <c r="G1705" s="294"/>
      <c r="H1705" s="294"/>
      <c r="I1705" s="294"/>
      <c r="J1705" s="294"/>
      <c r="L1705" s="295"/>
      <c r="M1705" s="294"/>
      <c r="P1705" s="294"/>
      <c r="Q1705" s="294"/>
    </row>
    <row r="1706" spans="2:17" x14ac:dyDescent="0.25">
      <c r="B1706" s="294"/>
      <c r="C1706" s="294"/>
      <c r="D1706" s="294"/>
      <c r="E1706" s="294"/>
      <c r="F1706" s="294"/>
      <c r="G1706" s="294"/>
      <c r="H1706" s="294"/>
      <c r="I1706" s="294"/>
      <c r="J1706" s="294"/>
      <c r="L1706" s="295"/>
      <c r="M1706" s="294"/>
      <c r="P1706" s="294"/>
      <c r="Q1706" s="294"/>
    </row>
    <row r="1707" spans="2:17" x14ac:dyDescent="0.25">
      <c r="B1707" s="294"/>
      <c r="C1707" s="294"/>
      <c r="D1707" s="294"/>
      <c r="E1707" s="294"/>
      <c r="F1707" s="294"/>
      <c r="G1707" s="294"/>
      <c r="H1707" s="294"/>
      <c r="I1707" s="294"/>
      <c r="J1707" s="294"/>
      <c r="L1707" s="295"/>
      <c r="M1707" s="294"/>
      <c r="P1707" s="294"/>
      <c r="Q1707" s="294"/>
    </row>
    <row r="1708" spans="2:17" x14ac:dyDescent="0.25">
      <c r="B1708" s="294"/>
      <c r="C1708" s="294"/>
      <c r="D1708" s="294"/>
      <c r="E1708" s="294"/>
      <c r="F1708" s="294"/>
      <c r="G1708" s="294"/>
      <c r="H1708" s="294"/>
      <c r="I1708" s="294"/>
      <c r="J1708" s="294"/>
      <c r="L1708" s="295"/>
      <c r="M1708" s="294"/>
      <c r="P1708" s="294"/>
      <c r="Q1708" s="294"/>
    </row>
    <row r="1709" spans="2:17" x14ac:dyDescent="0.25">
      <c r="B1709" s="294"/>
      <c r="C1709" s="294"/>
      <c r="D1709" s="294"/>
      <c r="E1709" s="294"/>
      <c r="F1709" s="294"/>
      <c r="G1709" s="294"/>
      <c r="H1709" s="294"/>
      <c r="I1709" s="294"/>
      <c r="J1709" s="294"/>
      <c r="L1709" s="295"/>
      <c r="M1709" s="294"/>
      <c r="P1709" s="294"/>
      <c r="Q1709" s="294"/>
    </row>
    <row r="1710" spans="2:17" x14ac:dyDescent="0.25">
      <c r="B1710" s="294"/>
      <c r="C1710" s="294"/>
      <c r="D1710" s="294"/>
      <c r="E1710" s="294"/>
      <c r="F1710" s="294"/>
      <c r="G1710" s="294"/>
      <c r="H1710" s="294"/>
      <c r="I1710" s="294"/>
      <c r="J1710" s="294"/>
      <c r="L1710" s="295"/>
      <c r="M1710" s="294"/>
      <c r="P1710" s="294"/>
      <c r="Q1710" s="294"/>
    </row>
    <row r="1711" spans="2:17" x14ac:dyDescent="0.25">
      <c r="B1711" s="294"/>
      <c r="C1711" s="294"/>
      <c r="D1711" s="294"/>
      <c r="E1711" s="294"/>
      <c r="F1711" s="294"/>
      <c r="G1711" s="294"/>
      <c r="H1711" s="294"/>
      <c r="I1711" s="294"/>
      <c r="J1711" s="294"/>
      <c r="L1711" s="295"/>
      <c r="M1711" s="294"/>
      <c r="P1711" s="294"/>
      <c r="Q1711" s="294"/>
    </row>
    <row r="1712" spans="2:17" x14ac:dyDescent="0.25">
      <c r="B1712" s="294"/>
      <c r="C1712" s="294"/>
      <c r="D1712" s="294"/>
      <c r="E1712" s="294"/>
      <c r="F1712" s="294"/>
      <c r="G1712" s="294"/>
      <c r="H1712" s="294"/>
      <c r="I1712" s="294"/>
      <c r="J1712" s="294"/>
      <c r="L1712" s="295"/>
      <c r="M1712" s="294"/>
      <c r="P1712" s="294"/>
      <c r="Q1712" s="294"/>
    </row>
    <row r="1713" spans="2:17" x14ac:dyDescent="0.25">
      <c r="B1713" s="294"/>
      <c r="C1713" s="294"/>
      <c r="D1713" s="294"/>
      <c r="E1713" s="294"/>
      <c r="F1713" s="294"/>
      <c r="G1713" s="294"/>
      <c r="H1713" s="294"/>
      <c r="I1713" s="294"/>
      <c r="J1713" s="294"/>
      <c r="L1713" s="295"/>
      <c r="M1713" s="294"/>
      <c r="P1713" s="294"/>
      <c r="Q1713" s="294"/>
    </row>
    <row r="1714" spans="2:17" x14ac:dyDescent="0.25">
      <c r="B1714" s="294"/>
      <c r="C1714" s="294"/>
      <c r="D1714" s="294"/>
      <c r="E1714" s="294"/>
      <c r="F1714" s="294"/>
      <c r="G1714" s="294"/>
      <c r="H1714" s="294"/>
      <c r="I1714" s="294"/>
      <c r="J1714" s="294"/>
      <c r="L1714" s="295"/>
      <c r="M1714" s="294"/>
      <c r="P1714" s="294"/>
      <c r="Q1714" s="294"/>
    </row>
    <row r="1715" spans="2:17" x14ac:dyDescent="0.25">
      <c r="B1715" s="294"/>
      <c r="C1715" s="294"/>
      <c r="D1715" s="294"/>
      <c r="E1715" s="294"/>
      <c r="F1715" s="294"/>
      <c r="G1715" s="294"/>
      <c r="H1715" s="294"/>
      <c r="I1715" s="294"/>
      <c r="J1715" s="294"/>
      <c r="L1715" s="295"/>
      <c r="M1715" s="294"/>
      <c r="P1715" s="294"/>
      <c r="Q1715" s="294"/>
    </row>
    <row r="1716" spans="2:17" x14ac:dyDescent="0.25">
      <c r="B1716" s="294"/>
      <c r="C1716" s="294"/>
      <c r="D1716" s="294"/>
      <c r="E1716" s="294"/>
      <c r="F1716" s="294"/>
      <c r="G1716" s="294"/>
      <c r="H1716" s="294"/>
      <c r="I1716" s="294"/>
      <c r="J1716" s="294"/>
      <c r="L1716" s="295"/>
      <c r="M1716" s="294"/>
      <c r="P1716" s="294"/>
      <c r="Q1716" s="294"/>
    </row>
    <row r="1717" spans="2:17" x14ac:dyDescent="0.25">
      <c r="B1717" s="294"/>
      <c r="C1717" s="294"/>
      <c r="D1717" s="294"/>
      <c r="E1717" s="294"/>
      <c r="F1717" s="294"/>
      <c r="G1717" s="294"/>
      <c r="H1717" s="294"/>
      <c r="I1717" s="294"/>
      <c r="J1717" s="294"/>
      <c r="L1717" s="295"/>
      <c r="M1717" s="294"/>
      <c r="P1717" s="294"/>
      <c r="Q1717" s="294"/>
    </row>
    <row r="1718" spans="2:17" x14ac:dyDescent="0.25">
      <c r="B1718" s="294"/>
      <c r="C1718" s="294"/>
      <c r="D1718" s="294"/>
      <c r="E1718" s="294"/>
      <c r="F1718" s="294"/>
      <c r="G1718" s="294"/>
      <c r="H1718" s="294"/>
      <c r="I1718" s="294"/>
      <c r="J1718" s="294"/>
      <c r="L1718" s="295"/>
      <c r="M1718" s="294"/>
      <c r="P1718" s="294"/>
      <c r="Q1718" s="294"/>
    </row>
    <row r="1719" spans="2:17" x14ac:dyDescent="0.25">
      <c r="B1719" s="294"/>
      <c r="C1719" s="294"/>
      <c r="D1719" s="294"/>
      <c r="E1719" s="294"/>
      <c r="F1719" s="294"/>
      <c r="G1719" s="294"/>
      <c r="H1719" s="294"/>
      <c r="I1719" s="294"/>
      <c r="J1719" s="294"/>
      <c r="L1719" s="295"/>
      <c r="M1719" s="294"/>
      <c r="P1719" s="294"/>
      <c r="Q1719" s="294"/>
    </row>
    <row r="1720" spans="2:17" x14ac:dyDescent="0.25">
      <c r="B1720" s="294"/>
      <c r="C1720" s="294"/>
      <c r="D1720" s="294"/>
      <c r="E1720" s="294"/>
      <c r="F1720" s="294"/>
      <c r="G1720" s="294"/>
      <c r="H1720" s="294"/>
      <c r="I1720" s="294"/>
      <c r="J1720" s="294"/>
      <c r="L1720" s="295"/>
      <c r="M1720" s="294"/>
      <c r="P1720" s="294"/>
      <c r="Q1720" s="294"/>
    </row>
    <row r="1721" spans="2:17" x14ac:dyDescent="0.25">
      <c r="B1721" s="294"/>
      <c r="C1721" s="294"/>
      <c r="D1721" s="294"/>
      <c r="E1721" s="294"/>
      <c r="F1721" s="294"/>
      <c r="G1721" s="294"/>
      <c r="H1721" s="294"/>
      <c r="I1721" s="294"/>
      <c r="J1721" s="294"/>
      <c r="L1721" s="295"/>
      <c r="M1721" s="294"/>
      <c r="P1721" s="294"/>
      <c r="Q1721" s="294"/>
    </row>
    <row r="1722" spans="2:17" x14ac:dyDescent="0.25">
      <c r="B1722" s="294"/>
      <c r="C1722" s="294"/>
      <c r="D1722" s="294"/>
      <c r="E1722" s="294"/>
      <c r="F1722" s="294"/>
      <c r="G1722" s="294"/>
      <c r="H1722" s="294"/>
      <c r="I1722" s="294"/>
      <c r="J1722" s="294"/>
      <c r="L1722" s="295"/>
      <c r="M1722" s="294"/>
      <c r="P1722" s="294"/>
      <c r="Q1722" s="294"/>
    </row>
    <row r="1723" spans="2:17" x14ac:dyDescent="0.25">
      <c r="B1723" s="294"/>
      <c r="C1723" s="294"/>
      <c r="D1723" s="294"/>
      <c r="E1723" s="294"/>
      <c r="F1723" s="294"/>
      <c r="G1723" s="294"/>
      <c r="H1723" s="294"/>
      <c r="I1723" s="294"/>
      <c r="J1723" s="294"/>
      <c r="L1723" s="295"/>
      <c r="M1723" s="294"/>
      <c r="P1723" s="294"/>
      <c r="Q1723" s="294"/>
    </row>
    <row r="1724" spans="2:17" x14ac:dyDescent="0.25">
      <c r="B1724" s="294"/>
      <c r="C1724" s="294"/>
      <c r="D1724" s="294"/>
      <c r="E1724" s="294"/>
      <c r="F1724" s="294"/>
      <c r="G1724" s="294"/>
      <c r="H1724" s="294"/>
      <c r="I1724" s="294"/>
      <c r="J1724" s="294"/>
      <c r="L1724" s="295"/>
      <c r="M1724" s="294"/>
      <c r="P1724" s="294"/>
      <c r="Q1724" s="294"/>
    </row>
    <row r="1725" spans="2:17" x14ac:dyDescent="0.25">
      <c r="B1725" s="294"/>
      <c r="C1725" s="294"/>
      <c r="D1725" s="294"/>
      <c r="E1725" s="294"/>
      <c r="F1725" s="294"/>
      <c r="G1725" s="294"/>
      <c r="H1725" s="294"/>
      <c r="I1725" s="294"/>
      <c r="J1725" s="294"/>
      <c r="L1725" s="295"/>
      <c r="M1725" s="294"/>
      <c r="P1725" s="294"/>
      <c r="Q1725" s="294"/>
    </row>
    <row r="1726" spans="2:17" x14ac:dyDescent="0.25">
      <c r="B1726" s="294"/>
      <c r="C1726" s="294"/>
      <c r="D1726" s="294"/>
      <c r="E1726" s="294"/>
      <c r="F1726" s="294"/>
      <c r="G1726" s="294"/>
      <c r="H1726" s="294"/>
      <c r="I1726" s="294"/>
      <c r="J1726" s="294"/>
      <c r="L1726" s="295"/>
      <c r="M1726" s="294"/>
      <c r="P1726" s="294"/>
      <c r="Q1726" s="294"/>
    </row>
    <row r="1727" spans="2:17" x14ac:dyDescent="0.25">
      <c r="B1727" s="294"/>
      <c r="C1727" s="294"/>
      <c r="D1727" s="294"/>
      <c r="E1727" s="294"/>
      <c r="F1727" s="294"/>
      <c r="G1727" s="294"/>
      <c r="H1727" s="294"/>
      <c r="I1727" s="294"/>
      <c r="J1727" s="294"/>
      <c r="L1727" s="295"/>
      <c r="M1727" s="294"/>
      <c r="P1727" s="294"/>
      <c r="Q1727" s="294"/>
    </row>
    <row r="1728" spans="2:17" x14ac:dyDescent="0.25">
      <c r="B1728" s="294"/>
      <c r="C1728" s="294"/>
      <c r="D1728" s="294"/>
      <c r="E1728" s="294"/>
      <c r="F1728" s="294"/>
      <c r="G1728" s="294"/>
      <c r="H1728" s="294"/>
      <c r="I1728" s="294"/>
      <c r="J1728" s="294"/>
      <c r="L1728" s="295"/>
      <c r="M1728" s="294"/>
      <c r="P1728" s="294"/>
      <c r="Q1728" s="294"/>
    </row>
    <row r="1729" spans="2:17" x14ac:dyDescent="0.25">
      <c r="B1729" s="294"/>
      <c r="C1729" s="294"/>
      <c r="D1729" s="294"/>
      <c r="E1729" s="294"/>
      <c r="F1729" s="294"/>
      <c r="G1729" s="294"/>
      <c r="H1729" s="294"/>
      <c r="I1729" s="294"/>
      <c r="J1729" s="294"/>
      <c r="L1729" s="295"/>
      <c r="M1729" s="294"/>
      <c r="P1729" s="294"/>
      <c r="Q1729" s="294"/>
    </row>
    <row r="1730" spans="2:17" x14ac:dyDescent="0.25">
      <c r="B1730" s="294"/>
      <c r="C1730" s="294"/>
      <c r="D1730" s="294"/>
      <c r="E1730" s="294"/>
      <c r="F1730" s="294"/>
      <c r="G1730" s="294"/>
      <c r="H1730" s="294"/>
      <c r="I1730" s="294"/>
      <c r="J1730" s="294"/>
      <c r="L1730" s="295"/>
      <c r="M1730" s="294"/>
      <c r="P1730" s="294"/>
      <c r="Q1730" s="294"/>
    </row>
    <row r="1731" spans="2:17" x14ac:dyDescent="0.25">
      <c r="B1731" s="294"/>
      <c r="C1731" s="294"/>
      <c r="D1731" s="294"/>
      <c r="E1731" s="294"/>
      <c r="F1731" s="294"/>
      <c r="G1731" s="294"/>
      <c r="H1731" s="294"/>
      <c r="I1731" s="294"/>
      <c r="J1731" s="294"/>
      <c r="L1731" s="295"/>
      <c r="M1731" s="294"/>
      <c r="P1731" s="294"/>
      <c r="Q1731" s="294"/>
    </row>
    <row r="1732" spans="2:17" x14ac:dyDescent="0.25">
      <c r="B1732" s="294"/>
      <c r="C1732" s="294"/>
      <c r="D1732" s="294"/>
      <c r="E1732" s="294"/>
      <c r="F1732" s="294"/>
      <c r="G1732" s="294"/>
      <c r="H1732" s="294"/>
      <c r="I1732" s="294"/>
      <c r="J1732" s="294"/>
      <c r="L1732" s="295"/>
      <c r="M1732" s="294"/>
      <c r="P1732" s="294"/>
      <c r="Q1732" s="294"/>
    </row>
    <row r="1733" spans="2:17" x14ac:dyDescent="0.25">
      <c r="B1733" s="294"/>
      <c r="C1733" s="294"/>
      <c r="D1733" s="294"/>
      <c r="E1733" s="294"/>
      <c r="F1733" s="294"/>
      <c r="G1733" s="294"/>
      <c r="H1733" s="294"/>
      <c r="I1733" s="294"/>
      <c r="J1733" s="294"/>
      <c r="L1733" s="295"/>
      <c r="M1733" s="294"/>
      <c r="P1733" s="294"/>
      <c r="Q1733" s="294"/>
    </row>
    <row r="1734" spans="2:17" x14ac:dyDescent="0.25">
      <c r="B1734" s="294"/>
      <c r="C1734" s="294"/>
      <c r="D1734" s="294"/>
      <c r="E1734" s="294"/>
      <c r="F1734" s="294"/>
      <c r="G1734" s="294"/>
      <c r="H1734" s="294"/>
      <c r="I1734" s="294"/>
      <c r="J1734" s="294"/>
      <c r="L1734" s="295"/>
      <c r="M1734" s="294"/>
      <c r="P1734" s="294"/>
      <c r="Q1734" s="294"/>
    </row>
    <row r="1735" spans="2:17" x14ac:dyDescent="0.25">
      <c r="B1735" s="294"/>
      <c r="C1735" s="294"/>
      <c r="D1735" s="294"/>
      <c r="E1735" s="294"/>
      <c r="F1735" s="294"/>
      <c r="G1735" s="294"/>
      <c r="H1735" s="294"/>
      <c r="I1735" s="294"/>
      <c r="J1735" s="294"/>
      <c r="L1735" s="295"/>
      <c r="M1735" s="294"/>
      <c r="P1735" s="294"/>
      <c r="Q1735" s="294"/>
    </row>
    <row r="1736" spans="2:17" x14ac:dyDescent="0.25">
      <c r="B1736" s="294"/>
      <c r="C1736" s="294"/>
      <c r="D1736" s="294"/>
      <c r="E1736" s="294"/>
      <c r="F1736" s="294"/>
      <c r="G1736" s="294"/>
      <c r="H1736" s="294"/>
      <c r="I1736" s="294"/>
      <c r="J1736" s="294"/>
      <c r="L1736" s="295"/>
      <c r="M1736" s="294"/>
      <c r="P1736" s="294"/>
      <c r="Q1736" s="294"/>
    </row>
    <row r="1737" spans="2:17" x14ac:dyDescent="0.25">
      <c r="B1737" s="294"/>
      <c r="C1737" s="294"/>
      <c r="D1737" s="294"/>
      <c r="E1737" s="294"/>
      <c r="F1737" s="294"/>
      <c r="G1737" s="294"/>
      <c r="H1737" s="294"/>
      <c r="I1737" s="294"/>
      <c r="J1737" s="294"/>
      <c r="L1737" s="295"/>
      <c r="M1737" s="294"/>
      <c r="P1737" s="294"/>
      <c r="Q1737" s="294"/>
    </row>
    <row r="1738" spans="2:17" x14ac:dyDescent="0.25">
      <c r="B1738" s="294"/>
      <c r="C1738" s="294"/>
      <c r="D1738" s="294"/>
      <c r="E1738" s="294"/>
      <c r="F1738" s="294"/>
      <c r="G1738" s="294"/>
      <c r="H1738" s="294"/>
      <c r="I1738" s="294"/>
      <c r="J1738" s="294"/>
      <c r="L1738" s="295"/>
      <c r="M1738" s="294"/>
      <c r="P1738" s="294"/>
      <c r="Q1738" s="294"/>
    </row>
    <row r="1739" spans="2:17" x14ac:dyDescent="0.25">
      <c r="B1739" s="294"/>
      <c r="C1739" s="294"/>
      <c r="D1739" s="294"/>
      <c r="E1739" s="294"/>
      <c r="F1739" s="294"/>
      <c r="G1739" s="294"/>
      <c r="H1739" s="294"/>
      <c r="I1739" s="294"/>
      <c r="J1739" s="294"/>
      <c r="L1739" s="295"/>
      <c r="M1739" s="294"/>
      <c r="P1739" s="294"/>
      <c r="Q1739" s="294"/>
    </row>
    <row r="1740" spans="2:17" x14ac:dyDescent="0.25">
      <c r="B1740" s="294"/>
      <c r="C1740" s="294"/>
      <c r="D1740" s="294"/>
      <c r="E1740" s="294"/>
      <c r="F1740" s="294"/>
      <c r="G1740" s="294"/>
      <c r="H1740" s="294"/>
      <c r="I1740" s="294"/>
      <c r="J1740" s="294"/>
      <c r="L1740" s="295"/>
      <c r="M1740" s="294"/>
      <c r="P1740" s="294"/>
      <c r="Q1740" s="294"/>
    </row>
    <row r="1741" spans="2:17" x14ac:dyDescent="0.25">
      <c r="B1741" s="294"/>
      <c r="C1741" s="294"/>
      <c r="D1741" s="294"/>
      <c r="E1741" s="294"/>
      <c r="F1741" s="294"/>
      <c r="G1741" s="294"/>
      <c r="H1741" s="294"/>
      <c r="I1741" s="294"/>
      <c r="J1741" s="294"/>
      <c r="L1741" s="295"/>
      <c r="M1741" s="294"/>
      <c r="P1741" s="294"/>
      <c r="Q1741" s="294"/>
    </row>
    <row r="1742" spans="2:17" x14ac:dyDescent="0.25">
      <c r="B1742" s="294"/>
      <c r="C1742" s="294"/>
      <c r="D1742" s="294"/>
      <c r="E1742" s="294"/>
      <c r="F1742" s="294"/>
      <c r="G1742" s="294"/>
      <c r="H1742" s="294"/>
      <c r="I1742" s="294"/>
      <c r="J1742" s="294"/>
      <c r="L1742" s="295"/>
      <c r="M1742" s="294"/>
      <c r="P1742" s="294"/>
      <c r="Q1742" s="294"/>
    </row>
    <row r="1743" spans="2:17" x14ac:dyDescent="0.25">
      <c r="B1743" s="294"/>
      <c r="C1743" s="294"/>
      <c r="D1743" s="294"/>
      <c r="E1743" s="294"/>
      <c r="F1743" s="294"/>
      <c r="G1743" s="294"/>
      <c r="H1743" s="294"/>
      <c r="I1743" s="294"/>
      <c r="J1743" s="294"/>
      <c r="L1743" s="295"/>
      <c r="M1743" s="294"/>
      <c r="P1743" s="294"/>
      <c r="Q1743" s="294"/>
    </row>
    <row r="1744" spans="2:17" x14ac:dyDescent="0.25">
      <c r="B1744" s="294"/>
      <c r="C1744" s="294"/>
      <c r="D1744" s="294"/>
      <c r="E1744" s="294"/>
      <c r="F1744" s="294"/>
      <c r="G1744" s="294"/>
      <c r="H1744" s="294"/>
      <c r="I1744" s="294"/>
      <c r="J1744" s="294"/>
      <c r="L1744" s="295"/>
      <c r="M1744" s="294"/>
      <c r="P1744" s="294"/>
      <c r="Q1744" s="294"/>
    </row>
    <row r="1745" spans="2:17" x14ac:dyDescent="0.25">
      <c r="B1745" s="294"/>
      <c r="C1745" s="294"/>
      <c r="D1745" s="294"/>
      <c r="E1745" s="294"/>
      <c r="F1745" s="294"/>
      <c r="G1745" s="294"/>
      <c r="H1745" s="294"/>
      <c r="I1745" s="294"/>
      <c r="J1745" s="294"/>
      <c r="L1745" s="295"/>
      <c r="M1745" s="294"/>
      <c r="P1745" s="294"/>
      <c r="Q1745" s="294"/>
    </row>
    <row r="1746" spans="2:17" x14ac:dyDescent="0.25">
      <c r="B1746" s="294"/>
      <c r="C1746" s="294"/>
      <c r="D1746" s="294"/>
      <c r="E1746" s="294"/>
      <c r="F1746" s="294"/>
      <c r="G1746" s="294"/>
      <c r="H1746" s="294"/>
      <c r="I1746" s="294"/>
      <c r="J1746" s="294"/>
      <c r="L1746" s="295"/>
      <c r="M1746" s="294"/>
      <c r="P1746" s="294"/>
      <c r="Q1746" s="294"/>
    </row>
    <row r="1747" spans="2:17" x14ac:dyDescent="0.25">
      <c r="B1747" s="294"/>
      <c r="C1747" s="294"/>
      <c r="D1747" s="294"/>
      <c r="E1747" s="294"/>
      <c r="F1747" s="294"/>
      <c r="G1747" s="294"/>
      <c r="H1747" s="294"/>
      <c r="I1747" s="294"/>
      <c r="J1747" s="294"/>
      <c r="L1747" s="295"/>
      <c r="M1747" s="294"/>
      <c r="P1747" s="294"/>
      <c r="Q1747" s="294"/>
    </row>
    <row r="1748" spans="2:17" x14ac:dyDescent="0.25">
      <c r="B1748" s="294"/>
      <c r="C1748" s="294"/>
      <c r="D1748" s="294"/>
      <c r="E1748" s="294"/>
      <c r="F1748" s="294"/>
      <c r="G1748" s="294"/>
      <c r="H1748" s="294"/>
      <c r="I1748" s="294"/>
      <c r="J1748" s="294"/>
      <c r="L1748" s="295"/>
      <c r="M1748" s="294"/>
      <c r="P1748" s="294"/>
      <c r="Q1748" s="294"/>
    </row>
    <row r="1749" spans="2:17" x14ac:dyDescent="0.25">
      <c r="B1749" s="294"/>
      <c r="C1749" s="294"/>
      <c r="D1749" s="294"/>
      <c r="E1749" s="294"/>
      <c r="F1749" s="294"/>
      <c r="G1749" s="294"/>
      <c r="H1749" s="294"/>
      <c r="I1749" s="294"/>
      <c r="J1749" s="294"/>
      <c r="L1749" s="295"/>
      <c r="M1749" s="294"/>
      <c r="P1749" s="294"/>
      <c r="Q1749" s="294"/>
    </row>
    <row r="1750" spans="2:17" x14ac:dyDescent="0.25">
      <c r="B1750" s="294"/>
      <c r="C1750" s="294"/>
      <c r="D1750" s="294"/>
      <c r="E1750" s="294"/>
      <c r="F1750" s="294"/>
      <c r="G1750" s="294"/>
      <c r="H1750" s="294"/>
      <c r="I1750" s="294"/>
      <c r="J1750" s="294"/>
      <c r="L1750" s="295"/>
      <c r="M1750" s="294"/>
      <c r="P1750" s="294"/>
      <c r="Q1750" s="294"/>
    </row>
    <row r="1751" spans="2:17" x14ac:dyDescent="0.25">
      <c r="B1751" s="294"/>
      <c r="C1751" s="294"/>
      <c r="D1751" s="294"/>
      <c r="E1751" s="294"/>
      <c r="F1751" s="294"/>
      <c r="G1751" s="294"/>
      <c r="H1751" s="294"/>
      <c r="I1751" s="294"/>
      <c r="J1751" s="294"/>
      <c r="L1751" s="295"/>
      <c r="M1751" s="294"/>
      <c r="P1751" s="294"/>
      <c r="Q1751" s="294"/>
    </row>
    <row r="1752" spans="2:17" x14ac:dyDescent="0.25">
      <c r="B1752" s="294"/>
      <c r="C1752" s="294"/>
      <c r="D1752" s="294"/>
      <c r="E1752" s="294"/>
      <c r="F1752" s="294"/>
      <c r="G1752" s="294"/>
      <c r="H1752" s="294"/>
      <c r="I1752" s="294"/>
      <c r="J1752" s="294"/>
      <c r="L1752" s="295"/>
      <c r="M1752" s="294"/>
      <c r="P1752" s="294"/>
      <c r="Q1752" s="294"/>
    </row>
    <row r="1753" spans="2:17" x14ac:dyDescent="0.25">
      <c r="B1753" s="294"/>
      <c r="C1753" s="294"/>
      <c r="D1753" s="294"/>
      <c r="E1753" s="294"/>
      <c r="F1753" s="294"/>
      <c r="G1753" s="294"/>
      <c r="H1753" s="294"/>
      <c r="I1753" s="294"/>
      <c r="J1753" s="294"/>
      <c r="L1753" s="295"/>
      <c r="M1753" s="294"/>
      <c r="P1753" s="294"/>
      <c r="Q1753" s="294"/>
    </row>
    <row r="1754" spans="2:17" x14ac:dyDescent="0.25">
      <c r="B1754" s="294"/>
      <c r="C1754" s="294"/>
      <c r="D1754" s="294"/>
      <c r="E1754" s="294"/>
      <c r="F1754" s="294"/>
      <c r="G1754" s="294"/>
      <c r="H1754" s="294"/>
      <c r="I1754" s="294"/>
      <c r="J1754" s="294"/>
      <c r="L1754" s="295"/>
      <c r="M1754" s="294"/>
      <c r="P1754" s="294"/>
      <c r="Q1754" s="294"/>
    </row>
    <row r="1755" spans="2:17" x14ac:dyDescent="0.25">
      <c r="B1755" s="294"/>
      <c r="C1755" s="294"/>
      <c r="D1755" s="294"/>
      <c r="E1755" s="294"/>
      <c r="F1755" s="294"/>
      <c r="G1755" s="294"/>
      <c r="H1755" s="294"/>
      <c r="I1755" s="294"/>
      <c r="J1755" s="294"/>
      <c r="L1755" s="295"/>
      <c r="M1755" s="294"/>
      <c r="P1755" s="294"/>
      <c r="Q1755" s="294"/>
    </row>
    <row r="1756" spans="2:17" x14ac:dyDescent="0.25">
      <c r="B1756" s="294"/>
      <c r="C1756" s="294"/>
      <c r="D1756" s="294"/>
      <c r="E1756" s="294"/>
      <c r="F1756" s="294"/>
      <c r="G1756" s="294"/>
      <c r="H1756" s="294"/>
      <c r="I1756" s="294"/>
      <c r="J1756" s="294"/>
      <c r="L1756" s="295"/>
      <c r="M1756" s="294"/>
      <c r="P1756" s="294"/>
      <c r="Q1756" s="294"/>
    </row>
    <row r="1757" spans="2:17" x14ac:dyDescent="0.25">
      <c r="B1757" s="294"/>
      <c r="C1757" s="294"/>
      <c r="D1757" s="294"/>
      <c r="E1757" s="294"/>
      <c r="F1757" s="294"/>
      <c r="G1757" s="294"/>
      <c r="H1757" s="294"/>
      <c r="I1757" s="294"/>
      <c r="J1757" s="294"/>
      <c r="L1757" s="295"/>
      <c r="M1757" s="294"/>
      <c r="P1757" s="294"/>
      <c r="Q1757" s="294"/>
    </row>
    <row r="1758" spans="2:17" x14ac:dyDescent="0.25">
      <c r="B1758" s="294"/>
      <c r="C1758" s="294"/>
      <c r="D1758" s="294"/>
      <c r="E1758" s="294"/>
      <c r="F1758" s="294"/>
      <c r="G1758" s="294"/>
      <c r="H1758" s="294"/>
      <c r="I1758" s="294"/>
      <c r="J1758" s="294"/>
      <c r="L1758" s="295"/>
      <c r="M1758" s="294"/>
      <c r="P1758" s="294"/>
      <c r="Q1758" s="294"/>
    </row>
    <row r="1759" spans="2:17" x14ac:dyDescent="0.25">
      <c r="B1759" s="294"/>
      <c r="C1759" s="294"/>
      <c r="D1759" s="294"/>
      <c r="E1759" s="294"/>
      <c r="F1759" s="294"/>
      <c r="G1759" s="294"/>
      <c r="H1759" s="294"/>
      <c r="I1759" s="294"/>
      <c r="J1759" s="294"/>
      <c r="L1759" s="295"/>
      <c r="M1759" s="294"/>
      <c r="P1759" s="294"/>
      <c r="Q1759" s="294"/>
    </row>
    <row r="1760" spans="2:17" x14ac:dyDescent="0.25">
      <c r="B1760" s="294"/>
      <c r="C1760" s="294"/>
      <c r="D1760" s="294"/>
      <c r="E1760" s="294"/>
      <c r="F1760" s="294"/>
      <c r="G1760" s="294"/>
      <c r="H1760" s="294"/>
      <c r="I1760" s="294"/>
      <c r="J1760" s="294"/>
      <c r="L1760" s="295"/>
      <c r="M1760" s="294"/>
      <c r="P1760" s="294"/>
      <c r="Q1760" s="294"/>
    </row>
    <row r="1761" spans="2:17" x14ac:dyDescent="0.25">
      <c r="B1761" s="294"/>
      <c r="C1761" s="294"/>
      <c r="D1761" s="294"/>
      <c r="E1761" s="294"/>
      <c r="F1761" s="294"/>
      <c r="G1761" s="294"/>
      <c r="H1761" s="294"/>
      <c r="I1761" s="294"/>
      <c r="J1761" s="294"/>
      <c r="L1761" s="295"/>
      <c r="M1761" s="294"/>
      <c r="P1761" s="294"/>
      <c r="Q1761" s="294"/>
    </row>
    <row r="1762" spans="2:17" x14ac:dyDescent="0.25">
      <c r="B1762" s="294"/>
      <c r="C1762" s="294"/>
      <c r="D1762" s="294"/>
      <c r="E1762" s="294"/>
      <c r="F1762" s="294"/>
      <c r="G1762" s="294"/>
      <c r="H1762" s="294"/>
      <c r="I1762" s="294"/>
      <c r="J1762" s="294"/>
      <c r="L1762" s="295"/>
      <c r="M1762" s="294"/>
      <c r="P1762" s="294"/>
      <c r="Q1762" s="294"/>
    </row>
    <row r="1763" spans="2:17" x14ac:dyDescent="0.25">
      <c r="B1763" s="294"/>
      <c r="C1763" s="294"/>
      <c r="D1763" s="294"/>
      <c r="E1763" s="294"/>
      <c r="F1763" s="294"/>
      <c r="G1763" s="294"/>
      <c r="H1763" s="294"/>
      <c r="I1763" s="294"/>
      <c r="J1763" s="294"/>
      <c r="L1763" s="295"/>
      <c r="M1763" s="294"/>
      <c r="P1763" s="294"/>
      <c r="Q1763" s="294"/>
    </row>
    <row r="1764" spans="2:17" x14ac:dyDescent="0.25">
      <c r="B1764" s="294"/>
      <c r="C1764" s="294"/>
      <c r="D1764" s="294"/>
      <c r="E1764" s="294"/>
      <c r="F1764" s="294"/>
      <c r="G1764" s="294"/>
      <c r="H1764" s="294"/>
      <c r="I1764" s="294"/>
      <c r="J1764" s="294"/>
      <c r="L1764" s="295"/>
      <c r="M1764" s="294"/>
      <c r="P1764" s="294"/>
      <c r="Q1764" s="294"/>
    </row>
    <row r="1765" spans="2:17" x14ac:dyDescent="0.25">
      <c r="B1765" s="294"/>
      <c r="C1765" s="294"/>
      <c r="D1765" s="294"/>
      <c r="E1765" s="294"/>
      <c r="F1765" s="294"/>
      <c r="G1765" s="294"/>
      <c r="H1765" s="294"/>
      <c r="I1765" s="294"/>
      <c r="J1765" s="294"/>
      <c r="L1765" s="295"/>
      <c r="M1765" s="294"/>
      <c r="P1765" s="294"/>
      <c r="Q1765" s="294"/>
    </row>
    <row r="1766" spans="2:17" x14ac:dyDescent="0.25">
      <c r="B1766" s="294"/>
      <c r="C1766" s="294"/>
      <c r="D1766" s="294"/>
      <c r="E1766" s="294"/>
      <c r="F1766" s="294"/>
      <c r="G1766" s="294"/>
      <c r="H1766" s="294"/>
      <c r="I1766" s="294"/>
      <c r="J1766" s="294"/>
      <c r="L1766" s="295"/>
      <c r="M1766" s="294"/>
      <c r="P1766" s="294"/>
      <c r="Q1766" s="294"/>
    </row>
    <row r="1767" spans="2:17" x14ac:dyDescent="0.25">
      <c r="B1767" s="294"/>
      <c r="C1767" s="294"/>
      <c r="D1767" s="294"/>
      <c r="E1767" s="294"/>
      <c r="F1767" s="294"/>
      <c r="G1767" s="294"/>
      <c r="H1767" s="294"/>
      <c r="I1767" s="294"/>
      <c r="J1767" s="294"/>
      <c r="L1767" s="295"/>
      <c r="M1767" s="294"/>
      <c r="P1767" s="294"/>
      <c r="Q1767" s="294"/>
    </row>
    <row r="1768" spans="2:17" x14ac:dyDescent="0.25">
      <c r="B1768" s="294"/>
      <c r="C1768" s="294"/>
      <c r="D1768" s="294"/>
      <c r="E1768" s="294"/>
      <c r="F1768" s="294"/>
      <c r="G1768" s="294"/>
      <c r="H1768" s="294"/>
      <c r="I1768" s="294"/>
      <c r="J1768" s="294"/>
      <c r="L1768" s="295"/>
      <c r="M1768" s="294"/>
      <c r="P1768" s="294"/>
      <c r="Q1768" s="294"/>
    </row>
    <row r="1769" spans="2:17" x14ac:dyDescent="0.25">
      <c r="B1769" s="294"/>
      <c r="C1769" s="294"/>
      <c r="D1769" s="294"/>
      <c r="E1769" s="294"/>
      <c r="F1769" s="294"/>
      <c r="G1769" s="294"/>
      <c r="H1769" s="294"/>
      <c r="I1769" s="294"/>
      <c r="J1769" s="294"/>
      <c r="L1769" s="295"/>
      <c r="M1769" s="294"/>
      <c r="P1769" s="294"/>
      <c r="Q1769" s="294"/>
    </row>
    <row r="1770" spans="2:17" x14ac:dyDescent="0.25">
      <c r="B1770" s="294"/>
      <c r="C1770" s="294"/>
      <c r="D1770" s="294"/>
      <c r="E1770" s="294"/>
      <c r="F1770" s="294"/>
      <c r="G1770" s="294"/>
      <c r="H1770" s="294"/>
      <c r="I1770" s="294"/>
      <c r="J1770" s="294"/>
      <c r="L1770" s="295"/>
      <c r="M1770" s="294"/>
      <c r="P1770" s="294"/>
      <c r="Q1770" s="294"/>
    </row>
    <row r="1771" spans="2:17" x14ac:dyDescent="0.25">
      <c r="B1771" s="294"/>
      <c r="C1771" s="294"/>
      <c r="D1771" s="294"/>
      <c r="E1771" s="294"/>
      <c r="F1771" s="294"/>
      <c r="G1771" s="294"/>
      <c r="H1771" s="294"/>
      <c r="I1771" s="294"/>
      <c r="J1771" s="294"/>
      <c r="L1771" s="295"/>
      <c r="M1771" s="294"/>
      <c r="P1771" s="294"/>
      <c r="Q1771" s="294"/>
    </row>
    <row r="1772" spans="2:17" x14ac:dyDescent="0.25">
      <c r="B1772" s="294"/>
      <c r="C1772" s="294"/>
      <c r="D1772" s="294"/>
      <c r="E1772" s="294"/>
      <c r="F1772" s="294"/>
      <c r="G1772" s="294"/>
      <c r="H1772" s="294"/>
      <c r="I1772" s="294"/>
      <c r="J1772" s="294"/>
      <c r="L1772" s="295"/>
      <c r="M1772" s="294"/>
      <c r="P1772" s="294"/>
      <c r="Q1772" s="294"/>
    </row>
    <row r="1773" spans="2:17" x14ac:dyDescent="0.25">
      <c r="B1773" s="294"/>
      <c r="C1773" s="294"/>
      <c r="D1773" s="294"/>
      <c r="E1773" s="294"/>
      <c r="F1773" s="294"/>
      <c r="G1773" s="294"/>
      <c r="H1773" s="294"/>
      <c r="I1773" s="294"/>
      <c r="J1773" s="294"/>
      <c r="L1773" s="295"/>
      <c r="M1773" s="294"/>
      <c r="P1773" s="294"/>
      <c r="Q1773" s="294"/>
    </row>
    <row r="1774" spans="2:17" x14ac:dyDescent="0.25">
      <c r="B1774" s="294"/>
      <c r="C1774" s="294"/>
      <c r="D1774" s="294"/>
      <c r="E1774" s="294"/>
      <c r="F1774" s="294"/>
      <c r="G1774" s="294"/>
      <c r="H1774" s="294"/>
      <c r="I1774" s="294"/>
      <c r="J1774" s="294"/>
      <c r="L1774" s="295"/>
      <c r="M1774" s="294"/>
      <c r="P1774" s="294"/>
      <c r="Q1774" s="294"/>
    </row>
    <row r="1775" spans="2:17" x14ac:dyDescent="0.25">
      <c r="B1775" s="294"/>
      <c r="C1775" s="294"/>
      <c r="D1775" s="294"/>
      <c r="E1775" s="294"/>
      <c r="F1775" s="294"/>
      <c r="G1775" s="294"/>
      <c r="H1775" s="294"/>
      <c r="I1775" s="294"/>
      <c r="J1775" s="294"/>
      <c r="L1775" s="295"/>
      <c r="M1775" s="294"/>
      <c r="P1775" s="294"/>
      <c r="Q1775" s="294"/>
    </row>
    <row r="1776" spans="2:17" x14ac:dyDescent="0.25">
      <c r="B1776" s="294"/>
      <c r="C1776" s="294"/>
      <c r="D1776" s="294"/>
      <c r="E1776" s="294"/>
      <c r="F1776" s="294"/>
      <c r="G1776" s="294"/>
      <c r="H1776" s="294"/>
      <c r="I1776" s="294"/>
      <c r="J1776" s="294"/>
      <c r="L1776" s="295"/>
      <c r="M1776" s="294"/>
      <c r="P1776" s="294"/>
      <c r="Q1776" s="294"/>
    </row>
    <row r="1777" spans="2:17" x14ac:dyDescent="0.25">
      <c r="B1777" s="294"/>
      <c r="C1777" s="294"/>
      <c r="D1777" s="294"/>
      <c r="E1777" s="294"/>
      <c r="F1777" s="294"/>
      <c r="G1777" s="294"/>
      <c r="H1777" s="294"/>
      <c r="I1777" s="294"/>
      <c r="J1777" s="294"/>
      <c r="L1777" s="295"/>
      <c r="M1777" s="294"/>
      <c r="P1777" s="294"/>
      <c r="Q1777" s="294"/>
    </row>
    <row r="1778" spans="2:17" x14ac:dyDescent="0.25">
      <c r="B1778" s="294"/>
      <c r="C1778" s="294"/>
      <c r="D1778" s="294"/>
      <c r="E1778" s="294"/>
      <c r="F1778" s="294"/>
      <c r="G1778" s="294"/>
      <c r="H1778" s="294"/>
      <c r="I1778" s="294"/>
      <c r="J1778" s="294"/>
      <c r="L1778" s="295"/>
      <c r="M1778" s="294"/>
      <c r="P1778" s="294"/>
      <c r="Q1778" s="294"/>
    </row>
    <row r="1779" spans="2:17" x14ac:dyDescent="0.25">
      <c r="B1779" s="294"/>
      <c r="C1779" s="294"/>
      <c r="D1779" s="294"/>
      <c r="E1779" s="294"/>
      <c r="F1779" s="294"/>
      <c r="G1779" s="294"/>
      <c r="H1779" s="294"/>
      <c r="I1779" s="294"/>
      <c r="J1779" s="294"/>
      <c r="L1779" s="295"/>
      <c r="M1779" s="294"/>
      <c r="P1779" s="294"/>
      <c r="Q1779" s="294"/>
    </row>
    <row r="1780" spans="2:17" x14ac:dyDescent="0.25">
      <c r="B1780" s="294"/>
      <c r="C1780" s="294"/>
      <c r="D1780" s="294"/>
      <c r="E1780" s="294"/>
      <c r="F1780" s="294"/>
      <c r="G1780" s="294"/>
      <c r="H1780" s="294"/>
      <c r="I1780" s="294"/>
      <c r="J1780" s="294"/>
      <c r="L1780" s="295"/>
      <c r="M1780" s="294"/>
      <c r="P1780" s="294"/>
      <c r="Q1780" s="294"/>
    </row>
    <row r="1781" spans="2:17" x14ac:dyDescent="0.25">
      <c r="B1781" s="294"/>
      <c r="C1781" s="294"/>
      <c r="D1781" s="294"/>
      <c r="E1781" s="294"/>
      <c r="F1781" s="294"/>
      <c r="G1781" s="294"/>
      <c r="H1781" s="294"/>
      <c r="I1781" s="294"/>
      <c r="J1781" s="294"/>
      <c r="L1781" s="295"/>
      <c r="M1781" s="294"/>
      <c r="P1781" s="294"/>
      <c r="Q1781" s="294"/>
    </row>
    <row r="1782" spans="2:17" x14ac:dyDescent="0.25">
      <c r="B1782" s="294"/>
      <c r="C1782" s="294"/>
      <c r="D1782" s="294"/>
      <c r="E1782" s="294"/>
      <c r="F1782" s="294"/>
      <c r="G1782" s="294"/>
      <c r="H1782" s="294"/>
      <c r="I1782" s="294"/>
      <c r="J1782" s="294"/>
      <c r="L1782" s="295"/>
      <c r="M1782" s="294"/>
      <c r="P1782" s="294"/>
      <c r="Q1782" s="294"/>
    </row>
    <row r="1783" spans="2:17" x14ac:dyDescent="0.25">
      <c r="B1783" s="294"/>
      <c r="C1783" s="294"/>
      <c r="D1783" s="294"/>
      <c r="E1783" s="294"/>
      <c r="F1783" s="294"/>
      <c r="G1783" s="294"/>
      <c r="H1783" s="294"/>
      <c r="I1783" s="294"/>
      <c r="J1783" s="294"/>
      <c r="L1783" s="295"/>
      <c r="M1783" s="294"/>
      <c r="P1783" s="294"/>
      <c r="Q1783" s="294"/>
    </row>
    <row r="1784" spans="2:17" x14ac:dyDescent="0.25">
      <c r="B1784" s="294"/>
      <c r="C1784" s="294"/>
      <c r="D1784" s="294"/>
      <c r="E1784" s="294"/>
      <c r="F1784" s="294"/>
      <c r="G1784" s="294"/>
      <c r="H1784" s="294"/>
      <c r="I1784" s="294"/>
      <c r="J1784" s="294"/>
      <c r="L1784" s="295"/>
      <c r="M1784" s="294"/>
      <c r="P1784" s="294"/>
      <c r="Q1784" s="294"/>
    </row>
    <row r="1785" spans="2:17" x14ac:dyDescent="0.25">
      <c r="B1785" s="294"/>
      <c r="C1785" s="294"/>
      <c r="D1785" s="294"/>
      <c r="E1785" s="294"/>
      <c r="F1785" s="294"/>
      <c r="G1785" s="294"/>
      <c r="H1785" s="294"/>
      <c r="I1785" s="294"/>
      <c r="J1785" s="294"/>
      <c r="L1785" s="295"/>
      <c r="M1785" s="294"/>
      <c r="P1785" s="294"/>
      <c r="Q1785" s="294"/>
    </row>
    <row r="1786" spans="2:17" x14ac:dyDescent="0.25">
      <c r="B1786" s="294"/>
      <c r="C1786" s="294"/>
      <c r="D1786" s="294"/>
      <c r="E1786" s="294"/>
      <c r="F1786" s="294"/>
      <c r="G1786" s="294"/>
      <c r="H1786" s="294"/>
      <c r="I1786" s="294"/>
      <c r="J1786" s="294"/>
      <c r="L1786" s="295"/>
      <c r="M1786" s="294"/>
      <c r="P1786" s="294"/>
      <c r="Q1786" s="294"/>
    </row>
    <row r="1787" spans="2:17" x14ac:dyDescent="0.25">
      <c r="B1787" s="294"/>
      <c r="C1787" s="294"/>
      <c r="D1787" s="294"/>
      <c r="E1787" s="294"/>
      <c r="F1787" s="294"/>
      <c r="G1787" s="294"/>
      <c r="H1787" s="294"/>
      <c r="I1787" s="294"/>
      <c r="J1787" s="294"/>
      <c r="L1787" s="295"/>
      <c r="M1787" s="294"/>
      <c r="P1787" s="294"/>
      <c r="Q1787" s="294"/>
    </row>
    <row r="1788" spans="2:17" x14ac:dyDescent="0.25">
      <c r="B1788" s="294"/>
      <c r="C1788" s="294"/>
      <c r="D1788" s="294"/>
      <c r="E1788" s="294"/>
      <c r="F1788" s="294"/>
      <c r="G1788" s="294"/>
      <c r="H1788" s="294"/>
      <c r="I1788" s="294"/>
      <c r="J1788" s="294"/>
      <c r="L1788" s="295"/>
      <c r="M1788" s="294"/>
      <c r="P1788" s="294"/>
      <c r="Q1788" s="294"/>
    </row>
    <row r="1789" spans="2:17" x14ac:dyDescent="0.25">
      <c r="B1789" s="294"/>
      <c r="C1789" s="294"/>
      <c r="D1789" s="294"/>
      <c r="E1789" s="294"/>
      <c r="F1789" s="294"/>
      <c r="G1789" s="294"/>
      <c r="H1789" s="294"/>
      <c r="I1789" s="294"/>
      <c r="J1789" s="294"/>
      <c r="L1789" s="295"/>
      <c r="M1789" s="294"/>
      <c r="P1789" s="294"/>
      <c r="Q1789" s="294"/>
    </row>
    <row r="1790" spans="2:17" x14ac:dyDescent="0.25">
      <c r="B1790" s="294"/>
      <c r="C1790" s="294"/>
      <c r="D1790" s="294"/>
      <c r="E1790" s="294"/>
      <c r="F1790" s="294"/>
      <c r="G1790" s="294"/>
      <c r="H1790" s="294"/>
      <c r="I1790" s="294"/>
      <c r="J1790" s="294"/>
      <c r="L1790" s="295"/>
      <c r="M1790" s="294"/>
      <c r="P1790" s="294"/>
      <c r="Q1790" s="294"/>
    </row>
    <row r="1791" spans="2:17" x14ac:dyDescent="0.25">
      <c r="B1791" s="294"/>
      <c r="C1791" s="294"/>
      <c r="D1791" s="294"/>
      <c r="E1791" s="294"/>
      <c r="F1791" s="294"/>
      <c r="G1791" s="294"/>
      <c r="H1791" s="294"/>
      <c r="I1791" s="294"/>
      <c r="J1791" s="294"/>
      <c r="L1791" s="295"/>
      <c r="M1791" s="294"/>
      <c r="P1791" s="294"/>
      <c r="Q1791" s="294"/>
    </row>
    <row r="1792" spans="2:17" x14ac:dyDescent="0.25">
      <c r="B1792" s="294"/>
      <c r="C1792" s="294"/>
      <c r="D1792" s="294"/>
      <c r="E1792" s="294"/>
      <c r="F1792" s="294"/>
      <c r="G1792" s="294"/>
      <c r="H1792" s="294"/>
      <c r="I1792" s="294"/>
      <c r="J1792" s="294"/>
      <c r="L1792" s="295"/>
      <c r="M1792" s="294"/>
      <c r="P1792" s="294"/>
      <c r="Q1792" s="294"/>
    </row>
    <row r="1793" spans="2:17" x14ac:dyDescent="0.25">
      <c r="B1793" s="294"/>
      <c r="C1793" s="294"/>
      <c r="D1793" s="294"/>
      <c r="E1793" s="294"/>
      <c r="F1793" s="294"/>
      <c r="G1793" s="294"/>
      <c r="H1793" s="294"/>
      <c r="I1793" s="294"/>
      <c r="J1793" s="294"/>
      <c r="L1793" s="295"/>
      <c r="M1793" s="294"/>
      <c r="P1793" s="294"/>
      <c r="Q1793" s="294"/>
    </row>
    <row r="1794" spans="2:17" x14ac:dyDescent="0.25">
      <c r="B1794" s="294"/>
      <c r="C1794" s="294"/>
      <c r="D1794" s="294"/>
      <c r="E1794" s="294"/>
      <c r="F1794" s="294"/>
      <c r="G1794" s="294"/>
      <c r="H1794" s="294"/>
      <c r="I1794" s="294"/>
      <c r="J1794" s="294"/>
      <c r="L1794" s="295"/>
      <c r="M1794" s="294"/>
      <c r="P1794" s="294"/>
      <c r="Q1794" s="294"/>
    </row>
    <row r="1795" spans="2:17" x14ac:dyDescent="0.25">
      <c r="B1795" s="294"/>
      <c r="C1795" s="294"/>
      <c r="D1795" s="294"/>
      <c r="E1795" s="294"/>
      <c r="F1795" s="294"/>
      <c r="G1795" s="294"/>
      <c r="H1795" s="294"/>
      <c r="I1795" s="294"/>
      <c r="J1795" s="294"/>
      <c r="L1795" s="295"/>
      <c r="M1795" s="294"/>
      <c r="P1795" s="294"/>
      <c r="Q1795" s="294"/>
    </row>
    <row r="1796" spans="2:17" x14ac:dyDescent="0.25">
      <c r="B1796" s="294"/>
      <c r="C1796" s="294"/>
      <c r="D1796" s="294"/>
      <c r="E1796" s="294"/>
      <c r="F1796" s="294"/>
      <c r="G1796" s="294"/>
      <c r="H1796" s="294"/>
      <c r="I1796" s="294"/>
      <c r="J1796" s="294"/>
      <c r="L1796" s="295"/>
      <c r="M1796" s="294"/>
      <c r="P1796" s="294"/>
      <c r="Q1796" s="294"/>
    </row>
    <row r="1797" spans="2:17" x14ac:dyDescent="0.25">
      <c r="B1797" s="294"/>
      <c r="C1797" s="294"/>
      <c r="D1797" s="294"/>
      <c r="E1797" s="294"/>
      <c r="F1797" s="294"/>
      <c r="G1797" s="294"/>
      <c r="H1797" s="294"/>
      <c r="I1797" s="294"/>
      <c r="J1797" s="294"/>
      <c r="L1797" s="295"/>
      <c r="M1797" s="294"/>
      <c r="P1797" s="294"/>
      <c r="Q1797" s="294"/>
    </row>
    <row r="1798" spans="2:17" x14ac:dyDescent="0.25">
      <c r="B1798" s="294"/>
      <c r="C1798" s="294"/>
      <c r="D1798" s="294"/>
      <c r="E1798" s="294"/>
      <c r="F1798" s="294"/>
      <c r="G1798" s="294"/>
      <c r="H1798" s="294"/>
      <c r="I1798" s="294"/>
      <c r="J1798" s="294"/>
      <c r="L1798" s="295"/>
      <c r="M1798" s="294"/>
      <c r="P1798" s="294"/>
      <c r="Q1798" s="294"/>
    </row>
    <row r="1799" spans="2:17" x14ac:dyDescent="0.25">
      <c r="B1799" s="294"/>
      <c r="C1799" s="294"/>
      <c r="D1799" s="294"/>
      <c r="E1799" s="294"/>
      <c r="F1799" s="294"/>
      <c r="G1799" s="294"/>
      <c r="H1799" s="294"/>
      <c r="I1799" s="294"/>
      <c r="J1799" s="294"/>
      <c r="L1799" s="295"/>
      <c r="M1799" s="294"/>
      <c r="P1799" s="294"/>
      <c r="Q1799" s="294"/>
    </row>
    <row r="1800" spans="2:17" x14ac:dyDescent="0.25">
      <c r="B1800" s="294"/>
      <c r="C1800" s="294"/>
      <c r="D1800" s="294"/>
      <c r="E1800" s="294"/>
      <c r="F1800" s="294"/>
      <c r="G1800" s="294"/>
      <c r="H1800" s="294"/>
      <c r="I1800" s="294"/>
      <c r="J1800" s="294"/>
      <c r="L1800" s="295"/>
      <c r="M1800" s="294"/>
      <c r="P1800" s="294"/>
      <c r="Q1800" s="294"/>
    </row>
    <row r="1801" spans="2:17" x14ac:dyDescent="0.25">
      <c r="B1801" s="294"/>
      <c r="C1801" s="294"/>
      <c r="D1801" s="294"/>
      <c r="E1801" s="294"/>
      <c r="F1801" s="294"/>
      <c r="G1801" s="294"/>
      <c r="H1801" s="294"/>
      <c r="I1801" s="294"/>
      <c r="J1801" s="294"/>
      <c r="L1801" s="295"/>
      <c r="M1801" s="294"/>
      <c r="P1801" s="294"/>
      <c r="Q1801" s="294"/>
    </row>
    <row r="1802" spans="2:17" x14ac:dyDescent="0.25">
      <c r="B1802" s="294"/>
      <c r="C1802" s="294"/>
      <c r="D1802" s="294"/>
      <c r="E1802" s="294"/>
      <c r="F1802" s="294"/>
      <c r="G1802" s="294"/>
      <c r="H1802" s="294"/>
      <c r="I1802" s="294"/>
      <c r="J1802" s="294"/>
      <c r="L1802" s="295"/>
      <c r="M1802" s="294"/>
      <c r="P1802" s="294"/>
      <c r="Q1802" s="294"/>
    </row>
    <row r="1803" spans="2:17" x14ac:dyDescent="0.25">
      <c r="B1803" s="294"/>
      <c r="C1803" s="294"/>
      <c r="D1803" s="294"/>
      <c r="E1803" s="294"/>
      <c r="F1803" s="294"/>
      <c r="G1803" s="294"/>
      <c r="H1803" s="294"/>
      <c r="I1803" s="294"/>
      <c r="J1803" s="294"/>
      <c r="L1803" s="295"/>
      <c r="M1803" s="294"/>
      <c r="P1803" s="294"/>
      <c r="Q1803" s="294"/>
    </row>
    <row r="1804" spans="2:17" x14ac:dyDescent="0.25">
      <c r="B1804" s="294"/>
      <c r="C1804" s="294"/>
      <c r="D1804" s="294"/>
      <c r="E1804" s="294"/>
      <c r="F1804" s="294"/>
      <c r="G1804" s="294"/>
      <c r="H1804" s="294"/>
      <c r="I1804" s="294"/>
      <c r="J1804" s="294"/>
      <c r="L1804" s="295"/>
      <c r="M1804" s="294"/>
      <c r="P1804" s="294"/>
      <c r="Q1804" s="294"/>
    </row>
    <row r="1805" spans="2:17" x14ac:dyDescent="0.25">
      <c r="B1805" s="294"/>
      <c r="C1805" s="294"/>
      <c r="D1805" s="294"/>
      <c r="E1805" s="294"/>
      <c r="F1805" s="294"/>
      <c r="G1805" s="294"/>
      <c r="H1805" s="294"/>
      <c r="I1805" s="294"/>
      <c r="J1805" s="294"/>
      <c r="L1805" s="295"/>
      <c r="M1805" s="294"/>
      <c r="P1805" s="294"/>
      <c r="Q1805" s="294"/>
    </row>
    <row r="1806" spans="2:17" x14ac:dyDescent="0.25">
      <c r="B1806" s="294"/>
      <c r="C1806" s="294"/>
      <c r="D1806" s="294"/>
      <c r="E1806" s="294"/>
      <c r="F1806" s="294"/>
      <c r="G1806" s="294"/>
      <c r="H1806" s="294"/>
      <c r="I1806" s="294"/>
      <c r="J1806" s="294"/>
      <c r="L1806" s="295"/>
      <c r="M1806" s="294"/>
      <c r="P1806" s="294"/>
      <c r="Q1806" s="294"/>
    </row>
    <row r="1807" spans="2:17" x14ac:dyDescent="0.25">
      <c r="B1807" s="294"/>
      <c r="C1807" s="294"/>
      <c r="D1807" s="294"/>
      <c r="E1807" s="294"/>
      <c r="F1807" s="294"/>
      <c r="G1807" s="294"/>
      <c r="H1807" s="294"/>
      <c r="I1807" s="294"/>
      <c r="J1807" s="294"/>
      <c r="L1807" s="295"/>
      <c r="M1807" s="294"/>
      <c r="P1807" s="294"/>
      <c r="Q1807" s="294"/>
    </row>
    <row r="1808" spans="2:17" x14ac:dyDescent="0.25">
      <c r="B1808" s="294"/>
      <c r="C1808" s="294"/>
      <c r="D1808" s="294"/>
      <c r="E1808" s="294"/>
      <c r="F1808" s="294"/>
      <c r="G1808" s="294"/>
      <c r="H1808" s="294"/>
      <c r="I1808" s="294"/>
      <c r="J1808" s="294"/>
      <c r="L1808" s="295"/>
      <c r="M1808" s="294"/>
      <c r="P1808" s="294"/>
      <c r="Q1808" s="294"/>
    </row>
    <row r="1809" spans="2:17" x14ac:dyDescent="0.25">
      <c r="B1809" s="294"/>
      <c r="C1809" s="294"/>
      <c r="D1809" s="294"/>
      <c r="E1809" s="294"/>
      <c r="F1809" s="294"/>
      <c r="G1809" s="294"/>
      <c r="H1809" s="294"/>
      <c r="I1809" s="294"/>
      <c r="J1809" s="294"/>
      <c r="L1809" s="295"/>
      <c r="M1809" s="294"/>
      <c r="P1809" s="294"/>
      <c r="Q1809" s="294"/>
    </row>
    <row r="1810" spans="2:17" x14ac:dyDescent="0.25">
      <c r="B1810" s="294"/>
      <c r="C1810" s="294"/>
      <c r="D1810" s="294"/>
      <c r="E1810" s="294"/>
      <c r="F1810" s="294"/>
      <c r="G1810" s="294"/>
      <c r="H1810" s="294"/>
      <c r="I1810" s="294"/>
      <c r="J1810" s="294"/>
      <c r="L1810" s="295"/>
      <c r="M1810" s="294"/>
      <c r="P1810" s="294"/>
      <c r="Q1810" s="294"/>
    </row>
    <row r="1811" spans="2:17" x14ac:dyDescent="0.25">
      <c r="B1811" s="294"/>
      <c r="C1811" s="294"/>
      <c r="D1811" s="294"/>
      <c r="E1811" s="294"/>
      <c r="F1811" s="294"/>
      <c r="G1811" s="294"/>
      <c r="H1811" s="294"/>
      <c r="I1811" s="294"/>
      <c r="J1811" s="294"/>
      <c r="L1811" s="295"/>
      <c r="M1811" s="294"/>
      <c r="P1811" s="294"/>
      <c r="Q1811" s="294"/>
    </row>
    <row r="1812" spans="2:17" x14ac:dyDescent="0.25">
      <c r="B1812" s="294"/>
      <c r="C1812" s="294"/>
      <c r="D1812" s="294"/>
      <c r="E1812" s="294"/>
      <c r="F1812" s="294"/>
      <c r="G1812" s="294"/>
      <c r="H1812" s="294"/>
      <c r="I1812" s="294"/>
      <c r="J1812" s="294"/>
      <c r="L1812" s="295"/>
      <c r="M1812" s="294"/>
      <c r="P1812" s="294"/>
      <c r="Q1812" s="294"/>
    </row>
    <row r="1813" spans="2:17" x14ac:dyDescent="0.25">
      <c r="B1813" s="294"/>
      <c r="C1813" s="294"/>
      <c r="D1813" s="294"/>
      <c r="E1813" s="294"/>
      <c r="F1813" s="294"/>
      <c r="G1813" s="294"/>
      <c r="H1813" s="294"/>
      <c r="I1813" s="294"/>
      <c r="J1813" s="294"/>
      <c r="L1813" s="295"/>
      <c r="M1813" s="294"/>
      <c r="P1813" s="294"/>
      <c r="Q1813" s="294"/>
    </row>
    <row r="1814" spans="2:17" x14ac:dyDescent="0.25">
      <c r="B1814" s="294"/>
      <c r="C1814" s="294"/>
      <c r="D1814" s="294"/>
      <c r="E1814" s="294"/>
      <c r="F1814" s="294"/>
      <c r="G1814" s="294"/>
      <c r="H1814" s="294"/>
      <c r="I1814" s="294"/>
      <c r="J1814" s="294"/>
      <c r="L1814" s="295"/>
      <c r="M1814" s="294"/>
      <c r="P1814" s="294"/>
      <c r="Q1814" s="294"/>
    </row>
    <row r="1815" spans="2:17" x14ac:dyDescent="0.25">
      <c r="B1815" s="294"/>
      <c r="C1815" s="294"/>
      <c r="D1815" s="294"/>
      <c r="E1815" s="294"/>
      <c r="F1815" s="294"/>
      <c r="G1815" s="294"/>
      <c r="H1815" s="294"/>
      <c r="I1815" s="294"/>
      <c r="J1815" s="294"/>
      <c r="L1815" s="295"/>
      <c r="M1815" s="294"/>
      <c r="P1815" s="294"/>
      <c r="Q1815" s="294"/>
    </row>
    <row r="1816" spans="2:17" x14ac:dyDescent="0.25">
      <c r="B1816" s="294"/>
      <c r="C1816" s="294"/>
      <c r="D1816" s="294"/>
      <c r="E1816" s="294"/>
      <c r="F1816" s="294"/>
      <c r="G1816" s="294"/>
      <c r="H1816" s="294"/>
      <c r="I1816" s="294"/>
      <c r="J1816" s="294"/>
      <c r="L1816" s="295"/>
      <c r="M1816" s="294"/>
      <c r="P1816" s="294"/>
      <c r="Q1816" s="294"/>
    </row>
    <row r="1817" spans="2:17" x14ac:dyDescent="0.25">
      <c r="B1817" s="294"/>
      <c r="C1817" s="294"/>
      <c r="D1817" s="294"/>
      <c r="E1817" s="294"/>
      <c r="F1817" s="294"/>
      <c r="G1817" s="294"/>
      <c r="H1817" s="294"/>
      <c r="I1817" s="294"/>
      <c r="J1817" s="294"/>
      <c r="L1817" s="295"/>
      <c r="M1817" s="294"/>
      <c r="P1817" s="294"/>
      <c r="Q1817" s="294"/>
    </row>
    <row r="1818" spans="2:17" x14ac:dyDescent="0.25">
      <c r="B1818" s="294"/>
      <c r="C1818" s="294"/>
      <c r="D1818" s="294"/>
      <c r="E1818" s="294"/>
      <c r="F1818" s="294"/>
      <c r="G1818" s="294"/>
      <c r="H1818" s="294"/>
      <c r="I1818" s="294"/>
      <c r="J1818" s="294"/>
      <c r="L1818" s="295"/>
      <c r="M1818" s="294"/>
      <c r="P1818" s="294"/>
      <c r="Q1818" s="294"/>
    </row>
    <row r="1819" spans="2:17" x14ac:dyDescent="0.25">
      <c r="B1819" s="294"/>
      <c r="C1819" s="294"/>
      <c r="D1819" s="294"/>
      <c r="E1819" s="294"/>
      <c r="F1819" s="294"/>
      <c r="G1819" s="294"/>
      <c r="H1819" s="294"/>
      <c r="I1819" s="294"/>
      <c r="J1819" s="294"/>
      <c r="L1819" s="295"/>
      <c r="M1819" s="294"/>
      <c r="P1819" s="294"/>
      <c r="Q1819" s="294"/>
    </row>
    <row r="1820" spans="2:17" x14ac:dyDescent="0.25">
      <c r="B1820" s="294"/>
      <c r="C1820" s="294"/>
      <c r="D1820" s="294"/>
      <c r="E1820" s="294"/>
      <c r="F1820" s="294"/>
      <c r="G1820" s="294"/>
      <c r="H1820" s="294"/>
      <c r="I1820" s="294"/>
      <c r="J1820" s="294"/>
      <c r="L1820" s="295"/>
      <c r="M1820" s="294"/>
      <c r="P1820" s="294"/>
      <c r="Q1820" s="294"/>
    </row>
    <row r="1821" spans="2:17" x14ac:dyDescent="0.25">
      <c r="B1821" s="294"/>
      <c r="C1821" s="294"/>
      <c r="D1821" s="294"/>
      <c r="E1821" s="294"/>
      <c r="F1821" s="294"/>
      <c r="G1821" s="294"/>
      <c r="H1821" s="294"/>
      <c r="I1821" s="294"/>
      <c r="J1821" s="294"/>
      <c r="L1821" s="295"/>
      <c r="M1821" s="294"/>
      <c r="P1821" s="294"/>
      <c r="Q1821" s="294"/>
    </row>
    <row r="1822" spans="2:17" x14ac:dyDescent="0.25">
      <c r="B1822" s="294"/>
      <c r="C1822" s="294"/>
      <c r="D1822" s="294"/>
      <c r="E1822" s="294"/>
      <c r="F1822" s="294"/>
      <c r="G1822" s="294"/>
      <c r="H1822" s="294"/>
      <c r="I1822" s="294"/>
      <c r="J1822" s="294"/>
      <c r="L1822" s="295"/>
      <c r="M1822" s="294"/>
      <c r="P1822" s="294"/>
      <c r="Q1822" s="294"/>
    </row>
    <row r="1823" spans="2:17" x14ac:dyDescent="0.25">
      <c r="B1823" s="294"/>
      <c r="C1823" s="294"/>
      <c r="D1823" s="294"/>
      <c r="E1823" s="294"/>
      <c r="F1823" s="294"/>
      <c r="G1823" s="294"/>
      <c r="H1823" s="294"/>
      <c r="I1823" s="294"/>
      <c r="J1823" s="294"/>
      <c r="L1823" s="295"/>
      <c r="M1823" s="294"/>
      <c r="P1823" s="294"/>
      <c r="Q1823" s="294"/>
    </row>
    <row r="1824" spans="2:17" x14ac:dyDescent="0.25">
      <c r="B1824" s="294"/>
      <c r="C1824" s="294"/>
      <c r="D1824" s="294"/>
      <c r="E1824" s="294"/>
      <c r="F1824" s="294"/>
      <c r="G1824" s="294"/>
      <c r="H1824" s="294"/>
      <c r="I1824" s="294"/>
      <c r="J1824" s="294"/>
      <c r="L1824" s="295"/>
      <c r="M1824" s="294"/>
      <c r="P1824" s="294"/>
      <c r="Q1824" s="294"/>
    </row>
    <row r="1825" spans="2:17" x14ac:dyDescent="0.25">
      <c r="B1825" s="294"/>
      <c r="C1825" s="294"/>
      <c r="D1825" s="294"/>
      <c r="E1825" s="294"/>
      <c r="F1825" s="294"/>
      <c r="G1825" s="294"/>
      <c r="H1825" s="294"/>
      <c r="I1825" s="294"/>
      <c r="J1825" s="294"/>
      <c r="L1825" s="295"/>
      <c r="M1825" s="294"/>
      <c r="P1825" s="294"/>
      <c r="Q1825" s="294"/>
    </row>
    <row r="1826" spans="2:17" x14ac:dyDescent="0.25">
      <c r="B1826" s="294"/>
      <c r="C1826" s="294"/>
      <c r="D1826" s="294"/>
      <c r="E1826" s="294"/>
      <c r="F1826" s="294"/>
      <c r="G1826" s="294"/>
      <c r="H1826" s="294"/>
      <c r="I1826" s="294"/>
      <c r="J1826" s="294"/>
      <c r="L1826" s="295"/>
      <c r="M1826" s="294"/>
      <c r="P1826" s="294"/>
      <c r="Q1826" s="294"/>
    </row>
    <row r="1827" spans="2:17" x14ac:dyDescent="0.25">
      <c r="B1827" s="294"/>
      <c r="C1827" s="294"/>
      <c r="D1827" s="294"/>
      <c r="E1827" s="294"/>
      <c r="F1827" s="294"/>
      <c r="G1827" s="294"/>
      <c r="H1827" s="294"/>
      <c r="I1827" s="294"/>
      <c r="J1827" s="294"/>
      <c r="L1827" s="295"/>
      <c r="M1827" s="294"/>
      <c r="P1827" s="294"/>
      <c r="Q1827" s="294"/>
    </row>
    <row r="1828" spans="2:17" x14ac:dyDescent="0.25">
      <c r="B1828" s="294"/>
      <c r="C1828" s="294"/>
      <c r="D1828" s="294"/>
      <c r="E1828" s="294"/>
      <c r="F1828" s="294"/>
      <c r="G1828" s="294"/>
      <c r="H1828" s="294"/>
      <c r="I1828" s="294"/>
      <c r="J1828" s="294"/>
      <c r="L1828" s="295"/>
      <c r="M1828" s="294"/>
      <c r="P1828" s="294"/>
      <c r="Q1828" s="294"/>
    </row>
    <row r="1829" spans="2:17" x14ac:dyDescent="0.25">
      <c r="B1829" s="294"/>
      <c r="C1829" s="294"/>
      <c r="D1829" s="294"/>
      <c r="E1829" s="294"/>
      <c r="F1829" s="294"/>
      <c r="G1829" s="294"/>
      <c r="H1829" s="294"/>
      <c r="I1829" s="294"/>
      <c r="J1829" s="294"/>
      <c r="L1829" s="295"/>
      <c r="M1829" s="294"/>
      <c r="P1829" s="294"/>
      <c r="Q1829" s="294"/>
    </row>
    <row r="1830" spans="2:17" x14ac:dyDescent="0.25">
      <c r="B1830" s="294"/>
      <c r="C1830" s="294"/>
      <c r="D1830" s="294"/>
      <c r="E1830" s="294"/>
      <c r="F1830" s="294"/>
      <c r="G1830" s="294"/>
      <c r="H1830" s="294"/>
      <c r="I1830" s="294"/>
      <c r="J1830" s="294"/>
      <c r="L1830" s="295"/>
      <c r="M1830" s="294"/>
      <c r="P1830" s="294"/>
      <c r="Q1830" s="294"/>
    </row>
    <row r="1831" spans="2:17" x14ac:dyDescent="0.25">
      <c r="B1831" s="294"/>
      <c r="C1831" s="294"/>
      <c r="D1831" s="294"/>
      <c r="E1831" s="294"/>
      <c r="F1831" s="294"/>
      <c r="G1831" s="294"/>
      <c r="H1831" s="294"/>
      <c r="I1831" s="294"/>
      <c r="J1831" s="294"/>
      <c r="L1831" s="295"/>
      <c r="M1831" s="294"/>
      <c r="P1831" s="294"/>
      <c r="Q1831" s="294"/>
    </row>
    <row r="1832" spans="2:17" x14ac:dyDescent="0.25">
      <c r="B1832" s="294"/>
      <c r="C1832" s="294"/>
      <c r="D1832" s="294"/>
      <c r="E1832" s="294"/>
      <c r="F1832" s="294"/>
      <c r="G1832" s="294"/>
      <c r="H1832" s="294"/>
      <c r="I1832" s="294"/>
      <c r="J1832" s="294"/>
      <c r="L1832" s="295"/>
      <c r="M1832" s="294"/>
      <c r="P1832" s="294"/>
      <c r="Q1832" s="294"/>
    </row>
    <row r="1833" spans="2:17" x14ac:dyDescent="0.25">
      <c r="B1833" s="294"/>
      <c r="C1833" s="294"/>
      <c r="D1833" s="294"/>
      <c r="E1833" s="294"/>
      <c r="F1833" s="294"/>
      <c r="G1833" s="294"/>
      <c r="H1833" s="294"/>
      <c r="I1833" s="294"/>
      <c r="J1833" s="294"/>
      <c r="L1833" s="295"/>
      <c r="M1833" s="294"/>
      <c r="P1833" s="294"/>
      <c r="Q1833" s="294"/>
    </row>
    <row r="1834" spans="2:17" x14ac:dyDescent="0.25">
      <c r="B1834" s="294"/>
      <c r="C1834" s="294"/>
      <c r="D1834" s="294"/>
      <c r="E1834" s="294"/>
      <c r="F1834" s="294"/>
      <c r="G1834" s="294"/>
      <c r="H1834" s="294"/>
      <c r="I1834" s="294"/>
      <c r="J1834" s="294"/>
      <c r="L1834" s="295"/>
      <c r="M1834" s="294"/>
      <c r="P1834" s="294"/>
      <c r="Q1834" s="294"/>
    </row>
    <row r="1835" spans="2:17" x14ac:dyDescent="0.25">
      <c r="B1835" s="294"/>
      <c r="C1835" s="294"/>
      <c r="D1835" s="294"/>
      <c r="E1835" s="294"/>
      <c r="F1835" s="294"/>
      <c r="G1835" s="294"/>
      <c r="H1835" s="294"/>
      <c r="I1835" s="294"/>
      <c r="J1835" s="294"/>
      <c r="L1835" s="295"/>
      <c r="M1835" s="294"/>
      <c r="P1835" s="294"/>
      <c r="Q1835" s="294"/>
    </row>
    <row r="1836" spans="2:17" x14ac:dyDescent="0.25">
      <c r="B1836" s="294"/>
      <c r="C1836" s="294"/>
      <c r="D1836" s="294"/>
      <c r="E1836" s="294"/>
      <c r="F1836" s="294"/>
      <c r="G1836" s="294"/>
      <c r="H1836" s="294"/>
      <c r="I1836" s="294"/>
      <c r="J1836" s="294"/>
      <c r="L1836" s="295"/>
      <c r="M1836" s="294"/>
      <c r="P1836" s="294"/>
      <c r="Q1836" s="294"/>
    </row>
    <row r="1837" spans="2:17" x14ac:dyDescent="0.25">
      <c r="B1837" s="294"/>
      <c r="C1837" s="294"/>
      <c r="D1837" s="294"/>
      <c r="E1837" s="294"/>
      <c r="F1837" s="294"/>
      <c r="G1837" s="294"/>
      <c r="H1837" s="294"/>
      <c r="I1837" s="294"/>
      <c r="J1837" s="294"/>
      <c r="L1837" s="295"/>
      <c r="M1837" s="294"/>
      <c r="P1837" s="294"/>
      <c r="Q1837" s="294"/>
    </row>
    <row r="1838" spans="2:17" x14ac:dyDescent="0.25">
      <c r="B1838" s="294"/>
      <c r="C1838" s="294"/>
      <c r="D1838" s="294"/>
      <c r="E1838" s="294"/>
      <c r="F1838" s="294"/>
      <c r="G1838" s="294"/>
      <c r="H1838" s="294"/>
      <c r="I1838" s="294"/>
      <c r="J1838" s="294"/>
      <c r="L1838" s="295"/>
      <c r="M1838" s="294"/>
      <c r="P1838" s="294"/>
      <c r="Q1838" s="294"/>
    </row>
    <row r="1839" spans="2:17" x14ac:dyDescent="0.25">
      <c r="B1839" s="294"/>
      <c r="C1839" s="294"/>
      <c r="D1839" s="294"/>
      <c r="E1839" s="294"/>
      <c r="F1839" s="294"/>
      <c r="G1839" s="294"/>
      <c r="H1839" s="294"/>
      <c r="I1839" s="294"/>
      <c r="J1839" s="294"/>
      <c r="L1839" s="295"/>
      <c r="M1839" s="294"/>
      <c r="P1839" s="294"/>
      <c r="Q1839" s="294"/>
    </row>
    <row r="1840" spans="2:17" x14ac:dyDescent="0.25">
      <c r="B1840" s="294"/>
      <c r="C1840" s="294"/>
      <c r="D1840" s="294"/>
      <c r="E1840" s="294"/>
      <c r="F1840" s="294"/>
      <c r="G1840" s="294"/>
      <c r="H1840" s="294"/>
      <c r="I1840" s="294"/>
      <c r="J1840" s="294"/>
      <c r="L1840" s="295"/>
      <c r="M1840" s="294"/>
      <c r="P1840" s="294"/>
      <c r="Q1840" s="294"/>
    </row>
    <row r="1841" spans="2:17" x14ac:dyDescent="0.25">
      <c r="B1841" s="294"/>
      <c r="C1841" s="294"/>
      <c r="D1841" s="294"/>
      <c r="E1841" s="294"/>
      <c r="F1841" s="294"/>
      <c r="G1841" s="294"/>
      <c r="H1841" s="294"/>
      <c r="I1841" s="294"/>
      <c r="J1841" s="294"/>
      <c r="L1841" s="295"/>
      <c r="M1841" s="294"/>
      <c r="P1841" s="294"/>
      <c r="Q1841" s="294"/>
    </row>
    <row r="1842" spans="2:17" x14ac:dyDescent="0.25">
      <c r="B1842" s="294"/>
      <c r="C1842" s="294"/>
      <c r="D1842" s="294"/>
      <c r="E1842" s="294"/>
      <c r="F1842" s="294"/>
      <c r="G1842" s="294"/>
      <c r="H1842" s="294"/>
      <c r="I1842" s="294"/>
      <c r="J1842" s="294"/>
      <c r="L1842" s="295"/>
      <c r="M1842" s="294"/>
      <c r="P1842" s="294"/>
      <c r="Q1842" s="294"/>
    </row>
    <row r="1843" spans="2:17" x14ac:dyDescent="0.25">
      <c r="B1843" s="294"/>
      <c r="C1843" s="294"/>
      <c r="D1843" s="294"/>
      <c r="E1843" s="294"/>
      <c r="F1843" s="294"/>
      <c r="G1843" s="294"/>
      <c r="H1843" s="294"/>
      <c r="I1843" s="294"/>
      <c r="J1843" s="294"/>
      <c r="L1843" s="295"/>
      <c r="M1843" s="294"/>
      <c r="P1843" s="294"/>
      <c r="Q1843" s="294"/>
    </row>
    <row r="1844" spans="2:17" x14ac:dyDescent="0.25">
      <c r="B1844" s="294"/>
      <c r="C1844" s="294"/>
      <c r="D1844" s="294"/>
      <c r="E1844" s="294"/>
      <c r="F1844" s="294"/>
      <c r="G1844" s="294"/>
      <c r="H1844" s="294"/>
      <c r="I1844" s="294"/>
      <c r="J1844" s="294"/>
      <c r="L1844" s="295"/>
      <c r="M1844" s="294"/>
      <c r="P1844" s="294"/>
      <c r="Q1844" s="294"/>
    </row>
    <row r="1845" spans="2:17" x14ac:dyDescent="0.25">
      <c r="B1845" s="294"/>
      <c r="C1845" s="294"/>
      <c r="D1845" s="294"/>
      <c r="E1845" s="294"/>
      <c r="F1845" s="294"/>
      <c r="G1845" s="294"/>
      <c r="H1845" s="294"/>
      <c r="I1845" s="294"/>
      <c r="J1845" s="294"/>
      <c r="L1845" s="295"/>
      <c r="M1845" s="294"/>
      <c r="P1845" s="294"/>
      <c r="Q1845" s="294"/>
    </row>
    <row r="1846" spans="2:17" x14ac:dyDescent="0.25">
      <c r="B1846" s="294"/>
      <c r="C1846" s="294"/>
      <c r="D1846" s="294"/>
      <c r="E1846" s="294"/>
      <c r="F1846" s="294"/>
      <c r="G1846" s="294"/>
      <c r="H1846" s="294"/>
      <c r="I1846" s="294"/>
      <c r="J1846" s="294"/>
      <c r="L1846" s="295"/>
      <c r="M1846" s="294"/>
      <c r="P1846" s="294"/>
      <c r="Q1846" s="294"/>
    </row>
    <row r="1847" spans="2:17" x14ac:dyDescent="0.25">
      <c r="B1847" s="294"/>
      <c r="C1847" s="294"/>
      <c r="D1847" s="294"/>
      <c r="E1847" s="294"/>
      <c r="F1847" s="294"/>
      <c r="G1847" s="294"/>
      <c r="H1847" s="294"/>
      <c r="I1847" s="294"/>
      <c r="J1847" s="294"/>
      <c r="L1847" s="295"/>
      <c r="M1847" s="294"/>
      <c r="P1847" s="294"/>
      <c r="Q1847" s="294"/>
    </row>
    <row r="1848" spans="2:17" x14ac:dyDescent="0.25">
      <c r="B1848" s="294"/>
      <c r="C1848" s="294"/>
      <c r="D1848" s="294"/>
      <c r="E1848" s="294"/>
      <c r="F1848" s="294"/>
      <c r="G1848" s="294"/>
      <c r="H1848" s="294"/>
      <c r="I1848" s="294"/>
      <c r="J1848" s="294"/>
      <c r="L1848" s="295"/>
      <c r="M1848" s="294"/>
      <c r="P1848" s="294"/>
      <c r="Q1848" s="294"/>
    </row>
    <row r="1849" spans="2:17" x14ac:dyDescent="0.25">
      <c r="B1849" s="294"/>
      <c r="C1849" s="294"/>
      <c r="D1849" s="294"/>
      <c r="E1849" s="294"/>
      <c r="F1849" s="294"/>
      <c r="G1849" s="294"/>
      <c r="H1849" s="294"/>
      <c r="I1849" s="294"/>
      <c r="J1849" s="294"/>
      <c r="L1849" s="295"/>
      <c r="M1849" s="294"/>
      <c r="P1849" s="294"/>
      <c r="Q1849" s="294"/>
    </row>
    <row r="1850" spans="2:17" x14ac:dyDescent="0.25">
      <c r="B1850" s="294"/>
      <c r="C1850" s="294"/>
      <c r="D1850" s="294"/>
      <c r="E1850" s="294"/>
      <c r="F1850" s="294"/>
      <c r="G1850" s="294"/>
      <c r="H1850" s="294"/>
      <c r="I1850" s="294"/>
      <c r="J1850" s="294"/>
      <c r="L1850" s="295"/>
      <c r="M1850" s="294"/>
      <c r="P1850" s="294"/>
      <c r="Q1850" s="294"/>
    </row>
    <row r="1851" spans="2:17" x14ac:dyDescent="0.25">
      <c r="B1851" s="294"/>
      <c r="C1851" s="294"/>
      <c r="D1851" s="294"/>
      <c r="E1851" s="294"/>
      <c r="F1851" s="294"/>
      <c r="G1851" s="294"/>
      <c r="H1851" s="294"/>
      <c r="I1851" s="294"/>
      <c r="J1851" s="294"/>
      <c r="L1851" s="295"/>
      <c r="M1851" s="294"/>
      <c r="P1851" s="294"/>
      <c r="Q1851" s="294"/>
    </row>
    <row r="1852" spans="2:17" x14ac:dyDescent="0.25">
      <c r="B1852" s="294"/>
      <c r="C1852" s="294"/>
      <c r="D1852" s="294"/>
      <c r="E1852" s="294"/>
      <c r="F1852" s="294"/>
      <c r="G1852" s="294"/>
      <c r="H1852" s="294"/>
      <c r="I1852" s="294"/>
      <c r="J1852" s="294"/>
      <c r="L1852" s="295"/>
      <c r="M1852" s="294"/>
      <c r="P1852" s="294"/>
      <c r="Q1852" s="294"/>
    </row>
    <row r="1853" spans="2:17" x14ac:dyDescent="0.25">
      <c r="B1853" s="294"/>
      <c r="C1853" s="294"/>
      <c r="D1853" s="294"/>
      <c r="E1853" s="294"/>
      <c r="F1853" s="294"/>
      <c r="G1853" s="294"/>
      <c r="H1853" s="294"/>
      <c r="I1853" s="294"/>
      <c r="J1853" s="294"/>
      <c r="L1853" s="295"/>
      <c r="M1853" s="294"/>
      <c r="P1853" s="294"/>
      <c r="Q1853" s="294"/>
    </row>
    <row r="1854" spans="2:17" x14ac:dyDescent="0.25">
      <c r="B1854" s="294"/>
      <c r="C1854" s="294"/>
      <c r="D1854" s="294"/>
      <c r="E1854" s="294"/>
      <c r="F1854" s="294"/>
      <c r="G1854" s="294"/>
      <c r="H1854" s="294"/>
      <c r="I1854" s="294"/>
      <c r="J1854" s="294"/>
      <c r="L1854" s="295"/>
      <c r="M1854" s="294"/>
      <c r="P1854" s="294"/>
      <c r="Q1854" s="294"/>
    </row>
    <row r="1855" spans="2:17" x14ac:dyDescent="0.25">
      <c r="B1855" s="294"/>
      <c r="C1855" s="294"/>
      <c r="D1855" s="294"/>
      <c r="E1855" s="294"/>
      <c r="F1855" s="294"/>
      <c r="G1855" s="294"/>
      <c r="H1855" s="294"/>
      <c r="I1855" s="294"/>
      <c r="J1855" s="294"/>
      <c r="L1855" s="295"/>
      <c r="M1855" s="294"/>
      <c r="P1855" s="294"/>
      <c r="Q1855" s="294"/>
    </row>
    <row r="1856" spans="2:17" x14ac:dyDescent="0.25">
      <c r="B1856" s="294"/>
      <c r="C1856" s="294"/>
      <c r="D1856" s="294"/>
      <c r="E1856" s="294"/>
      <c r="F1856" s="294"/>
      <c r="G1856" s="294"/>
      <c r="H1856" s="294"/>
      <c r="I1856" s="294"/>
      <c r="J1856" s="294"/>
      <c r="L1856" s="295"/>
      <c r="M1856" s="294"/>
      <c r="P1856" s="294"/>
      <c r="Q1856" s="294"/>
    </row>
    <row r="1857" spans="2:17" x14ac:dyDescent="0.25">
      <c r="B1857" s="294"/>
      <c r="C1857" s="294"/>
      <c r="D1857" s="294"/>
      <c r="E1857" s="294"/>
      <c r="F1857" s="294"/>
      <c r="G1857" s="294"/>
      <c r="H1857" s="294"/>
      <c r="I1857" s="294"/>
      <c r="J1857" s="294"/>
      <c r="L1857" s="295"/>
      <c r="M1857" s="294"/>
      <c r="P1857" s="294"/>
      <c r="Q1857" s="294"/>
    </row>
    <row r="1858" spans="2:17" x14ac:dyDescent="0.25">
      <c r="B1858" s="294"/>
      <c r="C1858" s="294"/>
      <c r="D1858" s="294"/>
      <c r="E1858" s="294"/>
      <c r="F1858" s="294"/>
      <c r="G1858" s="294"/>
      <c r="H1858" s="294"/>
      <c r="I1858" s="294"/>
      <c r="J1858" s="294"/>
      <c r="L1858" s="295"/>
      <c r="M1858" s="294"/>
      <c r="P1858" s="294"/>
      <c r="Q1858" s="294"/>
    </row>
    <row r="1859" spans="2:17" x14ac:dyDescent="0.25">
      <c r="B1859" s="294"/>
      <c r="C1859" s="294"/>
      <c r="D1859" s="294"/>
      <c r="E1859" s="294"/>
      <c r="F1859" s="294"/>
      <c r="G1859" s="294"/>
      <c r="H1859" s="294"/>
      <c r="I1859" s="294"/>
      <c r="J1859" s="294"/>
      <c r="L1859" s="295"/>
      <c r="M1859" s="294"/>
      <c r="P1859" s="294"/>
      <c r="Q1859" s="294"/>
    </row>
    <row r="1860" spans="2:17" x14ac:dyDescent="0.25">
      <c r="B1860" s="294"/>
      <c r="C1860" s="294"/>
      <c r="D1860" s="294"/>
      <c r="E1860" s="294"/>
      <c r="F1860" s="294"/>
      <c r="G1860" s="294"/>
      <c r="H1860" s="294"/>
      <c r="I1860" s="294"/>
      <c r="J1860" s="294"/>
      <c r="L1860" s="295"/>
      <c r="M1860" s="294"/>
      <c r="P1860" s="294"/>
      <c r="Q1860" s="294"/>
    </row>
    <row r="1861" spans="2:17" x14ac:dyDescent="0.25">
      <c r="B1861" s="294"/>
      <c r="C1861" s="294"/>
      <c r="D1861" s="294"/>
      <c r="E1861" s="294"/>
      <c r="F1861" s="294"/>
      <c r="G1861" s="294"/>
      <c r="H1861" s="294"/>
      <c r="I1861" s="294"/>
      <c r="J1861" s="294"/>
      <c r="L1861" s="295"/>
      <c r="M1861" s="294"/>
      <c r="P1861" s="294"/>
      <c r="Q1861" s="294"/>
    </row>
    <row r="1862" spans="2:17" x14ac:dyDescent="0.25">
      <c r="B1862" s="294"/>
      <c r="C1862" s="294"/>
      <c r="D1862" s="294"/>
      <c r="E1862" s="294"/>
      <c r="F1862" s="294"/>
      <c r="G1862" s="294"/>
      <c r="H1862" s="294"/>
      <c r="I1862" s="294"/>
      <c r="J1862" s="294"/>
      <c r="L1862" s="295"/>
      <c r="M1862" s="294"/>
      <c r="P1862" s="294"/>
      <c r="Q1862" s="294"/>
    </row>
    <row r="1863" spans="2:17" x14ac:dyDescent="0.25">
      <c r="B1863" s="294"/>
      <c r="C1863" s="294"/>
      <c r="D1863" s="294"/>
      <c r="E1863" s="294"/>
      <c r="F1863" s="294"/>
      <c r="G1863" s="294"/>
      <c r="H1863" s="294"/>
      <c r="I1863" s="294"/>
      <c r="J1863" s="294"/>
      <c r="L1863" s="295"/>
      <c r="M1863" s="294"/>
      <c r="P1863" s="294"/>
      <c r="Q1863" s="294"/>
    </row>
    <row r="1864" spans="2:17" x14ac:dyDescent="0.25">
      <c r="B1864" s="294"/>
      <c r="C1864" s="294"/>
      <c r="D1864" s="294"/>
      <c r="E1864" s="294"/>
      <c r="F1864" s="294"/>
      <c r="G1864" s="294"/>
      <c r="H1864" s="294"/>
      <c r="I1864" s="294"/>
      <c r="J1864" s="294"/>
      <c r="L1864" s="295"/>
      <c r="M1864" s="294"/>
      <c r="P1864" s="294"/>
      <c r="Q1864" s="294"/>
    </row>
    <row r="1865" spans="2:17" x14ac:dyDescent="0.25">
      <c r="B1865" s="294"/>
      <c r="C1865" s="294"/>
      <c r="D1865" s="294"/>
      <c r="E1865" s="294"/>
      <c r="F1865" s="294"/>
      <c r="G1865" s="294"/>
      <c r="H1865" s="294"/>
      <c r="I1865" s="294"/>
      <c r="J1865" s="294"/>
      <c r="L1865" s="295"/>
      <c r="M1865" s="294"/>
      <c r="P1865" s="294"/>
      <c r="Q1865" s="294"/>
    </row>
    <row r="1866" spans="2:17" x14ac:dyDescent="0.25">
      <c r="B1866" s="294"/>
      <c r="C1866" s="294"/>
      <c r="D1866" s="294"/>
      <c r="E1866" s="294"/>
      <c r="F1866" s="294"/>
      <c r="G1866" s="294"/>
      <c r="H1866" s="294"/>
      <c r="I1866" s="294"/>
      <c r="J1866" s="294"/>
      <c r="L1866" s="295"/>
      <c r="M1866" s="294"/>
      <c r="P1866" s="294"/>
      <c r="Q1866" s="294"/>
    </row>
    <row r="1867" spans="2:17" x14ac:dyDescent="0.25">
      <c r="B1867" s="294"/>
      <c r="C1867" s="294"/>
      <c r="D1867" s="294"/>
      <c r="E1867" s="294"/>
      <c r="F1867" s="294"/>
      <c r="G1867" s="294"/>
      <c r="H1867" s="294"/>
      <c r="I1867" s="294"/>
      <c r="J1867" s="294"/>
      <c r="L1867" s="295"/>
      <c r="M1867" s="294"/>
      <c r="P1867" s="294"/>
      <c r="Q1867" s="294"/>
    </row>
    <row r="1868" spans="2:17" x14ac:dyDescent="0.25">
      <c r="B1868" s="294"/>
      <c r="C1868" s="294"/>
      <c r="D1868" s="294"/>
      <c r="E1868" s="294"/>
      <c r="F1868" s="294"/>
      <c r="G1868" s="294"/>
      <c r="H1868" s="294"/>
      <c r="I1868" s="294"/>
      <c r="J1868" s="294"/>
      <c r="L1868" s="295"/>
      <c r="M1868" s="294"/>
      <c r="P1868" s="294"/>
      <c r="Q1868" s="294"/>
    </row>
    <row r="1869" spans="2:17" x14ac:dyDescent="0.25">
      <c r="B1869" s="294"/>
      <c r="C1869" s="294"/>
      <c r="D1869" s="294"/>
      <c r="E1869" s="294"/>
      <c r="F1869" s="294"/>
      <c r="G1869" s="294"/>
      <c r="H1869" s="294"/>
      <c r="I1869" s="294"/>
      <c r="J1869" s="294"/>
      <c r="L1869" s="295"/>
      <c r="M1869" s="294"/>
      <c r="P1869" s="294"/>
      <c r="Q1869" s="294"/>
    </row>
    <row r="1870" spans="2:17" x14ac:dyDescent="0.25">
      <c r="B1870" s="294"/>
      <c r="C1870" s="294"/>
      <c r="D1870" s="294"/>
      <c r="E1870" s="294"/>
      <c r="F1870" s="294"/>
      <c r="G1870" s="294"/>
      <c r="H1870" s="294"/>
      <c r="I1870" s="294"/>
      <c r="J1870" s="294"/>
      <c r="L1870" s="295"/>
      <c r="M1870" s="294"/>
      <c r="P1870" s="294"/>
      <c r="Q1870" s="294"/>
    </row>
    <row r="1871" spans="2:17" x14ac:dyDescent="0.25">
      <c r="B1871" s="294"/>
      <c r="C1871" s="294"/>
      <c r="D1871" s="294"/>
      <c r="E1871" s="294"/>
      <c r="F1871" s="294"/>
      <c r="G1871" s="294"/>
      <c r="H1871" s="294"/>
      <c r="I1871" s="294"/>
      <c r="J1871" s="294"/>
      <c r="L1871" s="295"/>
      <c r="M1871" s="294"/>
      <c r="P1871" s="294"/>
      <c r="Q1871" s="294"/>
    </row>
    <row r="1872" spans="2:17" x14ac:dyDescent="0.25">
      <c r="B1872" s="294"/>
      <c r="C1872" s="294"/>
      <c r="D1872" s="294"/>
      <c r="E1872" s="294"/>
      <c r="F1872" s="294"/>
      <c r="G1872" s="294"/>
      <c r="H1872" s="294"/>
      <c r="I1872" s="294"/>
      <c r="J1872" s="294"/>
      <c r="L1872" s="295"/>
      <c r="M1872" s="294"/>
      <c r="P1872" s="294"/>
      <c r="Q1872" s="294"/>
    </row>
    <row r="1873" spans="2:17" x14ac:dyDescent="0.25">
      <c r="B1873" s="294"/>
      <c r="C1873" s="294"/>
      <c r="D1873" s="294"/>
      <c r="E1873" s="294"/>
      <c r="F1873" s="294"/>
      <c r="G1873" s="294"/>
      <c r="H1873" s="294"/>
      <c r="I1873" s="294"/>
      <c r="J1873" s="294"/>
      <c r="L1873" s="295"/>
      <c r="M1873" s="294"/>
      <c r="P1873" s="294"/>
      <c r="Q1873" s="294"/>
    </row>
    <row r="1874" spans="2:17" x14ac:dyDescent="0.25">
      <c r="B1874" s="294"/>
      <c r="C1874" s="294"/>
      <c r="D1874" s="294"/>
      <c r="E1874" s="294"/>
      <c r="F1874" s="294"/>
      <c r="G1874" s="294"/>
      <c r="H1874" s="294"/>
      <c r="I1874" s="294"/>
      <c r="J1874" s="294"/>
      <c r="L1874" s="295"/>
      <c r="M1874" s="294"/>
      <c r="P1874" s="294"/>
      <c r="Q1874" s="294"/>
    </row>
    <row r="1875" spans="2:17" x14ac:dyDescent="0.25">
      <c r="B1875" s="294"/>
      <c r="C1875" s="294"/>
      <c r="D1875" s="294"/>
      <c r="E1875" s="294"/>
      <c r="F1875" s="294"/>
      <c r="G1875" s="294"/>
      <c r="H1875" s="294"/>
      <c r="I1875" s="294"/>
      <c r="J1875" s="294"/>
      <c r="L1875" s="295"/>
      <c r="M1875" s="294"/>
      <c r="P1875" s="294"/>
      <c r="Q1875" s="294"/>
    </row>
    <row r="1876" spans="2:17" x14ac:dyDescent="0.25">
      <c r="B1876" s="294"/>
      <c r="C1876" s="294"/>
      <c r="D1876" s="294"/>
      <c r="E1876" s="294"/>
      <c r="F1876" s="294"/>
      <c r="G1876" s="294"/>
      <c r="H1876" s="294"/>
      <c r="I1876" s="294"/>
      <c r="J1876" s="294"/>
      <c r="L1876" s="295"/>
      <c r="M1876" s="294"/>
      <c r="P1876" s="294"/>
      <c r="Q1876" s="294"/>
    </row>
    <row r="1877" spans="2:17" x14ac:dyDescent="0.25">
      <c r="B1877" s="294"/>
      <c r="C1877" s="294"/>
      <c r="D1877" s="294"/>
      <c r="E1877" s="294"/>
      <c r="F1877" s="294"/>
      <c r="G1877" s="294"/>
      <c r="H1877" s="294"/>
      <c r="I1877" s="294"/>
      <c r="J1877" s="294"/>
      <c r="L1877" s="295"/>
      <c r="M1877" s="294"/>
      <c r="P1877" s="294"/>
      <c r="Q1877" s="294"/>
    </row>
    <row r="1878" spans="2:17" x14ac:dyDescent="0.25">
      <c r="B1878" s="294"/>
      <c r="C1878" s="294"/>
      <c r="D1878" s="294"/>
      <c r="E1878" s="294"/>
      <c r="F1878" s="294"/>
      <c r="G1878" s="294"/>
      <c r="H1878" s="294"/>
      <c r="I1878" s="294"/>
      <c r="J1878" s="294"/>
      <c r="L1878" s="295"/>
      <c r="M1878" s="294"/>
      <c r="P1878" s="294"/>
      <c r="Q1878" s="294"/>
    </row>
    <row r="1879" spans="2:17" x14ac:dyDescent="0.25">
      <c r="B1879" s="294"/>
      <c r="C1879" s="294"/>
      <c r="D1879" s="294"/>
      <c r="E1879" s="294"/>
      <c r="F1879" s="294"/>
      <c r="G1879" s="294"/>
      <c r="H1879" s="294"/>
      <c r="I1879" s="294"/>
      <c r="J1879" s="294"/>
      <c r="L1879" s="295"/>
      <c r="M1879" s="294"/>
      <c r="P1879" s="294"/>
      <c r="Q1879" s="294"/>
    </row>
    <row r="1880" spans="2:17" x14ac:dyDescent="0.25">
      <c r="B1880" s="294"/>
      <c r="C1880" s="294"/>
      <c r="D1880" s="294"/>
      <c r="E1880" s="294"/>
      <c r="F1880" s="294"/>
      <c r="G1880" s="294"/>
      <c r="H1880" s="294"/>
      <c r="I1880" s="294"/>
      <c r="J1880" s="294"/>
      <c r="L1880" s="295"/>
      <c r="M1880" s="294"/>
      <c r="P1880" s="294"/>
      <c r="Q1880" s="294"/>
    </row>
    <row r="1881" spans="2:17" x14ac:dyDescent="0.25">
      <c r="B1881" s="294"/>
      <c r="C1881" s="294"/>
      <c r="D1881" s="294"/>
      <c r="E1881" s="294"/>
      <c r="F1881" s="294"/>
      <c r="G1881" s="294"/>
      <c r="H1881" s="294"/>
      <c r="I1881" s="294"/>
      <c r="J1881" s="294"/>
      <c r="L1881" s="295"/>
      <c r="M1881" s="294"/>
      <c r="P1881" s="294"/>
      <c r="Q1881" s="294"/>
    </row>
    <row r="1882" spans="2:17" x14ac:dyDescent="0.25">
      <c r="B1882" s="294"/>
      <c r="C1882" s="294"/>
      <c r="D1882" s="294"/>
      <c r="E1882" s="294"/>
      <c r="F1882" s="294"/>
      <c r="G1882" s="294"/>
      <c r="H1882" s="294"/>
      <c r="I1882" s="294"/>
      <c r="J1882" s="294"/>
      <c r="L1882" s="295"/>
      <c r="M1882" s="294"/>
      <c r="P1882" s="294"/>
      <c r="Q1882" s="294"/>
    </row>
    <row r="1883" spans="2:17" x14ac:dyDescent="0.25">
      <c r="B1883" s="294"/>
      <c r="C1883" s="294"/>
      <c r="D1883" s="294"/>
      <c r="E1883" s="294"/>
      <c r="F1883" s="294"/>
      <c r="G1883" s="294"/>
      <c r="H1883" s="294"/>
      <c r="I1883" s="294"/>
      <c r="J1883" s="294"/>
      <c r="L1883" s="295"/>
      <c r="M1883" s="294"/>
      <c r="P1883" s="294"/>
      <c r="Q1883" s="294"/>
    </row>
    <row r="1884" spans="2:17" x14ac:dyDescent="0.25">
      <c r="B1884" s="294"/>
      <c r="C1884" s="294"/>
      <c r="D1884" s="294"/>
      <c r="E1884" s="294"/>
      <c r="F1884" s="294"/>
      <c r="G1884" s="294"/>
      <c r="H1884" s="294"/>
      <c r="I1884" s="294"/>
      <c r="J1884" s="294"/>
      <c r="L1884" s="295"/>
      <c r="M1884" s="294"/>
      <c r="P1884" s="294"/>
      <c r="Q1884" s="294"/>
    </row>
    <row r="1885" spans="2:17" x14ac:dyDescent="0.25">
      <c r="B1885" s="294"/>
      <c r="C1885" s="294"/>
      <c r="D1885" s="294"/>
      <c r="E1885" s="294"/>
      <c r="F1885" s="294"/>
      <c r="G1885" s="294"/>
      <c r="H1885" s="294"/>
      <c r="I1885" s="294"/>
      <c r="J1885" s="294"/>
      <c r="L1885" s="295"/>
      <c r="M1885" s="294"/>
      <c r="P1885" s="294"/>
      <c r="Q1885" s="294"/>
    </row>
    <row r="1886" spans="2:17" x14ac:dyDescent="0.25">
      <c r="B1886" s="294"/>
      <c r="C1886" s="294"/>
      <c r="D1886" s="294"/>
      <c r="E1886" s="294"/>
      <c r="F1886" s="294"/>
      <c r="G1886" s="294"/>
      <c r="H1886" s="294"/>
      <c r="I1886" s="294"/>
      <c r="J1886" s="294"/>
      <c r="L1886" s="295"/>
      <c r="M1886" s="294"/>
      <c r="P1886" s="294"/>
      <c r="Q1886" s="294"/>
    </row>
    <row r="1887" spans="2:17" x14ac:dyDescent="0.25">
      <c r="B1887" s="294"/>
      <c r="C1887" s="294"/>
      <c r="D1887" s="294"/>
      <c r="E1887" s="294"/>
      <c r="F1887" s="294"/>
      <c r="G1887" s="294"/>
      <c r="H1887" s="294"/>
      <c r="I1887" s="294"/>
      <c r="J1887" s="294"/>
      <c r="L1887" s="295"/>
      <c r="M1887" s="294"/>
      <c r="P1887" s="294"/>
      <c r="Q1887" s="294"/>
    </row>
    <row r="1888" spans="2:17" x14ac:dyDescent="0.25">
      <c r="B1888" s="294"/>
      <c r="C1888" s="294"/>
      <c r="D1888" s="294"/>
      <c r="E1888" s="294"/>
      <c r="F1888" s="294"/>
      <c r="G1888" s="294"/>
      <c r="H1888" s="294"/>
      <c r="I1888" s="294"/>
      <c r="J1888" s="294"/>
      <c r="L1888" s="295"/>
      <c r="M1888" s="294"/>
      <c r="P1888" s="294"/>
      <c r="Q1888" s="294"/>
    </row>
    <row r="1889" spans="2:17" x14ac:dyDescent="0.25">
      <c r="B1889" s="294"/>
      <c r="C1889" s="294"/>
      <c r="D1889" s="294"/>
      <c r="E1889" s="294"/>
      <c r="F1889" s="294"/>
      <c r="G1889" s="294"/>
      <c r="H1889" s="294"/>
      <c r="I1889" s="294"/>
      <c r="J1889" s="294"/>
      <c r="L1889" s="295"/>
      <c r="M1889" s="294"/>
      <c r="P1889" s="294"/>
      <c r="Q1889" s="294"/>
    </row>
    <row r="1890" spans="2:17" x14ac:dyDescent="0.25">
      <c r="B1890" s="294"/>
      <c r="C1890" s="294"/>
      <c r="D1890" s="294"/>
      <c r="E1890" s="294"/>
      <c r="F1890" s="294"/>
      <c r="G1890" s="294"/>
      <c r="H1890" s="294"/>
      <c r="I1890" s="294"/>
      <c r="J1890" s="294"/>
      <c r="L1890" s="295"/>
      <c r="M1890" s="294"/>
      <c r="P1890" s="294"/>
      <c r="Q1890" s="294"/>
    </row>
    <row r="1891" spans="2:17" x14ac:dyDescent="0.25">
      <c r="B1891" s="294"/>
      <c r="C1891" s="294"/>
      <c r="D1891" s="294"/>
      <c r="E1891" s="294"/>
      <c r="F1891" s="294"/>
      <c r="G1891" s="294"/>
      <c r="H1891" s="294"/>
      <c r="I1891" s="294"/>
      <c r="J1891" s="294"/>
      <c r="L1891" s="295"/>
      <c r="M1891" s="294"/>
      <c r="P1891" s="294"/>
      <c r="Q1891" s="294"/>
    </row>
    <row r="1892" spans="2:17" x14ac:dyDescent="0.25">
      <c r="B1892" s="294"/>
      <c r="C1892" s="294"/>
      <c r="D1892" s="294"/>
      <c r="E1892" s="294"/>
      <c r="F1892" s="294"/>
      <c r="G1892" s="294"/>
      <c r="H1892" s="294"/>
      <c r="I1892" s="294"/>
      <c r="J1892" s="294"/>
      <c r="L1892" s="295"/>
      <c r="M1892" s="294"/>
      <c r="P1892" s="294"/>
      <c r="Q1892" s="294"/>
    </row>
    <row r="1893" spans="2:17" x14ac:dyDescent="0.25">
      <c r="B1893" s="294"/>
      <c r="C1893" s="294"/>
      <c r="D1893" s="294"/>
      <c r="E1893" s="294"/>
      <c r="F1893" s="294"/>
      <c r="G1893" s="294"/>
      <c r="H1893" s="294"/>
      <c r="I1893" s="294"/>
      <c r="J1893" s="294"/>
      <c r="L1893" s="295"/>
      <c r="M1893" s="294"/>
      <c r="P1893" s="294"/>
      <c r="Q1893" s="294"/>
    </row>
    <row r="1894" spans="2:17" x14ac:dyDescent="0.25">
      <c r="B1894" s="294"/>
      <c r="C1894" s="294"/>
      <c r="D1894" s="294"/>
      <c r="E1894" s="294"/>
      <c r="F1894" s="294"/>
      <c r="G1894" s="294"/>
      <c r="H1894" s="294"/>
      <c r="I1894" s="294"/>
      <c r="J1894" s="294"/>
      <c r="L1894" s="295"/>
      <c r="M1894" s="294"/>
      <c r="P1894" s="294"/>
      <c r="Q1894" s="294"/>
    </row>
    <row r="1895" spans="2:17" x14ac:dyDescent="0.25">
      <c r="B1895" s="294"/>
      <c r="C1895" s="294"/>
      <c r="D1895" s="294"/>
      <c r="E1895" s="294"/>
      <c r="F1895" s="294"/>
      <c r="G1895" s="294"/>
      <c r="H1895" s="294"/>
      <c r="I1895" s="294"/>
      <c r="J1895" s="294"/>
      <c r="L1895" s="295"/>
      <c r="M1895" s="294"/>
      <c r="P1895" s="294"/>
      <c r="Q1895" s="294"/>
    </row>
    <row r="1896" spans="2:17" x14ac:dyDescent="0.25">
      <c r="B1896" s="294"/>
      <c r="C1896" s="294"/>
      <c r="D1896" s="294"/>
      <c r="E1896" s="294"/>
      <c r="F1896" s="294"/>
      <c r="G1896" s="294"/>
      <c r="H1896" s="294"/>
      <c r="I1896" s="294"/>
      <c r="J1896" s="294"/>
      <c r="L1896" s="295"/>
      <c r="M1896" s="294"/>
      <c r="P1896" s="294"/>
      <c r="Q1896" s="294"/>
    </row>
    <row r="1897" spans="2:17" x14ac:dyDescent="0.25">
      <c r="B1897" s="294"/>
      <c r="C1897" s="294"/>
      <c r="D1897" s="294"/>
      <c r="E1897" s="294"/>
      <c r="F1897" s="294"/>
      <c r="G1897" s="294"/>
      <c r="H1897" s="294"/>
      <c r="I1897" s="294"/>
      <c r="J1897" s="294"/>
      <c r="L1897" s="295"/>
      <c r="M1897" s="294"/>
      <c r="P1897" s="294"/>
      <c r="Q1897" s="294"/>
    </row>
    <row r="1898" spans="2:17" x14ac:dyDescent="0.25">
      <c r="B1898" s="294"/>
      <c r="C1898" s="294"/>
      <c r="D1898" s="294"/>
      <c r="E1898" s="294"/>
      <c r="F1898" s="294"/>
      <c r="G1898" s="294"/>
      <c r="H1898" s="294"/>
      <c r="I1898" s="294"/>
      <c r="J1898" s="294"/>
      <c r="L1898" s="295"/>
      <c r="M1898" s="294"/>
      <c r="P1898" s="294"/>
      <c r="Q1898" s="294"/>
    </row>
    <row r="1899" spans="2:17" x14ac:dyDescent="0.25">
      <c r="B1899" s="294"/>
      <c r="C1899" s="294"/>
      <c r="D1899" s="294"/>
      <c r="E1899" s="294"/>
      <c r="F1899" s="294"/>
      <c r="G1899" s="294"/>
      <c r="H1899" s="294"/>
      <c r="I1899" s="294"/>
      <c r="J1899" s="294"/>
      <c r="L1899" s="295"/>
      <c r="M1899" s="294"/>
      <c r="P1899" s="294"/>
      <c r="Q1899" s="294"/>
    </row>
    <row r="1900" spans="2:17" x14ac:dyDescent="0.25">
      <c r="B1900" s="294"/>
      <c r="C1900" s="294"/>
      <c r="D1900" s="294"/>
      <c r="E1900" s="294"/>
      <c r="F1900" s="294"/>
      <c r="G1900" s="294"/>
      <c r="H1900" s="294"/>
      <c r="I1900" s="294"/>
      <c r="J1900" s="294"/>
      <c r="L1900" s="295"/>
      <c r="M1900" s="294"/>
      <c r="P1900" s="294"/>
      <c r="Q1900" s="294"/>
    </row>
    <row r="1901" spans="2:17" x14ac:dyDescent="0.25">
      <c r="B1901" s="294"/>
      <c r="C1901" s="294"/>
      <c r="D1901" s="294"/>
      <c r="E1901" s="294"/>
      <c r="F1901" s="294"/>
      <c r="G1901" s="294"/>
      <c r="H1901" s="294"/>
      <c r="I1901" s="294"/>
      <c r="J1901" s="294"/>
      <c r="L1901" s="295"/>
      <c r="M1901" s="294"/>
      <c r="P1901" s="294"/>
      <c r="Q1901" s="294"/>
    </row>
    <row r="1902" spans="2:17" x14ac:dyDescent="0.25">
      <c r="B1902" s="294"/>
      <c r="C1902" s="294"/>
      <c r="D1902" s="294"/>
      <c r="E1902" s="294"/>
      <c r="F1902" s="294"/>
      <c r="G1902" s="294"/>
      <c r="H1902" s="294"/>
      <c r="I1902" s="294"/>
      <c r="J1902" s="294"/>
      <c r="L1902" s="295"/>
      <c r="M1902" s="294"/>
      <c r="P1902" s="294"/>
      <c r="Q1902" s="294"/>
    </row>
    <row r="1903" spans="2:17" x14ac:dyDescent="0.25">
      <c r="B1903" s="294"/>
      <c r="C1903" s="294"/>
      <c r="D1903" s="294"/>
      <c r="E1903" s="294"/>
      <c r="F1903" s="294"/>
      <c r="G1903" s="294"/>
      <c r="H1903" s="294"/>
      <c r="I1903" s="294"/>
      <c r="J1903" s="294"/>
      <c r="L1903" s="295"/>
      <c r="M1903" s="294"/>
      <c r="P1903" s="294"/>
      <c r="Q1903" s="294"/>
    </row>
    <row r="1904" spans="2:17" x14ac:dyDescent="0.25">
      <c r="B1904" s="294"/>
      <c r="C1904" s="294"/>
      <c r="D1904" s="294"/>
      <c r="E1904" s="294"/>
      <c r="F1904" s="294"/>
      <c r="G1904" s="294"/>
      <c r="H1904" s="294"/>
      <c r="I1904" s="294"/>
      <c r="J1904" s="294"/>
      <c r="L1904" s="295"/>
      <c r="M1904" s="294"/>
      <c r="P1904" s="294"/>
      <c r="Q1904" s="294"/>
    </row>
    <row r="1905" spans="2:17" x14ac:dyDescent="0.25">
      <c r="B1905" s="294"/>
      <c r="C1905" s="294"/>
      <c r="D1905" s="294"/>
      <c r="E1905" s="294"/>
      <c r="F1905" s="294"/>
      <c r="G1905" s="294"/>
      <c r="H1905" s="294"/>
      <c r="I1905" s="294"/>
      <c r="J1905" s="294"/>
      <c r="L1905" s="295"/>
      <c r="M1905" s="294"/>
      <c r="P1905" s="294"/>
      <c r="Q1905" s="294"/>
    </row>
    <row r="1906" spans="2:17" x14ac:dyDescent="0.25">
      <c r="B1906" s="294"/>
      <c r="C1906" s="294"/>
      <c r="D1906" s="294"/>
      <c r="E1906" s="294"/>
      <c r="F1906" s="294"/>
      <c r="G1906" s="294"/>
      <c r="H1906" s="294"/>
      <c r="I1906" s="294"/>
      <c r="J1906" s="294"/>
      <c r="L1906" s="295"/>
      <c r="M1906" s="294"/>
      <c r="P1906" s="294"/>
      <c r="Q1906" s="294"/>
    </row>
    <row r="1907" spans="2:17" x14ac:dyDescent="0.25">
      <c r="B1907" s="294"/>
      <c r="C1907" s="294"/>
      <c r="D1907" s="294"/>
      <c r="E1907" s="294"/>
      <c r="F1907" s="294"/>
      <c r="G1907" s="294"/>
      <c r="H1907" s="294"/>
      <c r="I1907" s="294"/>
      <c r="J1907" s="294"/>
      <c r="L1907" s="295"/>
      <c r="M1907" s="294"/>
      <c r="P1907" s="294"/>
      <c r="Q1907" s="294"/>
    </row>
    <row r="1908" spans="2:17" x14ac:dyDescent="0.25">
      <c r="B1908" s="294"/>
      <c r="C1908" s="294"/>
      <c r="D1908" s="294"/>
      <c r="E1908" s="294"/>
      <c r="F1908" s="294"/>
      <c r="G1908" s="294"/>
      <c r="H1908" s="294"/>
      <c r="I1908" s="294"/>
      <c r="J1908" s="294"/>
      <c r="L1908" s="295"/>
      <c r="M1908" s="294"/>
      <c r="P1908" s="294"/>
      <c r="Q1908" s="294"/>
    </row>
    <row r="1909" spans="2:17" x14ac:dyDescent="0.25">
      <c r="B1909" s="294"/>
      <c r="C1909" s="294"/>
      <c r="D1909" s="294"/>
      <c r="E1909" s="294"/>
      <c r="F1909" s="294"/>
      <c r="G1909" s="294"/>
      <c r="H1909" s="294"/>
      <c r="I1909" s="294"/>
      <c r="J1909" s="294"/>
      <c r="L1909" s="295"/>
      <c r="M1909" s="294"/>
      <c r="P1909" s="294"/>
      <c r="Q1909" s="294"/>
    </row>
    <row r="1910" spans="2:17" x14ac:dyDescent="0.25">
      <c r="B1910" s="294"/>
      <c r="C1910" s="294"/>
      <c r="D1910" s="294"/>
      <c r="E1910" s="294"/>
      <c r="F1910" s="294"/>
      <c r="G1910" s="294"/>
      <c r="H1910" s="294"/>
      <c r="I1910" s="294"/>
      <c r="J1910" s="294"/>
      <c r="L1910" s="295"/>
      <c r="M1910" s="294"/>
      <c r="P1910" s="294"/>
      <c r="Q1910" s="294"/>
    </row>
    <row r="1911" spans="2:17" x14ac:dyDescent="0.25">
      <c r="B1911" s="294"/>
      <c r="C1911" s="294"/>
      <c r="D1911" s="294"/>
      <c r="E1911" s="294"/>
      <c r="F1911" s="294"/>
      <c r="G1911" s="294"/>
      <c r="H1911" s="294"/>
      <c r="I1911" s="294"/>
      <c r="J1911" s="294"/>
      <c r="L1911" s="295"/>
      <c r="M1911" s="294"/>
      <c r="P1911" s="294"/>
      <c r="Q1911" s="294"/>
    </row>
    <row r="1912" spans="2:17" x14ac:dyDescent="0.25">
      <c r="B1912" s="294"/>
      <c r="C1912" s="294"/>
      <c r="D1912" s="294"/>
      <c r="E1912" s="294"/>
      <c r="F1912" s="294"/>
      <c r="G1912" s="294"/>
      <c r="H1912" s="294"/>
      <c r="I1912" s="294"/>
      <c r="J1912" s="294"/>
      <c r="L1912" s="295"/>
      <c r="M1912" s="294"/>
      <c r="P1912" s="294"/>
      <c r="Q1912" s="294"/>
    </row>
    <row r="1913" spans="2:17" x14ac:dyDescent="0.25">
      <c r="B1913" s="294"/>
      <c r="C1913" s="294"/>
      <c r="D1913" s="294"/>
      <c r="E1913" s="294"/>
      <c r="F1913" s="294"/>
      <c r="G1913" s="294"/>
      <c r="H1913" s="294"/>
      <c r="I1913" s="294"/>
      <c r="J1913" s="294"/>
      <c r="L1913" s="295"/>
      <c r="M1913" s="294"/>
      <c r="P1913" s="294"/>
      <c r="Q1913" s="294"/>
    </row>
    <row r="1914" spans="2:17" x14ac:dyDescent="0.25">
      <c r="B1914" s="294"/>
      <c r="C1914" s="294"/>
      <c r="D1914" s="294"/>
      <c r="E1914" s="294"/>
      <c r="F1914" s="294"/>
      <c r="G1914" s="294"/>
      <c r="H1914" s="294"/>
      <c r="I1914" s="294"/>
      <c r="J1914" s="294"/>
      <c r="L1914" s="295"/>
      <c r="M1914" s="294"/>
      <c r="P1914" s="294"/>
      <c r="Q1914" s="294"/>
    </row>
    <row r="1915" spans="2:17" x14ac:dyDescent="0.25">
      <c r="B1915" s="294"/>
      <c r="C1915" s="294"/>
      <c r="D1915" s="294"/>
      <c r="E1915" s="294"/>
      <c r="F1915" s="294"/>
      <c r="G1915" s="294"/>
      <c r="H1915" s="294"/>
      <c r="I1915" s="294"/>
      <c r="J1915" s="294"/>
      <c r="L1915" s="295"/>
      <c r="M1915" s="294"/>
      <c r="P1915" s="294"/>
      <c r="Q1915" s="294"/>
    </row>
    <row r="1916" spans="2:17" x14ac:dyDescent="0.25">
      <c r="B1916" s="294"/>
      <c r="C1916" s="294"/>
      <c r="D1916" s="294"/>
      <c r="E1916" s="294"/>
      <c r="F1916" s="294"/>
      <c r="G1916" s="294"/>
      <c r="H1916" s="294"/>
      <c r="I1916" s="294"/>
      <c r="J1916" s="294"/>
      <c r="L1916" s="295"/>
      <c r="M1916" s="294"/>
      <c r="P1916" s="294"/>
      <c r="Q1916" s="294"/>
    </row>
    <row r="1917" spans="2:17" x14ac:dyDescent="0.25">
      <c r="B1917" s="294"/>
      <c r="C1917" s="294"/>
      <c r="D1917" s="294"/>
      <c r="E1917" s="294"/>
      <c r="F1917" s="294"/>
      <c r="G1917" s="294"/>
      <c r="H1917" s="294"/>
      <c r="I1917" s="294"/>
      <c r="J1917" s="294"/>
      <c r="L1917" s="295"/>
      <c r="M1917" s="294"/>
      <c r="P1917" s="294"/>
      <c r="Q1917" s="294"/>
    </row>
    <row r="1918" spans="2:17" x14ac:dyDescent="0.25">
      <c r="B1918" s="294"/>
      <c r="C1918" s="294"/>
      <c r="D1918" s="294"/>
      <c r="E1918" s="294"/>
      <c r="F1918" s="294"/>
      <c r="G1918" s="294"/>
      <c r="H1918" s="294"/>
      <c r="I1918" s="294"/>
      <c r="J1918" s="294"/>
      <c r="L1918" s="295"/>
      <c r="M1918" s="294"/>
      <c r="P1918" s="294"/>
      <c r="Q1918" s="294"/>
    </row>
    <row r="1919" spans="2:17" x14ac:dyDescent="0.25">
      <c r="B1919" s="294"/>
      <c r="C1919" s="294"/>
      <c r="D1919" s="294"/>
      <c r="E1919" s="294"/>
      <c r="F1919" s="294"/>
      <c r="G1919" s="294"/>
      <c r="H1919" s="294"/>
      <c r="I1919" s="294"/>
      <c r="J1919" s="294"/>
      <c r="L1919" s="295"/>
      <c r="M1919" s="294"/>
      <c r="P1919" s="294"/>
      <c r="Q1919" s="294"/>
    </row>
    <row r="1920" spans="2:17" x14ac:dyDescent="0.25">
      <c r="B1920" s="294"/>
      <c r="C1920" s="294"/>
      <c r="D1920" s="294"/>
      <c r="E1920" s="294"/>
      <c r="F1920" s="294"/>
      <c r="G1920" s="294"/>
      <c r="H1920" s="294"/>
      <c r="I1920" s="294"/>
      <c r="J1920" s="294"/>
      <c r="L1920" s="295"/>
      <c r="M1920" s="294"/>
      <c r="P1920" s="294"/>
      <c r="Q1920" s="294"/>
    </row>
    <row r="1921" spans="2:17" x14ac:dyDescent="0.25">
      <c r="B1921" s="294"/>
      <c r="C1921" s="294"/>
      <c r="D1921" s="294"/>
      <c r="E1921" s="294"/>
      <c r="F1921" s="294"/>
      <c r="G1921" s="294"/>
      <c r="H1921" s="294"/>
      <c r="I1921" s="294"/>
      <c r="J1921" s="294"/>
      <c r="L1921" s="295"/>
      <c r="M1921" s="294"/>
      <c r="P1921" s="294"/>
      <c r="Q1921" s="294"/>
    </row>
    <row r="1922" spans="2:17" x14ac:dyDescent="0.25">
      <c r="B1922" s="294"/>
      <c r="C1922" s="294"/>
      <c r="D1922" s="294"/>
      <c r="E1922" s="294"/>
      <c r="F1922" s="294"/>
      <c r="G1922" s="294"/>
      <c r="H1922" s="294"/>
      <c r="I1922" s="294"/>
      <c r="J1922" s="294"/>
      <c r="L1922" s="295"/>
      <c r="M1922" s="294"/>
      <c r="P1922" s="294"/>
      <c r="Q1922" s="294"/>
    </row>
    <row r="1923" spans="2:17" x14ac:dyDescent="0.25">
      <c r="B1923" s="294"/>
      <c r="C1923" s="294"/>
      <c r="D1923" s="294"/>
      <c r="E1923" s="294"/>
      <c r="F1923" s="294"/>
      <c r="G1923" s="294"/>
      <c r="H1923" s="294"/>
      <c r="I1923" s="294"/>
      <c r="J1923" s="294"/>
      <c r="L1923" s="295"/>
      <c r="M1923" s="294"/>
      <c r="P1923" s="294"/>
      <c r="Q1923" s="294"/>
    </row>
    <row r="1924" spans="2:17" x14ac:dyDescent="0.25">
      <c r="B1924" s="294"/>
      <c r="C1924" s="294"/>
      <c r="D1924" s="294"/>
      <c r="E1924" s="294"/>
      <c r="F1924" s="294"/>
      <c r="G1924" s="294"/>
      <c r="H1924" s="294"/>
      <c r="I1924" s="294"/>
      <c r="J1924" s="294"/>
      <c r="L1924" s="295"/>
      <c r="M1924" s="294"/>
      <c r="P1924" s="294"/>
      <c r="Q1924" s="294"/>
    </row>
    <row r="1925" spans="2:17" x14ac:dyDescent="0.25">
      <c r="B1925" s="294"/>
      <c r="C1925" s="294"/>
      <c r="D1925" s="294"/>
      <c r="E1925" s="294"/>
      <c r="F1925" s="294"/>
      <c r="G1925" s="294"/>
      <c r="H1925" s="294"/>
      <c r="I1925" s="294"/>
      <c r="J1925" s="294"/>
      <c r="L1925" s="295"/>
      <c r="M1925" s="294"/>
      <c r="P1925" s="294"/>
      <c r="Q1925" s="294"/>
    </row>
    <row r="1926" spans="2:17" x14ac:dyDescent="0.25">
      <c r="B1926" s="294"/>
      <c r="C1926" s="294"/>
      <c r="D1926" s="294"/>
      <c r="E1926" s="294"/>
      <c r="F1926" s="294"/>
      <c r="G1926" s="294"/>
      <c r="H1926" s="294"/>
      <c r="I1926" s="294"/>
      <c r="J1926" s="294"/>
      <c r="L1926" s="295"/>
      <c r="M1926" s="294"/>
      <c r="P1926" s="294"/>
      <c r="Q1926" s="294"/>
    </row>
    <row r="1927" spans="2:17" x14ac:dyDescent="0.25">
      <c r="B1927" s="294"/>
      <c r="C1927" s="294"/>
      <c r="D1927" s="294"/>
      <c r="E1927" s="294"/>
      <c r="F1927" s="294"/>
      <c r="G1927" s="294"/>
      <c r="H1927" s="294"/>
      <c r="I1927" s="294"/>
      <c r="J1927" s="294"/>
      <c r="L1927" s="295"/>
      <c r="M1927" s="294"/>
      <c r="P1927" s="294"/>
      <c r="Q1927" s="294"/>
    </row>
    <row r="1928" spans="2:17" x14ac:dyDescent="0.25">
      <c r="B1928" s="294"/>
      <c r="C1928" s="294"/>
      <c r="D1928" s="294"/>
      <c r="E1928" s="294"/>
      <c r="F1928" s="294"/>
      <c r="G1928" s="294"/>
      <c r="H1928" s="294"/>
      <c r="I1928" s="294"/>
      <c r="J1928" s="294"/>
      <c r="L1928" s="295"/>
      <c r="M1928" s="294"/>
      <c r="P1928" s="294"/>
      <c r="Q1928" s="294"/>
    </row>
    <row r="1929" spans="2:17" x14ac:dyDescent="0.25">
      <c r="B1929" s="294"/>
      <c r="C1929" s="294"/>
      <c r="D1929" s="294"/>
      <c r="E1929" s="294"/>
      <c r="F1929" s="294"/>
      <c r="G1929" s="294"/>
      <c r="H1929" s="294"/>
      <c r="I1929" s="294"/>
      <c r="J1929" s="294"/>
      <c r="L1929" s="295"/>
      <c r="M1929" s="294"/>
      <c r="P1929" s="294"/>
      <c r="Q1929" s="294"/>
    </row>
    <row r="1930" spans="2:17" x14ac:dyDescent="0.25">
      <c r="B1930" s="294"/>
      <c r="C1930" s="294"/>
      <c r="D1930" s="294"/>
      <c r="E1930" s="294"/>
      <c r="F1930" s="294"/>
      <c r="G1930" s="294"/>
      <c r="H1930" s="294"/>
      <c r="I1930" s="294"/>
      <c r="J1930" s="294"/>
      <c r="L1930" s="295"/>
      <c r="M1930" s="294"/>
      <c r="P1930" s="294"/>
      <c r="Q1930" s="294"/>
    </row>
    <row r="1931" spans="2:17" x14ac:dyDescent="0.25">
      <c r="B1931" s="294"/>
      <c r="C1931" s="294"/>
      <c r="D1931" s="294"/>
      <c r="E1931" s="294"/>
      <c r="F1931" s="294"/>
      <c r="G1931" s="294"/>
      <c r="H1931" s="294"/>
      <c r="I1931" s="294"/>
      <c r="J1931" s="294"/>
      <c r="L1931" s="295"/>
      <c r="M1931" s="294"/>
      <c r="P1931" s="294"/>
      <c r="Q1931" s="294"/>
    </row>
    <row r="1932" spans="2:17" x14ac:dyDescent="0.25">
      <c r="B1932" s="294"/>
      <c r="C1932" s="294"/>
      <c r="D1932" s="294"/>
      <c r="E1932" s="294"/>
      <c r="F1932" s="294"/>
      <c r="G1932" s="294"/>
      <c r="H1932" s="294"/>
      <c r="I1932" s="294"/>
      <c r="J1932" s="294"/>
      <c r="L1932" s="295"/>
      <c r="M1932" s="294"/>
      <c r="P1932" s="294"/>
      <c r="Q1932" s="294"/>
    </row>
    <row r="1933" spans="2:17" x14ac:dyDescent="0.25">
      <c r="B1933" s="294"/>
      <c r="C1933" s="294"/>
      <c r="D1933" s="294"/>
      <c r="E1933" s="294"/>
      <c r="F1933" s="294"/>
      <c r="G1933" s="294"/>
      <c r="H1933" s="294"/>
      <c r="I1933" s="294"/>
      <c r="J1933" s="294"/>
      <c r="L1933" s="295"/>
      <c r="M1933" s="294"/>
      <c r="P1933" s="294"/>
      <c r="Q1933" s="294"/>
    </row>
    <row r="1934" spans="2:17" x14ac:dyDescent="0.25">
      <c r="B1934" s="294"/>
      <c r="C1934" s="294"/>
      <c r="D1934" s="294"/>
      <c r="E1934" s="294"/>
      <c r="F1934" s="294"/>
      <c r="G1934" s="294"/>
      <c r="H1934" s="294"/>
      <c r="I1934" s="294"/>
      <c r="J1934" s="294"/>
      <c r="L1934" s="295"/>
      <c r="M1934" s="294"/>
      <c r="P1934" s="294"/>
      <c r="Q1934" s="294"/>
    </row>
    <row r="1935" spans="2:17" x14ac:dyDescent="0.25">
      <c r="B1935" s="294"/>
      <c r="C1935" s="294"/>
      <c r="D1935" s="294"/>
      <c r="E1935" s="294"/>
      <c r="F1935" s="294"/>
      <c r="G1935" s="294"/>
      <c r="H1935" s="294"/>
      <c r="I1935" s="294"/>
      <c r="J1935" s="294"/>
      <c r="L1935" s="295"/>
      <c r="M1935" s="294"/>
      <c r="P1935" s="294"/>
      <c r="Q1935" s="294"/>
    </row>
    <row r="1936" spans="2:17" x14ac:dyDescent="0.25">
      <c r="B1936" s="294"/>
      <c r="C1936" s="294"/>
      <c r="D1936" s="294"/>
      <c r="E1936" s="294"/>
      <c r="F1936" s="294"/>
      <c r="G1936" s="294"/>
      <c r="H1936" s="294"/>
      <c r="I1936" s="294"/>
      <c r="J1936" s="294"/>
      <c r="L1936" s="295"/>
      <c r="M1936" s="294"/>
      <c r="P1936" s="294"/>
      <c r="Q1936" s="294"/>
    </row>
    <row r="1937" spans="2:17" x14ac:dyDescent="0.25">
      <c r="B1937" s="294"/>
      <c r="C1937" s="294"/>
      <c r="D1937" s="294"/>
      <c r="E1937" s="294"/>
      <c r="F1937" s="294"/>
      <c r="G1937" s="294"/>
      <c r="H1937" s="294"/>
      <c r="I1937" s="294"/>
      <c r="J1937" s="294"/>
      <c r="L1937" s="295"/>
      <c r="M1937" s="294"/>
      <c r="P1937" s="294"/>
      <c r="Q1937" s="294"/>
    </row>
    <row r="1938" spans="2:17" x14ac:dyDescent="0.25">
      <c r="B1938" s="294"/>
      <c r="C1938" s="294"/>
      <c r="D1938" s="294"/>
      <c r="E1938" s="294"/>
      <c r="F1938" s="294"/>
      <c r="G1938" s="294"/>
      <c r="H1938" s="294"/>
      <c r="I1938" s="294"/>
      <c r="J1938" s="294"/>
      <c r="L1938" s="295"/>
      <c r="M1938" s="294"/>
      <c r="P1938" s="294"/>
      <c r="Q1938" s="294"/>
    </row>
    <row r="1939" spans="2:17" x14ac:dyDescent="0.25">
      <c r="B1939" s="294"/>
      <c r="C1939" s="294"/>
      <c r="D1939" s="294"/>
      <c r="E1939" s="294"/>
      <c r="F1939" s="294"/>
      <c r="G1939" s="294"/>
      <c r="H1939" s="294"/>
      <c r="I1939" s="294"/>
      <c r="J1939" s="294"/>
      <c r="L1939" s="295"/>
      <c r="M1939" s="294"/>
      <c r="P1939" s="294"/>
      <c r="Q1939" s="294"/>
    </row>
    <row r="1940" spans="2:17" x14ac:dyDescent="0.25">
      <c r="B1940" s="294"/>
      <c r="C1940" s="294"/>
      <c r="D1940" s="294"/>
      <c r="E1940" s="294"/>
      <c r="F1940" s="294"/>
      <c r="G1940" s="294"/>
      <c r="H1940" s="294"/>
      <c r="I1940" s="294"/>
      <c r="J1940" s="294"/>
      <c r="L1940" s="295"/>
      <c r="M1940" s="294"/>
      <c r="P1940" s="294"/>
      <c r="Q1940" s="294"/>
    </row>
    <row r="1941" spans="2:17" x14ac:dyDescent="0.25">
      <c r="B1941" s="294"/>
      <c r="C1941" s="294"/>
      <c r="D1941" s="294"/>
      <c r="E1941" s="294"/>
      <c r="F1941" s="294"/>
      <c r="G1941" s="294"/>
      <c r="H1941" s="294"/>
      <c r="I1941" s="294"/>
      <c r="J1941" s="294"/>
      <c r="L1941" s="295"/>
      <c r="M1941" s="294"/>
      <c r="P1941" s="294"/>
      <c r="Q1941" s="294"/>
    </row>
    <row r="1942" spans="2:17" x14ac:dyDescent="0.25">
      <c r="B1942" s="294"/>
      <c r="C1942" s="294"/>
      <c r="D1942" s="294"/>
      <c r="E1942" s="294"/>
      <c r="F1942" s="294"/>
      <c r="G1942" s="294"/>
      <c r="H1942" s="294"/>
      <c r="I1942" s="294"/>
      <c r="J1942" s="294"/>
      <c r="L1942" s="295"/>
      <c r="M1942" s="294"/>
      <c r="P1942" s="294"/>
      <c r="Q1942" s="294"/>
    </row>
    <row r="1943" spans="2:17" x14ac:dyDescent="0.25">
      <c r="B1943" s="294"/>
      <c r="C1943" s="294"/>
      <c r="D1943" s="294"/>
      <c r="E1943" s="294"/>
      <c r="F1943" s="294"/>
      <c r="G1943" s="294"/>
      <c r="H1943" s="294"/>
      <c r="I1943" s="294"/>
      <c r="J1943" s="294"/>
      <c r="L1943" s="295"/>
      <c r="M1943" s="294"/>
      <c r="P1943" s="294"/>
      <c r="Q1943" s="294"/>
    </row>
    <row r="1944" spans="2:17" x14ac:dyDescent="0.25">
      <c r="B1944" s="294"/>
      <c r="C1944" s="294"/>
      <c r="D1944" s="294"/>
      <c r="E1944" s="294"/>
      <c r="F1944" s="294"/>
      <c r="G1944" s="294"/>
      <c r="H1944" s="294"/>
      <c r="I1944" s="294"/>
      <c r="J1944" s="294"/>
      <c r="L1944" s="295"/>
      <c r="M1944" s="294"/>
      <c r="P1944" s="294"/>
      <c r="Q1944" s="294"/>
    </row>
    <row r="1945" spans="2:17" x14ac:dyDescent="0.25">
      <c r="B1945" s="294"/>
      <c r="C1945" s="294"/>
      <c r="D1945" s="294"/>
      <c r="E1945" s="294"/>
      <c r="F1945" s="294"/>
      <c r="G1945" s="294"/>
      <c r="H1945" s="294"/>
      <c r="I1945" s="294"/>
      <c r="J1945" s="294"/>
      <c r="L1945" s="295"/>
      <c r="M1945" s="294"/>
      <c r="P1945" s="294"/>
      <c r="Q1945" s="294"/>
    </row>
    <row r="1946" spans="2:17" x14ac:dyDescent="0.25">
      <c r="B1946" s="294"/>
      <c r="C1946" s="294"/>
      <c r="D1946" s="294"/>
      <c r="E1946" s="294"/>
      <c r="F1946" s="294"/>
      <c r="G1946" s="294"/>
      <c r="H1946" s="294"/>
      <c r="I1946" s="294"/>
      <c r="J1946" s="294"/>
      <c r="L1946" s="295"/>
      <c r="M1946" s="294"/>
      <c r="P1946" s="294"/>
      <c r="Q1946" s="294"/>
    </row>
    <row r="1947" spans="2:17" x14ac:dyDescent="0.25">
      <c r="B1947" s="294"/>
      <c r="C1947" s="294"/>
      <c r="D1947" s="294"/>
      <c r="E1947" s="294"/>
      <c r="F1947" s="294"/>
      <c r="G1947" s="294"/>
      <c r="H1947" s="294"/>
      <c r="I1947" s="294"/>
      <c r="J1947" s="294"/>
      <c r="L1947" s="295"/>
      <c r="M1947" s="294"/>
      <c r="P1947" s="294"/>
      <c r="Q1947" s="294"/>
    </row>
    <row r="1948" spans="2:17" x14ac:dyDescent="0.25">
      <c r="B1948" s="294"/>
      <c r="C1948" s="294"/>
      <c r="D1948" s="294"/>
      <c r="E1948" s="294"/>
      <c r="F1948" s="294"/>
      <c r="G1948" s="294"/>
      <c r="H1948" s="294"/>
      <c r="I1948" s="294"/>
      <c r="J1948" s="294"/>
      <c r="L1948" s="295"/>
      <c r="M1948" s="294"/>
      <c r="P1948" s="294"/>
      <c r="Q1948" s="294"/>
    </row>
    <row r="1949" spans="2:17" x14ac:dyDescent="0.25">
      <c r="B1949" s="294"/>
      <c r="C1949" s="294"/>
      <c r="D1949" s="294"/>
      <c r="E1949" s="294"/>
      <c r="F1949" s="294"/>
      <c r="G1949" s="294"/>
      <c r="H1949" s="294"/>
      <c r="I1949" s="294"/>
      <c r="J1949" s="294"/>
      <c r="L1949" s="295"/>
      <c r="M1949" s="294"/>
      <c r="P1949" s="294"/>
      <c r="Q1949" s="294"/>
    </row>
    <row r="1950" spans="2:17" x14ac:dyDescent="0.25">
      <c r="B1950" s="294"/>
      <c r="C1950" s="294"/>
      <c r="D1950" s="294"/>
      <c r="E1950" s="294"/>
      <c r="F1950" s="294"/>
      <c r="G1950" s="294"/>
      <c r="H1950" s="294"/>
      <c r="I1950" s="294"/>
      <c r="J1950" s="294"/>
      <c r="L1950" s="295"/>
      <c r="M1950" s="294"/>
      <c r="P1950" s="294"/>
      <c r="Q1950" s="294"/>
    </row>
    <row r="1951" spans="2:17" x14ac:dyDescent="0.25">
      <c r="B1951" s="294"/>
      <c r="C1951" s="294"/>
      <c r="D1951" s="294"/>
      <c r="E1951" s="294"/>
      <c r="F1951" s="294"/>
      <c r="G1951" s="294"/>
      <c r="H1951" s="294"/>
      <c r="I1951" s="294"/>
      <c r="J1951" s="294"/>
      <c r="L1951" s="295"/>
      <c r="M1951" s="294"/>
      <c r="P1951" s="294"/>
      <c r="Q1951" s="294"/>
    </row>
    <row r="1952" spans="2:17" x14ac:dyDescent="0.25">
      <c r="B1952" s="294"/>
      <c r="C1952" s="294"/>
      <c r="D1952" s="294"/>
      <c r="E1952" s="294"/>
      <c r="F1952" s="294"/>
      <c r="G1952" s="294"/>
      <c r="H1952" s="294"/>
      <c r="I1952" s="294"/>
      <c r="J1952" s="294"/>
      <c r="L1952" s="295"/>
      <c r="M1952" s="294"/>
      <c r="P1952" s="294"/>
      <c r="Q1952" s="294"/>
    </row>
    <row r="1953" spans="2:17" x14ac:dyDescent="0.25">
      <c r="B1953" s="294"/>
      <c r="C1953" s="294"/>
      <c r="D1953" s="294"/>
      <c r="E1953" s="294"/>
      <c r="F1953" s="294"/>
      <c r="G1953" s="294"/>
      <c r="H1953" s="294"/>
      <c r="I1953" s="294"/>
      <c r="J1953" s="294"/>
      <c r="L1953" s="295"/>
      <c r="M1953" s="294"/>
      <c r="P1953" s="294"/>
      <c r="Q1953" s="294"/>
    </row>
    <row r="1954" spans="2:17" x14ac:dyDescent="0.25">
      <c r="B1954" s="294"/>
      <c r="C1954" s="294"/>
      <c r="D1954" s="294"/>
      <c r="E1954" s="294"/>
      <c r="F1954" s="294"/>
      <c r="G1954" s="294"/>
      <c r="H1954" s="294"/>
      <c r="I1954" s="294"/>
      <c r="J1954" s="294"/>
      <c r="L1954" s="295"/>
      <c r="M1954" s="294"/>
      <c r="P1954" s="294"/>
      <c r="Q1954" s="294"/>
    </row>
    <row r="1955" spans="2:17" x14ac:dyDescent="0.25">
      <c r="B1955" s="294"/>
      <c r="C1955" s="294"/>
      <c r="D1955" s="294"/>
      <c r="E1955" s="294"/>
      <c r="F1955" s="294"/>
      <c r="G1955" s="294"/>
      <c r="H1955" s="294"/>
      <c r="I1955" s="294"/>
      <c r="J1955" s="294"/>
      <c r="L1955" s="295"/>
      <c r="M1955" s="294"/>
      <c r="P1955" s="294"/>
      <c r="Q1955" s="294"/>
    </row>
    <row r="1956" spans="2:17" x14ac:dyDescent="0.25">
      <c r="B1956" s="294"/>
      <c r="C1956" s="294"/>
      <c r="D1956" s="294"/>
      <c r="E1956" s="294"/>
      <c r="F1956" s="294"/>
      <c r="G1956" s="294"/>
      <c r="H1956" s="294"/>
      <c r="I1956" s="294"/>
      <c r="J1956" s="294"/>
      <c r="L1956" s="295"/>
      <c r="M1956" s="294"/>
      <c r="P1956" s="294"/>
      <c r="Q1956" s="294"/>
    </row>
    <row r="1957" spans="2:17" x14ac:dyDescent="0.25">
      <c r="B1957" s="294"/>
      <c r="C1957" s="294"/>
      <c r="D1957" s="294"/>
      <c r="E1957" s="294"/>
      <c r="F1957" s="294"/>
      <c r="G1957" s="294"/>
      <c r="H1957" s="294"/>
      <c r="I1957" s="294"/>
      <c r="J1957" s="294"/>
      <c r="L1957" s="295"/>
      <c r="M1957" s="294"/>
      <c r="P1957" s="294"/>
      <c r="Q1957" s="294"/>
    </row>
    <row r="1958" spans="2:17" x14ac:dyDescent="0.25">
      <c r="B1958" s="294"/>
      <c r="C1958" s="294"/>
      <c r="D1958" s="294"/>
      <c r="E1958" s="294"/>
      <c r="F1958" s="294"/>
      <c r="G1958" s="294"/>
      <c r="H1958" s="294"/>
      <c r="I1958" s="294"/>
      <c r="J1958" s="294"/>
      <c r="L1958" s="295"/>
      <c r="M1958" s="294"/>
      <c r="P1958" s="294"/>
      <c r="Q1958" s="294"/>
    </row>
    <row r="1959" spans="2:17" x14ac:dyDescent="0.25">
      <c r="B1959" s="294"/>
      <c r="C1959" s="294"/>
      <c r="D1959" s="294"/>
      <c r="E1959" s="294"/>
      <c r="F1959" s="294"/>
      <c r="G1959" s="294"/>
      <c r="H1959" s="294"/>
      <c r="I1959" s="294"/>
      <c r="J1959" s="294"/>
      <c r="L1959" s="295"/>
      <c r="M1959" s="294"/>
      <c r="P1959" s="294"/>
      <c r="Q1959" s="294"/>
    </row>
    <row r="1960" spans="2:17" x14ac:dyDescent="0.25">
      <c r="B1960" s="294"/>
      <c r="C1960" s="294"/>
      <c r="D1960" s="294"/>
      <c r="E1960" s="294"/>
      <c r="F1960" s="294"/>
      <c r="G1960" s="294"/>
      <c r="H1960" s="294"/>
      <c r="I1960" s="294"/>
      <c r="J1960" s="294"/>
      <c r="L1960" s="295"/>
      <c r="M1960" s="294"/>
      <c r="P1960" s="294"/>
      <c r="Q1960" s="294"/>
    </row>
    <row r="1961" spans="2:17" x14ac:dyDescent="0.25">
      <c r="B1961" s="294"/>
      <c r="C1961" s="294"/>
      <c r="D1961" s="294"/>
      <c r="E1961" s="294"/>
      <c r="F1961" s="294"/>
      <c r="G1961" s="294"/>
      <c r="H1961" s="294"/>
      <c r="I1961" s="294"/>
      <c r="J1961" s="294"/>
      <c r="L1961" s="295"/>
      <c r="M1961" s="294"/>
      <c r="P1961" s="294"/>
      <c r="Q1961" s="294"/>
    </row>
    <row r="1962" spans="2:17" x14ac:dyDescent="0.25">
      <c r="B1962" s="294"/>
      <c r="C1962" s="294"/>
      <c r="D1962" s="294"/>
      <c r="E1962" s="294"/>
      <c r="F1962" s="294"/>
      <c r="G1962" s="294"/>
      <c r="H1962" s="294"/>
      <c r="I1962" s="294"/>
      <c r="J1962" s="294"/>
      <c r="L1962" s="295"/>
      <c r="M1962" s="294"/>
      <c r="P1962" s="294"/>
      <c r="Q1962" s="294"/>
    </row>
    <row r="1963" spans="2:17" x14ac:dyDescent="0.25">
      <c r="B1963" s="294"/>
      <c r="C1963" s="294"/>
      <c r="D1963" s="294"/>
      <c r="E1963" s="294"/>
      <c r="F1963" s="294"/>
      <c r="G1963" s="294"/>
      <c r="H1963" s="294"/>
      <c r="I1963" s="294"/>
      <c r="J1963" s="294"/>
      <c r="L1963" s="295"/>
      <c r="M1963" s="294"/>
      <c r="P1963" s="294"/>
      <c r="Q1963" s="294"/>
    </row>
    <row r="1964" spans="2:17" x14ac:dyDescent="0.25">
      <c r="B1964" s="294"/>
      <c r="C1964" s="294"/>
      <c r="D1964" s="294"/>
      <c r="E1964" s="294"/>
      <c r="F1964" s="294"/>
      <c r="G1964" s="294"/>
      <c r="H1964" s="294"/>
      <c r="I1964" s="294"/>
      <c r="J1964" s="294"/>
      <c r="L1964" s="295"/>
      <c r="M1964" s="294"/>
      <c r="P1964" s="294"/>
      <c r="Q1964" s="294"/>
    </row>
    <row r="1965" spans="2:17" x14ac:dyDescent="0.25">
      <c r="B1965" s="294"/>
      <c r="C1965" s="294"/>
      <c r="D1965" s="294"/>
      <c r="E1965" s="294"/>
      <c r="F1965" s="294"/>
      <c r="G1965" s="294"/>
      <c r="H1965" s="294"/>
      <c r="I1965" s="294"/>
      <c r="J1965" s="294"/>
      <c r="L1965" s="295"/>
      <c r="M1965" s="294"/>
      <c r="P1965" s="294"/>
      <c r="Q1965" s="294"/>
    </row>
    <row r="1966" spans="2:17" x14ac:dyDescent="0.25">
      <c r="B1966" s="294"/>
      <c r="C1966" s="294"/>
      <c r="D1966" s="294"/>
      <c r="E1966" s="294"/>
      <c r="F1966" s="294"/>
      <c r="G1966" s="294"/>
      <c r="H1966" s="294"/>
      <c r="I1966" s="294"/>
      <c r="J1966" s="294"/>
      <c r="L1966" s="295"/>
      <c r="M1966" s="294"/>
      <c r="P1966" s="294"/>
      <c r="Q1966" s="294"/>
    </row>
    <row r="1967" spans="2:17" x14ac:dyDescent="0.25">
      <c r="B1967" s="294"/>
      <c r="C1967" s="294"/>
      <c r="D1967" s="294"/>
      <c r="E1967" s="294"/>
      <c r="F1967" s="294"/>
      <c r="G1967" s="294"/>
      <c r="H1967" s="294"/>
      <c r="I1967" s="294"/>
      <c r="J1967" s="294"/>
      <c r="L1967" s="295"/>
      <c r="M1967" s="294"/>
      <c r="P1967" s="294"/>
      <c r="Q1967" s="294"/>
    </row>
    <row r="1968" spans="2:17" x14ac:dyDescent="0.25">
      <c r="B1968" s="294"/>
      <c r="C1968" s="294"/>
      <c r="D1968" s="294"/>
      <c r="E1968" s="294"/>
      <c r="F1968" s="294"/>
      <c r="G1968" s="294"/>
      <c r="H1968" s="294"/>
      <c r="I1968" s="294"/>
      <c r="J1968" s="294"/>
      <c r="L1968" s="295"/>
      <c r="M1968" s="294"/>
      <c r="P1968" s="294"/>
      <c r="Q1968" s="294"/>
    </row>
    <row r="1969" spans="2:17" x14ac:dyDescent="0.25">
      <c r="B1969" s="294"/>
      <c r="C1969" s="294"/>
      <c r="D1969" s="294"/>
      <c r="E1969" s="294"/>
      <c r="F1969" s="294"/>
      <c r="G1969" s="294"/>
      <c r="H1969" s="294"/>
      <c r="I1969" s="294"/>
      <c r="J1969" s="294"/>
      <c r="L1969" s="295"/>
      <c r="M1969" s="294"/>
      <c r="P1969" s="294"/>
      <c r="Q1969" s="294"/>
    </row>
    <row r="1970" spans="2:17" x14ac:dyDescent="0.25">
      <c r="B1970" s="294"/>
      <c r="C1970" s="294"/>
      <c r="D1970" s="294"/>
      <c r="E1970" s="294"/>
      <c r="F1970" s="294"/>
      <c r="G1970" s="294"/>
      <c r="H1970" s="294"/>
      <c r="I1970" s="294"/>
      <c r="J1970" s="294"/>
      <c r="L1970" s="295"/>
      <c r="M1970" s="294"/>
      <c r="P1970" s="294"/>
      <c r="Q1970" s="294"/>
    </row>
    <row r="1971" spans="2:17" x14ac:dyDescent="0.25">
      <c r="B1971" s="294"/>
      <c r="C1971" s="294"/>
      <c r="D1971" s="294"/>
      <c r="E1971" s="294"/>
      <c r="F1971" s="294"/>
      <c r="G1971" s="294"/>
      <c r="H1971" s="294"/>
      <c r="I1971" s="294"/>
      <c r="J1971" s="294"/>
      <c r="L1971" s="295"/>
      <c r="M1971" s="294"/>
      <c r="P1971" s="294"/>
      <c r="Q1971" s="294"/>
    </row>
    <row r="1972" spans="2:17" x14ac:dyDescent="0.25">
      <c r="B1972" s="294"/>
      <c r="C1972" s="294"/>
      <c r="D1972" s="294"/>
      <c r="E1972" s="294"/>
      <c r="F1972" s="294"/>
      <c r="G1972" s="294"/>
      <c r="H1972" s="294"/>
      <c r="I1972" s="294"/>
      <c r="J1972" s="294"/>
      <c r="L1972" s="295"/>
      <c r="M1972" s="294"/>
      <c r="P1972" s="294"/>
      <c r="Q1972" s="294"/>
    </row>
    <row r="1973" spans="2:17" x14ac:dyDescent="0.25">
      <c r="B1973" s="294"/>
      <c r="C1973" s="294"/>
      <c r="D1973" s="294"/>
      <c r="E1973" s="294"/>
      <c r="F1973" s="294"/>
      <c r="G1973" s="294"/>
      <c r="H1973" s="294"/>
      <c r="I1973" s="294"/>
      <c r="J1973" s="294"/>
      <c r="L1973" s="295"/>
      <c r="M1973" s="294"/>
      <c r="P1973" s="294"/>
      <c r="Q1973" s="294"/>
    </row>
    <row r="1974" spans="2:17" x14ac:dyDescent="0.25">
      <c r="B1974" s="294"/>
      <c r="C1974" s="294"/>
      <c r="D1974" s="294"/>
      <c r="E1974" s="294"/>
      <c r="F1974" s="294"/>
      <c r="G1974" s="294"/>
      <c r="H1974" s="294"/>
      <c r="I1974" s="294"/>
      <c r="J1974" s="294"/>
      <c r="L1974" s="295"/>
      <c r="M1974" s="294"/>
      <c r="P1974" s="294"/>
      <c r="Q1974" s="294"/>
    </row>
    <row r="1975" spans="2:17" x14ac:dyDescent="0.25">
      <c r="B1975" s="294"/>
      <c r="C1975" s="294"/>
      <c r="D1975" s="294"/>
      <c r="E1975" s="294"/>
      <c r="F1975" s="294"/>
      <c r="G1975" s="294"/>
      <c r="H1975" s="294"/>
      <c r="I1975" s="294"/>
      <c r="J1975" s="294"/>
      <c r="L1975" s="295"/>
      <c r="M1975" s="294"/>
      <c r="P1975" s="294"/>
      <c r="Q1975" s="294"/>
    </row>
    <row r="1976" spans="2:17" x14ac:dyDescent="0.25">
      <c r="B1976" s="294"/>
      <c r="C1976" s="294"/>
      <c r="D1976" s="294"/>
      <c r="E1976" s="294"/>
      <c r="F1976" s="294"/>
      <c r="G1976" s="294"/>
      <c r="H1976" s="294"/>
      <c r="I1976" s="294"/>
      <c r="J1976" s="294"/>
      <c r="L1976" s="295"/>
      <c r="M1976" s="294"/>
      <c r="P1976" s="294"/>
      <c r="Q1976" s="294"/>
    </row>
    <row r="1977" spans="2:17" x14ac:dyDescent="0.25">
      <c r="B1977" s="294"/>
      <c r="C1977" s="294"/>
      <c r="D1977" s="294"/>
      <c r="E1977" s="294"/>
      <c r="F1977" s="294"/>
      <c r="G1977" s="294"/>
      <c r="H1977" s="294"/>
      <c r="I1977" s="294"/>
      <c r="J1977" s="294"/>
      <c r="L1977" s="295"/>
      <c r="M1977" s="294"/>
      <c r="P1977" s="294"/>
      <c r="Q1977" s="294"/>
    </row>
    <row r="1978" spans="2:17" x14ac:dyDescent="0.25">
      <c r="B1978" s="294"/>
      <c r="C1978" s="294"/>
      <c r="D1978" s="294"/>
      <c r="E1978" s="294"/>
      <c r="F1978" s="294"/>
      <c r="G1978" s="294"/>
      <c r="H1978" s="294"/>
      <c r="I1978" s="294"/>
      <c r="J1978" s="294"/>
      <c r="L1978" s="295"/>
      <c r="M1978" s="294"/>
      <c r="P1978" s="294"/>
      <c r="Q1978" s="294"/>
    </row>
    <row r="1979" spans="2:17" x14ac:dyDescent="0.25">
      <c r="B1979" s="294"/>
      <c r="C1979" s="294"/>
      <c r="D1979" s="294"/>
      <c r="E1979" s="294"/>
      <c r="F1979" s="294"/>
      <c r="G1979" s="294"/>
      <c r="H1979" s="294"/>
      <c r="I1979" s="294"/>
      <c r="J1979" s="294"/>
      <c r="L1979" s="295"/>
      <c r="M1979" s="294"/>
      <c r="P1979" s="294"/>
      <c r="Q1979" s="294"/>
    </row>
    <row r="1980" spans="2:17" x14ac:dyDescent="0.25">
      <c r="B1980" s="294"/>
      <c r="C1980" s="294"/>
      <c r="D1980" s="294"/>
      <c r="E1980" s="294"/>
      <c r="F1980" s="294"/>
      <c r="G1980" s="294"/>
      <c r="H1980" s="294"/>
      <c r="I1980" s="294"/>
      <c r="J1980" s="294"/>
      <c r="L1980" s="295"/>
      <c r="M1980" s="294"/>
      <c r="P1980" s="294"/>
      <c r="Q1980" s="294"/>
    </row>
    <row r="1981" spans="2:17" x14ac:dyDescent="0.25">
      <c r="B1981" s="294"/>
      <c r="C1981" s="294"/>
      <c r="D1981" s="294"/>
      <c r="E1981" s="294"/>
      <c r="F1981" s="294"/>
      <c r="G1981" s="294"/>
      <c r="H1981" s="294"/>
      <c r="I1981" s="294"/>
      <c r="J1981" s="294"/>
      <c r="L1981" s="295"/>
      <c r="M1981" s="294"/>
      <c r="P1981" s="294"/>
      <c r="Q1981" s="294"/>
    </row>
    <row r="1982" spans="2:17" x14ac:dyDescent="0.25">
      <c r="B1982" s="294"/>
      <c r="C1982" s="294"/>
      <c r="D1982" s="294"/>
      <c r="E1982" s="294"/>
      <c r="F1982" s="294"/>
      <c r="G1982" s="294"/>
      <c r="H1982" s="294"/>
      <c r="I1982" s="294"/>
      <c r="J1982" s="294"/>
      <c r="L1982" s="295"/>
      <c r="M1982" s="294"/>
      <c r="P1982" s="294"/>
      <c r="Q1982" s="294"/>
    </row>
    <row r="1983" spans="2:17" x14ac:dyDescent="0.25">
      <c r="B1983" s="294"/>
      <c r="C1983" s="294"/>
      <c r="D1983" s="294"/>
      <c r="E1983" s="294"/>
      <c r="F1983" s="294"/>
      <c r="G1983" s="294"/>
      <c r="H1983" s="294"/>
      <c r="I1983" s="294"/>
      <c r="J1983" s="294"/>
      <c r="L1983" s="295"/>
      <c r="M1983" s="294"/>
      <c r="P1983" s="294"/>
      <c r="Q1983" s="294"/>
    </row>
    <row r="1984" spans="2:17" x14ac:dyDescent="0.25">
      <c r="B1984" s="294"/>
      <c r="C1984" s="294"/>
      <c r="D1984" s="294"/>
      <c r="E1984" s="294"/>
      <c r="F1984" s="294"/>
      <c r="G1984" s="294"/>
      <c r="H1984" s="294"/>
      <c r="I1984" s="294"/>
      <c r="J1984" s="294"/>
      <c r="L1984" s="295"/>
      <c r="M1984" s="294"/>
      <c r="P1984" s="294"/>
      <c r="Q1984" s="294"/>
    </row>
    <row r="1985" spans="2:17" x14ac:dyDescent="0.25">
      <c r="B1985" s="294"/>
      <c r="C1985" s="294"/>
      <c r="D1985" s="294"/>
      <c r="E1985" s="294"/>
      <c r="F1985" s="294"/>
      <c r="G1985" s="294"/>
      <c r="H1985" s="294"/>
      <c r="I1985" s="294"/>
      <c r="J1985" s="294"/>
      <c r="L1985" s="295"/>
      <c r="M1985" s="294"/>
      <c r="P1985" s="294"/>
      <c r="Q1985" s="294"/>
    </row>
    <row r="1986" spans="2:17" x14ac:dyDescent="0.25">
      <c r="B1986" s="294"/>
      <c r="C1986" s="294"/>
      <c r="D1986" s="294"/>
      <c r="E1986" s="294"/>
      <c r="F1986" s="294"/>
      <c r="G1986" s="294"/>
      <c r="H1986" s="294"/>
      <c r="I1986" s="294"/>
      <c r="J1986" s="294"/>
      <c r="L1986" s="295"/>
      <c r="M1986" s="294"/>
      <c r="P1986" s="294"/>
      <c r="Q1986" s="294"/>
    </row>
    <row r="1987" spans="2:17" x14ac:dyDescent="0.25">
      <c r="B1987" s="294"/>
      <c r="C1987" s="294"/>
      <c r="D1987" s="294"/>
      <c r="E1987" s="294"/>
      <c r="F1987" s="294"/>
      <c r="G1987" s="294"/>
      <c r="H1987" s="294"/>
      <c r="I1987" s="294"/>
      <c r="J1987" s="294"/>
      <c r="L1987" s="295"/>
      <c r="M1987" s="294"/>
      <c r="P1987" s="294"/>
      <c r="Q1987" s="294"/>
    </row>
    <row r="1988" spans="2:17" x14ac:dyDescent="0.25">
      <c r="B1988" s="294"/>
      <c r="C1988" s="294"/>
      <c r="D1988" s="294"/>
      <c r="E1988" s="294"/>
      <c r="F1988" s="294"/>
      <c r="G1988" s="294"/>
      <c r="H1988" s="294"/>
      <c r="I1988" s="294"/>
      <c r="J1988" s="294"/>
      <c r="L1988" s="295"/>
      <c r="M1988" s="294"/>
      <c r="P1988" s="294"/>
      <c r="Q1988" s="294"/>
    </row>
    <row r="1989" spans="2:17" x14ac:dyDescent="0.25">
      <c r="B1989" s="294"/>
      <c r="C1989" s="294"/>
      <c r="D1989" s="294"/>
      <c r="E1989" s="294"/>
      <c r="F1989" s="294"/>
      <c r="G1989" s="294"/>
      <c r="H1989" s="294"/>
      <c r="I1989" s="294"/>
      <c r="J1989" s="294"/>
      <c r="L1989" s="295"/>
      <c r="M1989" s="294"/>
      <c r="P1989" s="294"/>
      <c r="Q1989" s="294"/>
    </row>
    <row r="1990" spans="2:17" x14ac:dyDescent="0.25">
      <c r="B1990" s="294"/>
      <c r="C1990" s="294"/>
      <c r="D1990" s="294"/>
      <c r="E1990" s="294"/>
      <c r="F1990" s="294"/>
      <c r="G1990" s="294"/>
      <c r="H1990" s="294"/>
      <c r="I1990" s="294"/>
      <c r="J1990" s="294"/>
      <c r="L1990" s="295"/>
      <c r="M1990" s="294"/>
      <c r="P1990" s="294"/>
      <c r="Q1990" s="294"/>
    </row>
    <row r="1991" spans="2:17" x14ac:dyDescent="0.25">
      <c r="B1991" s="294"/>
      <c r="C1991" s="294"/>
      <c r="D1991" s="294"/>
      <c r="E1991" s="294"/>
      <c r="F1991" s="294"/>
      <c r="G1991" s="294"/>
      <c r="H1991" s="294"/>
      <c r="I1991" s="294"/>
      <c r="J1991" s="294"/>
      <c r="L1991" s="295"/>
      <c r="M1991" s="294"/>
      <c r="P1991" s="294"/>
      <c r="Q1991" s="294"/>
    </row>
    <row r="1992" spans="2:17" x14ac:dyDescent="0.25">
      <c r="B1992" s="294"/>
      <c r="C1992" s="294"/>
      <c r="D1992" s="294"/>
      <c r="E1992" s="294"/>
      <c r="F1992" s="294"/>
      <c r="G1992" s="294"/>
      <c r="H1992" s="294"/>
      <c r="I1992" s="294"/>
      <c r="J1992" s="294"/>
      <c r="L1992" s="295"/>
      <c r="M1992" s="294"/>
      <c r="P1992" s="294"/>
      <c r="Q1992" s="294"/>
    </row>
    <row r="1993" spans="2:17" x14ac:dyDescent="0.25">
      <c r="B1993" s="294"/>
      <c r="C1993" s="294"/>
      <c r="D1993" s="294"/>
      <c r="E1993" s="294"/>
      <c r="F1993" s="294"/>
      <c r="G1993" s="294"/>
      <c r="H1993" s="294"/>
      <c r="I1993" s="294"/>
      <c r="J1993" s="294"/>
      <c r="L1993" s="295"/>
      <c r="M1993" s="294"/>
      <c r="P1993" s="294"/>
      <c r="Q1993" s="294"/>
    </row>
    <row r="1994" spans="2:17" x14ac:dyDescent="0.25">
      <c r="B1994" s="294"/>
      <c r="C1994" s="294"/>
      <c r="D1994" s="294"/>
      <c r="E1994" s="294"/>
      <c r="F1994" s="294"/>
      <c r="G1994" s="294"/>
      <c r="H1994" s="294"/>
      <c r="I1994" s="294"/>
      <c r="J1994" s="294"/>
      <c r="L1994" s="295"/>
      <c r="M1994" s="294"/>
      <c r="P1994" s="294"/>
      <c r="Q1994" s="294"/>
    </row>
    <row r="1995" spans="2:17" x14ac:dyDescent="0.25">
      <c r="B1995" s="294"/>
      <c r="C1995" s="294"/>
      <c r="D1995" s="294"/>
      <c r="E1995" s="294"/>
      <c r="F1995" s="294"/>
      <c r="G1995" s="294"/>
      <c r="H1995" s="294"/>
      <c r="I1995" s="294"/>
      <c r="J1995" s="294"/>
      <c r="L1995" s="295"/>
      <c r="M1995" s="294"/>
      <c r="P1995" s="294"/>
      <c r="Q1995" s="294"/>
    </row>
    <row r="1996" spans="2:17" x14ac:dyDescent="0.25">
      <c r="B1996" s="294"/>
      <c r="C1996" s="294"/>
      <c r="D1996" s="294"/>
      <c r="E1996" s="294"/>
      <c r="F1996" s="294"/>
      <c r="G1996" s="294"/>
      <c r="H1996" s="294"/>
      <c r="I1996" s="294"/>
      <c r="J1996" s="294"/>
      <c r="L1996" s="295"/>
      <c r="M1996" s="294"/>
      <c r="P1996" s="294"/>
      <c r="Q1996" s="294"/>
    </row>
    <row r="1997" spans="2:17" x14ac:dyDescent="0.25">
      <c r="B1997" s="294"/>
      <c r="C1997" s="294"/>
      <c r="D1997" s="294"/>
      <c r="E1997" s="294"/>
      <c r="F1997" s="294"/>
      <c r="G1997" s="294"/>
      <c r="H1997" s="294"/>
      <c r="I1997" s="294"/>
      <c r="J1997" s="294"/>
      <c r="L1997" s="295"/>
      <c r="M1997" s="294"/>
      <c r="P1997" s="294"/>
      <c r="Q1997" s="294"/>
    </row>
    <row r="1998" spans="2:17" x14ac:dyDescent="0.25">
      <c r="B1998" s="294"/>
      <c r="C1998" s="294"/>
      <c r="D1998" s="294"/>
      <c r="E1998" s="294"/>
      <c r="F1998" s="294"/>
      <c r="G1998" s="294"/>
      <c r="H1998" s="294"/>
      <c r="I1998" s="294"/>
      <c r="J1998" s="294"/>
      <c r="L1998" s="295"/>
      <c r="M1998" s="294"/>
      <c r="P1998" s="294"/>
      <c r="Q1998" s="294"/>
    </row>
    <row r="1999" spans="2:17" x14ac:dyDescent="0.25">
      <c r="B1999" s="294"/>
      <c r="C1999" s="294"/>
      <c r="D1999" s="294"/>
      <c r="E1999" s="294"/>
      <c r="F1999" s="294"/>
      <c r="G1999" s="294"/>
      <c r="H1999" s="294"/>
      <c r="I1999" s="294"/>
      <c r="J1999" s="294"/>
      <c r="L1999" s="295"/>
      <c r="M1999" s="294"/>
      <c r="P1999" s="294"/>
      <c r="Q1999" s="294"/>
    </row>
    <row r="2000" spans="2:17" x14ac:dyDescent="0.25">
      <c r="B2000" s="294"/>
      <c r="C2000" s="294"/>
      <c r="D2000" s="294"/>
      <c r="E2000" s="294"/>
      <c r="F2000" s="294"/>
      <c r="G2000" s="294"/>
      <c r="H2000" s="294"/>
      <c r="I2000" s="294"/>
      <c r="J2000" s="294"/>
      <c r="L2000" s="295"/>
      <c r="M2000" s="294"/>
      <c r="P2000" s="294"/>
      <c r="Q2000" s="294"/>
    </row>
    <row r="2001" spans="2:17" x14ac:dyDescent="0.25">
      <c r="B2001" s="294"/>
      <c r="C2001" s="294"/>
      <c r="D2001" s="294"/>
      <c r="E2001" s="294"/>
      <c r="F2001" s="294"/>
      <c r="G2001" s="294"/>
      <c r="H2001" s="294"/>
      <c r="I2001" s="294"/>
      <c r="J2001" s="294"/>
      <c r="L2001" s="295"/>
      <c r="M2001" s="294"/>
      <c r="P2001" s="294"/>
      <c r="Q2001" s="294"/>
    </row>
    <row r="2002" spans="2:17" x14ac:dyDescent="0.25">
      <c r="B2002" s="294"/>
      <c r="C2002" s="294"/>
      <c r="D2002" s="294"/>
      <c r="E2002" s="294"/>
      <c r="F2002" s="294"/>
      <c r="G2002" s="294"/>
      <c r="H2002" s="294"/>
      <c r="I2002" s="294"/>
      <c r="J2002" s="294"/>
      <c r="L2002" s="295"/>
      <c r="M2002" s="294"/>
      <c r="P2002" s="294"/>
      <c r="Q2002" s="294"/>
    </row>
    <row r="2003" spans="2:17" x14ac:dyDescent="0.25">
      <c r="B2003" s="294"/>
      <c r="C2003" s="294"/>
      <c r="D2003" s="294"/>
      <c r="E2003" s="294"/>
      <c r="F2003" s="294"/>
      <c r="G2003" s="294"/>
      <c r="H2003" s="294"/>
      <c r="I2003" s="294"/>
      <c r="J2003" s="294"/>
      <c r="L2003" s="295"/>
      <c r="M2003" s="294"/>
      <c r="P2003" s="294"/>
      <c r="Q2003" s="294"/>
    </row>
    <row r="2004" spans="2:17" x14ac:dyDescent="0.25">
      <c r="B2004" s="294"/>
      <c r="C2004" s="294"/>
      <c r="D2004" s="294"/>
      <c r="E2004" s="294"/>
      <c r="F2004" s="294"/>
      <c r="G2004" s="294"/>
      <c r="H2004" s="294"/>
      <c r="I2004" s="294"/>
      <c r="J2004" s="294"/>
      <c r="L2004" s="295"/>
      <c r="M2004" s="294"/>
      <c r="P2004" s="294"/>
      <c r="Q2004" s="294"/>
    </row>
    <row r="2005" spans="2:17" x14ac:dyDescent="0.25">
      <c r="B2005" s="294"/>
      <c r="C2005" s="294"/>
      <c r="D2005" s="294"/>
      <c r="E2005" s="294"/>
      <c r="F2005" s="294"/>
      <c r="G2005" s="294"/>
      <c r="H2005" s="294"/>
      <c r="I2005" s="294"/>
      <c r="J2005" s="294"/>
      <c r="L2005" s="295"/>
      <c r="M2005" s="294"/>
      <c r="P2005" s="294"/>
      <c r="Q2005" s="294"/>
    </row>
    <row r="2006" spans="2:17" x14ac:dyDescent="0.25">
      <c r="B2006" s="294"/>
      <c r="C2006" s="294"/>
      <c r="D2006" s="294"/>
      <c r="E2006" s="294"/>
      <c r="F2006" s="294"/>
      <c r="G2006" s="294"/>
      <c r="H2006" s="294"/>
      <c r="I2006" s="294"/>
      <c r="J2006" s="294"/>
      <c r="L2006" s="295"/>
      <c r="M2006" s="294"/>
      <c r="P2006" s="294"/>
      <c r="Q2006" s="294"/>
    </row>
    <row r="2007" spans="2:17" x14ac:dyDescent="0.25">
      <c r="B2007" s="294"/>
      <c r="C2007" s="294"/>
      <c r="D2007" s="294"/>
      <c r="E2007" s="294"/>
      <c r="F2007" s="294"/>
      <c r="G2007" s="294"/>
      <c r="H2007" s="294"/>
      <c r="I2007" s="294"/>
      <c r="J2007" s="294"/>
      <c r="L2007" s="295"/>
      <c r="M2007" s="294"/>
      <c r="P2007" s="294"/>
      <c r="Q2007" s="294"/>
    </row>
    <row r="2008" spans="2:17" x14ac:dyDescent="0.25">
      <c r="B2008" s="294"/>
      <c r="C2008" s="294"/>
      <c r="D2008" s="294"/>
      <c r="E2008" s="294"/>
      <c r="F2008" s="294"/>
      <c r="G2008" s="294"/>
      <c r="H2008" s="294"/>
      <c r="I2008" s="294"/>
      <c r="J2008" s="294"/>
      <c r="L2008" s="295"/>
      <c r="M2008" s="294"/>
      <c r="P2008" s="294"/>
      <c r="Q2008" s="294"/>
    </row>
    <row r="2009" spans="2:17" x14ac:dyDescent="0.25">
      <c r="B2009" s="294"/>
      <c r="C2009" s="294"/>
      <c r="D2009" s="294"/>
      <c r="E2009" s="294"/>
      <c r="F2009" s="294"/>
      <c r="G2009" s="294"/>
      <c r="H2009" s="294"/>
      <c r="I2009" s="294"/>
      <c r="J2009" s="294"/>
      <c r="L2009" s="295"/>
      <c r="M2009" s="294"/>
      <c r="P2009" s="294"/>
      <c r="Q2009" s="294"/>
    </row>
    <row r="2010" spans="2:17" x14ac:dyDescent="0.25">
      <c r="B2010" s="294"/>
      <c r="C2010" s="294"/>
      <c r="D2010" s="294"/>
      <c r="E2010" s="294"/>
      <c r="F2010" s="294"/>
      <c r="G2010" s="294"/>
      <c r="H2010" s="294"/>
      <c r="I2010" s="294"/>
      <c r="J2010" s="294"/>
      <c r="L2010" s="295"/>
      <c r="M2010" s="294"/>
      <c r="P2010" s="294"/>
      <c r="Q2010" s="294"/>
    </row>
    <row r="2011" spans="2:17" x14ac:dyDescent="0.25">
      <c r="B2011" s="294"/>
      <c r="C2011" s="294"/>
      <c r="D2011" s="294"/>
      <c r="E2011" s="294"/>
      <c r="F2011" s="294"/>
      <c r="G2011" s="294"/>
      <c r="H2011" s="294"/>
      <c r="I2011" s="294"/>
      <c r="J2011" s="294"/>
      <c r="L2011" s="295"/>
      <c r="M2011" s="294"/>
      <c r="P2011" s="294"/>
      <c r="Q2011" s="294"/>
    </row>
    <row r="2012" spans="2:17" x14ac:dyDescent="0.25">
      <c r="B2012" s="294"/>
      <c r="C2012" s="294"/>
      <c r="D2012" s="294"/>
      <c r="E2012" s="294"/>
      <c r="F2012" s="294"/>
      <c r="G2012" s="294"/>
      <c r="H2012" s="294"/>
      <c r="I2012" s="294"/>
      <c r="J2012" s="294"/>
      <c r="L2012" s="295"/>
      <c r="M2012" s="294"/>
      <c r="P2012" s="294"/>
      <c r="Q2012" s="294"/>
    </row>
    <row r="2013" spans="2:17" x14ac:dyDescent="0.25">
      <c r="B2013" s="294"/>
      <c r="C2013" s="294"/>
      <c r="D2013" s="294"/>
      <c r="E2013" s="294"/>
      <c r="F2013" s="294"/>
      <c r="G2013" s="294"/>
      <c r="H2013" s="294"/>
      <c r="I2013" s="294"/>
      <c r="J2013" s="294"/>
      <c r="L2013" s="295"/>
      <c r="M2013" s="294"/>
      <c r="P2013" s="294"/>
      <c r="Q2013" s="294"/>
    </row>
    <row r="2014" spans="2:17" x14ac:dyDescent="0.25">
      <c r="B2014" s="294"/>
      <c r="C2014" s="294"/>
      <c r="D2014" s="294"/>
      <c r="E2014" s="294"/>
      <c r="F2014" s="294"/>
      <c r="G2014" s="294"/>
      <c r="H2014" s="294"/>
      <c r="I2014" s="294"/>
      <c r="J2014" s="294"/>
      <c r="L2014" s="295"/>
      <c r="M2014" s="294"/>
      <c r="P2014" s="294"/>
      <c r="Q2014" s="294"/>
    </row>
    <row r="2015" spans="2:17" x14ac:dyDescent="0.25">
      <c r="B2015" s="294"/>
      <c r="C2015" s="294"/>
      <c r="D2015" s="294"/>
      <c r="E2015" s="294"/>
      <c r="F2015" s="294"/>
      <c r="G2015" s="294"/>
      <c r="H2015" s="294"/>
      <c r="I2015" s="294"/>
      <c r="J2015" s="294"/>
      <c r="L2015" s="295"/>
      <c r="M2015" s="294"/>
      <c r="P2015" s="294"/>
      <c r="Q2015" s="294"/>
    </row>
    <row r="2016" spans="2:17" x14ac:dyDescent="0.25">
      <c r="B2016" s="294"/>
      <c r="C2016" s="294"/>
      <c r="D2016" s="294"/>
      <c r="E2016" s="294"/>
      <c r="F2016" s="294"/>
      <c r="G2016" s="294"/>
      <c r="H2016" s="294"/>
      <c r="I2016" s="294"/>
      <c r="J2016" s="294"/>
      <c r="L2016" s="295"/>
      <c r="M2016" s="294"/>
      <c r="P2016" s="294"/>
      <c r="Q2016" s="294"/>
    </row>
    <row r="2017" spans="2:17" x14ac:dyDescent="0.25">
      <c r="B2017" s="294"/>
      <c r="C2017" s="294"/>
      <c r="D2017" s="294"/>
      <c r="E2017" s="294"/>
      <c r="F2017" s="294"/>
      <c r="G2017" s="294"/>
      <c r="H2017" s="294"/>
      <c r="I2017" s="294"/>
      <c r="J2017" s="294"/>
      <c r="L2017" s="295"/>
      <c r="M2017" s="294"/>
      <c r="P2017" s="294"/>
      <c r="Q2017" s="294"/>
    </row>
    <row r="2018" spans="2:17" x14ac:dyDescent="0.25">
      <c r="B2018" s="294"/>
      <c r="C2018" s="294"/>
      <c r="D2018" s="294"/>
      <c r="E2018" s="294"/>
      <c r="F2018" s="294"/>
      <c r="G2018" s="294"/>
      <c r="H2018" s="294"/>
      <c r="I2018" s="294"/>
      <c r="J2018" s="294"/>
      <c r="L2018" s="295"/>
      <c r="M2018" s="294"/>
      <c r="P2018" s="294"/>
      <c r="Q2018" s="294"/>
    </row>
    <row r="2019" spans="2:17" x14ac:dyDescent="0.25">
      <c r="B2019" s="294"/>
      <c r="C2019" s="294"/>
      <c r="D2019" s="294"/>
      <c r="E2019" s="294"/>
      <c r="F2019" s="294"/>
      <c r="G2019" s="294"/>
      <c r="H2019" s="294"/>
      <c r="I2019" s="294"/>
      <c r="J2019" s="294"/>
      <c r="L2019" s="295"/>
      <c r="M2019" s="294"/>
      <c r="P2019" s="294"/>
      <c r="Q2019" s="294"/>
    </row>
    <row r="2020" spans="2:17" x14ac:dyDescent="0.25">
      <c r="B2020" s="294"/>
      <c r="C2020" s="294"/>
      <c r="D2020" s="294"/>
      <c r="E2020" s="294"/>
      <c r="F2020" s="294"/>
      <c r="G2020" s="294"/>
      <c r="H2020" s="294"/>
      <c r="I2020" s="294"/>
      <c r="J2020" s="294"/>
      <c r="L2020" s="295"/>
      <c r="M2020" s="294"/>
      <c r="P2020" s="294"/>
      <c r="Q2020" s="294"/>
    </row>
    <row r="2021" spans="2:17" x14ac:dyDescent="0.25">
      <c r="B2021" s="294"/>
      <c r="C2021" s="294"/>
      <c r="D2021" s="294"/>
      <c r="E2021" s="294"/>
      <c r="F2021" s="294"/>
      <c r="G2021" s="294"/>
      <c r="H2021" s="294"/>
      <c r="I2021" s="294"/>
      <c r="J2021" s="294"/>
      <c r="L2021" s="295"/>
      <c r="M2021" s="294"/>
      <c r="P2021" s="294"/>
      <c r="Q2021" s="294"/>
    </row>
    <row r="2022" spans="2:17" x14ac:dyDescent="0.25">
      <c r="B2022" s="294"/>
      <c r="C2022" s="294"/>
      <c r="D2022" s="294"/>
      <c r="E2022" s="294"/>
      <c r="F2022" s="294"/>
      <c r="G2022" s="294"/>
      <c r="H2022" s="294"/>
      <c r="I2022" s="294"/>
      <c r="J2022" s="294"/>
      <c r="L2022" s="295"/>
      <c r="M2022" s="294"/>
      <c r="P2022" s="294"/>
      <c r="Q2022" s="294"/>
    </row>
    <row r="2023" spans="2:17" x14ac:dyDescent="0.25">
      <c r="B2023" s="294"/>
      <c r="C2023" s="294"/>
      <c r="D2023" s="294"/>
      <c r="E2023" s="294"/>
      <c r="F2023" s="294"/>
      <c r="G2023" s="294"/>
      <c r="H2023" s="294"/>
      <c r="I2023" s="294"/>
      <c r="J2023" s="294"/>
      <c r="L2023" s="295"/>
      <c r="M2023" s="294"/>
      <c r="P2023" s="294"/>
      <c r="Q2023" s="294"/>
    </row>
    <row r="2024" spans="2:17" x14ac:dyDescent="0.25">
      <c r="B2024" s="294"/>
      <c r="C2024" s="294"/>
      <c r="D2024" s="294"/>
      <c r="E2024" s="294"/>
      <c r="F2024" s="294"/>
      <c r="G2024" s="294"/>
      <c r="H2024" s="294"/>
      <c r="I2024" s="294"/>
      <c r="J2024" s="294"/>
      <c r="L2024" s="295"/>
      <c r="M2024" s="294"/>
      <c r="P2024" s="294"/>
      <c r="Q2024" s="294"/>
    </row>
    <row r="2025" spans="2:17" x14ac:dyDescent="0.25">
      <c r="B2025" s="294"/>
      <c r="C2025" s="294"/>
      <c r="D2025" s="294"/>
      <c r="E2025" s="294"/>
      <c r="F2025" s="294"/>
      <c r="G2025" s="294"/>
      <c r="H2025" s="294"/>
      <c r="I2025" s="294"/>
      <c r="J2025" s="294"/>
      <c r="L2025" s="295"/>
      <c r="M2025" s="294"/>
      <c r="P2025" s="294"/>
      <c r="Q2025" s="294"/>
    </row>
    <row r="2026" spans="2:17" x14ac:dyDescent="0.25">
      <c r="B2026" s="294"/>
      <c r="C2026" s="294"/>
      <c r="D2026" s="294"/>
      <c r="E2026" s="294"/>
      <c r="F2026" s="294"/>
      <c r="G2026" s="294"/>
      <c r="H2026" s="294"/>
      <c r="I2026" s="294"/>
      <c r="J2026" s="294"/>
      <c r="L2026" s="295"/>
      <c r="M2026" s="294"/>
      <c r="P2026" s="294"/>
      <c r="Q2026" s="294"/>
    </row>
    <row r="2027" spans="2:17" x14ac:dyDescent="0.25">
      <c r="B2027" s="294"/>
      <c r="C2027" s="294"/>
      <c r="D2027" s="294"/>
      <c r="E2027" s="294"/>
      <c r="F2027" s="294"/>
      <c r="G2027" s="294"/>
      <c r="H2027" s="294"/>
      <c r="I2027" s="294"/>
      <c r="J2027" s="294"/>
      <c r="L2027" s="295"/>
      <c r="M2027" s="294"/>
      <c r="P2027" s="294"/>
      <c r="Q2027" s="294"/>
    </row>
    <row r="2028" spans="2:17" x14ac:dyDescent="0.25">
      <c r="B2028" s="294"/>
      <c r="C2028" s="294"/>
      <c r="D2028" s="294"/>
      <c r="E2028" s="294"/>
      <c r="F2028" s="294"/>
      <c r="G2028" s="294"/>
      <c r="H2028" s="294"/>
      <c r="I2028" s="294"/>
      <c r="J2028" s="294"/>
      <c r="L2028" s="295"/>
      <c r="M2028" s="294"/>
      <c r="P2028" s="294"/>
      <c r="Q2028" s="294"/>
    </row>
    <row r="2029" spans="2:17" x14ac:dyDescent="0.25">
      <c r="B2029" s="294"/>
      <c r="C2029" s="294"/>
      <c r="D2029" s="294"/>
      <c r="E2029" s="294"/>
      <c r="F2029" s="294"/>
      <c r="G2029" s="294"/>
      <c r="H2029" s="294"/>
      <c r="I2029" s="294"/>
      <c r="J2029" s="294"/>
      <c r="L2029" s="295"/>
      <c r="M2029" s="294"/>
      <c r="P2029" s="294"/>
      <c r="Q2029" s="294"/>
    </row>
    <row r="2030" spans="2:17" x14ac:dyDescent="0.25">
      <c r="B2030" s="294"/>
      <c r="C2030" s="294"/>
      <c r="D2030" s="294"/>
      <c r="E2030" s="294"/>
      <c r="F2030" s="294"/>
      <c r="G2030" s="294"/>
      <c r="H2030" s="294"/>
      <c r="I2030" s="294"/>
      <c r="J2030" s="294"/>
      <c r="L2030" s="295"/>
      <c r="M2030" s="294"/>
      <c r="P2030" s="294"/>
      <c r="Q2030" s="294"/>
    </row>
    <row r="2031" spans="2:17" x14ac:dyDescent="0.25">
      <c r="B2031" s="294"/>
      <c r="C2031" s="294"/>
      <c r="D2031" s="294"/>
      <c r="E2031" s="294"/>
      <c r="F2031" s="294"/>
      <c r="G2031" s="294"/>
      <c r="H2031" s="294"/>
      <c r="I2031" s="294"/>
      <c r="J2031" s="294"/>
      <c r="L2031" s="295"/>
      <c r="M2031" s="294"/>
      <c r="P2031" s="294"/>
      <c r="Q2031" s="294"/>
    </row>
    <row r="2032" spans="2:17" x14ac:dyDescent="0.25">
      <c r="B2032" s="294"/>
      <c r="C2032" s="294"/>
      <c r="D2032" s="294"/>
      <c r="E2032" s="294"/>
      <c r="F2032" s="294"/>
      <c r="G2032" s="294"/>
      <c r="H2032" s="294"/>
      <c r="I2032" s="294"/>
      <c r="J2032" s="294"/>
      <c r="L2032" s="295"/>
      <c r="M2032" s="294"/>
      <c r="P2032" s="294"/>
      <c r="Q2032" s="294"/>
    </row>
    <row r="2033" spans="2:17" x14ac:dyDescent="0.25">
      <c r="B2033" s="294"/>
      <c r="C2033" s="294"/>
      <c r="D2033" s="294"/>
      <c r="E2033" s="294"/>
      <c r="F2033" s="294"/>
      <c r="G2033" s="294"/>
      <c r="H2033" s="294"/>
      <c r="I2033" s="294"/>
      <c r="J2033" s="294"/>
      <c r="L2033" s="295"/>
      <c r="M2033" s="294"/>
      <c r="P2033" s="294"/>
      <c r="Q2033" s="294"/>
    </row>
    <row r="2034" spans="2:17" x14ac:dyDescent="0.25">
      <c r="B2034" s="294"/>
      <c r="C2034" s="294"/>
      <c r="D2034" s="294"/>
      <c r="E2034" s="294"/>
      <c r="F2034" s="294"/>
      <c r="G2034" s="294"/>
      <c r="H2034" s="294"/>
      <c r="I2034" s="294"/>
      <c r="J2034" s="294"/>
      <c r="L2034" s="295"/>
      <c r="M2034" s="294"/>
      <c r="P2034" s="294"/>
      <c r="Q2034" s="294"/>
    </row>
    <row r="2035" spans="2:17" x14ac:dyDescent="0.25">
      <c r="B2035" s="294"/>
      <c r="C2035" s="294"/>
      <c r="D2035" s="294"/>
      <c r="E2035" s="294"/>
      <c r="F2035" s="294"/>
      <c r="G2035" s="294"/>
      <c r="H2035" s="294"/>
      <c r="I2035" s="294"/>
      <c r="J2035" s="294"/>
      <c r="L2035" s="295"/>
      <c r="M2035" s="294"/>
      <c r="P2035" s="294"/>
      <c r="Q2035" s="294"/>
    </row>
    <row r="2036" spans="2:17" x14ac:dyDescent="0.25">
      <c r="B2036" s="294"/>
      <c r="C2036" s="294"/>
      <c r="D2036" s="294"/>
      <c r="E2036" s="294"/>
      <c r="F2036" s="294"/>
      <c r="G2036" s="294"/>
      <c r="H2036" s="294"/>
      <c r="I2036" s="294"/>
      <c r="J2036" s="294"/>
      <c r="L2036" s="295"/>
      <c r="M2036" s="294"/>
      <c r="P2036" s="294"/>
      <c r="Q2036" s="294"/>
    </row>
    <row r="2037" spans="2:17" x14ac:dyDescent="0.25">
      <c r="B2037" s="294"/>
      <c r="C2037" s="294"/>
      <c r="D2037" s="294"/>
      <c r="E2037" s="294"/>
      <c r="F2037" s="294"/>
      <c r="G2037" s="294"/>
      <c r="H2037" s="294"/>
      <c r="I2037" s="294"/>
      <c r="J2037" s="294"/>
      <c r="L2037" s="295"/>
      <c r="M2037" s="294"/>
      <c r="P2037" s="294"/>
      <c r="Q2037" s="294"/>
    </row>
    <row r="2038" spans="2:17" x14ac:dyDescent="0.25">
      <c r="B2038" s="294"/>
      <c r="C2038" s="294"/>
      <c r="D2038" s="294"/>
      <c r="E2038" s="294"/>
      <c r="F2038" s="294"/>
      <c r="G2038" s="294"/>
      <c r="H2038" s="294"/>
      <c r="I2038" s="294"/>
      <c r="J2038" s="294"/>
      <c r="L2038" s="295"/>
      <c r="M2038" s="294"/>
      <c r="P2038" s="294"/>
      <c r="Q2038" s="294"/>
    </row>
    <row r="2039" spans="2:17" x14ac:dyDescent="0.25">
      <c r="B2039" s="294"/>
      <c r="C2039" s="294"/>
      <c r="D2039" s="294"/>
      <c r="E2039" s="294"/>
      <c r="F2039" s="294"/>
      <c r="G2039" s="294"/>
      <c r="H2039" s="294"/>
      <c r="I2039" s="294"/>
      <c r="J2039" s="294"/>
      <c r="L2039" s="295"/>
      <c r="M2039" s="294"/>
      <c r="P2039" s="294"/>
      <c r="Q2039" s="294"/>
    </row>
    <row r="2040" spans="2:17" x14ac:dyDescent="0.25">
      <c r="B2040" s="294"/>
      <c r="C2040" s="294"/>
      <c r="D2040" s="294"/>
      <c r="E2040" s="294"/>
      <c r="F2040" s="294"/>
      <c r="G2040" s="294"/>
      <c r="H2040" s="294"/>
      <c r="I2040" s="294"/>
      <c r="J2040" s="294"/>
      <c r="L2040" s="295"/>
      <c r="M2040" s="294"/>
      <c r="P2040" s="294"/>
      <c r="Q2040" s="294"/>
    </row>
    <row r="2041" spans="2:17" x14ac:dyDescent="0.25">
      <c r="B2041" s="294"/>
      <c r="C2041" s="294"/>
      <c r="D2041" s="294"/>
      <c r="E2041" s="294"/>
      <c r="F2041" s="294"/>
      <c r="G2041" s="294"/>
      <c r="H2041" s="294"/>
      <c r="I2041" s="294"/>
      <c r="J2041" s="294"/>
      <c r="L2041" s="295"/>
      <c r="M2041" s="294"/>
      <c r="P2041" s="294"/>
      <c r="Q2041" s="294"/>
    </row>
    <row r="2042" spans="2:17" x14ac:dyDescent="0.25">
      <c r="B2042" s="294"/>
      <c r="C2042" s="294"/>
      <c r="D2042" s="294"/>
      <c r="E2042" s="294"/>
      <c r="F2042" s="294"/>
      <c r="G2042" s="294"/>
      <c r="H2042" s="294"/>
      <c r="I2042" s="294"/>
      <c r="J2042" s="294"/>
      <c r="L2042" s="295"/>
      <c r="M2042" s="294"/>
      <c r="P2042" s="294"/>
      <c r="Q2042" s="294"/>
    </row>
    <row r="2043" spans="2:17" x14ac:dyDescent="0.25">
      <c r="B2043" s="294"/>
      <c r="C2043" s="294"/>
      <c r="D2043" s="294"/>
      <c r="E2043" s="294"/>
      <c r="F2043" s="294"/>
      <c r="G2043" s="294"/>
      <c r="H2043" s="294"/>
      <c r="I2043" s="294"/>
      <c r="J2043" s="294"/>
      <c r="L2043" s="295"/>
      <c r="M2043" s="294"/>
      <c r="P2043" s="294"/>
      <c r="Q2043" s="294"/>
    </row>
    <row r="2044" spans="2:17" x14ac:dyDescent="0.25">
      <c r="B2044" s="294"/>
      <c r="C2044" s="294"/>
      <c r="D2044" s="294"/>
      <c r="E2044" s="294"/>
      <c r="F2044" s="294"/>
      <c r="G2044" s="294"/>
      <c r="H2044" s="294"/>
      <c r="I2044" s="294"/>
      <c r="J2044" s="294"/>
      <c r="L2044" s="295"/>
      <c r="M2044" s="294"/>
      <c r="P2044" s="294"/>
      <c r="Q2044" s="294"/>
    </row>
    <row r="2045" spans="2:17" x14ac:dyDescent="0.25">
      <c r="B2045" s="294"/>
      <c r="C2045" s="294"/>
      <c r="D2045" s="294"/>
      <c r="E2045" s="294"/>
      <c r="F2045" s="294"/>
      <c r="G2045" s="294"/>
      <c r="H2045" s="294"/>
      <c r="I2045" s="294"/>
      <c r="J2045" s="294"/>
      <c r="L2045" s="295"/>
      <c r="M2045" s="294"/>
      <c r="P2045" s="294"/>
      <c r="Q2045" s="294"/>
    </row>
    <row r="2046" spans="2:17" x14ac:dyDescent="0.25">
      <c r="B2046" s="294"/>
      <c r="C2046" s="294"/>
      <c r="D2046" s="294"/>
      <c r="E2046" s="294"/>
      <c r="F2046" s="294"/>
      <c r="G2046" s="294"/>
      <c r="H2046" s="294"/>
      <c r="I2046" s="294"/>
      <c r="J2046" s="294"/>
      <c r="L2046" s="295"/>
      <c r="M2046" s="294"/>
      <c r="P2046" s="294"/>
      <c r="Q2046" s="294"/>
    </row>
    <row r="2047" spans="2:17" x14ac:dyDescent="0.25">
      <c r="B2047" s="294"/>
      <c r="C2047" s="294"/>
      <c r="D2047" s="294"/>
      <c r="E2047" s="294"/>
      <c r="F2047" s="294"/>
      <c r="G2047" s="294"/>
      <c r="H2047" s="294"/>
      <c r="I2047" s="294"/>
      <c r="J2047" s="294"/>
      <c r="L2047" s="295"/>
      <c r="M2047" s="294"/>
      <c r="P2047" s="294"/>
      <c r="Q2047" s="294"/>
    </row>
    <row r="2048" spans="2:17" x14ac:dyDescent="0.25">
      <c r="B2048" s="294"/>
      <c r="C2048" s="294"/>
      <c r="D2048" s="294"/>
      <c r="E2048" s="294"/>
      <c r="F2048" s="294"/>
      <c r="G2048" s="294"/>
      <c r="H2048" s="294"/>
      <c r="I2048" s="294"/>
      <c r="J2048" s="294"/>
      <c r="L2048" s="295"/>
      <c r="M2048" s="294"/>
      <c r="P2048" s="294"/>
      <c r="Q2048" s="294"/>
    </row>
    <row r="2049" spans="2:17" x14ac:dyDescent="0.25">
      <c r="B2049" s="294"/>
      <c r="C2049" s="294"/>
      <c r="D2049" s="294"/>
      <c r="E2049" s="294"/>
      <c r="F2049" s="294"/>
      <c r="G2049" s="294"/>
      <c r="H2049" s="294"/>
      <c r="I2049" s="294"/>
      <c r="J2049" s="294"/>
      <c r="L2049" s="295"/>
      <c r="M2049" s="294"/>
      <c r="P2049" s="294"/>
      <c r="Q2049" s="294"/>
    </row>
    <row r="2050" spans="2:17" x14ac:dyDescent="0.25">
      <c r="B2050" s="294"/>
      <c r="C2050" s="294"/>
      <c r="D2050" s="294"/>
      <c r="E2050" s="294"/>
      <c r="F2050" s="294"/>
      <c r="G2050" s="294"/>
      <c r="H2050" s="294"/>
      <c r="I2050" s="294"/>
      <c r="J2050" s="294"/>
      <c r="L2050" s="295"/>
      <c r="M2050" s="294"/>
      <c r="P2050" s="294"/>
      <c r="Q2050" s="294"/>
    </row>
    <row r="2051" spans="2:17" x14ac:dyDescent="0.25">
      <c r="B2051" s="294"/>
      <c r="C2051" s="294"/>
      <c r="D2051" s="294"/>
      <c r="E2051" s="294"/>
      <c r="F2051" s="294"/>
      <c r="G2051" s="294"/>
      <c r="H2051" s="294"/>
      <c r="I2051" s="294"/>
      <c r="J2051" s="294"/>
      <c r="L2051" s="295"/>
      <c r="M2051" s="294"/>
      <c r="P2051" s="294"/>
      <c r="Q2051" s="294"/>
    </row>
    <row r="2052" spans="2:17" x14ac:dyDescent="0.25">
      <c r="B2052" s="294"/>
      <c r="C2052" s="294"/>
      <c r="D2052" s="294"/>
      <c r="E2052" s="294"/>
      <c r="F2052" s="294"/>
      <c r="G2052" s="294"/>
      <c r="H2052" s="294"/>
      <c r="I2052" s="294"/>
      <c r="J2052" s="294"/>
      <c r="L2052" s="295"/>
      <c r="M2052" s="294"/>
      <c r="P2052" s="294"/>
      <c r="Q2052" s="294"/>
    </row>
    <row r="2053" spans="2:17" x14ac:dyDescent="0.25">
      <c r="B2053" s="294"/>
      <c r="C2053" s="294"/>
      <c r="D2053" s="294"/>
      <c r="E2053" s="294"/>
      <c r="F2053" s="294"/>
      <c r="G2053" s="294"/>
      <c r="H2053" s="294"/>
      <c r="I2053" s="294"/>
      <c r="J2053" s="294"/>
      <c r="L2053" s="295"/>
      <c r="M2053" s="294"/>
      <c r="P2053" s="294"/>
      <c r="Q2053" s="294"/>
    </row>
    <row r="2054" spans="2:17" x14ac:dyDescent="0.25">
      <c r="B2054" s="294"/>
      <c r="C2054" s="294"/>
      <c r="D2054" s="294"/>
      <c r="E2054" s="294"/>
      <c r="F2054" s="294"/>
      <c r="G2054" s="294"/>
      <c r="H2054" s="294"/>
      <c r="I2054" s="294"/>
      <c r="J2054" s="294"/>
      <c r="L2054" s="295"/>
      <c r="M2054" s="294"/>
      <c r="P2054" s="294"/>
      <c r="Q2054" s="294"/>
    </row>
    <row r="2055" spans="2:17" x14ac:dyDescent="0.25">
      <c r="B2055" s="294"/>
      <c r="C2055" s="294"/>
      <c r="D2055" s="294"/>
      <c r="E2055" s="294"/>
      <c r="F2055" s="294"/>
      <c r="G2055" s="294"/>
      <c r="H2055" s="294"/>
      <c r="I2055" s="294"/>
      <c r="J2055" s="294"/>
      <c r="L2055" s="295"/>
      <c r="M2055" s="294"/>
      <c r="P2055" s="294"/>
      <c r="Q2055" s="294"/>
    </row>
    <row r="2056" spans="2:17" x14ac:dyDescent="0.25">
      <c r="B2056" s="294"/>
      <c r="C2056" s="294"/>
      <c r="D2056" s="294"/>
      <c r="E2056" s="294"/>
      <c r="F2056" s="294"/>
      <c r="G2056" s="294"/>
      <c r="H2056" s="294"/>
      <c r="I2056" s="294"/>
      <c r="J2056" s="294"/>
      <c r="L2056" s="295"/>
      <c r="M2056" s="294"/>
      <c r="P2056" s="294"/>
      <c r="Q2056" s="294"/>
    </row>
    <row r="2057" spans="2:17" x14ac:dyDescent="0.25">
      <c r="B2057" s="294"/>
      <c r="C2057" s="294"/>
      <c r="D2057" s="294"/>
      <c r="E2057" s="294"/>
      <c r="F2057" s="294"/>
      <c r="G2057" s="294"/>
      <c r="H2057" s="294"/>
      <c r="I2057" s="294"/>
      <c r="J2057" s="294"/>
      <c r="L2057" s="295"/>
      <c r="M2057" s="294"/>
      <c r="P2057" s="294"/>
      <c r="Q2057" s="294"/>
    </row>
    <row r="2058" spans="2:17" x14ac:dyDescent="0.25">
      <c r="B2058" s="294"/>
      <c r="C2058" s="294"/>
      <c r="D2058" s="294"/>
      <c r="E2058" s="294"/>
      <c r="F2058" s="294"/>
      <c r="G2058" s="294"/>
      <c r="H2058" s="294"/>
      <c r="I2058" s="294"/>
      <c r="J2058" s="294"/>
      <c r="L2058" s="295"/>
      <c r="M2058" s="294"/>
      <c r="P2058" s="294"/>
      <c r="Q2058" s="294"/>
    </row>
    <row r="2059" spans="2:17" x14ac:dyDescent="0.25">
      <c r="B2059" s="294"/>
      <c r="C2059" s="294"/>
      <c r="D2059" s="294"/>
      <c r="E2059" s="294"/>
      <c r="F2059" s="294"/>
      <c r="G2059" s="294"/>
      <c r="H2059" s="294"/>
      <c r="I2059" s="294"/>
      <c r="J2059" s="294"/>
      <c r="L2059" s="295"/>
      <c r="M2059" s="294"/>
      <c r="P2059" s="294"/>
      <c r="Q2059" s="294"/>
    </row>
    <row r="2060" spans="2:17" x14ac:dyDescent="0.25">
      <c r="B2060" s="294"/>
      <c r="C2060" s="294"/>
      <c r="D2060" s="294"/>
      <c r="E2060" s="294"/>
      <c r="F2060" s="294"/>
      <c r="G2060" s="294"/>
      <c r="H2060" s="294"/>
      <c r="I2060" s="294"/>
      <c r="J2060" s="294"/>
      <c r="L2060" s="295"/>
      <c r="M2060" s="294"/>
      <c r="P2060" s="294"/>
      <c r="Q2060" s="294"/>
    </row>
    <row r="2061" spans="2:17" x14ac:dyDescent="0.25">
      <c r="B2061" s="294"/>
      <c r="C2061" s="294"/>
      <c r="D2061" s="294"/>
      <c r="E2061" s="294"/>
      <c r="F2061" s="294"/>
      <c r="G2061" s="294"/>
      <c r="H2061" s="294"/>
      <c r="I2061" s="294"/>
      <c r="J2061" s="294"/>
      <c r="L2061" s="295"/>
      <c r="M2061" s="294"/>
      <c r="P2061" s="294"/>
      <c r="Q2061" s="294"/>
    </row>
    <row r="2062" spans="2:17" x14ac:dyDescent="0.25">
      <c r="B2062" s="294"/>
      <c r="C2062" s="294"/>
      <c r="D2062" s="294"/>
      <c r="E2062" s="294"/>
      <c r="F2062" s="294"/>
      <c r="G2062" s="294"/>
      <c r="H2062" s="294"/>
      <c r="I2062" s="294"/>
      <c r="J2062" s="294"/>
      <c r="L2062" s="295"/>
      <c r="M2062" s="294"/>
      <c r="P2062" s="294"/>
      <c r="Q2062" s="294"/>
    </row>
    <row r="2063" spans="2:17" x14ac:dyDescent="0.25">
      <c r="B2063" s="294"/>
      <c r="C2063" s="294"/>
      <c r="D2063" s="294"/>
      <c r="E2063" s="294"/>
      <c r="F2063" s="294"/>
      <c r="G2063" s="294"/>
      <c r="H2063" s="294"/>
      <c r="I2063" s="294"/>
      <c r="J2063" s="294"/>
      <c r="L2063" s="295"/>
      <c r="M2063" s="294"/>
      <c r="P2063" s="294"/>
      <c r="Q2063" s="294"/>
    </row>
    <row r="2064" spans="2:17" x14ac:dyDescent="0.25">
      <c r="B2064" s="294"/>
      <c r="C2064" s="294"/>
      <c r="D2064" s="294"/>
      <c r="E2064" s="294"/>
      <c r="F2064" s="294"/>
      <c r="G2064" s="294"/>
      <c r="H2064" s="294"/>
      <c r="I2064" s="294"/>
      <c r="J2064" s="294"/>
      <c r="L2064" s="295"/>
      <c r="M2064" s="294"/>
      <c r="P2064" s="294"/>
      <c r="Q2064" s="294"/>
    </row>
    <row r="2065" spans="2:17" x14ac:dyDescent="0.25">
      <c r="B2065" s="294"/>
      <c r="C2065" s="294"/>
      <c r="D2065" s="294"/>
      <c r="E2065" s="294"/>
      <c r="F2065" s="294"/>
      <c r="G2065" s="294"/>
      <c r="H2065" s="294"/>
      <c r="I2065" s="294"/>
      <c r="J2065" s="294"/>
      <c r="L2065" s="295"/>
      <c r="M2065" s="294"/>
      <c r="P2065" s="294"/>
      <c r="Q2065" s="294"/>
    </row>
    <row r="2066" spans="2:17" x14ac:dyDescent="0.25">
      <c r="B2066" s="294"/>
      <c r="C2066" s="294"/>
      <c r="D2066" s="294"/>
      <c r="E2066" s="294"/>
      <c r="F2066" s="294"/>
      <c r="G2066" s="294"/>
      <c r="H2066" s="294"/>
      <c r="I2066" s="294"/>
      <c r="J2066" s="294"/>
      <c r="L2066" s="295"/>
      <c r="M2066" s="294"/>
      <c r="P2066" s="294"/>
      <c r="Q2066" s="294"/>
    </row>
    <row r="2067" spans="2:17" x14ac:dyDescent="0.25">
      <c r="B2067" s="294"/>
      <c r="C2067" s="294"/>
      <c r="D2067" s="294"/>
      <c r="E2067" s="294"/>
      <c r="F2067" s="294"/>
      <c r="G2067" s="294"/>
      <c r="H2067" s="294"/>
      <c r="I2067" s="294"/>
      <c r="J2067" s="294"/>
      <c r="L2067" s="295"/>
      <c r="M2067" s="294"/>
      <c r="P2067" s="294"/>
      <c r="Q2067" s="294"/>
    </row>
    <row r="2068" spans="2:17" x14ac:dyDescent="0.25">
      <c r="B2068" s="294"/>
      <c r="C2068" s="294"/>
      <c r="D2068" s="294"/>
      <c r="E2068" s="294"/>
      <c r="F2068" s="294"/>
      <c r="G2068" s="294"/>
      <c r="H2068" s="294"/>
      <c r="I2068" s="294"/>
      <c r="J2068" s="294"/>
      <c r="L2068" s="295"/>
      <c r="M2068" s="294"/>
      <c r="P2068" s="294"/>
      <c r="Q2068" s="294"/>
    </row>
    <row r="2069" spans="2:17" x14ac:dyDescent="0.25">
      <c r="B2069" s="294"/>
      <c r="C2069" s="294"/>
      <c r="D2069" s="294"/>
      <c r="E2069" s="294"/>
      <c r="F2069" s="294"/>
      <c r="G2069" s="294"/>
      <c r="H2069" s="294"/>
      <c r="I2069" s="294"/>
      <c r="J2069" s="294"/>
      <c r="L2069" s="295"/>
      <c r="M2069" s="294"/>
      <c r="P2069" s="294"/>
      <c r="Q2069" s="294"/>
    </row>
    <row r="2070" spans="2:17" x14ac:dyDescent="0.25">
      <c r="B2070" s="294"/>
      <c r="C2070" s="294"/>
      <c r="D2070" s="294"/>
      <c r="E2070" s="294"/>
      <c r="F2070" s="294"/>
      <c r="G2070" s="294"/>
      <c r="H2070" s="294"/>
      <c r="I2070" s="294"/>
      <c r="J2070" s="294"/>
      <c r="L2070" s="295"/>
      <c r="M2070" s="294"/>
      <c r="P2070" s="294"/>
      <c r="Q2070" s="294"/>
    </row>
    <row r="2071" spans="2:17" x14ac:dyDescent="0.25">
      <c r="B2071" s="294"/>
      <c r="C2071" s="294"/>
      <c r="D2071" s="294"/>
      <c r="E2071" s="294"/>
      <c r="F2071" s="294"/>
      <c r="G2071" s="294"/>
      <c r="H2071" s="294"/>
      <c r="I2071" s="294"/>
      <c r="J2071" s="294"/>
      <c r="L2071" s="295"/>
      <c r="M2071" s="294"/>
      <c r="P2071" s="294"/>
      <c r="Q2071" s="294"/>
    </row>
    <row r="2072" spans="2:17" x14ac:dyDescent="0.25">
      <c r="B2072" s="294"/>
      <c r="C2072" s="294"/>
      <c r="D2072" s="294"/>
      <c r="E2072" s="294"/>
      <c r="F2072" s="294"/>
      <c r="G2072" s="294"/>
      <c r="H2072" s="294"/>
      <c r="I2072" s="294"/>
      <c r="J2072" s="294"/>
      <c r="L2072" s="295"/>
      <c r="M2072" s="294"/>
      <c r="P2072" s="294"/>
      <c r="Q2072" s="294"/>
    </row>
    <row r="2073" spans="2:17" x14ac:dyDescent="0.25">
      <c r="B2073" s="294"/>
      <c r="C2073" s="294"/>
      <c r="D2073" s="294"/>
      <c r="E2073" s="294"/>
      <c r="F2073" s="294"/>
      <c r="G2073" s="294"/>
      <c r="H2073" s="294"/>
      <c r="I2073" s="294"/>
      <c r="J2073" s="294"/>
      <c r="L2073" s="295"/>
      <c r="M2073" s="294"/>
      <c r="P2073" s="294"/>
      <c r="Q2073" s="294"/>
    </row>
    <row r="2074" spans="2:17" x14ac:dyDescent="0.25">
      <c r="B2074" s="294"/>
      <c r="C2074" s="294"/>
      <c r="D2074" s="294"/>
      <c r="E2074" s="294"/>
      <c r="F2074" s="294"/>
      <c r="G2074" s="294"/>
      <c r="H2074" s="294"/>
      <c r="I2074" s="294"/>
      <c r="J2074" s="294"/>
      <c r="L2074" s="295"/>
      <c r="M2074" s="294"/>
      <c r="P2074" s="294"/>
      <c r="Q2074" s="294"/>
    </row>
    <row r="2075" spans="2:17" x14ac:dyDescent="0.25">
      <c r="B2075" s="294"/>
      <c r="C2075" s="294"/>
      <c r="D2075" s="294"/>
      <c r="E2075" s="294"/>
      <c r="F2075" s="294"/>
      <c r="G2075" s="294"/>
      <c r="H2075" s="294"/>
      <c r="I2075" s="294"/>
      <c r="J2075" s="294"/>
      <c r="L2075" s="295"/>
      <c r="M2075" s="294"/>
      <c r="P2075" s="294"/>
      <c r="Q2075" s="294"/>
    </row>
    <row r="2076" spans="2:17" x14ac:dyDescent="0.25">
      <c r="B2076" s="294"/>
      <c r="C2076" s="294"/>
      <c r="D2076" s="294"/>
      <c r="E2076" s="294"/>
      <c r="F2076" s="294"/>
      <c r="G2076" s="294"/>
      <c r="H2076" s="294"/>
      <c r="I2076" s="294"/>
      <c r="J2076" s="294"/>
      <c r="L2076" s="295"/>
      <c r="M2076" s="294"/>
      <c r="P2076" s="294"/>
      <c r="Q2076" s="294"/>
    </row>
    <row r="2077" spans="2:17" x14ac:dyDescent="0.25">
      <c r="B2077" s="294"/>
      <c r="C2077" s="294"/>
      <c r="D2077" s="294"/>
      <c r="E2077" s="294"/>
      <c r="F2077" s="294"/>
      <c r="G2077" s="294"/>
      <c r="H2077" s="294"/>
      <c r="I2077" s="294"/>
      <c r="J2077" s="294"/>
      <c r="L2077" s="295"/>
      <c r="M2077" s="294"/>
      <c r="P2077" s="294"/>
      <c r="Q2077" s="294"/>
    </row>
    <row r="2078" spans="2:17" x14ac:dyDescent="0.25">
      <c r="B2078" s="294"/>
      <c r="C2078" s="294"/>
      <c r="D2078" s="294"/>
      <c r="E2078" s="294"/>
      <c r="F2078" s="294"/>
      <c r="G2078" s="294"/>
      <c r="H2078" s="294"/>
      <c r="I2078" s="294"/>
      <c r="J2078" s="294"/>
      <c r="L2078" s="295"/>
      <c r="M2078" s="294"/>
      <c r="P2078" s="294"/>
      <c r="Q2078" s="294"/>
    </row>
    <row r="2079" spans="2:17" x14ac:dyDescent="0.25">
      <c r="B2079" s="294"/>
      <c r="C2079" s="294"/>
      <c r="D2079" s="294"/>
      <c r="E2079" s="294"/>
      <c r="F2079" s="294"/>
      <c r="G2079" s="294"/>
      <c r="H2079" s="294"/>
      <c r="I2079" s="294"/>
      <c r="J2079" s="294"/>
      <c r="L2079" s="295"/>
      <c r="M2079" s="294"/>
      <c r="P2079" s="294"/>
      <c r="Q2079" s="294"/>
    </row>
    <row r="2080" spans="2:17" x14ac:dyDescent="0.25">
      <c r="B2080" s="294"/>
      <c r="C2080" s="294"/>
      <c r="D2080" s="294"/>
      <c r="E2080" s="294"/>
      <c r="F2080" s="294"/>
      <c r="G2080" s="294"/>
      <c r="H2080" s="294"/>
      <c r="I2080" s="294"/>
      <c r="J2080" s="294"/>
      <c r="L2080" s="295"/>
      <c r="M2080" s="294"/>
      <c r="P2080" s="294"/>
      <c r="Q2080" s="294"/>
    </row>
    <row r="2081" spans="2:17" x14ac:dyDescent="0.25">
      <c r="B2081" s="294"/>
      <c r="C2081" s="294"/>
      <c r="D2081" s="294"/>
      <c r="E2081" s="294"/>
      <c r="F2081" s="294"/>
      <c r="G2081" s="294"/>
      <c r="H2081" s="294"/>
      <c r="I2081" s="294"/>
      <c r="J2081" s="294"/>
      <c r="L2081" s="295"/>
      <c r="M2081" s="294"/>
      <c r="P2081" s="294"/>
      <c r="Q2081" s="294"/>
    </row>
    <row r="2082" spans="2:17" x14ac:dyDescent="0.25">
      <c r="B2082" s="294"/>
      <c r="C2082" s="294"/>
      <c r="D2082" s="294"/>
      <c r="E2082" s="294"/>
      <c r="F2082" s="294"/>
      <c r="G2082" s="294"/>
      <c r="H2082" s="294"/>
      <c r="I2082" s="294"/>
      <c r="J2082" s="294"/>
      <c r="L2082" s="295"/>
      <c r="M2082" s="294"/>
      <c r="P2082" s="294"/>
      <c r="Q2082" s="294"/>
    </row>
    <row r="2083" spans="2:17" x14ac:dyDescent="0.25">
      <c r="B2083" s="294"/>
      <c r="C2083" s="294"/>
      <c r="D2083" s="294"/>
      <c r="E2083" s="294"/>
      <c r="F2083" s="294"/>
      <c r="G2083" s="294"/>
      <c r="H2083" s="294"/>
      <c r="I2083" s="294"/>
      <c r="J2083" s="294"/>
      <c r="L2083" s="295"/>
      <c r="M2083" s="294"/>
      <c r="P2083" s="294"/>
      <c r="Q2083" s="294"/>
    </row>
    <row r="2084" spans="2:17" x14ac:dyDescent="0.25">
      <c r="B2084" s="294"/>
      <c r="C2084" s="294"/>
      <c r="D2084" s="294"/>
      <c r="E2084" s="294"/>
      <c r="F2084" s="294"/>
      <c r="G2084" s="294"/>
      <c r="H2084" s="294"/>
      <c r="I2084" s="294"/>
      <c r="J2084" s="294"/>
      <c r="L2084" s="295"/>
      <c r="M2084" s="294"/>
      <c r="P2084" s="294"/>
      <c r="Q2084" s="294"/>
    </row>
    <row r="2085" spans="2:17" x14ac:dyDescent="0.25">
      <c r="B2085" s="294"/>
      <c r="C2085" s="294"/>
      <c r="D2085" s="294"/>
      <c r="E2085" s="294"/>
      <c r="F2085" s="294"/>
      <c r="G2085" s="294"/>
      <c r="H2085" s="294"/>
      <c r="I2085" s="294"/>
      <c r="J2085" s="294"/>
      <c r="L2085" s="295"/>
      <c r="M2085" s="294"/>
      <c r="P2085" s="294"/>
      <c r="Q2085" s="294"/>
    </row>
    <row r="2086" spans="2:17" x14ac:dyDescent="0.25">
      <c r="B2086" s="294"/>
      <c r="C2086" s="294"/>
      <c r="D2086" s="294"/>
      <c r="E2086" s="294"/>
      <c r="F2086" s="294"/>
      <c r="G2086" s="294"/>
      <c r="H2086" s="294"/>
      <c r="I2086" s="294"/>
      <c r="J2086" s="294"/>
      <c r="L2086" s="295"/>
      <c r="M2086" s="294"/>
      <c r="P2086" s="294"/>
      <c r="Q2086" s="294"/>
    </row>
    <row r="2087" spans="2:17" x14ac:dyDescent="0.25">
      <c r="B2087" s="294"/>
      <c r="C2087" s="294"/>
      <c r="D2087" s="294"/>
      <c r="E2087" s="294"/>
      <c r="F2087" s="294"/>
      <c r="G2087" s="294"/>
      <c r="H2087" s="294"/>
      <c r="I2087" s="294"/>
      <c r="J2087" s="294"/>
      <c r="L2087" s="295"/>
      <c r="M2087" s="294"/>
      <c r="P2087" s="294"/>
      <c r="Q2087" s="294"/>
    </row>
    <row r="2088" spans="2:17" x14ac:dyDescent="0.25">
      <c r="B2088" s="294"/>
      <c r="C2088" s="294"/>
      <c r="D2088" s="294"/>
      <c r="E2088" s="294"/>
      <c r="F2088" s="294"/>
      <c r="G2088" s="294"/>
      <c r="H2088" s="294"/>
      <c r="I2088" s="294"/>
      <c r="J2088" s="294"/>
      <c r="L2088" s="295"/>
      <c r="M2088" s="294"/>
      <c r="P2088" s="294"/>
      <c r="Q2088" s="294"/>
    </row>
    <row r="2089" spans="2:17" x14ac:dyDescent="0.25">
      <c r="B2089" s="294"/>
      <c r="C2089" s="294"/>
      <c r="D2089" s="294"/>
      <c r="E2089" s="294"/>
      <c r="F2089" s="294"/>
      <c r="G2089" s="294"/>
      <c r="H2089" s="294"/>
      <c r="I2089" s="294"/>
      <c r="J2089" s="294"/>
      <c r="L2089" s="295"/>
      <c r="M2089" s="294"/>
      <c r="P2089" s="294"/>
      <c r="Q2089" s="294"/>
    </row>
    <row r="2090" spans="2:17" x14ac:dyDescent="0.25">
      <c r="B2090" s="294"/>
      <c r="C2090" s="294"/>
      <c r="D2090" s="294"/>
      <c r="E2090" s="294"/>
      <c r="F2090" s="294"/>
      <c r="G2090" s="294"/>
      <c r="H2090" s="294"/>
      <c r="I2090" s="294"/>
      <c r="J2090" s="294"/>
      <c r="L2090" s="295"/>
      <c r="M2090" s="294"/>
      <c r="P2090" s="294"/>
      <c r="Q2090" s="294"/>
    </row>
    <row r="2091" spans="2:17" x14ac:dyDescent="0.25">
      <c r="B2091" s="294"/>
      <c r="C2091" s="294"/>
      <c r="D2091" s="294"/>
      <c r="E2091" s="294"/>
      <c r="F2091" s="294"/>
      <c r="G2091" s="294"/>
      <c r="H2091" s="294"/>
      <c r="I2091" s="294"/>
      <c r="J2091" s="294"/>
      <c r="L2091" s="295"/>
      <c r="M2091" s="294"/>
      <c r="P2091" s="294"/>
      <c r="Q2091" s="294"/>
    </row>
    <row r="2092" spans="2:17" x14ac:dyDescent="0.25">
      <c r="B2092" s="294"/>
      <c r="C2092" s="294"/>
      <c r="D2092" s="294"/>
      <c r="E2092" s="294"/>
      <c r="F2092" s="294"/>
      <c r="G2092" s="294"/>
      <c r="H2092" s="294"/>
      <c r="I2092" s="294"/>
      <c r="J2092" s="294"/>
      <c r="L2092" s="295"/>
      <c r="M2092" s="294"/>
      <c r="P2092" s="294"/>
      <c r="Q2092" s="294"/>
    </row>
    <row r="2093" spans="2:17" x14ac:dyDescent="0.25">
      <c r="B2093" s="294"/>
      <c r="C2093" s="294"/>
      <c r="D2093" s="294"/>
      <c r="E2093" s="294"/>
      <c r="F2093" s="294"/>
      <c r="G2093" s="294"/>
      <c r="H2093" s="294"/>
      <c r="I2093" s="294"/>
      <c r="J2093" s="294"/>
      <c r="L2093" s="295"/>
      <c r="M2093" s="294"/>
      <c r="P2093" s="294"/>
      <c r="Q2093" s="294"/>
    </row>
    <row r="2094" spans="2:17" x14ac:dyDescent="0.25">
      <c r="B2094" s="294"/>
      <c r="C2094" s="294"/>
      <c r="D2094" s="294"/>
      <c r="E2094" s="294"/>
      <c r="F2094" s="294"/>
      <c r="G2094" s="294"/>
      <c r="H2094" s="294"/>
      <c r="I2094" s="294"/>
      <c r="J2094" s="294"/>
      <c r="L2094" s="295"/>
      <c r="M2094" s="294"/>
      <c r="P2094" s="294"/>
      <c r="Q2094" s="294"/>
    </row>
    <row r="2095" spans="2:17" x14ac:dyDescent="0.25">
      <c r="B2095" s="294"/>
      <c r="C2095" s="294"/>
      <c r="D2095" s="294"/>
      <c r="E2095" s="294"/>
      <c r="F2095" s="294"/>
      <c r="G2095" s="294"/>
      <c r="H2095" s="294"/>
      <c r="I2095" s="294"/>
      <c r="J2095" s="294"/>
      <c r="L2095" s="295"/>
      <c r="M2095" s="294"/>
      <c r="P2095" s="294"/>
      <c r="Q2095" s="294"/>
    </row>
    <row r="2096" spans="2:17" x14ac:dyDescent="0.25">
      <c r="B2096" s="294"/>
      <c r="C2096" s="294"/>
      <c r="D2096" s="294"/>
      <c r="E2096" s="294"/>
      <c r="F2096" s="294"/>
      <c r="G2096" s="294"/>
      <c r="H2096" s="294"/>
      <c r="I2096" s="294"/>
      <c r="J2096" s="294"/>
      <c r="L2096" s="295"/>
      <c r="M2096" s="294"/>
      <c r="P2096" s="294"/>
      <c r="Q2096" s="294"/>
    </row>
    <row r="2097" spans="2:17" x14ac:dyDescent="0.25">
      <c r="B2097" s="294"/>
      <c r="C2097" s="294"/>
      <c r="D2097" s="294"/>
      <c r="E2097" s="294"/>
      <c r="F2097" s="294"/>
      <c r="G2097" s="294"/>
      <c r="H2097" s="294"/>
      <c r="I2097" s="294"/>
      <c r="J2097" s="294"/>
      <c r="L2097" s="295"/>
      <c r="M2097" s="294"/>
      <c r="P2097" s="294"/>
      <c r="Q2097" s="294"/>
    </row>
    <row r="2098" spans="2:17" x14ac:dyDescent="0.25">
      <c r="B2098" s="294"/>
      <c r="C2098" s="294"/>
      <c r="D2098" s="294"/>
      <c r="E2098" s="294"/>
      <c r="F2098" s="294"/>
      <c r="G2098" s="294"/>
      <c r="H2098" s="294"/>
      <c r="I2098" s="294"/>
      <c r="J2098" s="294"/>
      <c r="L2098" s="295"/>
      <c r="M2098" s="294"/>
      <c r="P2098" s="294"/>
      <c r="Q2098" s="294"/>
    </row>
    <row r="2099" spans="2:17" x14ac:dyDescent="0.25">
      <c r="B2099" s="294"/>
      <c r="C2099" s="294"/>
      <c r="D2099" s="294"/>
      <c r="E2099" s="294"/>
      <c r="F2099" s="294"/>
      <c r="G2099" s="294"/>
      <c r="H2099" s="294"/>
      <c r="I2099" s="294"/>
      <c r="J2099" s="294"/>
      <c r="L2099" s="295"/>
      <c r="M2099" s="294"/>
      <c r="P2099" s="294"/>
      <c r="Q2099" s="294"/>
    </row>
    <row r="2100" spans="2:17" x14ac:dyDescent="0.25">
      <c r="B2100" s="294"/>
      <c r="C2100" s="294"/>
      <c r="D2100" s="294"/>
      <c r="E2100" s="294"/>
      <c r="F2100" s="294"/>
      <c r="G2100" s="294"/>
      <c r="H2100" s="294"/>
      <c r="I2100" s="294"/>
      <c r="J2100" s="294"/>
      <c r="L2100" s="295"/>
      <c r="M2100" s="294"/>
      <c r="P2100" s="294"/>
      <c r="Q2100" s="294"/>
    </row>
    <row r="2101" spans="2:17" x14ac:dyDescent="0.25">
      <c r="B2101" s="294"/>
      <c r="C2101" s="294"/>
      <c r="D2101" s="294"/>
      <c r="E2101" s="294"/>
      <c r="F2101" s="294"/>
      <c r="G2101" s="294"/>
      <c r="H2101" s="294"/>
      <c r="I2101" s="294"/>
      <c r="J2101" s="294"/>
      <c r="L2101" s="295"/>
      <c r="M2101" s="294"/>
      <c r="P2101" s="294"/>
      <c r="Q2101" s="294"/>
    </row>
    <row r="2102" spans="2:17" x14ac:dyDescent="0.25">
      <c r="B2102" s="294"/>
      <c r="C2102" s="294"/>
      <c r="D2102" s="294"/>
      <c r="E2102" s="294"/>
      <c r="F2102" s="294"/>
      <c r="G2102" s="294"/>
      <c r="H2102" s="294"/>
      <c r="I2102" s="294"/>
      <c r="J2102" s="294"/>
      <c r="L2102" s="295"/>
      <c r="M2102" s="294"/>
      <c r="P2102" s="294"/>
      <c r="Q2102" s="294"/>
    </row>
    <row r="2103" spans="2:17" x14ac:dyDescent="0.25">
      <c r="B2103" s="294"/>
      <c r="C2103" s="294"/>
      <c r="D2103" s="294"/>
      <c r="E2103" s="294"/>
      <c r="F2103" s="294"/>
      <c r="G2103" s="294"/>
      <c r="H2103" s="294"/>
      <c r="I2103" s="294"/>
      <c r="J2103" s="294"/>
      <c r="L2103" s="295"/>
      <c r="M2103" s="294"/>
      <c r="P2103" s="294"/>
      <c r="Q2103" s="294"/>
    </row>
    <row r="2104" spans="2:17" x14ac:dyDescent="0.25">
      <c r="B2104" s="294"/>
      <c r="C2104" s="294"/>
      <c r="D2104" s="294"/>
      <c r="E2104" s="294"/>
      <c r="F2104" s="294"/>
      <c r="G2104" s="294"/>
      <c r="H2104" s="294"/>
      <c r="I2104" s="294"/>
      <c r="J2104" s="294"/>
      <c r="L2104" s="295"/>
      <c r="M2104" s="294"/>
      <c r="P2104" s="294"/>
      <c r="Q2104" s="294"/>
    </row>
    <row r="2105" spans="2:17" x14ac:dyDescent="0.25">
      <c r="B2105" s="294"/>
      <c r="C2105" s="294"/>
      <c r="D2105" s="294"/>
      <c r="E2105" s="294"/>
      <c r="F2105" s="294"/>
      <c r="G2105" s="294"/>
      <c r="H2105" s="294"/>
      <c r="I2105" s="294"/>
      <c r="J2105" s="294"/>
      <c r="L2105" s="295"/>
      <c r="M2105" s="294"/>
      <c r="P2105" s="294"/>
      <c r="Q2105" s="294"/>
    </row>
    <row r="2106" spans="2:17" x14ac:dyDescent="0.25">
      <c r="B2106" s="294"/>
      <c r="C2106" s="294"/>
      <c r="D2106" s="294"/>
      <c r="E2106" s="294"/>
      <c r="F2106" s="294"/>
      <c r="G2106" s="294"/>
      <c r="H2106" s="294"/>
      <c r="I2106" s="294"/>
      <c r="J2106" s="294"/>
      <c r="L2106" s="295"/>
      <c r="M2106" s="294"/>
      <c r="P2106" s="294"/>
      <c r="Q2106" s="294"/>
    </row>
    <row r="2107" spans="2:17" x14ac:dyDescent="0.25">
      <c r="B2107" s="294"/>
      <c r="C2107" s="294"/>
      <c r="D2107" s="294"/>
      <c r="E2107" s="294"/>
      <c r="F2107" s="294"/>
      <c r="G2107" s="294"/>
      <c r="H2107" s="294"/>
      <c r="I2107" s="294"/>
      <c r="J2107" s="294"/>
      <c r="L2107" s="295"/>
      <c r="M2107" s="294"/>
      <c r="P2107" s="294"/>
      <c r="Q2107" s="294"/>
    </row>
    <row r="2108" spans="2:17" x14ac:dyDescent="0.25">
      <c r="B2108" s="294"/>
      <c r="C2108" s="294"/>
      <c r="D2108" s="294"/>
      <c r="E2108" s="294"/>
      <c r="F2108" s="294"/>
      <c r="G2108" s="294"/>
      <c r="H2108" s="294"/>
      <c r="I2108" s="294"/>
      <c r="J2108" s="294"/>
      <c r="L2108" s="295"/>
      <c r="M2108" s="294"/>
      <c r="P2108" s="294"/>
      <c r="Q2108" s="294"/>
    </row>
    <row r="2109" spans="2:17" x14ac:dyDescent="0.25">
      <c r="B2109" s="294"/>
      <c r="C2109" s="294"/>
      <c r="D2109" s="294"/>
      <c r="E2109" s="294"/>
      <c r="F2109" s="294"/>
      <c r="G2109" s="294"/>
      <c r="H2109" s="294"/>
      <c r="I2109" s="294"/>
      <c r="J2109" s="294"/>
      <c r="L2109" s="295"/>
      <c r="M2109" s="294"/>
      <c r="P2109" s="294"/>
      <c r="Q2109" s="294"/>
    </row>
    <row r="2110" spans="2:17" x14ac:dyDescent="0.25">
      <c r="B2110" s="294"/>
      <c r="C2110" s="294"/>
      <c r="D2110" s="294"/>
      <c r="E2110" s="294"/>
      <c r="F2110" s="294"/>
      <c r="G2110" s="294"/>
      <c r="H2110" s="294"/>
      <c r="I2110" s="294"/>
      <c r="J2110" s="294"/>
      <c r="L2110" s="295"/>
      <c r="M2110" s="294"/>
      <c r="P2110" s="294"/>
      <c r="Q2110" s="294"/>
    </row>
    <row r="2111" spans="2:17" x14ac:dyDescent="0.25">
      <c r="B2111" s="294"/>
      <c r="C2111" s="294"/>
      <c r="D2111" s="294"/>
      <c r="E2111" s="294"/>
      <c r="F2111" s="294"/>
      <c r="G2111" s="294"/>
      <c r="H2111" s="294"/>
      <c r="I2111" s="294"/>
      <c r="J2111" s="294"/>
      <c r="L2111" s="295"/>
      <c r="M2111" s="294"/>
      <c r="P2111" s="294"/>
      <c r="Q2111" s="294"/>
    </row>
    <row r="2112" spans="2:17" x14ac:dyDescent="0.25">
      <c r="B2112" s="294"/>
      <c r="C2112" s="294"/>
      <c r="D2112" s="294"/>
      <c r="E2112" s="294"/>
      <c r="F2112" s="294"/>
      <c r="G2112" s="294"/>
      <c r="H2112" s="294"/>
      <c r="I2112" s="294"/>
      <c r="J2112" s="294"/>
      <c r="L2112" s="295"/>
      <c r="M2112" s="294"/>
      <c r="P2112" s="294"/>
      <c r="Q2112" s="294"/>
    </row>
    <row r="2113" spans="2:17" x14ac:dyDescent="0.25">
      <c r="B2113" s="294"/>
      <c r="C2113" s="294"/>
      <c r="D2113" s="294"/>
      <c r="E2113" s="294"/>
      <c r="F2113" s="294"/>
      <c r="G2113" s="294"/>
      <c r="H2113" s="294"/>
      <c r="I2113" s="294"/>
      <c r="J2113" s="294"/>
      <c r="L2113" s="295"/>
      <c r="M2113" s="294"/>
      <c r="P2113" s="294"/>
      <c r="Q2113" s="294"/>
    </row>
    <row r="2114" spans="2:17" x14ac:dyDescent="0.25">
      <c r="B2114" s="294"/>
      <c r="C2114" s="294"/>
      <c r="D2114" s="294"/>
      <c r="E2114" s="294"/>
      <c r="F2114" s="294"/>
      <c r="G2114" s="294"/>
      <c r="H2114" s="294"/>
      <c r="I2114" s="294"/>
      <c r="J2114" s="294"/>
      <c r="L2114" s="295"/>
      <c r="M2114" s="294"/>
      <c r="P2114" s="294"/>
      <c r="Q2114" s="294"/>
    </row>
    <row r="2115" spans="2:17" x14ac:dyDescent="0.25">
      <c r="B2115" s="294"/>
      <c r="C2115" s="294"/>
      <c r="D2115" s="294"/>
      <c r="E2115" s="294"/>
      <c r="F2115" s="294"/>
      <c r="G2115" s="294"/>
      <c r="H2115" s="294"/>
      <c r="I2115" s="294"/>
      <c r="J2115" s="294"/>
      <c r="L2115" s="295"/>
      <c r="M2115" s="294"/>
      <c r="P2115" s="294"/>
      <c r="Q2115" s="294"/>
    </row>
    <row r="2116" spans="2:17" x14ac:dyDescent="0.25">
      <c r="B2116" s="294"/>
      <c r="C2116" s="294"/>
      <c r="D2116" s="294"/>
      <c r="E2116" s="294"/>
      <c r="F2116" s="294"/>
      <c r="G2116" s="294"/>
      <c r="H2116" s="294"/>
      <c r="I2116" s="294"/>
      <c r="J2116" s="294"/>
      <c r="L2116" s="295"/>
      <c r="M2116" s="294"/>
      <c r="P2116" s="294"/>
      <c r="Q2116" s="294"/>
    </row>
    <row r="2117" spans="2:17" x14ac:dyDescent="0.25">
      <c r="B2117" s="294"/>
      <c r="C2117" s="294"/>
      <c r="D2117" s="294"/>
      <c r="E2117" s="294"/>
      <c r="F2117" s="294"/>
      <c r="G2117" s="294"/>
      <c r="H2117" s="294"/>
      <c r="I2117" s="294"/>
      <c r="J2117" s="294"/>
      <c r="L2117" s="295"/>
      <c r="M2117" s="294"/>
      <c r="P2117" s="294"/>
      <c r="Q2117" s="294"/>
    </row>
    <row r="2118" spans="2:17" x14ac:dyDescent="0.25">
      <c r="B2118" s="294"/>
      <c r="C2118" s="294"/>
      <c r="D2118" s="294"/>
      <c r="E2118" s="294"/>
      <c r="F2118" s="294"/>
      <c r="G2118" s="294"/>
      <c r="H2118" s="294"/>
      <c r="I2118" s="294"/>
      <c r="J2118" s="294"/>
      <c r="L2118" s="295"/>
      <c r="M2118" s="294"/>
      <c r="P2118" s="294"/>
      <c r="Q2118" s="294"/>
    </row>
    <row r="2119" spans="2:17" x14ac:dyDescent="0.25">
      <c r="B2119" s="294"/>
      <c r="C2119" s="294"/>
      <c r="D2119" s="294"/>
      <c r="E2119" s="294"/>
      <c r="F2119" s="294"/>
      <c r="G2119" s="294"/>
      <c r="H2119" s="294"/>
      <c r="I2119" s="294"/>
      <c r="J2119" s="294"/>
      <c r="L2119" s="295"/>
      <c r="M2119" s="294"/>
      <c r="P2119" s="294"/>
      <c r="Q2119" s="294"/>
    </row>
    <row r="2120" spans="2:17" x14ac:dyDescent="0.25">
      <c r="B2120" s="294"/>
      <c r="C2120" s="294"/>
      <c r="D2120" s="294"/>
      <c r="E2120" s="294"/>
      <c r="F2120" s="294"/>
      <c r="G2120" s="294"/>
      <c r="H2120" s="294"/>
      <c r="I2120" s="294"/>
      <c r="J2120" s="294"/>
      <c r="L2120" s="295"/>
      <c r="M2120" s="294"/>
      <c r="P2120" s="294"/>
      <c r="Q2120" s="294"/>
    </row>
    <row r="2121" spans="2:17" x14ac:dyDescent="0.25">
      <c r="B2121" s="294"/>
      <c r="C2121" s="294"/>
      <c r="D2121" s="294"/>
      <c r="E2121" s="294"/>
      <c r="F2121" s="294"/>
      <c r="G2121" s="294"/>
      <c r="H2121" s="294"/>
      <c r="I2121" s="294"/>
      <c r="J2121" s="294"/>
      <c r="L2121" s="295"/>
      <c r="M2121" s="294"/>
      <c r="P2121" s="294"/>
      <c r="Q2121" s="294"/>
    </row>
    <row r="2122" spans="2:17" x14ac:dyDescent="0.25">
      <c r="B2122" s="294"/>
      <c r="C2122" s="294"/>
      <c r="D2122" s="294"/>
      <c r="E2122" s="294"/>
      <c r="F2122" s="294"/>
      <c r="G2122" s="294"/>
      <c r="H2122" s="294"/>
      <c r="I2122" s="294"/>
      <c r="J2122" s="294"/>
      <c r="L2122" s="295"/>
      <c r="M2122" s="294"/>
      <c r="P2122" s="294"/>
      <c r="Q2122" s="294"/>
    </row>
    <row r="2123" spans="2:17" x14ac:dyDescent="0.25">
      <c r="B2123" s="294"/>
      <c r="C2123" s="294"/>
      <c r="D2123" s="294"/>
      <c r="E2123" s="294"/>
      <c r="F2123" s="294"/>
      <c r="G2123" s="294"/>
      <c r="H2123" s="294"/>
      <c r="I2123" s="294"/>
      <c r="J2123" s="294"/>
      <c r="L2123" s="295"/>
      <c r="M2123" s="294"/>
      <c r="P2123" s="294"/>
      <c r="Q2123" s="294"/>
    </row>
    <row r="2124" spans="2:17" x14ac:dyDescent="0.25">
      <c r="B2124" s="294"/>
      <c r="C2124" s="294"/>
      <c r="D2124" s="294"/>
      <c r="E2124" s="294"/>
      <c r="F2124" s="294"/>
      <c r="G2124" s="294"/>
      <c r="H2124" s="294"/>
      <c r="I2124" s="294"/>
      <c r="J2124" s="294"/>
      <c r="L2124" s="295"/>
      <c r="M2124" s="294"/>
      <c r="P2124" s="294"/>
      <c r="Q2124" s="294"/>
    </row>
    <row r="2125" spans="2:17" x14ac:dyDescent="0.25">
      <c r="B2125" s="294"/>
      <c r="C2125" s="294"/>
      <c r="D2125" s="294"/>
      <c r="E2125" s="294"/>
      <c r="F2125" s="294"/>
      <c r="G2125" s="294"/>
      <c r="H2125" s="294"/>
      <c r="I2125" s="294"/>
      <c r="J2125" s="294"/>
      <c r="L2125" s="295"/>
      <c r="M2125" s="294"/>
      <c r="P2125" s="294"/>
      <c r="Q2125" s="294"/>
    </row>
    <row r="2126" spans="2:17" x14ac:dyDescent="0.25">
      <c r="B2126" s="294"/>
      <c r="C2126" s="294"/>
      <c r="D2126" s="294"/>
      <c r="E2126" s="294"/>
      <c r="F2126" s="294"/>
      <c r="G2126" s="294"/>
      <c r="H2126" s="294"/>
      <c r="I2126" s="294"/>
      <c r="J2126" s="294"/>
      <c r="L2126" s="295"/>
      <c r="M2126" s="294"/>
      <c r="P2126" s="294"/>
      <c r="Q2126" s="294"/>
    </row>
    <row r="2127" spans="2:17" x14ac:dyDescent="0.25">
      <c r="B2127" s="294"/>
      <c r="C2127" s="294"/>
      <c r="D2127" s="294"/>
      <c r="E2127" s="294"/>
      <c r="F2127" s="294"/>
      <c r="G2127" s="294"/>
      <c r="H2127" s="294"/>
      <c r="I2127" s="294"/>
      <c r="J2127" s="294"/>
      <c r="L2127" s="295"/>
      <c r="M2127" s="294"/>
      <c r="P2127" s="294"/>
      <c r="Q2127" s="294"/>
    </row>
    <row r="2128" spans="2:17" x14ac:dyDescent="0.25">
      <c r="B2128" s="294"/>
      <c r="C2128" s="294"/>
      <c r="D2128" s="294"/>
      <c r="E2128" s="294"/>
      <c r="F2128" s="294"/>
      <c r="G2128" s="294"/>
      <c r="H2128" s="294"/>
      <c r="I2128" s="294"/>
      <c r="J2128" s="294"/>
      <c r="L2128" s="295"/>
      <c r="M2128" s="294"/>
      <c r="P2128" s="294"/>
      <c r="Q2128" s="294"/>
    </row>
    <row r="2129" spans="2:17" x14ac:dyDescent="0.25">
      <c r="B2129" s="294"/>
      <c r="C2129" s="294"/>
      <c r="D2129" s="294"/>
      <c r="E2129" s="294"/>
      <c r="F2129" s="294"/>
      <c r="G2129" s="294"/>
      <c r="H2129" s="294"/>
      <c r="I2129" s="294"/>
      <c r="J2129" s="294"/>
      <c r="L2129" s="295"/>
      <c r="M2129" s="294"/>
      <c r="P2129" s="294"/>
      <c r="Q2129" s="294"/>
    </row>
    <row r="2130" spans="2:17" x14ac:dyDescent="0.25">
      <c r="B2130" s="294"/>
      <c r="C2130" s="294"/>
      <c r="D2130" s="294"/>
      <c r="E2130" s="294"/>
      <c r="F2130" s="294"/>
      <c r="G2130" s="294"/>
      <c r="H2130" s="294"/>
      <c r="I2130" s="294"/>
      <c r="J2130" s="294"/>
      <c r="L2130" s="295"/>
      <c r="M2130" s="294"/>
      <c r="P2130" s="294"/>
      <c r="Q2130" s="294"/>
    </row>
    <row r="2131" spans="2:17" x14ac:dyDescent="0.25">
      <c r="B2131" s="294"/>
      <c r="C2131" s="294"/>
      <c r="D2131" s="294"/>
      <c r="E2131" s="294"/>
      <c r="F2131" s="294"/>
      <c r="G2131" s="294"/>
      <c r="H2131" s="294"/>
      <c r="I2131" s="294"/>
      <c r="J2131" s="294"/>
      <c r="L2131" s="295"/>
      <c r="M2131" s="294"/>
      <c r="P2131" s="294"/>
      <c r="Q2131" s="294"/>
    </row>
    <row r="2132" spans="2:17" x14ac:dyDescent="0.25">
      <c r="B2132" s="294"/>
      <c r="C2132" s="294"/>
      <c r="D2132" s="294"/>
      <c r="E2132" s="294"/>
      <c r="F2132" s="294"/>
      <c r="G2132" s="294"/>
      <c r="H2132" s="294"/>
      <c r="I2132" s="294"/>
      <c r="J2132" s="294"/>
      <c r="L2132" s="295"/>
      <c r="M2132" s="294"/>
      <c r="P2132" s="294"/>
      <c r="Q2132" s="294"/>
    </row>
    <row r="2133" spans="2:17" x14ac:dyDescent="0.25">
      <c r="B2133" s="294"/>
      <c r="C2133" s="294"/>
      <c r="D2133" s="294"/>
      <c r="E2133" s="294"/>
      <c r="F2133" s="294"/>
      <c r="G2133" s="294"/>
      <c r="H2133" s="294"/>
      <c r="I2133" s="294"/>
      <c r="J2133" s="294"/>
      <c r="L2133" s="295"/>
      <c r="M2133" s="294"/>
      <c r="P2133" s="294"/>
      <c r="Q2133" s="294"/>
    </row>
    <row r="2134" spans="2:17" x14ac:dyDescent="0.25">
      <c r="B2134" s="294"/>
      <c r="C2134" s="294"/>
      <c r="D2134" s="294"/>
      <c r="E2134" s="294"/>
      <c r="F2134" s="294"/>
      <c r="G2134" s="294"/>
      <c r="H2134" s="294"/>
      <c r="I2134" s="294"/>
      <c r="J2134" s="294"/>
      <c r="L2134" s="295"/>
      <c r="M2134" s="294"/>
      <c r="P2134" s="294"/>
      <c r="Q2134" s="294"/>
    </row>
    <row r="2135" spans="2:17" x14ac:dyDescent="0.25">
      <c r="B2135" s="294"/>
      <c r="C2135" s="294"/>
      <c r="D2135" s="294"/>
      <c r="E2135" s="294"/>
      <c r="F2135" s="294"/>
      <c r="G2135" s="294"/>
      <c r="H2135" s="294"/>
      <c r="I2135" s="294"/>
      <c r="J2135" s="294"/>
      <c r="L2135" s="295"/>
      <c r="M2135" s="294"/>
      <c r="P2135" s="294"/>
      <c r="Q2135" s="294"/>
    </row>
    <row r="2136" spans="2:17" x14ac:dyDescent="0.25">
      <c r="B2136" s="294"/>
      <c r="C2136" s="294"/>
      <c r="D2136" s="294"/>
      <c r="E2136" s="294"/>
      <c r="F2136" s="294"/>
      <c r="G2136" s="294"/>
      <c r="H2136" s="294"/>
      <c r="I2136" s="294"/>
      <c r="J2136" s="294"/>
      <c r="L2136" s="295"/>
      <c r="M2136" s="294"/>
      <c r="P2136" s="294"/>
      <c r="Q2136" s="294"/>
    </row>
    <row r="2137" spans="2:17" x14ac:dyDescent="0.25">
      <c r="B2137" s="294"/>
      <c r="C2137" s="294"/>
      <c r="D2137" s="294"/>
      <c r="E2137" s="294"/>
      <c r="F2137" s="294"/>
      <c r="G2137" s="294"/>
      <c r="H2137" s="294"/>
      <c r="I2137" s="294"/>
      <c r="J2137" s="294"/>
      <c r="L2137" s="295"/>
      <c r="M2137" s="294"/>
      <c r="P2137" s="294"/>
      <c r="Q2137" s="294"/>
    </row>
    <row r="2138" spans="2:17" x14ac:dyDescent="0.25">
      <c r="B2138" s="294"/>
      <c r="C2138" s="294"/>
      <c r="D2138" s="294"/>
      <c r="E2138" s="294"/>
      <c r="F2138" s="294"/>
      <c r="G2138" s="294"/>
      <c r="H2138" s="294"/>
      <c r="I2138" s="294"/>
      <c r="J2138" s="294"/>
      <c r="L2138" s="295"/>
      <c r="M2138" s="294"/>
      <c r="P2138" s="294"/>
      <c r="Q2138" s="294"/>
    </row>
    <row r="2139" spans="2:17" x14ac:dyDescent="0.25">
      <c r="B2139" s="294"/>
      <c r="C2139" s="294"/>
      <c r="D2139" s="294"/>
      <c r="E2139" s="294"/>
      <c r="F2139" s="294"/>
      <c r="G2139" s="294"/>
      <c r="H2139" s="294"/>
      <c r="I2139" s="294"/>
      <c r="J2139" s="294"/>
      <c r="L2139" s="295"/>
      <c r="M2139" s="294"/>
      <c r="P2139" s="294"/>
      <c r="Q2139" s="294"/>
    </row>
    <row r="2140" spans="2:17" x14ac:dyDescent="0.25">
      <c r="B2140" s="294"/>
      <c r="C2140" s="294"/>
      <c r="D2140" s="294"/>
      <c r="E2140" s="294"/>
      <c r="F2140" s="294"/>
      <c r="G2140" s="294"/>
      <c r="H2140" s="294"/>
      <c r="I2140" s="294"/>
      <c r="J2140" s="294"/>
      <c r="L2140" s="295"/>
      <c r="M2140" s="294"/>
      <c r="P2140" s="294"/>
      <c r="Q2140" s="294"/>
    </row>
    <row r="2141" spans="2:17" x14ac:dyDescent="0.25">
      <c r="B2141" s="294"/>
      <c r="C2141" s="294"/>
      <c r="D2141" s="294"/>
      <c r="E2141" s="294"/>
      <c r="F2141" s="294"/>
      <c r="G2141" s="294"/>
      <c r="H2141" s="294"/>
      <c r="I2141" s="294"/>
      <c r="J2141" s="294"/>
      <c r="L2141" s="295"/>
      <c r="M2141" s="294"/>
      <c r="P2141" s="294"/>
      <c r="Q2141" s="294"/>
    </row>
    <row r="2142" spans="2:17" x14ac:dyDescent="0.25">
      <c r="B2142" s="294"/>
      <c r="C2142" s="294"/>
      <c r="D2142" s="294"/>
      <c r="E2142" s="294"/>
      <c r="F2142" s="294"/>
      <c r="G2142" s="294"/>
      <c r="H2142" s="294"/>
      <c r="I2142" s="294"/>
      <c r="J2142" s="294"/>
      <c r="L2142" s="295"/>
      <c r="M2142" s="294"/>
      <c r="P2142" s="294"/>
      <c r="Q2142" s="294"/>
    </row>
    <row r="2143" spans="2:17" x14ac:dyDescent="0.25">
      <c r="B2143" s="294"/>
      <c r="C2143" s="294"/>
      <c r="D2143" s="294"/>
      <c r="E2143" s="294"/>
      <c r="F2143" s="294"/>
      <c r="G2143" s="294"/>
      <c r="H2143" s="294"/>
      <c r="I2143" s="294"/>
      <c r="J2143" s="294"/>
      <c r="L2143" s="295"/>
      <c r="M2143" s="294"/>
      <c r="P2143" s="294"/>
      <c r="Q2143" s="294"/>
    </row>
    <row r="2144" spans="2:17" x14ac:dyDescent="0.25">
      <c r="B2144" s="294"/>
      <c r="C2144" s="294"/>
      <c r="D2144" s="294"/>
      <c r="E2144" s="294"/>
      <c r="F2144" s="294"/>
      <c r="G2144" s="294"/>
      <c r="H2144" s="294"/>
      <c r="I2144" s="294"/>
      <c r="J2144" s="294"/>
      <c r="L2144" s="295"/>
      <c r="M2144" s="294"/>
      <c r="P2144" s="294"/>
      <c r="Q2144" s="294"/>
    </row>
    <row r="2145" spans="2:17" x14ac:dyDescent="0.25">
      <c r="B2145" s="294"/>
      <c r="C2145" s="294"/>
      <c r="D2145" s="294"/>
      <c r="E2145" s="294"/>
      <c r="F2145" s="294"/>
      <c r="G2145" s="294"/>
      <c r="H2145" s="294"/>
      <c r="I2145" s="294"/>
      <c r="J2145" s="294"/>
      <c r="L2145" s="295"/>
      <c r="M2145" s="294"/>
      <c r="P2145" s="294"/>
      <c r="Q2145" s="294"/>
    </row>
    <row r="2146" spans="2:17" x14ac:dyDescent="0.25">
      <c r="B2146" s="294"/>
      <c r="C2146" s="294"/>
      <c r="D2146" s="294"/>
      <c r="E2146" s="294"/>
      <c r="F2146" s="294"/>
      <c r="G2146" s="294"/>
      <c r="H2146" s="294"/>
      <c r="I2146" s="294"/>
      <c r="J2146" s="294"/>
      <c r="L2146" s="295"/>
      <c r="M2146" s="294"/>
      <c r="P2146" s="294"/>
      <c r="Q2146" s="294"/>
    </row>
    <row r="2147" spans="2:17" x14ac:dyDescent="0.25">
      <c r="B2147" s="294"/>
      <c r="C2147" s="294"/>
      <c r="D2147" s="294"/>
      <c r="E2147" s="294"/>
      <c r="F2147" s="294"/>
      <c r="G2147" s="294"/>
      <c r="H2147" s="294"/>
      <c r="I2147" s="294"/>
      <c r="J2147" s="294"/>
      <c r="L2147" s="295"/>
      <c r="M2147" s="294"/>
      <c r="P2147" s="294"/>
      <c r="Q2147" s="294"/>
    </row>
    <row r="2148" spans="2:17" x14ac:dyDescent="0.25">
      <c r="B2148" s="294"/>
      <c r="C2148" s="294"/>
      <c r="D2148" s="294"/>
      <c r="E2148" s="294"/>
      <c r="F2148" s="294"/>
      <c r="G2148" s="294"/>
      <c r="H2148" s="294"/>
      <c r="I2148" s="294"/>
      <c r="J2148" s="294"/>
      <c r="L2148" s="295"/>
      <c r="M2148" s="294"/>
      <c r="P2148" s="294"/>
      <c r="Q2148" s="294"/>
    </row>
    <row r="2149" spans="2:17" x14ac:dyDescent="0.25">
      <c r="B2149" s="294"/>
      <c r="C2149" s="294"/>
      <c r="D2149" s="294"/>
      <c r="E2149" s="294"/>
      <c r="F2149" s="294"/>
      <c r="G2149" s="294"/>
      <c r="H2149" s="294"/>
      <c r="I2149" s="294"/>
      <c r="J2149" s="294"/>
      <c r="L2149" s="295"/>
      <c r="M2149" s="294"/>
      <c r="P2149" s="294"/>
      <c r="Q2149" s="294"/>
    </row>
    <row r="2150" spans="2:17" x14ac:dyDescent="0.25">
      <c r="B2150" s="294"/>
      <c r="C2150" s="294"/>
      <c r="D2150" s="294"/>
      <c r="E2150" s="294"/>
      <c r="F2150" s="294"/>
      <c r="G2150" s="294"/>
      <c r="H2150" s="294"/>
      <c r="I2150" s="294"/>
      <c r="J2150" s="294"/>
      <c r="L2150" s="295"/>
      <c r="M2150" s="294"/>
      <c r="P2150" s="294"/>
      <c r="Q2150" s="294"/>
    </row>
    <row r="2151" spans="2:17" x14ac:dyDescent="0.25">
      <c r="B2151" s="294"/>
      <c r="C2151" s="294"/>
      <c r="D2151" s="294"/>
      <c r="E2151" s="294"/>
      <c r="F2151" s="294"/>
      <c r="G2151" s="294"/>
      <c r="H2151" s="294"/>
      <c r="I2151" s="294"/>
      <c r="J2151" s="294"/>
      <c r="L2151" s="295"/>
      <c r="M2151" s="294"/>
      <c r="P2151" s="294"/>
      <c r="Q2151" s="294"/>
    </row>
    <row r="2152" spans="2:17" x14ac:dyDescent="0.25">
      <c r="B2152" s="294"/>
      <c r="C2152" s="294"/>
      <c r="D2152" s="294"/>
      <c r="E2152" s="294"/>
      <c r="F2152" s="294"/>
      <c r="G2152" s="294"/>
      <c r="H2152" s="294"/>
      <c r="I2152" s="294"/>
      <c r="J2152" s="294"/>
      <c r="L2152" s="295"/>
      <c r="M2152" s="294"/>
      <c r="P2152" s="294"/>
      <c r="Q2152" s="294"/>
    </row>
    <row r="2153" spans="2:17" x14ac:dyDescent="0.25">
      <c r="B2153" s="294"/>
      <c r="C2153" s="294"/>
      <c r="D2153" s="294"/>
      <c r="E2153" s="294"/>
      <c r="F2153" s="294"/>
      <c r="G2153" s="294"/>
      <c r="H2153" s="294"/>
      <c r="I2153" s="294"/>
      <c r="J2153" s="294"/>
      <c r="L2153" s="295"/>
      <c r="M2153" s="294"/>
      <c r="P2153" s="294"/>
      <c r="Q2153" s="294"/>
    </row>
    <row r="2154" spans="2:17" x14ac:dyDescent="0.25">
      <c r="B2154" s="294"/>
      <c r="C2154" s="294"/>
      <c r="D2154" s="294"/>
      <c r="E2154" s="294"/>
      <c r="F2154" s="294"/>
      <c r="G2154" s="294"/>
      <c r="H2154" s="294"/>
      <c r="I2154" s="294"/>
      <c r="J2154" s="294"/>
      <c r="L2154" s="295"/>
      <c r="M2154" s="294"/>
      <c r="P2154" s="294"/>
      <c r="Q2154" s="294"/>
    </row>
    <row r="2155" spans="2:17" x14ac:dyDescent="0.25">
      <c r="B2155" s="294"/>
      <c r="C2155" s="294"/>
      <c r="D2155" s="294"/>
      <c r="E2155" s="294"/>
      <c r="F2155" s="294"/>
      <c r="G2155" s="294"/>
      <c r="H2155" s="294"/>
      <c r="I2155" s="294"/>
      <c r="J2155" s="294"/>
      <c r="L2155" s="295"/>
      <c r="M2155" s="294"/>
      <c r="P2155" s="294"/>
      <c r="Q2155" s="294"/>
    </row>
    <row r="2156" spans="2:17" x14ac:dyDescent="0.25">
      <c r="B2156" s="294"/>
      <c r="C2156" s="294"/>
      <c r="D2156" s="294"/>
      <c r="E2156" s="294"/>
      <c r="F2156" s="294"/>
      <c r="G2156" s="294"/>
      <c r="H2156" s="294"/>
      <c r="I2156" s="294"/>
      <c r="J2156" s="294"/>
      <c r="L2156" s="295"/>
      <c r="M2156" s="294"/>
      <c r="P2156" s="294"/>
      <c r="Q2156" s="294"/>
    </row>
    <row r="2157" spans="2:17" x14ac:dyDescent="0.25">
      <c r="B2157" s="294"/>
      <c r="C2157" s="294"/>
      <c r="D2157" s="294"/>
      <c r="E2157" s="294"/>
      <c r="F2157" s="294"/>
      <c r="G2157" s="294"/>
      <c r="H2157" s="294"/>
      <c r="I2157" s="294"/>
      <c r="J2157" s="294"/>
      <c r="L2157" s="295"/>
      <c r="M2157" s="294"/>
      <c r="P2157" s="294"/>
      <c r="Q2157" s="294"/>
    </row>
    <row r="2158" spans="2:17" x14ac:dyDescent="0.25">
      <c r="B2158" s="294"/>
      <c r="C2158" s="294"/>
      <c r="D2158" s="294"/>
      <c r="E2158" s="294"/>
      <c r="F2158" s="294"/>
      <c r="G2158" s="294"/>
      <c r="H2158" s="294"/>
      <c r="I2158" s="294"/>
      <c r="J2158" s="294"/>
      <c r="L2158" s="295"/>
      <c r="M2158" s="294"/>
      <c r="P2158" s="294"/>
      <c r="Q2158" s="294"/>
    </row>
    <row r="2159" spans="2:17" x14ac:dyDescent="0.25">
      <c r="B2159" s="294"/>
      <c r="C2159" s="294"/>
      <c r="D2159" s="294"/>
      <c r="E2159" s="294"/>
      <c r="F2159" s="294"/>
      <c r="G2159" s="294"/>
      <c r="H2159" s="294"/>
      <c r="I2159" s="294"/>
      <c r="J2159" s="294"/>
      <c r="L2159" s="295"/>
      <c r="M2159" s="294"/>
      <c r="P2159" s="294"/>
      <c r="Q2159" s="294"/>
    </row>
    <row r="2160" spans="2:17" x14ac:dyDescent="0.25">
      <c r="B2160" s="294"/>
      <c r="C2160" s="294"/>
      <c r="D2160" s="294"/>
      <c r="E2160" s="294"/>
      <c r="F2160" s="294"/>
      <c r="G2160" s="294"/>
      <c r="H2160" s="294"/>
      <c r="I2160" s="294"/>
      <c r="J2160" s="294"/>
      <c r="L2160" s="295"/>
      <c r="M2160" s="294"/>
      <c r="P2160" s="294"/>
      <c r="Q2160" s="294"/>
    </row>
    <row r="2161" spans="2:17" x14ac:dyDescent="0.25">
      <c r="B2161" s="294"/>
      <c r="C2161" s="294"/>
      <c r="D2161" s="294"/>
      <c r="E2161" s="294"/>
      <c r="F2161" s="294"/>
      <c r="G2161" s="294"/>
      <c r="H2161" s="294"/>
      <c r="I2161" s="294"/>
      <c r="J2161" s="294"/>
      <c r="L2161" s="295"/>
      <c r="M2161" s="294"/>
      <c r="P2161" s="294"/>
      <c r="Q2161" s="294"/>
    </row>
    <row r="2162" spans="2:17" x14ac:dyDescent="0.25">
      <c r="B2162" s="294"/>
      <c r="C2162" s="294"/>
      <c r="D2162" s="294"/>
      <c r="E2162" s="294"/>
      <c r="F2162" s="294"/>
      <c r="G2162" s="294"/>
      <c r="H2162" s="294"/>
      <c r="I2162" s="294"/>
      <c r="J2162" s="294"/>
      <c r="L2162" s="295"/>
      <c r="M2162" s="294"/>
      <c r="P2162" s="294"/>
      <c r="Q2162" s="294"/>
    </row>
    <row r="2163" spans="2:17" x14ac:dyDescent="0.25">
      <c r="B2163" s="294"/>
      <c r="C2163" s="294"/>
      <c r="D2163" s="294"/>
      <c r="E2163" s="294"/>
      <c r="F2163" s="294"/>
      <c r="G2163" s="294"/>
      <c r="H2163" s="294"/>
      <c r="I2163" s="294"/>
      <c r="J2163" s="294"/>
      <c r="L2163" s="295"/>
      <c r="M2163" s="294"/>
      <c r="P2163" s="294"/>
      <c r="Q2163" s="294"/>
    </row>
    <row r="2164" spans="2:17" x14ac:dyDescent="0.25">
      <c r="B2164" s="294"/>
      <c r="C2164" s="294"/>
      <c r="D2164" s="294"/>
      <c r="E2164" s="294"/>
      <c r="F2164" s="294"/>
      <c r="G2164" s="294"/>
      <c r="H2164" s="294"/>
      <c r="I2164" s="294"/>
      <c r="J2164" s="294"/>
      <c r="L2164" s="295"/>
      <c r="M2164" s="294"/>
      <c r="P2164" s="294"/>
      <c r="Q2164" s="294"/>
    </row>
    <row r="2165" spans="2:17" x14ac:dyDescent="0.25">
      <c r="B2165" s="294"/>
      <c r="C2165" s="294"/>
      <c r="D2165" s="294"/>
      <c r="E2165" s="294"/>
      <c r="F2165" s="294"/>
      <c r="G2165" s="294"/>
      <c r="H2165" s="294"/>
      <c r="I2165" s="294"/>
      <c r="J2165" s="294"/>
      <c r="L2165" s="295"/>
      <c r="M2165" s="294"/>
      <c r="P2165" s="294"/>
      <c r="Q2165" s="294"/>
    </row>
    <row r="2166" spans="2:17" x14ac:dyDescent="0.25">
      <c r="B2166" s="294"/>
      <c r="C2166" s="294"/>
      <c r="D2166" s="294"/>
      <c r="E2166" s="294"/>
      <c r="F2166" s="294"/>
      <c r="G2166" s="294"/>
      <c r="H2166" s="294"/>
      <c r="I2166" s="294"/>
      <c r="J2166" s="294"/>
      <c r="L2166" s="295"/>
      <c r="M2166" s="294"/>
      <c r="P2166" s="294"/>
      <c r="Q2166" s="294"/>
    </row>
    <row r="2167" spans="2:17" x14ac:dyDescent="0.25">
      <c r="B2167" s="294"/>
      <c r="C2167" s="294"/>
      <c r="D2167" s="294"/>
      <c r="E2167" s="294"/>
      <c r="F2167" s="294"/>
      <c r="G2167" s="294"/>
      <c r="H2167" s="294"/>
      <c r="I2167" s="294"/>
      <c r="J2167" s="294"/>
      <c r="L2167" s="295"/>
      <c r="M2167" s="294"/>
      <c r="P2167" s="294"/>
      <c r="Q2167" s="294"/>
    </row>
    <row r="2168" spans="2:17" x14ac:dyDescent="0.25">
      <c r="B2168" s="294"/>
      <c r="C2168" s="294"/>
      <c r="D2168" s="294"/>
      <c r="E2168" s="294"/>
      <c r="F2168" s="294"/>
      <c r="G2168" s="294"/>
      <c r="H2168" s="294"/>
      <c r="I2168" s="294"/>
      <c r="J2168" s="294"/>
      <c r="L2168" s="295"/>
      <c r="M2168" s="294"/>
      <c r="P2168" s="294"/>
      <c r="Q2168" s="294"/>
    </row>
    <row r="2169" spans="2:17" x14ac:dyDescent="0.25">
      <c r="B2169" s="294"/>
      <c r="C2169" s="294"/>
      <c r="D2169" s="294"/>
      <c r="E2169" s="294"/>
      <c r="F2169" s="294"/>
      <c r="G2169" s="294"/>
      <c r="H2169" s="294"/>
      <c r="I2169" s="294"/>
      <c r="J2169" s="294"/>
      <c r="L2169" s="295"/>
      <c r="M2169" s="294"/>
      <c r="P2169" s="294"/>
      <c r="Q2169" s="294"/>
    </row>
    <row r="2170" spans="2:17" x14ac:dyDescent="0.25">
      <c r="B2170" s="294"/>
      <c r="C2170" s="294"/>
      <c r="D2170" s="294"/>
      <c r="E2170" s="294"/>
      <c r="F2170" s="294"/>
      <c r="G2170" s="294"/>
      <c r="H2170" s="294"/>
      <c r="I2170" s="294"/>
      <c r="J2170" s="294"/>
      <c r="L2170" s="295"/>
      <c r="M2170" s="294"/>
      <c r="P2170" s="294"/>
      <c r="Q2170" s="294"/>
    </row>
    <row r="2171" spans="2:17" x14ac:dyDescent="0.25">
      <c r="B2171" s="294"/>
      <c r="C2171" s="294"/>
      <c r="D2171" s="294"/>
      <c r="E2171" s="294"/>
      <c r="F2171" s="294"/>
      <c r="G2171" s="294"/>
      <c r="H2171" s="294"/>
      <c r="I2171" s="294"/>
      <c r="J2171" s="294"/>
      <c r="L2171" s="295"/>
      <c r="M2171" s="294"/>
      <c r="P2171" s="294"/>
      <c r="Q2171" s="294"/>
    </row>
    <row r="2172" spans="2:17" x14ac:dyDescent="0.25">
      <c r="B2172" s="294"/>
      <c r="C2172" s="294"/>
      <c r="D2172" s="294"/>
      <c r="E2172" s="294"/>
      <c r="F2172" s="294"/>
      <c r="G2172" s="294"/>
      <c r="H2172" s="294"/>
      <c r="I2172" s="294"/>
      <c r="J2172" s="294"/>
      <c r="L2172" s="295"/>
      <c r="M2172" s="294"/>
      <c r="P2172" s="294"/>
      <c r="Q2172" s="294"/>
    </row>
    <row r="2173" spans="2:17" x14ac:dyDescent="0.25">
      <c r="B2173" s="294"/>
      <c r="C2173" s="294"/>
      <c r="D2173" s="294"/>
      <c r="E2173" s="294"/>
      <c r="F2173" s="294"/>
      <c r="G2173" s="294"/>
      <c r="H2173" s="294"/>
      <c r="I2173" s="294"/>
      <c r="J2173" s="294"/>
      <c r="L2173" s="295"/>
      <c r="M2173" s="294"/>
      <c r="P2173" s="294"/>
      <c r="Q2173" s="294"/>
    </row>
    <row r="2174" spans="2:17" x14ac:dyDescent="0.25">
      <c r="B2174" s="294"/>
      <c r="C2174" s="294"/>
      <c r="D2174" s="294"/>
      <c r="E2174" s="294"/>
      <c r="F2174" s="294"/>
      <c r="G2174" s="294"/>
      <c r="H2174" s="294"/>
      <c r="I2174" s="294"/>
      <c r="J2174" s="294"/>
      <c r="L2174" s="295"/>
      <c r="M2174" s="294"/>
      <c r="P2174" s="294"/>
      <c r="Q2174" s="294"/>
    </row>
    <row r="2175" spans="2:17" x14ac:dyDescent="0.25">
      <c r="B2175" s="294"/>
      <c r="C2175" s="294"/>
      <c r="D2175" s="294"/>
      <c r="E2175" s="294"/>
      <c r="F2175" s="294"/>
      <c r="G2175" s="294"/>
      <c r="H2175" s="294"/>
      <c r="I2175" s="294"/>
      <c r="J2175" s="294"/>
      <c r="L2175" s="295"/>
      <c r="M2175" s="294"/>
      <c r="P2175" s="294"/>
      <c r="Q2175" s="294"/>
    </row>
    <row r="2176" spans="2:17" x14ac:dyDescent="0.25">
      <c r="B2176" s="294"/>
      <c r="C2176" s="294"/>
      <c r="D2176" s="294"/>
      <c r="E2176" s="294"/>
      <c r="F2176" s="294"/>
      <c r="G2176" s="294"/>
      <c r="H2176" s="294"/>
      <c r="I2176" s="294"/>
      <c r="J2176" s="294"/>
      <c r="L2176" s="295"/>
      <c r="M2176" s="294"/>
      <c r="P2176" s="294"/>
      <c r="Q2176" s="294"/>
    </row>
    <row r="2177" spans="2:17" x14ac:dyDescent="0.25">
      <c r="B2177" s="294"/>
      <c r="C2177" s="294"/>
      <c r="D2177" s="294"/>
      <c r="E2177" s="294"/>
      <c r="F2177" s="294"/>
      <c r="G2177" s="294"/>
      <c r="H2177" s="294"/>
      <c r="I2177" s="294"/>
      <c r="J2177" s="294"/>
      <c r="L2177" s="295"/>
      <c r="M2177" s="294"/>
      <c r="P2177" s="294"/>
      <c r="Q2177" s="294"/>
    </row>
    <row r="2178" spans="2:17" x14ac:dyDescent="0.25">
      <c r="B2178" s="294"/>
      <c r="C2178" s="294"/>
      <c r="D2178" s="294"/>
      <c r="E2178" s="294"/>
      <c r="F2178" s="294"/>
      <c r="G2178" s="294"/>
      <c r="H2178" s="294"/>
      <c r="I2178" s="294"/>
      <c r="J2178" s="294"/>
      <c r="L2178" s="295"/>
      <c r="M2178" s="294"/>
      <c r="P2178" s="294"/>
      <c r="Q2178" s="294"/>
    </row>
    <row r="2179" spans="2:17" x14ac:dyDescent="0.25">
      <c r="B2179" s="294"/>
      <c r="C2179" s="294"/>
      <c r="D2179" s="294"/>
      <c r="E2179" s="294"/>
      <c r="F2179" s="294"/>
      <c r="G2179" s="294"/>
      <c r="H2179" s="294"/>
      <c r="I2179" s="294"/>
      <c r="J2179" s="294"/>
      <c r="L2179" s="295"/>
      <c r="M2179" s="294"/>
      <c r="P2179" s="294"/>
      <c r="Q2179" s="294"/>
    </row>
    <row r="2180" spans="2:17" x14ac:dyDescent="0.25">
      <c r="B2180" s="294"/>
      <c r="C2180" s="294"/>
      <c r="D2180" s="294"/>
      <c r="E2180" s="294"/>
      <c r="F2180" s="294"/>
      <c r="G2180" s="294"/>
      <c r="H2180" s="294"/>
      <c r="I2180" s="294"/>
      <c r="J2180" s="294"/>
      <c r="L2180" s="295"/>
      <c r="M2180" s="294"/>
      <c r="P2180" s="294"/>
      <c r="Q2180" s="294"/>
    </row>
    <row r="2181" spans="2:17" x14ac:dyDescent="0.25">
      <c r="B2181" s="294"/>
      <c r="C2181" s="294"/>
      <c r="D2181" s="294"/>
      <c r="E2181" s="294"/>
      <c r="F2181" s="294"/>
      <c r="G2181" s="294"/>
      <c r="H2181" s="294"/>
      <c r="I2181" s="294"/>
      <c r="J2181" s="294"/>
      <c r="L2181" s="295"/>
      <c r="M2181" s="294"/>
      <c r="P2181" s="294"/>
      <c r="Q2181" s="294"/>
    </row>
    <row r="2182" spans="2:17" x14ac:dyDescent="0.25">
      <c r="B2182" s="294"/>
      <c r="C2182" s="294"/>
      <c r="D2182" s="294"/>
      <c r="E2182" s="294"/>
      <c r="F2182" s="294"/>
      <c r="G2182" s="294"/>
      <c r="H2182" s="294"/>
      <c r="I2182" s="294"/>
      <c r="J2182" s="294"/>
      <c r="L2182" s="295"/>
      <c r="M2182" s="294"/>
      <c r="P2182" s="294"/>
      <c r="Q2182" s="294"/>
    </row>
    <row r="2183" spans="2:17" x14ac:dyDescent="0.25">
      <c r="B2183" s="294"/>
      <c r="C2183" s="294"/>
      <c r="D2183" s="294"/>
      <c r="E2183" s="294"/>
      <c r="F2183" s="294"/>
      <c r="G2183" s="294"/>
      <c r="H2183" s="294"/>
      <c r="I2183" s="294"/>
      <c r="J2183" s="294"/>
      <c r="L2183" s="295"/>
      <c r="M2183" s="294"/>
      <c r="P2183" s="294"/>
      <c r="Q2183" s="294"/>
    </row>
    <row r="2184" spans="2:17" x14ac:dyDescent="0.25">
      <c r="B2184" s="294"/>
      <c r="C2184" s="294"/>
      <c r="D2184" s="294"/>
      <c r="E2184" s="294"/>
      <c r="F2184" s="294"/>
      <c r="G2184" s="294"/>
      <c r="H2184" s="294"/>
      <c r="I2184" s="294"/>
      <c r="J2184" s="294"/>
      <c r="L2184" s="295"/>
      <c r="M2184" s="294"/>
      <c r="P2184" s="294"/>
      <c r="Q2184" s="294"/>
    </row>
    <row r="2185" spans="2:17" x14ac:dyDescent="0.25">
      <c r="B2185" s="294"/>
      <c r="C2185" s="294"/>
      <c r="D2185" s="294"/>
      <c r="E2185" s="294"/>
      <c r="F2185" s="294"/>
      <c r="G2185" s="294"/>
      <c r="H2185" s="294"/>
      <c r="I2185" s="294"/>
      <c r="J2185" s="294"/>
      <c r="L2185" s="295"/>
      <c r="M2185" s="294"/>
      <c r="P2185" s="294"/>
      <c r="Q2185" s="294"/>
    </row>
    <row r="2186" spans="2:17" x14ac:dyDescent="0.25">
      <c r="B2186" s="294"/>
      <c r="C2186" s="294"/>
      <c r="D2186" s="294"/>
      <c r="E2186" s="294"/>
      <c r="F2186" s="294"/>
      <c r="G2186" s="294"/>
      <c r="H2186" s="294"/>
      <c r="I2186" s="294"/>
      <c r="J2186" s="294"/>
      <c r="L2186" s="295"/>
      <c r="M2186" s="294"/>
      <c r="P2186" s="294"/>
      <c r="Q2186" s="294"/>
    </row>
    <row r="2187" spans="2:17" x14ac:dyDescent="0.25">
      <c r="B2187" s="294"/>
      <c r="C2187" s="294"/>
      <c r="D2187" s="294"/>
      <c r="E2187" s="294"/>
      <c r="F2187" s="294"/>
      <c r="G2187" s="294"/>
      <c r="H2187" s="294"/>
      <c r="I2187" s="294"/>
      <c r="J2187" s="294"/>
      <c r="L2187" s="295"/>
      <c r="M2187" s="294"/>
      <c r="P2187" s="294"/>
      <c r="Q2187" s="294"/>
    </row>
  </sheetData>
  <mergeCells count="32">
    <mergeCell ref="O29:P29"/>
    <mergeCell ref="B27:M27"/>
    <mergeCell ref="P12:P13"/>
    <mergeCell ref="C9:R10"/>
    <mergeCell ref="O11:O13"/>
    <mergeCell ref="B23:M23"/>
    <mergeCell ref="R11:R12"/>
    <mergeCell ref="P11:Q11"/>
    <mergeCell ref="G11:G13"/>
    <mergeCell ref="H11:H13"/>
    <mergeCell ref="I11:I13"/>
    <mergeCell ref="J11:J13"/>
    <mergeCell ref="K11:K13"/>
    <mergeCell ref="L11:L13"/>
    <mergeCell ref="B7:N7"/>
    <mergeCell ref="R7:AC7"/>
    <mergeCell ref="B8:C8"/>
    <mergeCell ref="B9:B13"/>
    <mergeCell ref="S9:S10"/>
    <mergeCell ref="C11:C13"/>
    <mergeCell ref="D11:D13"/>
    <mergeCell ref="E11:E13"/>
    <mergeCell ref="F11:F13"/>
    <mergeCell ref="S11:S12"/>
    <mergeCell ref="M12:M13"/>
    <mergeCell ref="N12:N13"/>
    <mergeCell ref="B1:N1"/>
    <mergeCell ref="R1:AC1"/>
    <mergeCell ref="B3:N3"/>
    <mergeCell ref="R3:AC3"/>
    <mergeCell ref="B5:N5"/>
    <mergeCell ref="R5:AC5"/>
  </mergeCells>
  <pageMargins left="0.51181102362204722" right="0.51181102362204722" top="0.78740157480314965" bottom="0.78740157480314965" header="0.31496062992125984" footer="0.31496062992125984"/>
  <pageSetup paperSize="9" scale="75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37"/>
  <sheetViews>
    <sheetView zoomScale="90" zoomScaleNormal="90" workbookViewId="0">
      <selection activeCell="H31" sqref="H31"/>
    </sheetView>
  </sheetViews>
  <sheetFormatPr defaultRowHeight="15" x14ac:dyDescent="0.25"/>
  <cols>
    <col min="1" max="1" width="3.140625" customWidth="1"/>
    <col min="2" max="2" width="15.5703125" customWidth="1"/>
    <col min="3" max="3" width="44.5703125" customWidth="1"/>
    <col min="4" max="4" width="11.7109375" customWidth="1"/>
    <col min="5" max="5" width="9.42578125" style="358" customWidth="1"/>
    <col min="258" max="258" width="15.5703125" customWidth="1"/>
    <col min="259" max="259" width="44.5703125" customWidth="1"/>
    <col min="260" max="260" width="11.7109375" customWidth="1"/>
    <col min="261" max="261" width="9.42578125" customWidth="1"/>
    <col min="514" max="514" width="15.5703125" customWidth="1"/>
    <col min="515" max="515" width="44.5703125" customWidth="1"/>
    <col min="516" max="516" width="11.7109375" customWidth="1"/>
    <col min="517" max="517" width="9.42578125" customWidth="1"/>
    <col min="770" max="770" width="15.5703125" customWidth="1"/>
    <col min="771" max="771" width="44.5703125" customWidth="1"/>
    <col min="772" max="772" width="11.7109375" customWidth="1"/>
    <col min="773" max="773" width="9.42578125" customWidth="1"/>
    <col min="1026" max="1026" width="15.5703125" customWidth="1"/>
    <col min="1027" max="1027" width="44.5703125" customWidth="1"/>
    <col min="1028" max="1028" width="11.7109375" customWidth="1"/>
    <col min="1029" max="1029" width="9.42578125" customWidth="1"/>
    <col min="1282" max="1282" width="15.5703125" customWidth="1"/>
    <col min="1283" max="1283" width="44.5703125" customWidth="1"/>
    <col min="1284" max="1284" width="11.7109375" customWidth="1"/>
    <col min="1285" max="1285" width="9.42578125" customWidth="1"/>
    <col min="1538" max="1538" width="15.5703125" customWidth="1"/>
    <col min="1539" max="1539" width="44.5703125" customWidth="1"/>
    <col min="1540" max="1540" width="11.7109375" customWidth="1"/>
    <col min="1541" max="1541" width="9.42578125" customWidth="1"/>
    <col min="1794" max="1794" width="15.5703125" customWidth="1"/>
    <col min="1795" max="1795" width="44.5703125" customWidth="1"/>
    <col min="1796" max="1796" width="11.7109375" customWidth="1"/>
    <col min="1797" max="1797" width="9.42578125" customWidth="1"/>
    <col min="2050" max="2050" width="15.5703125" customWidth="1"/>
    <col min="2051" max="2051" width="44.5703125" customWidth="1"/>
    <col min="2052" max="2052" width="11.7109375" customWidth="1"/>
    <col min="2053" max="2053" width="9.42578125" customWidth="1"/>
    <col min="2306" max="2306" width="15.5703125" customWidth="1"/>
    <col min="2307" max="2307" width="44.5703125" customWidth="1"/>
    <col min="2308" max="2308" width="11.7109375" customWidth="1"/>
    <col min="2309" max="2309" width="9.42578125" customWidth="1"/>
    <col min="2562" max="2562" width="15.5703125" customWidth="1"/>
    <col min="2563" max="2563" width="44.5703125" customWidth="1"/>
    <col min="2564" max="2564" width="11.7109375" customWidth="1"/>
    <col min="2565" max="2565" width="9.42578125" customWidth="1"/>
    <col min="2818" max="2818" width="15.5703125" customWidth="1"/>
    <col min="2819" max="2819" width="44.5703125" customWidth="1"/>
    <col min="2820" max="2820" width="11.7109375" customWidth="1"/>
    <col min="2821" max="2821" width="9.42578125" customWidth="1"/>
    <col min="3074" max="3074" width="15.5703125" customWidth="1"/>
    <col min="3075" max="3075" width="44.5703125" customWidth="1"/>
    <col min="3076" max="3076" width="11.7109375" customWidth="1"/>
    <col min="3077" max="3077" width="9.42578125" customWidth="1"/>
    <col min="3330" max="3330" width="15.5703125" customWidth="1"/>
    <col min="3331" max="3331" width="44.5703125" customWidth="1"/>
    <col min="3332" max="3332" width="11.7109375" customWidth="1"/>
    <col min="3333" max="3333" width="9.42578125" customWidth="1"/>
    <col min="3586" max="3586" width="15.5703125" customWidth="1"/>
    <col min="3587" max="3587" width="44.5703125" customWidth="1"/>
    <col min="3588" max="3588" width="11.7109375" customWidth="1"/>
    <col min="3589" max="3589" width="9.42578125" customWidth="1"/>
    <col min="3842" max="3842" width="15.5703125" customWidth="1"/>
    <col min="3843" max="3843" width="44.5703125" customWidth="1"/>
    <col min="3844" max="3844" width="11.7109375" customWidth="1"/>
    <col min="3845" max="3845" width="9.42578125" customWidth="1"/>
    <col min="4098" max="4098" width="15.5703125" customWidth="1"/>
    <col min="4099" max="4099" width="44.5703125" customWidth="1"/>
    <col min="4100" max="4100" width="11.7109375" customWidth="1"/>
    <col min="4101" max="4101" width="9.42578125" customWidth="1"/>
    <col min="4354" max="4354" width="15.5703125" customWidth="1"/>
    <col min="4355" max="4355" width="44.5703125" customWidth="1"/>
    <col min="4356" max="4356" width="11.7109375" customWidth="1"/>
    <col min="4357" max="4357" width="9.42578125" customWidth="1"/>
    <col min="4610" max="4610" width="15.5703125" customWidth="1"/>
    <col min="4611" max="4611" width="44.5703125" customWidth="1"/>
    <col min="4612" max="4612" width="11.7109375" customWidth="1"/>
    <col min="4613" max="4613" width="9.42578125" customWidth="1"/>
    <col min="4866" max="4866" width="15.5703125" customWidth="1"/>
    <col min="4867" max="4867" width="44.5703125" customWidth="1"/>
    <col min="4868" max="4868" width="11.7109375" customWidth="1"/>
    <col min="4869" max="4869" width="9.42578125" customWidth="1"/>
    <col min="5122" max="5122" width="15.5703125" customWidth="1"/>
    <col min="5123" max="5123" width="44.5703125" customWidth="1"/>
    <col min="5124" max="5124" width="11.7109375" customWidth="1"/>
    <col min="5125" max="5125" width="9.42578125" customWidth="1"/>
    <col min="5378" max="5378" width="15.5703125" customWidth="1"/>
    <col min="5379" max="5379" width="44.5703125" customWidth="1"/>
    <col min="5380" max="5380" width="11.7109375" customWidth="1"/>
    <col min="5381" max="5381" width="9.42578125" customWidth="1"/>
    <col min="5634" max="5634" width="15.5703125" customWidth="1"/>
    <col min="5635" max="5635" width="44.5703125" customWidth="1"/>
    <col min="5636" max="5636" width="11.7109375" customWidth="1"/>
    <col min="5637" max="5637" width="9.42578125" customWidth="1"/>
    <col min="5890" max="5890" width="15.5703125" customWidth="1"/>
    <col min="5891" max="5891" width="44.5703125" customWidth="1"/>
    <col min="5892" max="5892" width="11.7109375" customWidth="1"/>
    <col min="5893" max="5893" width="9.42578125" customWidth="1"/>
    <col min="6146" max="6146" width="15.5703125" customWidth="1"/>
    <col min="6147" max="6147" width="44.5703125" customWidth="1"/>
    <col min="6148" max="6148" width="11.7109375" customWidth="1"/>
    <col min="6149" max="6149" width="9.42578125" customWidth="1"/>
    <col min="6402" max="6402" width="15.5703125" customWidth="1"/>
    <col min="6403" max="6403" width="44.5703125" customWidth="1"/>
    <col min="6404" max="6404" width="11.7109375" customWidth="1"/>
    <col min="6405" max="6405" width="9.42578125" customWidth="1"/>
    <col min="6658" max="6658" width="15.5703125" customWidth="1"/>
    <col min="6659" max="6659" width="44.5703125" customWidth="1"/>
    <col min="6660" max="6660" width="11.7109375" customWidth="1"/>
    <col min="6661" max="6661" width="9.42578125" customWidth="1"/>
    <col min="6914" max="6914" width="15.5703125" customWidth="1"/>
    <col min="6915" max="6915" width="44.5703125" customWidth="1"/>
    <col min="6916" max="6916" width="11.7109375" customWidth="1"/>
    <col min="6917" max="6917" width="9.42578125" customWidth="1"/>
    <col min="7170" max="7170" width="15.5703125" customWidth="1"/>
    <col min="7171" max="7171" width="44.5703125" customWidth="1"/>
    <col min="7172" max="7172" width="11.7109375" customWidth="1"/>
    <col min="7173" max="7173" width="9.42578125" customWidth="1"/>
    <col min="7426" max="7426" width="15.5703125" customWidth="1"/>
    <col min="7427" max="7427" width="44.5703125" customWidth="1"/>
    <col min="7428" max="7428" width="11.7109375" customWidth="1"/>
    <col min="7429" max="7429" width="9.42578125" customWidth="1"/>
    <col min="7682" max="7682" width="15.5703125" customWidth="1"/>
    <col min="7683" max="7683" width="44.5703125" customWidth="1"/>
    <col min="7684" max="7684" width="11.7109375" customWidth="1"/>
    <col min="7685" max="7685" width="9.42578125" customWidth="1"/>
    <col min="7938" max="7938" width="15.5703125" customWidth="1"/>
    <col min="7939" max="7939" width="44.5703125" customWidth="1"/>
    <col min="7940" max="7940" width="11.7109375" customWidth="1"/>
    <col min="7941" max="7941" width="9.42578125" customWidth="1"/>
    <col min="8194" max="8194" width="15.5703125" customWidth="1"/>
    <col min="8195" max="8195" width="44.5703125" customWidth="1"/>
    <col min="8196" max="8196" width="11.7109375" customWidth="1"/>
    <col min="8197" max="8197" width="9.42578125" customWidth="1"/>
    <col min="8450" max="8450" width="15.5703125" customWidth="1"/>
    <col min="8451" max="8451" width="44.5703125" customWidth="1"/>
    <col min="8452" max="8452" width="11.7109375" customWidth="1"/>
    <col min="8453" max="8453" width="9.42578125" customWidth="1"/>
    <col min="8706" max="8706" width="15.5703125" customWidth="1"/>
    <col min="8707" max="8707" width="44.5703125" customWidth="1"/>
    <col min="8708" max="8708" width="11.7109375" customWidth="1"/>
    <col min="8709" max="8709" width="9.42578125" customWidth="1"/>
    <col min="8962" max="8962" width="15.5703125" customWidth="1"/>
    <col min="8963" max="8963" width="44.5703125" customWidth="1"/>
    <col min="8964" max="8964" width="11.7109375" customWidth="1"/>
    <col min="8965" max="8965" width="9.42578125" customWidth="1"/>
    <col min="9218" max="9218" width="15.5703125" customWidth="1"/>
    <col min="9219" max="9219" width="44.5703125" customWidth="1"/>
    <col min="9220" max="9220" width="11.7109375" customWidth="1"/>
    <col min="9221" max="9221" width="9.42578125" customWidth="1"/>
    <col min="9474" max="9474" width="15.5703125" customWidth="1"/>
    <col min="9475" max="9475" width="44.5703125" customWidth="1"/>
    <col min="9476" max="9476" width="11.7109375" customWidth="1"/>
    <col min="9477" max="9477" width="9.42578125" customWidth="1"/>
    <col min="9730" max="9730" width="15.5703125" customWidth="1"/>
    <col min="9731" max="9731" width="44.5703125" customWidth="1"/>
    <col min="9732" max="9732" width="11.7109375" customWidth="1"/>
    <col min="9733" max="9733" width="9.42578125" customWidth="1"/>
    <col min="9986" max="9986" width="15.5703125" customWidth="1"/>
    <col min="9987" max="9987" width="44.5703125" customWidth="1"/>
    <col min="9988" max="9988" width="11.7109375" customWidth="1"/>
    <col min="9989" max="9989" width="9.42578125" customWidth="1"/>
    <col min="10242" max="10242" width="15.5703125" customWidth="1"/>
    <col min="10243" max="10243" width="44.5703125" customWidth="1"/>
    <col min="10244" max="10244" width="11.7109375" customWidth="1"/>
    <col min="10245" max="10245" width="9.42578125" customWidth="1"/>
    <col min="10498" max="10498" width="15.5703125" customWidth="1"/>
    <col min="10499" max="10499" width="44.5703125" customWidth="1"/>
    <col min="10500" max="10500" width="11.7109375" customWidth="1"/>
    <col min="10501" max="10501" width="9.42578125" customWidth="1"/>
    <col min="10754" max="10754" width="15.5703125" customWidth="1"/>
    <col min="10755" max="10755" width="44.5703125" customWidth="1"/>
    <col min="10756" max="10756" width="11.7109375" customWidth="1"/>
    <col min="10757" max="10757" width="9.42578125" customWidth="1"/>
    <col min="11010" max="11010" width="15.5703125" customWidth="1"/>
    <col min="11011" max="11011" width="44.5703125" customWidth="1"/>
    <col min="11012" max="11012" width="11.7109375" customWidth="1"/>
    <col min="11013" max="11013" width="9.42578125" customWidth="1"/>
    <col min="11266" max="11266" width="15.5703125" customWidth="1"/>
    <col min="11267" max="11267" width="44.5703125" customWidth="1"/>
    <col min="11268" max="11268" width="11.7109375" customWidth="1"/>
    <col min="11269" max="11269" width="9.42578125" customWidth="1"/>
    <col min="11522" max="11522" width="15.5703125" customWidth="1"/>
    <col min="11523" max="11523" width="44.5703125" customWidth="1"/>
    <col min="11524" max="11524" width="11.7109375" customWidth="1"/>
    <col min="11525" max="11525" width="9.42578125" customWidth="1"/>
    <col min="11778" max="11778" width="15.5703125" customWidth="1"/>
    <col min="11779" max="11779" width="44.5703125" customWidth="1"/>
    <col min="11780" max="11780" width="11.7109375" customWidth="1"/>
    <col min="11781" max="11781" width="9.42578125" customWidth="1"/>
    <col min="12034" max="12034" width="15.5703125" customWidth="1"/>
    <col min="12035" max="12035" width="44.5703125" customWidth="1"/>
    <col min="12036" max="12036" width="11.7109375" customWidth="1"/>
    <col min="12037" max="12037" width="9.42578125" customWidth="1"/>
    <col min="12290" max="12290" width="15.5703125" customWidth="1"/>
    <col min="12291" max="12291" width="44.5703125" customWidth="1"/>
    <col min="12292" max="12292" width="11.7109375" customWidth="1"/>
    <col min="12293" max="12293" width="9.42578125" customWidth="1"/>
    <col min="12546" max="12546" width="15.5703125" customWidth="1"/>
    <col min="12547" max="12547" width="44.5703125" customWidth="1"/>
    <col min="12548" max="12548" width="11.7109375" customWidth="1"/>
    <col min="12549" max="12549" width="9.42578125" customWidth="1"/>
    <col min="12802" max="12802" width="15.5703125" customWidth="1"/>
    <col min="12803" max="12803" width="44.5703125" customWidth="1"/>
    <col min="12804" max="12804" width="11.7109375" customWidth="1"/>
    <col min="12805" max="12805" width="9.42578125" customWidth="1"/>
    <col min="13058" max="13058" width="15.5703125" customWidth="1"/>
    <col min="13059" max="13059" width="44.5703125" customWidth="1"/>
    <col min="13060" max="13060" width="11.7109375" customWidth="1"/>
    <col min="13061" max="13061" width="9.42578125" customWidth="1"/>
    <col min="13314" max="13314" width="15.5703125" customWidth="1"/>
    <col min="13315" max="13315" width="44.5703125" customWidth="1"/>
    <col min="13316" max="13316" width="11.7109375" customWidth="1"/>
    <col min="13317" max="13317" width="9.42578125" customWidth="1"/>
    <col min="13570" max="13570" width="15.5703125" customWidth="1"/>
    <col min="13571" max="13571" width="44.5703125" customWidth="1"/>
    <col min="13572" max="13572" width="11.7109375" customWidth="1"/>
    <col min="13573" max="13573" width="9.42578125" customWidth="1"/>
    <col min="13826" max="13826" width="15.5703125" customWidth="1"/>
    <col min="13827" max="13827" width="44.5703125" customWidth="1"/>
    <col min="13828" max="13828" width="11.7109375" customWidth="1"/>
    <col min="13829" max="13829" width="9.42578125" customWidth="1"/>
    <col min="14082" max="14082" width="15.5703125" customWidth="1"/>
    <col min="14083" max="14083" width="44.5703125" customWidth="1"/>
    <col min="14084" max="14084" width="11.7109375" customWidth="1"/>
    <col min="14085" max="14085" width="9.42578125" customWidth="1"/>
    <col min="14338" max="14338" width="15.5703125" customWidth="1"/>
    <col min="14339" max="14339" width="44.5703125" customWidth="1"/>
    <col min="14340" max="14340" width="11.7109375" customWidth="1"/>
    <col min="14341" max="14341" width="9.42578125" customWidth="1"/>
    <col min="14594" max="14594" width="15.5703125" customWidth="1"/>
    <col min="14595" max="14595" width="44.5703125" customWidth="1"/>
    <col min="14596" max="14596" width="11.7109375" customWidth="1"/>
    <col min="14597" max="14597" width="9.42578125" customWidth="1"/>
    <col min="14850" max="14850" width="15.5703125" customWidth="1"/>
    <col min="14851" max="14851" width="44.5703125" customWidth="1"/>
    <col min="14852" max="14852" width="11.7109375" customWidth="1"/>
    <col min="14853" max="14853" width="9.42578125" customWidth="1"/>
    <col min="15106" max="15106" width="15.5703125" customWidth="1"/>
    <col min="15107" max="15107" width="44.5703125" customWidth="1"/>
    <col min="15108" max="15108" width="11.7109375" customWidth="1"/>
    <col min="15109" max="15109" width="9.42578125" customWidth="1"/>
    <col min="15362" max="15362" width="15.5703125" customWidth="1"/>
    <col min="15363" max="15363" width="44.5703125" customWidth="1"/>
    <col min="15364" max="15364" width="11.7109375" customWidth="1"/>
    <col min="15365" max="15365" width="9.42578125" customWidth="1"/>
    <col min="15618" max="15618" width="15.5703125" customWidth="1"/>
    <col min="15619" max="15619" width="44.5703125" customWidth="1"/>
    <col min="15620" max="15620" width="11.7109375" customWidth="1"/>
    <col min="15621" max="15621" width="9.42578125" customWidth="1"/>
    <col min="15874" max="15874" width="15.5703125" customWidth="1"/>
    <col min="15875" max="15875" width="44.5703125" customWidth="1"/>
    <col min="15876" max="15876" width="11.7109375" customWidth="1"/>
    <col min="15877" max="15877" width="9.42578125" customWidth="1"/>
    <col min="16130" max="16130" width="15.5703125" customWidth="1"/>
    <col min="16131" max="16131" width="44.5703125" customWidth="1"/>
    <col min="16132" max="16132" width="11.7109375" customWidth="1"/>
    <col min="16133" max="16133" width="9.42578125" customWidth="1"/>
  </cols>
  <sheetData>
    <row r="1" spans="2:59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1466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1466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</row>
    <row r="2" spans="2:59" s="410" customFormat="1" ht="12.75" customHeight="1" x14ac:dyDescent="0.35">
      <c r="D2" s="412"/>
      <c r="E2" s="411"/>
      <c r="H2" s="412"/>
      <c r="Q2" s="412"/>
      <c r="R2" s="411"/>
      <c r="U2" s="412"/>
      <c r="AN2" s="412"/>
      <c r="AO2" s="411"/>
      <c r="AR2" s="412"/>
    </row>
    <row r="3" spans="2:59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1466"/>
      <c r="AF3" s="1466"/>
      <c r="AG3" s="1466"/>
      <c r="AH3" s="1466"/>
      <c r="AI3" s="1466"/>
      <c r="AJ3" s="1466"/>
      <c r="AK3" s="1466"/>
      <c r="AL3" s="1466"/>
      <c r="AM3" s="1466"/>
      <c r="AN3" s="1466"/>
      <c r="AO3" s="1466"/>
      <c r="AP3" s="1466"/>
      <c r="AQ3" s="1466"/>
      <c r="AR3" s="1466"/>
      <c r="AS3" s="1466"/>
      <c r="AT3" s="1466"/>
      <c r="AU3" s="1466"/>
      <c r="AV3" s="1466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</row>
    <row r="4" spans="2:59" s="410" customFormat="1" ht="10.5" customHeight="1" x14ac:dyDescent="0.35">
      <c r="D4" s="412"/>
      <c r="E4" s="411"/>
      <c r="H4" s="412"/>
      <c r="Q4" s="412"/>
      <c r="R4" s="411"/>
      <c r="U4" s="412"/>
      <c r="AN4" s="412"/>
      <c r="AO4" s="411"/>
      <c r="AR4" s="412"/>
    </row>
    <row r="5" spans="2:59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1470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  <c r="AQ5" s="1470"/>
      <c r="AR5" s="1470"/>
      <c r="AS5" s="1470"/>
      <c r="AT5" s="1470"/>
      <c r="AU5" s="1470"/>
      <c r="AV5" s="1470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</row>
    <row r="6" spans="2:59" s="5" customFormat="1" ht="18" customHeight="1" x14ac:dyDescent="0.25">
      <c r="C6" s="354"/>
      <c r="D6" s="270"/>
      <c r="E6" s="270"/>
      <c r="F6" s="270"/>
      <c r="G6" s="270"/>
      <c r="H6" s="352"/>
      <c r="I6" s="354"/>
      <c r="J6" s="354"/>
      <c r="K6" s="354"/>
      <c r="M6" s="277"/>
      <c r="N6" s="354"/>
      <c r="O6" s="354"/>
      <c r="P6" s="354"/>
      <c r="Q6" s="270"/>
      <c r="R6" s="270"/>
      <c r="S6" s="270"/>
      <c r="T6" s="270"/>
      <c r="U6" s="352"/>
      <c r="V6" s="354"/>
      <c r="W6" s="354"/>
      <c r="X6" s="354"/>
      <c r="Z6" s="277"/>
      <c r="AA6" s="354"/>
      <c r="AB6" s="354"/>
      <c r="AC6" s="354"/>
      <c r="AE6" s="354"/>
      <c r="AG6" s="272"/>
      <c r="AH6" s="272"/>
      <c r="AI6" s="272"/>
      <c r="AJ6" s="272"/>
      <c r="AK6" s="272"/>
      <c r="AN6" s="270"/>
      <c r="AO6" s="270"/>
      <c r="AP6" s="270"/>
      <c r="AQ6" s="270"/>
      <c r="AR6" s="352"/>
      <c r="AS6" s="354"/>
      <c r="AT6" s="354"/>
      <c r="AU6" s="354"/>
      <c r="AW6" s="277"/>
      <c r="AX6" s="354"/>
      <c r="BB6" s="272"/>
      <c r="BC6" s="272"/>
      <c r="BD6" s="272"/>
      <c r="BE6" s="272"/>
      <c r="BF6" s="272"/>
    </row>
    <row r="7" spans="2:59" ht="15.75" x14ac:dyDescent="0.25">
      <c r="B7" s="1574" t="s">
        <v>2938</v>
      </c>
      <c r="C7" s="1574"/>
      <c r="D7" s="1574"/>
      <c r="E7" s="1574"/>
    </row>
    <row r="8" spans="2:59" ht="15.75" x14ac:dyDescent="0.25">
      <c r="B8" s="1574" t="s">
        <v>7067</v>
      </c>
      <c r="C8" s="1574"/>
      <c r="D8" s="1574"/>
      <c r="E8" s="1574"/>
    </row>
    <row r="9" spans="2:59" ht="16.5" thickBot="1" x14ac:dyDescent="0.3">
      <c r="B9" s="528"/>
      <c r="C9" s="528"/>
      <c r="D9" s="528"/>
      <c r="E9" s="528"/>
    </row>
    <row r="10" spans="2:59" ht="16.5" thickTop="1" x14ac:dyDescent="0.25">
      <c r="B10" s="904" t="s">
        <v>2939</v>
      </c>
      <c r="C10" s="359" t="s">
        <v>2940</v>
      </c>
      <c r="D10" s="905" t="s">
        <v>1574</v>
      </c>
      <c r="E10" s="360" t="s">
        <v>97</v>
      </c>
    </row>
    <row r="11" spans="2:59" ht="15.75" x14ac:dyDescent="0.25">
      <c r="B11" s="363">
        <v>1997</v>
      </c>
      <c r="C11" s="361">
        <v>54</v>
      </c>
      <c r="D11" s="364">
        <v>130</v>
      </c>
      <c r="E11" s="362">
        <v>0</v>
      </c>
    </row>
    <row r="12" spans="2:59" ht="15.75" x14ac:dyDescent="0.25">
      <c r="B12" s="363">
        <v>1998</v>
      </c>
      <c r="C12" s="361">
        <v>99</v>
      </c>
      <c r="D12" s="364">
        <v>143</v>
      </c>
      <c r="E12" s="362">
        <v>0.1</v>
      </c>
    </row>
    <row r="13" spans="2:59" ht="15.75" x14ac:dyDescent="0.25">
      <c r="B13" s="363">
        <v>1999</v>
      </c>
      <c r="C13" s="361">
        <v>160</v>
      </c>
      <c r="D13" s="364">
        <v>155</v>
      </c>
      <c r="E13" s="362">
        <v>8.4000000000000005E-2</v>
      </c>
    </row>
    <row r="14" spans="2:59" ht="15.75" x14ac:dyDescent="0.25">
      <c r="B14" s="363">
        <v>2000</v>
      </c>
      <c r="C14" s="361">
        <v>190</v>
      </c>
      <c r="D14" s="364">
        <v>168</v>
      </c>
      <c r="E14" s="362">
        <v>8.3900000000000002E-2</v>
      </c>
    </row>
    <row r="15" spans="2:59" ht="15.75" x14ac:dyDescent="0.25">
      <c r="B15" s="363">
        <v>2001</v>
      </c>
      <c r="C15" s="361">
        <v>242</v>
      </c>
      <c r="D15" s="364">
        <v>181</v>
      </c>
      <c r="E15" s="362">
        <v>7.7399999999999997E-2</v>
      </c>
    </row>
    <row r="16" spans="2:59" ht="15.75" x14ac:dyDescent="0.25">
      <c r="B16" s="363">
        <v>2002</v>
      </c>
      <c r="C16" s="361">
        <v>284</v>
      </c>
      <c r="D16" s="364">
        <v>195</v>
      </c>
      <c r="E16" s="362">
        <v>7.7399999999999997E-2</v>
      </c>
    </row>
    <row r="17" spans="2:5" ht="15.75" x14ac:dyDescent="0.25">
      <c r="B17" s="363">
        <v>2003</v>
      </c>
      <c r="C17" s="361">
        <v>322</v>
      </c>
      <c r="D17" s="364">
        <v>225</v>
      </c>
      <c r="E17" s="362">
        <v>0.15384999999999999</v>
      </c>
    </row>
    <row r="18" spans="2:5" ht="15.75" x14ac:dyDescent="0.25">
      <c r="B18" s="363">
        <v>2004</v>
      </c>
      <c r="C18" s="361">
        <v>357</v>
      </c>
      <c r="D18" s="364">
        <v>250</v>
      </c>
      <c r="E18" s="362">
        <v>0.11115</v>
      </c>
    </row>
    <row r="19" spans="2:5" ht="15.75" x14ac:dyDescent="0.25">
      <c r="B19" s="363">
        <v>2005</v>
      </c>
      <c r="C19" s="361">
        <v>429</v>
      </c>
      <c r="D19" s="364">
        <v>275</v>
      </c>
      <c r="E19" s="362">
        <v>0.1</v>
      </c>
    </row>
    <row r="20" spans="2:5" ht="15.75" x14ac:dyDescent="0.25">
      <c r="B20" s="363">
        <v>2006</v>
      </c>
      <c r="C20" s="361">
        <v>518</v>
      </c>
      <c r="D20" s="364">
        <v>290.64999999999998</v>
      </c>
      <c r="E20" s="362">
        <v>5.6899999999999999E-2</v>
      </c>
    </row>
    <row r="21" spans="2:5" ht="15.75" x14ac:dyDescent="0.25">
      <c r="B21" s="363">
        <v>2007</v>
      </c>
      <c r="C21" s="361">
        <v>599</v>
      </c>
      <c r="D21" s="364">
        <v>301.77999999999997</v>
      </c>
      <c r="E21" s="362">
        <v>3.8300000000000001E-2</v>
      </c>
    </row>
    <row r="22" spans="2:5" ht="15.75" x14ac:dyDescent="0.25">
      <c r="B22" s="363">
        <v>2008</v>
      </c>
      <c r="C22" s="361">
        <v>677</v>
      </c>
      <c r="D22" s="364">
        <v>325.17</v>
      </c>
      <c r="E22" s="362">
        <v>7.7499999999999999E-2</v>
      </c>
    </row>
    <row r="23" spans="2:5" ht="15.75" x14ac:dyDescent="0.25">
      <c r="B23" s="363">
        <v>2009</v>
      </c>
      <c r="C23" s="361">
        <v>734</v>
      </c>
      <c r="D23" s="364">
        <v>342.23</v>
      </c>
      <c r="E23" s="362">
        <v>5.2465770000000002E-2</v>
      </c>
    </row>
    <row r="24" spans="2:5" ht="15.75" x14ac:dyDescent="0.25">
      <c r="B24" s="363">
        <v>2010</v>
      </c>
      <c r="C24" s="361">
        <v>771</v>
      </c>
      <c r="D24" s="364">
        <f>D23*(1+E24)</f>
        <v>361.83977899999996</v>
      </c>
      <c r="E24" s="362">
        <v>5.7299999999999997E-2</v>
      </c>
    </row>
    <row r="25" spans="2:5" ht="15.75" x14ac:dyDescent="0.25">
      <c r="B25" s="363">
        <v>2011</v>
      </c>
      <c r="C25" s="361">
        <v>836</v>
      </c>
      <c r="D25" s="364">
        <f>D24*(1+E25)-0.01</f>
        <v>390.77696132</v>
      </c>
      <c r="E25" s="362">
        <v>0.08</v>
      </c>
    </row>
    <row r="26" spans="2:5" ht="15.75" x14ac:dyDescent="0.25">
      <c r="B26" s="363">
        <v>2012</v>
      </c>
      <c r="C26" s="361">
        <v>868</v>
      </c>
      <c r="D26" s="364">
        <f>D25*(1+E26)-0.01+0.01</f>
        <v>421.88280744107203</v>
      </c>
      <c r="E26" s="362">
        <v>7.9600000000000004E-2</v>
      </c>
    </row>
    <row r="27" spans="2:5" ht="15.75" x14ac:dyDescent="0.25">
      <c r="B27" s="363">
        <v>2013</v>
      </c>
      <c r="C27" s="361">
        <v>902</v>
      </c>
      <c r="D27" s="364">
        <v>452.34</v>
      </c>
      <c r="E27" s="362">
        <v>7.22E-2</v>
      </c>
    </row>
    <row r="28" spans="2:5" ht="15.75" x14ac:dyDescent="0.25">
      <c r="B28" s="363">
        <v>2014</v>
      </c>
      <c r="C28" s="361">
        <v>956</v>
      </c>
      <c r="D28" s="364">
        <v>477.53</v>
      </c>
      <c r="E28" s="362">
        <v>5.57E-2</v>
      </c>
    </row>
    <row r="29" spans="2:5" ht="15.75" x14ac:dyDescent="0.25">
      <c r="B29" s="363">
        <v>2015</v>
      </c>
      <c r="C29" s="361">
        <v>997</v>
      </c>
      <c r="D29" s="364">
        <v>482.31</v>
      </c>
      <c r="E29" s="362">
        <v>0.01</v>
      </c>
    </row>
    <row r="30" spans="2:5" ht="15.75" x14ac:dyDescent="0.25">
      <c r="B30" s="363">
        <v>2016</v>
      </c>
      <c r="C30" s="361">
        <v>1045</v>
      </c>
      <c r="D30" s="364">
        <f>D29*(1+E30)+0.01</f>
        <v>520.90480000000002</v>
      </c>
      <c r="E30" s="362">
        <v>0.08</v>
      </c>
    </row>
    <row r="31" spans="2:5" ht="15.75" x14ac:dyDescent="0.25">
      <c r="B31" s="363">
        <v>2017</v>
      </c>
      <c r="C31" s="361">
        <v>1081</v>
      </c>
      <c r="D31" s="364">
        <v>558.25</v>
      </c>
      <c r="E31" s="362">
        <v>7.17E-2</v>
      </c>
    </row>
    <row r="32" spans="2:5" ht="15.75" x14ac:dyDescent="0.25">
      <c r="B32" s="363">
        <v>2018</v>
      </c>
      <c r="C32" s="361">
        <v>1131</v>
      </c>
      <c r="D32" s="364">
        <v>599.28</v>
      </c>
      <c r="E32" s="362">
        <v>7.3499999999999996E-2</v>
      </c>
    </row>
    <row r="33" spans="2:6" ht="15.75" x14ac:dyDescent="0.25">
      <c r="B33" s="363">
        <v>2019</v>
      </c>
      <c r="C33" s="942"/>
      <c r="D33" s="364">
        <v>639.66999999999996</v>
      </c>
      <c r="E33" s="362">
        <v>6.7400000000000002E-2</v>
      </c>
      <c r="F33" s="122"/>
    </row>
    <row r="34" spans="2:6" s="366" customFormat="1" ht="15.75" x14ac:dyDescent="0.25">
      <c r="B34" s="1571" t="s">
        <v>7092</v>
      </c>
      <c r="C34" s="1572"/>
      <c r="D34" s="1573"/>
      <c r="E34" s="365">
        <f>SUM(E11:E33)/23</f>
        <v>7.2185468260869579E-2</v>
      </c>
    </row>
    <row r="35" spans="2:6" s="366" customFormat="1" ht="16.5" thickBot="1" x14ac:dyDescent="0.3">
      <c r="B35" s="367">
        <v>2020</v>
      </c>
      <c r="C35" s="368" t="s">
        <v>2941</v>
      </c>
      <c r="D35" s="369">
        <f>D33*(1+E34)</f>
        <v>685.84487848243043</v>
      </c>
      <c r="E35" s="370">
        <f>E34</f>
        <v>7.2185468260869579E-2</v>
      </c>
    </row>
    <row r="36" spans="2:6" ht="15.75" thickTop="1" x14ac:dyDescent="0.25"/>
    <row r="37" spans="2:6" x14ac:dyDescent="0.25">
      <c r="D37" s="371"/>
    </row>
  </sheetData>
  <mergeCells count="9">
    <mergeCell ref="B34:D34"/>
    <mergeCell ref="B1:E1"/>
    <mergeCell ref="B3:E3"/>
    <mergeCell ref="B5:E5"/>
    <mergeCell ref="AE1:AV1"/>
    <mergeCell ref="AE3:AV3"/>
    <mergeCell ref="AE5:AV5"/>
    <mergeCell ref="B7:E7"/>
    <mergeCell ref="B8:E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3"/>
  <sheetViews>
    <sheetView workbookViewId="0">
      <selection activeCell="L8" sqref="L8"/>
    </sheetView>
  </sheetViews>
  <sheetFormatPr defaultRowHeight="15" x14ac:dyDescent="0.25"/>
  <cols>
    <col min="1" max="1" width="3.85546875" customWidth="1"/>
    <col min="2" max="2" width="10" customWidth="1"/>
    <col min="3" max="3" width="10.140625" customWidth="1"/>
    <col min="9" max="9" width="11" customWidth="1"/>
    <col min="257" max="257" width="3.85546875" customWidth="1"/>
    <col min="258" max="258" width="10" customWidth="1"/>
    <col min="259" max="259" width="10.140625" customWidth="1"/>
    <col min="265" max="265" width="11" customWidth="1"/>
    <col min="513" max="513" width="3.85546875" customWidth="1"/>
    <col min="514" max="514" width="10" customWidth="1"/>
    <col min="515" max="515" width="10.140625" customWidth="1"/>
    <col min="521" max="521" width="11" customWidth="1"/>
    <col min="769" max="769" width="3.85546875" customWidth="1"/>
    <col min="770" max="770" width="10" customWidth="1"/>
    <col min="771" max="771" width="10.140625" customWidth="1"/>
    <col min="777" max="777" width="11" customWidth="1"/>
    <col min="1025" max="1025" width="3.85546875" customWidth="1"/>
    <col min="1026" max="1026" width="10" customWidth="1"/>
    <col min="1027" max="1027" width="10.140625" customWidth="1"/>
    <col min="1033" max="1033" width="11" customWidth="1"/>
    <col min="1281" max="1281" width="3.85546875" customWidth="1"/>
    <col min="1282" max="1282" width="10" customWidth="1"/>
    <col min="1283" max="1283" width="10.140625" customWidth="1"/>
    <col min="1289" max="1289" width="11" customWidth="1"/>
    <col min="1537" max="1537" width="3.85546875" customWidth="1"/>
    <col min="1538" max="1538" width="10" customWidth="1"/>
    <col min="1539" max="1539" width="10.140625" customWidth="1"/>
    <col min="1545" max="1545" width="11" customWidth="1"/>
    <col min="1793" max="1793" width="3.85546875" customWidth="1"/>
    <col min="1794" max="1794" width="10" customWidth="1"/>
    <col min="1795" max="1795" width="10.140625" customWidth="1"/>
    <col min="1801" max="1801" width="11" customWidth="1"/>
    <col min="2049" max="2049" width="3.85546875" customWidth="1"/>
    <col min="2050" max="2050" width="10" customWidth="1"/>
    <col min="2051" max="2051" width="10.140625" customWidth="1"/>
    <col min="2057" max="2057" width="11" customWidth="1"/>
    <col min="2305" max="2305" width="3.85546875" customWidth="1"/>
    <col min="2306" max="2306" width="10" customWidth="1"/>
    <col min="2307" max="2307" width="10.140625" customWidth="1"/>
    <col min="2313" max="2313" width="11" customWidth="1"/>
    <col min="2561" max="2561" width="3.85546875" customWidth="1"/>
    <col min="2562" max="2562" width="10" customWidth="1"/>
    <col min="2563" max="2563" width="10.140625" customWidth="1"/>
    <col min="2569" max="2569" width="11" customWidth="1"/>
    <col min="2817" max="2817" width="3.85546875" customWidth="1"/>
    <col min="2818" max="2818" width="10" customWidth="1"/>
    <col min="2819" max="2819" width="10.140625" customWidth="1"/>
    <col min="2825" max="2825" width="11" customWidth="1"/>
    <col min="3073" max="3073" width="3.85546875" customWidth="1"/>
    <col min="3074" max="3074" width="10" customWidth="1"/>
    <col min="3075" max="3075" width="10.140625" customWidth="1"/>
    <col min="3081" max="3081" width="11" customWidth="1"/>
    <col min="3329" max="3329" width="3.85546875" customWidth="1"/>
    <col min="3330" max="3330" width="10" customWidth="1"/>
    <col min="3331" max="3331" width="10.140625" customWidth="1"/>
    <col min="3337" max="3337" width="11" customWidth="1"/>
    <col min="3585" max="3585" width="3.85546875" customWidth="1"/>
    <col min="3586" max="3586" width="10" customWidth="1"/>
    <col min="3587" max="3587" width="10.140625" customWidth="1"/>
    <col min="3593" max="3593" width="11" customWidth="1"/>
    <col min="3841" max="3841" width="3.85546875" customWidth="1"/>
    <col min="3842" max="3842" width="10" customWidth="1"/>
    <col min="3843" max="3843" width="10.140625" customWidth="1"/>
    <col min="3849" max="3849" width="11" customWidth="1"/>
    <col min="4097" max="4097" width="3.85546875" customWidth="1"/>
    <col min="4098" max="4098" width="10" customWidth="1"/>
    <col min="4099" max="4099" width="10.140625" customWidth="1"/>
    <col min="4105" max="4105" width="11" customWidth="1"/>
    <col min="4353" max="4353" width="3.85546875" customWidth="1"/>
    <col min="4354" max="4354" width="10" customWidth="1"/>
    <col min="4355" max="4355" width="10.140625" customWidth="1"/>
    <col min="4361" max="4361" width="11" customWidth="1"/>
    <col min="4609" max="4609" width="3.85546875" customWidth="1"/>
    <col min="4610" max="4610" width="10" customWidth="1"/>
    <col min="4611" max="4611" width="10.140625" customWidth="1"/>
    <col min="4617" max="4617" width="11" customWidth="1"/>
    <col min="4865" max="4865" width="3.85546875" customWidth="1"/>
    <col min="4866" max="4866" width="10" customWidth="1"/>
    <col min="4867" max="4867" width="10.140625" customWidth="1"/>
    <col min="4873" max="4873" width="11" customWidth="1"/>
    <col min="5121" max="5121" width="3.85546875" customWidth="1"/>
    <col min="5122" max="5122" width="10" customWidth="1"/>
    <col min="5123" max="5123" width="10.140625" customWidth="1"/>
    <col min="5129" max="5129" width="11" customWidth="1"/>
    <col min="5377" max="5377" width="3.85546875" customWidth="1"/>
    <col min="5378" max="5378" width="10" customWidth="1"/>
    <col min="5379" max="5379" width="10.140625" customWidth="1"/>
    <col min="5385" max="5385" width="11" customWidth="1"/>
    <col min="5633" max="5633" width="3.85546875" customWidth="1"/>
    <col min="5634" max="5634" width="10" customWidth="1"/>
    <col min="5635" max="5635" width="10.140625" customWidth="1"/>
    <col min="5641" max="5641" width="11" customWidth="1"/>
    <col min="5889" max="5889" width="3.85546875" customWidth="1"/>
    <col min="5890" max="5890" width="10" customWidth="1"/>
    <col min="5891" max="5891" width="10.140625" customWidth="1"/>
    <col min="5897" max="5897" width="11" customWidth="1"/>
    <col min="6145" max="6145" width="3.85546875" customWidth="1"/>
    <col min="6146" max="6146" width="10" customWidth="1"/>
    <col min="6147" max="6147" width="10.140625" customWidth="1"/>
    <col min="6153" max="6153" width="11" customWidth="1"/>
    <col min="6401" max="6401" width="3.85546875" customWidth="1"/>
    <col min="6402" max="6402" width="10" customWidth="1"/>
    <col min="6403" max="6403" width="10.140625" customWidth="1"/>
    <col min="6409" max="6409" width="11" customWidth="1"/>
    <col min="6657" max="6657" width="3.85546875" customWidth="1"/>
    <col min="6658" max="6658" width="10" customWidth="1"/>
    <col min="6659" max="6659" width="10.140625" customWidth="1"/>
    <col min="6665" max="6665" width="11" customWidth="1"/>
    <col min="6913" max="6913" width="3.85546875" customWidth="1"/>
    <col min="6914" max="6914" width="10" customWidth="1"/>
    <col min="6915" max="6915" width="10.140625" customWidth="1"/>
    <col min="6921" max="6921" width="11" customWidth="1"/>
    <col min="7169" max="7169" width="3.85546875" customWidth="1"/>
    <col min="7170" max="7170" width="10" customWidth="1"/>
    <col min="7171" max="7171" width="10.140625" customWidth="1"/>
    <col min="7177" max="7177" width="11" customWidth="1"/>
    <col min="7425" max="7425" width="3.85546875" customWidth="1"/>
    <col min="7426" max="7426" width="10" customWidth="1"/>
    <col min="7427" max="7427" width="10.140625" customWidth="1"/>
    <col min="7433" max="7433" width="11" customWidth="1"/>
    <col min="7681" max="7681" width="3.85546875" customWidth="1"/>
    <col min="7682" max="7682" width="10" customWidth="1"/>
    <col min="7683" max="7683" width="10.140625" customWidth="1"/>
    <col min="7689" max="7689" width="11" customWidth="1"/>
    <col min="7937" max="7937" width="3.85546875" customWidth="1"/>
    <col min="7938" max="7938" width="10" customWidth="1"/>
    <col min="7939" max="7939" width="10.140625" customWidth="1"/>
    <col min="7945" max="7945" width="11" customWidth="1"/>
    <col min="8193" max="8193" width="3.85546875" customWidth="1"/>
    <col min="8194" max="8194" width="10" customWidth="1"/>
    <col min="8195" max="8195" width="10.140625" customWidth="1"/>
    <col min="8201" max="8201" width="11" customWidth="1"/>
    <col min="8449" max="8449" width="3.85546875" customWidth="1"/>
    <col min="8450" max="8450" width="10" customWidth="1"/>
    <col min="8451" max="8451" width="10.140625" customWidth="1"/>
    <col min="8457" max="8457" width="11" customWidth="1"/>
    <col min="8705" max="8705" width="3.85546875" customWidth="1"/>
    <col min="8706" max="8706" width="10" customWidth="1"/>
    <col min="8707" max="8707" width="10.140625" customWidth="1"/>
    <col min="8713" max="8713" width="11" customWidth="1"/>
    <col min="8961" max="8961" width="3.85546875" customWidth="1"/>
    <col min="8962" max="8962" width="10" customWidth="1"/>
    <col min="8963" max="8963" width="10.140625" customWidth="1"/>
    <col min="8969" max="8969" width="11" customWidth="1"/>
    <col min="9217" max="9217" width="3.85546875" customWidth="1"/>
    <col min="9218" max="9218" width="10" customWidth="1"/>
    <col min="9219" max="9219" width="10.140625" customWidth="1"/>
    <col min="9225" max="9225" width="11" customWidth="1"/>
    <col min="9473" max="9473" width="3.85546875" customWidth="1"/>
    <col min="9474" max="9474" width="10" customWidth="1"/>
    <col min="9475" max="9475" width="10.140625" customWidth="1"/>
    <col min="9481" max="9481" width="11" customWidth="1"/>
    <col min="9729" max="9729" width="3.85546875" customWidth="1"/>
    <col min="9730" max="9730" width="10" customWidth="1"/>
    <col min="9731" max="9731" width="10.140625" customWidth="1"/>
    <col min="9737" max="9737" width="11" customWidth="1"/>
    <col min="9985" max="9985" width="3.85546875" customWidth="1"/>
    <col min="9986" max="9986" width="10" customWidth="1"/>
    <col min="9987" max="9987" width="10.140625" customWidth="1"/>
    <col min="9993" max="9993" width="11" customWidth="1"/>
    <col min="10241" max="10241" width="3.85546875" customWidth="1"/>
    <col min="10242" max="10242" width="10" customWidth="1"/>
    <col min="10243" max="10243" width="10.140625" customWidth="1"/>
    <col min="10249" max="10249" width="11" customWidth="1"/>
    <col min="10497" max="10497" width="3.85546875" customWidth="1"/>
    <col min="10498" max="10498" width="10" customWidth="1"/>
    <col min="10499" max="10499" width="10.140625" customWidth="1"/>
    <col min="10505" max="10505" width="11" customWidth="1"/>
    <col min="10753" max="10753" width="3.85546875" customWidth="1"/>
    <col min="10754" max="10754" width="10" customWidth="1"/>
    <col min="10755" max="10755" width="10.140625" customWidth="1"/>
    <col min="10761" max="10761" width="11" customWidth="1"/>
    <col min="11009" max="11009" width="3.85546875" customWidth="1"/>
    <col min="11010" max="11010" width="10" customWidth="1"/>
    <col min="11011" max="11011" width="10.140625" customWidth="1"/>
    <col min="11017" max="11017" width="11" customWidth="1"/>
    <col min="11265" max="11265" width="3.85546875" customWidth="1"/>
    <col min="11266" max="11266" width="10" customWidth="1"/>
    <col min="11267" max="11267" width="10.140625" customWidth="1"/>
    <col min="11273" max="11273" width="11" customWidth="1"/>
    <col min="11521" max="11521" width="3.85546875" customWidth="1"/>
    <col min="11522" max="11522" width="10" customWidth="1"/>
    <col min="11523" max="11523" width="10.140625" customWidth="1"/>
    <col min="11529" max="11529" width="11" customWidth="1"/>
    <col min="11777" max="11777" width="3.85546875" customWidth="1"/>
    <col min="11778" max="11778" width="10" customWidth="1"/>
    <col min="11779" max="11779" width="10.140625" customWidth="1"/>
    <col min="11785" max="11785" width="11" customWidth="1"/>
    <col min="12033" max="12033" width="3.85546875" customWidth="1"/>
    <col min="12034" max="12034" width="10" customWidth="1"/>
    <col min="12035" max="12035" width="10.140625" customWidth="1"/>
    <col min="12041" max="12041" width="11" customWidth="1"/>
    <col min="12289" max="12289" width="3.85546875" customWidth="1"/>
    <col min="12290" max="12290" width="10" customWidth="1"/>
    <col min="12291" max="12291" width="10.140625" customWidth="1"/>
    <col min="12297" max="12297" width="11" customWidth="1"/>
    <col min="12545" max="12545" width="3.85546875" customWidth="1"/>
    <col min="12546" max="12546" width="10" customWidth="1"/>
    <col min="12547" max="12547" width="10.140625" customWidth="1"/>
    <col min="12553" max="12553" width="11" customWidth="1"/>
    <col min="12801" max="12801" width="3.85546875" customWidth="1"/>
    <col min="12802" max="12802" width="10" customWidth="1"/>
    <col min="12803" max="12803" width="10.140625" customWidth="1"/>
    <col min="12809" max="12809" width="11" customWidth="1"/>
    <col min="13057" max="13057" width="3.85546875" customWidth="1"/>
    <col min="13058" max="13058" width="10" customWidth="1"/>
    <col min="13059" max="13059" width="10.140625" customWidth="1"/>
    <col min="13065" max="13065" width="11" customWidth="1"/>
    <col min="13313" max="13313" width="3.85546875" customWidth="1"/>
    <col min="13314" max="13314" width="10" customWidth="1"/>
    <col min="13315" max="13315" width="10.140625" customWidth="1"/>
    <col min="13321" max="13321" width="11" customWidth="1"/>
    <col min="13569" max="13569" width="3.85546875" customWidth="1"/>
    <col min="13570" max="13570" width="10" customWidth="1"/>
    <col min="13571" max="13571" width="10.140625" customWidth="1"/>
    <col min="13577" max="13577" width="11" customWidth="1"/>
    <col min="13825" max="13825" width="3.85546875" customWidth="1"/>
    <col min="13826" max="13826" width="10" customWidth="1"/>
    <col min="13827" max="13827" width="10.140625" customWidth="1"/>
    <col min="13833" max="13833" width="11" customWidth="1"/>
    <col min="14081" max="14081" width="3.85546875" customWidth="1"/>
    <col min="14082" max="14082" width="10" customWidth="1"/>
    <col min="14083" max="14083" width="10.140625" customWidth="1"/>
    <col min="14089" max="14089" width="11" customWidth="1"/>
    <col min="14337" max="14337" width="3.85546875" customWidth="1"/>
    <col min="14338" max="14338" width="10" customWidth="1"/>
    <col min="14339" max="14339" width="10.140625" customWidth="1"/>
    <col min="14345" max="14345" width="11" customWidth="1"/>
    <col min="14593" max="14593" width="3.85546875" customWidth="1"/>
    <col min="14594" max="14594" width="10" customWidth="1"/>
    <col min="14595" max="14595" width="10.140625" customWidth="1"/>
    <col min="14601" max="14601" width="11" customWidth="1"/>
    <col min="14849" max="14849" width="3.85546875" customWidth="1"/>
    <col min="14850" max="14850" width="10" customWidth="1"/>
    <col min="14851" max="14851" width="10.140625" customWidth="1"/>
    <col min="14857" max="14857" width="11" customWidth="1"/>
    <col min="15105" max="15105" width="3.85546875" customWidth="1"/>
    <col min="15106" max="15106" width="10" customWidth="1"/>
    <col min="15107" max="15107" width="10.140625" customWidth="1"/>
    <col min="15113" max="15113" width="11" customWidth="1"/>
    <col min="15361" max="15361" width="3.85546875" customWidth="1"/>
    <col min="15362" max="15362" width="10" customWidth="1"/>
    <col min="15363" max="15363" width="10.140625" customWidth="1"/>
    <col min="15369" max="15369" width="11" customWidth="1"/>
    <col min="15617" max="15617" width="3.85546875" customWidth="1"/>
    <col min="15618" max="15618" width="10" customWidth="1"/>
    <col min="15619" max="15619" width="10.140625" customWidth="1"/>
    <col min="15625" max="15625" width="11" customWidth="1"/>
    <col min="15873" max="15873" width="3.85546875" customWidth="1"/>
    <col min="15874" max="15874" width="10" customWidth="1"/>
    <col min="15875" max="15875" width="10.140625" customWidth="1"/>
    <col min="15881" max="15881" width="11" customWidth="1"/>
    <col min="16129" max="16129" width="3.85546875" customWidth="1"/>
    <col min="16130" max="16130" width="10" customWidth="1"/>
    <col min="16131" max="16131" width="10.140625" customWidth="1"/>
    <col min="16137" max="16137" width="11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1466"/>
      <c r="AW1" s="1466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1466"/>
      <c r="AG3" s="1466"/>
      <c r="AH3" s="1466"/>
      <c r="AI3" s="1466"/>
      <c r="AJ3" s="1466"/>
      <c r="AK3" s="1466"/>
      <c r="AL3" s="1466"/>
      <c r="AM3" s="1466"/>
      <c r="AN3" s="1466"/>
      <c r="AO3" s="1466"/>
      <c r="AP3" s="1466"/>
      <c r="AQ3" s="1466"/>
      <c r="AR3" s="1466"/>
      <c r="AS3" s="1466"/>
      <c r="AT3" s="1466"/>
      <c r="AU3" s="1466"/>
      <c r="AV3" s="1466"/>
      <c r="AW3" s="1466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  <c r="AQ5" s="1470"/>
      <c r="AR5" s="1470"/>
      <c r="AS5" s="1470"/>
      <c r="AT5" s="1470"/>
      <c r="AU5" s="1470"/>
      <c r="AV5" s="1470"/>
      <c r="AW5" s="1470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s="410" customFormat="1" ht="21" x14ac:dyDescent="0.35">
      <c r="B6" s="415"/>
      <c r="C6" s="415"/>
      <c r="D6" s="415"/>
      <c r="E6" s="415"/>
      <c r="F6" s="415"/>
      <c r="G6" s="415"/>
      <c r="H6" s="415"/>
      <c r="I6" s="415"/>
      <c r="J6" s="415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5"/>
      <c r="AG6" s="415"/>
      <c r="AH6" s="415"/>
      <c r="AI6" s="415"/>
      <c r="AJ6" s="415"/>
      <c r="AK6" s="415"/>
      <c r="AL6" s="415"/>
      <c r="AM6" s="415"/>
      <c r="AN6" s="415"/>
      <c r="AO6" s="415"/>
      <c r="AP6" s="415"/>
      <c r="AQ6" s="415"/>
      <c r="AR6" s="415"/>
      <c r="AS6" s="415"/>
      <c r="AT6" s="415"/>
      <c r="AU6" s="415"/>
      <c r="AV6" s="415"/>
      <c r="AW6" s="415"/>
      <c r="AX6" s="414"/>
      <c r="AY6" s="414"/>
      <c r="AZ6" s="414"/>
      <c r="BA6" s="414"/>
      <c r="BB6" s="414"/>
      <c r="BC6" s="414"/>
      <c r="BD6" s="414"/>
      <c r="BE6" s="414"/>
      <c r="BF6" s="414"/>
      <c r="BG6" s="414"/>
      <c r="BH6" s="414"/>
    </row>
    <row r="7" spans="2:60" ht="21" x14ac:dyDescent="0.35">
      <c r="B7" s="1592" t="s">
        <v>2414</v>
      </c>
      <c r="C7" s="1592"/>
      <c r="D7" s="1592"/>
      <c r="E7" s="1592"/>
      <c r="F7" s="1592"/>
      <c r="G7" s="1592"/>
      <c r="H7" s="1592"/>
      <c r="I7" s="1592"/>
      <c r="J7" s="1592"/>
      <c r="K7" s="165"/>
      <c r="L7" s="165"/>
      <c r="M7" s="165"/>
    </row>
    <row r="8" spans="2:60" ht="21.75" thickBot="1" x14ac:dyDescent="0.4">
      <c r="B8" s="166"/>
      <c r="C8" s="166"/>
      <c r="D8" s="166"/>
      <c r="E8" s="166"/>
      <c r="F8" s="166"/>
      <c r="G8" s="166"/>
      <c r="H8" s="166"/>
      <c r="I8" s="166"/>
      <c r="J8" s="166"/>
      <c r="K8" s="165"/>
      <c r="L8" s="165"/>
      <c r="M8" s="165"/>
    </row>
    <row r="9" spans="2:60" x14ac:dyDescent="0.25">
      <c r="B9" s="1593" t="s">
        <v>7068</v>
      </c>
      <c r="C9" s="1594"/>
      <c r="D9" s="1594"/>
      <c r="E9" s="1594"/>
      <c r="F9" s="1594"/>
      <c r="G9" s="1594"/>
      <c r="H9" s="1594"/>
      <c r="I9" s="1595">
        <f>RCL!H30</f>
        <v>15783763.819999998</v>
      </c>
      <c r="J9" s="1596"/>
    </row>
    <row r="10" spans="2:60" x14ac:dyDescent="0.25">
      <c r="B10" s="1588" t="s">
        <v>2415</v>
      </c>
      <c r="C10" s="1589"/>
      <c r="D10" s="1589"/>
      <c r="E10" s="1589"/>
      <c r="F10" s="1589"/>
      <c r="G10" s="1589"/>
      <c r="H10" s="1589"/>
      <c r="I10" s="1590">
        <f>I9*1.2%-0.01</f>
        <v>189405.15583999996</v>
      </c>
      <c r="J10" s="1591"/>
    </row>
    <row r="11" spans="2:60" x14ac:dyDescent="0.25">
      <c r="B11" s="1575" t="s">
        <v>2416</v>
      </c>
      <c r="C11" s="1576"/>
      <c r="D11" s="1576"/>
      <c r="E11" s="1576"/>
      <c r="F11" s="1576"/>
      <c r="G11" s="1576"/>
      <c r="H11" s="1576"/>
      <c r="I11" s="1577"/>
      <c r="J11" s="167">
        <v>9</v>
      </c>
    </row>
    <row r="12" spans="2:60" x14ac:dyDescent="0.25">
      <c r="B12" s="1578" t="s">
        <v>2417</v>
      </c>
      <c r="C12" s="1579"/>
      <c r="D12" s="1580"/>
      <c r="E12" s="1581" t="s">
        <v>2418</v>
      </c>
      <c r="F12" s="1579"/>
      <c r="G12" s="1580"/>
      <c r="H12" s="1582" t="s">
        <v>2419</v>
      </c>
      <c r="I12" s="1582"/>
      <c r="J12" s="1583"/>
    </row>
    <row r="13" spans="2:60" ht="15.75" thickBot="1" x14ac:dyDescent="0.3">
      <c r="B13" s="1584">
        <f>I10/9</f>
        <v>21045.017315555553</v>
      </c>
      <c r="C13" s="1585"/>
      <c r="D13" s="1585"/>
      <c r="E13" s="1586">
        <f>B13*50%+0.01</f>
        <v>10522.518657777777</v>
      </c>
      <c r="F13" s="1585"/>
      <c r="G13" s="1585"/>
      <c r="H13" s="1586">
        <f>B13-E13+0.01</f>
        <v>10522.508657777777</v>
      </c>
      <c r="I13" s="1585"/>
      <c r="J13" s="1587"/>
    </row>
  </sheetData>
  <mergeCells count="18">
    <mergeCell ref="AF1:AW1"/>
    <mergeCell ref="AF3:AW3"/>
    <mergeCell ref="AF5:AW5"/>
    <mergeCell ref="B5:J5"/>
    <mergeCell ref="B10:H10"/>
    <mergeCell ref="I10:J10"/>
    <mergeCell ref="B1:J1"/>
    <mergeCell ref="B3:J3"/>
    <mergeCell ref="B7:J7"/>
    <mergeCell ref="B9:H9"/>
    <mergeCell ref="I9:J9"/>
    <mergeCell ref="B11:I11"/>
    <mergeCell ref="B12:D12"/>
    <mergeCell ref="E12:G12"/>
    <mergeCell ref="H12:J12"/>
    <mergeCell ref="B13:D13"/>
    <mergeCell ref="E13:G13"/>
    <mergeCell ref="H13:J1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8"/>
  <sheetViews>
    <sheetView topLeftCell="A55" workbookViewId="0">
      <selection activeCell="E73" sqref="E73"/>
    </sheetView>
  </sheetViews>
  <sheetFormatPr defaultRowHeight="15" x14ac:dyDescent="0.25"/>
  <cols>
    <col min="1" max="1" width="2.28515625" customWidth="1"/>
    <col min="2" max="2" width="40.28515625" customWidth="1"/>
    <col min="3" max="3" width="18.28515625" customWidth="1"/>
    <col min="4" max="4" width="12.42578125" style="664" customWidth="1"/>
    <col min="5" max="5" width="17.28515625" style="26" customWidth="1"/>
  </cols>
  <sheetData>
    <row r="1" spans="2:9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</row>
    <row r="2" spans="2:9" s="410" customFormat="1" ht="12.75" customHeight="1" x14ac:dyDescent="0.35">
      <c r="D2" s="412"/>
      <c r="F2" s="412"/>
    </row>
    <row r="3" spans="2:9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</row>
    <row r="4" spans="2:9" s="410" customFormat="1" ht="10.5" customHeight="1" x14ac:dyDescent="0.35">
      <c r="D4" s="412"/>
      <c r="F4" s="412"/>
    </row>
    <row r="5" spans="2:9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</row>
    <row r="6" spans="2:9" x14ac:dyDescent="0.25">
      <c r="B6" s="662"/>
      <c r="C6" s="662"/>
      <c r="D6" s="665"/>
      <c r="E6" s="662"/>
    </row>
    <row r="7" spans="2:9" ht="21" x14ac:dyDescent="0.35">
      <c r="B7" s="1516" t="s">
        <v>7065</v>
      </c>
      <c r="C7" s="1516"/>
      <c r="D7" s="1516"/>
      <c r="E7" s="1516"/>
    </row>
    <row r="8" spans="2:9" x14ac:dyDescent="0.25">
      <c r="B8" s="662"/>
      <c r="C8" s="662"/>
      <c r="D8" s="665"/>
      <c r="E8" s="662"/>
    </row>
    <row r="9" spans="2:9" s="30" customFormat="1" ht="33" customHeight="1" x14ac:dyDescent="0.25">
      <c r="B9" s="1597" t="s">
        <v>1777</v>
      </c>
      <c r="C9" s="1597" t="s">
        <v>1780</v>
      </c>
      <c r="D9" s="1597" t="s">
        <v>5194</v>
      </c>
      <c r="E9" s="29" t="s">
        <v>5199</v>
      </c>
    </row>
    <row r="10" spans="2:9" s="30" customFormat="1" ht="24.75" customHeight="1" x14ac:dyDescent="0.25">
      <c r="B10" s="1597"/>
      <c r="C10" s="1597"/>
      <c r="D10" s="1597"/>
      <c r="E10" s="669">
        <v>279670.3</v>
      </c>
    </row>
    <row r="11" spans="2:9" x14ac:dyDescent="0.25">
      <c r="B11" s="12" t="s">
        <v>1781</v>
      </c>
      <c r="C11" s="524">
        <v>0</v>
      </c>
      <c r="D11" s="588">
        <f>C11/C$68</f>
        <v>0</v>
      </c>
      <c r="E11" s="25">
        <f>E$10*D11</f>
        <v>0</v>
      </c>
    </row>
    <row r="12" spans="2:9" x14ac:dyDescent="0.25">
      <c r="C12" s="663"/>
      <c r="D12" s="523"/>
    </row>
    <row r="13" spans="2:9" x14ac:dyDescent="0.25">
      <c r="C13" s="663"/>
      <c r="D13" s="523"/>
    </row>
    <row r="14" spans="2:9" x14ac:dyDescent="0.25">
      <c r="B14" t="s">
        <v>1782</v>
      </c>
      <c r="C14" s="663">
        <v>0</v>
      </c>
      <c r="D14" s="588">
        <f>C14/C$68</f>
        <v>0</v>
      </c>
      <c r="E14" s="25">
        <f>E$10*D14</f>
        <v>0</v>
      </c>
    </row>
    <row r="15" spans="2:9" x14ac:dyDescent="0.25">
      <c r="C15" s="663"/>
      <c r="D15" s="523"/>
    </row>
    <row r="16" spans="2:9" x14ac:dyDescent="0.25">
      <c r="C16" s="663"/>
      <c r="D16" s="523"/>
    </row>
    <row r="17" spans="2:5" x14ac:dyDescent="0.25">
      <c r="B17" t="s">
        <v>1783</v>
      </c>
      <c r="C17" s="663">
        <v>0</v>
      </c>
      <c r="D17" s="588">
        <f>C17/C$68</f>
        <v>0</v>
      </c>
      <c r="E17" s="25">
        <f>E$10*D17</f>
        <v>0</v>
      </c>
    </row>
    <row r="18" spans="2:5" x14ac:dyDescent="0.25">
      <c r="C18" s="663"/>
      <c r="D18" s="523"/>
    </row>
    <row r="19" spans="2:5" x14ac:dyDescent="0.25">
      <c r="C19" s="663"/>
      <c r="D19" s="523"/>
    </row>
    <row r="20" spans="2:5" x14ac:dyDescent="0.25">
      <c r="B20" t="s">
        <v>1784</v>
      </c>
      <c r="C20" s="663">
        <v>0</v>
      </c>
      <c r="D20" s="588">
        <f>C20/C$68</f>
        <v>0</v>
      </c>
      <c r="E20" s="25">
        <f>E$10*D20</f>
        <v>0</v>
      </c>
    </row>
    <row r="21" spans="2:5" x14ac:dyDescent="0.25">
      <c r="C21" s="663"/>
      <c r="D21" s="523"/>
    </row>
    <row r="22" spans="2:5" x14ac:dyDescent="0.25">
      <c r="C22" s="663"/>
      <c r="D22" s="523"/>
    </row>
    <row r="23" spans="2:5" x14ac:dyDescent="0.25">
      <c r="B23" t="s">
        <v>1785</v>
      </c>
      <c r="C23" s="663">
        <v>0</v>
      </c>
      <c r="D23" s="588">
        <f>C23/C$68</f>
        <v>0</v>
      </c>
      <c r="E23" s="25">
        <f>E$10*D23</f>
        <v>0</v>
      </c>
    </row>
    <row r="24" spans="2:5" x14ac:dyDescent="0.25">
      <c r="C24" s="663"/>
      <c r="D24" s="523"/>
    </row>
    <row r="25" spans="2:5" x14ac:dyDescent="0.25">
      <c r="C25" s="663"/>
      <c r="D25" s="523"/>
    </row>
    <row r="26" spans="2:5" x14ac:dyDescent="0.25">
      <c r="B26" t="s">
        <v>1786</v>
      </c>
      <c r="C26" s="525">
        <f>PUER!D284</f>
        <v>117</v>
      </c>
      <c r="D26" s="588">
        <f>C26/C$68</f>
        <v>0.17256637168141592</v>
      </c>
      <c r="E26" s="25">
        <f>E$10*D26</f>
        <v>48261.688938053092</v>
      </c>
    </row>
    <row r="27" spans="2:5" x14ac:dyDescent="0.25">
      <c r="C27" s="663"/>
      <c r="D27" s="523"/>
    </row>
    <row r="28" spans="2:5" x14ac:dyDescent="0.25">
      <c r="C28" s="663"/>
      <c r="D28" s="523"/>
    </row>
    <row r="29" spans="2:5" x14ac:dyDescent="0.25">
      <c r="B29" t="s">
        <v>1787</v>
      </c>
      <c r="C29" s="663">
        <v>0</v>
      </c>
      <c r="D29" s="588">
        <f>C29/C$68</f>
        <v>0</v>
      </c>
      <c r="E29" s="25">
        <f>E$10*D29</f>
        <v>0</v>
      </c>
    </row>
    <row r="30" spans="2:5" x14ac:dyDescent="0.25">
      <c r="C30" s="663"/>
      <c r="D30" s="523"/>
    </row>
    <row r="31" spans="2:5" x14ac:dyDescent="0.25">
      <c r="C31" s="663"/>
      <c r="D31" s="523"/>
    </row>
    <row r="32" spans="2:5" x14ac:dyDescent="0.25">
      <c r="B32" t="s">
        <v>1788</v>
      </c>
      <c r="C32" s="525">
        <f>PUER!D285</f>
        <v>253</v>
      </c>
      <c r="D32" s="588">
        <f>C32/C$68</f>
        <v>0.37315634218289084</v>
      </c>
      <c r="E32" s="25">
        <f>E$10*D32</f>
        <v>104360.74616519173</v>
      </c>
    </row>
    <row r="33" spans="2:5" x14ac:dyDescent="0.25">
      <c r="C33" s="663"/>
      <c r="D33" s="523"/>
    </row>
    <row r="34" spans="2:5" x14ac:dyDescent="0.25">
      <c r="C34" s="663"/>
      <c r="D34" s="523"/>
    </row>
    <row r="35" spans="2:5" x14ac:dyDescent="0.25">
      <c r="B35" t="s">
        <v>1789</v>
      </c>
      <c r="C35" s="663">
        <v>0</v>
      </c>
      <c r="D35" s="588">
        <f>C35/C$68</f>
        <v>0</v>
      </c>
      <c r="E35" s="25">
        <f>E$10*D35</f>
        <v>0</v>
      </c>
    </row>
    <row r="36" spans="2:5" x14ac:dyDescent="0.25">
      <c r="C36" s="663"/>
      <c r="D36" s="523"/>
    </row>
    <row r="37" spans="2:5" x14ac:dyDescent="0.25">
      <c r="C37" s="663"/>
      <c r="D37" s="523"/>
    </row>
    <row r="38" spans="2:5" x14ac:dyDescent="0.25">
      <c r="B38" t="s">
        <v>1790</v>
      </c>
      <c r="C38" s="525">
        <f>PUER!D287</f>
        <v>224</v>
      </c>
      <c r="D38" s="588">
        <f>C38/C$68</f>
        <v>0.3303834808259587</v>
      </c>
      <c r="E38" s="25">
        <f>E$10*D38</f>
        <v>92398.447197640111</v>
      </c>
    </row>
    <row r="39" spans="2:5" x14ac:dyDescent="0.25">
      <c r="C39" s="663"/>
      <c r="D39" s="523"/>
    </row>
    <row r="40" spans="2:5" x14ac:dyDescent="0.25">
      <c r="C40" s="663"/>
      <c r="D40" s="523"/>
    </row>
    <row r="41" spans="2:5" x14ac:dyDescent="0.25">
      <c r="B41" t="s">
        <v>1791</v>
      </c>
      <c r="C41" s="663">
        <v>0</v>
      </c>
      <c r="D41" s="588">
        <f>C41/C$68</f>
        <v>0</v>
      </c>
      <c r="E41" s="25">
        <f>E$10*D41</f>
        <v>0</v>
      </c>
    </row>
    <row r="42" spans="2:5" x14ac:dyDescent="0.25">
      <c r="C42" s="663"/>
      <c r="D42" s="523"/>
    </row>
    <row r="43" spans="2:5" x14ac:dyDescent="0.25">
      <c r="C43" s="663"/>
      <c r="D43" s="523"/>
    </row>
    <row r="44" spans="2:5" x14ac:dyDescent="0.25">
      <c r="B44" t="s">
        <v>1792</v>
      </c>
      <c r="C44" s="663">
        <v>0</v>
      </c>
      <c r="D44" s="588">
        <f>C44/C$68</f>
        <v>0</v>
      </c>
      <c r="E44" s="25">
        <f>E$10*D44</f>
        <v>0</v>
      </c>
    </row>
    <row r="45" spans="2:5" x14ac:dyDescent="0.25">
      <c r="C45" s="663"/>
      <c r="D45" s="523"/>
    </row>
    <row r="46" spans="2:5" x14ac:dyDescent="0.25">
      <c r="C46" s="663"/>
      <c r="D46" s="523"/>
    </row>
    <row r="47" spans="2:5" x14ac:dyDescent="0.25">
      <c r="B47" t="s">
        <v>1793</v>
      </c>
      <c r="C47" s="663">
        <v>0</v>
      </c>
      <c r="D47" s="588">
        <f>C47/C$68</f>
        <v>0</v>
      </c>
      <c r="E47" s="25">
        <f>E$10*D47</f>
        <v>0</v>
      </c>
    </row>
    <row r="48" spans="2:5" x14ac:dyDescent="0.25">
      <c r="C48" s="663"/>
      <c r="D48" s="523"/>
    </row>
    <row r="49" spans="2:5" x14ac:dyDescent="0.25">
      <c r="C49" s="663"/>
      <c r="D49" s="523"/>
    </row>
    <row r="50" spans="2:5" x14ac:dyDescent="0.25">
      <c r="B50" t="s">
        <v>1794</v>
      </c>
      <c r="C50" s="663">
        <v>0</v>
      </c>
      <c r="D50" s="588">
        <f>C50/C$68</f>
        <v>0</v>
      </c>
      <c r="E50" s="25">
        <f>E$10*D50</f>
        <v>0</v>
      </c>
    </row>
    <row r="51" spans="2:5" x14ac:dyDescent="0.25">
      <c r="C51" s="663"/>
      <c r="D51" s="523"/>
    </row>
    <row r="52" spans="2:5" x14ac:dyDescent="0.25">
      <c r="C52" s="663"/>
      <c r="D52" s="523"/>
    </row>
    <row r="53" spans="2:5" x14ac:dyDescent="0.25">
      <c r="C53" s="663"/>
      <c r="D53" s="523"/>
    </row>
    <row r="54" spans="2:5" x14ac:dyDescent="0.25">
      <c r="B54" t="s">
        <v>1795</v>
      </c>
      <c r="C54" s="663">
        <v>0</v>
      </c>
      <c r="D54" s="588">
        <f>C54/C$68</f>
        <v>0</v>
      </c>
      <c r="E54" s="25">
        <f>E$10*D54</f>
        <v>0</v>
      </c>
    </row>
    <row r="55" spans="2:5" x14ac:dyDescent="0.25">
      <c r="C55" s="663"/>
      <c r="D55" s="523"/>
    </row>
    <row r="56" spans="2:5" x14ac:dyDescent="0.25">
      <c r="C56" s="663"/>
      <c r="D56" s="523"/>
    </row>
    <row r="57" spans="2:5" x14ac:dyDescent="0.25">
      <c r="B57" t="s">
        <v>1796</v>
      </c>
      <c r="C57" s="525">
        <f>PUER!D289</f>
        <v>47</v>
      </c>
      <c r="D57" s="588">
        <f>C57/C$68</f>
        <v>6.9321533923303841E-2</v>
      </c>
      <c r="E57" s="25">
        <f>E$10*D57</f>
        <v>19387.174188790563</v>
      </c>
    </row>
    <row r="58" spans="2:5" x14ac:dyDescent="0.25">
      <c r="C58" s="663"/>
      <c r="D58" s="523"/>
    </row>
    <row r="59" spans="2:5" x14ac:dyDescent="0.25">
      <c r="C59" s="663"/>
      <c r="D59" s="523"/>
    </row>
    <row r="60" spans="2:5" x14ac:dyDescent="0.25">
      <c r="B60" t="s">
        <v>1797</v>
      </c>
      <c r="C60" s="663">
        <v>0</v>
      </c>
      <c r="D60" s="588">
        <f>C60/C$68</f>
        <v>0</v>
      </c>
      <c r="E60" s="25">
        <f>E$10*D60</f>
        <v>0</v>
      </c>
    </row>
    <row r="61" spans="2:5" x14ac:dyDescent="0.25">
      <c r="C61" s="663"/>
      <c r="D61" s="523"/>
    </row>
    <row r="62" spans="2:5" x14ac:dyDescent="0.25">
      <c r="C62" s="663"/>
      <c r="D62" s="523"/>
    </row>
    <row r="63" spans="2:5" x14ac:dyDescent="0.25">
      <c r="B63" t="s">
        <v>1798</v>
      </c>
      <c r="C63" s="525">
        <f>PUER!D288</f>
        <v>37</v>
      </c>
      <c r="D63" s="588">
        <f>C63/C$68</f>
        <v>5.4572271386430678E-2</v>
      </c>
      <c r="E63" s="25">
        <f>E$10*D63</f>
        <v>15262.243510324482</v>
      </c>
    </row>
    <row r="64" spans="2:5" x14ac:dyDescent="0.25">
      <c r="C64" s="663"/>
      <c r="D64" s="523"/>
    </row>
    <row r="65" spans="2:5" x14ac:dyDescent="0.25">
      <c r="C65" s="663"/>
      <c r="D65" s="588"/>
    </row>
    <row r="66" spans="2:5" x14ac:dyDescent="0.25">
      <c r="B66" t="s">
        <v>1799</v>
      </c>
      <c r="C66" s="663">
        <v>0</v>
      </c>
      <c r="D66" s="588">
        <f>C66/C$68</f>
        <v>0</v>
      </c>
      <c r="E66" s="25">
        <f>E$10*D66</f>
        <v>0</v>
      </c>
    </row>
    <row r="67" spans="2:5" x14ac:dyDescent="0.25">
      <c r="C67" s="663"/>
    </row>
    <row r="68" spans="2:5" x14ac:dyDescent="0.25">
      <c r="B68" s="125" t="s">
        <v>1575</v>
      </c>
      <c r="C68" s="668">
        <f>SUM(C11:C67)</f>
        <v>678</v>
      </c>
      <c r="D68" s="125"/>
      <c r="E68" s="25">
        <f>SUM(E11:E67)</f>
        <v>279670.3</v>
      </c>
    </row>
  </sheetData>
  <mergeCells count="7">
    <mergeCell ref="B1:E1"/>
    <mergeCell ref="B3:E3"/>
    <mergeCell ref="B5:E5"/>
    <mergeCell ref="B7:E7"/>
    <mergeCell ref="B9:B10"/>
    <mergeCell ref="C9:C10"/>
    <mergeCell ref="D9:D1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H14" sqref="H14"/>
    </sheetView>
  </sheetViews>
  <sheetFormatPr defaultRowHeight="15" x14ac:dyDescent="0.25"/>
  <cols>
    <col min="1" max="1" width="2.28515625" customWidth="1"/>
    <col min="2" max="2" width="40.28515625" customWidth="1"/>
    <col min="3" max="3" width="21.140625" customWidth="1"/>
    <col min="4" max="4" width="12.42578125" style="664" customWidth="1"/>
    <col min="5" max="5" width="17.28515625" style="26" customWidth="1"/>
  </cols>
  <sheetData>
    <row r="1" spans="2:9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</row>
    <row r="2" spans="2:9" s="410" customFormat="1" ht="12.75" customHeight="1" x14ac:dyDescent="0.35">
      <c r="D2" s="412"/>
      <c r="F2" s="412"/>
    </row>
    <row r="3" spans="2:9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</row>
    <row r="4" spans="2:9" s="410" customFormat="1" ht="10.5" customHeight="1" x14ac:dyDescent="0.35">
      <c r="D4" s="412"/>
      <c r="F4" s="412"/>
    </row>
    <row r="5" spans="2:9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</row>
    <row r="6" spans="2:9" x14ac:dyDescent="0.25">
      <c r="B6" s="662"/>
      <c r="C6" s="662"/>
      <c r="D6" s="665"/>
      <c r="E6" s="662"/>
    </row>
    <row r="7" spans="2:9" ht="21" x14ac:dyDescent="0.35">
      <c r="B7" s="1516" t="s">
        <v>7065</v>
      </c>
      <c r="C7" s="1516"/>
      <c r="D7" s="1516"/>
      <c r="E7" s="1516"/>
    </row>
    <row r="8" spans="2:9" x14ac:dyDescent="0.25">
      <c r="B8" s="662"/>
      <c r="C8" s="662"/>
      <c r="D8" s="665"/>
      <c r="E8" s="662"/>
    </row>
    <row r="9" spans="2:9" s="30" customFormat="1" ht="33" customHeight="1" x14ac:dyDescent="0.25">
      <c r="B9" s="1597" t="s">
        <v>1777</v>
      </c>
      <c r="C9" s="1597" t="s">
        <v>5195</v>
      </c>
      <c r="D9" s="1597" t="s">
        <v>5194</v>
      </c>
      <c r="E9" s="29" t="s">
        <v>5199</v>
      </c>
    </row>
    <row r="10" spans="2:9" s="30" customFormat="1" ht="24.75" customHeight="1" x14ac:dyDescent="0.25">
      <c r="B10" s="1597"/>
      <c r="C10" s="1597"/>
      <c r="D10" s="1597"/>
      <c r="E10" s="669">
        <v>179470.29</v>
      </c>
    </row>
    <row r="11" spans="2:9" x14ac:dyDescent="0.25">
      <c r="B11" s="12" t="s">
        <v>5196</v>
      </c>
      <c r="C11" s="671">
        <v>11287.19</v>
      </c>
      <c r="D11" s="674">
        <f>C11/C$14</f>
        <v>0.76028799793074742</v>
      </c>
      <c r="E11" s="25">
        <f>E$10*D11</f>
        <v>136449.10747215064</v>
      </c>
    </row>
    <row r="12" spans="2:9" ht="15.75" x14ac:dyDescent="0.25">
      <c r="B12" s="670" t="s">
        <v>5197</v>
      </c>
      <c r="C12" s="672">
        <v>1221.8900000000001</v>
      </c>
      <c r="D12" s="674">
        <f>C12/C$14</f>
        <v>8.2304657030811121E-2</v>
      </c>
      <c r="E12" s="25">
        <f>E$10*D12</f>
        <v>14771.240665670211</v>
      </c>
    </row>
    <row r="13" spans="2:9" x14ac:dyDescent="0.25">
      <c r="B13" t="s">
        <v>5198</v>
      </c>
      <c r="C13" s="672">
        <v>2336.86</v>
      </c>
      <c r="D13" s="674">
        <f>C13/C$14</f>
        <v>0.15740734503844148</v>
      </c>
      <c r="E13" s="25">
        <f>E$10*D13</f>
        <v>28249.941862179156</v>
      </c>
    </row>
    <row r="14" spans="2:9" x14ac:dyDescent="0.25">
      <c r="B14" s="125" t="s">
        <v>1575</v>
      </c>
      <c r="C14" s="673">
        <f>SUM(C11:C13)</f>
        <v>14845.94</v>
      </c>
      <c r="D14" s="675">
        <f>SUM(D11:D13)</f>
        <v>1</v>
      </c>
      <c r="E14" s="25">
        <f>SUM(E11:E13)</f>
        <v>179470.29000000004</v>
      </c>
    </row>
  </sheetData>
  <mergeCells count="7">
    <mergeCell ref="B1:E1"/>
    <mergeCell ref="B3:E3"/>
    <mergeCell ref="B5:E5"/>
    <mergeCell ref="B7:E7"/>
    <mergeCell ref="B9:B10"/>
    <mergeCell ref="C9:C10"/>
    <mergeCell ref="D9:D10"/>
  </mergeCells>
  <pageMargins left="0.51181102362204722" right="0.51181102362204722" top="0.78740157480314965" bottom="0.78740157480314965" header="0.31496062992125984" footer="0.31496062992125984"/>
  <pageSetup paperSize="9" scale="8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65"/>
  <sheetViews>
    <sheetView topLeftCell="A83" workbookViewId="0">
      <selection activeCell="H184" sqref="H184"/>
    </sheetView>
  </sheetViews>
  <sheetFormatPr defaultRowHeight="20.100000000000001" customHeight="1" x14ac:dyDescent="0.25"/>
  <cols>
    <col min="1" max="1" width="3" customWidth="1"/>
    <col min="2" max="2" width="10.5703125" style="1336" customWidth="1"/>
    <col min="3" max="3" width="16.28515625" style="1335" customWidth="1"/>
    <col min="4" max="4" width="65.85546875" style="1336" customWidth="1"/>
    <col min="5" max="5" width="9.140625" style="1335"/>
    <col min="6" max="6" width="17.5703125" customWidth="1"/>
    <col min="7" max="7" width="17.28515625" customWidth="1"/>
    <col min="8" max="8" width="14.28515625" bestFit="1" customWidth="1"/>
    <col min="9" max="9" width="17.42578125" customWidth="1"/>
    <col min="10" max="10" width="14.28515625" style="120" bestFit="1" customWidth="1"/>
    <col min="11" max="11" width="16.28515625" style="120" customWidth="1"/>
    <col min="12" max="12" width="9.5703125" bestFit="1" customWidth="1"/>
  </cols>
  <sheetData>
    <row r="1" spans="2:11" ht="15" x14ac:dyDescent="0.25">
      <c r="B1" s="616" t="s">
        <v>7707</v>
      </c>
    </row>
    <row r="2" spans="2:11" ht="30" x14ac:dyDescent="0.25">
      <c r="B2" s="1343" t="s">
        <v>2967</v>
      </c>
      <c r="C2" s="1343" t="s">
        <v>472</v>
      </c>
      <c r="D2" s="1343" t="s">
        <v>2968</v>
      </c>
      <c r="E2" s="1343" t="s">
        <v>1403</v>
      </c>
      <c r="F2" s="1081">
        <v>2017</v>
      </c>
      <c r="G2" s="1081">
        <f>F2+1</f>
        <v>2018</v>
      </c>
      <c r="H2" s="1081">
        <f>G2+1</f>
        <v>2019</v>
      </c>
      <c r="I2" s="1082" t="s">
        <v>7336</v>
      </c>
      <c r="J2" s="1342" t="s">
        <v>7335</v>
      </c>
      <c r="K2" s="1342" t="s">
        <v>7334</v>
      </c>
    </row>
    <row r="3" spans="2:11" s="12" customFormat="1" ht="15" x14ac:dyDescent="0.25">
      <c r="B3" s="1345" t="s">
        <v>2950</v>
      </c>
      <c r="C3" s="1343" t="s">
        <v>2951</v>
      </c>
      <c r="D3" s="1345" t="s">
        <v>2952</v>
      </c>
      <c r="E3" s="1343"/>
      <c r="F3" s="1350">
        <f>F4+F5+F6+F7+F8++F9+F10</f>
        <v>126110.6</v>
      </c>
      <c r="G3" s="1350">
        <f>G4+G5+G6+G7+G8++G9+G10</f>
        <v>46231.67</v>
      </c>
      <c r="H3" s="1350">
        <f>H4+H5+H6+H7+H8++H9+H10</f>
        <v>1.04</v>
      </c>
      <c r="I3" s="33">
        <f t="shared" ref="I3:I31" si="0">(F3+G3+H3)/3</f>
        <v>57447.770000000011</v>
      </c>
      <c r="J3" s="1338">
        <f t="shared" ref="J3:J31" si="1">(G3/F3)+(H3/G3)/2</f>
        <v>0.36660747355352596</v>
      </c>
      <c r="K3" s="1338">
        <f t="shared" ref="K3:K31" si="2">I3/I$31</f>
        <v>0.11663053742988076</v>
      </c>
    </row>
    <row r="4" spans="2:11" s="1" customFormat="1" ht="15" x14ac:dyDescent="0.25">
      <c r="B4" s="1347">
        <v>1</v>
      </c>
      <c r="C4" s="1354">
        <v>333904700000000</v>
      </c>
      <c r="D4" s="1347" t="s">
        <v>2953</v>
      </c>
      <c r="E4" s="1354">
        <v>1</v>
      </c>
      <c r="F4" s="1346">
        <v>0</v>
      </c>
      <c r="G4" s="1346">
        <v>0</v>
      </c>
      <c r="H4" s="1346">
        <v>0</v>
      </c>
      <c r="I4" s="612">
        <f t="shared" si="0"/>
        <v>0</v>
      </c>
      <c r="J4" s="1340" t="e">
        <f t="shared" si="1"/>
        <v>#DIV/0!</v>
      </c>
      <c r="K4" s="1340">
        <f t="shared" si="2"/>
        <v>0</v>
      </c>
    </row>
    <row r="5" spans="2:11" ht="15" x14ac:dyDescent="0.25">
      <c r="B5" s="1344">
        <v>100</v>
      </c>
      <c r="C5" s="1352">
        <v>344903000000000</v>
      </c>
      <c r="D5" s="1344" t="s">
        <v>2954</v>
      </c>
      <c r="E5" s="1352">
        <v>1</v>
      </c>
      <c r="F5" s="643">
        <v>0</v>
      </c>
      <c r="G5" s="643">
        <v>0</v>
      </c>
      <c r="H5" s="643">
        <v>0</v>
      </c>
      <c r="I5" s="612">
        <f t="shared" si="0"/>
        <v>0</v>
      </c>
      <c r="J5" s="1340" t="e">
        <f t="shared" si="1"/>
        <v>#DIV/0!</v>
      </c>
      <c r="K5" s="1340">
        <f t="shared" si="2"/>
        <v>0</v>
      </c>
    </row>
    <row r="6" spans="2:11" ht="15" x14ac:dyDescent="0.25">
      <c r="B6" s="1344">
        <v>200</v>
      </c>
      <c r="C6" s="1352">
        <v>344903600000000</v>
      </c>
      <c r="D6" s="1344" t="s">
        <v>2955</v>
      </c>
      <c r="E6" s="1352">
        <v>1</v>
      </c>
      <c r="F6" s="643">
        <v>0</v>
      </c>
      <c r="G6" s="643">
        <v>0</v>
      </c>
      <c r="H6" s="643">
        <v>0</v>
      </c>
      <c r="I6" s="612">
        <f t="shared" si="0"/>
        <v>0</v>
      </c>
      <c r="J6" s="1340" t="e">
        <f t="shared" si="1"/>
        <v>#DIV/0!</v>
      </c>
      <c r="K6" s="1340">
        <f t="shared" si="2"/>
        <v>0</v>
      </c>
    </row>
    <row r="7" spans="2:11" ht="15" x14ac:dyDescent="0.25">
      <c r="B7" s="1344">
        <v>300</v>
      </c>
      <c r="C7" s="1352">
        <v>344903900000000</v>
      </c>
      <c r="D7" s="1344" t="s">
        <v>2956</v>
      </c>
      <c r="E7" s="1352">
        <v>1</v>
      </c>
      <c r="F7" s="643">
        <v>439.82</v>
      </c>
      <c r="G7" s="643">
        <v>0</v>
      </c>
      <c r="H7" s="643">
        <v>0</v>
      </c>
      <c r="I7" s="612">
        <f t="shared" si="0"/>
        <v>146.60666666666665</v>
      </c>
      <c r="J7" s="1340" t="e">
        <f t="shared" si="1"/>
        <v>#DIV/0!</v>
      </c>
      <c r="K7" s="1340">
        <f t="shared" si="2"/>
        <v>2.9764104549465911E-4</v>
      </c>
    </row>
    <row r="8" spans="2:11" ht="15" x14ac:dyDescent="0.25">
      <c r="B8" s="1344">
        <v>400</v>
      </c>
      <c r="C8" s="1352">
        <v>344905100000000</v>
      </c>
      <c r="D8" s="1344" t="s">
        <v>2957</v>
      </c>
      <c r="E8" s="1352">
        <v>1</v>
      </c>
      <c r="F8" s="643">
        <v>119289.78</v>
      </c>
      <c r="G8" s="643">
        <v>30318.880000000001</v>
      </c>
      <c r="H8" s="643">
        <v>0</v>
      </c>
      <c r="I8" s="612">
        <f t="shared" si="0"/>
        <v>49869.553333333337</v>
      </c>
      <c r="J8" s="1340">
        <f t="shared" si="1"/>
        <v>0.25416158869603078</v>
      </c>
      <c r="K8" s="1340">
        <f t="shared" si="2"/>
        <v>0.10124523208916146</v>
      </c>
    </row>
    <row r="9" spans="2:11" ht="15" x14ac:dyDescent="0.25">
      <c r="B9" s="1344">
        <v>500</v>
      </c>
      <c r="C9" s="1352">
        <v>344905200000000</v>
      </c>
      <c r="D9" s="1344" t="s">
        <v>2959</v>
      </c>
      <c r="E9" s="1352">
        <v>1</v>
      </c>
      <c r="F9" s="643">
        <f>3060+3321</f>
        <v>6381</v>
      </c>
      <c r="G9" s="643">
        <f>11752.79+4160</f>
        <v>15912.79</v>
      </c>
      <c r="H9" s="643">
        <v>0</v>
      </c>
      <c r="I9" s="612">
        <f t="shared" si="0"/>
        <v>7431.2633333333333</v>
      </c>
      <c r="J9" s="1340">
        <f t="shared" si="1"/>
        <v>2.4937768374862874</v>
      </c>
      <c r="K9" s="1340">
        <f t="shared" si="2"/>
        <v>1.5086960492106718E-2</v>
      </c>
    </row>
    <row r="10" spans="2:11" ht="15" x14ac:dyDescent="0.25">
      <c r="B10" s="1344">
        <v>560</v>
      </c>
      <c r="C10" s="1352">
        <v>344906100000000</v>
      </c>
      <c r="D10" s="1344" t="s">
        <v>2964</v>
      </c>
      <c r="E10" s="1352">
        <v>1</v>
      </c>
      <c r="F10" s="643">
        <v>0</v>
      </c>
      <c r="G10" s="643">
        <v>0</v>
      </c>
      <c r="H10" s="643">
        <v>1.04</v>
      </c>
      <c r="I10" s="612">
        <f t="shared" si="0"/>
        <v>0.34666666666666668</v>
      </c>
      <c r="J10" s="1340" t="e">
        <f t="shared" si="1"/>
        <v>#DIV/0!</v>
      </c>
      <c r="K10" s="1340">
        <f t="shared" si="2"/>
        <v>7.0380311789924408E-7</v>
      </c>
    </row>
    <row r="11" spans="2:11" s="12" customFormat="1" ht="15" x14ac:dyDescent="0.25">
      <c r="B11" s="1345" t="s">
        <v>2965</v>
      </c>
      <c r="C11" s="1343">
        <v>1</v>
      </c>
      <c r="D11" s="1345" t="s">
        <v>7706</v>
      </c>
      <c r="E11" s="1343"/>
      <c r="F11" s="642">
        <f>SUM(F12:F30)</f>
        <v>587067.79</v>
      </c>
      <c r="G11" s="642">
        <f>SUM(G12:G30)</f>
        <v>718274.87999999989</v>
      </c>
      <c r="H11" s="642">
        <f>SUM(H12:H30)</f>
        <v>0</v>
      </c>
      <c r="I11" s="33">
        <f t="shared" si="0"/>
        <v>435114.22333333333</v>
      </c>
      <c r="J11" s="1338">
        <f t="shared" si="1"/>
        <v>1.2234956375310591</v>
      </c>
      <c r="K11" s="1338">
        <f t="shared" si="2"/>
        <v>0.88336946257011928</v>
      </c>
    </row>
    <row r="12" spans="2:11" ht="15" x14ac:dyDescent="0.25">
      <c r="B12" s="1344">
        <v>600</v>
      </c>
      <c r="C12" s="1352">
        <v>331900400000000</v>
      </c>
      <c r="D12" s="1344" t="s">
        <v>2970</v>
      </c>
      <c r="E12" s="1352">
        <v>1</v>
      </c>
      <c r="F12" s="643">
        <v>0</v>
      </c>
      <c r="G12" s="643">
        <v>0</v>
      </c>
      <c r="H12" s="643">
        <v>0</v>
      </c>
      <c r="I12" s="612">
        <f t="shared" si="0"/>
        <v>0</v>
      </c>
      <c r="J12" s="1340" t="e">
        <f t="shared" si="1"/>
        <v>#DIV/0!</v>
      </c>
      <c r="K12" s="1340">
        <f t="shared" si="2"/>
        <v>0</v>
      </c>
    </row>
    <row r="13" spans="2:11" ht="15" x14ac:dyDescent="0.25">
      <c r="B13" s="1344">
        <v>700</v>
      </c>
      <c r="C13" s="1352">
        <v>331901100000000</v>
      </c>
      <c r="D13" s="1344" t="s">
        <v>2971</v>
      </c>
      <c r="E13" s="1352">
        <v>1</v>
      </c>
      <c r="F13" s="643">
        <v>390376.59</v>
      </c>
      <c r="G13" s="643">
        <v>435029.49</v>
      </c>
      <c r="H13" s="643">
        <v>0</v>
      </c>
      <c r="I13" s="612">
        <f t="shared" si="0"/>
        <v>275135.36000000004</v>
      </c>
      <c r="J13" s="1340">
        <f t="shared" si="1"/>
        <v>1.1143841642758341</v>
      </c>
      <c r="K13" s="1340">
        <f t="shared" si="2"/>
        <v>0.55858016599710858</v>
      </c>
    </row>
    <row r="14" spans="2:11" ht="15" x14ac:dyDescent="0.25">
      <c r="B14" s="1344">
        <v>800</v>
      </c>
      <c r="C14" s="1352">
        <v>331901300000000</v>
      </c>
      <c r="D14" s="1344" t="s">
        <v>2982</v>
      </c>
      <c r="E14" s="1352">
        <v>1</v>
      </c>
      <c r="F14" s="643">
        <v>84045.79</v>
      </c>
      <c r="G14" s="643">
        <v>92168.88</v>
      </c>
      <c r="H14" s="643">
        <v>0</v>
      </c>
      <c r="I14" s="612">
        <f t="shared" si="0"/>
        <v>58738.223333333328</v>
      </c>
      <c r="J14" s="1340">
        <f t="shared" si="1"/>
        <v>1.0966507662073259</v>
      </c>
      <c r="K14" s="1340">
        <f t="shared" si="2"/>
        <v>0.11925041746690997</v>
      </c>
    </row>
    <row r="15" spans="2:11" ht="15" x14ac:dyDescent="0.25">
      <c r="B15" s="1344">
        <v>900</v>
      </c>
      <c r="C15" s="1352">
        <v>331901600000000</v>
      </c>
      <c r="D15" s="1344" t="s">
        <v>2987</v>
      </c>
      <c r="E15" s="1352">
        <v>1</v>
      </c>
      <c r="F15" s="643">
        <v>0</v>
      </c>
      <c r="G15" s="643">
        <v>0</v>
      </c>
      <c r="H15" s="643">
        <v>0</v>
      </c>
      <c r="I15" s="612">
        <f t="shared" si="0"/>
        <v>0</v>
      </c>
      <c r="J15" s="1340" t="e">
        <f t="shared" si="1"/>
        <v>#DIV/0!</v>
      </c>
      <c r="K15" s="1340">
        <f t="shared" si="2"/>
        <v>0</v>
      </c>
    </row>
    <row r="16" spans="2:11" ht="15" x14ac:dyDescent="0.25">
      <c r="B16" s="1344">
        <v>950</v>
      </c>
      <c r="C16" s="1352">
        <v>331903400000000</v>
      </c>
      <c r="D16" s="1344" t="s">
        <v>2988</v>
      </c>
      <c r="E16" s="1352">
        <v>1</v>
      </c>
      <c r="F16" s="643">
        <v>0</v>
      </c>
      <c r="G16" s="643">
        <v>0</v>
      </c>
      <c r="H16" s="643">
        <v>0</v>
      </c>
      <c r="I16" s="612">
        <f t="shared" si="0"/>
        <v>0</v>
      </c>
      <c r="J16" s="1340" t="e">
        <f t="shared" si="1"/>
        <v>#DIV/0!</v>
      </c>
      <c r="K16" s="1340">
        <f t="shared" si="2"/>
        <v>0</v>
      </c>
    </row>
    <row r="17" spans="2:11" ht="15" x14ac:dyDescent="0.25">
      <c r="B17" s="1344">
        <v>1000</v>
      </c>
      <c r="C17" s="1352">
        <v>331909400000000</v>
      </c>
      <c r="D17" s="1344" t="s">
        <v>2989</v>
      </c>
      <c r="E17" s="1352">
        <v>1</v>
      </c>
      <c r="F17" s="643">
        <v>0</v>
      </c>
      <c r="G17" s="643">
        <v>10529.02</v>
      </c>
      <c r="H17" s="643">
        <v>0</v>
      </c>
      <c r="I17" s="612">
        <f t="shared" si="0"/>
        <v>3509.6733333333336</v>
      </c>
      <c r="J17" s="1340" t="e">
        <f t="shared" si="1"/>
        <v>#DIV/0!</v>
      </c>
      <c r="K17" s="1340">
        <f t="shared" si="2"/>
        <v>7.1253433696379801E-3</v>
      </c>
    </row>
    <row r="18" spans="2:11" ht="15" x14ac:dyDescent="0.25">
      <c r="B18" s="1344">
        <v>1100</v>
      </c>
      <c r="C18" s="1352">
        <v>333901400000000</v>
      </c>
      <c r="D18" s="1344" t="s">
        <v>2994</v>
      </c>
      <c r="E18" s="1352">
        <v>1</v>
      </c>
      <c r="F18" s="643">
        <v>22402.62</v>
      </c>
      <c r="G18" s="643">
        <v>61453.2</v>
      </c>
      <c r="H18" s="643">
        <v>0</v>
      </c>
      <c r="I18" s="612">
        <f t="shared" si="0"/>
        <v>27951.94</v>
      </c>
      <c r="J18" s="1340">
        <f t="shared" si="1"/>
        <v>2.7431255808472401</v>
      </c>
      <c r="K18" s="1340">
        <f t="shared" si="2"/>
        <v>5.6748064971151715E-2</v>
      </c>
    </row>
    <row r="19" spans="2:11" ht="15" x14ac:dyDescent="0.25">
      <c r="B19" s="1344">
        <v>1200</v>
      </c>
      <c r="C19" s="1352">
        <v>333903000000000</v>
      </c>
      <c r="D19" s="1344" t="s">
        <v>3001</v>
      </c>
      <c r="E19" s="1352">
        <v>1</v>
      </c>
      <c r="F19" s="643">
        <v>5729.03</v>
      </c>
      <c r="G19" s="643">
        <v>12541.28</v>
      </c>
      <c r="H19" s="643">
        <v>0</v>
      </c>
      <c r="I19" s="612">
        <f t="shared" si="0"/>
        <v>6090.1033333333335</v>
      </c>
      <c r="J19" s="1340">
        <f t="shared" si="1"/>
        <v>2.1890756375861185</v>
      </c>
      <c r="K19" s="1340">
        <f t="shared" si="2"/>
        <v>1.2364135714409363E-2</v>
      </c>
    </row>
    <row r="20" spans="2:11" ht="15" x14ac:dyDescent="0.25">
      <c r="B20" s="1344">
        <v>1300</v>
      </c>
      <c r="C20" s="1352">
        <v>333903300000000</v>
      </c>
      <c r="D20" s="1344" t="s">
        <v>3016</v>
      </c>
      <c r="E20" s="1352">
        <v>1</v>
      </c>
      <c r="F20" s="643">
        <v>363.9</v>
      </c>
      <c r="G20" s="643">
        <v>2736.7</v>
      </c>
      <c r="H20" s="643">
        <v>0</v>
      </c>
      <c r="I20" s="612">
        <f t="shared" si="0"/>
        <v>1033.5333333333333</v>
      </c>
      <c r="J20" s="1340">
        <f t="shared" si="1"/>
        <v>7.5204726573234408</v>
      </c>
      <c r="K20" s="1340">
        <f t="shared" si="2"/>
        <v>2.0982807186138422E-3</v>
      </c>
    </row>
    <row r="21" spans="2:11" ht="15" x14ac:dyDescent="0.25">
      <c r="B21" s="1344">
        <v>1400</v>
      </c>
      <c r="C21" s="1352">
        <v>333903500000000</v>
      </c>
      <c r="D21" s="1344" t="s">
        <v>3019</v>
      </c>
      <c r="E21" s="1352">
        <v>1</v>
      </c>
      <c r="F21" s="643">
        <v>0</v>
      </c>
      <c r="G21" s="643">
        <v>0</v>
      </c>
      <c r="H21" s="643">
        <v>0</v>
      </c>
      <c r="I21" s="612">
        <f t="shared" si="0"/>
        <v>0</v>
      </c>
      <c r="J21" s="1340" t="e">
        <f t="shared" si="1"/>
        <v>#DIV/0!</v>
      </c>
      <c r="K21" s="1340">
        <f t="shared" si="2"/>
        <v>0</v>
      </c>
    </row>
    <row r="22" spans="2:11" ht="15" x14ac:dyDescent="0.25">
      <c r="B22" s="1344">
        <v>1500</v>
      </c>
      <c r="C22" s="1352">
        <v>333903600000000</v>
      </c>
      <c r="D22" s="1344" t="s">
        <v>3020</v>
      </c>
      <c r="E22" s="1352">
        <v>1</v>
      </c>
      <c r="F22" s="643">
        <v>3680</v>
      </c>
      <c r="G22" s="643">
        <v>3770</v>
      </c>
      <c r="H22" s="643">
        <v>0</v>
      </c>
      <c r="I22" s="612">
        <f t="shared" si="0"/>
        <v>2483.3333333333335</v>
      </c>
      <c r="J22" s="1340">
        <f t="shared" si="1"/>
        <v>1.0244565217391304</v>
      </c>
      <c r="K22" s="1340">
        <f t="shared" si="2"/>
        <v>5.0416665657205461E-3</v>
      </c>
    </row>
    <row r="23" spans="2:11" ht="15" x14ac:dyDescent="0.25">
      <c r="B23" s="1344">
        <v>1600</v>
      </c>
      <c r="C23" s="1352">
        <v>333903900000000</v>
      </c>
      <c r="D23" s="1344" t="s">
        <v>3025</v>
      </c>
      <c r="E23" s="1352">
        <v>1</v>
      </c>
      <c r="F23" s="643">
        <f>50614.48-12028.52</f>
        <v>38585.960000000006</v>
      </c>
      <c r="G23" s="643">
        <v>48949.1</v>
      </c>
      <c r="H23" s="643">
        <v>0</v>
      </c>
      <c r="I23" s="612">
        <f t="shared" si="0"/>
        <v>29178.353333333333</v>
      </c>
      <c r="J23" s="1340">
        <f t="shared" si="1"/>
        <v>1.2685728176777251</v>
      </c>
      <c r="K23" s="1340">
        <f t="shared" si="2"/>
        <v>5.9237930916824423E-2</v>
      </c>
    </row>
    <row r="24" spans="2:11" ht="15" x14ac:dyDescent="0.25">
      <c r="B24" s="1344">
        <v>1640</v>
      </c>
      <c r="C24" s="1352">
        <v>333904000000000</v>
      </c>
      <c r="D24" s="1344" t="s">
        <v>3076</v>
      </c>
      <c r="E24" s="1352">
        <v>1</v>
      </c>
      <c r="F24" s="643">
        <f>2400+4646.52+182+4800</f>
        <v>12028.52</v>
      </c>
      <c r="G24" s="643">
        <f>4699.21+2400+4800+1285</f>
        <v>13184.21</v>
      </c>
      <c r="H24" s="643">
        <v>0</v>
      </c>
      <c r="I24" s="612">
        <f t="shared" si="0"/>
        <v>8404.2433333333338</v>
      </c>
      <c r="J24" s="1340">
        <f t="shared" si="1"/>
        <v>1.0960791518823594</v>
      </c>
      <c r="K24" s="1340">
        <f t="shared" si="2"/>
        <v>1.7062305754569046E-2</v>
      </c>
    </row>
    <row r="25" spans="2:11" ht="15" x14ac:dyDescent="0.25">
      <c r="B25" s="1344">
        <v>1650</v>
      </c>
      <c r="C25" s="1352">
        <v>333904600000000</v>
      </c>
      <c r="D25" s="1344" t="s">
        <v>3049</v>
      </c>
      <c r="E25" s="1352">
        <v>1</v>
      </c>
      <c r="F25" s="643">
        <v>0</v>
      </c>
      <c r="G25" s="643">
        <v>6174</v>
      </c>
      <c r="H25" s="643">
        <v>0</v>
      </c>
      <c r="I25" s="612">
        <f t="shared" si="0"/>
        <v>2058</v>
      </c>
      <c r="J25" s="1340" t="e">
        <f t="shared" si="1"/>
        <v>#DIV/0!</v>
      </c>
      <c r="K25" s="1340">
        <f t="shared" si="2"/>
        <v>4.1781542787595509E-3</v>
      </c>
    </row>
    <row r="26" spans="2:11" ht="15" x14ac:dyDescent="0.25">
      <c r="B26" s="1344">
        <v>1700</v>
      </c>
      <c r="C26" s="1352">
        <v>333904700000000</v>
      </c>
      <c r="D26" s="1344" t="s">
        <v>3050</v>
      </c>
      <c r="E26" s="1352">
        <v>1</v>
      </c>
      <c r="F26" s="643">
        <v>2544.1999999999998</v>
      </c>
      <c r="G26" s="643">
        <v>3110.2</v>
      </c>
      <c r="H26" s="643">
        <v>0</v>
      </c>
      <c r="I26" s="612">
        <f t="shared" si="0"/>
        <v>1884.8</v>
      </c>
      <c r="J26" s="1340">
        <f t="shared" si="1"/>
        <v>1.2224667872022641</v>
      </c>
      <c r="K26" s="1340">
        <f t="shared" si="2"/>
        <v>3.8265234133168127E-3</v>
      </c>
    </row>
    <row r="27" spans="2:11" ht="15" x14ac:dyDescent="0.25">
      <c r="B27" s="1344">
        <v>1750</v>
      </c>
      <c r="C27" s="1352">
        <v>333909200000000</v>
      </c>
      <c r="D27" s="1344" t="s">
        <v>3057</v>
      </c>
      <c r="E27" s="1352">
        <v>1</v>
      </c>
      <c r="F27" s="643">
        <v>0</v>
      </c>
      <c r="G27" s="643">
        <v>0</v>
      </c>
      <c r="H27" s="643">
        <v>0</v>
      </c>
      <c r="I27" s="612">
        <f t="shared" si="0"/>
        <v>0</v>
      </c>
      <c r="J27" s="1340" t="e">
        <f t="shared" si="1"/>
        <v>#DIV/0!</v>
      </c>
      <c r="K27" s="1340">
        <f t="shared" si="2"/>
        <v>0</v>
      </c>
    </row>
    <row r="28" spans="2:11" ht="15" x14ac:dyDescent="0.25">
      <c r="B28" s="1344">
        <v>1800</v>
      </c>
      <c r="C28" s="1352">
        <v>333909300000000</v>
      </c>
      <c r="D28" s="1344" t="s">
        <v>3058</v>
      </c>
      <c r="E28" s="1352">
        <v>1</v>
      </c>
      <c r="F28" s="643">
        <f>736.01+26575.17</f>
        <v>27311.179999999997</v>
      </c>
      <c r="G28" s="643">
        <v>28628.799999999999</v>
      </c>
      <c r="H28" s="643">
        <v>0</v>
      </c>
      <c r="I28" s="612">
        <f t="shared" si="0"/>
        <v>18646.66</v>
      </c>
      <c r="J28" s="1340">
        <f t="shared" si="1"/>
        <v>1.0482447115064235</v>
      </c>
      <c r="K28" s="1340">
        <f t="shared" si="2"/>
        <v>3.7856473403097453E-2</v>
      </c>
    </row>
    <row r="29" spans="2:11" ht="15" x14ac:dyDescent="0.25">
      <c r="B29" s="1344">
        <v>1900</v>
      </c>
      <c r="C29" s="1352">
        <v>344905100000000</v>
      </c>
      <c r="D29" s="1344" t="s">
        <v>3063</v>
      </c>
      <c r="E29" s="1352">
        <v>1</v>
      </c>
      <c r="F29" s="643">
        <v>0</v>
      </c>
      <c r="G29" s="643">
        <v>0</v>
      </c>
      <c r="H29" s="643">
        <v>0</v>
      </c>
      <c r="I29" s="612">
        <f t="shared" si="0"/>
        <v>0</v>
      </c>
      <c r="J29" s="1340" t="e">
        <f t="shared" si="1"/>
        <v>#DIV/0!</v>
      </c>
      <c r="K29" s="1340">
        <f t="shared" si="2"/>
        <v>0</v>
      </c>
    </row>
    <row r="30" spans="2:11" ht="15" x14ac:dyDescent="0.25">
      <c r="B30" s="1344">
        <v>2000</v>
      </c>
      <c r="C30" s="1352">
        <v>344905200000000</v>
      </c>
      <c r="D30" s="1344" t="s">
        <v>3064</v>
      </c>
      <c r="E30" s="1352">
        <v>1</v>
      </c>
      <c r="F30" s="643">
        <v>0</v>
      </c>
      <c r="G30" s="643">
        <v>0</v>
      </c>
      <c r="H30" s="643">
        <v>0</v>
      </c>
      <c r="I30" s="612">
        <f t="shared" si="0"/>
        <v>0</v>
      </c>
      <c r="J30" s="1340" t="e">
        <f t="shared" si="1"/>
        <v>#DIV/0!</v>
      </c>
      <c r="K30" s="1340">
        <f t="shared" si="2"/>
        <v>0</v>
      </c>
    </row>
    <row r="31" spans="2:11" ht="15" x14ac:dyDescent="0.25">
      <c r="B31" s="1598" t="s">
        <v>1575</v>
      </c>
      <c r="C31" s="1598"/>
      <c r="D31" s="1598"/>
      <c r="E31" s="1598"/>
      <c r="F31" s="642">
        <f>F11+F3</f>
        <v>713178.39</v>
      </c>
      <c r="G31" s="642">
        <f>G11+G3</f>
        <v>764506.54999999993</v>
      </c>
      <c r="H31" s="642">
        <f>H11+H3</f>
        <v>1.04</v>
      </c>
      <c r="I31" s="33">
        <f t="shared" si="0"/>
        <v>492561.99333333335</v>
      </c>
      <c r="J31" s="1338">
        <f t="shared" si="1"/>
        <v>1.071971677503788</v>
      </c>
      <c r="K31" s="1338">
        <f t="shared" si="2"/>
        <v>1</v>
      </c>
    </row>
    <row r="32" spans="2:11" ht="15" x14ac:dyDescent="0.25">
      <c r="B32" s="1353"/>
      <c r="C32" s="1353"/>
      <c r="D32" s="1353"/>
      <c r="E32" s="1353"/>
      <c r="F32" s="642"/>
      <c r="G32" s="642"/>
      <c r="H32" s="642"/>
      <c r="I32" s="33"/>
      <c r="J32" s="1338"/>
      <c r="K32" s="1338"/>
    </row>
    <row r="33" spans="1:11" ht="15" x14ac:dyDescent="0.25">
      <c r="B33" s="1353"/>
      <c r="C33" s="1353"/>
      <c r="D33" s="1353"/>
      <c r="E33" s="1353"/>
      <c r="F33" s="642"/>
      <c r="G33" s="642"/>
      <c r="H33" s="642"/>
      <c r="I33" s="33"/>
      <c r="J33" s="1338"/>
      <c r="K33" s="1338"/>
    </row>
    <row r="34" spans="1:11" ht="15" x14ac:dyDescent="0.25">
      <c r="B34" s="1353"/>
      <c r="C34" s="1353"/>
      <c r="D34" s="1353"/>
      <c r="E34" s="1353"/>
      <c r="F34" s="642"/>
      <c r="G34" s="642"/>
      <c r="H34" s="642"/>
      <c r="I34" s="33"/>
      <c r="J34" s="1338"/>
      <c r="K34" s="1338"/>
    </row>
    <row r="35" spans="1:11" ht="15" x14ac:dyDescent="0.25">
      <c r="B35" s="616" t="s">
        <v>7328</v>
      </c>
      <c r="F35" s="643"/>
    </row>
    <row r="36" spans="1:11" ht="30" x14ac:dyDescent="0.25">
      <c r="B36" s="1343" t="s">
        <v>2967</v>
      </c>
      <c r="C36" s="1343" t="s">
        <v>472</v>
      </c>
      <c r="D36" s="1343" t="s">
        <v>2968</v>
      </c>
      <c r="E36" s="1343" t="s">
        <v>1403</v>
      </c>
      <c r="F36" s="1081">
        <v>2017</v>
      </c>
      <c r="G36" s="1081">
        <f>F36+1</f>
        <v>2018</v>
      </c>
      <c r="H36" s="1081">
        <f>G36+1</f>
        <v>2019</v>
      </c>
      <c r="I36" s="1082" t="s">
        <v>7336</v>
      </c>
      <c r="J36" s="1342" t="s">
        <v>7335</v>
      </c>
      <c r="K36" s="1342" t="s">
        <v>7334</v>
      </c>
    </row>
    <row r="37" spans="1:11" s="12" customFormat="1" ht="15" x14ac:dyDescent="0.25">
      <c r="A37" s="1081"/>
      <c r="B37" s="1345" t="s">
        <v>2950</v>
      </c>
      <c r="C37" s="1343" t="s">
        <v>3392</v>
      </c>
      <c r="D37" s="1345" t="s">
        <v>3393</v>
      </c>
      <c r="E37" s="1345"/>
      <c r="F37" s="1350">
        <f>SUM(F38:F43)</f>
        <v>499.8</v>
      </c>
      <c r="G37" s="1350">
        <f>SUM(G38:G43)</f>
        <v>1150.0999999999999</v>
      </c>
      <c r="H37" s="1350">
        <f>SUM(H38:H43)</f>
        <v>444.67499999999995</v>
      </c>
      <c r="I37" s="33">
        <f t="shared" ref="I37:I68" si="3">(F37+G37+H37)/3</f>
        <v>698.19166666666661</v>
      </c>
      <c r="J37" s="1338">
        <f t="shared" ref="J37:J68" si="4">(G37/F37)+(H37/G37)/2</f>
        <v>2.4944405942535259</v>
      </c>
      <c r="K37" s="1338">
        <f t="shared" ref="K37:K68" si="5">I37/I$143</f>
        <v>1.1209441290851835E-3</v>
      </c>
    </row>
    <row r="38" spans="1:11" ht="15" x14ac:dyDescent="0.25">
      <c r="A38" s="1341"/>
      <c r="B38" s="1344">
        <v>3000</v>
      </c>
      <c r="C38" s="1352">
        <v>333904700000000</v>
      </c>
      <c r="D38" s="1344" t="s">
        <v>3394</v>
      </c>
      <c r="E38" s="1344">
        <v>1</v>
      </c>
      <c r="F38" s="643">
        <v>0</v>
      </c>
      <c r="G38" s="643">
        <v>0</v>
      </c>
      <c r="H38" s="26">
        <v>0</v>
      </c>
      <c r="I38" s="612">
        <f t="shared" si="3"/>
        <v>0</v>
      </c>
      <c r="J38" s="1340" t="e">
        <f t="shared" si="4"/>
        <v>#DIV/0!</v>
      </c>
      <c r="K38" s="1340">
        <f t="shared" si="5"/>
        <v>0</v>
      </c>
    </row>
    <row r="39" spans="1:11" ht="15" x14ac:dyDescent="0.25">
      <c r="A39" s="1341"/>
      <c r="B39" s="1344">
        <v>3100</v>
      </c>
      <c r="C39" s="1352">
        <v>344903000000000</v>
      </c>
      <c r="D39" s="1344" t="s">
        <v>3610</v>
      </c>
      <c r="E39" s="1344">
        <v>1</v>
      </c>
      <c r="F39" s="643">
        <v>0</v>
      </c>
      <c r="G39" s="643">
        <v>0</v>
      </c>
      <c r="H39" s="26">
        <v>0</v>
      </c>
      <c r="I39" s="612">
        <f t="shared" si="3"/>
        <v>0</v>
      </c>
      <c r="J39" s="1340" t="e">
        <f t="shared" si="4"/>
        <v>#DIV/0!</v>
      </c>
      <c r="K39" s="1340">
        <f t="shared" si="5"/>
        <v>0</v>
      </c>
    </row>
    <row r="40" spans="1:11" ht="15" x14ac:dyDescent="0.25">
      <c r="A40" s="1341"/>
      <c r="B40" s="1344">
        <v>3200</v>
      </c>
      <c r="C40" s="1352">
        <v>344903600000000</v>
      </c>
      <c r="D40" s="1344" t="s">
        <v>3396</v>
      </c>
      <c r="E40" s="1344">
        <v>1</v>
      </c>
      <c r="F40" s="643">
        <v>0</v>
      </c>
      <c r="G40" s="643">
        <v>0</v>
      </c>
      <c r="H40" s="26">
        <v>0</v>
      </c>
      <c r="I40" s="612">
        <f t="shared" si="3"/>
        <v>0</v>
      </c>
      <c r="J40" s="1340" t="e">
        <f t="shared" si="4"/>
        <v>#DIV/0!</v>
      </c>
      <c r="K40" s="1340">
        <f t="shared" si="5"/>
        <v>0</v>
      </c>
    </row>
    <row r="41" spans="1:11" ht="15" x14ac:dyDescent="0.25">
      <c r="A41" s="1341"/>
      <c r="B41" s="1344">
        <v>3300</v>
      </c>
      <c r="C41" s="1352">
        <v>344903900000000</v>
      </c>
      <c r="D41" s="1344" t="s">
        <v>3397</v>
      </c>
      <c r="E41" s="1344">
        <v>1</v>
      </c>
      <c r="F41" s="643">
        <v>0</v>
      </c>
      <c r="G41" s="643">
        <v>0</v>
      </c>
      <c r="H41" s="26">
        <v>0</v>
      </c>
      <c r="I41" s="612">
        <f t="shared" si="3"/>
        <v>0</v>
      </c>
      <c r="J41" s="1340" t="e">
        <f t="shared" si="4"/>
        <v>#DIV/0!</v>
      </c>
      <c r="K41" s="1340">
        <f t="shared" si="5"/>
        <v>0</v>
      </c>
    </row>
    <row r="42" spans="1:11" ht="15" x14ac:dyDescent="0.25">
      <c r="A42" s="1341"/>
      <c r="B42" s="1344">
        <v>3400</v>
      </c>
      <c r="C42" s="1352">
        <v>344905100000000</v>
      </c>
      <c r="D42" s="1344" t="s">
        <v>7705</v>
      </c>
      <c r="E42" s="1344">
        <v>1</v>
      </c>
      <c r="F42" s="643">
        <v>0</v>
      </c>
      <c r="G42" s="643">
        <v>0</v>
      </c>
      <c r="H42" s="26">
        <v>0</v>
      </c>
      <c r="I42" s="612">
        <f t="shared" si="3"/>
        <v>0</v>
      </c>
      <c r="J42" s="1340" t="e">
        <f t="shared" si="4"/>
        <v>#DIV/0!</v>
      </c>
      <c r="K42" s="1340">
        <f t="shared" si="5"/>
        <v>0</v>
      </c>
    </row>
    <row r="43" spans="1:11" ht="15" x14ac:dyDescent="0.25">
      <c r="A43" s="1341"/>
      <c r="B43" s="1344">
        <v>3500</v>
      </c>
      <c r="C43" s="1352">
        <v>344905200000000</v>
      </c>
      <c r="D43" s="1344" t="s">
        <v>3399</v>
      </c>
      <c r="E43" s="1344">
        <v>1</v>
      </c>
      <c r="F43" s="643">
        <v>499.8</v>
      </c>
      <c r="G43" s="643">
        <v>1150.0999999999999</v>
      </c>
      <c r="H43" s="26">
        <f>296.45/8*12</f>
        <v>444.67499999999995</v>
      </c>
      <c r="I43" s="612">
        <f t="shared" si="3"/>
        <v>698.19166666666661</v>
      </c>
      <c r="J43" s="1340">
        <f t="shared" si="4"/>
        <v>2.4944405942535259</v>
      </c>
      <c r="K43" s="1340">
        <f t="shared" si="5"/>
        <v>1.1209441290851835E-3</v>
      </c>
    </row>
    <row r="44" spans="1:11" s="12" customFormat="1" ht="15" x14ac:dyDescent="0.25">
      <c r="A44" s="1081"/>
      <c r="B44" s="1345" t="s">
        <v>2950</v>
      </c>
      <c r="C44" s="1343" t="s">
        <v>3147</v>
      </c>
      <c r="D44" s="1345" t="s">
        <v>3148</v>
      </c>
      <c r="E44" s="1345"/>
      <c r="F44" s="642">
        <f>SUM(F45:F57)</f>
        <v>0</v>
      </c>
      <c r="G44" s="642">
        <f>SUM(G45:G57)</f>
        <v>0</v>
      </c>
      <c r="H44" s="642">
        <f>SUM(H45:H57)</f>
        <v>14840</v>
      </c>
      <c r="I44" s="33">
        <f t="shared" si="3"/>
        <v>4946.666666666667</v>
      </c>
      <c r="J44" s="1338" t="e">
        <f t="shared" si="4"/>
        <v>#DIV/0!</v>
      </c>
      <c r="K44" s="1338">
        <f t="shared" si="5"/>
        <v>7.9418549708767296E-3</v>
      </c>
    </row>
    <row r="45" spans="1:11" ht="15" x14ac:dyDescent="0.25">
      <c r="A45" s="1341"/>
      <c r="B45" s="1344">
        <v>3530</v>
      </c>
      <c r="C45" s="1352">
        <v>333904700000000</v>
      </c>
      <c r="D45" s="1344" t="s">
        <v>3267</v>
      </c>
      <c r="E45" s="1344">
        <v>1</v>
      </c>
      <c r="F45" s="643">
        <v>0</v>
      </c>
      <c r="G45" s="643">
        <v>0</v>
      </c>
      <c r="H45" s="26">
        <v>0</v>
      </c>
      <c r="I45" s="612">
        <f t="shared" si="3"/>
        <v>0</v>
      </c>
      <c r="J45" s="1340" t="e">
        <f t="shared" si="4"/>
        <v>#DIV/0!</v>
      </c>
      <c r="K45" s="1340">
        <f t="shared" si="5"/>
        <v>0</v>
      </c>
    </row>
    <row r="46" spans="1:11" ht="15" x14ac:dyDescent="0.25">
      <c r="A46" s="1341"/>
      <c r="B46" s="1344">
        <v>6000</v>
      </c>
      <c r="C46" s="1352">
        <v>333904700000000</v>
      </c>
      <c r="D46" s="1344" t="s">
        <v>5677</v>
      </c>
      <c r="E46" s="1344">
        <v>1</v>
      </c>
      <c r="F46" s="643">
        <v>0</v>
      </c>
      <c r="G46" s="643">
        <v>0</v>
      </c>
      <c r="H46" s="26">
        <v>0</v>
      </c>
      <c r="I46" s="612">
        <f t="shared" si="3"/>
        <v>0</v>
      </c>
      <c r="J46" s="1340" t="e">
        <f t="shared" si="4"/>
        <v>#DIV/0!</v>
      </c>
      <c r="K46" s="1340">
        <f t="shared" si="5"/>
        <v>0</v>
      </c>
    </row>
    <row r="47" spans="1:11" ht="15" x14ac:dyDescent="0.25">
      <c r="A47" s="1341"/>
      <c r="B47" s="1344">
        <v>3540</v>
      </c>
      <c r="C47" s="1352">
        <v>344903000000000</v>
      </c>
      <c r="D47" s="1344" t="s">
        <v>3268</v>
      </c>
      <c r="E47" s="1344">
        <v>1</v>
      </c>
      <c r="F47" s="643">
        <v>0</v>
      </c>
      <c r="G47" s="643">
        <v>0</v>
      </c>
      <c r="H47" s="26">
        <v>0</v>
      </c>
      <c r="I47" s="612">
        <f t="shared" si="3"/>
        <v>0</v>
      </c>
      <c r="J47" s="1340" t="e">
        <f t="shared" si="4"/>
        <v>#DIV/0!</v>
      </c>
      <c r="K47" s="1340">
        <f t="shared" si="5"/>
        <v>0</v>
      </c>
    </row>
    <row r="48" spans="1:11" ht="15" x14ac:dyDescent="0.25">
      <c r="A48" s="1341"/>
      <c r="B48" s="1344">
        <v>6020</v>
      </c>
      <c r="C48" s="1352">
        <v>344903000000000</v>
      </c>
      <c r="D48" s="1344" t="s">
        <v>5678</v>
      </c>
      <c r="E48" s="1344">
        <v>1</v>
      </c>
      <c r="F48" s="643">
        <v>0</v>
      </c>
      <c r="G48" s="643">
        <v>0</v>
      </c>
      <c r="H48" s="26">
        <v>0</v>
      </c>
      <c r="I48" s="612">
        <f t="shared" si="3"/>
        <v>0</v>
      </c>
      <c r="J48" s="1340" t="e">
        <f t="shared" si="4"/>
        <v>#DIV/0!</v>
      </c>
      <c r="K48" s="1340">
        <f t="shared" si="5"/>
        <v>0</v>
      </c>
    </row>
    <row r="49" spans="1:11" ht="15" x14ac:dyDescent="0.25">
      <c r="A49" s="1341"/>
      <c r="B49" s="1344">
        <v>3550</v>
      </c>
      <c r="C49" s="1352">
        <v>344903600000000</v>
      </c>
      <c r="D49" s="1344" t="s">
        <v>3269</v>
      </c>
      <c r="E49" s="1344">
        <v>1</v>
      </c>
      <c r="F49" s="643">
        <v>0</v>
      </c>
      <c r="G49" s="643">
        <v>0</v>
      </c>
      <c r="H49" s="26">
        <v>0</v>
      </c>
      <c r="I49" s="612">
        <f t="shared" si="3"/>
        <v>0</v>
      </c>
      <c r="J49" s="1340" t="e">
        <f t="shared" si="4"/>
        <v>#DIV/0!</v>
      </c>
      <c r="K49" s="1340">
        <f t="shared" si="5"/>
        <v>0</v>
      </c>
    </row>
    <row r="50" spans="1:11" ht="15" x14ac:dyDescent="0.25">
      <c r="A50" s="1341"/>
      <c r="B50" s="1344">
        <v>6030</v>
      </c>
      <c r="C50" s="1352">
        <v>344903600000000</v>
      </c>
      <c r="D50" s="1344" t="s">
        <v>5679</v>
      </c>
      <c r="E50" s="1344">
        <v>1</v>
      </c>
      <c r="F50" s="643">
        <v>0</v>
      </c>
      <c r="G50" s="643">
        <v>0</v>
      </c>
      <c r="H50" s="26">
        <v>0</v>
      </c>
      <c r="I50" s="612">
        <f t="shared" si="3"/>
        <v>0</v>
      </c>
      <c r="J50" s="1340" t="e">
        <f t="shared" si="4"/>
        <v>#DIV/0!</v>
      </c>
      <c r="K50" s="1340">
        <f t="shared" si="5"/>
        <v>0</v>
      </c>
    </row>
    <row r="51" spans="1:11" ht="15" x14ac:dyDescent="0.25">
      <c r="A51" s="1341"/>
      <c r="B51" s="1344">
        <v>3560</v>
      </c>
      <c r="C51" s="1352">
        <v>344903900000000</v>
      </c>
      <c r="D51" s="1344" t="s">
        <v>3270</v>
      </c>
      <c r="E51" s="1344">
        <v>1</v>
      </c>
      <c r="F51" s="643">
        <v>0</v>
      </c>
      <c r="G51" s="643">
        <v>0</v>
      </c>
      <c r="H51" s="26">
        <v>0</v>
      </c>
      <c r="I51" s="612">
        <f t="shared" si="3"/>
        <v>0</v>
      </c>
      <c r="J51" s="1340" t="e">
        <f t="shared" si="4"/>
        <v>#DIV/0!</v>
      </c>
      <c r="K51" s="1340">
        <f t="shared" si="5"/>
        <v>0</v>
      </c>
    </row>
    <row r="52" spans="1:11" ht="15" x14ac:dyDescent="0.25">
      <c r="A52" s="1341"/>
      <c r="B52" s="1344">
        <v>6040</v>
      </c>
      <c r="C52" s="1352">
        <v>344903900000000</v>
      </c>
      <c r="D52" s="1344" t="s">
        <v>5680</v>
      </c>
      <c r="E52" s="1344">
        <v>1</v>
      </c>
      <c r="F52" s="643">
        <v>0</v>
      </c>
      <c r="G52" s="643">
        <v>0</v>
      </c>
      <c r="H52" s="26">
        <v>0</v>
      </c>
      <c r="I52" s="612">
        <f t="shared" si="3"/>
        <v>0</v>
      </c>
      <c r="J52" s="1340" t="e">
        <f t="shared" si="4"/>
        <v>#DIV/0!</v>
      </c>
      <c r="K52" s="1340">
        <f t="shared" si="5"/>
        <v>0</v>
      </c>
    </row>
    <row r="53" spans="1:11" ht="15" x14ac:dyDescent="0.25">
      <c r="A53" s="1341"/>
      <c r="B53" s="1344">
        <v>3570</v>
      </c>
      <c r="C53" s="1352">
        <v>344905100000000</v>
      </c>
      <c r="D53" s="1344" t="s">
        <v>3271</v>
      </c>
      <c r="E53" s="1344">
        <v>1</v>
      </c>
      <c r="F53" s="643">
        <v>0</v>
      </c>
      <c r="G53" s="643">
        <v>0</v>
      </c>
      <c r="H53" s="26">
        <v>0</v>
      </c>
      <c r="I53" s="612">
        <f t="shared" si="3"/>
        <v>0</v>
      </c>
      <c r="J53" s="1340" t="e">
        <f t="shared" si="4"/>
        <v>#DIV/0!</v>
      </c>
      <c r="K53" s="1340">
        <f t="shared" si="5"/>
        <v>0</v>
      </c>
    </row>
    <row r="54" spans="1:11" ht="15" x14ac:dyDescent="0.25">
      <c r="A54" s="1341"/>
      <c r="B54" s="1344">
        <v>6050</v>
      </c>
      <c r="C54" s="1352">
        <v>344905100000000</v>
      </c>
      <c r="D54" s="1344" t="s">
        <v>5681</v>
      </c>
      <c r="E54" s="1344">
        <v>1</v>
      </c>
      <c r="F54" s="643">
        <v>0</v>
      </c>
      <c r="G54" s="643">
        <v>0</v>
      </c>
      <c r="H54" s="26">
        <v>0</v>
      </c>
      <c r="I54" s="612">
        <f t="shared" si="3"/>
        <v>0</v>
      </c>
      <c r="J54" s="1340" t="e">
        <f t="shared" si="4"/>
        <v>#DIV/0!</v>
      </c>
      <c r="K54" s="1340">
        <f t="shared" si="5"/>
        <v>0</v>
      </c>
    </row>
    <row r="55" spans="1:11" ht="15" x14ac:dyDescent="0.25">
      <c r="A55" s="1341"/>
      <c r="B55" s="1344">
        <v>3580</v>
      </c>
      <c r="C55" s="1352">
        <v>344905200000000</v>
      </c>
      <c r="D55" s="1344" t="s">
        <v>3272</v>
      </c>
      <c r="E55" s="1344">
        <v>1</v>
      </c>
      <c r="F55" s="643">
        <v>0</v>
      </c>
      <c r="G55" s="643">
        <v>0</v>
      </c>
      <c r="H55" s="26">
        <v>0</v>
      </c>
      <c r="I55" s="612">
        <f t="shared" si="3"/>
        <v>0</v>
      </c>
      <c r="J55" s="1340" t="e">
        <f t="shared" si="4"/>
        <v>#DIV/0!</v>
      </c>
      <c r="K55" s="1340">
        <f t="shared" si="5"/>
        <v>0</v>
      </c>
    </row>
    <row r="56" spans="1:11" ht="15" x14ac:dyDescent="0.25">
      <c r="A56" s="1341"/>
      <c r="B56" s="1344">
        <v>6060</v>
      </c>
      <c r="C56" s="1352">
        <v>344905200000000</v>
      </c>
      <c r="D56" s="1344" t="s">
        <v>5682</v>
      </c>
      <c r="E56" s="1344">
        <v>1</v>
      </c>
      <c r="F56" s="643">
        <v>0</v>
      </c>
      <c r="G56" s="643">
        <v>0</v>
      </c>
      <c r="H56" s="26">
        <v>0</v>
      </c>
      <c r="I56" s="612">
        <f t="shared" si="3"/>
        <v>0</v>
      </c>
      <c r="J56" s="1340" t="e">
        <f t="shared" si="4"/>
        <v>#DIV/0!</v>
      </c>
      <c r="K56" s="1340">
        <f t="shared" si="5"/>
        <v>0</v>
      </c>
    </row>
    <row r="57" spans="1:11" ht="15" x14ac:dyDescent="0.25">
      <c r="A57" s="1341"/>
      <c r="B57" s="1344">
        <v>3590</v>
      </c>
      <c r="C57" s="1352">
        <v>344915200000000</v>
      </c>
      <c r="D57" s="1344" t="s">
        <v>5725</v>
      </c>
      <c r="E57" s="1344">
        <v>1</v>
      </c>
      <c r="F57" s="643">
        <v>0</v>
      </c>
      <c r="G57" s="643">
        <v>0</v>
      </c>
      <c r="H57" s="26">
        <v>14840</v>
      </c>
      <c r="I57" s="612">
        <f t="shared" si="3"/>
        <v>4946.666666666667</v>
      </c>
      <c r="J57" s="1340" t="e">
        <f t="shared" si="4"/>
        <v>#DIV/0!</v>
      </c>
      <c r="K57" s="1340">
        <f t="shared" si="5"/>
        <v>7.9418549708767296E-3</v>
      </c>
    </row>
    <row r="58" spans="1:11" s="12" customFormat="1" ht="15" x14ac:dyDescent="0.25">
      <c r="A58" s="1081"/>
      <c r="B58" s="1345" t="s">
        <v>2965</v>
      </c>
      <c r="C58" s="1343">
        <v>2</v>
      </c>
      <c r="D58" s="1345" t="s">
        <v>2966</v>
      </c>
      <c r="E58" s="1345"/>
      <c r="F58" s="642">
        <f>SUM(F59:F95)</f>
        <v>405329.27</v>
      </c>
      <c r="G58" s="642">
        <f>SUM(G59:G95)</f>
        <v>439945.58999999997</v>
      </c>
      <c r="H58" s="642">
        <f>SUM(H59:H95)</f>
        <v>532184.50102941191</v>
      </c>
      <c r="I58" s="33">
        <f t="shared" si="3"/>
        <v>459153.1203431373</v>
      </c>
      <c r="J58" s="1338">
        <f t="shared" si="4"/>
        <v>1.6902328689224215</v>
      </c>
      <c r="K58" s="1338">
        <f t="shared" si="5"/>
        <v>0.7371686302946171</v>
      </c>
    </row>
    <row r="59" spans="1:11" ht="30" x14ac:dyDescent="0.25">
      <c r="A59" s="1341"/>
      <c r="B59" s="1344">
        <v>3600</v>
      </c>
      <c r="C59" s="1352">
        <v>331717000000000</v>
      </c>
      <c r="D59" s="1344" t="s">
        <v>5683</v>
      </c>
      <c r="E59" s="1344">
        <v>1</v>
      </c>
      <c r="F59" s="643">
        <v>5292</v>
      </c>
      <c r="G59" s="643">
        <v>6350.4</v>
      </c>
      <c r="H59" s="272">
        <v>6481.2</v>
      </c>
      <c r="I59" s="273">
        <f>(F59+G59+H59)/3</f>
        <v>6041.2</v>
      </c>
      <c r="J59" s="1355">
        <f t="shared" si="4"/>
        <v>1.7102985638699923</v>
      </c>
      <c r="K59" s="1355">
        <f t="shared" si="5"/>
        <v>9.6991241745405313E-3</v>
      </c>
    </row>
    <row r="60" spans="1:11" ht="15" x14ac:dyDescent="0.25">
      <c r="A60" s="1341"/>
      <c r="B60" s="1344">
        <v>3700</v>
      </c>
      <c r="C60" s="1352">
        <v>331900400000000</v>
      </c>
      <c r="D60" s="1344" t="s">
        <v>5684</v>
      </c>
      <c r="E60" s="1344">
        <v>1</v>
      </c>
      <c r="F60" s="643">
        <v>0</v>
      </c>
      <c r="G60" s="643">
        <v>0</v>
      </c>
      <c r="H60" s="26">
        <v>0</v>
      </c>
      <c r="I60" s="612">
        <f t="shared" si="3"/>
        <v>0</v>
      </c>
      <c r="J60" s="1340" t="e">
        <f t="shared" si="4"/>
        <v>#DIV/0!</v>
      </c>
      <c r="K60" s="1340">
        <f t="shared" si="5"/>
        <v>0</v>
      </c>
    </row>
    <row r="61" spans="1:11" ht="15" x14ac:dyDescent="0.25">
      <c r="A61" s="1341"/>
      <c r="B61" s="1344">
        <v>3750</v>
      </c>
      <c r="C61" s="1352">
        <v>331900800000000</v>
      </c>
      <c r="D61" s="1344" t="s">
        <v>5685</v>
      </c>
      <c r="E61" s="1344">
        <v>1</v>
      </c>
      <c r="F61" s="643">
        <v>0</v>
      </c>
      <c r="G61" s="643">
        <v>1483.21</v>
      </c>
      <c r="H61" s="26">
        <v>0</v>
      </c>
      <c r="I61" s="612">
        <f t="shared" si="3"/>
        <v>494.40333333333336</v>
      </c>
      <c r="J61" s="1340" t="e">
        <f t="shared" si="4"/>
        <v>#DIV/0!</v>
      </c>
      <c r="K61" s="1340">
        <f t="shared" si="5"/>
        <v>7.9376271639852248E-4</v>
      </c>
    </row>
    <row r="62" spans="1:11" ht="15" x14ac:dyDescent="0.25">
      <c r="A62" s="1341"/>
      <c r="B62" s="1344">
        <v>5340</v>
      </c>
      <c r="C62" s="1352">
        <v>331900800000000</v>
      </c>
      <c r="D62" s="1344" t="s">
        <v>5703</v>
      </c>
      <c r="E62" s="1344">
        <v>1</v>
      </c>
      <c r="F62" s="643">
        <v>0</v>
      </c>
      <c r="G62" s="643">
        <v>0</v>
      </c>
      <c r="H62" s="26">
        <f>8049.27/8*12</f>
        <v>12073.905000000001</v>
      </c>
      <c r="I62" s="612">
        <f t="shared" si="3"/>
        <v>4024.6350000000002</v>
      </c>
      <c r="J62" s="1340" t="e">
        <f t="shared" si="4"/>
        <v>#DIV/0!</v>
      </c>
      <c r="K62" s="1340">
        <f t="shared" si="5"/>
        <v>6.4615365527050809E-3</v>
      </c>
    </row>
    <row r="63" spans="1:11" ht="15" x14ac:dyDescent="0.25">
      <c r="A63" s="1341"/>
      <c r="B63" s="1344">
        <v>3800</v>
      </c>
      <c r="C63" s="1352">
        <v>331901100000000</v>
      </c>
      <c r="D63" s="1344" t="s">
        <v>5686</v>
      </c>
      <c r="E63" s="1344">
        <v>1</v>
      </c>
      <c r="F63" s="643">
        <f>239679.94-19805.85</f>
        <v>219874.09</v>
      </c>
      <c r="G63" s="643">
        <f>282657.78-17695.27</f>
        <v>264962.51</v>
      </c>
      <c r="H63" s="26">
        <f>200942.92/8.5*13</f>
        <v>307324.46588235296</v>
      </c>
      <c r="I63" s="612">
        <f t="shared" si="3"/>
        <v>264053.68862745096</v>
      </c>
      <c r="J63" s="1340">
        <f t="shared" si="4"/>
        <v>1.7850042537341471</v>
      </c>
      <c r="K63" s="1340">
        <f t="shared" si="5"/>
        <v>0.42393721690113018</v>
      </c>
    </row>
    <row r="64" spans="1:11" ht="15" x14ac:dyDescent="0.25">
      <c r="A64" s="1341"/>
      <c r="B64" s="1344">
        <v>5350</v>
      </c>
      <c r="C64" s="1352">
        <v>331901100000000</v>
      </c>
      <c r="D64" s="1344" t="s">
        <v>5715</v>
      </c>
      <c r="E64" s="1344">
        <v>1</v>
      </c>
      <c r="F64" s="643">
        <v>19805.849999999999</v>
      </c>
      <c r="G64" s="643">
        <v>17695.27</v>
      </c>
      <c r="H64" s="26">
        <v>0</v>
      </c>
      <c r="I64" s="612">
        <f t="shared" si="3"/>
        <v>12500.373333333331</v>
      </c>
      <c r="J64" s="1340">
        <f t="shared" si="4"/>
        <v>0.89343653516511545</v>
      </c>
      <c r="K64" s="1340">
        <f t="shared" si="5"/>
        <v>2.0069302984194383E-2</v>
      </c>
    </row>
    <row r="65" spans="1:11" ht="15" x14ac:dyDescent="0.25">
      <c r="A65" s="1341"/>
      <c r="B65" s="1344">
        <v>3900</v>
      </c>
      <c r="C65" s="1352">
        <v>331901300000000</v>
      </c>
      <c r="D65" s="1344" t="s">
        <v>7704</v>
      </c>
      <c r="E65" s="1344">
        <v>1</v>
      </c>
      <c r="F65" s="643">
        <v>44985.18</v>
      </c>
      <c r="G65" s="643">
        <v>54522.93</v>
      </c>
      <c r="H65" s="26">
        <f>37329.98/8*13</f>
        <v>60661.217500000006</v>
      </c>
      <c r="I65" s="612">
        <f t="shared" si="3"/>
        <v>53389.77583333334</v>
      </c>
      <c r="J65" s="1340">
        <f t="shared" si="4"/>
        <v>1.7683107059316312</v>
      </c>
      <c r="K65" s="1340">
        <f t="shared" si="5"/>
        <v>8.5717086912928425E-2</v>
      </c>
    </row>
    <row r="66" spans="1:11" ht="15" x14ac:dyDescent="0.25">
      <c r="A66" s="1341"/>
      <c r="B66" s="1344">
        <v>5380</v>
      </c>
      <c r="C66" s="1352">
        <v>331901300000000</v>
      </c>
      <c r="D66" s="1344" t="s">
        <v>5704</v>
      </c>
      <c r="E66" s="1344">
        <v>1</v>
      </c>
      <c r="F66" s="643">
        <v>0</v>
      </c>
      <c r="G66" s="643">
        <v>0</v>
      </c>
      <c r="H66" s="26">
        <v>0</v>
      </c>
      <c r="I66" s="612">
        <f t="shared" si="3"/>
        <v>0</v>
      </c>
      <c r="J66" s="1340" t="e">
        <f t="shared" si="4"/>
        <v>#DIV/0!</v>
      </c>
      <c r="K66" s="1340">
        <f t="shared" si="5"/>
        <v>0</v>
      </c>
    </row>
    <row r="67" spans="1:11" ht="15" x14ac:dyDescent="0.25">
      <c r="A67" s="1341"/>
      <c r="B67" s="1344">
        <v>4000</v>
      </c>
      <c r="C67" s="1352">
        <v>331901600000000</v>
      </c>
      <c r="D67" s="1344" t="s">
        <v>5688</v>
      </c>
      <c r="E67" s="1344">
        <v>1</v>
      </c>
      <c r="F67" s="643">
        <v>0</v>
      </c>
      <c r="G67" s="643">
        <v>0</v>
      </c>
      <c r="H67" s="26">
        <v>0</v>
      </c>
      <c r="I67" s="612">
        <f t="shared" si="3"/>
        <v>0</v>
      </c>
      <c r="J67" s="1340" t="e">
        <f t="shared" si="4"/>
        <v>#DIV/0!</v>
      </c>
      <c r="K67" s="1340">
        <f t="shared" si="5"/>
        <v>0</v>
      </c>
    </row>
    <row r="68" spans="1:11" ht="15" x14ac:dyDescent="0.25">
      <c r="A68" s="1341"/>
      <c r="B68" s="1344">
        <v>4050</v>
      </c>
      <c r="C68" s="1352">
        <v>331903400000000</v>
      </c>
      <c r="D68" s="1344" t="s">
        <v>5689</v>
      </c>
      <c r="E68" s="1344">
        <v>1</v>
      </c>
      <c r="F68" s="643">
        <v>0</v>
      </c>
      <c r="G68" s="643">
        <v>0</v>
      </c>
      <c r="H68" s="26">
        <v>0</v>
      </c>
      <c r="I68" s="612">
        <f t="shared" si="3"/>
        <v>0</v>
      </c>
      <c r="J68" s="1340" t="e">
        <f t="shared" si="4"/>
        <v>#DIV/0!</v>
      </c>
      <c r="K68" s="1340">
        <f t="shared" si="5"/>
        <v>0</v>
      </c>
    </row>
    <row r="69" spans="1:11" ht="15" x14ac:dyDescent="0.25">
      <c r="A69" s="1341"/>
      <c r="B69" s="1344">
        <v>4100</v>
      </c>
      <c r="C69" s="1352">
        <v>331909400000000</v>
      </c>
      <c r="D69" s="1344" t="s">
        <v>5690</v>
      </c>
      <c r="E69" s="1344">
        <v>1</v>
      </c>
      <c r="F69" s="643">
        <v>7241.95</v>
      </c>
      <c r="G69" s="643">
        <v>3516.63</v>
      </c>
      <c r="H69" s="26">
        <f>6698.77/8.5*13</f>
        <v>10245.177647058825</v>
      </c>
      <c r="I69" s="612">
        <f t="shared" ref="I69:I100" si="6">(F69+G69+H69)/3</f>
        <v>7001.2525490196085</v>
      </c>
      <c r="J69" s="1340">
        <f t="shared" ref="J69:J100" si="7">(G69/F69)+(H69/G69)/2</f>
        <v>1.9422671049527183</v>
      </c>
      <c r="K69" s="1340">
        <f t="shared" ref="K69:K100" si="8">I69/I$143</f>
        <v>1.1240484978193008E-2</v>
      </c>
    </row>
    <row r="70" spans="1:11" ht="15" x14ac:dyDescent="0.25">
      <c r="A70" s="1341"/>
      <c r="B70" s="1344">
        <v>4200</v>
      </c>
      <c r="C70" s="1352">
        <v>333901400000000</v>
      </c>
      <c r="D70" s="1344" t="s">
        <v>5691</v>
      </c>
      <c r="E70" s="1344">
        <v>1</v>
      </c>
      <c r="F70" s="643">
        <v>18248.5</v>
      </c>
      <c r="G70" s="643">
        <v>12144</v>
      </c>
      <c r="H70" s="26">
        <f>12910/8*12</f>
        <v>19365</v>
      </c>
      <c r="I70" s="612">
        <f t="shared" si="6"/>
        <v>16585.833333333332</v>
      </c>
      <c r="J70" s="1340">
        <f t="shared" si="7"/>
        <v>1.462786666720455</v>
      </c>
      <c r="K70" s="1340">
        <f t="shared" si="8"/>
        <v>2.6628493848611778E-2</v>
      </c>
    </row>
    <row r="71" spans="1:11" ht="15" x14ac:dyDescent="0.25">
      <c r="A71" s="1341"/>
      <c r="B71" s="1344">
        <v>5390</v>
      </c>
      <c r="C71" s="1352">
        <v>333901400000000</v>
      </c>
      <c r="D71" s="1344" t="s">
        <v>5705</v>
      </c>
      <c r="E71" s="1344">
        <v>1</v>
      </c>
      <c r="F71" s="643">
        <v>0</v>
      </c>
      <c r="G71" s="643">
        <v>0</v>
      </c>
      <c r="H71" s="26">
        <v>0</v>
      </c>
      <c r="I71" s="612">
        <f t="shared" si="6"/>
        <v>0</v>
      </c>
      <c r="J71" s="1340" t="e">
        <f t="shared" si="7"/>
        <v>#DIV/0!</v>
      </c>
      <c r="K71" s="1340">
        <f t="shared" si="8"/>
        <v>0</v>
      </c>
    </row>
    <row r="72" spans="1:11" ht="15" x14ac:dyDescent="0.25">
      <c r="A72" s="1341"/>
      <c r="B72" s="1344">
        <v>53350</v>
      </c>
      <c r="C72" s="1352">
        <v>333901400000000</v>
      </c>
      <c r="D72" s="1344" t="s">
        <v>7703</v>
      </c>
      <c r="E72" s="1344">
        <v>1</v>
      </c>
      <c r="F72" s="643">
        <v>0</v>
      </c>
      <c r="G72" s="643">
        <v>0</v>
      </c>
      <c r="H72" s="26">
        <v>0</v>
      </c>
      <c r="I72" s="612">
        <f t="shared" si="6"/>
        <v>0</v>
      </c>
      <c r="J72" s="1340" t="e">
        <f t="shared" si="7"/>
        <v>#DIV/0!</v>
      </c>
      <c r="K72" s="1340">
        <f t="shared" si="8"/>
        <v>0</v>
      </c>
    </row>
    <row r="73" spans="1:11" ht="15" x14ac:dyDescent="0.25">
      <c r="A73" s="1341"/>
      <c r="B73" s="1344">
        <v>4300</v>
      </c>
      <c r="C73" s="1352">
        <v>333903000000000</v>
      </c>
      <c r="D73" s="1344" t="s">
        <v>5692</v>
      </c>
      <c r="E73" s="1344">
        <v>1</v>
      </c>
      <c r="F73" s="643">
        <v>18842.46</v>
      </c>
      <c r="G73" s="643">
        <v>18096.849999999999</v>
      </c>
      <c r="H73" s="26">
        <f>13109/8*12</f>
        <v>19663.5</v>
      </c>
      <c r="I73" s="612">
        <f t="shared" si="6"/>
        <v>18867.603333333333</v>
      </c>
      <c r="J73" s="1340">
        <f t="shared" si="7"/>
        <v>1.5037144219056542</v>
      </c>
      <c r="K73" s="1340">
        <f t="shared" si="8"/>
        <v>3.0291867113483219E-2</v>
      </c>
    </row>
    <row r="74" spans="1:11" ht="15" x14ac:dyDescent="0.25">
      <c r="A74" s="1341"/>
      <c r="B74" s="1344">
        <v>4400</v>
      </c>
      <c r="C74" s="1352">
        <v>333903300000000</v>
      </c>
      <c r="D74" s="1344" t="s">
        <v>5693</v>
      </c>
      <c r="E74" s="1344">
        <v>1</v>
      </c>
      <c r="F74" s="643">
        <v>2120.37</v>
      </c>
      <c r="G74" s="643">
        <v>1617.52</v>
      </c>
      <c r="H74" s="26">
        <f>10951.89</f>
        <v>10951.89</v>
      </c>
      <c r="I74" s="612">
        <f t="shared" si="6"/>
        <v>4896.5933333333332</v>
      </c>
      <c r="J74" s="1340">
        <f t="shared" si="7"/>
        <v>4.1482435373060067</v>
      </c>
      <c r="K74" s="1340">
        <f t="shared" si="8"/>
        <v>7.8614624200866266E-3</v>
      </c>
    </row>
    <row r="75" spans="1:11" ht="15" x14ac:dyDescent="0.25">
      <c r="A75" s="1341"/>
      <c r="B75" s="1344">
        <v>53120</v>
      </c>
      <c r="C75" s="1352">
        <v>333903300000000</v>
      </c>
      <c r="D75" s="1344" t="s">
        <v>5707</v>
      </c>
      <c r="E75" s="1344">
        <v>1</v>
      </c>
      <c r="F75" s="643">
        <v>0</v>
      </c>
      <c r="G75" s="643">
        <v>0</v>
      </c>
      <c r="H75" s="26">
        <v>0</v>
      </c>
      <c r="I75" s="612">
        <f t="shared" si="6"/>
        <v>0</v>
      </c>
      <c r="J75" s="1340" t="e">
        <f t="shared" si="7"/>
        <v>#DIV/0!</v>
      </c>
      <c r="K75" s="1340">
        <f t="shared" si="8"/>
        <v>0</v>
      </c>
    </row>
    <row r="76" spans="1:11" ht="30" x14ac:dyDescent="0.25">
      <c r="A76" s="1341"/>
      <c r="B76" s="1344">
        <v>53370</v>
      </c>
      <c r="C76" s="1352">
        <v>333903300000000</v>
      </c>
      <c r="D76" s="1344" t="s">
        <v>7702</v>
      </c>
      <c r="E76" s="1344">
        <v>1</v>
      </c>
      <c r="F76" s="643">
        <v>0</v>
      </c>
      <c r="G76" s="643">
        <v>0</v>
      </c>
      <c r="H76" s="26">
        <v>0</v>
      </c>
      <c r="I76" s="612">
        <f t="shared" si="6"/>
        <v>0</v>
      </c>
      <c r="J76" s="1340" t="e">
        <f t="shared" si="7"/>
        <v>#DIV/0!</v>
      </c>
      <c r="K76" s="1340">
        <f t="shared" si="8"/>
        <v>0</v>
      </c>
    </row>
    <row r="77" spans="1:11" ht="15" x14ac:dyDescent="0.25">
      <c r="A77" s="1341"/>
      <c r="B77" s="1344">
        <v>4500</v>
      </c>
      <c r="C77" s="1352">
        <v>333903500000000</v>
      </c>
      <c r="D77" s="1344" t="s">
        <v>5694</v>
      </c>
      <c r="E77" s="1344">
        <v>1</v>
      </c>
      <c r="F77" s="643">
        <v>0</v>
      </c>
      <c r="G77" s="643">
        <v>0</v>
      </c>
      <c r="H77" s="26">
        <v>0</v>
      </c>
      <c r="I77" s="612">
        <f t="shared" si="6"/>
        <v>0</v>
      </c>
      <c r="J77" s="1340" t="e">
        <f t="shared" si="7"/>
        <v>#DIV/0!</v>
      </c>
      <c r="K77" s="1340">
        <f t="shared" si="8"/>
        <v>0</v>
      </c>
    </row>
    <row r="78" spans="1:11" ht="15" x14ac:dyDescent="0.25">
      <c r="A78" s="1341"/>
      <c r="B78" s="1344">
        <v>53160</v>
      </c>
      <c r="C78" s="1352">
        <v>333903500000000</v>
      </c>
      <c r="D78" s="1344" t="s">
        <v>5708</v>
      </c>
      <c r="E78" s="1344">
        <v>1</v>
      </c>
      <c r="F78" s="643">
        <v>0</v>
      </c>
      <c r="G78" s="643">
        <v>0</v>
      </c>
      <c r="H78" s="26">
        <v>0</v>
      </c>
      <c r="I78" s="612">
        <f t="shared" si="6"/>
        <v>0</v>
      </c>
      <c r="J78" s="1340" t="e">
        <f t="shared" si="7"/>
        <v>#DIV/0!</v>
      </c>
      <c r="K78" s="1340">
        <f t="shared" si="8"/>
        <v>0</v>
      </c>
    </row>
    <row r="79" spans="1:11" ht="15" x14ac:dyDescent="0.25">
      <c r="A79" s="1341"/>
      <c r="B79" s="1344">
        <v>53170</v>
      </c>
      <c r="C79" s="1352">
        <v>333903500000000</v>
      </c>
      <c r="D79" s="1344" t="s">
        <v>5708</v>
      </c>
      <c r="E79" s="1344">
        <v>1</v>
      </c>
      <c r="F79" s="643">
        <v>0</v>
      </c>
      <c r="G79" s="643">
        <v>0</v>
      </c>
      <c r="H79" s="26">
        <v>0</v>
      </c>
      <c r="I79" s="612">
        <f t="shared" si="6"/>
        <v>0</v>
      </c>
      <c r="J79" s="1340" t="e">
        <f t="shared" si="7"/>
        <v>#DIV/0!</v>
      </c>
      <c r="K79" s="1340">
        <f t="shared" si="8"/>
        <v>0</v>
      </c>
    </row>
    <row r="80" spans="1:11" ht="15" x14ac:dyDescent="0.25">
      <c r="A80" s="1341"/>
      <c r="B80" s="1344">
        <v>4600</v>
      </c>
      <c r="C80" s="1352">
        <v>333903600000000</v>
      </c>
      <c r="D80" s="1344" t="s">
        <v>5695</v>
      </c>
      <c r="E80" s="1344">
        <v>1</v>
      </c>
      <c r="F80" s="643">
        <v>0</v>
      </c>
      <c r="G80" s="643">
        <v>0</v>
      </c>
      <c r="H80" s="26">
        <v>0</v>
      </c>
      <c r="I80" s="612">
        <f t="shared" si="6"/>
        <v>0</v>
      </c>
      <c r="J80" s="1340" t="e">
        <f t="shared" si="7"/>
        <v>#DIV/0!</v>
      </c>
      <c r="K80" s="1340">
        <f t="shared" si="8"/>
        <v>0</v>
      </c>
    </row>
    <row r="81" spans="1:11" ht="15" x14ac:dyDescent="0.25">
      <c r="A81" s="1341"/>
      <c r="B81" s="1344">
        <v>53180</v>
      </c>
      <c r="C81" s="1352">
        <v>333903600000000</v>
      </c>
      <c r="D81" s="1344" t="s">
        <v>5709</v>
      </c>
      <c r="E81" s="1344">
        <v>1</v>
      </c>
      <c r="F81" s="643">
        <v>0</v>
      </c>
      <c r="G81" s="643">
        <v>0</v>
      </c>
      <c r="H81" s="26">
        <v>0</v>
      </c>
      <c r="I81" s="612">
        <f t="shared" si="6"/>
        <v>0</v>
      </c>
      <c r="J81" s="1340" t="e">
        <f t="shared" si="7"/>
        <v>#DIV/0!</v>
      </c>
      <c r="K81" s="1340">
        <f t="shared" si="8"/>
        <v>0</v>
      </c>
    </row>
    <row r="82" spans="1:11" ht="15" x14ac:dyDescent="0.25">
      <c r="A82" s="1341"/>
      <c r="B82" s="1344">
        <v>4700</v>
      </c>
      <c r="C82" s="1352">
        <v>333903900000000</v>
      </c>
      <c r="D82" s="1344" t="s">
        <v>5696</v>
      </c>
      <c r="E82" s="1344">
        <v>1</v>
      </c>
      <c r="F82" s="643">
        <v>65079.32</v>
      </c>
      <c r="G82" s="643">
        <v>59179.54</v>
      </c>
      <c r="H82" s="26">
        <f>49265.48/8*12</f>
        <v>73898.22</v>
      </c>
      <c r="I82" s="612">
        <f t="shared" si="6"/>
        <v>66052.36</v>
      </c>
      <c r="J82" s="1340">
        <f t="shared" si="7"/>
        <v>1.5337009352779669</v>
      </c>
      <c r="K82" s="1340">
        <f t="shared" si="8"/>
        <v>0.10604681878789876</v>
      </c>
    </row>
    <row r="83" spans="1:11" ht="15" x14ac:dyDescent="0.25">
      <c r="A83" s="1341"/>
      <c r="B83" s="1344">
        <v>53200</v>
      </c>
      <c r="C83" s="1352">
        <v>333903900000000</v>
      </c>
      <c r="D83" s="1344" t="s">
        <v>5710</v>
      </c>
      <c r="E83" s="1344">
        <v>1</v>
      </c>
      <c r="F83" s="643">
        <v>0</v>
      </c>
      <c r="G83" s="643">
        <v>0</v>
      </c>
      <c r="H83" s="26">
        <v>0</v>
      </c>
      <c r="I83" s="612">
        <f t="shared" si="6"/>
        <v>0</v>
      </c>
      <c r="J83" s="1340" t="e">
        <f t="shared" si="7"/>
        <v>#DIV/0!</v>
      </c>
      <c r="K83" s="1340">
        <f t="shared" si="8"/>
        <v>0</v>
      </c>
    </row>
    <row r="84" spans="1:11" ht="30" x14ac:dyDescent="0.25">
      <c r="A84" s="1341"/>
      <c r="B84" s="1344">
        <v>53390</v>
      </c>
      <c r="C84" s="1352">
        <v>333903900000000</v>
      </c>
      <c r="D84" s="1344" t="s">
        <v>7701</v>
      </c>
      <c r="E84" s="1344">
        <v>1</v>
      </c>
      <c r="F84" s="643">
        <v>0</v>
      </c>
      <c r="G84" s="643">
        <v>0</v>
      </c>
      <c r="H84" s="26">
        <f>999.4/8*12</f>
        <v>1499.1</v>
      </c>
      <c r="I84" s="612">
        <f t="shared" si="6"/>
        <v>499.7</v>
      </c>
      <c r="J84" s="1340" t="e">
        <f t="shared" si="7"/>
        <v>#DIV/0!</v>
      </c>
      <c r="K84" s="1340">
        <f t="shared" si="8"/>
        <v>8.0226649507016872E-4</v>
      </c>
    </row>
    <row r="85" spans="1:11" ht="30" x14ac:dyDescent="0.25">
      <c r="A85" s="1341"/>
      <c r="B85" s="1344">
        <v>53320</v>
      </c>
      <c r="C85" s="1352">
        <v>333904000000000</v>
      </c>
      <c r="D85" s="1344" t="s">
        <v>7700</v>
      </c>
      <c r="E85" s="1344">
        <v>1</v>
      </c>
      <c r="F85" s="643">
        <v>0</v>
      </c>
      <c r="G85" s="643">
        <v>0</v>
      </c>
      <c r="H85" s="26">
        <f>504.97/8*12</f>
        <v>757.45500000000004</v>
      </c>
      <c r="I85" s="612">
        <f t="shared" si="6"/>
        <v>252.48500000000001</v>
      </c>
      <c r="J85" s="1340" t="e">
        <f t="shared" si="7"/>
        <v>#DIV/0!</v>
      </c>
      <c r="K85" s="1340">
        <f t="shared" si="8"/>
        <v>4.0536373025373536E-4</v>
      </c>
    </row>
    <row r="86" spans="1:11" ht="15" x14ac:dyDescent="0.25">
      <c r="A86" s="1341"/>
      <c r="B86" s="1344">
        <v>4800</v>
      </c>
      <c r="C86" s="1352">
        <v>333904600000000</v>
      </c>
      <c r="D86" s="1344" t="s">
        <v>5697</v>
      </c>
      <c r="E86" s="1344">
        <v>1</v>
      </c>
      <c r="F86" s="643">
        <v>0</v>
      </c>
      <c r="G86" s="643">
        <v>0</v>
      </c>
      <c r="H86" s="26">
        <f>5888/8*12</f>
        <v>8832</v>
      </c>
      <c r="I86" s="612">
        <f t="shared" si="6"/>
        <v>2944</v>
      </c>
      <c r="J86" s="1340" t="e">
        <f t="shared" si="7"/>
        <v>#DIV/0!</v>
      </c>
      <c r="K86" s="1340">
        <f t="shared" si="8"/>
        <v>4.7265810716161233E-3</v>
      </c>
    </row>
    <row r="87" spans="1:11" ht="15" x14ac:dyDescent="0.25">
      <c r="A87" s="1341"/>
      <c r="B87" s="1344">
        <v>4900</v>
      </c>
      <c r="C87" s="1352">
        <v>333904700000000</v>
      </c>
      <c r="D87" s="1344" t="s">
        <v>5698</v>
      </c>
      <c r="E87" s="1344">
        <v>1</v>
      </c>
      <c r="F87" s="643">
        <v>81</v>
      </c>
      <c r="G87" s="643">
        <v>134</v>
      </c>
      <c r="H87" s="26">
        <f>49/8*12</f>
        <v>73.5</v>
      </c>
      <c r="I87" s="612">
        <f t="shared" si="6"/>
        <v>96.166666666666671</v>
      </c>
      <c r="J87" s="1340">
        <f t="shared" si="7"/>
        <v>1.9285747189976046</v>
      </c>
      <c r="K87" s="1340">
        <f t="shared" si="8"/>
        <v>1.5439522635430839E-4</v>
      </c>
    </row>
    <row r="88" spans="1:11" ht="15" x14ac:dyDescent="0.25">
      <c r="A88" s="1341"/>
      <c r="B88" s="1344">
        <v>53250</v>
      </c>
      <c r="C88" s="1352">
        <v>333904700000000</v>
      </c>
      <c r="D88" s="1344" t="s">
        <v>5711</v>
      </c>
      <c r="E88" s="1344">
        <v>1</v>
      </c>
      <c r="F88" s="643">
        <v>0</v>
      </c>
      <c r="G88" s="643">
        <v>0</v>
      </c>
      <c r="H88" s="26">
        <v>0</v>
      </c>
      <c r="I88" s="612">
        <f t="shared" si="6"/>
        <v>0</v>
      </c>
      <c r="J88" s="1340" t="e">
        <f t="shared" si="7"/>
        <v>#DIV/0!</v>
      </c>
      <c r="K88" s="1340">
        <f t="shared" si="8"/>
        <v>0</v>
      </c>
    </row>
    <row r="89" spans="1:11" ht="15" x14ac:dyDescent="0.25">
      <c r="A89" s="1341"/>
      <c r="B89" s="1344">
        <v>5000</v>
      </c>
      <c r="C89" s="1352">
        <v>333904900000000</v>
      </c>
      <c r="D89" s="1344" t="s">
        <v>5699</v>
      </c>
      <c r="E89" s="1344">
        <v>1</v>
      </c>
      <c r="F89" s="643">
        <v>0</v>
      </c>
      <c r="G89" s="643">
        <v>0</v>
      </c>
      <c r="H89" s="26">
        <v>0</v>
      </c>
      <c r="I89" s="612">
        <f t="shared" si="6"/>
        <v>0</v>
      </c>
      <c r="J89" s="1340" t="e">
        <f t="shared" si="7"/>
        <v>#DIV/0!</v>
      </c>
      <c r="K89" s="1340">
        <f t="shared" si="8"/>
        <v>0</v>
      </c>
    </row>
    <row r="90" spans="1:11" ht="15" x14ac:dyDescent="0.25">
      <c r="A90" s="1341"/>
      <c r="B90" s="1344">
        <v>5100</v>
      </c>
      <c r="C90" s="1352">
        <v>333909300000000</v>
      </c>
      <c r="D90" s="1344" t="s">
        <v>5700</v>
      </c>
      <c r="E90" s="1344">
        <v>1</v>
      </c>
      <c r="F90" s="643">
        <v>196.55</v>
      </c>
      <c r="G90" s="643">
        <v>242.73</v>
      </c>
      <c r="H90" s="26">
        <f>238.58/8*12</f>
        <v>357.87</v>
      </c>
      <c r="I90" s="612">
        <f t="shared" si="6"/>
        <v>265.71666666666664</v>
      </c>
      <c r="J90" s="1340">
        <f t="shared" si="7"/>
        <v>1.9721300485532147</v>
      </c>
      <c r="K90" s="1340">
        <f t="shared" si="8"/>
        <v>4.2660712196997195E-4</v>
      </c>
    </row>
    <row r="91" spans="1:11" ht="15" x14ac:dyDescent="0.25">
      <c r="A91" s="1341"/>
      <c r="B91" s="1344">
        <v>53260</v>
      </c>
      <c r="C91" s="1352">
        <v>333909300000000</v>
      </c>
      <c r="D91" s="1344" t="s">
        <v>5712</v>
      </c>
      <c r="E91" s="1344">
        <v>1</v>
      </c>
      <c r="F91" s="643">
        <v>0</v>
      </c>
      <c r="G91" s="643">
        <v>0</v>
      </c>
      <c r="H91" s="26">
        <v>0</v>
      </c>
      <c r="I91" s="612">
        <f t="shared" si="6"/>
        <v>0</v>
      </c>
      <c r="J91" s="1340" t="e">
        <f t="shared" si="7"/>
        <v>#DIV/0!</v>
      </c>
      <c r="K91" s="1340">
        <f t="shared" si="8"/>
        <v>0</v>
      </c>
    </row>
    <row r="92" spans="1:11" ht="15" x14ac:dyDescent="0.25">
      <c r="A92" s="1341"/>
      <c r="B92" s="1344">
        <v>5200</v>
      </c>
      <c r="C92" s="1352">
        <v>344905100000000</v>
      </c>
      <c r="D92" s="1344" t="s">
        <v>5701</v>
      </c>
      <c r="E92" s="1344">
        <v>1</v>
      </c>
      <c r="F92" s="643">
        <v>0</v>
      </c>
      <c r="G92" s="643">
        <v>0</v>
      </c>
      <c r="H92" s="26">
        <v>0</v>
      </c>
      <c r="I92" s="612">
        <f t="shared" si="6"/>
        <v>0</v>
      </c>
      <c r="J92" s="1340" t="e">
        <f t="shared" si="7"/>
        <v>#DIV/0!</v>
      </c>
      <c r="K92" s="1340">
        <f t="shared" si="8"/>
        <v>0</v>
      </c>
    </row>
    <row r="93" spans="1:11" ht="15" x14ac:dyDescent="0.25">
      <c r="A93" s="1341"/>
      <c r="B93" s="1344">
        <v>53270</v>
      </c>
      <c r="C93" s="1352">
        <v>344905100000000</v>
      </c>
      <c r="D93" s="1344" t="s">
        <v>5713</v>
      </c>
      <c r="E93" s="1344">
        <v>1</v>
      </c>
      <c r="F93" s="643">
        <v>0</v>
      </c>
      <c r="G93" s="643">
        <v>0</v>
      </c>
      <c r="H93" s="26">
        <v>0</v>
      </c>
      <c r="I93" s="612">
        <f t="shared" si="6"/>
        <v>0</v>
      </c>
      <c r="J93" s="1340" t="e">
        <f t="shared" si="7"/>
        <v>#DIV/0!</v>
      </c>
      <c r="K93" s="1340">
        <f t="shared" si="8"/>
        <v>0</v>
      </c>
    </row>
    <row r="94" spans="1:11" ht="15" x14ac:dyDescent="0.25">
      <c r="A94" s="1341"/>
      <c r="B94" s="1344">
        <v>5300</v>
      </c>
      <c r="C94" s="1352">
        <v>344905200000000</v>
      </c>
      <c r="D94" s="1344" t="s">
        <v>5702</v>
      </c>
      <c r="E94" s="1344">
        <v>1</v>
      </c>
      <c r="F94" s="643">
        <v>3562</v>
      </c>
      <c r="G94" s="643">
        <v>0</v>
      </c>
      <c r="H94" s="26">
        <v>0</v>
      </c>
      <c r="I94" s="612">
        <f t="shared" si="6"/>
        <v>1187.3333333333333</v>
      </c>
      <c r="J94" s="1340" t="e">
        <f t="shared" si="7"/>
        <v>#DIV/0!</v>
      </c>
      <c r="K94" s="1340">
        <f t="shared" si="8"/>
        <v>1.9062592591821365E-3</v>
      </c>
    </row>
    <row r="95" spans="1:11" ht="15" x14ac:dyDescent="0.25">
      <c r="A95" s="1341"/>
      <c r="B95" s="1344">
        <v>53290</v>
      </c>
      <c r="C95" s="1352">
        <v>344905200000000</v>
      </c>
      <c r="D95" s="1344" t="s">
        <v>5714</v>
      </c>
      <c r="E95" s="1344">
        <v>1</v>
      </c>
      <c r="F95" s="643">
        <v>0</v>
      </c>
      <c r="G95" s="643">
        <v>0</v>
      </c>
      <c r="H95" s="26">
        <v>0</v>
      </c>
      <c r="I95" s="612">
        <f t="shared" si="6"/>
        <v>0</v>
      </c>
      <c r="J95" s="1340" t="e">
        <f t="shared" si="7"/>
        <v>#DIV/0!</v>
      </c>
      <c r="K95" s="1340">
        <f t="shared" si="8"/>
        <v>0</v>
      </c>
    </row>
    <row r="96" spans="1:11" s="12" customFormat="1" ht="15" x14ac:dyDescent="0.25">
      <c r="A96" s="1081"/>
      <c r="B96" s="1345" t="s">
        <v>2965</v>
      </c>
      <c r="C96" s="1343">
        <v>30</v>
      </c>
      <c r="D96" s="1345" t="s">
        <v>3234</v>
      </c>
      <c r="E96" s="1345"/>
      <c r="F96" s="642">
        <f>SUM(F97:F103)</f>
        <v>14877.66</v>
      </c>
      <c r="G96" s="642">
        <f>SUM(G97:G103)</f>
        <v>22747.97</v>
      </c>
      <c r="H96" s="642">
        <f>SUM(H97:H103)</f>
        <v>20652.87</v>
      </c>
      <c r="I96" s="33">
        <f t="shared" si="6"/>
        <v>19426.166666666668</v>
      </c>
      <c r="J96" s="1338">
        <f t="shared" si="7"/>
        <v>1.9829516096597706</v>
      </c>
      <c r="K96" s="1338">
        <f t="shared" si="8"/>
        <v>3.1188638471714249E-2</v>
      </c>
    </row>
    <row r="97" spans="1:11" ht="15" x14ac:dyDescent="0.25">
      <c r="A97" s="1341"/>
      <c r="B97" s="1344">
        <v>5400</v>
      </c>
      <c r="C97" s="1352">
        <v>333903000000000</v>
      </c>
      <c r="D97" s="1344" t="s">
        <v>5732</v>
      </c>
      <c r="E97" s="1344">
        <v>1</v>
      </c>
      <c r="F97" s="643">
        <v>1132</v>
      </c>
      <c r="G97" s="643">
        <v>4487.24</v>
      </c>
      <c r="H97" s="26">
        <f>1510.75/8*12</f>
        <v>2266.125</v>
      </c>
      <c r="I97" s="612">
        <f t="shared" si="6"/>
        <v>2628.4549999999999</v>
      </c>
      <c r="J97" s="1340">
        <f t="shared" si="7"/>
        <v>4.2165005990445215</v>
      </c>
      <c r="K97" s="1340">
        <f t="shared" si="8"/>
        <v>4.2199747454465886E-3</v>
      </c>
    </row>
    <row r="98" spans="1:11" ht="15" x14ac:dyDescent="0.25">
      <c r="A98" s="1341"/>
      <c r="B98" s="1344">
        <v>5500</v>
      </c>
      <c r="C98" s="1352">
        <v>333903600000000</v>
      </c>
      <c r="D98" s="1344" t="s">
        <v>5733</v>
      </c>
      <c r="E98" s="1344">
        <v>1</v>
      </c>
      <c r="F98" s="643">
        <v>13295.66</v>
      </c>
      <c r="G98" s="643">
        <v>11386.08</v>
      </c>
      <c r="H98" s="26">
        <f>7638.08/8*12</f>
        <v>11457.119999999999</v>
      </c>
      <c r="I98" s="612">
        <f t="shared" si="6"/>
        <v>12046.286666666667</v>
      </c>
      <c r="J98" s="1340">
        <f t="shared" si="7"/>
        <v>1.3594952881785596</v>
      </c>
      <c r="K98" s="1340">
        <f t="shared" si="8"/>
        <v>1.9340268526470229E-2</v>
      </c>
    </row>
    <row r="99" spans="1:11" ht="15" x14ac:dyDescent="0.25">
      <c r="A99" s="1341"/>
      <c r="B99" s="1344">
        <v>5600</v>
      </c>
      <c r="C99" s="1352">
        <v>333903900000000</v>
      </c>
      <c r="D99" s="1344" t="s">
        <v>5734</v>
      </c>
      <c r="E99" s="1344">
        <v>1</v>
      </c>
      <c r="F99" s="643">
        <v>450</v>
      </c>
      <c r="G99" s="643">
        <v>2937.7</v>
      </c>
      <c r="H99" s="26">
        <f>3600/8*12</f>
        <v>5400</v>
      </c>
      <c r="I99" s="612">
        <f t="shared" si="6"/>
        <v>2929.2333333333336</v>
      </c>
      <c r="J99" s="1340">
        <f t="shared" si="7"/>
        <v>7.4473085822998328</v>
      </c>
      <c r="K99" s="1340">
        <f t="shared" si="8"/>
        <v>4.70287324309794E-3</v>
      </c>
    </row>
    <row r="100" spans="1:11" ht="30" x14ac:dyDescent="0.25">
      <c r="A100" s="1341"/>
      <c r="B100" s="1344">
        <v>59920</v>
      </c>
      <c r="C100" s="1352">
        <v>333904000000000</v>
      </c>
      <c r="D100" s="1344" t="s">
        <v>7699</v>
      </c>
      <c r="E100" s="1344">
        <v>1</v>
      </c>
      <c r="F100" s="643">
        <v>0</v>
      </c>
      <c r="G100" s="643">
        <v>0</v>
      </c>
      <c r="H100" s="26">
        <f>1019.75/8*12</f>
        <v>1529.625</v>
      </c>
      <c r="I100" s="612">
        <f t="shared" si="6"/>
        <v>509.875</v>
      </c>
      <c r="J100" s="1340" t="e">
        <f t="shared" si="7"/>
        <v>#DIV/0!</v>
      </c>
      <c r="K100" s="1340">
        <f t="shared" si="8"/>
        <v>8.1860241979968436E-4</v>
      </c>
    </row>
    <row r="101" spans="1:11" ht="15" x14ac:dyDescent="0.25">
      <c r="A101" s="1341"/>
      <c r="B101" s="1344">
        <v>5700</v>
      </c>
      <c r="C101" s="1352">
        <v>333904700000000</v>
      </c>
      <c r="D101" s="1344" t="s">
        <v>5735</v>
      </c>
      <c r="E101" s="1344">
        <v>1</v>
      </c>
      <c r="F101" s="643">
        <v>0</v>
      </c>
      <c r="G101" s="643">
        <v>0</v>
      </c>
      <c r="H101" s="26">
        <v>0</v>
      </c>
      <c r="I101" s="612">
        <f t="shared" ref="I101:I132" si="9">(F101+G101+H101)/3</f>
        <v>0</v>
      </c>
      <c r="J101" s="1340" t="e">
        <f t="shared" ref="J101:J132" si="10">(G101/F101)+(H101/G101)/2</f>
        <v>#DIV/0!</v>
      </c>
      <c r="K101" s="1340">
        <f t="shared" ref="K101:K132" si="11">I101/I$143</f>
        <v>0</v>
      </c>
    </row>
    <row r="102" spans="1:11" ht="15" x14ac:dyDescent="0.25">
      <c r="A102" s="1341"/>
      <c r="B102" s="1344">
        <v>5800</v>
      </c>
      <c r="C102" s="1352">
        <v>344905100000000</v>
      </c>
      <c r="D102" s="1344" t="s">
        <v>5736</v>
      </c>
      <c r="E102" s="1344">
        <v>1</v>
      </c>
      <c r="F102" s="643">
        <v>0</v>
      </c>
      <c r="G102" s="643">
        <v>0</v>
      </c>
      <c r="H102" s="26">
        <v>0</v>
      </c>
      <c r="I102" s="612">
        <f t="shared" si="9"/>
        <v>0</v>
      </c>
      <c r="J102" s="1340" t="e">
        <f t="shared" si="10"/>
        <v>#DIV/0!</v>
      </c>
      <c r="K102" s="1340">
        <f t="shared" si="11"/>
        <v>0</v>
      </c>
    </row>
    <row r="103" spans="1:11" ht="15" x14ac:dyDescent="0.25">
      <c r="A103" s="1341"/>
      <c r="B103" s="1344">
        <v>5900</v>
      </c>
      <c r="C103" s="1352">
        <v>344905200000000</v>
      </c>
      <c r="D103" s="1344" t="s">
        <v>5737</v>
      </c>
      <c r="E103" s="1344">
        <v>1</v>
      </c>
      <c r="F103" s="643">
        <v>0</v>
      </c>
      <c r="G103" s="643">
        <v>3936.95</v>
      </c>
      <c r="H103" s="26">
        <v>0</v>
      </c>
      <c r="I103" s="612">
        <f t="shared" si="9"/>
        <v>1312.3166666666666</v>
      </c>
      <c r="J103" s="1340" t="e">
        <f t="shared" si="10"/>
        <v>#DIV/0!</v>
      </c>
      <c r="K103" s="1340">
        <f t="shared" si="11"/>
        <v>2.1069195368998068E-3</v>
      </c>
    </row>
    <row r="104" spans="1:11" s="12" customFormat="1" ht="15" x14ac:dyDescent="0.25">
      <c r="A104" s="1081"/>
      <c r="B104" s="1345" t="s">
        <v>2965</v>
      </c>
      <c r="C104" s="1343">
        <v>31</v>
      </c>
      <c r="D104" s="1345" t="s">
        <v>3259</v>
      </c>
      <c r="E104" s="1345"/>
      <c r="F104" s="642">
        <f>SUM(F105:F117)</f>
        <v>0</v>
      </c>
      <c r="G104" s="642">
        <f>SUM(G105:G117)</f>
        <v>5555.5</v>
      </c>
      <c r="H104" s="642">
        <f>SUM(H105:H117)</f>
        <v>643.95000000000005</v>
      </c>
      <c r="I104" s="33">
        <f t="shared" si="9"/>
        <v>2066.4833333333331</v>
      </c>
      <c r="J104" s="1338" t="e">
        <f t="shared" si="10"/>
        <v>#DIV/0!</v>
      </c>
      <c r="K104" s="1338">
        <f t="shared" si="11"/>
        <v>3.3177313207009254E-3</v>
      </c>
    </row>
    <row r="105" spans="1:11" ht="15" x14ac:dyDescent="0.25">
      <c r="A105" s="1341"/>
      <c r="B105" s="1344">
        <v>5950</v>
      </c>
      <c r="C105" s="1352">
        <v>333901400000000</v>
      </c>
      <c r="D105" s="1344" t="s">
        <v>5738</v>
      </c>
      <c r="E105" s="1344">
        <v>1</v>
      </c>
      <c r="F105" s="643">
        <v>0</v>
      </c>
      <c r="G105" s="643">
        <v>0</v>
      </c>
      <c r="H105" s="26">
        <v>0</v>
      </c>
      <c r="I105" s="612">
        <f t="shared" si="9"/>
        <v>0</v>
      </c>
      <c r="J105" s="1340" t="e">
        <f t="shared" si="10"/>
        <v>#DIV/0!</v>
      </c>
      <c r="K105" s="1340">
        <f t="shared" si="11"/>
        <v>0</v>
      </c>
    </row>
    <row r="106" spans="1:11" ht="15" x14ac:dyDescent="0.25">
      <c r="A106" s="1341"/>
      <c r="B106" s="1344">
        <v>5980</v>
      </c>
      <c r="C106" s="1352">
        <v>333901400000000</v>
      </c>
      <c r="D106" s="1344" t="s">
        <v>5741</v>
      </c>
      <c r="E106" s="1344">
        <v>1</v>
      </c>
      <c r="F106" s="643">
        <v>0</v>
      </c>
      <c r="G106" s="643">
        <v>360</v>
      </c>
      <c r="H106" s="26">
        <f>352/8*12</f>
        <v>528</v>
      </c>
      <c r="I106" s="612">
        <f t="shared" si="9"/>
        <v>296</v>
      </c>
      <c r="J106" s="1340" t="e">
        <f t="shared" si="10"/>
        <v>#DIV/0!</v>
      </c>
      <c r="K106" s="1340">
        <f t="shared" si="11"/>
        <v>4.7522690122227327E-4</v>
      </c>
    </row>
    <row r="107" spans="1:11" ht="15" x14ac:dyDescent="0.25">
      <c r="A107" s="1341"/>
      <c r="B107" s="1344">
        <v>6100</v>
      </c>
      <c r="C107" s="1352">
        <v>333903000000000</v>
      </c>
      <c r="D107" s="1344" t="s">
        <v>5742</v>
      </c>
      <c r="E107" s="1344">
        <v>1</v>
      </c>
      <c r="F107" s="643">
        <v>0</v>
      </c>
      <c r="G107" s="643">
        <v>0</v>
      </c>
      <c r="H107" s="26">
        <v>0</v>
      </c>
      <c r="I107" s="612">
        <f t="shared" si="9"/>
        <v>0</v>
      </c>
      <c r="J107" s="1340" t="e">
        <f t="shared" si="10"/>
        <v>#DIV/0!</v>
      </c>
      <c r="K107" s="1340">
        <f t="shared" si="11"/>
        <v>0</v>
      </c>
    </row>
    <row r="108" spans="1:11" ht="15" x14ac:dyDescent="0.25">
      <c r="A108" s="1341"/>
      <c r="B108" s="1344">
        <v>6120</v>
      </c>
      <c r="C108" s="1352">
        <v>333903200000000</v>
      </c>
      <c r="D108" s="1344" t="s">
        <v>7698</v>
      </c>
      <c r="E108" s="1344">
        <v>1</v>
      </c>
      <c r="F108" s="643">
        <v>0</v>
      </c>
      <c r="G108" s="643">
        <v>5195.5</v>
      </c>
      <c r="H108" s="26">
        <v>0</v>
      </c>
      <c r="I108" s="612">
        <f t="shared" si="9"/>
        <v>1731.8333333333333</v>
      </c>
      <c r="J108" s="1340" t="e">
        <f t="shared" si="10"/>
        <v>#DIV/0!</v>
      </c>
      <c r="K108" s="1340">
        <f t="shared" si="11"/>
        <v>2.7804519879508116E-3</v>
      </c>
    </row>
    <row r="109" spans="1:11" ht="15" x14ac:dyDescent="0.25">
      <c r="A109" s="1341"/>
      <c r="B109" s="1344">
        <v>5960</v>
      </c>
      <c r="C109" s="1352">
        <v>333903300000000</v>
      </c>
      <c r="D109" s="1344" t="s">
        <v>7697</v>
      </c>
      <c r="E109" s="1344">
        <v>1</v>
      </c>
      <c r="F109" s="643">
        <v>0</v>
      </c>
      <c r="G109" s="643">
        <v>0</v>
      </c>
      <c r="H109" s="26">
        <v>0</v>
      </c>
      <c r="I109" s="612">
        <f t="shared" si="9"/>
        <v>0</v>
      </c>
      <c r="J109" s="1340" t="e">
        <f t="shared" si="10"/>
        <v>#DIV/0!</v>
      </c>
      <c r="K109" s="1340">
        <f t="shared" si="11"/>
        <v>0</v>
      </c>
    </row>
    <row r="110" spans="1:11" ht="15" x14ac:dyDescent="0.25">
      <c r="A110" s="1341"/>
      <c r="B110" s="1344">
        <v>6130</v>
      </c>
      <c r="C110" s="1352">
        <v>333903300000000</v>
      </c>
      <c r="D110" s="1344" t="s">
        <v>5744</v>
      </c>
      <c r="E110" s="1344">
        <v>1</v>
      </c>
      <c r="F110" s="643">
        <v>0</v>
      </c>
      <c r="G110" s="643">
        <v>0</v>
      </c>
      <c r="H110" s="26">
        <v>0</v>
      </c>
      <c r="I110" s="612">
        <f t="shared" si="9"/>
        <v>0</v>
      </c>
      <c r="J110" s="1340" t="e">
        <f t="shared" si="10"/>
        <v>#DIV/0!</v>
      </c>
      <c r="K110" s="1340">
        <f t="shared" si="11"/>
        <v>0</v>
      </c>
    </row>
    <row r="111" spans="1:11" ht="15" x14ac:dyDescent="0.25">
      <c r="A111" s="1341"/>
      <c r="B111" s="1344">
        <v>6140</v>
      </c>
      <c r="C111" s="1352">
        <v>333903600000000</v>
      </c>
      <c r="D111" s="1344" t="s">
        <v>5745</v>
      </c>
      <c r="E111" s="1344">
        <v>1</v>
      </c>
      <c r="F111" s="643">
        <v>0</v>
      </c>
      <c r="G111" s="643">
        <v>0</v>
      </c>
      <c r="H111" s="26">
        <v>0</v>
      </c>
      <c r="I111" s="612">
        <f t="shared" si="9"/>
        <v>0</v>
      </c>
      <c r="J111" s="1340" t="e">
        <f t="shared" si="10"/>
        <v>#DIV/0!</v>
      </c>
      <c r="K111" s="1340">
        <f t="shared" si="11"/>
        <v>0</v>
      </c>
    </row>
    <row r="112" spans="1:11" ht="15" x14ac:dyDescent="0.25">
      <c r="A112" s="1341"/>
      <c r="B112" s="1344">
        <v>5970</v>
      </c>
      <c r="C112" s="1352">
        <v>333903900000000</v>
      </c>
      <c r="D112" s="1344" t="s">
        <v>7696</v>
      </c>
      <c r="E112" s="1344">
        <v>1</v>
      </c>
      <c r="F112" s="643">
        <v>0</v>
      </c>
      <c r="G112" s="643">
        <v>0</v>
      </c>
      <c r="H112" s="26">
        <v>0</v>
      </c>
      <c r="I112" s="612">
        <f t="shared" si="9"/>
        <v>0</v>
      </c>
      <c r="J112" s="1340" t="e">
        <f t="shared" si="10"/>
        <v>#DIV/0!</v>
      </c>
      <c r="K112" s="1340">
        <f t="shared" si="11"/>
        <v>0</v>
      </c>
    </row>
    <row r="113" spans="1:11" ht="15" x14ac:dyDescent="0.25">
      <c r="A113" s="1341"/>
      <c r="B113" s="1344">
        <v>6150</v>
      </c>
      <c r="C113" s="1352">
        <v>333903900000000</v>
      </c>
      <c r="D113" s="1344" t="s">
        <v>5746</v>
      </c>
      <c r="E113" s="1344">
        <v>1</v>
      </c>
      <c r="F113" s="643">
        <v>0</v>
      </c>
      <c r="G113" s="643">
        <v>0</v>
      </c>
      <c r="H113" s="26">
        <v>0</v>
      </c>
      <c r="I113" s="612">
        <f t="shared" si="9"/>
        <v>0</v>
      </c>
      <c r="J113" s="1340" t="e">
        <f t="shared" si="10"/>
        <v>#DIV/0!</v>
      </c>
      <c r="K113" s="1340">
        <f t="shared" si="11"/>
        <v>0</v>
      </c>
    </row>
    <row r="114" spans="1:11" ht="15" x14ac:dyDescent="0.25">
      <c r="A114" s="1341"/>
      <c r="B114" s="1344">
        <v>6160</v>
      </c>
      <c r="C114" s="1352">
        <v>333904700000000</v>
      </c>
      <c r="D114" s="1344" t="s">
        <v>5747</v>
      </c>
      <c r="E114" s="1344">
        <v>1</v>
      </c>
      <c r="F114" s="643">
        <v>0</v>
      </c>
      <c r="G114" s="643">
        <v>0</v>
      </c>
      <c r="H114" s="26">
        <v>0</v>
      </c>
      <c r="I114" s="612">
        <f t="shared" si="9"/>
        <v>0</v>
      </c>
      <c r="J114" s="1340" t="e">
        <f t="shared" si="10"/>
        <v>#DIV/0!</v>
      </c>
      <c r="K114" s="1340">
        <f t="shared" si="11"/>
        <v>0</v>
      </c>
    </row>
    <row r="115" spans="1:11" ht="15" x14ac:dyDescent="0.25">
      <c r="A115" s="1341"/>
      <c r="B115" s="1344">
        <v>6170</v>
      </c>
      <c r="C115" s="1352">
        <v>333909300000000</v>
      </c>
      <c r="D115" s="1344" t="s">
        <v>5748</v>
      </c>
      <c r="E115" s="1344">
        <v>1</v>
      </c>
      <c r="F115" s="643">
        <v>0</v>
      </c>
      <c r="G115" s="643">
        <v>0</v>
      </c>
      <c r="H115" s="26">
        <f>77.3/8*12</f>
        <v>115.94999999999999</v>
      </c>
      <c r="I115" s="612">
        <f t="shared" si="9"/>
        <v>38.65</v>
      </c>
      <c r="J115" s="1340" t="e">
        <f t="shared" si="10"/>
        <v>#DIV/0!</v>
      </c>
      <c r="K115" s="1340">
        <f t="shared" si="11"/>
        <v>6.2052431527840745E-5</v>
      </c>
    </row>
    <row r="116" spans="1:11" ht="15" x14ac:dyDescent="0.25">
      <c r="A116" s="1341"/>
      <c r="B116" s="1344">
        <v>6180</v>
      </c>
      <c r="C116" s="1352">
        <v>344905100000000</v>
      </c>
      <c r="D116" s="1344" t="s">
        <v>5749</v>
      </c>
      <c r="E116" s="1344">
        <v>1</v>
      </c>
      <c r="F116" s="643">
        <v>0</v>
      </c>
      <c r="G116" s="643">
        <v>0</v>
      </c>
      <c r="H116" s="26">
        <v>0</v>
      </c>
      <c r="I116" s="612">
        <f t="shared" si="9"/>
        <v>0</v>
      </c>
      <c r="J116" s="1340" t="e">
        <f t="shared" si="10"/>
        <v>#DIV/0!</v>
      </c>
      <c r="K116" s="1340">
        <f t="shared" si="11"/>
        <v>0</v>
      </c>
    </row>
    <row r="117" spans="1:11" ht="15" x14ac:dyDescent="0.25">
      <c r="A117" s="1341"/>
      <c r="B117" s="1344">
        <v>6200</v>
      </c>
      <c r="C117" s="1352">
        <v>344905200000000</v>
      </c>
      <c r="D117" s="1344" t="s">
        <v>5750</v>
      </c>
      <c r="E117" s="1344">
        <v>1</v>
      </c>
      <c r="F117" s="643">
        <v>0</v>
      </c>
      <c r="G117" s="643">
        <v>0</v>
      </c>
      <c r="H117" s="26">
        <v>0</v>
      </c>
      <c r="I117" s="612">
        <f t="shared" si="9"/>
        <v>0</v>
      </c>
      <c r="J117" s="1340" t="e">
        <f t="shared" si="10"/>
        <v>#DIV/0!</v>
      </c>
      <c r="K117" s="1340">
        <f t="shared" si="11"/>
        <v>0</v>
      </c>
    </row>
    <row r="118" spans="1:11" s="12" customFormat="1" ht="15" x14ac:dyDescent="0.25">
      <c r="A118" s="1081"/>
      <c r="B118" s="1345" t="s">
        <v>2965</v>
      </c>
      <c r="C118" s="1343">
        <v>32</v>
      </c>
      <c r="D118" s="1345" t="s">
        <v>7695</v>
      </c>
      <c r="E118" s="1345"/>
      <c r="F118" s="642">
        <f>SUM(F119:F142)</f>
        <v>107877.45999999999</v>
      </c>
      <c r="G118" s="642">
        <f>SUM(G119:G142)</f>
        <v>122246.84000000001</v>
      </c>
      <c r="H118" s="642">
        <f>SUM(H119:H142)</f>
        <v>179584.90169117646</v>
      </c>
      <c r="I118" s="33">
        <f t="shared" si="9"/>
        <v>136569.73389705882</v>
      </c>
      <c r="J118" s="1338">
        <f t="shared" si="10"/>
        <v>1.8677185102843961</v>
      </c>
      <c r="K118" s="1338">
        <f t="shared" si="11"/>
        <v>0.21926220081300579</v>
      </c>
    </row>
    <row r="119" spans="1:11" ht="15" x14ac:dyDescent="0.25">
      <c r="A119" s="1341"/>
      <c r="B119" s="1344">
        <v>58000</v>
      </c>
      <c r="C119" s="1352">
        <v>331900400000000</v>
      </c>
      <c r="D119" s="1344" t="s">
        <v>3273</v>
      </c>
      <c r="E119" s="1344">
        <v>1</v>
      </c>
      <c r="F119" s="643">
        <v>0</v>
      </c>
      <c r="G119" s="643">
        <v>0</v>
      </c>
      <c r="H119" s="26">
        <v>0</v>
      </c>
      <c r="I119" s="612">
        <f t="shared" si="9"/>
        <v>0</v>
      </c>
      <c r="J119" s="1340" t="e">
        <f t="shared" si="10"/>
        <v>#DIV/0!</v>
      </c>
      <c r="K119" s="1340">
        <f t="shared" si="11"/>
        <v>0</v>
      </c>
    </row>
    <row r="120" spans="1:11" ht="15" x14ac:dyDescent="0.25">
      <c r="A120" s="1341"/>
      <c r="B120" s="1344">
        <v>58050</v>
      </c>
      <c r="C120" s="1352">
        <v>331900800000000</v>
      </c>
      <c r="D120" s="1344" t="s">
        <v>5724</v>
      </c>
      <c r="E120" s="1344">
        <v>1</v>
      </c>
      <c r="F120" s="643">
        <v>0</v>
      </c>
      <c r="G120" s="643">
        <v>0</v>
      </c>
      <c r="H120" s="26">
        <v>0</v>
      </c>
      <c r="I120" s="612">
        <f t="shared" si="9"/>
        <v>0</v>
      </c>
      <c r="J120" s="1340" t="e">
        <f t="shared" si="10"/>
        <v>#DIV/0!</v>
      </c>
      <c r="K120" s="1340">
        <f t="shared" si="11"/>
        <v>0</v>
      </c>
    </row>
    <row r="121" spans="1:11" ht="15" x14ac:dyDescent="0.25">
      <c r="A121" s="1341"/>
      <c r="B121" s="1344">
        <v>58100</v>
      </c>
      <c r="C121" s="1352">
        <v>331901100000000</v>
      </c>
      <c r="D121" s="1344" t="s">
        <v>3274</v>
      </c>
      <c r="E121" s="1344">
        <v>1</v>
      </c>
      <c r="F121" s="643">
        <v>78688.87</v>
      </c>
      <c r="G121" s="643">
        <v>86389.57</v>
      </c>
      <c r="H121" s="26">
        <f>54504.14/8.5*13</f>
        <v>83359.272941176474</v>
      </c>
      <c r="I121" s="612">
        <f t="shared" si="9"/>
        <v>82812.570980392164</v>
      </c>
      <c r="J121" s="1340">
        <f t="shared" si="10"/>
        <v>1.5803240743986189</v>
      </c>
      <c r="K121" s="1340">
        <f t="shared" si="11"/>
        <v>0.13295527530155851</v>
      </c>
    </row>
    <row r="122" spans="1:11" ht="15" x14ac:dyDescent="0.25">
      <c r="A122" s="1341"/>
      <c r="B122" s="1344">
        <v>58200</v>
      </c>
      <c r="C122" s="1352">
        <v>331901300000000</v>
      </c>
      <c r="D122" s="1344" t="s">
        <v>3277</v>
      </c>
      <c r="E122" s="1344">
        <v>1</v>
      </c>
      <c r="F122" s="643">
        <v>15737.76</v>
      </c>
      <c r="G122" s="643">
        <v>17277.830000000002</v>
      </c>
      <c r="H122" s="26">
        <f>10731.83/8*13</f>
        <v>17439.223750000001</v>
      </c>
      <c r="I122" s="612">
        <f t="shared" si="9"/>
        <v>16818.271250000002</v>
      </c>
      <c r="J122" s="1340">
        <f t="shared" si="10"/>
        <v>1.6025288166442948</v>
      </c>
      <c r="K122" s="1340">
        <f t="shared" si="11"/>
        <v>2.7001672060990366E-2</v>
      </c>
    </row>
    <row r="123" spans="1:11" ht="15" x14ac:dyDescent="0.25">
      <c r="A123" s="1341"/>
      <c r="B123" s="1344">
        <v>58300</v>
      </c>
      <c r="C123" s="1352">
        <v>331901600000000</v>
      </c>
      <c r="D123" s="1344" t="s">
        <v>3280</v>
      </c>
      <c r="E123" s="1344">
        <v>1</v>
      </c>
      <c r="F123" s="643">
        <v>0</v>
      </c>
      <c r="G123" s="643">
        <v>0</v>
      </c>
      <c r="H123" s="26">
        <v>0</v>
      </c>
      <c r="I123" s="612">
        <f t="shared" si="9"/>
        <v>0</v>
      </c>
      <c r="J123" s="1340" t="e">
        <f t="shared" si="10"/>
        <v>#DIV/0!</v>
      </c>
      <c r="K123" s="1340">
        <f t="shared" si="11"/>
        <v>0</v>
      </c>
    </row>
    <row r="124" spans="1:11" ht="15" x14ac:dyDescent="0.25">
      <c r="A124" s="1341"/>
      <c r="B124" s="1344">
        <v>58400</v>
      </c>
      <c r="C124" s="1352">
        <v>331909400000000</v>
      </c>
      <c r="D124" s="1344" t="s">
        <v>3281</v>
      </c>
      <c r="E124" s="1344">
        <v>1</v>
      </c>
      <c r="F124" s="643">
        <v>0</v>
      </c>
      <c r="G124" s="643">
        <v>0</v>
      </c>
      <c r="H124" s="26">
        <v>0</v>
      </c>
      <c r="I124" s="612">
        <f t="shared" si="9"/>
        <v>0</v>
      </c>
      <c r="J124" s="1340" t="e">
        <f t="shared" si="10"/>
        <v>#DIV/0!</v>
      </c>
      <c r="K124" s="1340">
        <f t="shared" si="11"/>
        <v>0</v>
      </c>
    </row>
    <row r="125" spans="1:11" ht="15" x14ac:dyDescent="0.25">
      <c r="A125" s="1341"/>
      <c r="B125" s="1344">
        <v>58500</v>
      </c>
      <c r="C125" s="1352">
        <v>333901400000000</v>
      </c>
      <c r="D125" s="1344" t="s">
        <v>3282</v>
      </c>
      <c r="E125" s="1344">
        <v>1</v>
      </c>
      <c r="F125" s="643">
        <v>444</v>
      </c>
      <c r="G125" s="643">
        <v>3900</v>
      </c>
      <c r="H125" s="26">
        <f>1702/8*12</f>
        <v>2553</v>
      </c>
      <c r="I125" s="612">
        <f t="shared" si="9"/>
        <v>2299</v>
      </c>
      <c r="J125" s="1340">
        <f t="shared" si="10"/>
        <v>9.1110914760914774</v>
      </c>
      <c r="K125" s="1340">
        <f t="shared" si="11"/>
        <v>3.6910359659121832E-3</v>
      </c>
    </row>
    <row r="126" spans="1:11" ht="15" x14ac:dyDescent="0.25">
      <c r="A126" s="1341"/>
      <c r="B126" s="1344">
        <v>59870</v>
      </c>
      <c r="C126" s="1352">
        <v>333901400000000</v>
      </c>
      <c r="D126" s="1344" t="s">
        <v>5727</v>
      </c>
      <c r="E126" s="1344">
        <v>1</v>
      </c>
      <c r="F126" s="643">
        <v>0</v>
      </c>
      <c r="G126" s="643">
        <v>0</v>
      </c>
      <c r="H126" s="26">
        <v>0</v>
      </c>
      <c r="I126" s="612">
        <f t="shared" si="9"/>
        <v>0</v>
      </c>
      <c r="J126" s="1340" t="e">
        <f t="shared" si="10"/>
        <v>#DIV/0!</v>
      </c>
      <c r="K126" s="1340">
        <f t="shared" si="11"/>
        <v>0</v>
      </c>
    </row>
    <row r="127" spans="1:11" ht="15" x14ac:dyDescent="0.25">
      <c r="A127" s="1341"/>
      <c r="B127" s="1344">
        <v>58600</v>
      </c>
      <c r="C127" s="1352">
        <v>333903000000000</v>
      </c>
      <c r="D127" s="1344" t="s">
        <v>3291</v>
      </c>
      <c r="E127" s="1344">
        <v>1</v>
      </c>
      <c r="F127" s="643">
        <v>1492.63</v>
      </c>
      <c r="G127" s="643">
        <v>538.79999999999995</v>
      </c>
      <c r="H127" s="26">
        <f>8174.03/8*12</f>
        <v>12261.045</v>
      </c>
      <c r="I127" s="612">
        <f t="shared" si="9"/>
        <v>4764.1583333333338</v>
      </c>
      <c r="J127" s="1340">
        <f t="shared" si="10"/>
        <v>11.739077703807723</v>
      </c>
      <c r="K127" s="1340">
        <f t="shared" si="11"/>
        <v>7.6488385191968589E-3</v>
      </c>
    </row>
    <row r="128" spans="1:11" ht="15" x14ac:dyDescent="0.25">
      <c r="A128" s="1341"/>
      <c r="B128" s="1344">
        <v>58700</v>
      </c>
      <c r="C128" s="1352">
        <v>333903300000000</v>
      </c>
      <c r="D128" s="1344" t="s">
        <v>3315</v>
      </c>
      <c r="E128" s="1344">
        <v>1</v>
      </c>
      <c r="F128" s="643">
        <v>0</v>
      </c>
      <c r="G128" s="643">
        <v>0</v>
      </c>
      <c r="H128" s="26">
        <v>0</v>
      </c>
      <c r="I128" s="612">
        <f t="shared" si="9"/>
        <v>0</v>
      </c>
      <c r="J128" s="1340" t="e">
        <f t="shared" si="10"/>
        <v>#DIV/0!</v>
      </c>
      <c r="K128" s="1340">
        <f t="shared" si="11"/>
        <v>0</v>
      </c>
    </row>
    <row r="129" spans="1:11" ht="30" x14ac:dyDescent="0.25">
      <c r="A129" s="1341"/>
      <c r="B129" s="1344">
        <v>59880</v>
      </c>
      <c r="C129" s="1352">
        <v>333903300000000</v>
      </c>
      <c r="D129" s="1344" t="s">
        <v>7694</v>
      </c>
      <c r="E129" s="1344">
        <v>1</v>
      </c>
      <c r="F129" s="643">
        <v>0</v>
      </c>
      <c r="G129" s="643">
        <v>0</v>
      </c>
      <c r="H129" s="26">
        <v>0</v>
      </c>
      <c r="I129" s="612">
        <f t="shared" si="9"/>
        <v>0</v>
      </c>
      <c r="J129" s="1340" t="e">
        <f t="shared" si="10"/>
        <v>#DIV/0!</v>
      </c>
      <c r="K129" s="1340">
        <f t="shared" si="11"/>
        <v>0</v>
      </c>
    </row>
    <row r="130" spans="1:11" ht="15" x14ac:dyDescent="0.25">
      <c r="A130" s="1341"/>
      <c r="B130" s="1344">
        <v>58800</v>
      </c>
      <c r="C130" s="1352">
        <v>333903500000000</v>
      </c>
      <c r="D130" s="1344" t="s">
        <v>3316</v>
      </c>
      <c r="E130" s="1344">
        <v>1</v>
      </c>
      <c r="F130" s="643">
        <v>0</v>
      </c>
      <c r="G130" s="643">
        <v>0</v>
      </c>
      <c r="H130" s="26">
        <v>0</v>
      </c>
      <c r="I130" s="612">
        <f t="shared" si="9"/>
        <v>0</v>
      </c>
      <c r="J130" s="1340" t="e">
        <f t="shared" si="10"/>
        <v>#DIV/0!</v>
      </c>
      <c r="K130" s="1340">
        <f t="shared" si="11"/>
        <v>0</v>
      </c>
    </row>
    <row r="131" spans="1:11" ht="15" x14ac:dyDescent="0.25">
      <c r="A131" s="1341"/>
      <c r="B131" s="1344">
        <v>58900</v>
      </c>
      <c r="C131" s="1352">
        <v>333903600000000</v>
      </c>
      <c r="D131" s="1344" t="s">
        <v>3269</v>
      </c>
      <c r="E131" s="1344">
        <v>1</v>
      </c>
      <c r="F131" s="643">
        <v>8630.4699999999993</v>
      </c>
      <c r="G131" s="643">
        <v>9844.8700000000008</v>
      </c>
      <c r="H131" s="26">
        <f>14907.33/8*12</f>
        <v>22360.994999999999</v>
      </c>
      <c r="I131" s="612">
        <f t="shared" si="9"/>
        <v>13612.111666666666</v>
      </c>
      <c r="J131" s="1340">
        <f t="shared" si="10"/>
        <v>2.2763781185479415</v>
      </c>
      <c r="K131" s="1340">
        <f t="shared" si="11"/>
        <v>2.1854194751491734E-2</v>
      </c>
    </row>
    <row r="132" spans="1:11" ht="15" x14ac:dyDescent="0.25">
      <c r="A132" s="1341"/>
      <c r="B132" s="1344">
        <v>59000</v>
      </c>
      <c r="C132" s="1352">
        <v>333903900000000</v>
      </c>
      <c r="D132" s="1344" t="s">
        <v>3270</v>
      </c>
      <c r="E132" s="1344">
        <v>1</v>
      </c>
      <c r="F132" s="643">
        <v>2868.73</v>
      </c>
      <c r="G132" s="643">
        <v>3945.77</v>
      </c>
      <c r="H132" s="26">
        <f>6313.43/8*12</f>
        <v>9470.1450000000004</v>
      </c>
      <c r="I132" s="612">
        <f t="shared" si="9"/>
        <v>5428.2150000000001</v>
      </c>
      <c r="J132" s="1340">
        <f t="shared" si="10"/>
        <v>2.5754790326525558</v>
      </c>
      <c r="K132" s="1340">
        <f t="shared" si="11"/>
        <v>8.7149790324941283E-3</v>
      </c>
    </row>
    <row r="133" spans="1:11" ht="30" x14ac:dyDescent="0.25">
      <c r="A133" s="1341"/>
      <c r="B133" s="1344">
        <v>59900</v>
      </c>
      <c r="C133" s="1352">
        <v>333903900000000</v>
      </c>
      <c r="D133" s="1344" t="s">
        <v>7693</v>
      </c>
      <c r="E133" s="1344">
        <v>1</v>
      </c>
      <c r="F133" s="643">
        <v>0</v>
      </c>
      <c r="G133" s="643">
        <v>0</v>
      </c>
      <c r="H133" s="26">
        <v>0</v>
      </c>
      <c r="I133" s="612">
        <f t="shared" ref="I133:I142" si="12">(F133+G133+H133)/3</f>
        <v>0</v>
      </c>
      <c r="J133" s="1340" t="e">
        <f t="shared" ref="J133:J143" si="13">(G133/F133)+(H133/G133)/2</f>
        <v>#DIV/0!</v>
      </c>
      <c r="K133" s="1340">
        <f t="shared" ref="K133:K143" si="14">I133/I$143</f>
        <v>0</v>
      </c>
    </row>
    <row r="134" spans="1:11" ht="30" x14ac:dyDescent="0.25">
      <c r="A134" s="1341"/>
      <c r="B134" s="1344">
        <v>59850</v>
      </c>
      <c r="C134" s="1352">
        <v>333904000000000</v>
      </c>
      <c r="D134" s="1344" t="s">
        <v>7692</v>
      </c>
      <c r="E134" s="1344">
        <v>1</v>
      </c>
      <c r="F134" s="643">
        <v>0</v>
      </c>
      <c r="G134" s="643">
        <v>0</v>
      </c>
      <c r="H134" s="26">
        <f>812.48/8*12</f>
        <v>1218.72</v>
      </c>
      <c r="I134" s="612">
        <f t="shared" si="12"/>
        <v>406.24</v>
      </c>
      <c r="J134" s="1340" t="e">
        <f t="shared" si="13"/>
        <v>#DIV/0!</v>
      </c>
      <c r="K134" s="1340">
        <f t="shared" si="14"/>
        <v>6.5221681200181177E-4</v>
      </c>
    </row>
    <row r="135" spans="1:11" ht="15" x14ac:dyDescent="0.25">
      <c r="A135" s="1341"/>
      <c r="B135" s="1344">
        <v>59100</v>
      </c>
      <c r="C135" s="1352">
        <v>333904600000000</v>
      </c>
      <c r="D135" s="1344" t="s">
        <v>3325</v>
      </c>
      <c r="E135" s="1344">
        <v>1</v>
      </c>
      <c r="F135" s="643">
        <v>0</v>
      </c>
      <c r="G135" s="643">
        <v>0</v>
      </c>
      <c r="H135" s="26">
        <f>20608/8*12</f>
        <v>30912</v>
      </c>
      <c r="I135" s="612">
        <f t="shared" si="12"/>
        <v>10304</v>
      </c>
      <c r="J135" s="1340" t="e">
        <f t="shared" si="13"/>
        <v>#DIV/0!</v>
      </c>
      <c r="K135" s="1340">
        <f t="shared" si="14"/>
        <v>1.6543033750656432E-2</v>
      </c>
    </row>
    <row r="136" spans="1:11" ht="15" x14ac:dyDescent="0.25">
      <c r="A136" s="1341"/>
      <c r="B136" s="1344">
        <v>59200</v>
      </c>
      <c r="C136" s="1352">
        <v>333904700000000</v>
      </c>
      <c r="D136" s="1344" t="s">
        <v>3326</v>
      </c>
      <c r="E136" s="1344">
        <v>1</v>
      </c>
      <c r="F136" s="643">
        <v>15</v>
      </c>
      <c r="G136" s="643">
        <v>12</v>
      </c>
      <c r="H136" s="26">
        <f>7/8*12</f>
        <v>10.5</v>
      </c>
      <c r="I136" s="612">
        <f t="shared" si="12"/>
        <v>12.5</v>
      </c>
      <c r="J136" s="1340">
        <f t="shared" si="13"/>
        <v>1.2375</v>
      </c>
      <c r="K136" s="1340">
        <f t="shared" si="14"/>
        <v>2.0068703598913566E-5</v>
      </c>
    </row>
    <row r="137" spans="1:11" ht="15" x14ac:dyDescent="0.25">
      <c r="A137" s="1341"/>
      <c r="B137" s="1344">
        <v>59300</v>
      </c>
      <c r="C137" s="1352">
        <v>333904900000000</v>
      </c>
      <c r="D137" s="1344" t="s">
        <v>3327</v>
      </c>
      <c r="E137" s="1344">
        <v>1</v>
      </c>
      <c r="F137" s="643">
        <v>0</v>
      </c>
      <c r="G137" s="643">
        <v>0</v>
      </c>
      <c r="H137" s="26">
        <v>0</v>
      </c>
      <c r="I137" s="612">
        <f t="shared" si="12"/>
        <v>0</v>
      </c>
      <c r="J137" s="1340" t="e">
        <f t="shared" si="13"/>
        <v>#DIV/0!</v>
      </c>
      <c r="K137" s="1340">
        <f t="shared" si="14"/>
        <v>0</v>
      </c>
    </row>
    <row r="138" spans="1:11" ht="15" x14ac:dyDescent="0.25">
      <c r="A138" s="1341"/>
      <c r="B138" s="1344">
        <v>59400</v>
      </c>
      <c r="C138" s="1352">
        <v>333909200000000</v>
      </c>
      <c r="D138" s="1344" t="s">
        <v>3328</v>
      </c>
      <c r="E138" s="1344">
        <v>1</v>
      </c>
      <c r="F138" s="643">
        <v>0</v>
      </c>
      <c r="G138" s="643">
        <v>0</v>
      </c>
      <c r="H138" s="26">
        <v>0</v>
      </c>
      <c r="I138" s="612">
        <f t="shared" si="12"/>
        <v>0</v>
      </c>
      <c r="J138" s="1340" t="e">
        <f t="shared" si="13"/>
        <v>#DIV/0!</v>
      </c>
      <c r="K138" s="1340">
        <f t="shared" si="14"/>
        <v>0</v>
      </c>
    </row>
    <row r="139" spans="1:11" ht="15" x14ac:dyDescent="0.25">
      <c r="A139" s="1341"/>
      <c r="B139" s="1344">
        <v>59500</v>
      </c>
      <c r="C139" s="1352">
        <v>333909300000000</v>
      </c>
      <c r="D139" s="1344" t="s">
        <v>3329</v>
      </c>
      <c r="E139" s="1344">
        <v>1</v>
      </c>
      <c r="F139" s="643">
        <v>0</v>
      </c>
      <c r="G139" s="643">
        <v>0</v>
      </c>
      <c r="H139" s="26">
        <v>0</v>
      </c>
      <c r="I139" s="612">
        <f t="shared" si="12"/>
        <v>0</v>
      </c>
      <c r="J139" s="1340" t="e">
        <f t="shared" si="13"/>
        <v>#DIV/0!</v>
      </c>
      <c r="K139" s="1340">
        <f t="shared" si="14"/>
        <v>0</v>
      </c>
    </row>
    <row r="140" spans="1:11" ht="15" x14ac:dyDescent="0.25">
      <c r="A140" s="1341"/>
      <c r="B140" s="1344">
        <v>59600</v>
      </c>
      <c r="C140" s="1352">
        <v>333933000000000</v>
      </c>
      <c r="D140" s="1344" t="s">
        <v>3330</v>
      </c>
      <c r="E140" s="1344">
        <v>1</v>
      </c>
      <c r="F140" s="643">
        <v>0</v>
      </c>
      <c r="G140" s="643">
        <v>0</v>
      </c>
      <c r="H140" s="26">
        <v>0</v>
      </c>
      <c r="I140" s="612">
        <f t="shared" si="12"/>
        <v>0</v>
      </c>
      <c r="J140" s="1340" t="e">
        <f t="shared" si="13"/>
        <v>#DIV/0!</v>
      </c>
      <c r="K140" s="1340">
        <f t="shared" si="14"/>
        <v>0</v>
      </c>
    </row>
    <row r="141" spans="1:11" ht="15" x14ac:dyDescent="0.25">
      <c r="A141" s="1341"/>
      <c r="B141" s="1344">
        <v>59700</v>
      </c>
      <c r="C141" s="1352">
        <v>344905100000000</v>
      </c>
      <c r="D141" s="1344" t="s">
        <v>3271</v>
      </c>
      <c r="E141" s="1344">
        <v>1</v>
      </c>
      <c r="F141" s="643">
        <v>0</v>
      </c>
      <c r="G141" s="643">
        <v>0</v>
      </c>
      <c r="H141" s="26">
        <v>0</v>
      </c>
      <c r="I141" s="612">
        <f t="shared" si="12"/>
        <v>0</v>
      </c>
      <c r="J141" s="1340" t="e">
        <f t="shared" si="13"/>
        <v>#DIV/0!</v>
      </c>
      <c r="K141" s="1340">
        <f t="shared" si="14"/>
        <v>0</v>
      </c>
    </row>
    <row r="142" spans="1:11" ht="15" x14ac:dyDescent="0.25">
      <c r="A142" s="1341"/>
      <c r="B142" s="1344">
        <v>59800</v>
      </c>
      <c r="C142" s="1352">
        <v>344905200000000</v>
      </c>
      <c r="D142" s="1344" t="s">
        <v>3331</v>
      </c>
      <c r="E142" s="1344">
        <v>1</v>
      </c>
      <c r="F142" s="643">
        <v>0</v>
      </c>
      <c r="G142" s="643">
        <v>338</v>
      </c>
      <c r="H142" s="26">
        <v>0</v>
      </c>
      <c r="I142" s="612">
        <f t="shared" si="12"/>
        <v>112.66666666666667</v>
      </c>
      <c r="J142" s="1340" t="e">
        <f t="shared" si="13"/>
        <v>#DIV/0!</v>
      </c>
      <c r="K142" s="1340">
        <f t="shared" si="14"/>
        <v>1.808859151048743E-4</v>
      </c>
    </row>
    <row r="143" spans="1:11" ht="15" x14ac:dyDescent="0.25">
      <c r="B143" s="1598" t="s">
        <v>1575</v>
      </c>
      <c r="C143" s="1598"/>
      <c r="D143" s="1598"/>
      <c r="E143" s="1598"/>
      <c r="F143" s="33">
        <f>F37+F44+F58+F96+F104+F118</f>
        <v>528584.18999999994</v>
      </c>
      <c r="G143" s="33">
        <f>G37+G44+G58+G96+G104+G118</f>
        <v>591645.99999999988</v>
      </c>
      <c r="H143" s="33">
        <f>H37+H44+H58+H96+H104+H118</f>
        <v>748350.89772058837</v>
      </c>
      <c r="I143" s="33">
        <f>I37+I44+I58+I96+I104+I118</f>
        <v>622860.36257352948</v>
      </c>
      <c r="J143" s="1338">
        <f t="shared" si="13"/>
        <v>1.7517345465591463</v>
      </c>
      <c r="K143" s="1338">
        <f t="shared" si="14"/>
        <v>1</v>
      </c>
    </row>
    <row r="145" spans="1:11" ht="15" x14ac:dyDescent="0.25">
      <c r="B145" s="616" t="s">
        <v>7691</v>
      </c>
      <c r="F145" s="643"/>
    </row>
    <row r="146" spans="1:11" ht="45" customHeight="1" x14ac:dyDescent="0.25">
      <c r="B146" s="1343" t="s">
        <v>2967</v>
      </c>
      <c r="C146" s="1343" t="s">
        <v>472</v>
      </c>
      <c r="D146" s="1343" t="s">
        <v>2968</v>
      </c>
      <c r="E146" s="1343" t="s">
        <v>1403</v>
      </c>
      <c r="F146" s="1081">
        <v>2017</v>
      </c>
      <c r="G146" s="1081">
        <f>F146+1</f>
        <v>2018</v>
      </c>
      <c r="H146" s="1081">
        <f>G146+1</f>
        <v>2019</v>
      </c>
      <c r="I146" s="1082" t="s">
        <v>7336</v>
      </c>
      <c r="J146" s="1342" t="s">
        <v>7335</v>
      </c>
      <c r="K146" s="1342" t="s">
        <v>7334</v>
      </c>
    </row>
    <row r="147" spans="1:11" ht="15" x14ac:dyDescent="0.25">
      <c r="B147" s="1345" t="s">
        <v>2950</v>
      </c>
      <c r="C147" s="1343" t="s">
        <v>3392</v>
      </c>
      <c r="D147" s="1345" t="s">
        <v>3393</v>
      </c>
      <c r="E147" s="1345"/>
      <c r="F147" s="642">
        <f>SUM(F148:F154)</f>
        <v>4923</v>
      </c>
      <c r="G147" s="642">
        <f>SUM(G148:G154)</f>
        <v>3676</v>
      </c>
      <c r="H147" s="642">
        <f>SUM(H148:H154)</f>
        <v>0</v>
      </c>
      <c r="I147" s="642">
        <f>SUM(I148:I154)</f>
        <v>2866.3333333333335</v>
      </c>
      <c r="J147" s="1338">
        <f t="shared" ref="J147:J184" si="15">(G147/F147)+(H147/G147)/2</f>
        <v>0.74669916717448714</v>
      </c>
      <c r="K147" s="1338">
        <f t="shared" ref="K147:K184" si="16">I147/I$184</f>
        <v>5.662971050383824E-3</v>
      </c>
    </row>
    <row r="148" spans="1:11" ht="15" x14ac:dyDescent="0.25">
      <c r="A148" s="1341"/>
      <c r="B148" s="1344">
        <v>7000</v>
      </c>
      <c r="C148" s="1352">
        <v>333904700000000</v>
      </c>
      <c r="D148" s="1344" t="s">
        <v>3394</v>
      </c>
      <c r="E148" s="1344">
        <v>1</v>
      </c>
      <c r="F148" s="643">
        <v>0</v>
      </c>
      <c r="G148" s="643">
        <v>0</v>
      </c>
      <c r="H148" s="26">
        <v>0</v>
      </c>
      <c r="I148" s="26">
        <f t="shared" ref="I148:I154" si="17">(F148+G148+H148)/3</f>
        <v>0</v>
      </c>
      <c r="J148" s="1340" t="e">
        <f t="shared" si="15"/>
        <v>#DIV/0!</v>
      </c>
      <c r="K148" s="1340">
        <f t="shared" si="16"/>
        <v>0</v>
      </c>
    </row>
    <row r="149" spans="1:11" ht="15" x14ac:dyDescent="0.25">
      <c r="A149" s="1341"/>
      <c r="B149" s="1344">
        <v>7100</v>
      </c>
      <c r="C149" s="1352">
        <v>344903000000000</v>
      </c>
      <c r="D149" s="1344" t="s">
        <v>3395</v>
      </c>
      <c r="E149" s="1344">
        <v>1</v>
      </c>
      <c r="F149" s="643">
        <v>0</v>
      </c>
      <c r="G149" s="643">
        <v>0</v>
      </c>
      <c r="H149" s="26">
        <v>0</v>
      </c>
      <c r="I149" s="26">
        <f t="shared" si="17"/>
        <v>0</v>
      </c>
      <c r="J149" s="1340" t="e">
        <f t="shared" si="15"/>
        <v>#DIV/0!</v>
      </c>
      <c r="K149" s="1340">
        <f t="shared" si="16"/>
        <v>0</v>
      </c>
    </row>
    <row r="150" spans="1:11" ht="15" x14ac:dyDescent="0.25">
      <c r="A150" s="1341"/>
      <c r="B150" s="1344">
        <v>7200</v>
      </c>
      <c r="C150" s="1352">
        <v>344903600000000</v>
      </c>
      <c r="D150" s="1344" t="s">
        <v>3396</v>
      </c>
      <c r="E150" s="1344">
        <v>1</v>
      </c>
      <c r="F150" s="643">
        <v>0</v>
      </c>
      <c r="G150" s="643">
        <v>0</v>
      </c>
      <c r="H150" s="26">
        <v>0</v>
      </c>
      <c r="I150" s="26">
        <f t="shared" si="17"/>
        <v>0</v>
      </c>
      <c r="J150" s="1340" t="e">
        <f t="shared" si="15"/>
        <v>#DIV/0!</v>
      </c>
      <c r="K150" s="1340">
        <f t="shared" si="16"/>
        <v>0</v>
      </c>
    </row>
    <row r="151" spans="1:11" ht="15" x14ac:dyDescent="0.25">
      <c r="A151" s="1341"/>
      <c r="B151" s="1344">
        <v>7300</v>
      </c>
      <c r="C151" s="1352">
        <v>344903900000000</v>
      </c>
      <c r="D151" s="1344" t="s">
        <v>3397</v>
      </c>
      <c r="E151" s="1344">
        <v>1</v>
      </c>
      <c r="F151" s="643">
        <v>0</v>
      </c>
      <c r="G151" s="643">
        <v>0</v>
      </c>
      <c r="H151" s="26">
        <v>0</v>
      </c>
      <c r="I151" s="26">
        <f t="shared" si="17"/>
        <v>0</v>
      </c>
      <c r="J151" s="1340" t="e">
        <f t="shared" si="15"/>
        <v>#DIV/0!</v>
      </c>
      <c r="K151" s="1340">
        <f t="shared" si="16"/>
        <v>0</v>
      </c>
    </row>
    <row r="152" spans="1:11" ht="15" x14ac:dyDescent="0.25">
      <c r="A152" s="1341"/>
      <c r="B152" s="1344">
        <v>7400</v>
      </c>
      <c r="C152" s="1352">
        <v>344905100000000</v>
      </c>
      <c r="D152" s="1344" t="s">
        <v>3398</v>
      </c>
      <c r="E152" s="1344">
        <v>1</v>
      </c>
      <c r="F152" s="643">
        <v>0</v>
      </c>
      <c r="G152" s="643">
        <v>0</v>
      </c>
      <c r="H152" s="26">
        <v>0</v>
      </c>
      <c r="I152" s="26">
        <f t="shared" si="17"/>
        <v>0</v>
      </c>
      <c r="J152" s="1340" t="e">
        <f t="shared" si="15"/>
        <v>#DIV/0!</v>
      </c>
      <c r="K152" s="1340">
        <f t="shared" si="16"/>
        <v>0</v>
      </c>
    </row>
    <row r="153" spans="1:11" ht="15" x14ac:dyDescent="0.25">
      <c r="A153" s="1341"/>
      <c r="B153" s="1344">
        <v>7500</v>
      </c>
      <c r="C153" s="1352">
        <v>344905200000000</v>
      </c>
      <c r="D153" s="1344" t="s">
        <v>3399</v>
      </c>
      <c r="E153" s="1344">
        <v>1</v>
      </c>
      <c r="F153" s="643">
        <v>4923</v>
      </c>
      <c r="G153" s="643">
        <v>3676</v>
      </c>
      <c r="H153" s="26">
        <v>0</v>
      </c>
      <c r="I153" s="26">
        <f t="shared" si="17"/>
        <v>2866.3333333333335</v>
      </c>
      <c r="J153" s="1340">
        <f t="shared" si="15"/>
        <v>0.74669916717448714</v>
      </c>
      <c r="K153" s="1340">
        <f t="shared" si="16"/>
        <v>5.662971050383824E-3</v>
      </c>
    </row>
    <row r="154" spans="1:11" ht="15" x14ac:dyDescent="0.25">
      <c r="A154" s="1341"/>
      <c r="B154" s="1344">
        <v>7540</v>
      </c>
      <c r="C154" s="1352">
        <v>344906100000000</v>
      </c>
      <c r="D154" s="1344" t="s">
        <v>3404</v>
      </c>
      <c r="E154" s="1344">
        <v>1</v>
      </c>
      <c r="F154" s="643">
        <v>0</v>
      </c>
      <c r="G154" s="643">
        <v>0</v>
      </c>
      <c r="H154" s="26">
        <v>0</v>
      </c>
      <c r="I154" s="26">
        <f t="shared" si="17"/>
        <v>0</v>
      </c>
      <c r="J154" s="1340" t="e">
        <f t="shared" si="15"/>
        <v>#DIV/0!</v>
      </c>
      <c r="K154" s="1340">
        <f t="shared" si="16"/>
        <v>0</v>
      </c>
    </row>
    <row r="155" spans="1:11" s="12" customFormat="1" ht="15" x14ac:dyDescent="0.25">
      <c r="A155" s="1081"/>
      <c r="B155" s="1345" t="s">
        <v>2965</v>
      </c>
      <c r="C155" s="1343">
        <v>2</v>
      </c>
      <c r="D155" s="1345" t="s">
        <v>2966</v>
      </c>
      <c r="E155" s="1345"/>
      <c r="F155" s="642">
        <f>SUM(F156:F183)</f>
        <v>429506.76000000007</v>
      </c>
      <c r="G155" s="642">
        <f>SUM(G156:G183)</f>
        <v>413475.63999999996</v>
      </c>
      <c r="H155" s="642">
        <f>SUM(H156:H183)</f>
        <v>666879.47919117636</v>
      </c>
      <c r="I155" s="642">
        <f>SUM(I156:I183)</f>
        <v>503287.29306372546</v>
      </c>
      <c r="J155" s="1338">
        <f t="shared" si="15"/>
        <v>1.769106912670916</v>
      </c>
      <c r="K155" s="1338">
        <f t="shared" si="16"/>
        <v>0.99433702894961618</v>
      </c>
    </row>
    <row r="156" spans="1:11" ht="15" x14ac:dyDescent="0.25">
      <c r="A156" s="1341"/>
      <c r="B156" s="1344">
        <v>7600</v>
      </c>
      <c r="C156" s="1352">
        <v>331900800000000</v>
      </c>
      <c r="D156" s="1344" t="s">
        <v>5751</v>
      </c>
      <c r="E156" s="1344">
        <v>1</v>
      </c>
      <c r="F156" s="643">
        <v>0</v>
      </c>
      <c r="G156" s="643">
        <v>0</v>
      </c>
      <c r="H156" s="26">
        <v>0</v>
      </c>
      <c r="I156" s="26">
        <f t="shared" ref="I156:I183" si="18">(F156+G156+H156)/3</f>
        <v>0</v>
      </c>
      <c r="J156" s="1340" t="e">
        <f t="shared" si="15"/>
        <v>#DIV/0!</v>
      </c>
      <c r="K156" s="1340">
        <f t="shared" si="16"/>
        <v>0</v>
      </c>
    </row>
    <row r="157" spans="1:11" ht="15" x14ac:dyDescent="0.25">
      <c r="A157" s="1341"/>
      <c r="B157" s="1344">
        <v>7650</v>
      </c>
      <c r="C157" s="1352">
        <v>331900800000000</v>
      </c>
      <c r="D157" s="1344" t="s">
        <v>5752</v>
      </c>
      <c r="E157" s="1344">
        <v>1</v>
      </c>
      <c r="F157" s="643">
        <f>8201.58+6567.23</f>
        <v>14768.81</v>
      </c>
      <c r="G157" s="643">
        <f>6911.42+9097.53</f>
        <v>16008.95</v>
      </c>
      <c r="H157" s="26">
        <f>12371.81/8*13</f>
        <v>20104.19125</v>
      </c>
      <c r="I157" s="26">
        <f t="shared" si="18"/>
        <v>16960.650416666667</v>
      </c>
      <c r="J157" s="1340">
        <f t="shared" si="15"/>
        <v>1.7118749471233961</v>
      </c>
      <c r="K157" s="1340">
        <f t="shared" si="16"/>
        <v>3.350889835048157E-2</v>
      </c>
    </row>
    <row r="158" spans="1:11" ht="15" x14ac:dyDescent="0.25">
      <c r="A158" s="1341"/>
      <c r="B158" s="1344">
        <v>7700</v>
      </c>
      <c r="C158" s="1352">
        <v>331901100000000</v>
      </c>
      <c r="D158" s="1344" t="s">
        <v>7690</v>
      </c>
      <c r="E158" s="1344">
        <v>1</v>
      </c>
      <c r="F158" s="643">
        <v>200032.51</v>
      </c>
      <c r="G158" s="643">
        <v>199441.46</v>
      </c>
      <c r="H158" s="26">
        <f>157595.03/8.5*13</f>
        <v>241027.69294117647</v>
      </c>
      <c r="I158" s="26">
        <f t="shared" si="18"/>
        <v>213500.55431372547</v>
      </c>
      <c r="J158" s="1340">
        <f t="shared" si="15"/>
        <v>1.6013019704489764</v>
      </c>
      <c r="K158" s="1340">
        <f t="shared" si="16"/>
        <v>0.42180978892412835</v>
      </c>
    </row>
    <row r="159" spans="1:11" ht="15" x14ac:dyDescent="0.25">
      <c r="A159" s="1341"/>
      <c r="B159" s="1344">
        <v>7800</v>
      </c>
      <c r="C159" s="1352">
        <v>331901300000000</v>
      </c>
      <c r="D159" s="1344" t="s">
        <v>7689</v>
      </c>
      <c r="E159" s="1344">
        <v>1</v>
      </c>
      <c r="F159" s="643">
        <v>42566.04</v>
      </c>
      <c r="G159" s="643">
        <v>40404.86</v>
      </c>
      <c r="H159" s="26">
        <f>31794.6/8*13</f>
        <v>51666.224999999999</v>
      </c>
      <c r="I159" s="26">
        <f t="shared" si="18"/>
        <v>44879.041666666664</v>
      </c>
      <c r="J159" s="1340">
        <f t="shared" si="15"/>
        <v>1.5885841652454684</v>
      </c>
      <c r="K159" s="1340">
        <f t="shared" si="16"/>
        <v>8.866683814186628E-2</v>
      </c>
    </row>
    <row r="160" spans="1:11" ht="15" x14ac:dyDescent="0.25">
      <c r="A160" s="1341"/>
      <c r="B160" s="1344">
        <v>7900</v>
      </c>
      <c r="C160" s="1352">
        <v>331901600000000</v>
      </c>
      <c r="D160" s="1344" t="s">
        <v>5755</v>
      </c>
      <c r="E160" s="1344">
        <v>1</v>
      </c>
      <c r="F160" s="643">
        <v>1313.94</v>
      </c>
      <c r="G160" s="643">
        <v>0</v>
      </c>
      <c r="H160" s="26">
        <v>0</v>
      </c>
      <c r="I160" s="26">
        <f t="shared" si="18"/>
        <v>437.98</v>
      </c>
      <c r="J160" s="1340" t="e">
        <f t="shared" si="15"/>
        <v>#DIV/0!</v>
      </c>
      <c r="K160" s="1340">
        <f t="shared" si="16"/>
        <v>8.6531040608690791E-4</v>
      </c>
    </row>
    <row r="161" spans="1:11" ht="15" x14ac:dyDescent="0.25">
      <c r="A161" s="1341"/>
      <c r="B161" s="1344">
        <v>7950</v>
      </c>
      <c r="C161" s="1352">
        <v>331903400000000</v>
      </c>
      <c r="D161" s="1344" t="s">
        <v>5756</v>
      </c>
      <c r="E161" s="1344">
        <v>1</v>
      </c>
      <c r="F161" s="643">
        <v>3449.87</v>
      </c>
      <c r="G161" s="643">
        <v>0</v>
      </c>
      <c r="H161" s="26">
        <v>0</v>
      </c>
      <c r="I161" s="26">
        <f t="shared" si="18"/>
        <v>1149.9566666666667</v>
      </c>
      <c r="J161" s="1340" t="e">
        <f t="shared" si="15"/>
        <v>#DIV/0!</v>
      </c>
      <c r="K161" s="1340">
        <f t="shared" si="16"/>
        <v>2.27195184760875E-3</v>
      </c>
    </row>
    <row r="162" spans="1:11" ht="15" x14ac:dyDescent="0.25">
      <c r="A162" s="1341"/>
      <c r="B162" s="1344">
        <v>8000</v>
      </c>
      <c r="C162" s="1352">
        <v>331909400000000</v>
      </c>
      <c r="D162" s="1344" t="s">
        <v>5757</v>
      </c>
      <c r="E162" s="1344">
        <v>1</v>
      </c>
      <c r="F162" s="643">
        <v>0</v>
      </c>
      <c r="G162" s="643">
        <v>2130.7600000000002</v>
      </c>
      <c r="H162" s="26">
        <v>0</v>
      </c>
      <c r="I162" s="26">
        <f t="shared" si="18"/>
        <v>710.25333333333344</v>
      </c>
      <c r="J162" s="1340" t="e">
        <f t="shared" si="15"/>
        <v>#DIV/0!</v>
      </c>
      <c r="K162" s="1340">
        <f t="shared" si="16"/>
        <v>1.4032366781388346E-3</v>
      </c>
    </row>
    <row r="163" spans="1:11" ht="15" x14ac:dyDescent="0.25">
      <c r="A163" s="1341"/>
      <c r="B163" s="1344">
        <v>8100</v>
      </c>
      <c r="C163" s="1352">
        <v>333901400000000</v>
      </c>
      <c r="D163" s="1344" t="s">
        <v>5758</v>
      </c>
      <c r="E163" s="1344">
        <v>1</v>
      </c>
      <c r="F163" s="643">
        <v>5134</v>
      </c>
      <c r="G163" s="643">
        <v>2952</v>
      </c>
      <c r="H163" s="26">
        <f>852/8*12</f>
        <v>1278</v>
      </c>
      <c r="I163" s="26">
        <f t="shared" si="18"/>
        <v>3121.3333333333335</v>
      </c>
      <c r="J163" s="1340">
        <f t="shared" si="15"/>
        <v>0.79145367563921054</v>
      </c>
      <c r="K163" s="1340">
        <f t="shared" si="16"/>
        <v>6.1667706612157378E-3</v>
      </c>
    </row>
    <row r="164" spans="1:11" ht="15" x14ac:dyDescent="0.25">
      <c r="A164" s="1341"/>
      <c r="B164" s="1344">
        <v>9550</v>
      </c>
      <c r="C164" s="1352">
        <v>333901400000000</v>
      </c>
      <c r="D164" s="1344" t="s">
        <v>5774</v>
      </c>
      <c r="E164" s="1344">
        <v>1</v>
      </c>
      <c r="F164" s="643">
        <v>0</v>
      </c>
      <c r="G164" s="643">
        <v>0</v>
      </c>
      <c r="H164" s="26">
        <f>1056</f>
        <v>1056</v>
      </c>
      <c r="I164" s="26">
        <f t="shared" si="18"/>
        <v>352</v>
      </c>
      <c r="J164" s="1340" t="e">
        <f t="shared" si="15"/>
        <v>#DIV/0!</v>
      </c>
      <c r="K164" s="1340">
        <f t="shared" si="16"/>
        <v>6.9544103142287676E-4</v>
      </c>
    </row>
    <row r="165" spans="1:11" ht="15" x14ac:dyDescent="0.25">
      <c r="A165" s="1341"/>
      <c r="B165" s="1344">
        <v>8200</v>
      </c>
      <c r="C165" s="1352">
        <v>333903000000000</v>
      </c>
      <c r="D165" s="1344" t="s">
        <v>3001</v>
      </c>
      <c r="E165" s="1344">
        <v>1</v>
      </c>
      <c r="F165" s="643">
        <v>22786.21</v>
      </c>
      <c r="G165" s="643">
        <v>17396.25</v>
      </c>
      <c r="H165" s="26">
        <f>18213.23/8*12</f>
        <v>27319.845000000001</v>
      </c>
      <c r="I165" s="26">
        <f t="shared" si="18"/>
        <v>22500.76833333333</v>
      </c>
      <c r="J165" s="1340">
        <f t="shared" si="15"/>
        <v>1.548677423669256</v>
      </c>
      <c r="K165" s="1340">
        <f t="shared" si="16"/>
        <v>4.445442482255834E-2</v>
      </c>
    </row>
    <row r="166" spans="1:11" ht="15" x14ac:dyDescent="0.25">
      <c r="A166" s="1341"/>
      <c r="B166" s="1344">
        <v>8300</v>
      </c>
      <c r="C166" s="1352">
        <v>333903300000000</v>
      </c>
      <c r="D166" s="1344" t="s">
        <v>5760</v>
      </c>
      <c r="E166" s="1344">
        <v>1</v>
      </c>
      <c r="F166" s="643">
        <v>800.3</v>
      </c>
      <c r="G166" s="643">
        <v>548.04999999999995</v>
      </c>
      <c r="H166" s="26">
        <f>130.25/8*12</f>
        <v>195.375</v>
      </c>
      <c r="I166" s="26">
        <f t="shared" si="18"/>
        <v>514.57499999999993</v>
      </c>
      <c r="J166" s="1340">
        <f t="shared" si="15"/>
        <v>0.86305129589267815</v>
      </c>
      <c r="K166" s="1340">
        <f t="shared" si="16"/>
        <v>1.0166379793875762E-3</v>
      </c>
    </row>
    <row r="167" spans="1:11" ht="15" x14ac:dyDescent="0.25">
      <c r="A167" s="1341"/>
      <c r="B167" s="1344">
        <v>9560</v>
      </c>
      <c r="C167" s="1352">
        <v>333903300000000</v>
      </c>
      <c r="D167" s="1344" t="s">
        <v>5776</v>
      </c>
      <c r="E167" s="1344">
        <v>1</v>
      </c>
      <c r="F167" s="643">
        <v>0</v>
      </c>
      <c r="G167" s="643">
        <v>0</v>
      </c>
      <c r="H167" s="26">
        <v>0</v>
      </c>
      <c r="I167" s="26">
        <f t="shared" si="18"/>
        <v>0</v>
      </c>
      <c r="J167" s="1340" t="e">
        <f t="shared" si="15"/>
        <v>#DIV/0!</v>
      </c>
      <c r="K167" s="1340">
        <f t="shared" si="16"/>
        <v>0</v>
      </c>
    </row>
    <row r="168" spans="1:11" ht="15" x14ac:dyDescent="0.25">
      <c r="A168" s="1341"/>
      <c r="B168" s="1344">
        <v>8400</v>
      </c>
      <c r="C168" s="1352">
        <v>333903500000000</v>
      </c>
      <c r="D168" s="1344" t="s">
        <v>5761</v>
      </c>
      <c r="E168" s="1344">
        <v>1</v>
      </c>
      <c r="F168" s="643">
        <v>21351.37</v>
      </c>
      <c r="G168" s="643">
        <v>21470.05</v>
      </c>
      <c r="H168" s="26">
        <f>29796.06</f>
        <v>29796.06</v>
      </c>
      <c r="I168" s="26">
        <f t="shared" si="18"/>
        <v>24205.826666666664</v>
      </c>
      <c r="J168" s="1340">
        <f t="shared" si="15"/>
        <v>1.6994566698233724</v>
      </c>
      <c r="K168" s="1340">
        <f t="shared" si="16"/>
        <v>4.7823082566789889E-2</v>
      </c>
    </row>
    <row r="169" spans="1:11" ht="15" x14ac:dyDescent="0.25">
      <c r="A169" s="1341"/>
      <c r="B169" s="1344">
        <v>8500</v>
      </c>
      <c r="C169" s="1352">
        <v>333903600000000</v>
      </c>
      <c r="D169" s="1344" t="s">
        <v>5762</v>
      </c>
      <c r="E169" s="1344">
        <v>1</v>
      </c>
      <c r="F169" s="643">
        <v>16493.09</v>
      </c>
      <c r="G169" s="643">
        <v>20253.310000000001</v>
      </c>
      <c r="H169" s="26">
        <f>16872.2/8*12</f>
        <v>25308.300000000003</v>
      </c>
      <c r="I169" s="26">
        <f t="shared" si="18"/>
        <v>20684.900000000001</v>
      </c>
      <c r="J169" s="1340">
        <f t="shared" si="15"/>
        <v>1.8527817691022417</v>
      </c>
      <c r="K169" s="1340">
        <f t="shared" si="16"/>
        <v>4.0866841451360984E-2</v>
      </c>
    </row>
    <row r="170" spans="1:11" ht="15" x14ac:dyDescent="0.25">
      <c r="A170" s="1341"/>
      <c r="B170" s="1344">
        <v>9570</v>
      </c>
      <c r="C170" s="1352">
        <v>333903600000000</v>
      </c>
      <c r="D170" s="1344" t="s">
        <v>5777</v>
      </c>
      <c r="E170" s="1344">
        <v>1</v>
      </c>
      <c r="F170" s="643">
        <v>0</v>
      </c>
      <c r="G170" s="643">
        <v>0</v>
      </c>
      <c r="H170" s="26">
        <v>0</v>
      </c>
      <c r="I170" s="26">
        <f t="shared" si="18"/>
        <v>0</v>
      </c>
      <c r="J170" s="1340" t="e">
        <f t="shared" si="15"/>
        <v>#DIV/0!</v>
      </c>
      <c r="K170" s="1340">
        <f t="shared" si="16"/>
        <v>0</v>
      </c>
    </row>
    <row r="171" spans="1:11" ht="15" x14ac:dyDescent="0.25">
      <c r="A171" s="1341"/>
      <c r="B171" s="1344">
        <v>8600</v>
      </c>
      <c r="C171" s="1352">
        <v>333903900000000</v>
      </c>
      <c r="D171" s="1344" t="s">
        <v>5763</v>
      </c>
      <c r="E171" s="1344">
        <v>1</v>
      </c>
      <c r="F171" s="643">
        <f>95158.73-22672.92</f>
        <v>72485.81</v>
      </c>
      <c r="G171" s="643">
        <f>87963.1-13690.44</f>
        <v>74272.66</v>
      </c>
      <c r="H171" s="26">
        <f>91259.04/8*12</f>
        <v>136888.56</v>
      </c>
      <c r="I171" s="26">
        <f t="shared" si="18"/>
        <v>94549.010000000009</v>
      </c>
      <c r="J171" s="1340">
        <f t="shared" si="15"/>
        <v>1.9461782800830134</v>
      </c>
      <c r="K171" s="1340">
        <f t="shared" si="16"/>
        <v>0.18679903702957926</v>
      </c>
    </row>
    <row r="172" spans="1:11" ht="15" x14ac:dyDescent="0.25">
      <c r="A172" s="1341"/>
      <c r="B172" s="1344">
        <v>9580</v>
      </c>
      <c r="C172" s="1352">
        <v>333903900000000</v>
      </c>
      <c r="D172" s="1344" t="s">
        <v>5775</v>
      </c>
      <c r="E172" s="1344">
        <v>1</v>
      </c>
      <c r="F172" s="643">
        <v>0</v>
      </c>
      <c r="G172" s="643">
        <v>0</v>
      </c>
      <c r="H172" s="26">
        <f>3393.4/8*12</f>
        <v>5090.1000000000004</v>
      </c>
      <c r="I172" s="26">
        <f t="shared" si="18"/>
        <v>1696.7</v>
      </c>
      <c r="J172" s="1340" t="e">
        <f t="shared" si="15"/>
        <v>#DIV/0!</v>
      </c>
      <c r="K172" s="1340">
        <f t="shared" si="16"/>
        <v>3.352144312543168E-3</v>
      </c>
    </row>
    <row r="173" spans="1:11" ht="15" x14ac:dyDescent="0.25">
      <c r="A173" s="1341"/>
      <c r="B173" s="1344">
        <v>9500</v>
      </c>
      <c r="C173" s="1352">
        <v>333904000000000</v>
      </c>
      <c r="D173" s="1344" t="s">
        <v>5773</v>
      </c>
      <c r="E173" s="1344">
        <v>1</v>
      </c>
      <c r="F173" s="643">
        <f>6140.92+875+6600+3817+5240</f>
        <v>22672.92</v>
      </c>
      <c r="G173" s="643">
        <f>6175.44+7380+135</f>
        <v>13690.439999999999</v>
      </c>
      <c r="H173" s="26">
        <v>74820.100000000006</v>
      </c>
      <c r="I173" s="26">
        <f t="shared" si="18"/>
        <v>37061.153333333335</v>
      </c>
      <c r="J173" s="1340">
        <f t="shared" si="15"/>
        <v>3.3363908131708504</v>
      </c>
      <c r="K173" s="1340">
        <f t="shared" si="16"/>
        <v>7.3221155397314552E-2</v>
      </c>
    </row>
    <row r="174" spans="1:11" ht="15" x14ac:dyDescent="0.25">
      <c r="A174" s="1341"/>
      <c r="B174" s="1344">
        <v>8700</v>
      </c>
      <c r="C174" s="1352">
        <v>333904600000000</v>
      </c>
      <c r="D174" s="1344" t="s">
        <v>5764</v>
      </c>
      <c r="E174" s="1344">
        <v>1</v>
      </c>
      <c r="F174" s="643">
        <v>0</v>
      </c>
      <c r="G174" s="643">
        <v>0</v>
      </c>
      <c r="H174" s="26">
        <f>19380/8*12</f>
        <v>29070</v>
      </c>
      <c r="I174" s="26">
        <f t="shared" si="18"/>
        <v>9690</v>
      </c>
      <c r="J174" s="1340" t="e">
        <f t="shared" si="15"/>
        <v>#DIV/0!</v>
      </c>
      <c r="K174" s="1340">
        <f t="shared" si="16"/>
        <v>1.9144385211612717E-2</v>
      </c>
    </row>
    <row r="175" spans="1:11" ht="15" x14ac:dyDescent="0.25">
      <c r="A175" s="1341"/>
      <c r="B175" s="1344">
        <v>8800</v>
      </c>
      <c r="C175" s="1352">
        <v>333904700000000</v>
      </c>
      <c r="D175" s="1344" t="s">
        <v>7688</v>
      </c>
      <c r="E175" s="1344">
        <v>1</v>
      </c>
      <c r="F175" s="643">
        <v>0</v>
      </c>
      <c r="G175" s="643">
        <v>0</v>
      </c>
      <c r="H175" s="26">
        <f>342/8*12</f>
        <v>513</v>
      </c>
      <c r="I175" s="26">
        <f t="shared" si="18"/>
        <v>171</v>
      </c>
      <c r="J175" s="1340" t="e">
        <f t="shared" si="15"/>
        <v>#DIV/0!</v>
      </c>
      <c r="K175" s="1340">
        <f t="shared" si="16"/>
        <v>3.3784209196963615E-4</v>
      </c>
    </row>
    <row r="176" spans="1:11" ht="15" x14ac:dyDescent="0.25">
      <c r="A176" s="1341"/>
      <c r="B176" s="1344">
        <v>9590</v>
      </c>
      <c r="C176" s="1352">
        <v>333904700000000</v>
      </c>
      <c r="D176" s="1344" t="s">
        <v>5778</v>
      </c>
      <c r="E176" s="1344">
        <v>1</v>
      </c>
      <c r="F176" s="643">
        <v>20</v>
      </c>
      <c r="G176" s="643">
        <v>0</v>
      </c>
      <c r="H176" s="26">
        <v>0</v>
      </c>
      <c r="I176" s="26">
        <f t="shared" si="18"/>
        <v>6.666666666666667</v>
      </c>
      <c r="J176" s="1340" t="e">
        <f t="shared" si="15"/>
        <v>#DIV/0!</v>
      </c>
      <c r="K176" s="1340">
        <f t="shared" si="16"/>
        <v>1.3171231655736304E-5</v>
      </c>
    </row>
    <row r="177" spans="1:11" ht="15" x14ac:dyDescent="0.25">
      <c r="A177" s="1341"/>
      <c r="B177" s="1344">
        <v>8900</v>
      </c>
      <c r="C177" s="1352">
        <v>333904900000000</v>
      </c>
      <c r="D177" s="1344" t="s">
        <v>5766</v>
      </c>
      <c r="E177" s="1344">
        <v>1</v>
      </c>
      <c r="F177" s="643">
        <v>4757.1899999999996</v>
      </c>
      <c r="G177" s="643">
        <v>3994.12</v>
      </c>
      <c r="H177" s="26">
        <f>3065.34/8*12</f>
        <v>4598.01</v>
      </c>
      <c r="I177" s="26">
        <f t="shared" si="18"/>
        <v>4449.7733333333335</v>
      </c>
      <c r="J177" s="1340">
        <f t="shared" si="15"/>
        <v>1.4151938626251575</v>
      </c>
      <c r="K177" s="1340">
        <f t="shared" si="16"/>
        <v>8.7913493083276884E-3</v>
      </c>
    </row>
    <row r="178" spans="1:11" ht="15" x14ac:dyDescent="0.25">
      <c r="A178" s="1341"/>
      <c r="B178" s="1344">
        <v>9000</v>
      </c>
      <c r="C178" s="1352">
        <v>333909200000000</v>
      </c>
      <c r="D178" s="1344" t="s">
        <v>5767</v>
      </c>
      <c r="E178" s="1344">
        <v>1</v>
      </c>
      <c r="F178" s="643">
        <v>0</v>
      </c>
      <c r="G178" s="643">
        <v>829.37</v>
      </c>
      <c r="H178" s="26">
        <v>0</v>
      </c>
      <c r="I178" s="26">
        <f t="shared" si="18"/>
        <v>276.45666666666665</v>
      </c>
      <c r="J178" s="1340" t="e">
        <f t="shared" si="15"/>
        <v>#DIV/0!</v>
      </c>
      <c r="K178" s="1340">
        <f t="shared" si="16"/>
        <v>5.4619121991590083E-4</v>
      </c>
    </row>
    <row r="179" spans="1:11" ht="15" x14ac:dyDescent="0.25">
      <c r="A179" s="1341"/>
      <c r="B179" s="1344">
        <v>9100</v>
      </c>
      <c r="C179" s="1352">
        <v>333909300000000</v>
      </c>
      <c r="D179" s="1344" t="s">
        <v>5768</v>
      </c>
      <c r="E179" s="1344">
        <v>1</v>
      </c>
      <c r="F179" s="643">
        <v>434.7</v>
      </c>
      <c r="G179" s="643">
        <v>83.36</v>
      </c>
      <c r="H179" s="26">
        <v>0</v>
      </c>
      <c r="I179" s="26">
        <f t="shared" si="18"/>
        <v>172.68666666666664</v>
      </c>
      <c r="J179" s="1340">
        <f t="shared" si="15"/>
        <v>0.19176443524269612</v>
      </c>
      <c r="K179" s="1340">
        <f t="shared" si="16"/>
        <v>3.4117441357853738E-4</v>
      </c>
    </row>
    <row r="180" spans="1:11" ht="15" x14ac:dyDescent="0.25">
      <c r="A180" s="1341"/>
      <c r="B180" s="1344">
        <v>9200</v>
      </c>
      <c r="C180" s="1352">
        <v>333933000000000</v>
      </c>
      <c r="D180" s="1344" t="s">
        <v>5769</v>
      </c>
      <c r="E180" s="1344">
        <v>1</v>
      </c>
      <c r="F180" s="643">
        <v>0</v>
      </c>
      <c r="G180" s="643">
        <v>0</v>
      </c>
      <c r="H180" s="26">
        <v>0</v>
      </c>
      <c r="I180" s="26">
        <f t="shared" si="18"/>
        <v>0</v>
      </c>
      <c r="J180" s="1340" t="e">
        <f t="shared" si="15"/>
        <v>#DIV/0!</v>
      </c>
      <c r="K180" s="1340">
        <f t="shared" si="16"/>
        <v>0</v>
      </c>
    </row>
    <row r="181" spans="1:11" ht="15" x14ac:dyDescent="0.25">
      <c r="A181" s="1341"/>
      <c r="B181" s="1344">
        <v>9300</v>
      </c>
      <c r="C181" s="1352">
        <v>344905100000000</v>
      </c>
      <c r="D181" s="1344" t="s">
        <v>5770</v>
      </c>
      <c r="E181" s="1344">
        <v>1</v>
      </c>
      <c r="F181" s="643">
        <v>0</v>
      </c>
      <c r="G181" s="643">
        <v>0</v>
      </c>
      <c r="H181" s="26">
        <v>0</v>
      </c>
      <c r="I181" s="26">
        <f t="shared" si="18"/>
        <v>0</v>
      </c>
      <c r="J181" s="1340" t="e">
        <f t="shared" si="15"/>
        <v>#DIV/0!</v>
      </c>
      <c r="K181" s="1340">
        <f t="shared" si="16"/>
        <v>0</v>
      </c>
    </row>
    <row r="182" spans="1:11" ht="15" x14ac:dyDescent="0.25">
      <c r="A182" s="1341"/>
      <c r="B182" s="1344">
        <v>9400</v>
      </c>
      <c r="C182" s="1352">
        <v>344905200000000</v>
      </c>
      <c r="D182" s="1344" t="s">
        <v>5771</v>
      </c>
      <c r="E182" s="1344">
        <v>1</v>
      </c>
      <c r="F182" s="643">
        <v>440</v>
      </c>
      <c r="G182" s="643">
        <v>0</v>
      </c>
      <c r="H182" s="26">
        <v>2391.9</v>
      </c>
      <c r="I182" s="26">
        <f t="shared" si="18"/>
        <v>943.9666666666667</v>
      </c>
      <c r="J182" s="1340" t="e">
        <f t="shared" si="15"/>
        <v>#DIV/0!</v>
      </c>
      <c r="K182" s="1340">
        <f t="shared" si="16"/>
        <v>1.8649805462939819E-3</v>
      </c>
    </row>
    <row r="183" spans="1:11" ht="15" x14ac:dyDescent="0.25">
      <c r="A183" s="1341"/>
      <c r="B183" s="1344">
        <v>9450</v>
      </c>
      <c r="C183" s="1352">
        <v>344915200000000</v>
      </c>
      <c r="D183" s="1344" t="s">
        <v>5772</v>
      </c>
      <c r="E183" s="1344">
        <v>1</v>
      </c>
      <c r="F183" s="643">
        <v>0</v>
      </c>
      <c r="G183" s="643">
        <v>0</v>
      </c>
      <c r="H183" s="26">
        <v>15756.12</v>
      </c>
      <c r="I183" s="26">
        <f t="shared" si="18"/>
        <v>5252.04</v>
      </c>
      <c r="J183" s="1340" t="e">
        <f t="shared" si="15"/>
        <v>#DIV/0!</v>
      </c>
      <c r="K183" s="1340">
        <f t="shared" si="16"/>
        <v>1.0376375325778994E-2</v>
      </c>
    </row>
    <row r="184" spans="1:11" ht="15" x14ac:dyDescent="0.25">
      <c r="B184" s="1598" t="s">
        <v>1575</v>
      </c>
      <c r="C184" s="1598"/>
      <c r="D184" s="1598"/>
      <c r="E184" s="1598"/>
      <c r="F184" s="25">
        <f>F155+F147</f>
        <v>434429.76000000007</v>
      </c>
      <c r="G184" s="25">
        <f>G155+G147</f>
        <v>417151.63999999996</v>
      </c>
      <c r="H184" s="25">
        <f>H155+H147</f>
        <v>666879.47919117636</v>
      </c>
      <c r="I184" s="25">
        <f>I155+I147</f>
        <v>506153.62639705878</v>
      </c>
      <c r="J184" s="1338">
        <f t="shared" si="15"/>
        <v>1.7595530588643853</v>
      </c>
      <c r="K184" s="1338">
        <f t="shared" si="16"/>
        <v>1</v>
      </c>
    </row>
    <row r="186" spans="1:11" ht="15" x14ac:dyDescent="0.25">
      <c r="B186" s="616" t="s">
        <v>7687</v>
      </c>
      <c r="F186" s="643"/>
    </row>
    <row r="187" spans="1:11" ht="45" customHeight="1" x14ac:dyDescent="0.25">
      <c r="B187" s="1343" t="s">
        <v>2967</v>
      </c>
      <c r="C187" s="1343" t="s">
        <v>472</v>
      </c>
      <c r="D187" s="1343" t="s">
        <v>2968</v>
      </c>
      <c r="E187" s="1343" t="s">
        <v>1403</v>
      </c>
      <c r="F187" s="1081">
        <v>2017</v>
      </c>
      <c r="G187" s="1081">
        <f>F187+1</f>
        <v>2018</v>
      </c>
      <c r="H187" s="1081">
        <f>G187+1</f>
        <v>2019</v>
      </c>
      <c r="I187" s="1082" t="s">
        <v>7336</v>
      </c>
      <c r="J187" s="1342" t="s">
        <v>7335</v>
      </c>
      <c r="K187" s="1342" t="s">
        <v>7334</v>
      </c>
    </row>
    <row r="188" spans="1:11" ht="15" x14ac:dyDescent="0.25">
      <c r="B188" s="1345" t="s">
        <v>2950</v>
      </c>
      <c r="C188" s="1343" t="s">
        <v>3392</v>
      </c>
      <c r="D188" s="1345" t="s">
        <v>3393</v>
      </c>
      <c r="E188" s="1345"/>
      <c r="F188" s="642">
        <f>SUM(F189:F194)</f>
        <v>6693.1900000000005</v>
      </c>
      <c r="G188" s="642">
        <f>SUM(G189:G194)</f>
        <v>4801.8500000000004</v>
      </c>
      <c r="H188" s="643">
        <v>0</v>
      </c>
      <c r="I188" s="642">
        <f>SUM(I189:I194)</f>
        <v>3831.6800000000003</v>
      </c>
      <c r="J188" s="1338">
        <f t="shared" ref="J188:J219" si="19">(G188/F188)+(H188/G188)/2</f>
        <v>0.71742323167278976</v>
      </c>
      <c r="K188" s="1338">
        <f t="shared" ref="K188:K219" si="20">I188/I$242</f>
        <v>9.0598851199530147E-3</v>
      </c>
    </row>
    <row r="189" spans="1:11" ht="15" x14ac:dyDescent="0.25">
      <c r="A189" s="1341"/>
      <c r="B189" s="1344">
        <v>10000</v>
      </c>
      <c r="C189" s="1352">
        <v>333904700000000</v>
      </c>
      <c r="D189" s="1344" t="s">
        <v>3394</v>
      </c>
      <c r="E189" s="1344">
        <v>1</v>
      </c>
      <c r="F189" s="643">
        <v>0</v>
      </c>
      <c r="G189" s="643">
        <v>0</v>
      </c>
      <c r="H189" s="643">
        <v>0</v>
      </c>
      <c r="I189" s="26">
        <f t="shared" ref="I189:I194" si="21">(F189+G189+H189)/3</f>
        <v>0</v>
      </c>
      <c r="J189" s="1340" t="e">
        <f t="shared" si="19"/>
        <v>#DIV/0!</v>
      </c>
      <c r="K189" s="1340">
        <f t="shared" si="20"/>
        <v>0</v>
      </c>
    </row>
    <row r="190" spans="1:11" ht="15" x14ac:dyDescent="0.25">
      <c r="A190" s="1341"/>
      <c r="B190" s="1344">
        <v>10100</v>
      </c>
      <c r="C190" s="1352">
        <v>344903000000000</v>
      </c>
      <c r="D190" s="1344" t="s">
        <v>3395</v>
      </c>
      <c r="E190" s="1344">
        <v>1</v>
      </c>
      <c r="F190" s="643">
        <v>0</v>
      </c>
      <c r="G190" s="643">
        <v>0</v>
      </c>
      <c r="H190" s="643">
        <v>0</v>
      </c>
      <c r="I190" s="26">
        <f t="shared" si="21"/>
        <v>0</v>
      </c>
      <c r="J190" s="1340" t="e">
        <f t="shared" si="19"/>
        <v>#DIV/0!</v>
      </c>
      <c r="K190" s="1340">
        <f t="shared" si="20"/>
        <v>0</v>
      </c>
    </row>
    <row r="191" spans="1:11" ht="15" x14ac:dyDescent="0.25">
      <c r="A191" s="1341"/>
      <c r="B191" s="1344">
        <v>10200</v>
      </c>
      <c r="C191" s="1352">
        <v>344903600000000</v>
      </c>
      <c r="D191" s="1344" t="s">
        <v>2955</v>
      </c>
      <c r="E191" s="1344">
        <v>1</v>
      </c>
      <c r="F191" s="643">
        <v>0</v>
      </c>
      <c r="G191" s="643">
        <v>0</v>
      </c>
      <c r="H191" s="643">
        <v>0</v>
      </c>
      <c r="I191" s="26">
        <f t="shared" si="21"/>
        <v>0</v>
      </c>
      <c r="J191" s="1340" t="e">
        <f t="shared" si="19"/>
        <v>#DIV/0!</v>
      </c>
      <c r="K191" s="1340">
        <f t="shared" si="20"/>
        <v>0</v>
      </c>
    </row>
    <row r="192" spans="1:11" ht="15" x14ac:dyDescent="0.25">
      <c r="A192" s="1341"/>
      <c r="B192" s="1344">
        <v>10300</v>
      </c>
      <c r="C192" s="1352">
        <v>344903900000000</v>
      </c>
      <c r="D192" s="1344" t="s">
        <v>3519</v>
      </c>
      <c r="E192" s="1344">
        <v>1</v>
      </c>
      <c r="F192" s="643">
        <v>60.09</v>
      </c>
      <c r="G192" s="643">
        <v>0</v>
      </c>
      <c r="H192" s="643">
        <v>0</v>
      </c>
      <c r="I192" s="26">
        <f t="shared" si="21"/>
        <v>20.03</v>
      </c>
      <c r="J192" s="1340" t="e">
        <f t="shared" si="19"/>
        <v>#DIV/0!</v>
      </c>
      <c r="K192" s="1340">
        <f t="shared" si="20"/>
        <v>4.7360295993574324E-5</v>
      </c>
    </row>
    <row r="193" spans="1:11" ht="15" x14ac:dyDescent="0.25">
      <c r="A193" s="1341"/>
      <c r="B193" s="1344">
        <v>10400</v>
      </c>
      <c r="C193" s="1352">
        <v>344905100000000</v>
      </c>
      <c r="D193" s="1344" t="s">
        <v>3521</v>
      </c>
      <c r="E193" s="1344">
        <v>1</v>
      </c>
      <c r="F193" s="643">
        <v>0</v>
      </c>
      <c r="G193" s="643">
        <v>0</v>
      </c>
      <c r="H193" s="643">
        <v>0</v>
      </c>
      <c r="I193" s="26">
        <f t="shared" si="21"/>
        <v>0</v>
      </c>
      <c r="J193" s="1340" t="e">
        <f t="shared" si="19"/>
        <v>#DIV/0!</v>
      </c>
      <c r="K193" s="1340">
        <f t="shared" si="20"/>
        <v>0</v>
      </c>
    </row>
    <row r="194" spans="1:11" ht="15" x14ac:dyDescent="0.25">
      <c r="A194" s="1341"/>
      <c r="B194" s="1344">
        <v>10500</v>
      </c>
      <c r="C194" s="1352">
        <v>344905200000000</v>
      </c>
      <c r="D194" s="1344" t="s">
        <v>2959</v>
      </c>
      <c r="E194" s="1344">
        <v>1</v>
      </c>
      <c r="F194" s="643">
        <v>6633.1</v>
      </c>
      <c r="G194" s="643">
        <v>4801.8500000000004</v>
      </c>
      <c r="H194" s="643">
        <v>0</v>
      </c>
      <c r="I194" s="26">
        <f t="shared" si="21"/>
        <v>3811.65</v>
      </c>
      <c r="J194" s="1340">
        <f t="shared" si="19"/>
        <v>0.72392244953340068</v>
      </c>
      <c r="K194" s="1340">
        <f t="shared" si="20"/>
        <v>9.0125248239594398E-3</v>
      </c>
    </row>
    <row r="195" spans="1:11" s="12" customFormat="1" ht="15" x14ac:dyDescent="0.25">
      <c r="A195" s="1081"/>
      <c r="B195" s="1345" t="s">
        <v>2965</v>
      </c>
      <c r="C195" s="1343">
        <v>2</v>
      </c>
      <c r="D195" s="1345" t="s">
        <v>2966</v>
      </c>
      <c r="E195" s="1345"/>
      <c r="F195" s="642">
        <f>SUM(F196:F222)</f>
        <v>592318.93000000005</v>
      </c>
      <c r="G195" s="642">
        <f>SUM(G196:G222)</f>
        <v>656318.52999999991</v>
      </c>
      <c r="H195" s="643">
        <v>0</v>
      </c>
      <c r="I195" s="642">
        <f>SUM(I196:I222)</f>
        <v>416212.48666666663</v>
      </c>
      <c r="J195" s="1338">
        <f t="shared" si="19"/>
        <v>1.1080492227388374</v>
      </c>
      <c r="K195" s="1338">
        <f t="shared" si="20"/>
        <v>0.98412114651797</v>
      </c>
    </row>
    <row r="196" spans="1:11" ht="15" x14ac:dyDescent="0.25">
      <c r="A196" s="1341"/>
      <c r="B196" s="1344">
        <v>10600</v>
      </c>
      <c r="C196" s="1352">
        <v>331900400000000</v>
      </c>
      <c r="D196" s="1344" t="s">
        <v>7686</v>
      </c>
      <c r="E196" s="1344">
        <v>1</v>
      </c>
      <c r="F196" s="643">
        <v>0</v>
      </c>
      <c r="G196" s="643">
        <v>0</v>
      </c>
      <c r="H196" s="643">
        <v>0</v>
      </c>
      <c r="I196" s="26">
        <f t="shared" ref="I196:I222" si="22">(F196+G196+H196)/3</f>
        <v>0</v>
      </c>
      <c r="J196" s="1340" t="e">
        <f t="shared" si="19"/>
        <v>#DIV/0!</v>
      </c>
      <c r="K196" s="1340">
        <f t="shared" si="20"/>
        <v>0</v>
      </c>
    </row>
    <row r="197" spans="1:11" ht="15" x14ac:dyDescent="0.25">
      <c r="A197" s="1341"/>
      <c r="B197" s="1344">
        <v>10650</v>
      </c>
      <c r="C197" s="1352">
        <v>331900800000000</v>
      </c>
      <c r="D197" s="1344" t="s">
        <v>5782</v>
      </c>
      <c r="E197" s="1344">
        <v>1</v>
      </c>
      <c r="F197" s="643">
        <v>16148.99</v>
      </c>
      <c r="G197" s="643">
        <v>20032.060000000001</v>
      </c>
      <c r="H197" s="643">
        <v>0</v>
      </c>
      <c r="I197" s="26">
        <f t="shared" si="22"/>
        <v>12060.35</v>
      </c>
      <c r="J197" s="1340">
        <f t="shared" si="19"/>
        <v>1.2404528085038136</v>
      </c>
      <c r="K197" s="1340">
        <f t="shared" si="20"/>
        <v>2.8516312820075093E-2</v>
      </c>
    </row>
    <row r="198" spans="1:11" ht="15" x14ac:dyDescent="0.25">
      <c r="A198" s="1341"/>
      <c r="B198" s="1344">
        <v>10700</v>
      </c>
      <c r="C198" s="1352">
        <v>331901100000000</v>
      </c>
      <c r="D198" s="1344" t="s">
        <v>7685</v>
      </c>
      <c r="E198" s="1344">
        <v>1</v>
      </c>
      <c r="F198" s="643">
        <f>334994.98</f>
        <v>334994.98</v>
      </c>
      <c r="G198" s="643">
        <v>392548.49</v>
      </c>
      <c r="H198" s="643">
        <v>0</v>
      </c>
      <c r="I198" s="26">
        <f t="shared" si="22"/>
        <v>242514.49</v>
      </c>
      <c r="J198" s="1340">
        <f t="shared" si="19"/>
        <v>1.1718040968852728</v>
      </c>
      <c r="K198" s="1340">
        <f t="shared" si="20"/>
        <v>0.57341777479434453</v>
      </c>
    </row>
    <row r="199" spans="1:11" ht="15" x14ac:dyDescent="0.25">
      <c r="A199" s="1341"/>
      <c r="B199" s="1344">
        <v>10800</v>
      </c>
      <c r="C199" s="1352">
        <v>331901300000000</v>
      </c>
      <c r="D199" s="1344" t="s">
        <v>5784</v>
      </c>
      <c r="E199" s="1344">
        <v>1</v>
      </c>
      <c r="F199" s="643">
        <v>85681.8</v>
      </c>
      <c r="G199" s="643">
        <v>99338.13</v>
      </c>
      <c r="H199" s="643">
        <v>0</v>
      </c>
      <c r="I199" s="26">
        <f t="shared" si="22"/>
        <v>61673.31</v>
      </c>
      <c r="J199" s="1340">
        <f t="shared" si="19"/>
        <v>1.1593842566332639</v>
      </c>
      <c r="K199" s="1340">
        <f t="shared" si="20"/>
        <v>0.14582457396422702</v>
      </c>
    </row>
    <row r="200" spans="1:11" ht="15" x14ac:dyDescent="0.25">
      <c r="A200" s="1341"/>
      <c r="B200" s="1344">
        <v>10900</v>
      </c>
      <c r="C200" s="1352">
        <v>331901600000000</v>
      </c>
      <c r="D200" s="1344" t="s">
        <v>5785</v>
      </c>
      <c r="E200" s="1344">
        <v>1</v>
      </c>
      <c r="F200" s="643">
        <v>22317.99</v>
      </c>
      <c r="G200" s="643">
        <v>25198.52</v>
      </c>
      <c r="H200" s="643">
        <v>0</v>
      </c>
      <c r="I200" s="26">
        <f t="shared" si="22"/>
        <v>15838.836666666668</v>
      </c>
      <c r="J200" s="1340">
        <f t="shared" si="19"/>
        <v>1.1290676266097439</v>
      </c>
      <c r="K200" s="1340">
        <f t="shared" si="20"/>
        <v>3.7450424000360034E-2</v>
      </c>
    </row>
    <row r="201" spans="1:11" ht="15" x14ac:dyDescent="0.25">
      <c r="A201" s="1341"/>
      <c r="B201" s="1344">
        <v>10950</v>
      </c>
      <c r="C201" s="1352">
        <v>331903400000000</v>
      </c>
      <c r="D201" s="1344" t="s">
        <v>5786</v>
      </c>
      <c r="E201" s="1344">
        <v>1</v>
      </c>
      <c r="F201" s="643">
        <v>0</v>
      </c>
      <c r="G201" s="643">
        <v>0</v>
      </c>
      <c r="H201" s="643">
        <v>0</v>
      </c>
      <c r="I201" s="26">
        <f t="shared" si="22"/>
        <v>0</v>
      </c>
      <c r="J201" s="1340" t="e">
        <f t="shared" si="19"/>
        <v>#DIV/0!</v>
      </c>
      <c r="K201" s="1340">
        <f t="shared" si="20"/>
        <v>0</v>
      </c>
    </row>
    <row r="202" spans="1:11" ht="15" x14ac:dyDescent="0.25">
      <c r="A202" s="1341"/>
      <c r="B202" s="1344">
        <v>11000</v>
      </c>
      <c r="C202" s="1352">
        <v>331909400000000</v>
      </c>
      <c r="D202" s="1344" t="s">
        <v>5787</v>
      </c>
      <c r="E202" s="1344">
        <v>1</v>
      </c>
      <c r="F202" s="643">
        <v>1860.83</v>
      </c>
      <c r="G202" s="643">
        <v>7524.46</v>
      </c>
      <c r="H202" s="643">
        <v>0</v>
      </c>
      <c r="I202" s="26">
        <f t="shared" si="22"/>
        <v>3128.4300000000003</v>
      </c>
      <c r="J202" s="1340">
        <f t="shared" si="19"/>
        <v>4.0436041981266424</v>
      </c>
      <c r="K202" s="1340">
        <f t="shared" si="20"/>
        <v>7.3970729303633421E-3</v>
      </c>
    </row>
    <row r="203" spans="1:11" ht="15" x14ac:dyDescent="0.25">
      <c r="A203" s="1341"/>
      <c r="B203" s="1344">
        <v>11100</v>
      </c>
      <c r="C203" s="1352">
        <v>333901400000000</v>
      </c>
      <c r="D203" s="1344" t="s">
        <v>5788</v>
      </c>
      <c r="E203" s="1344">
        <v>1</v>
      </c>
      <c r="F203" s="643">
        <v>18892</v>
      </c>
      <c r="G203" s="643">
        <v>12298</v>
      </c>
      <c r="H203" s="643">
        <v>0</v>
      </c>
      <c r="I203" s="26">
        <f t="shared" si="22"/>
        <v>10396.666666666666</v>
      </c>
      <c r="J203" s="1340">
        <f t="shared" si="19"/>
        <v>0.65096337073893706</v>
      </c>
      <c r="K203" s="1340">
        <f t="shared" si="20"/>
        <v>2.4582586654012032E-2</v>
      </c>
    </row>
    <row r="204" spans="1:11" ht="15" x14ac:dyDescent="0.25">
      <c r="A204" s="1341"/>
      <c r="B204" s="1344">
        <v>12580</v>
      </c>
      <c r="C204" s="1352">
        <v>333901400000000</v>
      </c>
      <c r="D204" s="1344" t="s">
        <v>5808</v>
      </c>
      <c r="E204" s="1344">
        <v>1</v>
      </c>
      <c r="F204" s="643">
        <v>0</v>
      </c>
      <c r="G204" s="643">
        <v>0</v>
      </c>
      <c r="H204" s="643">
        <v>0</v>
      </c>
      <c r="I204" s="26">
        <f t="shared" si="22"/>
        <v>0</v>
      </c>
      <c r="J204" s="1340" t="e">
        <f t="shared" si="19"/>
        <v>#DIV/0!</v>
      </c>
      <c r="K204" s="1340">
        <f t="shared" si="20"/>
        <v>0</v>
      </c>
    </row>
    <row r="205" spans="1:11" ht="15" x14ac:dyDescent="0.25">
      <c r="A205" s="1341"/>
      <c r="B205" s="1344">
        <v>11200</v>
      </c>
      <c r="C205" s="1352">
        <v>333903000000000</v>
      </c>
      <c r="D205" s="1344" t="s">
        <v>5789</v>
      </c>
      <c r="E205" s="1344">
        <v>1</v>
      </c>
      <c r="F205" s="643">
        <v>12001.74</v>
      </c>
      <c r="G205" s="643">
        <v>13373.57</v>
      </c>
      <c r="H205" s="643">
        <v>0</v>
      </c>
      <c r="I205" s="26">
        <f t="shared" si="22"/>
        <v>8458.4366666666665</v>
      </c>
      <c r="J205" s="1340">
        <f t="shared" si="19"/>
        <v>1.114302592790712</v>
      </c>
      <c r="K205" s="1340">
        <f t="shared" si="20"/>
        <v>1.9999703653331778E-2</v>
      </c>
    </row>
    <row r="206" spans="1:11" ht="15" x14ac:dyDescent="0.25">
      <c r="A206" s="1341"/>
      <c r="B206" s="1344">
        <v>11400</v>
      </c>
      <c r="C206" s="1352">
        <v>333903300000000</v>
      </c>
      <c r="D206" s="1344" t="s">
        <v>5790</v>
      </c>
      <c r="E206" s="1344">
        <v>1</v>
      </c>
      <c r="F206" s="643">
        <v>1608.8</v>
      </c>
      <c r="G206" s="643">
        <v>946.25</v>
      </c>
      <c r="H206" s="643">
        <v>0</v>
      </c>
      <c r="I206" s="26">
        <f t="shared" si="22"/>
        <v>851.68333333333339</v>
      </c>
      <c r="J206" s="1340">
        <f t="shared" si="19"/>
        <v>0.58817130780706117</v>
      </c>
      <c r="K206" s="1340">
        <f t="shared" si="20"/>
        <v>2.0137780708667347E-3</v>
      </c>
    </row>
    <row r="207" spans="1:11" ht="15" x14ac:dyDescent="0.25">
      <c r="A207" s="1341"/>
      <c r="B207" s="1344">
        <v>12590</v>
      </c>
      <c r="C207" s="1352">
        <v>333903300000000</v>
      </c>
      <c r="D207" s="1344" t="s">
        <v>5809</v>
      </c>
      <c r="E207" s="1344">
        <v>1</v>
      </c>
      <c r="F207" s="643">
        <v>0</v>
      </c>
      <c r="G207" s="643">
        <v>0</v>
      </c>
      <c r="H207" s="643">
        <v>0</v>
      </c>
      <c r="I207" s="26">
        <f t="shared" si="22"/>
        <v>0</v>
      </c>
      <c r="J207" s="1340" t="e">
        <f t="shared" si="19"/>
        <v>#DIV/0!</v>
      </c>
      <c r="K207" s="1340">
        <f t="shared" si="20"/>
        <v>0</v>
      </c>
    </row>
    <row r="208" spans="1:11" ht="15" x14ac:dyDescent="0.25">
      <c r="A208" s="1341"/>
      <c r="B208" s="1344">
        <v>11500</v>
      </c>
      <c r="C208" s="1352">
        <v>333903500000000</v>
      </c>
      <c r="D208" s="1344" t="s">
        <v>5791</v>
      </c>
      <c r="E208" s="1344">
        <v>1</v>
      </c>
      <c r="F208" s="643">
        <v>0</v>
      </c>
      <c r="G208" s="643">
        <v>0</v>
      </c>
      <c r="H208" s="643">
        <v>0</v>
      </c>
      <c r="I208" s="26">
        <f t="shared" si="22"/>
        <v>0</v>
      </c>
      <c r="J208" s="1340" t="e">
        <f t="shared" si="19"/>
        <v>#DIV/0!</v>
      </c>
      <c r="K208" s="1340">
        <f t="shared" si="20"/>
        <v>0</v>
      </c>
    </row>
    <row r="209" spans="1:11" ht="15" x14ac:dyDescent="0.25">
      <c r="A209" s="1341"/>
      <c r="B209" s="1344">
        <v>11600</v>
      </c>
      <c r="C209" s="1352">
        <v>333903600000000</v>
      </c>
      <c r="D209" s="1344" t="s">
        <v>5792</v>
      </c>
      <c r="E209" s="1344">
        <v>1</v>
      </c>
      <c r="F209" s="643">
        <v>0</v>
      </c>
      <c r="G209" s="643">
        <v>0</v>
      </c>
      <c r="H209" s="643">
        <v>0</v>
      </c>
      <c r="I209" s="26">
        <f t="shared" si="22"/>
        <v>0</v>
      </c>
      <c r="J209" s="1340" t="e">
        <f t="shared" si="19"/>
        <v>#DIV/0!</v>
      </c>
      <c r="K209" s="1340">
        <f t="shared" si="20"/>
        <v>0</v>
      </c>
    </row>
    <row r="210" spans="1:11" ht="15" x14ac:dyDescent="0.25">
      <c r="A210" s="1341"/>
      <c r="B210" s="1344">
        <v>12600</v>
      </c>
      <c r="C210" s="1352">
        <v>333903600000000</v>
      </c>
      <c r="D210" s="1344" t="s">
        <v>7684</v>
      </c>
      <c r="E210" s="1344">
        <v>1</v>
      </c>
      <c r="F210" s="643">
        <v>0</v>
      </c>
      <c r="G210" s="643">
        <v>0</v>
      </c>
      <c r="H210" s="643">
        <v>0</v>
      </c>
      <c r="I210" s="26">
        <f t="shared" si="22"/>
        <v>0</v>
      </c>
      <c r="J210" s="1340" t="e">
        <f t="shared" si="19"/>
        <v>#DIV/0!</v>
      </c>
      <c r="K210" s="1340">
        <f t="shared" si="20"/>
        <v>0</v>
      </c>
    </row>
    <row r="211" spans="1:11" ht="15" x14ac:dyDescent="0.25">
      <c r="A211" s="1341"/>
      <c r="B211" s="1344">
        <v>11700</v>
      </c>
      <c r="C211" s="1352">
        <v>333903900000000</v>
      </c>
      <c r="D211" s="1344" t="s">
        <v>5793</v>
      </c>
      <c r="E211" s="1344">
        <v>1</v>
      </c>
      <c r="F211" s="643">
        <f>91571.87-38889.02-817.25-3470-2744.9</f>
        <v>45650.7</v>
      </c>
      <c r="G211" s="643">
        <f>78823.51-39107.64-1134-1087.97-1225-2000-10</f>
        <v>34258.899999999994</v>
      </c>
      <c r="H211" s="643">
        <v>0</v>
      </c>
      <c r="I211" s="26">
        <f t="shared" si="22"/>
        <v>26636.533333333329</v>
      </c>
      <c r="J211" s="1340">
        <f t="shared" si="19"/>
        <v>0.75045727666826567</v>
      </c>
      <c r="K211" s="1340">
        <f t="shared" si="20"/>
        <v>6.2981233295525477E-2</v>
      </c>
    </row>
    <row r="212" spans="1:11" ht="15" x14ac:dyDescent="0.25">
      <c r="A212" s="1341"/>
      <c r="B212" s="1344">
        <v>12640</v>
      </c>
      <c r="C212" s="1352">
        <v>333903900000000</v>
      </c>
      <c r="D212" s="1344" t="s">
        <v>7683</v>
      </c>
      <c r="E212" s="1344">
        <v>1</v>
      </c>
      <c r="F212" s="643">
        <v>0</v>
      </c>
      <c r="G212" s="643">
        <v>0</v>
      </c>
      <c r="H212" s="643">
        <v>0</v>
      </c>
      <c r="I212" s="26">
        <f t="shared" si="22"/>
        <v>0</v>
      </c>
      <c r="J212" s="1340" t="e">
        <f t="shared" si="19"/>
        <v>#DIV/0!</v>
      </c>
      <c r="K212" s="1340">
        <f t="shared" si="20"/>
        <v>0</v>
      </c>
    </row>
    <row r="213" spans="1:11" ht="15" x14ac:dyDescent="0.25">
      <c r="A213" s="1341"/>
      <c r="B213" s="1344">
        <v>12540</v>
      </c>
      <c r="C213" s="1352">
        <v>333904000000000</v>
      </c>
      <c r="D213" s="1344" t="s">
        <v>5805</v>
      </c>
      <c r="E213" s="1344">
        <v>1</v>
      </c>
      <c r="F213" s="643">
        <f>38889.02+817.25+3470+2744.9</f>
        <v>45921.17</v>
      </c>
      <c r="G213" s="643">
        <f>39107.64+1134+1087.97+1225</f>
        <v>42554.61</v>
      </c>
      <c r="H213" s="643">
        <v>0</v>
      </c>
      <c r="I213" s="26">
        <f t="shared" si="22"/>
        <v>29491.926666666666</v>
      </c>
      <c r="J213" s="1340">
        <f t="shared" si="19"/>
        <v>0.92668827906606044</v>
      </c>
      <c r="K213" s="1340">
        <f t="shared" si="20"/>
        <v>6.97327197380989E-2</v>
      </c>
    </row>
    <row r="214" spans="1:11" ht="15" x14ac:dyDescent="0.25">
      <c r="A214" s="1341"/>
      <c r="B214" s="1344">
        <v>11800</v>
      </c>
      <c r="C214" s="1352">
        <v>333904600000000</v>
      </c>
      <c r="D214" s="1344" t="s">
        <v>5794</v>
      </c>
      <c r="E214" s="1344">
        <v>1</v>
      </c>
      <c r="F214" s="643">
        <v>0</v>
      </c>
      <c r="G214" s="643">
        <v>0</v>
      </c>
      <c r="H214" s="643">
        <v>0</v>
      </c>
      <c r="I214" s="26">
        <f t="shared" si="22"/>
        <v>0</v>
      </c>
      <c r="J214" s="1340" t="e">
        <f t="shared" si="19"/>
        <v>#DIV/0!</v>
      </c>
      <c r="K214" s="1340">
        <f t="shared" si="20"/>
        <v>0</v>
      </c>
    </row>
    <row r="215" spans="1:11" ht="15" x14ac:dyDescent="0.25">
      <c r="A215" s="1341"/>
      <c r="B215" s="1344">
        <v>11900</v>
      </c>
      <c r="C215" s="1352">
        <v>333904700000000</v>
      </c>
      <c r="D215" s="1344" t="s">
        <v>5795</v>
      </c>
      <c r="E215" s="1344">
        <v>1</v>
      </c>
      <c r="F215" s="643">
        <v>30</v>
      </c>
      <c r="G215" s="643">
        <v>0</v>
      </c>
      <c r="H215" s="643">
        <v>0</v>
      </c>
      <c r="I215" s="26">
        <f t="shared" si="22"/>
        <v>10</v>
      </c>
      <c r="J215" s="1340" t="e">
        <f t="shared" si="19"/>
        <v>#DIV/0!</v>
      </c>
      <c r="K215" s="1340">
        <f t="shared" si="20"/>
        <v>2.3644680975324177E-5</v>
      </c>
    </row>
    <row r="216" spans="1:11" ht="15" x14ac:dyDescent="0.25">
      <c r="A216" s="1341"/>
      <c r="B216" s="1344">
        <v>12680</v>
      </c>
      <c r="C216" s="1352">
        <v>333904700000000</v>
      </c>
      <c r="D216" s="1344" t="s">
        <v>7682</v>
      </c>
      <c r="E216" s="1344">
        <v>1</v>
      </c>
      <c r="F216" s="643">
        <v>0</v>
      </c>
      <c r="G216" s="643">
        <v>0</v>
      </c>
      <c r="H216" s="643">
        <v>0</v>
      </c>
      <c r="I216" s="26">
        <f t="shared" si="22"/>
        <v>0</v>
      </c>
      <c r="J216" s="1340" t="e">
        <f t="shared" si="19"/>
        <v>#DIV/0!</v>
      </c>
      <c r="K216" s="1340">
        <f t="shared" si="20"/>
        <v>0</v>
      </c>
    </row>
    <row r="217" spans="1:11" ht="15" x14ac:dyDescent="0.25">
      <c r="A217" s="1341"/>
      <c r="B217" s="1344">
        <v>12000</v>
      </c>
      <c r="C217" s="1352">
        <v>333904900000000</v>
      </c>
      <c r="D217" s="1344" t="s">
        <v>5796</v>
      </c>
      <c r="E217" s="1344">
        <v>1</v>
      </c>
      <c r="F217" s="643">
        <v>6701.06</v>
      </c>
      <c r="G217" s="643">
        <v>6717.05</v>
      </c>
      <c r="H217" s="643">
        <v>0</v>
      </c>
      <c r="I217" s="26">
        <f t="shared" si="22"/>
        <v>4472.7033333333338</v>
      </c>
      <c r="J217" s="1340">
        <f t="shared" si="19"/>
        <v>1.0023861896476081</v>
      </c>
      <c r="K217" s="1340">
        <f t="shared" si="20"/>
        <v>1.0575564341393571E-2</v>
      </c>
    </row>
    <row r="218" spans="1:11" ht="15" x14ac:dyDescent="0.25">
      <c r="A218" s="1341"/>
      <c r="B218" s="1344">
        <v>12100</v>
      </c>
      <c r="C218" s="1352">
        <v>333909200000000</v>
      </c>
      <c r="D218" s="1344" t="s">
        <v>5797</v>
      </c>
      <c r="E218" s="1344">
        <v>1</v>
      </c>
      <c r="F218" s="643">
        <v>0</v>
      </c>
      <c r="G218" s="643">
        <v>0</v>
      </c>
      <c r="H218" s="643">
        <v>0</v>
      </c>
      <c r="I218" s="26">
        <f t="shared" si="22"/>
        <v>0</v>
      </c>
      <c r="J218" s="1340" t="e">
        <f t="shared" si="19"/>
        <v>#DIV/0!</v>
      </c>
      <c r="K218" s="1340">
        <f t="shared" si="20"/>
        <v>0</v>
      </c>
    </row>
    <row r="219" spans="1:11" ht="15" x14ac:dyDescent="0.25">
      <c r="A219" s="1341"/>
      <c r="B219" s="1344">
        <v>12200</v>
      </c>
      <c r="C219" s="1352">
        <v>333909300000000</v>
      </c>
      <c r="D219" s="1344" t="s">
        <v>5798</v>
      </c>
      <c r="E219" s="1344">
        <v>1</v>
      </c>
      <c r="F219" s="643">
        <v>196.87</v>
      </c>
      <c r="G219" s="643">
        <v>265.49</v>
      </c>
      <c r="H219" s="643">
        <v>0</v>
      </c>
      <c r="I219" s="26">
        <f t="shared" si="22"/>
        <v>154.12</v>
      </c>
      <c r="J219" s="1340">
        <f t="shared" si="19"/>
        <v>1.3485548839335602</v>
      </c>
      <c r="K219" s="1340">
        <f t="shared" si="20"/>
        <v>3.6441182319169621E-4</v>
      </c>
    </row>
    <row r="220" spans="1:11" ht="15" x14ac:dyDescent="0.25">
      <c r="A220" s="1341"/>
      <c r="B220" s="1344">
        <v>12300</v>
      </c>
      <c r="C220" s="1352">
        <v>333933000000000</v>
      </c>
      <c r="D220" s="1344" t="s">
        <v>5799</v>
      </c>
      <c r="E220" s="1344">
        <v>1</v>
      </c>
      <c r="F220" s="643">
        <v>0</v>
      </c>
      <c r="G220" s="643">
        <v>0</v>
      </c>
      <c r="H220" s="643">
        <v>0</v>
      </c>
      <c r="I220" s="26">
        <f t="shared" si="22"/>
        <v>0</v>
      </c>
      <c r="J220" s="1340" t="e">
        <f t="shared" ref="J220:J242" si="23">(G220/F220)+(H220/G220)/2</f>
        <v>#DIV/0!</v>
      </c>
      <c r="K220" s="1340">
        <f t="shared" ref="K220:K242" si="24">I220/I$242</f>
        <v>0</v>
      </c>
    </row>
    <row r="221" spans="1:11" ht="15" x14ac:dyDescent="0.25">
      <c r="A221" s="1341"/>
      <c r="B221" s="1344">
        <v>12400</v>
      </c>
      <c r="C221" s="1352">
        <v>344905100000000</v>
      </c>
      <c r="D221" s="1344" t="s">
        <v>5800</v>
      </c>
      <c r="E221" s="1344">
        <v>1</v>
      </c>
      <c r="F221" s="643">
        <v>0</v>
      </c>
      <c r="G221" s="643">
        <v>0</v>
      </c>
      <c r="H221" s="643">
        <v>0</v>
      </c>
      <c r="I221" s="26">
        <f t="shared" si="22"/>
        <v>0</v>
      </c>
      <c r="J221" s="1340" t="e">
        <f t="shared" si="23"/>
        <v>#DIV/0!</v>
      </c>
      <c r="K221" s="1340">
        <f t="shared" si="24"/>
        <v>0</v>
      </c>
    </row>
    <row r="222" spans="1:11" ht="15" x14ac:dyDescent="0.25">
      <c r="A222" s="1341"/>
      <c r="B222" s="1344">
        <v>12500</v>
      </c>
      <c r="C222" s="1352">
        <v>344905200000000</v>
      </c>
      <c r="D222" s="1344" t="s">
        <v>5801</v>
      </c>
      <c r="E222" s="1344">
        <v>1</v>
      </c>
      <c r="F222" s="643">
        <v>312</v>
      </c>
      <c r="G222" s="643">
        <v>1263</v>
      </c>
      <c r="H222" s="643">
        <v>0</v>
      </c>
      <c r="I222" s="26">
        <f t="shared" si="22"/>
        <v>525</v>
      </c>
      <c r="J222" s="1340">
        <f t="shared" si="23"/>
        <v>4.0480769230769234</v>
      </c>
      <c r="K222" s="1340">
        <f t="shared" si="24"/>
        <v>1.2413457512045192E-3</v>
      </c>
    </row>
    <row r="223" spans="1:11" s="12" customFormat="1" ht="15" x14ac:dyDescent="0.25">
      <c r="A223" s="1081"/>
      <c r="B223" s="1345" t="s">
        <v>2965</v>
      </c>
      <c r="C223" s="1343">
        <v>55</v>
      </c>
      <c r="D223" s="1345" t="s">
        <v>6968</v>
      </c>
      <c r="E223" s="1345"/>
      <c r="F223" s="642">
        <f>SUM(F224:F241)</f>
        <v>3945.4</v>
      </c>
      <c r="G223" s="642">
        <f>SUM(G224:G241)</f>
        <v>4706.3999999999996</v>
      </c>
      <c r="H223" s="642">
        <f>SUM(H224:H241)</f>
        <v>0</v>
      </c>
      <c r="I223" s="642">
        <f>SUM(I224:I241)</f>
        <v>2883.9333333333334</v>
      </c>
      <c r="J223" s="1338">
        <f t="shared" si="23"/>
        <v>1.1928828509149896</v>
      </c>
      <c r="K223" s="1338">
        <f t="shared" si="24"/>
        <v>6.8189683620769907E-3</v>
      </c>
    </row>
    <row r="224" spans="1:11" ht="15" x14ac:dyDescent="0.25">
      <c r="A224" s="1341"/>
      <c r="B224" s="1344">
        <v>12700</v>
      </c>
      <c r="C224" s="1352">
        <v>333901400000000</v>
      </c>
      <c r="D224" s="1344" t="s">
        <v>6960</v>
      </c>
      <c r="E224" s="1344">
        <v>1</v>
      </c>
      <c r="F224" s="643">
        <v>0</v>
      </c>
      <c r="G224" s="643">
        <v>0</v>
      </c>
      <c r="H224" s="643">
        <v>0</v>
      </c>
      <c r="I224" s="26">
        <f t="shared" ref="I224:I241" si="25">(F224+G224+H224)/3</f>
        <v>0</v>
      </c>
      <c r="J224" s="1340" t="e">
        <f t="shared" si="23"/>
        <v>#DIV/0!</v>
      </c>
      <c r="K224" s="1340">
        <f t="shared" si="24"/>
        <v>0</v>
      </c>
    </row>
    <row r="225" spans="1:11" ht="15" x14ac:dyDescent="0.25">
      <c r="A225" s="1341"/>
      <c r="B225" s="1344">
        <v>13600</v>
      </c>
      <c r="C225" s="1352">
        <v>333901400000000</v>
      </c>
      <c r="D225" s="1344" t="s">
        <v>6975</v>
      </c>
      <c r="E225" s="1344">
        <v>1</v>
      </c>
      <c r="F225" s="643">
        <v>0</v>
      </c>
      <c r="G225" s="643">
        <v>0</v>
      </c>
      <c r="H225" s="643">
        <v>0</v>
      </c>
      <c r="I225" s="26">
        <f t="shared" si="25"/>
        <v>0</v>
      </c>
      <c r="J225" s="1340" t="e">
        <f t="shared" si="23"/>
        <v>#DIV/0!</v>
      </c>
      <c r="K225" s="1340">
        <f t="shared" si="24"/>
        <v>0</v>
      </c>
    </row>
    <row r="226" spans="1:11" ht="15" x14ac:dyDescent="0.25">
      <c r="A226" s="1341"/>
      <c r="B226" s="1344">
        <v>12720</v>
      </c>
      <c r="C226" s="1352">
        <v>333903000000000</v>
      </c>
      <c r="D226" s="1344" t="s">
        <v>6959</v>
      </c>
      <c r="E226" s="1344">
        <v>1</v>
      </c>
      <c r="F226" s="643">
        <v>0</v>
      </c>
      <c r="G226" s="643">
        <v>0</v>
      </c>
      <c r="H226" s="643">
        <v>0</v>
      </c>
      <c r="I226" s="26">
        <f t="shared" si="25"/>
        <v>0</v>
      </c>
      <c r="J226" s="1340" t="e">
        <f t="shared" si="23"/>
        <v>#DIV/0!</v>
      </c>
      <c r="K226" s="1340">
        <f t="shared" si="24"/>
        <v>0</v>
      </c>
    </row>
    <row r="227" spans="1:11" ht="15" x14ac:dyDescent="0.25">
      <c r="A227" s="1341"/>
      <c r="B227" s="1344">
        <v>12740</v>
      </c>
      <c r="C227" s="1352">
        <v>333903100000000</v>
      </c>
      <c r="D227" s="1344" t="s">
        <v>6958</v>
      </c>
      <c r="E227" s="1344">
        <v>1</v>
      </c>
      <c r="F227" s="643">
        <v>3945.4</v>
      </c>
      <c r="G227" s="643">
        <v>2696.4</v>
      </c>
      <c r="H227" s="643">
        <v>0</v>
      </c>
      <c r="I227" s="26">
        <f t="shared" si="25"/>
        <v>2213.9333333333334</v>
      </c>
      <c r="J227" s="1340">
        <f t="shared" si="23"/>
        <v>0.68342880316317733</v>
      </c>
      <c r="K227" s="1340">
        <f t="shared" si="24"/>
        <v>5.2347747367302707E-3</v>
      </c>
    </row>
    <row r="228" spans="1:11" ht="15" x14ac:dyDescent="0.25">
      <c r="A228" s="1341"/>
      <c r="B228" s="1344">
        <v>12760</v>
      </c>
      <c r="C228" s="1352">
        <v>333903200000000</v>
      </c>
      <c r="D228" s="1344" t="s">
        <v>6972</v>
      </c>
      <c r="E228" s="1344">
        <v>1</v>
      </c>
      <c r="F228" s="643">
        <v>0</v>
      </c>
      <c r="G228" s="643">
        <v>0</v>
      </c>
      <c r="H228" s="643">
        <v>0</v>
      </c>
      <c r="I228" s="26">
        <f t="shared" si="25"/>
        <v>0</v>
      </c>
      <c r="J228" s="1340" t="e">
        <f t="shared" si="23"/>
        <v>#DIV/0!</v>
      </c>
      <c r="K228" s="1340">
        <f t="shared" si="24"/>
        <v>0</v>
      </c>
    </row>
    <row r="229" spans="1:11" ht="15" x14ac:dyDescent="0.25">
      <c r="A229" s="1341"/>
      <c r="B229" s="1344">
        <v>12780</v>
      </c>
      <c r="C229" s="1352">
        <v>333903300000000</v>
      </c>
      <c r="D229" s="1344" t="s">
        <v>6961</v>
      </c>
      <c r="E229" s="1344">
        <v>1</v>
      </c>
      <c r="F229" s="643">
        <v>0</v>
      </c>
      <c r="G229" s="643">
        <v>0</v>
      </c>
      <c r="H229" s="643">
        <v>0</v>
      </c>
      <c r="I229" s="26">
        <f t="shared" si="25"/>
        <v>0</v>
      </c>
      <c r="J229" s="1340" t="e">
        <f t="shared" si="23"/>
        <v>#DIV/0!</v>
      </c>
      <c r="K229" s="1340">
        <f t="shared" si="24"/>
        <v>0</v>
      </c>
    </row>
    <row r="230" spans="1:11" ht="15" x14ac:dyDescent="0.25">
      <c r="A230" s="1341"/>
      <c r="B230" s="1344">
        <v>13620</v>
      </c>
      <c r="C230" s="1352">
        <v>333903300000000</v>
      </c>
      <c r="D230" s="1344" t="s">
        <v>6976</v>
      </c>
      <c r="E230" s="1344">
        <v>1</v>
      </c>
      <c r="F230" s="643">
        <v>0</v>
      </c>
      <c r="G230" s="643">
        <v>0</v>
      </c>
      <c r="H230" s="643">
        <v>0</v>
      </c>
      <c r="I230" s="26">
        <f t="shared" si="25"/>
        <v>0</v>
      </c>
      <c r="J230" s="1340" t="e">
        <f t="shared" si="23"/>
        <v>#DIV/0!</v>
      </c>
      <c r="K230" s="1340">
        <f t="shared" si="24"/>
        <v>0</v>
      </c>
    </row>
    <row r="231" spans="1:11" ht="15" x14ac:dyDescent="0.25">
      <c r="A231" s="1341"/>
      <c r="B231" s="1344">
        <v>12800</v>
      </c>
      <c r="C231" s="1352">
        <v>333903500000000</v>
      </c>
      <c r="D231" s="1344" t="s">
        <v>6973</v>
      </c>
      <c r="E231" s="1344">
        <v>1</v>
      </c>
      <c r="F231" s="643">
        <v>0</v>
      </c>
      <c r="G231" s="643">
        <v>0</v>
      </c>
      <c r="H231" s="643">
        <v>0</v>
      </c>
      <c r="I231" s="26">
        <f t="shared" si="25"/>
        <v>0</v>
      </c>
      <c r="J231" s="1340" t="e">
        <f t="shared" si="23"/>
        <v>#DIV/0!</v>
      </c>
      <c r="K231" s="1340">
        <f t="shared" si="24"/>
        <v>0</v>
      </c>
    </row>
    <row r="232" spans="1:11" ht="15" x14ac:dyDescent="0.25">
      <c r="A232" s="1341"/>
      <c r="B232" s="1344">
        <v>12820</v>
      </c>
      <c r="C232" s="1352">
        <v>333903600000000</v>
      </c>
      <c r="D232" s="1344" t="s">
        <v>6962</v>
      </c>
      <c r="E232" s="1344">
        <v>1</v>
      </c>
      <c r="F232" s="643">
        <v>0</v>
      </c>
      <c r="G232" s="643">
        <v>0</v>
      </c>
      <c r="H232" s="643">
        <v>0</v>
      </c>
      <c r="I232" s="26">
        <f t="shared" si="25"/>
        <v>0</v>
      </c>
      <c r="J232" s="1340" t="e">
        <f t="shared" si="23"/>
        <v>#DIV/0!</v>
      </c>
      <c r="K232" s="1340">
        <f t="shared" si="24"/>
        <v>0</v>
      </c>
    </row>
    <row r="233" spans="1:11" ht="15" x14ac:dyDescent="0.25">
      <c r="A233" s="1341"/>
      <c r="B233" s="1344">
        <v>13640</v>
      </c>
      <c r="C233" s="1352">
        <v>333903600000000</v>
      </c>
      <c r="D233" s="1344" t="s">
        <v>6977</v>
      </c>
      <c r="E233" s="1344">
        <v>1</v>
      </c>
      <c r="F233" s="643">
        <v>0</v>
      </c>
      <c r="G233" s="643">
        <v>0</v>
      </c>
      <c r="H233" s="643">
        <v>0</v>
      </c>
      <c r="I233" s="26">
        <f t="shared" si="25"/>
        <v>0</v>
      </c>
      <c r="J233" s="1340" t="e">
        <f t="shared" si="23"/>
        <v>#DIV/0!</v>
      </c>
      <c r="K233" s="1340">
        <f t="shared" si="24"/>
        <v>0</v>
      </c>
    </row>
    <row r="234" spans="1:11" ht="15" x14ac:dyDescent="0.25">
      <c r="A234" s="1341"/>
      <c r="B234" s="1344">
        <v>12840</v>
      </c>
      <c r="C234" s="1352">
        <v>333903900000000</v>
      </c>
      <c r="D234" s="1344" t="s">
        <v>6963</v>
      </c>
      <c r="E234" s="1344">
        <v>1</v>
      </c>
      <c r="F234" s="643">
        <v>0</v>
      </c>
      <c r="G234" s="643">
        <f>2000+10</f>
        <v>2010</v>
      </c>
      <c r="H234" s="643">
        <v>0</v>
      </c>
      <c r="I234" s="26">
        <f t="shared" si="25"/>
        <v>670</v>
      </c>
      <c r="J234" s="1340" t="e">
        <f t="shared" si="23"/>
        <v>#DIV/0!</v>
      </c>
      <c r="K234" s="1340">
        <f t="shared" si="24"/>
        <v>1.5841936253467197E-3</v>
      </c>
    </row>
    <row r="235" spans="1:11" ht="15" x14ac:dyDescent="0.25">
      <c r="A235" s="1341"/>
      <c r="B235" s="1344">
        <v>13660</v>
      </c>
      <c r="C235" s="1352">
        <v>333903900000000</v>
      </c>
      <c r="D235" s="1344" t="s">
        <v>6978</v>
      </c>
      <c r="E235" s="1344">
        <v>1</v>
      </c>
      <c r="F235" s="643">
        <v>0</v>
      </c>
      <c r="G235" s="643">
        <v>0</v>
      </c>
      <c r="H235" s="643">
        <v>0</v>
      </c>
      <c r="I235" s="26">
        <f t="shared" si="25"/>
        <v>0</v>
      </c>
      <c r="J235" s="1340" t="e">
        <f t="shared" si="23"/>
        <v>#DIV/0!</v>
      </c>
      <c r="K235" s="1340">
        <f t="shared" si="24"/>
        <v>0</v>
      </c>
    </row>
    <row r="236" spans="1:11" ht="15" x14ac:dyDescent="0.25">
      <c r="A236" s="1341"/>
      <c r="B236" s="1344">
        <v>12940</v>
      </c>
      <c r="C236" s="1352">
        <v>333904000000000</v>
      </c>
      <c r="D236" s="1344" t="s">
        <v>7681</v>
      </c>
      <c r="E236" s="1344">
        <v>1</v>
      </c>
      <c r="F236" s="643">
        <v>0</v>
      </c>
      <c r="G236" s="643">
        <v>0</v>
      </c>
      <c r="H236" s="643">
        <v>0</v>
      </c>
      <c r="I236" s="26">
        <f t="shared" si="25"/>
        <v>0</v>
      </c>
      <c r="J236" s="1340" t="e">
        <f t="shared" si="23"/>
        <v>#DIV/0!</v>
      </c>
      <c r="K236" s="1340">
        <f t="shared" si="24"/>
        <v>0</v>
      </c>
    </row>
    <row r="237" spans="1:11" ht="15" x14ac:dyDescent="0.25">
      <c r="A237" s="1341"/>
      <c r="B237" s="1344">
        <v>12860</v>
      </c>
      <c r="C237" s="1352">
        <v>333904700000000</v>
      </c>
      <c r="D237" s="1344" t="s">
        <v>7680</v>
      </c>
      <c r="E237" s="1344">
        <v>1</v>
      </c>
      <c r="F237" s="643">
        <v>0</v>
      </c>
      <c r="G237" s="643">
        <v>0</v>
      </c>
      <c r="H237" s="643">
        <v>0</v>
      </c>
      <c r="I237" s="26">
        <f t="shared" si="25"/>
        <v>0</v>
      </c>
      <c r="J237" s="1340" t="e">
        <f t="shared" si="23"/>
        <v>#DIV/0!</v>
      </c>
      <c r="K237" s="1340">
        <f t="shared" si="24"/>
        <v>0</v>
      </c>
    </row>
    <row r="238" spans="1:11" ht="15" x14ac:dyDescent="0.25">
      <c r="A238" s="1341"/>
      <c r="B238" s="1344">
        <v>13680</v>
      </c>
      <c r="C238" s="1352">
        <v>333904700000000</v>
      </c>
      <c r="D238" s="1344" t="s">
        <v>7679</v>
      </c>
      <c r="E238" s="1344">
        <v>1</v>
      </c>
      <c r="F238" s="643">
        <v>0</v>
      </c>
      <c r="G238" s="643">
        <v>0</v>
      </c>
      <c r="H238" s="643">
        <v>0</v>
      </c>
      <c r="I238" s="26">
        <f t="shared" si="25"/>
        <v>0</v>
      </c>
      <c r="J238" s="1340" t="e">
        <f t="shared" si="23"/>
        <v>#DIV/0!</v>
      </c>
      <c r="K238" s="1340">
        <f t="shared" si="24"/>
        <v>0</v>
      </c>
    </row>
    <row r="239" spans="1:11" ht="15" x14ac:dyDescent="0.25">
      <c r="A239" s="1341"/>
      <c r="B239" s="1344">
        <v>12880</v>
      </c>
      <c r="C239" s="1352">
        <v>333909300000000</v>
      </c>
      <c r="D239" s="1344" t="s">
        <v>6969</v>
      </c>
      <c r="E239" s="1344">
        <v>1</v>
      </c>
      <c r="F239" s="643">
        <v>0</v>
      </c>
      <c r="G239" s="643">
        <v>0</v>
      </c>
      <c r="H239" s="643">
        <v>0</v>
      </c>
      <c r="I239" s="26">
        <f t="shared" si="25"/>
        <v>0</v>
      </c>
      <c r="J239" s="1340" t="e">
        <f t="shared" si="23"/>
        <v>#DIV/0!</v>
      </c>
      <c r="K239" s="1340">
        <f t="shared" si="24"/>
        <v>0</v>
      </c>
    </row>
    <row r="240" spans="1:11" ht="15" x14ac:dyDescent="0.25">
      <c r="A240" s="1341"/>
      <c r="B240" s="1344">
        <v>12900</v>
      </c>
      <c r="C240" s="1352">
        <v>344905100000000</v>
      </c>
      <c r="D240" s="1344" t="s">
        <v>6970</v>
      </c>
      <c r="E240" s="1344">
        <v>1</v>
      </c>
      <c r="F240" s="643">
        <v>0</v>
      </c>
      <c r="G240" s="643">
        <v>0</v>
      </c>
      <c r="H240" s="643">
        <v>0</v>
      </c>
      <c r="I240" s="26">
        <f t="shared" si="25"/>
        <v>0</v>
      </c>
      <c r="J240" s="1340" t="e">
        <f t="shared" si="23"/>
        <v>#DIV/0!</v>
      </c>
      <c r="K240" s="1340">
        <f t="shared" si="24"/>
        <v>0</v>
      </c>
    </row>
    <row r="241" spans="1:11" ht="15" x14ac:dyDescent="0.25">
      <c r="A241" s="1341"/>
      <c r="B241" s="1344">
        <v>12920</v>
      </c>
      <c r="C241" s="1352">
        <v>344905200000000</v>
      </c>
      <c r="D241" s="1344" t="s">
        <v>6971</v>
      </c>
      <c r="E241" s="1344">
        <v>1</v>
      </c>
      <c r="F241" s="643">
        <v>0</v>
      </c>
      <c r="G241" s="643">
        <v>0</v>
      </c>
      <c r="H241" s="643">
        <v>0</v>
      </c>
      <c r="I241" s="26">
        <f t="shared" si="25"/>
        <v>0</v>
      </c>
      <c r="J241" s="1340" t="e">
        <f t="shared" si="23"/>
        <v>#DIV/0!</v>
      </c>
      <c r="K241" s="1340">
        <f t="shared" si="24"/>
        <v>0</v>
      </c>
    </row>
    <row r="242" spans="1:11" ht="15" x14ac:dyDescent="0.25">
      <c r="B242" s="1598" t="s">
        <v>1575</v>
      </c>
      <c r="C242" s="1598"/>
      <c r="D242" s="1598"/>
      <c r="E242" s="1598"/>
      <c r="F242" s="25">
        <f>F188+F195+F223</f>
        <v>602957.52</v>
      </c>
      <c r="G242" s="25">
        <f>G188+G195+G223</f>
        <v>665826.77999999991</v>
      </c>
      <c r="H242" s="25">
        <f>H188+H195+H223</f>
        <v>0</v>
      </c>
      <c r="I242" s="25">
        <f>I188+I195+I223</f>
        <v>422928.1</v>
      </c>
      <c r="J242" s="1338">
        <f t="shared" si="23"/>
        <v>1.1042681414770312</v>
      </c>
      <c r="K242" s="1338">
        <f t="shared" si="24"/>
        <v>1</v>
      </c>
    </row>
    <row r="244" spans="1:11" ht="15" x14ac:dyDescent="0.25">
      <c r="B244" s="616" t="s">
        <v>7678</v>
      </c>
      <c r="F244" s="643"/>
    </row>
    <row r="245" spans="1:11" ht="45" customHeight="1" x14ac:dyDescent="0.25">
      <c r="B245" s="1343" t="s">
        <v>2967</v>
      </c>
      <c r="C245" s="1343" t="s">
        <v>472</v>
      </c>
      <c r="D245" s="1343" t="s">
        <v>2968</v>
      </c>
      <c r="E245" s="1343" t="s">
        <v>1403</v>
      </c>
      <c r="F245" s="1081">
        <v>2017</v>
      </c>
      <c r="G245" s="1081">
        <f>F245+1</f>
        <v>2018</v>
      </c>
      <c r="H245" s="1081">
        <f>G245+1</f>
        <v>2019</v>
      </c>
      <c r="I245" s="1082" t="s">
        <v>7336</v>
      </c>
      <c r="J245" s="1342" t="s">
        <v>7335</v>
      </c>
      <c r="K245" s="1342" t="s">
        <v>7334</v>
      </c>
    </row>
    <row r="246" spans="1:11" ht="15" x14ac:dyDescent="0.25">
      <c r="B246" s="1345" t="s">
        <v>2950</v>
      </c>
      <c r="C246" s="1343" t="s">
        <v>3392</v>
      </c>
      <c r="D246" s="1345" t="s">
        <v>3393</v>
      </c>
      <c r="E246" s="1345"/>
      <c r="F246" s="642">
        <f>SUM(F247:F253)</f>
        <v>9830.5</v>
      </c>
      <c r="G246" s="642">
        <f>SUM(G247:G253)</f>
        <v>0</v>
      </c>
      <c r="H246" s="642">
        <f>SUM(H247:H253)</f>
        <v>0</v>
      </c>
      <c r="I246" s="642">
        <f>SUM(I247:I253)</f>
        <v>3276.8333333333335</v>
      </c>
      <c r="J246" s="1338" t="e">
        <f t="shared" ref="J246:J309" si="26">(G246/F246)+(H246/G246)/2</f>
        <v>#DIV/0!</v>
      </c>
      <c r="K246" s="1338">
        <f t="shared" ref="K246:K309" si="27">I246/I$582</f>
        <v>3.1014057493440501E-3</v>
      </c>
    </row>
    <row r="247" spans="1:11" ht="15" x14ac:dyDescent="0.25">
      <c r="A247" s="1341"/>
      <c r="B247" s="1344">
        <v>13000</v>
      </c>
      <c r="C247" s="1352">
        <v>333904700000000</v>
      </c>
      <c r="D247" s="1344" t="s">
        <v>3394</v>
      </c>
      <c r="E247" s="1344">
        <v>1</v>
      </c>
      <c r="F247" s="643">
        <v>0</v>
      </c>
      <c r="G247" s="643">
        <v>0</v>
      </c>
      <c r="H247" s="643">
        <v>0</v>
      </c>
      <c r="I247" s="26">
        <f t="shared" ref="I247:I253" si="28">(F247+G247+H247)/3</f>
        <v>0</v>
      </c>
      <c r="J247" s="1340" t="e">
        <f t="shared" si="26"/>
        <v>#DIV/0!</v>
      </c>
      <c r="K247" s="1340">
        <f t="shared" si="27"/>
        <v>0</v>
      </c>
    </row>
    <row r="248" spans="1:11" ht="15" x14ac:dyDescent="0.25">
      <c r="A248" s="1341"/>
      <c r="B248" s="1344">
        <v>13100</v>
      </c>
      <c r="C248" s="1352">
        <v>344903000000000</v>
      </c>
      <c r="D248" s="1344" t="s">
        <v>3610</v>
      </c>
      <c r="E248" s="1344">
        <v>1</v>
      </c>
      <c r="F248" s="643">
        <v>959.9</v>
      </c>
      <c r="G248" s="643">
        <v>0</v>
      </c>
      <c r="H248" s="643">
        <v>0</v>
      </c>
      <c r="I248" s="26">
        <f t="shared" si="28"/>
        <v>319.96666666666664</v>
      </c>
      <c r="J248" s="1340" t="e">
        <f t="shared" si="26"/>
        <v>#DIV/0!</v>
      </c>
      <c r="K248" s="1340">
        <f t="shared" si="27"/>
        <v>3.0283702546110097E-4</v>
      </c>
    </row>
    <row r="249" spans="1:11" ht="15" x14ac:dyDescent="0.25">
      <c r="A249" s="1341"/>
      <c r="B249" s="1344">
        <v>13200</v>
      </c>
      <c r="C249" s="1352">
        <v>344903600000000</v>
      </c>
      <c r="D249" s="1344" t="s">
        <v>3613</v>
      </c>
      <c r="E249" s="1344">
        <v>1</v>
      </c>
      <c r="F249" s="643">
        <v>0</v>
      </c>
      <c r="G249" s="643">
        <v>0</v>
      </c>
      <c r="H249" s="643">
        <v>0</v>
      </c>
      <c r="I249" s="26">
        <f t="shared" si="28"/>
        <v>0</v>
      </c>
      <c r="J249" s="1340" t="e">
        <f t="shared" si="26"/>
        <v>#DIV/0!</v>
      </c>
      <c r="K249" s="1340">
        <f t="shared" si="27"/>
        <v>0</v>
      </c>
    </row>
    <row r="250" spans="1:11" ht="15" x14ac:dyDescent="0.25">
      <c r="A250" s="1341"/>
      <c r="B250" s="1344">
        <v>13300</v>
      </c>
      <c r="C250" s="1352">
        <v>344903900000000</v>
      </c>
      <c r="D250" s="1344" t="s">
        <v>3614</v>
      </c>
      <c r="E250" s="1344">
        <v>1</v>
      </c>
      <c r="F250" s="643">
        <v>0</v>
      </c>
      <c r="G250" s="643">
        <v>0</v>
      </c>
      <c r="H250" s="643">
        <v>0</v>
      </c>
      <c r="I250" s="26">
        <f t="shared" si="28"/>
        <v>0</v>
      </c>
      <c r="J250" s="1340" t="e">
        <f t="shared" si="26"/>
        <v>#DIV/0!</v>
      </c>
      <c r="K250" s="1340">
        <f t="shared" si="27"/>
        <v>0</v>
      </c>
    </row>
    <row r="251" spans="1:11" ht="15" x14ac:dyDescent="0.25">
      <c r="A251" s="1341"/>
      <c r="B251" s="1344">
        <v>13400</v>
      </c>
      <c r="C251" s="1352">
        <v>344905100000000</v>
      </c>
      <c r="D251" s="1344" t="s">
        <v>3617</v>
      </c>
      <c r="E251" s="1344">
        <v>1</v>
      </c>
      <c r="F251" s="643">
        <v>0</v>
      </c>
      <c r="G251" s="643">
        <v>0</v>
      </c>
      <c r="H251" s="643">
        <v>0</v>
      </c>
      <c r="I251" s="26">
        <f t="shared" si="28"/>
        <v>0</v>
      </c>
      <c r="J251" s="1340" t="e">
        <f t="shared" si="26"/>
        <v>#DIV/0!</v>
      </c>
      <c r="K251" s="1340">
        <f t="shared" si="27"/>
        <v>0</v>
      </c>
    </row>
    <row r="252" spans="1:11" ht="15" x14ac:dyDescent="0.25">
      <c r="A252" s="1341"/>
      <c r="B252" s="1344">
        <v>13500</v>
      </c>
      <c r="C252" s="1352">
        <v>344905200000000</v>
      </c>
      <c r="D252" s="1344" t="s">
        <v>3618</v>
      </c>
      <c r="E252" s="1344">
        <v>1</v>
      </c>
      <c r="F252" s="643">
        <v>8870.6</v>
      </c>
      <c r="G252" s="643">
        <v>0</v>
      </c>
      <c r="H252" s="643">
        <v>0</v>
      </c>
      <c r="I252" s="26">
        <f t="shared" si="28"/>
        <v>2956.8666666666668</v>
      </c>
      <c r="J252" s="1340" t="e">
        <f t="shared" si="26"/>
        <v>#DIV/0!</v>
      </c>
      <c r="K252" s="1340">
        <f t="shared" si="27"/>
        <v>2.7985687238829488E-3</v>
      </c>
    </row>
    <row r="253" spans="1:11" ht="15" x14ac:dyDescent="0.25">
      <c r="A253" s="1341"/>
      <c r="B253" s="1344">
        <v>13550</v>
      </c>
      <c r="C253" s="1352">
        <v>344915200000000</v>
      </c>
      <c r="D253" s="1344" t="s">
        <v>5846</v>
      </c>
      <c r="E253" s="1344">
        <v>1</v>
      </c>
      <c r="F253" s="643">
        <v>0</v>
      </c>
      <c r="G253" s="643">
        <v>0</v>
      </c>
      <c r="H253" s="643">
        <v>0</v>
      </c>
      <c r="I253" s="26">
        <f t="shared" si="28"/>
        <v>0</v>
      </c>
      <c r="J253" s="1340" t="e">
        <f t="shared" si="26"/>
        <v>#DIV/0!</v>
      </c>
      <c r="K253" s="1340">
        <f t="shared" si="27"/>
        <v>0</v>
      </c>
    </row>
    <row r="254" spans="1:11" s="12" customFormat="1" ht="15" x14ac:dyDescent="0.25">
      <c r="A254" s="1081"/>
      <c r="B254" s="1345" t="s">
        <v>2950</v>
      </c>
      <c r="C254" s="1343" t="s">
        <v>3622</v>
      </c>
      <c r="D254" s="1345" t="s">
        <v>3623</v>
      </c>
      <c r="E254" s="1345"/>
      <c r="F254" s="642">
        <f>SUM(F255:F280)</f>
        <v>0</v>
      </c>
      <c r="G254" s="642">
        <f>SUM(G255:G280)</f>
        <v>10549.86</v>
      </c>
      <c r="H254" s="642">
        <f>SUM(H255:H280)</f>
        <v>0</v>
      </c>
      <c r="I254" s="642">
        <f>SUM(I255:I280)</f>
        <v>3516.6200000000003</v>
      </c>
      <c r="J254" s="1338" t="e">
        <f t="shared" si="26"/>
        <v>#DIV/0!</v>
      </c>
      <c r="K254" s="1338">
        <f t="shared" si="27"/>
        <v>3.3283552676643935E-3</v>
      </c>
    </row>
    <row r="255" spans="1:11" ht="15" x14ac:dyDescent="0.25">
      <c r="A255" s="1341"/>
      <c r="B255" s="1344">
        <v>16000</v>
      </c>
      <c r="C255" s="1352">
        <v>333904700000000</v>
      </c>
      <c r="D255" s="1344" t="s">
        <v>3624</v>
      </c>
      <c r="E255" s="1344">
        <v>1</v>
      </c>
      <c r="F255" s="643">
        <v>0</v>
      </c>
      <c r="G255" s="643">
        <v>0</v>
      </c>
      <c r="H255" s="643">
        <v>0</v>
      </c>
      <c r="I255" s="26">
        <f t="shared" ref="I255:I280" si="29">(F255+G255+H255)/3</f>
        <v>0</v>
      </c>
      <c r="J255" s="1340" t="e">
        <f t="shared" si="26"/>
        <v>#DIV/0!</v>
      </c>
      <c r="K255" s="1340">
        <f t="shared" si="27"/>
        <v>0</v>
      </c>
    </row>
    <row r="256" spans="1:11" ht="15" x14ac:dyDescent="0.25">
      <c r="A256" s="1341"/>
      <c r="B256" s="1344">
        <v>20000</v>
      </c>
      <c r="C256" s="1352">
        <v>333904700000000</v>
      </c>
      <c r="D256" s="1344" t="s">
        <v>3625</v>
      </c>
      <c r="E256" s="1344">
        <v>1</v>
      </c>
      <c r="F256" s="643">
        <v>0</v>
      </c>
      <c r="G256" s="643">
        <v>0</v>
      </c>
      <c r="H256" s="643">
        <v>0</v>
      </c>
      <c r="I256" s="26">
        <f t="shared" si="29"/>
        <v>0</v>
      </c>
      <c r="J256" s="1340" t="e">
        <f t="shared" si="26"/>
        <v>#DIV/0!</v>
      </c>
      <c r="K256" s="1340">
        <f t="shared" si="27"/>
        <v>0</v>
      </c>
    </row>
    <row r="257" spans="1:11" ht="15" x14ac:dyDescent="0.25">
      <c r="A257" s="1341"/>
      <c r="B257" s="1344">
        <v>24000</v>
      </c>
      <c r="C257" s="1352">
        <v>333904700000000</v>
      </c>
      <c r="D257" s="1344" t="s">
        <v>3626</v>
      </c>
      <c r="E257" s="1344">
        <v>1</v>
      </c>
      <c r="F257" s="643">
        <v>0</v>
      </c>
      <c r="G257" s="643">
        <v>0</v>
      </c>
      <c r="H257" s="643">
        <v>0</v>
      </c>
      <c r="I257" s="26">
        <f t="shared" si="29"/>
        <v>0</v>
      </c>
      <c r="J257" s="1340" t="e">
        <f t="shared" si="26"/>
        <v>#DIV/0!</v>
      </c>
      <c r="K257" s="1340">
        <f t="shared" si="27"/>
        <v>0</v>
      </c>
    </row>
    <row r="258" spans="1:11" ht="15" x14ac:dyDescent="0.25">
      <c r="A258" s="1341"/>
      <c r="B258" s="1344">
        <v>20050</v>
      </c>
      <c r="C258" s="1352">
        <v>344209300000000</v>
      </c>
      <c r="D258" s="1344" t="s">
        <v>4240</v>
      </c>
      <c r="E258" s="1344">
        <v>1032</v>
      </c>
      <c r="F258" s="643">
        <v>0</v>
      </c>
      <c r="G258" s="643">
        <v>0</v>
      </c>
      <c r="H258" s="643">
        <v>0</v>
      </c>
      <c r="I258" s="26">
        <f t="shared" si="29"/>
        <v>0</v>
      </c>
      <c r="J258" s="1340" t="e">
        <f t="shared" si="26"/>
        <v>#DIV/0!</v>
      </c>
      <c r="K258" s="1340">
        <f t="shared" si="27"/>
        <v>0</v>
      </c>
    </row>
    <row r="259" spans="1:11" ht="15" x14ac:dyDescent="0.25">
      <c r="A259" s="1341"/>
      <c r="B259" s="1344">
        <v>24050</v>
      </c>
      <c r="C259" s="1352">
        <v>344209300000000</v>
      </c>
      <c r="D259" s="1344" t="s">
        <v>4247</v>
      </c>
      <c r="E259" s="1344">
        <v>1166</v>
      </c>
      <c r="F259" s="643">
        <v>0</v>
      </c>
      <c r="G259" s="643">
        <v>0</v>
      </c>
      <c r="H259" s="643">
        <v>0</v>
      </c>
      <c r="I259" s="26">
        <f t="shared" si="29"/>
        <v>0</v>
      </c>
      <c r="J259" s="1340" t="e">
        <f t="shared" si="26"/>
        <v>#DIV/0!</v>
      </c>
      <c r="K259" s="1340">
        <f t="shared" si="27"/>
        <v>0</v>
      </c>
    </row>
    <row r="260" spans="1:11" ht="15" x14ac:dyDescent="0.25">
      <c r="A260" s="1341"/>
      <c r="B260" s="1344">
        <v>16100</v>
      </c>
      <c r="C260" s="1352">
        <v>344903000000000</v>
      </c>
      <c r="D260" s="1344" t="s">
        <v>3627</v>
      </c>
      <c r="E260" s="1344">
        <v>1</v>
      </c>
      <c r="F260" s="643">
        <v>0</v>
      </c>
      <c r="G260" s="643">
        <v>0</v>
      </c>
      <c r="H260" s="643">
        <v>0</v>
      </c>
      <c r="I260" s="26">
        <f t="shared" si="29"/>
        <v>0</v>
      </c>
      <c r="J260" s="1340" t="e">
        <f t="shared" si="26"/>
        <v>#DIV/0!</v>
      </c>
      <c r="K260" s="1340">
        <f t="shared" si="27"/>
        <v>0</v>
      </c>
    </row>
    <row r="261" spans="1:11" ht="15" x14ac:dyDescent="0.25">
      <c r="A261" s="1341"/>
      <c r="B261" s="1344">
        <v>20100</v>
      </c>
      <c r="C261" s="1352">
        <v>344903000000000</v>
      </c>
      <c r="D261" s="1344" t="s">
        <v>3628</v>
      </c>
      <c r="E261" s="1344">
        <v>1</v>
      </c>
      <c r="F261" s="643">
        <v>0</v>
      </c>
      <c r="G261" s="643">
        <v>0</v>
      </c>
      <c r="H261" s="643">
        <v>0</v>
      </c>
      <c r="I261" s="26">
        <f t="shared" si="29"/>
        <v>0</v>
      </c>
      <c r="J261" s="1340" t="e">
        <f t="shared" si="26"/>
        <v>#DIV/0!</v>
      </c>
      <c r="K261" s="1340">
        <f t="shared" si="27"/>
        <v>0</v>
      </c>
    </row>
    <row r="262" spans="1:11" ht="15" x14ac:dyDescent="0.25">
      <c r="A262" s="1341"/>
      <c r="B262" s="1344">
        <v>24100</v>
      </c>
      <c r="C262" s="1352">
        <v>344903000000000</v>
      </c>
      <c r="D262" s="1344" t="s">
        <v>3629</v>
      </c>
      <c r="E262" s="1344">
        <v>1</v>
      </c>
      <c r="F262" s="643">
        <v>0</v>
      </c>
      <c r="G262" s="643">
        <v>0</v>
      </c>
      <c r="H262" s="643">
        <v>0</v>
      </c>
      <c r="I262" s="26">
        <f t="shared" si="29"/>
        <v>0</v>
      </c>
      <c r="J262" s="1340" t="e">
        <f t="shared" si="26"/>
        <v>#DIV/0!</v>
      </c>
      <c r="K262" s="1340">
        <f t="shared" si="27"/>
        <v>0</v>
      </c>
    </row>
    <row r="263" spans="1:11" ht="15" x14ac:dyDescent="0.25">
      <c r="A263" s="1341"/>
      <c r="B263" s="1344">
        <v>16200</v>
      </c>
      <c r="C263" s="1352">
        <v>344903600000000</v>
      </c>
      <c r="D263" s="1344" t="s">
        <v>3630</v>
      </c>
      <c r="E263" s="1344">
        <v>1</v>
      </c>
      <c r="F263" s="643">
        <v>0</v>
      </c>
      <c r="G263" s="643">
        <v>0</v>
      </c>
      <c r="H263" s="643">
        <v>0</v>
      </c>
      <c r="I263" s="26">
        <f t="shared" si="29"/>
        <v>0</v>
      </c>
      <c r="J263" s="1340" t="e">
        <f t="shared" si="26"/>
        <v>#DIV/0!</v>
      </c>
      <c r="K263" s="1340">
        <f t="shared" si="27"/>
        <v>0</v>
      </c>
    </row>
    <row r="264" spans="1:11" ht="15" x14ac:dyDescent="0.25">
      <c r="A264" s="1341"/>
      <c r="B264" s="1344">
        <v>20200</v>
      </c>
      <c r="C264" s="1352">
        <v>344903600000000</v>
      </c>
      <c r="D264" s="1344" t="s">
        <v>3631</v>
      </c>
      <c r="E264" s="1344">
        <v>1</v>
      </c>
      <c r="F264" s="643">
        <v>0</v>
      </c>
      <c r="G264" s="643">
        <v>0</v>
      </c>
      <c r="H264" s="643">
        <v>0</v>
      </c>
      <c r="I264" s="26">
        <f t="shared" si="29"/>
        <v>0</v>
      </c>
      <c r="J264" s="1340" t="e">
        <f t="shared" si="26"/>
        <v>#DIV/0!</v>
      </c>
      <c r="K264" s="1340">
        <f t="shared" si="27"/>
        <v>0</v>
      </c>
    </row>
    <row r="265" spans="1:11" ht="15" x14ac:dyDescent="0.25">
      <c r="A265" s="1341"/>
      <c r="B265" s="1344">
        <v>24200</v>
      </c>
      <c r="C265" s="1352">
        <v>344903600000000</v>
      </c>
      <c r="D265" s="1344" t="s">
        <v>3632</v>
      </c>
      <c r="E265" s="1344">
        <v>1</v>
      </c>
      <c r="F265" s="643">
        <v>0</v>
      </c>
      <c r="G265" s="643">
        <v>0</v>
      </c>
      <c r="H265" s="643">
        <v>0</v>
      </c>
      <c r="I265" s="26">
        <f t="shared" si="29"/>
        <v>0</v>
      </c>
      <c r="J265" s="1340" t="e">
        <f t="shared" si="26"/>
        <v>#DIV/0!</v>
      </c>
      <c r="K265" s="1340">
        <f t="shared" si="27"/>
        <v>0</v>
      </c>
    </row>
    <row r="266" spans="1:11" ht="15" x14ac:dyDescent="0.25">
      <c r="A266" s="1341"/>
      <c r="B266" s="1344">
        <v>16300</v>
      </c>
      <c r="C266" s="1352">
        <v>344903900000000</v>
      </c>
      <c r="D266" s="1344" t="s">
        <v>3633</v>
      </c>
      <c r="E266" s="1344">
        <v>1</v>
      </c>
      <c r="F266" s="643">
        <v>0</v>
      </c>
      <c r="G266" s="643">
        <v>0</v>
      </c>
      <c r="H266" s="643">
        <v>0</v>
      </c>
      <c r="I266" s="26">
        <f t="shared" si="29"/>
        <v>0</v>
      </c>
      <c r="J266" s="1340" t="e">
        <f t="shared" si="26"/>
        <v>#DIV/0!</v>
      </c>
      <c r="K266" s="1340">
        <f t="shared" si="27"/>
        <v>0</v>
      </c>
    </row>
    <row r="267" spans="1:11" ht="15" x14ac:dyDescent="0.25">
      <c r="A267" s="1341"/>
      <c r="B267" s="1344">
        <v>20300</v>
      </c>
      <c r="C267" s="1352">
        <v>344903900000000</v>
      </c>
      <c r="D267" s="1344" t="s">
        <v>3634</v>
      </c>
      <c r="E267" s="1344">
        <v>1</v>
      </c>
      <c r="F267" s="643">
        <v>0</v>
      </c>
      <c r="G267" s="643">
        <v>0</v>
      </c>
      <c r="H267" s="643">
        <v>0</v>
      </c>
      <c r="I267" s="26">
        <f t="shared" si="29"/>
        <v>0</v>
      </c>
      <c r="J267" s="1340" t="e">
        <f t="shared" si="26"/>
        <v>#DIV/0!</v>
      </c>
      <c r="K267" s="1340">
        <f t="shared" si="27"/>
        <v>0</v>
      </c>
    </row>
    <row r="268" spans="1:11" ht="15" x14ac:dyDescent="0.25">
      <c r="A268" s="1341"/>
      <c r="B268" s="1344">
        <v>20350</v>
      </c>
      <c r="C268" s="1352">
        <v>344903900000000</v>
      </c>
      <c r="D268" s="1344" t="s">
        <v>4241</v>
      </c>
      <c r="E268" s="1344">
        <v>1032</v>
      </c>
      <c r="F268" s="643">
        <v>0</v>
      </c>
      <c r="G268" s="643">
        <v>0</v>
      </c>
      <c r="H268" s="643">
        <v>0</v>
      </c>
      <c r="I268" s="26">
        <f t="shared" si="29"/>
        <v>0</v>
      </c>
      <c r="J268" s="1340" t="e">
        <f t="shared" si="26"/>
        <v>#DIV/0!</v>
      </c>
      <c r="K268" s="1340">
        <f t="shared" si="27"/>
        <v>0</v>
      </c>
    </row>
    <row r="269" spans="1:11" ht="15" x14ac:dyDescent="0.25">
      <c r="A269" s="1341"/>
      <c r="B269" s="1344">
        <v>24300</v>
      </c>
      <c r="C269" s="1352">
        <v>344903900000000</v>
      </c>
      <c r="D269" s="1344" t="s">
        <v>3635</v>
      </c>
      <c r="E269" s="1344">
        <v>1</v>
      </c>
      <c r="F269" s="643">
        <v>0</v>
      </c>
      <c r="G269" s="643">
        <v>0</v>
      </c>
      <c r="H269" s="643">
        <v>0</v>
      </c>
      <c r="I269" s="26">
        <f t="shared" si="29"/>
        <v>0</v>
      </c>
      <c r="J269" s="1340" t="e">
        <f t="shared" si="26"/>
        <v>#DIV/0!</v>
      </c>
      <c r="K269" s="1340">
        <f t="shared" si="27"/>
        <v>0</v>
      </c>
    </row>
    <row r="270" spans="1:11" ht="15" x14ac:dyDescent="0.25">
      <c r="A270" s="1341"/>
      <c r="B270" s="1344">
        <v>24350</v>
      </c>
      <c r="C270" s="1352">
        <v>344903900000000</v>
      </c>
      <c r="D270" s="1344" t="s">
        <v>4248</v>
      </c>
      <c r="E270" s="1344">
        <v>1166</v>
      </c>
      <c r="F270" s="643">
        <v>0</v>
      </c>
      <c r="G270" s="643">
        <v>0</v>
      </c>
      <c r="H270" s="643">
        <v>0</v>
      </c>
      <c r="I270" s="26">
        <f t="shared" si="29"/>
        <v>0</v>
      </c>
      <c r="J270" s="1340" t="e">
        <f t="shared" si="26"/>
        <v>#DIV/0!</v>
      </c>
      <c r="K270" s="1340">
        <f t="shared" si="27"/>
        <v>0</v>
      </c>
    </row>
    <row r="271" spans="1:11" ht="15" x14ac:dyDescent="0.25">
      <c r="A271" s="1341"/>
      <c r="B271" s="1344">
        <v>16400</v>
      </c>
      <c r="C271" s="1352">
        <v>344905100000000</v>
      </c>
      <c r="D271" s="1344" t="s">
        <v>3636</v>
      </c>
      <c r="E271" s="1344">
        <v>1</v>
      </c>
      <c r="F271" s="643">
        <v>0</v>
      </c>
      <c r="G271" s="643">
        <v>0</v>
      </c>
      <c r="H271" s="643">
        <v>0</v>
      </c>
      <c r="I271" s="26">
        <f t="shared" si="29"/>
        <v>0</v>
      </c>
      <c r="J271" s="1340" t="e">
        <f t="shared" si="26"/>
        <v>#DIV/0!</v>
      </c>
      <c r="K271" s="1340">
        <f t="shared" si="27"/>
        <v>0</v>
      </c>
    </row>
    <row r="272" spans="1:11" ht="15" x14ac:dyDescent="0.25">
      <c r="A272" s="1341"/>
      <c r="B272" s="1344">
        <v>20400</v>
      </c>
      <c r="C272" s="1352">
        <v>344905100000000</v>
      </c>
      <c r="D272" s="1344" t="s">
        <v>3637</v>
      </c>
      <c r="E272" s="1344">
        <v>1</v>
      </c>
      <c r="F272" s="643">
        <v>0</v>
      </c>
      <c r="G272" s="643">
        <v>0</v>
      </c>
      <c r="H272" s="643">
        <v>0</v>
      </c>
      <c r="I272" s="26">
        <f t="shared" si="29"/>
        <v>0</v>
      </c>
      <c r="J272" s="1340" t="e">
        <f t="shared" si="26"/>
        <v>#DIV/0!</v>
      </c>
      <c r="K272" s="1340">
        <f t="shared" si="27"/>
        <v>0</v>
      </c>
    </row>
    <row r="273" spans="1:11" ht="15" x14ac:dyDescent="0.25">
      <c r="A273" s="1341"/>
      <c r="B273" s="1344">
        <v>24400</v>
      </c>
      <c r="C273" s="1352">
        <v>344905100000000</v>
      </c>
      <c r="D273" s="1344" t="s">
        <v>3638</v>
      </c>
      <c r="E273" s="1344">
        <v>1</v>
      </c>
      <c r="F273" s="643">
        <v>0</v>
      </c>
      <c r="G273" s="643">
        <v>10549.86</v>
      </c>
      <c r="H273" s="643">
        <v>0</v>
      </c>
      <c r="I273" s="26">
        <f t="shared" si="29"/>
        <v>3516.6200000000003</v>
      </c>
      <c r="J273" s="1340" t="e">
        <f t="shared" si="26"/>
        <v>#DIV/0!</v>
      </c>
      <c r="K273" s="1340">
        <f t="shared" si="27"/>
        <v>3.3283552676643935E-3</v>
      </c>
    </row>
    <row r="274" spans="1:11" ht="15" x14ac:dyDescent="0.25">
      <c r="A274" s="1341"/>
      <c r="B274" s="1344">
        <v>16500</v>
      </c>
      <c r="C274" s="1352">
        <v>344905200000000</v>
      </c>
      <c r="D274" s="1344" t="s">
        <v>3643</v>
      </c>
      <c r="E274" s="1344">
        <v>1</v>
      </c>
      <c r="F274" s="643">
        <v>0</v>
      </c>
      <c r="G274" s="643">
        <v>0</v>
      </c>
      <c r="H274" s="643">
        <v>0</v>
      </c>
      <c r="I274" s="26">
        <f t="shared" si="29"/>
        <v>0</v>
      </c>
      <c r="J274" s="1340" t="e">
        <f t="shared" si="26"/>
        <v>#DIV/0!</v>
      </c>
      <c r="K274" s="1340">
        <f t="shared" si="27"/>
        <v>0</v>
      </c>
    </row>
    <row r="275" spans="1:11" ht="15" x14ac:dyDescent="0.25">
      <c r="A275" s="1341"/>
      <c r="B275" s="1344">
        <v>20500</v>
      </c>
      <c r="C275" s="1352">
        <v>344905200000000</v>
      </c>
      <c r="D275" s="1344" t="s">
        <v>3644</v>
      </c>
      <c r="E275" s="1344">
        <v>1</v>
      </c>
      <c r="F275" s="643">
        <v>0</v>
      </c>
      <c r="G275" s="643">
        <v>0</v>
      </c>
      <c r="H275" s="643">
        <v>0</v>
      </c>
      <c r="I275" s="26">
        <f t="shared" si="29"/>
        <v>0</v>
      </c>
      <c r="J275" s="1340" t="e">
        <f t="shared" si="26"/>
        <v>#DIV/0!</v>
      </c>
      <c r="K275" s="1340">
        <f t="shared" si="27"/>
        <v>0</v>
      </c>
    </row>
    <row r="276" spans="1:11" ht="15" x14ac:dyDescent="0.25">
      <c r="A276" s="1341"/>
      <c r="B276" s="1344">
        <v>20520</v>
      </c>
      <c r="C276" s="1352">
        <v>344905200000000</v>
      </c>
      <c r="D276" s="1344" t="s">
        <v>4242</v>
      </c>
      <c r="E276" s="1344">
        <v>1032</v>
      </c>
      <c r="F276" s="643">
        <v>0</v>
      </c>
      <c r="G276" s="643">
        <v>0</v>
      </c>
      <c r="H276" s="643">
        <v>0</v>
      </c>
      <c r="I276" s="26">
        <f t="shared" si="29"/>
        <v>0</v>
      </c>
      <c r="J276" s="1340" t="e">
        <f t="shared" si="26"/>
        <v>#DIV/0!</v>
      </c>
      <c r="K276" s="1340">
        <f t="shared" si="27"/>
        <v>0</v>
      </c>
    </row>
    <row r="277" spans="1:11" ht="30" x14ac:dyDescent="0.25">
      <c r="A277" s="1341"/>
      <c r="B277" s="1344">
        <v>20530</v>
      </c>
      <c r="C277" s="1352">
        <v>344905200000000</v>
      </c>
      <c r="D277" s="1344" t="s">
        <v>4244</v>
      </c>
      <c r="E277" s="1344">
        <v>1</v>
      </c>
      <c r="F277" s="643">
        <v>0</v>
      </c>
      <c r="G277" s="643">
        <v>0</v>
      </c>
      <c r="H277" s="643">
        <v>0</v>
      </c>
      <c r="I277" s="26">
        <f t="shared" si="29"/>
        <v>0</v>
      </c>
      <c r="J277" s="1340" t="e">
        <f t="shared" si="26"/>
        <v>#DIV/0!</v>
      </c>
      <c r="K277" s="1340">
        <f t="shared" si="27"/>
        <v>0</v>
      </c>
    </row>
    <row r="278" spans="1:11" ht="15" x14ac:dyDescent="0.25">
      <c r="A278" s="1341"/>
      <c r="B278" s="1344">
        <v>24500</v>
      </c>
      <c r="C278" s="1352">
        <v>344905200000000</v>
      </c>
      <c r="D278" s="1344" t="s">
        <v>3645</v>
      </c>
      <c r="E278" s="1344">
        <v>1</v>
      </c>
      <c r="F278" s="643">
        <v>0</v>
      </c>
      <c r="G278" s="643">
        <v>0</v>
      </c>
      <c r="H278" s="643">
        <v>0</v>
      </c>
      <c r="I278" s="26">
        <f t="shared" si="29"/>
        <v>0</v>
      </c>
      <c r="J278" s="1340" t="e">
        <f t="shared" si="26"/>
        <v>#DIV/0!</v>
      </c>
      <c r="K278" s="1340">
        <f t="shared" si="27"/>
        <v>0</v>
      </c>
    </row>
    <row r="279" spans="1:11" ht="15" x14ac:dyDescent="0.25">
      <c r="A279" s="1341"/>
      <c r="B279" s="1344">
        <v>24600</v>
      </c>
      <c r="C279" s="1352">
        <v>344905200000000</v>
      </c>
      <c r="D279" s="1344" t="s">
        <v>3646</v>
      </c>
      <c r="E279" s="1344">
        <v>1</v>
      </c>
      <c r="F279" s="643">
        <v>0</v>
      </c>
      <c r="G279" s="643">
        <v>0</v>
      </c>
      <c r="H279" s="643">
        <v>0</v>
      </c>
      <c r="I279" s="26">
        <f t="shared" si="29"/>
        <v>0</v>
      </c>
      <c r="J279" s="1340" t="e">
        <f t="shared" si="26"/>
        <v>#DIV/0!</v>
      </c>
      <c r="K279" s="1340">
        <f t="shared" si="27"/>
        <v>0</v>
      </c>
    </row>
    <row r="280" spans="1:11" ht="15" x14ac:dyDescent="0.25">
      <c r="A280" s="1341"/>
      <c r="B280" s="1344">
        <v>24700</v>
      </c>
      <c r="C280" s="1352">
        <v>344905200000000</v>
      </c>
      <c r="D280" s="1344" t="s">
        <v>3647</v>
      </c>
      <c r="E280" s="1344">
        <v>1166</v>
      </c>
      <c r="F280" s="643">
        <v>0</v>
      </c>
      <c r="G280" s="643">
        <v>0</v>
      </c>
      <c r="H280" s="643">
        <v>0</v>
      </c>
      <c r="I280" s="26">
        <f t="shared" si="29"/>
        <v>0</v>
      </c>
      <c r="J280" s="1340" t="e">
        <f t="shared" si="26"/>
        <v>#DIV/0!</v>
      </c>
      <c r="K280" s="1340">
        <f t="shared" si="27"/>
        <v>0</v>
      </c>
    </row>
    <row r="281" spans="1:11" s="12" customFormat="1" ht="15" x14ac:dyDescent="0.25">
      <c r="A281" s="1081"/>
      <c r="B281" s="1345" t="s">
        <v>2965</v>
      </c>
      <c r="C281" s="1343">
        <v>2</v>
      </c>
      <c r="D281" s="1345" t="s">
        <v>2966</v>
      </c>
      <c r="E281" s="1345"/>
      <c r="F281" s="642">
        <f>SUM(F282:F308)</f>
        <v>405249.09000000008</v>
      </c>
      <c r="G281" s="642">
        <f>SUM(G282:G308)</f>
        <v>14772.36</v>
      </c>
      <c r="H281" s="642">
        <f>SUM(H282:H308)</f>
        <v>0</v>
      </c>
      <c r="I281" s="642">
        <f>SUM(I282:I308)</f>
        <v>140007.15</v>
      </c>
      <c r="J281" s="1338">
        <f t="shared" si="26"/>
        <v>3.6452543298740037E-2</v>
      </c>
      <c r="K281" s="1338">
        <f t="shared" si="27"/>
        <v>0.13251176846323426</v>
      </c>
    </row>
    <row r="282" spans="1:11" ht="15" x14ac:dyDescent="0.25">
      <c r="A282" s="1341"/>
      <c r="B282" s="1344">
        <v>14000</v>
      </c>
      <c r="C282" s="1352">
        <v>331900400000000</v>
      </c>
      <c r="D282" s="1344" t="s">
        <v>5813</v>
      </c>
      <c r="E282" s="1344">
        <v>1</v>
      </c>
      <c r="F282" s="643">
        <v>0</v>
      </c>
      <c r="G282" s="643">
        <v>0</v>
      </c>
      <c r="H282" s="643">
        <v>0</v>
      </c>
      <c r="I282" s="26">
        <f t="shared" ref="I282:I308" si="30">(F282+G282+H282)/3</f>
        <v>0</v>
      </c>
      <c r="J282" s="1340" t="e">
        <f t="shared" si="26"/>
        <v>#DIV/0!</v>
      </c>
      <c r="K282" s="1340">
        <f t="shared" si="27"/>
        <v>0</v>
      </c>
    </row>
    <row r="283" spans="1:11" ht="15" x14ac:dyDescent="0.25">
      <c r="A283" s="1341"/>
      <c r="B283" s="1344">
        <v>14050</v>
      </c>
      <c r="C283" s="1352">
        <v>331900800000000</v>
      </c>
      <c r="D283" s="1344" t="s">
        <v>5814</v>
      </c>
      <c r="E283" s="1344">
        <v>1</v>
      </c>
      <c r="F283" s="643">
        <v>12620.39</v>
      </c>
      <c r="G283" s="643">
        <v>14772.36</v>
      </c>
      <c r="H283" s="643">
        <v>0</v>
      </c>
      <c r="I283" s="26">
        <f t="shared" si="30"/>
        <v>9130.9166666666661</v>
      </c>
      <c r="J283" s="1340">
        <f t="shared" si="26"/>
        <v>1.1705153327274356</v>
      </c>
      <c r="K283" s="1340">
        <f t="shared" si="27"/>
        <v>8.6420866019372572E-3</v>
      </c>
    </row>
    <row r="284" spans="1:11" ht="15" x14ac:dyDescent="0.25">
      <c r="A284" s="1341"/>
      <c r="B284" s="1344">
        <v>14100</v>
      </c>
      <c r="C284" s="1352">
        <v>331901100000000</v>
      </c>
      <c r="D284" s="1344" t="s">
        <v>5815</v>
      </c>
      <c r="E284" s="1344">
        <v>1</v>
      </c>
      <c r="F284" s="643">
        <v>272705.90000000002</v>
      </c>
      <c r="G284" s="643">
        <v>0</v>
      </c>
      <c r="H284" s="643">
        <v>0</v>
      </c>
      <c r="I284" s="26">
        <f t="shared" si="30"/>
        <v>90901.966666666674</v>
      </c>
      <c r="J284" s="1340" t="e">
        <f t="shared" si="26"/>
        <v>#DIV/0!</v>
      </c>
      <c r="K284" s="1340">
        <f t="shared" si="27"/>
        <v>8.6035465758612845E-2</v>
      </c>
    </row>
    <row r="285" spans="1:11" ht="15" x14ac:dyDescent="0.25">
      <c r="A285" s="1341"/>
      <c r="B285" s="1344">
        <v>14200</v>
      </c>
      <c r="C285" s="1352">
        <v>331901300000000</v>
      </c>
      <c r="D285" s="1344" t="s">
        <v>5816</v>
      </c>
      <c r="E285" s="1344">
        <v>1</v>
      </c>
      <c r="F285" s="643">
        <v>61259.98</v>
      </c>
      <c r="G285" s="643">
        <v>0</v>
      </c>
      <c r="H285" s="643">
        <v>0</v>
      </c>
      <c r="I285" s="26">
        <f t="shared" si="30"/>
        <v>20419.993333333336</v>
      </c>
      <c r="J285" s="1340" t="e">
        <f t="shared" si="26"/>
        <v>#DIV/0!</v>
      </c>
      <c r="K285" s="1340">
        <f t="shared" si="27"/>
        <v>1.9326794585901176E-2</v>
      </c>
    </row>
    <row r="286" spans="1:11" ht="15" x14ac:dyDescent="0.25">
      <c r="A286" s="1341"/>
      <c r="B286" s="1344">
        <v>14300</v>
      </c>
      <c r="C286" s="1352">
        <v>331901600000000</v>
      </c>
      <c r="D286" s="1344" t="s">
        <v>5817</v>
      </c>
      <c r="E286" s="1344">
        <v>1</v>
      </c>
      <c r="F286" s="643">
        <v>199.83</v>
      </c>
      <c r="G286" s="643">
        <v>0</v>
      </c>
      <c r="H286" s="643">
        <v>0</v>
      </c>
      <c r="I286" s="26">
        <f t="shared" si="30"/>
        <v>66.61</v>
      </c>
      <c r="J286" s="1340" t="e">
        <f t="shared" si="26"/>
        <v>#DIV/0!</v>
      </c>
      <c r="K286" s="1340">
        <f t="shared" si="27"/>
        <v>6.3043986663081382E-5</v>
      </c>
    </row>
    <row r="287" spans="1:11" ht="15" x14ac:dyDescent="0.25">
      <c r="A287" s="1341"/>
      <c r="B287" s="1344">
        <v>14350</v>
      </c>
      <c r="C287" s="1352">
        <v>331903400000000</v>
      </c>
      <c r="D287" s="1344" t="s">
        <v>5818</v>
      </c>
      <c r="E287" s="1344">
        <v>1</v>
      </c>
      <c r="F287" s="643">
        <v>0</v>
      </c>
      <c r="G287" s="643">
        <v>0</v>
      </c>
      <c r="H287" s="643">
        <v>0</v>
      </c>
      <c r="I287" s="26">
        <f t="shared" si="30"/>
        <v>0</v>
      </c>
      <c r="J287" s="1340" t="e">
        <f t="shared" si="26"/>
        <v>#DIV/0!</v>
      </c>
      <c r="K287" s="1340">
        <f t="shared" si="27"/>
        <v>0</v>
      </c>
    </row>
    <row r="288" spans="1:11" ht="15" x14ac:dyDescent="0.25">
      <c r="A288" s="1341"/>
      <c r="B288" s="1344">
        <v>14400</v>
      </c>
      <c r="C288" s="1352">
        <v>331909400000000</v>
      </c>
      <c r="D288" s="1344" t="s">
        <v>5819</v>
      </c>
      <c r="E288" s="1344">
        <v>1</v>
      </c>
      <c r="F288" s="643">
        <v>4614.82</v>
      </c>
      <c r="G288" s="643">
        <v>0</v>
      </c>
      <c r="H288" s="643">
        <v>0</v>
      </c>
      <c r="I288" s="26">
        <f t="shared" si="30"/>
        <v>1538.2733333333333</v>
      </c>
      <c r="J288" s="1340" t="e">
        <f t="shared" si="26"/>
        <v>#DIV/0!</v>
      </c>
      <c r="K288" s="1340">
        <f t="shared" si="27"/>
        <v>1.4559207853301365E-3</v>
      </c>
    </row>
    <row r="289" spans="1:11" ht="15" x14ac:dyDescent="0.25">
      <c r="A289" s="1341"/>
      <c r="B289" s="1344">
        <v>14500</v>
      </c>
      <c r="C289" s="1352">
        <v>333901400000000</v>
      </c>
      <c r="D289" s="1344" t="s">
        <v>5820</v>
      </c>
      <c r="E289" s="1344">
        <v>1</v>
      </c>
      <c r="F289" s="643">
        <v>10088.75</v>
      </c>
      <c r="G289" s="643">
        <v>0</v>
      </c>
      <c r="H289" s="643">
        <v>0</v>
      </c>
      <c r="I289" s="26">
        <f t="shared" si="30"/>
        <v>3362.9166666666665</v>
      </c>
      <c r="J289" s="1340" t="e">
        <f t="shared" si="26"/>
        <v>#DIV/0!</v>
      </c>
      <c r="K289" s="1340">
        <f t="shared" si="27"/>
        <v>3.1828805507039095E-3</v>
      </c>
    </row>
    <row r="290" spans="1:11" ht="15" x14ac:dyDescent="0.25">
      <c r="A290" s="1341"/>
      <c r="B290" s="1344">
        <v>15900</v>
      </c>
      <c r="C290" s="1352">
        <v>333901400000000</v>
      </c>
      <c r="D290" s="1344" t="s">
        <v>5834</v>
      </c>
      <c r="E290" s="1344">
        <v>1</v>
      </c>
      <c r="F290" s="643">
        <v>0</v>
      </c>
      <c r="G290" s="643">
        <v>0</v>
      </c>
      <c r="H290" s="643">
        <v>0</v>
      </c>
      <c r="I290" s="26">
        <f t="shared" si="30"/>
        <v>0</v>
      </c>
      <c r="J290" s="1340" t="e">
        <f t="shared" si="26"/>
        <v>#DIV/0!</v>
      </c>
      <c r="K290" s="1340">
        <f t="shared" si="27"/>
        <v>0</v>
      </c>
    </row>
    <row r="291" spans="1:11" ht="15" x14ac:dyDescent="0.25">
      <c r="A291" s="1341"/>
      <c r="B291" s="1344">
        <v>14600</v>
      </c>
      <c r="C291" s="1352">
        <v>333903000000000</v>
      </c>
      <c r="D291" s="1344" t="s">
        <v>5821</v>
      </c>
      <c r="E291" s="1344">
        <v>1</v>
      </c>
      <c r="F291" s="643">
        <v>5166.75</v>
      </c>
      <c r="G291" s="643">
        <v>0</v>
      </c>
      <c r="H291" s="643">
        <v>0</v>
      </c>
      <c r="I291" s="26">
        <f t="shared" si="30"/>
        <v>1722.25</v>
      </c>
      <c r="J291" s="1340" t="e">
        <f t="shared" si="26"/>
        <v>#DIV/0!</v>
      </c>
      <c r="K291" s="1340">
        <f t="shared" si="27"/>
        <v>1.6300481313690422E-3</v>
      </c>
    </row>
    <row r="292" spans="1:11" ht="15" x14ac:dyDescent="0.25">
      <c r="A292" s="1341"/>
      <c r="B292" s="1344">
        <v>14700</v>
      </c>
      <c r="C292" s="1352">
        <v>333903300000000</v>
      </c>
      <c r="D292" s="1344" t="s">
        <v>5822</v>
      </c>
      <c r="E292" s="1344">
        <v>1</v>
      </c>
      <c r="F292" s="643">
        <v>0</v>
      </c>
      <c r="G292" s="643">
        <v>0</v>
      </c>
      <c r="H292" s="643">
        <v>0</v>
      </c>
      <c r="I292" s="26">
        <f t="shared" si="30"/>
        <v>0</v>
      </c>
      <c r="J292" s="1340" t="e">
        <f t="shared" si="26"/>
        <v>#DIV/0!</v>
      </c>
      <c r="K292" s="1340">
        <f t="shared" si="27"/>
        <v>0</v>
      </c>
    </row>
    <row r="293" spans="1:11" ht="30" x14ac:dyDescent="0.25">
      <c r="A293" s="1341"/>
      <c r="B293" s="1344">
        <v>15920</v>
      </c>
      <c r="C293" s="1352">
        <v>333903300000000</v>
      </c>
      <c r="D293" s="1344" t="s">
        <v>7677</v>
      </c>
      <c r="E293" s="1344">
        <v>1</v>
      </c>
      <c r="F293" s="643">
        <v>0</v>
      </c>
      <c r="G293" s="643">
        <v>0</v>
      </c>
      <c r="H293" s="643">
        <v>0</v>
      </c>
      <c r="I293" s="26">
        <f t="shared" si="30"/>
        <v>0</v>
      </c>
      <c r="J293" s="1340" t="e">
        <f t="shared" si="26"/>
        <v>#DIV/0!</v>
      </c>
      <c r="K293" s="1340">
        <f t="shared" si="27"/>
        <v>0</v>
      </c>
    </row>
    <row r="294" spans="1:11" ht="15" x14ac:dyDescent="0.25">
      <c r="A294" s="1341"/>
      <c r="B294" s="1344">
        <v>14800</v>
      </c>
      <c r="C294" s="1352">
        <v>333903500000000</v>
      </c>
      <c r="D294" s="1344" t="s">
        <v>5823</v>
      </c>
      <c r="E294" s="1344">
        <v>1</v>
      </c>
      <c r="F294" s="643">
        <v>0</v>
      </c>
      <c r="G294" s="643">
        <v>0</v>
      </c>
      <c r="H294" s="643">
        <v>0</v>
      </c>
      <c r="I294" s="26">
        <f t="shared" si="30"/>
        <v>0</v>
      </c>
      <c r="J294" s="1340" t="e">
        <f t="shared" si="26"/>
        <v>#DIV/0!</v>
      </c>
      <c r="K294" s="1340">
        <f t="shared" si="27"/>
        <v>0</v>
      </c>
    </row>
    <row r="295" spans="1:11" ht="15" x14ac:dyDescent="0.25">
      <c r="A295" s="1341"/>
      <c r="B295" s="1344">
        <v>14900</v>
      </c>
      <c r="C295" s="1352">
        <v>333903600000000</v>
      </c>
      <c r="D295" s="1344" t="s">
        <v>5824</v>
      </c>
      <c r="E295" s="1344">
        <v>1</v>
      </c>
      <c r="F295" s="643">
        <v>22408.58</v>
      </c>
      <c r="G295" s="643">
        <v>0</v>
      </c>
      <c r="H295" s="643">
        <v>0</v>
      </c>
      <c r="I295" s="26">
        <f t="shared" si="30"/>
        <v>7469.5266666666676</v>
      </c>
      <c r="J295" s="1340" t="e">
        <f t="shared" si="26"/>
        <v>#DIV/0!</v>
      </c>
      <c r="K295" s="1340">
        <f t="shared" si="27"/>
        <v>7.0696402875373683E-3</v>
      </c>
    </row>
    <row r="296" spans="1:11" ht="15" x14ac:dyDescent="0.25">
      <c r="A296" s="1341"/>
      <c r="B296" s="1344">
        <v>15940</v>
      </c>
      <c r="C296" s="1352">
        <v>333903600000000</v>
      </c>
      <c r="D296" s="1344" t="s">
        <v>5841</v>
      </c>
      <c r="E296" s="1344">
        <v>1</v>
      </c>
      <c r="F296" s="643">
        <v>0</v>
      </c>
      <c r="G296" s="643">
        <v>0</v>
      </c>
      <c r="H296" s="643">
        <v>0</v>
      </c>
      <c r="I296" s="26">
        <f t="shared" si="30"/>
        <v>0</v>
      </c>
      <c r="J296" s="1340" t="e">
        <f t="shared" si="26"/>
        <v>#DIV/0!</v>
      </c>
      <c r="K296" s="1340">
        <f t="shared" si="27"/>
        <v>0</v>
      </c>
    </row>
    <row r="297" spans="1:11" ht="15" x14ac:dyDescent="0.25">
      <c r="A297" s="1341"/>
      <c r="B297" s="1344">
        <v>15000</v>
      </c>
      <c r="C297" s="1352">
        <v>333903900000000</v>
      </c>
      <c r="D297" s="1344" t="s">
        <v>5825</v>
      </c>
      <c r="E297" s="1344">
        <v>1</v>
      </c>
      <c r="F297" s="643">
        <v>10791.09</v>
      </c>
      <c r="G297" s="643">
        <v>0</v>
      </c>
      <c r="H297" s="643">
        <v>0</v>
      </c>
      <c r="I297" s="26">
        <f t="shared" si="30"/>
        <v>3597.03</v>
      </c>
      <c r="J297" s="1340" t="e">
        <f t="shared" si="26"/>
        <v>#DIV/0!</v>
      </c>
      <c r="K297" s="1340">
        <f t="shared" si="27"/>
        <v>3.4044604615929082E-3</v>
      </c>
    </row>
    <row r="298" spans="1:11" ht="15" x14ac:dyDescent="0.25">
      <c r="A298" s="1341"/>
      <c r="B298" s="1344">
        <v>15960</v>
      </c>
      <c r="C298" s="1352">
        <v>333903900000000</v>
      </c>
      <c r="D298" s="1344" t="s">
        <v>7676</v>
      </c>
      <c r="E298" s="1344">
        <v>1</v>
      </c>
      <c r="F298" s="643">
        <v>0</v>
      </c>
      <c r="G298" s="643">
        <v>0</v>
      </c>
      <c r="H298" s="643">
        <v>0</v>
      </c>
      <c r="I298" s="26">
        <f t="shared" si="30"/>
        <v>0</v>
      </c>
      <c r="J298" s="1340" t="e">
        <f t="shared" si="26"/>
        <v>#DIV/0!</v>
      </c>
      <c r="K298" s="1340">
        <f t="shared" si="27"/>
        <v>0</v>
      </c>
    </row>
    <row r="299" spans="1:11" ht="30" x14ac:dyDescent="0.25">
      <c r="A299" s="1341"/>
      <c r="B299" s="1344">
        <v>15850</v>
      </c>
      <c r="C299" s="1352">
        <v>333904000000000</v>
      </c>
      <c r="D299" s="1344" t="s">
        <v>7675</v>
      </c>
      <c r="E299" s="1344">
        <v>1</v>
      </c>
      <c r="F299" s="643">
        <v>0</v>
      </c>
      <c r="G299" s="643">
        <v>0</v>
      </c>
      <c r="H299" s="643">
        <v>0</v>
      </c>
      <c r="I299" s="26">
        <f t="shared" si="30"/>
        <v>0</v>
      </c>
      <c r="J299" s="1340" t="e">
        <f t="shared" si="26"/>
        <v>#DIV/0!</v>
      </c>
      <c r="K299" s="1340">
        <f t="shared" si="27"/>
        <v>0</v>
      </c>
    </row>
    <row r="300" spans="1:11" ht="15" x14ac:dyDescent="0.25">
      <c r="A300" s="1341"/>
      <c r="B300" s="1344">
        <v>15100</v>
      </c>
      <c r="C300" s="1352">
        <v>333904600000000</v>
      </c>
      <c r="D300" s="1344" t="s">
        <v>5826</v>
      </c>
      <c r="E300" s="1344">
        <v>1</v>
      </c>
      <c r="F300" s="643">
        <v>0</v>
      </c>
      <c r="G300" s="643">
        <v>0</v>
      </c>
      <c r="H300" s="643">
        <v>0</v>
      </c>
      <c r="I300" s="26">
        <f t="shared" si="30"/>
        <v>0</v>
      </c>
      <c r="J300" s="1340" t="e">
        <f t="shared" si="26"/>
        <v>#DIV/0!</v>
      </c>
      <c r="K300" s="1340">
        <f t="shared" si="27"/>
        <v>0</v>
      </c>
    </row>
    <row r="301" spans="1:11" ht="15" x14ac:dyDescent="0.25">
      <c r="A301" s="1341"/>
      <c r="B301" s="1344">
        <v>15200</v>
      </c>
      <c r="C301" s="1352">
        <v>333904700000000</v>
      </c>
      <c r="D301" s="1344" t="s">
        <v>7674</v>
      </c>
      <c r="E301" s="1344">
        <v>1</v>
      </c>
      <c r="F301" s="643">
        <v>416</v>
      </c>
      <c r="G301" s="643">
        <v>0</v>
      </c>
      <c r="H301" s="643">
        <v>0</v>
      </c>
      <c r="I301" s="26">
        <f t="shared" si="30"/>
        <v>138.66666666666666</v>
      </c>
      <c r="J301" s="1340" t="e">
        <f t="shared" si="26"/>
        <v>#DIV/0!</v>
      </c>
      <c r="K301" s="1340">
        <f t="shared" si="27"/>
        <v>1.3124304885073237E-4</v>
      </c>
    </row>
    <row r="302" spans="1:11" ht="15" x14ac:dyDescent="0.25">
      <c r="A302" s="1341"/>
      <c r="B302" s="1344">
        <v>15980</v>
      </c>
      <c r="C302" s="1352">
        <v>333904700000000</v>
      </c>
      <c r="D302" s="1344" t="s">
        <v>7673</v>
      </c>
      <c r="E302" s="1344">
        <v>1</v>
      </c>
      <c r="F302" s="643">
        <v>0</v>
      </c>
      <c r="G302" s="643">
        <v>0</v>
      </c>
      <c r="H302" s="643">
        <v>0</v>
      </c>
      <c r="I302" s="26">
        <f t="shared" si="30"/>
        <v>0</v>
      </c>
      <c r="J302" s="1340" t="e">
        <f t="shared" si="26"/>
        <v>#DIV/0!</v>
      </c>
      <c r="K302" s="1340">
        <f t="shared" si="27"/>
        <v>0</v>
      </c>
    </row>
    <row r="303" spans="1:11" ht="15" x14ac:dyDescent="0.25">
      <c r="A303" s="1341"/>
      <c r="B303" s="1344">
        <v>15300</v>
      </c>
      <c r="C303" s="1352">
        <v>333904900000000</v>
      </c>
      <c r="D303" s="1344" t="s">
        <v>5828</v>
      </c>
      <c r="E303" s="1344">
        <v>1</v>
      </c>
      <c r="F303" s="643">
        <v>4977</v>
      </c>
      <c r="G303" s="643">
        <v>0</v>
      </c>
      <c r="H303" s="643">
        <v>0</v>
      </c>
      <c r="I303" s="26">
        <f t="shared" si="30"/>
        <v>1659</v>
      </c>
      <c r="J303" s="1340" t="e">
        <f t="shared" si="26"/>
        <v>#DIV/0!</v>
      </c>
      <c r="K303" s="1340">
        <f t="shared" si="27"/>
        <v>1.5701842647358054E-3</v>
      </c>
    </row>
    <row r="304" spans="1:11" ht="15" x14ac:dyDescent="0.25">
      <c r="A304" s="1341"/>
      <c r="B304" s="1344">
        <v>15400</v>
      </c>
      <c r="C304" s="1352">
        <v>333909200000000</v>
      </c>
      <c r="D304" s="1344" t="s">
        <v>5829</v>
      </c>
      <c r="E304" s="1344">
        <v>1</v>
      </c>
      <c r="F304" s="643">
        <v>0</v>
      </c>
      <c r="G304" s="643">
        <v>0</v>
      </c>
      <c r="H304" s="643">
        <v>0</v>
      </c>
      <c r="I304" s="26">
        <f t="shared" si="30"/>
        <v>0</v>
      </c>
      <c r="J304" s="1340" t="e">
        <f t="shared" si="26"/>
        <v>#DIV/0!</v>
      </c>
      <c r="K304" s="1340">
        <f t="shared" si="27"/>
        <v>0</v>
      </c>
    </row>
    <row r="305" spans="1:11" ht="15" x14ac:dyDescent="0.25">
      <c r="A305" s="1341"/>
      <c r="B305" s="1344">
        <v>15500</v>
      </c>
      <c r="C305" s="1352">
        <v>333909300000000</v>
      </c>
      <c r="D305" s="1344" t="s">
        <v>5830</v>
      </c>
      <c r="E305" s="1344">
        <v>1</v>
      </c>
      <c r="F305" s="643">
        <v>0</v>
      </c>
      <c r="G305" s="643">
        <v>0</v>
      </c>
      <c r="H305" s="643">
        <v>0</v>
      </c>
      <c r="I305" s="26">
        <f t="shared" si="30"/>
        <v>0</v>
      </c>
      <c r="J305" s="1340" t="e">
        <f t="shared" si="26"/>
        <v>#DIV/0!</v>
      </c>
      <c r="K305" s="1340">
        <f t="shared" si="27"/>
        <v>0</v>
      </c>
    </row>
    <row r="306" spans="1:11" ht="15" x14ac:dyDescent="0.25">
      <c r="A306" s="1341"/>
      <c r="B306" s="1344">
        <v>15600</v>
      </c>
      <c r="C306" s="1352">
        <v>333933000000000</v>
      </c>
      <c r="D306" s="1344" t="s">
        <v>5831</v>
      </c>
      <c r="E306" s="1344">
        <v>1</v>
      </c>
      <c r="F306" s="643">
        <v>0</v>
      </c>
      <c r="G306" s="643">
        <v>0</v>
      </c>
      <c r="H306" s="643">
        <v>0</v>
      </c>
      <c r="I306" s="26">
        <f t="shared" si="30"/>
        <v>0</v>
      </c>
      <c r="J306" s="1340" t="e">
        <f t="shared" si="26"/>
        <v>#DIV/0!</v>
      </c>
      <c r="K306" s="1340">
        <f t="shared" si="27"/>
        <v>0</v>
      </c>
    </row>
    <row r="307" spans="1:11" ht="15" x14ac:dyDescent="0.25">
      <c r="A307" s="1341"/>
      <c r="B307" s="1344">
        <v>15700</v>
      </c>
      <c r="C307" s="1352">
        <v>344905100000000</v>
      </c>
      <c r="D307" s="1344" t="s">
        <v>5832</v>
      </c>
      <c r="E307" s="1344">
        <v>1</v>
      </c>
      <c r="F307" s="643">
        <v>0</v>
      </c>
      <c r="G307" s="643">
        <v>0</v>
      </c>
      <c r="H307" s="643">
        <v>0</v>
      </c>
      <c r="I307" s="26">
        <f t="shared" si="30"/>
        <v>0</v>
      </c>
      <c r="J307" s="1340" t="e">
        <f t="shared" si="26"/>
        <v>#DIV/0!</v>
      </c>
      <c r="K307" s="1340">
        <f t="shared" si="27"/>
        <v>0</v>
      </c>
    </row>
    <row r="308" spans="1:11" ht="15" x14ac:dyDescent="0.25">
      <c r="A308" s="1341"/>
      <c r="B308" s="1344">
        <v>15800</v>
      </c>
      <c r="C308" s="1352">
        <v>344905200000000</v>
      </c>
      <c r="D308" s="1344" t="s">
        <v>5833</v>
      </c>
      <c r="E308" s="1344">
        <v>1</v>
      </c>
      <c r="F308" s="643">
        <v>0</v>
      </c>
      <c r="G308" s="643">
        <v>0</v>
      </c>
      <c r="H308" s="643">
        <v>0</v>
      </c>
      <c r="I308" s="26">
        <f t="shared" si="30"/>
        <v>0</v>
      </c>
      <c r="J308" s="1340" t="e">
        <f t="shared" si="26"/>
        <v>#DIV/0!</v>
      </c>
      <c r="K308" s="1340">
        <f t="shared" si="27"/>
        <v>0</v>
      </c>
    </row>
    <row r="309" spans="1:11" s="12" customFormat="1" ht="15" x14ac:dyDescent="0.25">
      <c r="A309" s="1081"/>
      <c r="B309" s="1345" t="s">
        <v>2965</v>
      </c>
      <c r="C309" s="1343">
        <v>3</v>
      </c>
      <c r="D309" s="1345" t="s">
        <v>3744</v>
      </c>
      <c r="E309" s="1345"/>
      <c r="F309" s="642">
        <f>SUM(F310:F381)</f>
        <v>145227.94</v>
      </c>
      <c r="G309" s="642">
        <f>SUM(G310:G381)</f>
        <v>959004.81000000017</v>
      </c>
      <c r="H309" s="642">
        <f>SUM(H310:H381)</f>
        <v>0</v>
      </c>
      <c r="I309" s="642">
        <f>SUM(I310:I381)</f>
        <v>368077.58333333331</v>
      </c>
      <c r="J309" s="1338">
        <f t="shared" si="26"/>
        <v>6.603445659285673</v>
      </c>
      <c r="K309" s="1338">
        <f t="shared" si="27"/>
        <v>0.34837229026641481</v>
      </c>
    </row>
    <row r="310" spans="1:11" ht="15" x14ac:dyDescent="0.25">
      <c r="A310" s="1341"/>
      <c r="B310" s="1344">
        <v>18000</v>
      </c>
      <c r="C310" s="1352">
        <v>331900400000000</v>
      </c>
      <c r="D310" s="1344" t="s">
        <v>3745</v>
      </c>
      <c r="E310" s="1344">
        <v>1</v>
      </c>
      <c r="F310" s="643">
        <v>0</v>
      </c>
      <c r="G310" s="643">
        <v>0</v>
      </c>
      <c r="H310" s="643">
        <v>0</v>
      </c>
      <c r="I310" s="26">
        <f t="shared" ref="I310:I341" si="31">(F310+G310+H310)/3</f>
        <v>0</v>
      </c>
      <c r="J310" s="1340" t="e">
        <f t="shared" ref="J310:J373" si="32">(G310/F310)+(H310/G310)/2</f>
        <v>#DIV/0!</v>
      </c>
      <c r="K310" s="1340">
        <f t="shared" ref="K310:K373" si="33">I310/I$582</f>
        <v>0</v>
      </c>
    </row>
    <row r="311" spans="1:11" ht="15" x14ac:dyDescent="0.25">
      <c r="A311" s="1341"/>
      <c r="B311" s="1344">
        <v>21000</v>
      </c>
      <c r="C311" s="1352">
        <v>331900400000000</v>
      </c>
      <c r="D311" s="1344" t="s">
        <v>3746</v>
      </c>
      <c r="E311" s="1344">
        <v>1</v>
      </c>
      <c r="F311" s="643">
        <v>0</v>
      </c>
      <c r="G311" s="643">
        <v>0</v>
      </c>
      <c r="H311" s="643">
        <v>0</v>
      </c>
      <c r="I311" s="26">
        <f t="shared" si="31"/>
        <v>0</v>
      </c>
      <c r="J311" s="1340" t="e">
        <f t="shared" si="32"/>
        <v>#DIV/0!</v>
      </c>
      <c r="K311" s="1340">
        <f t="shared" si="33"/>
        <v>0</v>
      </c>
    </row>
    <row r="312" spans="1:11" ht="15" x14ac:dyDescent="0.25">
      <c r="A312" s="1341"/>
      <c r="B312" s="1344">
        <v>25000</v>
      </c>
      <c r="C312" s="1352">
        <v>331900400000000</v>
      </c>
      <c r="D312" s="1344" t="s">
        <v>3747</v>
      </c>
      <c r="E312" s="1344">
        <v>1</v>
      </c>
      <c r="F312" s="643">
        <v>0</v>
      </c>
      <c r="G312" s="643">
        <v>140924.53</v>
      </c>
      <c r="H312" s="643">
        <v>0</v>
      </c>
      <c r="I312" s="26">
        <f t="shared" si="31"/>
        <v>46974.843333333331</v>
      </c>
      <c r="J312" s="1340" t="e">
        <f t="shared" si="32"/>
        <v>#DIV/0!</v>
      </c>
      <c r="K312" s="1340">
        <f t="shared" si="33"/>
        <v>4.4460011959270435E-2</v>
      </c>
    </row>
    <row r="313" spans="1:11" ht="15" x14ac:dyDescent="0.25">
      <c r="A313" s="1341"/>
      <c r="B313" s="1344">
        <v>18050</v>
      </c>
      <c r="C313" s="1352">
        <v>331900800000000</v>
      </c>
      <c r="D313" s="1344" t="s">
        <v>4261</v>
      </c>
      <c r="E313" s="1344">
        <v>1</v>
      </c>
      <c r="F313" s="643">
        <v>0</v>
      </c>
      <c r="G313" s="643">
        <v>0</v>
      </c>
      <c r="H313" s="643">
        <v>0</v>
      </c>
      <c r="I313" s="26">
        <f t="shared" si="31"/>
        <v>0</v>
      </c>
      <c r="J313" s="1340" t="e">
        <f t="shared" si="32"/>
        <v>#DIV/0!</v>
      </c>
      <c r="K313" s="1340">
        <f t="shared" si="33"/>
        <v>0</v>
      </c>
    </row>
    <row r="314" spans="1:11" ht="15" x14ac:dyDescent="0.25">
      <c r="A314" s="1341"/>
      <c r="B314" s="1344">
        <v>21050</v>
      </c>
      <c r="C314" s="1352">
        <v>331900800000000</v>
      </c>
      <c r="D314" s="1344" t="s">
        <v>4261</v>
      </c>
      <c r="E314" s="1344">
        <v>1</v>
      </c>
      <c r="F314" s="643">
        <v>0</v>
      </c>
      <c r="G314" s="643">
        <v>0</v>
      </c>
      <c r="H314" s="643">
        <v>0</v>
      </c>
      <c r="I314" s="26">
        <f t="shared" si="31"/>
        <v>0</v>
      </c>
      <c r="J314" s="1340" t="e">
        <f t="shared" si="32"/>
        <v>#DIV/0!</v>
      </c>
      <c r="K314" s="1340">
        <f t="shared" si="33"/>
        <v>0</v>
      </c>
    </row>
    <row r="315" spans="1:11" ht="15" x14ac:dyDescent="0.25">
      <c r="A315" s="1341"/>
      <c r="B315" s="1344">
        <v>25050</v>
      </c>
      <c r="C315" s="1352">
        <v>331900800000000</v>
      </c>
      <c r="D315" s="1344" t="s">
        <v>7672</v>
      </c>
      <c r="E315" s="1344">
        <v>1</v>
      </c>
      <c r="F315" s="643">
        <v>0</v>
      </c>
      <c r="G315" s="643">
        <v>0</v>
      </c>
      <c r="H315" s="643">
        <v>0</v>
      </c>
      <c r="I315" s="26">
        <f t="shared" si="31"/>
        <v>0</v>
      </c>
      <c r="J315" s="1340" t="e">
        <f t="shared" si="32"/>
        <v>#DIV/0!</v>
      </c>
      <c r="K315" s="1340">
        <f t="shared" si="33"/>
        <v>0</v>
      </c>
    </row>
    <row r="316" spans="1:11" ht="15" x14ac:dyDescent="0.25">
      <c r="A316" s="1341"/>
      <c r="B316" s="1344">
        <v>18100</v>
      </c>
      <c r="C316" s="1352">
        <v>331901100000000</v>
      </c>
      <c r="D316" s="1344" t="s">
        <v>3752</v>
      </c>
      <c r="E316" s="1344">
        <v>1</v>
      </c>
      <c r="F316" s="643">
        <v>0</v>
      </c>
      <c r="G316" s="643">
        <v>0</v>
      </c>
      <c r="H316" s="643">
        <v>0</v>
      </c>
      <c r="I316" s="26">
        <f t="shared" si="31"/>
        <v>0</v>
      </c>
      <c r="J316" s="1340" t="e">
        <f t="shared" si="32"/>
        <v>#DIV/0!</v>
      </c>
      <c r="K316" s="1340">
        <f t="shared" si="33"/>
        <v>0</v>
      </c>
    </row>
    <row r="317" spans="1:11" ht="15" x14ac:dyDescent="0.25">
      <c r="A317" s="1341"/>
      <c r="B317" s="1344">
        <v>21100</v>
      </c>
      <c r="C317" s="1352">
        <v>331901100000000</v>
      </c>
      <c r="D317" s="1344" t="s">
        <v>3753</v>
      </c>
      <c r="E317" s="1344">
        <v>1</v>
      </c>
      <c r="F317" s="643">
        <v>0</v>
      </c>
      <c r="G317" s="643">
        <v>0</v>
      </c>
      <c r="H317" s="643">
        <v>0</v>
      </c>
      <c r="I317" s="26">
        <f t="shared" si="31"/>
        <v>0</v>
      </c>
      <c r="J317" s="1340" t="e">
        <f t="shared" si="32"/>
        <v>#DIV/0!</v>
      </c>
      <c r="K317" s="1340">
        <f t="shared" si="33"/>
        <v>0</v>
      </c>
    </row>
    <row r="318" spans="1:11" ht="15" x14ac:dyDescent="0.25">
      <c r="A318" s="1341"/>
      <c r="B318" s="1344">
        <v>25100</v>
      </c>
      <c r="C318" s="1352">
        <v>331901100000000</v>
      </c>
      <c r="D318" s="1344" t="s">
        <v>3754</v>
      </c>
      <c r="E318" s="1344">
        <v>1</v>
      </c>
      <c r="F318" s="643">
        <v>0</v>
      </c>
      <c r="G318" s="643">
        <v>156623.85999999999</v>
      </c>
      <c r="H318" s="643">
        <v>0</v>
      </c>
      <c r="I318" s="26">
        <f t="shared" si="31"/>
        <v>52207.953333333331</v>
      </c>
      <c r="J318" s="1340" t="e">
        <f t="shared" si="32"/>
        <v>#DIV/0!</v>
      </c>
      <c r="K318" s="1340">
        <f t="shared" si="33"/>
        <v>4.9412963723966995E-2</v>
      </c>
    </row>
    <row r="319" spans="1:11" ht="15" x14ac:dyDescent="0.25">
      <c r="A319" s="1341"/>
      <c r="B319" s="1344">
        <v>18200</v>
      </c>
      <c r="C319" s="1352">
        <v>331901300000000</v>
      </c>
      <c r="D319" s="1344" t="s">
        <v>3765</v>
      </c>
      <c r="E319" s="1344">
        <v>1</v>
      </c>
      <c r="F319" s="643">
        <v>0</v>
      </c>
      <c r="G319" s="643">
        <v>0</v>
      </c>
      <c r="H319" s="643">
        <v>0</v>
      </c>
      <c r="I319" s="26">
        <f t="shared" si="31"/>
        <v>0</v>
      </c>
      <c r="J319" s="1340" t="e">
        <f t="shared" si="32"/>
        <v>#DIV/0!</v>
      </c>
      <c r="K319" s="1340">
        <f t="shared" si="33"/>
        <v>0</v>
      </c>
    </row>
    <row r="320" spans="1:11" ht="15" x14ac:dyDescent="0.25">
      <c r="A320" s="1341"/>
      <c r="B320" s="1344">
        <v>21200</v>
      </c>
      <c r="C320" s="1352">
        <v>331901300000000</v>
      </c>
      <c r="D320" s="1344" t="s">
        <v>3766</v>
      </c>
      <c r="E320" s="1344">
        <v>1</v>
      </c>
      <c r="F320" s="643">
        <v>0</v>
      </c>
      <c r="G320" s="643">
        <v>0</v>
      </c>
      <c r="H320" s="643">
        <v>0</v>
      </c>
      <c r="I320" s="26">
        <f t="shared" si="31"/>
        <v>0</v>
      </c>
      <c r="J320" s="1340" t="e">
        <f t="shared" si="32"/>
        <v>#DIV/0!</v>
      </c>
      <c r="K320" s="1340">
        <f t="shared" si="33"/>
        <v>0</v>
      </c>
    </row>
    <row r="321" spans="1:11" ht="15" x14ac:dyDescent="0.25">
      <c r="A321" s="1341"/>
      <c r="B321" s="1344">
        <v>25200</v>
      </c>
      <c r="C321" s="1352">
        <v>331901300000000</v>
      </c>
      <c r="D321" s="1344" t="s">
        <v>3767</v>
      </c>
      <c r="E321" s="1344">
        <v>1</v>
      </c>
      <c r="F321" s="643">
        <v>0</v>
      </c>
      <c r="G321" s="643">
        <v>39688.19</v>
      </c>
      <c r="H321" s="643">
        <v>0</v>
      </c>
      <c r="I321" s="26">
        <f t="shared" si="31"/>
        <v>13229.396666666667</v>
      </c>
      <c r="J321" s="1340" t="e">
        <f t="shared" si="32"/>
        <v>#DIV/0!</v>
      </c>
      <c r="K321" s="1340">
        <f t="shared" si="33"/>
        <v>1.2521151584055647E-2</v>
      </c>
    </row>
    <row r="322" spans="1:11" ht="15" x14ac:dyDescent="0.25">
      <c r="A322" s="1341"/>
      <c r="B322" s="1344">
        <v>18300</v>
      </c>
      <c r="C322" s="1352">
        <v>331901600000000</v>
      </c>
      <c r="D322" s="1344" t="s">
        <v>3770</v>
      </c>
      <c r="E322" s="1344">
        <v>1</v>
      </c>
      <c r="F322" s="643">
        <v>0</v>
      </c>
      <c r="G322" s="643">
        <v>0</v>
      </c>
      <c r="H322" s="643">
        <v>0</v>
      </c>
      <c r="I322" s="26">
        <f t="shared" si="31"/>
        <v>0</v>
      </c>
      <c r="J322" s="1340" t="e">
        <f t="shared" si="32"/>
        <v>#DIV/0!</v>
      </c>
      <c r="K322" s="1340">
        <f t="shared" si="33"/>
        <v>0</v>
      </c>
    </row>
    <row r="323" spans="1:11" ht="15" x14ac:dyDescent="0.25">
      <c r="A323" s="1341"/>
      <c r="B323" s="1344">
        <v>21300</v>
      </c>
      <c r="C323" s="1352">
        <v>331901600000000</v>
      </c>
      <c r="D323" s="1344" t="s">
        <v>3771</v>
      </c>
      <c r="E323" s="1344">
        <v>1</v>
      </c>
      <c r="F323" s="643">
        <v>0</v>
      </c>
      <c r="G323" s="643">
        <v>0</v>
      </c>
      <c r="H323" s="643">
        <v>0</v>
      </c>
      <c r="I323" s="26">
        <f t="shared" si="31"/>
        <v>0</v>
      </c>
      <c r="J323" s="1340" t="e">
        <f t="shared" si="32"/>
        <v>#DIV/0!</v>
      </c>
      <c r="K323" s="1340">
        <f t="shared" si="33"/>
        <v>0</v>
      </c>
    </row>
    <row r="324" spans="1:11" ht="15" x14ac:dyDescent="0.25">
      <c r="A324" s="1341"/>
      <c r="B324" s="1344">
        <v>25300</v>
      </c>
      <c r="C324" s="1352">
        <v>331901600000000</v>
      </c>
      <c r="D324" s="1344" t="s">
        <v>3772</v>
      </c>
      <c r="E324" s="1344">
        <v>1</v>
      </c>
      <c r="F324" s="643">
        <v>0</v>
      </c>
      <c r="G324" s="643">
        <v>55583.55</v>
      </c>
      <c r="H324" s="643">
        <v>0</v>
      </c>
      <c r="I324" s="26">
        <f t="shared" si="31"/>
        <v>18527.850000000002</v>
      </c>
      <c r="J324" s="1340" t="e">
        <f t="shared" si="32"/>
        <v>#DIV/0!</v>
      </c>
      <c r="K324" s="1340">
        <f t="shared" si="33"/>
        <v>1.7535948480642133E-2</v>
      </c>
    </row>
    <row r="325" spans="1:11" ht="15" x14ac:dyDescent="0.25">
      <c r="A325" s="1341"/>
      <c r="B325" s="1344">
        <v>18350</v>
      </c>
      <c r="C325" s="1352">
        <v>331903400000000</v>
      </c>
      <c r="D325" s="1344" t="s">
        <v>2988</v>
      </c>
      <c r="E325" s="1344">
        <v>1</v>
      </c>
      <c r="F325" s="643">
        <v>0</v>
      </c>
      <c r="G325" s="643">
        <v>0</v>
      </c>
      <c r="H325" s="643">
        <v>0</v>
      </c>
      <c r="I325" s="26">
        <f t="shared" si="31"/>
        <v>0</v>
      </c>
      <c r="J325" s="1340" t="e">
        <f t="shared" si="32"/>
        <v>#DIV/0!</v>
      </c>
      <c r="K325" s="1340">
        <f t="shared" si="33"/>
        <v>0</v>
      </c>
    </row>
    <row r="326" spans="1:11" ht="15" x14ac:dyDescent="0.25">
      <c r="A326" s="1341"/>
      <c r="B326" s="1344">
        <v>21350</v>
      </c>
      <c r="C326" s="1352">
        <v>331903400000000</v>
      </c>
      <c r="D326" s="1344" t="s">
        <v>2988</v>
      </c>
      <c r="E326" s="1344">
        <v>1</v>
      </c>
      <c r="F326" s="643">
        <v>0</v>
      </c>
      <c r="G326" s="643">
        <v>0</v>
      </c>
      <c r="H326" s="643">
        <v>0</v>
      </c>
      <c r="I326" s="26">
        <f t="shared" si="31"/>
        <v>0</v>
      </c>
      <c r="J326" s="1340" t="e">
        <f t="shared" si="32"/>
        <v>#DIV/0!</v>
      </c>
      <c r="K326" s="1340">
        <f t="shared" si="33"/>
        <v>0</v>
      </c>
    </row>
    <row r="327" spans="1:11" ht="15" x14ac:dyDescent="0.25">
      <c r="A327" s="1341"/>
      <c r="B327" s="1344">
        <v>25350</v>
      </c>
      <c r="C327" s="1352">
        <v>331903400000000</v>
      </c>
      <c r="D327" s="1344" t="s">
        <v>3775</v>
      </c>
      <c r="E327" s="1344">
        <v>1</v>
      </c>
      <c r="F327" s="643">
        <v>0</v>
      </c>
      <c r="G327" s="643">
        <v>0</v>
      </c>
      <c r="H327" s="643">
        <v>0</v>
      </c>
      <c r="I327" s="26">
        <f t="shared" si="31"/>
        <v>0</v>
      </c>
      <c r="J327" s="1340" t="e">
        <f t="shared" si="32"/>
        <v>#DIV/0!</v>
      </c>
      <c r="K327" s="1340">
        <f t="shared" si="33"/>
        <v>0</v>
      </c>
    </row>
    <row r="328" spans="1:11" ht="15" x14ac:dyDescent="0.25">
      <c r="A328" s="1341"/>
      <c r="B328" s="1344">
        <v>18400</v>
      </c>
      <c r="C328" s="1352">
        <v>331909400000000</v>
      </c>
      <c r="D328" s="1344" t="s">
        <v>3776</v>
      </c>
      <c r="E328" s="1344">
        <v>1</v>
      </c>
      <c r="F328" s="643">
        <v>0</v>
      </c>
      <c r="G328" s="643">
        <v>0</v>
      </c>
      <c r="H328" s="643">
        <v>0</v>
      </c>
      <c r="I328" s="26">
        <f t="shared" si="31"/>
        <v>0</v>
      </c>
      <c r="J328" s="1340" t="e">
        <f t="shared" si="32"/>
        <v>#DIV/0!</v>
      </c>
      <c r="K328" s="1340">
        <f t="shared" si="33"/>
        <v>0</v>
      </c>
    </row>
    <row r="329" spans="1:11" ht="15" x14ac:dyDescent="0.25">
      <c r="A329" s="1341"/>
      <c r="B329" s="1344">
        <v>21400</v>
      </c>
      <c r="C329" s="1352">
        <v>331909400000000</v>
      </c>
      <c r="D329" s="1344" t="s">
        <v>3777</v>
      </c>
      <c r="E329" s="1344">
        <v>1</v>
      </c>
      <c r="F329" s="643">
        <v>0</v>
      </c>
      <c r="G329" s="643">
        <v>0</v>
      </c>
      <c r="H329" s="643">
        <v>0</v>
      </c>
      <c r="I329" s="26">
        <f t="shared" si="31"/>
        <v>0</v>
      </c>
      <c r="J329" s="1340" t="e">
        <f t="shared" si="32"/>
        <v>#DIV/0!</v>
      </c>
      <c r="K329" s="1340">
        <f t="shared" si="33"/>
        <v>0</v>
      </c>
    </row>
    <row r="330" spans="1:11" ht="15" x14ac:dyDescent="0.25">
      <c r="A330" s="1341"/>
      <c r="B330" s="1344">
        <v>25400</v>
      </c>
      <c r="C330" s="1352">
        <v>331909400000000</v>
      </c>
      <c r="D330" s="1344" t="s">
        <v>3778</v>
      </c>
      <c r="E330" s="1344">
        <v>1</v>
      </c>
      <c r="F330" s="643">
        <v>0</v>
      </c>
      <c r="G330" s="643">
        <v>12077.16</v>
      </c>
      <c r="H330" s="643">
        <v>0</v>
      </c>
      <c r="I330" s="26">
        <f t="shared" si="31"/>
        <v>4025.72</v>
      </c>
      <c r="J330" s="1340" t="e">
        <f t="shared" si="32"/>
        <v>#DIV/0!</v>
      </c>
      <c r="K330" s="1340">
        <f t="shared" si="33"/>
        <v>3.8102002400435364E-3</v>
      </c>
    </row>
    <row r="331" spans="1:11" ht="15" x14ac:dyDescent="0.25">
      <c r="A331" s="1341"/>
      <c r="B331" s="1344">
        <v>18500</v>
      </c>
      <c r="C331" s="1352">
        <v>333901400000000</v>
      </c>
      <c r="D331" s="1344" t="s">
        <v>3783</v>
      </c>
      <c r="E331" s="1344">
        <v>1</v>
      </c>
      <c r="F331" s="643">
        <v>0</v>
      </c>
      <c r="G331" s="643">
        <v>0</v>
      </c>
      <c r="H331" s="643">
        <v>0</v>
      </c>
      <c r="I331" s="26">
        <f t="shared" si="31"/>
        <v>0</v>
      </c>
      <c r="J331" s="1340" t="e">
        <f t="shared" si="32"/>
        <v>#DIV/0!</v>
      </c>
      <c r="K331" s="1340">
        <f t="shared" si="33"/>
        <v>0</v>
      </c>
    </row>
    <row r="332" spans="1:11" ht="15" x14ac:dyDescent="0.25">
      <c r="A332" s="1341"/>
      <c r="B332" s="1344">
        <v>21500</v>
      </c>
      <c r="C332" s="1352">
        <v>333901400000000</v>
      </c>
      <c r="D332" s="1344" t="s">
        <v>3784</v>
      </c>
      <c r="E332" s="1344">
        <v>1</v>
      </c>
      <c r="F332" s="643">
        <v>7800</v>
      </c>
      <c r="G332" s="643">
        <v>0</v>
      </c>
      <c r="H332" s="643">
        <v>0</v>
      </c>
      <c r="I332" s="26">
        <f t="shared" si="31"/>
        <v>2600</v>
      </c>
      <c r="J332" s="1340" t="e">
        <f t="shared" si="32"/>
        <v>#DIV/0!</v>
      </c>
      <c r="K332" s="1340">
        <f t="shared" si="33"/>
        <v>2.4608071659512321E-3</v>
      </c>
    </row>
    <row r="333" spans="1:11" ht="15" x14ac:dyDescent="0.25">
      <c r="A333" s="1341"/>
      <c r="B333" s="1344">
        <v>25500</v>
      </c>
      <c r="C333" s="1352">
        <v>333901400000000</v>
      </c>
      <c r="D333" s="1344" t="s">
        <v>3787</v>
      </c>
      <c r="E333" s="1344">
        <v>1</v>
      </c>
      <c r="F333" s="643">
        <v>0</v>
      </c>
      <c r="G333" s="643">
        <v>12053.07</v>
      </c>
      <c r="H333" s="643">
        <v>0</v>
      </c>
      <c r="I333" s="26">
        <f t="shared" si="31"/>
        <v>4017.69</v>
      </c>
      <c r="J333" s="1340" t="e">
        <f t="shared" si="32"/>
        <v>#DIV/0!</v>
      </c>
      <c r="K333" s="1340">
        <f t="shared" si="33"/>
        <v>3.8026001317579255E-3</v>
      </c>
    </row>
    <row r="334" spans="1:11" ht="15" x14ac:dyDescent="0.25">
      <c r="A334" s="1341"/>
      <c r="B334" s="1344">
        <v>27000</v>
      </c>
      <c r="C334" s="1352">
        <v>333901400000000</v>
      </c>
      <c r="D334" s="1344" t="s">
        <v>5838</v>
      </c>
      <c r="E334" s="1344">
        <v>1</v>
      </c>
      <c r="F334" s="643">
        <v>0</v>
      </c>
      <c r="G334" s="643">
        <v>0</v>
      </c>
      <c r="H334" s="643">
        <v>0</v>
      </c>
      <c r="I334" s="26">
        <f t="shared" si="31"/>
        <v>0</v>
      </c>
      <c r="J334" s="1340" t="e">
        <f t="shared" si="32"/>
        <v>#DIV/0!</v>
      </c>
      <c r="K334" s="1340">
        <f t="shared" si="33"/>
        <v>0</v>
      </c>
    </row>
    <row r="335" spans="1:11" ht="15" x14ac:dyDescent="0.25">
      <c r="A335" s="1341"/>
      <c r="B335" s="1344">
        <v>18600</v>
      </c>
      <c r="C335" s="1352">
        <v>333903000000000</v>
      </c>
      <c r="D335" s="1344" t="s">
        <v>3792</v>
      </c>
      <c r="E335" s="1344">
        <v>1</v>
      </c>
      <c r="F335" s="643">
        <v>6765.99</v>
      </c>
      <c r="G335" s="643">
        <v>0</v>
      </c>
      <c r="H335" s="643">
        <v>0</v>
      </c>
      <c r="I335" s="26">
        <f t="shared" si="31"/>
        <v>2255.33</v>
      </c>
      <c r="J335" s="1340" t="e">
        <f t="shared" si="32"/>
        <v>#DIV/0!</v>
      </c>
      <c r="K335" s="1340">
        <f t="shared" si="33"/>
        <v>2.1345893175326123E-3</v>
      </c>
    </row>
    <row r="336" spans="1:11" ht="15" x14ac:dyDescent="0.25">
      <c r="A336" s="1341"/>
      <c r="B336" s="1344">
        <v>21600</v>
      </c>
      <c r="C336" s="1352">
        <v>333903000000000</v>
      </c>
      <c r="D336" s="1344" t="s">
        <v>3628</v>
      </c>
      <c r="E336" s="1344">
        <v>1</v>
      </c>
      <c r="F336" s="643">
        <v>9714.26</v>
      </c>
      <c r="G336" s="643">
        <v>0</v>
      </c>
      <c r="H336" s="643">
        <v>0</v>
      </c>
      <c r="I336" s="26">
        <f t="shared" si="31"/>
        <v>3238.0866666666666</v>
      </c>
      <c r="J336" s="1340" t="e">
        <f t="shared" si="32"/>
        <v>#DIV/0!</v>
      </c>
      <c r="K336" s="1340">
        <f t="shared" si="33"/>
        <v>3.0647334128094126E-3</v>
      </c>
    </row>
    <row r="337" spans="1:11" ht="15" x14ac:dyDescent="0.25">
      <c r="A337" s="1341"/>
      <c r="B337" s="1344">
        <v>25600</v>
      </c>
      <c r="C337" s="1352">
        <v>333903000000000</v>
      </c>
      <c r="D337" s="1344" t="s">
        <v>3807</v>
      </c>
      <c r="E337" s="1344">
        <v>1</v>
      </c>
      <c r="F337" s="643">
        <v>0</v>
      </c>
      <c r="G337" s="643">
        <f>430690.28-18996.33</f>
        <v>411693.95</v>
      </c>
      <c r="H337" s="643">
        <v>0</v>
      </c>
      <c r="I337" s="26">
        <f t="shared" si="31"/>
        <v>137231.31666666668</v>
      </c>
      <c r="J337" s="1340" t="e">
        <f t="shared" si="32"/>
        <v>#DIV/0!</v>
      </c>
      <c r="K337" s="1340">
        <f t="shared" si="33"/>
        <v>0.12988454132548313</v>
      </c>
    </row>
    <row r="338" spans="1:11" ht="15" x14ac:dyDescent="0.25">
      <c r="A338" s="1341"/>
      <c r="B338" s="1344">
        <v>25700</v>
      </c>
      <c r="C338" s="1352">
        <v>333903000000000</v>
      </c>
      <c r="D338" s="1344" t="s">
        <v>3916</v>
      </c>
      <c r="E338" s="1344">
        <v>1048</v>
      </c>
      <c r="F338" s="643">
        <v>0</v>
      </c>
      <c r="G338" s="643">
        <v>18996.330000000002</v>
      </c>
      <c r="H338" s="643">
        <v>0</v>
      </c>
      <c r="I338" s="26">
        <f t="shared" si="31"/>
        <v>6332.1100000000006</v>
      </c>
      <c r="J338" s="1340" t="e">
        <f t="shared" si="32"/>
        <v>#DIV/0!</v>
      </c>
      <c r="K338" s="1340">
        <f t="shared" si="33"/>
        <v>5.9931160244582537E-3</v>
      </c>
    </row>
    <row r="339" spans="1:11" ht="15" x14ac:dyDescent="0.25">
      <c r="A339" s="1341"/>
      <c r="B339" s="1344">
        <v>18700</v>
      </c>
      <c r="C339" s="1352">
        <v>333903300000000</v>
      </c>
      <c r="D339" s="1344" t="s">
        <v>3945</v>
      </c>
      <c r="E339" s="1344">
        <v>1</v>
      </c>
      <c r="F339" s="643">
        <v>0</v>
      </c>
      <c r="G339" s="643">
        <v>0</v>
      </c>
      <c r="H339" s="643">
        <v>0</v>
      </c>
      <c r="I339" s="26">
        <f t="shared" si="31"/>
        <v>0</v>
      </c>
      <c r="J339" s="1340" t="e">
        <f t="shared" si="32"/>
        <v>#DIV/0!</v>
      </c>
      <c r="K339" s="1340">
        <f t="shared" si="33"/>
        <v>0</v>
      </c>
    </row>
    <row r="340" spans="1:11" ht="15" x14ac:dyDescent="0.25">
      <c r="A340" s="1341"/>
      <c r="B340" s="1344">
        <v>21700</v>
      </c>
      <c r="C340" s="1352">
        <v>333903300000000</v>
      </c>
      <c r="D340" s="1344" t="s">
        <v>3946</v>
      </c>
      <c r="E340" s="1344">
        <v>1</v>
      </c>
      <c r="F340" s="643">
        <v>0</v>
      </c>
      <c r="G340" s="643">
        <v>0</v>
      </c>
      <c r="H340" s="643">
        <v>0</v>
      </c>
      <c r="I340" s="26">
        <f t="shared" si="31"/>
        <v>0</v>
      </c>
      <c r="J340" s="1340" t="e">
        <f t="shared" si="32"/>
        <v>#DIV/0!</v>
      </c>
      <c r="K340" s="1340">
        <f t="shared" si="33"/>
        <v>0</v>
      </c>
    </row>
    <row r="341" spans="1:11" ht="15" x14ac:dyDescent="0.25">
      <c r="A341" s="1341"/>
      <c r="B341" s="1344">
        <v>25800</v>
      </c>
      <c r="C341" s="1352">
        <v>333903300000000</v>
      </c>
      <c r="D341" s="1344" t="s">
        <v>3947</v>
      </c>
      <c r="E341" s="1344">
        <v>1</v>
      </c>
      <c r="F341" s="643">
        <v>0</v>
      </c>
      <c r="G341" s="643">
        <v>0</v>
      </c>
      <c r="H341" s="643">
        <v>0</v>
      </c>
      <c r="I341" s="26">
        <f t="shared" si="31"/>
        <v>0</v>
      </c>
      <c r="J341" s="1340" t="e">
        <f t="shared" si="32"/>
        <v>#DIV/0!</v>
      </c>
      <c r="K341" s="1340">
        <f t="shared" si="33"/>
        <v>0</v>
      </c>
    </row>
    <row r="342" spans="1:11" ht="15" x14ac:dyDescent="0.25">
      <c r="A342" s="1341"/>
      <c r="B342" s="1344">
        <v>27030</v>
      </c>
      <c r="C342" s="1352">
        <v>333903300000000</v>
      </c>
      <c r="D342" s="1344" t="s">
        <v>7671</v>
      </c>
      <c r="E342" s="1344">
        <v>1</v>
      </c>
      <c r="F342" s="643">
        <v>0</v>
      </c>
      <c r="G342" s="643">
        <v>0</v>
      </c>
      <c r="H342" s="643">
        <v>0</v>
      </c>
      <c r="I342" s="26">
        <f t="shared" ref="I342:I373" si="34">(F342+G342+H342)/3</f>
        <v>0</v>
      </c>
      <c r="J342" s="1340" t="e">
        <f t="shared" si="32"/>
        <v>#DIV/0!</v>
      </c>
      <c r="K342" s="1340">
        <f t="shared" si="33"/>
        <v>0</v>
      </c>
    </row>
    <row r="343" spans="1:11" ht="15" x14ac:dyDescent="0.25">
      <c r="A343" s="1341"/>
      <c r="B343" s="1344">
        <v>18800</v>
      </c>
      <c r="C343" s="1352">
        <v>333903500000000</v>
      </c>
      <c r="D343" s="1344" t="s">
        <v>3948</v>
      </c>
      <c r="E343" s="1344">
        <v>1</v>
      </c>
      <c r="F343" s="643">
        <v>0</v>
      </c>
      <c r="G343" s="643">
        <v>0</v>
      </c>
      <c r="H343" s="643">
        <v>0</v>
      </c>
      <c r="I343" s="26">
        <f t="shared" si="34"/>
        <v>0</v>
      </c>
      <c r="J343" s="1340" t="e">
        <f t="shared" si="32"/>
        <v>#DIV/0!</v>
      </c>
      <c r="K343" s="1340">
        <f t="shared" si="33"/>
        <v>0</v>
      </c>
    </row>
    <row r="344" spans="1:11" ht="15" x14ac:dyDescent="0.25">
      <c r="A344" s="1341"/>
      <c r="B344" s="1344">
        <v>21800</v>
      </c>
      <c r="C344" s="1352">
        <v>333903500000000</v>
      </c>
      <c r="D344" s="1344" t="s">
        <v>3949</v>
      </c>
      <c r="E344" s="1344">
        <v>1</v>
      </c>
      <c r="F344" s="643">
        <v>0</v>
      </c>
      <c r="G344" s="643">
        <v>0</v>
      </c>
      <c r="H344" s="643">
        <v>0</v>
      </c>
      <c r="I344" s="26">
        <f t="shared" si="34"/>
        <v>0</v>
      </c>
      <c r="J344" s="1340" t="e">
        <f t="shared" si="32"/>
        <v>#DIV/0!</v>
      </c>
      <c r="K344" s="1340">
        <f t="shared" si="33"/>
        <v>0</v>
      </c>
    </row>
    <row r="345" spans="1:11" ht="15" x14ac:dyDescent="0.25">
      <c r="A345" s="1341"/>
      <c r="B345" s="1344">
        <v>25900</v>
      </c>
      <c r="C345" s="1352">
        <v>333903500000000</v>
      </c>
      <c r="D345" s="1344" t="s">
        <v>3950</v>
      </c>
      <c r="E345" s="1344">
        <v>1</v>
      </c>
      <c r="F345" s="643">
        <v>0</v>
      </c>
      <c r="G345" s="643">
        <v>0</v>
      </c>
      <c r="H345" s="643">
        <v>0</v>
      </c>
      <c r="I345" s="26">
        <f t="shared" si="34"/>
        <v>0</v>
      </c>
      <c r="J345" s="1340" t="e">
        <f t="shared" si="32"/>
        <v>#DIV/0!</v>
      </c>
      <c r="K345" s="1340">
        <f t="shared" si="33"/>
        <v>0</v>
      </c>
    </row>
    <row r="346" spans="1:11" ht="15" x14ac:dyDescent="0.25">
      <c r="A346" s="1341"/>
      <c r="B346" s="1344">
        <v>18900</v>
      </c>
      <c r="C346" s="1352">
        <v>333903600000000</v>
      </c>
      <c r="D346" s="1344" t="s">
        <v>3951</v>
      </c>
      <c r="E346" s="1344">
        <v>1</v>
      </c>
      <c r="F346" s="643">
        <v>0</v>
      </c>
      <c r="G346" s="643">
        <v>0</v>
      </c>
      <c r="H346" s="643">
        <v>0</v>
      </c>
      <c r="I346" s="26">
        <f t="shared" si="34"/>
        <v>0</v>
      </c>
      <c r="J346" s="1340" t="e">
        <f t="shared" si="32"/>
        <v>#DIV/0!</v>
      </c>
      <c r="K346" s="1340">
        <f t="shared" si="33"/>
        <v>0</v>
      </c>
    </row>
    <row r="347" spans="1:11" ht="15" x14ac:dyDescent="0.25">
      <c r="A347" s="1341"/>
      <c r="B347" s="1344">
        <v>21900</v>
      </c>
      <c r="C347" s="1352">
        <v>333903600000000</v>
      </c>
      <c r="D347" s="1344" t="s">
        <v>3631</v>
      </c>
      <c r="E347" s="1344">
        <v>1</v>
      </c>
      <c r="F347" s="643">
        <v>0</v>
      </c>
      <c r="G347" s="643">
        <v>0</v>
      </c>
      <c r="H347" s="643">
        <v>0</v>
      </c>
      <c r="I347" s="26">
        <f t="shared" si="34"/>
        <v>0</v>
      </c>
      <c r="J347" s="1340" t="e">
        <f t="shared" si="32"/>
        <v>#DIV/0!</v>
      </c>
      <c r="K347" s="1340">
        <f t="shared" si="33"/>
        <v>0</v>
      </c>
    </row>
    <row r="348" spans="1:11" ht="15" x14ac:dyDescent="0.25">
      <c r="A348" s="1341"/>
      <c r="B348" s="1344">
        <v>26000</v>
      </c>
      <c r="C348" s="1352">
        <v>333903600000000</v>
      </c>
      <c r="D348" s="1344" t="s">
        <v>3952</v>
      </c>
      <c r="E348" s="1344">
        <v>1</v>
      </c>
      <c r="F348" s="643">
        <v>0</v>
      </c>
      <c r="G348" s="643">
        <v>0</v>
      </c>
      <c r="H348" s="643">
        <v>0</v>
      </c>
      <c r="I348" s="26">
        <f t="shared" si="34"/>
        <v>0</v>
      </c>
      <c r="J348" s="1340" t="e">
        <f t="shared" si="32"/>
        <v>#DIV/0!</v>
      </c>
      <c r="K348" s="1340">
        <f t="shared" si="33"/>
        <v>0</v>
      </c>
    </row>
    <row r="349" spans="1:11" ht="15" x14ac:dyDescent="0.25">
      <c r="A349" s="1341"/>
      <c r="B349" s="1344">
        <v>27060</v>
      </c>
      <c r="C349" s="1352">
        <v>333903600000000</v>
      </c>
      <c r="D349" s="1344" t="s">
        <v>7670</v>
      </c>
      <c r="E349" s="1344">
        <v>1</v>
      </c>
      <c r="F349" s="643">
        <v>0</v>
      </c>
      <c r="G349" s="643">
        <v>0</v>
      </c>
      <c r="H349" s="643">
        <v>0</v>
      </c>
      <c r="I349" s="26">
        <f t="shared" si="34"/>
        <v>0</v>
      </c>
      <c r="J349" s="1340" t="e">
        <f t="shared" si="32"/>
        <v>#DIV/0!</v>
      </c>
      <c r="K349" s="1340">
        <f t="shared" si="33"/>
        <v>0</v>
      </c>
    </row>
    <row r="350" spans="1:11" ht="15" x14ac:dyDescent="0.25">
      <c r="A350" s="1341"/>
      <c r="B350" s="1344">
        <v>19000</v>
      </c>
      <c r="C350" s="1352">
        <v>333903900000000</v>
      </c>
      <c r="D350" s="1344" t="s">
        <v>3953</v>
      </c>
      <c r="E350" s="1344">
        <v>1</v>
      </c>
      <c r="F350" s="643">
        <v>67273.38</v>
      </c>
      <c r="G350" s="643">
        <v>0</v>
      </c>
      <c r="H350" s="643">
        <v>0</v>
      </c>
      <c r="I350" s="26">
        <f t="shared" si="34"/>
        <v>22424.460000000003</v>
      </c>
      <c r="J350" s="1340" t="e">
        <f t="shared" si="32"/>
        <v>#DIV/0!</v>
      </c>
      <c r="K350" s="1340">
        <f t="shared" si="33"/>
        <v>2.1223950715610299E-2</v>
      </c>
    </row>
    <row r="351" spans="1:11" ht="15" x14ac:dyDescent="0.25">
      <c r="A351" s="1341"/>
      <c r="B351" s="1344">
        <v>22000</v>
      </c>
      <c r="C351" s="1352">
        <v>333903900000000</v>
      </c>
      <c r="D351" s="1344" t="s">
        <v>3634</v>
      </c>
      <c r="E351" s="1344">
        <v>1</v>
      </c>
      <c r="F351" s="643">
        <v>53674.31</v>
      </c>
      <c r="G351" s="643">
        <v>0</v>
      </c>
      <c r="H351" s="643">
        <v>0</v>
      </c>
      <c r="I351" s="26">
        <f t="shared" si="34"/>
        <v>17891.436666666665</v>
      </c>
      <c r="J351" s="1340" t="e">
        <f t="shared" si="32"/>
        <v>#DIV/0!</v>
      </c>
      <c r="K351" s="1340">
        <f t="shared" si="33"/>
        <v>1.6933605984036905E-2</v>
      </c>
    </row>
    <row r="352" spans="1:11" ht="15" x14ac:dyDescent="0.25">
      <c r="A352" s="1341"/>
      <c r="B352" s="1344">
        <v>26100</v>
      </c>
      <c r="C352" s="1352">
        <v>333903900000000</v>
      </c>
      <c r="D352" s="1344" t="s">
        <v>3972</v>
      </c>
      <c r="E352" s="1344">
        <v>1</v>
      </c>
      <c r="F352" s="643">
        <v>0</v>
      </c>
      <c r="G352" s="643">
        <v>96897.26</v>
      </c>
      <c r="H352" s="643">
        <v>0</v>
      </c>
      <c r="I352" s="26">
        <f t="shared" si="34"/>
        <v>32299.086666666666</v>
      </c>
      <c r="J352" s="1340" t="e">
        <f t="shared" si="32"/>
        <v>#DIV/0!</v>
      </c>
      <c r="K352" s="1340">
        <f t="shared" si="33"/>
        <v>3.0569932278082013E-2</v>
      </c>
    </row>
    <row r="353" spans="1:11" ht="15" x14ac:dyDescent="0.25">
      <c r="A353" s="1341"/>
      <c r="B353" s="1344">
        <v>26160</v>
      </c>
      <c r="C353" s="1352">
        <v>333903900000000</v>
      </c>
      <c r="D353" s="1344" t="s">
        <v>4255</v>
      </c>
      <c r="E353" s="1344">
        <v>1048</v>
      </c>
      <c r="F353" s="643">
        <v>0</v>
      </c>
      <c r="G353" s="643">
        <v>0</v>
      </c>
      <c r="H353" s="643">
        <v>0</v>
      </c>
      <c r="I353" s="26">
        <f t="shared" si="34"/>
        <v>0</v>
      </c>
      <c r="J353" s="1340" t="e">
        <f t="shared" si="32"/>
        <v>#DIV/0!</v>
      </c>
      <c r="K353" s="1340">
        <f t="shared" si="33"/>
        <v>0</v>
      </c>
    </row>
    <row r="354" spans="1:11" ht="15" x14ac:dyDescent="0.25">
      <c r="A354" s="1341"/>
      <c r="B354" s="1344">
        <v>27080</v>
      </c>
      <c r="C354" s="1352">
        <v>333903900000000</v>
      </c>
      <c r="D354" s="1344" t="s">
        <v>7669</v>
      </c>
      <c r="E354" s="1344">
        <v>1</v>
      </c>
      <c r="F354" s="643">
        <v>0</v>
      </c>
      <c r="G354" s="643">
        <v>0</v>
      </c>
      <c r="H354" s="643">
        <v>0</v>
      </c>
      <c r="I354" s="26">
        <f t="shared" si="34"/>
        <v>0</v>
      </c>
      <c r="J354" s="1340" t="e">
        <f t="shared" si="32"/>
        <v>#DIV/0!</v>
      </c>
      <c r="K354" s="1340">
        <f t="shared" si="33"/>
        <v>0</v>
      </c>
    </row>
    <row r="355" spans="1:11" ht="30" x14ac:dyDescent="0.25">
      <c r="A355" s="1341"/>
      <c r="B355" s="1344">
        <v>26950</v>
      </c>
      <c r="C355" s="1352">
        <v>333904000000000</v>
      </c>
      <c r="D355" s="1344" t="s">
        <v>7668</v>
      </c>
      <c r="E355" s="1344">
        <v>1</v>
      </c>
      <c r="F355" s="643">
        <v>0</v>
      </c>
      <c r="G355" s="643">
        <v>0</v>
      </c>
      <c r="H355" s="643">
        <v>0</v>
      </c>
      <c r="I355" s="26">
        <f t="shared" si="34"/>
        <v>0</v>
      </c>
      <c r="J355" s="1340" t="e">
        <f t="shared" si="32"/>
        <v>#DIV/0!</v>
      </c>
      <c r="K355" s="1340">
        <f t="shared" si="33"/>
        <v>0</v>
      </c>
    </row>
    <row r="356" spans="1:11" ht="15" x14ac:dyDescent="0.25">
      <c r="A356" s="1341"/>
      <c r="B356" s="1344">
        <v>19100</v>
      </c>
      <c r="C356" s="1352">
        <v>333904600000000</v>
      </c>
      <c r="D356" s="1344" t="s">
        <v>4036</v>
      </c>
      <c r="E356" s="1344">
        <v>1</v>
      </c>
      <c r="F356" s="643">
        <v>0</v>
      </c>
      <c r="G356" s="643">
        <v>0</v>
      </c>
      <c r="H356" s="643">
        <v>0</v>
      </c>
      <c r="I356" s="26">
        <f t="shared" si="34"/>
        <v>0</v>
      </c>
      <c r="J356" s="1340" t="e">
        <f t="shared" si="32"/>
        <v>#DIV/0!</v>
      </c>
      <c r="K356" s="1340">
        <f t="shared" si="33"/>
        <v>0</v>
      </c>
    </row>
    <row r="357" spans="1:11" ht="15" x14ac:dyDescent="0.25">
      <c r="A357" s="1341"/>
      <c r="B357" s="1344">
        <v>22100</v>
      </c>
      <c r="C357" s="1352">
        <v>333904600000000</v>
      </c>
      <c r="D357" s="1344" t="s">
        <v>4037</v>
      </c>
      <c r="E357" s="1344">
        <v>1</v>
      </c>
      <c r="F357" s="643">
        <v>0</v>
      </c>
      <c r="G357" s="643">
        <v>0</v>
      </c>
      <c r="H357" s="643">
        <v>0</v>
      </c>
      <c r="I357" s="26">
        <f t="shared" si="34"/>
        <v>0</v>
      </c>
      <c r="J357" s="1340" t="e">
        <f t="shared" si="32"/>
        <v>#DIV/0!</v>
      </c>
      <c r="K357" s="1340">
        <f t="shared" si="33"/>
        <v>0</v>
      </c>
    </row>
    <row r="358" spans="1:11" ht="15" x14ac:dyDescent="0.25">
      <c r="A358" s="1341"/>
      <c r="B358" s="1344">
        <v>26200</v>
      </c>
      <c r="C358" s="1352">
        <v>333904600000000</v>
      </c>
      <c r="D358" s="1344" t="s">
        <v>4038</v>
      </c>
      <c r="E358" s="1344">
        <v>1</v>
      </c>
      <c r="F358" s="643">
        <v>0</v>
      </c>
      <c r="G358" s="643">
        <v>0</v>
      </c>
      <c r="H358" s="643">
        <v>0</v>
      </c>
      <c r="I358" s="26">
        <f t="shared" si="34"/>
        <v>0</v>
      </c>
      <c r="J358" s="1340" t="e">
        <f t="shared" si="32"/>
        <v>#DIV/0!</v>
      </c>
      <c r="K358" s="1340">
        <f t="shared" si="33"/>
        <v>0</v>
      </c>
    </row>
    <row r="359" spans="1:11" ht="15" x14ac:dyDescent="0.25">
      <c r="A359" s="1341"/>
      <c r="B359" s="1344">
        <v>19200</v>
      </c>
      <c r="C359" s="1352">
        <v>333904700000000</v>
      </c>
      <c r="D359" s="1344" t="s">
        <v>4039</v>
      </c>
      <c r="E359" s="1344">
        <v>1</v>
      </c>
      <c r="F359" s="643">
        <v>0</v>
      </c>
      <c r="G359" s="643">
        <v>0</v>
      </c>
      <c r="H359" s="643">
        <v>0</v>
      </c>
      <c r="I359" s="26">
        <f t="shared" si="34"/>
        <v>0</v>
      </c>
      <c r="J359" s="1340" t="e">
        <f t="shared" si="32"/>
        <v>#DIV/0!</v>
      </c>
      <c r="K359" s="1340">
        <f t="shared" si="33"/>
        <v>0</v>
      </c>
    </row>
    <row r="360" spans="1:11" ht="15" x14ac:dyDescent="0.25">
      <c r="A360" s="1341"/>
      <c r="B360" s="1344">
        <v>22200</v>
      </c>
      <c r="C360" s="1352">
        <v>333904700000000</v>
      </c>
      <c r="D360" s="1344" t="s">
        <v>4040</v>
      </c>
      <c r="E360" s="1344">
        <v>1</v>
      </c>
      <c r="F360" s="643">
        <v>0</v>
      </c>
      <c r="G360" s="643">
        <v>0</v>
      </c>
      <c r="H360" s="643">
        <v>0</v>
      </c>
      <c r="I360" s="26">
        <f t="shared" si="34"/>
        <v>0</v>
      </c>
      <c r="J360" s="1340" t="e">
        <f t="shared" si="32"/>
        <v>#DIV/0!</v>
      </c>
      <c r="K360" s="1340">
        <f t="shared" si="33"/>
        <v>0</v>
      </c>
    </row>
    <row r="361" spans="1:11" ht="15" x14ac:dyDescent="0.25">
      <c r="A361" s="1341"/>
      <c r="B361" s="1344">
        <v>26300</v>
      </c>
      <c r="C361" s="1352">
        <v>333904700000000</v>
      </c>
      <c r="D361" s="1344" t="s">
        <v>4041</v>
      </c>
      <c r="E361" s="1344">
        <v>1</v>
      </c>
      <c r="F361" s="643">
        <v>0</v>
      </c>
      <c r="G361" s="643">
        <f>4263.58-147.18</f>
        <v>4116.3999999999996</v>
      </c>
      <c r="H361" s="643">
        <v>0</v>
      </c>
      <c r="I361" s="26">
        <f t="shared" si="34"/>
        <v>1372.1333333333332</v>
      </c>
      <c r="J361" s="1340" t="e">
        <f t="shared" si="32"/>
        <v>#DIV/0!</v>
      </c>
      <c r="K361" s="1340">
        <f t="shared" si="33"/>
        <v>1.2986752074258528E-3</v>
      </c>
    </row>
    <row r="362" spans="1:11" ht="15" x14ac:dyDescent="0.25">
      <c r="A362" s="1341"/>
      <c r="B362" s="1344">
        <v>26350</v>
      </c>
      <c r="C362" s="1352">
        <v>333904700000000</v>
      </c>
      <c r="D362" s="1344" t="s">
        <v>4068</v>
      </c>
      <c r="E362" s="1344">
        <v>1048</v>
      </c>
      <c r="F362" s="643">
        <v>0</v>
      </c>
      <c r="G362" s="643">
        <f>147.18</f>
        <v>147.18</v>
      </c>
      <c r="H362" s="643">
        <v>0</v>
      </c>
      <c r="I362" s="26">
        <f t="shared" si="34"/>
        <v>49.06</v>
      </c>
      <c r="J362" s="1340" t="e">
        <f t="shared" si="32"/>
        <v>#DIV/0!</v>
      </c>
      <c r="K362" s="1340">
        <f t="shared" si="33"/>
        <v>4.6433538292910558E-5</v>
      </c>
    </row>
    <row r="363" spans="1:11" ht="15" x14ac:dyDescent="0.25">
      <c r="A363" s="1341"/>
      <c r="B363" s="1344">
        <v>27120</v>
      </c>
      <c r="C363" s="1352">
        <v>333904700000000</v>
      </c>
      <c r="D363" s="1344" t="s">
        <v>7667</v>
      </c>
      <c r="E363" s="1344">
        <v>1</v>
      </c>
      <c r="F363" s="643">
        <v>0</v>
      </c>
      <c r="G363" s="643">
        <v>0</v>
      </c>
      <c r="H363" s="643">
        <v>0</v>
      </c>
      <c r="I363" s="26">
        <f t="shared" si="34"/>
        <v>0</v>
      </c>
      <c r="J363" s="1340" t="e">
        <f t="shared" si="32"/>
        <v>#DIV/0!</v>
      </c>
      <c r="K363" s="1340">
        <f t="shared" si="33"/>
        <v>0</v>
      </c>
    </row>
    <row r="364" spans="1:11" ht="15" x14ac:dyDescent="0.25">
      <c r="A364" s="1341"/>
      <c r="B364" s="1344">
        <v>19300</v>
      </c>
      <c r="C364" s="1352">
        <v>333904900000000</v>
      </c>
      <c r="D364" s="1344" t="s">
        <v>4071</v>
      </c>
      <c r="E364" s="1344">
        <v>1</v>
      </c>
      <c r="F364" s="643">
        <v>0</v>
      </c>
      <c r="G364" s="643">
        <v>0</v>
      </c>
      <c r="H364" s="643">
        <v>0</v>
      </c>
      <c r="I364" s="26">
        <f t="shared" si="34"/>
        <v>0</v>
      </c>
      <c r="J364" s="1340" t="e">
        <f t="shared" si="32"/>
        <v>#DIV/0!</v>
      </c>
      <c r="K364" s="1340">
        <f t="shared" si="33"/>
        <v>0</v>
      </c>
    </row>
    <row r="365" spans="1:11" ht="15" x14ac:dyDescent="0.25">
      <c r="A365" s="1341"/>
      <c r="B365" s="1344">
        <v>22300</v>
      </c>
      <c r="C365" s="1352">
        <v>333904900000000</v>
      </c>
      <c r="D365" s="1344" t="s">
        <v>4072</v>
      </c>
      <c r="E365" s="1344">
        <v>1</v>
      </c>
      <c r="F365" s="643">
        <v>0</v>
      </c>
      <c r="G365" s="643">
        <v>0</v>
      </c>
      <c r="H365" s="643">
        <v>0</v>
      </c>
      <c r="I365" s="26">
        <f t="shared" si="34"/>
        <v>0</v>
      </c>
      <c r="J365" s="1340" t="e">
        <f t="shared" si="32"/>
        <v>#DIV/0!</v>
      </c>
      <c r="K365" s="1340">
        <f t="shared" si="33"/>
        <v>0</v>
      </c>
    </row>
    <row r="366" spans="1:11" ht="15" x14ac:dyDescent="0.25">
      <c r="A366" s="1341"/>
      <c r="B366" s="1344">
        <v>26400</v>
      </c>
      <c r="C366" s="1352">
        <v>333904900000000</v>
      </c>
      <c r="D366" s="1344" t="s">
        <v>4073</v>
      </c>
      <c r="E366" s="1344">
        <v>1</v>
      </c>
      <c r="F366" s="643">
        <v>0</v>
      </c>
      <c r="G366" s="643">
        <v>9688.5400000000009</v>
      </c>
      <c r="H366" s="643">
        <v>0</v>
      </c>
      <c r="I366" s="26">
        <f t="shared" si="34"/>
        <v>3229.5133333333338</v>
      </c>
      <c r="J366" s="1340" t="e">
        <f t="shared" si="32"/>
        <v>#DIV/0!</v>
      </c>
      <c r="K366" s="1340">
        <f t="shared" si="33"/>
        <v>3.0566190589237379E-3</v>
      </c>
    </row>
    <row r="367" spans="1:11" ht="15" x14ac:dyDescent="0.25">
      <c r="A367" s="1341"/>
      <c r="B367" s="1344">
        <v>19400</v>
      </c>
      <c r="C367" s="1352">
        <v>333909200000000</v>
      </c>
      <c r="D367" s="1344" t="s">
        <v>4076</v>
      </c>
      <c r="E367" s="1344">
        <v>1</v>
      </c>
      <c r="F367" s="643">
        <v>0</v>
      </c>
      <c r="G367" s="643">
        <v>0</v>
      </c>
      <c r="H367" s="643">
        <v>0</v>
      </c>
      <c r="I367" s="26">
        <f t="shared" si="34"/>
        <v>0</v>
      </c>
      <c r="J367" s="1340" t="e">
        <f t="shared" si="32"/>
        <v>#DIV/0!</v>
      </c>
      <c r="K367" s="1340">
        <f t="shared" si="33"/>
        <v>0</v>
      </c>
    </row>
    <row r="368" spans="1:11" ht="15" x14ac:dyDescent="0.25">
      <c r="A368" s="1341"/>
      <c r="B368" s="1344">
        <v>22400</v>
      </c>
      <c r="C368" s="1352">
        <v>333909200000000</v>
      </c>
      <c r="D368" s="1344" t="s">
        <v>4077</v>
      </c>
      <c r="E368" s="1344">
        <v>1</v>
      </c>
      <c r="F368" s="643">
        <v>0</v>
      </c>
      <c r="G368" s="643">
        <v>0</v>
      </c>
      <c r="H368" s="643">
        <v>0</v>
      </c>
      <c r="I368" s="26">
        <f t="shared" si="34"/>
        <v>0</v>
      </c>
      <c r="J368" s="1340" t="e">
        <f t="shared" si="32"/>
        <v>#DIV/0!</v>
      </c>
      <c r="K368" s="1340">
        <f t="shared" si="33"/>
        <v>0</v>
      </c>
    </row>
    <row r="369" spans="1:11" ht="15" x14ac:dyDescent="0.25">
      <c r="A369" s="1341"/>
      <c r="B369" s="1344">
        <v>26500</v>
      </c>
      <c r="C369" s="1352">
        <v>333909200000000</v>
      </c>
      <c r="D369" s="1344" t="s">
        <v>4080</v>
      </c>
      <c r="E369" s="1344">
        <v>1</v>
      </c>
      <c r="F369" s="643">
        <v>0</v>
      </c>
      <c r="G369" s="643">
        <v>85.79</v>
      </c>
      <c r="H369" s="643">
        <v>0</v>
      </c>
      <c r="I369" s="26">
        <f t="shared" si="34"/>
        <v>28.596666666666668</v>
      </c>
      <c r="J369" s="1340" t="e">
        <f t="shared" si="32"/>
        <v>#DIV/0!</v>
      </c>
      <c r="K369" s="1340">
        <f t="shared" si="33"/>
        <v>2.7065723944481567E-5</v>
      </c>
    </row>
    <row r="370" spans="1:11" ht="15" x14ac:dyDescent="0.25">
      <c r="A370" s="1341"/>
      <c r="B370" s="1344">
        <v>19500</v>
      </c>
      <c r="C370" s="1352">
        <v>333909300000000</v>
      </c>
      <c r="D370" s="1344" t="s">
        <v>4083</v>
      </c>
      <c r="E370" s="1344">
        <v>1</v>
      </c>
      <c r="F370" s="643">
        <v>0</v>
      </c>
      <c r="G370" s="643">
        <v>0</v>
      </c>
      <c r="H370" s="643">
        <v>0</v>
      </c>
      <c r="I370" s="26">
        <f t="shared" si="34"/>
        <v>0</v>
      </c>
      <c r="J370" s="1340" t="e">
        <f t="shared" si="32"/>
        <v>#DIV/0!</v>
      </c>
      <c r="K370" s="1340">
        <f t="shared" si="33"/>
        <v>0</v>
      </c>
    </row>
    <row r="371" spans="1:11" ht="15" x14ac:dyDescent="0.25">
      <c r="A371" s="1341"/>
      <c r="B371" s="1344">
        <v>22500</v>
      </c>
      <c r="C371" s="1352">
        <v>333909300000000</v>
      </c>
      <c r="D371" s="1344" t="s">
        <v>4084</v>
      </c>
      <c r="E371" s="1344">
        <v>1</v>
      </c>
      <c r="F371" s="643">
        <v>0</v>
      </c>
      <c r="G371" s="643">
        <v>0</v>
      </c>
      <c r="H371" s="643">
        <v>0</v>
      </c>
      <c r="I371" s="26">
        <f t="shared" si="34"/>
        <v>0</v>
      </c>
      <c r="J371" s="1340" t="e">
        <f t="shared" si="32"/>
        <v>#DIV/0!</v>
      </c>
      <c r="K371" s="1340">
        <f t="shared" si="33"/>
        <v>0</v>
      </c>
    </row>
    <row r="372" spans="1:11" ht="15" x14ac:dyDescent="0.25">
      <c r="A372" s="1341"/>
      <c r="B372" s="1344">
        <v>26600</v>
      </c>
      <c r="C372" s="1352">
        <v>333909300000000</v>
      </c>
      <c r="D372" s="1344" t="s">
        <v>4085</v>
      </c>
      <c r="E372" s="1344">
        <v>1</v>
      </c>
      <c r="F372" s="643">
        <v>0</v>
      </c>
      <c r="G372" s="643">
        <v>0</v>
      </c>
      <c r="H372" s="643">
        <v>0</v>
      </c>
      <c r="I372" s="26">
        <f t="shared" si="34"/>
        <v>0</v>
      </c>
      <c r="J372" s="1340" t="e">
        <f t="shared" si="32"/>
        <v>#DIV/0!</v>
      </c>
      <c r="K372" s="1340">
        <f t="shared" si="33"/>
        <v>0</v>
      </c>
    </row>
    <row r="373" spans="1:11" ht="15" x14ac:dyDescent="0.25">
      <c r="A373" s="1341"/>
      <c r="B373" s="1344">
        <v>26700</v>
      </c>
      <c r="C373" s="1352">
        <v>333909300000000</v>
      </c>
      <c r="D373" s="1344" t="s">
        <v>4086</v>
      </c>
      <c r="E373" s="1344">
        <v>1</v>
      </c>
      <c r="F373" s="643">
        <v>0</v>
      </c>
      <c r="G373" s="643">
        <v>0</v>
      </c>
      <c r="H373" s="643">
        <v>0</v>
      </c>
      <c r="I373" s="26">
        <f t="shared" si="34"/>
        <v>0</v>
      </c>
      <c r="J373" s="1340" t="e">
        <f t="shared" si="32"/>
        <v>#DIV/0!</v>
      </c>
      <c r="K373" s="1340">
        <f t="shared" si="33"/>
        <v>0</v>
      </c>
    </row>
    <row r="374" spans="1:11" ht="15" x14ac:dyDescent="0.25">
      <c r="A374" s="1341"/>
      <c r="B374" s="1344">
        <v>19600</v>
      </c>
      <c r="C374" s="1352">
        <v>333933000000000</v>
      </c>
      <c r="D374" s="1344" t="s">
        <v>4087</v>
      </c>
      <c r="E374" s="1344">
        <v>1</v>
      </c>
      <c r="F374" s="643">
        <v>0</v>
      </c>
      <c r="G374" s="643">
        <v>0</v>
      </c>
      <c r="H374" s="643">
        <v>0</v>
      </c>
      <c r="I374" s="26">
        <f t="shared" ref="I374:I381" si="35">(F374+G374+H374)/3</f>
        <v>0</v>
      </c>
      <c r="J374" s="1340" t="e">
        <f t="shared" ref="J374:J437" si="36">(G374/F374)+(H374/G374)/2</f>
        <v>#DIV/0!</v>
      </c>
      <c r="K374" s="1340">
        <f t="shared" ref="K374:K437" si="37">I374/I$582</f>
        <v>0</v>
      </c>
    </row>
    <row r="375" spans="1:11" ht="15" x14ac:dyDescent="0.25">
      <c r="A375" s="1341"/>
      <c r="B375" s="1344">
        <v>22600</v>
      </c>
      <c r="C375" s="1352">
        <v>333933000000000</v>
      </c>
      <c r="D375" s="1344" t="s">
        <v>4088</v>
      </c>
      <c r="E375" s="1344">
        <v>1</v>
      </c>
      <c r="F375" s="643">
        <v>0</v>
      </c>
      <c r="G375" s="643">
        <v>0</v>
      </c>
      <c r="H375" s="643">
        <v>0</v>
      </c>
      <c r="I375" s="26">
        <f t="shared" si="35"/>
        <v>0</v>
      </c>
      <c r="J375" s="1340" t="e">
        <f t="shared" si="36"/>
        <v>#DIV/0!</v>
      </c>
      <c r="K375" s="1340">
        <f t="shared" si="37"/>
        <v>0</v>
      </c>
    </row>
    <row r="376" spans="1:11" ht="15" x14ac:dyDescent="0.25">
      <c r="A376" s="1341"/>
      <c r="B376" s="1344">
        <v>19700</v>
      </c>
      <c r="C376" s="1352">
        <v>344905100000000</v>
      </c>
      <c r="D376" s="1344" t="s">
        <v>4089</v>
      </c>
      <c r="E376" s="1344">
        <v>1</v>
      </c>
      <c r="F376" s="643">
        <v>0</v>
      </c>
      <c r="G376" s="643">
        <v>0</v>
      </c>
      <c r="H376" s="643">
        <v>0</v>
      </c>
      <c r="I376" s="26">
        <f t="shared" si="35"/>
        <v>0</v>
      </c>
      <c r="J376" s="1340" t="e">
        <f t="shared" si="36"/>
        <v>#DIV/0!</v>
      </c>
      <c r="K376" s="1340">
        <f t="shared" si="37"/>
        <v>0</v>
      </c>
    </row>
    <row r="377" spans="1:11" ht="15" x14ac:dyDescent="0.25">
      <c r="A377" s="1341"/>
      <c r="B377" s="1344">
        <v>22700</v>
      </c>
      <c r="C377" s="1352">
        <v>344905100000000</v>
      </c>
      <c r="D377" s="1344" t="s">
        <v>3637</v>
      </c>
      <c r="E377" s="1344">
        <v>1</v>
      </c>
      <c r="F377" s="643">
        <v>0</v>
      </c>
      <c r="G377" s="643">
        <v>0</v>
      </c>
      <c r="H377" s="643">
        <v>0</v>
      </c>
      <c r="I377" s="26">
        <f t="shared" si="35"/>
        <v>0</v>
      </c>
      <c r="J377" s="1340" t="e">
        <f t="shared" si="36"/>
        <v>#DIV/0!</v>
      </c>
      <c r="K377" s="1340">
        <f t="shared" si="37"/>
        <v>0</v>
      </c>
    </row>
    <row r="378" spans="1:11" ht="15" x14ac:dyDescent="0.25">
      <c r="A378" s="1341"/>
      <c r="B378" s="1344">
        <v>26800</v>
      </c>
      <c r="C378" s="1352">
        <v>344905100000000</v>
      </c>
      <c r="D378" s="1344" t="s">
        <v>4090</v>
      </c>
      <c r="E378" s="1344">
        <v>1</v>
      </c>
      <c r="F378" s="643">
        <v>0</v>
      </c>
      <c r="G378" s="643">
        <v>0</v>
      </c>
      <c r="H378" s="643">
        <v>0</v>
      </c>
      <c r="I378" s="26">
        <f t="shared" si="35"/>
        <v>0</v>
      </c>
      <c r="J378" s="1340" t="e">
        <f t="shared" si="36"/>
        <v>#DIV/0!</v>
      </c>
      <c r="K378" s="1340">
        <f t="shared" si="37"/>
        <v>0</v>
      </c>
    </row>
    <row r="379" spans="1:11" ht="15" x14ac:dyDescent="0.25">
      <c r="A379" s="1341"/>
      <c r="B379" s="1344">
        <v>19800</v>
      </c>
      <c r="C379" s="1352">
        <v>344905200000000</v>
      </c>
      <c r="D379" s="1344" t="s">
        <v>4091</v>
      </c>
      <c r="E379" s="1344">
        <v>1</v>
      </c>
      <c r="F379" s="643">
        <v>0</v>
      </c>
      <c r="G379" s="643">
        <v>0</v>
      </c>
      <c r="H379" s="643">
        <v>0</v>
      </c>
      <c r="I379" s="26">
        <f t="shared" si="35"/>
        <v>0</v>
      </c>
      <c r="J379" s="1340" t="e">
        <f t="shared" si="36"/>
        <v>#DIV/0!</v>
      </c>
      <c r="K379" s="1340">
        <f t="shared" si="37"/>
        <v>0</v>
      </c>
    </row>
    <row r="380" spans="1:11" ht="15" x14ac:dyDescent="0.25">
      <c r="A380" s="1341"/>
      <c r="B380" s="1344">
        <v>22800</v>
      </c>
      <c r="C380" s="1352">
        <v>344905200000000</v>
      </c>
      <c r="D380" s="1344" t="s">
        <v>3644</v>
      </c>
      <c r="E380" s="1344">
        <v>1</v>
      </c>
      <c r="F380" s="643">
        <v>0</v>
      </c>
      <c r="G380" s="643">
        <v>0</v>
      </c>
      <c r="H380" s="643">
        <v>0</v>
      </c>
      <c r="I380" s="26">
        <f t="shared" si="35"/>
        <v>0</v>
      </c>
      <c r="J380" s="1340" t="e">
        <f t="shared" si="36"/>
        <v>#DIV/0!</v>
      </c>
      <c r="K380" s="1340">
        <f t="shared" si="37"/>
        <v>0</v>
      </c>
    </row>
    <row r="381" spans="1:11" ht="15" x14ac:dyDescent="0.25">
      <c r="A381" s="1341"/>
      <c r="B381" s="1344">
        <v>26900</v>
      </c>
      <c r="C381" s="1352">
        <v>344905200000000</v>
      </c>
      <c r="D381" s="1344" t="s">
        <v>4092</v>
      </c>
      <c r="E381" s="1344">
        <v>1</v>
      </c>
      <c r="F381" s="643">
        <v>0</v>
      </c>
      <c r="G381" s="643">
        <v>429</v>
      </c>
      <c r="H381" s="643">
        <v>0</v>
      </c>
      <c r="I381" s="26">
        <f t="shared" si="35"/>
        <v>143</v>
      </c>
      <c r="J381" s="1340" t="e">
        <f t="shared" si="36"/>
        <v>#DIV/0!</v>
      </c>
      <c r="K381" s="1340">
        <f t="shared" si="37"/>
        <v>1.3534439412731777E-4</v>
      </c>
    </row>
    <row r="382" spans="1:11" s="12" customFormat="1" ht="15" x14ac:dyDescent="0.25">
      <c r="A382" s="1081"/>
      <c r="B382" s="1345" t="s">
        <v>2965</v>
      </c>
      <c r="C382" s="1343">
        <v>50</v>
      </c>
      <c r="D382" s="1345" t="s">
        <v>7666</v>
      </c>
      <c r="E382" s="1345"/>
      <c r="F382" s="642">
        <f>SUM(F383:F389)</f>
        <v>0</v>
      </c>
      <c r="G382" s="642">
        <f>SUM(G383:G389)</f>
        <v>0</v>
      </c>
      <c r="H382" s="642">
        <f>SUM(H383:H389)</f>
        <v>0</v>
      </c>
      <c r="I382" s="642">
        <f>SUM(I383:I389)</f>
        <v>0</v>
      </c>
      <c r="J382" s="1338" t="e">
        <f t="shared" si="36"/>
        <v>#DIV/0!</v>
      </c>
      <c r="K382" s="1338">
        <f t="shared" si="37"/>
        <v>0</v>
      </c>
    </row>
    <row r="383" spans="1:11" ht="15" x14ac:dyDescent="0.25">
      <c r="A383" s="1341"/>
      <c r="B383" s="1344">
        <v>127000</v>
      </c>
      <c r="C383" s="1352">
        <v>333903000000000</v>
      </c>
      <c r="D383" s="1344" t="s">
        <v>5907</v>
      </c>
      <c r="E383" s="1344">
        <v>1</v>
      </c>
      <c r="F383" s="643">
        <v>0</v>
      </c>
      <c r="G383" s="643">
        <v>0</v>
      </c>
      <c r="H383" s="643">
        <v>0</v>
      </c>
      <c r="I383" s="26">
        <f t="shared" ref="I383:I389" si="38">(F383+G383+H383)/3</f>
        <v>0</v>
      </c>
      <c r="J383" s="1340" t="e">
        <f t="shared" si="36"/>
        <v>#DIV/0!</v>
      </c>
      <c r="K383" s="1340">
        <f t="shared" si="37"/>
        <v>0</v>
      </c>
    </row>
    <row r="384" spans="1:11" ht="15" x14ac:dyDescent="0.25">
      <c r="A384" s="1341"/>
      <c r="B384" s="1344">
        <v>127030</v>
      </c>
      <c r="C384" s="1352">
        <v>333903200000000</v>
      </c>
      <c r="D384" s="1344" t="s">
        <v>5913</v>
      </c>
      <c r="E384" s="1344">
        <v>1</v>
      </c>
      <c r="F384" s="643">
        <v>0</v>
      </c>
      <c r="G384" s="643">
        <v>0</v>
      </c>
      <c r="H384" s="643">
        <v>0</v>
      </c>
      <c r="I384" s="26">
        <f t="shared" si="38"/>
        <v>0</v>
      </c>
      <c r="J384" s="1340" t="e">
        <f t="shared" si="36"/>
        <v>#DIV/0!</v>
      </c>
      <c r="K384" s="1340">
        <f t="shared" si="37"/>
        <v>0</v>
      </c>
    </row>
    <row r="385" spans="1:11" ht="15" x14ac:dyDescent="0.25">
      <c r="A385" s="1341"/>
      <c r="B385" s="1344">
        <v>127050</v>
      </c>
      <c r="C385" s="1352">
        <v>333903600000000</v>
      </c>
      <c r="D385" s="1344" t="s">
        <v>5912</v>
      </c>
      <c r="E385" s="1344">
        <v>1</v>
      </c>
      <c r="F385" s="643">
        <v>0</v>
      </c>
      <c r="G385" s="643">
        <v>0</v>
      </c>
      <c r="H385" s="643">
        <v>0</v>
      </c>
      <c r="I385" s="26">
        <f t="shared" si="38"/>
        <v>0</v>
      </c>
      <c r="J385" s="1340" t="e">
        <f t="shared" si="36"/>
        <v>#DIV/0!</v>
      </c>
      <c r="K385" s="1340">
        <f t="shared" si="37"/>
        <v>0</v>
      </c>
    </row>
    <row r="386" spans="1:11" ht="15" x14ac:dyDescent="0.25">
      <c r="A386" s="1341"/>
      <c r="B386" s="1344">
        <v>127080</v>
      </c>
      <c r="C386" s="1352">
        <v>333903900000000</v>
      </c>
      <c r="D386" s="1344" t="s">
        <v>5911</v>
      </c>
      <c r="E386" s="1344">
        <v>1</v>
      </c>
      <c r="F386" s="643">
        <v>0</v>
      </c>
      <c r="G386" s="643">
        <v>0</v>
      </c>
      <c r="H386" s="643">
        <v>0</v>
      </c>
      <c r="I386" s="26">
        <f t="shared" si="38"/>
        <v>0</v>
      </c>
      <c r="J386" s="1340" t="e">
        <f t="shared" si="36"/>
        <v>#DIV/0!</v>
      </c>
      <c r="K386" s="1340">
        <f t="shared" si="37"/>
        <v>0</v>
      </c>
    </row>
    <row r="387" spans="1:11" ht="15" x14ac:dyDescent="0.25">
      <c r="A387" s="1341"/>
      <c r="B387" s="1344">
        <v>127120</v>
      </c>
      <c r="C387" s="1352">
        <v>333904700000000</v>
      </c>
      <c r="D387" s="1344" t="s">
        <v>5910</v>
      </c>
      <c r="E387" s="1344">
        <v>1</v>
      </c>
      <c r="F387" s="643">
        <v>0</v>
      </c>
      <c r="G387" s="643">
        <v>0</v>
      </c>
      <c r="H387" s="643">
        <v>0</v>
      </c>
      <c r="I387" s="26">
        <f t="shared" si="38"/>
        <v>0</v>
      </c>
      <c r="J387" s="1340" t="e">
        <f t="shared" si="36"/>
        <v>#DIV/0!</v>
      </c>
      <c r="K387" s="1340">
        <f t="shared" si="37"/>
        <v>0</v>
      </c>
    </row>
    <row r="388" spans="1:11" ht="15" x14ac:dyDescent="0.25">
      <c r="A388" s="1341"/>
      <c r="B388" s="1344">
        <v>127150</v>
      </c>
      <c r="C388" s="1352">
        <v>344905100000000</v>
      </c>
      <c r="D388" s="1344" t="s">
        <v>5908</v>
      </c>
      <c r="E388" s="1344">
        <v>1</v>
      </c>
      <c r="F388" s="643">
        <v>0</v>
      </c>
      <c r="G388" s="643">
        <v>0</v>
      </c>
      <c r="H388" s="643">
        <v>0</v>
      </c>
      <c r="I388" s="26">
        <f t="shared" si="38"/>
        <v>0</v>
      </c>
      <c r="J388" s="1340" t="e">
        <f t="shared" si="36"/>
        <v>#DIV/0!</v>
      </c>
      <c r="K388" s="1340">
        <f t="shared" si="37"/>
        <v>0</v>
      </c>
    </row>
    <row r="389" spans="1:11" ht="15" x14ac:dyDescent="0.25">
      <c r="A389" s="1341"/>
      <c r="B389" s="1344">
        <v>127180</v>
      </c>
      <c r="C389" s="1352">
        <v>344905200000000</v>
      </c>
      <c r="D389" s="1344" t="s">
        <v>5909</v>
      </c>
      <c r="E389" s="1344">
        <v>1</v>
      </c>
      <c r="F389" s="643">
        <v>0</v>
      </c>
      <c r="G389" s="643">
        <v>0</v>
      </c>
      <c r="H389" s="643">
        <v>0</v>
      </c>
      <c r="I389" s="26">
        <f t="shared" si="38"/>
        <v>0</v>
      </c>
      <c r="J389" s="1340" t="e">
        <f t="shared" si="36"/>
        <v>#DIV/0!</v>
      </c>
      <c r="K389" s="1340">
        <f t="shared" si="37"/>
        <v>0</v>
      </c>
    </row>
    <row r="390" spans="1:11" s="12" customFormat="1" ht="15" x14ac:dyDescent="0.25">
      <c r="A390" s="1081"/>
      <c r="B390" s="1345" t="s">
        <v>2965</v>
      </c>
      <c r="C390" s="1343">
        <v>56</v>
      </c>
      <c r="D390" s="1345" t="s">
        <v>7665</v>
      </c>
      <c r="E390" s="1345"/>
      <c r="F390" s="642">
        <f>SUM(F391:F413)</f>
        <v>0</v>
      </c>
      <c r="G390" s="642">
        <f>SUM(G391:G413)</f>
        <v>0</v>
      </c>
      <c r="H390" s="642">
        <f>SUM(H391:H413)</f>
        <v>0</v>
      </c>
      <c r="I390" s="642">
        <f>SUM(I391:I413)</f>
        <v>0</v>
      </c>
      <c r="J390" s="1338" t="e">
        <f t="shared" si="36"/>
        <v>#DIV/0!</v>
      </c>
      <c r="K390" s="1338">
        <f t="shared" si="37"/>
        <v>0</v>
      </c>
    </row>
    <row r="391" spans="1:11" ht="15" x14ac:dyDescent="0.25">
      <c r="A391" s="1341"/>
      <c r="B391" s="1344">
        <v>28100</v>
      </c>
      <c r="C391" s="1352">
        <v>331900400000000</v>
      </c>
      <c r="D391" s="1344" t="s">
        <v>6991</v>
      </c>
      <c r="E391" s="1344">
        <v>1</v>
      </c>
      <c r="F391" s="643">
        <v>0</v>
      </c>
      <c r="G391" s="643">
        <v>0</v>
      </c>
      <c r="H391" s="643">
        <v>0</v>
      </c>
      <c r="I391" s="26">
        <f t="shared" ref="I391:I413" si="39">(F391+G391+H391)/3</f>
        <v>0</v>
      </c>
      <c r="J391" s="1340" t="e">
        <f t="shared" si="36"/>
        <v>#DIV/0!</v>
      </c>
      <c r="K391" s="1340">
        <f t="shared" si="37"/>
        <v>0</v>
      </c>
    </row>
    <row r="392" spans="1:11" ht="15" x14ac:dyDescent="0.25">
      <c r="A392" s="1341"/>
      <c r="B392" s="1344">
        <v>28120</v>
      </c>
      <c r="C392" s="1352">
        <v>331900800000000</v>
      </c>
      <c r="D392" s="1344" t="s">
        <v>7003</v>
      </c>
      <c r="E392" s="1344">
        <v>1</v>
      </c>
      <c r="F392" s="643">
        <v>0</v>
      </c>
      <c r="G392" s="643">
        <v>0</v>
      </c>
      <c r="H392" s="643">
        <v>0</v>
      </c>
      <c r="I392" s="26">
        <f t="shared" si="39"/>
        <v>0</v>
      </c>
      <c r="J392" s="1340" t="e">
        <f t="shared" si="36"/>
        <v>#DIV/0!</v>
      </c>
      <c r="K392" s="1340">
        <f t="shared" si="37"/>
        <v>0</v>
      </c>
    </row>
    <row r="393" spans="1:11" ht="15" x14ac:dyDescent="0.25">
      <c r="A393" s="1341"/>
      <c r="B393" s="1344">
        <v>28140</v>
      </c>
      <c r="C393" s="1352">
        <v>331901100000000</v>
      </c>
      <c r="D393" s="1344" t="s">
        <v>6992</v>
      </c>
      <c r="E393" s="1344">
        <v>1</v>
      </c>
      <c r="F393" s="643">
        <v>0</v>
      </c>
      <c r="G393" s="643">
        <v>0</v>
      </c>
      <c r="H393" s="643">
        <v>0</v>
      </c>
      <c r="I393" s="26">
        <f t="shared" si="39"/>
        <v>0</v>
      </c>
      <c r="J393" s="1340" t="e">
        <f t="shared" si="36"/>
        <v>#DIV/0!</v>
      </c>
      <c r="K393" s="1340">
        <f t="shared" si="37"/>
        <v>0</v>
      </c>
    </row>
    <row r="394" spans="1:11" ht="15" x14ac:dyDescent="0.25">
      <c r="A394" s="1341"/>
      <c r="B394" s="1344">
        <v>28160</v>
      </c>
      <c r="C394" s="1352">
        <v>331901300000000</v>
      </c>
      <c r="D394" s="1344" t="s">
        <v>6993</v>
      </c>
      <c r="E394" s="1344">
        <v>1</v>
      </c>
      <c r="F394" s="643">
        <v>0</v>
      </c>
      <c r="G394" s="643">
        <v>0</v>
      </c>
      <c r="H394" s="643">
        <v>0</v>
      </c>
      <c r="I394" s="26">
        <f t="shared" si="39"/>
        <v>0</v>
      </c>
      <c r="J394" s="1340" t="e">
        <f t="shared" si="36"/>
        <v>#DIV/0!</v>
      </c>
      <c r="K394" s="1340">
        <f t="shared" si="37"/>
        <v>0</v>
      </c>
    </row>
    <row r="395" spans="1:11" ht="15" x14ac:dyDescent="0.25">
      <c r="A395" s="1341"/>
      <c r="B395" s="1344">
        <v>28180</v>
      </c>
      <c r="C395" s="1352">
        <v>331901600000000</v>
      </c>
      <c r="D395" s="1344" t="s">
        <v>6994</v>
      </c>
      <c r="E395" s="1344">
        <v>1</v>
      </c>
      <c r="F395" s="643">
        <v>0</v>
      </c>
      <c r="G395" s="643">
        <v>0</v>
      </c>
      <c r="H395" s="643">
        <v>0</v>
      </c>
      <c r="I395" s="26">
        <f t="shared" si="39"/>
        <v>0</v>
      </c>
      <c r="J395" s="1340" t="e">
        <f t="shared" si="36"/>
        <v>#DIV/0!</v>
      </c>
      <c r="K395" s="1340">
        <f t="shared" si="37"/>
        <v>0</v>
      </c>
    </row>
    <row r="396" spans="1:11" ht="15" x14ac:dyDescent="0.25">
      <c r="A396" s="1341"/>
      <c r="B396" s="1344">
        <v>28200</v>
      </c>
      <c r="C396" s="1352">
        <v>331903400000000</v>
      </c>
      <c r="D396" s="1344" t="s">
        <v>6996</v>
      </c>
      <c r="E396" s="1344">
        <v>1</v>
      </c>
      <c r="F396" s="643">
        <v>0</v>
      </c>
      <c r="G396" s="643">
        <v>0</v>
      </c>
      <c r="H396" s="643">
        <v>0</v>
      </c>
      <c r="I396" s="26">
        <f t="shared" si="39"/>
        <v>0</v>
      </c>
      <c r="J396" s="1340" t="e">
        <f t="shared" si="36"/>
        <v>#DIV/0!</v>
      </c>
      <c r="K396" s="1340">
        <f t="shared" si="37"/>
        <v>0</v>
      </c>
    </row>
    <row r="397" spans="1:11" ht="15" x14ac:dyDescent="0.25">
      <c r="A397" s="1341"/>
      <c r="B397" s="1344">
        <v>28220</v>
      </c>
      <c r="C397" s="1352">
        <v>331909400000000</v>
      </c>
      <c r="D397" s="1344" t="s">
        <v>6995</v>
      </c>
      <c r="E397" s="1344">
        <v>1</v>
      </c>
      <c r="F397" s="643">
        <v>0</v>
      </c>
      <c r="G397" s="643">
        <v>0</v>
      </c>
      <c r="H397" s="643">
        <v>0</v>
      </c>
      <c r="I397" s="26">
        <f t="shared" si="39"/>
        <v>0</v>
      </c>
      <c r="J397" s="1340" t="e">
        <f t="shared" si="36"/>
        <v>#DIV/0!</v>
      </c>
      <c r="K397" s="1340">
        <f t="shared" si="37"/>
        <v>0</v>
      </c>
    </row>
    <row r="398" spans="1:11" ht="15" x14ac:dyDescent="0.25">
      <c r="A398" s="1341"/>
      <c r="B398" s="1344">
        <v>28000</v>
      </c>
      <c r="C398" s="1352">
        <v>333901400000000</v>
      </c>
      <c r="D398" s="1344" t="s">
        <v>6987</v>
      </c>
      <c r="E398" s="1344">
        <v>1</v>
      </c>
      <c r="F398" s="643">
        <v>0</v>
      </c>
      <c r="G398" s="643">
        <v>0</v>
      </c>
      <c r="H398" s="643">
        <v>0</v>
      </c>
      <c r="I398" s="26">
        <f t="shared" si="39"/>
        <v>0</v>
      </c>
      <c r="J398" s="1340" t="e">
        <f t="shared" si="36"/>
        <v>#DIV/0!</v>
      </c>
      <c r="K398" s="1340">
        <f t="shared" si="37"/>
        <v>0</v>
      </c>
    </row>
    <row r="399" spans="1:11" ht="15" x14ac:dyDescent="0.25">
      <c r="A399" s="1341"/>
      <c r="B399" s="1344">
        <v>28240</v>
      </c>
      <c r="C399" s="1352">
        <v>333901400000000</v>
      </c>
      <c r="D399" s="1344" t="s">
        <v>6998</v>
      </c>
      <c r="E399" s="1344">
        <v>1</v>
      </c>
      <c r="F399" s="643">
        <v>0</v>
      </c>
      <c r="G399" s="643">
        <v>0</v>
      </c>
      <c r="H399" s="643">
        <v>0</v>
      </c>
      <c r="I399" s="26">
        <f t="shared" si="39"/>
        <v>0</v>
      </c>
      <c r="J399" s="1340" t="e">
        <f t="shared" si="36"/>
        <v>#DIV/0!</v>
      </c>
      <c r="K399" s="1340">
        <f t="shared" si="37"/>
        <v>0</v>
      </c>
    </row>
    <row r="400" spans="1:11" ht="15" x14ac:dyDescent="0.25">
      <c r="A400" s="1341"/>
      <c r="B400" s="1344">
        <v>28260</v>
      </c>
      <c r="C400" s="1352">
        <v>333903000000000</v>
      </c>
      <c r="D400" s="1344" t="s">
        <v>6981</v>
      </c>
      <c r="E400" s="1344">
        <v>1</v>
      </c>
      <c r="F400" s="643">
        <v>0</v>
      </c>
      <c r="G400" s="643">
        <v>0</v>
      </c>
      <c r="H400" s="643">
        <v>0</v>
      </c>
      <c r="I400" s="26">
        <f t="shared" si="39"/>
        <v>0</v>
      </c>
      <c r="J400" s="1340" t="e">
        <f t="shared" si="36"/>
        <v>#DIV/0!</v>
      </c>
      <c r="K400" s="1340">
        <f t="shared" si="37"/>
        <v>0</v>
      </c>
    </row>
    <row r="401" spans="1:11" ht="15" x14ac:dyDescent="0.25">
      <c r="A401" s="1341"/>
      <c r="B401" s="1344">
        <v>28020</v>
      </c>
      <c r="C401" s="1352">
        <v>333903300000000</v>
      </c>
      <c r="D401" s="1344" t="s">
        <v>6988</v>
      </c>
      <c r="E401" s="1344">
        <v>1</v>
      </c>
      <c r="F401" s="643">
        <v>0</v>
      </c>
      <c r="G401" s="643">
        <v>0</v>
      </c>
      <c r="H401" s="643">
        <v>0</v>
      </c>
      <c r="I401" s="26">
        <f t="shared" si="39"/>
        <v>0</v>
      </c>
      <c r="J401" s="1340" t="e">
        <f t="shared" si="36"/>
        <v>#DIV/0!</v>
      </c>
      <c r="K401" s="1340">
        <f t="shared" si="37"/>
        <v>0</v>
      </c>
    </row>
    <row r="402" spans="1:11" ht="15" x14ac:dyDescent="0.25">
      <c r="A402" s="1341"/>
      <c r="B402" s="1344">
        <v>28280</v>
      </c>
      <c r="C402" s="1352">
        <v>333903300000000</v>
      </c>
      <c r="D402" s="1344" t="s">
        <v>6999</v>
      </c>
      <c r="E402" s="1344">
        <v>1</v>
      </c>
      <c r="F402" s="643">
        <v>0</v>
      </c>
      <c r="G402" s="643">
        <v>0</v>
      </c>
      <c r="H402" s="643">
        <v>0</v>
      </c>
      <c r="I402" s="26">
        <f t="shared" si="39"/>
        <v>0</v>
      </c>
      <c r="J402" s="1340" t="e">
        <f t="shared" si="36"/>
        <v>#DIV/0!</v>
      </c>
      <c r="K402" s="1340">
        <f t="shared" si="37"/>
        <v>0</v>
      </c>
    </row>
    <row r="403" spans="1:11" ht="15" x14ac:dyDescent="0.25">
      <c r="A403" s="1341"/>
      <c r="B403" s="1344">
        <v>28040</v>
      </c>
      <c r="C403" s="1352">
        <v>333903600000000</v>
      </c>
      <c r="D403" s="1344" t="s">
        <v>6990</v>
      </c>
      <c r="E403" s="1344">
        <v>1</v>
      </c>
      <c r="F403" s="643">
        <v>0</v>
      </c>
      <c r="G403" s="643">
        <v>0</v>
      </c>
      <c r="H403" s="643">
        <v>0</v>
      </c>
      <c r="I403" s="26">
        <f t="shared" si="39"/>
        <v>0</v>
      </c>
      <c r="J403" s="1340" t="e">
        <f t="shared" si="36"/>
        <v>#DIV/0!</v>
      </c>
      <c r="K403" s="1340">
        <f t="shared" si="37"/>
        <v>0</v>
      </c>
    </row>
    <row r="404" spans="1:11" ht="15" x14ac:dyDescent="0.25">
      <c r="A404" s="1341"/>
      <c r="B404" s="1344">
        <v>28300</v>
      </c>
      <c r="C404" s="1352">
        <v>333903600000000</v>
      </c>
      <c r="D404" s="1344" t="s">
        <v>6982</v>
      </c>
      <c r="E404" s="1344">
        <v>1</v>
      </c>
      <c r="F404" s="643">
        <v>0</v>
      </c>
      <c r="G404" s="643">
        <v>0</v>
      </c>
      <c r="H404" s="643">
        <v>0</v>
      </c>
      <c r="I404" s="26">
        <f t="shared" si="39"/>
        <v>0</v>
      </c>
      <c r="J404" s="1340" t="e">
        <f t="shared" si="36"/>
        <v>#DIV/0!</v>
      </c>
      <c r="K404" s="1340">
        <f t="shared" si="37"/>
        <v>0</v>
      </c>
    </row>
    <row r="405" spans="1:11" ht="15" x14ac:dyDescent="0.25">
      <c r="A405" s="1341"/>
      <c r="B405" s="1344">
        <v>28060</v>
      </c>
      <c r="C405" s="1352">
        <v>333903900000000</v>
      </c>
      <c r="D405" s="1344" t="s">
        <v>6997</v>
      </c>
      <c r="E405" s="1344">
        <v>1</v>
      </c>
      <c r="F405" s="643">
        <v>0</v>
      </c>
      <c r="G405" s="643">
        <v>0</v>
      </c>
      <c r="H405" s="643">
        <v>0</v>
      </c>
      <c r="I405" s="26">
        <f t="shared" si="39"/>
        <v>0</v>
      </c>
      <c r="J405" s="1340" t="e">
        <f t="shared" si="36"/>
        <v>#DIV/0!</v>
      </c>
      <c r="K405" s="1340">
        <f t="shared" si="37"/>
        <v>0</v>
      </c>
    </row>
    <row r="406" spans="1:11" ht="15" x14ac:dyDescent="0.25">
      <c r="A406" s="1341"/>
      <c r="B406" s="1344">
        <v>28320</v>
      </c>
      <c r="C406" s="1352">
        <v>333903900000000</v>
      </c>
      <c r="D406" s="1344" t="s">
        <v>6983</v>
      </c>
      <c r="E406" s="1344">
        <v>1</v>
      </c>
      <c r="F406" s="643">
        <v>0</v>
      </c>
      <c r="G406" s="643">
        <v>0</v>
      </c>
      <c r="H406" s="643">
        <v>0</v>
      </c>
      <c r="I406" s="26">
        <f t="shared" si="39"/>
        <v>0</v>
      </c>
      <c r="J406" s="1340" t="e">
        <f t="shared" si="36"/>
        <v>#DIV/0!</v>
      </c>
      <c r="K406" s="1340">
        <f t="shared" si="37"/>
        <v>0</v>
      </c>
    </row>
    <row r="407" spans="1:11" ht="15" x14ac:dyDescent="0.25">
      <c r="A407" s="1341"/>
      <c r="B407" s="1344">
        <v>27900</v>
      </c>
      <c r="C407" s="1352">
        <v>333904000000000</v>
      </c>
      <c r="D407" s="1344" t="s">
        <v>7004</v>
      </c>
      <c r="E407" s="1344">
        <v>1</v>
      </c>
      <c r="F407" s="643">
        <v>0</v>
      </c>
      <c r="G407" s="643">
        <v>0</v>
      </c>
      <c r="H407" s="643">
        <v>0</v>
      </c>
      <c r="I407" s="26">
        <f t="shared" si="39"/>
        <v>0</v>
      </c>
      <c r="J407" s="1340" t="e">
        <f t="shared" si="36"/>
        <v>#DIV/0!</v>
      </c>
      <c r="K407" s="1340">
        <f t="shared" si="37"/>
        <v>0</v>
      </c>
    </row>
    <row r="408" spans="1:11" ht="15" x14ac:dyDescent="0.25">
      <c r="A408" s="1341"/>
      <c r="B408" s="1344">
        <v>28340</v>
      </c>
      <c r="C408" s="1352">
        <v>333904600000000</v>
      </c>
      <c r="D408" s="1344" t="s">
        <v>7000</v>
      </c>
      <c r="E408" s="1344">
        <v>1</v>
      </c>
      <c r="F408" s="643">
        <v>0</v>
      </c>
      <c r="G408" s="643">
        <v>0</v>
      </c>
      <c r="H408" s="643">
        <v>0</v>
      </c>
      <c r="I408" s="26">
        <f t="shared" si="39"/>
        <v>0</v>
      </c>
      <c r="J408" s="1340" t="e">
        <f t="shared" si="36"/>
        <v>#DIV/0!</v>
      </c>
      <c r="K408" s="1340">
        <f t="shared" si="37"/>
        <v>0</v>
      </c>
    </row>
    <row r="409" spans="1:11" ht="15" x14ac:dyDescent="0.25">
      <c r="A409" s="1341"/>
      <c r="B409" s="1344">
        <v>28080</v>
      </c>
      <c r="C409" s="1352">
        <v>333904700000000</v>
      </c>
      <c r="D409" s="1344" t="s">
        <v>7664</v>
      </c>
      <c r="E409" s="1344">
        <v>1</v>
      </c>
      <c r="F409" s="643">
        <v>0</v>
      </c>
      <c r="G409" s="643">
        <v>0</v>
      </c>
      <c r="H409" s="643">
        <v>0</v>
      </c>
      <c r="I409" s="26">
        <f t="shared" si="39"/>
        <v>0</v>
      </c>
      <c r="J409" s="1340" t="e">
        <f t="shared" si="36"/>
        <v>#DIV/0!</v>
      </c>
      <c r="K409" s="1340">
        <f t="shared" si="37"/>
        <v>0</v>
      </c>
    </row>
    <row r="410" spans="1:11" ht="15" x14ac:dyDescent="0.25">
      <c r="A410" s="1341"/>
      <c r="B410" s="1344">
        <v>28360</v>
      </c>
      <c r="C410" s="1352">
        <v>333904700000000</v>
      </c>
      <c r="D410" s="1344" t="s">
        <v>6984</v>
      </c>
      <c r="E410" s="1344">
        <v>1</v>
      </c>
      <c r="F410" s="643">
        <v>0</v>
      </c>
      <c r="G410" s="643">
        <v>0</v>
      </c>
      <c r="H410" s="643">
        <v>0</v>
      </c>
      <c r="I410" s="26">
        <f t="shared" si="39"/>
        <v>0</v>
      </c>
      <c r="J410" s="1340" t="e">
        <f t="shared" si="36"/>
        <v>#DIV/0!</v>
      </c>
      <c r="K410" s="1340">
        <f t="shared" si="37"/>
        <v>0</v>
      </c>
    </row>
    <row r="411" spans="1:11" ht="15" x14ac:dyDescent="0.25">
      <c r="A411" s="1341"/>
      <c r="B411" s="1344">
        <v>28380</v>
      </c>
      <c r="C411" s="1352">
        <v>333904900000000</v>
      </c>
      <c r="D411" s="1344" t="s">
        <v>7001</v>
      </c>
      <c r="E411" s="1344">
        <v>1</v>
      </c>
      <c r="F411" s="643">
        <v>0</v>
      </c>
      <c r="G411" s="643">
        <v>0</v>
      </c>
      <c r="H411" s="643">
        <v>0</v>
      </c>
      <c r="I411" s="26">
        <f t="shared" si="39"/>
        <v>0</v>
      </c>
      <c r="J411" s="1340" t="e">
        <f t="shared" si="36"/>
        <v>#DIV/0!</v>
      </c>
      <c r="K411" s="1340">
        <f t="shared" si="37"/>
        <v>0</v>
      </c>
    </row>
    <row r="412" spans="1:11" ht="15" x14ac:dyDescent="0.25">
      <c r="A412" s="1341"/>
      <c r="B412" s="1344">
        <v>28400</v>
      </c>
      <c r="C412" s="1352">
        <v>344905100000000</v>
      </c>
      <c r="D412" s="1344" t="s">
        <v>6985</v>
      </c>
      <c r="E412" s="1344">
        <v>1</v>
      </c>
      <c r="F412" s="643">
        <v>0</v>
      </c>
      <c r="G412" s="643">
        <v>0</v>
      </c>
      <c r="H412" s="643">
        <v>0</v>
      </c>
      <c r="I412" s="26">
        <f t="shared" si="39"/>
        <v>0</v>
      </c>
      <c r="J412" s="1340" t="e">
        <f t="shared" si="36"/>
        <v>#DIV/0!</v>
      </c>
      <c r="K412" s="1340">
        <f t="shared" si="37"/>
        <v>0</v>
      </c>
    </row>
    <row r="413" spans="1:11" ht="15" x14ac:dyDescent="0.25">
      <c r="A413" s="1341"/>
      <c r="B413" s="1344">
        <v>28420</v>
      </c>
      <c r="C413" s="1352">
        <v>344905200000000</v>
      </c>
      <c r="D413" s="1344" t="s">
        <v>6986</v>
      </c>
      <c r="E413" s="1344">
        <v>1</v>
      </c>
      <c r="F413" s="643">
        <v>0</v>
      </c>
      <c r="G413" s="643">
        <v>0</v>
      </c>
      <c r="H413" s="643">
        <v>0</v>
      </c>
      <c r="I413" s="26">
        <f t="shared" si="39"/>
        <v>0</v>
      </c>
      <c r="J413" s="1340" t="e">
        <f t="shared" si="36"/>
        <v>#DIV/0!</v>
      </c>
      <c r="K413" s="1340">
        <f t="shared" si="37"/>
        <v>0</v>
      </c>
    </row>
    <row r="414" spans="1:11" s="12" customFormat="1" ht="15" x14ac:dyDescent="0.25">
      <c r="A414" s="1081"/>
      <c r="B414" s="1345" t="s">
        <v>2950</v>
      </c>
      <c r="C414" s="1343" t="s">
        <v>3392</v>
      </c>
      <c r="D414" s="1345" t="s">
        <v>3393</v>
      </c>
      <c r="E414" s="1345"/>
      <c r="F414" s="642">
        <f>SUM(F415:F421)</f>
        <v>0</v>
      </c>
      <c r="G414" s="642">
        <f>SUM(G415:G421)</f>
        <v>0</v>
      </c>
      <c r="H414" s="642">
        <f>SUM(H415:H421)</f>
        <v>0</v>
      </c>
      <c r="I414" s="642">
        <f>SUM(I415:I421)</f>
        <v>0</v>
      </c>
      <c r="J414" s="1338" t="e">
        <f t="shared" si="36"/>
        <v>#DIV/0!</v>
      </c>
      <c r="K414" s="1338">
        <f t="shared" si="37"/>
        <v>0</v>
      </c>
    </row>
    <row r="415" spans="1:11" ht="15" x14ac:dyDescent="0.25">
      <c r="A415" s="1341"/>
      <c r="B415" s="1344">
        <v>13000</v>
      </c>
      <c r="C415" s="1352">
        <v>333904700000000</v>
      </c>
      <c r="D415" s="1344" t="s">
        <v>3394</v>
      </c>
      <c r="E415" s="1344">
        <v>1</v>
      </c>
      <c r="F415" s="643">
        <v>0</v>
      </c>
      <c r="G415" s="643">
        <v>0</v>
      </c>
      <c r="H415" s="643">
        <v>0</v>
      </c>
      <c r="I415" s="26">
        <f t="shared" ref="I415:I421" si="40">(F415+G415+H415)/3</f>
        <v>0</v>
      </c>
      <c r="J415" s="1340" t="e">
        <f t="shared" si="36"/>
        <v>#DIV/0!</v>
      </c>
      <c r="K415" s="1340">
        <f t="shared" si="37"/>
        <v>0</v>
      </c>
    </row>
    <row r="416" spans="1:11" ht="15" x14ac:dyDescent="0.25">
      <c r="A416" s="1341"/>
      <c r="B416" s="1344">
        <v>13100</v>
      </c>
      <c r="C416" s="1352">
        <v>344903000000000</v>
      </c>
      <c r="D416" s="1344" t="s">
        <v>3610</v>
      </c>
      <c r="E416" s="1344">
        <v>1</v>
      </c>
      <c r="F416" s="643">
        <v>0</v>
      </c>
      <c r="G416" s="643">
        <v>0</v>
      </c>
      <c r="H416" s="643">
        <v>0</v>
      </c>
      <c r="I416" s="26">
        <f t="shared" si="40"/>
        <v>0</v>
      </c>
      <c r="J416" s="1340" t="e">
        <f t="shared" si="36"/>
        <v>#DIV/0!</v>
      </c>
      <c r="K416" s="1340">
        <f t="shared" si="37"/>
        <v>0</v>
      </c>
    </row>
    <row r="417" spans="1:11" ht="15" x14ac:dyDescent="0.25">
      <c r="A417" s="1341"/>
      <c r="B417" s="1344">
        <v>13200</v>
      </c>
      <c r="C417" s="1352">
        <v>344903600000000</v>
      </c>
      <c r="D417" s="1344" t="s">
        <v>3613</v>
      </c>
      <c r="E417" s="1344">
        <v>1</v>
      </c>
      <c r="F417" s="643">
        <v>0</v>
      </c>
      <c r="G417" s="643">
        <v>0</v>
      </c>
      <c r="H417" s="643">
        <v>0</v>
      </c>
      <c r="I417" s="26">
        <f t="shared" si="40"/>
        <v>0</v>
      </c>
      <c r="J417" s="1340" t="e">
        <f t="shared" si="36"/>
        <v>#DIV/0!</v>
      </c>
      <c r="K417" s="1340">
        <f t="shared" si="37"/>
        <v>0</v>
      </c>
    </row>
    <row r="418" spans="1:11" ht="15" x14ac:dyDescent="0.25">
      <c r="A418" s="1341"/>
      <c r="B418" s="1344">
        <v>13300</v>
      </c>
      <c r="C418" s="1352">
        <v>344903900000000</v>
      </c>
      <c r="D418" s="1344" t="s">
        <v>3614</v>
      </c>
      <c r="E418" s="1344">
        <v>1</v>
      </c>
      <c r="F418" s="643">
        <v>0</v>
      </c>
      <c r="G418" s="643">
        <v>0</v>
      </c>
      <c r="H418" s="643">
        <v>0</v>
      </c>
      <c r="I418" s="26">
        <f t="shared" si="40"/>
        <v>0</v>
      </c>
      <c r="J418" s="1340" t="e">
        <f t="shared" si="36"/>
        <v>#DIV/0!</v>
      </c>
      <c r="K418" s="1340">
        <f t="shared" si="37"/>
        <v>0</v>
      </c>
    </row>
    <row r="419" spans="1:11" ht="15" x14ac:dyDescent="0.25">
      <c r="A419" s="1341"/>
      <c r="B419" s="1344">
        <v>13400</v>
      </c>
      <c r="C419" s="1352">
        <v>344905100000000</v>
      </c>
      <c r="D419" s="1344" t="s">
        <v>3617</v>
      </c>
      <c r="E419" s="1344">
        <v>1</v>
      </c>
      <c r="F419" s="643">
        <v>0</v>
      </c>
      <c r="G419" s="643">
        <v>0</v>
      </c>
      <c r="H419" s="643">
        <v>0</v>
      </c>
      <c r="I419" s="26">
        <f t="shared" si="40"/>
        <v>0</v>
      </c>
      <c r="J419" s="1340" t="e">
        <f t="shared" si="36"/>
        <v>#DIV/0!</v>
      </c>
      <c r="K419" s="1340">
        <f t="shared" si="37"/>
        <v>0</v>
      </c>
    </row>
    <row r="420" spans="1:11" ht="15" x14ac:dyDescent="0.25">
      <c r="A420" s="1341"/>
      <c r="B420" s="1344">
        <v>13500</v>
      </c>
      <c r="C420" s="1352">
        <v>344905200000000</v>
      </c>
      <c r="D420" s="1344" t="s">
        <v>3618</v>
      </c>
      <c r="E420" s="1344">
        <v>1</v>
      </c>
      <c r="F420" s="643">
        <v>0</v>
      </c>
      <c r="G420" s="643">
        <v>0</v>
      </c>
      <c r="H420" s="643">
        <v>0</v>
      </c>
      <c r="I420" s="26">
        <f t="shared" si="40"/>
        <v>0</v>
      </c>
      <c r="J420" s="1340" t="e">
        <f t="shared" si="36"/>
        <v>#DIV/0!</v>
      </c>
      <c r="K420" s="1340">
        <f t="shared" si="37"/>
        <v>0</v>
      </c>
    </row>
    <row r="421" spans="1:11" ht="15" x14ac:dyDescent="0.25">
      <c r="A421" s="1341"/>
      <c r="B421" s="1344">
        <v>13550</v>
      </c>
      <c r="C421" s="1352">
        <v>344915200000000</v>
      </c>
      <c r="D421" s="1344" t="s">
        <v>5846</v>
      </c>
      <c r="E421" s="1344">
        <v>1</v>
      </c>
      <c r="F421" s="643">
        <v>0</v>
      </c>
      <c r="G421" s="643">
        <v>0</v>
      </c>
      <c r="H421" s="643">
        <v>0</v>
      </c>
      <c r="I421" s="26">
        <f t="shared" si="40"/>
        <v>0</v>
      </c>
      <c r="J421" s="1340" t="e">
        <f t="shared" si="36"/>
        <v>#DIV/0!</v>
      </c>
      <c r="K421" s="1340">
        <f t="shared" si="37"/>
        <v>0</v>
      </c>
    </row>
    <row r="422" spans="1:11" s="12" customFormat="1" ht="15" x14ac:dyDescent="0.25">
      <c r="A422" s="1081"/>
      <c r="B422" s="1345" t="s">
        <v>2950</v>
      </c>
      <c r="C422" s="1343" t="s">
        <v>3622</v>
      </c>
      <c r="D422" s="1345" t="s">
        <v>3623</v>
      </c>
      <c r="E422" s="1345"/>
      <c r="F422" s="642">
        <f>SUM(F423:F448)</f>
        <v>285382.12</v>
      </c>
      <c r="G422" s="642">
        <f>SUM(G423:G448)</f>
        <v>0</v>
      </c>
      <c r="H422" s="642">
        <f>SUM(H423:H448)</f>
        <v>0</v>
      </c>
      <c r="I422" s="642">
        <f>SUM(I423:I448)</f>
        <v>95127.373333333337</v>
      </c>
      <c r="J422" s="1338" t="e">
        <f t="shared" si="36"/>
        <v>#DIV/0!</v>
      </c>
      <c r="K422" s="1338">
        <f t="shared" si="37"/>
        <v>9.0034662298763404E-2</v>
      </c>
    </row>
    <row r="423" spans="1:11" ht="15" x14ac:dyDescent="0.25">
      <c r="A423" s="1341"/>
      <c r="B423" s="1344">
        <v>16000</v>
      </c>
      <c r="C423" s="1352">
        <v>333904700000000</v>
      </c>
      <c r="D423" s="1344" t="s">
        <v>3624</v>
      </c>
      <c r="E423" s="1344">
        <v>1</v>
      </c>
      <c r="F423" s="643">
        <v>0</v>
      </c>
      <c r="G423" s="643">
        <v>0</v>
      </c>
      <c r="H423" s="643">
        <v>0</v>
      </c>
      <c r="I423" s="26">
        <f t="shared" ref="I423:I448" si="41">(F423+G423+H423)/3</f>
        <v>0</v>
      </c>
      <c r="J423" s="1340" t="e">
        <f t="shared" si="36"/>
        <v>#DIV/0!</v>
      </c>
      <c r="K423" s="1340">
        <f t="shared" si="37"/>
        <v>0</v>
      </c>
    </row>
    <row r="424" spans="1:11" ht="15" x14ac:dyDescent="0.25">
      <c r="A424" s="1341"/>
      <c r="B424" s="1344">
        <v>20000</v>
      </c>
      <c r="C424" s="1352">
        <v>333904700000000</v>
      </c>
      <c r="D424" s="1344" t="s">
        <v>3625</v>
      </c>
      <c r="E424" s="1344">
        <v>1</v>
      </c>
      <c r="F424" s="643">
        <v>0</v>
      </c>
      <c r="G424" s="643">
        <v>0</v>
      </c>
      <c r="H424" s="643">
        <v>0</v>
      </c>
      <c r="I424" s="26">
        <f t="shared" si="41"/>
        <v>0</v>
      </c>
      <c r="J424" s="1340" t="e">
        <f t="shared" si="36"/>
        <v>#DIV/0!</v>
      </c>
      <c r="K424" s="1340">
        <f t="shared" si="37"/>
        <v>0</v>
      </c>
    </row>
    <row r="425" spans="1:11" ht="15" x14ac:dyDescent="0.25">
      <c r="A425" s="1341"/>
      <c r="B425" s="1344">
        <v>24000</v>
      </c>
      <c r="C425" s="1352">
        <v>333904700000000</v>
      </c>
      <c r="D425" s="1344" t="s">
        <v>3626</v>
      </c>
      <c r="E425" s="1344">
        <v>1</v>
      </c>
      <c r="F425" s="643">
        <v>0</v>
      </c>
      <c r="G425" s="643">
        <v>0</v>
      </c>
      <c r="H425" s="643">
        <v>0</v>
      </c>
      <c r="I425" s="26">
        <f t="shared" si="41"/>
        <v>0</v>
      </c>
      <c r="J425" s="1340" t="e">
        <f t="shared" si="36"/>
        <v>#DIV/0!</v>
      </c>
      <c r="K425" s="1340">
        <f t="shared" si="37"/>
        <v>0</v>
      </c>
    </row>
    <row r="426" spans="1:11" ht="15" x14ac:dyDescent="0.25">
      <c r="A426" s="1341"/>
      <c r="B426" s="1344">
        <v>20050</v>
      </c>
      <c r="C426" s="1352">
        <v>344209300000000</v>
      </c>
      <c r="D426" s="1344" t="s">
        <v>4240</v>
      </c>
      <c r="E426" s="1344">
        <v>1032</v>
      </c>
      <c r="F426" s="643">
        <v>0</v>
      </c>
      <c r="G426" s="643">
        <v>0</v>
      </c>
      <c r="H426" s="643">
        <v>0</v>
      </c>
      <c r="I426" s="26">
        <f t="shared" si="41"/>
        <v>0</v>
      </c>
      <c r="J426" s="1340" t="e">
        <f t="shared" si="36"/>
        <v>#DIV/0!</v>
      </c>
      <c r="K426" s="1340">
        <f t="shared" si="37"/>
        <v>0</v>
      </c>
    </row>
    <row r="427" spans="1:11" ht="15" x14ac:dyDescent="0.25">
      <c r="A427" s="1341"/>
      <c r="B427" s="1344">
        <v>24050</v>
      </c>
      <c r="C427" s="1352">
        <v>344209300000000</v>
      </c>
      <c r="D427" s="1344" t="s">
        <v>4247</v>
      </c>
      <c r="E427" s="1344">
        <v>1166</v>
      </c>
      <c r="F427" s="643">
        <v>0</v>
      </c>
      <c r="G427" s="643">
        <v>0</v>
      </c>
      <c r="H427" s="643">
        <v>0</v>
      </c>
      <c r="I427" s="26">
        <f t="shared" si="41"/>
        <v>0</v>
      </c>
      <c r="J427" s="1340" t="e">
        <f t="shared" si="36"/>
        <v>#DIV/0!</v>
      </c>
      <c r="K427" s="1340">
        <f t="shared" si="37"/>
        <v>0</v>
      </c>
    </row>
    <row r="428" spans="1:11" ht="15" x14ac:dyDescent="0.25">
      <c r="A428" s="1341"/>
      <c r="B428" s="1344">
        <v>16100</v>
      </c>
      <c r="C428" s="1352">
        <v>344903000000000</v>
      </c>
      <c r="D428" s="1344" t="s">
        <v>3627</v>
      </c>
      <c r="E428" s="1344">
        <v>1</v>
      </c>
      <c r="F428" s="643">
        <v>0</v>
      </c>
      <c r="G428" s="643">
        <v>0</v>
      </c>
      <c r="H428" s="643">
        <v>0</v>
      </c>
      <c r="I428" s="26">
        <f t="shared" si="41"/>
        <v>0</v>
      </c>
      <c r="J428" s="1340" t="e">
        <f t="shared" si="36"/>
        <v>#DIV/0!</v>
      </c>
      <c r="K428" s="1340">
        <f t="shared" si="37"/>
        <v>0</v>
      </c>
    </row>
    <row r="429" spans="1:11" ht="15" x14ac:dyDescent="0.25">
      <c r="A429" s="1341"/>
      <c r="B429" s="1344">
        <v>20100</v>
      </c>
      <c r="C429" s="1352">
        <v>344903000000000</v>
      </c>
      <c r="D429" s="1344" t="s">
        <v>3628</v>
      </c>
      <c r="E429" s="1344">
        <v>1</v>
      </c>
      <c r="F429" s="643">
        <v>0</v>
      </c>
      <c r="G429" s="643">
        <v>0</v>
      </c>
      <c r="H429" s="643">
        <v>0</v>
      </c>
      <c r="I429" s="26">
        <f t="shared" si="41"/>
        <v>0</v>
      </c>
      <c r="J429" s="1340" t="e">
        <f t="shared" si="36"/>
        <v>#DIV/0!</v>
      </c>
      <c r="K429" s="1340">
        <f t="shared" si="37"/>
        <v>0</v>
      </c>
    </row>
    <row r="430" spans="1:11" ht="15" x14ac:dyDescent="0.25">
      <c r="A430" s="1341"/>
      <c r="B430" s="1344">
        <v>24100</v>
      </c>
      <c r="C430" s="1352">
        <v>344903000000000</v>
      </c>
      <c r="D430" s="1344" t="s">
        <v>3629</v>
      </c>
      <c r="E430" s="1344">
        <v>1</v>
      </c>
      <c r="F430" s="643">
        <v>0</v>
      </c>
      <c r="G430" s="643">
        <v>0</v>
      </c>
      <c r="H430" s="643">
        <v>0</v>
      </c>
      <c r="I430" s="26">
        <f t="shared" si="41"/>
        <v>0</v>
      </c>
      <c r="J430" s="1340" t="e">
        <f t="shared" si="36"/>
        <v>#DIV/0!</v>
      </c>
      <c r="K430" s="1340">
        <f t="shared" si="37"/>
        <v>0</v>
      </c>
    </row>
    <row r="431" spans="1:11" ht="15" x14ac:dyDescent="0.25">
      <c r="A431" s="1341"/>
      <c r="B431" s="1344">
        <v>16200</v>
      </c>
      <c r="C431" s="1352">
        <v>344903600000000</v>
      </c>
      <c r="D431" s="1344" t="s">
        <v>3630</v>
      </c>
      <c r="E431" s="1344">
        <v>1</v>
      </c>
      <c r="F431" s="643">
        <v>0</v>
      </c>
      <c r="G431" s="643">
        <v>0</v>
      </c>
      <c r="H431" s="643">
        <v>0</v>
      </c>
      <c r="I431" s="26">
        <f t="shared" si="41"/>
        <v>0</v>
      </c>
      <c r="J431" s="1340" t="e">
        <f t="shared" si="36"/>
        <v>#DIV/0!</v>
      </c>
      <c r="K431" s="1340">
        <f t="shared" si="37"/>
        <v>0</v>
      </c>
    </row>
    <row r="432" spans="1:11" ht="15" x14ac:dyDescent="0.25">
      <c r="A432" s="1341"/>
      <c r="B432" s="1344">
        <v>20200</v>
      </c>
      <c r="C432" s="1352">
        <v>344903600000000</v>
      </c>
      <c r="D432" s="1344" t="s">
        <v>3631</v>
      </c>
      <c r="E432" s="1344">
        <v>1</v>
      </c>
      <c r="F432" s="643">
        <v>0</v>
      </c>
      <c r="G432" s="643">
        <v>0</v>
      </c>
      <c r="H432" s="643">
        <v>0</v>
      </c>
      <c r="I432" s="26">
        <f t="shared" si="41"/>
        <v>0</v>
      </c>
      <c r="J432" s="1340" t="e">
        <f t="shared" si="36"/>
        <v>#DIV/0!</v>
      </c>
      <c r="K432" s="1340">
        <f t="shared" si="37"/>
        <v>0</v>
      </c>
    </row>
    <row r="433" spans="1:11" ht="15" x14ac:dyDescent="0.25">
      <c r="A433" s="1341"/>
      <c r="B433" s="1344">
        <v>24200</v>
      </c>
      <c r="C433" s="1352">
        <v>344903600000000</v>
      </c>
      <c r="D433" s="1344" t="s">
        <v>3632</v>
      </c>
      <c r="E433" s="1344">
        <v>1</v>
      </c>
      <c r="F433" s="643">
        <v>0</v>
      </c>
      <c r="G433" s="643">
        <v>0</v>
      </c>
      <c r="H433" s="643">
        <v>0</v>
      </c>
      <c r="I433" s="26">
        <f t="shared" si="41"/>
        <v>0</v>
      </c>
      <c r="J433" s="1340" t="e">
        <f t="shared" si="36"/>
        <v>#DIV/0!</v>
      </c>
      <c r="K433" s="1340">
        <f t="shared" si="37"/>
        <v>0</v>
      </c>
    </row>
    <row r="434" spans="1:11" ht="15" x14ac:dyDescent="0.25">
      <c r="A434" s="1341"/>
      <c r="B434" s="1344">
        <v>16300</v>
      </c>
      <c r="C434" s="1352">
        <v>344903900000000</v>
      </c>
      <c r="D434" s="1344" t="s">
        <v>3633</v>
      </c>
      <c r="E434" s="1344">
        <v>1</v>
      </c>
      <c r="F434" s="643">
        <v>0</v>
      </c>
      <c r="G434" s="643">
        <v>0</v>
      </c>
      <c r="H434" s="643">
        <v>0</v>
      </c>
      <c r="I434" s="26">
        <f t="shared" si="41"/>
        <v>0</v>
      </c>
      <c r="J434" s="1340" t="e">
        <f t="shared" si="36"/>
        <v>#DIV/0!</v>
      </c>
      <c r="K434" s="1340">
        <f t="shared" si="37"/>
        <v>0</v>
      </c>
    </row>
    <row r="435" spans="1:11" ht="15" x14ac:dyDescent="0.25">
      <c r="A435" s="1341"/>
      <c r="B435" s="1344">
        <v>20300</v>
      </c>
      <c r="C435" s="1352">
        <v>344903900000000</v>
      </c>
      <c r="D435" s="1344" t="s">
        <v>3634</v>
      </c>
      <c r="E435" s="1344">
        <v>1</v>
      </c>
      <c r="F435" s="643">
        <v>0</v>
      </c>
      <c r="G435" s="643">
        <v>0</v>
      </c>
      <c r="H435" s="643">
        <v>0</v>
      </c>
      <c r="I435" s="26">
        <f t="shared" si="41"/>
        <v>0</v>
      </c>
      <c r="J435" s="1340" t="e">
        <f t="shared" si="36"/>
        <v>#DIV/0!</v>
      </c>
      <c r="K435" s="1340">
        <f t="shared" si="37"/>
        <v>0</v>
      </c>
    </row>
    <row r="436" spans="1:11" ht="15" x14ac:dyDescent="0.25">
      <c r="A436" s="1341"/>
      <c r="B436" s="1344">
        <v>20350</v>
      </c>
      <c r="C436" s="1352">
        <v>344903900000000</v>
      </c>
      <c r="D436" s="1344" t="s">
        <v>4241</v>
      </c>
      <c r="E436" s="1344">
        <v>1032</v>
      </c>
      <c r="F436" s="643">
        <v>0</v>
      </c>
      <c r="G436" s="643">
        <v>0</v>
      </c>
      <c r="H436" s="643">
        <v>0</v>
      </c>
      <c r="I436" s="26">
        <f t="shared" si="41"/>
        <v>0</v>
      </c>
      <c r="J436" s="1340" t="e">
        <f t="shared" si="36"/>
        <v>#DIV/0!</v>
      </c>
      <c r="K436" s="1340">
        <f t="shared" si="37"/>
        <v>0</v>
      </c>
    </row>
    <row r="437" spans="1:11" ht="15" x14ac:dyDescent="0.25">
      <c r="A437" s="1341"/>
      <c r="B437" s="1344">
        <v>24300</v>
      </c>
      <c r="C437" s="1352">
        <v>344903900000000</v>
      </c>
      <c r="D437" s="1344" t="s">
        <v>3635</v>
      </c>
      <c r="E437" s="1344">
        <v>1</v>
      </c>
      <c r="F437" s="643">
        <v>180</v>
      </c>
      <c r="G437" s="643">
        <v>0</v>
      </c>
      <c r="H437" s="643">
        <v>0</v>
      </c>
      <c r="I437" s="26">
        <f t="shared" si="41"/>
        <v>60</v>
      </c>
      <c r="J437" s="1340" t="e">
        <f t="shared" si="36"/>
        <v>#DIV/0!</v>
      </c>
      <c r="K437" s="1340">
        <f t="shared" si="37"/>
        <v>5.6787857675797669E-5</v>
      </c>
    </row>
    <row r="438" spans="1:11" ht="15" x14ac:dyDescent="0.25">
      <c r="A438" s="1341"/>
      <c r="B438" s="1344">
        <v>24350</v>
      </c>
      <c r="C438" s="1352">
        <v>344903900000000</v>
      </c>
      <c r="D438" s="1344" t="s">
        <v>4248</v>
      </c>
      <c r="E438" s="1344">
        <v>1166</v>
      </c>
      <c r="F438" s="643">
        <v>0</v>
      </c>
      <c r="G438" s="643">
        <v>0</v>
      </c>
      <c r="H438" s="643">
        <v>0</v>
      </c>
      <c r="I438" s="26">
        <f t="shared" si="41"/>
        <v>0</v>
      </c>
      <c r="J438" s="1340" t="e">
        <f t="shared" ref="J438:J501" si="42">(G438/F438)+(H438/G438)/2</f>
        <v>#DIV/0!</v>
      </c>
      <c r="K438" s="1340">
        <f t="shared" ref="K438:K501" si="43">I438/I$582</f>
        <v>0</v>
      </c>
    </row>
    <row r="439" spans="1:11" ht="15" x14ac:dyDescent="0.25">
      <c r="A439" s="1341"/>
      <c r="B439" s="1344">
        <v>16400</v>
      </c>
      <c r="C439" s="1352">
        <v>344905100000000</v>
      </c>
      <c r="D439" s="1344" t="s">
        <v>3636</v>
      </c>
      <c r="E439" s="1344">
        <v>1</v>
      </c>
      <c r="F439" s="643">
        <v>0</v>
      </c>
      <c r="G439" s="643">
        <v>0</v>
      </c>
      <c r="H439" s="643">
        <v>0</v>
      </c>
      <c r="I439" s="26">
        <f t="shared" si="41"/>
        <v>0</v>
      </c>
      <c r="J439" s="1340" t="e">
        <f t="shared" si="42"/>
        <v>#DIV/0!</v>
      </c>
      <c r="K439" s="1340">
        <f t="shared" si="43"/>
        <v>0</v>
      </c>
    </row>
    <row r="440" spans="1:11" ht="15" x14ac:dyDescent="0.25">
      <c r="A440" s="1341"/>
      <c r="B440" s="1344">
        <v>20400</v>
      </c>
      <c r="C440" s="1352">
        <v>344905100000000</v>
      </c>
      <c r="D440" s="1344" t="s">
        <v>3637</v>
      </c>
      <c r="E440" s="1344">
        <v>1</v>
      </c>
      <c r="F440" s="643">
        <v>0</v>
      </c>
      <c r="G440" s="643">
        <v>0</v>
      </c>
      <c r="H440" s="643">
        <v>0</v>
      </c>
      <c r="I440" s="26">
        <f t="shared" si="41"/>
        <v>0</v>
      </c>
      <c r="J440" s="1340" t="e">
        <f t="shared" si="42"/>
        <v>#DIV/0!</v>
      </c>
      <c r="K440" s="1340">
        <f t="shared" si="43"/>
        <v>0</v>
      </c>
    </row>
    <row r="441" spans="1:11" ht="15" x14ac:dyDescent="0.25">
      <c r="A441" s="1341"/>
      <c r="B441" s="1344">
        <v>24400</v>
      </c>
      <c r="C441" s="1352">
        <v>344905100000000</v>
      </c>
      <c r="D441" s="1344" t="s">
        <v>3638</v>
      </c>
      <c r="E441" s="1344">
        <v>1</v>
      </c>
      <c r="F441" s="643">
        <v>285202.12</v>
      </c>
      <c r="G441" s="643">
        <v>0</v>
      </c>
      <c r="H441" s="643">
        <v>0</v>
      </c>
      <c r="I441" s="26">
        <f t="shared" si="41"/>
        <v>95067.373333333337</v>
      </c>
      <c r="J441" s="1340" t="e">
        <f t="shared" si="42"/>
        <v>#DIV/0!</v>
      </c>
      <c r="K441" s="1340">
        <f t="shared" si="43"/>
        <v>8.9977874441087596E-2</v>
      </c>
    </row>
    <row r="442" spans="1:11" ht="15" x14ac:dyDescent="0.25">
      <c r="A442" s="1341"/>
      <c r="B442" s="1344">
        <v>16500</v>
      </c>
      <c r="C442" s="1352">
        <v>344905200000000</v>
      </c>
      <c r="D442" s="1344" t="s">
        <v>3643</v>
      </c>
      <c r="E442" s="1344">
        <v>1</v>
      </c>
      <c r="F442" s="643">
        <v>0</v>
      </c>
      <c r="G442" s="643">
        <v>0</v>
      </c>
      <c r="H442" s="643">
        <v>0</v>
      </c>
      <c r="I442" s="26">
        <f t="shared" si="41"/>
        <v>0</v>
      </c>
      <c r="J442" s="1340" t="e">
        <f t="shared" si="42"/>
        <v>#DIV/0!</v>
      </c>
      <c r="K442" s="1340">
        <f t="shared" si="43"/>
        <v>0</v>
      </c>
    </row>
    <row r="443" spans="1:11" ht="15" x14ac:dyDescent="0.25">
      <c r="A443" s="1341"/>
      <c r="B443" s="1344">
        <v>20500</v>
      </c>
      <c r="C443" s="1352">
        <v>344905200000000</v>
      </c>
      <c r="D443" s="1344" t="s">
        <v>3644</v>
      </c>
      <c r="E443" s="1344">
        <v>1</v>
      </c>
      <c r="F443" s="643">
        <v>0</v>
      </c>
      <c r="G443" s="643">
        <v>0</v>
      </c>
      <c r="H443" s="643">
        <v>0</v>
      </c>
      <c r="I443" s="26">
        <f t="shared" si="41"/>
        <v>0</v>
      </c>
      <c r="J443" s="1340" t="e">
        <f t="shared" si="42"/>
        <v>#DIV/0!</v>
      </c>
      <c r="K443" s="1340">
        <f t="shared" si="43"/>
        <v>0</v>
      </c>
    </row>
    <row r="444" spans="1:11" ht="15" x14ac:dyDescent="0.25">
      <c r="A444" s="1341"/>
      <c r="B444" s="1344">
        <v>20520</v>
      </c>
      <c r="C444" s="1352">
        <v>344905200000000</v>
      </c>
      <c r="D444" s="1344" t="s">
        <v>4242</v>
      </c>
      <c r="E444" s="1344">
        <v>1032</v>
      </c>
      <c r="F444" s="643">
        <v>0</v>
      </c>
      <c r="G444" s="643">
        <v>0</v>
      </c>
      <c r="H444" s="643">
        <v>0</v>
      </c>
      <c r="I444" s="26">
        <f t="shared" si="41"/>
        <v>0</v>
      </c>
      <c r="J444" s="1340" t="e">
        <f t="shared" si="42"/>
        <v>#DIV/0!</v>
      </c>
      <c r="K444" s="1340">
        <f t="shared" si="43"/>
        <v>0</v>
      </c>
    </row>
    <row r="445" spans="1:11" ht="30" x14ac:dyDescent="0.25">
      <c r="A445" s="1341"/>
      <c r="B445" s="1344">
        <v>20530</v>
      </c>
      <c r="C445" s="1352">
        <v>344905200000000</v>
      </c>
      <c r="D445" s="1344" t="s">
        <v>4244</v>
      </c>
      <c r="E445" s="1344">
        <v>1</v>
      </c>
      <c r="F445" s="643">
        <v>0</v>
      </c>
      <c r="G445" s="643">
        <v>0</v>
      </c>
      <c r="H445" s="643">
        <v>0</v>
      </c>
      <c r="I445" s="26">
        <f t="shared" si="41"/>
        <v>0</v>
      </c>
      <c r="J445" s="1340" t="e">
        <f t="shared" si="42"/>
        <v>#DIV/0!</v>
      </c>
      <c r="K445" s="1340">
        <f t="shared" si="43"/>
        <v>0</v>
      </c>
    </row>
    <row r="446" spans="1:11" ht="15" x14ac:dyDescent="0.25">
      <c r="A446" s="1341"/>
      <c r="B446" s="1344">
        <v>24500</v>
      </c>
      <c r="C446" s="1352">
        <v>344905200000000</v>
      </c>
      <c r="D446" s="1344" t="s">
        <v>3645</v>
      </c>
      <c r="E446" s="1344">
        <v>1</v>
      </c>
      <c r="F446" s="643">
        <v>0</v>
      </c>
      <c r="G446" s="643">
        <v>0</v>
      </c>
      <c r="H446" s="643">
        <v>0</v>
      </c>
      <c r="I446" s="26">
        <f t="shared" si="41"/>
        <v>0</v>
      </c>
      <c r="J446" s="1340" t="e">
        <f t="shared" si="42"/>
        <v>#DIV/0!</v>
      </c>
      <c r="K446" s="1340">
        <f t="shared" si="43"/>
        <v>0</v>
      </c>
    </row>
    <row r="447" spans="1:11" ht="15" x14ac:dyDescent="0.25">
      <c r="A447" s="1341"/>
      <c r="B447" s="1344">
        <v>24600</v>
      </c>
      <c r="C447" s="1352">
        <v>344905200000000</v>
      </c>
      <c r="D447" s="1344" t="s">
        <v>3646</v>
      </c>
      <c r="E447" s="1344">
        <v>1</v>
      </c>
      <c r="F447" s="643">
        <v>0</v>
      </c>
      <c r="G447" s="643">
        <v>0</v>
      </c>
      <c r="H447" s="643">
        <v>0</v>
      </c>
      <c r="I447" s="26">
        <f t="shared" si="41"/>
        <v>0</v>
      </c>
      <c r="J447" s="1340" t="e">
        <f t="shared" si="42"/>
        <v>#DIV/0!</v>
      </c>
      <c r="K447" s="1340">
        <f t="shared" si="43"/>
        <v>0</v>
      </c>
    </row>
    <row r="448" spans="1:11" ht="15" x14ac:dyDescent="0.25">
      <c r="A448" s="1341"/>
      <c r="B448" s="1344">
        <v>24700</v>
      </c>
      <c r="C448" s="1352">
        <v>344905200000000</v>
      </c>
      <c r="D448" s="1344" t="s">
        <v>3647</v>
      </c>
      <c r="E448" s="1344">
        <v>1166</v>
      </c>
      <c r="F448" s="643">
        <v>0</v>
      </c>
      <c r="G448" s="643">
        <v>0</v>
      </c>
      <c r="H448" s="643">
        <v>0</v>
      </c>
      <c r="I448" s="26">
        <f t="shared" si="41"/>
        <v>0</v>
      </c>
      <c r="J448" s="1340" t="e">
        <f t="shared" si="42"/>
        <v>#DIV/0!</v>
      </c>
      <c r="K448" s="1340">
        <f t="shared" si="43"/>
        <v>0</v>
      </c>
    </row>
    <row r="449" spans="1:11" s="12" customFormat="1" ht="15" x14ac:dyDescent="0.25">
      <c r="A449" s="1081"/>
      <c r="B449" s="1345" t="s">
        <v>2965</v>
      </c>
      <c r="C449" s="1343">
        <v>2</v>
      </c>
      <c r="D449" s="1345" t="s">
        <v>2966</v>
      </c>
      <c r="E449" s="1345"/>
      <c r="F449" s="642">
        <f>SUM(F450:F476)</f>
        <v>0</v>
      </c>
      <c r="G449" s="642">
        <f>SUM(G450:G476)</f>
        <v>384758.44999999995</v>
      </c>
      <c r="H449" s="642">
        <f>SUM(H450:H476)</f>
        <v>0</v>
      </c>
      <c r="I449" s="642">
        <f>SUM(I450:I476)</f>
        <v>128252.81666666667</v>
      </c>
      <c r="J449" s="1338" t="e">
        <f t="shared" si="42"/>
        <v>#DIV/0!</v>
      </c>
      <c r="K449" s="1338">
        <f t="shared" si="43"/>
        <v>0.12138671165644729</v>
      </c>
    </row>
    <row r="450" spans="1:11" ht="15" x14ac:dyDescent="0.25">
      <c r="A450" s="1341"/>
      <c r="B450" s="1344">
        <v>14000</v>
      </c>
      <c r="C450" s="1352">
        <v>331900400000000</v>
      </c>
      <c r="D450" s="1344" t="s">
        <v>5813</v>
      </c>
      <c r="E450" s="1344">
        <v>1</v>
      </c>
      <c r="F450" s="643">
        <v>0</v>
      </c>
      <c r="G450" s="643">
        <v>0</v>
      </c>
      <c r="H450" s="643">
        <v>0</v>
      </c>
      <c r="I450" s="26">
        <f t="shared" ref="I450:I476" si="44">(F450+G450+H450)/3</f>
        <v>0</v>
      </c>
      <c r="J450" s="1340" t="e">
        <f t="shared" si="42"/>
        <v>#DIV/0!</v>
      </c>
      <c r="K450" s="1340">
        <f t="shared" si="43"/>
        <v>0</v>
      </c>
    </row>
    <row r="451" spans="1:11" ht="15" x14ac:dyDescent="0.25">
      <c r="A451" s="1341"/>
      <c r="B451" s="1344">
        <v>14050</v>
      </c>
      <c r="C451" s="1352">
        <v>331900800000000</v>
      </c>
      <c r="D451" s="1344" t="s">
        <v>5813</v>
      </c>
      <c r="E451" s="1344">
        <v>1</v>
      </c>
      <c r="F451" s="643">
        <v>0</v>
      </c>
      <c r="G451" s="643">
        <v>0</v>
      </c>
      <c r="H451" s="643">
        <v>0</v>
      </c>
      <c r="I451" s="26">
        <f t="shared" si="44"/>
        <v>0</v>
      </c>
      <c r="J451" s="1340" t="e">
        <f t="shared" si="42"/>
        <v>#DIV/0!</v>
      </c>
      <c r="K451" s="1340">
        <f t="shared" si="43"/>
        <v>0</v>
      </c>
    </row>
    <row r="452" spans="1:11" ht="15" x14ac:dyDescent="0.25">
      <c r="A452" s="1341"/>
      <c r="B452" s="1344">
        <v>14100</v>
      </c>
      <c r="C452" s="1352">
        <v>331901100000000</v>
      </c>
      <c r="D452" s="1344" t="s">
        <v>5815</v>
      </c>
      <c r="E452" s="1344">
        <v>1</v>
      </c>
      <c r="F452" s="643">
        <v>0</v>
      </c>
      <c r="G452" s="643">
        <v>262796.62</v>
      </c>
      <c r="H452" s="643">
        <v>0</v>
      </c>
      <c r="I452" s="26">
        <f t="shared" si="44"/>
        <v>87598.873333333337</v>
      </c>
      <c r="J452" s="1340" t="e">
        <f t="shared" si="42"/>
        <v>#DIV/0!</v>
      </c>
      <c r="K452" s="1340">
        <f t="shared" si="43"/>
        <v>8.2909205856892682E-2</v>
      </c>
    </row>
    <row r="453" spans="1:11" ht="15" x14ac:dyDescent="0.25">
      <c r="A453" s="1341"/>
      <c r="B453" s="1344">
        <v>14200</v>
      </c>
      <c r="C453" s="1352">
        <v>331901300000000</v>
      </c>
      <c r="D453" s="1344" t="s">
        <v>5816</v>
      </c>
      <c r="E453" s="1344">
        <v>1</v>
      </c>
      <c r="F453" s="643">
        <v>0</v>
      </c>
      <c r="G453" s="643">
        <v>60488.97</v>
      </c>
      <c r="H453" s="643">
        <v>0</v>
      </c>
      <c r="I453" s="26">
        <f t="shared" si="44"/>
        <v>20162.990000000002</v>
      </c>
      <c r="J453" s="1340" t="e">
        <f t="shared" si="42"/>
        <v>#DIV/0!</v>
      </c>
      <c r="K453" s="1340">
        <f t="shared" si="43"/>
        <v>1.9083550107308861E-2</v>
      </c>
    </row>
    <row r="454" spans="1:11" ht="15" x14ac:dyDescent="0.25">
      <c r="A454" s="1341"/>
      <c r="B454" s="1344">
        <v>14300</v>
      </c>
      <c r="C454" s="1352">
        <v>331901600000000</v>
      </c>
      <c r="D454" s="1344" t="s">
        <v>5817</v>
      </c>
      <c r="E454" s="1344">
        <v>1</v>
      </c>
      <c r="F454" s="643">
        <v>0</v>
      </c>
      <c r="G454" s="643">
        <v>0</v>
      </c>
      <c r="H454" s="643">
        <v>0</v>
      </c>
      <c r="I454" s="26">
        <f t="shared" si="44"/>
        <v>0</v>
      </c>
      <c r="J454" s="1340" t="e">
        <f t="shared" si="42"/>
        <v>#DIV/0!</v>
      </c>
      <c r="K454" s="1340">
        <f t="shared" si="43"/>
        <v>0</v>
      </c>
    </row>
    <row r="455" spans="1:11" ht="15" x14ac:dyDescent="0.25">
      <c r="A455" s="1341"/>
      <c r="B455" s="1344">
        <v>14350</v>
      </c>
      <c r="C455" s="1352">
        <v>331903400000000</v>
      </c>
      <c r="D455" s="1344" t="s">
        <v>5818</v>
      </c>
      <c r="E455" s="1344">
        <v>1</v>
      </c>
      <c r="F455" s="643">
        <v>0</v>
      </c>
      <c r="G455" s="643">
        <v>2024</v>
      </c>
      <c r="H455" s="643">
        <v>0</v>
      </c>
      <c r="I455" s="26">
        <f t="shared" si="44"/>
        <v>674.66666666666663</v>
      </c>
      <c r="J455" s="1340" t="e">
        <f t="shared" si="42"/>
        <v>#DIV/0!</v>
      </c>
      <c r="K455" s="1340">
        <f t="shared" si="43"/>
        <v>6.385479107545248E-4</v>
      </c>
    </row>
    <row r="456" spans="1:11" ht="15" x14ac:dyDescent="0.25">
      <c r="A456" s="1341"/>
      <c r="B456" s="1344">
        <v>14400</v>
      </c>
      <c r="C456" s="1352">
        <v>331909400000000</v>
      </c>
      <c r="D456" s="1344" t="s">
        <v>5819</v>
      </c>
      <c r="E456" s="1344">
        <v>1</v>
      </c>
      <c r="F456" s="643">
        <v>0</v>
      </c>
      <c r="G456" s="643">
        <v>6570.99</v>
      </c>
      <c r="H456" s="643">
        <v>0</v>
      </c>
      <c r="I456" s="26">
        <f t="shared" si="44"/>
        <v>2190.33</v>
      </c>
      <c r="J456" s="1340" t="e">
        <f t="shared" si="42"/>
        <v>#DIV/0!</v>
      </c>
      <c r="K456" s="1340">
        <f t="shared" si="43"/>
        <v>2.0730691383838316E-3</v>
      </c>
    </row>
    <row r="457" spans="1:11" ht="15" x14ac:dyDescent="0.25">
      <c r="A457" s="1341"/>
      <c r="B457" s="1344">
        <v>14500</v>
      </c>
      <c r="C457" s="1352">
        <v>333901400000000</v>
      </c>
      <c r="D457" s="1344" t="s">
        <v>5820</v>
      </c>
      <c r="E457" s="1344">
        <v>1</v>
      </c>
      <c r="F457" s="643">
        <v>0</v>
      </c>
      <c r="G457" s="643">
        <v>9972.4500000000007</v>
      </c>
      <c r="H457" s="643">
        <v>0</v>
      </c>
      <c r="I457" s="26">
        <f t="shared" si="44"/>
        <v>3324.15</v>
      </c>
      <c r="J457" s="1340" t="e">
        <f t="shared" si="42"/>
        <v>#DIV/0!</v>
      </c>
      <c r="K457" s="1340">
        <f t="shared" si="43"/>
        <v>3.1461892848833805E-3</v>
      </c>
    </row>
    <row r="458" spans="1:11" ht="15" x14ac:dyDescent="0.25">
      <c r="A458" s="1341"/>
      <c r="B458" s="1344">
        <v>15900</v>
      </c>
      <c r="C458" s="1352">
        <v>333901400000000</v>
      </c>
      <c r="D458" s="1344" t="s">
        <v>5834</v>
      </c>
      <c r="E458" s="1344">
        <v>1</v>
      </c>
      <c r="F458" s="643">
        <v>0</v>
      </c>
      <c r="G458" s="643">
        <v>0</v>
      </c>
      <c r="H458" s="643">
        <v>0</v>
      </c>
      <c r="I458" s="26">
        <f t="shared" si="44"/>
        <v>0</v>
      </c>
      <c r="J458" s="1340" t="e">
        <f t="shared" si="42"/>
        <v>#DIV/0!</v>
      </c>
      <c r="K458" s="1340">
        <f t="shared" si="43"/>
        <v>0</v>
      </c>
    </row>
    <row r="459" spans="1:11" ht="15" x14ac:dyDescent="0.25">
      <c r="A459" s="1341"/>
      <c r="B459" s="1344">
        <v>14600</v>
      </c>
      <c r="C459" s="1352">
        <v>333903000000000</v>
      </c>
      <c r="D459" s="1344" t="s">
        <v>5821</v>
      </c>
      <c r="E459" s="1344">
        <v>1</v>
      </c>
      <c r="F459" s="643">
        <v>0</v>
      </c>
      <c r="G459" s="643">
        <v>3222.78</v>
      </c>
      <c r="H459" s="643">
        <v>0</v>
      </c>
      <c r="I459" s="26">
        <f t="shared" si="44"/>
        <v>1074.26</v>
      </c>
      <c r="J459" s="1340" t="e">
        <f t="shared" si="42"/>
        <v>#DIV/0!</v>
      </c>
      <c r="K459" s="1340">
        <f t="shared" si="43"/>
        <v>1.0167487331133734E-3</v>
      </c>
    </row>
    <row r="460" spans="1:11" ht="15" x14ac:dyDescent="0.25">
      <c r="A460" s="1341"/>
      <c r="B460" s="1344">
        <v>14700</v>
      </c>
      <c r="C460" s="1352">
        <v>333903300000000</v>
      </c>
      <c r="D460" s="1344" t="s">
        <v>5822</v>
      </c>
      <c r="E460" s="1344">
        <v>1</v>
      </c>
      <c r="F460" s="643">
        <v>0</v>
      </c>
      <c r="G460" s="643">
        <v>0</v>
      </c>
      <c r="H460" s="643">
        <v>0</v>
      </c>
      <c r="I460" s="26">
        <f t="shared" si="44"/>
        <v>0</v>
      </c>
      <c r="J460" s="1340" t="e">
        <f t="shared" si="42"/>
        <v>#DIV/0!</v>
      </c>
      <c r="K460" s="1340">
        <f t="shared" si="43"/>
        <v>0</v>
      </c>
    </row>
    <row r="461" spans="1:11" ht="30" x14ac:dyDescent="0.25">
      <c r="A461" s="1341"/>
      <c r="B461" s="1344">
        <v>15920</v>
      </c>
      <c r="C461" s="1352">
        <v>333903300000000</v>
      </c>
      <c r="D461" s="1344" t="s">
        <v>7677</v>
      </c>
      <c r="E461" s="1344">
        <v>1</v>
      </c>
      <c r="F461" s="643">
        <v>0</v>
      </c>
      <c r="G461" s="643">
        <v>0</v>
      </c>
      <c r="H461" s="643">
        <v>0</v>
      </c>
      <c r="I461" s="26">
        <f t="shared" si="44"/>
        <v>0</v>
      </c>
      <c r="J461" s="1340" t="e">
        <f t="shared" si="42"/>
        <v>#DIV/0!</v>
      </c>
      <c r="K461" s="1340">
        <f t="shared" si="43"/>
        <v>0</v>
      </c>
    </row>
    <row r="462" spans="1:11" ht="15" x14ac:dyDescent="0.25">
      <c r="A462" s="1341"/>
      <c r="B462" s="1344">
        <v>14800</v>
      </c>
      <c r="C462" s="1352">
        <v>333903500000000</v>
      </c>
      <c r="D462" s="1344" t="s">
        <v>5823</v>
      </c>
      <c r="E462" s="1344">
        <v>1</v>
      </c>
      <c r="F462" s="643">
        <v>0</v>
      </c>
      <c r="G462" s="643">
        <v>0</v>
      </c>
      <c r="H462" s="643">
        <v>0</v>
      </c>
      <c r="I462" s="26">
        <f t="shared" si="44"/>
        <v>0</v>
      </c>
      <c r="J462" s="1340" t="e">
        <f t="shared" si="42"/>
        <v>#DIV/0!</v>
      </c>
      <c r="K462" s="1340">
        <f t="shared" si="43"/>
        <v>0</v>
      </c>
    </row>
    <row r="463" spans="1:11" ht="15" x14ac:dyDescent="0.25">
      <c r="A463" s="1341"/>
      <c r="B463" s="1344">
        <v>14900</v>
      </c>
      <c r="C463" s="1352">
        <v>333903600000000</v>
      </c>
      <c r="D463" s="1344" t="s">
        <v>5824</v>
      </c>
      <c r="E463" s="1344">
        <v>1</v>
      </c>
      <c r="F463" s="643">
        <v>0</v>
      </c>
      <c r="G463" s="643">
        <v>19700</v>
      </c>
      <c r="H463" s="643">
        <v>0</v>
      </c>
      <c r="I463" s="26">
        <f t="shared" si="44"/>
        <v>6566.666666666667</v>
      </c>
      <c r="J463" s="1340" t="e">
        <f t="shared" si="42"/>
        <v>#DIV/0!</v>
      </c>
      <c r="K463" s="1340">
        <f t="shared" si="43"/>
        <v>6.2151155345178564E-3</v>
      </c>
    </row>
    <row r="464" spans="1:11" ht="15" x14ac:dyDescent="0.25">
      <c r="A464" s="1341"/>
      <c r="B464" s="1344">
        <v>15940</v>
      </c>
      <c r="C464" s="1352">
        <v>333903600000000</v>
      </c>
      <c r="D464" s="1344" t="s">
        <v>5841</v>
      </c>
      <c r="E464" s="1344">
        <v>1</v>
      </c>
      <c r="F464" s="643">
        <v>0</v>
      </c>
      <c r="G464" s="643">
        <v>0</v>
      </c>
      <c r="H464" s="643">
        <v>0</v>
      </c>
      <c r="I464" s="26">
        <f t="shared" si="44"/>
        <v>0</v>
      </c>
      <c r="J464" s="1340" t="e">
        <f t="shared" si="42"/>
        <v>#DIV/0!</v>
      </c>
      <c r="K464" s="1340">
        <f t="shared" si="43"/>
        <v>0</v>
      </c>
    </row>
    <row r="465" spans="1:11" ht="15" x14ac:dyDescent="0.25">
      <c r="A465" s="1341"/>
      <c r="B465" s="1344">
        <v>15000</v>
      </c>
      <c r="C465" s="1352">
        <v>333903900000000</v>
      </c>
      <c r="D465" s="1344" t="s">
        <v>5825</v>
      </c>
      <c r="E465" s="1344">
        <v>1</v>
      </c>
      <c r="F465" s="643">
        <v>0</v>
      </c>
      <c r="G465" s="643">
        <v>13841.92</v>
      </c>
      <c r="H465" s="643">
        <v>0</v>
      </c>
      <c r="I465" s="26">
        <f t="shared" si="44"/>
        <v>4613.9733333333334</v>
      </c>
      <c r="J465" s="1340" t="e">
        <f t="shared" si="42"/>
        <v>#DIV/0!</v>
      </c>
      <c r="K465" s="1340">
        <f t="shared" si="43"/>
        <v>4.3669610162209846E-3</v>
      </c>
    </row>
    <row r="466" spans="1:11" ht="15" x14ac:dyDescent="0.25">
      <c r="A466" s="1341"/>
      <c r="B466" s="1344">
        <v>15960</v>
      </c>
      <c r="C466" s="1352">
        <v>333903900000000</v>
      </c>
      <c r="D466" s="1344" t="s">
        <v>7676</v>
      </c>
      <c r="E466" s="1344">
        <v>1</v>
      </c>
      <c r="F466" s="643">
        <v>0</v>
      </c>
      <c r="G466" s="643">
        <v>0</v>
      </c>
      <c r="H466" s="643">
        <v>0</v>
      </c>
      <c r="I466" s="26">
        <f t="shared" si="44"/>
        <v>0</v>
      </c>
      <c r="J466" s="1340" t="e">
        <f t="shared" si="42"/>
        <v>#DIV/0!</v>
      </c>
      <c r="K466" s="1340">
        <f t="shared" si="43"/>
        <v>0</v>
      </c>
    </row>
    <row r="467" spans="1:11" ht="30" x14ac:dyDescent="0.25">
      <c r="A467" s="1341"/>
      <c r="B467" s="1344">
        <v>15850</v>
      </c>
      <c r="C467" s="1352">
        <v>333904000000000</v>
      </c>
      <c r="D467" s="1344" t="s">
        <v>7675</v>
      </c>
      <c r="E467" s="1344">
        <v>1</v>
      </c>
      <c r="F467" s="643">
        <v>0</v>
      </c>
      <c r="G467" s="643">
        <v>0</v>
      </c>
      <c r="H467" s="643">
        <v>0</v>
      </c>
      <c r="I467" s="26">
        <f t="shared" si="44"/>
        <v>0</v>
      </c>
      <c r="J467" s="1340" t="e">
        <f t="shared" si="42"/>
        <v>#DIV/0!</v>
      </c>
      <c r="K467" s="1340">
        <f t="shared" si="43"/>
        <v>0</v>
      </c>
    </row>
    <row r="468" spans="1:11" ht="15" x14ac:dyDescent="0.25">
      <c r="A468" s="1341"/>
      <c r="B468" s="1344">
        <v>15100</v>
      </c>
      <c r="C468" s="1352">
        <v>333904600000000</v>
      </c>
      <c r="D468" s="1344" t="s">
        <v>5826</v>
      </c>
      <c r="E468" s="1344">
        <v>1</v>
      </c>
      <c r="F468" s="643">
        <v>0</v>
      </c>
      <c r="G468" s="643">
        <v>0</v>
      </c>
      <c r="H468" s="643">
        <v>0</v>
      </c>
      <c r="I468" s="26">
        <f t="shared" si="44"/>
        <v>0</v>
      </c>
      <c r="J468" s="1340" t="e">
        <f t="shared" si="42"/>
        <v>#DIV/0!</v>
      </c>
      <c r="K468" s="1340">
        <f t="shared" si="43"/>
        <v>0</v>
      </c>
    </row>
    <row r="469" spans="1:11" ht="15" x14ac:dyDescent="0.25">
      <c r="A469" s="1341"/>
      <c r="B469" s="1344">
        <v>15200</v>
      </c>
      <c r="C469" s="1352">
        <v>333904700000000</v>
      </c>
      <c r="D469" s="1344" t="s">
        <v>7674</v>
      </c>
      <c r="E469" s="1344">
        <v>1</v>
      </c>
      <c r="F469" s="643">
        <v>0</v>
      </c>
      <c r="G469" s="643">
        <v>340</v>
      </c>
      <c r="H469" s="643">
        <v>0</v>
      </c>
      <c r="I469" s="26">
        <f t="shared" si="44"/>
        <v>113.33333333333333</v>
      </c>
      <c r="J469" s="1340" t="e">
        <f t="shared" si="42"/>
        <v>#DIV/0!</v>
      </c>
      <c r="K469" s="1340">
        <f t="shared" si="43"/>
        <v>1.0726595338761781E-4</v>
      </c>
    </row>
    <row r="470" spans="1:11" ht="15" x14ac:dyDescent="0.25">
      <c r="A470" s="1341"/>
      <c r="B470" s="1344">
        <v>15980</v>
      </c>
      <c r="C470" s="1352">
        <v>333904700000000</v>
      </c>
      <c r="D470" s="1344" t="s">
        <v>7673</v>
      </c>
      <c r="E470" s="1344">
        <v>1</v>
      </c>
      <c r="F470" s="643">
        <v>0</v>
      </c>
      <c r="G470" s="643">
        <v>0</v>
      </c>
      <c r="H470" s="643">
        <v>0</v>
      </c>
      <c r="I470" s="26">
        <f t="shared" si="44"/>
        <v>0</v>
      </c>
      <c r="J470" s="1340" t="e">
        <f t="shared" si="42"/>
        <v>#DIV/0!</v>
      </c>
      <c r="K470" s="1340">
        <f t="shared" si="43"/>
        <v>0</v>
      </c>
    </row>
    <row r="471" spans="1:11" ht="15" x14ac:dyDescent="0.25">
      <c r="A471" s="1341"/>
      <c r="B471" s="1344">
        <v>15300</v>
      </c>
      <c r="C471" s="1352">
        <v>333904900000000</v>
      </c>
      <c r="D471" s="1344" t="s">
        <v>5828</v>
      </c>
      <c r="E471" s="1344">
        <v>1</v>
      </c>
      <c r="F471" s="643">
        <v>0</v>
      </c>
      <c r="G471" s="643">
        <v>5715.72</v>
      </c>
      <c r="H471" s="643">
        <v>0</v>
      </c>
      <c r="I471" s="26">
        <f t="shared" si="44"/>
        <v>1905.24</v>
      </c>
      <c r="J471" s="1340" t="e">
        <f t="shared" si="42"/>
        <v>#DIV/0!</v>
      </c>
      <c r="K471" s="1340">
        <f t="shared" si="43"/>
        <v>1.8032416326372791E-3</v>
      </c>
    </row>
    <row r="472" spans="1:11" ht="15" x14ac:dyDescent="0.25">
      <c r="A472" s="1341"/>
      <c r="B472" s="1344">
        <v>15400</v>
      </c>
      <c r="C472" s="1352">
        <v>333909200000000</v>
      </c>
      <c r="D472" s="1344" t="s">
        <v>5829</v>
      </c>
      <c r="E472" s="1344">
        <v>1</v>
      </c>
      <c r="F472" s="643">
        <v>0</v>
      </c>
      <c r="G472" s="643">
        <v>0</v>
      </c>
      <c r="H472" s="643">
        <v>0</v>
      </c>
      <c r="I472" s="26">
        <f t="shared" si="44"/>
        <v>0</v>
      </c>
      <c r="J472" s="1340" t="e">
        <f t="shared" si="42"/>
        <v>#DIV/0!</v>
      </c>
      <c r="K472" s="1340">
        <f t="shared" si="43"/>
        <v>0</v>
      </c>
    </row>
    <row r="473" spans="1:11" ht="15" x14ac:dyDescent="0.25">
      <c r="A473" s="1341"/>
      <c r="B473" s="1344">
        <v>15500</v>
      </c>
      <c r="C473" s="1352">
        <v>333909300000000</v>
      </c>
      <c r="D473" s="1344" t="s">
        <v>5830</v>
      </c>
      <c r="E473" s="1344">
        <v>1</v>
      </c>
      <c r="F473" s="643">
        <v>0</v>
      </c>
      <c r="G473" s="643">
        <v>85</v>
      </c>
      <c r="H473" s="643">
        <v>0</v>
      </c>
      <c r="I473" s="26">
        <f t="shared" si="44"/>
        <v>28.333333333333332</v>
      </c>
      <c r="J473" s="1340" t="e">
        <f t="shared" si="42"/>
        <v>#DIV/0!</v>
      </c>
      <c r="K473" s="1340">
        <f t="shared" si="43"/>
        <v>2.6816488346904451E-5</v>
      </c>
    </row>
    <row r="474" spans="1:11" ht="15" x14ac:dyDescent="0.25">
      <c r="A474" s="1341"/>
      <c r="B474" s="1344">
        <v>15600</v>
      </c>
      <c r="C474" s="1352">
        <v>333933000000000</v>
      </c>
      <c r="D474" s="1344" t="s">
        <v>5831</v>
      </c>
      <c r="E474" s="1344">
        <v>1</v>
      </c>
      <c r="F474" s="643">
        <v>0</v>
      </c>
      <c r="G474" s="643">
        <v>0</v>
      </c>
      <c r="H474" s="643">
        <v>0</v>
      </c>
      <c r="I474" s="26">
        <f t="shared" si="44"/>
        <v>0</v>
      </c>
      <c r="J474" s="1340" t="e">
        <f t="shared" si="42"/>
        <v>#DIV/0!</v>
      </c>
      <c r="K474" s="1340">
        <f t="shared" si="43"/>
        <v>0</v>
      </c>
    </row>
    <row r="475" spans="1:11" ht="15" x14ac:dyDescent="0.25">
      <c r="A475" s="1341"/>
      <c r="B475" s="1344">
        <v>15700</v>
      </c>
      <c r="C475" s="1352">
        <v>344905100000000</v>
      </c>
      <c r="D475" s="1344" t="s">
        <v>5832</v>
      </c>
      <c r="E475" s="1344">
        <v>1</v>
      </c>
      <c r="F475" s="643">
        <v>0</v>
      </c>
      <c r="G475" s="643">
        <v>0</v>
      </c>
      <c r="H475" s="643">
        <v>0</v>
      </c>
      <c r="I475" s="26">
        <f t="shared" si="44"/>
        <v>0</v>
      </c>
      <c r="J475" s="1340" t="e">
        <f t="shared" si="42"/>
        <v>#DIV/0!</v>
      </c>
      <c r="K475" s="1340">
        <f t="shared" si="43"/>
        <v>0</v>
      </c>
    </row>
    <row r="476" spans="1:11" ht="15" x14ac:dyDescent="0.25">
      <c r="A476" s="1341"/>
      <c r="B476" s="1344">
        <v>15800</v>
      </c>
      <c r="C476" s="1352">
        <v>344905200000000</v>
      </c>
      <c r="D476" s="1344" t="s">
        <v>5833</v>
      </c>
      <c r="E476" s="1344">
        <v>1</v>
      </c>
      <c r="F476" s="643">
        <v>0</v>
      </c>
      <c r="G476" s="643">
        <v>0</v>
      </c>
      <c r="H476" s="643">
        <v>0</v>
      </c>
      <c r="I476" s="26">
        <f t="shared" si="44"/>
        <v>0</v>
      </c>
      <c r="J476" s="1340" t="e">
        <f t="shared" si="42"/>
        <v>#DIV/0!</v>
      </c>
      <c r="K476" s="1340">
        <f t="shared" si="43"/>
        <v>0</v>
      </c>
    </row>
    <row r="477" spans="1:11" s="12" customFormat="1" ht="15" x14ac:dyDescent="0.25">
      <c r="A477" s="1081"/>
      <c r="B477" s="1345" t="s">
        <v>2965</v>
      </c>
      <c r="C477" s="1343">
        <v>3</v>
      </c>
      <c r="D477" s="1345" t="s">
        <v>3744</v>
      </c>
      <c r="E477" s="1345"/>
      <c r="F477" s="642">
        <f>SUM(F478:F549)</f>
        <v>829789.86</v>
      </c>
      <c r="G477" s="642">
        <f>SUM(G478:G549)</f>
        <v>125126.69</v>
      </c>
      <c r="H477" s="642">
        <f>SUM(H478:H549)</f>
        <v>0</v>
      </c>
      <c r="I477" s="642">
        <f>SUM(I478:I549)</f>
        <v>318305.51666666666</v>
      </c>
      <c r="J477" s="1338">
        <f t="shared" si="42"/>
        <v>0.15079322613077004</v>
      </c>
      <c r="K477" s="1338">
        <f t="shared" si="43"/>
        <v>0.30126480629813179</v>
      </c>
    </row>
    <row r="478" spans="1:11" ht="15" x14ac:dyDescent="0.25">
      <c r="A478" s="1341"/>
      <c r="B478" s="1344">
        <v>18000</v>
      </c>
      <c r="C478" s="1352">
        <v>331900400000000</v>
      </c>
      <c r="D478" s="1344" t="s">
        <v>3745</v>
      </c>
      <c r="E478" s="1344">
        <v>1</v>
      </c>
      <c r="F478" s="643">
        <v>81354.81</v>
      </c>
      <c r="G478" s="643">
        <v>0</v>
      </c>
      <c r="H478" s="643">
        <v>0</v>
      </c>
      <c r="I478" s="26">
        <f t="shared" ref="I478:I509" si="45">(F478+G478+H478)/3</f>
        <v>27118.27</v>
      </c>
      <c r="J478" s="1340" t="e">
        <f t="shared" si="42"/>
        <v>#DIV/0!</v>
      </c>
      <c r="K478" s="1340">
        <f t="shared" si="43"/>
        <v>2.5666474286230895E-2</v>
      </c>
    </row>
    <row r="479" spans="1:11" ht="15" x14ac:dyDescent="0.25">
      <c r="A479" s="1341"/>
      <c r="B479" s="1344">
        <v>21000</v>
      </c>
      <c r="C479" s="1352">
        <v>331900400000000</v>
      </c>
      <c r="D479" s="1344" t="s">
        <v>3746</v>
      </c>
      <c r="E479" s="1344">
        <v>1</v>
      </c>
      <c r="F479" s="643">
        <v>0</v>
      </c>
      <c r="G479" s="643">
        <v>0</v>
      </c>
      <c r="H479" s="643">
        <v>0</v>
      </c>
      <c r="I479" s="26">
        <f t="shared" si="45"/>
        <v>0</v>
      </c>
      <c r="J479" s="1340" t="e">
        <f t="shared" si="42"/>
        <v>#DIV/0!</v>
      </c>
      <c r="K479" s="1340">
        <f t="shared" si="43"/>
        <v>0</v>
      </c>
    </row>
    <row r="480" spans="1:11" ht="15" x14ac:dyDescent="0.25">
      <c r="A480" s="1341"/>
      <c r="B480" s="1344">
        <v>25000</v>
      </c>
      <c r="C480" s="1352">
        <v>331900400000000</v>
      </c>
      <c r="D480" s="1344" t="s">
        <v>3747</v>
      </c>
      <c r="E480" s="1344">
        <v>1</v>
      </c>
      <c r="F480" s="643">
        <v>0</v>
      </c>
      <c r="G480" s="643">
        <v>0</v>
      </c>
      <c r="H480" s="643">
        <v>0</v>
      </c>
      <c r="I480" s="26">
        <f t="shared" si="45"/>
        <v>0</v>
      </c>
      <c r="J480" s="1340" t="e">
        <f t="shared" si="42"/>
        <v>#DIV/0!</v>
      </c>
      <c r="K480" s="1340">
        <f t="shared" si="43"/>
        <v>0</v>
      </c>
    </row>
    <row r="481" spans="1:11" ht="15" x14ac:dyDescent="0.25">
      <c r="A481" s="1341"/>
      <c r="B481" s="1344">
        <v>18050</v>
      </c>
      <c r="C481" s="1352">
        <v>331900800000000</v>
      </c>
      <c r="D481" s="1344" t="s">
        <v>4261</v>
      </c>
      <c r="E481" s="1344">
        <v>1</v>
      </c>
      <c r="F481" s="643">
        <v>0</v>
      </c>
      <c r="G481" s="643">
        <v>0</v>
      </c>
      <c r="H481" s="643">
        <v>0</v>
      </c>
      <c r="I481" s="26">
        <f t="shared" si="45"/>
        <v>0</v>
      </c>
      <c r="J481" s="1340" t="e">
        <f t="shared" si="42"/>
        <v>#DIV/0!</v>
      </c>
      <c r="K481" s="1340">
        <f t="shared" si="43"/>
        <v>0</v>
      </c>
    </row>
    <row r="482" spans="1:11" ht="15" x14ac:dyDescent="0.25">
      <c r="A482" s="1341"/>
      <c r="B482" s="1344">
        <v>21050</v>
      </c>
      <c r="C482" s="1352">
        <v>331900800000000</v>
      </c>
      <c r="D482" s="1344" t="s">
        <v>4261</v>
      </c>
      <c r="E482" s="1344">
        <v>1</v>
      </c>
      <c r="F482" s="643">
        <v>0</v>
      </c>
      <c r="G482" s="643">
        <v>0</v>
      </c>
      <c r="H482" s="643">
        <v>0</v>
      </c>
      <c r="I482" s="26">
        <f t="shared" si="45"/>
        <v>0</v>
      </c>
      <c r="J482" s="1340" t="e">
        <f t="shared" si="42"/>
        <v>#DIV/0!</v>
      </c>
      <c r="K482" s="1340">
        <f t="shared" si="43"/>
        <v>0</v>
      </c>
    </row>
    <row r="483" spans="1:11" ht="15" x14ac:dyDescent="0.25">
      <c r="A483" s="1341"/>
      <c r="B483" s="1344">
        <v>25050</v>
      </c>
      <c r="C483" s="1352">
        <v>331900800000000</v>
      </c>
      <c r="D483" s="1344" t="s">
        <v>7672</v>
      </c>
      <c r="E483" s="1344">
        <v>1</v>
      </c>
      <c r="F483" s="643">
        <v>0</v>
      </c>
      <c r="G483" s="643">
        <v>0</v>
      </c>
      <c r="H483" s="643">
        <v>0</v>
      </c>
      <c r="I483" s="26">
        <f t="shared" si="45"/>
        <v>0</v>
      </c>
      <c r="J483" s="1340" t="e">
        <f t="shared" si="42"/>
        <v>#DIV/0!</v>
      </c>
      <c r="K483" s="1340">
        <f t="shared" si="43"/>
        <v>0</v>
      </c>
    </row>
    <row r="484" spans="1:11" ht="15" x14ac:dyDescent="0.25">
      <c r="A484" s="1341"/>
      <c r="B484" s="1344">
        <v>18100</v>
      </c>
      <c r="C484" s="1352">
        <v>331901100000000</v>
      </c>
      <c r="D484" s="1344" t="s">
        <v>3752</v>
      </c>
      <c r="E484" s="1344">
        <v>1</v>
      </c>
      <c r="F484" s="643">
        <v>0</v>
      </c>
      <c r="G484" s="643">
        <v>0</v>
      </c>
      <c r="H484" s="643">
        <v>0</v>
      </c>
      <c r="I484" s="26">
        <f t="shared" si="45"/>
        <v>0</v>
      </c>
      <c r="J484" s="1340" t="e">
        <f t="shared" si="42"/>
        <v>#DIV/0!</v>
      </c>
      <c r="K484" s="1340">
        <f t="shared" si="43"/>
        <v>0</v>
      </c>
    </row>
    <row r="485" spans="1:11" ht="15" x14ac:dyDescent="0.25">
      <c r="A485" s="1341"/>
      <c r="B485" s="1344">
        <v>21100</v>
      </c>
      <c r="C485" s="1352">
        <v>331901100000000</v>
      </c>
      <c r="D485" s="1344" t="s">
        <v>3753</v>
      </c>
      <c r="E485" s="1344">
        <v>1</v>
      </c>
      <c r="F485" s="643">
        <v>0</v>
      </c>
      <c r="G485" s="643">
        <v>0</v>
      </c>
      <c r="H485" s="643">
        <v>0</v>
      </c>
      <c r="I485" s="26">
        <f t="shared" si="45"/>
        <v>0</v>
      </c>
      <c r="J485" s="1340" t="e">
        <f t="shared" si="42"/>
        <v>#DIV/0!</v>
      </c>
      <c r="K485" s="1340">
        <f t="shared" si="43"/>
        <v>0</v>
      </c>
    </row>
    <row r="486" spans="1:11" ht="15" x14ac:dyDescent="0.25">
      <c r="A486" s="1341"/>
      <c r="B486" s="1344">
        <v>25100</v>
      </c>
      <c r="C486" s="1352">
        <v>331901100000000</v>
      </c>
      <c r="D486" s="1344" t="s">
        <v>3754</v>
      </c>
      <c r="E486" s="1344">
        <v>1</v>
      </c>
      <c r="F486" s="643">
        <v>128445.67</v>
      </c>
      <c r="G486" s="643">
        <v>0</v>
      </c>
      <c r="H486" s="643">
        <v>0</v>
      </c>
      <c r="I486" s="26">
        <f t="shared" si="45"/>
        <v>42815.223333333335</v>
      </c>
      <c r="J486" s="1340" t="e">
        <f t="shared" si="42"/>
        <v>#DIV/0!</v>
      </c>
      <c r="K486" s="1340">
        <f t="shared" si="43"/>
        <v>4.0523080150180413E-2</v>
      </c>
    </row>
    <row r="487" spans="1:11" ht="15" x14ac:dyDescent="0.25">
      <c r="A487" s="1341"/>
      <c r="B487" s="1344">
        <v>18200</v>
      </c>
      <c r="C487" s="1352">
        <v>331901300000000</v>
      </c>
      <c r="D487" s="1344" t="s">
        <v>3765</v>
      </c>
      <c r="E487" s="1344">
        <v>1</v>
      </c>
      <c r="F487" s="643">
        <v>0</v>
      </c>
      <c r="G487" s="643">
        <v>0</v>
      </c>
      <c r="H487" s="643">
        <v>0</v>
      </c>
      <c r="I487" s="26">
        <f t="shared" si="45"/>
        <v>0</v>
      </c>
      <c r="J487" s="1340" t="e">
        <f t="shared" si="42"/>
        <v>#DIV/0!</v>
      </c>
      <c r="K487" s="1340">
        <f t="shared" si="43"/>
        <v>0</v>
      </c>
    </row>
    <row r="488" spans="1:11" ht="15" x14ac:dyDescent="0.25">
      <c r="A488" s="1341"/>
      <c r="B488" s="1344">
        <v>21200</v>
      </c>
      <c r="C488" s="1352">
        <v>331901300000000</v>
      </c>
      <c r="D488" s="1344" t="s">
        <v>3766</v>
      </c>
      <c r="E488" s="1344">
        <v>1</v>
      </c>
      <c r="F488" s="643">
        <v>0</v>
      </c>
      <c r="G488" s="643">
        <v>0</v>
      </c>
      <c r="H488" s="643">
        <v>0</v>
      </c>
      <c r="I488" s="26">
        <f t="shared" si="45"/>
        <v>0</v>
      </c>
      <c r="J488" s="1340" t="e">
        <f t="shared" si="42"/>
        <v>#DIV/0!</v>
      </c>
      <c r="K488" s="1340">
        <f t="shared" si="43"/>
        <v>0</v>
      </c>
    </row>
    <row r="489" spans="1:11" ht="15" x14ac:dyDescent="0.25">
      <c r="A489" s="1341"/>
      <c r="B489" s="1344">
        <v>25200</v>
      </c>
      <c r="C489" s="1352">
        <v>331901300000000</v>
      </c>
      <c r="D489" s="1344" t="s">
        <v>3767</v>
      </c>
      <c r="E489" s="1344">
        <v>1</v>
      </c>
      <c r="F489" s="643">
        <v>32583.99</v>
      </c>
      <c r="G489" s="643">
        <v>0</v>
      </c>
      <c r="H489" s="643">
        <v>0</v>
      </c>
      <c r="I489" s="26">
        <f t="shared" si="45"/>
        <v>10861.33</v>
      </c>
      <c r="J489" s="1340" t="e">
        <f t="shared" si="42"/>
        <v>#DIV/0!</v>
      </c>
      <c r="K489" s="1340">
        <f t="shared" si="43"/>
        <v>1.027986103683119E-2</v>
      </c>
    </row>
    <row r="490" spans="1:11" ht="15" x14ac:dyDescent="0.25">
      <c r="A490" s="1341"/>
      <c r="B490" s="1344">
        <v>18300</v>
      </c>
      <c r="C490" s="1352">
        <v>331901600000000</v>
      </c>
      <c r="D490" s="1344" t="s">
        <v>3770</v>
      </c>
      <c r="E490" s="1344">
        <v>1</v>
      </c>
      <c r="F490" s="643">
        <v>0</v>
      </c>
      <c r="G490" s="643">
        <v>0</v>
      </c>
      <c r="H490" s="643">
        <v>0</v>
      </c>
      <c r="I490" s="26">
        <f t="shared" si="45"/>
        <v>0</v>
      </c>
      <c r="J490" s="1340" t="e">
        <f t="shared" si="42"/>
        <v>#DIV/0!</v>
      </c>
      <c r="K490" s="1340">
        <f t="shared" si="43"/>
        <v>0</v>
      </c>
    </row>
    <row r="491" spans="1:11" ht="15" x14ac:dyDescent="0.25">
      <c r="A491" s="1341"/>
      <c r="B491" s="1344">
        <v>21300</v>
      </c>
      <c r="C491" s="1352">
        <v>331901600000000</v>
      </c>
      <c r="D491" s="1344" t="s">
        <v>3771</v>
      </c>
      <c r="E491" s="1344">
        <v>1</v>
      </c>
      <c r="F491" s="643">
        <v>0</v>
      </c>
      <c r="G491" s="643">
        <v>0</v>
      </c>
      <c r="H491" s="643">
        <v>0</v>
      </c>
      <c r="I491" s="26">
        <f t="shared" si="45"/>
        <v>0</v>
      </c>
      <c r="J491" s="1340" t="e">
        <f t="shared" si="42"/>
        <v>#DIV/0!</v>
      </c>
      <c r="K491" s="1340">
        <f t="shared" si="43"/>
        <v>0</v>
      </c>
    </row>
    <row r="492" spans="1:11" ht="15" x14ac:dyDescent="0.25">
      <c r="A492" s="1341"/>
      <c r="B492" s="1344">
        <v>25300</v>
      </c>
      <c r="C492" s="1352">
        <v>331901600000000</v>
      </c>
      <c r="D492" s="1344" t="s">
        <v>3772</v>
      </c>
      <c r="E492" s="1344">
        <v>1</v>
      </c>
      <c r="F492" s="643">
        <v>52644.34</v>
      </c>
      <c r="G492" s="643">
        <v>0</v>
      </c>
      <c r="H492" s="643">
        <v>0</v>
      </c>
      <c r="I492" s="26">
        <f t="shared" si="45"/>
        <v>17548.113333333331</v>
      </c>
      <c r="J492" s="1340" t="e">
        <f t="shared" si="42"/>
        <v>#DIV/0!</v>
      </c>
      <c r="K492" s="1340">
        <f t="shared" si="43"/>
        <v>1.6608662707535009E-2</v>
      </c>
    </row>
    <row r="493" spans="1:11" ht="15" x14ac:dyDescent="0.25">
      <c r="A493" s="1341"/>
      <c r="B493" s="1344">
        <v>18350</v>
      </c>
      <c r="C493" s="1352">
        <v>331903400000000</v>
      </c>
      <c r="D493" s="1344" t="s">
        <v>2988</v>
      </c>
      <c r="E493" s="1344">
        <v>1</v>
      </c>
      <c r="F493" s="643">
        <v>0</v>
      </c>
      <c r="G493" s="643">
        <v>0</v>
      </c>
      <c r="H493" s="643">
        <v>0</v>
      </c>
      <c r="I493" s="26">
        <f t="shared" si="45"/>
        <v>0</v>
      </c>
      <c r="J493" s="1340" t="e">
        <f t="shared" si="42"/>
        <v>#DIV/0!</v>
      </c>
      <c r="K493" s="1340">
        <f t="shared" si="43"/>
        <v>0</v>
      </c>
    </row>
    <row r="494" spans="1:11" ht="15" x14ac:dyDescent="0.25">
      <c r="A494" s="1341"/>
      <c r="B494" s="1344">
        <v>21350</v>
      </c>
      <c r="C494" s="1352">
        <v>331903400000000</v>
      </c>
      <c r="D494" s="1344" t="s">
        <v>2988</v>
      </c>
      <c r="E494" s="1344">
        <v>1</v>
      </c>
      <c r="F494" s="643">
        <v>0</v>
      </c>
      <c r="G494" s="643">
        <v>0</v>
      </c>
      <c r="H494" s="643">
        <v>0</v>
      </c>
      <c r="I494" s="26">
        <f t="shared" si="45"/>
        <v>0</v>
      </c>
      <c r="J494" s="1340" t="e">
        <f t="shared" si="42"/>
        <v>#DIV/0!</v>
      </c>
      <c r="K494" s="1340">
        <f t="shared" si="43"/>
        <v>0</v>
      </c>
    </row>
    <row r="495" spans="1:11" ht="15" x14ac:dyDescent="0.25">
      <c r="A495" s="1341"/>
      <c r="B495" s="1344">
        <v>25350</v>
      </c>
      <c r="C495" s="1352">
        <v>331903400000000</v>
      </c>
      <c r="D495" s="1344" t="s">
        <v>3775</v>
      </c>
      <c r="E495" s="1344">
        <v>1</v>
      </c>
      <c r="F495" s="643">
        <v>0</v>
      </c>
      <c r="G495" s="643">
        <v>0</v>
      </c>
      <c r="H495" s="643">
        <v>0</v>
      </c>
      <c r="I495" s="26">
        <f t="shared" si="45"/>
        <v>0</v>
      </c>
      <c r="J495" s="1340" t="e">
        <f t="shared" si="42"/>
        <v>#DIV/0!</v>
      </c>
      <c r="K495" s="1340">
        <f t="shared" si="43"/>
        <v>0</v>
      </c>
    </row>
    <row r="496" spans="1:11" ht="15" x14ac:dyDescent="0.25">
      <c r="A496" s="1341"/>
      <c r="B496" s="1344">
        <v>18400</v>
      </c>
      <c r="C496" s="1352">
        <v>331909400000000</v>
      </c>
      <c r="D496" s="1344" t="s">
        <v>3776</v>
      </c>
      <c r="E496" s="1344">
        <v>1</v>
      </c>
      <c r="F496" s="643">
        <v>0</v>
      </c>
      <c r="G496" s="643">
        <v>873.95</v>
      </c>
      <c r="H496" s="643">
        <v>0</v>
      </c>
      <c r="I496" s="26">
        <f t="shared" si="45"/>
        <v>291.31666666666666</v>
      </c>
      <c r="J496" s="1340" t="e">
        <f t="shared" si="42"/>
        <v>#DIV/0!</v>
      </c>
      <c r="K496" s="1340">
        <f t="shared" si="43"/>
        <v>2.757208234209076E-4</v>
      </c>
    </row>
    <row r="497" spans="1:11" ht="15" x14ac:dyDescent="0.25">
      <c r="A497" s="1341"/>
      <c r="B497" s="1344">
        <v>21400</v>
      </c>
      <c r="C497" s="1352">
        <v>331909400000000</v>
      </c>
      <c r="D497" s="1344" t="s">
        <v>3777</v>
      </c>
      <c r="E497" s="1344">
        <v>1</v>
      </c>
      <c r="F497" s="643">
        <v>0</v>
      </c>
      <c r="G497" s="643">
        <v>0</v>
      </c>
      <c r="H497" s="643">
        <v>0</v>
      </c>
      <c r="I497" s="26">
        <f t="shared" si="45"/>
        <v>0</v>
      </c>
      <c r="J497" s="1340" t="e">
        <f t="shared" si="42"/>
        <v>#DIV/0!</v>
      </c>
      <c r="K497" s="1340">
        <f t="shared" si="43"/>
        <v>0</v>
      </c>
    </row>
    <row r="498" spans="1:11" ht="15" x14ac:dyDescent="0.25">
      <c r="A498" s="1341"/>
      <c r="B498" s="1344">
        <v>25400</v>
      </c>
      <c r="C498" s="1352">
        <v>331909400000000</v>
      </c>
      <c r="D498" s="1344" t="s">
        <v>3778</v>
      </c>
      <c r="E498" s="1344">
        <v>1</v>
      </c>
      <c r="F498" s="643">
        <v>0</v>
      </c>
      <c r="G498" s="643">
        <v>0</v>
      </c>
      <c r="H498" s="643">
        <v>0</v>
      </c>
      <c r="I498" s="26">
        <f t="shared" si="45"/>
        <v>0</v>
      </c>
      <c r="J498" s="1340" t="e">
        <f t="shared" si="42"/>
        <v>#DIV/0!</v>
      </c>
      <c r="K498" s="1340">
        <f t="shared" si="43"/>
        <v>0</v>
      </c>
    </row>
    <row r="499" spans="1:11" ht="15" x14ac:dyDescent="0.25">
      <c r="A499" s="1341"/>
      <c r="B499" s="1344">
        <v>18500</v>
      </c>
      <c r="C499" s="1352">
        <v>333901400000000</v>
      </c>
      <c r="D499" s="1344" t="s">
        <v>3783</v>
      </c>
      <c r="E499" s="1344">
        <v>1</v>
      </c>
      <c r="F499" s="643">
        <v>0</v>
      </c>
      <c r="G499" s="643">
        <v>0</v>
      </c>
      <c r="H499" s="643">
        <v>0</v>
      </c>
      <c r="I499" s="26">
        <f t="shared" si="45"/>
        <v>0</v>
      </c>
      <c r="J499" s="1340" t="e">
        <f t="shared" si="42"/>
        <v>#DIV/0!</v>
      </c>
      <c r="K499" s="1340">
        <f t="shared" si="43"/>
        <v>0</v>
      </c>
    </row>
    <row r="500" spans="1:11" ht="15" x14ac:dyDescent="0.25">
      <c r="A500" s="1341"/>
      <c r="B500" s="1344">
        <v>21500</v>
      </c>
      <c r="C500" s="1352">
        <v>333901400000000</v>
      </c>
      <c r="D500" s="1344" t="s">
        <v>3784</v>
      </c>
      <c r="E500" s="1344">
        <v>1</v>
      </c>
      <c r="F500" s="643">
        <v>9875.33</v>
      </c>
      <c r="G500" s="643">
        <v>9078</v>
      </c>
      <c r="H500" s="643">
        <v>0</v>
      </c>
      <c r="I500" s="26">
        <f t="shared" si="45"/>
        <v>6317.7766666666676</v>
      </c>
      <c r="J500" s="1340">
        <f t="shared" si="42"/>
        <v>0.91926041965179894</v>
      </c>
      <c r="K500" s="1340">
        <f t="shared" si="43"/>
        <v>5.9795500362357021E-3</v>
      </c>
    </row>
    <row r="501" spans="1:11" ht="15" x14ac:dyDescent="0.25">
      <c r="A501" s="1341"/>
      <c r="B501" s="1344">
        <v>25500</v>
      </c>
      <c r="C501" s="1352">
        <v>333901400000000</v>
      </c>
      <c r="D501" s="1344" t="s">
        <v>3787</v>
      </c>
      <c r="E501" s="1344">
        <v>1</v>
      </c>
      <c r="F501" s="643">
        <v>0</v>
      </c>
      <c r="G501" s="643">
        <v>0</v>
      </c>
      <c r="H501" s="643">
        <v>0</v>
      </c>
      <c r="I501" s="26">
        <f t="shared" si="45"/>
        <v>0</v>
      </c>
      <c r="J501" s="1340" t="e">
        <f t="shared" si="42"/>
        <v>#DIV/0!</v>
      </c>
      <c r="K501" s="1340">
        <f t="shared" si="43"/>
        <v>0</v>
      </c>
    </row>
    <row r="502" spans="1:11" ht="15" x14ac:dyDescent="0.25">
      <c r="A502" s="1341"/>
      <c r="B502" s="1344">
        <v>27000</v>
      </c>
      <c r="C502" s="1352">
        <v>333901400000000</v>
      </c>
      <c r="D502" s="1344" t="s">
        <v>5838</v>
      </c>
      <c r="E502" s="1344">
        <v>1</v>
      </c>
      <c r="F502" s="643">
        <v>0</v>
      </c>
      <c r="G502" s="643">
        <v>0</v>
      </c>
      <c r="H502" s="643">
        <v>0</v>
      </c>
      <c r="I502" s="26">
        <f t="shared" si="45"/>
        <v>0</v>
      </c>
      <c r="J502" s="1340" t="e">
        <f t="shared" ref="J502:J565" si="46">(G502/F502)+(H502/G502)/2</f>
        <v>#DIV/0!</v>
      </c>
      <c r="K502" s="1340">
        <f t="shared" ref="K502:K565" si="47">I502/I$582</f>
        <v>0</v>
      </c>
    </row>
    <row r="503" spans="1:11" ht="15" x14ac:dyDescent="0.25">
      <c r="A503" s="1341"/>
      <c r="B503" s="1344">
        <v>18600</v>
      </c>
      <c r="C503" s="1352">
        <v>333903000000000</v>
      </c>
      <c r="D503" s="1344" t="s">
        <v>3792</v>
      </c>
      <c r="E503" s="1344">
        <v>1</v>
      </c>
      <c r="F503" s="643">
        <v>0</v>
      </c>
      <c r="G503" s="643">
        <v>6982.04</v>
      </c>
      <c r="H503" s="643">
        <v>0</v>
      </c>
      <c r="I503" s="26">
        <f t="shared" si="45"/>
        <v>2327.3466666666668</v>
      </c>
      <c r="J503" s="1340" t="e">
        <f t="shared" si="46"/>
        <v>#DIV/0!</v>
      </c>
      <c r="K503" s="1340">
        <f t="shared" si="47"/>
        <v>2.2027505211484797E-3</v>
      </c>
    </row>
    <row r="504" spans="1:11" ht="15" x14ac:dyDescent="0.25">
      <c r="A504" s="1341"/>
      <c r="B504" s="1344">
        <v>21600</v>
      </c>
      <c r="C504" s="1352">
        <v>333903000000000</v>
      </c>
      <c r="D504" s="1344" t="s">
        <v>3628</v>
      </c>
      <c r="E504" s="1344">
        <v>1</v>
      </c>
      <c r="F504" s="643">
        <v>0</v>
      </c>
      <c r="G504" s="643">
        <v>13620.75</v>
      </c>
      <c r="H504" s="643">
        <v>0</v>
      </c>
      <c r="I504" s="26">
        <f t="shared" si="45"/>
        <v>4540.25</v>
      </c>
      <c r="J504" s="1340" t="e">
        <f t="shared" si="46"/>
        <v>#DIV/0!</v>
      </c>
      <c r="K504" s="1340">
        <f t="shared" si="47"/>
        <v>4.2971845135423396E-3</v>
      </c>
    </row>
    <row r="505" spans="1:11" ht="15" x14ac:dyDescent="0.25">
      <c r="A505" s="1341"/>
      <c r="B505" s="1344">
        <v>25600</v>
      </c>
      <c r="C505" s="1352">
        <v>333903000000000</v>
      </c>
      <c r="D505" s="1344" t="s">
        <v>3807</v>
      </c>
      <c r="E505" s="1344">
        <v>1</v>
      </c>
      <c r="F505" s="643">
        <f>383149.25-16349.71</f>
        <v>366799.54</v>
      </c>
      <c r="G505" s="643">
        <v>0</v>
      </c>
      <c r="H505" s="643">
        <v>0</v>
      </c>
      <c r="I505" s="26">
        <f t="shared" si="45"/>
        <v>122266.51333333332</v>
      </c>
      <c r="J505" s="1340" t="e">
        <f t="shared" si="46"/>
        <v>#DIV/0!</v>
      </c>
      <c r="K505" s="1340">
        <f t="shared" si="47"/>
        <v>0.11572088929482251</v>
      </c>
    </row>
    <row r="506" spans="1:11" ht="15" x14ac:dyDescent="0.25">
      <c r="A506" s="1341"/>
      <c r="B506" s="1344">
        <v>25700</v>
      </c>
      <c r="C506" s="1352">
        <v>333903000000000</v>
      </c>
      <c r="D506" s="1344" t="s">
        <v>3916</v>
      </c>
      <c r="E506" s="1344">
        <v>1048</v>
      </c>
      <c r="F506" s="643">
        <v>16349.71</v>
      </c>
      <c r="G506" s="643">
        <v>0</v>
      </c>
      <c r="H506" s="643">
        <v>0</v>
      </c>
      <c r="I506" s="26">
        <f t="shared" si="45"/>
        <v>5449.9033333333327</v>
      </c>
      <c r="J506" s="1340" t="e">
        <f t="shared" si="46"/>
        <v>#DIV/0!</v>
      </c>
      <c r="K506" s="1340">
        <f t="shared" si="47"/>
        <v>5.1581389140031436E-3</v>
      </c>
    </row>
    <row r="507" spans="1:11" ht="15" x14ac:dyDescent="0.25">
      <c r="A507" s="1341"/>
      <c r="B507" s="1344">
        <v>18700</v>
      </c>
      <c r="C507" s="1352">
        <v>333903300000000</v>
      </c>
      <c r="D507" s="1344" t="s">
        <v>3945</v>
      </c>
      <c r="E507" s="1344">
        <v>1</v>
      </c>
      <c r="F507" s="643">
        <v>0</v>
      </c>
      <c r="G507" s="643">
        <v>0</v>
      </c>
      <c r="H507" s="643">
        <v>0</v>
      </c>
      <c r="I507" s="26">
        <f t="shared" si="45"/>
        <v>0</v>
      </c>
      <c r="J507" s="1340" t="e">
        <f t="shared" si="46"/>
        <v>#DIV/0!</v>
      </c>
      <c r="K507" s="1340">
        <f t="shared" si="47"/>
        <v>0</v>
      </c>
    </row>
    <row r="508" spans="1:11" ht="15" x14ac:dyDescent="0.25">
      <c r="A508" s="1341"/>
      <c r="B508" s="1344">
        <v>21700</v>
      </c>
      <c r="C508" s="1352">
        <v>333903300000000</v>
      </c>
      <c r="D508" s="1344" t="s">
        <v>3946</v>
      </c>
      <c r="E508" s="1344">
        <v>1</v>
      </c>
      <c r="F508" s="643">
        <v>0</v>
      </c>
      <c r="G508" s="643">
        <v>0</v>
      </c>
      <c r="H508" s="643">
        <v>0</v>
      </c>
      <c r="I508" s="26">
        <f t="shared" si="45"/>
        <v>0</v>
      </c>
      <c r="J508" s="1340" t="e">
        <f t="shared" si="46"/>
        <v>#DIV/0!</v>
      </c>
      <c r="K508" s="1340">
        <f t="shared" si="47"/>
        <v>0</v>
      </c>
    </row>
    <row r="509" spans="1:11" ht="15" x14ac:dyDescent="0.25">
      <c r="A509" s="1341"/>
      <c r="B509" s="1344">
        <v>25800</v>
      </c>
      <c r="C509" s="1352">
        <v>333903300000000</v>
      </c>
      <c r="D509" s="1344" t="s">
        <v>3947</v>
      </c>
      <c r="E509" s="1344">
        <v>1</v>
      </c>
      <c r="F509" s="643">
        <v>0</v>
      </c>
      <c r="G509" s="643">
        <v>0</v>
      </c>
      <c r="H509" s="643">
        <v>0</v>
      </c>
      <c r="I509" s="26">
        <f t="shared" si="45"/>
        <v>0</v>
      </c>
      <c r="J509" s="1340" t="e">
        <f t="shared" si="46"/>
        <v>#DIV/0!</v>
      </c>
      <c r="K509" s="1340">
        <f t="shared" si="47"/>
        <v>0</v>
      </c>
    </row>
    <row r="510" spans="1:11" ht="15" x14ac:dyDescent="0.25">
      <c r="A510" s="1341"/>
      <c r="B510" s="1344">
        <v>27030</v>
      </c>
      <c r="C510" s="1352">
        <v>333903300000000</v>
      </c>
      <c r="D510" s="1344" t="s">
        <v>7671</v>
      </c>
      <c r="E510" s="1344">
        <v>1</v>
      </c>
      <c r="F510" s="643">
        <v>0</v>
      </c>
      <c r="G510" s="643">
        <v>0</v>
      </c>
      <c r="H510" s="643">
        <v>0</v>
      </c>
      <c r="I510" s="26">
        <f t="shared" ref="I510:I541" si="48">(F510+G510+H510)/3</f>
        <v>0</v>
      </c>
      <c r="J510" s="1340" t="e">
        <f t="shared" si="46"/>
        <v>#DIV/0!</v>
      </c>
      <c r="K510" s="1340">
        <f t="shared" si="47"/>
        <v>0</v>
      </c>
    </row>
    <row r="511" spans="1:11" ht="15" x14ac:dyDescent="0.25">
      <c r="A511" s="1341"/>
      <c r="B511" s="1344">
        <v>18800</v>
      </c>
      <c r="C511" s="1352">
        <v>333903500000000</v>
      </c>
      <c r="D511" s="1344" t="s">
        <v>3948</v>
      </c>
      <c r="E511" s="1344">
        <v>1</v>
      </c>
      <c r="F511" s="643">
        <v>0</v>
      </c>
      <c r="G511" s="643">
        <v>0</v>
      </c>
      <c r="H511" s="643">
        <v>0</v>
      </c>
      <c r="I511" s="26">
        <f t="shared" si="48"/>
        <v>0</v>
      </c>
      <c r="J511" s="1340" t="e">
        <f t="shared" si="46"/>
        <v>#DIV/0!</v>
      </c>
      <c r="K511" s="1340">
        <f t="shared" si="47"/>
        <v>0</v>
      </c>
    </row>
    <row r="512" spans="1:11" ht="15" x14ac:dyDescent="0.25">
      <c r="A512" s="1341"/>
      <c r="B512" s="1344">
        <v>21800</v>
      </c>
      <c r="C512" s="1352">
        <v>333903500000000</v>
      </c>
      <c r="D512" s="1344" t="s">
        <v>3949</v>
      </c>
      <c r="E512" s="1344">
        <v>1</v>
      </c>
      <c r="F512" s="643">
        <v>0</v>
      </c>
      <c r="G512" s="643">
        <v>0</v>
      </c>
      <c r="H512" s="643">
        <v>0</v>
      </c>
      <c r="I512" s="26">
        <f t="shared" si="48"/>
        <v>0</v>
      </c>
      <c r="J512" s="1340" t="e">
        <f t="shared" si="46"/>
        <v>#DIV/0!</v>
      </c>
      <c r="K512" s="1340">
        <f t="shared" si="47"/>
        <v>0</v>
      </c>
    </row>
    <row r="513" spans="1:11" ht="15" x14ac:dyDescent="0.25">
      <c r="A513" s="1341"/>
      <c r="B513" s="1344">
        <v>25900</v>
      </c>
      <c r="C513" s="1352">
        <v>333903500000000</v>
      </c>
      <c r="D513" s="1344" t="s">
        <v>3950</v>
      </c>
      <c r="E513" s="1344">
        <v>1</v>
      </c>
      <c r="F513" s="643">
        <v>0</v>
      </c>
      <c r="G513" s="643">
        <v>0</v>
      </c>
      <c r="H513" s="643">
        <v>0</v>
      </c>
      <c r="I513" s="26">
        <f t="shared" si="48"/>
        <v>0</v>
      </c>
      <c r="J513" s="1340" t="e">
        <f t="shared" si="46"/>
        <v>#DIV/0!</v>
      </c>
      <c r="K513" s="1340">
        <f t="shared" si="47"/>
        <v>0</v>
      </c>
    </row>
    <row r="514" spans="1:11" ht="15" x14ac:dyDescent="0.25">
      <c r="A514" s="1341"/>
      <c r="B514" s="1344">
        <v>18900</v>
      </c>
      <c r="C514" s="1352">
        <v>333903600000000</v>
      </c>
      <c r="D514" s="1344" t="s">
        <v>3951</v>
      </c>
      <c r="E514" s="1344">
        <v>1</v>
      </c>
      <c r="F514" s="643">
        <v>0</v>
      </c>
      <c r="G514" s="643">
        <v>75242.039999999994</v>
      </c>
      <c r="H514" s="643">
        <v>0</v>
      </c>
      <c r="I514" s="26">
        <f t="shared" si="48"/>
        <v>25080.679999999997</v>
      </c>
      <c r="J514" s="1340" t="e">
        <f t="shared" si="46"/>
        <v>#DIV/0!</v>
      </c>
      <c r="K514" s="1340">
        <f t="shared" si="47"/>
        <v>2.3737968104203748E-2</v>
      </c>
    </row>
    <row r="515" spans="1:11" ht="15" x14ac:dyDescent="0.25">
      <c r="A515" s="1341"/>
      <c r="B515" s="1344">
        <v>21900</v>
      </c>
      <c r="C515" s="1352">
        <v>333903600000000</v>
      </c>
      <c r="D515" s="1344" t="s">
        <v>3631</v>
      </c>
      <c r="E515" s="1344">
        <v>1</v>
      </c>
      <c r="F515" s="643">
        <v>0</v>
      </c>
      <c r="G515" s="643">
        <v>0</v>
      </c>
      <c r="H515" s="643">
        <v>0</v>
      </c>
      <c r="I515" s="26">
        <f t="shared" si="48"/>
        <v>0</v>
      </c>
      <c r="J515" s="1340" t="e">
        <f t="shared" si="46"/>
        <v>#DIV/0!</v>
      </c>
      <c r="K515" s="1340">
        <f t="shared" si="47"/>
        <v>0</v>
      </c>
    </row>
    <row r="516" spans="1:11" ht="15" x14ac:dyDescent="0.25">
      <c r="A516" s="1341"/>
      <c r="B516" s="1344">
        <v>26000</v>
      </c>
      <c r="C516" s="1352">
        <v>333903600000000</v>
      </c>
      <c r="D516" s="1344" t="s">
        <v>3952</v>
      </c>
      <c r="E516" s="1344">
        <v>1</v>
      </c>
      <c r="F516" s="643">
        <v>0</v>
      </c>
      <c r="G516" s="643">
        <v>0</v>
      </c>
      <c r="H516" s="643">
        <v>0</v>
      </c>
      <c r="I516" s="26">
        <f t="shared" si="48"/>
        <v>0</v>
      </c>
      <c r="J516" s="1340" t="e">
        <f t="shared" si="46"/>
        <v>#DIV/0!</v>
      </c>
      <c r="K516" s="1340">
        <f t="shared" si="47"/>
        <v>0</v>
      </c>
    </row>
    <row r="517" spans="1:11" ht="15" x14ac:dyDescent="0.25">
      <c r="A517" s="1341"/>
      <c r="B517" s="1344">
        <v>27060</v>
      </c>
      <c r="C517" s="1352">
        <v>333903600000000</v>
      </c>
      <c r="D517" s="1344" t="s">
        <v>7670</v>
      </c>
      <c r="E517" s="1344">
        <v>1</v>
      </c>
      <c r="F517" s="643">
        <v>0</v>
      </c>
      <c r="G517" s="643">
        <v>0</v>
      </c>
      <c r="H517" s="643">
        <v>0</v>
      </c>
      <c r="I517" s="26">
        <f t="shared" si="48"/>
        <v>0</v>
      </c>
      <c r="J517" s="1340" t="e">
        <f t="shared" si="46"/>
        <v>#DIV/0!</v>
      </c>
      <c r="K517" s="1340">
        <f t="shared" si="47"/>
        <v>0</v>
      </c>
    </row>
    <row r="518" spans="1:11" ht="15" x14ac:dyDescent="0.25">
      <c r="A518" s="1341"/>
      <c r="B518" s="1344">
        <v>19000</v>
      </c>
      <c r="C518" s="1352">
        <v>333903900000000</v>
      </c>
      <c r="D518" s="1344" t="s">
        <v>3953</v>
      </c>
      <c r="E518" s="1344">
        <v>1</v>
      </c>
      <c r="F518" s="643">
        <v>0</v>
      </c>
      <c r="G518" s="643">
        <v>0</v>
      </c>
      <c r="H518" s="643">
        <v>0</v>
      </c>
      <c r="I518" s="26">
        <f t="shared" si="48"/>
        <v>0</v>
      </c>
      <c r="J518" s="1340" t="e">
        <f t="shared" si="46"/>
        <v>#DIV/0!</v>
      </c>
      <c r="K518" s="1340">
        <f t="shared" si="47"/>
        <v>0</v>
      </c>
    </row>
    <row r="519" spans="1:11" ht="15" x14ac:dyDescent="0.25">
      <c r="A519" s="1341"/>
      <c r="B519" s="1344">
        <v>22000</v>
      </c>
      <c r="C519" s="1352">
        <v>333903900000000</v>
      </c>
      <c r="D519" s="1344" t="s">
        <v>3634</v>
      </c>
      <c r="E519" s="1344">
        <v>1</v>
      </c>
      <c r="F519" s="643">
        <v>0</v>
      </c>
      <c r="G519" s="643">
        <v>19245.91</v>
      </c>
      <c r="H519" s="643">
        <v>0</v>
      </c>
      <c r="I519" s="26">
        <f t="shared" si="48"/>
        <v>6415.3033333333333</v>
      </c>
      <c r="J519" s="1340" t="e">
        <f t="shared" si="46"/>
        <v>#DIV/0!</v>
      </c>
      <c r="K519" s="1340">
        <f t="shared" si="47"/>
        <v>6.0718555440067278E-3</v>
      </c>
    </row>
    <row r="520" spans="1:11" ht="15" x14ac:dyDescent="0.25">
      <c r="A520" s="1341"/>
      <c r="B520" s="1344">
        <v>26100</v>
      </c>
      <c r="C520" s="1352">
        <v>333903900000000</v>
      </c>
      <c r="D520" s="1344" t="s">
        <v>3972</v>
      </c>
      <c r="E520" s="1344">
        <v>1</v>
      </c>
      <c r="F520" s="643">
        <v>131055.11</v>
      </c>
      <c r="G520" s="643">
        <v>0</v>
      </c>
      <c r="H520" s="643">
        <v>0</v>
      </c>
      <c r="I520" s="26">
        <f t="shared" si="48"/>
        <v>43685.036666666667</v>
      </c>
      <c r="J520" s="1340" t="e">
        <f t="shared" si="46"/>
        <v>#DIV/0!</v>
      </c>
      <c r="K520" s="1340">
        <f t="shared" si="47"/>
        <v>4.1346327413144486E-2</v>
      </c>
    </row>
    <row r="521" spans="1:11" ht="15" x14ac:dyDescent="0.25">
      <c r="A521" s="1341"/>
      <c r="B521" s="1344">
        <v>26160</v>
      </c>
      <c r="C521" s="1352">
        <v>333903900000000</v>
      </c>
      <c r="D521" s="1344" t="s">
        <v>4255</v>
      </c>
      <c r="E521" s="1344">
        <v>1048</v>
      </c>
      <c r="F521" s="643">
        <v>0</v>
      </c>
      <c r="G521" s="643">
        <v>0</v>
      </c>
      <c r="H521" s="643">
        <v>0</v>
      </c>
      <c r="I521" s="26">
        <f t="shared" si="48"/>
        <v>0</v>
      </c>
      <c r="J521" s="1340" t="e">
        <f t="shared" si="46"/>
        <v>#DIV/0!</v>
      </c>
      <c r="K521" s="1340">
        <f t="shared" si="47"/>
        <v>0</v>
      </c>
    </row>
    <row r="522" spans="1:11" ht="15" x14ac:dyDescent="0.25">
      <c r="A522" s="1341"/>
      <c r="B522" s="1344">
        <v>27080</v>
      </c>
      <c r="C522" s="1352">
        <v>333903900000000</v>
      </c>
      <c r="D522" s="1344" t="s">
        <v>7669</v>
      </c>
      <c r="E522" s="1344">
        <v>1</v>
      </c>
      <c r="F522" s="643">
        <v>0</v>
      </c>
      <c r="G522" s="643">
        <v>0</v>
      </c>
      <c r="H522" s="643">
        <v>0</v>
      </c>
      <c r="I522" s="26">
        <f t="shared" si="48"/>
        <v>0</v>
      </c>
      <c r="J522" s="1340" t="e">
        <f t="shared" si="46"/>
        <v>#DIV/0!</v>
      </c>
      <c r="K522" s="1340">
        <f t="shared" si="47"/>
        <v>0</v>
      </c>
    </row>
    <row r="523" spans="1:11" ht="30" x14ac:dyDescent="0.25">
      <c r="A523" s="1341"/>
      <c r="B523" s="1344">
        <v>26950</v>
      </c>
      <c r="C523" s="1352">
        <v>333904000000000</v>
      </c>
      <c r="D523" s="1344" t="s">
        <v>7668</v>
      </c>
      <c r="E523" s="1344">
        <v>1</v>
      </c>
      <c r="F523" s="643">
        <v>0</v>
      </c>
      <c r="G523" s="643">
        <v>0</v>
      </c>
      <c r="H523" s="643">
        <v>0</v>
      </c>
      <c r="I523" s="26">
        <f t="shared" si="48"/>
        <v>0</v>
      </c>
      <c r="J523" s="1340" t="e">
        <f t="shared" si="46"/>
        <v>#DIV/0!</v>
      </c>
      <c r="K523" s="1340">
        <f t="shared" si="47"/>
        <v>0</v>
      </c>
    </row>
    <row r="524" spans="1:11" ht="15" x14ac:dyDescent="0.25">
      <c r="A524" s="1341"/>
      <c r="B524" s="1344">
        <v>19100</v>
      </c>
      <c r="C524" s="1352">
        <v>333904600000000</v>
      </c>
      <c r="D524" s="1344" t="s">
        <v>4036</v>
      </c>
      <c r="E524" s="1344">
        <v>1</v>
      </c>
      <c r="F524" s="643">
        <v>0</v>
      </c>
      <c r="G524" s="643">
        <v>0</v>
      </c>
      <c r="H524" s="643">
        <v>0</v>
      </c>
      <c r="I524" s="26">
        <f t="shared" si="48"/>
        <v>0</v>
      </c>
      <c r="J524" s="1340" t="e">
        <f t="shared" si="46"/>
        <v>#DIV/0!</v>
      </c>
      <c r="K524" s="1340">
        <f t="shared" si="47"/>
        <v>0</v>
      </c>
    </row>
    <row r="525" spans="1:11" ht="15" x14ac:dyDescent="0.25">
      <c r="A525" s="1341"/>
      <c r="B525" s="1344">
        <v>22100</v>
      </c>
      <c r="C525" s="1352">
        <v>333904600000000</v>
      </c>
      <c r="D525" s="1344" t="s">
        <v>4037</v>
      </c>
      <c r="E525" s="1344">
        <v>1</v>
      </c>
      <c r="F525" s="643">
        <v>0</v>
      </c>
      <c r="G525" s="643">
        <v>0</v>
      </c>
      <c r="H525" s="643">
        <v>0</v>
      </c>
      <c r="I525" s="26">
        <f t="shared" si="48"/>
        <v>0</v>
      </c>
      <c r="J525" s="1340" t="e">
        <f t="shared" si="46"/>
        <v>#DIV/0!</v>
      </c>
      <c r="K525" s="1340">
        <f t="shared" si="47"/>
        <v>0</v>
      </c>
    </row>
    <row r="526" spans="1:11" ht="15" x14ac:dyDescent="0.25">
      <c r="A526" s="1341"/>
      <c r="B526" s="1344">
        <v>26200</v>
      </c>
      <c r="C526" s="1352">
        <v>333904600000000</v>
      </c>
      <c r="D526" s="1344" t="s">
        <v>4038</v>
      </c>
      <c r="E526" s="1344">
        <v>1</v>
      </c>
      <c r="F526" s="643">
        <v>0</v>
      </c>
      <c r="G526" s="643">
        <v>0</v>
      </c>
      <c r="H526" s="643">
        <v>0</v>
      </c>
      <c r="I526" s="26">
        <f t="shared" si="48"/>
        <v>0</v>
      </c>
      <c r="J526" s="1340" t="e">
        <f t="shared" si="46"/>
        <v>#DIV/0!</v>
      </c>
      <c r="K526" s="1340">
        <f t="shared" si="47"/>
        <v>0</v>
      </c>
    </row>
    <row r="527" spans="1:11" ht="15" x14ac:dyDescent="0.25">
      <c r="A527" s="1341"/>
      <c r="B527" s="1344">
        <v>19200</v>
      </c>
      <c r="C527" s="1352">
        <v>333904700000000</v>
      </c>
      <c r="D527" s="1344" t="s">
        <v>4039</v>
      </c>
      <c r="E527" s="1344">
        <v>1</v>
      </c>
      <c r="F527" s="643">
        <v>0</v>
      </c>
      <c r="G527" s="643">
        <v>0</v>
      </c>
      <c r="H527" s="643">
        <v>0</v>
      </c>
      <c r="I527" s="26">
        <f t="shared" si="48"/>
        <v>0</v>
      </c>
      <c r="J527" s="1340" t="e">
        <f t="shared" si="46"/>
        <v>#DIV/0!</v>
      </c>
      <c r="K527" s="1340">
        <f t="shared" si="47"/>
        <v>0</v>
      </c>
    </row>
    <row r="528" spans="1:11" ht="15" x14ac:dyDescent="0.25">
      <c r="A528" s="1341"/>
      <c r="B528" s="1344">
        <v>22200</v>
      </c>
      <c r="C528" s="1352">
        <v>333904700000000</v>
      </c>
      <c r="D528" s="1344" t="s">
        <v>4040</v>
      </c>
      <c r="E528" s="1344">
        <v>1</v>
      </c>
      <c r="F528" s="643">
        <v>0</v>
      </c>
      <c r="G528" s="643">
        <v>0</v>
      </c>
      <c r="H528" s="643">
        <v>0</v>
      </c>
      <c r="I528" s="26">
        <f t="shared" si="48"/>
        <v>0</v>
      </c>
      <c r="J528" s="1340" t="e">
        <f t="shared" si="46"/>
        <v>#DIV/0!</v>
      </c>
      <c r="K528" s="1340">
        <f t="shared" si="47"/>
        <v>0</v>
      </c>
    </row>
    <row r="529" spans="1:11" ht="15" x14ac:dyDescent="0.25">
      <c r="A529" s="1341"/>
      <c r="B529" s="1344">
        <v>26300</v>
      </c>
      <c r="C529" s="1352">
        <v>333904700000000</v>
      </c>
      <c r="D529" s="1344" t="s">
        <v>4041</v>
      </c>
      <c r="E529" s="1344">
        <v>1</v>
      </c>
      <c r="F529" s="643">
        <f>2582.93-185.93</f>
        <v>2397</v>
      </c>
      <c r="G529" s="643">
        <v>0</v>
      </c>
      <c r="H529" s="643">
        <v>0</v>
      </c>
      <c r="I529" s="26">
        <f t="shared" si="48"/>
        <v>799</v>
      </c>
      <c r="J529" s="1340" t="e">
        <f t="shared" si="46"/>
        <v>#DIV/0!</v>
      </c>
      <c r="K529" s="1340">
        <f t="shared" si="47"/>
        <v>7.5622497138270561E-4</v>
      </c>
    </row>
    <row r="530" spans="1:11" ht="15" x14ac:dyDescent="0.25">
      <c r="A530" s="1341"/>
      <c r="B530" s="1344">
        <v>26350</v>
      </c>
      <c r="C530" s="1352">
        <v>333904700000000</v>
      </c>
      <c r="D530" s="1344" t="s">
        <v>4068</v>
      </c>
      <c r="E530" s="1344">
        <v>1048</v>
      </c>
      <c r="F530" s="643">
        <v>185.93</v>
      </c>
      <c r="G530" s="643">
        <v>0</v>
      </c>
      <c r="H530" s="643">
        <v>0</v>
      </c>
      <c r="I530" s="26">
        <f t="shared" si="48"/>
        <v>61.976666666666667</v>
      </c>
      <c r="J530" s="1340" t="e">
        <f t="shared" si="46"/>
        <v>#DIV/0!</v>
      </c>
      <c r="K530" s="1340">
        <f t="shared" si="47"/>
        <v>5.8658702098117003E-5</v>
      </c>
    </row>
    <row r="531" spans="1:11" ht="15" x14ac:dyDescent="0.25">
      <c r="A531" s="1341"/>
      <c r="B531" s="1344">
        <v>27120</v>
      </c>
      <c r="C531" s="1352">
        <v>333904700000000</v>
      </c>
      <c r="D531" s="1344" t="s">
        <v>7667</v>
      </c>
      <c r="E531" s="1344">
        <v>1</v>
      </c>
      <c r="F531" s="643">
        <v>0</v>
      </c>
      <c r="G531" s="643">
        <v>0</v>
      </c>
      <c r="H531" s="643">
        <v>0</v>
      </c>
      <c r="I531" s="26">
        <f t="shared" si="48"/>
        <v>0</v>
      </c>
      <c r="J531" s="1340" t="e">
        <f t="shared" si="46"/>
        <v>#DIV/0!</v>
      </c>
      <c r="K531" s="1340">
        <f t="shared" si="47"/>
        <v>0</v>
      </c>
    </row>
    <row r="532" spans="1:11" ht="15" x14ac:dyDescent="0.25">
      <c r="A532" s="1341"/>
      <c r="B532" s="1344">
        <v>19300</v>
      </c>
      <c r="C532" s="1352">
        <v>333904900000000</v>
      </c>
      <c r="D532" s="1344" t="s">
        <v>4071</v>
      </c>
      <c r="E532" s="1344">
        <v>1</v>
      </c>
      <c r="F532" s="643">
        <v>0</v>
      </c>
      <c r="G532" s="643">
        <v>0</v>
      </c>
      <c r="H532" s="643">
        <v>0</v>
      </c>
      <c r="I532" s="26">
        <f t="shared" si="48"/>
        <v>0</v>
      </c>
      <c r="J532" s="1340" t="e">
        <f t="shared" si="46"/>
        <v>#DIV/0!</v>
      </c>
      <c r="K532" s="1340">
        <f t="shared" si="47"/>
        <v>0</v>
      </c>
    </row>
    <row r="533" spans="1:11" ht="15" x14ac:dyDescent="0.25">
      <c r="A533" s="1341"/>
      <c r="B533" s="1344">
        <v>22300</v>
      </c>
      <c r="C533" s="1352">
        <v>333904900000000</v>
      </c>
      <c r="D533" s="1344" t="s">
        <v>4072</v>
      </c>
      <c r="E533" s="1344">
        <v>1</v>
      </c>
      <c r="F533" s="643">
        <v>0</v>
      </c>
      <c r="G533" s="643">
        <v>0</v>
      </c>
      <c r="H533" s="643">
        <v>0</v>
      </c>
      <c r="I533" s="26">
        <f t="shared" si="48"/>
        <v>0</v>
      </c>
      <c r="J533" s="1340" t="e">
        <f t="shared" si="46"/>
        <v>#DIV/0!</v>
      </c>
      <c r="K533" s="1340">
        <f t="shared" si="47"/>
        <v>0</v>
      </c>
    </row>
    <row r="534" spans="1:11" ht="15" x14ac:dyDescent="0.25">
      <c r="A534" s="1341"/>
      <c r="B534" s="1344">
        <v>26400</v>
      </c>
      <c r="C534" s="1352">
        <v>333904900000000</v>
      </c>
      <c r="D534" s="1344" t="s">
        <v>4073</v>
      </c>
      <c r="E534" s="1344">
        <v>1</v>
      </c>
      <c r="F534" s="643">
        <v>7629.43</v>
      </c>
      <c r="G534" s="643">
        <v>0</v>
      </c>
      <c r="H534" s="643">
        <v>0</v>
      </c>
      <c r="I534" s="26">
        <f t="shared" si="48"/>
        <v>2543.1433333333334</v>
      </c>
      <c r="J534" s="1340" t="e">
        <f t="shared" si="46"/>
        <v>#DIV/0!</v>
      </c>
      <c r="K534" s="1340">
        <f t="shared" si="47"/>
        <v>2.4069943610414502E-3</v>
      </c>
    </row>
    <row r="535" spans="1:11" ht="15" x14ac:dyDescent="0.25">
      <c r="A535" s="1341"/>
      <c r="B535" s="1344">
        <v>19400</v>
      </c>
      <c r="C535" s="1352">
        <v>333909200000000</v>
      </c>
      <c r="D535" s="1344" t="s">
        <v>4076</v>
      </c>
      <c r="E535" s="1344">
        <v>1</v>
      </c>
      <c r="F535" s="643">
        <v>0</v>
      </c>
      <c r="G535" s="643">
        <v>0</v>
      </c>
      <c r="H535" s="643">
        <v>0</v>
      </c>
      <c r="I535" s="26">
        <f t="shared" si="48"/>
        <v>0</v>
      </c>
      <c r="J535" s="1340" t="e">
        <f t="shared" si="46"/>
        <v>#DIV/0!</v>
      </c>
      <c r="K535" s="1340">
        <f t="shared" si="47"/>
        <v>0</v>
      </c>
    </row>
    <row r="536" spans="1:11" ht="15" x14ac:dyDescent="0.25">
      <c r="A536" s="1341"/>
      <c r="B536" s="1344">
        <v>22400</v>
      </c>
      <c r="C536" s="1352">
        <v>333909200000000</v>
      </c>
      <c r="D536" s="1344" t="s">
        <v>4077</v>
      </c>
      <c r="E536" s="1344">
        <v>1</v>
      </c>
      <c r="F536" s="643">
        <v>0</v>
      </c>
      <c r="G536" s="643">
        <v>84</v>
      </c>
      <c r="H536" s="643">
        <v>0</v>
      </c>
      <c r="I536" s="26">
        <f t="shared" si="48"/>
        <v>28</v>
      </c>
      <c r="J536" s="1340" t="e">
        <f t="shared" si="46"/>
        <v>#DIV/0!</v>
      </c>
      <c r="K536" s="1340">
        <f t="shared" si="47"/>
        <v>2.6501000248705579E-5</v>
      </c>
    </row>
    <row r="537" spans="1:11" ht="15" x14ac:dyDescent="0.25">
      <c r="A537" s="1341"/>
      <c r="B537" s="1344">
        <v>26500</v>
      </c>
      <c r="C537" s="1352">
        <v>333909200000000</v>
      </c>
      <c r="D537" s="1344" t="s">
        <v>4080</v>
      </c>
      <c r="E537" s="1344">
        <v>1</v>
      </c>
      <c r="F537" s="643">
        <v>0</v>
      </c>
      <c r="G537" s="643">
        <v>0</v>
      </c>
      <c r="H537" s="643">
        <v>0</v>
      </c>
      <c r="I537" s="26">
        <f t="shared" si="48"/>
        <v>0</v>
      </c>
      <c r="J537" s="1340" t="e">
        <f t="shared" si="46"/>
        <v>#DIV/0!</v>
      </c>
      <c r="K537" s="1340">
        <f t="shared" si="47"/>
        <v>0</v>
      </c>
    </row>
    <row r="538" spans="1:11" ht="15" x14ac:dyDescent="0.25">
      <c r="A538" s="1341"/>
      <c r="B538" s="1344">
        <v>19500</v>
      </c>
      <c r="C538" s="1352">
        <v>333909300000000</v>
      </c>
      <c r="D538" s="1344" t="s">
        <v>4083</v>
      </c>
      <c r="E538" s="1344">
        <v>1</v>
      </c>
      <c r="F538" s="643">
        <v>0</v>
      </c>
      <c r="G538" s="643">
        <v>0</v>
      </c>
      <c r="H538" s="643">
        <v>0</v>
      </c>
      <c r="I538" s="26">
        <f t="shared" si="48"/>
        <v>0</v>
      </c>
      <c r="J538" s="1340" t="e">
        <f t="shared" si="46"/>
        <v>#DIV/0!</v>
      </c>
      <c r="K538" s="1340">
        <f t="shared" si="47"/>
        <v>0</v>
      </c>
    </row>
    <row r="539" spans="1:11" ht="15" x14ac:dyDescent="0.25">
      <c r="A539" s="1341"/>
      <c r="B539" s="1344">
        <v>22500</v>
      </c>
      <c r="C539" s="1352">
        <v>333909300000000</v>
      </c>
      <c r="D539" s="1344" t="s">
        <v>4084</v>
      </c>
      <c r="E539" s="1344">
        <v>1</v>
      </c>
      <c r="F539" s="643">
        <v>0</v>
      </c>
      <c r="G539" s="643">
        <v>0</v>
      </c>
      <c r="H539" s="643">
        <v>0</v>
      </c>
      <c r="I539" s="26">
        <f t="shared" si="48"/>
        <v>0</v>
      </c>
      <c r="J539" s="1340" t="e">
        <f t="shared" si="46"/>
        <v>#DIV/0!</v>
      </c>
      <c r="K539" s="1340">
        <f t="shared" si="47"/>
        <v>0</v>
      </c>
    </row>
    <row r="540" spans="1:11" ht="15" x14ac:dyDescent="0.25">
      <c r="A540" s="1341"/>
      <c r="B540" s="1344">
        <v>26600</v>
      </c>
      <c r="C540" s="1352">
        <v>333909300000000</v>
      </c>
      <c r="D540" s="1344" t="s">
        <v>4085</v>
      </c>
      <c r="E540" s="1344">
        <v>1</v>
      </c>
      <c r="F540" s="643">
        <v>0</v>
      </c>
      <c r="G540" s="643">
        <v>0</v>
      </c>
      <c r="H540" s="643">
        <v>0</v>
      </c>
      <c r="I540" s="26">
        <f t="shared" si="48"/>
        <v>0</v>
      </c>
      <c r="J540" s="1340" t="e">
        <f t="shared" si="46"/>
        <v>#DIV/0!</v>
      </c>
      <c r="K540" s="1340">
        <f t="shared" si="47"/>
        <v>0</v>
      </c>
    </row>
    <row r="541" spans="1:11" ht="15" x14ac:dyDescent="0.25">
      <c r="A541" s="1341"/>
      <c r="B541" s="1344">
        <v>26700</v>
      </c>
      <c r="C541" s="1352">
        <v>333909300000000</v>
      </c>
      <c r="D541" s="1344" t="s">
        <v>4086</v>
      </c>
      <c r="E541" s="1344">
        <v>1</v>
      </c>
      <c r="F541" s="643">
        <v>0</v>
      </c>
      <c r="G541" s="643">
        <v>0</v>
      </c>
      <c r="H541" s="643">
        <v>0</v>
      </c>
      <c r="I541" s="26">
        <f t="shared" si="48"/>
        <v>0</v>
      </c>
      <c r="J541" s="1340" t="e">
        <f t="shared" si="46"/>
        <v>#DIV/0!</v>
      </c>
      <c r="K541" s="1340">
        <f t="shared" si="47"/>
        <v>0</v>
      </c>
    </row>
    <row r="542" spans="1:11" ht="15" x14ac:dyDescent="0.25">
      <c r="A542" s="1341"/>
      <c r="B542" s="1344">
        <v>19600</v>
      </c>
      <c r="C542" s="1352">
        <v>333933000000000</v>
      </c>
      <c r="D542" s="1344" t="s">
        <v>4087</v>
      </c>
      <c r="E542" s="1344">
        <v>1</v>
      </c>
      <c r="F542" s="643">
        <v>0</v>
      </c>
      <c r="G542" s="643">
        <v>0</v>
      </c>
      <c r="H542" s="643">
        <v>0</v>
      </c>
      <c r="I542" s="26">
        <f t="shared" ref="I542:I549" si="49">(F542+G542+H542)/3</f>
        <v>0</v>
      </c>
      <c r="J542" s="1340" t="e">
        <f t="shared" si="46"/>
        <v>#DIV/0!</v>
      </c>
      <c r="K542" s="1340">
        <f t="shared" si="47"/>
        <v>0</v>
      </c>
    </row>
    <row r="543" spans="1:11" ht="15" x14ac:dyDescent="0.25">
      <c r="A543" s="1341"/>
      <c r="B543" s="1344">
        <v>22600</v>
      </c>
      <c r="C543" s="1352">
        <v>333933000000000</v>
      </c>
      <c r="D543" s="1344" t="s">
        <v>4088</v>
      </c>
      <c r="E543" s="1344">
        <v>1</v>
      </c>
      <c r="F543" s="643">
        <v>0</v>
      </c>
      <c r="G543" s="643">
        <v>0</v>
      </c>
      <c r="H543" s="643">
        <v>0</v>
      </c>
      <c r="I543" s="26">
        <f t="shared" si="49"/>
        <v>0</v>
      </c>
      <c r="J543" s="1340" t="e">
        <f t="shared" si="46"/>
        <v>#DIV/0!</v>
      </c>
      <c r="K543" s="1340">
        <f t="shared" si="47"/>
        <v>0</v>
      </c>
    </row>
    <row r="544" spans="1:11" ht="15" x14ac:dyDescent="0.25">
      <c r="A544" s="1341"/>
      <c r="B544" s="1344">
        <v>19700</v>
      </c>
      <c r="C544" s="1352">
        <v>344905100000000</v>
      </c>
      <c r="D544" s="1344" t="s">
        <v>4089</v>
      </c>
      <c r="E544" s="1344">
        <v>1</v>
      </c>
      <c r="F544" s="643">
        <v>0</v>
      </c>
      <c r="G544" s="643">
        <v>0</v>
      </c>
      <c r="H544" s="643">
        <v>0</v>
      </c>
      <c r="I544" s="26">
        <f t="shared" si="49"/>
        <v>0</v>
      </c>
      <c r="J544" s="1340" t="e">
        <f t="shared" si="46"/>
        <v>#DIV/0!</v>
      </c>
      <c r="K544" s="1340">
        <f t="shared" si="47"/>
        <v>0</v>
      </c>
    </row>
    <row r="545" spans="1:11" ht="15" x14ac:dyDescent="0.25">
      <c r="A545" s="1341"/>
      <c r="B545" s="1344">
        <v>22700</v>
      </c>
      <c r="C545" s="1352">
        <v>344905100000000</v>
      </c>
      <c r="D545" s="1344" t="s">
        <v>3637</v>
      </c>
      <c r="E545" s="1344">
        <v>1</v>
      </c>
      <c r="F545" s="643">
        <v>0</v>
      </c>
      <c r="G545" s="643">
        <v>0</v>
      </c>
      <c r="H545" s="643">
        <v>0</v>
      </c>
      <c r="I545" s="26">
        <f t="shared" si="49"/>
        <v>0</v>
      </c>
      <c r="J545" s="1340" t="e">
        <f t="shared" si="46"/>
        <v>#DIV/0!</v>
      </c>
      <c r="K545" s="1340">
        <f t="shared" si="47"/>
        <v>0</v>
      </c>
    </row>
    <row r="546" spans="1:11" ht="15" x14ac:dyDescent="0.25">
      <c r="A546" s="1341"/>
      <c r="B546" s="1344">
        <v>26800</v>
      </c>
      <c r="C546" s="1352">
        <v>344905100000000</v>
      </c>
      <c r="D546" s="1344" t="s">
        <v>4090</v>
      </c>
      <c r="E546" s="1344">
        <v>1</v>
      </c>
      <c r="F546" s="643">
        <v>0</v>
      </c>
      <c r="G546" s="643">
        <v>0</v>
      </c>
      <c r="H546" s="643">
        <v>0</v>
      </c>
      <c r="I546" s="26">
        <f t="shared" si="49"/>
        <v>0</v>
      </c>
      <c r="J546" s="1340" t="e">
        <f t="shared" si="46"/>
        <v>#DIV/0!</v>
      </c>
      <c r="K546" s="1340">
        <f t="shared" si="47"/>
        <v>0</v>
      </c>
    </row>
    <row r="547" spans="1:11" ht="15" x14ac:dyDescent="0.25">
      <c r="A547" s="1341"/>
      <c r="B547" s="1344">
        <v>19800</v>
      </c>
      <c r="C547" s="1352">
        <v>344905200000000</v>
      </c>
      <c r="D547" s="1344" t="s">
        <v>4091</v>
      </c>
      <c r="E547" s="1344">
        <v>1</v>
      </c>
      <c r="F547" s="643">
        <v>0</v>
      </c>
      <c r="G547" s="643">
        <v>0</v>
      </c>
      <c r="H547" s="643">
        <v>0</v>
      </c>
      <c r="I547" s="26">
        <f t="shared" si="49"/>
        <v>0</v>
      </c>
      <c r="J547" s="1340" t="e">
        <f t="shared" si="46"/>
        <v>#DIV/0!</v>
      </c>
      <c r="K547" s="1340">
        <f t="shared" si="47"/>
        <v>0</v>
      </c>
    </row>
    <row r="548" spans="1:11" ht="15" x14ac:dyDescent="0.25">
      <c r="A548" s="1341"/>
      <c r="B548" s="1344">
        <v>22800</v>
      </c>
      <c r="C548" s="1352">
        <v>344905200000000</v>
      </c>
      <c r="D548" s="1344" t="s">
        <v>3644</v>
      </c>
      <c r="E548" s="1344">
        <v>1</v>
      </c>
      <c r="F548" s="643">
        <v>0</v>
      </c>
      <c r="G548" s="643">
        <v>0</v>
      </c>
      <c r="H548" s="643">
        <v>0</v>
      </c>
      <c r="I548" s="26">
        <f t="shared" si="49"/>
        <v>0</v>
      </c>
      <c r="J548" s="1340" t="e">
        <f t="shared" si="46"/>
        <v>#DIV/0!</v>
      </c>
      <c r="K548" s="1340">
        <f t="shared" si="47"/>
        <v>0</v>
      </c>
    </row>
    <row r="549" spans="1:11" ht="15" x14ac:dyDescent="0.25">
      <c r="A549" s="1341"/>
      <c r="B549" s="1344">
        <v>26900</v>
      </c>
      <c r="C549" s="1352">
        <v>344905200000000</v>
      </c>
      <c r="D549" s="1344" t="s">
        <v>4092</v>
      </c>
      <c r="E549" s="1344">
        <v>1</v>
      </c>
      <c r="F549" s="643">
        <v>469</v>
      </c>
      <c r="G549" s="643">
        <v>0</v>
      </c>
      <c r="H549" s="643">
        <v>0</v>
      </c>
      <c r="I549" s="26">
        <f t="shared" si="49"/>
        <v>156.33333333333334</v>
      </c>
      <c r="J549" s="1340" t="e">
        <f t="shared" si="46"/>
        <v>#DIV/0!</v>
      </c>
      <c r="K549" s="1340">
        <f t="shared" si="47"/>
        <v>1.4796391805527281E-4</v>
      </c>
    </row>
    <row r="550" spans="1:11" s="12" customFormat="1" ht="15" x14ac:dyDescent="0.25">
      <c r="A550" s="1081"/>
      <c r="B550" s="1345" t="s">
        <v>2965</v>
      </c>
      <c r="C550" s="1343">
        <v>50</v>
      </c>
      <c r="D550" s="1345" t="s">
        <v>7666</v>
      </c>
      <c r="E550" s="1345"/>
      <c r="F550" s="642">
        <f>SUM(F551:F557)</f>
        <v>0</v>
      </c>
      <c r="G550" s="642">
        <f>SUM(G551:G557)</f>
        <v>0</v>
      </c>
      <c r="H550" s="642">
        <f>SUM(H551:H557)</f>
        <v>0</v>
      </c>
      <c r="I550" s="642">
        <f>SUM(I551:I557)</f>
        <v>0</v>
      </c>
      <c r="J550" s="1338" t="e">
        <f t="shared" si="46"/>
        <v>#DIV/0!</v>
      </c>
      <c r="K550" s="1338">
        <f t="shared" si="47"/>
        <v>0</v>
      </c>
    </row>
    <row r="551" spans="1:11" ht="15" x14ac:dyDescent="0.25">
      <c r="A551" s="1341"/>
      <c r="B551" s="1344">
        <v>127000</v>
      </c>
      <c r="C551" s="1352">
        <v>333903000000000</v>
      </c>
      <c r="D551" s="1344" t="s">
        <v>5907</v>
      </c>
      <c r="E551" s="1344">
        <v>1</v>
      </c>
      <c r="F551" s="643">
        <v>0</v>
      </c>
      <c r="G551" s="643">
        <v>0</v>
      </c>
      <c r="H551" s="643">
        <v>0</v>
      </c>
      <c r="I551" s="26">
        <f t="shared" ref="I551:I557" si="50">(F551+G551+H551)/3</f>
        <v>0</v>
      </c>
      <c r="J551" s="1340" t="e">
        <f t="shared" si="46"/>
        <v>#DIV/0!</v>
      </c>
      <c r="K551" s="1340">
        <f t="shared" si="47"/>
        <v>0</v>
      </c>
    </row>
    <row r="552" spans="1:11" ht="15" x14ac:dyDescent="0.25">
      <c r="A552" s="1341"/>
      <c r="B552" s="1344">
        <v>127030</v>
      </c>
      <c r="C552" s="1352">
        <v>333903200000000</v>
      </c>
      <c r="D552" s="1344" t="s">
        <v>5913</v>
      </c>
      <c r="E552" s="1344">
        <v>1</v>
      </c>
      <c r="F552" s="643">
        <v>0</v>
      </c>
      <c r="G552" s="643">
        <v>0</v>
      </c>
      <c r="H552" s="643">
        <v>0</v>
      </c>
      <c r="I552" s="26">
        <f t="shared" si="50"/>
        <v>0</v>
      </c>
      <c r="J552" s="1340" t="e">
        <f t="shared" si="46"/>
        <v>#DIV/0!</v>
      </c>
      <c r="K552" s="1340">
        <f t="shared" si="47"/>
        <v>0</v>
      </c>
    </row>
    <row r="553" spans="1:11" ht="15" x14ac:dyDescent="0.25">
      <c r="A553" s="1341"/>
      <c r="B553" s="1344">
        <v>127050</v>
      </c>
      <c r="C553" s="1352">
        <v>333903600000000</v>
      </c>
      <c r="D553" s="1344" t="s">
        <v>5912</v>
      </c>
      <c r="E553" s="1344">
        <v>1</v>
      </c>
      <c r="F553" s="643">
        <v>0</v>
      </c>
      <c r="G553" s="643">
        <v>0</v>
      </c>
      <c r="H553" s="643">
        <v>0</v>
      </c>
      <c r="I553" s="26">
        <f t="shared" si="50"/>
        <v>0</v>
      </c>
      <c r="J553" s="1340" t="e">
        <f t="shared" si="46"/>
        <v>#DIV/0!</v>
      </c>
      <c r="K553" s="1340">
        <f t="shared" si="47"/>
        <v>0</v>
      </c>
    </row>
    <row r="554" spans="1:11" ht="15" x14ac:dyDescent="0.25">
      <c r="A554" s="1341"/>
      <c r="B554" s="1344">
        <v>127080</v>
      </c>
      <c r="C554" s="1352">
        <v>333903900000000</v>
      </c>
      <c r="D554" s="1344" t="s">
        <v>5911</v>
      </c>
      <c r="E554" s="1344">
        <v>1</v>
      </c>
      <c r="F554" s="643">
        <v>0</v>
      </c>
      <c r="G554" s="643">
        <v>0</v>
      </c>
      <c r="H554" s="643">
        <v>0</v>
      </c>
      <c r="I554" s="26">
        <f t="shared" si="50"/>
        <v>0</v>
      </c>
      <c r="J554" s="1340" t="e">
        <f t="shared" si="46"/>
        <v>#DIV/0!</v>
      </c>
      <c r="K554" s="1340">
        <f t="shared" si="47"/>
        <v>0</v>
      </c>
    </row>
    <row r="555" spans="1:11" ht="15" x14ac:dyDescent="0.25">
      <c r="A555" s="1341"/>
      <c r="B555" s="1344">
        <v>127120</v>
      </c>
      <c r="C555" s="1352">
        <v>333904700000000</v>
      </c>
      <c r="D555" s="1344" t="s">
        <v>5910</v>
      </c>
      <c r="E555" s="1344">
        <v>1</v>
      </c>
      <c r="F555" s="643">
        <v>0</v>
      </c>
      <c r="G555" s="643">
        <v>0</v>
      </c>
      <c r="H555" s="643">
        <v>0</v>
      </c>
      <c r="I555" s="26">
        <f t="shared" si="50"/>
        <v>0</v>
      </c>
      <c r="J555" s="1340" t="e">
        <f t="shared" si="46"/>
        <v>#DIV/0!</v>
      </c>
      <c r="K555" s="1340">
        <f t="shared" si="47"/>
        <v>0</v>
      </c>
    </row>
    <row r="556" spans="1:11" ht="15" x14ac:dyDescent="0.25">
      <c r="A556" s="1341"/>
      <c r="B556" s="1344">
        <v>127150</v>
      </c>
      <c r="C556" s="1352">
        <v>344905100000000</v>
      </c>
      <c r="D556" s="1344" t="s">
        <v>5908</v>
      </c>
      <c r="E556" s="1344">
        <v>1</v>
      </c>
      <c r="F556" s="643">
        <v>0</v>
      </c>
      <c r="G556" s="643">
        <v>0</v>
      </c>
      <c r="H556" s="643">
        <v>0</v>
      </c>
      <c r="I556" s="26">
        <f t="shared" si="50"/>
        <v>0</v>
      </c>
      <c r="J556" s="1340" t="e">
        <f t="shared" si="46"/>
        <v>#DIV/0!</v>
      </c>
      <c r="K556" s="1340">
        <f t="shared" si="47"/>
        <v>0</v>
      </c>
    </row>
    <row r="557" spans="1:11" ht="15" x14ac:dyDescent="0.25">
      <c r="A557" s="1341"/>
      <c r="B557" s="1344">
        <v>127180</v>
      </c>
      <c r="C557" s="1352">
        <v>344905200000000</v>
      </c>
      <c r="D557" s="1344" t="s">
        <v>5909</v>
      </c>
      <c r="E557" s="1344">
        <v>1</v>
      </c>
      <c r="F557" s="643">
        <v>0</v>
      </c>
      <c r="G557" s="643">
        <v>0</v>
      </c>
      <c r="H557" s="643">
        <v>0</v>
      </c>
      <c r="I557" s="26">
        <f t="shared" si="50"/>
        <v>0</v>
      </c>
      <c r="J557" s="1340" t="e">
        <f t="shared" si="46"/>
        <v>#DIV/0!</v>
      </c>
      <c r="K557" s="1340">
        <f t="shared" si="47"/>
        <v>0</v>
      </c>
    </row>
    <row r="558" spans="1:11" s="12" customFormat="1" ht="15" x14ac:dyDescent="0.25">
      <c r="A558" s="1081"/>
      <c r="B558" s="1345" t="s">
        <v>2965</v>
      </c>
      <c r="C558" s="1343">
        <v>56</v>
      </c>
      <c r="D558" s="1345" t="s">
        <v>7665</v>
      </c>
      <c r="E558" s="1345"/>
      <c r="F558" s="642">
        <f>SUM(F559:F581)</f>
        <v>0</v>
      </c>
      <c r="G558" s="642">
        <f>SUM(G559:G581)</f>
        <v>0</v>
      </c>
      <c r="H558" s="642">
        <f>SUM(H559:H581)</f>
        <v>0</v>
      </c>
      <c r="I558" s="642">
        <f>SUM(I559:I581)</f>
        <v>0</v>
      </c>
      <c r="J558" s="1338" t="e">
        <f t="shared" si="46"/>
        <v>#DIV/0!</v>
      </c>
      <c r="K558" s="1338">
        <f t="shared" si="47"/>
        <v>0</v>
      </c>
    </row>
    <row r="559" spans="1:11" ht="15" x14ac:dyDescent="0.25">
      <c r="A559" s="1341"/>
      <c r="B559" s="1344">
        <v>28100</v>
      </c>
      <c r="C559" s="1352">
        <v>331900400000000</v>
      </c>
      <c r="D559" s="1344" t="s">
        <v>6991</v>
      </c>
      <c r="E559" s="1344">
        <v>1</v>
      </c>
      <c r="F559" s="643">
        <v>0</v>
      </c>
      <c r="G559" s="643">
        <v>0</v>
      </c>
      <c r="H559" s="643">
        <v>0</v>
      </c>
      <c r="I559" s="26">
        <f t="shared" ref="I559:I581" si="51">(F559+G559+H559)/3</f>
        <v>0</v>
      </c>
      <c r="J559" s="1340" t="e">
        <f t="shared" si="46"/>
        <v>#DIV/0!</v>
      </c>
      <c r="K559" s="1340">
        <f t="shared" si="47"/>
        <v>0</v>
      </c>
    </row>
    <row r="560" spans="1:11" ht="15" x14ac:dyDescent="0.25">
      <c r="A560" s="1341"/>
      <c r="B560" s="1344">
        <v>28120</v>
      </c>
      <c r="C560" s="1352">
        <v>331900800000000</v>
      </c>
      <c r="D560" s="1344" t="s">
        <v>7003</v>
      </c>
      <c r="E560" s="1344">
        <v>1</v>
      </c>
      <c r="F560" s="643">
        <v>0</v>
      </c>
      <c r="G560" s="643">
        <v>0</v>
      </c>
      <c r="H560" s="643">
        <v>0</v>
      </c>
      <c r="I560" s="26">
        <f t="shared" si="51"/>
        <v>0</v>
      </c>
      <c r="J560" s="1340" t="e">
        <f t="shared" si="46"/>
        <v>#DIV/0!</v>
      </c>
      <c r="K560" s="1340">
        <f t="shared" si="47"/>
        <v>0</v>
      </c>
    </row>
    <row r="561" spans="1:11" ht="15" x14ac:dyDescent="0.25">
      <c r="A561" s="1341"/>
      <c r="B561" s="1344">
        <v>28140</v>
      </c>
      <c r="C561" s="1352">
        <v>331901100000000</v>
      </c>
      <c r="D561" s="1344" t="s">
        <v>6992</v>
      </c>
      <c r="E561" s="1344">
        <v>1</v>
      </c>
      <c r="F561" s="643">
        <v>0</v>
      </c>
      <c r="G561" s="643">
        <v>0</v>
      </c>
      <c r="H561" s="643">
        <v>0</v>
      </c>
      <c r="I561" s="26">
        <f t="shared" si="51"/>
        <v>0</v>
      </c>
      <c r="J561" s="1340" t="e">
        <f t="shared" si="46"/>
        <v>#DIV/0!</v>
      </c>
      <c r="K561" s="1340">
        <f t="shared" si="47"/>
        <v>0</v>
      </c>
    </row>
    <row r="562" spans="1:11" ht="15" x14ac:dyDescent="0.25">
      <c r="A562" s="1341"/>
      <c r="B562" s="1344">
        <v>28160</v>
      </c>
      <c r="C562" s="1352">
        <v>331901300000000</v>
      </c>
      <c r="D562" s="1344" t="s">
        <v>6993</v>
      </c>
      <c r="E562" s="1344">
        <v>1</v>
      </c>
      <c r="F562" s="643">
        <v>0</v>
      </c>
      <c r="G562" s="643">
        <v>0</v>
      </c>
      <c r="H562" s="643">
        <v>0</v>
      </c>
      <c r="I562" s="26">
        <f t="shared" si="51"/>
        <v>0</v>
      </c>
      <c r="J562" s="1340" t="e">
        <f t="shared" si="46"/>
        <v>#DIV/0!</v>
      </c>
      <c r="K562" s="1340">
        <f t="shared" si="47"/>
        <v>0</v>
      </c>
    </row>
    <row r="563" spans="1:11" ht="15" x14ac:dyDescent="0.25">
      <c r="A563" s="1341"/>
      <c r="B563" s="1344">
        <v>28180</v>
      </c>
      <c r="C563" s="1352">
        <v>331901600000000</v>
      </c>
      <c r="D563" s="1344" t="s">
        <v>6994</v>
      </c>
      <c r="E563" s="1344">
        <v>1</v>
      </c>
      <c r="F563" s="643">
        <v>0</v>
      </c>
      <c r="G563" s="643">
        <v>0</v>
      </c>
      <c r="H563" s="643">
        <v>0</v>
      </c>
      <c r="I563" s="26">
        <f t="shared" si="51"/>
        <v>0</v>
      </c>
      <c r="J563" s="1340" t="e">
        <f t="shared" si="46"/>
        <v>#DIV/0!</v>
      </c>
      <c r="K563" s="1340">
        <f t="shared" si="47"/>
        <v>0</v>
      </c>
    </row>
    <row r="564" spans="1:11" ht="15" x14ac:dyDescent="0.25">
      <c r="A564" s="1341"/>
      <c r="B564" s="1344">
        <v>28200</v>
      </c>
      <c r="C564" s="1352">
        <v>331903400000000</v>
      </c>
      <c r="D564" s="1344" t="s">
        <v>6996</v>
      </c>
      <c r="E564" s="1344">
        <v>1</v>
      </c>
      <c r="F564" s="643">
        <v>0</v>
      </c>
      <c r="G564" s="643">
        <v>0</v>
      </c>
      <c r="H564" s="643">
        <v>0</v>
      </c>
      <c r="I564" s="26">
        <f t="shared" si="51"/>
        <v>0</v>
      </c>
      <c r="J564" s="1340" t="e">
        <f t="shared" si="46"/>
        <v>#DIV/0!</v>
      </c>
      <c r="K564" s="1340">
        <f t="shared" si="47"/>
        <v>0</v>
      </c>
    </row>
    <row r="565" spans="1:11" ht="15" x14ac:dyDescent="0.25">
      <c r="A565" s="1341"/>
      <c r="B565" s="1344">
        <v>28220</v>
      </c>
      <c r="C565" s="1352">
        <v>331909400000000</v>
      </c>
      <c r="D565" s="1344" t="s">
        <v>6995</v>
      </c>
      <c r="E565" s="1344">
        <v>1</v>
      </c>
      <c r="F565" s="643">
        <v>0</v>
      </c>
      <c r="G565" s="643">
        <v>0</v>
      </c>
      <c r="H565" s="643">
        <v>0</v>
      </c>
      <c r="I565" s="26">
        <f t="shared" si="51"/>
        <v>0</v>
      </c>
      <c r="J565" s="1340" t="e">
        <f t="shared" si="46"/>
        <v>#DIV/0!</v>
      </c>
      <c r="K565" s="1340">
        <f t="shared" si="47"/>
        <v>0</v>
      </c>
    </row>
    <row r="566" spans="1:11" ht="15" x14ac:dyDescent="0.25">
      <c r="A566" s="1341"/>
      <c r="B566" s="1344">
        <v>28000</v>
      </c>
      <c r="C566" s="1352">
        <v>333901400000000</v>
      </c>
      <c r="D566" s="1344" t="s">
        <v>6987</v>
      </c>
      <c r="E566" s="1344">
        <v>1</v>
      </c>
      <c r="F566" s="643">
        <v>0</v>
      </c>
      <c r="G566" s="643">
        <v>0</v>
      </c>
      <c r="H566" s="643">
        <v>0</v>
      </c>
      <c r="I566" s="26">
        <f t="shared" si="51"/>
        <v>0</v>
      </c>
      <c r="J566" s="1340" t="e">
        <f t="shared" ref="J566:J582" si="52">(G566/F566)+(H566/G566)/2</f>
        <v>#DIV/0!</v>
      </c>
      <c r="K566" s="1340">
        <f t="shared" ref="K566:K581" si="53">I566/I$582</f>
        <v>0</v>
      </c>
    </row>
    <row r="567" spans="1:11" ht="15" x14ac:dyDescent="0.25">
      <c r="A567" s="1341"/>
      <c r="B567" s="1344">
        <v>28240</v>
      </c>
      <c r="C567" s="1352">
        <v>333901400000000</v>
      </c>
      <c r="D567" s="1344" t="s">
        <v>6998</v>
      </c>
      <c r="E567" s="1344">
        <v>1</v>
      </c>
      <c r="F567" s="643">
        <v>0</v>
      </c>
      <c r="G567" s="643">
        <v>0</v>
      </c>
      <c r="H567" s="643">
        <v>0</v>
      </c>
      <c r="I567" s="26">
        <f t="shared" si="51"/>
        <v>0</v>
      </c>
      <c r="J567" s="1340" t="e">
        <f t="shared" si="52"/>
        <v>#DIV/0!</v>
      </c>
      <c r="K567" s="1340">
        <f t="shared" si="53"/>
        <v>0</v>
      </c>
    </row>
    <row r="568" spans="1:11" ht="15" x14ac:dyDescent="0.25">
      <c r="A568" s="1341"/>
      <c r="B568" s="1344">
        <v>28260</v>
      </c>
      <c r="C568" s="1352">
        <v>333903000000000</v>
      </c>
      <c r="D568" s="1344" t="s">
        <v>6981</v>
      </c>
      <c r="E568" s="1344">
        <v>1</v>
      </c>
      <c r="F568" s="643">
        <v>0</v>
      </c>
      <c r="G568" s="643">
        <v>0</v>
      </c>
      <c r="H568" s="643">
        <v>0</v>
      </c>
      <c r="I568" s="26">
        <f t="shared" si="51"/>
        <v>0</v>
      </c>
      <c r="J568" s="1340" t="e">
        <f t="shared" si="52"/>
        <v>#DIV/0!</v>
      </c>
      <c r="K568" s="1340">
        <f t="shared" si="53"/>
        <v>0</v>
      </c>
    </row>
    <row r="569" spans="1:11" ht="15" x14ac:dyDescent="0.25">
      <c r="A569" s="1341"/>
      <c r="B569" s="1344">
        <v>28020</v>
      </c>
      <c r="C569" s="1352">
        <v>333903300000000</v>
      </c>
      <c r="D569" s="1344" t="s">
        <v>6988</v>
      </c>
      <c r="E569" s="1344">
        <v>1</v>
      </c>
      <c r="F569" s="643">
        <v>0</v>
      </c>
      <c r="G569" s="643">
        <v>0</v>
      </c>
      <c r="H569" s="643">
        <v>0</v>
      </c>
      <c r="I569" s="26">
        <f t="shared" si="51"/>
        <v>0</v>
      </c>
      <c r="J569" s="1340" t="e">
        <f t="shared" si="52"/>
        <v>#DIV/0!</v>
      </c>
      <c r="K569" s="1340">
        <f t="shared" si="53"/>
        <v>0</v>
      </c>
    </row>
    <row r="570" spans="1:11" ht="15" x14ac:dyDescent="0.25">
      <c r="A570" s="1341"/>
      <c r="B570" s="1344">
        <v>28280</v>
      </c>
      <c r="C570" s="1352">
        <v>333903300000000</v>
      </c>
      <c r="D570" s="1344" t="s">
        <v>6999</v>
      </c>
      <c r="E570" s="1344">
        <v>1</v>
      </c>
      <c r="F570" s="643">
        <v>0</v>
      </c>
      <c r="G570" s="643">
        <v>0</v>
      </c>
      <c r="H570" s="643">
        <v>0</v>
      </c>
      <c r="I570" s="26">
        <f t="shared" si="51"/>
        <v>0</v>
      </c>
      <c r="J570" s="1340" t="e">
        <f t="shared" si="52"/>
        <v>#DIV/0!</v>
      </c>
      <c r="K570" s="1340">
        <f t="shared" si="53"/>
        <v>0</v>
      </c>
    </row>
    <row r="571" spans="1:11" ht="15" x14ac:dyDescent="0.25">
      <c r="A571" s="1341"/>
      <c r="B571" s="1344">
        <v>28040</v>
      </c>
      <c r="C571" s="1352">
        <v>333903600000000</v>
      </c>
      <c r="D571" s="1344" t="s">
        <v>6990</v>
      </c>
      <c r="E571" s="1344">
        <v>1</v>
      </c>
      <c r="F571" s="643">
        <v>0</v>
      </c>
      <c r="G571" s="643">
        <v>0</v>
      </c>
      <c r="H571" s="643">
        <v>0</v>
      </c>
      <c r="I571" s="26">
        <f t="shared" si="51"/>
        <v>0</v>
      </c>
      <c r="J571" s="1340" t="e">
        <f t="shared" si="52"/>
        <v>#DIV/0!</v>
      </c>
      <c r="K571" s="1340">
        <f t="shared" si="53"/>
        <v>0</v>
      </c>
    </row>
    <row r="572" spans="1:11" ht="15" x14ac:dyDescent="0.25">
      <c r="A572" s="1341"/>
      <c r="B572" s="1344">
        <v>28300</v>
      </c>
      <c r="C572" s="1352">
        <v>333903600000000</v>
      </c>
      <c r="D572" s="1344" t="s">
        <v>6982</v>
      </c>
      <c r="E572" s="1344">
        <v>1</v>
      </c>
      <c r="F572" s="643">
        <v>0</v>
      </c>
      <c r="G572" s="643">
        <v>0</v>
      </c>
      <c r="H572" s="643">
        <v>0</v>
      </c>
      <c r="I572" s="26">
        <f t="shared" si="51"/>
        <v>0</v>
      </c>
      <c r="J572" s="1340" t="e">
        <f t="shared" si="52"/>
        <v>#DIV/0!</v>
      </c>
      <c r="K572" s="1340">
        <f t="shared" si="53"/>
        <v>0</v>
      </c>
    </row>
    <row r="573" spans="1:11" ht="15" x14ac:dyDescent="0.25">
      <c r="A573" s="1341"/>
      <c r="B573" s="1344">
        <v>28060</v>
      </c>
      <c r="C573" s="1352">
        <v>333903900000000</v>
      </c>
      <c r="D573" s="1344" t="s">
        <v>6997</v>
      </c>
      <c r="E573" s="1344">
        <v>1</v>
      </c>
      <c r="F573" s="643">
        <v>0</v>
      </c>
      <c r="G573" s="643">
        <v>0</v>
      </c>
      <c r="H573" s="643">
        <v>0</v>
      </c>
      <c r="I573" s="26">
        <f t="shared" si="51"/>
        <v>0</v>
      </c>
      <c r="J573" s="1340" t="e">
        <f t="shared" si="52"/>
        <v>#DIV/0!</v>
      </c>
      <c r="K573" s="1340">
        <f t="shared" si="53"/>
        <v>0</v>
      </c>
    </row>
    <row r="574" spans="1:11" ht="15" x14ac:dyDescent="0.25">
      <c r="A574" s="1341"/>
      <c r="B574" s="1344">
        <v>28320</v>
      </c>
      <c r="C574" s="1352">
        <v>333903900000000</v>
      </c>
      <c r="D574" s="1344" t="s">
        <v>6983</v>
      </c>
      <c r="E574" s="1344">
        <v>1</v>
      </c>
      <c r="F574" s="643">
        <v>0</v>
      </c>
      <c r="G574" s="643">
        <v>0</v>
      </c>
      <c r="H574" s="643">
        <v>0</v>
      </c>
      <c r="I574" s="26">
        <f t="shared" si="51"/>
        <v>0</v>
      </c>
      <c r="J574" s="1340" t="e">
        <f t="shared" si="52"/>
        <v>#DIV/0!</v>
      </c>
      <c r="K574" s="1340">
        <f t="shared" si="53"/>
        <v>0</v>
      </c>
    </row>
    <row r="575" spans="1:11" ht="15" x14ac:dyDescent="0.25">
      <c r="A575" s="1341"/>
      <c r="B575" s="1344">
        <v>27900</v>
      </c>
      <c r="C575" s="1352">
        <v>333904000000000</v>
      </c>
      <c r="D575" s="1344" t="s">
        <v>7004</v>
      </c>
      <c r="E575" s="1344">
        <v>1</v>
      </c>
      <c r="F575" s="643">
        <v>0</v>
      </c>
      <c r="G575" s="643">
        <v>0</v>
      </c>
      <c r="H575" s="643">
        <v>0</v>
      </c>
      <c r="I575" s="26">
        <f t="shared" si="51"/>
        <v>0</v>
      </c>
      <c r="J575" s="1340" t="e">
        <f t="shared" si="52"/>
        <v>#DIV/0!</v>
      </c>
      <c r="K575" s="1340">
        <f t="shared" si="53"/>
        <v>0</v>
      </c>
    </row>
    <row r="576" spans="1:11" ht="15" x14ac:dyDescent="0.25">
      <c r="A576" s="1341"/>
      <c r="B576" s="1344">
        <v>28340</v>
      </c>
      <c r="C576" s="1352">
        <v>333904600000000</v>
      </c>
      <c r="D576" s="1344" t="s">
        <v>7000</v>
      </c>
      <c r="E576" s="1344">
        <v>1</v>
      </c>
      <c r="F576" s="643">
        <v>0</v>
      </c>
      <c r="G576" s="643">
        <v>0</v>
      </c>
      <c r="H576" s="643">
        <v>0</v>
      </c>
      <c r="I576" s="26">
        <f t="shared" si="51"/>
        <v>0</v>
      </c>
      <c r="J576" s="1340" t="e">
        <f t="shared" si="52"/>
        <v>#DIV/0!</v>
      </c>
      <c r="K576" s="1340">
        <f t="shared" si="53"/>
        <v>0</v>
      </c>
    </row>
    <row r="577" spans="1:11" ht="15" x14ac:dyDescent="0.25">
      <c r="A577" s="1341"/>
      <c r="B577" s="1344">
        <v>28080</v>
      </c>
      <c r="C577" s="1352">
        <v>333904700000000</v>
      </c>
      <c r="D577" s="1344" t="s">
        <v>7664</v>
      </c>
      <c r="E577" s="1344">
        <v>1</v>
      </c>
      <c r="F577" s="643">
        <v>0</v>
      </c>
      <c r="G577" s="643">
        <v>0</v>
      </c>
      <c r="H577" s="643">
        <v>0</v>
      </c>
      <c r="I577" s="26">
        <f t="shared" si="51"/>
        <v>0</v>
      </c>
      <c r="J577" s="1340" t="e">
        <f t="shared" si="52"/>
        <v>#DIV/0!</v>
      </c>
      <c r="K577" s="1340">
        <f t="shared" si="53"/>
        <v>0</v>
      </c>
    </row>
    <row r="578" spans="1:11" ht="15" x14ac:dyDescent="0.25">
      <c r="A578" s="1341"/>
      <c r="B578" s="1344">
        <v>28360</v>
      </c>
      <c r="C578" s="1352">
        <v>333904700000000</v>
      </c>
      <c r="D578" s="1344" t="s">
        <v>6984</v>
      </c>
      <c r="E578" s="1344">
        <v>1</v>
      </c>
      <c r="F578" s="643">
        <v>0</v>
      </c>
      <c r="G578" s="643">
        <v>0</v>
      </c>
      <c r="H578" s="643">
        <v>0</v>
      </c>
      <c r="I578" s="26">
        <f t="shared" si="51"/>
        <v>0</v>
      </c>
      <c r="J578" s="1340" t="e">
        <f t="shared" si="52"/>
        <v>#DIV/0!</v>
      </c>
      <c r="K578" s="1340">
        <f t="shared" si="53"/>
        <v>0</v>
      </c>
    </row>
    <row r="579" spans="1:11" ht="15" x14ac:dyDescent="0.25">
      <c r="A579" s="1341"/>
      <c r="B579" s="1344">
        <v>28380</v>
      </c>
      <c r="C579" s="1352">
        <v>333904900000000</v>
      </c>
      <c r="D579" s="1344" t="s">
        <v>7001</v>
      </c>
      <c r="E579" s="1344">
        <v>1</v>
      </c>
      <c r="F579" s="643">
        <v>0</v>
      </c>
      <c r="G579" s="643">
        <v>0</v>
      </c>
      <c r="H579" s="643">
        <v>0</v>
      </c>
      <c r="I579" s="26">
        <f t="shared" si="51"/>
        <v>0</v>
      </c>
      <c r="J579" s="1340" t="e">
        <f t="shared" si="52"/>
        <v>#DIV/0!</v>
      </c>
      <c r="K579" s="1340">
        <f t="shared" si="53"/>
        <v>0</v>
      </c>
    </row>
    <row r="580" spans="1:11" ht="15" x14ac:dyDescent="0.25">
      <c r="A580" s="1341"/>
      <c r="B580" s="1344">
        <v>28400</v>
      </c>
      <c r="C580" s="1352">
        <v>344905100000000</v>
      </c>
      <c r="D580" s="1344" t="s">
        <v>6985</v>
      </c>
      <c r="E580" s="1344">
        <v>1</v>
      </c>
      <c r="F580" s="643">
        <v>0</v>
      </c>
      <c r="G580" s="643">
        <v>0</v>
      </c>
      <c r="H580" s="643">
        <v>0</v>
      </c>
      <c r="I580" s="26">
        <f t="shared" si="51"/>
        <v>0</v>
      </c>
      <c r="J580" s="1340" t="e">
        <f t="shared" si="52"/>
        <v>#DIV/0!</v>
      </c>
      <c r="K580" s="1340">
        <f t="shared" si="53"/>
        <v>0</v>
      </c>
    </row>
    <row r="581" spans="1:11" ht="15" x14ac:dyDescent="0.25">
      <c r="A581" s="1341"/>
      <c r="B581" s="1344">
        <v>28420</v>
      </c>
      <c r="C581" s="1352">
        <v>344905200000000</v>
      </c>
      <c r="D581" s="1344" t="s">
        <v>6986</v>
      </c>
      <c r="E581" s="1344">
        <v>1</v>
      </c>
      <c r="F581" s="643">
        <v>0</v>
      </c>
      <c r="G581" s="643">
        <v>0</v>
      </c>
      <c r="H581" s="643">
        <v>0</v>
      </c>
      <c r="I581" s="26">
        <f t="shared" si="51"/>
        <v>0</v>
      </c>
      <c r="J581" s="1340" t="e">
        <f t="shared" si="52"/>
        <v>#DIV/0!</v>
      </c>
      <c r="K581" s="1340">
        <f t="shared" si="53"/>
        <v>0</v>
      </c>
    </row>
    <row r="582" spans="1:11" ht="15" x14ac:dyDescent="0.25">
      <c r="B582" s="1598" t="s">
        <v>1575</v>
      </c>
      <c r="C582" s="1598"/>
      <c r="D582" s="1598"/>
      <c r="E582" s="1598"/>
      <c r="F582" s="25">
        <f>F558+F550+F477+F449+F422+F414+F390+F382+F309+F281+F254+F246</f>
        <v>1675479.51</v>
      </c>
      <c r="G582" s="25">
        <f>G558+G550+G477+G449+G422+G414+G390+G382+G309+G281+G254+G246</f>
        <v>1494212.1700000004</v>
      </c>
      <c r="H582" s="25">
        <f>H558+H550+H477+H449+H422+H414+H390+H382+H309+H281+H254+H246</f>
        <v>0</v>
      </c>
      <c r="I582" s="25">
        <f>I558+I550+I477+I449+I422+I414+I390+I382+I309+I281+I254+I246</f>
        <v>1056563.8933333333</v>
      </c>
      <c r="J582" s="1338">
        <f t="shared" si="52"/>
        <v>0.89181166411280099</v>
      </c>
      <c r="K582" s="1338">
        <f>I582/I$242</f>
        <v>2.4982116187913106</v>
      </c>
    </row>
    <row r="583" spans="1:11" ht="20.100000000000001" customHeight="1" x14ac:dyDescent="0.25">
      <c r="F583" s="26"/>
      <c r="G583" s="26"/>
      <c r="H583" s="26"/>
      <c r="I583" s="26"/>
    </row>
    <row r="585" spans="1:11" ht="15" x14ac:dyDescent="0.25">
      <c r="B585" s="616" t="s">
        <v>7663</v>
      </c>
      <c r="F585" s="643"/>
    </row>
    <row r="586" spans="1:11" ht="45" customHeight="1" x14ac:dyDescent="0.25">
      <c r="B586" s="1343" t="s">
        <v>2967</v>
      </c>
      <c r="C586" s="1343" t="s">
        <v>472</v>
      </c>
      <c r="D586" s="1343" t="s">
        <v>2968</v>
      </c>
      <c r="E586" s="1343" t="s">
        <v>1403</v>
      </c>
      <c r="F586" s="1081">
        <v>2017</v>
      </c>
      <c r="G586" s="1081">
        <f>F586+1</f>
        <v>2018</v>
      </c>
      <c r="H586" s="1081">
        <f>G586+1</f>
        <v>2019</v>
      </c>
      <c r="I586" s="1082" t="s">
        <v>7336</v>
      </c>
      <c r="J586" s="1342" t="s">
        <v>7335</v>
      </c>
      <c r="K586" s="1342" t="s">
        <v>7334</v>
      </c>
    </row>
    <row r="587" spans="1:11" ht="15" x14ac:dyDescent="0.25">
      <c r="B587" s="1345" t="s">
        <v>2950</v>
      </c>
      <c r="C587" s="1343" t="s">
        <v>3392</v>
      </c>
      <c r="D587" s="1345" t="s">
        <v>3393</v>
      </c>
      <c r="E587" s="1345"/>
      <c r="F587" s="642">
        <f>SUM(F588:F593)</f>
        <v>2236</v>
      </c>
      <c r="G587" s="642">
        <f>SUM(G588:G593)</f>
        <v>0</v>
      </c>
      <c r="H587" s="642">
        <f>SUM(H588:H593)</f>
        <v>0</v>
      </c>
      <c r="I587" s="642">
        <f>SUM(I588:I593)</f>
        <v>745.33333333333337</v>
      </c>
      <c r="J587" s="1338" t="e">
        <f t="shared" ref="J587:J622" si="54">(G587/F587)+(H587/G587)/2</f>
        <v>#DIV/0!</v>
      </c>
      <c r="K587" s="1338">
        <f t="shared" ref="K587:K622" si="55">I587/I$622</f>
        <v>9.5918200135297858E-3</v>
      </c>
    </row>
    <row r="588" spans="1:11" ht="15" x14ac:dyDescent="0.25">
      <c r="A588" s="1341"/>
      <c r="B588" s="1344">
        <v>30000</v>
      </c>
      <c r="C588" s="1352">
        <v>333904700000000</v>
      </c>
      <c r="D588" s="1344" t="s">
        <v>7662</v>
      </c>
      <c r="E588" s="1344">
        <v>1</v>
      </c>
      <c r="F588" s="643">
        <v>0</v>
      </c>
      <c r="G588" s="643">
        <v>0</v>
      </c>
      <c r="H588" s="643">
        <v>0</v>
      </c>
      <c r="I588" s="26">
        <f t="shared" ref="I588:I593" si="56">(F588+G588+H588)/3</f>
        <v>0</v>
      </c>
      <c r="J588" s="1340" t="e">
        <f t="shared" si="54"/>
        <v>#DIV/0!</v>
      </c>
      <c r="K588" s="1340">
        <f t="shared" si="55"/>
        <v>0</v>
      </c>
    </row>
    <row r="589" spans="1:11" ht="15" x14ac:dyDescent="0.25">
      <c r="A589" s="1341"/>
      <c r="B589" s="1344">
        <v>30100</v>
      </c>
      <c r="C589" s="1352">
        <v>344903000000000</v>
      </c>
      <c r="D589" s="1344" t="s">
        <v>7661</v>
      </c>
      <c r="E589" s="1344">
        <v>1</v>
      </c>
      <c r="F589" s="643">
        <v>0</v>
      </c>
      <c r="G589" s="643">
        <v>0</v>
      </c>
      <c r="H589" s="643">
        <v>0</v>
      </c>
      <c r="I589" s="26">
        <f t="shared" si="56"/>
        <v>0</v>
      </c>
      <c r="J589" s="1340" t="e">
        <f t="shared" si="54"/>
        <v>#DIV/0!</v>
      </c>
      <c r="K589" s="1340">
        <f t="shared" si="55"/>
        <v>0</v>
      </c>
    </row>
    <row r="590" spans="1:11" ht="15" x14ac:dyDescent="0.25">
      <c r="A590" s="1341"/>
      <c r="B590" s="1344">
        <v>30200</v>
      </c>
      <c r="C590" s="1352">
        <v>344903600000000</v>
      </c>
      <c r="D590" s="1344" t="s">
        <v>7660</v>
      </c>
      <c r="E590" s="1344">
        <v>1</v>
      </c>
      <c r="F590" s="643">
        <v>0</v>
      </c>
      <c r="G590" s="643">
        <v>0</v>
      </c>
      <c r="H590" s="643">
        <v>0</v>
      </c>
      <c r="I590" s="26">
        <f t="shared" si="56"/>
        <v>0</v>
      </c>
      <c r="J590" s="1340" t="e">
        <f t="shared" si="54"/>
        <v>#DIV/0!</v>
      </c>
      <c r="K590" s="1340">
        <f t="shared" si="55"/>
        <v>0</v>
      </c>
    </row>
    <row r="591" spans="1:11" ht="15" x14ac:dyDescent="0.25">
      <c r="A591" s="1341"/>
      <c r="B591" s="1344">
        <v>30300</v>
      </c>
      <c r="C591" s="1352">
        <v>344903900000000</v>
      </c>
      <c r="D591" s="1344" t="s">
        <v>7659</v>
      </c>
      <c r="E591" s="1344">
        <v>1</v>
      </c>
      <c r="F591" s="643">
        <v>0</v>
      </c>
      <c r="G591" s="643">
        <v>0</v>
      </c>
      <c r="H591" s="643">
        <v>0</v>
      </c>
      <c r="I591" s="26">
        <f t="shared" si="56"/>
        <v>0</v>
      </c>
      <c r="J591" s="1340" t="e">
        <f t="shared" si="54"/>
        <v>#DIV/0!</v>
      </c>
      <c r="K591" s="1340">
        <f t="shared" si="55"/>
        <v>0</v>
      </c>
    </row>
    <row r="592" spans="1:11" ht="15" x14ac:dyDescent="0.25">
      <c r="A592" s="1341"/>
      <c r="B592" s="1344">
        <v>30400</v>
      </c>
      <c r="C592" s="1352">
        <v>344905100000000</v>
      </c>
      <c r="D592" s="1344" t="s">
        <v>4118</v>
      </c>
      <c r="E592" s="1344">
        <v>1</v>
      </c>
      <c r="F592" s="643">
        <v>0</v>
      </c>
      <c r="G592" s="643">
        <v>0</v>
      </c>
      <c r="H592" s="643">
        <v>0</v>
      </c>
      <c r="I592" s="26">
        <f t="shared" si="56"/>
        <v>0</v>
      </c>
      <c r="J592" s="1340" t="e">
        <f t="shared" si="54"/>
        <v>#DIV/0!</v>
      </c>
      <c r="K592" s="1340">
        <f t="shared" si="55"/>
        <v>0</v>
      </c>
    </row>
    <row r="593" spans="1:11" ht="15" x14ac:dyDescent="0.25">
      <c r="A593" s="1341"/>
      <c r="B593" s="1344">
        <v>30500</v>
      </c>
      <c r="C593" s="1352">
        <v>344905200000000</v>
      </c>
      <c r="D593" s="1344" t="s">
        <v>7658</v>
      </c>
      <c r="E593" s="1344">
        <v>1</v>
      </c>
      <c r="F593" s="643">
        <v>2236</v>
      </c>
      <c r="G593" s="643">
        <v>0</v>
      </c>
      <c r="H593" s="643">
        <v>0</v>
      </c>
      <c r="I593" s="26">
        <f t="shared" si="56"/>
        <v>745.33333333333337</v>
      </c>
      <c r="J593" s="1340" t="e">
        <f t="shared" si="54"/>
        <v>#DIV/0!</v>
      </c>
      <c r="K593" s="1340">
        <f t="shared" si="55"/>
        <v>9.5918200135297858E-3</v>
      </c>
    </row>
    <row r="594" spans="1:11" s="12" customFormat="1" ht="15" x14ac:dyDescent="0.25">
      <c r="A594" s="1081"/>
      <c r="B594" s="1345" t="s">
        <v>2965</v>
      </c>
      <c r="C594" s="1343">
        <v>2</v>
      </c>
      <c r="D594" s="1345" t="s">
        <v>2966</v>
      </c>
      <c r="E594" s="1345"/>
      <c r="F594" s="570">
        <f>SUM(F595:F621)</f>
        <v>124083.02</v>
      </c>
      <c r="G594" s="570">
        <f>SUM(G595:G621)</f>
        <v>106796.28000000001</v>
      </c>
      <c r="H594" s="570">
        <f>SUM(H595:H621)</f>
        <v>0</v>
      </c>
      <c r="I594" s="570">
        <f>SUM(I595:I621)</f>
        <v>76959.766666666677</v>
      </c>
      <c r="J594" s="1338">
        <f t="shared" si="54"/>
        <v>0.86068408070661084</v>
      </c>
      <c r="K594" s="1338">
        <f t="shared" si="55"/>
        <v>0.99040817998647024</v>
      </c>
    </row>
    <row r="595" spans="1:11" ht="15" x14ac:dyDescent="0.25">
      <c r="A595" s="1341"/>
      <c r="B595" s="1344">
        <v>32000</v>
      </c>
      <c r="C595" s="1352">
        <v>331900400000000</v>
      </c>
      <c r="D595" s="1344" t="s">
        <v>5847</v>
      </c>
      <c r="E595" s="1344">
        <v>1</v>
      </c>
      <c r="F595" s="643">
        <v>0</v>
      </c>
      <c r="G595" s="643">
        <v>0</v>
      </c>
      <c r="H595" s="643">
        <v>0</v>
      </c>
      <c r="I595" s="26">
        <f t="shared" ref="I595:I622" si="57">(F595+G595+H595)/3</f>
        <v>0</v>
      </c>
      <c r="J595" s="1339" t="e">
        <f t="shared" si="54"/>
        <v>#DIV/0!</v>
      </c>
      <c r="K595" s="1340">
        <f t="shared" si="55"/>
        <v>0</v>
      </c>
    </row>
    <row r="596" spans="1:11" ht="15" x14ac:dyDescent="0.25">
      <c r="A596" s="1341"/>
      <c r="B596" s="1344">
        <v>32050</v>
      </c>
      <c r="C596" s="1352">
        <v>331900800000000</v>
      </c>
      <c r="D596" s="1344" t="s">
        <v>5848</v>
      </c>
      <c r="E596" s="1344">
        <v>1</v>
      </c>
      <c r="F596" s="643">
        <v>4184.07</v>
      </c>
      <c r="G596" s="643">
        <v>0</v>
      </c>
      <c r="H596" s="643">
        <v>0</v>
      </c>
      <c r="I596" s="26">
        <f t="shared" si="57"/>
        <v>1394.6899999999998</v>
      </c>
      <c r="J596" s="1339" t="e">
        <f t="shared" si="54"/>
        <v>#DIV/0!</v>
      </c>
      <c r="K596" s="1340">
        <f t="shared" si="55"/>
        <v>1.7948500162794975E-2</v>
      </c>
    </row>
    <row r="597" spans="1:11" ht="15" x14ac:dyDescent="0.25">
      <c r="A597" s="1341"/>
      <c r="B597" s="1344">
        <v>32100</v>
      </c>
      <c r="C597" s="1352">
        <v>331901100000000</v>
      </c>
      <c r="D597" s="1344" t="s">
        <v>5849</v>
      </c>
      <c r="E597" s="1344">
        <v>1</v>
      </c>
      <c r="F597" s="643">
        <v>56250.18</v>
      </c>
      <c r="G597" s="643">
        <v>59460.4</v>
      </c>
      <c r="H597" s="643">
        <v>0</v>
      </c>
      <c r="I597" s="26">
        <f t="shared" si="57"/>
        <v>38570.193333333336</v>
      </c>
      <c r="J597" s="1339">
        <f t="shared" si="54"/>
        <v>1.0570703951525133</v>
      </c>
      <c r="K597" s="1340">
        <f t="shared" si="55"/>
        <v>0.49636630457117142</v>
      </c>
    </row>
    <row r="598" spans="1:11" ht="15" x14ac:dyDescent="0.25">
      <c r="A598" s="1341"/>
      <c r="B598" s="1344">
        <v>32200</v>
      </c>
      <c r="C598" s="1352">
        <v>331901300000000</v>
      </c>
      <c r="D598" s="1344" t="s">
        <v>5850</v>
      </c>
      <c r="E598" s="1344">
        <v>1</v>
      </c>
      <c r="F598" s="643">
        <v>12459.54</v>
      </c>
      <c r="G598" s="643">
        <v>13141.78</v>
      </c>
      <c r="H598" s="643">
        <v>0</v>
      </c>
      <c r="I598" s="26">
        <f t="shared" si="57"/>
        <v>8533.7733333333326</v>
      </c>
      <c r="J598" s="1339">
        <f t="shared" si="54"/>
        <v>1.0547564356308499</v>
      </c>
      <c r="K598" s="1340">
        <f t="shared" si="55"/>
        <v>0.10982256419891785</v>
      </c>
    </row>
    <row r="599" spans="1:11" ht="15" x14ac:dyDescent="0.25">
      <c r="A599" s="1341"/>
      <c r="B599" s="1344">
        <v>32300</v>
      </c>
      <c r="C599" s="1352">
        <v>331901600000000</v>
      </c>
      <c r="D599" s="1344" t="s">
        <v>5851</v>
      </c>
      <c r="E599" s="1344">
        <v>1</v>
      </c>
      <c r="F599" s="643">
        <v>0</v>
      </c>
      <c r="G599" s="643">
        <v>0</v>
      </c>
      <c r="H599" s="643">
        <v>0</v>
      </c>
      <c r="I599" s="26">
        <f t="shared" si="57"/>
        <v>0</v>
      </c>
      <c r="J599" s="1339" t="e">
        <f t="shared" si="54"/>
        <v>#DIV/0!</v>
      </c>
      <c r="K599" s="1340">
        <f t="shared" si="55"/>
        <v>0</v>
      </c>
    </row>
    <row r="600" spans="1:11" ht="15" x14ac:dyDescent="0.25">
      <c r="A600" s="1341"/>
      <c r="B600" s="1344">
        <v>32350</v>
      </c>
      <c r="C600" s="1352">
        <v>331903400000000</v>
      </c>
      <c r="D600" s="1344" t="s">
        <v>2988</v>
      </c>
      <c r="E600" s="1344">
        <v>1</v>
      </c>
      <c r="F600" s="643">
        <v>0</v>
      </c>
      <c r="G600" s="643">
        <v>0</v>
      </c>
      <c r="H600" s="643">
        <v>0</v>
      </c>
      <c r="I600" s="26">
        <f t="shared" si="57"/>
        <v>0</v>
      </c>
      <c r="J600" s="1339" t="e">
        <f t="shared" si="54"/>
        <v>#DIV/0!</v>
      </c>
      <c r="K600" s="1340">
        <f t="shared" si="55"/>
        <v>0</v>
      </c>
    </row>
    <row r="601" spans="1:11" ht="15" x14ac:dyDescent="0.25">
      <c r="A601" s="1341"/>
      <c r="B601" s="1344">
        <v>32400</v>
      </c>
      <c r="C601" s="1352">
        <v>331909400000000</v>
      </c>
      <c r="D601" s="1344" t="s">
        <v>7657</v>
      </c>
      <c r="E601" s="1344">
        <v>1</v>
      </c>
      <c r="F601" s="643">
        <v>0</v>
      </c>
      <c r="G601" s="643">
        <v>0</v>
      </c>
      <c r="H601" s="643">
        <v>0</v>
      </c>
      <c r="I601" s="26">
        <f t="shared" si="57"/>
        <v>0</v>
      </c>
      <c r="J601" s="1339" t="e">
        <f t="shared" si="54"/>
        <v>#DIV/0!</v>
      </c>
      <c r="K601" s="1340">
        <f t="shared" si="55"/>
        <v>0</v>
      </c>
    </row>
    <row r="602" spans="1:11" ht="15" x14ac:dyDescent="0.25">
      <c r="A602" s="1341"/>
      <c r="B602" s="1344">
        <v>32500</v>
      </c>
      <c r="C602" s="1352">
        <v>333901400000000</v>
      </c>
      <c r="D602" s="1344" t="s">
        <v>5854</v>
      </c>
      <c r="E602" s="1344">
        <v>1</v>
      </c>
      <c r="F602" s="643">
        <v>2156</v>
      </c>
      <c r="G602" s="643">
        <v>720</v>
      </c>
      <c r="H602" s="643">
        <v>0</v>
      </c>
      <c r="I602" s="26">
        <f t="shared" si="57"/>
        <v>958.66666666666663</v>
      </c>
      <c r="J602" s="1339">
        <f t="shared" si="54"/>
        <v>0.33395176252319109</v>
      </c>
      <c r="K602" s="1340">
        <f t="shared" si="55"/>
        <v>1.2337242557652799E-2</v>
      </c>
    </row>
    <row r="603" spans="1:11" ht="15" x14ac:dyDescent="0.25">
      <c r="A603" s="1341"/>
      <c r="B603" s="1344">
        <v>33860</v>
      </c>
      <c r="C603" s="1352">
        <v>333901400000000</v>
      </c>
      <c r="D603" s="1344" t="s">
        <v>5868</v>
      </c>
      <c r="E603" s="1344">
        <v>1</v>
      </c>
      <c r="F603" s="643">
        <v>0</v>
      </c>
      <c r="G603" s="643">
        <v>0</v>
      </c>
      <c r="H603" s="643">
        <v>0</v>
      </c>
      <c r="I603" s="26">
        <f t="shared" si="57"/>
        <v>0</v>
      </c>
      <c r="J603" s="1339" t="e">
        <f t="shared" si="54"/>
        <v>#DIV/0!</v>
      </c>
      <c r="K603" s="1340">
        <f t="shared" si="55"/>
        <v>0</v>
      </c>
    </row>
    <row r="604" spans="1:11" ht="15" x14ac:dyDescent="0.25">
      <c r="A604" s="1341"/>
      <c r="B604" s="1344">
        <v>32600</v>
      </c>
      <c r="C604" s="1352">
        <v>333903000000000</v>
      </c>
      <c r="D604" s="1344" t="s">
        <v>5855</v>
      </c>
      <c r="E604" s="1344">
        <v>1</v>
      </c>
      <c r="F604" s="643">
        <v>18327.240000000002</v>
      </c>
      <c r="G604" s="643">
        <v>9895.5</v>
      </c>
      <c r="H604" s="643">
        <v>0</v>
      </c>
      <c r="I604" s="26">
        <f t="shared" si="57"/>
        <v>9407.58</v>
      </c>
      <c r="J604" s="1339">
        <f t="shared" si="54"/>
        <v>0.53993399988214263</v>
      </c>
      <c r="K604" s="1340">
        <f t="shared" si="55"/>
        <v>0.12106772914519123</v>
      </c>
    </row>
    <row r="605" spans="1:11" ht="15" x14ac:dyDescent="0.25">
      <c r="A605" s="1341"/>
      <c r="B605" s="1344">
        <v>32700</v>
      </c>
      <c r="C605" s="1352">
        <v>333903300000000</v>
      </c>
      <c r="D605" s="1344" t="s">
        <v>5856</v>
      </c>
      <c r="E605" s="1344">
        <v>1</v>
      </c>
      <c r="F605" s="643">
        <v>0</v>
      </c>
      <c r="G605" s="643">
        <v>0</v>
      </c>
      <c r="H605" s="643">
        <v>0</v>
      </c>
      <c r="I605" s="26">
        <f t="shared" si="57"/>
        <v>0</v>
      </c>
      <c r="J605" s="1339" t="e">
        <f t="shared" si="54"/>
        <v>#DIV/0!</v>
      </c>
      <c r="K605" s="1340">
        <f t="shared" si="55"/>
        <v>0</v>
      </c>
    </row>
    <row r="606" spans="1:11" ht="30" x14ac:dyDescent="0.25">
      <c r="A606" s="1341"/>
      <c r="B606" s="1344">
        <v>33870</v>
      </c>
      <c r="C606" s="1352">
        <v>333903300000000</v>
      </c>
      <c r="D606" s="1344" t="s">
        <v>7656</v>
      </c>
      <c r="E606" s="1344">
        <v>1</v>
      </c>
      <c r="F606" s="643">
        <v>0</v>
      </c>
      <c r="G606" s="643">
        <v>0</v>
      </c>
      <c r="H606" s="643">
        <v>0</v>
      </c>
      <c r="I606" s="26">
        <f t="shared" si="57"/>
        <v>0</v>
      </c>
      <c r="J606" s="1339" t="e">
        <f t="shared" si="54"/>
        <v>#DIV/0!</v>
      </c>
      <c r="K606" s="1340">
        <f t="shared" si="55"/>
        <v>0</v>
      </c>
    </row>
    <row r="607" spans="1:11" ht="15" x14ac:dyDescent="0.25">
      <c r="A607" s="1341"/>
      <c r="B607" s="1344">
        <v>32800</v>
      </c>
      <c r="C607" s="1352">
        <v>333903500000000</v>
      </c>
      <c r="D607" s="1344" t="s">
        <v>5857</v>
      </c>
      <c r="E607" s="1344">
        <v>1</v>
      </c>
      <c r="F607" s="643">
        <v>0</v>
      </c>
      <c r="G607" s="643">
        <v>0</v>
      </c>
      <c r="H607" s="643">
        <v>0</v>
      </c>
      <c r="I607" s="26">
        <f t="shared" si="57"/>
        <v>0</v>
      </c>
      <c r="J607" s="1339" t="e">
        <f t="shared" si="54"/>
        <v>#DIV/0!</v>
      </c>
      <c r="K607" s="1340">
        <f t="shared" si="55"/>
        <v>0</v>
      </c>
    </row>
    <row r="608" spans="1:11" ht="15" x14ac:dyDescent="0.25">
      <c r="A608" s="1341"/>
      <c r="B608" s="1344">
        <v>32900</v>
      </c>
      <c r="C608" s="1352">
        <v>333903600000000</v>
      </c>
      <c r="D608" s="1344" t="s">
        <v>5858</v>
      </c>
      <c r="E608" s="1344">
        <v>1</v>
      </c>
      <c r="F608" s="643">
        <v>13610.11</v>
      </c>
      <c r="G608" s="643">
        <v>13200</v>
      </c>
      <c r="H608" s="643">
        <v>0</v>
      </c>
      <c r="I608" s="26">
        <f t="shared" si="57"/>
        <v>8936.7033333333329</v>
      </c>
      <c r="J608" s="1339">
        <f t="shared" si="54"/>
        <v>0.96986725309347244</v>
      </c>
      <c r="K608" s="1340">
        <f t="shared" si="55"/>
        <v>0.11500793813190295</v>
      </c>
    </row>
    <row r="609" spans="1:11" ht="15" x14ac:dyDescent="0.25">
      <c r="A609" s="1341"/>
      <c r="B609" s="1344">
        <v>33880</v>
      </c>
      <c r="C609" s="1352">
        <v>333903600000000</v>
      </c>
      <c r="D609" s="1344" t="s">
        <v>7655</v>
      </c>
      <c r="E609" s="1344">
        <v>1</v>
      </c>
      <c r="F609" s="643">
        <v>0</v>
      </c>
      <c r="G609" s="643">
        <v>0</v>
      </c>
      <c r="H609" s="643">
        <v>0</v>
      </c>
      <c r="I609" s="26">
        <f t="shared" si="57"/>
        <v>0</v>
      </c>
      <c r="J609" s="1339" t="e">
        <f t="shared" si="54"/>
        <v>#DIV/0!</v>
      </c>
      <c r="K609" s="1340">
        <f t="shared" si="55"/>
        <v>0</v>
      </c>
    </row>
    <row r="610" spans="1:11" ht="15" x14ac:dyDescent="0.25">
      <c r="A610" s="1341"/>
      <c r="B610" s="1344">
        <v>33000</v>
      </c>
      <c r="C610" s="1352">
        <v>333903900000000</v>
      </c>
      <c r="D610" s="1344" t="s">
        <v>5859</v>
      </c>
      <c r="E610" s="1344">
        <v>1</v>
      </c>
      <c r="F610" s="643">
        <v>16543.68</v>
      </c>
      <c r="G610" s="643">
        <v>10129.799999999999</v>
      </c>
      <c r="H610" s="643">
        <v>0</v>
      </c>
      <c r="I610" s="26">
        <f t="shared" si="57"/>
        <v>8891.16</v>
      </c>
      <c r="J610" s="1339">
        <f t="shared" si="54"/>
        <v>0.61230633087680608</v>
      </c>
      <c r="K610" s="1340">
        <f t="shared" si="55"/>
        <v>0.11442183331595994</v>
      </c>
    </row>
    <row r="611" spans="1:11" ht="15" x14ac:dyDescent="0.25">
      <c r="A611" s="1341"/>
      <c r="B611" s="1344">
        <v>33890</v>
      </c>
      <c r="C611" s="1352">
        <v>333903900000000</v>
      </c>
      <c r="D611" s="1344" t="s">
        <v>7654</v>
      </c>
      <c r="E611" s="1344">
        <v>1</v>
      </c>
      <c r="F611" s="643">
        <v>0</v>
      </c>
      <c r="G611" s="643">
        <v>0</v>
      </c>
      <c r="H611" s="643">
        <v>0</v>
      </c>
      <c r="I611" s="26">
        <f t="shared" si="57"/>
        <v>0</v>
      </c>
      <c r="J611" s="1339" t="e">
        <f t="shared" si="54"/>
        <v>#DIV/0!</v>
      </c>
      <c r="K611" s="1340">
        <f t="shared" si="55"/>
        <v>0</v>
      </c>
    </row>
    <row r="612" spans="1:11" ht="30" x14ac:dyDescent="0.25">
      <c r="A612" s="1341"/>
      <c r="B612" s="1344">
        <v>33830</v>
      </c>
      <c r="C612" s="1352">
        <v>333904000000000</v>
      </c>
      <c r="D612" s="1344" t="s">
        <v>7653</v>
      </c>
      <c r="E612" s="1344">
        <v>1</v>
      </c>
      <c r="F612" s="643">
        <v>0</v>
      </c>
      <c r="G612" s="643">
        <v>0</v>
      </c>
      <c r="H612" s="643">
        <v>0</v>
      </c>
      <c r="I612" s="26">
        <f t="shared" si="57"/>
        <v>0</v>
      </c>
      <c r="J612" s="1339" t="e">
        <f t="shared" si="54"/>
        <v>#DIV/0!</v>
      </c>
      <c r="K612" s="1340">
        <f t="shared" si="55"/>
        <v>0</v>
      </c>
    </row>
    <row r="613" spans="1:11" ht="15" x14ac:dyDescent="0.25">
      <c r="A613" s="1341"/>
      <c r="B613" s="1344">
        <v>33100</v>
      </c>
      <c r="C613" s="1352">
        <v>333904600000000</v>
      </c>
      <c r="D613" s="1344" t="s">
        <v>5860</v>
      </c>
      <c r="E613" s="1344">
        <v>1</v>
      </c>
      <c r="F613" s="643">
        <v>0</v>
      </c>
      <c r="G613" s="643">
        <v>0</v>
      </c>
      <c r="H613" s="643">
        <v>0</v>
      </c>
      <c r="I613" s="26">
        <f t="shared" si="57"/>
        <v>0</v>
      </c>
      <c r="J613" s="1339" t="e">
        <f t="shared" si="54"/>
        <v>#DIV/0!</v>
      </c>
      <c r="K613" s="1340">
        <f t="shared" si="55"/>
        <v>0</v>
      </c>
    </row>
    <row r="614" spans="1:11" ht="15" x14ac:dyDescent="0.25">
      <c r="A614" s="1341"/>
      <c r="B614" s="1344">
        <v>33200</v>
      </c>
      <c r="C614" s="1352">
        <v>333904700000000</v>
      </c>
      <c r="D614" s="1344" t="s">
        <v>7652</v>
      </c>
      <c r="E614" s="1344">
        <v>1</v>
      </c>
      <c r="F614" s="643">
        <v>542.4</v>
      </c>
      <c r="G614" s="643">
        <v>248.8</v>
      </c>
      <c r="H614" s="643">
        <v>0</v>
      </c>
      <c r="I614" s="26">
        <f t="shared" si="57"/>
        <v>263.73333333333335</v>
      </c>
      <c r="J614" s="1339">
        <f t="shared" si="54"/>
        <v>0.45870206489675519</v>
      </c>
      <c r="K614" s="1340">
        <f t="shared" si="55"/>
        <v>3.3940286201720781E-3</v>
      </c>
    </row>
    <row r="615" spans="1:11" ht="15" x14ac:dyDescent="0.25">
      <c r="A615" s="1341"/>
      <c r="B615" s="1344">
        <v>33900</v>
      </c>
      <c r="C615" s="1352">
        <v>333904700000000</v>
      </c>
      <c r="D615" s="1344" t="s">
        <v>7651</v>
      </c>
      <c r="E615" s="1344">
        <v>1</v>
      </c>
      <c r="F615" s="643">
        <v>0</v>
      </c>
      <c r="G615" s="643">
        <v>0</v>
      </c>
      <c r="H615" s="643">
        <v>0</v>
      </c>
      <c r="I615" s="26">
        <f t="shared" si="57"/>
        <v>0</v>
      </c>
      <c r="J615" s="1339" t="e">
        <f t="shared" si="54"/>
        <v>#DIV/0!</v>
      </c>
      <c r="K615" s="1340">
        <f t="shared" si="55"/>
        <v>0</v>
      </c>
    </row>
    <row r="616" spans="1:11" ht="15" x14ac:dyDescent="0.25">
      <c r="A616" s="1341"/>
      <c r="B616" s="1344">
        <v>33300</v>
      </c>
      <c r="C616" s="1352">
        <v>333904900000000</v>
      </c>
      <c r="D616" s="1344" t="s">
        <v>5862</v>
      </c>
      <c r="E616" s="1344">
        <v>1</v>
      </c>
      <c r="F616" s="643">
        <v>0</v>
      </c>
      <c r="G616" s="643">
        <v>0</v>
      </c>
      <c r="H616" s="643">
        <v>0</v>
      </c>
      <c r="I616" s="26">
        <f t="shared" si="57"/>
        <v>0</v>
      </c>
      <c r="J616" s="1339" t="e">
        <f t="shared" si="54"/>
        <v>#DIV/0!</v>
      </c>
      <c r="K616" s="1340">
        <f t="shared" si="55"/>
        <v>0</v>
      </c>
    </row>
    <row r="617" spans="1:11" ht="15" x14ac:dyDescent="0.25">
      <c r="A617" s="1341"/>
      <c r="B617" s="1344">
        <v>33400</v>
      </c>
      <c r="C617" s="1352">
        <v>333909200000000</v>
      </c>
      <c r="D617" s="1344" t="s">
        <v>5863</v>
      </c>
      <c r="E617" s="1344">
        <v>1</v>
      </c>
      <c r="F617" s="643">
        <v>0</v>
      </c>
      <c r="G617" s="643">
        <v>0</v>
      </c>
      <c r="H617" s="643">
        <v>0</v>
      </c>
      <c r="I617" s="26">
        <f t="shared" si="57"/>
        <v>0</v>
      </c>
      <c r="J617" s="1339" t="e">
        <f t="shared" si="54"/>
        <v>#DIV/0!</v>
      </c>
      <c r="K617" s="1340">
        <f t="shared" si="55"/>
        <v>0</v>
      </c>
    </row>
    <row r="618" spans="1:11" ht="15" x14ac:dyDescent="0.25">
      <c r="A618" s="1341"/>
      <c r="B618" s="1344">
        <v>33500</v>
      </c>
      <c r="C618" s="1352">
        <v>333909300000000</v>
      </c>
      <c r="D618" s="1344" t="s">
        <v>5864</v>
      </c>
      <c r="E618" s="1344">
        <v>1</v>
      </c>
      <c r="F618" s="643">
        <v>9.8000000000000007</v>
      </c>
      <c r="G618" s="643">
        <v>0</v>
      </c>
      <c r="H618" s="643">
        <v>0</v>
      </c>
      <c r="I618" s="26">
        <f t="shared" si="57"/>
        <v>3.2666666666666671</v>
      </c>
      <c r="J618" s="1339" t="e">
        <f t="shared" si="54"/>
        <v>#DIV/0!</v>
      </c>
      <c r="K618" s="1340">
        <f t="shared" si="55"/>
        <v>4.2039282706883675E-5</v>
      </c>
    </row>
    <row r="619" spans="1:11" ht="15" x14ac:dyDescent="0.25">
      <c r="A619" s="1341"/>
      <c r="B619" s="1344">
        <v>33600</v>
      </c>
      <c r="C619" s="1352">
        <v>333933000000000</v>
      </c>
      <c r="D619" s="1344" t="s">
        <v>5865</v>
      </c>
      <c r="E619" s="1344">
        <v>1</v>
      </c>
      <c r="F619" s="643">
        <v>0</v>
      </c>
      <c r="G619" s="643">
        <v>0</v>
      </c>
      <c r="H619" s="643">
        <v>0</v>
      </c>
      <c r="I619" s="26">
        <f t="shared" si="57"/>
        <v>0</v>
      </c>
      <c r="J619" s="1339" t="e">
        <f t="shared" si="54"/>
        <v>#DIV/0!</v>
      </c>
      <c r="K619" s="1340">
        <f t="shared" si="55"/>
        <v>0</v>
      </c>
    </row>
    <row r="620" spans="1:11" ht="15" x14ac:dyDescent="0.25">
      <c r="A620" s="1341"/>
      <c r="B620" s="1344">
        <v>33700</v>
      </c>
      <c r="C620" s="1352">
        <v>344905100000000</v>
      </c>
      <c r="D620" s="1344" t="s">
        <v>5866</v>
      </c>
      <c r="E620" s="1344">
        <v>1</v>
      </c>
      <c r="F620" s="643">
        <v>0</v>
      </c>
      <c r="G620" s="643">
        <v>0</v>
      </c>
      <c r="H620" s="643">
        <v>0</v>
      </c>
      <c r="I620" s="26">
        <f t="shared" si="57"/>
        <v>0</v>
      </c>
      <c r="J620" s="1339" t="e">
        <f t="shared" si="54"/>
        <v>#DIV/0!</v>
      </c>
      <c r="K620" s="1340">
        <f t="shared" si="55"/>
        <v>0</v>
      </c>
    </row>
    <row r="621" spans="1:11" ht="15" x14ac:dyDescent="0.25">
      <c r="A621" s="1341"/>
      <c r="B621" s="1344">
        <v>33800</v>
      </c>
      <c r="C621" s="1352">
        <v>344905200000000</v>
      </c>
      <c r="D621" s="1344" t="s">
        <v>5867</v>
      </c>
      <c r="E621" s="1344">
        <v>1</v>
      </c>
      <c r="F621" s="643">
        <v>0</v>
      </c>
      <c r="G621" s="643">
        <v>0</v>
      </c>
      <c r="H621" s="643">
        <v>0</v>
      </c>
      <c r="I621" s="26">
        <f t="shared" si="57"/>
        <v>0</v>
      </c>
      <c r="J621" s="1339" t="e">
        <f t="shared" si="54"/>
        <v>#DIV/0!</v>
      </c>
      <c r="K621" s="1340">
        <f t="shared" si="55"/>
        <v>0</v>
      </c>
    </row>
    <row r="622" spans="1:11" ht="15" x14ac:dyDescent="0.25">
      <c r="B622" s="1598" t="s">
        <v>1575</v>
      </c>
      <c r="C622" s="1598"/>
      <c r="D622" s="1598"/>
      <c r="E622" s="1598"/>
      <c r="F622" s="25">
        <f>F587+F594</f>
        <v>126319.02</v>
      </c>
      <c r="G622" s="25">
        <f>G587+G594</f>
        <v>106796.28000000001</v>
      </c>
      <c r="H622" s="25">
        <f>H587+H594</f>
        <v>0</v>
      </c>
      <c r="I622" s="25">
        <f t="shared" si="57"/>
        <v>77705.100000000006</v>
      </c>
      <c r="J622" s="1337">
        <f t="shared" si="54"/>
        <v>0.84544892764367563</v>
      </c>
      <c r="K622" s="1338">
        <f t="shared" si="55"/>
        <v>1</v>
      </c>
    </row>
    <row r="623" spans="1:11" ht="15" x14ac:dyDescent="0.25">
      <c r="A623" s="1341"/>
    </row>
    <row r="624" spans="1:11" ht="15" x14ac:dyDescent="0.25">
      <c r="B624" s="616" t="s">
        <v>4502</v>
      </c>
      <c r="F624" s="643"/>
    </row>
    <row r="625" spans="1:11" ht="45" customHeight="1" x14ac:dyDescent="0.25">
      <c r="B625" s="1343" t="s">
        <v>2967</v>
      </c>
      <c r="C625" s="1343" t="s">
        <v>472</v>
      </c>
      <c r="D625" s="1343" t="s">
        <v>2968</v>
      </c>
      <c r="E625" s="1343" t="s">
        <v>1403</v>
      </c>
      <c r="F625" s="1081">
        <v>2017</v>
      </c>
      <c r="G625" s="1081">
        <f>F625+1</f>
        <v>2018</v>
      </c>
      <c r="H625" s="1081">
        <f>G625+1</f>
        <v>2019</v>
      </c>
      <c r="I625" s="1082" t="s">
        <v>7336</v>
      </c>
      <c r="J625" s="1342" t="s">
        <v>7335</v>
      </c>
      <c r="K625" s="1342" t="s">
        <v>7334</v>
      </c>
    </row>
    <row r="626" spans="1:11" ht="15" x14ac:dyDescent="0.25">
      <c r="B626" s="1345" t="s">
        <v>2950</v>
      </c>
      <c r="C626" s="1343" t="s">
        <v>3392</v>
      </c>
      <c r="D626" s="1345" t="s">
        <v>3393</v>
      </c>
      <c r="E626" s="1345"/>
      <c r="F626" s="642">
        <f>SUM(F627:F632)</f>
        <v>0</v>
      </c>
      <c r="G626" s="642">
        <f>SUM(G627:G632)</f>
        <v>0</v>
      </c>
      <c r="H626" s="642">
        <f>SUM(H627:H632)</f>
        <v>0</v>
      </c>
      <c r="I626" s="642">
        <f>SUM(I627:I632)</f>
        <v>0</v>
      </c>
      <c r="J626" s="1338" t="e">
        <f t="shared" ref="J626:J657" si="58">(G626/F626)+(H626/G626)/2</f>
        <v>#DIV/0!</v>
      </c>
      <c r="K626" s="1338">
        <f t="shared" ref="K626:K657" si="59">I626/I$694</f>
        <v>0</v>
      </c>
    </row>
    <row r="627" spans="1:11" ht="15" x14ac:dyDescent="0.25">
      <c r="A627" s="1341"/>
      <c r="B627" s="1344">
        <v>35000</v>
      </c>
      <c r="C627" s="1352">
        <v>333904700000000</v>
      </c>
      <c r="D627" s="1344" t="s">
        <v>4269</v>
      </c>
      <c r="E627" s="1344">
        <v>1</v>
      </c>
      <c r="F627" s="643">
        <v>0</v>
      </c>
      <c r="G627" s="643">
        <v>0</v>
      </c>
      <c r="H627" s="26">
        <v>0</v>
      </c>
      <c r="I627" s="26">
        <f t="shared" ref="I627:I632" si="60">(F627+G627+H627)/3</f>
        <v>0</v>
      </c>
      <c r="J627" s="1340" t="e">
        <f t="shared" si="58"/>
        <v>#DIV/0!</v>
      </c>
      <c r="K627" s="1340">
        <f t="shared" si="59"/>
        <v>0</v>
      </c>
    </row>
    <row r="628" spans="1:11" ht="15" x14ac:dyDescent="0.25">
      <c r="A628" s="1341"/>
      <c r="B628" s="1344">
        <v>35100</v>
      </c>
      <c r="C628" s="1352">
        <v>344903000000000</v>
      </c>
      <c r="D628" s="1344" t="s">
        <v>4270</v>
      </c>
      <c r="E628" s="1344">
        <v>1</v>
      </c>
      <c r="F628" s="643">
        <v>0</v>
      </c>
      <c r="G628" s="643">
        <v>0</v>
      </c>
      <c r="H628" s="26">
        <v>0</v>
      </c>
      <c r="I628" s="26">
        <f t="shared" si="60"/>
        <v>0</v>
      </c>
      <c r="J628" s="1340" t="e">
        <f t="shared" si="58"/>
        <v>#DIV/0!</v>
      </c>
      <c r="K628" s="1340">
        <f t="shared" si="59"/>
        <v>0</v>
      </c>
    </row>
    <row r="629" spans="1:11" ht="15" x14ac:dyDescent="0.25">
      <c r="A629" s="1341"/>
      <c r="B629" s="1344">
        <v>35200</v>
      </c>
      <c r="C629" s="1352">
        <v>344903600000000</v>
      </c>
      <c r="D629" s="1344" t="s">
        <v>4271</v>
      </c>
      <c r="E629" s="1344">
        <v>1</v>
      </c>
      <c r="F629" s="643">
        <v>0</v>
      </c>
      <c r="G629" s="643">
        <v>0</v>
      </c>
      <c r="H629" s="26">
        <v>0</v>
      </c>
      <c r="I629" s="26">
        <f t="shared" si="60"/>
        <v>0</v>
      </c>
      <c r="J629" s="1340" t="e">
        <f t="shared" si="58"/>
        <v>#DIV/0!</v>
      </c>
      <c r="K629" s="1340">
        <f t="shared" si="59"/>
        <v>0</v>
      </c>
    </row>
    <row r="630" spans="1:11" ht="15" x14ac:dyDescent="0.25">
      <c r="A630" s="1341"/>
      <c r="B630" s="1344">
        <v>35300</v>
      </c>
      <c r="C630" s="1352">
        <v>344903900000000</v>
      </c>
      <c r="D630" s="1344" t="s">
        <v>4272</v>
      </c>
      <c r="E630" s="1344">
        <v>1</v>
      </c>
      <c r="F630" s="643">
        <v>0</v>
      </c>
      <c r="G630" s="643">
        <v>0</v>
      </c>
      <c r="H630" s="26">
        <v>0</v>
      </c>
      <c r="I630" s="26">
        <f t="shared" si="60"/>
        <v>0</v>
      </c>
      <c r="J630" s="1340" t="e">
        <f t="shared" si="58"/>
        <v>#DIV/0!</v>
      </c>
      <c r="K630" s="1340">
        <f t="shared" si="59"/>
        <v>0</v>
      </c>
    </row>
    <row r="631" spans="1:11" ht="15" x14ac:dyDescent="0.25">
      <c r="A631" s="1341"/>
      <c r="B631" s="1344">
        <v>35400</v>
      </c>
      <c r="C631" s="1352">
        <v>344905100000000</v>
      </c>
      <c r="D631" s="1344" t="s">
        <v>4273</v>
      </c>
      <c r="E631" s="1344">
        <v>1</v>
      </c>
      <c r="F631" s="643">
        <v>0</v>
      </c>
      <c r="G631" s="643">
        <v>0</v>
      </c>
      <c r="H631" s="26">
        <v>0</v>
      </c>
      <c r="I631" s="26">
        <f t="shared" si="60"/>
        <v>0</v>
      </c>
      <c r="J631" s="1340" t="e">
        <f t="shared" si="58"/>
        <v>#DIV/0!</v>
      </c>
      <c r="K631" s="1340">
        <f t="shared" si="59"/>
        <v>0</v>
      </c>
    </row>
    <row r="632" spans="1:11" ht="15" x14ac:dyDescent="0.25">
      <c r="A632" s="1341"/>
      <c r="B632" s="1344">
        <v>35500</v>
      </c>
      <c r="C632" s="1352">
        <v>344905200000000</v>
      </c>
      <c r="D632" s="1344" t="s">
        <v>4274</v>
      </c>
      <c r="E632" s="1344">
        <v>1</v>
      </c>
      <c r="F632" s="643">
        <v>0</v>
      </c>
      <c r="G632" s="643">
        <v>0</v>
      </c>
      <c r="H632" s="26">
        <v>0</v>
      </c>
      <c r="I632" s="26">
        <f t="shared" si="60"/>
        <v>0</v>
      </c>
      <c r="J632" s="1340" t="e">
        <f t="shared" si="58"/>
        <v>#DIV/0!</v>
      </c>
      <c r="K632" s="1340">
        <f t="shared" si="59"/>
        <v>0</v>
      </c>
    </row>
    <row r="633" spans="1:11" s="12" customFormat="1" ht="15" x14ac:dyDescent="0.25">
      <c r="A633" s="1081"/>
      <c r="B633" s="1345" t="s">
        <v>2950</v>
      </c>
      <c r="C633" s="1343" t="s">
        <v>4275</v>
      </c>
      <c r="D633" s="1345" t="s">
        <v>4276</v>
      </c>
      <c r="E633" s="1345"/>
      <c r="F633" s="642">
        <f>SUM(F634:F662)</f>
        <v>527263.54</v>
      </c>
      <c r="G633" s="642">
        <f>SUM(G634:G662)</f>
        <v>98391.090000000011</v>
      </c>
      <c r="H633" s="642">
        <f>SUM(H634:H662)</f>
        <v>0</v>
      </c>
      <c r="I633" s="642">
        <f>SUM(I634:I639)</f>
        <v>7604.3666666666659</v>
      </c>
      <c r="J633" s="1338">
        <f t="shared" si="58"/>
        <v>0.18660704284616381</v>
      </c>
      <c r="K633" s="1338">
        <f t="shared" si="59"/>
        <v>6.0567761668482253E-2</v>
      </c>
    </row>
    <row r="634" spans="1:11" ht="15" x14ac:dyDescent="0.25">
      <c r="A634" s="1341"/>
      <c r="B634" s="1344">
        <v>38000</v>
      </c>
      <c r="C634" s="1352">
        <v>333904700000000</v>
      </c>
      <c r="D634" s="1344" t="s">
        <v>4277</v>
      </c>
      <c r="E634" s="1344">
        <v>1</v>
      </c>
      <c r="F634" s="643">
        <v>0</v>
      </c>
      <c r="G634" s="643">
        <v>0</v>
      </c>
      <c r="H634" s="26">
        <v>0</v>
      </c>
      <c r="I634" s="26">
        <f t="shared" ref="I634:I662" si="61">(F634+G634+H634)/3</f>
        <v>0</v>
      </c>
      <c r="J634" s="1340" t="e">
        <f t="shared" si="58"/>
        <v>#DIV/0!</v>
      </c>
      <c r="K634" s="1340">
        <f t="shared" si="59"/>
        <v>0</v>
      </c>
    </row>
    <row r="635" spans="1:11" ht="15" x14ac:dyDescent="0.25">
      <c r="A635" s="1341"/>
      <c r="B635" s="1344">
        <v>38200</v>
      </c>
      <c r="C635" s="1352">
        <v>333904700000000</v>
      </c>
      <c r="D635" s="1344" t="s">
        <v>4751</v>
      </c>
      <c r="E635" s="1344">
        <v>1039</v>
      </c>
      <c r="F635" s="643">
        <v>0</v>
      </c>
      <c r="G635" s="643">
        <v>0</v>
      </c>
      <c r="H635" s="26">
        <v>0</v>
      </c>
      <c r="I635" s="26">
        <f t="shared" si="61"/>
        <v>0</v>
      </c>
      <c r="J635" s="1340" t="e">
        <f t="shared" si="58"/>
        <v>#DIV/0!</v>
      </c>
      <c r="K635" s="1340">
        <f t="shared" si="59"/>
        <v>0</v>
      </c>
    </row>
    <row r="636" spans="1:11" ht="15" x14ac:dyDescent="0.25">
      <c r="A636" s="1341"/>
      <c r="B636" s="1344">
        <v>38010</v>
      </c>
      <c r="C636" s="1352">
        <v>344209300000000</v>
      </c>
      <c r="D636" s="1344" t="s">
        <v>7650</v>
      </c>
      <c r="E636" s="1344">
        <v>1156</v>
      </c>
      <c r="F636" s="643">
        <v>0</v>
      </c>
      <c r="G636" s="643">
        <v>22813.1</v>
      </c>
      <c r="H636" s="26">
        <v>0</v>
      </c>
      <c r="I636" s="26">
        <f t="shared" si="61"/>
        <v>7604.3666666666659</v>
      </c>
      <c r="J636" s="1340" t="e">
        <f t="shared" si="58"/>
        <v>#DIV/0!</v>
      </c>
      <c r="K636" s="1340">
        <f t="shared" si="59"/>
        <v>6.0567761668482253E-2</v>
      </c>
    </row>
    <row r="637" spans="1:11" ht="15" x14ac:dyDescent="0.25">
      <c r="A637" s="1341"/>
      <c r="B637" s="1344">
        <v>38015</v>
      </c>
      <c r="C637" s="1352">
        <v>344209300000000</v>
      </c>
      <c r="D637" s="1344" t="s">
        <v>4240</v>
      </c>
      <c r="E637" s="1344">
        <v>1032</v>
      </c>
      <c r="F637" s="643">
        <v>0</v>
      </c>
      <c r="G637" s="643">
        <v>0</v>
      </c>
      <c r="H637" s="26">
        <v>0</v>
      </c>
      <c r="I637" s="26">
        <f t="shared" si="61"/>
        <v>0</v>
      </c>
      <c r="J637" s="1340" t="e">
        <f t="shared" si="58"/>
        <v>#DIV/0!</v>
      </c>
      <c r="K637" s="1340">
        <f t="shared" si="59"/>
        <v>0</v>
      </c>
    </row>
    <row r="638" spans="1:11" ht="15" x14ac:dyDescent="0.25">
      <c r="A638" s="1341"/>
      <c r="B638" s="1344">
        <v>38020</v>
      </c>
      <c r="C638" s="1352">
        <v>344209300000000</v>
      </c>
      <c r="D638" s="1344" t="s">
        <v>4279</v>
      </c>
      <c r="E638" s="1344">
        <v>1157</v>
      </c>
      <c r="F638" s="643">
        <v>0</v>
      </c>
      <c r="G638" s="643">
        <v>0</v>
      </c>
      <c r="H638" s="26">
        <v>0</v>
      </c>
      <c r="I638" s="26">
        <f t="shared" si="61"/>
        <v>0</v>
      </c>
      <c r="J638" s="1340" t="e">
        <f t="shared" si="58"/>
        <v>#DIV/0!</v>
      </c>
      <c r="K638" s="1340">
        <f t="shared" si="59"/>
        <v>0</v>
      </c>
    </row>
    <row r="639" spans="1:11" ht="15" x14ac:dyDescent="0.25">
      <c r="A639" s="1341"/>
      <c r="B639" s="1344">
        <v>38030</v>
      </c>
      <c r="C639" s="1352">
        <v>344209300000000</v>
      </c>
      <c r="D639" s="1344" t="s">
        <v>4280</v>
      </c>
      <c r="E639" s="1344">
        <v>1165</v>
      </c>
      <c r="F639" s="643">
        <v>0</v>
      </c>
      <c r="G639" s="643">
        <v>0</v>
      </c>
      <c r="H639" s="26">
        <v>0</v>
      </c>
      <c r="I639" s="26">
        <f t="shared" si="61"/>
        <v>0</v>
      </c>
      <c r="J639" s="1340" t="e">
        <f t="shared" si="58"/>
        <v>#DIV/0!</v>
      </c>
      <c r="K639" s="1340">
        <f t="shared" si="59"/>
        <v>0</v>
      </c>
    </row>
    <row r="640" spans="1:11" ht="15" x14ac:dyDescent="0.25">
      <c r="A640" s="1341"/>
      <c r="B640" s="1344">
        <v>38250</v>
      </c>
      <c r="C640" s="1352">
        <v>344209300000000</v>
      </c>
      <c r="D640" s="1344" t="s">
        <v>4753</v>
      </c>
      <c r="E640" s="1344">
        <v>1039</v>
      </c>
      <c r="F640" s="643">
        <v>0</v>
      </c>
      <c r="G640" s="643">
        <v>0</v>
      </c>
      <c r="H640" s="26">
        <v>0</v>
      </c>
      <c r="I640" s="26">
        <f t="shared" si="61"/>
        <v>0</v>
      </c>
      <c r="J640" s="1340" t="e">
        <f t="shared" si="58"/>
        <v>#DIV/0!</v>
      </c>
      <c r="K640" s="1340">
        <f t="shared" si="59"/>
        <v>0</v>
      </c>
    </row>
    <row r="641" spans="1:11" ht="15" x14ac:dyDescent="0.25">
      <c r="A641" s="1341"/>
      <c r="B641" s="1344">
        <v>47100</v>
      </c>
      <c r="C641" s="1352">
        <v>344309300000000</v>
      </c>
      <c r="D641" s="1344" t="s">
        <v>7649</v>
      </c>
      <c r="E641" s="1344">
        <v>1</v>
      </c>
      <c r="F641" s="643">
        <v>1683.84</v>
      </c>
      <c r="G641" s="643"/>
      <c r="H641" s="26">
        <v>0</v>
      </c>
      <c r="I641" s="26">
        <f t="shared" si="61"/>
        <v>561.28</v>
      </c>
      <c r="J641" s="1340" t="e">
        <f t="shared" si="58"/>
        <v>#DIV/0!</v>
      </c>
      <c r="K641" s="1340">
        <f t="shared" si="59"/>
        <v>4.4705199998184009E-3</v>
      </c>
    </row>
    <row r="642" spans="1:11" ht="15" x14ac:dyDescent="0.25">
      <c r="A642" s="1341"/>
      <c r="B642" s="1344">
        <v>38040</v>
      </c>
      <c r="C642" s="1352">
        <v>344309300000000</v>
      </c>
      <c r="D642" s="1344" t="s">
        <v>4281</v>
      </c>
      <c r="E642" s="1344">
        <v>1169</v>
      </c>
      <c r="F642" s="643">
        <v>0</v>
      </c>
      <c r="G642" s="643">
        <v>0</v>
      </c>
      <c r="H642" s="26">
        <v>0</v>
      </c>
      <c r="I642" s="26">
        <f t="shared" si="61"/>
        <v>0</v>
      </c>
      <c r="J642" s="1340" t="e">
        <f t="shared" si="58"/>
        <v>#DIV/0!</v>
      </c>
      <c r="K642" s="1340">
        <f t="shared" si="59"/>
        <v>0</v>
      </c>
    </row>
    <row r="643" spans="1:11" ht="15" x14ac:dyDescent="0.25">
      <c r="A643" s="1341"/>
      <c r="B643" s="1344">
        <v>38050</v>
      </c>
      <c r="C643" s="1352">
        <v>344903000000000</v>
      </c>
      <c r="D643" s="1344" t="s">
        <v>3562</v>
      </c>
      <c r="E643" s="1344">
        <v>1</v>
      </c>
      <c r="F643" s="643">
        <v>0</v>
      </c>
      <c r="G643" s="643">
        <v>0</v>
      </c>
      <c r="H643" s="26">
        <v>0</v>
      </c>
      <c r="I643" s="26">
        <f t="shared" si="61"/>
        <v>0</v>
      </c>
      <c r="J643" s="1340" t="e">
        <f t="shared" si="58"/>
        <v>#DIV/0!</v>
      </c>
      <c r="K643" s="1340">
        <f t="shared" si="59"/>
        <v>0</v>
      </c>
    </row>
    <row r="644" spans="1:11" ht="15" x14ac:dyDescent="0.25">
      <c r="A644" s="1341"/>
      <c r="B644" s="1344">
        <v>38300</v>
      </c>
      <c r="C644" s="1352">
        <v>344903000000000</v>
      </c>
      <c r="D644" s="1344" t="s">
        <v>7648</v>
      </c>
      <c r="E644" s="1344">
        <v>1039</v>
      </c>
      <c r="F644" s="643">
        <v>0</v>
      </c>
      <c r="G644" s="643">
        <v>0</v>
      </c>
      <c r="H644" s="26">
        <v>0</v>
      </c>
      <c r="I644" s="26">
        <f t="shared" si="61"/>
        <v>0</v>
      </c>
      <c r="J644" s="1340" t="e">
        <f t="shared" si="58"/>
        <v>#DIV/0!</v>
      </c>
      <c r="K644" s="1340">
        <f t="shared" si="59"/>
        <v>0</v>
      </c>
    </row>
    <row r="645" spans="1:11" ht="15" x14ac:dyDescent="0.25">
      <c r="A645" s="1341"/>
      <c r="B645" s="1344">
        <v>38060</v>
      </c>
      <c r="C645" s="1352">
        <v>344903600000000</v>
      </c>
      <c r="D645" s="1344" t="s">
        <v>4161</v>
      </c>
      <c r="E645" s="1344">
        <v>1</v>
      </c>
      <c r="F645" s="643">
        <v>0</v>
      </c>
      <c r="G645" s="643">
        <v>0</v>
      </c>
      <c r="H645" s="26">
        <v>0</v>
      </c>
      <c r="I645" s="26">
        <f t="shared" si="61"/>
        <v>0</v>
      </c>
      <c r="J645" s="1340" t="e">
        <f t="shared" si="58"/>
        <v>#DIV/0!</v>
      </c>
      <c r="K645" s="1340">
        <f t="shared" si="59"/>
        <v>0</v>
      </c>
    </row>
    <row r="646" spans="1:11" ht="15" x14ac:dyDescent="0.25">
      <c r="A646" s="1341"/>
      <c r="B646" s="1344">
        <v>38350</v>
      </c>
      <c r="C646" s="1352">
        <v>344903600000000</v>
      </c>
      <c r="D646" s="1344" t="s">
        <v>7647</v>
      </c>
      <c r="E646" s="1344">
        <v>1039</v>
      </c>
      <c r="F646" s="643">
        <v>0</v>
      </c>
      <c r="G646" s="643">
        <v>0</v>
      </c>
      <c r="H646" s="26">
        <v>0</v>
      </c>
      <c r="I646" s="26">
        <f t="shared" si="61"/>
        <v>0</v>
      </c>
      <c r="J646" s="1340" t="e">
        <f t="shared" si="58"/>
        <v>#DIV/0!</v>
      </c>
      <c r="K646" s="1340">
        <f t="shared" si="59"/>
        <v>0</v>
      </c>
    </row>
    <row r="647" spans="1:11" ht="15" x14ac:dyDescent="0.25">
      <c r="A647" s="1341"/>
      <c r="B647" s="1344">
        <v>38070</v>
      </c>
      <c r="C647" s="1352">
        <v>344903900000000</v>
      </c>
      <c r="D647" s="1344" t="s">
        <v>4165</v>
      </c>
      <c r="E647" s="1344">
        <v>1</v>
      </c>
      <c r="F647" s="643">
        <v>44579.7</v>
      </c>
      <c r="G647" s="643">
        <v>0</v>
      </c>
      <c r="H647" s="26">
        <v>0</v>
      </c>
      <c r="I647" s="26">
        <f t="shared" si="61"/>
        <v>14859.9</v>
      </c>
      <c r="J647" s="1340" t="e">
        <f t="shared" si="58"/>
        <v>#DIV/0!</v>
      </c>
      <c r="K647" s="1340">
        <f t="shared" si="59"/>
        <v>0.1183571125735844</v>
      </c>
    </row>
    <row r="648" spans="1:11" ht="15" x14ac:dyDescent="0.25">
      <c r="A648" s="1341"/>
      <c r="B648" s="1344">
        <v>38080</v>
      </c>
      <c r="C648" s="1352">
        <v>344903900000000</v>
      </c>
      <c r="D648" s="1344" t="s">
        <v>4282</v>
      </c>
      <c r="E648" s="1344">
        <v>1156</v>
      </c>
      <c r="F648" s="643">
        <v>0</v>
      </c>
      <c r="G648" s="643">
        <v>0</v>
      </c>
      <c r="H648" s="26">
        <v>0</v>
      </c>
      <c r="I648" s="26">
        <f t="shared" si="61"/>
        <v>0</v>
      </c>
      <c r="J648" s="1340" t="e">
        <f t="shared" si="58"/>
        <v>#DIV/0!</v>
      </c>
      <c r="K648" s="1340">
        <f t="shared" si="59"/>
        <v>0</v>
      </c>
    </row>
    <row r="649" spans="1:11" ht="15" x14ac:dyDescent="0.25">
      <c r="A649" s="1341"/>
      <c r="B649" s="1344">
        <v>38090</v>
      </c>
      <c r="C649" s="1352">
        <v>344903900000000</v>
      </c>
      <c r="D649" s="1344" t="s">
        <v>4283</v>
      </c>
      <c r="E649" s="1344">
        <v>1157</v>
      </c>
      <c r="F649" s="643">
        <v>0</v>
      </c>
      <c r="G649" s="643">
        <v>0</v>
      </c>
      <c r="H649" s="26">
        <v>0</v>
      </c>
      <c r="I649" s="26">
        <f t="shared" si="61"/>
        <v>0</v>
      </c>
      <c r="J649" s="1340" t="e">
        <f t="shared" si="58"/>
        <v>#DIV/0!</v>
      </c>
      <c r="K649" s="1340">
        <f t="shared" si="59"/>
        <v>0</v>
      </c>
    </row>
    <row r="650" spans="1:11" ht="15" x14ac:dyDescent="0.25">
      <c r="A650" s="1341"/>
      <c r="B650" s="1344">
        <v>38100</v>
      </c>
      <c r="C650" s="1352">
        <v>344903900000000</v>
      </c>
      <c r="D650" s="1344" t="s">
        <v>4284</v>
      </c>
      <c r="E650" s="1344">
        <v>1165</v>
      </c>
      <c r="F650" s="643">
        <v>0</v>
      </c>
      <c r="G650" s="643">
        <v>0</v>
      </c>
      <c r="H650" s="26">
        <v>0</v>
      </c>
      <c r="I650" s="26">
        <f t="shared" si="61"/>
        <v>0</v>
      </c>
      <c r="J650" s="1340" t="e">
        <f t="shared" si="58"/>
        <v>#DIV/0!</v>
      </c>
      <c r="K650" s="1340">
        <f t="shared" si="59"/>
        <v>0</v>
      </c>
    </row>
    <row r="651" spans="1:11" ht="15" x14ac:dyDescent="0.25">
      <c r="A651" s="1341"/>
      <c r="B651" s="1344">
        <v>38400</v>
      </c>
      <c r="C651" s="1352">
        <v>344903900000000</v>
      </c>
      <c r="D651" s="1344" t="s">
        <v>7646</v>
      </c>
      <c r="E651" s="1344">
        <v>1039</v>
      </c>
      <c r="F651" s="643">
        <v>0</v>
      </c>
      <c r="G651" s="643">
        <v>0</v>
      </c>
      <c r="H651" s="26">
        <v>0</v>
      </c>
      <c r="I651" s="26">
        <f t="shared" si="61"/>
        <v>0</v>
      </c>
      <c r="J651" s="1340" t="e">
        <f t="shared" si="58"/>
        <v>#DIV/0!</v>
      </c>
      <c r="K651" s="1340">
        <f t="shared" si="59"/>
        <v>0</v>
      </c>
    </row>
    <row r="652" spans="1:11" ht="15" x14ac:dyDescent="0.25">
      <c r="A652" s="1341"/>
      <c r="B652" s="1344">
        <v>38120</v>
      </c>
      <c r="C652" s="1352">
        <v>344905100000000</v>
      </c>
      <c r="D652" s="1344" t="s">
        <v>4285</v>
      </c>
      <c r="E652" s="1344">
        <v>1169</v>
      </c>
      <c r="F652" s="643">
        <v>0</v>
      </c>
      <c r="G652" s="643">
        <v>0</v>
      </c>
      <c r="H652" s="26">
        <v>0</v>
      </c>
      <c r="I652" s="26">
        <f t="shared" si="61"/>
        <v>0</v>
      </c>
      <c r="J652" s="1340" t="e">
        <f t="shared" si="58"/>
        <v>#DIV/0!</v>
      </c>
      <c r="K652" s="1340">
        <f t="shared" si="59"/>
        <v>0</v>
      </c>
    </row>
    <row r="653" spans="1:11" ht="15" x14ac:dyDescent="0.25">
      <c r="A653" s="1341"/>
      <c r="B653" s="1344">
        <v>38125</v>
      </c>
      <c r="C653" s="1352">
        <v>344905100000000</v>
      </c>
      <c r="D653" s="1344" t="s">
        <v>4505</v>
      </c>
      <c r="E653" s="1344">
        <v>1032</v>
      </c>
      <c r="F653" s="643">
        <v>0</v>
      </c>
      <c r="G653" s="643">
        <v>0</v>
      </c>
      <c r="H653" s="26">
        <v>0</v>
      </c>
      <c r="I653" s="26">
        <f t="shared" si="61"/>
        <v>0</v>
      </c>
      <c r="J653" s="1340" t="e">
        <f t="shared" si="58"/>
        <v>#DIV/0!</v>
      </c>
      <c r="K653" s="1340">
        <f t="shared" si="59"/>
        <v>0</v>
      </c>
    </row>
    <row r="654" spans="1:11" ht="15" x14ac:dyDescent="0.25">
      <c r="A654" s="1341"/>
      <c r="B654" s="1344">
        <v>38130</v>
      </c>
      <c r="C654" s="1352">
        <v>344905100000000</v>
      </c>
      <c r="D654" s="1344" t="s">
        <v>4286</v>
      </c>
      <c r="E654" s="1344">
        <v>1</v>
      </c>
      <c r="F654" s="643">
        <v>0</v>
      </c>
      <c r="G654" s="643">
        <v>0</v>
      </c>
      <c r="H654" s="26">
        <v>0</v>
      </c>
      <c r="I654" s="26">
        <f t="shared" si="61"/>
        <v>0</v>
      </c>
      <c r="J654" s="1340" t="e">
        <f t="shared" si="58"/>
        <v>#DIV/0!</v>
      </c>
      <c r="K654" s="1340">
        <f t="shared" si="59"/>
        <v>0</v>
      </c>
    </row>
    <row r="655" spans="1:11" ht="15" x14ac:dyDescent="0.25">
      <c r="A655" s="1341"/>
      <c r="B655" s="1344">
        <v>38110</v>
      </c>
      <c r="C655" s="1352">
        <v>344905200000000</v>
      </c>
      <c r="D655" s="1344" t="s">
        <v>4289</v>
      </c>
      <c r="E655" s="1344">
        <v>1169</v>
      </c>
      <c r="F655" s="643">
        <v>0</v>
      </c>
      <c r="G655" s="643">
        <v>49560</v>
      </c>
      <c r="H655" s="26">
        <v>0</v>
      </c>
      <c r="I655" s="26">
        <f t="shared" si="61"/>
        <v>16520</v>
      </c>
      <c r="J655" s="1340" t="e">
        <f t="shared" si="58"/>
        <v>#DIV/0!</v>
      </c>
      <c r="K655" s="1340">
        <f t="shared" si="59"/>
        <v>0.13157958665372005</v>
      </c>
    </row>
    <row r="656" spans="1:11" ht="15" x14ac:dyDescent="0.25">
      <c r="A656" s="1341"/>
      <c r="B656" s="1344">
        <v>38140</v>
      </c>
      <c r="C656" s="1352">
        <v>344905200000000</v>
      </c>
      <c r="D656" s="1344" t="s">
        <v>4291</v>
      </c>
      <c r="E656" s="1344">
        <v>1156</v>
      </c>
      <c r="F656" s="643">
        <v>334732.01</v>
      </c>
      <c r="G656" s="643">
        <v>26017.99</v>
      </c>
      <c r="H656" s="26">
        <v>0</v>
      </c>
      <c r="I656" s="26">
        <f t="shared" si="61"/>
        <v>120250</v>
      </c>
      <c r="J656" s="1340">
        <f t="shared" si="58"/>
        <v>7.7727821728193855E-2</v>
      </c>
      <c r="K656" s="1340">
        <f t="shared" si="59"/>
        <v>0.95777513892916677</v>
      </c>
    </row>
    <row r="657" spans="1:11" ht="15" x14ac:dyDescent="0.25">
      <c r="A657" s="1341"/>
      <c r="B657" s="1344">
        <v>38150</v>
      </c>
      <c r="C657" s="1352">
        <v>344905200000000</v>
      </c>
      <c r="D657" s="1344" t="s">
        <v>4293</v>
      </c>
      <c r="E657" s="1344">
        <v>1157</v>
      </c>
      <c r="F657" s="643">
        <v>0</v>
      </c>
      <c r="G657" s="643">
        <v>0</v>
      </c>
      <c r="H657" s="26">
        <v>0</v>
      </c>
      <c r="I657" s="26">
        <f t="shared" si="61"/>
        <v>0</v>
      </c>
      <c r="J657" s="1340" t="e">
        <f t="shared" si="58"/>
        <v>#DIV/0!</v>
      </c>
      <c r="K657" s="1340">
        <f t="shared" si="59"/>
        <v>0</v>
      </c>
    </row>
    <row r="658" spans="1:11" ht="15" x14ac:dyDescent="0.25">
      <c r="A658" s="1341"/>
      <c r="B658" s="1344">
        <v>38160</v>
      </c>
      <c r="C658" s="1352">
        <v>344905200000000</v>
      </c>
      <c r="D658" s="1344" t="s">
        <v>4294</v>
      </c>
      <c r="E658" s="1344">
        <v>1165</v>
      </c>
      <c r="F658" s="643">
        <v>0</v>
      </c>
      <c r="G658" s="643">
        <v>0</v>
      </c>
      <c r="H658" s="26">
        <v>0</v>
      </c>
      <c r="I658" s="26">
        <f t="shared" si="61"/>
        <v>0</v>
      </c>
      <c r="J658" s="1340" t="e">
        <f t="shared" ref="J658:J694" si="62">(G658/F658)+(H658/G658)/2</f>
        <v>#DIV/0!</v>
      </c>
      <c r="K658" s="1340">
        <f t="shared" ref="K658:K693" si="63">I658/I$694</f>
        <v>0</v>
      </c>
    </row>
    <row r="659" spans="1:11" ht="15" x14ac:dyDescent="0.25">
      <c r="A659" s="1341"/>
      <c r="B659" s="1344">
        <v>38170</v>
      </c>
      <c r="C659" s="1352">
        <v>344905200000000</v>
      </c>
      <c r="D659" s="1344" t="s">
        <v>4295</v>
      </c>
      <c r="E659" s="1344">
        <v>1</v>
      </c>
      <c r="F659" s="643">
        <v>146267.99</v>
      </c>
      <c r="G659" s="643">
        <v>0</v>
      </c>
      <c r="H659" s="26">
        <v>0</v>
      </c>
      <c r="I659" s="26">
        <f t="shared" si="61"/>
        <v>48755.996666666666</v>
      </c>
      <c r="J659" s="1340" t="e">
        <f t="shared" si="62"/>
        <v>#DIV/0!</v>
      </c>
      <c r="K659" s="1340">
        <f t="shared" si="63"/>
        <v>0.38833498113136516</v>
      </c>
    </row>
    <row r="660" spans="1:11" ht="15" x14ac:dyDescent="0.25">
      <c r="A660" s="1341"/>
      <c r="B660" s="1344">
        <v>38180</v>
      </c>
      <c r="C660" s="1352">
        <v>344905200000000</v>
      </c>
      <c r="D660" s="1344" t="s">
        <v>4503</v>
      </c>
      <c r="E660" s="1344">
        <v>1032</v>
      </c>
      <c r="F660" s="643">
        <v>0</v>
      </c>
      <c r="G660" s="643">
        <v>0</v>
      </c>
      <c r="H660" s="26">
        <v>0</v>
      </c>
      <c r="I660" s="26">
        <f t="shared" si="61"/>
        <v>0</v>
      </c>
      <c r="J660" s="1340" t="e">
        <f t="shared" si="62"/>
        <v>#DIV/0!</v>
      </c>
      <c r="K660" s="1340">
        <f t="shared" si="63"/>
        <v>0</v>
      </c>
    </row>
    <row r="661" spans="1:11" ht="15" x14ac:dyDescent="0.25">
      <c r="A661" s="1341"/>
      <c r="B661" s="1344">
        <v>38450</v>
      </c>
      <c r="C661" s="1352">
        <v>344905200000000</v>
      </c>
      <c r="D661" s="1344" t="s">
        <v>7645</v>
      </c>
      <c r="E661" s="1344">
        <v>1039</v>
      </c>
      <c r="F661" s="643">
        <v>0</v>
      </c>
      <c r="G661" s="643">
        <v>0</v>
      </c>
      <c r="H661" s="26">
        <v>0</v>
      </c>
      <c r="I661" s="26">
        <f t="shared" si="61"/>
        <v>0</v>
      </c>
      <c r="J661" s="1340" t="e">
        <f t="shared" si="62"/>
        <v>#DIV/0!</v>
      </c>
      <c r="K661" s="1340">
        <f t="shared" si="63"/>
        <v>0</v>
      </c>
    </row>
    <row r="662" spans="1:11" ht="15" x14ac:dyDescent="0.25">
      <c r="A662" s="1341"/>
      <c r="B662" s="1344">
        <v>38500</v>
      </c>
      <c r="C662" s="1352">
        <v>344905200000000</v>
      </c>
      <c r="D662" s="1344" t="s">
        <v>4754</v>
      </c>
      <c r="E662" s="1344">
        <v>1</v>
      </c>
      <c r="F662" s="643">
        <v>0</v>
      </c>
      <c r="G662" s="643">
        <v>0</v>
      </c>
      <c r="H662" s="26">
        <v>0</v>
      </c>
      <c r="I662" s="26">
        <f t="shared" si="61"/>
        <v>0</v>
      </c>
      <c r="J662" s="1340" t="e">
        <f t="shared" si="62"/>
        <v>#DIV/0!</v>
      </c>
      <c r="K662" s="1340">
        <f t="shared" si="63"/>
        <v>0</v>
      </c>
    </row>
    <row r="663" spans="1:11" s="12" customFormat="1" ht="15" x14ac:dyDescent="0.25">
      <c r="A663" s="1081"/>
      <c r="B663" s="1345" t="s">
        <v>2965</v>
      </c>
      <c r="C663" s="1343">
        <v>4</v>
      </c>
      <c r="D663" s="1345" t="s">
        <v>4305</v>
      </c>
      <c r="E663" s="1345"/>
      <c r="F663" s="642">
        <f>SUM(F664:F693)</f>
        <v>514868.38999999996</v>
      </c>
      <c r="G663" s="642">
        <f>SUM(G664:G693)</f>
        <v>568695.27999999991</v>
      </c>
      <c r="H663" s="642">
        <f>SUM(H664:H693)</f>
        <v>0</v>
      </c>
      <c r="I663" s="642">
        <f>SUM(I664:I669)</f>
        <v>117947.02333333333</v>
      </c>
      <c r="J663" s="1338">
        <f t="shared" si="62"/>
        <v>1.1045449498268867</v>
      </c>
      <c r="K663" s="1338">
        <f t="shared" si="63"/>
        <v>0.93943223833151768</v>
      </c>
    </row>
    <row r="664" spans="1:11" ht="15" x14ac:dyDescent="0.25">
      <c r="A664" s="1341"/>
      <c r="B664" s="1344">
        <v>41000</v>
      </c>
      <c r="C664" s="1352">
        <v>331900400000000</v>
      </c>
      <c r="D664" s="1344" t="s">
        <v>5882</v>
      </c>
      <c r="E664" s="1344">
        <v>1</v>
      </c>
      <c r="F664" s="643">
        <v>47784.959999999999</v>
      </c>
      <c r="G664" s="643">
        <v>61683.66</v>
      </c>
      <c r="H664" s="26">
        <v>0</v>
      </c>
      <c r="I664" s="26">
        <f t="shared" ref="I664:I693" si="64">(F664+G664+H664)/3</f>
        <v>36489.54</v>
      </c>
      <c r="J664" s="1340">
        <f t="shared" si="62"/>
        <v>1.2908592996624881</v>
      </c>
      <c r="K664" s="1340">
        <f t="shared" si="63"/>
        <v>0.29063429723876416</v>
      </c>
    </row>
    <row r="665" spans="1:11" ht="15" x14ac:dyDescent="0.25">
      <c r="A665" s="1341"/>
      <c r="B665" s="1344">
        <v>41050</v>
      </c>
      <c r="C665" s="1352">
        <v>331900800000000</v>
      </c>
      <c r="D665" s="1344" t="s">
        <v>7644</v>
      </c>
      <c r="E665" s="1344">
        <v>1</v>
      </c>
      <c r="F665" s="643">
        <v>0</v>
      </c>
      <c r="G665" s="643">
        <v>6251.62</v>
      </c>
      <c r="H665" s="26">
        <v>0</v>
      </c>
      <c r="I665" s="26">
        <f t="shared" si="64"/>
        <v>2083.8733333333334</v>
      </c>
      <c r="J665" s="1340" t="e">
        <f t="shared" si="62"/>
        <v>#DIV/0!</v>
      </c>
      <c r="K665" s="1340">
        <f t="shared" si="63"/>
        <v>1.6597771903069599E-2</v>
      </c>
    </row>
    <row r="666" spans="1:11" ht="15" x14ac:dyDescent="0.25">
      <c r="A666" s="1341"/>
      <c r="B666" s="1344">
        <v>41100</v>
      </c>
      <c r="C666" s="1352">
        <v>331901100000000</v>
      </c>
      <c r="D666" s="1344" t="s">
        <v>5884</v>
      </c>
      <c r="E666" s="1344">
        <v>1</v>
      </c>
      <c r="F666" s="643">
        <v>86506.65</v>
      </c>
      <c r="G666" s="643">
        <v>83619.13</v>
      </c>
      <c r="H666" s="26">
        <v>0</v>
      </c>
      <c r="I666" s="26">
        <f t="shared" si="64"/>
        <v>56708.593333333331</v>
      </c>
      <c r="J666" s="1340">
        <f t="shared" si="62"/>
        <v>0.96662083204008031</v>
      </c>
      <c r="K666" s="1340">
        <f t="shared" si="63"/>
        <v>0.45167634809406199</v>
      </c>
    </row>
    <row r="667" spans="1:11" ht="15" x14ac:dyDescent="0.25">
      <c r="A667" s="1341"/>
      <c r="B667" s="1344">
        <v>41200</v>
      </c>
      <c r="C667" s="1352">
        <v>331901300000000</v>
      </c>
      <c r="D667" s="1344" t="s">
        <v>5885</v>
      </c>
      <c r="E667" s="1344">
        <v>1</v>
      </c>
      <c r="F667" s="643">
        <v>14670.94</v>
      </c>
      <c r="G667" s="643">
        <v>15130.44</v>
      </c>
      <c r="H667" s="26">
        <v>0</v>
      </c>
      <c r="I667" s="26">
        <f t="shared" si="64"/>
        <v>9933.7933333333331</v>
      </c>
      <c r="J667" s="1340">
        <f t="shared" si="62"/>
        <v>1.0313204198231334</v>
      </c>
      <c r="K667" s="1340">
        <f t="shared" si="63"/>
        <v>7.9121332972365607E-2</v>
      </c>
    </row>
    <row r="668" spans="1:11" ht="15" x14ac:dyDescent="0.25">
      <c r="A668" s="1341"/>
      <c r="B668" s="1344">
        <v>41250</v>
      </c>
      <c r="C668" s="1352">
        <v>331901600000000</v>
      </c>
      <c r="D668" s="1344" t="s">
        <v>5886</v>
      </c>
      <c r="E668" s="1344">
        <v>1</v>
      </c>
      <c r="F668" s="643">
        <v>17114.3</v>
      </c>
      <c r="G668" s="643">
        <v>21079.37</v>
      </c>
      <c r="H668" s="26">
        <v>0</v>
      </c>
      <c r="I668" s="26">
        <f t="shared" si="64"/>
        <v>12731.223333333333</v>
      </c>
      <c r="J668" s="1340">
        <f t="shared" si="62"/>
        <v>1.2316816930870675</v>
      </c>
      <c r="K668" s="1340">
        <f t="shared" si="63"/>
        <v>0.1014024881232564</v>
      </c>
    </row>
    <row r="669" spans="1:11" ht="15" x14ac:dyDescent="0.25">
      <c r="A669" s="1341"/>
      <c r="B669" s="1344">
        <v>41260</v>
      </c>
      <c r="C669" s="1352">
        <v>331903400000000</v>
      </c>
      <c r="D669" s="1344" t="s">
        <v>7643</v>
      </c>
      <c r="E669" s="1344">
        <v>1</v>
      </c>
      <c r="F669" s="643">
        <v>0</v>
      </c>
      <c r="G669" s="643">
        <v>0</v>
      </c>
      <c r="H669" s="26">
        <v>0</v>
      </c>
      <c r="I669" s="26">
        <f t="shared" si="64"/>
        <v>0</v>
      </c>
      <c r="J669" s="1340" t="e">
        <f t="shared" si="62"/>
        <v>#DIV/0!</v>
      </c>
      <c r="K669" s="1340">
        <f t="shared" si="63"/>
        <v>0</v>
      </c>
    </row>
    <row r="670" spans="1:11" ht="15" x14ac:dyDescent="0.25">
      <c r="A670" s="1341"/>
      <c r="B670" s="1344">
        <v>41270</v>
      </c>
      <c r="C670" s="1352">
        <v>331909400000000</v>
      </c>
      <c r="D670" s="1344" t="s">
        <v>5888</v>
      </c>
      <c r="E670" s="1344">
        <v>1</v>
      </c>
      <c r="F670" s="643">
        <v>0</v>
      </c>
      <c r="G670" s="643">
        <v>8700.23</v>
      </c>
      <c r="H670" s="26">
        <v>0</v>
      </c>
      <c r="I670" s="26">
        <f t="shared" si="64"/>
        <v>2900.0766666666664</v>
      </c>
      <c r="J670" s="1340" t="e">
        <f t="shared" si="62"/>
        <v>#DIV/0!</v>
      </c>
      <c r="K670" s="1340">
        <f t="shared" si="63"/>
        <v>2.3098722098311028E-2</v>
      </c>
    </row>
    <row r="671" spans="1:11" ht="15" x14ac:dyDescent="0.25">
      <c r="A671" s="1341"/>
      <c r="B671" s="1344">
        <v>41300</v>
      </c>
      <c r="C671" s="1352">
        <v>333304100000000</v>
      </c>
      <c r="D671" s="1344" t="s">
        <v>5889</v>
      </c>
      <c r="E671" s="1344">
        <v>1</v>
      </c>
      <c r="F671" s="643">
        <v>91141.2</v>
      </c>
      <c r="G671" s="643">
        <v>39296.769999999997</v>
      </c>
      <c r="H671" s="26">
        <v>0</v>
      </c>
      <c r="I671" s="26">
        <f t="shared" si="64"/>
        <v>43479.323333333334</v>
      </c>
      <c r="J671" s="1340">
        <f t="shared" si="62"/>
        <v>0.4311636230376602</v>
      </c>
      <c r="K671" s="1340">
        <f t="shared" si="63"/>
        <v>0.34630698499899787</v>
      </c>
    </row>
    <row r="672" spans="1:11" ht="15" x14ac:dyDescent="0.25">
      <c r="A672" s="1341"/>
      <c r="B672" s="1344">
        <v>38650</v>
      </c>
      <c r="C672" s="1352">
        <v>333901400000000</v>
      </c>
      <c r="D672" s="1344" t="s">
        <v>5877</v>
      </c>
      <c r="E672" s="1344">
        <v>1</v>
      </c>
      <c r="F672" s="643">
        <v>0</v>
      </c>
      <c r="G672" s="643">
        <v>0</v>
      </c>
      <c r="H672" s="26">
        <v>0</v>
      </c>
      <c r="I672" s="26">
        <f t="shared" si="64"/>
        <v>0</v>
      </c>
      <c r="J672" s="1340" t="e">
        <f t="shared" si="62"/>
        <v>#DIV/0!</v>
      </c>
      <c r="K672" s="1340">
        <f t="shared" si="63"/>
        <v>0</v>
      </c>
    </row>
    <row r="673" spans="1:11" ht="15" x14ac:dyDescent="0.25">
      <c r="A673" s="1341"/>
      <c r="B673" s="1344">
        <v>41500</v>
      </c>
      <c r="C673" s="1352">
        <v>333901400000000</v>
      </c>
      <c r="D673" s="1344" t="s">
        <v>5890</v>
      </c>
      <c r="E673" s="1344">
        <v>1</v>
      </c>
      <c r="F673" s="643">
        <v>7605.61</v>
      </c>
      <c r="G673" s="643">
        <v>11058.45</v>
      </c>
      <c r="H673" s="26">
        <v>0</v>
      </c>
      <c r="I673" s="26">
        <f t="shared" si="64"/>
        <v>6221.3533333333335</v>
      </c>
      <c r="J673" s="1340">
        <f t="shared" si="62"/>
        <v>1.4539859393263659</v>
      </c>
      <c r="K673" s="1340">
        <f t="shared" si="63"/>
        <v>4.9552245764330712E-2</v>
      </c>
    </row>
    <row r="674" spans="1:11" ht="15" x14ac:dyDescent="0.25">
      <c r="A674" s="1341"/>
      <c r="B674" s="1344">
        <v>41600</v>
      </c>
      <c r="C674" s="1352">
        <v>333903000000000</v>
      </c>
      <c r="D674" s="1344" t="s">
        <v>5891</v>
      </c>
      <c r="E674" s="1344">
        <v>1</v>
      </c>
      <c r="F674" s="643">
        <f>118986.4+5504+3019</f>
        <v>127509.4</v>
      </c>
      <c r="G674" s="643">
        <v>182212.18</v>
      </c>
      <c r="H674" s="26">
        <v>0</v>
      </c>
      <c r="I674" s="26">
        <f t="shared" si="64"/>
        <v>103240.52666666666</v>
      </c>
      <c r="J674" s="1340">
        <f t="shared" si="62"/>
        <v>1.4290097828081694</v>
      </c>
      <c r="K674" s="1340">
        <f t="shared" si="63"/>
        <v>0.82229696275498554</v>
      </c>
    </row>
    <row r="675" spans="1:11" ht="15" x14ac:dyDescent="0.25">
      <c r="A675" s="1341"/>
      <c r="B675" s="1344">
        <v>41700</v>
      </c>
      <c r="C675" s="1352">
        <v>333903200000000</v>
      </c>
      <c r="D675" s="1344" t="s">
        <v>5892</v>
      </c>
      <c r="E675" s="1344">
        <v>1</v>
      </c>
      <c r="F675" s="643">
        <v>0</v>
      </c>
      <c r="G675" s="643">
        <v>0</v>
      </c>
      <c r="H675" s="26">
        <v>0</v>
      </c>
      <c r="I675" s="26">
        <f t="shared" si="64"/>
        <v>0</v>
      </c>
      <c r="J675" s="1340" t="e">
        <f t="shared" si="62"/>
        <v>#DIV/0!</v>
      </c>
      <c r="K675" s="1340">
        <f t="shared" si="63"/>
        <v>0</v>
      </c>
    </row>
    <row r="676" spans="1:11" ht="15" x14ac:dyDescent="0.25">
      <c r="A676" s="1341"/>
      <c r="B676" s="1344">
        <v>42000</v>
      </c>
      <c r="C676" s="1352">
        <v>333903200000000</v>
      </c>
      <c r="D676" s="1344" t="s">
        <v>6890</v>
      </c>
      <c r="E676" s="1344">
        <v>1171</v>
      </c>
      <c r="F676" s="643">
        <v>20000</v>
      </c>
      <c r="G676" s="643">
        <v>23071.5</v>
      </c>
      <c r="H676" s="26">
        <v>0</v>
      </c>
      <c r="I676" s="26">
        <f t="shared" si="64"/>
        <v>14357.166666666666</v>
      </c>
      <c r="J676" s="1340">
        <f t="shared" si="62"/>
        <v>1.153575</v>
      </c>
      <c r="K676" s="1340">
        <f t="shared" si="63"/>
        <v>0.11435290892969537</v>
      </c>
    </row>
    <row r="677" spans="1:11" ht="15" x14ac:dyDescent="0.25">
      <c r="A677" s="1341"/>
      <c r="B677" s="1344">
        <v>38680</v>
      </c>
      <c r="C677" s="1352">
        <v>333903300000000</v>
      </c>
      <c r="D677" s="1344" t="s">
        <v>7642</v>
      </c>
      <c r="E677" s="1344">
        <v>1</v>
      </c>
      <c r="F677" s="643">
        <v>0</v>
      </c>
      <c r="G677" s="643">
        <v>0</v>
      </c>
      <c r="H677" s="26">
        <v>0</v>
      </c>
      <c r="I677" s="26">
        <f t="shared" si="64"/>
        <v>0</v>
      </c>
      <c r="J677" s="1340" t="e">
        <f t="shared" si="62"/>
        <v>#DIV/0!</v>
      </c>
      <c r="K677" s="1340">
        <f t="shared" si="63"/>
        <v>0</v>
      </c>
    </row>
    <row r="678" spans="1:11" ht="15" x14ac:dyDescent="0.25">
      <c r="A678" s="1341"/>
      <c r="B678" s="1344">
        <v>41720</v>
      </c>
      <c r="C678" s="1352">
        <v>333903300000000</v>
      </c>
      <c r="D678" s="1344" t="s">
        <v>5893</v>
      </c>
      <c r="E678" s="1344">
        <v>1</v>
      </c>
      <c r="F678" s="643">
        <v>0</v>
      </c>
      <c r="G678" s="643">
        <v>0</v>
      </c>
      <c r="H678" s="26">
        <v>0</v>
      </c>
      <c r="I678" s="26">
        <f t="shared" si="64"/>
        <v>0</v>
      </c>
      <c r="J678" s="1340" t="e">
        <f t="shared" si="62"/>
        <v>#DIV/0!</v>
      </c>
      <c r="K678" s="1340">
        <f t="shared" si="63"/>
        <v>0</v>
      </c>
    </row>
    <row r="679" spans="1:11" ht="15" x14ac:dyDescent="0.25">
      <c r="A679" s="1341"/>
      <c r="B679" s="1344">
        <v>41730</v>
      </c>
      <c r="C679" s="1352">
        <v>333903500000000</v>
      </c>
      <c r="D679" s="1344" t="s">
        <v>5894</v>
      </c>
      <c r="E679" s="1344">
        <v>1</v>
      </c>
      <c r="F679" s="643">
        <v>0</v>
      </c>
      <c r="G679" s="643">
        <v>0</v>
      </c>
      <c r="H679" s="26">
        <v>0</v>
      </c>
      <c r="I679" s="26">
        <f t="shared" si="64"/>
        <v>0</v>
      </c>
      <c r="J679" s="1340" t="e">
        <f t="shared" si="62"/>
        <v>#DIV/0!</v>
      </c>
      <c r="K679" s="1340">
        <f t="shared" si="63"/>
        <v>0</v>
      </c>
    </row>
    <row r="680" spans="1:11" ht="15" x14ac:dyDescent="0.25">
      <c r="A680" s="1341"/>
      <c r="B680" s="1344">
        <v>38700</v>
      </c>
      <c r="C680" s="1352">
        <v>333903600000000</v>
      </c>
      <c r="D680" s="1344" t="s">
        <v>7641</v>
      </c>
      <c r="E680" s="1344">
        <v>1</v>
      </c>
      <c r="F680" s="643">
        <v>0</v>
      </c>
      <c r="G680" s="643">
        <v>0</v>
      </c>
      <c r="H680" s="26">
        <v>0</v>
      </c>
      <c r="I680" s="26">
        <f t="shared" si="64"/>
        <v>0</v>
      </c>
      <c r="J680" s="1340" t="e">
        <f t="shared" si="62"/>
        <v>#DIV/0!</v>
      </c>
      <c r="K680" s="1340">
        <f t="shared" si="63"/>
        <v>0</v>
      </c>
    </row>
    <row r="681" spans="1:11" ht="15" x14ac:dyDescent="0.25">
      <c r="A681" s="1341"/>
      <c r="B681" s="1344">
        <v>41740</v>
      </c>
      <c r="C681" s="1352">
        <v>333903600000000</v>
      </c>
      <c r="D681" s="1344" t="s">
        <v>5894</v>
      </c>
      <c r="E681" s="1344">
        <v>1</v>
      </c>
      <c r="F681" s="643">
        <v>0</v>
      </c>
      <c r="G681" s="643">
        <v>0</v>
      </c>
      <c r="H681" s="26">
        <v>0</v>
      </c>
      <c r="I681" s="26">
        <f t="shared" si="64"/>
        <v>0</v>
      </c>
      <c r="J681" s="1340" t="e">
        <f t="shared" si="62"/>
        <v>#DIV/0!</v>
      </c>
      <c r="K681" s="1340">
        <f t="shared" si="63"/>
        <v>0</v>
      </c>
    </row>
    <row r="682" spans="1:11" ht="15" x14ac:dyDescent="0.25">
      <c r="A682" s="1341"/>
      <c r="B682" s="1344">
        <v>38730</v>
      </c>
      <c r="C682" s="1352">
        <v>333903900000000</v>
      </c>
      <c r="D682" s="1344" t="s">
        <v>7640</v>
      </c>
      <c r="E682" s="1344">
        <v>1</v>
      </c>
      <c r="F682" s="643">
        <f>42077.28+54974.61</f>
        <v>97051.89</v>
      </c>
      <c r="G682" s="643">
        <v>80880.06</v>
      </c>
      <c r="H682" s="26">
        <v>0</v>
      </c>
      <c r="I682" s="26">
        <f t="shared" si="64"/>
        <v>59310.65</v>
      </c>
      <c r="J682" s="1340">
        <f t="shared" si="62"/>
        <v>0.83336924195912099</v>
      </c>
      <c r="K682" s="1340">
        <f t="shared" si="63"/>
        <v>0.47240138082103272</v>
      </c>
    </row>
    <row r="683" spans="1:11" ht="15" x14ac:dyDescent="0.25">
      <c r="A683" s="1341"/>
      <c r="B683" s="1344">
        <v>41750</v>
      </c>
      <c r="C683" s="1352">
        <v>333903900000000</v>
      </c>
      <c r="D683" s="1344" t="s">
        <v>5896</v>
      </c>
      <c r="E683" s="1344">
        <v>1</v>
      </c>
      <c r="F683" s="643">
        <v>0</v>
      </c>
      <c r="G683" s="643">
        <v>0</v>
      </c>
      <c r="H683" s="26">
        <v>0</v>
      </c>
      <c r="I683" s="26">
        <f t="shared" si="64"/>
        <v>0</v>
      </c>
      <c r="J683" s="1340" t="e">
        <f t="shared" si="62"/>
        <v>#DIV/0!</v>
      </c>
      <c r="K683" s="1340">
        <f t="shared" si="63"/>
        <v>0</v>
      </c>
    </row>
    <row r="684" spans="1:11" ht="30" x14ac:dyDescent="0.25">
      <c r="A684" s="1341"/>
      <c r="B684" s="1344">
        <v>38600</v>
      </c>
      <c r="C684" s="1352">
        <v>333904000000000</v>
      </c>
      <c r="D684" s="1344" t="s">
        <v>7639</v>
      </c>
      <c r="E684" s="1344">
        <v>1</v>
      </c>
      <c r="F684" s="643">
        <v>0</v>
      </c>
      <c r="G684" s="643">
        <v>0</v>
      </c>
      <c r="H684" s="26">
        <v>0</v>
      </c>
      <c r="I684" s="26">
        <f t="shared" si="64"/>
        <v>0</v>
      </c>
      <c r="J684" s="1340" t="e">
        <f t="shared" si="62"/>
        <v>#DIV/0!</v>
      </c>
      <c r="K684" s="1340">
        <f t="shared" si="63"/>
        <v>0</v>
      </c>
    </row>
    <row r="685" spans="1:11" ht="15" x14ac:dyDescent="0.25">
      <c r="A685" s="1341"/>
      <c r="B685" s="1344">
        <v>41800</v>
      </c>
      <c r="C685" s="1352">
        <v>333904600000000</v>
      </c>
      <c r="D685" s="1344" t="s">
        <v>5897</v>
      </c>
      <c r="E685" s="1344">
        <v>1</v>
      </c>
      <c r="F685" s="643">
        <v>0</v>
      </c>
      <c r="G685" s="643">
        <v>0</v>
      </c>
      <c r="H685" s="26">
        <v>0</v>
      </c>
      <c r="I685" s="26">
        <f t="shared" si="64"/>
        <v>0</v>
      </c>
      <c r="J685" s="1340" t="e">
        <f t="shared" si="62"/>
        <v>#DIV/0!</v>
      </c>
      <c r="K685" s="1340">
        <f t="shared" si="63"/>
        <v>0</v>
      </c>
    </row>
    <row r="686" spans="1:11" ht="15" x14ac:dyDescent="0.25">
      <c r="A686" s="1341"/>
      <c r="B686" s="1344">
        <v>38750</v>
      </c>
      <c r="C686" s="1352">
        <v>333904700000000</v>
      </c>
      <c r="D686" s="1344" t="s">
        <v>7638</v>
      </c>
      <c r="E686" s="1344">
        <v>1</v>
      </c>
      <c r="F686" s="643">
        <v>0</v>
      </c>
      <c r="G686" s="643">
        <v>0</v>
      </c>
      <c r="H686" s="26">
        <v>0</v>
      </c>
      <c r="I686" s="26">
        <f t="shared" si="64"/>
        <v>0</v>
      </c>
      <c r="J686" s="1340" t="e">
        <f t="shared" si="62"/>
        <v>#DIV/0!</v>
      </c>
      <c r="K686" s="1340">
        <f t="shared" si="63"/>
        <v>0</v>
      </c>
    </row>
    <row r="687" spans="1:11" ht="15" x14ac:dyDescent="0.25">
      <c r="A687" s="1341"/>
      <c r="B687" s="1344">
        <v>41850</v>
      </c>
      <c r="C687" s="1352">
        <v>333904700000000</v>
      </c>
      <c r="D687" s="1344" t="s">
        <v>5898</v>
      </c>
      <c r="E687" s="1344">
        <v>1</v>
      </c>
      <c r="F687" s="643">
        <v>1033</v>
      </c>
      <c r="G687" s="643">
        <v>670</v>
      </c>
      <c r="H687" s="26">
        <v>0</v>
      </c>
      <c r="I687" s="26">
        <f t="shared" si="64"/>
        <v>567.66666666666663</v>
      </c>
      <c r="J687" s="1340">
        <f t="shared" si="62"/>
        <v>0.64859632139399803</v>
      </c>
      <c r="K687" s="1340">
        <f t="shared" si="63"/>
        <v>4.5213889441340846E-3</v>
      </c>
    </row>
    <row r="688" spans="1:11" ht="15" x14ac:dyDescent="0.25">
      <c r="A688" s="1341"/>
      <c r="B688" s="1344">
        <v>41900</v>
      </c>
      <c r="C688" s="1352">
        <v>333904900000000</v>
      </c>
      <c r="D688" s="1344" t="s">
        <v>5899</v>
      </c>
      <c r="E688" s="1344">
        <v>1</v>
      </c>
      <c r="F688" s="643">
        <v>4450.4399999999996</v>
      </c>
      <c r="G688" s="643">
        <v>3064.73</v>
      </c>
      <c r="H688" s="26">
        <v>0</v>
      </c>
      <c r="I688" s="26">
        <f t="shared" si="64"/>
        <v>2505.0566666666668</v>
      </c>
      <c r="J688" s="1340">
        <f t="shared" si="62"/>
        <v>0.68863528100592308</v>
      </c>
      <c r="K688" s="1340">
        <f t="shared" si="63"/>
        <v>1.9952440723011246E-2</v>
      </c>
    </row>
    <row r="689" spans="1:11" ht="15" x14ac:dyDescent="0.25">
      <c r="A689" s="1341"/>
      <c r="B689" s="1344">
        <v>41920</v>
      </c>
      <c r="C689" s="1352">
        <v>333909200000000</v>
      </c>
      <c r="D689" s="1344" t="s">
        <v>5900</v>
      </c>
      <c r="E689" s="1344">
        <v>1</v>
      </c>
      <c r="F689" s="643">
        <v>0</v>
      </c>
      <c r="G689" s="643">
        <v>270.27999999999997</v>
      </c>
      <c r="H689" s="26">
        <v>0</v>
      </c>
      <c r="I689" s="26">
        <f t="shared" si="64"/>
        <v>90.09333333333332</v>
      </c>
      <c r="J689" s="1340" t="e">
        <f t="shared" si="62"/>
        <v>#DIV/0!</v>
      </c>
      <c r="K689" s="1340">
        <f t="shared" si="63"/>
        <v>7.1758132931330602E-4</v>
      </c>
    </row>
    <row r="690" spans="1:11" ht="15" x14ac:dyDescent="0.25">
      <c r="A690" s="1341"/>
      <c r="B690" s="1344">
        <v>41930</v>
      </c>
      <c r="C690" s="1352">
        <v>333909300000000</v>
      </c>
      <c r="D690" s="1344" t="s">
        <v>5901</v>
      </c>
      <c r="E690" s="1344">
        <v>1</v>
      </c>
      <c r="F690" s="643">
        <v>0</v>
      </c>
      <c r="G690" s="643">
        <v>67.849999999999994</v>
      </c>
      <c r="H690" s="26">
        <v>0</v>
      </c>
      <c r="I690" s="26">
        <f t="shared" si="64"/>
        <v>22.616666666666664</v>
      </c>
      <c r="J690" s="1340" t="e">
        <f t="shared" si="62"/>
        <v>#DIV/0!</v>
      </c>
      <c r="K690" s="1340">
        <f t="shared" si="63"/>
        <v>1.8013871982354527E-4</v>
      </c>
    </row>
    <row r="691" spans="1:11" ht="15" x14ac:dyDescent="0.25">
      <c r="A691" s="1341"/>
      <c r="B691" s="1344">
        <v>41940</v>
      </c>
      <c r="C691" s="1352">
        <v>333933000000000</v>
      </c>
      <c r="D691" s="1344" t="s">
        <v>5902</v>
      </c>
      <c r="E691" s="1344">
        <v>1</v>
      </c>
      <c r="F691" s="643">
        <v>0</v>
      </c>
      <c r="G691" s="643">
        <v>0</v>
      </c>
      <c r="H691" s="26">
        <v>0</v>
      </c>
      <c r="I691" s="26">
        <f t="shared" si="64"/>
        <v>0</v>
      </c>
      <c r="J691" s="1340" t="e">
        <f t="shared" si="62"/>
        <v>#DIV/0!</v>
      </c>
      <c r="K691" s="1340">
        <f t="shared" si="63"/>
        <v>0</v>
      </c>
    </row>
    <row r="692" spans="1:11" ht="15" x14ac:dyDescent="0.25">
      <c r="A692" s="1341"/>
      <c r="B692" s="1344">
        <v>41950</v>
      </c>
      <c r="C692" s="1352">
        <v>344905100000000</v>
      </c>
      <c r="D692" s="1344" t="s">
        <v>5903</v>
      </c>
      <c r="E692" s="1344">
        <v>1</v>
      </c>
      <c r="F692" s="643">
        <v>0</v>
      </c>
      <c r="G692" s="643">
        <v>0</v>
      </c>
      <c r="H692" s="26">
        <v>0</v>
      </c>
      <c r="I692" s="26">
        <f t="shared" si="64"/>
        <v>0</v>
      </c>
      <c r="J692" s="1340" t="e">
        <f t="shared" si="62"/>
        <v>#DIV/0!</v>
      </c>
      <c r="K692" s="1340">
        <f t="shared" si="63"/>
        <v>0</v>
      </c>
    </row>
    <row r="693" spans="1:11" ht="15" x14ac:dyDescent="0.25">
      <c r="A693" s="1341"/>
      <c r="B693" s="1344">
        <v>41970</v>
      </c>
      <c r="C693" s="1352">
        <v>344905200000000</v>
      </c>
      <c r="D693" s="1344" t="s">
        <v>5904</v>
      </c>
      <c r="E693" s="1344">
        <v>1</v>
      </c>
      <c r="F693" s="643">
        <v>0</v>
      </c>
      <c r="G693" s="643">
        <v>31639.01</v>
      </c>
      <c r="H693" s="26">
        <v>0</v>
      </c>
      <c r="I693" s="26">
        <f t="shared" si="64"/>
        <v>10546.336666666666</v>
      </c>
      <c r="J693" s="1340" t="e">
        <f t="shared" si="62"/>
        <v>#DIV/0!</v>
      </c>
      <c r="K693" s="1340">
        <f t="shared" si="63"/>
        <v>8.4000158553932905E-2</v>
      </c>
    </row>
    <row r="694" spans="1:11" ht="15" x14ac:dyDescent="0.25">
      <c r="B694" s="1598" t="s">
        <v>1575</v>
      </c>
      <c r="C694" s="1598"/>
      <c r="D694" s="1598"/>
      <c r="E694" s="1598"/>
      <c r="F694" s="25">
        <f>F663+F633+F626</f>
        <v>1042131.9299999999</v>
      </c>
      <c r="G694" s="25">
        <f>G663+G633+G626</f>
        <v>667086.36999999988</v>
      </c>
      <c r="H694" s="25">
        <f>H663+H633+H626</f>
        <v>0</v>
      </c>
      <c r="I694" s="25">
        <f>I663+I633+I626</f>
        <v>125551.39</v>
      </c>
      <c r="J694" s="1337">
        <f t="shared" si="62"/>
        <v>0.64011700514732328</v>
      </c>
      <c r="K694" s="1338">
        <f>I694/I$622</f>
        <v>1.6157419525874104</v>
      </c>
    </row>
    <row r="696" spans="1:11" ht="15" x14ac:dyDescent="0.25">
      <c r="B696" s="616" t="s">
        <v>4590</v>
      </c>
      <c r="F696" s="643"/>
    </row>
    <row r="697" spans="1:11" ht="45" customHeight="1" x14ac:dyDescent="0.25">
      <c r="B697" s="1343" t="s">
        <v>2967</v>
      </c>
      <c r="C697" s="1343" t="s">
        <v>472</v>
      </c>
      <c r="D697" s="1343" t="s">
        <v>2968</v>
      </c>
      <c r="E697" s="1343" t="s">
        <v>1403</v>
      </c>
      <c r="F697" s="1081">
        <v>2017</v>
      </c>
      <c r="G697" s="1081">
        <f>F697+1</f>
        <v>2018</v>
      </c>
      <c r="H697" s="1081">
        <f>G697+1</f>
        <v>2019</v>
      </c>
      <c r="I697" s="1082" t="s">
        <v>7336</v>
      </c>
      <c r="J697" s="1342" t="s">
        <v>7335</v>
      </c>
      <c r="K697" s="1342" t="s">
        <v>7334</v>
      </c>
    </row>
    <row r="698" spans="1:11" ht="15" x14ac:dyDescent="0.25">
      <c r="B698" s="1345" t="s">
        <v>2950</v>
      </c>
      <c r="C698" s="1343">
        <v>10</v>
      </c>
      <c r="D698" s="1345" t="s">
        <v>4534</v>
      </c>
      <c r="E698" s="1345"/>
      <c r="F698" s="642">
        <f>SUM(F699:F705)</f>
        <v>0</v>
      </c>
      <c r="G698" s="642">
        <f>SUM(G699:G705)</f>
        <v>0</v>
      </c>
      <c r="H698" s="642">
        <f>SUM(H699:H705)</f>
        <v>0</v>
      </c>
      <c r="I698" s="642">
        <f>SUM(I699:I705)</f>
        <v>0</v>
      </c>
      <c r="J698" s="1338" t="e">
        <f t="shared" ref="J698:J729" si="65">(G698/F698)+(H698/G698)/2</f>
        <v>#DIV/0!</v>
      </c>
      <c r="K698" s="1338">
        <f t="shared" ref="K698:K729" si="66">I698/I$755</f>
        <v>0</v>
      </c>
    </row>
    <row r="699" spans="1:11" ht="15" x14ac:dyDescent="0.25">
      <c r="A699" s="1341"/>
      <c r="B699" s="1344">
        <v>50000</v>
      </c>
      <c r="C699" s="1344">
        <v>333904700000000</v>
      </c>
      <c r="D699" s="1344" t="s">
        <v>4535</v>
      </c>
      <c r="E699" s="1344">
        <v>1</v>
      </c>
      <c r="F699" s="643">
        <v>0</v>
      </c>
      <c r="G699" s="643">
        <v>0</v>
      </c>
      <c r="H699" s="26">
        <v>0</v>
      </c>
      <c r="I699" s="26">
        <f t="shared" ref="I699:I705" si="67">(F699+G699+H699)/3</f>
        <v>0</v>
      </c>
      <c r="J699" s="1340" t="e">
        <f t="shared" si="65"/>
        <v>#DIV/0!</v>
      </c>
      <c r="K699" s="1340">
        <f t="shared" si="66"/>
        <v>0</v>
      </c>
    </row>
    <row r="700" spans="1:11" ht="15" x14ac:dyDescent="0.25">
      <c r="A700" s="1341"/>
      <c r="B700" s="1344">
        <v>50100</v>
      </c>
      <c r="C700" s="1344">
        <v>344903000000000</v>
      </c>
      <c r="D700" s="1344" t="s">
        <v>3562</v>
      </c>
      <c r="E700" s="1344">
        <v>1</v>
      </c>
      <c r="F700" s="643">
        <v>0</v>
      </c>
      <c r="G700" s="643">
        <v>0</v>
      </c>
      <c r="H700" s="26">
        <v>0</v>
      </c>
      <c r="I700" s="26">
        <f t="shared" si="67"/>
        <v>0</v>
      </c>
      <c r="J700" s="1340" t="e">
        <f t="shared" si="65"/>
        <v>#DIV/0!</v>
      </c>
      <c r="K700" s="1340">
        <f t="shared" si="66"/>
        <v>0</v>
      </c>
    </row>
    <row r="701" spans="1:11" ht="15" x14ac:dyDescent="0.25">
      <c r="A701" s="1341"/>
      <c r="B701" s="1344">
        <v>50200</v>
      </c>
      <c r="C701" s="1344">
        <v>344903600000000</v>
      </c>
      <c r="D701" s="1344" t="s">
        <v>4161</v>
      </c>
      <c r="E701" s="1344">
        <v>1</v>
      </c>
      <c r="F701" s="643">
        <v>0</v>
      </c>
      <c r="G701" s="643">
        <v>0</v>
      </c>
      <c r="H701" s="26">
        <v>0</v>
      </c>
      <c r="I701" s="26">
        <f t="shared" si="67"/>
        <v>0</v>
      </c>
      <c r="J701" s="1340" t="e">
        <f t="shared" si="65"/>
        <v>#DIV/0!</v>
      </c>
      <c r="K701" s="1340">
        <f t="shared" si="66"/>
        <v>0</v>
      </c>
    </row>
    <row r="702" spans="1:11" ht="15" x14ac:dyDescent="0.25">
      <c r="A702" s="1341"/>
      <c r="B702" s="1344">
        <v>50300</v>
      </c>
      <c r="C702" s="1344">
        <v>344903900000000</v>
      </c>
      <c r="D702" s="1344" t="s">
        <v>4536</v>
      </c>
      <c r="E702" s="1344">
        <v>1</v>
      </c>
      <c r="F702" s="643">
        <v>0</v>
      </c>
      <c r="G702" s="643">
        <v>0</v>
      </c>
      <c r="H702" s="26">
        <v>0</v>
      </c>
      <c r="I702" s="26">
        <f t="shared" si="67"/>
        <v>0</v>
      </c>
      <c r="J702" s="1340" t="e">
        <f t="shared" si="65"/>
        <v>#DIV/0!</v>
      </c>
      <c r="K702" s="1340">
        <f t="shared" si="66"/>
        <v>0</v>
      </c>
    </row>
    <row r="703" spans="1:11" ht="15" x14ac:dyDescent="0.25">
      <c r="A703" s="1341"/>
      <c r="B703" s="1344">
        <v>50400</v>
      </c>
      <c r="C703" s="1344">
        <v>344903900000000</v>
      </c>
      <c r="D703" s="1344" t="s">
        <v>4539</v>
      </c>
      <c r="E703" s="1344">
        <v>1168</v>
      </c>
      <c r="F703" s="643">
        <v>0</v>
      </c>
      <c r="G703" s="643">
        <v>0</v>
      </c>
      <c r="H703" s="26">
        <v>0</v>
      </c>
      <c r="I703" s="26">
        <f t="shared" si="67"/>
        <v>0</v>
      </c>
      <c r="J703" s="1340" t="e">
        <f t="shared" si="65"/>
        <v>#DIV/0!</v>
      </c>
      <c r="K703" s="1340">
        <f t="shared" si="66"/>
        <v>0</v>
      </c>
    </row>
    <row r="704" spans="1:11" ht="15" x14ac:dyDescent="0.25">
      <c r="A704" s="1341"/>
      <c r="B704" s="1344">
        <v>50600</v>
      </c>
      <c r="C704" s="1344">
        <v>344905200000000</v>
      </c>
      <c r="D704" s="1344" t="s">
        <v>7637</v>
      </c>
      <c r="E704" s="1344">
        <v>1</v>
      </c>
      <c r="F704" s="643">
        <v>0</v>
      </c>
      <c r="G704" s="643">
        <v>0</v>
      </c>
      <c r="H704" s="26">
        <v>0</v>
      </c>
      <c r="I704" s="26">
        <f t="shared" si="67"/>
        <v>0</v>
      </c>
      <c r="J704" s="1340" t="e">
        <f t="shared" si="65"/>
        <v>#DIV/0!</v>
      </c>
      <c r="K704" s="1340">
        <f t="shared" si="66"/>
        <v>0</v>
      </c>
    </row>
    <row r="705" spans="1:11" ht="15" x14ac:dyDescent="0.25">
      <c r="A705" s="1341"/>
      <c r="B705" s="1344">
        <v>50650</v>
      </c>
      <c r="C705" s="1344">
        <v>344905200000000</v>
      </c>
      <c r="D705" s="1344" t="s">
        <v>4542</v>
      </c>
      <c r="E705" s="1344">
        <v>1168</v>
      </c>
      <c r="F705" s="643">
        <v>0</v>
      </c>
      <c r="G705" s="643">
        <v>0</v>
      </c>
      <c r="H705" s="26">
        <v>0</v>
      </c>
      <c r="I705" s="26">
        <f t="shared" si="67"/>
        <v>0</v>
      </c>
      <c r="J705" s="1340" t="e">
        <f t="shared" si="65"/>
        <v>#DIV/0!</v>
      </c>
      <c r="K705" s="1340">
        <f t="shared" si="66"/>
        <v>0</v>
      </c>
    </row>
    <row r="706" spans="1:11" s="12" customFormat="1" ht="15" x14ac:dyDescent="0.25">
      <c r="A706" s="1081"/>
      <c r="B706" s="1345" t="s">
        <v>2965</v>
      </c>
      <c r="C706" s="1345">
        <v>11</v>
      </c>
      <c r="D706" s="1345" t="s">
        <v>4543</v>
      </c>
      <c r="E706" s="1345"/>
      <c r="F706" s="642">
        <f>SUM(F707:F733)</f>
        <v>72796.920000000013</v>
      </c>
      <c r="G706" s="642">
        <f>SUM(G707:G733)</f>
        <v>114774.83999999998</v>
      </c>
      <c r="H706" s="642">
        <f>SUM(H707:H733)</f>
        <v>0</v>
      </c>
      <c r="I706" s="642">
        <f>SUM(I707:I713)</f>
        <v>58491.276666666665</v>
      </c>
      <c r="J706" s="1338">
        <f t="shared" si="65"/>
        <v>1.5766441767041788</v>
      </c>
      <c r="K706" s="1338">
        <f t="shared" si="66"/>
        <v>0.91944271051684423</v>
      </c>
    </row>
    <row r="707" spans="1:11" ht="15" x14ac:dyDescent="0.25">
      <c r="A707" s="1341"/>
      <c r="B707" s="1344">
        <v>51000</v>
      </c>
      <c r="C707" s="1344">
        <v>331900400000000</v>
      </c>
      <c r="D707" s="1344" t="s">
        <v>5916</v>
      </c>
      <c r="E707" s="1344">
        <v>1</v>
      </c>
      <c r="F707" s="643">
        <v>0</v>
      </c>
      <c r="G707" s="643">
        <v>0</v>
      </c>
      <c r="H707" s="643">
        <v>0</v>
      </c>
      <c r="I707" s="26">
        <f t="shared" ref="I707:I754" si="68">(F707+G707+H707)/3</f>
        <v>0</v>
      </c>
      <c r="J707" s="1340" t="e">
        <f t="shared" si="65"/>
        <v>#DIV/0!</v>
      </c>
      <c r="K707" s="1340">
        <f t="shared" si="66"/>
        <v>0</v>
      </c>
    </row>
    <row r="708" spans="1:11" ht="30" x14ac:dyDescent="0.25">
      <c r="A708" s="1341"/>
      <c r="B708" s="1344">
        <v>51050</v>
      </c>
      <c r="C708" s="1344">
        <v>331900800000000</v>
      </c>
      <c r="D708" s="1344" t="s">
        <v>7636</v>
      </c>
      <c r="E708" s="1344">
        <v>1</v>
      </c>
      <c r="F708" s="643">
        <v>0</v>
      </c>
      <c r="G708" s="643">
        <v>533.70000000000005</v>
      </c>
      <c r="H708" s="643">
        <v>0</v>
      </c>
      <c r="I708" s="26">
        <f t="shared" si="68"/>
        <v>177.9</v>
      </c>
      <c r="J708" s="1340" t="e">
        <f t="shared" si="65"/>
        <v>#DIV/0!</v>
      </c>
      <c r="K708" s="1340">
        <f t="shared" si="66"/>
        <v>2.7964658582014185E-3</v>
      </c>
    </row>
    <row r="709" spans="1:11" ht="15" x14ac:dyDescent="0.25">
      <c r="A709" s="1341"/>
      <c r="B709" s="1344">
        <v>51030</v>
      </c>
      <c r="C709" s="1344">
        <v>331901100000000</v>
      </c>
      <c r="D709" s="1344" t="s">
        <v>5918</v>
      </c>
      <c r="E709" s="1344">
        <v>1</v>
      </c>
      <c r="F709" s="643">
        <v>49051.27</v>
      </c>
      <c r="G709" s="643">
        <v>85967.65</v>
      </c>
      <c r="H709" s="643">
        <v>0</v>
      </c>
      <c r="I709" s="26">
        <f t="shared" si="68"/>
        <v>45006.306666666664</v>
      </c>
      <c r="J709" s="1340">
        <f t="shared" si="65"/>
        <v>1.7526080364483936</v>
      </c>
      <c r="K709" s="1340">
        <f t="shared" si="66"/>
        <v>0.70746824056816304</v>
      </c>
    </row>
    <row r="710" spans="1:11" ht="15" x14ac:dyDescent="0.25">
      <c r="A710" s="1341"/>
      <c r="B710" s="1344">
        <v>51060</v>
      </c>
      <c r="C710" s="1344">
        <v>331901300000000</v>
      </c>
      <c r="D710" s="1344" t="s">
        <v>5919</v>
      </c>
      <c r="E710" s="1344">
        <v>1</v>
      </c>
      <c r="F710" s="643">
        <v>15862.93</v>
      </c>
      <c r="G710" s="643">
        <v>24058.28</v>
      </c>
      <c r="H710" s="643">
        <v>0</v>
      </c>
      <c r="I710" s="26">
        <f t="shared" si="68"/>
        <v>13307.07</v>
      </c>
      <c r="J710" s="1340">
        <f t="shared" si="65"/>
        <v>1.5166353252520184</v>
      </c>
      <c r="K710" s="1340">
        <f t="shared" si="66"/>
        <v>0.20917800409047976</v>
      </c>
    </row>
    <row r="711" spans="1:11" ht="15" x14ac:dyDescent="0.25">
      <c r="A711" s="1341"/>
      <c r="B711" s="1344">
        <v>51100</v>
      </c>
      <c r="C711" s="1344">
        <v>331901600000000</v>
      </c>
      <c r="D711" s="1344" t="s">
        <v>5920</v>
      </c>
      <c r="E711" s="1344">
        <v>1</v>
      </c>
      <c r="F711" s="643">
        <v>0</v>
      </c>
      <c r="G711" s="643">
        <v>0</v>
      </c>
      <c r="H711" s="643">
        <v>0</v>
      </c>
      <c r="I711" s="26">
        <f t="shared" si="68"/>
        <v>0</v>
      </c>
      <c r="J711" s="1340" t="e">
        <f t="shared" si="65"/>
        <v>#DIV/0!</v>
      </c>
      <c r="K711" s="1340">
        <f t="shared" si="66"/>
        <v>0</v>
      </c>
    </row>
    <row r="712" spans="1:11" ht="15" x14ac:dyDescent="0.25">
      <c r="A712" s="1341"/>
      <c r="B712" s="1344">
        <v>51120</v>
      </c>
      <c r="C712" s="1344">
        <v>331903400000000</v>
      </c>
      <c r="D712" s="1344" t="s">
        <v>5921</v>
      </c>
      <c r="E712" s="1344">
        <v>1</v>
      </c>
      <c r="F712" s="643">
        <v>0</v>
      </c>
      <c r="G712" s="643">
        <v>0</v>
      </c>
      <c r="H712" s="643">
        <v>0</v>
      </c>
      <c r="I712" s="26">
        <f t="shared" si="68"/>
        <v>0</v>
      </c>
      <c r="J712" s="1340" t="e">
        <f t="shared" si="65"/>
        <v>#DIV/0!</v>
      </c>
      <c r="K712" s="1340">
        <f t="shared" si="66"/>
        <v>0</v>
      </c>
    </row>
    <row r="713" spans="1:11" ht="30" x14ac:dyDescent="0.25">
      <c r="A713" s="1341"/>
      <c r="B713" s="1344">
        <v>51130</v>
      </c>
      <c r="C713" s="1344">
        <v>331909400000000</v>
      </c>
      <c r="D713" s="1344" t="s">
        <v>5922</v>
      </c>
      <c r="E713" s="1344">
        <v>1</v>
      </c>
      <c r="F713" s="643">
        <v>0</v>
      </c>
      <c r="G713" s="643">
        <v>0</v>
      </c>
      <c r="H713" s="643">
        <v>0</v>
      </c>
      <c r="I713" s="26">
        <f t="shared" si="68"/>
        <v>0</v>
      </c>
      <c r="J713" s="1340" t="e">
        <f t="shared" si="65"/>
        <v>#DIV/0!</v>
      </c>
      <c r="K713" s="1340">
        <f t="shared" si="66"/>
        <v>0</v>
      </c>
    </row>
    <row r="714" spans="1:11" ht="15" x14ac:dyDescent="0.25">
      <c r="A714" s="1341"/>
      <c r="B714" s="1344">
        <v>50700</v>
      </c>
      <c r="C714" s="1344">
        <v>333901400000000</v>
      </c>
      <c r="D714" s="1344" t="s">
        <v>7635</v>
      </c>
      <c r="E714" s="1344">
        <v>1</v>
      </c>
      <c r="F714" s="643">
        <v>0</v>
      </c>
      <c r="G714" s="643">
        <v>0</v>
      </c>
      <c r="H714" s="643">
        <v>0</v>
      </c>
      <c r="I714" s="26">
        <f t="shared" si="68"/>
        <v>0</v>
      </c>
      <c r="J714" s="1340" t="e">
        <f t="shared" si="65"/>
        <v>#DIV/0!</v>
      </c>
      <c r="K714" s="1340">
        <f t="shared" si="66"/>
        <v>0</v>
      </c>
    </row>
    <row r="715" spans="1:11" ht="15" x14ac:dyDescent="0.25">
      <c r="A715" s="1341"/>
      <c r="B715" s="1344">
        <v>51150</v>
      </c>
      <c r="C715" s="1344">
        <v>333901400000000</v>
      </c>
      <c r="D715" s="1344" t="s">
        <v>5935</v>
      </c>
      <c r="E715" s="1344">
        <v>1</v>
      </c>
      <c r="F715" s="643">
        <v>224</v>
      </c>
      <c r="G715" s="643">
        <v>1320</v>
      </c>
      <c r="H715" s="643">
        <v>0</v>
      </c>
      <c r="I715" s="26">
        <f t="shared" si="68"/>
        <v>514.66666666666663</v>
      </c>
      <c r="J715" s="1340">
        <f t="shared" si="65"/>
        <v>5.8928571428571432</v>
      </c>
      <c r="K715" s="1340">
        <f t="shared" si="66"/>
        <v>8.0902066424264375E-3</v>
      </c>
    </row>
    <row r="716" spans="1:11" ht="15" x14ac:dyDescent="0.25">
      <c r="A716" s="1341"/>
      <c r="B716" s="1344">
        <v>51170</v>
      </c>
      <c r="C716" s="1344">
        <v>333903000000000</v>
      </c>
      <c r="D716" s="1344" t="s">
        <v>5936</v>
      </c>
      <c r="E716" s="1344">
        <v>1</v>
      </c>
      <c r="F716" s="643">
        <v>0</v>
      </c>
      <c r="G716" s="643">
        <v>0</v>
      </c>
      <c r="H716" s="643">
        <v>0</v>
      </c>
      <c r="I716" s="26">
        <f t="shared" si="68"/>
        <v>0</v>
      </c>
      <c r="J716" s="1340" t="e">
        <f t="shared" si="65"/>
        <v>#DIV/0!</v>
      </c>
      <c r="K716" s="1340">
        <f t="shared" si="66"/>
        <v>0</v>
      </c>
    </row>
    <row r="717" spans="1:11" ht="15" x14ac:dyDescent="0.25">
      <c r="A717" s="1341"/>
      <c r="B717" s="1344">
        <v>51190</v>
      </c>
      <c r="C717" s="1344">
        <v>333903200000000</v>
      </c>
      <c r="D717" s="1344" t="s">
        <v>5937</v>
      </c>
      <c r="E717" s="1344">
        <v>1</v>
      </c>
      <c r="F717" s="643">
        <v>0</v>
      </c>
      <c r="G717" s="643">
        <v>0</v>
      </c>
      <c r="H717" s="643">
        <v>0</v>
      </c>
      <c r="I717" s="26">
        <f t="shared" si="68"/>
        <v>0</v>
      </c>
      <c r="J717" s="1340" t="e">
        <f t="shared" si="65"/>
        <v>#DIV/0!</v>
      </c>
      <c r="K717" s="1340">
        <f t="shared" si="66"/>
        <v>0</v>
      </c>
    </row>
    <row r="718" spans="1:11" ht="15" x14ac:dyDescent="0.25">
      <c r="A718" s="1341"/>
      <c r="B718" s="1344">
        <v>50720</v>
      </c>
      <c r="C718" s="1344">
        <v>333903300000000</v>
      </c>
      <c r="D718" s="1344" t="s">
        <v>7634</v>
      </c>
      <c r="E718" s="1344">
        <v>1</v>
      </c>
      <c r="F718" s="643">
        <v>0</v>
      </c>
      <c r="G718" s="643">
        <v>0</v>
      </c>
      <c r="H718" s="643">
        <v>0</v>
      </c>
      <c r="I718" s="26">
        <f t="shared" si="68"/>
        <v>0</v>
      </c>
      <c r="J718" s="1340" t="e">
        <f t="shared" si="65"/>
        <v>#DIV/0!</v>
      </c>
      <c r="K718" s="1340">
        <f t="shared" si="66"/>
        <v>0</v>
      </c>
    </row>
    <row r="719" spans="1:11" ht="15" x14ac:dyDescent="0.25">
      <c r="A719" s="1341"/>
      <c r="B719" s="1344">
        <v>51200</v>
      </c>
      <c r="C719" s="1344">
        <v>333903300000000</v>
      </c>
      <c r="D719" s="1344" t="s">
        <v>5923</v>
      </c>
      <c r="E719" s="1344">
        <v>1</v>
      </c>
      <c r="F719" s="643">
        <v>67.650000000000006</v>
      </c>
      <c r="G719" s="643">
        <v>217.95</v>
      </c>
      <c r="H719" s="643">
        <v>0</v>
      </c>
      <c r="I719" s="26">
        <f t="shared" si="68"/>
        <v>95.2</v>
      </c>
      <c r="J719" s="1340">
        <f t="shared" si="65"/>
        <v>3.2217294900221725</v>
      </c>
      <c r="K719" s="1340">
        <f t="shared" si="66"/>
        <v>1.4964786380032324E-3</v>
      </c>
    </row>
    <row r="720" spans="1:11" ht="15" x14ac:dyDescent="0.25">
      <c r="A720" s="1341"/>
      <c r="B720" s="1344">
        <v>50730</v>
      </c>
      <c r="C720" s="1344">
        <v>333903600000000</v>
      </c>
      <c r="D720" s="1344" t="s">
        <v>7633</v>
      </c>
      <c r="E720" s="1344">
        <v>1</v>
      </c>
      <c r="F720" s="643">
        <v>0</v>
      </c>
      <c r="G720" s="643">
        <v>0</v>
      </c>
      <c r="H720" s="643">
        <v>0</v>
      </c>
      <c r="I720" s="26">
        <f t="shared" si="68"/>
        <v>0</v>
      </c>
      <c r="J720" s="1340" t="e">
        <f t="shared" si="65"/>
        <v>#DIV/0!</v>
      </c>
      <c r="K720" s="1340">
        <f t="shared" si="66"/>
        <v>0</v>
      </c>
    </row>
    <row r="721" spans="1:11" ht="15" x14ac:dyDescent="0.25">
      <c r="A721" s="1341"/>
      <c r="B721" s="1344">
        <v>51220</v>
      </c>
      <c r="C721" s="1344">
        <v>333903600000000</v>
      </c>
      <c r="D721" s="1344" t="s">
        <v>5938</v>
      </c>
      <c r="E721" s="1344">
        <v>1</v>
      </c>
      <c r="F721" s="643">
        <v>0</v>
      </c>
      <c r="G721" s="643">
        <v>0</v>
      </c>
      <c r="H721" s="643">
        <v>0</v>
      </c>
      <c r="I721" s="26">
        <f t="shared" si="68"/>
        <v>0</v>
      </c>
      <c r="J721" s="1340" t="e">
        <f t="shared" si="65"/>
        <v>#DIV/0!</v>
      </c>
      <c r="K721" s="1340">
        <f t="shared" si="66"/>
        <v>0</v>
      </c>
    </row>
    <row r="722" spans="1:11" ht="15" x14ac:dyDescent="0.25">
      <c r="A722" s="1341"/>
      <c r="B722" s="1344">
        <v>50750</v>
      </c>
      <c r="C722" s="1344">
        <v>333903900000000</v>
      </c>
      <c r="D722" s="1344" t="s">
        <v>7632</v>
      </c>
      <c r="E722" s="1344">
        <v>1</v>
      </c>
      <c r="F722" s="643">
        <v>366</v>
      </c>
      <c r="G722" s="643">
        <v>399</v>
      </c>
      <c r="H722" s="643">
        <v>0</v>
      </c>
      <c r="I722" s="26">
        <f t="shared" si="68"/>
        <v>255</v>
      </c>
      <c r="J722" s="1340">
        <f t="shared" si="65"/>
        <v>1.0901639344262295</v>
      </c>
      <c r="K722" s="1340">
        <f t="shared" si="66"/>
        <v>4.0084249232229434E-3</v>
      </c>
    </row>
    <row r="723" spans="1:11" ht="15" x14ac:dyDescent="0.25">
      <c r="A723" s="1341"/>
      <c r="B723" s="1344">
        <v>51250</v>
      </c>
      <c r="C723" s="1344">
        <v>333903900000000</v>
      </c>
      <c r="D723" s="1344" t="s">
        <v>5939</v>
      </c>
      <c r="E723" s="1344">
        <v>1</v>
      </c>
      <c r="F723" s="643">
        <v>6720.02</v>
      </c>
      <c r="G723" s="643">
        <v>46.39</v>
      </c>
      <c r="H723" s="643">
        <v>0</v>
      </c>
      <c r="I723" s="26">
        <f t="shared" si="68"/>
        <v>2255.4700000000003</v>
      </c>
      <c r="J723" s="1340">
        <f t="shared" si="65"/>
        <v>6.9032532641271896E-3</v>
      </c>
      <c r="K723" s="1340">
        <f t="shared" si="66"/>
        <v>3.5454439849339818E-2</v>
      </c>
    </row>
    <row r="724" spans="1:11" ht="15" x14ac:dyDescent="0.25">
      <c r="A724" s="1341"/>
      <c r="B724" s="1344">
        <v>50680</v>
      </c>
      <c r="C724" s="1344">
        <v>333904000000000</v>
      </c>
      <c r="D724" s="1344" t="s">
        <v>7631</v>
      </c>
      <c r="E724" s="1344">
        <v>1</v>
      </c>
      <c r="F724" s="643">
        <v>0</v>
      </c>
      <c r="G724" s="643">
        <v>0</v>
      </c>
      <c r="H724" s="643">
        <v>0</v>
      </c>
      <c r="I724" s="26">
        <f t="shared" si="68"/>
        <v>0</v>
      </c>
      <c r="J724" s="1340" t="e">
        <f t="shared" si="65"/>
        <v>#DIV/0!</v>
      </c>
      <c r="K724" s="1340">
        <f t="shared" si="66"/>
        <v>0</v>
      </c>
    </row>
    <row r="725" spans="1:11" ht="15" x14ac:dyDescent="0.25">
      <c r="A725" s="1341"/>
      <c r="B725" s="1344">
        <v>51270</v>
      </c>
      <c r="C725" s="1344">
        <v>333904600000000</v>
      </c>
      <c r="D725" s="1344" t="s">
        <v>5940</v>
      </c>
      <c r="E725" s="1344">
        <v>1</v>
      </c>
      <c r="F725" s="643">
        <v>0</v>
      </c>
      <c r="G725" s="643">
        <v>0</v>
      </c>
      <c r="H725" s="643">
        <v>0</v>
      </c>
      <c r="I725" s="26">
        <f t="shared" si="68"/>
        <v>0</v>
      </c>
      <c r="J725" s="1340" t="e">
        <f t="shared" si="65"/>
        <v>#DIV/0!</v>
      </c>
      <c r="K725" s="1340">
        <f t="shared" si="66"/>
        <v>0</v>
      </c>
    </row>
    <row r="726" spans="1:11" ht="15" x14ac:dyDescent="0.25">
      <c r="A726" s="1341"/>
      <c r="B726" s="1344">
        <v>50770</v>
      </c>
      <c r="C726" s="1344">
        <v>333904700000000</v>
      </c>
      <c r="D726" s="1344" t="s">
        <v>7630</v>
      </c>
      <c r="E726" s="1344">
        <v>1</v>
      </c>
      <c r="F726" s="643">
        <v>0</v>
      </c>
      <c r="G726" s="643">
        <v>0</v>
      </c>
      <c r="H726" s="643">
        <v>0</v>
      </c>
      <c r="I726" s="26">
        <f t="shared" si="68"/>
        <v>0</v>
      </c>
      <c r="J726" s="1340" t="e">
        <f t="shared" si="65"/>
        <v>#DIV/0!</v>
      </c>
      <c r="K726" s="1340">
        <f t="shared" si="66"/>
        <v>0</v>
      </c>
    </row>
    <row r="727" spans="1:11" ht="15" x14ac:dyDescent="0.25">
      <c r="A727" s="1341"/>
      <c r="B727" s="1344">
        <v>51280</v>
      </c>
      <c r="C727" s="1344">
        <v>333904700000000</v>
      </c>
      <c r="D727" s="1344" t="s">
        <v>5941</v>
      </c>
      <c r="E727" s="1344">
        <v>1</v>
      </c>
      <c r="F727" s="643">
        <v>0</v>
      </c>
      <c r="G727" s="643">
        <v>0</v>
      </c>
      <c r="H727" s="643">
        <v>0</v>
      </c>
      <c r="I727" s="26">
        <f t="shared" si="68"/>
        <v>0</v>
      </c>
      <c r="J727" s="1340" t="e">
        <f t="shared" si="65"/>
        <v>#DIV/0!</v>
      </c>
      <c r="K727" s="1340">
        <f t="shared" si="66"/>
        <v>0</v>
      </c>
    </row>
    <row r="728" spans="1:11" ht="15" x14ac:dyDescent="0.25">
      <c r="A728" s="1341"/>
      <c r="B728" s="1344">
        <v>51290</v>
      </c>
      <c r="C728" s="1344">
        <v>333904900000000</v>
      </c>
      <c r="D728" s="1344" t="s">
        <v>5942</v>
      </c>
      <c r="E728" s="1344">
        <v>1</v>
      </c>
      <c r="F728" s="643">
        <v>505.05</v>
      </c>
      <c r="G728" s="643">
        <v>2231.87</v>
      </c>
      <c r="H728" s="643">
        <v>0</v>
      </c>
      <c r="I728" s="26">
        <f t="shared" si="68"/>
        <v>912.30666666666673</v>
      </c>
      <c r="J728" s="1340">
        <f t="shared" si="65"/>
        <v>4.4191070191070185</v>
      </c>
      <c r="K728" s="1340">
        <f t="shared" si="66"/>
        <v>1.4340834432506326E-2</v>
      </c>
    </row>
    <row r="729" spans="1:11" ht="15" x14ac:dyDescent="0.25">
      <c r="A729" s="1341"/>
      <c r="B729" s="1344">
        <v>51300</v>
      </c>
      <c r="C729" s="1344">
        <v>333909200000000</v>
      </c>
      <c r="D729" s="1344" t="s">
        <v>5943</v>
      </c>
      <c r="E729" s="1344">
        <v>1</v>
      </c>
      <c r="F729" s="643">
        <v>0</v>
      </c>
      <c r="G729" s="643">
        <v>0</v>
      </c>
      <c r="H729" s="643">
        <v>0</v>
      </c>
      <c r="I729" s="26">
        <f t="shared" si="68"/>
        <v>0</v>
      </c>
      <c r="J729" s="1340" t="e">
        <f t="shared" si="65"/>
        <v>#DIV/0!</v>
      </c>
      <c r="K729" s="1340">
        <f t="shared" si="66"/>
        <v>0</v>
      </c>
    </row>
    <row r="730" spans="1:11" ht="15" x14ac:dyDescent="0.25">
      <c r="A730" s="1341"/>
      <c r="B730" s="1344">
        <v>51310</v>
      </c>
      <c r="C730" s="1344">
        <v>333909300000000</v>
      </c>
      <c r="D730" s="1344" t="s">
        <v>5944</v>
      </c>
      <c r="E730" s="1344">
        <v>1</v>
      </c>
      <c r="F730" s="643">
        <v>0</v>
      </c>
      <c r="G730" s="643">
        <v>0</v>
      </c>
      <c r="H730" s="643">
        <v>0</v>
      </c>
      <c r="I730" s="26">
        <f t="shared" si="68"/>
        <v>0</v>
      </c>
      <c r="J730" s="1340" t="e">
        <f t="shared" ref="J730:J755" si="69">(G730/F730)+(H730/G730)/2</f>
        <v>#DIV/0!</v>
      </c>
      <c r="K730" s="1340">
        <f t="shared" ref="K730:K754" si="70">I730/I$755</f>
        <v>0</v>
      </c>
    </row>
    <row r="731" spans="1:11" ht="15" x14ac:dyDescent="0.25">
      <c r="A731" s="1341"/>
      <c r="B731" s="1344">
        <v>51320</v>
      </c>
      <c r="C731" s="1344">
        <v>333933000000000</v>
      </c>
      <c r="D731" s="1344" t="s">
        <v>5945</v>
      </c>
      <c r="E731" s="1344">
        <v>1</v>
      </c>
      <c r="F731" s="643">
        <v>0</v>
      </c>
      <c r="G731" s="643">
        <v>0</v>
      </c>
      <c r="H731" s="643">
        <v>0</v>
      </c>
      <c r="I731" s="26">
        <f t="shared" si="68"/>
        <v>0</v>
      </c>
      <c r="J731" s="1340" t="e">
        <f t="shared" si="69"/>
        <v>#DIV/0!</v>
      </c>
      <c r="K731" s="1340">
        <f t="shared" si="70"/>
        <v>0</v>
      </c>
    </row>
    <row r="732" spans="1:11" ht="15" x14ac:dyDescent="0.25">
      <c r="A732" s="1341"/>
      <c r="B732" s="1344">
        <v>51350</v>
      </c>
      <c r="C732" s="1344">
        <v>344905100000000</v>
      </c>
      <c r="D732" s="1344" t="s">
        <v>5946</v>
      </c>
      <c r="E732" s="1344">
        <v>1</v>
      </c>
      <c r="F732" s="643">
        <v>0</v>
      </c>
      <c r="G732" s="643">
        <v>0</v>
      </c>
      <c r="H732" s="643">
        <v>0</v>
      </c>
      <c r="I732" s="26">
        <f t="shared" si="68"/>
        <v>0</v>
      </c>
      <c r="J732" s="1340" t="e">
        <f t="shared" si="69"/>
        <v>#DIV/0!</v>
      </c>
      <c r="K732" s="1340">
        <f t="shared" si="70"/>
        <v>0</v>
      </c>
    </row>
    <row r="733" spans="1:11" ht="15" x14ac:dyDescent="0.25">
      <c r="A733" s="1341"/>
      <c r="B733" s="1344">
        <v>51370</v>
      </c>
      <c r="C733" s="1344">
        <v>344905200000000</v>
      </c>
      <c r="D733" s="1344" t="s">
        <v>5947</v>
      </c>
      <c r="E733" s="1344">
        <v>1</v>
      </c>
      <c r="F733" s="643">
        <v>0</v>
      </c>
      <c r="G733" s="643">
        <v>0</v>
      </c>
      <c r="H733" s="643">
        <v>0</v>
      </c>
      <c r="I733" s="26">
        <f t="shared" si="68"/>
        <v>0</v>
      </c>
      <c r="J733" s="1340" t="e">
        <f t="shared" si="69"/>
        <v>#DIV/0!</v>
      </c>
      <c r="K733" s="1340">
        <f t="shared" si="70"/>
        <v>0</v>
      </c>
    </row>
    <row r="734" spans="1:11" s="12" customFormat="1" ht="15" x14ac:dyDescent="0.25">
      <c r="A734" s="1081"/>
      <c r="B734" s="1345" t="s">
        <v>2965</v>
      </c>
      <c r="C734" s="1345">
        <v>34</v>
      </c>
      <c r="D734" s="1345" t="s">
        <v>4574</v>
      </c>
      <c r="E734" s="1345"/>
      <c r="F734" s="642">
        <f>SUM(F735:F754)</f>
        <v>10892.9</v>
      </c>
      <c r="G734" s="642">
        <f>SUM(G735:G754)</f>
        <v>4481.3</v>
      </c>
      <c r="H734" s="642">
        <f>SUM(H735:H754)</f>
        <v>0</v>
      </c>
      <c r="I734" s="25">
        <f t="shared" si="68"/>
        <v>5124.7333333333336</v>
      </c>
      <c r="J734" s="1338">
        <f t="shared" si="69"/>
        <v>0.41139641417804262</v>
      </c>
      <c r="K734" s="1338">
        <f t="shared" si="70"/>
        <v>8.0557289483155797E-2</v>
      </c>
    </row>
    <row r="735" spans="1:11" ht="15" x14ac:dyDescent="0.25">
      <c r="A735" s="1341"/>
      <c r="B735" s="1344">
        <v>52000</v>
      </c>
      <c r="C735" s="1344">
        <v>333903000000000</v>
      </c>
      <c r="D735" s="1344" t="s">
        <v>5953</v>
      </c>
      <c r="E735" s="1344">
        <v>1</v>
      </c>
      <c r="F735" s="643">
        <v>0</v>
      </c>
      <c r="G735" s="643">
        <v>680</v>
      </c>
      <c r="H735" s="643">
        <v>0</v>
      </c>
      <c r="I735" s="26">
        <f t="shared" si="68"/>
        <v>226.66666666666666</v>
      </c>
      <c r="J735" s="1340" t="e">
        <f t="shared" si="69"/>
        <v>#DIV/0!</v>
      </c>
      <c r="K735" s="1340">
        <f t="shared" si="70"/>
        <v>3.563044376198172E-3</v>
      </c>
    </row>
    <row r="736" spans="1:11" ht="15" x14ac:dyDescent="0.25">
      <c r="A736" s="1341"/>
      <c r="B736" s="1344">
        <v>52500</v>
      </c>
      <c r="C736" s="1344">
        <v>333903000000000</v>
      </c>
      <c r="D736" s="1344" t="s">
        <v>5960</v>
      </c>
      <c r="E736" s="1344">
        <v>1</v>
      </c>
      <c r="F736" s="643">
        <v>0</v>
      </c>
      <c r="G736" s="643">
        <v>0</v>
      </c>
      <c r="H736" s="643">
        <v>0</v>
      </c>
      <c r="I736" s="26">
        <f t="shared" si="68"/>
        <v>0</v>
      </c>
      <c r="J736" s="1340" t="e">
        <f t="shared" si="69"/>
        <v>#DIV/0!</v>
      </c>
      <c r="K736" s="1340">
        <f t="shared" si="70"/>
        <v>0</v>
      </c>
    </row>
    <row r="737" spans="1:11" ht="15" x14ac:dyDescent="0.25">
      <c r="A737" s="1341"/>
      <c r="B737" s="1344">
        <v>52050</v>
      </c>
      <c r="C737" s="1344">
        <v>333903600000000</v>
      </c>
      <c r="D737" s="1344" t="s">
        <v>5952</v>
      </c>
      <c r="E737" s="1344">
        <v>1</v>
      </c>
      <c r="F737" s="643">
        <v>0</v>
      </c>
      <c r="G737" s="643">
        <v>0</v>
      </c>
      <c r="H737" s="643">
        <v>0</v>
      </c>
      <c r="I737" s="26">
        <f t="shared" si="68"/>
        <v>0</v>
      </c>
      <c r="J737" s="1340" t="e">
        <f t="shared" si="69"/>
        <v>#DIV/0!</v>
      </c>
      <c r="K737" s="1340">
        <f t="shared" si="70"/>
        <v>0</v>
      </c>
    </row>
    <row r="738" spans="1:11" ht="15" x14ac:dyDescent="0.25">
      <c r="A738" s="1341"/>
      <c r="B738" s="1344">
        <v>52520</v>
      </c>
      <c r="C738" s="1344">
        <v>333903600000000</v>
      </c>
      <c r="D738" s="1344" t="s">
        <v>5955</v>
      </c>
      <c r="E738" s="1344">
        <v>1</v>
      </c>
      <c r="F738" s="643">
        <v>0</v>
      </c>
      <c r="G738" s="643">
        <v>0</v>
      </c>
      <c r="H738" s="643">
        <v>0</v>
      </c>
      <c r="I738" s="26">
        <f t="shared" si="68"/>
        <v>0</v>
      </c>
      <c r="J738" s="1340" t="e">
        <f t="shared" si="69"/>
        <v>#DIV/0!</v>
      </c>
      <c r="K738" s="1340">
        <f t="shared" si="70"/>
        <v>0</v>
      </c>
    </row>
    <row r="739" spans="1:11" ht="15" x14ac:dyDescent="0.25">
      <c r="A739" s="1341"/>
      <c r="B739" s="1344">
        <v>52100</v>
      </c>
      <c r="C739" s="1344">
        <v>333903900000000</v>
      </c>
      <c r="D739" s="1344" t="s">
        <v>5951</v>
      </c>
      <c r="E739" s="1344">
        <v>1</v>
      </c>
      <c r="F739" s="643">
        <v>10892.9</v>
      </c>
      <c r="G739" s="643">
        <v>227.3</v>
      </c>
      <c r="H739" s="643">
        <v>0</v>
      </c>
      <c r="I739" s="26">
        <f t="shared" si="68"/>
        <v>3706.7333333333331</v>
      </c>
      <c r="J739" s="1340">
        <f t="shared" si="69"/>
        <v>2.0866803147004013E-2</v>
      </c>
      <c r="K739" s="1340">
        <f t="shared" si="70"/>
        <v>5.8267303047351345E-2</v>
      </c>
    </row>
    <row r="740" spans="1:11" ht="15" x14ac:dyDescent="0.25">
      <c r="A740" s="1341"/>
      <c r="B740" s="1344">
        <v>52540</v>
      </c>
      <c r="C740" s="1344">
        <v>333903900000000</v>
      </c>
      <c r="D740" s="1344" t="s">
        <v>5956</v>
      </c>
      <c r="E740" s="1344">
        <v>1</v>
      </c>
      <c r="F740" s="643">
        <v>0</v>
      </c>
      <c r="G740" s="643">
        <v>0</v>
      </c>
      <c r="H740" s="643">
        <v>0</v>
      </c>
      <c r="I740" s="26">
        <f t="shared" si="68"/>
        <v>0</v>
      </c>
      <c r="J740" s="1340" t="e">
        <f t="shared" si="69"/>
        <v>#DIV/0!</v>
      </c>
      <c r="K740" s="1340">
        <f t="shared" si="70"/>
        <v>0</v>
      </c>
    </row>
    <row r="741" spans="1:11" ht="15" x14ac:dyDescent="0.25">
      <c r="A741" s="1341"/>
      <c r="B741" s="1344">
        <v>51380</v>
      </c>
      <c r="C741" s="1344">
        <v>333904000000000</v>
      </c>
      <c r="D741" s="1344" t="s">
        <v>7629</v>
      </c>
      <c r="E741" s="1344">
        <v>1</v>
      </c>
      <c r="F741" s="643">
        <v>0</v>
      </c>
      <c r="G741" s="643">
        <v>0</v>
      </c>
      <c r="H741" s="643">
        <v>0</v>
      </c>
      <c r="I741" s="26">
        <f t="shared" si="68"/>
        <v>0</v>
      </c>
      <c r="J741" s="1340" t="e">
        <f t="shared" si="69"/>
        <v>#DIV/0!</v>
      </c>
      <c r="K741" s="1340">
        <f t="shared" si="70"/>
        <v>0</v>
      </c>
    </row>
    <row r="742" spans="1:11" ht="15" x14ac:dyDescent="0.25">
      <c r="A742" s="1341"/>
      <c r="B742" s="1344">
        <v>52190</v>
      </c>
      <c r="C742" s="1344">
        <v>333904700000000</v>
      </c>
      <c r="D742" s="1344" t="s">
        <v>4745</v>
      </c>
      <c r="E742" s="1344">
        <v>1038</v>
      </c>
      <c r="F742" s="643">
        <v>0</v>
      </c>
      <c r="G742" s="643">
        <v>0</v>
      </c>
      <c r="H742" s="643">
        <v>0</v>
      </c>
      <c r="I742" s="26">
        <f t="shared" si="68"/>
        <v>0</v>
      </c>
      <c r="J742" s="1340" t="e">
        <f t="shared" si="69"/>
        <v>#DIV/0!</v>
      </c>
      <c r="K742" s="1340">
        <f t="shared" si="70"/>
        <v>0</v>
      </c>
    </row>
    <row r="743" spans="1:11" ht="15" x14ac:dyDescent="0.25">
      <c r="A743" s="1341"/>
      <c r="B743" s="1344">
        <v>52130</v>
      </c>
      <c r="C743" s="1344">
        <v>333909200000000</v>
      </c>
      <c r="D743" s="1344" t="s">
        <v>5950</v>
      </c>
      <c r="E743" s="1344">
        <v>1</v>
      </c>
      <c r="F743" s="643">
        <v>0</v>
      </c>
      <c r="G743" s="643">
        <v>0</v>
      </c>
      <c r="H743" s="643">
        <v>0</v>
      </c>
      <c r="I743" s="26">
        <f t="shared" si="68"/>
        <v>0</v>
      </c>
      <c r="J743" s="1340" t="e">
        <f t="shared" si="69"/>
        <v>#DIV/0!</v>
      </c>
      <c r="K743" s="1340">
        <f t="shared" si="70"/>
        <v>0</v>
      </c>
    </row>
    <row r="744" spans="1:11" ht="15" x14ac:dyDescent="0.25">
      <c r="A744" s="1341"/>
      <c r="B744" s="1344">
        <v>52560</v>
      </c>
      <c r="C744" s="1344">
        <v>333909200000000</v>
      </c>
      <c r="D744" s="1344" t="s">
        <v>5957</v>
      </c>
      <c r="E744" s="1344">
        <v>1</v>
      </c>
      <c r="F744" s="643">
        <v>0</v>
      </c>
      <c r="G744" s="643">
        <v>0</v>
      </c>
      <c r="H744" s="643">
        <v>0</v>
      </c>
      <c r="I744" s="26">
        <f t="shared" si="68"/>
        <v>0</v>
      </c>
      <c r="J744" s="1340" t="e">
        <f t="shared" si="69"/>
        <v>#DIV/0!</v>
      </c>
      <c r="K744" s="1340">
        <f t="shared" si="70"/>
        <v>0</v>
      </c>
    </row>
    <row r="745" spans="1:11" ht="15" x14ac:dyDescent="0.25">
      <c r="A745" s="1341"/>
      <c r="B745" s="1344">
        <v>52180</v>
      </c>
      <c r="C745" s="1344">
        <v>344309300000000</v>
      </c>
      <c r="D745" s="1344" t="s">
        <v>4752</v>
      </c>
      <c r="E745" s="1344">
        <v>1038</v>
      </c>
      <c r="F745" s="643">
        <v>0</v>
      </c>
      <c r="G745" s="643">
        <v>0</v>
      </c>
      <c r="H745" s="643">
        <v>0</v>
      </c>
      <c r="I745" s="26">
        <f t="shared" si="68"/>
        <v>0</v>
      </c>
      <c r="J745" s="1340" t="e">
        <f t="shared" si="69"/>
        <v>#DIV/0!</v>
      </c>
      <c r="K745" s="1340">
        <f t="shared" si="70"/>
        <v>0</v>
      </c>
    </row>
    <row r="746" spans="1:11" ht="15" x14ac:dyDescent="0.25">
      <c r="A746" s="1341"/>
      <c r="B746" s="1344">
        <v>52200</v>
      </c>
      <c r="C746" s="1344">
        <v>344903000000000</v>
      </c>
      <c r="D746" s="1344" t="s">
        <v>7628</v>
      </c>
      <c r="E746" s="1344">
        <v>1038</v>
      </c>
      <c r="F746" s="643">
        <v>0</v>
      </c>
      <c r="G746" s="643">
        <v>0</v>
      </c>
      <c r="H746" s="643">
        <v>0</v>
      </c>
      <c r="I746" s="26">
        <f t="shared" si="68"/>
        <v>0</v>
      </c>
      <c r="J746" s="1340" t="e">
        <f t="shared" si="69"/>
        <v>#DIV/0!</v>
      </c>
      <c r="K746" s="1340">
        <f t="shared" si="70"/>
        <v>0</v>
      </c>
    </row>
    <row r="747" spans="1:11" ht="15" x14ac:dyDescent="0.25">
      <c r="A747" s="1341"/>
      <c r="B747" s="1344">
        <v>52250</v>
      </c>
      <c r="C747" s="1344">
        <v>344903600000000</v>
      </c>
      <c r="D747" s="1344" t="s">
        <v>7627</v>
      </c>
      <c r="E747" s="1344">
        <v>1038</v>
      </c>
      <c r="F747" s="643">
        <v>0</v>
      </c>
      <c r="G747" s="643">
        <v>0</v>
      </c>
      <c r="H747" s="643">
        <v>0</v>
      </c>
      <c r="I747" s="26">
        <f t="shared" si="68"/>
        <v>0</v>
      </c>
      <c r="J747" s="1340" t="e">
        <f t="shared" si="69"/>
        <v>#DIV/0!</v>
      </c>
      <c r="K747" s="1340">
        <f t="shared" si="70"/>
        <v>0</v>
      </c>
    </row>
    <row r="748" spans="1:11" ht="15" x14ac:dyDescent="0.25">
      <c r="A748" s="1341"/>
      <c r="B748" s="1344">
        <v>52300</v>
      </c>
      <c r="C748" s="1344">
        <v>344903900000000</v>
      </c>
      <c r="D748" s="1344" t="s">
        <v>7626</v>
      </c>
      <c r="E748" s="1344">
        <v>1038</v>
      </c>
      <c r="F748" s="643">
        <v>0</v>
      </c>
      <c r="G748" s="643">
        <v>0</v>
      </c>
      <c r="H748" s="643">
        <v>0</v>
      </c>
      <c r="I748" s="26">
        <f t="shared" si="68"/>
        <v>0</v>
      </c>
      <c r="J748" s="1340" t="e">
        <f t="shared" si="69"/>
        <v>#DIV/0!</v>
      </c>
      <c r="K748" s="1340">
        <f t="shared" si="70"/>
        <v>0</v>
      </c>
    </row>
    <row r="749" spans="1:11" ht="15" x14ac:dyDescent="0.25">
      <c r="A749" s="1341"/>
      <c r="B749" s="1344">
        <v>52140</v>
      </c>
      <c r="C749" s="1344">
        <v>344905100000000</v>
      </c>
      <c r="D749" s="1344" t="s">
        <v>5949</v>
      </c>
      <c r="E749" s="1344">
        <v>1</v>
      </c>
      <c r="F749" s="643">
        <v>0</v>
      </c>
      <c r="G749" s="643">
        <v>3574</v>
      </c>
      <c r="H749" s="643">
        <v>0</v>
      </c>
      <c r="I749" s="26">
        <f t="shared" si="68"/>
        <v>1191.3333333333333</v>
      </c>
      <c r="J749" s="1340" t="e">
        <f t="shared" si="69"/>
        <v>#DIV/0!</v>
      </c>
      <c r="K749" s="1340">
        <f t="shared" si="70"/>
        <v>1.8726942059606275E-2</v>
      </c>
    </row>
    <row r="750" spans="1:11" ht="15" x14ac:dyDescent="0.25">
      <c r="A750" s="1341"/>
      <c r="B750" s="1344">
        <v>52400</v>
      </c>
      <c r="C750" s="1344">
        <v>344905100000000</v>
      </c>
      <c r="D750" s="1344" t="s">
        <v>7625</v>
      </c>
      <c r="E750" s="1344">
        <v>1038</v>
      </c>
      <c r="F750" s="643">
        <v>0</v>
      </c>
      <c r="G750" s="643">
        <v>0</v>
      </c>
      <c r="H750" s="643">
        <v>0</v>
      </c>
      <c r="I750" s="26">
        <f t="shared" si="68"/>
        <v>0</v>
      </c>
      <c r="J750" s="1340" t="e">
        <f t="shared" si="69"/>
        <v>#DIV/0!</v>
      </c>
      <c r="K750" s="1340">
        <f t="shared" si="70"/>
        <v>0</v>
      </c>
    </row>
    <row r="751" spans="1:11" ht="15" x14ac:dyDescent="0.25">
      <c r="A751" s="1341"/>
      <c r="B751" s="1344">
        <v>52450</v>
      </c>
      <c r="C751" s="1344">
        <v>344905100000000</v>
      </c>
      <c r="D751" s="1344" t="s">
        <v>7624</v>
      </c>
      <c r="E751" s="1344">
        <v>1</v>
      </c>
      <c r="F751" s="643">
        <v>0</v>
      </c>
      <c r="G751" s="643">
        <v>0</v>
      </c>
      <c r="H751" s="643">
        <v>0</v>
      </c>
      <c r="I751" s="26">
        <f t="shared" si="68"/>
        <v>0</v>
      </c>
      <c r="J751" s="1340" t="e">
        <f t="shared" si="69"/>
        <v>#DIV/0!</v>
      </c>
      <c r="K751" s="1340">
        <f t="shared" si="70"/>
        <v>0</v>
      </c>
    </row>
    <row r="752" spans="1:11" ht="15" x14ac:dyDescent="0.25">
      <c r="A752" s="1341"/>
      <c r="B752" s="1344">
        <v>52580</v>
      </c>
      <c r="C752" s="1344">
        <v>344905100000000</v>
      </c>
      <c r="D752" s="1344" t="s">
        <v>5958</v>
      </c>
      <c r="E752" s="1344">
        <v>1</v>
      </c>
      <c r="F752" s="643">
        <v>0</v>
      </c>
      <c r="G752" s="643">
        <v>0</v>
      </c>
      <c r="H752" s="643">
        <v>0</v>
      </c>
      <c r="I752" s="26">
        <f t="shared" si="68"/>
        <v>0</v>
      </c>
      <c r="J752" s="1340" t="e">
        <f t="shared" si="69"/>
        <v>#DIV/0!</v>
      </c>
      <c r="K752" s="1340">
        <f t="shared" si="70"/>
        <v>0</v>
      </c>
    </row>
    <row r="753" spans="1:11" ht="15" x14ac:dyDescent="0.25">
      <c r="A753" s="1341"/>
      <c r="B753" s="1344">
        <v>52160</v>
      </c>
      <c r="C753" s="1344">
        <v>344905200000000</v>
      </c>
      <c r="D753" s="1344" t="s">
        <v>7623</v>
      </c>
      <c r="E753" s="1344">
        <v>1</v>
      </c>
      <c r="F753" s="643">
        <v>0</v>
      </c>
      <c r="G753" s="643">
        <v>0</v>
      </c>
      <c r="H753" s="643">
        <v>0</v>
      </c>
      <c r="I753" s="26">
        <f t="shared" si="68"/>
        <v>0</v>
      </c>
      <c r="J753" s="1340" t="e">
        <f t="shared" si="69"/>
        <v>#DIV/0!</v>
      </c>
      <c r="K753" s="1340">
        <f t="shared" si="70"/>
        <v>0</v>
      </c>
    </row>
    <row r="754" spans="1:11" ht="30" x14ac:dyDescent="0.25">
      <c r="A754" s="1341"/>
      <c r="B754" s="1344">
        <v>52600</v>
      </c>
      <c r="C754" s="1344">
        <v>344905200000000</v>
      </c>
      <c r="D754" s="1344" t="s">
        <v>5959</v>
      </c>
      <c r="E754" s="1344">
        <v>1</v>
      </c>
      <c r="F754" s="643">
        <v>0</v>
      </c>
      <c r="G754" s="643">
        <v>0</v>
      </c>
      <c r="H754" s="643">
        <v>0</v>
      </c>
      <c r="I754" s="26">
        <f t="shared" si="68"/>
        <v>0</v>
      </c>
      <c r="J754" s="1340" t="e">
        <f t="shared" si="69"/>
        <v>#DIV/0!</v>
      </c>
      <c r="K754" s="1340">
        <f t="shared" si="70"/>
        <v>0</v>
      </c>
    </row>
    <row r="755" spans="1:11" ht="15" x14ac:dyDescent="0.25">
      <c r="A755" s="1341"/>
      <c r="B755" s="1598" t="s">
        <v>1575</v>
      </c>
      <c r="C755" s="1598"/>
      <c r="D755" s="1598"/>
      <c r="E755" s="1598"/>
      <c r="F755" s="25">
        <f>F698+F706+F734</f>
        <v>83689.820000000007</v>
      </c>
      <c r="G755" s="25">
        <f>G698+G706+G734</f>
        <v>119256.13999999998</v>
      </c>
      <c r="H755" s="25">
        <f>H698+H706+H734</f>
        <v>0</v>
      </c>
      <c r="I755" s="25">
        <f>I698+I706+I734</f>
        <v>63616.009999999995</v>
      </c>
      <c r="J755" s="1337">
        <f t="shared" si="69"/>
        <v>1.4249778527424239</v>
      </c>
      <c r="K755" s="1338">
        <f>I755/I$622</f>
        <v>0.81868513134916487</v>
      </c>
    </row>
    <row r="758" spans="1:11" ht="15" x14ac:dyDescent="0.25">
      <c r="B758" s="616" t="s">
        <v>4604</v>
      </c>
      <c r="F758" s="643"/>
    </row>
    <row r="759" spans="1:11" ht="45" customHeight="1" x14ac:dyDescent="0.25">
      <c r="B759" s="1343" t="s">
        <v>2967</v>
      </c>
      <c r="C759" s="1343" t="s">
        <v>472</v>
      </c>
      <c r="D759" s="1343" t="s">
        <v>2968</v>
      </c>
      <c r="E759" s="1343" t="s">
        <v>1403</v>
      </c>
      <c r="F759" s="1081">
        <v>2017</v>
      </c>
      <c r="G759" s="1081">
        <f>F759+1</f>
        <v>2018</v>
      </c>
      <c r="H759" s="1081">
        <f>G759+1</f>
        <v>2019</v>
      </c>
      <c r="I759" s="1082" t="s">
        <v>7336</v>
      </c>
      <c r="J759" s="1342" t="s">
        <v>7335</v>
      </c>
      <c r="K759" s="1342" t="s">
        <v>7334</v>
      </c>
    </row>
    <row r="760" spans="1:11" s="12" customFormat="1" ht="15" x14ac:dyDescent="0.25">
      <c r="A760" s="1081"/>
      <c r="B760" s="570" t="s">
        <v>2965</v>
      </c>
      <c r="C760" s="1345">
        <v>35</v>
      </c>
      <c r="D760" s="570" t="s">
        <v>4600</v>
      </c>
      <c r="E760" s="570"/>
      <c r="F760" s="642">
        <f>SUM(F761:F767)</f>
        <v>0</v>
      </c>
      <c r="G760" s="642">
        <f>SUM(G761:G767)</f>
        <v>0</v>
      </c>
      <c r="H760" s="642">
        <f>SUM(H761:H767)</f>
        <v>0</v>
      </c>
      <c r="I760" s="642">
        <f>SUM(I761:I767)</f>
        <v>0</v>
      </c>
      <c r="J760" s="1351" t="e">
        <f t="shared" ref="J760:J768" si="71">(G760/F760)+(H760/G760)/2</f>
        <v>#DIV/0!</v>
      </c>
      <c r="K760" s="1338" t="e">
        <f t="shared" ref="K760:K768" si="72">I760/I$768</f>
        <v>#DIV/0!</v>
      </c>
    </row>
    <row r="761" spans="1:11" ht="15" x14ac:dyDescent="0.25">
      <c r="A761" s="1341"/>
      <c r="B761" s="624">
        <v>55000</v>
      </c>
      <c r="C761" s="1344">
        <v>333903000000000</v>
      </c>
      <c r="D761" s="624" t="s">
        <v>4131</v>
      </c>
      <c r="E761" s="624">
        <v>1</v>
      </c>
      <c r="F761" s="643">
        <v>0</v>
      </c>
      <c r="G761" s="643">
        <v>0</v>
      </c>
      <c r="H761" s="26">
        <v>0</v>
      </c>
      <c r="I761" s="26">
        <f t="shared" ref="I761:I768" si="73">(F761+G761+H761)/3</f>
        <v>0</v>
      </c>
      <c r="J761" s="1340" t="e">
        <f t="shared" si="71"/>
        <v>#DIV/0!</v>
      </c>
      <c r="K761" s="1340" t="e">
        <f t="shared" si="72"/>
        <v>#DIV/0!</v>
      </c>
    </row>
    <row r="762" spans="1:11" ht="15" x14ac:dyDescent="0.25">
      <c r="A762" s="1341"/>
      <c r="B762" s="624">
        <v>55030</v>
      </c>
      <c r="C762" s="1344">
        <v>333903600000000</v>
      </c>
      <c r="D762" s="624" t="s">
        <v>4161</v>
      </c>
      <c r="E762" s="624">
        <v>1</v>
      </c>
      <c r="F762" s="643">
        <v>0</v>
      </c>
      <c r="G762" s="643">
        <v>0</v>
      </c>
      <c r="H762" s="26">
        <v>0</v>
      </c>
      <c r="I762" s="26">
        <f t="shared" si="73"/>
        <v>0</v>
      </c>
      <c r="J762" s="1340" t="e">
        <f t="shared" si="71"/>
        <v>#DIV/0!</v>
      </c>
      <c r="K762" s="1340" t="e">
        <f t="shared" si="72"/>
        <v>#DIV/0!</v>
      </c>
    </row>
    <row r="763" spans="1:11" ht="15" x14ac:dyDescent="0.25">
      <c r="A763" s="1341"/>
      <c r="B763" s="624">
        <v>55060</v>
      </c>
      <c r="C763" s="1344">
        <v>333903900000000</v>
      </c>
      <c r="D763" s="624" t="s">
        <v>4165</v>
      </c>
      <c r="E763" s="624">
        <v>1</v>
      </c>
      <c r="F763" s="643">
        <v>0</v>
      </c>
      <c r="G763" s="643">
        <v>0</v>
      </c>
      <c r="H763" s="26">
        <v>0</v>
      </c>
      <c r="I763" s="26">
        <f t="shared" si="73"/>
        <v>0</v>
      </c>
      <c r="J763" s="1340" t="e">
        <f t="shared" si="71"/>
        <v>#DIV/0!</v>
      </c>
      <c r="K763" s="1340" t="e">
        <f t="shared" si="72"/>
        <v>#DIV/0!</v>
      </c>
    </row>
    <row r="764" spans="1:11" ht="15" x14ac:dyDescent="0.25">
      <c r="A764" s="1341"/>
      <c r="B764" s="624">
        <v>55100</v>
      </c>
      <c r="C764" s="1344">
        <v>333904700000000</v>
      </c>
      <c r="D764" s="624" t="s">
        <v>4601</v>
      </c>
      <c r="E764" s="624">
        <v>1</v>
      </c>
      <c r="F764" s="643">
        <v>0</v>
      </c>
      <c r="G764" s="643">
        <v>0</v>
      </c>
      <c r="H764" s="26">
        <v>0</v>
      </c>
      <c r="I764" s="26">
        <f t="shared" si="73"/>
        <v>0</v>
      </c>
      <c r="J764" s="1340" t="e">
        <f t="shared" si="71"/>
        <v>#DIV/0!</v>
      </c>
      <c r="K764" s="1340" t="e">
        <f t="shared" si="72"/>
        <v>#DIV/0!</v>
      </c>
    </row>
    <row r="765" spans="1:11" ht="15" x14ac:dyDescent="0.25">
      <c r="A765" s="1341"/>
      <c r="B765" s="624">
        <v>55120</v>
      </c>
      <c r="C765" s="1344">
        <v>344209300000000</v>
      </c>
      <c r="D765" s="624" t="s">
        <v>4602</v>
      </c>
      <c r="E765" s="624">
        <v>1053</v>
      </c>
      <c r="F765" s="643">
        <v>0</v>
      </c>
      <c r="G765" s="643">
        <v>0</v>
      </c>
      <c r="H765" s="26">
        <v>0</v>
      </c>
      <c r="I765" s="26">
        <f t="shared" si="73"/>
        <v>0</v>
      </c>
      <c r="J765" s="1340" t="e">
        <f t="shared" si="71"/>
        <v>#DIV/0!</v>
      </c>
      <c r="K765" s="1340" t="e">
        <f t="shared" si="72"/>
        <v>#DIV/0!</v>
      </c>
    </row>
    <row r="766" spans="1:11" ht="15" x14ac:dyDescent="0.25">
      <c r="A766" s="1341"/>
      <c r="B766" s="624">
        <v>55130</v>
      </c>
      <c r="C766" s="1344">
        <v>344905100000000</v>
      </c>
      <c r="D766" s="624" t="s">
        <v>4494</v>
      </c>
      <c r="E766" s="624">
        <v>1</v>
      </c>
      <c r="F766" s="643">
        <v>0</v>
      </c>
      <c r="G766" s="643">
        <v>0</v>
      </c>
      <c r="H766" s="26">
        <v>0</v>
      </c>
      <c r="I766" s="26">
        <f t="shared" si="73"/>
        <v>0</v>
      </c>
      <c r="J766" s="1340" t="e">
        <f t="shared" si="71"/>
        <v>#DIV/0!</v>
      </c>
      <c r="K766" s="1340" t="e">
        <f t="shared" si="72"/>
        <v>#DIV/0!</v>
      </c>
    </row>
    <row r="767" spans="1:11" ht="15" x14ac:dyDescent="0.25">
      <c r="A767" s="1341"/>
      <c r="B767" s="624">
        <v>55150</v>
      </c>
      <c r="C767" s="1344">
        <v>344905200000000</v>
      </c>
      <c r="D767" s="624" t="s">
        <v>3152</v>
      </c>
      <c r="E767" s="624">
        <v>1</v>
      </c>
      <c r="F767" s="643">
        <v>0</v>
      </c>
      <c r="G767" s="643">
        <v>0</v>
      </c>
      <c r="H767" s="26">
        <v>0</v>
      </c>
      <c r="I767" s="26">
        <f t="shared" si="73"/>
        <v>0</v>
      </c>
      <c r="J767" s="1340" t="e">
        <f t="shared" si="71"/>
        <v>#DIV/0!</v>
      </c>
      <c r="K767" s="1340" t="e">
        <f t="shared" si="72"/>
        <v>#DIV/0!</v>
      </c>
    </row>
    <row r="768" spans="1:11" ht="15" x14ac:dyDescent="0.25">
      <c r="B768" s="1598" t="s">
        <v>1575</v>
      </c>
      <c r="C768" s="1598"/>
      <c r="D768" s="1598"/>
      <c r="E768" s="1598"/>
      <c r="F768" s="15">
        <f>F760</f>
        <v>0</v>
      </c>
      <c r="G768" s="15">
        <f>G760</f>
        <v>0</v>
      </c>
      <c r="H768" s="15">
        <f>H760</f>
        <v>0</v>
      </c>
      <c r="I768" s="26">
        <f t="shared" si="73"/>
        <v>0</v>
      </c>
      <c r="J768" s="1338" t="e">
        <f t="shared" si="71"/>
        <v>#DIV/0!</v>
      </c>
      <c r="K768" s="1338" t="e">
        <f t="shared" si="72"/>
        <v>#DIV/0!</v>
      </c>
    </row>
    <row r="770" spans="1:11" ht="15" x14ac:dyDescent="0.25">
      <c r="B770" s="616" t="s">
        <v>2597</v>
      </c>
      <c r="F770" s="643"/>
    </row>
    <row r="771" spans="1:11" ht="45" customHeight="1" x14ac:dyDescent="0.25">
      <c r="B771" s="1343" t="s">
        <v>2967</v>
      </c>
      <c r="C771" s="1343" t="s">
        <v>472</v>
      </c>
      <c r="D771" s="1343" t="s">
        <v>2968</v>
      </c>
      <c r="E771" s="1343" t="s">
        <v>1403</v>
      </c>
      <c r="F771" s="1081">
        <v>2017</v>
      </c>
      <c r="G771" s="1081">
        <f>F771+1</f>
        <v>2018</v>
      </c>
      <c r="H771" s="1081">
        <f>G771+1</f>
        <v>2019</v>
      </c>
      <c r="I771" s="1082" t="s">
        <v>7336</v>
      </c>
      <c r="J771" s="1342" t="s">
        <v>7335</v>
      </c>
      <c r="K771" s="1342" t="s">
        <v>7334</v>
      </c>
    </row>
    <row r="772" spans="1:11" ht="15" x14ac:dyDescent="0.25">
      <c r="A772" s="1341"/>
      <c r="B772" s="624" t="s">
        <v>2965</v>
      </c>
      <c r="C772" s="1344">
        <v>2</v>
      </c>
      <c r="D772" s="624" t="s">
        <v>2966</v>
      </c>
      <c r="E772" s="624"/>
      <c r="F772" s="642">
        <f>SUM(F773:F779)</f>
        <v>0</v>
      </c>
      <c r="G772" s="642">
        <f>SUM(G773:G779)</f>
        <v>0</v>
      </c>
      <c r="H772" s="642">
        <f>SUM(H773:H779)</f>
        <v>0</v>
      </c>
      <c r="I772" s="642">
        <f>SUM(I773:I779)</f>
        <v>0</v>
      </c>
      <c r="J772" s="1338" t="e">
        <f t="shared" ref="J772:J780" si="74">(G772/F772)+(H772/G772)/2</f>
        <v>#DIV/0!</v>
      </c>
      <c r="K772" s="1338" t="e">
        <f t="shared" ref="K772:K780" si="75">I772/I$780</f>
        <v>#DIV/0!</v>
      </c>
    </row>
    <row r="773" spans="1:11" ht="15" x14ac:dyDescent="0.25">
      <c r="A773" s="1341"/>
      <c r="B773" s="624">
        <v>55200</v>
      </c>
      <c r="C773" s="1344">
        <v>333901400000000</v>
      </c>
      <c r="D773" s="624" t="s">
        <v>5961</v>
      </c>
      <c r="E773" s="624">
        <v>1</v>
      </c>
      <c r="F773" s="643">
        <v>0</v>
      </c>
      <c r="G773" s="643">
        <v>0</v>
      </c>
      <c r="H773" s="26">
        <v>0</v>
      </c>
      <c r="I773" s="26">
        <f t="shared" ref="I773:I780" si="76">(F773+G773+H773)/3</f>
        <v>0</v>
      </c>
      <c r="J773" s="1340" t="e">
        <f t="shared" si="74"/>
        <v>#DIV/0!</v>
      </c>
      <c r="K773" s="1340" t="e">
        <f t="shared" si="75"/>
        <v>#DIV/0!</v>
      </c>
    </row>
    <row r="774" spans="1:11" ht="15" x14ac:dyDescent="0.25">
      <c r="A774" s="1341"/>
      <c r="B774" s="624">
        <v>55220</v>
      </c>
      <c r="C774" s="1344">
        <v>333903000000000</v>
      </c>
      <c r="D774" s="624" t="s">
        <v>5962</v>
      </c>
      <c r="E774" s="624">
        <v>1</v>
      </c>
      <c r="F774" s="643">
        <v>0</v>
      </c>
      <c r="G774" s="643">
        <v>0</v>
      </c>
      <c r="H774" s="26">
        <v>0</v>
      </c>
      <c r="I774" s="26">
        <f t="shared" si="76"/>
        <v>0</v>
      </c>
      <c r="J774" s="1340" t="e">
        <f t="shared" si="74"/>
        <v>#DIV/0!</v>
      </c>
      <c r="K774" s="1340" t="e">
        <f t="shared" si="75"/>
        <v>#DIV/0!</v>
      </c>
    </row>
    <row r="775" spans="1:11" ht="15" x14ac:dyDescent="0.25">
      <c r="A775" s="1341"/>
      <c r="B775" s="624">
        <v>55240</v>
      </c>
      <c r="C775" s="1344">
        <v>333903600000000</v>
      </c>
      <c r="D775" s="624" t="s">
        <v>5963</v>
      </c>
      <c r="E775" s="624">
        <v>1</v>
      </c>
      <c r="F775" s="643">
        <v>0</v>
      </c>
      <c r="G775" s="643">
        <v>0</v>
      </c>
      <c r="H775" s="26">
        <v>0</v>
      </c>
      <c r="I775" s="26">
        <f t="shared" si="76"/>
        <v>0</v>
      </c>
      <c r="J775" s="1340" t="e">
        <f t="shared" si="74"/>
        <v>#DIV/0!</v>
      </c>
      <c r="K775" s="1340" t="e">
        <f t="shared" si="75"/>
        <v>#DIV/0!</v>
      </c>
    </row>
    <row r="776" spans="1:11" ht="15" x14ac:dyDescent="0.25">
      <c r="A776" s="1341"/>
      <c r="B776" s="624">
        <v>55260</v>
      </c>
      <c r="C776" s="1344">
        <v>333903900000000</v>
      </c>
      <c r="D776" s="624" t="s">
        <v>5964</v>
      </c>
      <c r="E776" s="624">
        <v>1</v>
      </c>
      <c r="F776" s="643">
        <v>0</v>
      </c>
      <c r="G776" s="643">
        <v>0</v>
      </c>
      <c r="H776" s="26">
        <v>0</v>
      </c>
      <c r="I776" s="26">
        <f t="shared" si="76"/>
        <v>0</v>
      </c>
      <c r="J776" s="1340" t="e">
        <f t="shared" si="74"/>
        <v>#DIV/0!</v>
      </c>
      <c r="K776" s="1340" t="e">
        <f t="shared" si="75"/>
        <v>#DIV/0!</v>
      </c>
    </row>
    <row r="777" spans="1:11" ht="15" x14ac:dyDescent="0.25">
      <c r="A777" s="1341"/>
      <c r="B777" s="624">
        <v>55280</v>
      </c>
      <c r="C777" s="1344">
        <v>333904700000000</v>
      </c>
      <c r="D777" s="624" t="s">
        <v>7622</v>
      </c>
      <c r="E777" s="624">
        <v>1</v>
      </c>
      <c r="F777" s="643">
        <v>0</v>
      </c>
      <c r="G777" s="643">
        <v>0</v>
      </c>
      <c r="H777" s="26">
        <v>0</v>
      </c>
      <c r="I777" s="26">
        <f t="shared" si="76"/>
        <v>0</v>
      </c>
      <c r="J777" s="1340" t="e">
        <f t="shared" si="74"/>
        <v>#DIV/0!</v>
      </c>
      <c r="K777" s="1340" t="e">
        <f t="shared" si="75"/>
        <v>#DIV/0!</v>
      </c>
    </row>
    <row r="778" spans="1:11" ht="15" x14ac:dyDescent="0.25">
      <c r="A778" s="1341"/>
      <c r="B778" s="624">
        <v>55300</v>
      </c>
      <c r="C778" s="1344">
        <v>344905100000000</v>
      </c>
      <c r="D778" s="624" t="s">
        <v>5966</v>
      </c>
      <c r="E778" s="624">
        <v>1</v>
      </c>
      <c r="F778" s="643">
        <v>0</v>
      </c>
      <c r="G778" s="643">
        <v>0</v>
      </c>
      <c r="H778" s="26">
        <v>0</v>
      </c>
      <c r="I778" s="26">
        <f t="shared" si="76"/>
        <v>0</v>
      </c>
      <c r="J778" s="1340" t="e">
        <f t="shared" si="74"/>
        <v>#DIV/0!</v>
      </c>
      <c r="K778" s="1340" t="e">
        <f t="shared" si="75"/>
        <v>#DIV/0!</v>
      </c>
    </row>
    <row r="779" spans="1:11" ht="15" x14ac:dyDescent="0.25">
      <c r="A779" s="1341"/>
      <c r="B779" s="624">
        <v>55320</v>
      </c>
      <c r="C779" s="1344">
        <v>344905200000000</v>
      </c>
      <c r="D779" s="624" t="s">
        <v>5967</v>
      </c>
      <c r="E779" s="624">
        <v>1</v>
      </c>
      <c r="F779" s="643">
        <v>0</v>
      </c>
      <c r="G779" s="643">
        <v>0</v>
      </c>
      <c r="H779" s="26">
        <v>0</v>
      </c>
      <c r="I779" s="26">
        <f t="shared" si="76"/>
        <v>0</v>
      </c>
      <c r="J779" s="1340" t="e">
        <f t="shared" si="74"/>
        <v>#DIV/0!</v>
      </c>
      <c r="K779" s="1340" t="e">
        <f t="shared" si="75"/>
        <v>#DIV/0!</v>
      </c>
    </row>
    <row r="780" spans="1:11" ht="15" x14ac:dyDescent="0.25">
      <c r="B780" s="1598" t="s">
        <v>1575</v>
      </c>
      <c r="C780" s="1598"/>
      <c r="D780" s="1598"/>
      <c r="E780" s="1598"/>
      <c r="F780" s="25">
        <f>F772</f>
        <v>0</v>
      </c>
      <c r="G780" s="25">
        <f>G772</f>
        <v>0</v>
      </c>
      <c r="H780" s="25">
        <f>H772</f>
        <v>0</v>
      </c>
      <c r="I780" s="25">
        <f t="shared" si="76"/>
        <v>0</v>
      </c>
      <c r="J780" s="1338" t="e">
        <f t="shared" si="74"/>
        <v>#DIV/0!</v>
      </c>
      <c r="K780" s="1338" t="e">
        <f t="shared" si="75"/>
        <v>#DIV/0!</v>
      </c>
    </row>
    <row r="783" spans="1:11" ht="15" x14ac:dyDescent="0.25">
      <c r="B783" s="616" t="s">
        <v>4616</v>
      </c>
      <c r="F783" s="643"/>
    </row>
    <row r="784" spans="1:11" ht="45" customHeight="1" x14ac:dyDescent="0.25">
      <c r="B784" s="1343" t="s">
        <v>2967</v>
      </c>
      <c r="C784" s="1343" t="s">
        <v>472</v>
      </c>
      <c r="D784" s="1343" t="s">
        <v>2968</v>
      </c>
      <c r="E784" s="1343" t="s">
        <v>1403</v>
      </c>
      <c r="F784" s="1081">
        <v>2017</v>
      </c>
      <c r="G784" s="1081">
        <f>F784+1</f>
        <v>2018</v>
      </c>
      <c r="H784" s="1081">
        <f>G784+1</f>
        <v>2019</v>
      </c>
      <c r="I784" s="1082" t="s">
        <v>7336</v>
      </c>
      <c r="J784" s="1342" t="s">
        <v>7335</v>
      </c>
      <c r="K784" s="1342" t="s">
        <v>7334</v>
      </c>
    </row>
    <row r="785" spans="1:11" s="12" customFormat="1" ht="30" x14ac:dyDescent="0.25">
      <c r="A785" s="1081"/>
      <c r="B785" s="570" t="s">
        <v>7621</v>
      </c>
      <c r="C785" s="1343" t="s">
        <v>7620</v>
      </c>
      <c r="D785" s="570" t="s">
        <v>4616</v>
      </c>
      <c r="E785" s="570"/>
      <c r="F785" s="642">
        <f>SUM(F786:F800)</f>
        <v>268134.3</v>
      </c>
      <c r="G785" s="642">
        <f>SUM(G786:G800)</f>
        <v>273134.65000000002</v>
      </c>
      <c r="H785" s="642">
        <f>SUM(H786:H800)</f>
        <v>0</v>
      </c>
      <c r="I785" s="642">
        <f>SUM(I786:I800)</f>
        <v>180422.98333333334</v>
      </c>
      <c r="J785" s="1338">
        <f t="shared" ref="J785:J801" si="77">(G785/F785)+(H785/G785)/2</f>
        <v>1.0186486771740879</v>
      </c>
      <c r="K785" s="1338">
        <f t="shared" ref="K785:K801" si="78">I785/I$801</f>
        <v>1</v>
      </c>
    </row>
    <row r="786" spans="1:11" ht="15" x14ac:dyDescent="0.25">
      <c r="A786" s="1341"/>
      <c r="B786" s="624">
        <v>61400</v>
      </c>
      <c r="C786" s="1344">
        <v>331901300000000</v>
      </c>
      <c r="D786" s="624" t="s">
        <v>4617</v>
      </c>
      <c r="E786" s="624">
        <v>1</v>
      </c>
      <c r="F786" s="643">
        <v>0</v>
      </c>
      <c r="G786" s="643">
        <v>0</v>
      </c>
      <c r="H786" s="26">
        <v>0</v>
      </c>
      <c r="I786" s="26">
        <f t="shared" ref="I786:I800" si="79">(F786+G786+H786)/3</f>
        <v>0</v>
      </c>
      <c r="J786" s="1340" t="e">
        <f t="shared" si="77"/>
        <v>#DIV/0!</v>
      </c>
      <c r="K786" s="1340">
        <f t="shared" si="78"/>
        <v>0</v>
      </c>
    </row>
    <row r="787" spans="1:11" ht="15" x14ac:dyDescent="0.25">
      <c r="A787" s="1341"/>
      <c r="B787" s="624">
        <v>61420</v>
      </c>
      <c r="C787" s="1344">
        <v>331909100000000</v>
      </c>
      <c r="D787" s="624" t="s">
        <v>4618</v>
      </c>
      <c r="E787" s="624">
        <v>1</v>
      </c>
      <c r="F787" s="643">
        <v>0</v>
      </c>
      <c r="G787" s="643">
        <v>0</v>
      </c>
      <c r="H787" s="26">
        <v>0</v>
      </c>
      <c r="I787" s="26">
        <f t="shared" si="79"/>
        <v>0</v>
      </c>
      <c r="J787" s="1340" t="e">
        <f t="shared" si="77"/>
        <v>#DIV/0!</v>
      </c>
      <c r="K787" s="1340">
        <f t="shared" si="78"/>
        <v>0</v>
      </c>
    </row>
    <row r="788" spans="1:11" ht="15" x14ac:dyDescent="0.25">
      <c r="A788" s="1341"/>
      <c r="B788" s="624">
        <v>61430</v>
      </c>
      <c r="C788" s="1344">
        <v>331909200000000</v>
      </c>
      <c r="D788" s="624" t="s">
        <v>3057</v>
      </c>
      <c r="E788" s="624">
        <v>1</v>
      </c>
      <c r="F788" s="643">
        <v>1341.79</v>
      </c>
      <c r="G788" s="643">
        <v>0</v>
      </c>
      <c r="H788" s="26">
        <v>0</v>
      </c>
      <c r="I788" s="26">
        <f t="shared" si="79"/>
        <v>447.26333333333332</v>
      </c>
      <c r="J788" s="1340" t="e">
        <f t="shared" si="77"/>
        <v>#DIV/0!</v>
      </c>
      <c r="K788" s="1340">
        <f t="shared" si="78"/>
        <v>2.4789709441119796E-3</v>
      </c>
    </row>
    <row r="789" spans="1:11" ht="15" x14ac:dyDescent="0.25">
      <c r="A789" s="1341"/>
      <c r="B789" s="624">
        <v>61440</v>
      </c>
      <c r="C789" s="1344">
        <v>332902100000000</v>
      </c>
      <c r="D789" s="624" t="s">
        <v>4620</v>
      </c>
      <c r="E789" s="624">
        <v>1</v>
      </c>
      <c r="F789" s="643">
        <v>0</v>
      </c>
      <c r="G789" s="643">
        <v>0</v>
      </c>
      <c r="H789" s="26">
        <v>0</v>
      </c>
      <c r="I789" s="26">
        <f t="shared" si="79"/>
        <v>0</v>
      </c>
      <c r="J789" s="1340" t="e">
        <f t="shared" si="77"/>
        <v>#DIV/0!</v>
      </c>
      <c r="K789" s="1340">
        <f t="shared" si="78"/>
        <v>0</v>
      </c>
    </row>
    <row r="790" spans="1:11" ht="15" x14ac:dyDescent="0.25">
      <c r="A790" s="1341"/>
      <c r="B790" s="624">
        <v>61450</v>
      </c>
      <c r="C790" s="1344">
        <v>333309300000000</v>
      </c>
      <c r="D790" s="624" t="s">
        <v>4621</v>
      </c>
      <c r="E790" s="624">
        <v>1</v>
      </c>
      <c r="F790" s="643">
        <v>0</v>
      </c>
      <c r="G790" s="643">
        <v>0</v>
      </c>
      <c r="H790" s="26">
        <v>0</v>
      </c>
      <c r="I790" s="26">
        <f t="shared" si="79"/>
        <v>0</v>
      </c>
      <c r="J790" s="1340" t="e">
        <f t="shared" si="77"/>
        <v>#DIV/0!</v>
      </c>
      <c r="K790" s="1340">
        <f t="shared" si="78"/>
        <v>0</v>
      </c>
    </row>
    <row r="791" spans="1:11" ht="15" x14ac:dyDescent="0.25">
      <c r="A791" s="1341"/>
      <c r="B791" s="624">
        <v>61500</v>
      </c>
      <c r="C791" s="1344">
        <v>333903900000000</v>
      </c>
      <c r="D791" s="624" t="s">
        <v>4622</v>
      </c>
      <c r="E791" s="624">
        <v>1</v>
      </c>
      <c r="F791" s="643">
        <v>83326.78</v>
      </c>
      <c r="G791" s="643">
        <v>95799.85</v>
      </c>
      <c r="H791" s="26">
        <v>0</v>
      </c>
      <c r="I791" s="26">
        <f t="shared" si="79"/>
        <v>59708.876666666671</v>
      </c>
      <c r="J791" s="1340">
        <f t="shared" si="77"/>
        <v>1.1496886115124094</v>
      </c>
      <c r="K791" s="1340">
        <f t="shared" si="78"/>
        <v>0.3309383071022271</v>
      </c>
    </row>
    <row r="792" spans="1:11" ht="15" x14ac:dyDescent="0.25">
      <c r="A792" s="1341"/>
      <c r="B792" s="624">
        <v>61590</v>
      </c>
      <c r="C792" s="1344">
        <v>333904000000000</v>
      </c>
      <c r="D792" s="624" t="s">
        <v>5976</v>
      </c>
      <c r="E792" s="624">
        <v>1</v>
      </c>
      <c r="F792" s="643">
        <v>0</v>
      </c>
      <c r="G792" s="643">
        <v>0</v>
      </c>
      <c r="H792" s="26">
        <v>0</v>
      </c>
      <c r="I792" s="26">
        <f t="shared" si="79"/>
        <v>0</v>
      </c>
      <c r="J792" s="1340" t="e">
        <f t="shared" si="77"/>
        <v>#DIV/0!</v>
      </c>
      <c r="K792" s="1340">
        <f t="shared" si="78"/>
        <v>0</v>
      </c>
    </row>
    <row r="793" spans="1:11" ht="15" x14ac:dyDescent="0.25">
      <c r="A793" s="1341"/>
      <c r="B793" s="624">
        <v>61600</v>
      </c>
      <c r="C793" s="1344">
        <v>333904700000000</v>
      </c>
      <c r="D793" s="624" t="s">
        <v>4638</v>
      </c>
      <c r="E793" s="624">
        <v>1</v>
      </c>
      <c r="F793" s="643">
        <v>164200.59</v>
      </c>
      <c r="G793" s="643">
        <v>173605.92</v>
      </c>
      <c r="H793" s="26">
        <v>0</v>
      </c>
      <c r="I793" s="26">
        <f t="shared" si="79"/>
        <v>112602.17</v>
      </c>
      <c r="J793" s="1340">
        <f t="shared" si="77"/>
        <v>1.0572795140382871</v>
      </c>
      <c r="K793" s="1340">
        <f t="shared" si="78"/>
        <v>0.62410103147427909</v>
      </c>
    </row>
    <row r="794" spans="1:11" ht="15" x14ac:dyDescent="0.25">
      <c r="A794" s="1341"/>
      <c r="B794" s="624">
        <v>61700</v>
      </c>
      <c r="C794" s="1344">
        <v>333909100000000</v>
      </c>
      <c r="D794" s="624" t="s">
        <v>4618</v>
      </c>
      <c r="E794" s="624">
        <v>1</v>
      </c>
      <c r="F794" s="643">
        <v>19265.14</v>
      </c>
      <c r="G794" s="643">
        <v>3728.88</v>
      </c>
      <c r="H794" s="26">
        <v>0</v>
      </c>
      <c r="I794" s="26">
        <f t="shared" si="79"/>
        <v>7664.6733333333332</v>
      </c>
      <c r="J794" s="1340">
        <f t="shared" si="77"/>
        <v>0.19355582155125789</v>
      </c>
      <c r="K794" s="1340">
        <f t="shared" si="78"/>
        <v>4.2481690479381828E-2</v>
      </c>
    </row>
    <row r="795" spans="1:11" ht="15" x14ac:dyDescent="0.25">
      <c r="A795" s="1341"/>
      <c r="B795" s="624">
        <v>61800</v>
      </c>
      <c r="C795" s="1344">
        <v>333909200000000</v>
      </c>
      <c r="D795" s="624" t="s">
        <v>3742</v>
      </c>
      <c r="E795" s="624">
        <v>1</v>
      </c>
      <c r="F795" s="643">
        <v>0</v>
      </c>
      <c r="G795" s="643">
        <v>0</v>
      </c>
      <c r="H795" s="26">
        <v>0</v>
      </c>
      <c r="I795" s="26">
        <f t="shared" si="79"/>
        <v>0</v>
      </c>
      <c r="J795" s="1340" t="e">
        <f t="shared" si="77"/>
        <v>#DIV/0!</v>
      </c>
      <c r="K795" s="1340">
        <f t="shared" si="78"/>
        <v>0</v>
      </c>
    </row>
    <row r="796" spans="1:11" ht="15" x14ac:dyDescent="0.25">
      <c r="A796" s="1341"/>
      <c r="B796" s="624">
        <v>61900</v>
      </c>
      <c r="C796" s="1344">
        <v>333909300000000</v>
      </c>
      <c r="D796" s="624" t="s">
        <v>4645</v>
      </c>
      <c r="E796" s="624">
        <v>1</v>
      </c>
      <c r="F796" s="643">
        <v>0</v>
      </c>
      <c r="G796" s="643">
        <v>0</v>
      </c>
      <c r="H796" s="26">
        <v>0</v>
      </c>
      <c r="I796" s="26">
        <f t="shared" si="79"/>
        <v>0</v>
      </c>
      <c r="J796" s="1340" t="e">
        <f t="shared" si="77"/>
        <v>#DIV/0!</v>
      </c>
      <c r="K796" s="1340">
        <f t="shared" si="78"/>
        <v>0</v>
      </c>
    </row>
    <row r="797" spans="1:11" ht="15" x14ac:dyDescent="0.25">
      <c r="A797" s="1341"/>
      <c r="B797" s="624">
        <v>62000</v>
      </c>
      <c r="C797" s="1344">
        <v>344209300000000</v>
      </c>
      <c r="D797" s="624" t="s">
        <v>4646</v>
      </c>
      <c r="E797" s="624">
        <v>1</v>
      </c>
      <c r="F797" s="643">
        <v>0</v>
      </c>
      <c r="G797" s="643">
        <v>0</v>
      </c>
      <c r="H797" s="26">
        <v>0</v>
      </c>
      <c r="I797" s="26">
        <f t="shared" si="79"/>
        <v>0</v>
      </c>
      <c r="J797" s="1340" t="e">
        <f t="shared" si="77"/>
        <v>#DIV/0!</v>
      </c>
      <c r="K797" s="1340">
        <f t="shared" si="78"/>
        <v>0</v>
      </c>
    </row>
    <row r="798" spans="1:11" ht="15" x14ac:dyDescent="0.25">
      <c r="A798" s="1341"/>
      <c r="B798" s="624">
        <v>62100</v>
      </c>
      <c r="C798" s="1344">
        <v>344309300000000</v>
      </c>
      <c r="D798" s="624" t="s">
        <v>4647</v>
      </c>
      <c r="E798" s="624">
        <v>1</v>
      </c>
      <c r="F798" s="643">
        <v>0</v>
      </c>
      <c r="G798" s="643">
        <v>0</v>
      </c>
      <c r="H798" s="26">
        <v>0</v>
      </c>
      <c r="I798" s="26">
        <f t="shared" si="79"/>
        <v>0</v>
      </c>
      <c r="J798" s="1340" t="e">
        <f t="shared" si="77"/>
        <v>#DIV/0!</v>
      </c>
      <c r="K798" s="1340">
        <f t="shared" si="78"/>
        <v>0</v>
      </c>
    </row>
    <row r="799" spans="1:11" ht="15" x14ac:dyDescent="0.25">
      <c r="A799" s="1341"/>
      <c r="B799" s="624">
        <v>62200</v>
      </c>
      <c r="C799" s="1344">
        <v>344909200000000</v>
      </c>
      <c r="D799" s="624" t="s">
        <v>3742</v>
      </c>
      <c r="E799" s="624">
        <v>1</v>
      </c>
      <c r="F799" s="643">
        <v>0</v>
      </c>
      <c r="G799" s="643">
        <v>0</v>
      </c>
      <c r="H799" s="26">
        <v>0</v>
      </c>
      <c r="I799" s="26">
        <f t="shared" si="79"/>
        <v>0</v>
      </c>
      <c r="J799" s="1340" t="e">
        <f t="shared" si="77"/>
        <v>#DIV/0!</v>
      </c>
      <c r="K799" s="1340">
        <f t="shared" si="78"/>
        <v>0</v>
      </c>
    </row>
    <row r="800" spans="1:11" ht="15" x14ac:dyDescent="0.25">
      <c r="A800" s="1341"/>
      <c r="B800" s="624">
        <v>62300</v>
      </c>
      <c r="C800" s="1344">
        <v>346907100000000</v>
      </c>
      <c r="D800" s="624" t="s">
        <v>4648</v>
      </c>
      <c r="E800" s="624">
        <v>1</v>
      </c>
      <c r="F800" s="643">
        <v>0</v>
      </c>
      <c r="G800" s="643">
        <v>0</v>
      </c>
      <c r="H800" s="26">
        <v>0</v>
      </c>
      <c r="I800" s="26">
        <f t="shared" si="79"/>
        <v>0</v>
      </c>
      <c r="J800" s="1340" t="e">
        <f t="shared" si="77"/>
        <v>#DIV/0!</v>
      </c>
      <c r="K800" s="1340">
        <f t="shared" si="78"/>
        <v>0</v>
      </c>
    </row>
    <row r="801" spans="1:11" ht="15" x14ac:dyDescent="0.25">
      <c r="B801" s="1598" t="s">
        <v>1575</v>
      </c>
      <c r="C801" s="1598"/>
      <c r="D801" s="1598"/>
      <c r="E801" s="1598"/>
      <c r="F801" s="25">
        <f>F785</f>
        <v>268134.3</v>
      </c>
      <c r="G801" s="25">
        <f>G785</f>
        <v>273134.65000000002</v>
      </c>
      <c r="H801" s="25">
        <f>H785</f>
        <v>0</v>
      </c>
      <c r="I801" s="25">
        <f>I785</f>
        <v>180422.98333333334</v>
      </c>
      <c r="J801" s="1338">
        <f t="shared" si="77"/>
        <v>1.0186486771740879</v>
      </c>
      <c r="K801" s="1338">
        <f t="shared" si="78"/>
        <v>1</v>
      </c>
    </row>
    <row r="806" spans="1:11" ht="15" x14ac:dyDescent="0.25">
      <c r="B806" s="616" t="s">
        <v>70</v>
      </c>
      <c r="F806" s="643"/>
    </row>
    <row r="807" spans="1:11" ht="45" customHeight="1" x14ac:dyDescent="0.25">
      <c r="B807" s="1343" t="s">
        <v>2967</v>
      </c>
      <c r="C807" s="1343" t="s">
        <v>472</v>
      </c>
      <c r="D807" s="1343" t="s">
        <v>2968</v>
      </c>
      <c r="E807" s="1343" t="s">
        <v>1403</v>
      </c>
      <c r="F807" s="1081">
        <v>2017</v>
      </c>
      <c r="G807" s="1081">
        <f>F807+1</f>
        <v>2018</v>
      </c>
      <c r="H807" s="1081">
        <f>G807+1</f>
        <v>2019</v>
      </c>
      <c r="I807" s="1082" t="s">
        <v>7336</v>
      </c>
      <c r="J807" s="1342" t="s">
        <v>7335</v>
      </c>
      <c r="K807" s="1342" t="s">
        <v>7334</v>
      </c>
    </row>
    <row r="808" spans="1:11" s="12" customFormat="1" ht="15" x14ac:dyDescent="0.25">
      <c r="A808" s="1081"/>
      <c r="B808" s="570" t="s">
        <v>2965</v>
      </c>
      <c r="C808" s="1345">
        <v>27</v>
      </c>
      <c r="D808" s="570" t="s">
        <v>4652</v>
      </c>
      <c r="E808" s="570"/>
      <c r="F808" s="642">
        <f>SUM(F809:F813)</f>
        <v>0</v>
      </c>
      <c r="G808" s="642">
        <f>SUM(G809:G813)</f>
        <v>0</v>
      </c>
      <c r="H808" s="642">
        <f>SUM(H809:H813)</f>
        <v>0</v>
      </c>
      <c r="I808" s="642">
        <f>SUM(I809:I813)</f>
        <v>0</v>
      </c>
      <c r="J808" s="1338" t="e">
        <f t="shared" ref="J808:J814" si="80">(G808/F808)+(H808/G808)/2</f>
        <v>#DIV/0!</v>
      </c>
      <c r="K808" s="1338" t="e">
        <f t="shared" ref="K808:K814" si="81">I808/I$814</f>
        <v>#DIV/0!</v>
      </c>
    </row>
    <row r="809" spans="1:11" ht="15" x14ac:dyDescent="0.25">
      <c r="A809" s="1341"/>
      <c r="B809" s="624">
        <v>63000</v>
      </c>
      <c r="C809" s="1344">
        <v>399999900000000</v>
      </c>
      <c r="D809" s="624" t="s">
        <v>7619</v>
      </c>
      <c r="E809" s="624">
        <v>1</v>
      </c>
      <c r="F809" s="643">
        <v>0</v>
      </c>
      <c r="G809" s="643">
        <v>0</v>
      </c>
      <c r="H809" s="26">
        <v>0</v>
      </c>
      <c r="I809" s="26">
        <f>(F809+G809+H809)/3</f>
        <v>0</v>
      </c>
      <c r="J809" s="1340" t="e">
        <f t="shared" si="80"/>
        <v>#DIV/0!</v>
      </c>
      <c r="K809" s="1340" t="e">
        <f t="shared" si="81"/>
        <v>#DIV/0!</v>
      </c>
    </row>
    <row r="810" spans="1:11" ht="15" x14ac:dyDescent="0.25">
      <c r="A810" s="1341"/>
      <c r="B810" s="624">
        <v>63010</v>
      </c>
      <c r="C810" s="1344">
        <v>399999900000000</v>
      </c>
      <c r="D810" s="624" t="s">
        <v>6917</v>
      </c>
      <c r="E810" s="624">
        <v>1</v>
      </c>
      <c r="F810" s="643">
        <v>0</v>
      </c>
      <c r="G810" s="643">
        <v>0</v>
      </c>
      <c r="H810" s="26">
        <v>0</v>
      </c>
      <c r="I810" s="26">
        <f>(F810+G810+H810)/3</f>
        <v>0</v>
      </c>
      <c r="J810" s="1340" t="e">
        <f t="shared" si="80"/>
        <v>#DIV/0!</v>
      </c>
      <c r="K810" s="1340" t="e">
        <f t="shared" si="81"/>
        <v>#DIV/0!</v>
      </c>
    </row>
    <row r="811" spans="1:11" ht="15" x14ac:dyDescent="0.25">
      <c r="A811" s="1341"/>
      <c r="B811" s="624">
        <v>63020</v>
      </c>
      <c r="C811" s="1344">
        <v>399999900000000</v>
      </c>
      <c r="D811" s="624" t="s">
        <v>6913</v>
      </c>
      <c r="E811" s="624">
        <v>1</v>
      </c>
      <c r="F811" s="643">
        <v>0</v>
      </c>
      <c r="G811" s="643">
        <v>0</v>
      </c>
      <c r="H811" s="26">
        <v>0</v>
      </c>
      <c r="I811" s="26">
        <f>(F811+G811+H811)/3</f>
        <v>0</v>
      </c>
      <c r="J811" s="1340" t="e">
        <f t="shared" si="80"/>
        <v>#DIV/0!</v>
      </c>
      <c r="K811" s="1340" t="e">
        <f t="shared" si="81"/>
        <v>#DIV/0!</v>
      </c>
    </row>
    <row r="812" spans="1:11" ht="15" x14ac:dyDescent="0.25">
      <c r="A812" s="1341"/>
      <c r="B812" s="624">
        <v>63040</v>
      </c>
      <c r="C812" s="1344">
        <v>399999900000000</v>
      </c>
      <c r="D812" s="624" t="s">
        <v>7618</v>
      </c>
      <c r="E812" s="624">
        <v>1</v>
      </c>
      <c r="F812" s="643">
        <v>0</v>
      </c>
      <c r="G812" s="643">
        <v>0</v>
      </c>
      <c r="H812" s="26">
        <v>0</v>
      </c>
      <c r="I812" s="26">
        <f>(F812+G812+H812)/3</f>
        <v>0</v>
      </c>
      <c r="J812" s="1340" t="e">
        <f t="shared" si="80"/>
        <v>#DIV/0!</v>
      </c>
      <c r="K812" s="1340" t="e">
        <f t="shared" si="81"/>
        <v>#DIV/0!</v>
      </c>
    </row>
    <row r="813" spans="1:11" ht="15" x14ac:dyDescent="0.25">
      <c r="A813" s="1341"/>
      <c r="B813" s="624">
        <v>63060</v>
      </c>
      <c r="C813" s="1344">
        <v>399999900000000</v>
      </c>
      <c r="D813" s="624" t="s">
        <v>7617</v>
      </c>
      <c r="E813" s="624">
        <v>1</v>
      </c>
      <c r="F813" s="643">
        <v>0</v>
      </c>
      <c r="G813" s="643">
        <v>0</v>
      </c>
      <c r="H813" s="26">
        <v>0</v>
      </c>
      <c r="I813" s="26">
        <f>(F813+G813+H813)/3</f>
        <v>0</v>
      </c>
      <c r="J813" s="1340" t="e">
        <f t="shared" si="80"/>
        <v>#DIV/0!</v>
      </c>
      <c r="K813" s="1340" t="e">
        <f t="shared" si="81"/>
        <v>#DIV/0!</v>
      </c>
    </row>
    <row r="814" spans="1:11" ht="15" x14ac:dyDescent="0.25">
      <c r="B814" s="1598" t="s">
        <v>1575</v>
      </c>
      <c r="C814" s="1598"/>
      <c r="D814" s="1598"/>
      <c r="E814" s="1598"/>
      <c r="F814" s="25">
        <f>F808</f>
        <v>0</v>
      </c>
      <c r="G814" s="25">
        <f>G808</f>
        <v>0</v>
      </c>
      <c r="H814" s="25">
        <f>H808</f>
        <v>0</v>
      </c>
      <c r="I814" s="25">
        <f>I808</f>
        <v>0</v>
      </c>
      <c r="J814" s="1338" t="e">
        <f t="shared" si="80"/>
        <v>#DIV/0!</v>
      </c>
      <c r="K814" s="1338" t="e">
        <f t="shared" si="81"/>
        <v>#DIV/0!</v>
      </c>
    </row>
    <row r="816" spans="1:11" ht="15" x14ac:dyDescent="0.25">
      <c r="B816" s="616" t="s">
        <v>4660</v>
      </c>
      <c r="F816" s="643"/>
    </row>
    <row r="817" spans="1:11" ht="45" customHeight="1" x14ac:dyDescent="0.25">
      <c r="B817" s="1343" t="s">
        <v>2967</v>
      </c>
      <c r="C817" s="1343" t="s">
        <v>472</v>
      </c>
      <c r="D817" s="1343" t="s">
        <v>2968</v>
      </c>
      <c r="E817" s="1343" t="s">
        <v>1403</v>
      </c>
      <c r="F817" s="1081">
        <v>2017</v>
      </c>
      <c r="G817" s="1081">
        <f>F817+1</f>
        <v>2018</v>
      </c>
      <c r="H817" s="1081">
        <f>G817+1</f>
        <v>2019</v>
      </c>
      <c r="I817" s="1082" t="s">
        <v>7336</v>
      </c>
      <c r="J817" s="1342" t="s">
        <v>7335</v>
      </c>
      <c r="K817" s="1342" t="s">
        <v>7334</v>
      </c>
    </row>
    <row r="818" spans="1:11" s="12" customFormat="1" ht="15" x14ac:dyDescent="0.25">
      <c r="A818" s="1081"/>
      <c r="B818" s="570" t="s">
        <v>2950</v>
      </c>
      <c r="C818" s="1345" t="s">
        <v>7616</v>
      </c>
      <c r="D818" s="570" t="s">
        <v>7615</v>
      </c>
      <c r="E818" s="570"/>
      <c r="F818" s="642">
        <f>SUM(F819:F819)</f>
        <v>0</v>
      </c>
      <c r="G818" s="642">
        <f>SUM(G819:G819)</f>
        <v>0</v>
      </c>
      <c r="H818" s="642">
        <f>SUM(H819:H819)</f>
        <v>0</v>
      </c>
      <c r="I818" s="642">
        <f>SUM(I819:I819)</f>
        <v>0</v>
      </c>
      <c r="J818" s="1338" t="e">
        <f>(G818/F818)+(H818/G818)/2</f>
        <v>#DIV/0!</v>
      </c>
      <c r="K818" s="1338" t="e">
        <f>I818/I$820</f>
        <v>#DIV/0!</v>
      </c>
    </row>
    <row r="819" spans="1:11" ht="15" x14ac:dyDescent="0.25">
      <c r="A819" s="1341"/>
      <c r="B819" s="624">
        <v>64000</v>
      </c>
      <c r="C819" s="1344">
        <v>344209300000000</v>
      </c>
      <c r="D819" s="624" t="s">
        <v>4658</v>
      </c>
      <c r="E819" s="624">
        <v>1127</v>
      </c>
      <c r="F819" s="643">
        <v>0</v>
      </c>
      <c r="G819" s="643">
        <v>0</v>
      </c>
      <c r="H819" s="26">
        <v>0</v>
      </c>
      <c r="I819" s="26">
        <f>(F819+G819+H819)/3</f>
        <v>0</v>
      </c>
      <c r="J819" s="1340" t="e">
        <f>(G819/F819)+(H819/G819)/2</f>
        <v>#DIV/0!</v>
      </c>
      <c r="K819" s="1340" t="e">
        <f>I819/I$820</f>
        <v>#DIV/0!</v>
      </c>
    </row>
    <row r="820" spans="1:11" ht="15" x14ac:dyDescent="0.25">
      <c r="A820" s="1341"/>
      <c r="B820" s="1598" t="s">
        <v>1575</v>
      </c>
      <c r="C820" s="1598"/>
      <c r="D820" s="1598"/>
      <c r="E820" s="1598"/>
      <c r="F820" s="25">
        <f>F804</f>
        <v>0</v>
      </c>
      <c r="G820" s="25">
        <f>G804</f>
        <v>0</v>
      </c>
      <c r="H820" s="25">
        <f>H804</f>
        <v>0</v>
      </c>
      <c r="I820" s="25">
        <f>I804</f>
        <v>0</v>
      </c>
      <c r="J820" s="1338" t="e">
        <f>(G820/F820)+(H820/G820)/2</f>
        <v>#DIV/0!</v>
      </c>
      <c r="K820" s="1338" t="e">
        <f>I820/I$820</f>
        <v>#DIV/0!</v>
      </c>
    </row>
    <row r="822" spans="1:11" ht="15" x14ac:dyDescent="0.25">
      <c r="B822" s="616" t="s">
        <v>4662</v>
      </c>
      <c r="F822" s="643"/>
    </row>
    <row r="823" spans="1:11" ht="45" customHeight="1" x14ac:dyDescent="0.25">
      <c r="B823" s="1343" t="s">
        <v>2967</v>
      </c>
      <c r="C823" s="1343" t="s">
        <v>472</v>
      </c>
      <c r="D823" s="1343" t="s">
        <v>2968</v>
      </c>
      <c r="E823" s="1343" t="s">
        <v>1403</v>
      </c>
      <c r="F823" s="1081">
        <v>2017</v>
      </c>
      <c r="G823" s="1081">
        <f>F823+1</f>
        <v>2018</v>
      </c>
      <c r="H823" s="1081">
        <f>G823+1</f>
        <v>2019</v>
      </c>
      <c r="I823" s="1082" t="s">
        <v>7336</v>
      </c>
      <c r="J823" s="1342" t="s">
        <v>7335</v>
      </c>
      <c r="K823" s="1342" t="s">
        <v>7334</v>
      </c>
    </row>
    <row r="824" spans="1:11" s="12" customFormat="1" ht="15" x14ac:dyDescent="0.25">
      <c r="A824" s="1081"/>
      <c r="B824" s="570" t="s">
        <v>2950</v>
      </c>
      <c r="C824" s="1345" t="s">
        <v>7614</v>
      </c>
      <c r="D824" s="570" t="s">
        <v>2952</v>
      </c>
      <c r="E824" s="570"/>
      <c r="F824" s="642">
        <f>SUM(F825:F830)</f>
        <v>0</v>
      </c>
      <c r="G824" s="642">
        <f>SUM(G825:G830)</f>
        <v>0</v>
      </c>
      <c r="H824" s="642">
        <f>SUM(H825:H830)</f>
        <v>0</v>
      </c>
      <c r="I824" s="642">
        <f>SUM(I825:I830)</f>
        <v>0</v>
      </c>
      <c r="J824" s="1338" t="e">
        <f t="shared" ref="J824:J851" si="82">(G824/F824)+(H824/G824)/2</f>
        <v>#DIV/0!</v>
      </c>
      <c r="K824" s="1338">
        <f t="shared" ref="K824:K850" si="83">I824/I$851</f>
        <v>0</v>
      </c>
    </row>
    <row r="825" spans="1:11" ht="15" x14ac:dyDescent="0.25">
      <c r="A825" s="1341"/>
      <c r="B825" s="624">
        <v>65000</v>
      </c>
      <c r="C825" s="1344">
        <v>333904700000000</v>
      </c>
      <c r="D825" s="624" t="s">
        <v>4663</v>
      </c>
      <c r="E825" s="624">
        <v>1</v>
      </c>
      <c r="F825" s="643">
        <v>0</v>
      </c>
      <c r="G825" s="643">
        <v>0</v>
      </c>
      <c r="H825" s="26">
        <v>0</v>
      </c>
      <c r="I825" s="26">
        <f t="shared" ref="I825:I830" si="84">(F825+G825+H825)/3</f>
        <v>0</v>
      </c>
      <c r="J825" s="1340" t="e">
        <f t="shared" si="82"/>
        <v>#DIV/0!</v>
      </c>
      <c r="K825" s="1340">
        <f t="shared" si="83"/>
        <v>0</v>
      </c>
    </row>
    <row r="826" spans="1:11" ht="15" x14ac:dyDescent="0.25">
      <c r="A826" s="1341"/>
      <c r="B826" s="624">
        <v>65100</v>
      </c>
      <c r="C826" s="1344">
        <v>344903000000000</v>
      </c>
      <c r="D826" s="624" t="s">
        <v>4664</v>
      </c>
      <c r="E826" s="624">
        <v>1</v>
      </c>
      <c r="F826" s="643">
        <v>0</v>
      </c>
      <c r="G826" s="643">
        <v>0</v>
      </c>
      <c r="H826" s="26">
        <v>0</v>
      </c>
      <c r="I826" s="26">
        <f t="shared" si="84"/>
        <v>0</v>
      </c>
      <c r="J826" s="1340" t="e">
        <f t="shared" si="82"/>
        <v>#DIV/0!</v>
      </c>
      <c r="K826" s="1340">
        <f t="shared" si="83"/>
        <v>0</v>
      </c>
    </row>
    <row r="827" spans="1:11" ht="15" x14ac:dyDescent="0.25">
      <c r="A827" s="1341"/>
      <c r="B827" s="624">
        <v>65200</v>
      </c>
      <c r="C827" s="1344">
        <v>344903600000000</v>
      </c>
      <c r="D827" s="624" t="s">
        <v>4665</v>
      </c>
      <c r="E827" s="624">
        <v>1</v>
      </c>
      <c r="F827" s="643">
        <v>0</v>
      </c>
      <c r="G827" s="643">
        <v>0</v>
      </c>
      <c r="H827" s="26">
        <v>0</v>
      </c>
      <c r="I827" s="26">
        <f t="shared" si="84"/>
        <v>0</v>
      </c>
      <c r="J827" s="1340" t="e">
        <f t="shared" si="82"/>
        <v>#DIV/0!</v>
      </c>
      <c r="K827" s="1340">
        <f t="shared" si="83"/>
        <v>0</v>
      </c>
    </row>
    <row r="828" spans="1:11" ht="15" x14ac:dyDescent="0.25">
      <c r="A828" s="1341"/>
      <c r="B828" s="624">
        <v>65300</v>
      </c>
      <c r="C828" s="1344">
        <v>344903900000000</v>
      </c>
      <c r="D828" s="624" t="s">
        <v>4666</v>
      </c>
      <c r="E828" s="624">
        <v>1</v>
      </c>
      <c r="F828" s="643">
        <v>0</v>
      </c>
      <c r="G828" s="643">
        <v>0</v>
      </c>
      <c r="H828" s="26">
        <v>0</v>
      </c>
      <c r="I828" s="26">
        <f t="shared" si="84"/>
        <v>0</v>
      </c>
      <c r="J828" s="1340" t="e">
        <f t="shared" si="82"/>
        <v>#DIV/0!</v>
      </c>
      <c r="K828" s="1340">
        <f t="shared" si="83"/>
        <v>0</v>
      </c>
    </row>
    <row r="829" spans="1:11" ht="15" x14ac:dyDescent="0.25">
      <c r="A829" s="1341"/>
      <c r="B829" s="624">
        <v>65400</v>
      </c>
      <c r="C829" s="1344">
        <v>344905100000000</v>
      </c>
      <c r="D829" s="624" t="s">
        <v>4667</v>
      </c>
      <c r="E829" s="624">
        <v>1</v>
      </c>
      <c r="F829" s="643">
        <v>0</v>
      </c>
      <c r="G829" s="643">
        <v>0</v>
      </c>
      <c r="H829" s="26">
        <v>0</v>
      </c>
      <c r="I829" s="26">
        <f t="shared" si="84"/>
        <v>0</v>
      </c>
      <c r="J829" s="1340" t="e">
        <f t="shared" si="82"/>
        <v>#DIV/0!</v>
      </c>
      <c r="K829" s="1340">
        <f t="shared" si="83"/>
        <v>0</v>
      </c>
    </row>
    <row r="830" spans="1:11" ht="15" x14ac:dyDescent="0.25">
      <c r="A830" s="1341"/>
      <c r="B830" s="624">
        <v>65500</v>
      </c>
      <c r="C830" s="1344">
        <v>344905200000000</v>
      </c>
      <c r="D830" s="624" t="s">
        <v>4668</v>
      </c>
      <c r="E830" s="624">
        <v>1</v>
      </c>
      <c r="F830" s="643">
        <v>0</v>
      </c>
      <c r="G830" s="643">
        <v>0</v>
      </c>
      <c r="H830" s="26">
        <v>0</v>
      </c>
      <c r="I830" s="26">
        <f t="shared" si="84"/>
        <v>0</v>
      </c>
      <c r="J830" s="1340" t="e">
        <f t="shared" si="82"/>
        <v>#DIV/0!</v>
      </c>
      <c r="K830" s="1340">
        <f t="shared" si="83"/>
        <v>0</v>
      </c>
    </row>
    <row r="831" spans="1:11" s="12" customFormat="1" ht="15" x14ac:dyDescent="0.25">
      <c r="A831" s="1081"/>
      <c r="B831" s="570" t="s">
        <v>2965</v>
      </c>
      <c r="C831" s="1345">
        <v>408</v>
      </c>
      <c r="D831" s="570" t="s">
        <v>7613</v>
      </c>
      <c r="E831" s="570"/>
      <c r="F831" s="1350">
        <f>SUM(F832:F850)</f>
        <v>79596.149999999994</v>
      </c>
      <c r="G831" s="1350">
        <f>SUM(G832:G850)</f>
        <v>98321.81</v>
      </c>
      <c r="H831" s="1350">
        <f>SUM(H832:H850)</f>
        <v>0</v>
      </c>
      <c r="I831" s="1350">
        <f>SUM(I832:I850)</f>
        <v>59305.986666666671</v>
      </c>
      <c r="J831" s="1338">
        <f t="shared" si="82"/>
        <v>1.2352583636268841</v>
      </c>
      <c r="K831" s="1338">
        <f t="shared" si="83"/>
        <v>1</v>
      </c>
    </row>
    <row r="832" spans="1:11" ht="15" x14ac:dyDescent="0.25">
      <c r="A832" s="1341"/>
      <c r="B832" s="624">
        <v>66000</v>
      </c>
      <c r="C832" s="1344">
        <v>331900400000000</v>
      </c>
      <c r="D832" s="624" t="s">
        <v>3648</v>
      </c>
      <c r="E832" s="624">
        <v>1</v>
      </c>
      <c r="F832" s="643">
        <v>0</v>
      </c>
      <c r="G832" s="643">
        <v>0</v>
      </c>
      <c r="H832" s="26">
        <v>0</v>
      </c>
      <c r="I832" s="26">
        <f t="shared" ref="I832:I850" si="85">(F832+G832+H832)/3</f>
        <v>0</v>
      </c>
      <c r="J832" s="1340" t="e">
        <f t="shared" si="82"/>
        <v>#DIV/0!</v>
      </c>
      <c r="K832" s="1340">
        <f t="shared" si="83"/>
        <v>0</v>
      </c>
    </row>
    <row r="833" spans="1:11" ht="15" x14ac:dyDescent="0.25">
      <c r="A833" s="1341"/>
      <c r="B833" s="624">
        <v>66100</v>
      </c>
      <c r="C833" s="1344">
        <v>331901100000000</v>
      </c>
      <c r="D833" s="624" t="s">
        <v>4669</v>
      </c>
      <c r="E833" s="624">
        <v>1</v>
      </c>
      <c r="F833" s="643">
        <v>59593.95</v>
      </c>
      <c r="G833" s="643">
        <v>68026.28</v>
      </c>
      <c r="H833" s="26">
        <v>0</v>
      </c>
      <c r="I833" s="26">
        <f t="shared" si="85"/>
        <v>42540.076666666668</v>
      </c>
      <c r="J833" s="1340">
        <f t="shared" si="82"/>
        <v>1.1414964102899707</v>
      </c>
      <c r="K833" s="1340">
        <f t="shared" si="83"/>
        <v>0.71729818619772845</v>
      </c>
    </row>
    <row r="834" spans="1:11" ht="15" x14ac:dyDescent="0.25">
      <c r="A834" s="1341"/>
      <c r="B834" s="624">
        <v>66200</v>
      </c>
      <c r="C834" s="1344">
        <v>331901300000000</v>
      </c>
      <c r="D834" s="624" t="s">
        <v>3666</v>
      </c>
      <c r="E834" s="624">
        <v>1</v>
      </c>
      <c r="F834" s="643">
        <v>13200.2</v>
      </c>
      <c r="G834" s="643">
        <v>14685.53</v>
      </c>
      <c r="H834" s="26">
        <v>0</v>
      </c>
      <c r="I834" s="26">
        <f t="shared" si="85"/>
        <v>9295.2433333333338</v>
      </c>
      <c r="J834" s="1340">
        <f t="shared" si="82"/>
        <v>1.1125232951015893</v>
      </c>
      <c r="K834" s="1340">
        <f t="shared" si="83"/>
        <v>0.15673364285426833</v>
      </c>
    </row>
    <row r="835" spans="1:11" ht="15" x14ac:dyDescent="0.25">
      <c r="A835" s="1341"/>
      <c r="B835" s="624">
        <v>66300</v>
      </c>
      <c r="C835" s="1344">
        <v>331901600000000</v>
      </c>
      <c r="D835" s="624" t="s">
        <v>3675</v>
      </c>
      <c r="E835" s="624">
        <v>1</v>
      </c>
      <c r="F835" s="643">
        <v>0</v>
      </c>
      <c r="G835" s="643">
        <v>0</v>
      </c>
      <c r="H835" s="26">
        <v>0</v>
      </c>
      <c r="I835" s="26">
        <f t="shared" si="85"/>
        <v>0</v>
      </c>
      <c r="J835" s="1340" t="e">
        <f t="shared" si="82"/>
        <v>#DIV/0!</v>
      </c>
      <c r="K835" s="1340">
        <f t="shared" si="83"/>
        <v>0</v>
      </c>
    </row>
    <row r="836" spans="1:11" ht="15" x14ac:dyDescent="0.25">
      <c r="A836" s="1341"/>
      <c r="B836" s="624">
        <v>66400</v>
      </c>
      <c r="C836" s="1344">
        <v>331909400000000</v>
      </c>
      <c r="D836" s="624" t="s">
        <v>3679</v>
      </c>
      <c r="E836" s="624">
        <v>1</v>
      </c>
      <c r="F836" s="643">
        <v>0</v>
      </c>
      <c r="G836" s="643">
        <v>0</v>
      </c>
      <c r="H836" s="26">
        <v>0</v>
      </c>
      <c r="I836" s="26">
        <f t="shared" si="85"/>
        <v>0</v>
      </c>
      <c r="J836" s="1340" t="e">
        <f t="shared" si="82"/>
        <v>#DIV/0!</v>
      </c>
      <c r="K836" s="1340">
        <f t="shared" si="83"/>
        <v>0</v>
      </c>
    </row>
    <row r="837" spans="1:11" ht="15" x14ac:dyDescent="0.25">
      <c r="A837" s="1341"/>
      <c r="B837" s="624">
        <v>66500</v>
      </c>
      <c r="C837" s="1344">
        <v>333901400000000</v>
      </c>
      <c r="D837" s="624" t="s">
        <v>2994</v>
      </c>
      <c r="E837" s="624">
        <v>1</v>
      </c>
      <c r="F837" s="643">
        <v>6435</v>
      </c>
      <c r="G837" s="643">
        <v>12780</v>
      </c>
      <c r="H837" s="26">
        <v>0</v>
      </c>
      <c r="I837" s="26">
        <f t="shared" si="85"/>
        <v>6405</v>
      </c>
      <c r="J837" s="1340">
        <f t="shared" si="82"/>
        <v>1.986013986013986</v>
      </c>
      <c r="K837" s="1340">
        <f t="shared" si="83"/>
        <v>0.10799921491905594</v>
      </c>
    </row>
    <row r="838" spans="1:11" ht="15" x14ac:dyDescent="0.25">
      <c r="A838" s="1341"/>
      <c r="B838" s="624">
        <v>66600</v>
      </c>
      <c r="C838" s="1344">
        <v>333903000000000</v>
      </c>
      <c r="D838" s="624" t="s">
        <v>4131</v>
      </c>
      <c r="E838" s="624">
        <v>1</v>
      </c>
      <c r="F838" s="643">
        <v>0</v>
      </c>
      <c r="G838" s="643">
        <v>0</v>
      </c>
      <c r="H838" s="26">
        <v>0</v>
      </c>
      <c r="I838" s="26">
        <f t="shared" si="85"/>
        <v>0</v>
      </c>
      <c r="J838" s="1340" t="e">
        <f t="shared" si="82"/>
        <v>#DIV/0!</v>
      </c>
      <c r="K838" s="1340">
        <f t="shared" si="83"/>
        <v>0</v>
      </c>
    </row>
    <row r="839" spans="1:11" ht="15" x14ac:dyDescent="0.25">
      <c r="A839" s="1341"/>
      <c r="B839" s="624">
        <v>66700</v>
      </c>
      <c r="C839" s="1344">
        <v>333903300000000</v>
      </c>
      <c r="D839" s="624" t="s">
        <v>3718</v>
      </c>
      <c r="E839" s="624">
        <v>1</v>
      </c>
      <c r="F839" s="643">
        <v>0</v>
      </c>
      <c r="G839" s="643">
        <v>1900</v>
      </c>
      <c r="H839" s="26">
        <v>0</v>
      </c>
      <c r="I839" s="26">
        <f t="shared" si="85"/>
        <v>633.33333333333337</v>
      </c>
      <c r="J839" s="1340" t="e">
        <f t="shared" si="82"/>
        <v>#DIV/0!</v>
      </c>
      <c r="K839" s="1340">
        <f t="shared" si="83"/>
        <v>1.0679079279011518E-2</v>
      </c>
    </row>
    <row r="840" spans="1:11" ht="15" x14ac:dyDescent="0.25">
      <c r="A840" s="1341"/>
      <c r="B840" s="624">
        <v>66800</v>
      </c>
      <c r="C840" s="1344">
        <v>333903500000000</v>
      </c>
      <c r="D840" s="624" t="s">
        <v>3473</v>
      </c>
      <c r="E840" s="624">
        <v>1</v>
      </c>
      <c r="F840" s="643">
        <v>0</v>
      </c>
      <c r="G840" s="643">
        <v>0</v>
      </c>
      <c r="H840" s="26">
        <v>0</v>
      </c>
      <c r="I840" s="26">
        <f t="shared" si="85"/>
        <v>0</v>
      </c>
      <c r="J840" s="1340" t="e">
        <f t="shared" si="82"/>
        <v>#DIV/0!</v>
      </c>
      <c r="K840" s="1340">
        <f t="shared" si="83"/>
        <v>0</v>
      </c>
    </row>
    <row r="841" spans="1:11" ht="15" x14ac:dyDescent="0.25">
      <c r="A841" s="1341"/>
      <c r="B841" s="624">
        <v>66900</v>
      </c>
      <c r="C841" s="1344">
        <v>333903600000000</v>
      </c>
      <c r="D841" s="624" t="s">
        <v>4161</v>
      </c>
      <c r="E841" s="624">
        <v>1</v>
      </c>
      <c r="F841" s="643">
        <v>0</v>
      </c>
      <c r="G841" s="643">
        <v>0</v>
      </c>
      <c r="H841" s="26">
        <v>0</v>
      </c>
      <c r="I841" s="26">
        <f t="shared" si="85"/>
        <v>0</v>
      </c>
      <c r="J841" s="1340" t="e">
        <f t="shared" si="82"/>
        <v>#DIV/0!</v>
      </c>
      <c r="K841" s="1340">
        <f t="shared" si="83"/>
        <v>0</v>
      </c>
    </row>
    <row r="842" spans="1:11" ht="15" x14ac:dyDescent="0.25">
      <c r="A842" s="1341"/>
      <c r="B842" s="624">
        <v>67000</v>
      </c>
      <c r="C842" s="1344">
        <v>333903900000000</v>
      </c>
      <c r="D842" s="624" t="s">
        <v>4165</v>
      </c>
      <c r="E842" s="624">
        <v>1</v>
      </c>
      <c r="F842" s="643">
        <v>367</v>
      </c>
      <c r="G842" s="643">
        <v>930</v>
      </c>
      <c r="H842" s="26">
        <v>0</v>
      </c>
      <c r="I842" s="26">
        <f t="shared" si="85"/>
        <v>432.33333333333331</v>
      </c>
      <c r="J842" s="1340">
        <f t="shared" si="82"/>
        <v>2.5340599455040871</v>
      </c>
      <c r="K842" s="1340">
        <f t="shared" si="83"/>
        <v>7.2898767499357557E-3</v>
      </c>
    </row>
    <row r="843" spans="1:11" ht="15" x14ac:dyDescent="0.25">
      <c r="A843" s="1341"/>
      <c r="B843" s="624">
        <v>67100</v>
      </c>
      <c r="C843" s="1344">
        <v>333904600000000</v>
      </c>
      <c r="D843" s="624" t="s">
        <v>5544</v>
      </c>
      <c r="E843" s="624">
        <v>1</v>
      </c>
      <c r="F843" s="643">
        <v>0</v>
      </c>
      <c r="G843" s="643">
        <v>0</v>
      </c>
      <c r="H843" s="26">
        <v>0</v>
      </c>
      <c r="I843" s="26">
        <f t="shared" si="85"/>
        <v>0</v>
      </c>
      <c r="J843" s="1340" t="e">
        <f t="shared" si="82"/>
        <v>#DIV/0!</v>
      </c>
      <c r="K843" s="1340">
        <f t="shared" si="83"/>
        <v>0</v>
      </c>
    </row>
    <row r="844" spans="1:11" ht="15" x14ac:dyDescent="0.25">
      <c r="A844" s="1341"/>
      <c r="B844" s="624">
        <v>67200</v>
      </c>
      <c r="C844" s="1344">
        <v>333904700000000</v>
      </c>
      <c r="D844" s="624" t="s">
        <v>3736</v>
      </c>
      <c r="E844" s="624">
        <v>1</v>
      </c>
      <c r="F844" s="643">
        <v>0</v>
      </c>
      <c r="G844" s="643">
        <v>0</v>
      </c>
      <c r="H844" s="26">
        <v>0</v>
      </c>
      <c r="I844" s="26">
        <f t="shared" si="85"/>
        <v>0</v>
      </c>
      <c r="J844" s="1340" t="e">
        <f t="shared" si="82"/>
        <v>#DIV/0!</v>
      </c>
      <c r="K844" s="1340">
        <f t="shared" si="83"/>
        <v>0</v>
      </c>
    </row>
    <row r="845" spans="1:11" ht="15" x14ac:dyDescent="0.25">
      <c r="A845" s="1341"/>
      <c r="B845" s="624">
        <v>67300</v>
      </c>
      <c r="C845" s="1344">
        <v>333904900000000</v>
      </c>
      <c r="D845" s="624" t="s">
        <v>3592</v>
      </c>
      <c r="E845" s="624">
        <v>1</v>
      </c>
      <c r="F845" s="643">
        <v>0</v>
      </c>
      <c r="G845" s="643">
        <v>0</v>
      </c>
      <c r="H845" s="26">
        <v>0</v>
      </c>
      <c r="I845" s="26">
        <f t="shared" si="85"/>
        <v>0</v>
      </c>
      <c r="J845" s="1340" t="e">
        <f t="shared" si="82"/>
        <v>#DIV/0!</v>
      </c>
      <c r="K845" s="1340">
        <f t="shared" si="83"/>
        <v>0</v>
      </c>
    </row>
    <row r="846" spans="1:11" ht="15" x14ac:dyDescent="0.25">
      <c r="A846" s="1341"/>
      <c r="B846" s="624">
        <v>67400</v>
      </c>
      <c r="C846" s="1344">
        <v>333909200000000</v>
      </c>
      <c r="D846" s="624" t="s">
        <v>3742</v>
      </c>
      <c r="E846" s="624">
        <v>1</v>
      </c>
      <c r="F846" s="643">
        <v>0</v>
      </c>
      <c r="G846" s="643">
        <v>0</v>
      </c>
      <c r="H846" s="26">
        <v>0</v>
      </c>
      <c r="I846" s="26">
        <f t="shared" si="85"/>
        <v>0</v>
      </c>
      <c r="J846" s="1340" t="e">
        <f t="shared" si="82"/>
        <v>#DIV/0!</v>
      </c>
      <c r="K846" s="1340">
        <f t="shared" si="83"/>
        <v>0</v>
      </c>
    </row>
    <row r="847" spans="1:11" ht="15" x14ac:dyDescent="0.25">
      <c r="A847" s="1341"/>
      <c r="B847" s="624">
        <v>67500</v>
      </c>
      <c r="C847" s="1344">
        <v>333909300000000</v>
      </c>
      <c r="D847" s="624" t="s">
        <v>3060</v>
      </c>
      <c r="E847" s="624">
        <v>1</v>
      </c>
      <c r="F847" s="643">
        <v>0</v>
      </c>
      <c r="G847" s="643">
        <v>0</v>
      </c>
      <c r="H847" s="26">
        <v>0</v>
      </c>
      <c r="I847" s="26">
        <f t="shared" si="85"/>
        <v>0</v>
      </c>
      <c r="J847" s="1340" t="e">
        <f t="shared" si="82"/>
        <v>#DIV/0!</v>
      </c>
      <c r="K847" s="1340">
        <f t="shared" si="83"/>
        <v>0</v>
      </c>
    </row>
    <row r="848" spans="1:11" ht="15" x14ac:dyDescent="0.25">
      <c r="A848" s="1341"/>
      <c r="B848" s="624">
        <v>67600</v>
      </c>
      <c r="C848" s="1344">
        <v>333933000000000</v>
      </c>
      <c r="D848" s="624" t="s">
        <v>3514</v>
      </c>
      <c r="E848" s="624">
        <v>1</v>
      </c>
      <c r="F848" s="643">
        <v>0</v>
      </c>
      <c r="G848" s="643">
        <v>0</v>
      </c>
      <c r="H848" s="26">
        <v>0</v>
      </c>
      <c r="I848" s="26">
        <f t="shared" si="85"/>
        <v>0</v>
      </c>
      <c r="J848" s="1340" t="e">
        <f t="shared" si="82"/>
        <v>#DIV/0!</v>
      </c>
      <c r="K848" s="1340">
        <f t="shared" si="83"/>
        <v>0</v>
      </c>
    </row>
    <row r="849" spans="1:11" ht="15" x14ac:dyDescent="0.25">
      <c r="A849" s="1341"/>
      <c r="B849" s="624">
        <v>67700</v>
      </c>
      <c r="C849" s="1344">
        <v>344905100000000</v>
      </c>
      <c r="D849" s="624" t="s">
        <v>4494</v>
      </c>
      <c r="E849" s="624">
        <v>1</v>
      </c>
      <c r="F849" s="643">
        <v>0</v>
      </c>
      <c r="G849" s="643">
        <v>0</v>
      </c>
      <c r="H849" s="26">
        <v>0</v>
      </c>
      <c r="I849" s="26">
        <f t="shared" si="85"/>
        <v>0</v>
      </c>
      <c r="J849" s="1340" t="e">
        <f t="shared" si="82"/>
        <v>#DIV/0!</v>
      </c>
      <c r="K849" s="1340">
        <f t="shared" si="83"/>
        <v>0</v>
      </c>
    </row>
    <row r="850" spans="1:11" ht="15" x14ac:dyDescent="0.25">
      <c r="A850" s="1341"/>
      <c r="B850" s="624">
        <v>67800</v>
      </c>
      <c r="C850" s="1344">
        <v>344905200000000</v>
      </c>
      <c r="D850" s="624" t="s">
        <v>3064</v>
      </c>
      <c r="E850" s="624">
        <v>1</v>
      </c>
      <c r="F850" s="643">
        <v>0</v>
      </c>
      <c r="G850" s="643">
        <v>0</v>
      </c>
      <c r="H850" s="26">
        <v>0</v>
      </c>
      <c r="I850" s="26">
        <f t="shared" si="85"/>
        <v>0</v>
      </c>
      <c r="J850" s="1340" t="e">
        <f t="shared" si="82"/>
        <v>#DIV/0!</v>
      </c>
      <c r="K850" s="1340">
        <f t="shared" si="83"/>
        <v>0</v>
      </c>
    </row>
    <row r="851" spans="1:11" ht="15" x14ac:dyDescent="0.25">
      <c r="A851" s="1341"/>
      <c r="B851" s="1598" t="s">
        <v>1575</v>
      </c>
      <c r="C851" s="1598"/>
      <c r="D851" s="1598"/>
      <c r="E851" s="1598"/>
      <c r="F851" s="25">
        <f>F831+F824</f>
        <v>79596.149999999994</v>
      </c>
      <c r="G851" s="25">
        <f>G831+G824</f>
        <v>98321.81</v>
      </c>
      <c r="H851" s="25">
        <f>H831+H824</f>
        <v>0</v>
      </c>
      <c r="I851" s="25">
        <f>I831+I824</f>
        <v>59305.986666666671</v>
      </c>
      <c r="J851" s="1338">
        <f t="shared" si="82"/>
        <v>1.2352583636268841</v>
      </c>
      <c r="K851" s="1338" t="e">
        <f>I851/I$820</f>
        <v>#DIV/0!</v>
      </c>
    </row>
    <row r="853" spans="1:11" ht="15" x14ac:dyDescent="0.25">
      <c r="B853" s="616" t="s">
        <v>7612</v>
      </c>
      <c r="F853" s="643"/>
    </row>
    <row r="854" spans="1:11" ht="45" customHeight="1" x14ac:dyDescent="0.25">
      <c r="B854" s="1343" t="s">
        <v>2967</v>
      </c>
      <c r="C854" s="1343" t="s">
        <v>472</v>
      </c>
      <c r="D854" s="1343" t="s">
        <v>2968</v>
      </c>
      <c r="E854" s="1343" t="s">
        <v>1403</v>
      </c>
      <c r="F854" s="1081">
        <v>2017</v>
      </c>
      <c r="G854" s="1081">
        <f>F854+1</f>
        <v>2018</v>
      </c>
      <c r="H854" s="1081">
        <f>G854+1</f>
        <v>2019</v>
      </c>
      <c r="I854" s="1082" t="s">
        <v>7336</v>
      </c>
      <c r="J854" s="1342" t="s">
        <v>7335</v>
      </c>
      <c r="K854" s="1342" t="s">
        <v>7334</v>
      </c>
    </row>
    <row r="855" spans="1:11" ht="15" x14ac:dyDescent="0.25">
      <c r="B855" s="1598" t="s">
        <v>1575</v>
      </c>
      <c r="C855" s="1598"/>
      <c r="D855" s="1598"/>
      <c r="E855" s="1598"/>
      <c r="F855" s="25">
        <v>0</v>
      </c>
      <c r="G855" s="25">
        <v>0</v>
      </c>
      <c r="H855" s="25">
        <v>0</v>
      </c>
      <c r="I855" s="25">
        <v>0</v>
      </c>
      <c r="J855" s="1338">
        <v>0</v>
      </c>
      <c r="K855" s="1338">
        <v>0</v>
      </c>
    </row>
    <row r="858" spans="1:11" ht="15" x14ac:dyDescent="0.25">
      <c r="B858" s="616" t="s">
        <v>4736</v>
      </c>
      <c r="F858" s="643"/>
    </row>
    <row r="859" spans="1:11" ht="45" customHeight="1" x14ac:dyDescent="0.25">
      <c r="B859" s="1343" t="s">
        <v>2967</v>
      </c>
      <c r="C859" s="1343" t="s">
        <v>472</v>
      </c>
      <c r="D859" s="1343" t="s">
        <v>2968</v>
      </c>
      <c r="E859" s="1343" t="s">
        <v>1403</v>
      </c>
      <c r="F859" s="1081">
        <v>2017</v>
      </c>
      <c r="G859" s="1081">
        <f>F859+1</f>
        <v>2018</v>
      </c>
      <c r="H859" s="1081">
        <f>G859+1</f>
        <v>2019</v>
      </c>
      <c r="I859" s="1082" t="s">
        <v>7336</v>
      </c>
      <c r="J859" s="1342" t="s">
        <v>7335</v>
      </c>
      <c r="K859" s="1342" t="s">
        <v>7334</v>
      </c>
    </row>
    <row r="860" spans="1:11" s="12" customFormat="1" ht="15" x14ac:dyDescent="0.25">
      <c r="A860" s="1081"/>
      <c r="B860" s="570" t="s">
        <v>2950</v>
      </c>
      <c r="C860" s="1345" t="s">
        <v>4687</v>
      </c>
      <c r="D860" s="570" t="s">
        <v>4688</v>
      </c>
      <c r="E860" s="570"/>
      <c r="F860" s="642">
        <f>SUM(F861:F873)</f>
        <v>267444.28999999998</v>
      </c>
      <c r="G860" s="642">
        <f>SUM(G861:G873)</f>
        <v>598</v>
      </c>
      <c r="H860" s="642">
        <f>SUM(H861:H873)</f>
        <v>0</v>
      </c>
      <c r="I860" s="642">
        <f>SUM(I861:I873)</f>
        <v>89347.43</v>
      </c>
      <c r="J860" s="1338">
        <f t="shared" ref="J860:J891" si="86">(G860/F860)+(H860/G860)/2</f>
        <v>2.2359796875827862E-3</v>
      </c>
      <c r="K860" s="1338">
        <f t="shared" ref="K860:K891" si="87">I860/I$998</f>
        <v>0.10509095824076801</v>
      </c>
    </row>
    <row r="861" spans="1:11" ht="15" x14ac:dyDescent="0.25">
      <c r="A861" s="1341"/>
      <c r="B861" s="624">
        <v>70000</v>
      </c>
      <c r="C861" s="1344">
        <v>333904700000000</v>
      </c>
      <c r="D861" s="624" t="s">
        <v>7611</v>
      </c>
      <c r="E861" s="624">
        <v>20</v>
      </c>
      <c r="F861" s="643">
        <v>0</v>
      </c>
      <c r="G861" s="643">
        <v>0</v>
      </c>
      <c r="H861" s="26">
        <v>0</v>
      </c>
      <c r="I861" s="26">
        <f t="shared" ref="I861:I873" si="88">(F861+G861+H861)/3</f>
        <v>0</v>
      </c>
      <c r="J861" s="1340" t="e">
        <f t="shared" si="86"/>
        <v>#DIV/0!</v>
      </c>
      <c r="K861" s="1340">
        <f t="shared" si="87"/>
        <v>0</v>
      </c>
    </row>
    <row r="862" spans="1:11" ht="15" x14ac:dyDescent="0.25">
      <c r="A862" s="1341"/>
      <c r="B862" s="624">
        <v>70200</v>
      </c>
      <c r="C862" s="1344">
        <v>333904700000000</v>
      </c>
      <c r="D862" s="624" t="s">
        <v>5653</v>
      </c>
      <c r="E862" s="624">
        <v>20</v>
      </c>
      <c r="F862" s="643">
        <v>0</v>
      </c>
      <c r="G862" s="643">
        <v>0</v>
      </c>
      <c r="H862" s="26">
        <v>0</v>
      </c>
      <c r="I862" s="26">
        <f t="shared" si="88"/>
        <v>0</v>
      </c>
      <c r="J862" s="1340" t="e">
        <f t="shared" si="86"/>
        <v>#DIV/0!</v>
      </c>
      <c r="K862" s="1340">
        <f t="shared" si="87"/>
        <v>0</v>
      </c>
    </row>
    <row r="863" spans="1:11" ht="15" x14ac:dyDescent="0.25">
      <c r="A863" s="1341"/>
      <c r="B863" s="624">
        <v>70020</v>
      </c>
      <c r="C863" s="1344">
        <v>344903000000000</v>
      </c>
      <c r="D863" s="624" t="s">
        <v>5660</v>
      </c>
      <c r="E863" s="624">
        <v>20</v>
      </c>
      <c r="F863" s="643">
        <v>0</v>
      </c>
      <c r="G863" s="643">
        <v>0</v>
      </c>
      <c r="H863" s="26">
        <v>0</v>
      </c>
      <c r="I863" s="26">
        <f t="shared" si="88"/>
        <v>0</v>
      </c>
      <c r="J863" s="1340" t="e">
        <f t="shared" si="86"/>
        <v>#DIV/0!</v>
      </c>
      <c r="K863" s="1340">
        <f t="shared" si="87"/>
        <v>0</v>
      </c>
    </row>
    <row r="864" spans="1:11" ht="15" x14ac:dyDescent="0.25">
      <c r="A864" s="1341"/>
      <c r="B864" s="624">
        <v>70220</v>
      </c>
      <c r="C864" s="1344">
        <v>344903000000000</v>
      </c>
      <c r="D864" s="624" t="s">
        <v>7610</v>
      </c>
      <c r="E864" s="624">
        <v>20</v>
      </c>
      <c r="F864" s="643">
        <v>0</v>
      </c>
      <c r="G864" s="643">
        <v>0</v>
      </c>
      <c r="H864" s="26">
        <v>0</v>
      </c>
      <c r="I864" s="26">
        <f t="shared" si="88"/>
        <v>0</v>
      </c>
      <c r="J864" s="1340" t="e">
        <f t="shared" si="86"/>
        <v>#DIV/0!</v>
      </c>
      <c r="K864" s="1340">
        <f t="shared" si="87"/>
        <v>0</v>
      </c>
    </row>
    <row r="865" spans="1:11" ht="15" x14ac:dyDescent="0.25">
      <c r="A865" s="1341"/>
      <c r="B865" s="624">
        <v>70060</v>
      </c>
      <c r="C865" s="1344">
        <v>344903600000000</v>
      </c>
      <c r="D865" s="624" t="s">
        <v>5661</v>
      </c>
      <c r="E865" s="624">
        <v>20</v>
      </c>
      <c r="F865" s="643">
        <v>0</v>
      </c>
      <c r="G865" s="643">
        <v>0</v>
      </c>
      <c r="H865" s="26">
        <v>0</v>
      </c>
      <c r="I865" s="26">
        <f t="shared" si="88"/>
        <v>0</v>
      </c>
      <c r="J865" s="1340" t="e">
        <f t="shared" si="86"/>
        <v>#DIV/0!</v>
      </c>
      <c r="K865" s="1340">
        <f t="shared" si="87"/>
        <v>0</v>
      </c>
    </row>
    <row r="866" spans="1:11" ht="15" x14ac:dyDescent="0.25">
      <c r="A866" s="1341"/>
      <c r="B866" s="624">
        <v>70240</v>
      </c>
      <c r="C866" s="1344">
        <v>344903600000000</v>
      </c>
      <c r="D866" s="624" t="s">
        <v>5655</v>
      </c>
      <c r="E866" s="624">
        <v>1</v>
      </c>
      <c r="F866" s="643">
        <v>0</v>
      </c>
      <c r="G866" s="643">
        <v>0</v>
      </c>
      <c r="H866" s="26">
        <v>0</v>
      </c>
      <c r="I866" s="26">
        <f t="shared" si="88"/>
        <v>0</v>
      </c>
      <c r="J866" s="1340" t="e">
        <f t="shared" si="86"/>
        <v>#DIV/0!</v>
      </c>
      <c r="K866" s="1340">
        <f t="shared" si="87"/>
        <v>0</v>
      </c>
    </row>
    <row r="867" spans="1:11" ht="15" x14ac:dyDescent="0.25">
      <c r="A867" s="1341"/>
      <c r="B867" s="624">
        <v>70090</v>
      </c>
      <c r="C867" s="1344">
        <v>344903900000000</v>
      </c>
      <c r="D867" s="624" t="s">
        <v>7609</v>
      </c>
      <c r="E867" s="624">
        <v>20</v>
      </c>
      <c r="F867" s="643">
        <v>0</v>
      </c>
      <c r="G867" s="643">
        <v>0</v>
      </c>
      <c r="H867" s="26">
        <v>0</v>
      </c>
      <c r="I867" s="26">
        <f t="shared" si="88"/>
        <v>0</v>
      </c>
      <c r="J867" s="1340" t="e">
        <f t="shared" si="86"/>
        <v>#DIV/0!</v>
      </c>
      <c r="K867" s="1340">
        <f t="shared" si="87"/>
        <v>0</v>
      </c>
    </row>
    <row r="868" spans="1:11" ht="15" x14ac:dyDescent="0.25">
      <c r="A868" s="1341"/>
      <c r="B868" s="624">
        <v>70260</v>
      </c>
      <c r="C868" s="1344">
        <v>344903900000000</v>
      </c>
      <c r="D868" s="624" t="s">
        <v>7608</v>
      </c>
      <c r="E868" s="624">
        <v>20</v>
      </c>
      <c r="F868" s="643">
        <v>0</v>
      </c>
      <c r="G868" s="643">
        <v>0</v>
      </c>
      <c r="H868" s="26">
        <v>0</v>
      </c>
      <c r="I868" s="26">
        <f t="shared" si="88"/>
        <v>0</v>
      </c>
      <c r="J868" s="1340" t="e">
        <f t="shared" si="86"/>
        <v>#DIV/0!</v>
      </c>
      <c r="K868" s="1340">
        <f t="shared" si="87"/>
        <v>0</v>
      </c>
    </row>
    <row r="869" spans="1:11" ht="15" x14ac:dyDescent="0.25">
      <c r="A869" s="1341"/>
      <c r="B869" s="624">
        <v>70110</v>
      </c>
      <c r="C869" s="1344">
        <v>344905100000000</v>
      </c>
      <c r="D869" s="624" t="s">
        <v>5663</v>
      </c>
      <c r="E869" s="624">
        <v>20</v>
      </c>
      <c r="F869" s="643">
        <v>263189.28999999998</v>
      </c>
      <c r="G869" s="643">
        <v>0</v>
      </c>
      <c r="H869" s="26">
        <v>0</v>
      </c>
      <c r="I869" s="26">
        <f t="shared" si="88"/>
        <v>87729.763333333321</v>
      </c>
      <c r="J869" s="1340" t="e">
        <f t="shared" si="86"/>
        <v>#DIV/0!</v>
      </c>
      <c r="K869" s="1340">
        <f t="shared" si="87"/>
        <v>0.10318824945424612</v>
      </c>
    </row>
    <row r="870" spans="1:11" ht="15" x14ac:dyDescent="0.25">
      <c r="A870" s="1341"/>
      <c r="B870" s="624">
        <v>70280</v>
      </c>
      <c r="C870" s="1344">
        <v>344905100000000</v>
      </c>
      <c r="D870" s="624" t="s">
        <v>5657</v>
      </c>
      <c r="E870" s="624">
        <v>20</v>
      </c>
      <c r="F870" s="643">
        <v>0</v>
      </c>
      <c r="G870" s="643">
        <v>0</v>
      </c>
      <c r="H870" s="26">
        <v>0</v>
      </c>
      <c r="I870" s="26">
        <f t="shared" si="88"/>
        <v>0</v>
      </c>
      <c r="J870" s="1340" t="e">
        <f t="shared" si="86"/>
        <v>#DIV/0!</v>
      </c>
      <c r="K870" s="1340">
        <f t="shared" si="87"/>
        <v>0</v>
      </c>
    </row>
    <row r="871" spans="1:11" ht="15" x14ac:dyDescent="0.25">
      <c r="A871" s="1341"/>
      <c r="B871" s="624">
        <v>70140</v>
      </c>
      <c r="C871" s="1344">
        <v>344905200000000</v>
      </c>
      <c r="D871" s="624" t="s">
        <v>7607</v>
      </c>
      <c r="E871" s="624">
        <v>20</v>
      </c>
      <c r="F871" s="643">
        <v>0</v>
      </c>
      <c r="G871" s="643">
        <v>0</v>
      </c>
      <c r="H871" s="26">
        <v>0</v>
      </c>
      <c r="I871" s="26">
        <f t="shared" si="88"/>
        <v>0</v>
      </c>
      <c r="J871" s="1340" t="e">
        <f t="shared" si="86"/>
        <v>#DIV/0!</v>
      </c>
      <c r="K871" s="1340">
        <f t="shared" si="87"/>
        <v>0</v>
      </c>
    </row>
    <row r="872" spans="1:11" ht="15" x14ac:dyDescent="0.25">
      <c r="A872" s="1341"/>
      <c r="B872" s="624">
        <v>70300</v>
      </c>
      <c r="C872" s="1344">
        <v>344905200000000</v>
      </c>
      <c r="D872" s="624" t="s">
        <v>7606</v>
      </c>
      <c r="E872" s="624">
        <v>20</v>
      </c>
      <c r="F872" s="643">
        <v>4255</v>
      </c>
      <c r="G872" s="643">
        <v>598</v>
      </c>
      <c r="H872" s="26">
        <v>0</v>
      </c>
      <c r="I872" s="26">
        <f t="shared" si="88"/>
        <v>1617.6666666666667</v>
      </c>
      <c r="J872" s="1340">
        <f t="shared" si="86"/>
        <v>0.14054054054054055</v>
      </c>
      <c r="K872" s="1340">
        <f t="shared" si="87"/>
        <v>1.9027087865218851E-3</v>
      </c>
    </row>
    <row r="873" spans="1:11" ht="15" x14ac:dyDescent="0.25">
      <c r="A873" s="1341"/>
      <c r="B873" s="624">
        <v>70400</v>
      </c>
      <c r="C873" s="1344">
        <v>344905200000000</v>
      </c>
      <c r="D873" s="624" t="s">
        <v>6896</v>
      </c>
      <c r="E873" s="624">
        <v>1036</v>
      </c>
      <c r="F873" s="643">
        <v>0</v>
      </c>
      <c r="G873" s="643">
        <v>0</v>
      </c>
      <c r="H873" s="26">
        <v>0</v>
      </c>
      <c r="I873" s="26">
        <f t="shared" si="88"/>
        <v>0</v>
      </c>
      <c r="J873" s="1340" t="e">
        <f t="shared" si="86"/>
        <v>#DIV/0!</v>
      </c>
      <c r="K873" s="1340">
        <f t="shared" si="87"/>
        <v>0</v>
      </c>
    </row>
    <row r="874" spans="1:11" s="12" customFormat="1" ht="15" x14ac:dyDescent="0.25">
      <c r="A874" s="1081"/>
      <c r="B874" s="570" t="s">
        <v>2965</v>
      </c>
      <c r="C874" s="1345">
        <v>5</v>
      </c>
      <c r="D874" s="570" t="s">
        <v>4692</v>
      </c>
      <c r="E874" s="570"/>
      <c r="F874" s="642">
        <f>SUM(F875:F901)</f>
        <v>1029796.2500000001</v>
      </c>
      <c r="G874" s="642">
        <f>SUM(G875:G901)</f>
        <v>1191976.9609999999</v>
      </c>
      <c r="H874" s="642">
        <f>SUM(H875:H901)</f>
        <v>0</v>
      </c>
      <c r="I874" s="642">
        <f>SUM(I875:I901)</f>
        <v>740591.07033333334</v>
      </c>
      <c r="J874" s="1338">
        <f t="shared" si="86"/>
        <v>1.1574881545742663</v>
      </c>
      <c r="K874" s="1338">
        <f t="shared" si="87"/>
        <v>0.87108745316889391</v>
      </c>
    </row>
    <row r="875" spans="1:11" ht="15" x14ac:dyDescent="0.25">
      <c r="A875" s="1341"/>
      <c r="B875" s="624">
        <v>71000</v>
      </c>
      <c r="C875" s="1344">
        <v>331900400000000</v>
      </c>
      <c r="D875" s="624" t="s">
        <v>3648</v>
      </c>
      <c r="E875" s="624">
        <v>20</v>
      </c>
      <c r="F875" s="643">
        <v>46404.57</v>
      </c>
      <c r="G875" s="643">
        <v>28284.85</v>
      </c>
      <c r="H875" s="26">
        <v>0</v>
      </c>
      <c r="I875" s="26">
        <f t="shared" ref="I875:I901" si="89">(F875+G875+H875)/3</f>
        <v>24896.473333333332</v>
      </c>
      <c r="J875" s="1340">
        <f t="shared" si="86"/>
        <v>0.60952725130305052</v>
      </c>
      <c r="K875" s="1340">
        <f t="shared" si="87"/>
        <v>2.9283374344575192E-2</v>
      </c>
    </row>
    <row r="876" spans="1:11" ht="15" x14ac:dyDescent="0.25">
      <c r="A876" s="1341"/>
      <c r="B876" s="624">
        <v>71050</v>
      </c>
      <c r="C876" s="1344">
        <v>331900800000000</v>
      </c>
      <c r="D876" s="624" t="s">
        <v>7605</v>
      </c>
      <c r="E876" s="624">
        <v>1</v>
      </c>
      <c r="F876" s="643">
        <v>23427.58</v>
      </c>
      <c r="G876" s="643">
        <f>9325.35</f>
        <v>9325.35</v>
      </c>
      <c r="H876" s="26">
        <v>0</v>
      </c>
      <c r="I876" s="26">
        <f t="shared" si="89"/>
        <v>10917.643333333333</v>
      </c>
      <c r="J876" s="1340">
        <f t="shared" si="86"/>
        <v>0.39805007602150966</v>
      </c>
      <c r="K876" s="1340">
        <f t="shared" si="87"/>
        <v>1.2841394538499123E-2</v>
      </c>
    </row>
    <row r="877" spans="1:11" ht="15" x14ac:dyDescent="0.25">
      <c r="A877" s="1341"/>
      <c r="B877" s="624">
        <v>71100</v>
      </c>
      <c r="C877" s="1344">
        <v>331901100000000</v>
      </c>
      <c r="D877" s="624" t="s">
        <v>7604</v>
      </c>
      <c r="E877" s="624">
        <v>20</v>
      </c>
      <c r="F877" s="643">
        <v>570735.35999999999</v>
      </c>
      <c r="G877" s="643">
        <v>721357.96</v>
      </c>
      <c r="H877" s="26">
        <v>0</v>
      </c>
      <c r="I877" s="26">
        <f t="shared" si="89"/>
        <v>430697.77333333326</v>
      </c>
      <c r="J877" s="1340">
        <f t="shared" si="86"/>
        <v>1.2639097041402867</v>
      </c>
      <c r="K877" s="1340">
        <f t="shared" si="87"/>
        <v>0.50658918462193148</v>
      </c>
    </row>
    <row r="878" spans="1:11" ht="15" x14ac:dyDescent="0.25">
      <c r="A878" s="1341"/>
      <c r="B878" s="624">
        <v>71200</v>
      </c>
      <c r="C878" s="1344">
        <v>331901300000000</v>
      </c>
      <c r="D878" s="624" t="s">
        <v>7603</v>
      </c>
      <c r="E878" s="624">
        <v>20</v>
      </c>
      <c r="F878" s="643">
        <v>129979.26</v>
      </c>
      <c r="G878" s="643">
        <v>164197.54</v>
      </c>
      <c r="H878" s="26">
        <v>0</v>
      </c>
      <c r="I878" s="26">
        <f t="shared" si="89"/>
        <v>98058.933333333334</v>
      </c>
      <c r="J878" s="1340">
        <f t="shared" si="86"/>
        <v>1.2632595384832934</v>
      </c>
      <c r="K878" s="1340">
        <f t="shared" si="87"/>
        <v>0.11533747829196193</v>
      </c>
    </row>
    <row r="879" spans="1:11" ht="15" x14ac:dyDescent="0.25">
      <c r="A879" s="1341"/>
      <c r="B879" s="624">
        <v>71300</v>
      </c>
      <c r="C879" s="1344">
        <v>331901600000000</v>
      </c>
      <c r="D879" s="624" t="s">
        <v>7602</v>
      </c>
      <c r="E879" s="624">
        <v>20</v>
      </c>
      <c r="F879" s="643">
        <v>11002.88</v>
      </c>
      <c r="G879" s="643">
        <v>18325.18</v>
      </c>
      <c r="H879" s="26">
        <v>0</v>
      </c>
      <c r="I879" s="26">
        <f t="shared" si="89"/>
        <v>9776.0199999999986</v>
      </c>
      <c r="J879" s="1340">
        <f t="shared" si="86"/>
        <v>1.6654893991391346</v>
      </c>
      <c r="K879" s="1340">
        <f t="shared" si="87"/>
        <v>1.1498610643651562E-2</v>
      </c>
    </row>
    <row r="880" spans="1:11" ht="15" x14ac:dyDescent="0.25">
      <c r="A880" s="1341"/>
      <c r="B880" s="624">
        <v>71350</v>
      </c>
      <c r="C880" s="1344">
        <v>331903400000000</v>
      </c>
      <c r="D880" s="624" t="s">
        <v>7601</v>
      </c>
      <c r="E880" s="624">
        <v>20</v>
      </c>
      <c r="F880" s="643">
        <v>0</v>
      </c>
      <c r="G880" s="643">
        <v>4814</v>
      </c>
      <c r="H880" s="26">
        <v>0</v>
      </c>
      <c r="I880" s="26">
        <f t="shared" si="89"/>
        <v>1604.6666666666667</v>
      </c>
      <c r="J880" s="1340" t="e">
        <f t="shared" si="86"/>
        <v>#DIV/0!</v>
      </c>
      <c r="K880" s="1340">
        <f t="shared" si="87"/>
        <v>1.8874181121607985E-3</v>
      </c>
    </row>
    <row r="881" spans="1:11" ht="15" x14ac:dyDescent="0.25">
      <c r="A881" s="1341"/>
      <c r="B881" s="624">
        <v>71400</v>
      </c>
      <c r="C881" s="1344">
        <v>331909400000000</v>
      </c>
      <c r="D881" s="624" t="s">
        <v>7600</v>
      </c>
      <c r="E881" s="624">
        <v>20</v>
      </c>
      <c r="F881" s="643">
        <v>5666.67</v>
      </c>
      <c r="G881" s="643">
        <v>16018.32</v>
      </c>
      <c r="H881" s="26">
        <v>0</v>
      </c>
      <c r="I881" s="26">
        <f t="shared" si="89"/>
        <v>7228.329999999999</v>
      </c>
      <c r="J881" s="1340">
        <f t="shared" si="86"/>
        <v>2.8267606901407705</v>
      </c>
      <c r="K881" s="1340">
        <f t="shared" si="87"/>
        <v>8.5020030926518039E-3</v>
      </c>
    </row>
    <row r="882" spans="1:11" ht="15" x14ac:dyDescent="0.25">
      <c r="A882" s="1341"/>
      <c r="B882" s="624">
        <v>71500</v>
      </c>
      <c r="C882" s="1344">
        <v>333901400000000</v>
      </c>
      <c r="D882" s="624" t="s">
        <v>7599</v>
      </c>
      <c r="E882" s="624">
        <v>20</v>
      </c>
      <c r="F882" s="643">
        <v>5207</v>
      </c>
      <c r="G882" s="643">
        <v>9900</v>
      </c>
      <c r="H882" s="26">
        <v>0</v>
      </c>
      <c r="I882" s="26">
        <f t="shared" si="89"/>
        <v>5035.666666666667</v>
      </c>
      <c r="J882" s="1340">
        <f t="shared" si="86"/>
        <v>1.9012867294027271</v>
      </c>
      <c r="K882" s="1340">
        <f t="shared" si="87"/>
        <v>5.9229799377675911E-3</v>
      </c>
    </row>
    <row r="883" spans="1:11" ht="15" x14ac:dyDescent="0.25">
      <c r="A883" s="1341"/>
      <c r="B883" s="624">
        <v>72900</v>
      </c>
      <c r="C883" s="1344">
        <v>333901400000000</v>
      </c>
      <c r="D883" s="624" t="s">
        <v>7598</v>
      </c>
      <c r="E883" s="624">
        <v>20</v>
      </c>
      <c r="F883" s="643">
        <v>0</v>
      </c>
      <c r="G883" s="643">
        <v>0</v>
      </c>
      <c r="H883" s="26">
        <v>0</v>
      </c>
      <c r="I883" s="26">
        <f t="shared" si="89"/>
        <v>0</v>
      </c>
      <c r="J883" s="1340" t="e">
        <f t="shared" si="86"/>
        <v>#DIV/0!</v>
      </c>
      <c r="K883" s="1340">
        <f t="shared" si="87"/>
        <v>0</v>
      </c>
    </row>
    <row r="884" spans="1:11" ht="15" x14ac:dyDescent="0.25">
      <c r="A884" s="1341"/>
      <c r="B884" s="624">
        <v>71600</v>
      </c>
      <c r="C884" s="1344">
        <v>333903000000000</v>
      </c>
      <c r="D884" s="624" t="s">
        <v>7597</v>
      </c>
      <c r="E884" s="624">
        <v>20</v>
      </c>
      <c r="F884" s="643">
        <v>62793.02</v>
      </c>
      <c r="G884" s="643">
        <v>73088.58</v>
      </c>
      <c r="H884" s="26">
        <v>0</v>
      </c>
      <c r="I884" s="26">
        <f t="shared" si="89"/>
        <v>45293.866666666669</v>
      </c>
      <c r="J884" s="1340">
        <f t="shared" si="86"/>
        <v>1.1639602618252793</v>
      </c>
      <c r="K884" s="1340">
        <f t="shared" si="87"/>
        <v>5.3274905058036719E-2</v>
      </c>
    </row>
    <row r="885" spans="1:11" ht="15" x14ac:dyDescent="0.25">
      <c r="A885" s="1341"/>
      <c r="B885" s="624">
        <v>71700</v>
      </c>
      <c r="C885" s="1344">
        <v>333903300000000</v>
      </c>
      <c r="D885" s="624" t="s">
        <v>7596</v>
      </c>
      <c r="E885" s="624">
        <v>20</v>
      </c>
      <c r="F885" s="643">
        <v>159</v>
      </c>
      <c r="G885" s="643">
        <v>2166.4699999999998</v>
      </c>
      <c r="H885" s="26">
        <v>0</v>
      </c>
      <c r="I885" s="26">
        <f t="shared" si="89"/>
        <v>775.15666666666664</v>
      </c>
      <c r="J885" s="1340">
        <f t="shared" si="86"/>
        <v>13.625597484276728</v>
      </c>
      <c r="K885" s="1340">
        <f t="shared" si="87"/>
        <v>9.1174370529426084E-4</v>
      </c>
    </row>
    <row r="886" spans="1:11" ht="15" x14ac:dyDescent="0.25">
      <c r="A886" s="1341"/>
      <c r="B886" s="624">
        <v>72920</v>
      </c>
      <c r="C886" s="1344">
        <v>333903300000000</v>
      </c>
      <c r="D886" s="624" t="s">
        <v>7595</v>
      </c>
      <c r="E886" s="624">
        <v>20</v>
      </c>
      <c r="F886" s="643">
        <v>0</v>
      </c>
      <c r="G886" s="643">
        <v>0</v>
      </c>
      <c r="H886" s="26">
        <v>0</v>
      </c>
      <c r="I886" s="26">
        <f t="shared" si="89"/>
        <v>0</v>
      </c>
      <c r="J886" s="1340" t="e">
        <f t="shared" si="86"/>
        <v>#DIV/0!</v>
      </c>
      <c r="K886" s="1340">
        <f t="shared" si="87"/>
        <v>0</v>
      </c>
    </row>
    <row r="887" spans="1:11" ht="15" x14ac:dyDescent="0.25">
      <c r="A887" s="1341"/>
      <c r="B887" s="624">
        <v>71800</v>
      </c>
      <c r="C887" s="1344">
        <v>333903500000000</v>
      </c>
      <c r="D887" s="624" t="s">
        <v>7594</v>
      </c>
      <c r="E887" s="624">
        <v>20</v>
      </c>
      <c r="F887" s="643">
        <v>0</v>
      </c>
      <c r="G887" s="643">
        <v>0</v>
      </c>
      <c r="H887" s="26">
        <v>0</v>
      </c>
      <c r="I887" s="26">
        <f t="shared" si="89"/>
        <v>0</v>
      </c>
      <c r="J887" s="1340" t="e">
        <f t="shared" si="86"/>
        <v>#DIV/0!</v>
      </c>
      <c r="K887" s="1340">
        <f t="shared" si="87"/>
        <v>0</v>
      </c>
    </row>
    <row r="888" spans="1:11" ht="15" x14ac:dyDescent="0.25">
      <c r="A888" s="1341"/>
      <c r="B888" s="624">
        <v>71900</v>
      </c>
      <c r="C888" s="1344">
        <v>333903600000000</v>
      </c>
      <c r="D888" s="624" t="s">
        <v>7593</v>
      </c>
      <c r="E888" s="624">
        <v>20</v>
      </c>
      <c r="F888" s="643">
        <v>28114.400000000001</v>
      </c>
      <c r="G888" s="643">
        <v>23558.44</v>
      </c>
      <c r="H888" s="26">
        <v>0</v>
      </c>
      <c r="I888" s="26">
        <f t="shared" si="89"/>
        <v>17224.28</v>
      </c>
      <c r="J888" s="1340">
        <f t="shared" si="86"/>
        <v>0.8379492359787154</v>
      </c>
      <c r="K888" s="1340">
        <f t="shared" si="87"/>
        <v>2.0259296660321353E-2</v>
      </c>
    </row>
    <row r="889" spans="1:11" ht="15" x14ac:dyDescent="0.25">
      <c r="A889" s="1341"/>
      <c r="B889" s="624">
        <v>72940</v>
      </c>
      <c r="C889" s="1344">
        <v>333903600000000</v>
      </c>
      <c r="D889" s="624" t="s">
        <v>7592</v>
      </c>
      <c r="E889" s="624">
        <v>20</v>
      </c>
      <c r="F889" s="643">
        <v>0</v>
      </c>
      <c r="G889" s="643">
        <v>0</v>
      </c>
      <c r="H889" s="26">
        <v>0</v>
      </c>
      <c r="I889" s="26">
        <f t="shared" si="89"/>
        <v>0</v>
      </c>
      <c r="J889" s="1340" t="e">
        <f t="shared" si="86"/>
        <v>#DIV/0!</v>
      </c>
      <c r="K889" s="1340">
        <f t="shared" si="87"/>
        <v>0</v>
      </c>
    </row>
    <row r="890" spans="1:11" ht="15" x14ac:dyDescent="0.25">
      <c r="A890" s="1341"/>
      <c r="B890" s="624">
        <v>72000</v>
      </c>
      <c r="C890" s="1344">
        <v>333903900000000</v>
      </c>
      <c r="D890" s="624" t="s">
        <v>7591</v>
      </c>
      <c r="E890" s="624">
        <v>20</v>
      </c>
      <c r="F890" s="643">
        <f>79788.25-18064.77</f>
        <v>61723.479999999996</v>
      </c>
      <c r="G890" s="643">
        <f>56600.65-11420.19</f>
        <v>45180.46</v>
      </c>
      <c r="H890" s="26">
        <v>0</v>
      </c>
      <c r="I890" s="26">
        <f t="shared" si="89"/>
        <v>35634.646666666667</v>
      </c>
      <c r="J890" s="1340">
        <f t="shared" si="86"/>
        <v>0.73198173531369271</v>
      </c>
      <c r="K890" s="1340">
        <f t="shared" si="87"/>
        <v>4.1913675242490914E-2</v>
      </c>
    </row>
    <row r="891" spans="1:11" ht="15" x14ac:dyDescent="0.25">
      <c r="A891" s="1341"/>
      <c r="B891" s="624">
        <v>72960</v>
      </c>
      <c r="C891" s="1344">
        <v>333903900000000</v>
      </c>
      <c r="D891" s="624" t="s">
        <v>7590</v>
      </c>
      <c r="E891" s="624">
        <v>20</v>
      </c>
      <c r="F891" s="643">
        <v>0</v>
      </c>
      <c r="G891" s="643">
        <v>0</v>
      </c>
      <c r="H891" s="26">
        <v>0</v>
      </c>
      <c r="I891" s="26">
        <f t="shared" si="89"/>
        <v>0</v>
      </c>
      <c r="J891" s="1340" t="e">
        <f t="shared" si="86"/>
        <v>#DIV/0!</v>
      </c>
      <c r="K891" s="1340">
        <f t="shared" si="87"/>
        <v>0</v>
      </c>
    </row>
    <row r="892" spans="1:11" ht="15" x14ac:dyDescent="0.25">
      <c r="A892" s="1341"/>
      <c r="B892" s="624">
        <v>72980</v>
      </c>
      <c r="C892" s="1344">
        <v>333903900000000</v>
      </c>
      <c r="D892" s="624" t="s">
        <v>7589</v>
      </c>
      <c r="E892" s="624">
        <v>20</v>
      </c>
      <c r="F892" s="643">
        <v>0</v>
      </c>
      <c r="G892" s="643">
        <v>0</v>
      </c>
      <c r="H892" s="26">
        <v>0</v>
      </c>
      <c r="I892" s="26">
        <f t="shared" si="89"/>
        <v>0</v>
      </c>
      <c r="J892" s="1340" t="e">
        <f t="shared" ref="J892:J923" si="90">(G892/F892)+(H892/G892)/2</f>
        <v>#DIV/0!</v>
      </c>
      <c r="K892" s="1340">
        <f t="shared" ref="K892:K923" si="91">I892/I$998</f>
        <v>0</v>
      </c>
    </row>
    <row r="893" spans="1:11" ht="15" x14ac:dyDescent="0.25">
      <c r="A893" s="1341"/>
      <c r="B893" s="624">
        <v>72850</v>
      </c>
      <c r="C893" s="1344">
        <v>333904000000000</v>
      </c>
      <c r="D893" s="624" t="s">
        <v>7588</v>
      </c>
      <c r="E893" s="624">
        <v>20</v>
      </c>
      <c r="F893" s="643">
        <f>5395.94+9398.51+3270.32</f>
        <v>18064.77</v>
      </c>
      <c r="G893" s="643">
        <f>4993.08+3500+2927.111</f>
        <v>11420.190999999999</v>
      </c>
      <c r="H893" s="26">
        <v>0</v>
      </c>
      <c r="I893" s="26">
        <f t="shared" si="89"/>
        <v>9828.3203333333331</v>
      </c>
      <c r="J893" s="1340">
        <f t="shared" si="90"/>
        <v>0.63218026025241392</v>
      </c>
      <c r="K893" s="1340">
        <f t="shared" si="91"/>
        <v>1.1560126594880508E-2</v>
      </c>
    </row>
    <row r="894" spans="1:11" ht="15" x14ac:dyDescent="0.25">
      <c r="A894" s="1341"/>
      <c r="B894" s="624">
        <v>72100</v>
      </c>
      <c r="C894" s="1344">
        <v>333904600000000</v>
      </c>
      <c r="D894" s="624" t="s">
        <v>7587</v>
      </c>
      <c r="E894" s="624">
        <v>1</v>
      </c>
      <c r="F894" s="643">
        <v>0</v>
      </c>
      <c r="G894" s="643">
        <v>0</v>
      </c>
      <c r="H894" s="26">
        <v>0</v>
      </c>
      <c r="I894" s="26">
        <f t="shared" si="89"/>
        <v>0</v>
      </c>
      <c r="J894" s="1340" t="e">
        <f t="shared" si="90"/>
        <v>#DIV/0!</v>
      </c>
      <c r="K894" s="1340">
        <f t="shared" si="91"/>
        <v>0</v>
      </c>
    </row>
    <row r="895" spans="1:11" ht="15" x14ac:dyDescent="0.25">
      <c r="A895" s="1341"/>
      <c r="B895" s="624">
        <v>72200</v>
      </c>
      <c r="C895" s="1344">
        <v>333904700000000</v>
      </c>
      <c r="D895" s="624" t="s">
        <v>7586</v>
      </c>
      <c r="E895" s="624">
        <v>20</v>
      </c>
      <c r="F895" s="643">
        <v>1306.5999999999999</v>
      </c>
      <c r="G895" s="643">
        <v>527.4</v>
      </c>
      <c r="H895" s="26">
        <v>0</v>
      </c>
      <c r="I895" s="26">
        <f t="shared" si="89"/>
        <v>611.33333333333337</v>
      </c>
      <c r="J895" s="1340">
        <f t="shared" si="90"/>
        <v>0.40364304301239862</v>
      </c>
      <c r="K895" s="1340">
        <f t="shared" si="91"/>
        <v>7.1905376354443383E-4</v>
      </c>
    </row>
    <row r="896" spans="1:11" ht="15" x14ac:dyDescent="0.25">
      <c r="A896" s="1341"/>
      <c r="B896" s="624">
        <v>72300</v>
      </c>
      <c r="C896" s="1344">
        <v>333904900000000</v>
      </c>
      <c r="D896" s="624" t="s">
        <v>7585</v>
      </c>
      <c r="E896" s="624">
        <v>20</v>
      </c>
      <c r="F896" s="643">
        <v>52165.66</v>
      </c>
      <c r="G896" s="643">
        <v>59088.77</v>
      </c>
      <c r="H896" s="26">
        <v>0</v>
      </c>
      <c r="I896" s="26">
        <f t="shared" si="89"/>
        <v>37084.81</v>
      </c>
      <c r="J896" s="1340">
        <f t="shared" si="90"/>
        <v>1.1327139347992528</v>
      </c>
      <c r="K896" s="1340">
        <f t="shared" si="91"/>
        <v>4.3619365650213064E-2</v>
      </c>
    </row>
    <row r="897" spans="1:11" ht="15" x14ac:dyDescent="0.25">
      <c r="A897" s="1341"/>
      <c r="B897" s="624">
        <v>72400</v>
      </c>
      <c r="C897" s="1344">
        <v>333909200000000</v>
      </c>
      <c r="D897" s="624" t="s">
        <v>7584</v>
      </c>
      <c r="E897" s="624">
        <v>20</v>
      </c>
      <c r="F897" s="643">
        <v>0</v>
      </c>
      <c r="G897" s="643">
        <v>0</v>
      </c>
      <c r="H897" s="26">
        <v>0</v>
      </c>
      <c r="I897" s="26">
        <f t="shared" si="89"/>
        <v>0</v>
      </c>
      <c r="J897" s="1340" t="e">
        <f t="shared" si="90"/>
        <v>#DIV/0!</v>
      </c>
      <c r="K897" s="1340">
        <f t="shared" si="91"/>
        <v>0</v>
      </c>
    </row>
    <row r="898" spans="1:11" ht="15" x14ac:dyDescent="0.25">
      <c r="A898" s="1341"/>
      <c r="B898" s="624">
        <v>72500</v>
      </c>
      <c r="C898" s="1344">
        <v>333909300000000</v>
      </c>
      <c r="D898" s="624" t="s">
        <v>7583</v>
      </c>
      <c r="E898" s="624">
        <v>20</v>
      </c>
      <c r="F898" s="643">
        <v>58</v>
      </c>
      <c r="G898" s="643">
        <v>134.44999999999999</v>
      </c>
      <c r="H898" s="26">
        <v>0</v>
      </c>
      <c r="I898" s="26">
        <f t="shared" si="89"/>
        <v>64.149999999999991</v>
      </c>
      <c r="J898" s="1340">
        <f t="shared" si="90"/>
        <v>2.318103448275862</v>
      </c>
      <c r="K898" s="1340">
        <f t="shared" si="91"/>
        <v>7.5453596943362197E-5</v>
      </c>
    </row>
    <row r="899" spans="1:11" ht="15" x14ac:dyDescent="0.25">
      <c r="A899" s="1341"/>
      <c r="B899" s="624">
        <v>72600</v>
      </c>
      <c r="C899" s="1344">
        <v>333933000000000</v>
      </c>
      <c r="D899" s="624" t="s">
        <v>7582</v>
      </c>
      <c r="E899" s="624">
        <v>20</v>
      </c>
      <c r="F899" s="643">
        <v>0</v>
      </c>
      <c r="G899" s="643">
        <v>0</v>
      </c>
      <c r="H899" s="26">
        <v>0</v>
      </c>
      <c r="I899" s="26">
        <f t="shared" si="89"/>
        <v>0</v>
      </c>
      <c r="J899" s="1340" t="e">
        <f t="shared" si="90"/>
        <v>#DIV/0!</v>
      </c>
      <c r="K899" s="1340">
        <f t="shared" si="91"/>
        <v>0</v>
      </c>
    </row>
    <row r="900" spans="1:11" ht="15" x14ac:dyDescent="0.25">
      <c r="A900" s="1341"/>
      <c r="B900" s="624">
        <v>72700</v>
      </c>
      <c r="C900" s="1344">
        <v>344905100000000</v>
      </c>
      <c r="D900" s="624" t="s">
        <v>7581</v>
      </c>
      <c r="E900" s="624">
        <v>20</v>
      </c>
      <c r="F900" s="643">
        <v>0</v>
      </c>
      <c r="G900" s="643">
        <v>0</v>
      </c>
      <c r="H900" s="26">
        <v>0</v>
      </c>
      <c r="I900" s="26">
        <f t="shared" si="89"/>
        <v>0</v>
      </c>
      <c r="J900" s="1340" t="e">
        <f t="shared" si="90"/>
        <v>#DIV/0!</v>
      </c>
      <c r="K900" s="1340">
        <f t="shared" si="91"/>
        <v>0</v>
      </c>
    </row>
    <row r="901" spans="1:11" ht="15" x14ac:dyDescent="0.25">
      <c r="A901" s="1341"/>
      <c r="B901" s="624">
        <v>72800</v>
      </c>
      <c r="C901" s="1344">
        <v>344905200000000</v>
      </c>
      <c r="D901" s="624" t="s">
        <v>7580</v>
      </c>
      <c r="E901" s="624">
        <v>20</v>
      </c>
      <c r="F901" s="643">
        <v>12988</v>
      </c>
      <c r="G901" s="643">
        <v>4589</v>
      </c>
      <c r="H901" s="26">
        <v>0</v>
      </c>
      <c r="I901" s="26">
        <f t="shared" si="89"/>
        <v>5859</v>
      </c>
      <c r="J901" s="1340">
        <f t="shared" si="90"/>
        <v>0.3533261472128118</v>
      </c>
      <c r="K901" s="1340">
        <f t="shared" si="91"/>
        <v>6.8913893139697455E-3</v>
      </c>
    </row>
    <row r="902" spans="1:11" s="12" customFormat="1" ht="15" x14ac:dyDescent="0.25">
      <c r="A902" s="1081"/>
      <c r="B902" s="570" t="s">
        <v>2965</v>
      </c>
      <c r="C902" s="1345">
        <v>6</v>
      </c>
      <c r="D902" s="570" t="s">
        <v>4713</v>
      </c>
      <c r="E902" s="570"/>
      <c r="F902" s="642">
        <f>SUM(F903:F930)</f>
        <v>14501</v>
      </c>
      <c r="G902" s="642">
        <f>SUM(G903:G930)</f>
        <v>32163</v>
      </c>
      <c r="H902" s="642">
        <f>SUM(H903:H930)</f>
        <v>0</v>
      </c>
      <c r="I902" s="642">
        <f>SUM(I903:I930)</f>
        <v>15554.666666666666</v>
      </c>
      <c r="J902" s="1338">
        <f t="shared" si="90"/>
        <v>2.2179849665540305</v>
      </c>
      <c r="K902" s="1338">
        <f t="shared" si="91"/>
        <v>1.8295487907326859E-2</v>
      </c>
    </row>
    <row r="903" spans="1:11" ht="15" x14ac:dyDescent="0.25">
      <c r="A903" s="1341"/>
      <c r="B903" s="624">
        <v>74000</v>
      </c>
      <c r="C903" s="1344">
        <v>331900400000000</v>
      </c>
      <c r="D903" s="624" t="s">
        <v>6071</v>
      </c>
      <c r="E903" s="624">
        <v>20</v>
      </c>
      <c r="F903" s="643">
        <v>0</v>
      </c>
      <c r="G903" s="643">
        <v>0</v>
      </c>
      <c r="H903" s="26">
        <v>0</v>
      </c>
      <c r="I903" s="26">
        <f t="shared" ref="I903:I930" si="92">(F903+G903+H903)/3</f>
        <v>0</v>
      </c>
      <c r="J903" s="1340" t="e">
        <f t="shared" si="90"/>
        <v>#DIV/0!</v>
      </c>
      <c r="K903" s="1340">
        <f t="shared" si="91"/>
        <v>0</v>
      </c>
    </row>
    <row r="904" spans="1:11" ht="30" x14ac:dyDescent="0.25">
      <c r="A904" s="1341"/>
      <c r="B904" s="624">
        <v>74020</v>
      </c>
      <c r="C904" s="1344">
        <v>331900800000000</v>
      </c>
      <c r="D904" s="624" t="s">
        <v>6093</v>
      </c>
      <c r="E904" s="624">
        <v>20</v>
      </c>
      <c r="F904" s="643">
        <v>0</v>
      </c>
      <c r="G904" s="643">
        <v>0</v>
      </c>
      <c r="H904" s="26">
        <v>0</v>
      </c>
      <c r="I904" s="26">
        <f t="shared" si="92"/>
        <v>0</v>
      </c>
      <c r="J904" s="1340" t="e">
        <f t="shared" si="90"/>
        <v>#DIV/0!</v>
      </c>
      <c r="K904" s="1340">
        <f t="shared" si="91"/>
        <v>0</v>
      </c>
    </row>
    <row r="905" spans="1:11" ht="15" x14ac:dyDescent="0.25">
      <c r="A905" s="1341"/>
      <c r="B905" s="624">
        <v>74030</v>
      </c>
      <c r="C905" s="1344">
        <v>331901100000000</v>
      </c>
      <c r="D905" s="624" t="s">
        <v>6072</v>
      </c>
      <c r="E905" s="624">
        <v>20</v>
      </c>
      <c r="F905" s="643">
        <v>0</v>
      </c>
      <c r="G905" s="643">
        <v>0</v>
      </c>
      <c r="H905" s="26">
        <v>0</v>
      </c>
      <c r="I905" s="26">
        <f t="shared" si="92"/>
        <v>0</v>
      </c>
      <c r="J905" s="1340" t="e">
        <f t="shared" si="90"/>
        <v>#DIV/0!</v>
      </c>
      <c r="K905" s="1340">
        <f t="shared" si="91"/>
        <v>0</v>
      </c>
    </row>
    <row r="906" spans="1:11" ht="15" x14ac:dyDescent="0.25">
      <c r="A906" s="1341"/>
      <c r="B906" s="624">
        <v>74050</v>
      </c>
      <c r="C906" s="1344">
        <v>331901300000000</v>
      </c>
      <c r="D906" s="624" t="s">
        <v>6073</v>
      </c>
      <c r="E906" s="624">
        <v>20</v>
      </c>
      <c r="F906" s="643">
        <v>0</v>
      </c>
      <c r="G906" s="643">
        <v>0</v>
      </c>
      <c r="H906" s="26">
        <v>0</v>
      </c>
      <c r="I906" s="26">
        <f t="shared" si="92"/>
        <v>0</v>
      </c>
      <c r="J906" s="1340" t="e">
        <f t="shared" si="90"/>
        <v>#DIV/0!</v>
      </c>
      <c r="K906" s="1340">
        <f t="shared" si="91"/>
        <v>0</v>
      </c>
    </row>
    <row r="907" spans="1:11" ht="15" x14ac:dyDescent="0.25">
      <c r="A907" s="1341"/>
      <c r="B907" s="624">
        <v>74080</v>
      </c>
      <c r="C907" s="1344">
        <v>331901600000000</v>
      </c>
      <c r="D907" s="624" t="s">
        <v>6074</v>
      </c>
      <c r="E907" s="624">
        <v>20</v>
      </c>
      <c r="F907" s="643">
        <v>0</v>
      </c>
      <c r="G907" s="643">
        <v>0</v>
      </c>
      <c r="H907" s="26">
        <v>0</v>
      </c>
      <c r="I907" s="26">
        <f t="shared" si="92"/>
        <v>0</v>
      </c>
      <c r="J907" s="1340" t="e">
        <f t="shared" si="90"/>
        <v>#DIV/0!</v>
      </c>
      <c r="K907" s="1340">
        <f t="shared" si="91"/>
        <v>0</v>
      </c>
    </row>
    <row r="908" spans="1:11" ht="15" x14ac:dyDescent="0.25">
      <c r="A908" s="1341"/>
      <c r="B908" s="624">
        <v>74100</v>
      </c>
      <c r="C908" s="1344">
        <v>331903400000000</v>
      </c>
      <c r="D908" s="624" t="s">
        <v>7579</v>
      </c>
      <c r="E908" s="624">
        <v>20</v>
      </c>
      <c r="F908" s="643">
        <v>0</v>
      </c>
      <c r="G908" s="643">
        <v>0</v>
      </c>
      <c r="H908" s="26">
        <v>0</v>
      </c>
      <c r="I908" s="26">
        <f t="shared" si="92"/>
        <v>0</v>
      </c>
      <c r="J908" s="1340" t="e">
        <f t="shared" si="90"/>
        <v>#DIV/0!</v>
      </c>
      <c r="K908" s="1340">
        <f t="shared" si="91"/>
        <v>0</v>
      </c>
    </row>
    <row r="909" spans="1:11" ht="15" x14ac:dyDescent="0.25">
      <c r="A909" s="1341"/>
      <c r="B909" s="624">
        <v>74120</v>
      </c>
      <c r="C909" s="1344">
        <v>331909400000000</v>
      </c>
      <c r="D909" s="624" t="s">
        <v>7578</v>
      </c>
      <c r="E909" s="624">
        <v>20</v>
      </c>
      <c r="F909" s="643">
        <v>0</v>
      </c>
      <c r="G909" s="643">
        <v>0</v>
      </c>
      <c r="H909" s="26">
        <v>0</v>
      </c>
      <c r="I909" s="26">
        <f t="shared" si="92"/>
        <v>0</v>
      </c>
      <c r="J909" s="1340" t="e">
        <f t="shared" si="90"/>
        <v>#DIV/0!</v>
      </c>
      <c r="K909" s="1340">
        <f t="shared" si="91"/>
        <v>0</v>
      </c>
    </row>
    <row r="910" spans="1:11" ht="15" x14ac:dyDescent="0.25">
      <c r="A910" s="1341"/>
      <c r="B910" s="624">
        <v>73660</v>
      </c>
      <c r="C910" s="1344">
        <v>333901400000000</v>
      </c>
      <c r="D910" s="624" t="s">
        <v>6066</v>
      </c>
      <c r="E910" s="624">
        <v>20</v>
      </c>
      <c r="F910" s="643">
        <v>0</v>
      </c>
      <c r="G910" s="643">
        <v>0</v>
      </c>
      <c r="H910" s="26">
        <v>0</v>
      </c>
      <c r="I910" s="26">
        <f t="shared" si="92"/>
        <v>0</v>
      </c>
      <c r="J910" s="1340" t="e">
        <f t="shared" si="90"/>
        <v>#DIV/0!</v>
      </c>
      <c r="K910" s="1340">
        <f t="shared" si="91"/>
        <v>0</v>
      </c>
    </row>
    <row r="911" spans="1:11" ht="15" x14ac:dyDescent="0.25">
      <c r="A911" s="1341"/>
      <c r="B911" s="624">
        <v>74140</v>
      </c>
      <c r="C911" s="1344">
        <v>333901400000000</v>
      </c>
      <c r="D911" s="624" t="s">
        <v>6077</v>
      </c>
      <c r="E911" s="624">
        <v>20</v>
      </c>
      <c r="F911" s="643">
        <v>0</v>
      </c>
      <c r="G911" s="643">
        <v>0</v>
      </c>
      <c r="H911" s="26">
        <v>0</v>
      </c>
      <c r="I911" s="26">
        <f t="shared" si="92"/>
        <v>0</v>
      </c>
      <c r="J911" s="1340" t="e">
        <f t="shared" si="90"/>
        <v>#DIV/0!</v>
      </c>
      <c r="K911" s="1340">
        <f t="shared" si="91"/>
        <v>0</v>
      </c>
    </row>
    <row r="912" spans="1:11" ht="15" x14ac:dyDescent="0.25">
      <c r="A912" s="1341"/>
      <c r="B912" s="624">
        <v>74180</v>
      </c>
      <c r="C912" s="1344">
        <v>333903000000000</v>
      </c>
      <c r="D912" s="624" t="s">
        <v>6078</v>
      </c>
      <c r="E912" s="624">
        <v>20</v>
      </c>
      <c r="F912" s="643">
        <v>0</v>
      </c>
      <c r="G912" s="643">
        <v>0</v>
      </c>
      <c r="H912" s="26">
        <v>0</v>
      </c>
      <c r="I912" s="26">
        <f t="shared" si="92"/>
        <v>0</v>
      </c>
      <c r="J912" s="1340" t="e">
        <f t="shared" si="90"/>
        <v>#DIV/0!</v>
      </c>
      <c r="K912" s="1340">
        <f t="shared" si="91"/>
        <v>0</v>
      </c>
    </row>
    <row r="913" spans="1:11" ht="15" x14ac:dyDescent="0.25">
      <c r="A913" s="1341"/>
      <c r="B913" s="624">
        <v>74220</v>
      </c>
      <c r="C913" s="1344">
        <v>333903200000000</v>
      </c>
      <c r="D913" s="624" t="s">
        <v>7577</v>
      </c>
      <c r="E913" s="624">
        <v>20</v>
      </c>
      <c r="F913" s="643">
        <v>0</v>
      </c>
      <c r="G913" s="643">
        <v>0</v>
      </c>
      <c r="H913" s="26">
        <v>0</v>
      </c>
      <c r="I913" s="26">
        <f t="shared" si="92"/>
        <v>0</v>
      </c>
      <c r="J913" s="1340" t="e">
        <f t="shared" si="90"/>
        <v>#DIV/0!</v>
      </c>
      <c r="K913" s="1340">
        <f t="shared" si="91"/>
        <v>0</v>
      </c>
    </row>
    <row r="914" spans="1:11" ht="30" x14ac:dyDescent="0.25">
      <c r="A914" s="1341"/>
      <c r="B914" s="624">
        <v>73680</v>
      </c>
      <c r="C914" s="1344">
        <v>333903300000000</v>
      </c>
      <c r="D914" s="624" t="s">
        <v>7562</v>
      </c>
      <c r="E914" s="624">
        <v>20</v>
      </c>
      <c r="F914" s="643">
        <v>0</v>
      </c>
      <c r="G914" s="643">
        <v>0</v>
      </c>
      <c r="H914" s="26">
        <v>0</v>
      </c>
      <c r="I914" s="26">
        <f t="shared" si="92"/>
        <v>0</v>
      </c>
      <c r="J914" s="1340" t="e">
        <f t="shared" si="90"/>
        <v>#DIV/0!</v>
      </c>
      <c r="K914" s="1340">
        <f t="shared" si="91"/>
        <v>0</v>
      </c>
    </row>
    <row r="915" spans="1:11" ht="15" x14ac:dyDescent="0.25">
      <c r="A915" s="1341"/>
      <c r="B915" s="624">
        <v>74240</v>
      </c>
      <c r="C915" s="1344">
        <v>333903300000000</v>
      </c>
      <c r="D915" s="624" t="s">
        <v>6079</v>
      </c>
      <c r="E915" s="624">
        <v>20</v>
      </c>
      <c r="F915" s="643">
        <v>0</v>
      </c>
      <c r="G915" s="643">
        <v>0</v>
      </c>
      <c r="H915" s="26">
        <v>0</v>
      </c>
      <c r="I915" s="26">
        <f t="shared" si="92"/>
        <v>0</v>
      </c>
      <c r="J915" s="1340" t="e">
        <f t="shared" si="90"/>
        <v>#DIV/0!</v>
      </c>
      <c r="K915" s="1340">
        <f t="shared" si="91"/>
        <v>0</v>
      </c>
    </row>
    <row r="916" spans="1:11" ht="15" x14ac:dyDescent="0.25">
      <c r="A916" s="1341"/>
      <c r="B916" s="624">
        <v>74280</v>
      </c>
      <c r="C916" s="1344">
        <v>333903500000000</v>
      </c>
      <c r="D916" s="624" t="s">
        <v>6081</v>
      </c>
      <c r="E916" s="624">
        <v>20</v>
      </c>
      <c r="F916" s="643">
        <v>0</v>
      </c>
      <c r="G916" s="643">
        <v>0</v>
      </c>
      <c r="H916" s="26">
        <v>0</v>
      </c>
      <c r="I916" s="26">
        <f t="shared" si="92"/>
        <v>0</v>
      </c>
      <c r="J916" s="1340" t="e">
        <f t="shared" si="90"/>
        <v>#DIV/0!</v>
      </c>
      <c r="K916" s="1340">
        <f t="shared" si="91"/>
        <v>0</v>
      </c>
    </row>
    <row r="917" spans="1:11" ht="15" x14ac:dyDescent="0.25">
      <c r="A917" s="1341"/>
      <c r="B917" s="624">
        <v>73700</v>
      </c>
      <c r="C917" s="1344">
        <v>333903600000000</v>
      </c>
      <c r="D917" s="624" t="s">
        <v>6068</v>
      </c>
      <c r="E917" s="624">
        <v>20</v>
      </c>
      <c r="F917" s="643">
        <v>0</v>
      </c>
      <c r="G917" s="643">
        <v>0</v>
      </c>
      <c r="H917" s="26">
        <v>0</v>
      </c>
      <c r="I917" s="26">
        <f t="shared" si="92"/>
        <v>0</v>
      </c>
      <c r="J917" s="1340" t="e">
        <f t="shared" si="90"/>
        <v>#DIV/0!</v>
      </c>
      <c r="K917" s="1340">
        <f t="shared" si="91"/>
        <v>0</v>
      </c>
    </row>
    <row r="918" spans="1:11" ht="15" x14ac:dyDescent="0.25">
      <c r="A918" s="1341"/>
      <c r="B918" s="624">
        <v>74320</v>
      </c>
      <c r="C918" s="1344">
        <v>333903600000000</v>
      </c>
      <c r="D918" s="624" t="s">
        <v>6082</v>
      </c>
      <c r="E918" s="624">
        <v>20</v>
      </c>
      <c r="F918" s="643">
        <v>0</v>
      </c>
      <c r="G918" s="643">
        <v>0</v>
      </c>
      <c r="H918" s="26">
        <v>0</v>
      </c>
      <c r="I918" s="26">
        <f t="shared" si="92"/>
        <v>0</v>
      </c>
      <c r="J918" s="1340" t="e">
        <f t="shared" si="90"/>
        <v>#DIV/0!</v>
      </c>
      <c r="K918" s="1340">
        <f t="shared" si="91"/>
        <v>0</v>
      </c>
    </row>
    <row r="919" spans="1:11" ht="15" x14ac:dyDescent="0.25">
      <c r="A919" s="1341"/>
      <c r="B919" s="624">
        <v>73720</v>
      </c>
      <c r="C919" s="1344">
        <v>333903900000000</v>
      </c>
      <c r="D919" s="624" t="s">
        <v>6069</v>
      </c>
      <c r="E919" s="624">
        <v>20</v>
      </c>
      <c r="F919" s="643">
        <v>0</v>
      </c>
      <c r="G919" s="643">
        <v>0</v>
      </c>
      <c r="H919" s="26">
        <v>0</v>
      </c>
      <c r="I919" s="26">
        <f t="shared" si="92"/>
        <v>0</v>
      </c>
      <c r="J919" s="1340" t="e">
        <f t="shared" si="90"/>
        <v>#DIV/0!</v>
      </c>
      <c r="K919" s="1340">
        <f t="shared" si="91"/>
        <v>0</v>
      </c>
    </row>
    <row r="920" spans="1:11" ht="15" x14ac:dyDescent="0.25">
      <c r="A920" s="1341"/>
      <c r="B920" s="624">
        <v>74360</v>
      </c>
      <c r="C920" s="1344">
        <v>333903900000000</v>
      </c>
      <c r="D920" s="624" t="s">
        <v>7576</v>
      </c>
      <c r="E920" s="624">
        <v>20</v>
      </c>
      <c r="F920" s="643">
        <v>14501</v>
      </c>
      <c r="G920" s="643">
        <v>32163</v>
      </c>
      <c r="H920" s="26">
        <v>0</v>
      </c>
      <c r="I920" s="26">
        <f t="shared" si="92"/>
        <v>15554.666666666666</v>
      </c>
      <c r="J920" s="1340">
        <f t="shared" si="90"/>
        <v>2.2179849665540305</v>
      </c>
      <c r="K920" s="1340">
        <f t="shared" si="91"/>
        <v>1.8295487907326859E-2</v>
      </c>
    </row>
    <row r="921" spans="1:11" ht="15" x14ac:dyDescent="0.25">
      <c r="A921" s="1341"/>
      <c r="B921" s="624">
        <v>73640</v>
      </c>
      <c r="C921" s="1344">
        <v>333904000000000</v>
      </c>
      <c r="D921" s="624" t="s">
        <v>6065</v>
      </c>
      <c r="E921" s="624">
        <v>20</v>
      </c>
      <c r="F921" s="643">
        <v>0</v>
      </c>
      <c r="G921" s="643">
        <v>0</v>
      </c>
      <c r="H921" s="26">
        <v>0</v>
      </c>
      <c r="I921" s="26">
        <f t="shared" si="92"/>
        <v>0</v>
      </c>
      <c r="J921" s="1340" t="e">
        <f t="shared" si="90"/>
        <v>#DIV/0!</v>
      </c>
      <c r="K921" s="1340">
        <f t="shared" si="91"/>
        <v>0</v>
      </c>
    </row>
    <row r="922" spans="1:11" ht="15" x14ac:dyDescent="0.25">
      <c r="A922" s="1341"/>
      <c r="B922" s="624">
        <v>74390</v>
      </c>
      <c r="C922" s="1344">
        <v>333904600000000</v>
      </c>
      <c r="D922" s="624" t="s">
        <v>6084</v>
      </c>
      <c r="E922" s="624">
        <v>20</v>
      </c>
      <c r="F922" s="643">
        <v>0</v>
      </c>
      <c r="G922" s="643">
        <v>0</v>
      </c>
      <c r="H922" s="26">
        <v>0</v>
      </c>
      <c r="I922" s="26">
        <f t="shared" si="92"/>
        <v>0</v>
      </c>
      <c r="J922" s="1340" t="e">
        <f t="shared" si="90"/>
        <v>#DIV/0!</v>
      </c>
      <c r="K922" s="1340">
        <f t="shared" si="91"/>
        <v>0</v>
      </c>
    </row>
    <row r="923" spans="1:11" ht="15" x14ac:dyDescent="0.25">
      <c r="A923" s="1341"/>
      <c r="B923" s="624">
        <v>73740</v>
      </c>
      <c r="C923" s="1344">
        <v>333904700000000</v>
      </c>
      <c r="D923" s="624" t="s">
        <v>6070</v>
      </c>
      <c r="E923" s="624">
        <v>20</v>
      </c>
      <c r="F923" s="643">
        <v>0</v>
      </c>
      <c r="G923" s="643">
        <v>0</v>
      </c>
      <c r="H923" s="26">
        <v>0</v>
      </c>
      <c r="I923" s="26">
        <f t="shared" si="92"/>
        <v>0</v>
      </c>
      <c r="J923" s="1340" t="e">
        <f t="shared" si="90"/>
        <v>#DIV/0!</v>
      </c>
      <c r="K923" s="1340">
        <f t="shared" si="91"/>
        <v>0</v>
      </c>
    </row>
    <row r="924" spans="1:11" ht="15" x14ac:dyDescent="0.25">
      <c r="A924" s="1341"/>
      <c r="B924" s="624">
        <v>74400</v>
      </c>
      <c r="C924" s="1344">
        <v>333904700000000</v>
      </c>
      <c r="D924" s="624" t="s">
        <v>6085</v>
      </c>
      <c r="E924" s="624">
        <v>20</v>
      </c>
      <c r="F924" s="643">
        <v>0</v>
      </c>
      <c r="G924" s="643">
        <v>0</v>
      </c>
      <c r="H924" s="26">
        <v>0</v>
      </c>
      <c r="I924" s="26">
        <f t="shared" si="92"/>
        <v>0</v>
      </c>
      <c r="J924" s="1340" t="e">
        <f t="shared" ref="J924:J955" si="93">(G924/F924)+(H924/G924)/2</f>
        <v>#DIV/0!</v>
      </c>
      <c r="K924" s="1340">
        <f t="shared" ref="K924:K955" si="94">I924/I$998</f>
        <v>0</v>
      </c>
    </row>
    <row r="925" spans="1:11" ht="15" x14ac:dyDescent="0.25">
      <c r="A925" s="1341"/>
      <c r="B925" s="624">
        <v>74420</v>
      </c>
      <c r="C925" s="1344">
        <v>333904900000000</v>
      </c>
      <c r="D925" s="624" t="s">
        <v>6086</v>
      </c>
      <c r="E925" s="624">
        <v>20</v>
      </c>
      <c r="F925" s="643">
        <v>0</v>
      </c>
      <c r="G925" s="643">
        <v>0</v>
      </c>
      <c r="H925" s="26">
        <v>0</v>
      </c>
      <c r="I925" s="26">
        <f t="shared" si="92"/>
        <v>0</v>
      </c>
      <c r="J925" s="1340" t="e">
        <f t="shared" si="93"/>
        <v>#DIV/0!</v>
      </c>
      <c r="K925" s="1340">
        <f t="shared" si="94"/>
        <v>0</v>
      </c>
    </row>
    <row r="926" spans="1:11" ht="15" x14ac:dyDescent="0.25">
      <c r="A926" s="1341"/>
      <c r="B926" s="624">
        <v>74440</v>
      </c>
      <c r="C926" s="1344">
        <v>333909200000000</v>
      </c>
      <c r="D926" s="624" t="s">
        <v>6087</v>
      </c>
      <c r="E926" s="624">
        <v>20</v>
      </c>
      <c r="F926" s="643">
        <v>0</v>
      </c>
      <c r="G926" s="643">
        <v>0</v>
      </c>
      <c r="H926" s="26">
        <v>0</v>
      </c>
      <c r="I926" s="26">
        <f t="shared" si="92"/>
        <v>0</v>
      </c>
      <c r="J926" s="1340" t="e">
        <f t="shared" si="93"/>
        <v>#DIV/0!</v>
      </c>
      <c r="K926" s="1340">
        <f t="shared" si="94"/>
        <v>0</v>
      </c>
    </row>
    <row r="927" spans="1:11" ht="15" x14ac:dyDescent="0.25">
      <c r="A927" s="1341"/>
      <c r="B927" s="624">
        <v>74480</v>
      </c>
      <c r="C927" s="1344">
        <v>333909300000000</v>
      </c>
      <c r="D927" s="624" t="s">
        <v>6088</v>
      </c>
      <c r="E927" s="624">
        <v>20</v>
      </c>
      <c r="F927" s="643">
        <v>0</v>
      </c>
      <c r="G927" s="643">
        <v>0</v>
      </c>
      <c r="H927" s="26">
        <v>0</v>
      </c>
      <c r="I927" s="26">
        <f t="shared" si="92"/>
        <v>0</v>
      </c>
      <c r="J927" s="1340" t="e">
        <f t="shared" si="93"/>
        <v>#DIV/0!</v>
      </c>
      <c r="K927" s="1340">
        <f t="shared" si="94"/>
        <v>0</v>
      </c>
    </row>
    <row r="928" spans="1:11" ht="15" x14ac:dyDescent="0.25">
      <c r="A928" s="1341"/>
      <c r="B928" s="624">
        <v>74520</v>
      </c>
      <c r="C928" s="1344">
        <v>333933000000000</v>
      </c>
      <c r="D928" s="624" t="s">
        <v>7575</v>
      </c>
      <c r="E928" s="624">
        <v>20</v>
      </c>
      <c r="F928" s="643">
        <v>0</v>
      </c>
      <c r="G928" s="643">
        <v>0</v>
      </c>
      <c r="H928" s="26">
        <v>0</v>
      </c>
      <c r="I928" s="26">
        <f t="shared" si="92"/>
        <v>0</v>
      </c>
      <c r="J928" s="1340" t="e">
        <f t="shared" si="93"/>
        <v>#DIV/0!</v>
      </c>
      <c r="K928" s="1340">
        <f t="shared" si="94"/>
        <v>0</v>
      </c>
    </row>
    <row r="929" spans="1:11" ht="15" x14ac:dyDescent="0.25">
      <c r="A929" s="1341"/>
      <c r="B929" s="624">
        <v>74540</v>
      </c>
      <c r="C929" s="1344">
        <v>344905100000000</v>
      </c>
      <c r="D929" s="624" t="s">
        <v>6090</v>
      </c>
      <c r="E929" s="624">
        <v>20</v>
      </c>
      <c r="F929" s="643">
        <v>0</v>
      </c>
      <c r="G929" s="643">
        <v>0</v>
      </c>
      <c r="H929" s="26">
        <v>0</v>
      </c>
      <c r="I929" s="26">
        <f t="shared" si="92"/>
        <v>0</v>
      </c>
      <c r="J929" s="1340" t="e">
        <f t="shared" si="93"/>
        <v>#DIV/0!</v>
      </c>
      <c r="K929" s="1340">
        <f t="shared" si="94"/>
        <v>0</v>
      </c>
    </row>
    <row r="930" spans="1:11" ht="15" x14ac:dyDescent="0.25">
      <c r="A930" s="1341"/>
      <c r="B930" s="624">
        <v>74580</v>
      </c>
      <c r="C930" s="1344">
        <v>344905200000000</v>
      </c>
      <c r="D930" s="624" t="s">
        <v>7574</v>
      </c>
      <c r="E930" s="624">
        <v>20</v>
      </c>
      <c r="F930" s="643">
        <v>0</v>
      </c>
      <c r="G930" s="643">
        <v>0</v>
      </c>
      <c r="H930" s="26">
        <v>0</v>
      </c>
      <c r="I930" s="26">
        <f t="shared" si="92"/>
        <v>0</v>
      </c>
      <c r="J930" s="1340" t="e">
        <f t="shared" si="93"/>
        <v>#DIV/0!</v>
      </c>
      <c r="K930" s="1340">
        <f t="shared" si="94"/>
        <v>0</v>
      </c>
    </row>
    <row r="931" spans="1:11" s="12" customFormat="1" ht="15" x14ac:dyDescent="0.25">
      <c r="A931" s="1081"/>
      <c r="B931" s="570" t="s">
        <v>2965</v>
      </c>
      <c r="C931" s="1345">
        <v>36</v>
      </c>
      <c r="D931" s="570" t="s">
        <v>4721</v>
      </c>
      <c r="E931" s="570"/>
      <c r="F931" s="642">
        <f>SUM(F932:F959)</f>
        <v>0</v>
      </c>
      <c r="G931" s="642">
        <f>SUM(G932:G959)</f>
        <v>0</v>
      </c>
      <c r="H931" s="642">
        <f>SUM(H932:H959)</f>
        <v>0</v>
      </c>
      <c r="I931" s="642">
        <f>SUM(I932:I959)</f>
        <v>0</v>
      </c>
      <c r="J931" s="1338" t="e">
        <f t="shared" si="93"/>
        <v>#DIV/0!</v>
      </c>
      <c r="K931" s="1338">
        <f t="shared" si="94"/>
        <v>0</v>
      </c>
    </row>
    <row r="932" spans="1:11" ht="15" x14ac:dyDescent="0.25">
      <c r="A932" s="1341"/>
      <c r="B932" s="624">
        <v>75000</v>
      </c>
      <c r="C932" s="1344">
        <v>331900400000000</v>
      </c>
      <c r="D932" s="624" t="s">
        <v>6100</v>
      </c>
      <c r="E932" s="624">
        <v>20</v>
      </c>
      <c r="F932" s="643">
        <v>0</v>
      </c>
      <c r="G932" s="643">
        <v>0</v>
      </c>
      <c r="H932" s="26">
        <v>0</v>
      </c>
      <c r="I932" s="26">
        <f t="shared" ref="I932:I959" si="95">(F932+G932+H932)/3</f>
        <v>0</v>
      </c>
      <c r="J932" s="1340" t="e">
        <f t="shared" si="93"/>
        <v>#DIV/0!</v>
      </c>
      <c r="K932" s="1340">
        <f t="shared" si="94"/>
        <v>0</v>
      </c>
    </row>
    <row r="933" spans="1:11" ht="15" x14ac:dyDescent="0.25">
      <c r="A933" s="1341"/>
      <c r="B933" s="624">
        <v>75020</v>
      </c>
      <c r="C933" s="1344">
        <v>331900800000000</v>
      </c>
      <c r="D933" s="624" t="s">
        <v>7573</v>
      </c>
      <c r="E933" s="624">
        <v>1</v>
      </c>
      <c r="F933" s="643">
        <v>0</v>
      </c>
      <c r="G933" s="643">
        <v>0</v>
      </c>
      <c r="H933" s="26">
        <v>0</v>
      </c>
      <c r="I933" s="26">
        <f t="shared" si="95"/>
        <v>0</v>
      </c>
      <c r="J933" s="1340" t="e">
        <f t="shared" si="93"/>
        <v>#DIV/0!</v>
      </c>
      <c r="K933" s="1340">
        <f t="shared" si="94"/>
        <v>0</v>
      </c>
    </row>
    <row r="934" spans="1:11" ht="15" x14ac:dyDescent="0.25">
      <c r="A934" s="1341"/>
      <c r="B934" s="624">
        <v>75030</v>
      </c>
      <c r="C934" s="1344">
        <v>331901100000000</v>
      </c>
      <c r="D934" s="624" t="s">
        <v>6102</v>
      </c>
      <c r="E934" s="624">
        <v>20</v>
      </c>
      <c r="F934" s="643">
        <v>0</v>
      </c>
      <c r="G934" s="643">
        <v>0</v>
      </c>
      <c r="H934" s="26">
        <v>0</v>
      </c>
      <c r="I934" s="26">
        <f t="shared" si="95"/>
        <v>0</v>
      </c>
      <c r="J934" s="1340" t="e">
        <f t="shared" si="93"/>
        <v>#DIV/0!</v>
      </c>
      <c r="K934" s="1340">
        <f t="shared" si="94"/>
        <v>0</v>
      </c>
    </row>
    <row r="935" spans="1:11" ht="15" x14ac:dyDescent="0.25">
      <c r="A935" s="1341"/>
      <c r="B935" s="624">
        <v>75050</v>
      </c>
      <c r="C935" s="1344">
        <v>331901300000000</v>
      </c>
      <c r="D935" s="624" t="s">
        <v>6103</v>
      </c>
      <c r="E935" s="624">
        <v>20</v>
      </c>
      <c r="F935" s="643">
        <v>0</v>
      </c>
      <c r="G935" s="643">
        <v>0</v>
      </c>
      <c r="H935" s="26">
        <v>0</v>
      </c>
      <c r="I935" s="26">
        <f t="shared" si="95"/>
        <v>0</v>
      </c>
      <c r="J935" s="1340" t="e">
        <f t="shared" si="93"/>
        <v>#DIV/0!</v>
      </c>
      <c r="K935" s="1340">
        <f t="shared" si="94"/>
        <v>0</v>
      </c>
    </row>
    <row r="936" spans="1:11" ht="15" x14ac:dyDescent="0.25">
      <c r="A936" s="1341"/>
      <c r="B936" s="624">
        <v>75060</v>
      </c>
      <c r="C936" s="1344">
        <v>331901600000000</v>
      </c>
      <c r="D936" s="624" t="s">
        <v>6104</v>
      </c>
      <c r="E936" s="624">
        <v>20</v>
      </c>
      <c r="F936" s="643">
        <v>0</v>
      </c>
      <c r="G936" s="643">
        <v>0</v>
      </c>
      <c r="H936" s="26">
        <v>0</v>
      </c>
      <c r="I936" s="26">
        <f t="shared" si="95"/>
        <v>0</v>
      </c>
      <c r="J936" s="1340" t="e">
        <f t="shared" si="93"/>
        <v>#DIV/0!</v>
      </c>
      <c r="K936" s="1340">
        <f t="shared" si="94"/>
        <v>0</v>
      </c>
    </row>
    <row r="937" spans="1:11" ht="15" x14ac:dyDescent="0.25">
      <c r="A937" s="1341"/>
      <c r="B937" s="624">
        <v>75070</v>
      </c>
      <c r="C937" s="1344">
        <v>331903400000000</v>
      </c>
      <c r="D937" s="624" t="s">
        <v>6105</v>
      </c>
      <c r="E937" s="624">
        <v>20</v>
      </c>
      <c r="F937" s="643">
        <v>0</v>
      </c>
      <c r="G937" s="643">
        <v>0</v>
      </c>
      <c r="H937" s="26">
        <v>0</v>
      </c>
      <c r="I937" s="26">
        <f t="shared" si="95"/>
        <v>0</v>
      </c>
      <c r="J937" s="1340" t="e">
        <f t="shared" si="93"/>
        <v>#DIV/0!</v>
      </c>
      <c r="K937" s="1340">
        <f t="shared" si="94"/>
        <v>0</v>
      </c>
    </row>
    <row r="938" spans="1:11" ht="15" x14ac:dyDescent="0.25">
      <c r="A938" s="1341"/>
      <c r="B938" s="624">
        <v>75080</v>
      </c>
      <c r="C938" s="1344">
        <v>331909400000000</v>
      </c>
      <c r="D938" s="624" t="s">
        <v>7572</v>
      </c>
      <c r="E938" s="624">
        <v>20</v>
      </c>
      <c r="F938" s="643">
        <v>0</v>
      </c>
      <c r="G938" s="643">
        <v>0</v>
      </c>
      <c r="H938" s="26">
        <v>0</v>
      </c>
      <c r="I938" s="26">
        <f t="shared" si="95"/>
        <v>0</v>
      </c>
      <c r="J938" s="1340" t="e">
        <f t="shared" si="93"/>
        <v>#DIV/0!</v>
      </c>
      <c r="K938" s="1340">
        <f t="shared" si="94"/>
        <v>0</v>
      </c>
    </row>
    <row r="939" spans="1:11" ht="15" x14ac:dyDescent="0.25">
      <c r="A939" s="1341"/>
      <c r="B939" s="624">
        <v>74620</v>
      </c>
      <c r="C939" s="1344">
        <v>333901400000000</v>
      </c>
      <c r="D939" s="624" t="s">
        <v>6095</v>
      </c>
      <c r="E939" s="624">
        <v>20</v>
      </c>
      <c r="F939" s="643">
        <v>0</v>
      </c>
      <c r="G939" s="643">
        <v>0</v>
      </c>
      <c r="H939" s="26">
        <v>0</v>
      </c>
      <c r="I939" s="26">
        <f t="shared" si="95"/>
        <v>0</v>
      </c>
      <c r="J939" s="1340" t="e">
        <f t="shared" si="93"/>
        <v>#DIV/0!</v>
      </c>
      <c r="K939" s="1340">
        <f t="shared" si="94"/>
        <v>0</v>
      </c>
    </row>
    <row r="940" spans="1:11" ht="15" x14ac:dyDescent="0.25">
      <c r="A940" s="1341"/>
      <c r="B940" s="624">
        <v>75120</v>
      </c>
      <c r="C940" s="1344">
        <v>333901400000000</v>
      </c>
      <c r="D940" s="624" t="s">
        <v>6107</v>
      </c>
      <c r="E940" s="624">
        <v>20</v>
      </c>
      <c r="F940" s="643">
        <v>0</v>
      </c>
      <c r="G940" s="643">
        <v>0</v>
      </c>
      <c r="H940" s="26">
        <v>0</v>
      </c>
      <c r="I940" s="26">
        <f t="shared" si="95"/>
        <v>0</v>
      </c>
      <c r="J940" s="1340" t="e">
        <f t="shared" si="93"/>
        <v>#DIV/0!</v>
      </c>
      <c r="K940" s="1340">
        <f t="shared" si="94"/>
        <v>0</v>
      </c>
    </row>
    <row r="941" spans="1:11" ht="15" x14ac:dyDescent="0.25">
      <c r="A941" s="1341"/>
      <c r="B941" s="624">
        <v>75140</v>
      </c>
      <c r="C941" s="1344">
        <v>333903000000000</v>
      </c>
      <c r="D941" s="624" t="s">
        <v>6108</v>
      </c>
      <c r="E941" s="624">
        <v>20</v>
      </c>
      <c r="F941" s="643">
        <v>0</v>
      </c>
      <c r="G941" s="643">
        <v>0</v>
      </c>
      <c r="H941" s="26">
        <v>0</v>
      </c>
      <c r="I941" s="26">
        <f t="shared" si="95"/>
        <v>0</v>
      </c>
      <c r="J941" s="1340" t="e">
        <f t="shared" si="93"/>
        <v>#DIV/0!</v>
      </c>
      <c r="K941" s="1340">
        <f t="shared" si="94"/>
        <v>0</v>
      </c>
    </row>
    <row r="942" spans="1:11" ht="15" x14ac:dyDescent="0.25">
      <c r="A942" s="1341"/>
      <c r="B942" s="624">
        <v>75190</v>
      </c>
      <c r="C942" s="1344">
        <v>333903200000000</v>
      </c>
      <c r="D942" s="624" t="s">
        <v>7571</v>
      </c>
      <c r="E942" s="624">
        <v>20</v>
      </c>
      <c r="F942" s="643">
        <v>0</v>
      </c>
      <c r="G942" s="643">
        <v>0</v>
      </c>
      <c r="H942" s="26">
        <v>0</v>
      </c>
      <c r="I942" s="26">
        <f t="shared" si="95"/>
        <v>0</v>
      </c>
      <c r="J942" s="1340" t="e">
        <f t="shared" si="93"/>
        <v>#DIV/0!</v>
      </c>
      <c r="K942" s="1340">
        <f t="shared" si="94"/>
        <v>0</v>
      </c>
    </row>
    <row r="943" spans="1:11" ht="15" x14ac:dyDescent="0.25">
      <c r="A943" s="1341"/>
      <c r="B943" s="624">
        <v>74640</v>
      </c>
      <c r="C943" s="1344">
        <v>333903300000000</v>
      </c>
      <c r="D943" s="624" t="s">
        <v>7570</v>
      </c>
      <c r="E943" s="624">
        <v>20</v>
      </c>
      <c r="F943" s="643">
        <v>0</v>
      </c>
      <c r="G943" s="643">
        <v>0</v>
      </c>
      <c r="H943" s="26">
        <v>0</v>
      </c>
      <c r="I943" s="26">
        <f t="shared" si="95"/>
        <v>0</v>
      </c>
      <c r="J943" s="1340" t="e">
        <f t="shared" si="93"/>
        <v>#DIV/0!</v>
      </c>
      <c r="K943" s="1340">
        <f t="shared" si="94"/>
        <v>0</v>
      </c>
    </row>
    <row r="944" spans="1:11" ht="15" x14ac:dyDescent="0.25">
      <c r="A944" s="1341"/>
      <c r="B944" s="624">
        <v>75220</v>
      </c>
      <c r="C944" s="1344">
        <v>333903300000000</v>
      </c>
      <c r="D944" s="624" t="s">
        <v>6110</v>
      </c>
      <c r="E944" s="624">
        <v>20</v>
      </c>
      <c r="F944" s="643">
        <v>0</v>
      </c>
      <c r="G944" s="643">
        <v>0</v>
      </c>
      <c r="H944" s="26">
        <v>0</v>
      </c>
      <c r="I944" s="26">
        <f t="shared" si="95"/>
        <v>0</v>
      </c>
      <c r="J944" s="1340" t="e">
        <f t="shared" si="93"/>
        <v>#DIV/0!</v>
      </c>
      <c r="K944" s="1340">
        <f t="shared" si="94"/>
        <v>0</v>
      </c>
    </row>
    <row r="945" spans="1:11" ht="15" x14ac:dyDescent="0.25">
      <c r="A945" s="1341"/>
      <c r="B945" s="624">
        <v>75240</v>
      </c>
      <c r="C945" s="1344">
        <v>333903500000000</v>
      </c>
      <c r="D945" s="624" t="s">
        <v>6111</v>
      </c>
      <c r="E945" s="624">
        <v>20</v>
      </c>
      <c r="F945" s="643">
        <v>0</v>
      </c>
      <c r="G945" s="643">
        <v>0</v>
      </c>
      <c r="H945" s="26">
        <v>0</v>
      </c>
      <c r="I945" s="26">
        <f t="shared" si="95"/>
        <v>0</v>
      </c>
      <c r="J945" s="1340" t="e">
        <f t="shared" si="93"/>
        <v>#DIV/0!</v>
      </c>
      <c r="K945" s="1340">
        <f t="shared" si="94"/>
        <v>0</v>
      </c>
    </row>
    <row r="946" spans="1:11" ht="15" x14ac:dyDescent="0.25">
      <c r="A946" s="1341"/>
      <c r="B946" s="624">
        <v>74660</v>
      </c>
      <c r="C946" s="1344">
        <v>333903600000000</v>
      </c>
      <c r="D946" s="624" t="s">
        <v>7569</v>
      </c>
      <c r="E946" s="624">
        <v>20</v>
      </c>
      <c r="F946" s="643">
        <v>0</v>
      </c>
      <c r="G946" s="643">
        <v>0</v>
      </c>
      <c r="H946" s="26">
        <v>0</v>
      </c>
      <c r="I946" s="26">
        <f t="shared" si="95"/>
        <v>0</v>
      </c>
      <c r="J946" s="1340" t="e">
        <f t="shared" si="93"/>
        <v>#DIV/0!</v>
      </c>
      <c r="K946" s="1340">
        <f t="shared" si="94"/>
        <v>0</v>
      </c>
    </row>
    <row r="947" spans="1:11" ht="15" x14ac:dyDescent="0.25">
      <c r="A947" s="1341"/>
      <c r="B947" s="624">
        <v>75260</v>
      </c>
      <c r="C947" s="1344">
        <v>333903600000000</v>
      </c>
      <c r="D947" s="624" t="s">
        <v>6112</v>
      </c>
      <c r="E947" s="624">
        <v>20</v>
      </c>
      <c r="F947" s="643">
        <v>0</v>
      </c>
      <c r="G947" s="643">
        <v>0</v>
      </c>
      <c r="H947" s="26">
        <v>0</v>
      </c>
      <c r="I947" s="26">
        <f t="shared" si="95"/>
        <v>0</v>
      </c>
      <c r="J947" s="1340" t="e">
        <f t="shared" si="93"/>
        <v>#DIV/0!</v>
      </c>
      <c r="K947" s="1340">
        <f t="shared" si="94"/>
        <v>0</v>
      </c>
    </row>
    <row r="948" spans="1:11" ht="15" x14ac:dyDescent="0.25">
      <c r="A948" s="1341"/>
      <c r="B948" s="624">
        <v>74680</v>
      </c>
      <c r="C948" s="1344">
        <v>333903900000000</v>
      </c>
      <c r="D948" s="624" t="s">
        <v>7568</v>
      </c>
      <c r="E948" s="624">
        <v>20</v>
      </c>
      <c r="F948" s="643">
        <v>0</v>
      </c>
      <c r="G948" s="643">
        <v>0</v>
      </c>
      <c r="H948" s="26">
        <v>0</v>
      </c>
      <c r="I948" s="26">
        <f t="shared" si="95"/>
        <v>0</v>
      </c>
      <c r="J948" s="1340" t="e">
        <f t="shared" si="93"/>
        <v>#DIV/0!</v>
      </c>
      <c r="K948" s="1340">
        <f t="shared" si="94"/>
        <v>0</v>
      </c>
    </row>
    <row r="949" spans="1:11" ht="15" x14ac:dyDescent="0.25">
      <c r="A949" s="1341"/>
      <c r="B949" s="624">
        <v>75280</v>
      </c>
      <c r="C949" s="1344">
        <v>333903900000000</v>
      </c>
      <c r="D949" s="624" t="s">
        <v>6113</v>
      </c>
      <c r="E949" s="624">
        <v>20</v>
      </c>
      <c r="F949" s="643">
        <v>0</v>
      </c>
      <c r="G949" s="643">
        <v>0</v>
      </c>
      <c r="H949" s="26">
        <v>0</v>
      </c>
      <c r="I949" s="26">
        <f t="shared" si="95"/>
        <v>0</v>
      </c>
      <c r="J949" s="1340" t="e">
        <f t="shared" si="93"/>
        <v>#DIV/0!</v>
      </c>
      <c r="K949" s="1340">
        <f t="shared" si="94"/>
        <v>0</v>
      </c>
    </row>
    <row r="950" spans="1:11" ht="15" x14ac:dyDescent="0.25">
      <c r="A950" s="1341"/>
      <c r="B950" s="624">
        <v>74600</v>
      </c>
      <c r="C950" s="1344">
        <v>333904000000000</v>
      </c>
      <c r="D950" s="624" t="s">
        <v>7567</v>
      </c>
      <c r="E950" s="624">
        <v>20</v>
      </c>
      <c r="F950" s="643">
        <v>0</v>
      </c>
      <c r="G950" s="643">
        <v>0</v>
      </c>
      <c r="H950" s="26">
        <v>0</v>
      </c>
      <c r="I950" s="26">
        <f t="shared" si="95"/>
        <v>0</v>
      </c>
      <c r="J950" s="1340" t="e">
        <f t="shared" si="93"/>
        <v>#DIV/0!</v>
      </c>
      <c r="K950" s="1340">
        <f t="shared" si="94"/>
        <v>0</v>
      </c>
    </row>
    <row r="951" spans="1:11" ht="15" x14ac:dyDescent="0.25">
      <c r="A951" s="1341"/>
      <c r="B951" s="624">
        <v>75320</v>
      </c>
      <c r="C951" s="1344">
        <v>333904600000000</v>
      </c>
      <c r="D951" s="624" t="s">
        <v>7566</v>
      </c>
      <c r="E951" s="624">
        <v>20</v>
      </c>
      <c r="F951" s="643">
        <v>0</v>
      </c>
      <c r="G951" s="643">
        <v>0</v>
      </c>
      <c r="H951" s="26">
        <v>0</v>
      </c>
      <c r="I951" s="26">
        <f t="shared" si="95"/>
        <v>0</v>
      </c>
      <c r="J951" s="1340" t="e">
        <f t="shared" si="93"/>
        <v>#DIV/0!</v>
      </c>
      <c r="K951" s="1340">
        <f t="shared" si="94"/>
        <v>0</v>
      </c>
    </row>
    <row r="952" spans="1:11" ht="15" x14ac:dyDescent="0.25">
      <c r="A952" s="1341"/>
      <c r="B952" s="624">
        <v>74700</v>
      </c>
      <c r="C952" s="1344">
        <v>333904700000000</v>
      </c>
      <c r="D952" s="624" t="s">
        <v>7565</v>
      </c>
      <c r="E952" s="624">
        <v>20</v>
      </c>
      <c r="F952" s="643">
        <v>0</v>
      </c>
      <c r="G952" s="643">
        <v>0</v>
      </c>
      <c r="H952" s="26">
        <v>0</v>
      </c>
      <c r="I952" s="26">
        <f t="shared" si="95"/>
        <v>0</v>
      </c>
      <c r="J952" s="1340" t="e">
        <f t="shared" si="93"/>
        <v>#DIV/0!</v>
      </c>
      <c r="K952" s="1340">
        <f t="shared" si="94"/>
        <v>0</v>
      </c>
    </row>
    <row r="953" spans="1:11" ht="15" x14ac:dyDescent="0.25">
      <c r="A953" s="1341"/>
      <c r="B953" s="624">
        <v>75340</v>
      </c>
      <c r="C953" s="1344">
        <v>333904700000000</v>
      </c>
      <c r="D953" s="624" t="s">
        <v>6115</v>
      </c>
      <c r="E953" s="624">
        <v>20</v>
      </c>
      <c r="F953" s="643">
        <v>0</v>
      </c>
      <c r="G953" s="643">
        <v>0</v>
      </c>
      <c r="H953" s="26">
        <v>0</v>
      </c>
      <c r="I953" s="26">
        <f t="shared" si="95"/>
        <v>0</v>
      </c>
      <c r="J953" s="1340" t="e">
        <f t="shared" si="93"/>
        <v>#DIV/0!</v>
      </c>
      <c r="K953" s="1340">
        <f t="shared" si="94"/>
        <v>0</v>
      </c>
    </row>
    <row r="954" spans="1:11" ht="15" x14ac:dyDescent="0.25">
      <c r="A954" s="1341"/>
      <c r="B954" s="624">
        <v>75380</v>
      </c>
      <c r="C954" s="1344">
        <v>333904900000000</v>
      </c>
      <c r="D954" s="624" t="s">
        <v>6116</v>
      </c>
      <c r="E954" s="624">
        <v>20</v>
      </c>
      <c r="F954" s="643">
        <v>0</v>
      </c>
      <c r="G954" s="643">
        <v>0</v>
      </c>
      <c r="H954" s="26">
        <v>0</v>
      </c>
      <c r="I954" s="26">
        <f t="shared" si="95"/>
        <v>0</v>
      </c>
      <c r="J954" s="1340" t="e">
        <f t="shared" si="93"/>
        <v>#DIV/0!</v>
      </c>
      <c r="K954" s="1340">
        <f t="shared" si="94"/>
        <v>0</v>
      </c>
    </row>
    <row r="955" spans="1:11" ht="15" x14ac:dyDescent="0.25">
      <c r="A955" s="1341"/>
      <c r="B955" s="624">
        <v>75400</v>
      </c>
      <c r="C955" s="1344">
        <v>333909200000000</v>
      </c>
      <c r="D955" s="624" t="s">
        <v>6117</v>
      </c>
      <c r="E955" s="624">
        <v>20</v>
      </c>
      <c r="F955" s="643">
        <v>0</v>
      </c>
      <c r="G955" s="643">
        <v>0</v>
      </c>
      <c r="H955" s="26">
        <v>0</v>
      </c>
      <c r="I955" s="26">
        <f t="shared" si="95"/>
        <v>0</v>
      </c>
      <c r="J955" s="1340" t="e">
        <f t="shared" si="93"/>
        <v>#DIV/0!</v>
      </c>
      <c r="K955" s="1340">
        <f t="shared" si="94"/>
        <v>0</v>
      </c>
    </row>
    <row r="956" spans="1:11" ht="15" x14ac:dyDescent="0.25">
      <c r="A956" s="1341"/>
      <c r="B956" s="624">
        <v>75430</v>
      </c>
      <c r="C956" s="1344">
        <v>333909300000000</v>
      </c>
      <c r="D956" s="624" t="s">
        <v>6118</v>
      </c>
      <c r="E956" s="624">
        <v>20</v>
      </c>
      <c r="F956" s="643">
        <v>0</v>
      </c>
      <c r="G956" s="643">
        <v>0</v>
      </c>
      <c r="H956" s="26">
        <v>0</v>
      </c>
      <c r="I956" s="26">
        <f t="shared" si="95"/>
        <v>0</v>
      </c>
      <c r="J956" s="1340" t="e">
        <f t="shared" ref="J956:J987" si="96">(G956/F956)+(H956/G956)/2</f>
        <v>#DIV/0!</v>
      </c>
      <c r="K956" s="1340">
        <f t="shared" ref="K956:K987" si="97">I956/I$998</f>
        <v>0</v>
      </c>
    </row>
    <row r="957" spans="1:11" ht="15" x14ac:dyDescent="0.25">
      <c r="A957" s="1341"/>
      <c r="B957" s="624">
        <v>75460</v>
      </c>
      <c r="C957" s="1344">
        <v>333933000000000</v>
      </c>
      <c r="D957" s="624" t="s">
        <v>6119</v>
      </c>
      <c r="E957" s="624">
        <v>20</v>
      </c>
      <c r="F957" s="643">
        <v>0</v>
      </c>
      <c r="G957" s="643">
        <v>0</v>
      </c>
      <c r="H957" s="26">
        <v>0</v>
      </c>
      <c r="I957" s="26">
        <f t="shared" si="95"/>
        <v>0</v>
      </c>
      <c r="J957" s="1340" t="e">
        <f t="shared" si="96"/>
        <v>#DIV/0!</v>
      </c>
      <c r="K957" s="1340">
        <f t="shared" si="97"/>
        <v>0</v>
      </c>
    </row>
    <row r="958" spans="1:11" ht="15" x14ac:dyDescent="0.25">
      <c r="A958" s="1341"/>
      <c r="B958" s="624">
        <v>75490</v>
      </c>
      <c r="C958" s="1344">
        <v>344905100000000</v>
      </c>
      <c r="D958" s="624" t="s">
        <v>6120</v>
      </c>
      <c r="E958" s="624">
        <v>20</v>
      </c>
      <c r="F958" s="643">
        <v>0</v>
      </c>
      <c r="G958" s="643">
        <v>0</v>
      </c>
      <c r="H958" s="26">
        <v>0</v>
      </c>
      <c r="I958" s="26">
        <f t="shared" si="95"/>
        <v>0</v>
      </c>
      <c r="J958" s="1340" t="e">
        <f t="shared" si="96"/>
        <v>#DIV/0!</v>
      </c>
      <c r="K958" s="1340">
        <f t="shared" si="97"/>
        <v>0</v>
      </c>
    </row>
    <row r="959" spans="1:11" ht="15" x14ac:dyDescent="0.25">
      <c r="A959" s="1341"/>
      <c r="B959" s="624">
        <v>75520</v>
      </c>
      <c r="C959" s="1344">
        <v>344905200000000</v>
      </c>
      <c r="D959" s="624" t="s">
        <v>6121</v>
      </c>
      <c r="E959" s="624">
        <v>20</v>
      </c>
      <c r="F959" s="643">
        <v>0</v>
      </c>
      <c r="G959" s="643">
        <v>0</v>
      </c>
      <c r="H959" s="26">
        <v>0</v>
      </c>
      <c r="I959" s="26">
        <f t="shared" si="95"/>
        <v>0</v>
      </c>
      <c r="J959" s="1340" t="e">
        <f t="shared" si="96"/>
        <v>#DIV/0!</v>
      </c>
      <c r="K959" s="1340">
        <f t="shared" si="97"/>
        <v>0</v>
      </c>
    </row>
    <row r="960" spans="1:11" s="12" customFormat="1" ht="15" x14ac:dyDescent="0.25">
      <c r="A960" s="1081"/>
      <c r="B960" s="570" t="s">
        <v>2965</v>
      </c>
      <c r="C960" s="1345">
        <v>47</v>
      </c>
      <c r="D960" s="570" t="s">
        <v>4757</v>
      </c>
      <c r="E960" s="570"/>
      <c r="F960" s="642">
        <f>SUM(F961:F988)</f>
        <v>0</v>
      </c>
      <c r="G960" s="642">
        <f>SUM(G961:G988)</f>
        <v>14094.73</v>
      </c>
      <c r="H960" s="642">
        <f>SUM(H961:H988)</f>
        <v>0</v>
      </c>
      <c r="I960" s="642">
        <f>SUM(I961:I988)</f>
        <v>4698.2433333333329</v>
      </c>
      <c r="J960" s="1338" t="e">
        <f t="shared" si="96"/>
        <v>#DIV/0!</v>
      </c>
      <c r="K960" s="1338">
        <f t="shared" si="97"/>
        <v>5.5261006830112525E-3</v>
      </c>
    </row>
    <row r="961" spans="1:11" ht="15" x14ac:dyDescent="0.25">
      <c r="A961" s="1341"/>
      <c r="B961" s="624">
        <v>73000</v>
      </c>
      <c r="C961" s="1344">
        <v>331900400000000</v>
      </c>
      <c r="D961" s="624" t="s">
        <v>6042</v>
      </c>
      <c r="E961" s="624">
        <v>20</v>
      </c>
      <c r="F961" s="643">
        <v>0</v>
      </c>
      <c r="G961" s="643">
        <v>0</v>
      </c>
      <c r="H961" s="26">
        <v>0</v>
      </c>
      <c r="I961" s="26">
        <f t="shared" ref="I961:I988" si="98">(F961+G961+H961)/3</f>
        <v>0</v>
      </c>
      <c r="J961" s="1340" t="e">
        <f t="shared" si="96"/>
        <v>#DIV/0!</v>
      </c>
      <c r="K961" s="1340">
        <f t="shared" si="97"/>
        <v>0</v>
      </c>
    </row>
    <row r="962" spans="1:11" ht="15" x14ac:dyDescent="0.25">
      <c r="A962" s="1341"/>
      <c r="B962" s="624">
        <v>73020</v>
      </c>
      <c r="C962" s="1344">
        <v>331900800000000</v>
      </c>
      <c r="D962" s="624" t="s">
        <v>6043</v>
      </c>
      <c r="E962" s="624">
        <v>1</v>
      </c>
      <c r="F962" s="643">
        <v>0</v>
      </c>
      <c r="G962" s="643">
        <f>8552.3+5542.43</f>
        <v>14094.73</v>
      </c>
      <c r="H962" s="26">
        <v>0</v>
      </c>
      <c r="I962" s="26">
        <f t="shared" si="98"/>
        <v>4698.2433333333329</v>
      </c>
      <c r="J962" s="1340" t="e">
        <f t="shared" si="96"/>
        <v>#DIV/0!</v>
      </c>
      <c r="K962" s="1340">
        <f t="shared" si="97"/>
        <v>5.5261006830112525E-3</v>
      </c>
    </row>
    <row r="963" spans="1:11" ht="15" x14ac:dyDescent="0.25">
      <c r="A963" s="1341"/>
      <c r="B963" s="624">
        <v>73040</v>
      </c>
      <c r="C963" s="1344">
        <v>331901100000000</v>
      </c>
      <c r="D963" s="624" t="s">
        <v>6044</v>
      </c>
      <c r="E963" s="624">
        <v>20</v>
      </c>
      <c r="F963" s="643">
        <v>0</v>
      </c>
      <c r="G963" s="643">
        <v>0</v>
      </c>
      <c r="H963" s="26">
        <v>0</v>
      </c>
      <c r="I963" s="26">
        <f t="shared" si="98"/>
        <v>0</v>
      </c>
      <c r="J963" s="1340" t="e">
        <f t="shared" si="96"/>
        <v>#DIV/0!</v>
      </c>
      <c r="K963" s="1340">
        <f t="shared" si="97"/>
        <v>0</v>
      </c>
    </row>
    <row r="964" spans="1:11" ht="15" x14ac:dyDescent="0.25">
      <c r="A964" s="1341"/>
      <c r="B964" s="624">
        <v>73060</v>
      </c>
      <c r="C964" s="1344">
        <v>331901300000000</v>
      </c>
      <c r="D964" s="624" t="s">
        <v>6045</v>
      </c>
      <c r="E964" s="624">
        <v>20</v>
      </c>
      <c r="F964" s="643">
        <v>0</v>
      </c>
      <c r="G964" s="643">
        <v>0</v>
      </c>
      <c r="H964" s="26">
        <v>0</v>
      </c>
      <c r="I964" s="26">
        <f t="shared" si="98"/>
        <v>0</v>
      </c>
      <c r="J964" s="1340" t="e">
        <f t="shared" si="96"/>
        <v>#DIV/0!</v>
      </c>
      <c r="K964" s="1340">
        <f t="shared" si="97"/>
        <v>0</v>
      </c>
    </row>
    <row r="965" spans="1:11" ht="15" x14ac:dyDescent="0.25">
      <c r="A965" s="1341"/>
      <c r="B965" s="624">
        <v>73080</v>
      </c>
      <c r="C965" s="1344">
        <v>331901600000000</v>
      </c>
      <c r="D965" s="624" t="s">
        <v>6046</v>
      </c>
      <c r="E965" s="624">
        <v>20</v>
      </c>
      <c r="F965" s="643">
        <v>0</v>
      </c>
      <c r="G965" s="643">
        <v>0</v>
      </c>
      <c r="H965" s="26">
        <v>0</v>
      </c>
      <c r="I965" s="26">
        <f t="shared" si="98"/>
        <v>0</v>
      </c>
      <c r="J965" s="1340" t="e">
        <f t="shared" si="96"/>
        <v>#DIV/0!</v>
      </c>
      <c r="K965" s="1340">
        <f t="shared" si="97"/>
        <v>0</v>
      </c>
    </row>
    <row r="966" spans="1:11" ht="15" x14ac:dyDescent="0.25">
      <c r="A966" s="1341"/>
      <c r="B966" s="624">
        <v>73100</v>
      </c>
      <c r="C966" s="1344">
        <v>331903400000000</v>
      </c>
      <c r="D966" s="624" t="s">
        <v>7564</v>
      </c>
      <c r="E966" s="624">
        <v>20</v>
      </c>
      <c r="F966" s="643">
        <v>0</v>
      </c>
      <c r="G966" s="643">
        <v>0</v>
      </c>
      <c r="H966" s="26">
        <v>0</v>
      </c>
      <c r="I966" s="26">
        <f t="shared" si="98"/>
        <v>0</v>
      </c>
      <c r="J966" s="1340" t="e">
        <f t="shared" si="96"/>
        <v>#DIV/0!</v>
      </c>
      <c r="K966" s="1340">
        <f t="shared" si="97"/>
        <v>0</v>
      </c>
    </row>
    <row r="967" spans="1:11" ht="15" x14ac:dyDescent="0.25">
      <c r="A967" s="1341"/>
      <c r="B967" s="624">
        <v>73120</v>
      </c>
      <c r="C967" s="1344">
        <v>331909400000000</v>
      </c>
      <c r="D967" s="624" t="s">
        <v>7563</v>
      </c>
      <c r="E967" s="624">
        <v>20</v>
      </c>
      <c r="F967" s="643">
        <v>0</v>
      </c>
      <c r="G967" s="643">
        <v>0</v>
      </c>
      <c r="H967" s="26">
        <v>0</v>
      </c>
      <c r="I967" s="26">
        <f t="shared" si="98"/>
        <v>0</v>
      </c>
      <c r="J967" s="1340" t="e">
        <f t="shared" si="96"/>
        <v>#DIV/0!</v>
      </c>
      <c r="K967" s="1340">
        <f t="shared" si="97"/>
        <v>0</v>
      </c>
    </row>
    <row r="968" spans="1:11" ht="15" x14ac:dyDescent="0.25">
      <c r="A968" s="1341"/>
      <c r="B968" s="624">
        <v>73140</v>
      </c>
      <c r="C968" s="1344">
        <v>333901400000000</v>
      </c>
      <c r="D968" s="624" t="s">
        <v>6049</v>
      </c>
      <c r="E968" s="624">
        <v>20</v>
      </c>
      <c r="F968" s="643">
        <v>0</v>
      </c>
      <c r="G968" s="643">
        <v>0</v>
      </c>
      <c r="H968" s="26">
        <v>0</v>
      </c>
      <c r="I968" s="26">
        <f t="shared" si="98"/>
        <v>0</v>
      </c>
      <c r="J968" s="1340" t="e">
        <f t="shared" si="96"/>
        <v>#DIV/0!</v>
      </c>
      <c r="K968" s="1340">
        <f t="shared" si="97"/>
        <v>0</v>
      </c>
    </row>
    <row r="969" spans="1:11" ht="15" x14ac:dyDescent="0.25">
      <c r="A969" s="1341"/>
      <c r="B969" s="624">
        <v>73530</v>
      </c>
      <c r="C969" s="1344">
        <v>333901400000000</v>
      </c>
      <c r="D969" s="624" t="s">
        <v>6066</v>
      </c>
      <c r="E969" s="624">
        <v>20</v>
      </c>
      <c r="F969" s="643">
        <v>0</v>
      </c>
      <c r="G969" s="643">
        <v>0</v>
      </c>
      <c r="H969" s="26">
        <v>0</v>
      </c>
      <c r="I969" s="26">
        <f t="shared" si="98"/>
        <v>0</v>
      </c>
      <c r="J969" s="1340" t="e">
        <f t="shared" si="96"/>
        <v>#DIV/0!</v>
      </c>
      <c r="K969" s="1340">
        <f t="shared" si="97"/>
        <v>0</v>
      </c>
    </row>
    <row r="970" spans="1:11" ht="15" x14ac:dyDescent="0.25">
      <c r="A970" s="1341"/>
      <c r="B970" s="624">
        <v>73160</v>
      </c>
      <c r="C970" s="1344">
        <v>333903000000000</v>
      </c>
      <c r="D970" s="624" t="s">
        <v>6050</v>
      </c>
      <c r="E970" s="624">
        <v>20</v>
      </c>
      <c r="F970" s="643">
        <v>0</v>
      </c>
      <c r="G970" s="643">
        <v>0</v>
      </c>
      <c r="H970" s="26">
        <v>0</v>
      </c>
      <c r="I970" s="26">
        <f t="shared" si="98"/>
        <v>0</v>
      </c>
      <c r="J970" s="1340" t="e">
        <f t="shared" si="96"/>
        <v>#DIV/0!</v>
      </c>
      <c r="K970" s="1340">
        <f t="shared" si="97"/>
        <v>0</v>
      </c>
    </row>
    <row r="971" spans="1:11" ht="15" x14ac:dyDescent="0.25">
      <c r="A971" s="1341"/>
      <c r="B971" s="624">
        <v>73180</v>
      </c>
      <c r="C971" s="1344">
        <v>333903200000000</v>
      </c>
      <c r="D971" s="624" t="s">
        <v>6051</v>
      </c>
      <c r="E971" s="624">
        <v>20</v>
      </c>
      <c r="F971" s="643">
        <v>0</v>
      </c>
      <c r="G971" s="643">
        <v>0</v>
      </c>
      <c r="H971" s="26">
        <v>0</v>
      </c>
      <c r="I971" s="26">
        <f t="shared" si="98"/>
        <v>0</v>
      </c>
      <c r="J971" s="1340" t="e">
        <f t="shared" si="96"/>
        <v>#DIV/0!</v>
      </c>
      <c r="K971" s="1340">
        <f t="shared" si="97"/>
        <v>0</v>
      </c>
    </row>
    <row r="972" spans="1:11" ht="15" x14ac:dyDescent="0.25">
      <c r="A972" s="1341"/>
      <c r="B972" s="624">
        <v>73200</v>
      </c>
      <c r="C972" s="1344">
        <v>333903300000000</v>
      </c>
      <c r="D972" s="624" t="s">
        <v>6052</v>
      </c>
      <c r="E972" s="624">
        <v>20</v>
      </c>
      <c r="F972" s="643">
        <v>0</v>
      </c>
      <c r="G972" s="643">
        <v>0</v>
      </c>
      <c r="H972" s="26">
        <v>0</v>
      </c>
      <c r="I972" s="26">
        <f t="shared" si="98"/>
        <v>0</v>
      </c>
      <c r="J972" s="1340" t="e">
        <f t="shared" si="96"/>
        <v>#DIV/0!</v>
      </c>
      <c r="K972" s="1340">
        <f t="shared" si="97"/>
        <v>0</v>
      </c>
    </row>
    <row r="973" spans="1:11" ht="30" x14ac:dyDescent="0.25">
      <c r="A973" s="1341"/>
      <c r="B973" s="624">
        <v>73550</v>
      </c>
      <c r="C973" s="1344">
        <v>333903300000000</v>
      </c>
      <c r="D973" s="624" t="s">
        <v>7562</v>
      </c>
      <c r="E973" s="624">
        <v>20</v>
      </c>
      <c r="F973" s="643">
        <v>0</v>
      </c>
      <c r="G973" s="643">
        <v>0</v>
      </c>
      <c r="H973" s="26">
        <v>0</v>
      </c>
      <c r="I973" s="26">
        <f t="shared" si="98"/>
        <v>0</v>
      </c>
      <c r="J973" s="1340" t="e">
        <f t="shared" si="96"/>
        <v>#DIV/0!</v>
      </c>
      <c r="K973" s="1340">
        <f t="shared" si="97"/>
        <v>0</v>
      </c>
    </row>
    <row r="974" spans="1:11" ht="15" x14ac:dyDescent="0.25">
      <c r="A974" s="1341"/>
      <c r="B974" s="624">
        <v>73220</v>
      </c>
      <c r="C974" s="1344">
        <v>333903500000000</v>
      </c>
      <c r="D974" s="624" t="s">
        <v>6053</v>
      </c>
      <c r="E974" s="624">
        <v>20</v>
      </c>
      <c r="F974" s="643">
        <v>0</v>
      </c>
      <c r="G974" s="643">
        <v>0</v>
      </c>
      <c r="H974" s="26">
        <v>0</v>
      </c>
      <c r="I974" s="26">
        <f t="shared" si="98"/>
        <v>0</v>
      </c>
      <c r="J974" s="1340" t="e">
        <f t="shared" si="96"/>
        <v>#DIV/0!</v>
      </c>
      <c r="K974" s="1340">
        <f t="shared" si="97"/>
        <v>0</v>
      </c>
    </row>
    <row r="975" spans="1:11" ht="15" x14ac:dyDescent="0.25">
      <c r="A975" s="1341"/>
      <c r="B975" s="624">
        <v>73240</v>
      </c>
      <c r="C975" s="1344">
        <v>333903600000000</v>
      </c>
      <c r="D975" s="624" t="s">
        <v>6054</v>
      </c>
      <c r="E975" s="624">
        <v>20</v>
      </c>
      <c r="F975" s="643">
        <v>0</v>
      </c>
      <c r="G975" s="643">
        <v>0</v>
      </c>
      <c r="H975" s="26">
        <v>0</v>
      </c>
      <c r="I975" s="26">
        <f t="shared" si="98"/>
        <v>0</v>
      </c>
      <c r="J975" s="1340" t="e">
        <f t="shared" si="96"/>
        <v>#DIV/0!</v>
      </c>
      <c r="K975" s="1340">
        <f t="shared" si="97"/>
        <v>0</v>
      </c>
    </row>
    <row r="976" spans="1:11" ht="15" x14ac:dyDescent="0.25">
      <c r="A976" s="1341"/>
      <c r="B976" s="624">
        <v>73570</v>
      </c>
      <c r="C976" s="1344">
        <v>333903600000000</v>
      </c>
      <c r="D976" s="624" t="s">
        <v>6068</v>
      </c>
      <c r="E976" s="624">
        <v>20</v>
      </c>
      <c r="F976" s="643">
        <v>0</v>
      </c>
      <c r="G976" s="643">
        <v>0</v>
      </c>
      <c r="H976" s="26">
        <v>0</v>
      </c>
      <c r="I976" s="26">
        <f t="shared" si="98"/>
        <v>0</v>
      </c>
      <c r="J976" s="1340" t="e">
        <f t="shared" si="96"/>
        <v>#DIV/0!</v>
      </c>
      <c r="K976" s="1340">
        <f t="shared" si="97"/>
        <v>0</v>
      </c>
    </row>
    <row r="977" spans="1:11" ht="15" x14ac:dyDescent="0.25">
      <c r="A977" s="1341"/>
      <c r="B977" s="624">
        <v>73260</v>
      </c>
      <c r="C977" s="1344">
        <v>333903900000000</v>
      </c>
      <c r="D977" s="624" t="s">
        <v>6055</v>
      </c>
      <c r="E977" s="624">
        <v>20</v>
      </c>
      <c r="F977" s="643">
        <v>0</v>
      </c>
      <c r="G977" s="643">
        <v>0</v>
      </c>
      <c r="H977" s="26">
        <v>0</v>
      </c>
      <c r="I977" s="26">
        <f t="shared" si="98"/>
        <v>0</v>
      </c>
      <c r="J977" s="1340" t="e">
        <f t="shared" si="96"/>
        <v>#DIV/0!</v>
      </c>
      <c r="K977" s="1340">
        <f t="shared" si="97"/>
        <v>0</v>
      </c>
    </row>
    <row r="978" spans="1:11" ht="15" x14ac:dyDescent="0.25">
      <c r="A978" s="1341"/>
      <c r="B978" s="624">
        <v>73590</v>
      </c>
      <c r="C978" s="1344">
        <v>333903900000000</v>
      </c>
      <c r="D978" s="624" t="s">
        <v>6069</v>
      </c>
      <c r="E978" s="624">
        <v>20</v>
      </c>
      <c r="F978" s="643">
        <v>0</v>
      </c>
      <c r="G978" s="643">
        <v>0</v>
      </c>
      <c r="H978" s="26">
        <v>0</v>
      </c>
      <c r="I978" s="26">
        <f t="shared" si="98"/>
        <v>0</v>
      </c>
      <c r="J978" s="1340" t="e">
        <f t="shared" si="96"/>
        <v>#DIV/0!</v>
      </c>
      <c r="K978" s="1340">
        <f t="shared" si="97"/>
        <v>0</v>
      </c>
    </row>
    <row r="979" spans="1:11" ht="15" x14ac:dyDescent="0.25">
      <c r="A979" s="1341"/>
      <c r="B979" s="624">
        <v>73500</v>
      </c>
      <c r="C979" s="1344">
        <v>333904000000000</v>
      </c>
      <c r="D979" s="624" t="s">
        <v>6065</v>
      </c>
      <c r="E979" s="624">
        <v>20</v>
      </c>
      <c r="F979" s="643">
        <v>0</v>
      </c>
      <c r="G979" s="643">
        <v>0</v>
      </c>
      <c r="H979" s="26">
        <v>0</v>
      </c>
      <c r="I979" s="26">
        <f t="shared" si="98"/>
        <v>0</v>
      </c>
      <c r="J979" s="1340" t="e">
        <f t="shared" si="96"/>
        <v>#DIV/0!</v>
      </c>
      <c r="K979" s="1340">
        <f t="shared" si="97"/>
        <v>0</v>
      </c>
    </row>
    <row r="980" spans="1:11" ht="15" x14ac:dyDescent="0.25">
      <c r="A980" s="1341"/>
      <c r="B980" s="624">
        <v>73300</v>
      </c>
      <c r="C980" s="1344">
        <v>333904600000000</v>
      </c>
      <c r="D980" s="624" t="s">
        <v>6056</v>
      </c>
      <c r="E980" s="624">
        <v>1</v>
      </c>
      <c r="F980" s="643">
        <v>0</v>
      </c>
      <c r="G980" s="643">
        <v>0</v>
      </c>
      <c r="H980" s="26">
        <v>0</v>
      </c>
      <c r="I980" s="26">
        <f t="shared" si="98"/>
        <v>0</v>
      </c>
      <c r="J980" s="1340" t="e">
        <f t="shared" si="96"/>
        <v>#DIV/0!</v>
      </c>
      <c r="K980" s="1340">
        <f t="shared" si="97"/>
        <v>0</v>
      </c>
    </row>
    <row r="981" spans="1:11" ht="15" x14ac:dyDescent="0.25">
      <c r="A981" s="1341"/>
      <c r="B981" s="624">
        <v>73320</v>
      </c>
      <c r="C981" s="1344">
        <v>333904700000000</v>
      </c>
      <c r="D981" s="624" t="s">
        <v>6057</v>
      </c>
      <c r="E981" s="624">
        <v>20</v>
      </c>
      <c r="F981" s="643">
        <v>0</v>
      </c>
      <c r="G981" s="643">
        <v>0</v>
      </c>
      <c r="H981" s="26">
        <v>0</v>
      </c>
      <c r="I981" s="26">
        <f t="shared" si="98"/>
        <v>0</v>
      </c>
      <c r="J981" s="1340" t="e">
        <f t="shared" si="96"/>
        <v>#DIV/0!</v>
      </c>
      <c r="K981" s="1340">
        <f t="shared" si="97"/>
        <v>0</v>
      </c>
    </row>
    <row r="982" spans="1:11" ht="15" x14ac:dyDescent="0.25">
      <c r="A982" s="1341"/>
      <c r="B982" s="624">
        <v>73620</v>
      </c>
      <c r="C982" s="1344">
        <v>333904700000000</v>
      </c>
      <c r="D982" s="624" t="s">
        <v>6070</v>
      </c>
      <c r="E982" s="624">
        <v>20</v>
      </c>
      <c r="F982" s="643">
        <v>0</v>
      </c>
      <c r="G982" s="643">
        <v>0</v>
      </c>
      <c r="H982" s="26">
        <v>0</v>
      </c>
      <c r="I982" s="26">
        <f t="shared" si="98"/>
        <v>0</v>
      </c>
      <c r="J982" s="1340" t="e">
        <f t="shared" si="96"/>
        <v>#DIV/0!</v>
      </c>
      <c r="K982" s="1340">
        <f t="shared" si="97"/>
        <v>0</v>
      </c>
    </row>
    <row r="983" spans="1:11" ht="15" x14ac:dyDescent="0.25">
      <c r="A983" s="1341"/>
      <c r="B983" s="624">
        <v>73340</v>
      </c>
      <c r="C983" s="1344">
        <v>333904900000000</v>
      </c>
      <c r="D983" s="624" t="s">
        <v>6058</v>
      </c>
      <c r="E983" s="624">
        <v>20</v>
      </c>
      <c r="F983" s="643">
        <v>0</v>
      </c>
      <c r="G983" s="643">
        <v>0</v>
      </c>
      <c r="H983" s="26">
        <v>0</v>
      </c>
      <c r="I983" s="26">
        <f t="shared" si="98"/>
        <v>0</v>
      </c>
      <c r="J983" s="1340" t="e">
        <f t="shared" si="96"/>
        <v>#DIV/0!</v>
      </c>
      <c r="K983" s="1340">
        <f t="shared" si="97"/>
        <v>0</v>
      </c>
    </row>
    <row r="984" spans="1:11" ht="15" x14ac:dyDescent="0.25">
      <c r="A984" s="1341"/>
      <c r="B984" s="624">
        <v>73360</v>
      </c>
      <c r="C984" s="1344">
        <v>333909200000000</v>
      </c>
      <c r="D984" s="624" t="s">
        <v>6063</v>
      </c>
      <c r="E984" s="624">
        <v>20</v>
      </c>
      <c r="F984" s="643">
        <v>0</v>
      </c>
      <c r="G984" s="643">
        <v>0</v>
      </c>
      <c r="H984" s="26">
        <v>0</v>
      </c>
      <c r="I984" s="26">
        <f t="shared" si="98"/>
        <v>0</v>
      </c>
      <c r="J984" s="1340" t="e">
        <f t="shared" si="96"/>
        <v>#DIV/0!</v>
      </c>
      <c r="K984" s="1340">
        <f t="shared" si="97"/>
        <v>0</v>
      </c>
    </row>
    <row r="985" spans="1:11" ht="15" x14ac:dyDescent="0.25">
      <c r="A985" s="1341"/>
      <c r="B985" s="624">
        <v>73380</v>
      </c>
      <c r="C985" s="1344">
        <v>333909300000000</v>
      </c>
      <c r="D985" s="624" t="s">
        <v>6059</v>
      </c>
      <c r="E985" s="624">
        <v>20</v>
      </c>
      <c r="F985" s="643">
        <v>0</v>
      </c>
      <c r="G985" s="643">
        <v>0</v>
      </c>
      <c r="H985" s="26">
        <v>0</v>
      </c>
      <c r="I985" s="26">
        <f t="shared" si="98"/>
        <v>0</v>
      </c>
      <c r="J985" s="1340" t="e">
        <f t="shared" si="96"/>
        <v>#DIV/0!</v>
      </c>
      <c r="K985" s="1340">
        <f t="shared" si="97"/>
        <v>0</v>
      </c>
    </row>
    <row r="986" spans="1:11" ht="15" x14ac:dyDescent="0.25">
      <c r="A986" s="1341"/>
      <c r="B986" s="624">
        <v>73400</v>
      </c>
      <c r="C986" s="1344">
        <v>333933000000000</v>
      </c>
      <c r="D986" s="624" t="s">
        <v>6064</v>
      </c>
      <c r="E986" s="624">
        <v>20</v>
      </c>
      <c r="F986" s="643">
        <v>0</v>
      </c>
      <c r="G986" s="643">
        <v>0</v>
      </c>
      <c r="H986" s="26">
        <v>0</v>
      </c>
      <c r="I986" s="26">
        <f t="shared" si="98"/>
        <v>0</v>
      </c>
      <c r="J986" s="1340" t="e">
        <f t="shared" si="96"/>
        <v>#DIV/0!</v>
      </c>
      <c r="K986" s="1340">
        <f t="shared" si="97"/>
        <v>0</v>
      </c>
    </row>
    <row r="987" spans="1:11" ht="15" x14ac:dyDescent="0.25">
      <c r="A987" s="1341"/>
      <c r="B987" s="624">
        <v>73420</v>
      </c>
      <c r="C987" s="1344">
        <v>344905100000000</v>
      </c>
      <c r="D987" s="624" t="s">
        <v>6060</v>
      </c>
      <c r="E987" s="624">
        <v>20</v>
      </c>
      <c r="F987" s="643">
        <v>0</v>
      </c>
      <c r="G987" s="643">
        <v>0</v>
      </c>
      <c r="H987" s="26">
        <v>0</v>
      </c>
      <c r="I987" s="26">
        <f t="shared" si="98"/>
        <v>0</v>
      </c>
      <c r="J987" s="1340" t="e">
        <f t="shared" si="96"/>
        <v>#DIV/0!</v>
      </c>
      <c r="K987" s="1340">
        <f t="shared" si="97"/>
        <v>0</v>
      </c>
    </row>
    <row r="988" spans="1:11" ht="15" x14ac:dyDescent="0.25">
      <c r="A988" s="1341"/>
      <c r="B988" s="624">
        <v>73440</v>
      </c>
      <c r="C988" s="1344">
        <v>344905200000000</v>
      </c>
      <c r="D988" s="624" t="s">
        <v>6061</v>
      </c>
      <c r="E988" s="624">
        <v>20</v>
      </c>
      <c r="F988" s="643">
        <v>0</v>
      </c>
      <c r="G988" s="643">
        <v>0</v>
      </c>
      <c r="H988" s="26">
        <v>0</v>
      </c>
      <c r="I988" s="26">
        <f t="shared" si="98"/>
        <v>0</v>
      </c>
      <c r="J988" s="1340" t="e">
        <f t="shared" ref="J988:J998" si="99">(G988/F988)+(H988/G988)/2</f>
        <v>#DIV/0!</v>
      </c>
      <c r="K988" s="1340">
        <f t="shared" ref="K988:K997" si="100">I988/I$998</f>
        <v>0</v>
      </c>
    </row>
    <row r="989" spans="1:11" s="12" customFormat="1" ht="15" x14ac:dyDescent="0.25">
      <c r="A989" s="1081"/>
      <c r="B989" s="570" t="s">
        <v>2965</v>
      </c>
      <c r="C989" s="1345">
        <v>54</v>
      </c>
      <c r="D989" s="570" t="s">
        <v>7561</v>
      </c>
      <c r="E989" s="570"/>
      <c r="F989" s="642">
        <f>SUM(F990:F997)</f>
        <v>0</v>
      </c>
      <c r="G989" s="642">
        <f>SUM(G990:G997)</f>
        <v>0</v>
      </c>
      <c r="H989" s="642">
        <f>SUM(H990:H997)</f>
        <v>0</v>
      </c>
      <c r="I989" s="642">
        <f>SUM(I990:I997)</f>
        <v>0</v>
      </c>
      <c r="J989" s="1338" t="e">
        <f t="shared" si="99"/>
        <v>#DIV/0!</v>
      </c>
      <c r="K989" s="1338">
        <f t="shared" si="100"/>
        <v>0</v>
      </c>
    </row>
    <row r="990" spans="1:11" ht="15" x14ac:dyDescent="0.25">
      <c r="A990" s="1341"/>
      <c r="B990" s="624">
        <v>77000</v>
      </c>
      <c r="C990" s="1344">
        <v>333901400000000</v>
      </c>
      <c r="D990" s="624" t="s">
        <v>6929</v>
      </c>
      <c r="E990" s="624">
        <v>20</v>
      </c>
      <c r="F990" s="643">
        <v>0</v>
      </c>
      <c r="G990" s="643">
        <v>0</v>
      </c>
      <c r="H990" s="26">
        <v>0</v>
      </c>
      <c r="I990" s="26">
        <f t="shared" ref="I990:I997" si="101">(F990+G990+H990)/3</f>
        <v>0</v>
      </c>
      <c r="J990" s="1340" t="e">
        <f t="shared" si="99"/>
        <v>#DIV/0!</v>
      </c>
      <c r="K990" s="1340">
        <f t="shared" si="100"/>
        <v>0</v>
      </c>
    </row>
    <row r="991" spans="1:11" ht="15" x14ac:dyDescent="0.25">
      <c r="A991" s="1341"/>
      <c r="B991" s="624">
        <v>77030</v>
      </c>
      <c r="C991" s="1344">
        <v>333903000000000</v>
      </c>
      <c r="D991" s="624" t="s">
        <v>7560</v>
      </c>
      <c r="E991" s="624">
        <v>20</v>
      </c>
      <c r="F991" s="643">
        <v>0</v>
      </c>
      <c r="G991" s="643">
        <v>0</v>
      </c>
      <c r="H991" s="26">
        <v>0</v>
      </c>
      <c r="I991" s="26">
        <f t="shared" si="101"/>
        <v>0</v>
      </c>
      <c r="J991" s="1340" t="e">
        <f t="shared" si="99"/>
        <v>#DIV/0!</v>
      </c>
      <c r="K991" s="1340">
        <f t="shared" si="100"/>
        <v>0</v>
      </c>
    </row>
    <row r="992" spans="1:11" ht="15" x14ac:dyDescent="0.25">
      <c r="A992" s="1341"/>
      <c r="B992" s="624">
        <v>77060</v>
      </c>
      <c r="C992" s="1344">
        <v>333903300000000</v>
      </c>
      <c r="D992" s="624" t="s">
        <v>7559</v>
      </c>
      <c r="E992" s="624">
        <v>20</v>
      </c>
      <c r="F992" s="643">
        <v>0</v>
      </c>
      <c r="G992" s="643">
        <v>0</v>
      </c>
      <c r="H992" s="26">
        <v>0</v>
      </c>
      <c r="I992" s="26">
        <f t="shared" si="101"/>
        <v>0</v>
      </c>
      <c r="J992" s="1340" t="e">
        <f t="shared" si="99"/>
        <v>#DIV/0!</v>
      </c>
      <c r="K992" s="1340">
        <f t="shared" si="100"/>
        <v>0</v>
      </c>
    </row>
    <row r="993" spans="1:11" ht="15" x14ac:dyDescent="0.25">
      <c r="A993" s="1341"/>
      <c r="B993" s="624">
        <v>77080</v>
      </c>
      <c r="C993" s="1344">
        <v>333903600000000</v>
      </c>
      <c r="D993" s="624" t="s">
        <v>7558</v>
      </c>
      <c r="E993" s="624">
        <v>20</v>
      </c>
      <c r="F993" s="643">
        <v>0</v>
      </c>
      <c r="G993" s="643">
        <v>0</v>
      </c>
      <c r="H993" s="26">
        <v>0</v>
      </c>
      <c r="I993" s="26">
        <f t="shared" si="101"/>
        <v>0</v>
      </c>
      <c r="J993" s="1340" t="e">
        <f t="shared" si="99"/>
        <v>#DIV/0!</v>
      </c>
      <c r="K993" s="1340">
        <f t="shared" si="100"/>
        <v>0</v>
      </c>
    </row>
    <row r="994" spans="1:11" ht="15" x14ac:dyDescent="0.25">
      <c r="A994" s="1341"/>
      <c r="B994" s="624">
        <v>77110</v>
      </c>
      <c r="C994" s="1344">
        <v>333903900000000</v>
      </c>
      <c r="D994" s="624" t="s">
        <v>7557</v>
      </c>
      <c r="E994" s="624">
        <v>20</v>
      </c>
      <c r="F994" s="643">
        <v>0</v>
      </c>
      <c r="G994" s="643">
        <v>0</v>
      </c>
      <c r="H994" s="26">
        <v>0</v>
      </c>
      <c r="I994" s="26">
        <f t="shared" si="101"/>
        <v>0</v>
      </c>
      <c r="J994" s="1340" t="e">
        <f t="shared" si="99"/>
        <v>#DIV/0!</v>
      </c>
      <c r="K994" s="1340">
        <f t="shared" si="100"/>
        <v>0</v>
      </c>
    </row>
    <row r="995" spans="1:11" ht="15" x14ac:dyDescent="0.25">
      <c r="A995" s="1341"/>
      <c r="B995" s="624">
        <v>77140</v>
      </c>
      <c r="C995" s="1344">
        <v>333904700000000</v>
      </c>
      <c r="D995" s="624" t="s">
        <v>7556</v>
      </c>
      <c r="E995" s="624">
        <v>20</v>
      </c>
      <c r="F995" s="643">
        <v>0</v>
      </c>
      <c r="G995" s="643">
        <v>0</v>
      </c>
      <c r="H995" s="26">
        <v>0</v>
      </c>
      <c r="I995" s="26">
        <f t="shared" si="101"/>
        <v>0</v>
      </c>
      <c r="J995" s="1340" t="e">
        <f t="shared" si="99"/>
        <v>#DIV/0!</v>
      </c>
      <c r="K995" s="1340">
        <f t="shared" si="100"/>
        <v>0</v>
      </c>
    </row>
    <row r="996" spans="1:11" ht="15" x14ac:dyDescent="0.25">
      <c r="A996" s="1341"/>
      <c r="B996" s="624">
        <v>77170</v>
      </c>
      <c r="C996" s="1344">
        <v>344905100000000</v>
      </c>
      <c r="D996" s="624" t="s">
        <v>7555</v>
      </c>
      <c r="E996" s="624">
        <v>20</v>
      </c>
      <c r="F996" s="643">
        <v>0</v>
      </c>
      <c r="G996" s="643">
        <v>0</v>
      </c>
      <c r="H996" s="26">
        <v>0</v>
      </c>
      <c r="I996" s="26">
        <f t="shared" si="101"/>
        <v>0</v>
      </c>
      <c r="J996" s="1340" t="e">
        <f t="shared" si="99"/>
        <v>#DIV/0!</v>
      </c>
      <c r="K996" s="1340">
        <f t="shared" si="100"/>
        <v>0</v>
      </c>
    </row>
    <row r="997" spans="1:11" ht="15" x14ac:dyDescent="0.25">
      <c r="A997" s="1341"/>
      <c r="B997" s="624">
        <v>77200</v>
      </c>
      <c r="C997" s="1344">
        <v>344905200000000</v>
      </c>
      <c r="D997" s="624" t="s">
        <v>7554</v>
      </c>
      <c r="E997" s="624">
        <v>20</v>
      </c>
      <c r="F997" s="643">
        <v>0</v>
      </c>
      <c r="G997" s="643">
        <v>0</v>
      </c>
      <c r="H997" s="26">
        <v>0</v>
      </c>
      <c r="I997" s="26">
        <f t="shared" si="101"/>
        <v>0</v>
      </c>
      <c r="J997" s="1340" t="e">
        <f t="shared" si="99"/>
        <v>#DIV/0!</v>
      </c>
      <c r="K997" s="1340">
        <f t="shared" si="100"/>
        <v>0</v>
      </c>
    </row>
    <row r="998" spans="1:11" ht="15" x14ac:dyDescent="0.25">
      <c r="B998" s="1598" t="s">
        <v>1575</v>
      </c>
      <c r="C998" s="1598"/>
      <c r="D998" s="1598"/>
      <c r="E998" s="1598"/>
      <c r="F998" s="25">
        <f>F860+F874+F902+F931+F960+F989</f>
        <v>1311741.54</v>
      </c>
      <c r="G998" s="25">
        <f>G860+G874+G902+G931+G960+G989</f>
        <v>1238832.6909999999</v>
      </c>
      <c r="H998" s="25">
        <f>H860+H874+H902+H931+H960+H989</f>
        <v>0</v>
      </c>
      <c r="I998" s="25">
        <f>I860+I874+I902+I931+I960+I989</f>
        <v>850191.4103333333</v>
      </c>
      <c r="J998" s="1338">
        <f t="shared" si="99"/>
        <v>0.94441828151603691</v>
      </c>
      <c r="K998" s="1338" t="e">
        <f>I998/I$820</f>
        <v>#DIV/0!</v>
      </c>
    </row>
    <row r="1000" spans="1:11" ht="15" x14ac:dyDescent="0.25">
      <c r="B1000" s="616" t="s">
        <v>7553</v>
      </c>
      <c r="F1000" s="643"/>
    </row>
    <row r="1001" spans="1:11" ht="45" customHeight="1" x14ac:dyDescent="0.25">
      <c r="B1001" s="1343" t="s">
        <v>2967</v>
      </c>
      <c r="C1001" s="1343" t="s">
        <v>472</v>
      </c>
      <c r="D1001" s="1343" t="s">
        <v>2968</v>
      </c>
      <c r="E1001" s="1343" t="s">
        <v>1403</v>
      </c>
      <c r="F1001" s="1081">
        <v>2017</v>
      </c>
      <c r="G1001" s="1081">
        <f>F1001+1</f>
        <v>2018</v>
      </c>
      <c r="H1001" s="1081">
        <f>G1001+1</f>
        <v>2019</v>
      </c>
      <c r="I1001" s="1082" t="s">
        <v>7336</v>
      </c>
      <c r="J1001" s="1342" t="s">
        <v>7335</v>
      </c>
      <c r="K1001" s="1342" t="s">
        <v>7334</v>
      </c>
    </row>
    <row r="1002" spans="1:11" s="12" customFormat="1" ht="15" x14ac:dyDescent="0.25">
      <c r="A1002" s="1081"/>
      <c r="B1002" s="570" t="s">
        <v>2950</v>
      </c>
      <c r="C1002" s="1345" t="s">
        <v>4687</v>
      </c>
      <c r="D1002" s="570" t="s">
        <v>4688</v>
      </c>
      <c r="E1002" s="570"/>
      <c r="F1002" s="642">
        <f>SUM(F1003:F1023)</f>
        <v>162405.56</v>
      </c>
      <c r="G1002" s="642">
        <f>SUM(G1003:G1023)</f>
        <v>930.55</v>
      </c>
      <c r="H1002" s="642">
        <f>SUM(H1003:H1023)</f>
        <v>0</v>
      </c>
      <c r="I1002" s="642">
        <f>SUM(I1003:I1023)</f>
        <v>54445.369999999995</v>
      </c>
      <c r="J1002" s="1338">
        <f t="shared" ref="J1002:J1033" si="102">(G1002/F1002)+(H1002/G1002)/2</f>
        <v>5.7297915169899349E-3</v>
      </c>
      <c r="K1002" s="1338">
        <f t="shared" ref="K1002:K1033" si="103">I1002/I$1170</f>
        <v>3.18272078402159E-2</v>
      </c>
    </row>
    <row r="1003" spans="1:11" ht="15" x14ac:dyDescent="0.25">
      <c r="A1003" s="1341"/>
      <c r="B1003" s="624">
        <v>83000</v>
      </c>
      <c r="C1003" s="1344">
        <v>333304700000000</v>
      </c>
      <c r="D1003" s="624" t="s">
        <v>4813</v>
      </c>
      <c r="E1003" s="624">
        <v>31</v>
      </c>
      <c r="F1003" s="643">
        <v>0</v>
      </c>
      <c r="G1003" s="643">
        <v>0</v>
      </c>
      <c r="H1003" s="26">
        <v>0</v>
      </c>
      <c r="I1003" s="26">
        <f t="shared" ref="I1003:I1023" si="104">(F1003+G1003+H1003)/3</f>
        <v>0</v>
      </c>
      <c r="J1003" s="1340" t="e">
        <f t="shared" si="102"/>
        <v>#DIV/0!</v>
      </c>
      <c r="K1003" s="1340">
        <f t="shared" si="103"/>
        <v>0</v>
      </c>
    </row>
    <row r="1004" spans="1:11" ht="15" x14ac:dyDescent="0.25">
      <c r="A1004" s="1341"/>
      <c r="B1004" s="624">
        <v>83400</v>
      </c>
      <c r="C1004" s="1344">
        <v>333304700000000</v>
      </c>
      <c r="D1004" s="624" t="s">
        <v>4779</v>
      </c>
      <c r="E1004" s="624">
        <v>31</v>
      </c>
      <c r="F1004" s="643">
        <v>0</v>
      </c>
      <c r="G1004" s="643">
        <v>0</v>
      </c>
      <c r="H1004" s="26">
        <v>0</v>
      </c>
      <c r="I1004" s="26">
        <f t="shared" si="104"/>
        <v>0</v>
      </c>
      <c r="J1004" s="1340" t="e">
        <f t="shared" si="102"/>
        <v>#DIV/0!</v>
      </c>
      <c r="K1004" s="1340">
        <f t="shared" si="103"/>
        <v>0</v>
      </c>
    </row>
    <row r="1005" spans="1:11" ht="15" x14ac:dyDescent="0.25">
      <c r="A1005" s="1341"/>
      <c r="B1005" s="624">
        <v>83700</v>
      </c>
      <c r="C1005" s="1344">
        <v>333904700000000</v>
      </c>
      <c r="D1005" s="624" t="s">
        <v>4780</v>
      </c>
      <c r="E1005" s="624">
        <v>31</v>
      </c>
      <c r="F1005" s="643">
        <v>0</v>
      </c>
      <c r="G1005" s="643">
        <v>0</v>
      </c>
      <c r="H1005" s="26">
        <v>0</v>
      </c>
      <c r="I1005" s="26">
        <f t="shared" si="104"/>
        <v>0</v>
      </c>
      <c r="J1005" s="1340" t="e">
        <f t="shared" si="102"/>
        <v>#DIV/0!</v>
      </c>
      <c r="K1005" s="1340">
        <f t="shared" si="103"/>
        <v>0</v>
      </c>
    </row>
    <row r="1006" spans="1:11" ht="15" x14ac:dyDescent="0.25">
      <c r="A1006" s="1341"/>
      <c r="B1006" s="624">
        <v>83050</v>
      </c>
      <c r="C1006" s="1344">
        <v>344903000000000</v>
      </c>
      <c r="D1006" s="624" t="s">
        <v>4814</v>
      </c>
      <c r="E1006" s="624">
        <v>31</v>
      </c>
      <c r="F1006" s="643">
        <v>0</v>
      </c>
      <c r="G1006" s="643">
        <v>0</v>
      </c>
      <c r="H1006" s="26">
        <v>0</v>
      </c>
      <c r="I1006" s="26">
        <f t="shared" si="104"/>
        <v>0</v>
      </c>
      <c r="J1006" s="1340" t="e">
        <f t="shared" si="102"/>
        <v>#DIV/0!</v>
      </c>
      <c r="K1006" s="1340">
        <f t="shared" si="103"/>
        <v>0</v>
      </c>
    </row>
    <row r="1007" spans="1:11" ht="15" x14ac:dyDescent="0.25">
      <c r="A1007" s="1341"/>
      <c r="B1007" s="624">
        <v>83420</v>
      </c>
      <c r="C1007" s="1344">
        <v>344903000000000</v>
      </c>
      <c r="D1007" s="624" t="s">
        <v>4781</v>
      </c>
      <c r="E1007" s="624">
        <v>31</v>
      </c>
      <c r="F1007" s="643">
        <v>0</v>
      </c>
      <c r="G1007" s="643">
        <v>0</v>
      </c>
      <c r="H1007" s="26">
        <v>0</v>
      </c>
      <c r="I1007" s="26">
        <f t="shared" si="104"/>
        <v>0</v>
      </c>
      <c r="J1007" s="1340" t="e">
        <f t="shared" si="102"/>
        <v>#DIV/0!</v>
      </c>
      <c r="K1007" s="1340">
        <f t="shared" si="103"/>
        <v>0</v>
      </c>
    </row>
    <row r="1008" spans="1:11" ht="15" x14ac:dyDescent="0.25">
      <c r="A1008" s="1341"/>
      <c r="B1008" s="624">
        <v>83720</v>
      </c>
      <c r="C1008" s="1344">
        <v>344903000000000</v>
      </c>
      <c r="D1008" s="624" t="s">
        <v>6126</v>
      </c>
      <c r="E1008" s="624">
        <v>31</v>
      </c>
      <c r="F1008" s="643">
        <v>0</v>
      </c>
      <c r="G1008" s="643">
        <v>0</v>
      </c>
      <c r="H1008" s="26">
        <v>0</v>
      </c>
      <c r="I1008" s="26">
        <f t="shared" si="104"/>
        <v>0</v>
      </c>
      <c r="J1008" s="1340" t="e">
        <f t="shared" si="102"/>
        <v>#DIV/0!</v>
      </c>
      <c r="K1008" s="1340">
        <f t="shared" si="103"/>
        <v>0</v>
      </c>
    </row>
    <row r="1009" spans="1:11" ht="15" x14ac:dyDescent="0.25">
      <c r="A1009" s="1341"/>
      <c r="B1009" s="624">
        <v>83100</v>
      </c>
      <c r="C1009" s="1344">
        <v>344903600000000</v>
      </c>
      <c r="D1009" s="624" t="s">
        <v>4815</v>
      </c>
      <c r="E1009" s="624">
        <v>31</v>
      </c>
      <c r="F1009" s="643">
        <v>0</v>
      </c>
      <c r="G1009" s="643">
        <v>0</v>
      </c>
      <c r="H1009" s="26">
        <v>0</v>
      </c>
      <c r="I1009" s="26">
        <f t="shared" si="104"/>
        <v>0</v>
      </c>
      <c r="J1009" s="1340" t="e">
        <f t="shared" si="102"/>
        <v>#DIV/0!</v>
      </c>
      <c r="K1009" s="1340">
        <f t="shared" si="103"/>
        <v>0</v>
      </c>
    </row>
    <row r="1010" spans="1:11" ht="15" x14ac:dyDescent="0.25">
      <c r="A1010" s="1341"/>
      <c r="B1010" s="624">
        <v>83440</v>
      </c>
      <c r="C1010" s="1344">
        <v>344903600000000</v>
      </c>
      <c r="D1010" s="624" t="s">
        <v>4782</v>
      </c>
      <c r="E1010" s="624">
        <v>31</v>
      </c>
      <c r="F1010" s="643">
        <v>0</v>
      </c>
      <c r="G1010" s="643">
        <v>0</v>
      </c>
      <c r="H1010" s="26">
        <v>0</v>
      </c>
      <c r="I1010" s="26">
        <f t="shared" si="104"/>
        <v>0</v>
      </c>
      <c r="J1010" s="1340" t="e">
        <f t="shared" si="102"/>
        <v>#DIV/0!</v>
      </c>
      <c r="K1010" s="1340">
        <f t="shared" si="103"/>
        <v>0</v>
      </c>
    </row>
    <row r="1011" spans="1:11" ht="15" x14ac:dyDescent="0.25">
      <c r="A1011" s="1341"/>
      <c r="B1011" s="624">
        <v>83740</v>
      </c>
      <c r="C1011" s="1344">
        <v>344903600000000</v>
      </c>
      <c r="D1011" s="624" t="s">
        <v>4783</v>
      </c>
      <c r="E1011" s="624">
        <v>31</v>
      </c>
      <c r="F1011" s="643">
        <v>0</v>
      </c>
      <c r="G1011" s="643">
        <v>0</v>
      </c>
      <c r="H1011" s="26">
        <v>0</v>
      </c>
      <c r="I1011" s="26">
        <f t="shared" si="104"/>
        <v>0</v>
      </c>
      <c r="J1011" s="1340" t="e">
        <f t="shared" si="102"/>
        <v>#DIV/0!</v>
      </c>
      <c r="K1011" s="1340">
        <f t="shared" si="103"/>
        <v>0</v>
      </c>
    </row>
    <row r="1012" spans="1:11" ht="15" x14ac:dyDescent="0.25">
      <c r="A1012" s="1341"/>
      <c r="B1012" s="624">
        <v>83150</v>
      </c>
      <c r="C1012" s="1344">
        <v>344903900000000</v>
      </c>
      <c r="D1012" s="624" t="s">
        <v>4816</v>
      </c>
      <c r="E1012" s="624">
        <v>31</v>
      </c>
      <c r="F1012" s="643">
        <v>0</v>
      </c>
      <c r="G1012" s="643">
        <v>0</v>
      </c>
      <c r="H1012" s="26">
        <v>0</v>
      </c>
      <c r="I1012" s="26">
        <f t="shared" si="104"/>
        <v>0</v>
      </c>
      <c r="J1012" s="1340" t="e">
        <f t="shared" si="102"/>
        <v>#DIV/0!</v>
      </c>
      <c r="K1012" s="1340">
        <f t="shared" si="103"/>
        <v>0</v>
      </c>
    </row>
    <row r="1013" spans="1:11" ht="15" x14ac:dyDescent="0.25">
      <c r="A1013" s="1341"/>
      <c r="B1013" s="624">
        <v>83300</v>
      </c>
      <c r="C1013" s="1344">
        <v>344903900000000</v>
      </c>
      <c r="D1013" s="624" t="s">
        <v>7552</v>
      </c>
      <c r="E1013" s="624">
        <v>31</v>
      </c>
      <c r="F1013" s="643">
        <v>0</v>
      </c>
      <c r="G1013" s="643">
        <v>0</v>
      </c>
      <c r="H1013" s="26">
        <v>0</v>
      </c>
      <c r="I1013" s="26">
        <f t="shared" si="104"/>
        <v>0</v>
      </c>
      <c r="J1013" s="1340" t="e">
        <f t="shared" si="102"/>
        <v>#DIV/0!</v>
      </c>
      <c r="K1013" s="1340">
        <f t="shared" si="103"/>
        <v>0</v>
      </c>
    </row>
    <row r="1014" spans="1:11" ht="15" x14ac:dyDescent="0.25">
      <c r="A1014" s="1341"/>
      <c r="B1014" s="624">
        <v>83460</v>
      </c>
      <c r="C1014" s="1344">
        <v>344903900000000</v>
      </c>
      <c r="D1014" s="624" t="s">
        <v>4784</v>
      </c>
      <c r="E1014" s="624">
        <v>31</v>
      </c>
      <c r="F1014" s="643">
        <v>81.53</v>
      </c>
      <c r="G1014" s="643">
        <v>0</v>
      </c>
      <c r="H1014" s="26">
        <v>0</v>
      </c>
      <c r="I1014" s="26">
        <f t="shared" si="104"/>
        <v>27.176666666666666</v>
      </c>
      <c r="J1014" s="1340" t="e">
        <f t="shared" si="102"/>
        <v>#DIV/0!</v>
      </c>
      <c r="K1014" s="1340">
        <f t="shared" si="103"/>
        <v>1.58867029171492E-5</v>
      </c>
    </row>
    <row r="1015" spans="1:11" ht="15" x14ac:dyDescent="0.25">
      <c r="A1015" s="1341"/>
      <c r="B1015" s="624">
        <v>83760</v>
      </c>
      <c r="C1015" s="1344">
        <v>344903900000000</v>
      </c>
      <c r="D1015" s="624" t="s">
        <v>4785</v>
      </c>
      <c r="E1015" s="624">
        <v>31</v>
      </c>
      <c r="F1015" s="643">
        <v>0</v>
      </c>
      <c r="G1015" s="643">
        <v>0</v>
      </c>
      <c r="H1015" s="26">
        <v>0</v>
      </c>
      <c r="I1015" s="26">
        <f t="shared" si="104"/>
        <v>0</v>
      </c>
      <c r="J1015" s="1340" t="e">
        <f t="shared" si="102"/>
        <v>#DIV/0!</v>
      </c>
      <c r="K1015" s="1340">
        <f t="shared" si="103"/>
        <v>0</v>
      </c>
    </row>
    <row r="1016" spans="1:11" ht="15" x14ac:dyDescent="0.25">
      <c r="A1016" s="1341"/>
      <c r="B1016" s="624">
        <v>83200</v>
      </c>
      <c r="C1016" s="1344">
        <v>344905100000000</v>
      </c>
      <c r="D1016" s="624" t="s">
        <v>4817</v>
      </c>
      <c r="E1016" s="624">
        <v>31</v>
      </c>
      <c r="F1016" s="643">
        <v>0</v>
      </c>
      <c r="G1016" s="643">
        <v>0</v>
      </c>
      <c r="H1016" s="26">
        <v>0</v>
      </c>
      <c r="I1016" s="26">
        <f t="shared" si="104"/>
        <v>0</v>
      </c>
      <c r="J1016" s="1340" t="e">
        <f t="shared" si="102"/>
        <v>#DIV/0!</v>
      </c>
      <c r="K1016" s="1340">
        <f t="shared" si="103"/>
        <v>0</v>
      </c>
    </row>
    <row r="1017" spans="1:11" ht="15" x14ac:dyDescent="0.25">
      <c r="A1017" s="1341"/>
      <c r="B1017" s="624">
        <v>83320</v>
      </c>
      <c r="C1017" s="1344">
        <v>344905100000000</v>
      </c>
      <c r="D1017" s="624" t="s">
        <v>6124</v>
      </c>
      <c r="E1017" s="624">
        <v>31</v>
      </c>
      <c r="F1017" s="643">
        <v>0</v>
      </c>
      <c r="G1017" s="643">
        <v>0</v>
      </c>
      <c r="H1017" s="26">
        <v>0</v>
      </c>
      <c r="I1017" s="26">
        <f t="shared" si="104"/>
        <v>0</v>
      </c>
      <c r="J1017" s="1340" t="e">
        <f t="shared" si="102"/>
        <v>#DIV/0!</v>
      </c>
      <c r="K1017" s="1340">
        <f t="shared" si="103"/>
        <v>0</v>
      </c>
    </row>
    <row r="1018" spans="1:11" ht="15" x14ac:dyDescent="0.25">
      <c r="A1018" s="1341"/>
      <c r="B1018" s="624">
        <v>83480</v>
      </c>
      <c r="C1018" s="1344">
        <v>344905100000000</v>
      </c>
      <c r="D1018" s="624" t="s">
        <v>4786</v>
      </c>
      <c r="E1018" s="624">
        <v>31</v>
      </c>
      <c r="F1018" s="643">
        <v>136899.03</v>
      </c>
      <c r="G1018" s="643">
        <v>930.55</v>
      </c>
      <c r="H1018" s="26">
        <v>0</v>
      </c>
      <c r="I1018" s="26">
        <f t="shared" si="104"/>
        <v>45943.193333333329</v>
      </c>
      <c r="J1018" s="1340">
        <f t="shared" si="102"/>
        <v>6.7973454596427741E-3</v>
      </c>
      <c r="K1018" s="1340">
        <f t="shared" si="103"/>
        <v>2.6857078261443013E-2</v>
      </c>
    </row>
    <row r="1019" spans="1:11" ht="15" x14ac:dyDescent="0.25">
      <c r="A1019" s="1341"/>
      <c r="B1019" s="624">
        <v>83780</v>
      </c>
      <c r="C1019" s="1344">
        <v>344905100000000</v>
      </c>
      <c r="D1019" s="624" t="s">
        <v>4787</v>
      </c>
      <c r="E1019" s="624">
        <v>31</v>
      </c>
      <c r="F1019" s="643">
        <v>0</v>
      </c>
      <c r="G1019" s="643">
        <v>0</v>
      </c>
      <c r="H1019" s="26">
        <v>0</v>
      </c>
      <c r="I1019" s="26">
        <f t="shared" si="104"/>
        <v>0</v>
      </c>
      <c r="J1019" s="1340" t="e">
        <f t="shared" si="102"/>
        <v>#DIV/0!</v>
      </c>
      <c r="K1019" s="1340">
        <f t="shared" si="103"/>
        <v>0</v>
      </c>
    </row>
    <row r="1020" spans="1:11" ht="15" x14ac:dyDescent="0.25">
      <c r="A1020" s="1341"/>
      <c r="B1020" s="624">
        <v>83250</v>
      </c>
      <c r="C1020" s="1344">
        <v>344905200000000</v>
      </c>
      <c r="D1020" s="624" t="s">
        <v>4818</v>
      </c>
      <c r="E1020" s="624">
        <v>31</v>
      </c>
      <c r="F1020" s="643">
        <v>0</v>
      </c>
      <c r="G1020" s="643">
        <v>0</v>
      </c>
      <c r="H1020" s="26">
        <v>0</v>
      </c>
      <c r="I1020" s="26">
        <f t="shared" si="104"/>
        <v>0</v>
      </c>
      <c r="J1020" s="1340" t="e">
        <f t="shared" si="102"/>
        <v>#DIV/0!</v>
      </c>
      <c r="K1020" s="1340">
        <f t="shared" si="103"/>
        <v>0</v>
      </c>
    </row>
    <row r="1021" spans="1:11" ht="15" x14ac:dyDescent="0.25">
      <c r="A1021" s="1341"/>
      <c r="B1021" s="624">
        <v>83340</v>
      </c>
      <c r="C1021" s="1344">
        <v>344905200000000</v>
      </c>
      <c r="D1021" s="624" t="s">
        <v>7551</v>
      </c>
      <c r="E1021" s="624">
        <v>31</v>
      </c>
      <c r="F1021" s="643">
        <v>0</v>
      </c>
      <c r="G1021" s="643">
        <v>0</v>
      </c>
      <c r="H1021" s="26">
        <v>0</v>
      </c>
      <c r="I1021" s="26">
        <f t="shared" si="104"/>
        <v>0</v>
      </c>
      <c r="J1021" s="1340" t="e">
        <f t="shared" si="102"/>
        <v>#DIV/0!</v>
      </c>
      <c r="K1021" s="1340">
        <f t="shared" si="103"/>
        <v>0</v>
      </c>
    </row>
    <row r="1022" spans="1:11" ht="15" x14ac:dyDescent="0.25">
      <c r="A1022" s="1341"/>
      <c r="B1022" s="624">
        <v>83500</v>
      </c>
      <c r="C1022" s="1344">
        <v>344905200000000</v>
      </c>
      <c r="D1022" s="624" t="s">
        <v>4788</v>
      </c>
      <c r="E1022" s="624">
        <v>31</v>
      </c>
      <c r="F1022" s="643">
        <v>25249</v>
      </c>
      <c r="G1022" s="643">
        <v>0</v>
      </c>
      <c r="H1022" s="26">
        <v>0</v>
      </c>
      <c r="I1022" s="26">
        <f t="shared" si="104"/>
        <v>8416.3333333333339</v>
      </c>
      <c r="J1022" s="1340" t="e">
        <f t="shared" si="102"/>
        <v>#DIV/0!</v>
      </c>
      <c r="K1022" s="1340">
        <f t="shared" si="103"/>
        <v>4.9199480185833453E-3</v>
      </c>
    </row>
    <row r="1023" spans="1:11" ht="15" x14ac:dyDescent="0.25">
      <c r="A1023" s="1341"/>
      <c r="B1023" s="624">
        <v>83800</v>
      </c>
      <c r="C1023" s="1344">
        <v>344905200000000</v>
      </c>
      <c r="D1023" s="624" t="s">
        <v>4789</v>
      </c>
      <c r="E1023" s="624">
        <v>31</v>
      </c>
      <c r="F1023" s="643">
        <v>176</v>
      </c>
      <c r="G1023" s="643">
        <v>0</v>
      </c>
      <c r="H1023" s="26">
        <v>0</v>
      </c>
      <c r="I1023" s="26">
        <f t="shared" si="104"/>
        <v>58.666666666666664</v>
      </c>
      <c r="J1023" s="1340" t="e">
        <f t="shared" si="102"/>
        <v>#DIV/0!</v>
      </c>
      <c r="K1023" s="1340">
        <f t="shared" si="103"/>
        <v>3.4294857272393712E-5</v>
      </c>
    </row>
    <row r="1024" spans="1:11" s="12" customFormat="1" ht="15" x14ac:dyDescent="0.25">
      <c r="A1024" s="1081"/>
      <c r="B1024" s="570" t="s">
        <v>2965</v>
      </c>
      <c r="C1024" s="1345">
        <v>6</v>
      </c>
      <c r="D1024" s="570" t="s">
        <v>4713</v>
      </c>
      <c r="E1024" s="570"/>
      <c r="F1024" s="642">
        <f>SUM(F1025:F1053)</f>
        <v>1909058.27</v>
      </c>
      <c r="G1024" s="642">
        <f>SUM(G1025:G1053)</f>
        <v>2076761.5999999992</v>
      </c>
      <c r="H1024" s="642">
        <f>SUM(H1025:H1053)</f>
        <v>0</v>
      </c>
      <c r="I1024" s="642">
        <f>SUM(I1025:I1053)</f>
        <v>1328606.6233333335</v>
      </c>
      <c r="J1024" s="1338">
        <f t="shared" si="102"/>
        <v>1.0878461033041171</v>
      </c>
      <c r="K1024" s="1338">
        <f t="shared" si="103"/>
        <v>0.77666547474500491</v>
      </c>
    </row>
    <row r="1025" spans="1:11" ht="15" x14ac:dyDescent="0.25">
      <c r="A1025" s="1341"/>
      <c r="B1025" s="624">
        <v>86000</v>
      </c>
      <c r="C1025" s="1344">
        <v>331900400000000</v>
      </c>
      <c r="D1025" s="624" t="s">
        <v>6159</v>
      </c>
      <c r="E1025" s="624">
        <v>31</v>
      </c>
      <c r="F1025" s="643">
        <v>69104.679999999993</v>
      </c>
      <c r="G1025" s="643">
        <v>85209.94</v>
      </c>
      <c r="H1025" s="26">
        <v>0</v>
      </c>
      <c r="I1025" s="26">
        <f t="shared" ref="I1025:I1053" si="105">(F1025+G1025+H1025)/3</f>
        <v>51438.206666666665</v>
      </c>
      <c r="J1025" s="1340">
        <f t="shared" si="102"/>
        <v>1.2330559956286609</v>
      </c>
      <c r="K1025" s="1340">
        <f t="shared" si="103"/>
        <v>3.0069306067861772E-2</v>
      </c>
    </row>
    <row r="1026" spans="1:11" ht="15" x14ac:dyDescent="0.25">
      <c r="A1026" s="1341"/>
      <c r="B1026" s="624">
        <v>86020</v>
      </c>
      <c r="C1026" s="1344">
        <v>331900800000000</v>
      </c>
      <c r="D1026" s="624" t="s">
        <v>7550</v>
      </c>
      <c r="E1026" s="624">
        <v>1</v>
      </c>
      <c r="F1026" s="643">
        <f>25480.83+22495.14</f>
        <v>47975.97</v>
      </c>
      <c r="G1026" s="643">
        <f>38344.2</f>
        <v>38344.199999999997</v>
      </c>
      <c r="H1026" s="26">
        <v>0</v>
      </c>
      <c r="I1026" s="26">
        <f t="shared" si="105"/>
        <v>28773.39</v>
      </c>
      <c r="J1026" s="1340">
        <f t="shared" si="102"/>
        <v>0.7992376183326777</v>
      </c>
      <c r="K1026" s="1340">
        <f t="shared" si="103"/>
        <v>1.6820101760674781E-2</v>
      </c>
    </row>
    <row r="1027" spans="1:11" ht="15" x14ac:dyDescent="0.25">
      <c r="A1027" s="1341"/>
      <c r="B1027" s="624">
        <v>86040</v>
      </c>
      <c r="C1027" s="1344">
        <v>331901100000000</v>
      </c>
      <c r="D1027" s="624" t="s">
        <v>6161</v>
      </c>
      <c r="E1027" s="624">
        <v>31</v>
      </c>
      <c r="F1027" s="643">
        <v>1114561.8600000001</v>
      </c>
      <c r="G1027" s="643">
        <v>1263856.8799999999</v>
      </c>
      <c r="H1027" s="26">
        <v>0</v>
      </c>
      <c r="I1027" s="26">
        <f t="shared" si="105"/>
        <v>792806.2466666667</v>
      </c>
      <c r="J1027" s="1340">
        <f t="shared" si="102"/>
        <v>1.1339495144755805</v>
      </c>
      <c r="K1027" s="1340">
        <f t="shared" si="103"/>
        <v>0.46345188194480957</v>
      </c>
    </row>
    <row r="1028" spans="1:11" ht="15" x14ac:dyDescent="0.25">
      <c r="A1028" s="1341"/>
      <c r="B1028" s="624">
        <v>86080</v>
      </c>
      <c r="C1028" s="1344">
        <v>331901300000000</v>
      </c>
      <c r="D1028" s="624" t="s">
        <v>6162</v>
      </c>
      <c r="E1028" s="624">
        <v>31</v>
      </c>
      <c r="F1028" s="643">
        <v>249256.91</v>
      </c>
      <c r="G1028" s="643">
        <v>280970.8</v>
      </c>
      <c r="H1028" s="26">
        <v>0</v>
      </c>
      <c r="I1028" s="26">
        <f t="shared" si="105"/>
        <v>176742.56999999998</v>
      </c>
      <c r="J1028" s="1340">
        <f t="shared" si="102"/>
        <v>1.1272337444927805</v>
      </c>
      <c r="K1028" s="1340">
        <f t="shared" si="103"/>
        <v>0.10331865702453501</v>
      </c>
    </row>
    <row r="1029" spans="1:11" ht="15" x14ac:dyDescent="0.25">
      <c r="A1029" s="1341"/>
      <c r="B1029" s="624">
        <v>86100</v>
      </c>
      <c r="C1029" s="1344">
        <v>331901600000000</v>
      </c>
      <c r="D1029" s="624" t="s">
        <v>6163</v>
      </c>
      <c r="E1029" s="624">
        <v>31</v>
      </c>
      <c r="F1029" s="643">
        <v>0</v>
      </c>
      <c r="G1029" s="643">
        <v>0</v>
      </c>
      <c r="H1029" s="26">
        <v>0</v>
      </c>
      <c r="I1029" s="26">
        <f t="shared" si="105"/>
        <v>0</v>
      </c>
      <c r="J1029" s="1340" t="e">
        <f t="shared" si="102"/>
        <v>#DIV/0!</v>
      </c>
      <c r="K1029" s="1340">
        <f t="shared" si="103"/>
        <v>0</v>
      </c>
    </row>
    <row r="1030" spans="1:11" ht="15" x14ac:dyDescent="0.25">
      <c r="A1030" s="1341"/>
      <c r="B1030" s="624">
        <v>86120</v>
      </c>
      <c r="C1030" s="1344">
        <v>331903400000000</v>
      </c>
      <c r="D1030" s="624" t="s">
        <v>6164</v>
      </c>
      <c r="E1030" s="624">
        <v>31</v>
      </c>
      <c r="F1030" s="643">
        <v>0</v>
      </c>
      <c r="G1030" s="643">
        <v>0</v>
      </c>
      <c r="H1030" s="26">
        <v>0</v>
      </c>
      <c r="I1030" s="26">
        <f t="shared" si="105"/>
        <v>0</v>
      </c>
      <c r="J1030" s="1340" t="e">
        <f t="shared" si="102"/>
        <v>#DIV/0!</v>
      </c>
      <c r="K1030" s="1340">
        <f t="shared" si="103"/>
        <v>0</v>
      </c>
    </row>
    <row r="1031" spans="1:11" ht="15" x14ac:dyDescent="0.25">
      <c r="A1031" s="1341"/>
      <c r="B1031" s="624">
        <v>86140</v>
      </c>
      <c r="C1031" s="1344">
        <v>331909400000000</v>
      </c>
      <c r="D1031" s="624" t="s">
        <v>6165</v>
      </c>
      <c r="E1031" s="624">
        <v>31</v>
      </c>
      <c r="F1031" s="643">
        <v>9077.2000000000007</v>
      </c>
      <c r="G1031" s="643">
        <v>12634.18</v>
      </c>
      <c r="H1031" s="26">
        <v>0</v>
      </c>
      <c r="I1031" s="26">
        <f t="shared" si="105"/>
        <v>7237.126666666667</v>
      </c>
      <c r="J1031" s="1340">
        <f t="shared" si="102"/>
        <v>1.391858722954215</v>
      </c>
      <c r="K1031" s="1340">
        <f t="shared" si="103"/>
        <v>4.2306174902653603E-3</v>
      </c>
    </row>
    <row r="1032" spans="1:11" ht="15" x14ac:dyDescent="0.25">
      <c r="A1032" s="1341"/>
      <c r="B1032" s="624">
        <v>85000</v>
      </c>
      <c r="C1032" s="1344">
        <v>333901400000000</v>
      </c>
      <c r="D1032" s="624" t="s">
        <v>6153</v>
      </c>
      <c r="E1032" s="624">
        <v>31</v>
      </c>
      <c r="F1032" s="643">
        <v>0</v>
      </c>
      <c r="G1032" s="643">
        <v>0</v>
      </c>
      <c r="H1032" s="26">
        <v>0</v>
      </c>
      <c r="I1032" s="26">
        <f t="shared" si="105"/>
        <v>0</v>
      </c>
      <c r="J1032" s="1340" t="e">
        <f t="shared" si="102"/>
        <v>#DIV/0!</v>
      </c>
      <c r="K1032" s="1340">
        <f t="shared" si="103"/>
        <v>0</v>
      </c>
    </row>
    <row r="1033" spans="1:11" ht="15" x14ac:dyDescent="0.25">
      <c r="A1033" s="1341"/>
      <c r="B1033" s="624">
        <v>86160</v>
      </c>
      <c r="C1033" s="1344">
        <v>333901400000000</v>
      </c>
      <c r="D1033" s="624" t="s">
        <v>6166</v>
      </c>
      <c r="E1033" s="624">
        <v>31</v>
      </c>
      <c r="F1033" s="643">
        <v>672</v>
      </c>
      <c r="G1033" s="643">
        <v>2250</v>
      </c>
      <c r="H1033" s="26">
        <v>0</v>
      </c>
      <c r="I1033" s="26">
        <f t="shared" si="105"/>
        <v>974</v>
      </c>
      <c r="J1033" s="1340">
        <f t="shared" si="102"/>
        <v>3.3482142857142856</v>
      </c>
      <c r="K1033" s="1340">
        <f t="shared" si="103"/>
        <v>5.6937257357917283E-4</v>
      </c>
    </row>
    <row r="1034" spans="1:11" ht="15" x14ac:dyDescent="0.25">
      <c r="A1034" s="1341"/>
      <c r="B1034" s="624">
        <v>86180</v>
      </c>
      <c r="C1034" s="1344">
        <v>333903000000000</v>
      </c>
      <c r="D1034" s="624" t="s">
        <v>6167</v>
      </c>
      <c r="E1034" s="624">
        <v>31</v>
      </c>
      <c r="F1034" s="643">
        <v>82667.509999999995</v>
      </c>
      <c r="G1034" s="643">
        <v>80907.89</v>
      </c>
      <c r="H1034" s="26">
        <v>0</v>
      </c>
      <c r="I1034" s="26">
        <f t="shared" si="105"/>
        <v>54525.133333333331</v>
      </c>
      <c r="J1034" s="1340">
        <f t="shared" ref="J1034:J1065" si="106">(G1034/F1034)+(H1034/G1034)/2</f>
        <v>0.97871449134006827</v>
      </c>
      <c r="K1034" s="1340">
        <f t="shared" ref="K1034:K1065" si="107">I1034/I$1170</f>
        <v>3.1873835206106309E-2</v>
      </c>
    </row>
    <row r="1035" spans="1:11" ht="15" x14ac:dyDescent="0.25">
      <c r="A1035" s="1341"/>
      <c r="B1035" s="624">
        <v>86200</v>
      </c>
      <c r="C1035" s="1344">
        <v>333903200000000</v>
      </c>
      <c r="D1035" s="624" t="s">
        <v>6168</v>
      </c>
      <c r="E1035" s="624">
        <v>31</v>
      </c>
      <c r="F1035" s="643">
        <v>10587.23</v>
      </c>
      <c r="G1035" s="643">
        <v>4284.8999999999996</v>
      </c>
      <c r="H1035" s="26">
        <v>0</v>
      </c>
      <c r="I1035" s="26">
        <f t="shared" si="105"/>
        <v>4957.3766666666661</v>
      </c>
      <c r="J1035" s="1340">
        <f t="shared" si="106"/>
        <v>0.40472342624085805</v>
      </c>
      <c r="K1035" s="1340">
        <f t="shared" si="107"/>
        <v>2.8979407709459355E-3</v>
      </c>
    </row>
    <row r="1036" spans="1:11" ht="30" x14ac:dyDescent="0.25">
      <c r="A1036" s="1341"/>
      <c r="B1036" s="624">
        <v>85020</v>
      </c>
      <c r="C1036" s="1344">
        <v>333903300000000</v>
      </c>
      <c r="D1036" s="624" t="s">
        <v>7549</v>
      </c>
      <c r="E1036" s="624">
        <v>31</v>
      </c>
      <c r="F1036" s="643">
        <v>0</v>
      </c>
      <c r="G1036" s="643">
        <v>0</v>
      </c>
      <c r="H1036" s="26">
        <v>0</v>
      </c>
      <c r="I1036" s="26">
        <f t="shared" si="105"/>
        <v>0</v>
      </c>
      <c r="J1036" s="1340" t="e">
        <f t="shared" si="106"/>
        <v>#DIV/0!</v>
      </c>
      <c r="K1036" s="1340">
        <f t="shared" si="107"/>
        <v>0</v>
      </c>
    </row>
    <row r="1037" spans="1:11" ht="15" x14ac:dyDescent="0.25">
      <c r="A1037" s="1341"/>
      <c r="B1037" s="624">
        <v>86220</v>
      </c>
      <c r="C1037" s="1344">
        <v>333903300000000</v>
      </c>
      <c r="D1037" s="624" t="s">
        <v>6169</v>
      </c>
      <c r="E1037" s="624">
        <v>31</v>
      </c>
      <c r="F1037" s="643">
        <v>0</v>
      </c>
      <c r="G1037" s="643">
        <v>207.9</v>
      </c>
      <c r="H1037" s="26">
        <v>0</v>
      </c>
      <c r="I1037" s="26">
        <f t="shared" si="105"/>
        <v>69.3</v>
      </c>
      <c r="J1037" s="1340" t="e">
        <f t="shared" si="106"/>
        <v>#DIV/0!</v>
      </c>
      <c r="K1037" s="1340">
        <f t="shared" si="107"/>
        <v>4.0510800153015071E-5</v>
      </c>
    </row>
    <row r="1038" spans="1:11" ht="15" x14ac:dyDescent="0.25">
      <c r="A1038" s="1341"/>
      <c r="B1038" s="624">
        <v>86240</v>
      </c>
      <c r="C1038" s="1344">
        <v>333903500000000</v>
      </c>
      <c r="D1038" s="624" t="s">
        <v>6170</v>
      </c>
      <c r="E1038" s="624">
        <v>31</v>
      </c>
      <c r="F1038" s="643">
        <v>0</v>
      </c>
      <c r="G1038" s="643">
        <v>0</v>
      </c>
      <c r="H1038" s="26">
        <v>0</v>
      </c>
      <c r="I1038" s="26">
        <f t="shared" si="105"/>
        <v>0</v>
      </c>
      <c r="J1038" s="1340" t="e">
        <f t="shared" si="106"/>
        <v>#DIV/0!</v>
      </c>
      <c r="K1038" s="1340">
        <f t="shared" si="107"/>
        <v>0</v>
      </c>
    </row>
    <row r="1039" spans="1:11" ht="15" x14ac:dyDescent="0.25">
      <c r="A1039" s="1341"/>
      <c r="B1039" s="624">
        <v>85040</v>
      </c>
      <c r="C1039" s="1344">
        <v>333903600000000</v>
      </c>
      <c r="D1039" s="624" t="s">
        <v>6155</v>
      </c>
      <c r="E1039" s="624">
        <v>31</v>
      </c>
      <c r="F1039" s="643">
        <v>0</v>
      </c>
      <c r="G1039" s="643">
        <v>0</v>
      </c>
      <c r="H1039" s="26">
        <v>0</v>
      </c>
      <c r="I1039" s="26">
        <f t="shared" si="105"/>
        <v>0</v>
      </c>
      <c r="J1039" s="1340" t="e">
        <f t="shared" si="106"/>
        <v>#DIV/0!</v>
      </c>
      <c r="K1039" s="1340">
        <f t="shared" si="107"/>
        <v>0</v>
      </c>
    </row>
    <row r="1040" spans="1:11" ht="15" x14ac:dyDescent="0.25">
      <c r="A1040" s="1341"/>
      <c r="B1040" s="624">
        <v>86260</v>
      </c>
      <c r="C1040" s="1344">
        <v>333903600000000</v>
      </c>
      <c r="D1040" s="624" t="s">
        <v>7548</v>
      </c>
      <c r="E1040" s="624">
        <v>31</v>
      </c>
      <c r="F1040" s="643">
        <v>0</v>
      </c>
      <c r="G1040" s="643">
        <v>19453.88</v>
      </c>
      <c r="H1040" s="26">
        <v>0</v>
      </c>
      <c r="I1040" s="26">
        <f t="shared" si="105"/>
        <v>6484.626666666667</v>
      </c>
      <c r="J1040" s="1340" t="e">
        <f t="shared" si="106"/>
        <v>#DIV/0!</v>
      </c>
      <c r="K1040" s="1340">
        <f t="shared" si="107"/>
        <v>3.790727488603833E-3</v>
      </c>
    </row>
    <row r="1041" spans="1:11" ht="15" x14ac:dyDescent="0.25">
      <c r="A1041" s="1341"/>
      <c r="B1041" s="624">
        <v>85060</v>
      </c>
      <c r="C1041" s="1344">
        <v>333903900000000</v>
      </c>
      <c r="D1041" s="624" t="s">
        <v>7547</v>
      </c>
      <c r="E1041" s="624">
        <v>31</v>
      </c>
      <c r="F1041" s="643">
        <v>0</v>
      </c>
      <c r="G1041" s="643">
        <v>0</v>
      </c>
      <c r="H1041" s="26">
        <v>0</v>
      </c>
      <c r="I1041" s="26">
        <f t="shared" si="105"/>
        <v>0</v>
      </c>
      <c r="J1041" s="1340" t="e">
        <f t="shared" si="106"/>
        <v>#DIV/0!</v>
      </c>
      <c r="K1041" s="1340">
        <f t="shared" si="107"/>
        <v>0</v>
      </c>
    </row>
    <row r="1042" spans="1:11" ht="15" x14ac:dyDescent="0.25">
      <c r="A1042" s="1341"/>
      <c r="B1042" s="624">
        <v>86280</v>
      </c>
      <c r="C1042" s="1344">
        <v>333903900000000</v>
      </c>
      <c r="D1042" s="624" t="s">
        <v>6172</v>
      </c>
      <c r="E1042" s="624">
        <v>31</v>
      </c>
      <c r="F1042" s="643">
        <v>93911.75</v>
      </c>
      <c r="G1042" s="643">
        <f>96257.69-6307.44-19515</f>
        <v>70435.25</v>
      </c>
      <c r="H1042" s="26">
        <v>0</v>
      </c>
      <c r="I1042" s="26">
        <f t="shared" si="105"/>
        <v>54782.333333333336</v>
      </c>
      <c r="J1042" s="1340">
        <f t="shared" si="106"/>
        <v>0.75001530692378748</v>
      </c>
      <c r="K1042" s="1340">
        <f t="shared" si="107"/>
        <v>3.2024186978102782E-2</v>
      </c>
    </row>
    <row r="1043" spans="1:11" ht="30" x14ac:dyDescent="0.25">
      <c r="A1043" s="1341"/>
      <c r="B1043" s="624">
        <v>84900</v>
      </c>
      <c r="C1043" s="1344">
        <v>333904000000000</v>
      </c>
      <c r="D1043" s="624" t="s">
        <v>6152</v>
      </c>
      <c r="E1043" s="624">
        <v>31</v>
      </c>
      <c r="F1043" s="643">
        <v>0</v>
      </c>
      <c r="G1043" s="643">
        <f>6307.44+19515</f>
        <v>25822.44</v>
      </c>
      <c r="H1043" s="26">
        <v>0</v>
      </c>
      <c r="I1043" s="26">
        <f t="shared" si="105"/>
        <v>8607.48</v>
      </c>
      <c r="J1043" s="1340" t="e">
        <f t="shared" si="106"/>
        <v>#DIV/0!</v>
      </c>
      <c r="K1043" s="1340">
        <f t="shared" si="107"/>
        <v>5.0316868990053984E-3</v>
      </c>
    </row>
    <row r="1044" spans="1:11" ht="15" x14ac:dyDescent="0.25">
      <c r="A1044" s="1341"/>
      <c r="B1044" s="624">
        <v>86320</v>
      </c>
      <c r="C1044" s="1344">
        <v>333904600000000</v>
      </c>
      <c r="D1044" s="624" t="s">
        <v>6173</v>
      </c>
      <c r="E1044" s="624">
        <v>1</v>
      </c>
      <c r="F1044" s="643">
        <v>0</v>
      </c>
      <c r="G1044" s="643">
        <v>0</v>
      </c>
      <c r="H1044" s="26">
        <v>0</v>
      </c>
      <c r="I1044" s="26">
        <f t="shared" si="105"/>
        <v>0</v>
      </c>
      <c r="J1044" s="1340" t="e">
        <f t="shared" si="106"/>
        <v>#DIV/0!</v>
      </c>
      <c r="K1044" s="1340">
        <f t="shared" si="107"/>
        <v>0</v>
      </c>
    </row>
    <row r="1045" spans="1:11" ht="15" x14ac:dyDescent="0.25">
      <c r="A1045" s="1341"/>
      <c r="B1045" s="624">
        <v>85080</v>
      </c>
      <c r="C1045" s="1344">
        <v>333904700000000</v>
      </c>
      <c r="D1045" s="624" t="s">
        <v>7546</v>
      </c>
      <c r="E1045" s="624">
        <v>31</v>
      </c>
      <c r="F1045" s="643">
        <v>0</v>
      </c>
      <c r="G1045" s="643">
        <v>0</v>
      </c>
      <c r="H1045" s="26">
        <v>0</v>
      </c>
      <c r="I1045" s="26">
        <f t="shared" si="105"/>
        <v>0</v>
      </c>
      <c r="J1045" s="1340" t="e">
        <f t="shared" si="106"/>
        <v>#DIV/0!</v>
      </c>
      <c r="K1045" s="1340">
        <f t="shared" si="107"/>
        <v>0</v>
      </c>
    </row>
    <row r="1046" spans="1:11" ht="15" x14ac:dyDescent="0.25">
      <c r="A1046" s="1341"/>
      <c r="B1046" s="624">
        <v>86340</v>
      </c>
      <c r="C1046" s="1344">
        <v>333904700000000</v>
      </c>
      <c r="D1046" s="624" t="s">
        <v>6174</v>
      </c>
      <c r="E1046" s="624">
        <v>31</v>
      </c>
      <c r="F1046" s="643">
        <v>1796</v>
      </c>
      <c r="G1046" s="643">
        <v>1103</v>
      </c>
      <c r="H1046" s="26">
        <v>0</v>
      </c>
      <c r="I1046" s="26">
        <f t="shared" si="105"/>
        <v>966.33333333333337</v>
      </c>
      <c r="J1046" s="1340">
        <f t="shared" si="106"/>
        <v>0.61414253897550108</v>
      </c>
      <c r="K1046" s="1340">
        <f t="shared" si="107"/>
        <v>5.6489085927653054E-4</v>
      </c>
    </row>
    <row r="1047" spans="1:11" ht="15" x14ac:dyDescent="0.25">
      <c r="A1047" s="1341"/>
      <c r="B1047" s="624">
        <v>86360</v>
      </c>
      <c r="C1047" s="1344">
        <v>333904900000000</v>
      </c>
      <c r="D1047" s="624" t="s">
        <v>6175</v>
      </c>
      <c r="E1047" s="624">
        <v>31</v>
      </c>
      <c r="F1047" s="643">
        <v>83729.289999999994</v>
      </c>
      <c r="G1047" s="643">
        <v>93156.5</v>
      </c>
      <c r="H1047" s="26">
        <v>0</v>
      </c>
      <c r="I1047" s="26">
        <f t="shared" si="105"/>
        <v>58961.929999999993</v>
      </c>
      <c r="J1047" s="1340">
        <f t="shared" si="106"/>
        <v>1.1125915435327351</v>
      </c>
      <c r="K1047" s="1340">
        <f t="shared" si="107"/>
        <v>3.4467459781617076E-2</v>
      </c>
    </row>
    <row r="1048" spans="1:11" ht="15" x14ac:dyDescent="0.25">
      <c r="A1048" s="1341"/>
      <c r="B1048" s="624">
        <v>86380</v>
      </c>
      <c r="C1048" s="1344">
        <v>333909200000000</v>
      </c>
      <c r="D1048" s="624" t="s">
        <v>6176</v>
      </c>
      <c r="E1048" s="624">
        <v>31</v>
      </c>
      <c r="F1048" s="643">
        <v>0</v>
      </c>
      <c r="G1048" s="643">
        <v>0</v>
      </c>
      <c r="H1048" s="26">
        <v>0</v>
      </c>
      <c r="I1048" s="26">
        <f t="shared" si="105"/>
        <v>0</v>
      </c>
      <c r="J1048" s="1340" t="e">
        <f t="shared" si="106"/>
        <v>#DIV/0!</v>
      </c>
      <c r="K1048" s="1340">
        <f t="shared" si="107"/>
        <v>0</v>
      </c>
    </row>
    <row r="1049" spans="1:11" ht="15" x14ac:dyDescent="0.25">
      <c r="A1049" s="1341"/>
      <c r="B1049" s="624">
        <v>86400</v>
      </c>
      <c r="C1049" s="1344">
        <v>333909300000000</v>
      </c>
      <c r="D1049" s="624" t="s">
        <v>6177</v>
      </c>
      <c r="E1049" s="624">
        <v>31</v>
      </c>
      <c r="F1049" s="643">
        <v>0</v>
      </c>
      <c r="G1049" s="643">
        <v>0</v>
      </c>
      <c r="H1049" s="26">
        <v>0</v>
      </c>
      <c r="I1049" s="26">
        <f t="shared" si="105"/>
        <v>0</v>
      </c>
      <c r="J1049" s="1340" t="e">
        <f t="shared" si="106"/>
        <v>#DIV/0!</v>
      </c>
      <c r="K1049" s="1340">
        <f t="shared" si="107"/>
        <v>0</v>
      </c>
    </row>
    <row r="1050" spans="1:11" ht="15" x14ac:dyDescent="0.25">
      <c r="A1050" s="1341"/>
      <c r="B1050" s="624">
        <v>86420</v>
      </c>
      <c r="C1050" s="1344">
        <v>333933000000000</v>
      </c>
      <c r="D1050" s="624" t="s">
        <v>6178</v>
      </c>
      <c r="E1050" s="624">
        <v>31</v>
      </c>
      <c r="F1050" s="643">
        <v>0</v>
      </c>
      <c r="G1050" s="643">
        <v>0</v>
      </c>
      <c r="H1050" s="26">
        <v>0</v>
      </c>
      <c r="I1050" s="26">
        <f t="shared" si="105"/>
        <v>0</v>
      </c>
      <c r="J1050" s="1340" t="e">
        <f t="shared" si="106"/>
        <v>#DIV/0!</v>
      </c>
      <c r="K1050" s="1340">
        <f t="shared" si="107"/>
        <v>0</v>
      </c>
    </row>
    <row r="1051" spans="1:11" ht="15" x14ac:dyDescent="0.25">
      <c r="A1051" s="1341"/>
      <c r="B1051" s="624">
        <v>86440</v>
      </c>
      <c r="C1051" s="1344">
        <v>344905100000000</v>
      </c>
      <c r="D1051" s="624" t="s">
        <v>6179</v>
      </c>
      <c r="E1051" s="624">
        <v>31</v>
      </c>
      <c r="F1051" s="643">
        <v>0</v>
      </c>
      <c r="G1051" s="643">
        <v>91248.13</v>
      </c>
      <c r="H1051" s="26">
        <v>0</v>
      </c>
      <c r="I1051" s="26">
        <f t="shared" si="105"/>
        <v>30416.043333333335</v>
      </c>
      <c r="J1051" s="1340" t="e">
        <f t="shared" si="106"/>
        <v>#DIV/0!</v>
      </c>
      <c r="K1051" s="1340">
        <f t="shared" si="107"/>
        <v>1.7780349970016061E-2</v>
      </c>
    </row>
    <row r="1052" spans="1:11" ht="15" x14ac:dyDescent="0.25">
      <c r="A1052" s="1341"/>
      <c r="B1052" s="624">
        <v>86460</v>
      </c>
      <c r="C1052" s="1344">
        <v>344905100000000</v>
      </c>
      <c r="D1052" s="624" t="s">
        <v>6180</v>
      </c>
      <c r="E1052" s="624">
        <v>31</v>
      </c>
      <c r="F1052" s="643">
        <v>145717.87</v>
      </c>
      <c r="G1052" s="643">
        <f>94908.84-91248.13</f>
        <v>3660.7099999999919</v>
      </c>
      <c r="H1052" s="26">
        <v>0</v>
      </c>
      <c r="I1052" s="26">
        <f t="shared" si="105"/>
        <v>49792.859999999993</v>
      </c>
      <c r="J1052" s="1340">
        <f t="shared" si="106"/>
        <v>2.5121901658320917E-2</v>
      </c>
      <c r="K1052" s="1340">
        <f t="shared" si="107"/>
        <v>2.9107483412800256E-2</v>
      </c>
    </row>
    <row r="1053" spans="1:11" ht="15" x14ac:dyDescent="0.25">
      <c r="A1053" s="1341"/>
      <c r="B1053" s="624">
        <v>86480</v>
      </c>
      <c r="C1053" s="1344">
        <v>344905200000000</v>
      </c>
      <c r="D1053" s="624" t="s">
        <v>6181</v>
      </c>
      <c r="E1053" s="624">
        <v>31</v>
      </c>
      <c r="F1053" s="643">
        <v>0</v>
      </c>
      <c r="G1053" s="643">
        <v>3215</v>
      </c>
      <c r="H1053" s="26">
        <v>0</v>
      </c>
      <c r="I1053" s="26">
        <f t="shared" si="105"/>
        <v>1071.6666666666667</v>
      </c>
      <c r="J1053" s="1340" t="e">
        <f t="shared" si="106"/>
        <v>#DIV/0!</v>
      </c>
      <c r="K1053" s="1340">
        <f t="shared" si="107"/>
        <v>6.2646571665196465E-4</v>
      </c>
    </row>
    <row r="1054" spans="1:11" s="12" customFormat="1" ht="15" x14ac:dyDescent="0.25">
      <c r="A1054" s="1081"/>
      <c r="B1054" s="570" t="s">
        <v>2965</v>
      </c>
      <c r="C1054" s="1345">
        <v>36</v>
      </c>
      <c r="D1054" s="570" t="s">
        <v>4721</v>
      </c>
      <c r="E1054" s="570"/>
      <c r="F1054" s="642">
        <f>SUM(F1055:F1082)</f>
        <v>257746.16</v>
      </c>
      <c r="G1054" s="642">
        <f>SUM(G1055:G1082)</f>
        <v>279508.45</v>
      </c>
      <c r="H1054" s="642">
        <f>SUM(H1055:H1082)</f>
        <v>0</v>
      </c>
      <c r="I1054" s="642">
        <f>SUM(I1055:I1082)</f>
        <v>179084.87000000002</v>
      </c>
      <c r="J1054" s="1338">
        <f t="shared" si="106"/>
        <v>1.0844330328723424</v>
      </c>
      <c r="K1054" s="1338">
        <f t="shared" si="107"/>
        <v>0.1046878986868497</v>
      </c>
    </row>
    <row r="1055" spans="1:11" ht="15" x14ac:dyDescent="0.25">
      <c r="A1055" s="1341"/>
      <c r="B1055" s="624">
        <v>88000</v>
      </c>
      <c r="C1055" s="1344">
        <v>331900400000000</v>
      </c>
      <c r="D1055" s="624" t="s">
        <v>7545</v>
      </c>
      <c r="E1055" s="624">
        <v>31</v>
      </c>
      <c r="F1055" s="643">
        <v>0</v>
      </c>
      <c r="G1055" s="643">
        <v>35520.550000000003</v>
      </c>
      <c r="H1055" s="26">
        <v>0</v>
      </c>
      <c r="I1055" s="26">
        <f t="shared" ref="I1055:I1082" si="108">(F1055+G1055+H1055)/3</f>
        <v>11840.183333333334</v>
      </c>
      <c r="J1055" s="1340" t="e">
        <f t="shared" si="106"/>
        <v>#DIV/0!</v>
      </c>
      <c r="K1055" s="1340">
        <f t="shared" si="107"/>
        <v>6.9214329118575252E-3</v>
      </c>
    </row>
    <row r="1056" spans="1:11" ht="15" x14ac:dyDescent="0.25">
      <c r="A1056" s="1341"/>
      <c r="B1056" s="624">
        <v>88050</v>
      </c>
      <c r="C1056" s="1344">
        <v>331900800000000</v>
      </c>
      <c r="D1056" s="624" t="s">
        <v>6189</v>
      </c>
      <c r="E1056" s="624">
        <v>1</v>
      </c>
      <c r="F1056" s="643">
        <v>0</v>
      </c>
      <c r="G1056" s="643">
        <v>17578.689999999999</v>
      </c>
      <c r="H1056" s="26">
        <v>0</v>
      </c>
      <c r="I1056" s="26">
        <f t="shared" si="108"/>
        <v>5859.5633333333326</v>
      </c>
      <c r="J1056" s="1340" t="e">
        <f t="shared" si="106"/>
        <v>#DIV/0!</v>
      </c>
      <c r="K1056" s="1340">
        <f t="shared" si="107"/>
        <v>3.4253333215094007E-3</v>
      </c>
    </row>
    <row r="1057" spans="1:11" ht="15" x14ac:dyDescent="0.25">
      <c r="A1057" s="1341"/>
      <c r="B1057" s="624">
        <v>88070</v>
      </c>
      <c r="C1057" s="1344">
        <v>331901100000000</v>
      </c>
      <c r="D1057" s="624" t="s">
        <v>7544</v>
      </c>
      <c r="E1057" s="624">
        <v>31</v>
      </c>
      <c r="F1057" s="643">
        <f>102284.83+44828.45+3687.68+2253.34+8644.67+3988.97+1329.66+2865.14</f>
        <v>169882.74000000002</v>
      </c>
      <c r="G1057" s="643">
        <v>170762.89</v>
      </c>
      <c r="H1057" s="26">
        <v>0</v>
      </c>
      <c r="I1057" s="26">
        <f t="shared" si="108"/>
        <v>113548.54333333333</v>
      </c>
      <c r="J1057" s="1340">
        <f t="shared" si="106"/>
        <v>1.0051809265614624</v>
      </c>
      <c r="K1057" s="1340">
        <f t="shared" si="107"/>
        <v>6.6377234439287711E-2</v>
      </c>
    </row>
    <row r="1058" spans="1:11" ht="15" x14ac:dyDescent="0.25">
      <c r="A1058" s="1341"/>
      <c r="B1058" s="624">
        <v>88130</v>
      </c>
      <c r="C1058" s="1344">
        <v>331901300000000</v>
      </c>
      <c r="D1058" s="624" t="s">
        <v>6192</v>
      </c>
      <c r="E1058" s="624">
        <v>31</v>
      </c>
      <c r="F1058" s="643">
        <f>72903.62-1847.74</f>
        <v>71055.87999999999</v>
      </c>
      <c r="G1058" s="643">
        <v>38195.74</v>
      </c>
      <c r="H1058" s="26">
        <v>0</v>
      </c>
      <c r="I1058" s="26">
        <f t="shared" si="108"/>
        <v>36417.206666666665</v>
      </c>
      <c r="J1058" s="1340">
        <f t="shared" si="106"/>
        <v>0.53754509830854258</v>
      </c>
      <c r="K1058" s="1340">
        <f t="shared" si="107"/>
        <v>2.1288458606123828E-2</v>
      </c>
    </row>
    <row r="1059" spans="1:11" ht="15" x14ac:dyDescent="0.25">
      <c r="A1059" s="1341"/>
      <c r="B1059" s="624">
        <v>88160</v>
      </c>
      <c r="C1059" s="1344">
        <v>331901600000000</v>
      </c>
      <c r="D1059" s="624" t="s">
        <v>6193</v>
      </c>
      <c r="E1059" s="624">
        <v>31</v>
      </c>
      <c r="F1059" s="643">
        <v>0</v>
      </c>
      <c r="G1059" s="643">
        <v>0</v>
      </c>
      <c r="H1059" s="26">
        <v>0</v>
      </c>
      <c r="I1059" s="26">
        <f t="shared" si="108"/>
        <v>0</v>
      </c>
      <c r="J1059" s="1340" t="e">
        <f t="shared" si="106"/>
        <v>#DIV/0!</v>
      </c>
      <c r="K1059" s="1340">
        <f t="shared" si="107"/>
        <v>0</v>
      </c>
    </row>
    <row r="1060" spans="1:11" ht="15" x14ac:dyDescent="0.25">
      <c r="A1060" s="1341"/>
      <c r="B1060" s="624">
        <v>88190</v>
      </c>
      <c r="C1060" s="1344">
        <v>331903400000000</v>
      </c>
      <c r="D1060" s="624" t="s">
        <v>6194</v>
      </c>
      <c r="E1060" s="624">
        <v>31</v>
      </c>
      <c r="F1060" s="643">
        <v>0</v>
      </c>
      <c r="G1060" s="643">
        <v>0</v>
      </c>
      <c r="H1060" s="26">
        <v>0</v>
      </c>
      <c r="I1060" s="26">
        <f t="shared" si="108"/>
        <v>0</v>
      </c>
      <c r="J1060" s="1340" t="e">
        <f t="shared" si="106"/>
        <v>#DIV/0!</v>
      </c>
      <c r="K1060" s="1340">
        <f t="shared" si="107"/>
        <v>0</v>
      </c>
    </row>
    <row r="1061" spans="1:11" ht="15" x14ac:dyDescent="0.25">
      <c r="A1061" s="1341"/>
      <c r="B1061" s="624">
        <v>88220</v>
      </c>
      <c r="C1061" s="1344">
        <v>331909400000000</v>
      </c>
      <c r="D1061" s="624" t="s">
        <v>6195</v>
      </c>
      <c r="E1061" s="624">
        <v>31</v>
      </c>
      <c r="F1061" s="643">
        <v>2261.9</v>
      </c>
      <c r="G1061" s="643">
        <v>1697.96</v>
      </c>
      <c r="H1061" s="26">
        <v>0</v>
      </c>
      <c r="I1061" s="26">
        <f t="shared" si="108"/>
        <v>1319.9533333333334</v>
      </c>
      <c r="J1061" s="1340">
        <f t="shared" si="106"/>
        <v>0.75067863300764848</v>
      </c>
      <c r="K1061" s="1340">
        <f t="shared" si="107"/>
        <v>7.7160700862875548E-4</v>
      </c>
    </row>
    <row r="1062" spans="1:11" ht="15" x14ac:dyDescent="0.25">
      <c r="A1062" s="1341"/>
      <c r="B1062" s="624">
        <v>86700</v>
      </c>
      <c r="C1062" s="1344">
        <v>333901400000000</v>
      </c>
      <c r="D1062" s="624" t="s">
        <v>6183</v>
      </c>
      <c r="E1062" s="624">
        <v>31</v>
      </c>
      <c r="F1062" s="643">
        <v>0</v>
      </c>
      <c r="G1062" s="643">
        <v>0</v>
      </c>
      <c r="H1062" s="26">
        <v>0</v>
      </c>
      <c r="I1062" s="26">
        <f t="shared" si="108"/>
        <v>0</v>
      </c>
      <c r="J1062" s="1340" t="e">
        <f t="shared" si="106"/>
        <v>#DIV/0!</v>
      </c>
      <c r="K1062" s="1340">
        <f t="shared" si="107"/>
        <v>0</v>
      </c>
    </row>
    <row r="1063" spans="1:11" ht="15" x14ac:dyDescent="0.25">
      <c r="A1063" s="1341"/>
      <c r="B1063" s="624">
        <v>88250</v>
      </c>
      <c r="C1063" s="1344">
        <v>333901400000000</v>
      </c>
      <c r="D1063" s="624" t="s">
        <v>6209</v>
      </c>
      <c r="E1063" s="624">
        <v>31</v>
      </c>
      <c r="F1063" s="643">
        <v>0</v>
      </c>
      <c r="G1063" s="643">
        <v>0</v>
      </c>
      <c r="H1063" s="26">
        <v>0</v>
      </c>
      <c r="I1063" s="26">
        <f t="shared" si="108"/>
        <v>0</v>
      </c>
      <c r="J1063" s="1340" t="e">
        <f t="shared" si="106"/>
        <v>#DIV/0!</v>
      </c>
      <c r="K1063" s="1340">
        <f t="shared" si="107"/>
        <v>0</v>
      </c>
    </row>
    <row r="1064" spans="1:11" ht="15" x14ac:dyDescent="0.25">
      <c r="A1064" s="1341"/>
      <c r="B1064" s="624">
        <v>88270</v>
      </c>
      <c r="C1064" s="1344">
        <v>333903000000000</v>
      </c>
      <c r="D1064" s="624" t="s">
        <v>6196</v>
      </c>
      <c r="E1064" s="624">
        <v>31</v>
      </c>
      <c r="F1064" s="643">
        <v>0</v>
      </c>
      <c r="G1064" s="643">
        <v>0</v>
      </c>
      <c r="H1064" s="26">
        <v>0</v>
      </c>
      <c r="I1064" s="26">
        <f t="shared" si="108"/>
        <v>0</v>
      </c>
      <c r="J1064" s="1340" t="e">
        <f t="shared" si="106"/>
        <v>#DIV/0!</v>
      </c>
      <c r="K1064" s="1340">
        <f t="shared" si="107"/>
        <v>0</v>
      </c>
    </row>
    <row r="1065" spans="1:11" ht="15" x14ac:dyDescent="0.25">
      <c r="A1065" s="1341"/>
      <c r="B1065" s="624">
        <v>88320</v>
      </c>
      <c r="C1065" s="1344">
        <v>333903200000000</v>
      </c>
      <c r="D1065" s="624" t="s">
        <v>6197</v>
      </c>
      <c r="E1065" s="624">
        <v>31</v>
      </c>
      <c r="F1065" s="643">
        <v>1373.45</v>
      </c>
      <c r="G1065" s="643">
        <v>1957.05</v>
      </c>
      <c r="H1065" s="26">
        <v>0</v>
      </c>
      <c r="I1065" s="26">
        <f t="shared" si="108"/>
        <v>1110.1666666666667</v>
      </c>
      <c r="J1065" s="1340">
        <f t="shared" si="106"/>
        <v>1.4249153591321124</v>
      </c>
      <c r="K1065" s="1340">
        <f t="shared" si="107"/>
        <v>6.4897171673697308E-4</v>
      </c>
    </row>
    <row r="1066" spans="1:11" ht="15" x14ac:dyDescent="0.25">
      <c r="A1066" s="1341"/>
      <c r="B1066" s="624">
        <v>86720</v>
      </c>
      <c r="C1066" s="1344">
        <v>333903300000000</v>
      </c>
      <c r="D1066" s="624" t="s">
        <v>7543</v>
      </c>
      <c r="E1066" s="624">
        <v>31</v>
      </c>
      <c r="F1066" s="643">
        <v>0</v>
      </c>
      <c r="G1066" s="643">
        <v>0</v>
      </c>
      <c r="H1066" s="26">
        <v>0</v>
      </c>
      <c r="I1066" s="26">
        <f t="shared" si="108"/>
        <v>0</v>
      </c>
      <c r="J1066" s="1340" t="e">
        <f t="shared" ref="J1066:J1097" si="109">(G1066/F1066)+(H1066/G1066)/2</f>
        <v>#DIV/0!</v>
      </c>
      <c r="K1066" s="1340">
        <f t="shared" ref="K1066:K1097" si="110">I1066/I$1170</f>
        <v>0</v>
      </c>
    </row>
    <row r="1067" spans="1:11" ht="15" x14ac:dyDescent="0.25">
      <c r="A1067" s="1341"/>
      <c r="B1067" s="624">
        <v>88340</v>
      </c>
      <c r="C1067" s="1344">
        <v>333903300000000</v>
      </c>
      <c r="D1067" s="624" t="s">
        <v>6198</v>
      </c>
      <c r="E1067" s="624">
        <v>31</v>
      </c>
      <c r="F1067" s="643">
        <v>0</v>
      </c>
      <c r="G1067" s="643">
        <v>0</v>
      </c>
      <c r="H1067" s="26">
        <v>0</v>
      </c>
      <c r="I1067" s="26">
        <f t="shared" si="108"/>
        <v>0</v>
      </c>
      <c r="J1067" s="1340" t="e">
        <f t="shared" si="109"/>
        <v>#DIV/0!</v>
      </c>
      <c r="K1067" s="1340">
        <f t="shared" si="110"/>
        <v>0</v>
      </c>
    </row>
    <row r="1068" spans="1:11" ht="15" x14ac:dyDescent="0.25">
      <c r="A1068" s="1341"/>
      <c r="B1068" s="624">
        <v>88360</v>
      </c>
      <c r="C1068" s="1344">
        <v>333903500000000</v>
      </c>
      <c r="D1068" s="624" t="s">
        <v>6199</v>
      </c>
      <c r="E1068" s="624">
        <v>31</v>
      </c>
      <c r="F1068" s="643">
        <v>0</v>
      </c>
      <c r="G1068" s="643">
        <v>0</v>
      </c>
      <c r="H1068" s="26">
        <v>0</v>
      </c>
      <c r="I1068" s="26">
        <f t="shared" si="108"/>
        <v>0</v>
      </c>
      <c r="J1068" s="1340" t="e">
        <f t="shared" si="109"/>
        <v>#DIV/0!</v>
      </c>
      <c r="K1068" s="1340">
        <f t="shared" si="110"/>
        <v>0</v>
      </c>
    </row>
    <row r="1069" spans="1:11" ht="15" x14ac:dyDescent="0.25">
      <c r="A1069" s="1341"/>
      <c r="B1069" s="624">
        <v>86740</v>
      </c>
      <c r="C1069" s="1344">
        <v>333903600000000</v>
      </c>
      <c r="D1069" s="624" t="s">
        <v>7542</v>
      </c>
      <c r="E1069" s="624">
        <v>31</v>
      </c>
      <c r="F1069" s="643">
        <v>0</v>
      </c>
      <c r="G1069" s="643">
        <v>0</v>
      </c>
      <c r="H1069" s="26">
        <v>0</v>
      </c>
      <c r="I1069" s="26">
        <f t="shared" si="108"/>
        <v>0</v>
      </c>
      <c r="J1069" s="1340" t="e">
        <f t="shared" si="109"/>
        <v>#DIV/0!</v>
      </c>
      <c r="K1069" s="1340">
        <f t="shared" si="110"/>
        <v>0</v>
      </c>
    </row>
    <row r="1070" spans="1:11" ht="15" x14ac:dyDescent="0.25">
      <c r="A1070" s="1341"/>
      <c r="B1070" s="624">
        <v>86760</v>
      </c>
      <c r="C1070" s="1344">
        <v>333903600000000</v>
      </c>
      <c r="D1070" s="624" t="s">
        <v>7541</v>
      </c>
      <c r="E1070" s="624">
        <v>31</v>
      </c>
      <c r="F1070" s="643">
        <v>1300</v>
      </c>
      <c r="G1070" s="643">
        <v>0</v>
      </c>
      <c r="H1070" s="26">
        <v>0</v>
      </c>
      <c r="I1070" s="26">
        <f t="shared" si="108"/>
        <v>433.33333333333331</v>
      </c>
      <c r="J1070" s="1340" t="e">
        <f t="shared" si="109"/>
        <v>#DIV/0!</v>
      </c>
      <c r="K1070" s="1340">
        <f t="shared" si="110"/>
        <v>2.533142866710899E-4</v>
      </c>
    </row>
    <row r="1071" spans="1:11" ht="15" x14ac:dyDescent="0.25">
      <c r="A1071" s="1341"/>
      <c r="B1071" s="624">
        <v>86780</v>
      </c>
      <c r="C1071" s="1344">
        <v>333903600000000</v>
      </c>
      <c r="D1071" s="624" t="s">
        <v>7540</v>
      </c>
      <c r="E1071" s="624">
        <v>31</v>
      </c>
      <c r="F1071" s="643">
        <v>0</v>
      </c>
      <c r="G1071" s="643">
        <v>0</v>
      </c>
      <c r="H1071" s="26">
        <v>0</v>
      </c>
      <c r="I1071" s="26">
        <f t="shared" si="108"/>
        <v>0</v>
      </c>
      <c r="J1071" s="1340" t="e">
        <f t="shared" si="109"/>
        <v>#DIV/0!</v>
      </c>
      <c r="K1071" s="1340">
        <f t="shared" si="110"/>
        <v>0</v>
      </c>
    </row>
    <row r="1072" spans="1:11" ht="15" x14ac:dyDescent="0.25">
      <c r="A1072" s="1341"/>
      <c r="B1072" s="624">
        <v>88380</v>
      </c>
      <c r="C1072" s="1344">
        <v>333903600000000</v>
      </c>
      <c r="D1072" s="624" t="s">
        <v>6203</v>
      </c>
      <c r="E1072" s="624">
        <v>31</v>
      </c>
      <c r="F1072" s="643">
        <v>0</v>
      </c>
      <c r="G1072" s="643">
        <v>0</v>
      </c>
      <c r="H1072" s="26">
        <v>0</v>
      </c>
      <c r="I1072" s="26">
        <f t="shared" si="108"/>
        <v>0</v>
      </c>
      <c r="J1072" s="1340" t="e">
        <f t="shared" si="109"/>
        <v>#DIV/0!</v>
      </c>
      <c r="K1072" s="1340">
        <f t="shared" si="110"/>
        <v>0</v>
      </c>
    </row>
    <row r="1073" spans="1:11" ht="15" x14ac:dyDescent="0.25">
      <c r="A1073" s="1341"/>
      <c r="B1073" s="624">
        <v>88420</v>
      </c>
      <c r="C1073" s="1344">
        <v>333903900000000</v>
      </c>
      <c r="D1073" s="624" t="s">
        <v>6200</v>
      </c>
      <c r="E1073" s="624">
        <v>31</v>
      </c>
      <c r="F1073" s="643">
        <v>0</v>
      </c>
      <c r="G1073" s="643">
        <v>0</v>
      </c>
      <c r="H1073" s="26">
        <v>0</v>
      </c>
      <c r="I1073" s="26">
        <f t="shared" si="108"/>
        <v>0</v>
      </c>
      <c r="J1073" s="1340" t="e">
        <f t="shared" si="109"/>
        <v>#DIV/0!</v>
      </c>
      <c r="K1073" s="1340">
        <f t="shared" si="110"/>
        <v>0</v>
      </c>
    </row>
    <row r="1074" spans="1:11" ht="15" x14ac:dyDescent="0.25">
      <c r="A1074" s="1341"/>
      <c r="B1074" s="624">
        <v>86600</v>
      </c>
      <c r="C1074" s="1344">
        <v>333904000000000</v>
      </c>
      <c r="D1074" s="624" t="s">
        <v>7539</v>
      </c>
      <c r="E1074" s="624">
        <v>31</v>
      </c>
      <c r="F1074" s="643">
        <v>0</v>
      </c>
      <c r="G1074" s="643">
        <v>0</v>
      </c>
      <c r="H1074" s="26">
        <v>0</v>
      </c>
      <c r="I1074" s="26">
        <f t="shared" si="108"/>
        <v>0</v>
      </c>
      <c r="J1074" s="1340" t="e">
        <f t="shared" si="109"/>
        <v>#DIV/0!</v>
      </c>
      <c r="K1074" s="1340">
        <f t="shared" si="110"/>
        <v>0</v>
      </c>
    </row>
    <row r="1075" spans="1:11" ht="15" x14ac:dyDescent="0.25">
      <c r="A1075" s="1341"/>
      <c r="B1075" s="624">
        <v>88470</v>
      </c>
      <c r="C1075" s="1344">
        <v>333904600000000</v>
      </c>
      <c r="D1075" s="624" t="s">
        <v>6201</v>
      </c>
      <c r="E1075" s="624">
        <v>1</v>
      </c>
      <c r="F1075" s="643">
        <v>0</v>
      </c>
      <c r="G1075" s="643">
        <v>0</v>
      </c>
      <c r="H1075" s="26">
        <v>0</v>
      </c>
      <c r="I1075" s="26">
        <f t="shared" si="108"/>
        <v>0</v>
      </c>
      <c r="J1075" s="1340" t="e">
        <f t="shared" si="109"/>
        <v>#DIV/0!</v>
      </c>
      <c r="K1075" s="1340">
        <f t="shared" si="110"/>
        <v>0</v>
      </c>
    </row>
    <row r="1076" spans="1:11" ht="15" x14ac:dyDescent="0.25">
      <c r="A1076" s="1341"/>
      <c r="B1076" s="624">
        <v>88500</v>
      </c>
      <c r="C1076" s="1344">
        <v>333904700000000</v>
      </c>
      <c r="D1076" s="624" t="s">
        <v>7538</v>
      </c>
      <c r="E1076" s="624">
        <v>31</v>
      </c>
      <c r="F1076" s="643">
        <v>0</v>
      </c>
      <c r="G1076" s="643">
        <v>0</v>
      </c>
      <c r="H1076" s="26">
        <v>0</v>
      </c>
      <c r="I1076" s="26">
        <f t="shared" si="108"/>
        <v>0</v>
      </c>
      <c r="J1076" s="1340" t="e">
        <f t="shared" si="109"/>
        <v>#DIV/0!</v>
      </c>
      <c r="K1076" s="1340">
        <f t="shared" si="110"/>
        <v>0</v>
      </c>
    </row>
    <row r="1077" spans="1:11" ht="15" x14ac:dyDescent="0.25">
      <c r="A1077" s="1341"/>
      <c r="B1077" s="624">
        <v>88520</v>
      </c>
      <c r="C1077" s="1344">
        <v>333904900000000</v>
      </c>
      <c r="D1077" s="624" t="s">
        <v>6203</v>
      </c>
      <c r="E1077" s="624">
        <v>31</v>
      </c>
      <c r="F1077" s="643">
        <f>4713.17+7159.02</f>
        <v>11872.19</v>
      </c>
      <c r="G1077" s="643">
        <v>13795.57</v>
      </c>
      <c r="H1077" s="26">
        <v>0</v>
      </c>
      <c r="I1077" s="26">
        <f t="shared" si="108"/>
        <v>8555.92</v>
      </c>
      <c r="J1077" s="1340">
        <f t="shared" si="109"/>
        <v>1.1620071781196224</v>
      </c>
      <c r="K1077" s="1340">
        <f t="shared" si="110"/>
        <v>5.0015463960344109E-3</v>
      </c>
    </row>
    <row r="1078" spans="1:11" ht="15" x14ac:dyDescent="0.25">
      <c r="A1078" s="1341"/>
      <c r="B1078" s="624">
        <v>88540</v>
      </c>
      <c r="C1078" s="1344">
        <v>333909200000000</v>
      </c>
      <c r="D1078" s="624" t="s">
        <v>6204</v>
      </c>
      <c r="E1078" s="624">
        <v>31</v>
      </c>
      <c r="F1078" s="643">
        <v>0</v>
      </c>
      <c r="G1078" s="643">
        <v>0</v>
      </c>
      <c r="H1078" s="26">
        <v>0</v>
      </c>
      <c r="I1078" s="26">
        <f t="shared" si="108"/>
        <v>0</v>
      </c>
      <c r="J1078" s="1340" t="e">
        <f t="shared" si="109"/>
        <v>#DIV/0!</v>
      </c>
      <c r="K1078" s="1340">
        <f t="shared" si="110"/>
        <v>0</v>
      </c>
    </row>
    <row r="1079" spans="1:11" ht="15" x14ac:dyDescent="0.25">
      <c r="A1079" s="1341"/>
      <c r="B1079" s="624">
        <v>88560</v>
      </c>
      <c r="C1079" s="1344">
        <v>333909300000000</v>
      </c>
      <c r="D1079" s="624" t="s">
        <v>6205</v>
      </c>
      <c r="E1079" s="624">
        <v>31</v>
      </c>
      <c r="F1079" s="643">
        <v>0</v>
      </c>
      <c r="G1079" s="643">
        <v>0</v>
      </c>
      <c r="H1079" s="26">
        <v>0</v>
      </c>
      <c r="I1079" s="26">
        <f t="shared" si="108"/>
        <v>0</v>
      </c>
      <c r="J1079" s="1340" t="e">
        <f t="shared" si="109"/>
        <v>#DIV/0!</v>
      </c>
      <c r="K1079" s="1340">
        <f t="shared" si="110"/>
        <v>0</v>
      </c>
    </row>
    <row r="1080" spans="1:11" ht="15" x14ac:dyDescent="0.25">
      <c r="A1080" s="1341"/>
      <c r="B1080" s="624">
        <v>88580</v>
      </c>
      <c r="C1080" s="1344">
        <v>333933000000000</v>
      </c>
      <c r="D1080" s="624" t="s">
        <v>6206</v>
      </c>
      <c r="E1080" s="624">
        <v>31</v>
      </c>
      <c r="F1080" s="643">
        <v>0</v>
      </c>
      <c r="G1080" s="643">
        <v>0</v>
      </c>
      <c r="H1080" s="26">
        <v>0</v>
      </c>
      <c r="I1080" s="26">
        <f t="shared" si="108"/>
        <v>0</v>
      </c>
      <c r="J1080" s="1340" t="e">
        <f t="shared" si="109"/>
        <v>#DIV/0!</v>
      </c>
      <c r="K1080" s="1340">
        <f t="shared" si="110"/>
        <v>0</v>
      </c>
    </row>
    <row r="1081" spans="1:11" ht="15" x14ac:dyDescent="0.25">
      <c r="A1081" s="1341"/>
      <c r="B1081" s="624">
        <v>88600</v>
      </c>
      <c r="C1081" s="1344">
        <v>344905100000000</v>
      </c>
      <c r="D1081" s="624" t="s">
        <v>6207</v>
      </c>
      <c r="E1081" s="624">
        <v>31</v>
      </c>
      <c r="F1081" s="643">
        <v>0</v>
      </c>
      <c r="G1081" s="643">
        <v>0</v>
      </c>
      <c r="H1081" s="26">
        <v>0</v>
      </c>
      <c r="I1081" s="26">
        <f t="shared" si="108"/>
        <v>0</v>
      </c>
      <c r="J1081" s="1340" t="e">
        <f t="shared" si="109"/>
        <v>#DIV/0!</v>
      </c>
      <c r="K1081" s="1340">
        <f t="shared" si="110"/>
        <v>0</v>
      </c>
    </row>
    <row r="1082" spans="1:11" ht="15" x14ac:dyDescent="0.25">
      <c r="A1082" s="1341"/>
      <c r="B1082" s="624">
        <v>88640</v>
      </c>
      <c r="C1082" s="1344">
        <v>344905200000000</v>
      </c>
      <c r="D1082" s="624" t="s">
        <v>6208</v>
      </c>
      <c r="E1082" s="624">
        <v>31</v>
      </c>
      <c r="F1082" s="643">
        <v>0</v>
      </c>
      <c r="G1082" s="643">
        <v>0</v>
      </c>
      <c r="H1082" s="26">
        <v>0</v>
      </c>
      <c r="I1082" s="26">
        <f t="shared" si="108"/>
        <v>0</v>
      </c>
      <c r="J1082" s="1340" t="e">
        <f t="shared" si="109"/>
        <v>#DIV/0!</v>
      </c>
      <c r="K1082" s="1340">
        <f t="shared" si="110"/>
        <v>0</v>
      </c>
    </row>
    <row r="1083" spans="1:11" s="12" customFormat="1" ht="15" x14ac:dyDescent="0.25">
      <c r="A1083" s="1081"/>
      <c r="B1083" s="570" t="s">
        <v>2965</v>
      </c>
      <c r="C1083" s="1345">
        <v>38</v>
      </c>
      <c r="D1083" s="570" t="s">
        <v>4812</v>
      </c>
      <c r="E1083" s="570"/>
      <c r="F1083" s="642">
        <f>SUM(F1084:F1111)</f>
        <v>58456.87</v>
      </c>
      <c r="G1083" s="642">
        <f>SUM(G1084:G1111)</f>
        <v>62749.25</v>
      </c>
      <c r="H1083" s="642">
        <f>SUM(H1084:H1111)</f>
        <v>0</v>
      </c>
      <c r="I1083" s="642">
        <f>SUM(I1084:I1111)</f>
        <v>40402.04</v>
      </c>
      <c r="J1083" s="1338">
        <f t="shared" si="109"/>
        <v>1.0734281530981731</v>
      </c>
      <c r="K1083" s="1338">
        <f t="shared" si="110"/>
        <v>2.3617878329208097E-2</v>
      </c>
    </row>
    <row r="1084" spans="1:11" ht="15" x14ac:dyDescent="0.25">
      <c r="A1084" s="1341"/>
      <c r="B1084" s="624">
        <v>90200</v>
      </c>
      <c r="C1084" s="1344">
        <v>331900400000000</v>
      </c>
      <c r="D1084" s="624" t="s">
        <v>6246</v>
      </c>
      <c r="E1084" s="624">
        <v>31</v>
      </c>
      <c r="F1084" s="643">
        <v>6095.48</v>
      </c>
      <c r="G1084" s="643">
        <v>0</v>
      </c>
      <c r="H1084" s="26">
        <v>0</v>
      </c>
      <c r="I1084" s="26">
        <f t="shared" ref="I1084:I1111" si="111">(F1084+G1084+H1084)/3</f>
        <v>2031.8266666666666</v>
      </c>
      <c r="J1084" s="1340" t="e">
        <f t="shared" si="109"/>
        <v>#DIV/0!</v>
      </c>
      <c r="K1084" s="1340">
        <f t="shared" si="110"/>
        <v>1.18774782162915E-3</v>
      </c>
    </row>
    <row r="1085" spans="1:11" ht="15" x14ac:dyDescent="0.25">
      <c r="A1085" s="1341"/>
      <c r="B1085" s="624">
        <v>90250</v>
      </c>
      <c r="C1085" s="1344">
        <v>331900800000000</v>
      </c>
      <c r="D1085" s="624" t="s">
        <v>7537</v>
      </c>
      <c r="E1085" s="624">
        <v>1</v>
      </c>
      <c r="F1085" s="643">
        <v>0</v>
      </c>
      <c r="G1085" s="643">
        <v>2480.08</v>
      </c>
      <c r="H1085" s="26">
        <v>0</v>
      </c>
      <c r="I1085" s="26">
        <f t="shared" si="111"/>
        <v>826.69333333333327</v>
      </c>
      <c r="J1085" s="1340" t="e">
        <f t="shared" si="109"/>
        <v>#DIV/0!</v>
      </c>
      <c r="K1085" s="1340">
        <f t="shared" si="110"/>
        <v>4.8326130468248971E-4</v>
      </c>
    </row>
    <row r="1086" spans="1:11" ht="15" x14ac:dyDescent="0.25">
      <c r="A1086" s="1341"/>
      <c r="B1086" s="624">
        <v>90280</v>
      </c>
      <c r="C1086" s="1344">
        <v>331901100000000</v>
      </c>
      <c r="D1086" s="624" t="s">
        <v>6248</v>
      </c>
      <c r="E1086" s="624">
        <v>31</v>
      </c>
      <c r="F1086" s="643">
        <v>38261.26</v>
      </c>
      <c r="G1086" s="643">
        <v>45024.7</v>
      </c>
      <c r="H1086" s="26">
        <v>0</v>
      </c>
      <c r="I1086" s="26">
        <f t="shared" si="111"/>
        <v>27761.986666666664</v>
      </c>
      <c r="J1086" s="1340">
        <f t="shared" si="109"/>
        <v>1.1767699234160087</v>
      </c>
      <c r="K1086" s="1340">
        <f t="shared" si="110"/>
        <v>1.6228864267013018E-2</v>
      </c>
    </row>
    <row r="1087" spans="1:11" ht="15" x14ac:dyDescent="0.25">
      <c r="A1087" s="1341"/>
      <c r="B1087" s="624">
        <v>90330</v>
      </c>
      <c r="C1087" s="1344">
        <v>331901300000000</v>
      </c>
      <c r="D1087" s="624" t="s">
        <v>6249</v>
      </c>
      <c r="E1087" s="624">
        <v>31</v>
      </c>
      <c r="F1087" s="643">
        <v>8453.06</v>
      </c>
      <c r="G1087" s="643">
        <v>10005.780000000001</v>
      </c>
      <c r="H1087" s="26">
        <v>0</v>
      </c>
      <c r="I1087" s="26">
        <f t="shared" si="111"/>
        <v>6152.9466666666667</v>
      </c>
      <c r="J1087" s="1340">
        <f t="shared" si="109"/>
        <v>1.1836873274293571</v>
      </c>
      <c r="K1087" s="1340">
        <f t="shared" si="110"/>
        <v>3.5968368364429088E-3</v>
      </c>
    </row>
    <row r="1088" spans="1:11" ht="15" x14ac:dyDescent="0.25">
      <c r="A1088" s="1341"/>
      <c r="B1088" s="624">
        <v>90360</v>
      </c>
      <c r="C1088" s="1344">
        <v>331901600000000</v>
      </c>
      <c r="D1088" s="624" t="s">
        <v>6250</v>
      </c>
      <c r="E1088" s="624">
        <v>31</v>
      </c>
      <c r="F1088" s="643">
        <v>890.1</v>
      </c>
      <c r="G1088" s="643">
        <v>0</v>
      </c>
      <c r="H1088" s="26">
        <v>0</v>
      </c>
      <c r="I1088" s="26">
        <f t="shared" si="111"/>
        <v>296.7</v>
      </c>
      <c r="J1088" s="1340" t="e">
        <f t="shared" si="109"/>
        <v>#DIV/0!</v>
      </c>
      <c r="K1088" s="1340">
        <f t="shared" si="110"/>
        <v>1.7344234351225932E-4</v>
      </c>
    </row>
    <row r="1089" spans="1:11" ht="15" x14ac:dyDescent="0.25">
      <c r="A1089" s="1341"/>
      <c r="B1089" s="624">
        <v>90420</v>
      </c>
      <c r="C1089" s="1344">
        <v>331903400000000</v>
      </c>
      <c r="D1089" s="624" t="s">
        <v>6251</v>
      </c>
      <c r="E1089" s="624">
        <v>31</v>
      </c>
      <c r="F1089" s="643">
        <v>0</v>
      </c>
      <c r="G1089" s="643">
        <v>0</v>
      </c>
      <c r="H1089" s="26">
        <v>0</v>
      </c>
      <c r="I1089" s="26">
        <f t="shared" si="111"/>
        <v>0</v>
      </c>
      <c r="J1089" s="1340" t="e">
        <f t="shared" si="109"/>
        <v>#DIV/0!</v>
      </c>
      <c r="K1089" s="1340">
        <f t="shared" si="110"/>
        <v>0</v>
      </c>
    </row>
    <row r="1090" spans="1:11" ht="15" x14ac:dyDescent="0.25">
      <c r="A1090" s="1341"/>
      <c r="B1090" s="624">
        <v>90460</v>
      </c>
      <c r="C1090" s="1344">
        <v>331909400000000</v>
      </c>
      <c r="D1090" s="624" t="s">
        <v>6252</v>
      </c>
      <c r="E1090" s="624">
        <v>31</v>
      </c>
      <c r="F1090" s="643">
        <v>0</v>
      </c>
      <c r="G1090" s="643">
        <v>0</v>
      </c>
      <c r="H1090" s="26">
        <v>0</v>
      </c>
      <c r="I1090" s="26">
        <f t="shared" si="111"/>
        <v>0</v>
      </c>
      <c r="J1090" s="1340" t="e">
        <f t="shared" si="109"/>
        <v>#DIV/0!</v>
      </c>
      <c r="K1090" s="1340">
        <f t="shared" si="110"/>
        <v>0</v>
      </c>
    </row>
    <row r="1091" spans="1:11" ht="15" x14ac:dyDescent="0.25">
      <c r="A1091" s="1341"/>
      <c r="B1091" s="624">
        <v>89950</v>
      </c>
      <c r="C1091" s="1344">
        <v>333901400000000</v>
      </c>
      <c r="D1091" s="624" t="s">
        <v>6240</v>
      </c>
      <c r="E1091" s="624">
        <v>31</v>
      </c>
      <c r="F1091" s="643">
        <v>0</v>
      </c>
      <c r="G1091" s="643">
        <v>0</v>
      </c>
      <c r="H1091" s="26">
        <v>0</v>
      </c>
      <c r="I1091" s="26">
        <f t="shared" si="111"/>
        <v>0</v>
      </c>
      <c r="J1091" s="1340" t="e">
        <f t="shared" si="109"/>
        <v>#DIV/0!</v>
      </c>
      <c r="K1091" s="1340">
        <f t="shared" si="110"/>
        <v>0</v>
      </c>
    </row>
    <row r="1092" spans="1:11" ht="15" x14ac:dyDescent="0.25">
      <c r="A1092" s="1341"/>
      <c r="B1092" s="624">
        <v>90490</v>
      </c>
      <c r="C1092" s="1344">
        <v>333901400000000</v>
      </c>
      <c r="D1092" s="624" t="s">
        <v>6253</v>
      </c>
      <c r="E1092" s="624">
        <v>31</v>
      </c>
      <c r="F1092" s="643">
        <v>0</v>
      </c>
      <c r="G1092" s="643">
        <v>0</v>
      </c>
      <c r="H1092" s="26">
        <v>0</v>
      </c>
      <c r="I1092" s="26">
        <f t="shared" si="111"/>
        <v>0</v>
      </c>
      <c r="J1092" s="1340" t="e">
        <f t="shared" si="109"/>
        <v>#DIV/0!</v>
      </c>
      <c r="K1092" s="1340">
        <f t="shared" si="110"/>
        <v>0</v>
      </c>
    </row>
    <row r="1093" spans="1:11" ht="15" x14ac:dyDescent="0.25">
      <c r="A1093" s="1341"/>
      <c r="B1093" s="624">
        <v>90520</v>
      </c>
      <c r="C1093" s="1344">
        <v>333903000000000</v>
      </c>
      <c r="D1093" s="624" t="s">
        <v>6254</v>
      </c>
      <c r="E1093" s="624">
        <v>31</v>
      </c>
      <c r="F1093" s="643">
        <v>157</v>
      </c>
      <c r="G1093" s="643">
        <v>0</v>
      </c>
      <c r="H1093" s="26">
        <v>0</v>
      </c>
      <c r="I1093" s="26">
        <f t="shared" si="111"/>
        <v>52.333333333333336</v>
      </c>
      <c r="J1093" s="1340" t="e">
        <f t="shared" si="109"/>
        <v>#DIV/0!</v>
      </c>
      <c r="K1093" s="1340">
        <f t="shared" si="110"/>
        <v>3.0592571544123933E-5</v>
      </c>
    </row>
    <row r="1094" spans="1:11" ht="15" x14ac:dyDescent="0.25">
      <c r="A1094" s="1341"/>
      <c r="B1094" s="624">
        <v>90560</v>
      </c>
      <c r="C1094" s="1344">
        <v>333903200000000</v>
      </c>
      <c r="D1094" s="624" t="s">
        <v>6255</v>
      </c>
      <c r="E1094" s="624">
        <v>31</v>
      </c>
      <c r="F1094" s="643">
        <v>0</v>
      </c>
      <c r="G1094" s="643">
        <v>607.85</v>
      </c>
      <c r="H1094" s="26">
        <v>0</v>
      </c>
      <c r="I1094" s="26">
        <f t="shared" si="111"/>
        <v>202.61666666666667</v>
      </c>
      <c r="J1094" s="1340" t="e">
        <f t="shared" si="109"/>
        <v>#DIV/0!</v>
      </c>
      <c r="K1094" s="1340">
        <f t="shared" si="110"/>
        <v>1.1844391473309385E-4</v>
      </c>
    </row>
    <row r="1095" spans="1:11" ht="15" x14ac:dyDescent="0.25">
      <c r="A1095" s="1341"/>
      <c r="B1095" s="624">
        <v>89970</v>
      </c>
      <c r="C1095" s="1344">
        <v>333903300000000</v>
      </c>
      <c r="D1095" s="624" t="s">
        <v>7536</v>
      </c>
      <c r="E1095" s="624">
        <v>31</v>
      </c>
      <c r="F1095" s="643">
        <v>0</v>
      </c>
      <c r="G1095" s="643">
        <v>0</v>
      </c>
      <c r="H1095" s="26">
        <v>0</v>
      </c>
      <c r="I1095" s="26">
        <f t="shared" si="111"/>
        <v>0</v>
      </c>
      <c r="J1095" s="1340" t="e">
        <f t="shared" si="109"/>
        <v>#DIV/0!</v>
      </c>
      <c r="K1095" s="1340">
        <f t="shared" si="110"/>
        <v>0</v>
      </c>
    </row>
    <row r="1096" spans="1:11" ht="15" x14ac:dyDescent="0.25">
      <c r="A1096" s="1341"/>
      <c r="B1096" s="624">
        <v>90590</v>
      </c>
      <c r="C1096" s="1344">
        <v>333903300000000</v>
      </c>
      <c r="D1096" s="624" t="s">
        <v>6256</v>
      </c>
      <c r="E1096" s="624">
        <v>31</v>
      </c>
      <c r="F1096" s="643">
        <v>0</v>
      </c>
      <c r="G1096" s="643">
        <v>0</v>
      </c>
      <c r="H1096" s="26">
        <v>0</v>
      </c>
      <c r="I1096" s="26">
        <f t="shared" si="111"/>
        <v>0</v>
      </c>
      <c r="J1096" s="1340" t="e">
        <f t="shared" si="109"/>
        <v>#DIV/0!</v>
      </c>
      <c r="K1096" s="1340">
        <f t="shared" si="110"/>
        <v>0</v>
      </c>
    </row>
    <row r="1097" spans="1:11" ht="15" x14ac:dyDescent="0.25">
      <c r="A1097" s="1341"/>
      <c r="B1097" s="624">
        <v>90610</v>
      </c>
      <c r="C1097" s="1344">
        <v>333903500000000</v>
      </c>
      <c r="D1097" s="624" t="s">
        <v>6257</v>
      </c>
      <c r="E1097" s="624">
        <v>31</v>
      </c>
      <c r="F1097" s="643">
        <v>0</v>
      </c>
      <c r="G1097" s="643">
        <v>0</v>
      </c>
      <c r="H1097" s="26">
        <v>0</v>
      </c>
      <c r="I1097" s="26">
        <f t="shared" si="111"/>
        <v>0</v>
      </c>
      <c r="J1097" s="1340" t="e">
        <f t="shared" si="109"/>
        <v>#DIV/0!</v>
      </c>
      <c r="K1097" s="1340">
        <f t="shared" si="110"/>
        <v>0</v>
      </c>
    </row>
    <row r="1098" spans="1:11" ht="15" x14ac:dyDescent="0.25">
      <c r="A1098" s="1341"/>
      <c r="B1098" s="624">
        <v>89990</v>
      </c>
      <c r="C1098" s="1344">
        <v>333903600000000</v>
      </c>
      <c r="D1098" s="624" t="s">
        <v>7535</v>
      </c>
      <c r="E1098" s="624">
        <v>31</v>
      </c>
      <c r="F1098" s="643">
        <v>0</v>
      </c>
      <c r="G1098" s="643">
        <v>0</v>
      </c>
      <c r="H1098" s="26">
        <v>0</v>
      </c>
      <c r="I1098" s="26">
        <f t="shared" si="111"/>
        <v>0</v>
      </c>
      <c r="J1098" s="1340" t="e">
        <f t="shared" ref="J1098:J1129" si="112">(G1098/F1098)+(H1098/G1098)/2</f>
        <v>#DIV/0!</v>
      </c>
      <c r="K1098" s="1340">
        <f t="shared" ref="K1098:K1129" si="113">I1098/I$1170</f>
        <v>0</v>
      </c>
    </row>
    <row r="1099" spans="1:11" ht="15" x14ac:dyDescent="0.25">
      <c r="A1099" s="1341"/>
      <c r="B1099" s="624">
        <v>90650</v>
      </c>
      <c r="C1099" s="1344">
        <v>333903600000000</v>
      </c>
      <c r="D1099" s="624" t="s">
        <v>6258</v>
      </c>
      <c r="E1099" s="624">
        <v>31</v>
      </c>
      <c r="F1099" s="643">
        <v>0</v>
      </c>
      <c r="G1099" s="643">
        <v>0</v>
      </c>
      <c r="H1099" s="26">
        <v>0</v>
      </c>
      <c r="I1099" s="26">
        <f t="shared" si="111"/>
        <v>0</v>
      </c>
      <c r="J1099" s="1340" t="e">
        <f t="shared" si="112"/>
        <v>#DIV/0!</v>
      </c>
      <c r="K1099" s="1340">
        <f t="shared" si="113"/>
        <v>0</v>
      </c>
    </row>
    <row r="1100" spans="1:11" ht="15" x14ac:dyDescent="0.25">
      <c r="A1100" s="1341"/>
      <c r="B1100" s="624">
        <v>90010</v>
      </c>
      <c r="C1100" s="1344">
        <v>333903900000000</v>
      </c>
      <c r="D1100" s="624" t="s">
        <v>7534</v>
      </c>
      <c r="E1100" s="624">
        <v>31</v>
      </c>
      <c r="F1100" s="643">
        <v>0</v>
      </c>
      <c r="G1100" s="643">
        <v>0</v>
      </c>
      <c r="H1100" s="26">
        <v>0</v>
      </c>
      <c r="I1100" s="26">
        <f t="shared" si="111"/>
        <v>0</v>
      </c>
      <c r="J1100" s="1340" t="e">
        <f t="shared" si="112"/>
        <v>#DIV/0!</v>
      </c>
      <c r="K1100" s="1340">
        <f t="shared" si="113"/>
        <v>0</v>
      </c>
    </row>
    <row r="1101" spans="1:11" ht="15" x14ac:dyDescent="0.25">
      <c r="A1101" s="1341"/>
      <c r="B1101" s="624">
        <v>90690</v>
      </c>
      <c r="C1101" s="1344">
        <v>333903900000000</v>
      </c>
      <c r="D1101" s="624" t="s">
        <v>6259</v>
      </c>
      <c r="E1101" s="624">
        <v>31</v>
      </c>
      <c r="F1101" s="643">
        <v>0</v>
      </c>
      <c r="G1101" s="643">
        <v>0</v>
      </c>
      <c r="H1101" s="26">
        <v>0</v>
      </c>
      <c r="I1101" s="26">
        <f t="shared" si="111"/>
        <v>0</v>
      </c>
      <c r="J1101" s="1340" t="e">
        <f t="shared" si="112"/>
        <v>#DIV/0!</v>
      </c>
      <c r="K1101" s="1340">
        <f t="shared" si="113"/>
        <v>0</v>
      </c>
    </row>
    <row r="1102" spans="1:11" ht="15" x14ac:dyDescent="0.25">
      <c r="A1102" s="1341"/>
      <c r="B1102" s="624">
        <v>89900</v>
      </c>
      <c r="C1102" s="1344">
        <v>333904000000000</v>
      </c>
      <c r="D1102" s="624" t="s">
        <v>6239</v>
      </c>
      <c r="E1102" s="624">
        <v>31</v>
      </c>
      <c r="F1102" s="643">
        <v>0</v>
      </c>
      <c r="G1102" s="643">
        <v>0</v>
      </c>
      <c r="H1102" s="26">
        <v>0</v>
      </c>
      <c r="I1102" s="26">
        <f t="shared" si="111"/>
        <v>0</v>
      </c>
      <c r="J1102" s="1340" t="e">
        <f t="shared" si="112"/>
        <v>#DIV/0!</v>
      </c>
      <c r="K1102" s="1340">
        <f t="shared" si="113"/>
        <v>0</v>
      </c>
    </row>
    <row r="1103" spans="1:11" ht="15" x14ac:dyDescent="0.25">
      <c r="A1103" s="1341"/>
      <c r="B1103" s="624">
        <v>90750</v>
      </c>
      <c r="C1103" s="1344">
        <v>333904600000000</v>
      </c>
      <c r="D1103" s="624" t="s">
        <v>6260</v>
      </c>
      <c r="E1103" s="624">
        <v>1</v>
      </c>
      <c r="F1103" s="643">
        <v>0</v>
      </c>
      <c r="G1103" s="643">
        <v>0</v>
      </c>
      <c r="H1103" s="26">
        <v>0</v>
      </c>
      <c r="I1103" s="26">
        <f t="shared" si="111"/>
        <v>0</v>
      </c>
      <c r="J1103" s="1340" t="e">
        <f t="shared" si="112"/>
        <v>#DIV/0!</v>
      </c>
      <c r="K1103" s="1340">
        <f t="shared" si="113"/>
        <v>0</v>
      </c>
    </row>
    <row r="1104" spans="1:11" ht="15" x14ac:dyDescent="0.25">
      <c r="A1104" s="1341"/>
      <c r="B1104" s="624">
        <v>90030</v>
      </c>
      <c r="C1104" s="1344">
        <v>333904700000000</v>
      </c>
      <c r="D1104" s="624" t="s">
        <v>7533</v>
      </c>
      <c r="E1104" s="624">
        <v>31</v>
      </c>
      <c r="F1104" s="643">
        <v>0</v>
      </c>
      <c r="G1104" s="643">
        <v>0</v>
      </c>
      <c r="H1104" s="26">
        <v>0</v>
      </c>
      <c r="I1104" s="26">
        <f t="shared" si="111"/>
        <v>0</v>
      </c>
      <c r="J1104" s="1340" t="e">
        <f t="shared" si="112"/>
        <v>#DIV/0!</v>
      </c>
      <c r="K1104" s="1340">
        <f t="shared" si="113"/>
        <v>0</v>
      </c>
    </row>
    <row r="1105" spans="1:11" ht="15" x14ac:dyDescent="0.25">
      <c r="A1105" s="1341"/>
      <c r="B1105" s="624">
        <v>90770</v>
      </c>
      <c r="C1105" s="1344">
        <v>333904700000000</v>
      </c>
      <c r="D1105" s="624" t="s">
        <v>6261</v>
      </c>
      <c r="E1105" s="624">
        <v>31</v>
      </c>
      <c r="F1105" s="643">
        <v>0</v>
      </c>
      <c r="G1105" s="643">
        <v>0</v>
      </c>
      <c r="H1105" s="26">
        <v>0</v>
      </c>
      <c r="I1105" s="26">
        <f t="shared" si="111"/>
        <v>0</v>
      </c>
      <c r="J1105" s="1340" t="e">
        <f t="shared" si="112"/>
        <v>#DIV/0!</v>
      </c>
      <c r="K1105" s="1340">
        <f t="shared" si="113"/>
        <v>0</v>
      </c>
    </row>
    <row r="1106" spans="1:11" ht="15" x14ac:dyDescent="0.25">
      <c r="A1106" s="1341"/>
      <c r="B1106" s="624">
        <v>90790</v>
      </c>
      <c r="C1106" s="1344">
        <v>333904900000000</v>
      </c>
      <c r="D1106" s="624" t="s">
        <v>6262</v>
      </c>
      <c r="E1106" s="624">
        <v>31</v>
      </c>
      <c r="F1106" s="643">
        <v>4599.97</v>
      </c>
      <c r="G1106" s="643">
        <v>4630.84</v>
      </c>
      <c r="H1106" s="26">
        <v>0</v>
      </c>
      <c r="I1106" s="26">
        <f t="shared" si="111"/>
        <v>3076.936666666667</v>
      </c>
      <c r="J1106" s="1340">
        <f t="shared" si="112"/>
        <v>1.0067109133320435</v>
      </c>
      <c r="K1106" s="1340">
        <f t="shared" si="113"/>
        <v>1.7986892696510489E-3</v>
      </c>
    </row>
    <row r="1107" spans="1:11" ht="15" x14ac:dyDescent="0.25">
      <c r="A1107" s="1341"/>
      <c r="B1107" s="624">
        <v>90820</v>
      </c>
      <c r="C1107" s="1344">
        <v>333909200000000</v>
      </c>
      <c r="D1107" s="624" t="s">
        <v>6263</v>
      </c>
      <c r="E1107" s="624">
        <v>31</v>
      </c>
      <c r="F1107" s="643">
        <v>0</v>
      </c>
      <c r="G1107" s="643">
        <v>0</v>
      </c>
      <c r="H1107" s="26">
        <v>0</v>
      </c>
      <c r="I1107" s="26">
        <f t="shared" si="111"/>
        <v>0</v>
      </c>
      <c r="J1107" s="1340" t="e">
        <f t="shared" si="112"/>
        <v>#DIV/0!</v>
      </c>
      <c r="K1107" s="1340">
        <f t="shared" si="113"/>
        <v>0</v>
      </c>
    </row>
    <row r="1108" spans="1:11" ht="15" x14ac:dyDescent="0.25">
      <c r="A1108" s="1341"/>
      <c r="B1108" s="624">
        <v>90840</v>
      </c>
      <c r="C1108" s="1344">
        <v>333909300000000</v>
      </c>
      <c r="D1108" s="624" t="s">
        <v>6264</v>
      </c>
      <c r="E1108" s="624">
        <v>31</v>
      </c>
      <c r="F1108" s="643">
        <v>0</v>
      </c>
      <c r="G1108" s="643">
        <v>0</v>
      </c>
      <c r="H1108" s="26">
        <v>0</v>
      </c>
      <c r="I1108" s="26">
        <f t="shared" si="111"/>
        <v>0</v>
      </c>
      <c r="J1108" s="1340" t="e">
        <f t="shared" si="112"/>
        <v>#DIV/0!</v>
      </c>
      <c r="K1108" s="1340">
        <f t="shared" si="113"/>
        <v>0</v>
      </c>
    </row>
    <row r="1109" spans="1:11" ht="15" x14ac:dyDescent="0.25">
      <c r="A1109" s="1341"/>
      <c r="B1109" s="624">
        <v>90860</v>
      </c>
      <c r="C1109" s="1344">
        <v>333933000000000</v>
      </c>
      <c r="D1109" s="624" t="s">
        <v>6265</v>
      </c>
      <c r="E1109" s="624">
        <v>31</v>
      </c>
      <c r="F1109" s="643">
        <v>0</v>
      </c>
      <c r="G1109" s="643">
        <v>0</v>
      </c>
      <c r="H1109" s="26">
        <v>0</v>
      </c>
      <c r="I1109" s="26">
        <f t="shared" si="111"/>
        <v>0</v>
      </c>
      <c r="J1109" s="1340" t="e">
        <f t="shared" si="112"/>
        <v>#DIV/0!</v>
      </c>
      <c r="K1109" s="1340">
        <f t="shared" si="113"/>
        <v>0</v>
      </c>
    </row>
    <row r="1110" spans="1:11" ht="15" x14ac:dyDescent="0.25">
      <c r="A1110" s="1341"/>
      <c r="B1110" s="624">
        <v>90890</v>
      </c>
      <c r="C1110" s="1344">
        <v>344905100000000</v>
      </c>
      <c r="D1110" s="624" t="s">
        <v>6266</v>
      </c>
      <c r="E1110" s="624">
        <v>31</v>
      </c>
      <c r="F1110" s="643">
        <v>0</v>
      </c>
      <c r="G1110" s="643">
        <v>0</v>
      </c>
      <c r="H1110" s="26">
        <v>0</v>
      </c>
      <c r="I1110" s="26">
        <f t="shared" si="111"/>
        <v>0</v>
      </c>
      <c r="J1110" s="1340" t="e">
        <f t="shared" si="112"/>
        <v>#DIV/0!</v>
      </c>
      <c r="K1110" s="1340">
        <f t="shared" si="113"/>
        <v>0</v>
      </c>
    </row>
    <row r="1111" spans="1:11" ht="15" x14ac:dyDescent="0.25">
      <c r="A1111" s="1341"/>
      <c r="B1111" s="624">
        <v>90920</v>
      </c>
      <c r="C1111" s="1344">
        <v>344905200000000</v>
      </c>
      <c r="D1111" s="624" t="s">
        <v>6267</v>
      </c>
      <c r="E1111" s="624">
        <v>31</v>
      </c>
      <c r="F1111" s="643">
        <v>0</v>
      </c>
      <c r="G1111" s="643">
        <v>0</v>
      </c>
      <c r="H1111" s="26">
        <v>0</v>
      </c>
      <c r="I1111" s="26">
        <f t="shared" si="111"/>
        <v>0</v>
      </c>
      <c r="J1111" s="1340" t="e">
        <f t="shared" si="112"/>
        <v>#DIV/0!</v>
      </c>
      <c r="K1111" s="1340">
        <f t="shared" si="113"/>
        <v>0</v>
      </c>
    </row>
    <row r="1112" spans="1:11" s="12" customFormat="1" ht="15" x14ac:dyDescent="0.25">
      <c r="A1112" s="1081"/>
      <c r="B1112" s="570" t="s">
        <v>2965</v>
      </c>
      <c r="C1112" s="1345">
        <v>39</v>
      </c>
      <c r="D1112" s="570" t="s">
        <v>4827</v>
      </c>
      <c r="E1112" s="570"/>
      <c r="F1112" s="642">
        <f>SUM(F1113:F1140)</f>
        <v>158830.16</v>
      </c>
      <c r="G1112" s="642">
        <f>SUM(G1113:G1140)</f>
        <v>165517.91999999998</v>
      </c>
      <c r="H1112" s="642">
        <f>SUM(H1113:H1140)</f>
        <v>0</v>
      </c>
      <c r="I1112" s="642">
        <f>SUM(I1113:I1140)</f>
        <v>108116.02666666667</v>
      </c>
      <c r="J1112" s="1338">
        <f t="shared" si="112"/>
        <v>1.0421063606559358</v>
      </c>
      <c r="K1112" s="1338">
        <f t="shared" si="113"/>
        <v>6.3201540398721237E-2</v>
      </c>
    </row>
    <row r="1113" spans="1:11" ht="15" x14ac:dyDescent="0.25">
      <c r="A1113" s="1341"/>
      <c r="B1113" s="624">
        <v>89000</v>
      </c>
      <c r="C1113" s="1344">
        <v>331900400000000</v>
      </c>
      <c r="D1113" s="624" t="s">
        <v>7532</v>
      </c>
      <c r="E1113" s="624">
        <v>31</v>
      </c>
      <c r="F1113" s="643">
        <v>0</v>
      </c>
      <c r="G1113" s="643">
        <v>0</v>
      </c>
      <c r="H1113" s="26">
        <v>0</v>
      </c>
      <c r="I1113" s="26">
        <f t="shared" ref="I1113:I1140" si="114">(F1113+G1113+H1113)/3</f>
        <v>0</v>
      </c>
      <c r="J1113" s="1340" t="e">
        <f t="shared" si="112"/>
        <v>#DIV/0!</v>
      </c>
      <c r="K1113" s="1340">
        <f t="shared" si="113"/>
        <v>0</v>
      </c>
    </row>
    <row r="1114" spans="1:11" ht="15" x14ac:dyDescent="0.25">
      <c r="A1114" s="1341"/>
      <c r="B1114" s="624">
        <v>89050</v>
      </c>
      <c r="C1114" s="1344">
        <v>331900800000000</v>
      </c>
      <c r="D1114" s="624" t="s">
        <v>7531</v>
      </c>
      <c r="E1114" s="624">
        <v>1</v>
      </c>
      <c r="F1114" s="643">
        <v>0</v>
      </c>
      <c r="G1114" s="643">
        <v>2352.7600000000002</v>
      </c>
      <c r="H1114" s="26">
        <v>0</v>
      </c>
      <c r="I1114" s="26">
        <f t="shared" si="114"/>
        <v>784.25333333333344</v>
      </c>
      <c r="J1114" s="1340" t="e">
        <f t="shared" si="112"/>
        <v>#DIV/0!</v>
      </c>
      <c r="K1114" s="1340">
        <f t="shared" si="113"/>
        <v>4.5845209316021043E-4</v>
      </c>
    </row>
    <row r="1115" spans="1:11" ht="15" x14ac:dyDescent="0.25">
      <c r="A1115" s="1341"/>
      <c r="B1115" s="624">
        <v>89100</v>
      </c>
      <c r="C1115" s="1344">
        <v>331901100000000</v>
      </c>
      <c r="D1115" s="624" t="s">
        <v>7530</v>
      </c>
      <c r="E1115" s="624">
        <v>31</v>
      </c>
      <c r="F1115" s="643">
        <v>124788.91</v>
      </c>
      <c r="G1115" s="643">
        <v>126429.78</v>
      </c>
      <c r="H1115" s="26">
        <v>0</v>
      </c>
      <c r="I1115" s="26">
        <f t="shared" si="114"/>
        <v>83739.563333333339</v>
      </c>
      <c r="J1115" s="1340">
        <f t="shared" si="112"/>
        <v>1.0131491652583551</v>
      </c>
      <c r="K1115" s="1340">
        <f t="shared" si="113"/>
        <v>4.8951756350612052E-2</v>
      </c>
    </row>
    <row r="1116" spans="1:11" ht="15" x14ac:dyDescent="0.25">
      <c r="A1116" s="1341"/>
      <c r="B1116" s="624">
        <v>89150</v>
      </c>
      <c r="C1116" s="1344">
        <v>331901300000000</v>
      </c>
      <c r="D1116" s="624" t="s">
        <v>6219</v>
      </c>
      <c r="E1116" s="624">
        <v>31</v>
      </c>
      <c r="F1116" s="643">
        <v>30068.97</v>
      </c>
      <c r="G1116" s="643">
        <v>32628.76</v>
      </c>
      <c r="H1116" s="26">
        <v>0</v>
      </c>
      <c r="I1116" s="26">
        <f t="shared" si="114"/>
        <v>20899.243333333332</v>
      </c>
      <c r="J1116" s="1340">
        <f t="shared" si="112"/>
        <v>1.0851306180424536</v>
      </c>
      <c r="K1116" s="1340">
        <f t="shared" si="113"/>
        <v>1.2217100577574302E-2</v>
      </c>
    </row>
    <row r="1117" spans="1:11" ht="15" x14ac:dyDescent="0.25">
      <c r="A1117" s="1341"/>
      <c r="B1117" s="624">
        <v>89180</v>
      </c>
      <c r="C1117" s="1344">
        <v>331901600000000</v>
      </c>
      <c r="D1117" s="624" t="s">
        <v>6220</v>
      </c>
      <c r="E1117" s="624">
        <v>31</v>
      </c>
      <c r="F1117" s="643">
        <v>0</v>
      </c>
      <c r="G1117" s="643">
        <v>0</v>
      </c>
      <c r="H1117" s="26">
        <v>0</v>
      </c>
      <c r="I1117" s="26">
        <f t="shared" si="114"/>
        <v>0</v>
      </c>
      <c r="J1117" s="1340" t="e">
        <f t="shared" si="112"/>
        <v>#DIV/0!</v>
      </c>
      <c r="K1117" s="1340">
        <f t="shared" si="113"/>
        <v>0</v>
      </c>
    </row>
    <row r="1118" spans="1:11" ht="15" x14ac:dyDescent="0.25">
      <c r="A1118" s="1341"/>
      <c r="B1118" s="624">
        <v>89210</v>
      </c>
      <c r="C1118" s="1344">
        <v>331903400000000</v>
      </c>
      <c r="D1118" s="624" t="s">
        <v>7529</v>
      </c>
      <c r="E1118" s="624">
        <v>31</v>
      </c>
      <c r="F1118" s="643">
        <v>0</v>
      </c>
      <c r="G1118" s="643">
        <v>0</v>
      </c>
      <c r="H1118" s="26">
        <v>0</v>
      </c>
      <c r="I1118" s="26">
        <f t="shared" si="114"/>
        <v>0</v>
      </c>
      <c r="J1118" s="1340" t="e">
        <f t="shared" si="112"/>
        <v>#DIV/0!</v>
      </c>
      <c r="K1118" s="1340">
        <f t="shared" si="113"/>
        <v>0</v>
      </c>
    </row>
    <row r="1119" spans="1:11" ht="15" x14ac:dyDescent="0.25">
      <c r="A1119" s="1341"/>
      <c r="B1119" s="624">
        <v>89240</v>
      </c>
      <c r="C1119" s="1344">
        <v>331909400000000</v>
      </c>
      <c r="D1119" s="624" t="s">
        <v>6222</v>
      </c>
      <c r="E1119" s="624">
        <v>31</v>
      </c>
      <c r="F1119" s="643">
        <v>0</v>
      </c>
      <c r="G1119" s="643">
        <v>0</v>
      </c>
      <c r="H1119" s="26">
        <v>0</v>
      </c>
      <c r="I1119" s="26">
        <f t="shared" si="114"/>
        <v>0</v>
      </c>
      <c r="J1119" s="1340" t="e">
        <f t="shared" si="112"/>
        <v>#DIV/0!</v>
      </c>
      <c r="K1119" s="1340">
        <f t="shared" si="113"/>
        <v>0</v>
      </c>
    </row>
    <row r="1120" spans="1:11" ht="15" x14ac:dyDescent="0.25">
      <c r="A1120" s="1341"/>
      <c r="B1120" s="624">
        <v>88900</v>
      </c>
      <c r="C1120" s="1344">
        <v>333901400000000</v>
      </c>
      <c r="D1120" s="624" t="s">
        <v>6211</v>
      </c>
      <c r="E1120" s="624">
        <v>31</v>
      </c>
      <c r="F1120" s="643">
        <v>0</v>
      </c>
      <c r="G1120" s="643">
        <v>0</v>
      </c>
      <c r="H1120" s="26">
        <v>0</v>
      </c>
      <c r="I1120" s="26">
        <f t="shared" si="114"/>
        <v>0</v>
      </c>
      <c r="J1120" s="1340" t="e">
        <f t="shared" si="112"/>
        <v>#DIV/0!</v>
      </c>
      <c r="K1120" s="1340">
        <f t="shared" si="113"/>
        <v>0</v>
      </c>
    </row>
    <row r="1121" spans="1:11" ht="15" x14ac:dyDescent="0.25">
      <c r="A1121" s="1341"/>
      <c r="B1121" s="624">
        <v>89270</v>
      </c>
      <c r="C1121" s="1344">
        <v>333901400000000</v>
      </c>
      <c r="D1121" s="624" t="s">
        <v>6223</v>
      </c>
      <c r="E1121" s="624">
        <v>31</v>
      </c>
      <c r="F1121" s="643">
        <v>0</v>
      </c>
      <c r="G1121" s="643">
        <v>0</v>
      </c>
      <c r="H1121" s="26">
        <v>0</v>
      </c>
      <c r="I1121" s="26">
        <f t="shared" si="114"/>
        <v>0</v>
      </c>
      <c r="J1121" s="1340" t="e">
        <f t="shared" si="112"/>
        <v>#DIV/0!</v>
      </c>
      <c r="K1121" s="1340">
        <f t="shared" si="113"/>
        <v>0</v>
      </c>
    </row>
    <row r="1122" spans="1:11" ht="15" x14ac:dyDescent="0.25">
      <c r="A1122" s="1341"/>
      <c r="B1122" s="624">
        <v>89300</v>
      </c>
      <c r="C1122" s="1344">
        <v>333903000000000</v>
      </c>
      <c r="D1122" s="624" t="s">
        <v>6224</v>
      </c>
      <c r="E1122" s="624">
        <v>31</v>
      </c>
      <c r="F1122" s="643">
        <v>0</v>
      </c>
      <c r="G1122" s="643">
        <v>715.5</v>
      </c>
      <c r="H1122" s="26">
        <v>0</v>
      </c>
      <c r="I1122" s="26">
        <f t="shared" si="114"/>
        <v>238.5</v>
      </c>
      <c r="J1122" s="1340" t="e">
        <f t="shared" si="112"/>
        <v>#DIV/0!</v>
      </c>
      <c r="K1122" s="1340">
        <f t="shared" si="113"/>
        <v>1.3942028624089602E-4</v>
      </c>
    </row>
    <row r="1123" spans="1:11" ht="15" x14ac:dyDescent="0.25">
      <c r="A1123" s="1341"/>
      <c r="B1123" s="624">
        <v>89350</v>
      </c>
      <c r="C1123" s="1344">
        <v>333903200000000</v>
      </c>
      <c r="D1123" s="624" t="s">
        <v>6225</v>
      </c>
      <c r="E1123" s="624">
        <v>31</v>
      </c>
      <c r="F1123" s="643">
        <v>0</v>
      </c>
      <c r="G1123" s="643">
        <v>0</v>
      </c>
      <c r="H1123" s="26">
        <v>0</v>
      </c>
      <c r="I1123" s="26">
        <f t="shared" si="114"/>
        <v>0</v>
      </c>
      <c r="J1123" s="1340" t="e">
        <f t="shared" si="112"/>
        <v>#DIV/0!</v>
      </c>
      <c r="K1123" s="1340">
        <f t="shared" si="113"/>
        <v>0</v>
      </c>
    </row>
    <row r="1124" spans="1:11" ht="15" x14ac:dyDescent="0.25">
      <c r="A1124" s="1341"/>
      <c r="B1124" s="624">
        <v>88920</v>
      </c>
      <c r="C1124" s="1344">
        <v>333903300000000</v>
      </c>
      <c r="D1124" s="624" t="s">
        <v>7528</v>
      </c>
      <c r="E1124" s="624">
        <v>31</v>
      </c>
      <c r="F1124" s="643">
        <v>0</v>
      </c>
      <c r="G1124" s="643">
        <v>0</v>
      </c>
      <c r="H1124" s="26">
        <v>0</v>
      </c>
      <c r="I1124" s="26">
        <f t="shared" si="114"/>
        <v>0</v>
      </c>
      <c r="J1124" s="1340" t="e">
        <f t="shared" si="112"/>
        <v>#DIV/0!</v>
      </c>
      <c r="K1124" s="1340">
        <f t="shared" si="113"/>
        <v>0</v>
      </c>
    </row>
    <row r="1125" spans="1:11" ht="15" x14ac:dyDescent="0.25">
      <c r="A1125" s="1341"/>
      <c r="B1125" s="624">
        <v>89380</v>
      </c>
      <c r="C1125" s="1344">
        <v>333903300000000</v>
      </c>
      <c r="D1125" s="624" t="s">
        <v>6226</v>
      </c>
      <c r="E1125" s="624">
        <v>31</v>
      </c>
      <c r="F1125" s="643">
        <v>0</v>
      </c>
      <c r="G1125" s="643">
        <v>0</v>
      </c>
      <c r="H1125" s="26">
        <v>0</v>
      </c>
      <c r="I1125" s="26">
        <f t="shared" si="114"/>
        <v>0</v>
      </c>
      <c r="J1125" s="1340" t="e">
        <f t="shared" si="112"/>
        <v>#DIV/0!</v>
      </c>
      <c r="K1125" s="1340">
        <f t="shared" si="113"/>
        <v>0</v>
      </c>
    </row>
    <row r="1126" spans="1:11" ht="15" x14ac:dyDescent="0.25">
      <c r="A1126" s="1341"/>
      <c r="B1126" s="624">
        <v>89410</v>
      </c>
      <c r="C1126" s="1344">
        <v>333903500000000</v>
      </c>
      <c r="D1126" s="624" t="s">
        <v>6227</v>
      </c>
      <c r="E1126" s="624">
        <v>31</v>
      </c>
      <c r="F1126" s="643">
        <v>0</v>
      </c>
      <c r="G1126" s="643">
        <v>0</v>
      </c>
      <c r="H1126" s="26">
        <v>0</v>
      </c>
      <c r="I1126" s="26">
        <f t="shared" si="114"/>
        <v>0</v>
      </c>
      <c r="J1126" s="1340" t="e">
        <f t="shared" si="112"/>
        <v>#DIV/0!</v>
      </c>
      <c r="K1126" s="1340">
        <f t="shared" si="113"/>
        <v>0</v>
      </c>
    </row>
    <row r="1127" spans="1:11" ht="15" x14ac:dyDescent="0.25">
      <c r="A1127" s="1341"/>
      <c r="B1127" s="624">
        <v>88940</v>
      </c>
      <c r="C1127" s="1344">
        <v>333903600000000</v>
      </c>
      <c r="D1127" s="624" t="s">
        <v>7527</v>
      </c>
      <c r="E1127" s="624">
        <v>31</v>
      </c>
      <c r="F1127" s="643">
        <v>0</v>
      </c>
      <c r="G1127" s="643">
        <v>0</v>
      </c>
      <c r="H1127" s="26">
        <v>0</v>
      </c>
      <c r="I1127" s="26">
        <f t="shared" si="114"/>
        <v>0</v>
      </c>
      <c r="J1127" s="1340" t="e">
        <f t="shared" si="112"/>
        <v>#DIV/0!</v>
      </c>
      <c r="K1127" s="1340">
        <f t="shared" si="113"/>
        <v>0</v>
      </c>
    </row>
    <row r="1128" spans="1:11" ht="15" x14ac:dyDescent="0.25">
      <c r="A1128" s="1341"/>
      <c r="B1128" s="624">
        <v>89450</v>
      </c>
      <c r="C1128" s="1344">
        <v>333903600000000</v>
      </c>
      <c r="D1128" s="624" t="s">
        <v>7526</v>
      </c>
      <c r="E1128" s="624">
        <v>31</v>
      </c>
      <c r="F1128" s="643">
        <v>0</v>
      </c>
      <c r="G1128" s="643">
        <v>0</v>
      </c>
      <c r="H1128" s="26">
        <v>0</v>
      </c>
      <c r="I1128" s="26">
        <f t="shared" si="114"/>
        <v>0</v>
      </c>
      <c r="J1128" s="1340" t="e">
        <f t="shared" si="112"/>
        <v>#DIV/0!</v>
      </c>
      <c r="K1128" s="1340">
        <f t="shared" si="113"/>
        <v>0</v>
      </c>
    </row>
    <row r="1129" spans="1:11" ht="15" x14ac:dyDescent="0.25">
      <c r="A1129" s="1341"/>
      <c r="B1129" s="624">
        <v>88960</v>
      </c>
      <c r="C1129" s="1344">
        <v>333903900000000</v>
      </c>
      <c r="D1129" s="624" t="s">
        <v>7525</v>
      </c>
      <c r="E1129" s="624">
        <v>31</v>
      </c>
      <c r="F1129" s="643">
        <v>0</v>
      </c>
      <c r="G1129" s="643">
        <v>0</v>
      </c>
      <c r="H1129" s="26">
        <v>0</v>
      </c>
      <c r="I1129" s="26">
        <f t="shared" si="114"/>
        <v>0</v>
      </c>
      <c r="J1129" s="1340" t="e">
        <f t="shared" si="112"/>
        <v>#DIV/0!</v>
      </c>
      <c r="K1129" s="1340">
        <f t="shared" si="113"/>
        <v>0</v>
      </c>
    </row>
    <row r="1130" spans="1:11" ht="15" x14ac:dyDescent="0.25">
      <c r="A1130" s="1341"/>
      <c r="B1130" s="624">
        <v>88980</v>
      </c>
      <c r="C1130" s="1344">
        <v>333903900000000</v>
      </c>
      <c r="D1130" s="624" t="s">
        <v>7524</v>
      </c>
      <c r="E1130" s="624">
        <v>31</v>
      </c>
      <c r="F1130" s="643">
        <v>0</v>
      </c>
      <c r="G1130" s="643">
        <v>0</v>
      </c>
      <c r="H1130" s="26">
        <v>0</v>
      </c>
      <c r="I1130" s="26">
        <f t="shared" si="114"/>
        <v>0</v>
      </c>
      <c r="J1130" s="1340" t="e">
        <f t="shared" ref="J1130:J1161" si="115">(G1130/F1130)+(H1130/G1130)/2</f>
        <v>#DIV/0!</v>
      </c>
      <c r="K1130" s="1340">
        <f t="shared" ref="K1130:K1161" si="116">I1130/I$1170</f>
        <v>0</v>
      </c>
    </row>
    <row r="1131" spans="1:11" ht="15" x14ac:dyDescent="0.25">
      <c r="A1131" s="1341"/>
      <c r="B1131" s="624">
        <v>89500</v>
      </c>
      <c r="C1131" s="1344">
        <v>333903900000000</v>
      </c>
      <c r="D1131" s="624" t="s">
        <v>7523</v>
      </c>
      <c r="E1131" s="624">
        <v>31</v>
      </c>
      <c r="F1131" s="643">
        <v>310.23</v>
      </c>
      <c r="G1131" s="643">
        <v>0</v>
      </c>
      <c r="H1131" s="26">
        <v>0</v>
      </c>
      <c r="I1131" s="26">
        <f t="shared" si="114"/>
        <v>103.41000000000001</v>
      </c>
      <c r="J1131" s="1340" t="e">
        <f t="shared" si="115"/>
        <v>#DIV/0!</v>
      </c>
      <c r="K1131" s="1340">
        <f t="shared" si="116"/>
        <v>6.0450531656901716E-5</v>
      </c>
    </row>
    <row r="1132" spans="1:11" ht="15" x14ac:dyDescent="0.25">
      <c r="A1132" s="1341"/>
      <c r="B1132" s="624">
        <v>88800</v>
      </c>
      <c r="C1132" s="1344">
        <v>333904000000000</v>
      </c>
      <c r="D1132" s="624" t="s">
        <v>7522</v>
      </c>
      <c r="E1132" s="624">
        <v>31</v>
      </c>
      <c r="F1132" s="643">
        <v>0</v>
      </c>
      <c r="G1132" s="643">
        <v>0</v>
      </c>
      <c r="H1132" s="26">
        <v>0</v>
      </c>
      <c r="I1132" s="26">
        <f t="shared" si="114"/>
        <v>0</v>
      </c>
      <c r="J1132" s="1340" t="e">
        <f t="shared" si="115"/>
        <v>#DIV/0!</v>
      </c>
      <c r="K1132" s="1340">
        <f t="shared" si="116"/>
        <v>0</v>
      </c>
    </row>
    <row r="1133" spans="1:11" ht="15" x14ac:dyDescent="0.25">
      <c r="A1133" s="1341"/>
      <c r="B1133" s="624">
        <v>89560</v>
      </c>
      <c r="C1133" s="1344">
        <v>333904600000000</v>
      </c>
      <c r="D1133" s="624" t="s">
        <v>6230</v>
      </c>
      <c r="E1133" s="624">
        <v>1</v>
      </c>
      <c r="F1133" s="643">
        <v>0</v>
      </c>
      <c r="G1133" s="643">
        <v>0</v>
      </c>
      <c r="H1133" s="26">
        <v>0</v>
      </c>
      <c r="I1133" s="26">
        <f t="shared" si="114"/>
        <v>0</v>
      </c>
      <c r="J1133" s="1340" t="e">
        <f t="shared" si="115"/>
        <v>#DIV/0!</v>
      </c>
      <c r="K1133" s="1340">
        <f t="shared" si="116"/>
        <v>0</v>
      </c>
    </row>
    <row r="1134" spans="1:11" ht="15" x14ac:dyDescent="0.25">
      <c r="A1134" s="1341"/>
      <c r="B1134" s="624">
        <v>89580</v>
      </c>
      <c r="C1134" s="1344">
        <v>333904700000000</v>
      </c>
      <c r="D1134" s="624" t="s">
        <v>6231</v>
      </c>
      <c r="E1134" s="624">
        <v>31</v>
      </c>
      <c r="F1134" s="643">
        <v>0</v>
      </c>
      <c r="G1134" s="643">
        <v>0</v>
      </c>
      <c r="H1134" s="26">
        <v>0</v>
      </c>
      <c r="I1134" s="26">
        <f t="shared" si="114"/>
        <v>0</v>
      </c>
      <c r="J1134" s="1340" t="e">
        <f t="shared" si="115"/>
        <v>#DIV/0!</v>
      </c>
      <c r="K1134" s="1340">
        <f t="shared" si="116"/>
        <v>0</v>
      </c>
    </row>
    <row r="1135" spans="1:11" ht="15" x14ac:dyDescent="0.25">
      <c r="A1135" s="1341"/>
      <c r="B1135" s="624">
        <v>89610</v>
      </c>
      <c r="C1135" s="1344">
        <v>333904900000000</v>
      </c>
      <c r="D1135" s="624" t="s">
        <v>6233</v>
      </c>
      <c r="E1135" s="624">
        <v>31</v>
      </c>
      <c r="F1135" s="643">
        <v>3662.05</v>
      </c>
      <c r="G1135" s="643">
        <v>3391.12</v>
      </c>
      <c r="H1135" s="26">
        <v>0</v>
      </c>
      <c r="I1135" s="26">
        <f t="shared" si="114"/>
        <v>2351.0566666666668</v>
      </c>
      <c r="J1135" s="1340">
        <f t="shared" si="115"/>
        <v>0.92601684848650334</v>
      </c>
      <c r="K1135" s="1340">
        <f t="shared" si="116"/>
        <v>1.3743605594768702E-3</v>
      </c>
    </row>
    <row r="1136" spans="1:11" ht="15" x14ac:dyDescent="0.25">
      <c r="A1136" s="1341"/>
      <c r="B1136" s="624">
        <v>89640</v>
      </c>
      <c r="C1136" s="1344">
        <v>333909200000000</v>
      </c>
      <c r="D1136" s="624" t="s">
        <v>6234</v>
      </c>
      <c r="E1136" s="624">
        <v>31</v>
      </c>
      <c r="F1136" s="643">
        <v>0</v>
      </c>
      <c r="G1136" s="643">
        <v>0</v>
      </c>
      <c r="H1136" s="26">
        <v>0</v>
      </c>
      <c r="I1136" s="26">
        <f t="shared" si="114"/>
        <v>0</v>
      </c>
      <c r="J1136" s="1340" t="e">
        <f t="shared" si="115"/>
        <v>#DIV/0!</v>
      </c>
      <c r="K1136" s="1340">
        <f t="shared" si="116"/>
        <v>0</v>
      </c>
    </row>
    <row r="1137" spans="1:11" ht="15" x14ac:dyDescent="0.25">
      <c r="A1137" s="1341"/>
      <c r="B1137" s="624">
        <v>89660</v>
      </c>
      <c r="C1137" s="1344">
        <v>333909300000000</v>
      </c>
      <c r="D1137" s="624" t="s">
        <v>6235</v>
      </c>
      <c r="E1137" s="624">
        <v>31</v>
      </c>
      <c r="F1137" s="643">
        <v>0</v>
      </c>
      <c r="G1137" s="643">
        <v>0</v>
      </c>
      <c r="H1137" s="26">
        <v>0</v>
      </c>
      <c r="I1137" s="26">
        <f t="shared" si="114"/>
        <v>0</v>
      </c>
      <c r="J1137" s="1340" t="e">
        <f t="shared" si="115"/>
        <v>#DIV/0!</v>
      </c>
      <c r="K1137" s="1340">
        <f t="shared" si="116"/>
        <v>0</v>
      </c>
    </row>
    <row r="1138" spans="1:11" ht="15" x14ac:dyDescent="0.25">
      <c r="A1138" s="1341"/>
      <c r="B1138" s="624">
        <v>89680</v>
      </c>
      <c r="C1138" s="1344">
        <v>333933000000000</v>
      </c>
      <c r="D1138" s="624" t="s">
        <v>6236</v>
      </c>
      <c r="E1138" s="624">
        <v>31</v>
      </c>
      <c r="F1138" s="643">
        <v>0</v>
      </c>
      <c r="G1138" s="643">
        <v>0</v>
      </c>
      <c r="H1138" s="26">
        <v>0</v>
      </c>
      <c r="I1138" s="26">
        <f t="shared" si="114"/>
        <v>0</v>
      </c>
      <c r="J1138" s="1340" t="e">
        <f t="shared" si="115"/>
        <v>#DIV/0!</v>
      </c>
      <c r="K1138" s="1340">
        <f t="shared" si="116"/>
        <v>0</v>
      </c>
    </row>
    <row r="1139" spans="1:11" ht="15" x14ac:dyDescent="0.25">
      <c r="A1139" s="1341"/>
      <c r="B1139" s="624">
        <v>89700</v>
      </c>
      <c r="C1139" s="1344">
        <v>344905100000000</v>
      </c>
      <c r="D1139" s="624" t="s">
        <v>6237</v>
      </c>
      <c r="E1139" s="624">
        <v>31</v>
      </c>
      <c r="F1139" s="643">
        <v>0</v>
      </c>
      <c r="G1139" s="643">
        <v>0</v>
      </c>
      <c r="H1139" s="26">
        <v>0</v>
      </c>
      <c r="I1139" s="26">
        <f t="shared" si="114"/>
        <v>0</v>
      </c>
      <c r="J1139" s="1340" t="e">
        <f t="shared" si="115"/>
        <v>#DIV/0!</v>
      </c>
      <c r="K1139" s="1340">
        <f t="shared" si="116"/>
        <v>0</v>
      </c>
    </row>
    <row r="1140" spans="1:11" ht="15" x14ac:dyDescent="0.25">
      <c r="A1140" s="1341"/>
      <c r="B1140" s="624">
        <v>89740</v>
      </c>
      <c r="C1140" s="1344">
        <v>344905200000000</v>
      </c>
      <c r="D1140" s="624" t="s">
        <v>6238</v>
      </c>
      <c r="E1140" s="624">
        <v>31</v>
      </c>
      <c r="F1140" s="643">
        <v>0</v>
      </c>
      <c r="G1140" s="643">
        <v>0</v>
      </c>
      <c r="H1140" s="26">
        <v>0</v>
      </c>
      <c r="I1140" s="26">
        <f t="shared" si="114"/>
        <v>0</v>
      </c>
      <c r="J1140" s="1340" t="e">
        <f t="shared" si="115"/>
        <v>#DIV/0!</v>
      </c>
      <c r="K1140" s="1340">
        <f t="shared" si="116"/>
        <v>0</v>
      </c>
    </row>
    <row r="1141" spans="1:11" s="12" customFormat="1" ht="15" x14ac:dyDescent="0.25">
      <c r="A1141" s="1081"/>
      <c r="B1141" s="570" t="s">
        <v>2965</v>
      </c>
      <c r="C1141" s="1345">
        <v>47</v>
      </c>
      <c r="D1141" s="570" t="s">
        <v>4757</v>
      </c>
      <c r="E1141" s="570"/>
      <c r="F1141" s="642">
        <f>SUM(F1142:F1169)</f>
        <v>0</v>
      </c>
      <c r="G1141" s="642">
        <f>SUM(G1142:G1169)</f>
        <v>0</v>
      </c>
      <c r="H1141" s="642">
        <f>SUM(H1142:H1169)</f>
        <v>0</v>
      </c>
      <c r="I1141" s="642">
        <f>SUM(I1142:I1169)</f>
        <v>0</v>
      </c>
      <c r="J1141" s="1338" t="e">
        <f t="shared" si="115"/>
        <v>#DIV/0!</v>
      </c>
      <c r="K1141" s="1338">
        <f t="shared" si="116"/>
        <v>0</v>
      </c>
    </row>
    <row r="1142" spans="1:11" ht="15" x14ac:dyDescent="0.25">
      <c r="A1142" s="1341"/>
      <c r="B1142" s="624">
        <v>84000</v>
      </c>
      <c r="C1142" s="1344">
        <v>331900400000000</v>
      </c>
      <c r="D1142" s="624" t="s">
        <v>6128</v>
      </c>
      <c r="E1142" s="624">
        <v>31</v>
      </c>
      <c r="F1142" s="643">
        <v>0</v>
      </c>
      <c r="G1142" s="643">
        <v>0</v>
      </c>
      <c r="H1142" s="26">
        <v>0</v>
      </c>
      <c r="I1142" s="26">
        <f t="shared" ref="I1142:I1169" si="117">(F1142+G1142+H1142)/3</f>
        <v>0</v>
      </c>
      <c r="J1142" s="1340" t="e">
        <f t="shared" si="115"/>
        <v>#DIV/0!</v>
      </c>
      <c r="K1142" s="1340">
        <f t="shared" si="116"/>
        <v>0</v>
      </c>
    </row>
    <row r="1143" spans="1:11" ht="15" x14ac:dyDescent="0.25">
      <c r="A1143" s="1341"/>
      <c r="B1143" s="624">
        <v>84020</v>
      </c>
      <c r="C1143" s="1344">
        <v>331900800000000</v>
      </c>
      <c r="D1143" s="624" t="s">
        <v>7521</v>
      </c>
      <c r="E1143" s="624">
        <v>1</v>
      </c>
      <c r="F1143" s="643">
        <v>0</v>
      </c>
      <c r="G1143" s="643">
        <v>0</v>
      </c>
      <c r="H1143" s="26">
        <v>0</v>
      </c>
      <c r="I1143" s="26">
        <f t="shared" si="117"/>
        <v>0</v>
      </c>
      <c r="J1143" s="1340" t="e">
        <f t="shared" si="115"/>
        <v>#DIV/0!</v>
      </c>
      <c r="K1143" s="1340">
        <f t="shared" si="116"/>
        <v>0</v>
      </c>
    </row>
    <row r="1144" spans="1:11" ht="15" x14ac:dyDescent="0.25">
      <c r="A1144" s="1341"/>
      <c r="B1144" s="624">
        <v>84040</v>
      </c>
      <c r="C1144" s="1344">
        <v>331901100000000</v>
      </c>
      <c r="D1144" s="624" t="s">
        <v>6130</v>
      </c>
      <c r="E1144" s="624">
        <v>31</v>
      </c>
      <c r="F1144" s="643">
        <v>0</v>
      </c>
      <c r="G1144" s="643">
        <v>0</v>
      </c>
      <c r="H1144" s="26">
        <v>0</v>
      </c>
      <c r="I1144" s="26">
        <f t="shared" si="117"/>
        <v>0</v>
      </c>
      <c r="J1144" s="1340" t="e">
        <f t="shared" si="115"/>
        <v>#DIV/0!</v>
      </c>
      <c r="K1144" s="1340">
        <f t="shared" si="116"/>
        <v>0</v>
      </c>
    </row>
    <row r="1145" spans="1:11" ht="15" x14ac:dyDescent="0.25">
      <c r="A1145" s="1341"/>
      <c r="B1145" s="624">
        <v>84080</v>
      </c>
      <c r="C1145" s="1344">
        <v>331901300000000</v>
      </c>
      <c r="D1145" s="624" t="s">
        <v>6131</v>
      </c>
      <c r="E1145" s="624">
        <v>31</v>
      </c>
      <c r="F1145" s="643">
        <v>0</v>
      </c>
      <c r="G1145" s="643">
        <v>0</v>
      </c>
      <c r="H1145" s="26">
        <v>0</v>
      </c>
      <c r="I1145" s="26">
        <f t="shared" si="117"/>
        <v>0</v>
      </c>
      <c r="J1145" s="1340" t="e">
        <f t="shared" si="115"/>
        <v>#DIV/0!</v>
      </c>
      <c r="K1145" s="1340">
        <f t="shared" si="116"/>
        <v>0</v>
      </c>
    </row>
    <row r="1146" spans="1:11" ht="15" x14ac:dyDescent="0.25">
      <c r="A1146" s="1341"/>
      <c r="B1146" s="624">
        <v>84100</v>
      </c>
      <c r="C1146" s="1344">
        <v>331901600000000</v>
      </c>
      <c r="D1146" s="624" t="s">
        <v>6132</v>
      </c>
      <c r="E1146" s="624">
        <v>31</v>
      </c>
      <c r="F1146" s="643">
        <v>0</v>
      </c>
      <c r="G1146" s="643">
        <v>0</v>
      </c>
      <c r="H1146" s="26">
        <v>0</v>
      </c>
      <c r="I1146" s="26">
        <f t="shared" si="117"/>
        <v>0</v>
      </c>
      <c r="J1146" s="1340" t="e">
        <f t="shared" si="115"/>
        <v>#DIV/0!</v>
      </c>
      <c r="K1146" s="1340">
        <f t="shared" si="116"/>
        <v>0</v>
      </c>
    </row>
    <row r="1147" spans="1:11" ht="15" x14ac:dyDescent="0.25">
      <c r="A1147" s="1341"/>
      <c r="B1147" s="624">
        <v>84120</v>
      </c>
      <c r="C1147" s="1344">
        <v>331903400000000</v>
      </c>
      <c r="D1147" s="624" t="s">
        <v>6133</v>
      </c>
      <c r="E1147" s="624">
        <v>31</v>
      </c>
      <c r="F1147" s="643">
        <v>0</v>
      </c>
      <c r="G1147" s="643">
        <v>0</v>
      </c>
      <c r="H1147" s="26">
        <v>0</v>
      </c>
      <c r="I1147" s="26">
        <f t="shared" si="117"/>
        <v>0</v>
      </c>
      <c r="J1147" s="1340" t="e">
        <f t="shared" si="115"/>
        <v>#DIV/0!</v>
      </c>
      <c r="K1147" s="1340">
        <f t="shared" si="116"/>
        <v>0</v>
      </c>
    </row>
    <row r="1148" spans="1:11" ht="15" x14ac:dyDescent="0.25">
      <c r="A1148" s="1341"/>
      <c r="B1148" s="624">
        <v>84140</v>
      </c>
      <c r="C1148" s="1344">
        <v>331909400000000</v>
      </c>
      <c r="D1148" s="624" t="s">
        <v>6134</v>
      </c>
      <c r="E1148" s="624">
        <v>31</v>
      </c>
      <c r="F1148" s="643">
        <v>0</v>
      </c>
      <c r="G1148" s="643">
        <v>0</v>
      </c>
      <c r="H1148" s="26">
        <v>0</v>
      </c>
      <c r="I1148" s="26">
        <f t="shared" si="117"/>
        <v>0</v>
      </c>
      <c r="J1148" s="1340" t="e">
        <f t="shared" si="115"/>
        <v>#DIV/0!</v>
      </c>
      <c r="K1148" s="1340">
        <f t="shared" si="116"/>
        <v>0</v>
      </c>
    </row>
    <row r="1149" spans="1:11" ht="15" x14ac:dyDescent="0.25">
      <c r="A1149" s="1341"/>
      <c r="B1149" s="624">
        <v>84160</v>
      </c>
      <c r="C1149" s="1344">
        <v>333901400000000</v>
      </c>
      <c r="D1149" s="624" t="s">
        <v>6135</v>
      </c>
      <c r="E1149" s="624">
        <v>31</v>
      </c>
      <c r="F1149" s="643">
        <v>0</v>
      </c>
      <c r="G1149" s="643">
        <v>0</v>
      </c>
      <c r="H1149" s="26">
        <v>0</v>
      </c>
      <c r="I1149" s="26">
        <f t="shared" si="117"/>
        <v>0</v>
      </c>
      <c r="J1149" s="1340" t="e">
        <f t="shared" si="115"/>
        <v>#DIV/0!</v>
      </c>
      <c r="K1149" s="1340">
        <f t="shared" si="116"/>
        <v>0</v>
      </c>
    </row>
    <row r="1150" spans="1:11" ht="15" x14ac:dyDescent="0.25">
      <c r="A1150" s="1341"/>
      <c r="B1150" s="624">
        <v>84700</v>
      </c>
      <c r="C1150" s="1344">
        <v>333901400000000</v>
      </c>
      <c r="D1150" s="624" t="s">
        <v>6147</v>
      </c>
      <c r="E1150" s="624">
        <v>31</v>
      </c>
      <c r="F1150" s="643">
        <v>0</v>
      </c>
      <c r="G1150" s="643">
        <v>0</v>
      </c>
      <c r="H1150" s="26">
        <v>0</v>
      </c>
      <c r="I1150" s="26">
        <f t="shared" si="117"/>
        <v>0</v>
      </c>
      <c r="J1150" s="1340" t="e">
        <f t="shared" si="115"/>
        <v>#DIV/0!</v>
      </c>
      <c r="K1150" s="1340">
        <f t="shared" si="116"/>
        <v>0</v>
      </c>
    </row>
    <row r="1151" spans="1:11" ht="15" x14ac:dyDescent="0.25">
      <c r="A1151" s="1341"/>
      <c r="B1151" s="624">
        <v>84180</v>
      </c>
      <c r="C1151" s="1344">
        <v>333903000000000</v>
      </c>
      <c r="D1151" s="624" t="s">
        <v>7520</v>
      </c>
      <c r="E1151" s="624">
        <v>31</v>
      </c>
      <c r="F1151" s="643">
        <v>0</v>
      </c>
      <c r="G1151" s="643">
        <v>0</v>
      </c>
      <c r="H1151" s="26">
        <v>0</v>
      </c>
      <c r="I1151" s="26">
        <f t="shared" si="117"/>
        <v>0</v>
      </c>
      <c r="J1151" s="1340" t="e">
        <f t="shared" si="115"/>
        <v>#DIV/0!</v>
      </c>
      <c r="K1151" s="1340">
        <f t="shared" si="116"/>
        <v>0</v>
      </c>
    </row>
    <row r="1152" spans="1:11" ht="15" x14ac:dyDescent="0.25">
      <c r="A1152" s="1341"/>
      <c r="B1152" s="624">
        <v>84220</v>
      </c>
      <c r="C1152" s="1344">
        <v>333903200000000</v>
      </c>
      <c r="D1152" s="624" t="s">
        <v>7519</v>
      </c>
      <c r="E1152" s="624">
        <v>31</v>
      </c>
      <c r="F1152" s="643">
        <v>0</v>
      </c>
      <c r="G1152" s="643">
        <v>0</v>
      </c>
      <c r="H1152" s="26">
        <v>0</v>
      </c>
      <c r="I1152" s="26">
        <f t="shared" si="117"/>
        <v>0</v>
      </c>
      <c r="J1152" s="1340" t="e">
        <f t="shared" si="115"/>
        <v>#DIV/0!</v>
      </c>
      <c r="K1152" s="1340">
        <f t="shared" si="116"/>
        <v>0</v>
      </c>
    </row>
    <row r="1153" spans="1:11" ht="15" x14ac:dyDescent="0.25">
      <c r="A1153" s="1341"/>
      <c r="B1153" s="624">
        <v>84240</v>
      </c>
      <c r="C1153" s="1344">
        <v>333903300000000</v>
      </c>
      <c r="D1153" s="624" t="s">
        <v>6136</v>
      </c>
      <c r="E1153" s="624">
        <v>31</v>
      </c>
      <c r="F1153" s="643">
        <v>0</v>
      </c>
      <c r="G1153" s="643">
        <v>0</v>
      </c>
      <c r="H1153" s="26">
        <v>0</v>
      </c>
      <c r="I1153" s="26">
        <f t="shared" si="117"/>
        <v>0</v>
      </c>
      <c r="J1153" s="1340" t="e">
        <f t="shared" si="115"/>
        <v>#DIV/0!</v>
      </c>
      <c r="K1153" s="1340">
        <f t="shared" si="116"/>
        <v>0</v>
      </c>
    </row>
    <row r="1154" spans="1:11" ht="15" x14ac:dyDescent="0.25">
      <c r="A1154" s="1341"/>
      <c r="B1154" s="624">
        <v>84720</v>
      </c>
      <c r="C1154" s="1344">
        <v>333903300000000</v>
      </c>
      <c r="D1154" s="624" t="s">
        <v>6148</v>
      </c>
      <c r="E1154" s="624">
        <v>31</v>
      </c>
      <c r="F1154" s="643">
        <v>0</v>
      </c>
      <c r="G1154" s="643">
        <v>0</v>
      </c>
      <c r="H1154" s="26">
        <v>0</v>
      </c>
      <c r="I1154" s="26">
        <f t="shared" si="117"/>
        <v>0</v>
      </c>
      <c r="J1154" s="1340" t="e">
        <f t="shared" si="115"/>
        <v>#DIV/0!</v>
      </c>
      <c r="K1154" s="1340">
        <f t="shared" si="116"/>
        <v>0</v>
      </c>
    </row>
    <row r="1155" spans="1:11" ht="15" x14ac:dyDescent="0.25">
      <c r="A1155" s="1341"/>
      <c r="B1155" s="624">
        <v>84260</v>
      </c>
      <c r="C1155" s="1344">
        <v>333903500000000</v>
      </c>
      <c r="D1155" s="624" t="s">
        <v>6137</v>
      </c>
      <c r="E1155" s="624">
        <v>31</v>
      </c>
      <c r="F1155" s="643">
        <v>0</v>
      </c>
      <c r="G1155" s="643">
        <v>0</v>
      </c>
      <c r="H1155" s="26">
        <v>0</v>
      </c>
      <c r="I1155" s="26">
        <f t="shared" si="117"/>
        <v>0</v>
      </c>
      <c r="J1155" s="1340" t="e">
        <f t="shared" si="115"/>
        <v>#DIV/0!</v>
      </c>
      <c r="K1155" s="1340">
        <f t="shared" si="116"/>
        <v>0</v>
      </c>
    </row>
    <row r="1156" spans="1:11" ht="15" x14ac:dyDescent="0.25">
      <c r="A1156" s="1341"/>
      <c r="B1156" s="624">
        <v>84280</v>
      </c>
      <c r="C1156" s="1344">
        <v>333903600000000</v>
      </c>
      <c r="D1156" s="624" t="s">
        <v>6138</v>
      </c>
      <c r="E1156" s="624">
        <v>31</v>
      </c>
      <c r="F1156" s="643">
        <v>0</v>
      </c>
      <c r="G1156" s="643">
        <v>0</v>
      </c>
      <c r="H1156" s="26">
        <v>0</v>
      </c>
      <c r="I1156" s="26">
        <f t="shared" si="117"/>
        <v>0</v>
      </c>
      <c r="J1156" s="1340" t="e">
        <f t="shared" si="115"/>
        <v>#DIV/0!</v>
      </c>
      <c r="K1156" s="1340">
        <f t="shared" si="116"/>
        <v>0</v>
      </c>
    </row>
    <row r="1157" spans="1:11" ht="15" x14ac:dyDescent="0.25">
      <c r="A1157" s="1341"/>
      <c r="B1157" s="624">
        <v>84740</v>
      </c>
      <c r="C1157" s="1344">
        <v>333903600000000</v>
      </c>
      <c r="D1157" s="624" t="s">
        <v>6150</v>
      </c>
      <c r="E1157" s="624">
        <v>31</v>
      </c>
      <c r="F1157" s="643">
        <v>0</v>
      </c>
      <c r="G1157" s="643">
        <v>0</v>
      </c>
      <c r="H1157" s="26">
        <v>0</v>
      </c>
      <c r="I1157" s="26">
        <f t="shared" si="117"/>
        <v>0</v>
      </c>
      <c r="J1157" s="1340" t="e">
        <f t="shared" si="115"/>
        <v>#DIV/0!</v>
      </c>
      <c r="K1157" s="1340">
        <f t="shared" si="116"/>
        <v>0</v>
      </c>
    </row>
    <row r="1158" spans="1:11" ht="15" x14ac:dyDescent="0.25">
      <c r="A1158" s="1341"/>
      <c r="B1158" s="624">
        <v>84320</v>
      </c>
      <c r="C1158" s="1344">
        <v>333903900000000</v>
      </c>
      <c r="D1158" s="624" t="s">
        <v>7518</v>
      </c>
      <c r="E1158" s="624">
        <v>31</v>
      </c>
      <c r="F1158" s="643">
        <v>0</v>
      </c>
      <c r="G1158" s="643">
        <v>0</v>
      </c>
      <c r="H1158" s="26">
        <v>0</v>
      </c>
      <c r="I1158" s="26">
        <f t="shared" si="117"/>
        <v>0</v>
      </c>
      <c r="J1158" s="1340" t="e">
        <f t="shared" si="115"/>
        <v>#DIV/0!</v>
      </c>
      <c r="K1158" s="1340">
        <f t="shared" si="116"/>
        <v>0</v>
      </c>
    </row>
    <row r="1159" spans="1:11" ht="15" x14ac:dyDescent="0.25">
      <c r="A1159" s="1341"/>
      <c r="B1159" s="624">
        <v>84760</v>
      </c>
      <c r="C1159" s="1344">
        <v>333903900000000</v>
      </c>
      <c r="D1159" s="624" t="s">
        <v>6149</v>
      </c>
      <c r="E1159" s="624">
        <v>31</v>
      </c>
      <c r="F1159" s="643">
        <v>0</v>
      </c>
      <c r="G1159" s="643">
        <v>0</v>
      </c>
      <c r="H1159" s="26">
        <v>0</v>
      </c>
      <c r="I1159" s="26">
        <f t="shared" si="117"/>
        <v>0</v>
      </c>
      <c r="J1159" s="1340" t="e">
        <f t="shared" si="115"/>
        <v>#DIV/0!</v>
      </c>
      <c r="K1159" s="1340">
        <f t="shared" si="116"/>
        <v>0</v>
      </c>
    </row>
    <row r="1160" spans="1:11" ht="15" x14ac:dyDescent="0.25">
      <c r="A1160" s="1341"/>
      <c r="B1160" s="624">
        <v>84600</v>
      </c>
      <c r="C1160" s="1344">
        <v>333904000000000</v>
      </c>
      <c r="D1160" s="624" t="s">
        <v>6146</v>
      </c>
      <c r="E1160" s="624">
        <v>31</v>
      </c>
      <c r="F1160" s="643">
        <v>0</v>
      </c>
      <c r="G1160" s="643">
        <v>0</v>
      </c>
      <c r="H1160" s="26">
        <v>0</v>
      </c>
      <c r="I1160" s="26">
        <f t="shared" si="117"/>
        <v>0</v>
      </c>
      <c r="J1160" s="1340" t="e">
        <f t="shared" si="115"/>
        <v>#DIV/0!</v>
      </c>
      <c r="K1160" s="1340">
        <f t="shared" si="116"/>
        <v>0</v>
      </c>
    </row>
    <row r="1161" spans="1:11" ht="15" x14ac:dyDescent="0.25">
      <c r="A1161" s="1341"/>
      <c r="B1161" s="624">
        <v>84360</v>
      </c>
      <c r="C1161" s="1344">
        <v>333904600000000</v>
      </c>
      <c r="D1161" s="624" t="s">
        <v>6139</v>
      </c>
      <c r="E1161" s="624">
        <v>20</v>
      </c>
      <c r="F1161" s="643">
        <v>0</v>
      </c>
      <c r="G1161" s="643">
        <v>0</v>
      </c>
      <c r="H1161" s="26">
        <v>0</v>
      </c>
      <c r="I1161" s="26">
        <f t="shared" si="117"/>
        <v>0</v>
      </c>
      <c r="J1161" s="1340" t="e">
        <f t="shared" si="115"/>
        <v>#DIV/0!</v>
      </c>
      <c r="K1161" s="1340">
        <f t="shared" si="116"/>
        <v>0</v>
      </c>
    </row>
    <row r="1162" spans="1:11" ht="15" x14ac:dyDescent="0.25">
      <c r="A1162" s="1341"/>
      <c r="B1162" s="624">
        <v>84380</v>
      </c>
      <c r="C1162" s="1344">
        <v>333904700000000</v>
      </c>
      <c r="D1162" s="624" t="s">
        <v>6140</v>
      </c>
      <c r="E1162" s="624">
        <v>31</v>
      </c>
      <c r="F1162" s="643">
        <v>0</v>
      </c>
      <c r="G1162" s="643">
        <v>0</v>
      </c>
      <c r="H1162" s="26">
        <v>0</v>
      </c>
      <c r="I1162" s="26">
        <f t="shared" si="117"/>
        <v>0</v>
      </c>
      <c r="J1162" s="1340" t="e">
        <f t="shared" ref="J1162:J1170" si="118">(G1162/F1162)+(H1162/G1162)/2</f>
        <v>#DIV/0!</v>
      </c>
      <c r="K1162" s="1340">
        <f t="shared" ref="K1162:K1170" si="119">I1162/I$1170</f>
        <v>0</v>
      </c>
    </row>
    <row r="1163" spans="1:11" ht="15" x14ac:dyDescent="0.25">
      <c r="A1163" s="1341"/>
      <c r="B1163" s="624">
        <v>84780</v>
      </c>
      <c r="C1163" s="1344">
        <v>333904700000000</v>
      </c>
      <c r="D1163" s="624" t="s">
        <v>6151</v>
      </c>
      <c r="E1163" s="624">
        <v>31</v>
      </c>
      <c r="F1163" s="643">
        <v>0</v>
      </c>
      <c r="G1163" s="643">
        <v>0</v>
      </c>
      <c r="H1163" s="26">
        <v>0</v>
      </c>
      <c r="I1163" s="26">
        <f t="shared" si="117"/>
        <v>0</v>
      </c>
      <c r="J1163" s="1340" t="e">
        <f t="shared" si="118"/>
        <v>#DIV/0!</v>
      </c>
      <c r="K1163" s="1340">
        <f t="shared" si="119"/>
        <v>0</v>
      </c>
    </row>
    <row r="1164" spans="1:11" ht="15" x14ac:dyDescent="0.25">
      <c r="A1164" s="1341"/>
      <c r="B1164" s="624">
        <v>84400</v>
      </c>
      <c r="C1164" s="1344">
        <v>333904900000000</v>
      </c>
      <c r="D1164" s="624" t="s">
        <v>6141</v>
      </c>
      <c r="E1164" s="624">
        <v>31</v>
      </c>
      <c r="F1164" s="643">
        <v>0</v>
      </c>
      <c r="G1164" s="643">
        <v>0</v>
      </c>
      <c r="H1164" s="26">
        <v>0</v>
      </c>
      <c r="I1164" s="26">
        <f t="shared" si="117"/>
        <v>0</v>
      </c>
      <c r="J1164" s="1340" t="e">
        <f t="shared" si="118"/>
        <v>#DIV/0!</v>
      </c>
      <c r="K1164" s="1340">
        <f t="shared" si="119"/>
        <v>0</v>
      </c>
    </row>
    <row r="1165" spans="1:11" ht="15" x14ac:dyDescent="0.25">
      <c r="A1165" s="1341"/>
      <c r="B1165" s="624">
        <v>84420</v>
      </c>
      <c r="C1165" s="1344">
        <v>333909200000000</v>
      </c>
      <c r="D1165" s="624" t="s">
        <v>6142</v>
      </c>
      <c r="E1165" s="624">
        <v>31</v>
      </c>
      <c r="F1165" s="643">
        <v>0</v>
      </c>
      <c r="G1165" s="643">
        <v>0</v>
      </c>
      <c r="H1165" s="26">
        <v>0</v>
      </c>
      <c r="I1165" s="26">
        <f t="shared" si="117"/>
        <v>0</v>
      </c>
      <c r="J1165" s="1340" t="e">
        <f t="shared" si="118"/>
        <v>#DIV/0!</v>
      </c>
      <c r="K1165" s="1340">
        <f t="shared" si="119"/>
        <v>0</v>
      </c>
    </row>
    <row r="1166" spans="1:11" ht="15" x14ac:dyDescent="0.25">
      <c r="A1166" s="1341"/>
      <c r="B1166" s="624">
        <v>84440</v>
      </c>
      <c r="C1166" s="1344">
        <v>333909300000000</v>
      </c>
      <c r="D1166" s="624" t="s">
        <v>6143</v>
      </c>
      <c r="E1166" s="624">
        <v>31</v>
      </c>
      <c r="F1166" s="643">
        <v>0</v>
      </c>
      <c r="G1166" s="643">
        <v>0</v>
      </c>
      <c r="H1166" s="26">
        <v>0</v>
      </c>
      <c r="I1166" s="26">
        <f t="shared" si="117"/>
        <v>0</v>
      </c>
      <c r="J1166" s="1340" t="e">
        <f t="shared" si="118"/>
        <v>#DIV/0!</v>
      </c>
      <c r="K1166" s="1340">
        <f t="shared" si="119"/>
        <v>0</v>
      </c>
    </row>
    <row r="1167" spans="1:11" ht="15" x14ac:dyDescent="0.25">
      <c r="A1167" s="1341"/>
      <c r="B1167" s="624">
        <v>84460</v>
      </c>
      <c r="C1167" s="1344">
        <v>333933000000000</v>
      </c>
      <c r="D1167" s="624" t="s">
        <v>6144</v>
      </c>
      <c r="E1167" s="624">
        <v>31</v>
      </c>
      <c r="F1167" s="643">
        <v>0</v>
      </c>
      <c r="G1167" s="643">
        <v>0</v>
      </c>
      <c r="H1167" s="26">
        <v>0</v>
      </c>
      <c r="I1167" s="26">
        <f t="shared" si="117"/>
        <v>0</v>
      </c>
      <c r="J1167" s="1340" t="e">
        <f t="shared" si="118"/>
        <v>#DIV/0!</v>
      </c>
      <c r="K1167" s="1340">
        <f t="shared" si="119"/>
        <v>0</v>
      </c>
    </row>
    <row r="1168" spans="1:11" ht="15" x14ac:dyDescent="0.25">
      <c r="A1168" s="1341"/>
      <c r="B1168" s="624">
        <v>84480</v>
      </c>
      <c r="C1168" s="1344">
        <v>344905100000000</v>
      </c>
      <c r="D1168" s="624" t="s">
        <v>7517</v>
      </c>
      <c r="E1168" s="624">
        <v>31</v>
      </c>
      <c r="F1168" s="643">
        <v>0</v>
      </c>
      <c r="G1168" s="643">
        <v>0</v>
      </c>
      <c r="H1168" s="26">
        <v>0</v>
      </c>
      <c r="I1168" s="26">
        <f t="shared" si="117"/>
        <v>0</v>
      </c>
      <c r="J1168" s="1340" t="e">
        <f t="shared" si="118"/>
        <v>#DIV/0!</v>
      </c>
      <c r="K1168" s="1340">
        <f t="shared" si="119"/>
        <v>0</v>
      </c>
    </row>
    <row r="1169" spans="1:11" ht="15" x14ac:dyDescent="0.25">
      <c r="A1169" s="1341"/>
      <c r="B1169" s="624">
        <v>84500</v>
      </c>
      <c r="C1169" s="1344">
        <v>344905200000000</v>
      </c>
      <c r="D1169" s="624" t="s">
        <v>7516</v>
      </c>
      <c r="E1169" s="624">
        <v>31</v>
      </c>
      <c r="F1169" s="643">
        <v>0</v>
      </c>
      <c r="G1169" s="643">
        <v>0</v>
      </c>
      <c r="H1169" s="26">
        <v>0</v>
      </c>
      <c r="I1169" s="26">
        <f t="shared" si="117"/>
        <v>0</v>
      </c>
      <c r="J1169" s="1340" t="e">
        <f t="shared" si="118"/>
        <v>#DIV/0!</v>
      </c>
      <c r="K1169" s="1340">
        <f t="shared" si="119"/>
        <v>0</v>
      </c>
    </row>
    <row r="1170" spans="1:11" ht="15" x14ac:dyDescent="0.25">
      <c r="B1170" s="1598" t="s">
        <v>1575</v>
      </c>
      <c r="C1170" s="1598"/>
      <c r="D1170" s="1598"/>
      <c r="E1170" s="1598"/>
      <c r="F1170" s="25">
        <f>F1002+F1024+F1054+F1083+F1112+F1141</f>
        <v>2546497.0200000005</v>
      </c>
      <c r="G1170" s="25">
        <f>G1002+G1024+G1054+G1083+G1112+G1141</f>
        <v>2585467.7699999991</v>
      </c>
      <c r="H1170" s="25">
        <f>H1002+H1024+H1054+H1083+H1112+H1141</f>
        <v>0</v>
      </c>
      <c r="I1170" s="25">
        <f>I1002+I1024+I1054+I1083+I1112+I1141</f>
        <v>1710654.9300000004</v>
      </c>
      <c r="J1170" s="1338">
        <f t="shared" si="118"/>
        <v>1.0153036699803397</v>
      </c>
      <c r="K1170" s="1338">
        <f t="shared" si="119"/>
        <v>1</v>
      </c>
    </row>
    <row r="1175" spans="1:11" ht="15" x14ac:dyDescent="0.25">
      <c r="B1175" s="616" t="s">
        <v>7515</v>
      </c>
      <c r="F1175" s="643"/>
    </row>
    <row r="1176" spans="1:11" ht="45" customHeight="1" x14ac:dyDescent="0.25">
      <c r="B1176" s="1343" t="s">
        <v>2967</v>
      </c>
      <c r="C1176" s="1343" t="s">
        <v>472</v>
      </c>
      <c r="D1176" s="1343" t="s">
        <v>2968</v>
      </c>
      <c r="E1176" s="1343" t="s">
        <v>1403</v>
      </c>
      <c r="F1176" s="1081">
        <v>2017</v>
      </c>
      <c r="G1176" s="1081">
        <f>F1176+1</f>
        <v>2018</v>
      </c>
      <c r="H1176" s="1081">
        <f>G1176+1</f>
        <v>2019</v>
      </c>
      <c r="I1176" s="1082" t="s">
        <v>7336</v>
      </c>
      <c r="J1176" s="1342" t="s">
        <v>7335</v>
      </c>
      <c r="K1176" s="1342" t="s">
        <v>7334</v>
      </c>
    </row>
    <row r="1177" spans="1:11" s="12" customFormat="1" ht="15" x14ac:dyDescent="0.25">
      <c r="A1177" s="1081"/>
      <c r="B1177" s="570" t="s">
        <v>2965</v>
      </c>
      <c r="C1177" s="1345">
        <v>5</v>
      </c>
      <c r="D1177" s="570" t="s">
        <v>4692</v>
      </c>
      <c r="E1177" s="570"/>
      <c r="F1177" s="642">
        <f>SUM(F1178:F1206)</f>
        <v>67776.150000000009</v>
      </c>
      <c r="G1177" s="642">
        <f>SUM(G1178:G1206)</f>
        <v>64279.049999999996</v>
      </c>
      <c r="H1177" s="642">
        <f>SUM(H1178:H1206)</f>
        <v>0</v>
      </c>
      <c r="I1177" s="642">
        <f>SUM(I1178:I1206)</f>
        <v>44018.400000000001</v>
      </c>
      <c r="J1177" s="1338">
        <f t="shared" ref="J1177:J1207" si="120">(G1177/F1177)+(H1177/G1177)/2</f>
        <v>0.94840220342996739</v>
      </c>
      <c r="K1177" s="1337">
        <f t="shared" ref="K1177:K1207" si="121">I1177/I$1207</f>
        <v>33.348451712939344</v>
      </c>
    </row>
    <row r="1178" spans="1:11" ht="15" x14ac:dyDescent="0.25">
      <c r="A1178" s="1341"/>
      <c r="B1178" s="624">
        <v>109000</v>
      </c>
      <c r="C1178" s="1344">
        <v>331900400000000</v>
      </c>
      <c r="D1178" s="624" t="s">
        <v>6268</v>
      </c>
      <c r="E1178" s="624">
        <v>1</v>
      </c>
      <c r="F1178" s="643">
        <v>0</v>
      </c>
      <c r="G1178" s="643">
        <v>0</v>
      </c>
      <c r="H1178" s="26">
        <v>0</v>
      </c>
      <c r="I1178" s="26">
        <f t="shared" ref="I1178:I1206" si="122">(F1178+G1178+H1178)/3</f>
        <v>0</v>
      </c>
      <c r="J1178" s="1340" t="e">
        <f t="shared" si="120"/>
        <v>#DIV/0!</v>
      </c>
      <c r="K1178" s="1339">
        <f t="shared" si="121"/>
        <v>0</v>
      </c>
    </row>
    <row r="1179" spans="1:11" ht="15" x14ac:dyDescent="0.25">
      <c r="A1179" s="1341"/>
      <c r="B1179" s="624">
        <v>109050</v>
      </c>
      <c r="C1179" s="1344">
        <v>331900800000000</v>
      </c>
      <c r="D1179" s="624" t="s">
        <v>7514</v>
      </c>
      <c r="E1179" s="624">
        <v>1</v>
      </c>
      <c r="F1179" s="643">
        <v>0</v>
      </c>
      <c r="G1179" s="643">
        <v>843.82</v>
      </c>
      <c r="H1179" s="26">
        <v>0</v>
      </c>
      <c r="I1179" s="26">
        <f t="shared" si="122"/>
        <v>281.27333333333337</v>
      </c>
      <c r="J1179" s="1340" t="e">
        <f t="shared" si="120"/>
        <v>#DIV/0!</v>
      </c>
      <c r="K1179" s="1339">
        <f t="shared" si="121"/>
        <v>0.21309339219063303</v>
      </c>
    </row>
    <row r="1180" spans="1:11" ht="15" x14ac:dyDescent="0.25">
      <c r="A1180" s="1341"/>
      <c r="B1180" s="624">
        <v>109100</v>
      </c>
      <c r="C1180" s="1344">
        <v>331901100000000</v>
      </c>
      <c r="D1180" s="624" t="s">
        <v>6270</v>
      </c>
      <c r="E1180" s="624">
        <v>1</v>
      </c>
      <c r="F1180" s="643">
        <v>54230.83</v>
      </c>
      <c r="G1180" s="643">
        <v>50687.78</v>
      </c>
      <c r="H1180" s="26">
        <v>0</v>
      </c>
      <c r="I1180" s="26">
        <f t="shared" si="122"/>
        <v>34972.870000000003</v>
      </c>
      <c r="J1180" s="1340">
        <f t="shared" si="120"/>
        <v>0.93466723633033089</v>
      </c>
      <c r="K1180" s="1339">
        <f t="shared" si="121"/>
        <v>26.495535195688738</v>
      </c>
    </row>
    <row r="1181" spans="1:11" ht="15" x14ac:dyDescent="0.25">
      <c r="A1181" s="1341"/>
      <c r="B1181" s="624">
        <v>109200</v>
      </c>
      <c r="C1181" s="1344">
        <v>331901300000000</v>
      </c>
      <c r="D1181" s="624" t="s">
        <v>6271</v>
      </c>
      <c r="E1181" s="624">
        <v>1</v>
      </c>
      <c r="F1181" s="643">
        <v>11800.8</v>
      </c>
      <c r="G1181" s="643">
        <v>11746.66</v>
      </c>
      <c r="H1181" s="26">
        <v>0</v>
      </c>
      <c r="I1181" s="26">
        <f t="shared" si="122"/>
        <v>7849.1533333333327</v>
      </c>
      <c r="J1181" s="1340">
        <f t="shared" si="120"/>
        <v>0.99541217544573257</v>
      </c>
      <c r="K1181" s="1339">
        <f t="shared" si="121"/>
        <v>5.9465385139878677</v>
      </c>
    </row>
    <row r="1182" spans="1:11" ht="15" x14ac:dyDescent="0.25">
      <c r="A1182" s="1341"/>
      <c r="B1182" s="624">
        <v>109300</v>
      </c>
      <c r="C1182" s="1344">
        <v>331901600000000</v>
      </c>
      <c r="D1182" s="624" t="s">
        <v>6272</v>
      </c>
      <c r="E1182" s="624">
        <v>1</v>
      </c>
      <c r="F1182" s="643">
        <v>0</v>
      </c>
      <c r="G1182" s="643">
        <v>0</v>
      </c>
      <c r="H1182" s="26">
        <v>0</v>
      </c>
      <c r="I1182" s="26">
        <f t="shared" si="122"/>
        <v>0</v>
      </c>
      <c r="J1182" s="1340" t="e">
        <f t="shared" si="120"/>
        <v>#DIV/0!</v>
      </c>
      <c r="K1182" s="1339">
        <f t="shared" si="121"/>
        <v>0</v>
      </c>
    </row>
    <row r="1183" spans="1:11" ht="15" x14ac:dyDescent="0.25">
      <c r="A1183" s="1341"/>
      <c r="B1183" s="624">
        <v>109350</v>
      </c>
      <c r="C1183" s="1344">
        <v>331903400000000</v>
      </c>
      <c r="D1183" s="624" t="s">
        <v>2988</v>
      </c>
      <c r="E1183" s="624">
        <v>1</v>
      </c>
      <c r="F1183" s="643">
        <v>0</v>
      </c>
      <c r="G1183" s="643">
        <v>0</v>
      </c>
      <c r="H1183" s="26">
        <v>0</v>
      </c>
      <c r="I1183" s="26">
        <f t="shared" si="122"/>
        <v>0</v>
      </c>
      <c r="J1183" s="1340" t="e">
        <f t="shared" si="120"/>
        <v>#DIV/0!</v>
      </c>
      <c r="K1183" s="1339">
        <f t="shared" si="121"/>
        <v>0</v>
      </c>
    </row>
    <row r="1184" spans="1:11" ht="15" x14ac:dyDescent="0.25">
      <c r="A1184" s="1341"/>
      <c r="B1184" s="624">
        <v>109380</v>
      </c>
      <c r="C1184" s="1344">
        <v>331909200000000</v>
      </c>
      <c r="D1184" s="624" t="s">
        <v>7513</v>
      </c>
      <c r="E1184" s="624">
        <v>1</v>
      </c>
      <c r="F1184" s="643">
        <v>0</v>
      </c>
      <c r="G1184" s="643">
        <v>0</v>
      </c>
      <c r="H1184" s="26">
        <v>0</v>
      </c>
      <c r="I1184" s="26">
        <f t="shared" si="122"/>
        <v>0</v>
      </c>
      <c r="J1184" s="1340" t="e">
        <f t="shared" si="120"/>
        <v>#DIV/0!</v>
      </c>
      <c r="K1184" s="1339">
        <f t="shared" si="121"/>
        <v>0</v>
      </c>
    </row>
    <row r="1185" spans="1:11" ht="15" x14ac:dyDescent="0.25">
      <c r="A1185" s="1341"/>
      <c r="B1185" s="624">
        <v>109390</v>
      </c>
      <c r="C1185" s="1344">
        <v>331909200000000</v>
      </c>
      <c r="D1185" s="624" t="s">
        <v>7513</v>
      </c>
      <c r="E1185" s="624">
        <v>1</v>
      </c>
      <c r="F1185" s="643">
        <v>0</v>
      </c>
      <c r="G1185" s="643">
        <v>0</v>
      </c>
      <c r="H1185" s="26">
        <v>0</v>
      </c>
      <c r="I1185" s="26">
        <f t="shared" si="122"/>
        <v>0</v>
      </c>
      <c r="J1185" s="1340" t="e">
        <f t="shared" si="120"/>
        <v>#DIV/0!</v>
      </c>
      <c r="K1185" s="1339">
        <f t="shared" si="121"/>
        <v>0</v>
      </c>
    </row>
    <row r="1186" spans="1:11" ht="15" x14ac:dyDescent="0.25">
      <c r="A1186" s="1341"/>
      <c r="B1186" s="624">
        <v>109400</v>
      </c>
      <c r="C1186" s="1344">
        <v>331909400000000</v>
      </c>
      <c r="D1186" s="624" t="s">
        <v>6274</v>
      </c>
      <c r="E1186" s="624">
        <v>1</v>
      </c>
      <c r="F1186" s="643">
        <v>0</v>
      </c>
      <c r="G1186" s="643">
        <v>0</v>
      </c>
      <c r="H1186" s="26">
        <v>0</v>
      </c>
      <c r="I1186" s="26">
        <f t="shared" si="122"/>
        <v>0</v>
      </c>
      <c r="J1186" s="1340" t="e">
        <f t="shared" si="120"/>
        <v>#DIV/0!</v>
      </c>
      <c r="K1186" s="1339">
        <f t="shared" si="121"/>
        <v>0</v>
      </c>
    </row>
    <row r="1187" spans="1:11" ht="15" x14ac:dyDescent="0.25">
      <c r="A1187" s="1341"/>
      <c r="B1187" s="624">
        <v>110950</v>
      </c>
      <c r="C1187" s="1344">
        <v>333504300000000</v>
      </c>
      <c r="D1187" s="624" t="s">
        <v>7512</v>
      </c>
      <c r="E1187" s="624">
        <v>1</v>
      </c>
      <c r="F1187" s="643">
        <v>0</v>
      </c>
      <c r="G1187" s="643">
        <v>0</v>
      </c>
      <c r="H1187" s="26">
        <v>0</v>
      </c>
      <c r="I1187" s="26">
        <f t="shared" si="122"/>
        <v>0</v>
      </c>
      <c r="J1187" s="1340" t="e">
        <f t="shared" si="120"/>
        <v>#DIV/0!</v>
      </c>
      <c r="K1187" s="1339">
        <f t="shared" si="121"/>
        <v>0</v>
      </c>
    </row>
    <row r="1188" spans="1:11" ht="15" x14ac:dyDescent="0.25">
      <c r="A1188" s="1341"/>
      <c r="B1188" s="624">
        <v>109500</v>
      </c>
      <c r="C1188" s="1344">
        <v>333901400000000</v>
      </c>
      <c r="D1188" s="624" t="s">
        <v>6275</v>
      </c>
      <c r="E1188" s="624">
        <v>1</v>
      </c>
      <c r="F1188" s="643">
        <v>224</v>
      </c>
      <c r="G1188" s="643">
        <v>324</v>
      </c>
      <c r="H1188" s="26">
        <v>0</v>
      </c>
      <c r="I1188" s="26">
        <f t="shared" si="122"/>
        <v>182.66666666666666</v>
      </c>
      <c r="J1188" s="1340">
        <f t="shared" si="120"/>
        <v>1.4464285714285714</v>
      </c>
      <c r="K1188" s="1339">
        <f t="shared" si="121"/>
        <v>0.13838873091472931</v>
      </c>
    </row>
    <row r="1189" spans="1:11" ht="15" x14ac:dyDescent="0.25">
      <c r="A1189" s="1341"/>
      <c r="B1189" s="624">
        <v>110800</v>
      </c>
      <c r="C1189" s="1344">
        <v>333901400000000</v>
      </c>
      <c r="D1189" s="624" t="s">
        <v>6293</v>
      </c>
      <c r="E1189" s="624">
        <v>1</v>
      </c>
      <c r="F1189" s="643">
        <v>0</v>
      </c>
      <c r="G1189" s="643">
        <v>0</v>
      </c>
      <c r="H1189" s="26">
        <v>0</v>
      </c>
      <c r="I1189" s="26">
        <f t="shared" si="122"/>
        <v>0</v>
      </c>
      <c r="J1189" s="1340" t="e">
        <f t="shared" si="120"/>
        <v>#DIV/0!</v>
      </c>
      <c r="K1189" s="1339">
        <f t="shared" si="121"/>
        <v>0</v>
      </c>
    </row>
    <row r="1190" spans="1:11" ht="15" x14ac:dyDescent="0.25">
      <c r="A1190" s="1341"/>
      <c r="B1190" s="624">
        <v>109600</v>
      </c>
      <c r="C1190" s="1344">
        <v>333903000000000</v>
      </c>
      <c r="D1190" s="624" t="s">
        <v>6276</v>
      </c>
      <c r="E1190" s="624">
        <v>1</v>
      </c>
      <c r="F1190" s="643">
        <v>662.83</v>
      </c>
      <c r="G1190" s="643">
        <v>276.79000000000002</v>
      </c>
      <c r="H1190" s="26">
        <v>0</v>
      </c>
      <c r="I1190" s="26">
        <f t="shared" si="122"/>
        <v>313.20666666666671</v>
      </c>
      <c r="J1190" s="1340">
        <f t="shared" si="120"/>
        <v>0.41758822020729297</v>
      </c>
      <c r="K1190" s="1339">
        <f t="shared" si="121"/>
        <v>0.23728616668266053</v>
      </c>
    </row>
    <row r="1191" spans="1:11" ht="15" x14ac:dyDescent="0.25">
      <c r="A1191" s="1341"/>
      <c r="B1191" s="624">
        <v>109700</v>
      </c>
      <c r="C1191" s="1344">
        <v>333903300000000</v>
      </c>
      <c r="D1191" s="624" t="s">
        <v>6277</v>
      </c>
      <c r="E1191" s="624">
        <v>1</v>
      </c>
      <c r="F1191" s="643">
        <v>0</v>
      </c>
      <c r="G1191" s="643">
        <v>0</v>
      </c>
      <c r="H1191" s="26">
        <v>0</v>
      </c>
      <c r="I1191" s="26">
        <f t="shared" si="122"/>
        <v>0</v>
      </c>
      <c r="J1191" s="1340" t="e">
        <f t="shared" si="120"/>
        <v>#DIV/0!</v>
      </c>
      <c r="K1191" s="1339">
        <f t="shared" si="121"/>
        <v>0</v>
      </c>
    </row>
    <row r="1192" spans="1:11" ht="15" x14ac:dyDescent="0.25">
      <c r="A1192" s="1341"/>
      <c r="B1192" s="624">
        <v>110820</v>
      </c>
      <c r="C1192" s="1344">
        <v>333903300000000</v>
      </c>
      <c r="D1192" s="624" t="s">
        <v>7511</v>
      </c>
      <c r="E1192" s="624">
        <v>1</v>
      </c>
      <c r="F1192" s="643">
        <v>0</v>
      </c>
      <c r="G1192" s="643">
        <v>0</v>
      </c>
      <c r="H1192" s="26">
        <v>0</v>
      </c>
      <c r="I1192" s="26">
        <f t="shared" si="122"/>
        <v>0</v>
      </c>
      <c r="J1192" s="1340" t="e">
        <f t="shared" si="120"/>
        <v>#DIV/0!</v>
      </c>
      <c r="K1192" s="1339">
        <f t="shared" si="121"/>
        <v>0</v>
      </c>
    </row>
    <row r="1193" spans="1:11" ht="15" x14ac:dyDescent="0.25">
      <c r="A1193" s="1341"/>
      <c r="B1193" s="624">
        <v>109800</v>
      </c>
      <c r="C1193" s="1344">
        <v>333903600000000</v>
      </c>
      <c r="D1193" s="624" t="s">
        <v>6278</v>
      </c>
      <c r="E1193" s="624">
        <v>1</v>
      </c>
      <c r="F1193" s="643">
        <v>0</v>
      </c>
      <c r="G1193" s="643">
        <v>0</v>
      </c>
      <c r="H1193" s="26">
        <v>0</v>
      </c>
      <c r="I1193" s="26">
        <f t="shared" si="122"/>
        <v>0</v>
      </c>
      <c r="J1193" s="1340" t="e">
        <f t="shared" si="120"/>
        <v>#DIV/0!</v>
      </c>
      <c r="K1193" s="1339">
        <f t="shared" si="121"/>
        <v>0</v>
      </c>
    </row>
    <row r="1194" spans="1:11" ht="15" x14ac:dyDescent="0.25">
      <c r="A1194" s="1341"/>
      <c r="B1194" s="624">
        <v>110840</v>
      </c>
      <c r="C1194" s="1344">
        <v>333903600000000</v>
      </c>
      <c r="D1194" s="624" t="s">
        <v>7510</v>
      </c>
      <c r="E1194" s="624">
        <v>1</v>
      </c>
      <c r="F1194" s="643">
        <v>0</v>
      </c>
      <c r="G1194" s="643">
        <v>0</v>
      </c>
      <c r="H1194" s="26">
        <v>0</v>
      </c>
      <c r="I1194" s="26">
        <f t="shared" si="122"/>
        <v>0</v>
      </c>
      <c r="J1194" s="1340" t="e">
        <f t="shared" si="120"/>
        <v>#DIV/0!</v>
      </c>
      <c r="K1194" s="1339">
        <f t="shared" si="121"/>
        <v>0</v>
      </c>
    </row>
    <row r="1195" spans="1:11" ht="15" x14ac:dyDescent="0.25">
      <c r="A1195" s="1341"/>
      <c r="B1195" s="624">
        <v>109900</v>
      </c>
      <c r="C1195" s="1344">
        <v>333903900000000</v>
      </c>
      <c r="D1195" s="624" t="s">
        <v>6279</v>
      </c>
      <c r="E1195" s="624">
        <v>1</v>
      </c>
      <c r="F1195" s="643">
        <v>0</v>
      </c>
      <c r="G1195" s="643">
        <v>400</v>
      </c>
      <c r="H1195" s="26">
        <v>0</v>
      </c>
      <c r="I1195" s="26">
        <f t="shared" si="122"/>
        <v>133.33333333333334</v>
      </c>
      <c r="J1195" s="1340" t="e">
        <f t="shared" si="120"/>
        <v>#DIV/0!</v>
      </c>
      <c r="K1195" s="1339">
        <f t="shared" si="121"/>
        <v>0.10101367220053234</v>
      </c>
    </row>
    <row r="1196" spans="1:11" ht="15" x14ac:dyDescent="0.25">
      <c r="A1196" s="1341"/>
      <c r="B1196" s="624">
        <v>110860</v>
      </c>
      <c r="C1196" s="1344">
        <v>333903900000000</v>
      </c>
      <c r="D1196" s="624" t="s">
        <v>7509</v>
      </c>
      <c r="E1196" s="624">
        <v>1</v>
      </c>
      <c r="F1196" s="643">
        <v>0</v>
      </c>
      <c r="G1196" s="643">
        <v>0</v>
      </c>
      <c r="H1196" s="26">
        <v>0</v>
      </c>
      <c r="I1196" s="26">
        <f t="shared" si="122"/>
        <v>0</v>
      </c>
      <c r="J1196" s="1340" t="e">
        <f t="shared" si="120"/>
        <v>#DIV/0!</v>
      </c>
      <c r="K1196" s="1339">
        <f t="shared" si="121"/>
        <v>0</v>
      </c>
    </row>
    <row r="1197" spans="1:11" ht="15" x14ac:dyDescent="0.25">
      <c r="A1197" s="1341"/>
      <c r="B1197" s="624">
        <v>110750</v>
      </c>
      <c r="C1197" s="1344">
        <v>333904000000000</v>
      </c>
      <c r="D1197" s="624" t="s">
        <v>7508</v>
      </c>
      <c r="E1197" s="624">
        <v>1</v>
      </c>
      <c r="F1197" s="643">
        <v>0</v>
      </c>
      <c r="G1197" s="643">
        <v>0</v>
      </c>
      <c r="H1197" s="26">
        <v>0</v>
      </c>
      <c r="I1197" s="26">
        <f t="shared" si="122"/>
        <v>0</v>
      </c>
      <c r="J1197" s="1340" t="e">
        <f t="shared" si="120"/>
        <v>#DIV/0!</v>
      </c>
      <c r="K1197" s="1339">
        <f t="shared" si="121"/>
        <v>0</v>
      </c>
    </row>
    <row r="1198" spans="1:11" ht="15" x14ac:dyDescent="0.25">
      <c r="A1198" s="1341"/>
      <c r="B1198" s="624">
        <v>110000</v>
      </c>
      <c r="C1198" s="1344">
        <v>333904600000000</v>
      </c>
      <c r="D1198" s="624" t="s">
        <v>6280</v>
      </c>
      <c r="E1198" s="624">
        <v>1</v>
      </c>
      <c r="F1198" s="643">
        <v>0</v>
      </c>
      <c r="G1198" s="643">
        <v>0</v>
      </c>
      <c r="H1198" s="26">
        <v>0</v>
      </c>
      <c r="I1198" s="26">
        <f t="shared" si="122"/>
        <v>0</v>
      </c>
      <c r="J1198" s="1340" t="e">
        <f t="shared" si="120"/>
        <v>#DIV/0!</v>
      </c>
      <c r="K1198" s="1339">
        <f t="shared" si="121"/>
        <v>0</v>
      </c>
    </row>
    <row r="1199" spans="1:11" ht="15" x14ac:dyDescent="0.25">
      <c r="A1199" s="1341"/>
      <c r="B1199" s="624">
        <v>110100</v>
      </c>
      <c r="C1199" s="1344">
        <v>333904700000000</v>
      </c>
      <c r="D1199" s="624" t="s">
        <v>7507</v>
      </c>
      <c r="E1199" s="624">
        <v>1</v>
      </c>
      <c r="F1199" s="643">
        <v>0</v>
      </c>
      <c r="G1199" s="643">
        <v>0</v>
      </c>
      <c r="H1199" s="26">
        <v>0</v>
      </c>
      <c r="I1199" s="26">
        <f t="shared" si="122"/>
        <v>0</v>
      </c>
      <c r="J1199" s="1340" t="e">
        <f t="shared" si="120"/>
        <v>#DIV/0!</v>
      </c>
      <c r="K1199" s="1339">
        <f t="shared" si="121"/>
        <v>0</v>
      </c>
    </row>
    <row r="1200" spans="1:11" ht="15" x14ac:dyDescent="0.25">
      <c r="A1200" s="1341"/>
      <c r="B1200" s="624">
        <v>110870</v>
      </c>
      <c r="C1200" s="1344">
        <v>333904700000000</v>
      </c>
      <c r="D1200" s="624" t="s">
        <v>7506</v>
      </c>
      <c r="E1200" s="624">
        <v>1</v>
      </c>
      <c r="F1200" s="643">
        <v>0</v>
      </c>
      <c r="G1200" s="643">
        <v>0</v>
      </c>
      <c r="H1200" s="26">
        <v>0</v>
      </c>
      <c r="I1200" s="26">
        <f t="shared" si="122"/>
        <v>0</v>
      </c>
      <c r="J1200" s="1340" t="e">
        <f t="shared" si="120"/>
        <v>#DIV/0!</v>
      </c>
      <c r="K1200" s="1339">
        <f t="shared" si="121"/>
        <v>0</v>
      </c>
    </row>
    <row r="1201" spans="1:11" ht="15" x14ac:dyDescent="0.25">
      <c r="A1201" s="1341"/>
      <c r="B1201" s="624">
        <v>110200</v>
      </c>
      <c r="C1201" s="1344">
        <v>333904900000000</v>
      </c>
      <c r="D1201" s="624" t="s">
        <v>6282</v>
      </c>
      <c r="E1201" s="624">
        <v>1</v>
      </c>
      <c r="F1201" s="643">
        <v>688.85</v>
      </c>
      <c r="G1201" s="643">
        <v>0</v>
      </c>
      <c r="H1201" s="26">
        <v>0</v>
      </c>
      <c r="I1201" s="26">
        <f t="shared" si="122"/>
        <v>229.61666666666667</v>
      </c>
      <c r="J1201" s="1340" t="e">
        <f t="shared" si="120"/>
        <v>#DIV/0!</v>
      </c>
      <c r="K1201" s="1339">
        <f t="shared" si="121"/>
        <v>0.17395817023834176</v>
      </c>
    </row>
    <row r="1202" spans="1:11" ht="15" x14ac:dyDescent="0.25">
      <c r="A1202" s="1341"/>
      <c r="B1202" s="624">
        <v>110300</v>
      </c>
      <c r="C1202" s="1344">
        <v>333909200000000</v>
      </c>
      <c r="D1202" s="624" t="s">
        <v>6283</v>
      </c>
      <c r="E1202" s="624">
        <v>1</v>
      </c>
      <c r="F1202" s="643">
        <v>168.84</v>
      </c>
      <c r="G1202" s="643">
        <v>0</v>
      </c>
      <c r="H1202" s="26">
        <v>0</v>
      </c>
      <c r="I1202" s="26">
        <f t="shared" si="122"/>
        <v>56.28</v>
      </c>
      <c r="J1202" s="1340" t="e">
        <f t="shared" si="120"/>
        <v>#DIV/0!</v>
      </c>
      <c r="K1202" s="1339">
        <f t="shared" si="121"/>
        <v>4.2637871035844703E-2</v>
      </c>
    </row>
    <row r="1203" spans="1:11" ht="15" x14ac:dyDescent="0.25">
      <c r="A1203" s="1341"/>
      <c r="B1203" s="624">
        <v>110400</v>
      </c>
      <c r="C1203" s="1344">
        <v>333909300000000</v>
      </c>
      <c r="D1203" s="624" t="s">
        <v>6284</v>
      </c>
      <c r="E1203" s="624">
        <v>1</v>
      </c>
      <c r="F1203" s="643">
        <v>0</v>
      </c>
      <c r="G1203" s="643">
        <v>0</v>
      </c>
      <c r="H1203" s="26">
        <v>0</v>
      </c>
      <c r="I1203" s="26">
        <f t="shared" si="122"/>
        <v>0</v>
      </c>
      <c r="J1203" s="1340" t="e">
        <f t="shared" si="120"/>
        <v>#DIV/0!</v>
      </c>
      <c r="K1203" s="1339">
        <f t="shared" si="121"/>
        <v>0</v>
      </c>
    </row>
    <row r="1204" spans="1:11" ht="15" x14ac:dyDescent="0.25">
      <c r="A1204" s="1341"/>
      <c r="B1204" s="624">
        <v>110500</v>
      </c>
      <c r="C1204" s="1344">
        <v>333933000000000</v>
      </c>
      <c r="D1204" s="624" t="s">
        <v>7505</v>
      </c>
      <c r="E1204" s="624">
        <v>1</v>
      </c>
      <c r="F1204" s="643">
        <v>0</v>
      </c>
      <c r="G1204" s="643">
        <v>0</v>
      </c>
      <c r="H1204" s="26">
        <v>0</v>
      </c>
      <c r="I1204" s="26">
        <f t="shared" si="122"/>
        <v>0</v>
      </c>
      <c r="J1204" s="1340" t="e">
        <f t="shared" si="120"/>
        <v>#DIV/0!</v>
      </c>
      <c r="K1204" s="1339">
        <f t="shared" si="121"/>
        <v>0</v>
      </c>
    </row>
    <row r="1205" spans="1:11" ht="15" x14ac:dyDescent="0.25">
      <c r="A1205" s="1341"/>
      <c r="B1205" s="624">
        <v>110600</v>
      </c>
      <c r="C1205" s="1344">
        <v>344905100000000</v>
      </c>
      <c r="D1205" s="624" t="s">
        <v>6286</v>
      </c>
      <c r="E1205" s="624">
        <v>1</v>
      </c>
      <c r="F1205" s="643">
        <v>0</v>
      </c>
      <c r="G1205" s="643">
        <v>0</v>
      </c>
      <c r="H1205" s="26">
        <v>0</v>
      </c>
      <c r="I1205" s="26">
        <f t="shared" si="122"/>
        <v>0</v>
      </c>
      <c r="J1205" s="1340" t="e">
        <f t="shared" si="120"/>
        <v>#DIV/0!</v>
      </c>
      <c r="K1205" s="1339">
        <f t="shared" si="121"/>
        <v>0</v>
      </c>
    </row>
    <row r="1206" spans="1:11" ht="15" x14ac:dyDescent="0.25">
      <c r="A1206" s="1341"/>
      <c r="B1206" s="624">
        <v>110700</v>
      </c>
      <c r="C1206" s="1344">
        <v>344905200000000</v>
      </c>
      <c r="D1206" s="624" t="s">
        <v>7504</v>
      </c>
      <c r="E1206" s="624">
        <v>1</v>
      </c>
      <c r="F1206" s="643">
        <v>0</v>
      </c>
      <c r="G1206" s="643">
        <v>0</v>
      </c>
      <c r="H1206" s="26">
        <v>0</v>
      </c>
      <c r="I1206" s="26">
        <f t="shared" si="122"/>
        <v>0</v>
      </c>
      <c r="J1206" s="1340" t="e">
        <f t="shared" si="120"/>
        <v>#DIV/0!</v>
      </c>
      <c r="K1206" s="1339">
        <f t="shared" si="121"/>
        <v>0</v>
      </c>
    </row>
    <row r="1207" spans="1:11" ht="15" x14ac:dyDescent="0.25">
      <c r="B1207" s="1598" t="s">
        <v>1575</v>
      </c>
      <c r="C1207" s="1598"/>
      <c r="D1207" s="1598"/>
      <c r="E1207" s="1598"/>
      <c r="F1207" s="25">
        <f>F1039+F1061+F1091+F1120+F1149+F1178</f>
        <v>2261.9</v>
      </c>
      <c r="G1207" s="25">
        <f>G1039+G1061+G1091+G1120+G1149+G1178</f>
        <v>1697.96</v>
      </c>
      <c r="H1207" s="25">
        <f>H1039+H1061+H1091+H1120+H1149+H1178</f>
        <v>0</v>
      </c>
      <c r="I1207" s="25">
        <f>I1039+I1061+I1091+I1120+I1149+I1178</f>
        <v>1319.9533333333334</v>
      </c>
      <c r="J1207" s="1338">
        <f t="shared" si="120"/>
        <v>0.75067863300764848</v>
      </c>
      <c r="K1207" s="1338">
        <f t="shared" si="121"/>
        <v>1</v>
      </c>
    </row>
    <row r="1210" spans="1:11" ht="15" x14ac:dyDescent="0.25">
      <c r="B1210" s="616" t="s">
        <v>7503</v>
      </c>
      <c r="F1210" s="643"/>
    </row>
    <row r="1211" spans="1:11" ht="45" customHeight="1" x14ac:dyDescent="0.25">
      <c r="B1211" s="1343" t="s">
        <v>2967</v>
      </c>
      <c r="C1211" s="1343" t="s">
        <v>472</v>
      </c>
      <c r="D1211" s="1343" t="s">
        <v>2968</v>
      </c>
      <c r="E1211" s="1343" t="s">
        <v>1403</v>
      </c>
      <c r="F1211" s="1081">
        <v>2017</v>
      </c>
      <c r="G1211" s="1081">
        <f>F1211+1</f>
        <v>2018</v>
      </c>
      <c r="H1211" s="1081">
        <f>G1211+1</f>
        <v>2019</v>
      </c>
      <c r="I1211" s="1082" t="s">
        <v>7336</v>
      </c>
      <c r="J1211" s="1342" t="s">
        <v>7335</v>
      </c>
      <c r="K1211" s="1342" t="s">
        <v>7334</v>
      </c>
    </row>
    <row r="1212" spans="1:11" s="12" customFormat="1" ht="15" x14ac:dyDescent="0.25">
      <c r="A1212" s="1081"/>
      <c r="B1212" s="570" t="s">
        <v>2950</v>
      </c>
      <c r="C1212" s="1343" t="s">
        <v>4923</v>
      </c>
      <c r="D1212" s="570" t="s">
        <v>4924</v>
      </c>
      <c r="E1212" s="570"/>
      <c r="F1212" s="642">
        <f>SUM(F1213:F1218)</f>
        <v>0</v>
      </c>
      <c r="G1212" s="642">
        <f>SUM(G1213:G1218)</f>
        <v>1260</v>
      </c>
      <c r="H1212" s="642">
        <f>SUM(H1213:H1218)</f>
        <v>0</v>
      </c>
      <c r="I1212" s="642">
        <f>SUM(I1213:I1218)</f>
        <v>420</v>
      </c>
      <c r="J1212" s="1338" t="e">
        <f t="shared" ref="J1212:J1243" si="123">(G1212/F1212)+(H1212/G1212)/2</f>
        <v>#DIV/0!</v>
      </c>
      <c r="K1212" s="1337">
        <f t="shared" ref="K1212:K1221" si="124">I1212/I$1243</f>
        <v>8.311864863853961E-3</v>
      </c>
    </row>
    <row r="1213" spans="1:11" ht="15" x14ac:dyDescent="0.25">
      <c r="A1213" s="1341"/>
      <c r="B1213" s="624">
        <v>112000</v>
      </c>
      <c r="C1213" s="1344">
        <v>333904700000000</v>
      </c>
      <c r="D1213" s="624" t="s">
        <v>4277</v>
      </c>
      <c r="E1213" s="624">
        <v>1</v>
      </c>
      <c r="F1213" s="643">
        <v>0</v>
      </c>
      <c r="G1213" s="643">
        <v>0</v>
      </c>
      <c r="H1213" s="26">
        <v>0</v>
      </c>
      <c r="I1213" s="26">
        <f t="shared" ref="I1213:I1218" si="125">(F1213+G1213+H1213)/3</f>
        <v>0</v>
      </c>
      <c r="J1213" s="1340" t="e">
        <f t="shared" si="123"/>
        <v>#DIV/0!</v>
      </c>
      <c r="K1213" s="1339">
        <f t="shared" si="124"/>
        <v>0</v>
      </c>
    </row>
    <row r="1214" spans="1:11" ht="15" x14ac:dyDescent="0.25">
      <c r="A1214" s="1341"/>
      <c r="B1214" s="624">
        <v>112100</v>
      </c>
      <c r="C1214" s="1344">
        <v>344903000000000</v>
      </c>
      <c r="D1214" s="624" t="s">
        <v>3562</v>
      </c>
      <c r="E1214" s="624">
        <v>1</v>
      </c>
      <c r="F1214" s="643">
        <v>0</v>
      </c>
      <c r="G1214" s="643">
        <v>0</v>
      </c>
      <c r="H1214" s="26">
        <v>0</v>
      </c>
      <c r="I1214" s="26">
        <f t="shared" si="125"/>
        <v>0</v>
      </c>
      <c r="J1214" s="1340" t="e">
        <f t="shared" si="123"/>
        <v>#DIV/0!</v>
      </c>
      <c r="K1214" s="1339">
        <f t="shared" si="124"/>
        <v>0</v>
      </c>
    </row>
    <row r="1215" spans="1:11" ht="15" x14ac:dyDescent="0.25">
      <c r="A1215" s="1341"/>
      <c r="B1215" s="624">
        <v>112200</v>
      </c>
      <c r="C1215" s="1344">
        <v>344903600000000</v>
      </c>
      <c r="D1215" s="624" t="s">
        <v>4161</v>
      </c>
      <c r="E1215" s="624">
        <v>1</v>
      </c>
      <c r="F1215" s="643">
        <v>0</v>
      </c>
      <c r="G1215" s="643">
        <v>0</v>
      </c>
      <c r="H1215" s="26">
        <v>0</v>
      </c>
      <c r="I1215" s="26">
        <f t="shared" si="125"/>
        <v>0</v>
      </c>
      <c r="J1215" s="1340" t="e">
        <f t="shared" si="123"/>
        <v>#DIV/0!</v>
      </c>
      <c r="K1215" s="1339">
        <f t="shared" si="124"/>
        <v>0</v>
      </c>
    </row>
    <row r="1216" spans="1:11" ht="15" x14ac:dyDescent="0.25">
      <c r="A1216" s="1341"/>
      <c r="B1216" s="624">
        <v>112300</v>
      </c>
      <c r="C1216" s="1344">
        <v>344903900000000</v>
      </c>
      <c r="D1216" s="624" t="s">
        <v>4165</v>
      </c>
      <c r="E1216" s="624">
        <v>1</v>
      </c>
      <c r="F1216" s="643">
        <v>0</v>
      </c>
      <c r="G1216" s="643">
        <v>0</v>
      </c>
      <c r="H1216" s="26">
        <v>0</v>
      </c>
      <c r="I1216" s="26">
        <f t="shared" si="125"/>
        <v>0</v>
      </c>
      <c r="J1216" s="1340" t="e">
        <f t="shared" si="123"/>
        <v>#DIV/0!</v>
      </c>
      <c r="K1216" s="1339">
        <f t="shared" si="124"/>
        <v>0</v>
      </c>
    </row>
    <row r="1217" spans="1:11" ht="15" x14ac:dyDescent="0.25">
      <c r="A1217" s="1341"/>
      <c r="B1217" s="624">
        <v>112400</v>
      </c>
      <c r="C1217" s="1344">
        <v>344905100000000</v>
      </c>
      <c r="D1217" s="624" t="s">
        <v>4494</v>
      </c>
      <c r="E1217" s="624">
        <v>1</v>
      </c>
      <c r="F1217" s="643">
        <v>0</v>
      </c>
      <c r="G1217" s="643">
        <v>0</v>
      </c>
      <c r="H1217" s="26">
        <v>0</v>
      </c>
      <c r="I1217" s="26">
        <f t="shared" si="125"/>
        <v>0</v>
      </c>
      <c r="J1217" s="1340" t="e">
        <f t="shared" si="123"/>
        <v>#DIV/0!</v>
      </c>
      <c r="K1217" s="1339">
        <f t="shared" si="124"/>
        <v>0</v>
      </c>
    </row>
    <row r="1218" spans="1:11" ht="15" x14ac:dyDescent="0.25">
      <c r="A1218" s="1341"/>
      <c r="B1218" s="624">
        <v>112500</v>
      </c>
      <c r="C1218" s="1344">
        <v>344905200000000</v>
      </c>
      <c r="D1218" s="624" t="s">
        <v>3064</v>
      </c>
      <c r="E1218" s="624">
        <v>1</v>
      </c>
      <c r="F1218" s="643">
        <v>0</v>
      </c>
      <c r="G1218" s="643">
        <v>1260</v>
      </c>
      <c r="H1218" s="26">
        <v>0</v>
      </c>
      <c r="I1218" s="26">
        <f t="shared" si="125"/>
        <v>420</v>
      </c>
      <c r="J1218" s="1340" t="e">
        <f t="shared" si="123"/>
        <v>#DIV/0!</v>
      </c>
      <c r="K1218" s="1339">
        <f t="shared" si="124"/>
        <v>8.311864863853961E-3</v>
      </c>
    </row>
    <row r="1219" spans="1:11" s="12" customFormat="1" ht="15" x14ac:dyDescent="0.25">
      <c r="A1219" s="1081"/>
      <c r="B1219" s="570" t="s">
        <v>2965</v>
      </c>
      <c r="C1219" s="1343">
        <v>7</v>
      </c>
      <c r="D1219" s="570" t="s">
        <v>4842</v>
      </c>
      <c r="E1219" s="570"/>
      <c r="F1219" s="642">
        <f>SUM(F1220:F1242)</f>
        <v>93579.040000000008</v>
      </c>
      <c r="G1219" s="642">
        <f>SUM(G1220:G1242)</f>
        <v>56751.49</v>
      </c>
      <c r="H1219" s="642">
        <f>SUM(H1220:H1242)</f>
        <v>0</v>
      </c>
      <c r="I1219" s="642">
        <f>SUM(I1220:I1242)</f>
        <v>50110.176666666674</v>
      </c>
      <c r="J1219" s="1338">
        <f t="shared" si="123"/>
        <v>0.60645514209164775</v>
      </c>
      <c r="K1219" s="1337">
        <f t="shared" si="124"/>
        <v>0.99168813513614607</v>
      </c>
    </row>
    <row r="1220" spans="1:11" ht="15" x14ac:dyDescent="0.25">
      <c r="A1220" s="1341"/>
      <c r="B1220" s="624">
        <v>113000</v>
      </c>
      <c r="C1220" s="1344">
        <v>331900400000000</v>
      </c>
      <c r="D1220" s="624" t="s">
        <v>3648</v>
      </c>
      <c r="E1220" s="624">
        <v>1</v>
      </c>
      <c r="F1220" s="643">
        <v>0</v>
      </c>
      <c r="G1220" s="643">
        <v>0</v>
      </c>
      <c r="H1220" s="26">
        <v>0</v>
      </c>
      <c r="I1220" s="26">
        <f t="shared" ref="I1220:I1242" si="126">(F1220+G1220+H1220)/3</f>
        <v>0</v>
      </c>
      <c r="J1220" s="1340" t="e">
        <f t="shared" si="123"/>
        <v>#DIV/0!</v>
      </c>
      <c r="K1220" s="1339">
        <f t="shared" si="124"/>
        <v>0</v>
      </c>
    </row>
    <row r="1221" spans="1:11" ht="15" x14ac:dyDescent="0.25">
      <c r="A1221" s="1341"/>
      <c r="B1221" s="624"/>
      <c r="C1221" s="1344">
        <v>331900800000000</v>
      </c>
      <c r="D1221" s="624" t="s">
        <v>7502</v>
      </c>
      <c r="E1221" s="624">
        <v>1</v>
      </c>
      <c r="F1221" s="643">
        <v>0</v>
      </c>
      <c r="G1221" s="643">
        <v>0</v>
      </c>
      <c r="H1221" s="26">
        <v>0</v>
      </c>
      <c r="I1221" s="26">
        <f t="shared" si="126"/>
        <v>0</v>
      </c>
      <c r="J1221" s="1340" t="e">
        <f t="shared" si="123"/>
        <v>#DIV/0!</v>
      </c>
      <c r="K1221" s="1339">
        <f t="shared" si="124"/>
        <v>0</v>
      </c>
    </row>
    <row r="1222" spans="1:11" ht="15" x14ac:dyDescent="0.25">
      <c r="A1222" s="1341"/>
      <c r="B1222" s="624">
        <v>113100</v>
      </c>
      <c r="C1222" s="1344">
        <v>331901100000000</v>
      </c>
      <c r="D1222" s="624" t="s">
        <v>4720</v>
      </c>
      <c r="E1222" s="624">
        <v>1</v>
      </c>
      <c r="F1222" s="643">
        <v>27792.25</v>
      </c>
      <c r="G1222" s="643">
        <v>32835.68</v>
      </c>
      <c r="H1222" s="26">
        <v>0</v>
      </c>
      <c r="I1222" s="26">
        <f t="shared" si="126"/>
        <v>20209.310000000001</v>
      </c>
      <c r="J1222" s="1340">
        <f t="shared" si="123"/>
        <v>1.1814689346850291</v>
      </c>
      <c r="K1222" s="1349">
        <f>I1222/E1240</f>
        <v>20209.310000000001</v>
      </c>
    </row>
    <row r="1223" spans="1:11" ht="15" x14ac:dyDescent="0.25">
      <c r="A1223" s="1341"/>
      <c r="B1223" s="624">
        <v>113200</v>
      </c>
      <c r="C1223" s="1344">
        <v>331901300000000</v>
      </c>
      <c r="D1223" s="624" t="s">
        <v>3666</v>
      </c>
      <c r="E1223" s="624">
        <v>1</v>
      </c>
      <c r="F1223" s="643">
        <v>6323.82</v>
      </c>
      <c r="G1223" s="643">
        <v>7328.66</v>
      </c>
      <c r="H1223" s="26">
        <v>0</v>
      </c>
      <c r="I1223" s="26">
        <f t="shared" si="126"/>
        <v>4550.8266666666668</v>
      </c>
      <c r="J1223" s="1340">
        <f t="shared" si="123"/>
        <v>1.1588976283322423</v>
      </c>
      <c r="K1223" s="1339">
        <f t="shared" ref="K1223:K1242" si="127">I1223/I$1243</f>
        <v>9.0061562552753119E-2</v>
      </c>
    </row>
    <row r="1224" spans="1:11" ht="15" x14ac:dyDescent="0.25">
      <c r="A1224" s="1341"/>
      <c r="B1224" s="624">
        <v>113300</v>
      </c>
      <c r="C1224" s="1344">
        <v>331901600000000</v>
      </c>
      <c r="D1224" s="624" t="s">
        <v>3675</v>
      </c>
      <c r="E1224" s="624">
        <v>1</v>
      </c>
      <c r="F1224" s="643">
        <v>3144.32</v>
      </c>
      <c r="G1224" s="643">
        <v>0</v>
      </c>
      <c r="H1224" s="26">
        <v>0</v>
      </c>
      <c r="I1224" s="26">
        <f t="shared" si="126"/>
        <v>1048.1066666666668</v>
      </c>
      <c r="J1224" s="1340" t="e">
        <f t="shared" si="123"/>
        <v>#DIV/0!</v>
      </c>
      <c r="K1224" s="1339">
        <f t="shared" si="127"/>
        <v>2.0742192800566103E-2</v>
      </c>
    </row>
    <row r="1225" spans="1:11" ht="15" x14ac:dyDescent="0.25">
      <c r="A1225" s="1341"/>
      <c r="B1225" s="624">
        <v>113350</v>
      </c>
      <c r="C1225" s="1344">
        <v>331903400000000</v>
      </c>
      <c r="D1225" s="624" t="s">
        <v>2988</v>
      </c>
      <c r="E1225" s="624">
        <v>1</v>
      </c>
      <c r="F1225" s="643">
        <v>0</v>
      </c>
      <c r="G1225" s="643">
        <v>0</v>
      </c>
      <c r="H1225" s="26">
        <v>0</v>
      </c>
      <c r="I1225" s="26">
        <f t="shared" si="126"/>
        <v>0</v>
      </c>
      <c r="J1225" s="1340" t="e">
        <f t="shared" si="123"/>
        <v>#DIV/0!</v>
      </c>
      <c r="K1225" s="1339">
        <f t="shared" si="127"/>
        <v>0</v>
      </c>
    </row>
    <row r="1226" spans="1:11" ht="15" x14ac:dyDescent="0.25">
      <c r="A1226" s="1341"/>
      <c r="B1226" s="624">
        <v>113400</v>
      </c>
      <c r="C1226" s="1344">
        <v>331909400000000</v>
      </c>
      <c r="D1226" s="624" t="s">
        <v>3679</v>
      </c>
      <c r="E1226" s="624">
        <v>1</v>
      </c>
      <c r="F1226" s="643">
        <v>0</v>
      </c>
      <c r="G1226" s="643">
        <v>0</v>
      </c>
      <c r="H1226" s="26">
        <v>0</v>
      </c>
      <c r="I1226" s="26">
        <f t="shared" si="126"/>
        <v>0</v>
      </c>
      <c r="J1226" s="1340" t="e">
        <f t="shared" si="123"/>
        <v>#DIV/0!</v>
      </c>
      <c r="K1226" s="1339">
        <f t="shared" si="127"/>
        <v>0</v>
      </c>
    </row>
    <row r="1227" spans="1:11" ht="15" x14ac:dyDescent="0.25">
      <c r="A1227" s="1341"/>
      <c r="B1227" s="624">
        <v>113500</v>
      </c>
      <c r="C1227" s="1344">
        <v>333901400000000</v>
      </c>
      <c r="D1227" s="624" t="s">
        <v>3174</v>
      </c>
      <c r="E1227" s="624">
        <v>1</v>
      </c>
      <c r="F1227" s="643">
        <v>0</v>
      </c>
      <c r="G1227" s="643">
        <v>0</v>
      </c>
      <c r="H1227" s="26">
        <v>0</v>
      </c>
      <c r="I1227" s="26">
        <f t="shared" si="126"/>
        <v>0</v>
      </c>
      <c r="J1227" s="1340" t="e">
        <f t="shared" si="123"/>
        <v>#DIV/0!</v>
      </c>
      <c r="K1227" s="1339">
        <f t="shared" si="127"/>
        <v>0</v>
      </c>
    </row>
    <row r="1228" spans="1:11" ht="15" x14ac:dyDescent="0.25">
      <c r="A1228" s="1341"/>
      <c r="B1228" s="624">
        <v>113600</v>
      </c>
      <c r="C1228" s="1344">
        <v>333903000000000</v>
      </c>
      <c r="D1228" s="624" t="s">
        <v>4131</v>
      </c>
      <c r="E1228" s="624">
        <v>1</v>
      </c>
      <c r="F1228" s="643">
        <v>2163.06</v>
      </c>
      <c r="G1228" s="643">
        <v>4600.8</v>
      </c>
      <c r="H1228" s="26">
        <v>0</v>
      </c>
      <c r="I1228" s="26">
        <f t="shared" si="126"/>
        <v>2254.6200000000003</v>
      </c>
      <c r="J1228" s="1340">
        <f t="shared" si="123"/>
        <v>2.1269867687442789</v>
      </c>
      <c r="K1228" s="1339">
        <f t="shared" si="127"/>
        <v>4.4619277998434334E-2</v>
      </c>
    </row>
    <row r="1229" spans="1:11" ht="15" x14ac:dyDescent="0.25">
      <c r="A1229" s="1341"/>
      <c r="B1229" s="624">
        <v>0</v>
      </c>
      <c r="C1229" s="1344">
        <v>333903007000000</v>
      </c>
      <c r="D1229" s="624" t="s">
        <v>3013</v>
      </c>
      <c r="E1229" s="624">
        <v>1</v>
      </c>
      <c r="F1229" s="643">
        <f>55830.27-2163.06</f>
        <v>53667.21</v>
      </c>
      <c r="G1229" s="643">
        <v>10708.18</v>
      </c>
      <c r="H1229" s="26">
        <v>0</v>
      </c>
      <c r="I1229" s="26">
        <f t="shared" si="126"/>
        <v>21458.463333333333</v>
      </c>
      <c r="J1229" s="1340">
        <f t="shared" si="123"/>
        <v>0.19952928426873692</v>
      </c>
      <c r="K1229" s="1339">
        <f t="shared" si="127"/>
        <v>0.42466630336340927</v>
      </c>
    </row>
    <row r="1230" spans="1:11" ht="15" x14ac:dyDescent="0.25">
      <c r="A1230" s="1341"/>
      <c r="B1230" s="624">
        <v>0</v>
      </c>
      <c r="C1230" s="1344">
        <v>333903007000000</v>
      </c>
      <c r="D1230" s="624" t="s">
        <v>7501</v>
      </c>
      <c r="E1230" s="624">
        <v>1009</v>
      </c>
      <c r="F1230" s="643">
        <v>0</v>
      </c>
      <c r="G1230" s="643">
        <v>0</v>
      </c>
      <c r="H1230" s="26">
        <v>0</v>
      </c>
      <c r="I1230" s="26">
        <f t="shared" si="126"/>
        <v>0</v>
      </c>
      <c r="J1230" s="1340" t="e">
        <f t="shared" si="123"/>
        <v>#DIV/0!</v>
      </c>
      <c r="K1230" s="1339">
        <f t="shared" si="127"/>
        <v>0</v>
      </c>
    </row>
    <row r="1231" spans="1:11" ht="15" x14ac:dyDescent="0.25">
      <c r="A1231" s="1341"/>
      <c r="B1231" s="624">
        <v>113700</v>
      </c>
      <c r="C1231" s="1344">
        <v>333903300000000</v>
      </c>
      <c r="D1231" s="624" t="s">
        <v>3718</v>
      </c>
      <c r="E1231" s="624">
        <v>1</v>
      </c>
      <c r="F1231" s="643">
        <v>0</v>
      </c>
      <c r="G1231" s="643">
        <v>0</v>
      </c>
      <c r="H1231" s="26">
        <v>0</v>
      </c>
      <c r="I1231" s="26">
        <f t="shared" si="126"/>
        <v>0</v>
      </c>
      <c r="J1231" s="1340" t="e">
        <f t="shared" si="123"/>
        <v>#DIV/0!</v>
      </c>
      <c r="K1231" s="1339">
        <f t="shared" si="127"/>
        <v>0</v>
      </c>
    </row>
    <row r="1232" spans="1:11" ht="15" x14ac:dyDescent="0.25">
      <c r="A1232" s="1341"/>
      <c r="B1232" s="624">
        <v>113800</v>
      </c>
      <c r="C1232" s="1344">
        <v>333903600000000</v>
      </c>
      <c r="D1232" s="624" t="s">
        <v>4161</v>
      </c>
      <c r="E1232" s="624">
        <v>1</v>
      </c>
      <c r="F1232" s="643">
        <v>0</v>
      </c>
      <c r="G1232" s="643">
        <v>0</v>
      </c>
      <c r="H1232" s="26">
        <v>0</v>
      </c>
      <c r="I1232" s="26">
        <f t="shared" si="126"/>
        <v>0</v>
      </c>
      <c r="J1232" s="1340" t="e">
        <f t="shared" si="123"/>
        <v>#DIV/0!</v>
      </c>
      <c r="K1232" s="1339">
        <f t="shared" si="127"/>
        <v>0</v>
      </c>
    </row>
    <row r="1233" spans="1:11" ht="15" x14ac:dyDescent="0.25">
      <c r="A1233" s="1341"/>
      <c r="B1233" s="624">
        <v>113900</v>
      </c>
      <c r="C1233" s="1344">
        <v>333903900000000</v>
      </c>
      <c r="D1233" s="624" t="s">
        <v>4165</v>
      </c>
      <c r="E1233" s="624">
        <v>1</v>
      </c>
      <c r="F1233" s="643">
        <v>0</v>
      </c>
      <c r="G1233" s="643">
        <v>754</v>
      </c>
      <c r="H1233" s="26">
        <v>0</v>
      </c>
      <c r="I1233" s="26">
        <f t="shared" si="126"/>
        <v>251.33333333333334</v>
      </c>
      <c r="J1233" s="1340" t="e">
        <f t="shared" si="123"/>
        <v>#DIV/0!</v>
      </c>
      <c r="K1233" s="1339">
        <f t="shared" si="127"/>
        <v>4.9739254820205456E-3</v>
      </c>
    </row>
    <row r="1234" spans="1:11" ht="15" x14ac:dyDescent="0.25">
      <c r="A1234" s="1341"/>
      <c r="B1234" s="624">
        <v>0</v>
      </c>
      <c r="C1234" s="1344">
        <v>333904000000000</v>
      </c>
      <c r="D1234" s="624" t="s">
        <v>7500</v>
      </c>
      <c r="E1234" s="624">
        <v>1</v>
      </c>
      <c r="F1234" s="643">
        <v>0</v>
      </c>
      <c r="G1234" s="643">
        <v>0</v>
      </c>
      <c r="H1234" s="26">
        <v>0</v>
      </c>
      <c r="I1234" s="26">
        <f t="shared" si="126"/>
        <v>0</v>
      </c>
      <c r="J1234" s="1340" t="e">
        <f t="shared" si="123"/>
        <v>#DIV/0!</v>
      </c>
      <c r="K1234" s="1339">
        <f t="shared" si="127"/>
        <v>0</v>
      </c>
    </row>
    <row r="1235" spans="1:11" ht="15" x14ac:dyDescent="0.25">
      <c r="A1235" s="1341"/>
      <c r="B1235" s="624">
        <v>114000</v>
      </c>
      <c r="C1235" s="1344">
        <v>333904600000000</v>
      </c>
      <c r="D1235" s="624" t="s">
        <v>3049</v>
      </c>
      <c r="E1235" s="624">
        <v>1</v>
      </c>
      <c r="F1235" s="643">
        <v>0</v>
      </c>
      <c r="G1235" s="643">
        <v>0</v>
      </c>
      <c r="H1235" s="26">
        <v>0</v>
      </c>
      <c r="I1235" s="26">
        <f t="shared" si="126"/>
        <v>0</v>
      </c>
      <c r="J1235" s="1340" t="e">
        <f t="shared" si="123"/>
        <v>#DIV/0!</v>
      </c>
      <c r="K1235" s="1339">
        <f t="shared" si="127"/>
        <v>0</v>
      </c>
    </row>
    <row r="1236" spans="1:11" ht="15" x14ac:dyDescent="0.25">
      <c r="A1236" s="1341"/>
      <c r="B1236" s="624">
        <v>114100</v>
      </c>
      <c r="C1236" s="1344">
        <v>333904700000000</v>
      </c>
      <c r="D1236" s="624" t="s">
        <v>4806</v>
      </c>
      <c r="E1236" s="624">
        <v>1</v>
      </c>
      <c r="F1236" s="643">
        <v>0</v>
      </c>
      <c r="G1236" s="643">
        <v>0</v>
      </c>
      <c r="H1236" s="26">
        <v>0</v>
      </c>
      <c r="I1236" s="26">
        <f t="shared" si="126"/>
        <v>0</v>
      </c>
      <c r="J1236" s="1340" t="e">
        <f t="shared" si="123"/>
        <v>#DIV/0!</v>
      </c>
      <c r="K1236" s="1339">
        <f t="shared" si="127"/>
        <v>0</v>
      </c>
    </row>
    <row r="1237" spans="1:11" ht="15" x14ac:dyDescent="0.25">
      <c r="A1237" s="1341"/>
      <c r="B1237" s="624">
        <v>114200</v>
      </c>
      <c r="C1237" s="1344">
        <v>333904900000000</v>
      </c>
      <c r="D1237" s="624" t="s">
        <v>4483</v>
      </c>
      <c r="E1237" s="624">
        <v>1</v>
      </c>
      <c r="F1237" s="643">
        <v>488.38</v>
      </c>
      <c r="G1237" s="643">
        <v>524.16999999999996</v>
      </c>
      <c r="H1237" s="26">
        <v>0</v>
      </c>
      <c r="I1237" s="26">
        <f t="shared" si="126"/>
        <v>337.51666666666665</v>
      </c>
      <c r="J1237" s="1340">
        <f t="shared" si="123"/>
        <v>1.0732830992260125</v>
      </c>
      <c r="K1237" s="1339">
        <f t="shared" si="127"/>
        <v>6.6795069586470862E-3</v>
      </c>
    </row>
    <row r="1238" spans="1:11" ht="15" x14ac:dyDescent="0.25">
      <c r="A1238" s="1341"/>
      <c r="B1238" s="624">
        <v>114300</v>
      </c>
      <c r="C1238" s="1344">
        <v>333909200000000</v>
      </c>
      <c r="D1238" s="624" t="s">
        <v>3742</v>
      </c>
      <c r="E1238" s="624">
        <v>1</v>
      </c>
      <c r="F1238" s="643">
        <v>0</v>
      </c>
      <c r="G1238" s="643">
        <v>0</v>
      </c>
      <c r="H1238" s="26">
        <v>0</v>
      </c>
      <c r="I1238" s="26">
        <f t="shared" si="126"/>
        <v>0</v>
      </c>
      <c r="J1238" s="1340" t="e">
        <f t="shared" si="123"/>
        <v>#DIV/0!</v>
      </c>
      <c r="K1238" s="1339">
        <f t="shared" si="127"/>
        <v>0</v>
      </c>
    </row>
    <row r="1239" spans="1:11" ht="15" x14ac:dyDescent="0.25">
      <c r="A1239" s="1341"/>
      <c r="B1239" s="624">
        <v>114400</v>
      </c>
      <c r="C1239" s="1344">
        <v>333909300000000</v>
      </c>
      <c r="D1239" s="624" t="s">
        <v>3060</v>
      </c>
      <c r="E1239" s="624">
        <v>1</v>
      </c>
      <c r="F1239" s="643">
        <v>0</v>
      </c>
      <c r="G1239" s="643">
        <v>0</v>
      </c>
      <c r="H1239" s="26">
        <v>0</v>
      </c>
      <c r="I1239" s="26">
        <f t="shared" si="126"/>
        <v>0</v>
      </c>
      <c r="J1239" s="1340" t="e">
        <f t="shared" si="123"/>
        <v>#DIV/0!</v>
      </c>
      <c r="K1239" s="1339">
        <f t="shared" si="127"/>
        <v>0</v>
      </c>
    </row>
    <row r="1240" spans="1:11" ht="15" x14ac:dyDescent="0.25">
      <c r="A1240" s="1341"/>
      <c r="B1240" s="624">
        <v>114500</v>
      </c>
      <c r="C1240" s="1344">
        <v>333933000000000</v>
      </c>
      <c r="D1240" s="624" t="s">
        <v>3514</v>
      </c>
      <c r="E1240" s="624">
        <v>1</v>
      </c>
      <c r="F1240" s="643">
        <v>0</v>
      </c>
      <c r="G1240" s="643">
        <v>0</v>
      </c>
      <c r="H1240" s="26">
        <v>0</v>
      </c>
      <c r="I1240" s="26">
        <f t="shared" si="126"/>
        <v>0</v>
      </c>
      <c r="J1240" s="1340" t="e">
        <f t="shared" si="123"/>
        <v>#DIV/0!</v>
      </c>
      <c r="K1240" s="1339">
        <f t="shared" si="127"/>
        <v>0</v>
      </c>
    </row>
    <row r="1241" spans="1:11" ht="15" x14ac:dyDescent="0.25">
      <c r="A1241" s="1341"/>
      <c r="B1241" s="624">
        <v>114600</v>
      </c>
      <c r="C1241" s="1344">
        <v>344905100000000</v>
      </c>
      <c r="D1241" s="624" t="s">
        <v>4494</v>
      </c>
      <c r="E1241" s="624">
        <v>1</v>
      </c>
      <c r="F1241" s="643">
        <v>0</v>
      </c>
      <c r="G1241" s="643">
        <v>0</v>
      </c>
      <c r="H1241" s="26">
        <v>0</v>
      </c>
      <c r="I1241" s="26">
        <f t="shared" si="126"/>
        <v>0</v>
      </c>
      <c r="J1241" s="1340" t="e">
        <f t="shared" si="123"/>
        <v>#DIV/0!</v>
      </c>
      <c r="K1241" s="1339">
        <f t="shared" si="127"/>
        <v>0</v>
      </c>
    </row>
    <row r="1242" spans="1:11" ht="15" x14ac:dyDescent="0.25">
      <c r="A1242" s="1341"/>
      <c r="B1242" s="624">
        <v>114700</v>
      </c>
      <c r="C1242" s="1344">
        <v>344905200000000</v>
      </c>
      <c r="D1242" s="624" t="s">
        <v>3152</v>
      </c>
      <c r="E1242" s="624">
        <v>1</v>
      </c>
      <c r="F1242" s="643">
        <v>0</v>
      </c>
      <c r="G1242" s="643">
        <v>0</v>
      </c>
      <c r="H1242" s="26">
        <v>0</v>
      </c>
      <c r="I1242" s="26">
        <f t="shared" si="126"/>
        <v>0</v>
      </c>
      <c r="J1242" s="1340" t="e">
        <f t="shared" si="123"/>
        <v>#DIV/0!</v>
      </c>
      <c r="K1242" s="1339">
        <f t="shared" si="127"/>
        <v>0</v>
      </c>
    </row>
    <row r="1243" spans="1:11" ht="15" x14ac:dyDescent="0.25">
      <c r="B1243" s="1598" t="s">
        <v>1575</v>
      </c>
      <c r="C1243" s="1598"/>
      <c r="D1243" s="1598"/>
      <c r="E1243" s="1598"/>
      <c r="F1243" s="25">
        <f>F1219+F1212</f>
        <v>93579.040000000008</v>
      </c>
      <c r="G1243" s="25">
        <f>G1219+G1212</f>
        <v>58011.49</v>
      </c>
      <c r="H1243" s="25">
        <f>H1219+H1212</f>
        <v>0</v>
      </c>
      <c r="I1243" s="25">
        <f>I1219+I1212</f>
        <v>50530.176666666674</v>
      </c>
      <c r="J1243" s="1338">
        <f t="shared" si="123"/>
        <v>0.61991969569253957</v>
      </c>
      <c r="K1243" s="1338">
        <f>I1243/I$1207</f>
        <v>38.281790265312416</v>
      </c>
    </row>
    <row r="1245" spans="1:11" ht="15" x14ac:dyDescent="0.25">
      <c r="B1245" s="616" t="s">
        <v>7499</v>
      </c>
      <c r="F1245" s="643"/>
    </row>
    <row r="1246" spans="1:11" ht="45" customHeight="1" x14ac:dyDescent="0.25">
      <c r="B1246" s="1343" t="s">
        <v>2967</v>
      </c>
      <c r="C1246" s="1343" t="s">
        <v>472</v>
      </c>
      <c r="D1246" s="1343" t="s">
        <v>2968</v>
      </c>
      <c r="E1246" s="1343" t="s">
        <v>1403</v>
      </c>
      <c r="F1246" s="1081">
        <v>2017</v>
      </c>
      <c r="G1246" s="1081">
        <f>F1246+1</f>
        <v>2018</v>
      </c>
      <c r="H1246" s="1081">
        <f>G1246+1</f>
        <v>2019</v>
      </c>
      <c r="I1246" s="1082" t="s">
        <v>7336</v>
      </c>
      <c r="J1246" s="1342" t="s">
        <v>7335</v>
      </c>
      <c r="K1246" s="1342" t="s">
        <v>7334</v>
      </c>
    </row>
    <row r="1247" spans="1:11" s="12" customFormat="1" ht="15" x14ac:dyDescent="0.25">
      <c r="A1247" s="1081"/>
      <c r="B1247" s="570" t="s">
        <v>2950</v>
      </c>
      <c r="C1247" s="1345" t="s">
        <v>7498</v>
      </c>
      <c r="D1247" s="570" t="s">
        <v>4943</v>
      </c>
      <c r="E1247" s="570"/>
      <c r="F1247" s="642">
        <f>SUM(F1248:F1259)</f>
        <v>0</v>
      </c>
      <c r="G1247" s="642">
        <f>SUM(G1248:G1259)</f>
        <v>799</v>
      </c>
      <c r="H1247" s="642">
        <f>SUM(H1248:H1259)</f>
        <v>0</v>
      </c>
      <c r="I1247" s="642">
        <f>SUM(I1248:I1259)</f>
        <v>266.33333333333331</v>
      </c>
      <c r="J1247" s="1338" t="e">
        <f t="shared" ref="J1247:J1278" si="128">(G1247/F1247)+(H1247/G1247)/2</f>
        <v>#DIV/0!</v>
      </c>
      <c r="K1247" s="1337">
        <f t="shared" ref="K1247:K1278" si="129">I1247/I$1311</f>
        <v>2.3201465380161381E-3</v>
      </c>
    </row>
    <row r="1248" spans="1:11" ht="15" x14ac:dyDescent="0.25">
      <c r="A1248" s="1341"/>
      <c r="B1248" s="624">
        <v>115000</v>
      </c>
      <c r="C1248" s="1344">
        <v>333904700000000</v>
      </c>
      <c r="D1248" s="624" t="s">
        <v>4949</v>
      </c>
      <c r="E1248" s="624">
        <v>1</v>
      </c>
      <c r="F1248" s="643">
        <v>0</v>
      </c>
      <c r="G1248" s="643">
        <v>0</v>
      </c>
      <c r="H1248" s="26">
        <v>0</v>
      </c>
      <c r="I1248" s="26">
        <f t="shared" ref="I1248:I1259" si="130">(F1248+G1248+H1248)/3</f>
        <v>0</v>
      </c>
      <c r="J1248" s="1340" t="e">
        <f t="shared" si="128"/>
        <v>#DIV/0!</v>
      </c>
      <c r="K1248" s="1339">
        <f t="shared" si="129"/>
        <v>0</v>
      </c>
    </row>
    <row r="1249" spans="1:11" ht="15" x14ac:dyDescent="0.25">
      <c r="A1249" s="1341"/>
      <c r="B1249" s="624">
        <v>115600</v>
      </c>
      <c r="C1249" s="1344">
        <v>333904700000000</v>
      </c>
      <c r="D1249" s="624" t="s">
        <v>4955</v>
      </c>
      <c r="E1249" s="624">
        <v>1</v>
      </c>
      <c r="F1249" s="643">
        <v>0</v>
      </c>
      <c r="G1249" s="643">
        <v>0</v>
      </c>
      <c r="H1249" s="26">
        <v>0</v>
      </c>
      <c r="I1249" s="26">
        <f t="shared" si="130"/>
        <v>0</v>
      </c>
      <c r="J1249" s="1340" t="e">
        <f t="shared" si="128"/>
        <v>#DIV/0!</v>
      </c>
      <c r="K1249" s="1339">
        <f t="shared" si="129"/>
        <v>0</v>
      </c>
    </row>
    <row r="1250" spans="1:11" ht="15" x14ac:dyDescent="0.25">
      <c r="A1250" s="1341"/>
      <c r="B1250" s="624">
        <v>115100</v>
      </c>
      <c r="C1250" s="1344">
        <v>344903000000000</v>
      </c>
      <c r="D1250" s="624" t="s">
        <v>4950</v>
      </c>
      <c r="E1250" s="624">
        <v>1</v>
      </c>
      <c r="F1250" s="643">
        <v>0</v>
      </c>
      <c r="G1250" s="643">
        <v>0</v>
      </c>
      <c r="H1250" s="26">
        <v>0</v>
      </c>
      <c r="I1250" s="26">
        <f t="shared" si="130"/>
        <v>0</v>
      </c>
      <c r="J1250" s="1340" t="e">
        <f t="shared" si="128"/>
        <v>#DIV/0!</v>
      </c>
      <c r="K1250" s="1339">
        <f t="shared" si="129"/>
        <v>0</v>
      </c>
    </row>
    <row r="1251" spans="1:11" ht="15" x14ac:dyDescent="0.25">
      <c r="A1251" s="1341"/>
      <c r="B1251" s="624">
        <v>115620</v>
      </c>
      <c r="C1251" s="1344">
        <v>344903000000000</v>
      </c>
      <c r="D1251" s="624" t="s">
        <v>4956</v>
      </c>
      <c r="E1251" s="624">
        <v>1</v>
      </c>
      <c r="F1251" s="643">
        <v>0</v>
      </c>
      <c r="G1251" s="643">
        <v>0</v>
      </c>
      <c r="H1251" s="26">
        <v>0</v>
      </c>
      <c r="I1251" s="26">
        <f t="shared" si="130"/>
        <v>0</v>
      </c>
      <c r="J1251" s="1340" t="e">
        <f t="shared" si="128"/>
        <v>#DIV/0!</v>
      </c>
      <c r="K1251" s="1339">
        <f t="shared" si="129"/>
        <v>0</v>
      </c>
    </row>
    <row r="1252" spans="1:11" ht="15" x14ac:dyDescent="0.25">
      <c r="A1252" s="1341"/>
      <c r="B1252" s="624">
        <v>115200</v>
      </c>
      <c r="C1252" s="1344">
        <v>344903600000000</v>
      </c>
      <c r="D1252" s="624" t="s">
        <v>4951</v>
      </c>
      <c r="E1252" s="624">
        <v>1</v>
      </c>
      <c r="F1252" s="643">
        <v>0</v>
      </c>
      <c r="G1252" s="643">
        <v>0</v>
      </c>
      <c r="H1252" s="26">
        <v>0</v>
      </c>
      <c r="I1252" s="26">
        <f t="shared" si="130"/>
        <v>0</v>
      </c>
      <c r="J1252" s="1340" t="e">
        <f t="shared" si="128"/>
        <v>#DIV/0!</v>
      </c>
      <c r="K1252" s="1339">
        <f t="shared" si="129"/>
        <v>0</v>
      </c>
    </row>
    <row r="1253" spans="1:11" ht="15" x14ac:dyDescent="0.25">
      <c r="A1253" s="1341"/>
      <c r="B1253" s="624">
        <v>115640</v>
      </c>
      <c r="C1253" s="1344">
        <v>344903600000000</v>
      </c>
      <c r="D1253" s="624" t="s">
        <v>4957</v>
      </c>
      <c r="E1253" s="624">
        <v>1</v>
      </c>
      <c r="F1253" s="643">
        <v>0</v>
      </c>
      <c r="G1253" s="643">
        <v>0</v>
      </c>
      <c r="H1253" s="26">
        <v>0</v>
      </c>
      <c r="I1253" s="26">
        <f t="shared" si="130"/>
        <v>0</v>
      </c>
      <c r="J1253" s="1340" t="e">
        <f t="shared" si="128"/>
        <v>#DIV/0!</v>
      </c>
      <c r="K1253" s="1339">
        <f t="shared" si="129"/>
        <v>0</v>
      </c>
    </row>
    <row r="1254" spans="1:11" ht="15" x14ac:dyDescent="0.25">
      <c r="A1254" s="1341"/>
      <c r="B1254" s="624">
        <v>115300</v>
      </c>
      <c r="C1254" s="1344">
        <v>344903900000000</v>
      </c>
      <c r="D1254" s="624" t="s">
        <v>4952</v>
      </c>
      <c r="E1254" s="624">
        <v>1</v>
      </c>
      <c r="F1254" s="643">
        <v>0</v>
      </c>
      <c r="G1254" s="643">
        <v>0</v>
      </c>
      <c r="H1254" s="26">
        <v>0</v>
      </c>
      <c r="I1254" s="26">
        <f t="shared" si="130"/>
        <v>0</v>
      </c>
      <c r="J1254" s="1340" t="e">
        <f t="shared" si="128"/>
        <v>#DIV/0!</v>
      </c>
      <c r="K1254" s="1339">
        <f t="shared" si="129"/>
        <v>0</v>
      </c>
    </row>
    <row r="1255" spans="1:11" ht="15" x14ac:dyDescent="0.25">
      <c r="A1255" s="1341"/>
      <c r="B1255" s="624">
        <v>115660</v>
      </c>
      <c r="C1255" s="1344">
        <v>344903900000000</v>
      </c>
      <c r="D1255" s="624" t="s">
        <v>4958</v>
      </c>
      <c r="E1255" s="624">
        <v>1</v>
      </c>
      <c r="F1255" s="643">
        <v>0</v>
      </c>
      <c r="G1255" s="643">
        <v>0</v>
      </c>
      <c r="H1255" s="26">
        <v>0</v>
      </c>
      <c r="I1255" s="26">
        <f t="shared" si="130"/>
        <v>0</v>
      </c>
      <c r="J1255" s="1340" t="e">
        <f t="shared" si="128"/>
        <v>#DIV/0!</v>
      </c>
      <c r="K1255" s="1339">
        <f t="shared" si="129"/>
        <v>0</v>
      </c>
    </row>
    <row r="1256" spans="1:11" ht="15" x14ac:dyDescent="0.25">
      <c r="A1256" s="1341"/>
      <c r="B1256" s="624">
        <v>115400</v>
      </c>
      <c r="C1256" s="1344">
        <v>344905100000000</v>
      </c>
      <c r="D1256" s="624" t="s">
        <v>4953</v>
      </c>
      <c r="E1256" s="624">
        <v>1</v>
      </c>
      <c r="F1256" s="643">
        <v>0</v>
      </c>
      <c r="G1256" s="643">
        <v>0</v>
      </c>
      <c r="H1256" s="26">
        <v>0</v>
      </c>
      <c r="I1256" s="26">
        <f t="shared" si="130"/>
        <v>0</v>
      </c>
      <c r="J1256" s="1340" t="e">
        <f t="shared" si="128"/>
        <v>#DIV/0!</v>
      </c>
      <c r="K1256" s="1339">
        <f t="shared" si="129"/>
        <v>0</v>
      </c>
    </row>
    <row r="1257" spans="1:11" ht="15" x14ac:dyDescent="0.25">
      <c r="A1257" s="1341"/>
      <c r="B1257" s="624">
        <v>115680</v>
      </c>
      <c r="C1257" s="1344">
        <v>344905100000000</v>
      </c>
      <c r="D1257" s="624" t="s">
        <v>4959</v>
      </c>
      <c r="E1257" s="624">
        <v>1</v>
      </c>
      <c r="F1257" s="643">
        <v>0</v>
      </c>
      <c r="G1257" s="643">
        <v>0</v>
      </c>
      <c r="H1257" s="26">
        <v>0</v>
      </c>
      <c r="I1257" s="26">
        <f t="shared" si="130"/>
        <v>0</v>
      </c>
      <c r="J1257" s="1340" t="e">
        <f t="shared" si="128"/>
        <v>#DIV/0!</v>
      </c>
      <c r="K1257" s="1339">
        <f t="shared" si="129"/>
        <v>0</v>
      </c>
    </row>
    <row r="1258" spans="1:11" ht="15" x14ac:dyDescent="0.25">
      <c r="A1258" s="1341"/>
      <c r="B1258" s="624">
        <v>115500</v>
      </c>
      <c r="C1258" s="1344">
        <v>344905200000000</v>
      </c>
      <c r="D1258" s="624" t="s">
        <v>6340</v>
      </c>
      <c r="E1258" s="624">
        <v>1</v>
      </c>
      <c r="F1258" s="643">
        <v>0</v>
      </c>
      <c r="G1258" s="643">
        <v>0</v>
      </c>
      <c r="H1258" s="26">
        <v>0</v>
      </c>
      <c r="I1258" s="26">
        <f t="shared" si="130"/>
        <v>0</v>
      </c>
      <c r="J1258" s="1340" t="e">
        <f t="shared" si="128"/>
        <v>#DIV/0!</v>
      </c>
      <c r="K1258" s="1339">
        <f t="shared" si="129"/>
        <v>0</v>
      </c>
    </row>
    <row r="1259" spans="1:11" ht="15" x14ac:dyDescent="0.25">
      <c r="A1259" s="1341"/>
      <c r="B1259" s="624">
        <v>115700</v>
      </c>
      <c r="C1259" s="1344">
        <v>344905200000000</v>
      </c>
      <c r="D1259" s="624" t="s">
        <v>6341</v>
      </c>
      <c r="E1259" s="624">
        <v>1</v>
      </c>
      <c r="F1259" s="643">
        <v>0</v>
      </c>
      <c r="G1259" s="643">
        <v>799</v>
      </c>
      <c r="H1259" s="26">
        <v>0</v>
      </c>
      <c r="I1259" s="26">
        <f t="shared" si="130"/>
        <v>266.33333333333331</v>
      </c>
      <c r="J1259" s="1340" t="e">
        <f t="shared" si="128"/>
        <v>#DIV/0!</v>
      </c>
      <c r="K1259" s="1339">
        <f t="shared" si="129"/>
        <v>2.3201465380161381E-3</v>
      </c>
    </row>
    <row r="1260" spans="1:11" s="12" customFormat="1" ht="15" x14ac:dyDescent="0.25">
      <c r="A1260" s="1081"/>
      <c r="B1260" s="570" t="s">
        <v>2965</v>
      </c>
      <c r="C1260" s="1345">
        <v>8</v>
      </c>
      <c r="D1260" s="570" t="s">
        <v>4944</v>
      </c>
      <c r="E1260" s="570"/>
      <c r="F1260" s="642">
        <f>SUM(F1261:F1310)</f>
        <v>128148.75</v>
      </c>
      <c r="G1260" s="642">
        <f>SUM(G1261:G1310)</f>
        <v>215427.05000000002</v>
      </c>
      <c r="H1260" s="642">
        <f>SUM(H1261:H1310)</f>
        <v>0</v>
      </c>
      <c r="I1260" s="642">
        <f>SUM(I1261:I1310)</f>
        <v>114525.26666666666</v>
      </c>
      <c r="J1260" s="1338">
        <f t="shared" si="128"/>
        <v>1.6810702406383209</v>
      </c>
      <c r="K1260" s="1337">
        <f t="shared" si="129"/>
        <v>0.99767985346198396</v>
      </c>
    </row>
    <row r="1261" spans="1:11" ht="15" x14ac:dyDescent="0.25">
      <c r="A1261" s="1341"/>
      <c r="B1261" s="624">
        <v>116000</v>
      </c>
      <c r="C1261" s="1344">
        <v>331900400000000</v>
      </c>
      <c r="D1261" s="624" t="s">
        <v>4961</v>
      </c>
      <c r="E1261" s="624">
        <v>1</v>
      </c>
      <c r="F1261" s="643">
        <v>0</v>
      </c>
      <c r="G1261" s="643">
        <v>0</v>
      </c>
      <c r="H1261" s="26">
        <v>0</v>
      </c>
      <c r="I1261" s="26">
        <f t="shared" ref="I1261:I1292" si="131">(F1261+G1261+H1261)/3</f>
        <v>0</v>
      </c>
      <c r="J1261" s="1340" t="e">
        <f t="shared" si="128"/>
        <v>#DIV/0!</v>
      </c>
      <c r="K1261" s="1339">
        <f t="shared" si="129"/>
        <v>0</v>
      </c>
    </row>
    <row r="1262" spans="1:11" ht="15" x14ac:dyDescent="0.25">
      <c r="A1262" s="1341"/>
      <c r="B1262" s="624">
        <v>118500</v>
      </c>
      <c r="C1262" s="1344">
        <v>331900400000000</v>
      </c>
      <c r="D1262" s="624" t="s">
        <v>6351</v>
      </c>
      <c r="E1262" s="624">
        <v>1</v>
      </c>
      <c r="F1262" s="643">
        <v>0</v>
      </c>
      <c r="G1262" s="643">
        <v>0</v>
      </c>
      <c r="H1262" s="26">
        <v>0</v>
      </c>
      <c r="I1262" s="26">
        <f t="shared" si="131"/>
        <v>0</v>
      </c>
      <c r="J1262" s="1340" t="e">
        <f t="shared" si="128"/>
        <v>#DIV/0!</v>
      </c>
      <c r="K1262" s="1339">
        <f t="shared" si="129"/>
        <v>0</v>
      </c>
    </row>
    <row r="1263" spans="1:11" ht="15" x14ac:dyDescent="0.25">
      <c r="A1263" s="1341"/>
      <c r="B1263" s="624">
        <v>116050</v>
      </c>
      <c r="C1263" s="1344">
        <v>331900800000000</v>
      </c>
      <c r="D1263" s="624" t="s">
        <v>7497</v>
      </c>
      <c r="E1263" s="624">
        <v>1</v>
      </c>
      <c r="F1263" s="643">
        <v>0</v>
      </c>
      <c r="G1263" s="643">
        <v>0</v>
      </c>
      <c r="H1263" s="26">
        <v>0</v>
      </c>
      <c r="I1263" s="26">
        <f t="shared" si="131"/>
        <v>0</v>
      </c>
      <c r="J1263" s="1340" t="e">
        <f t="shared" si="128"/>
        <v>#DIV/0!</v>
      </c>
      <c r="K1263" s="1339">
        <f t="shared" si="129"/>
        <v>0</v>
      </c>
    </row>
    <row r="1264" spans="1:11" ht="15" x14ac:dyDescent="0.25">
      <c r="A1264" s="1341"/>
      <c r="B1264" s="624">
        <v>118530</v>
      </c>
      <c r="C1264" s="1344">
        <v>331900800000000</v>
      </c>
      <c r="D1264" s="624" t="s">
        <v>6352</v>
      </c>
      <c r="E1264" s="624">
        <v>1</v>
      </c>
      <c r="F1264" s="643">
        <v>0</v>
      </c>
      <c r="G1264" s="643">
        <v>0</v>
      </c>
      <c r="H1264" s="26">
        <v>0</v>
      </c>
      <c r="I1264" s="26">
        <f t="shared" si="131"/>
        <v>0</v>
      </c>
      <c r="J1264" s="1340" t="e">
        <f t="shared" si="128"/>
        <v>#DIV/0!</v>
      </c>
      <c r="K1264" s="1339">
        <f t="shared" si="129"/>
        <v>0</v>
      </c>
    </row>
    <row r="1265" spans="1:11" ht="15" x14ac:dyDescent="0.25">
      <c r="A1265" s="1341"/>
      <c r="B1265" s="624">
        <v>116100</v>
      </c>
      <c r="C1265" s="1344">
        <v>331901100000000</v>
      </c>
      <c r="D1265" s="624" t="s">
        <v>4962</v>
      </c>
      <c r="E1265" s="624">
        <v>1</v>
      </c>
      <c r="F1265" s="643">
        <v>16265.41</v>
      </c>
      <c r="G1265" s="643">
        <v>37112.1</v>
      </c>
      <c r="H1265" s="26">
        <v>0</v>
      </c>
      <c r="I1265" s="26">
        <f t="shared" si="131"/>
        <v>17792.50333333333</v>
      </c>
      <c r="J1265" s="1340">
        <f t="shared" si="128"/>
        <v>2.2816578247950714</v>
      </c>
      <c r="K1265" s="1339">
        <f t="shared" si="129"/>
        <v>0.15499830417324378</v>
      </c>
    </row>
    <row r="1266" spans="1:11" ht="15" x14ac:dyDescent="0.25">
      <c r="A1266" s="1341"/>
      <c r="B1266" s="624">
        <v>118560</v>
      </c>
      <c r="C1266" s="1344">
        <v>331901100000000</v>
      </c>
      <c r="D1266" s="624" t="s">
        <v>6353</v>
      </c>
      <c r="E1266" s="624">
        <v>1</v>
      </c>
      <c r="F1266" s="643">
        <v>0</v>
      </c>
      <c r="G1266" s="643">
        <v>0</v>
      </c>
      <c r="H1266" s="26">
        <v>0</v>
      </c>
      <c r="I1266" s="26">
        <f t="shared" si="131"/>
        <v>0</v>
      </c>
      <c r="J1266" s="1340" t="e">
        <f t="shared" si="128"/>
        <v>#DIV/0!</v>
      </c>
      <c r="K1266" s="1339">
        <f t="shared" si="129"/>
        <v>0</v>
      </c>
    </row>
    <row r="1267" spans="1:11" ht="15" x14ac:dyDescent="0.25">
      <c r="A1267" s="1341"/>
      <c r="B1267" s="624">
        <v>116200</v>
      </c>
      <c r="C1267" s="1344">
        <v>331901300000000</v>
      </c>
      <c r="D1267" s="624" t="s">
        <v>4963</v>
      </c>
      <c r="E1267" s="624">
        <v>1</v>
      </c>
      <c r="F1267" s="643">
        <v>3569.86</v>
      </c>
      <c r="G1267" s="643">
        <v>9194.77</v>
      </c>
      <c r="H1267" s="26">
        <v>0</v>
      </c>
      <c r="I1267" s="26">
        <f t="shared" si="131"/>
        <v>4254.876666666667</v>
      </c>
      <c r="J1267" s="1340">
        <f t="shared" si="128"/>
        <v>2.5756668328729977</v>
      </c>
      <c r="K1267" s="1339">
        <f t="shared" si="129"/>
        <v>3.7066097751635725E-2</v>
      </c>
    </row>
    <row r="1268" spans="1:11" ht="15" x14ac:dyDescent="0.25">
      <c r="A1268" s="1341"/>
      <c r="B1268" s="624">
        <v>118600</v>
      </c>
      <c r="C1268" s="1344">
        <v>331901300000000</v>
      </c>
      <c r="D1268" s="624" t="s">
        <v>6354</v>
      </c>
      <c r="E1268" s="624">
        <v>1</v>
      </c>
      <c r="F1268" s="643">
        <v>0</v>
      </c>
      <c r="G1268" s="643">
        <v>0</v>
      </c>
      <c r="H1268" s="26">
        <v>0</v>
      </c>
      <c r="I1268" s="26">
        <f t="shared" si="131"/>
        <v>0</v>
      </c>
      <c r="J1268" s="1340" t="e">
        <f t="shared" si="128"/>
        <v>#DIV/0!</v>
      </c>
      <c r="K1268" s="1339">
        <f t="shared" si="129"/>
        <v>0</v>
      </c>
    </row>
    <row r="1269" spans="1:11" ht="15" x14ac:dyDescent="0.25">
      <c r="A1269" s="1341"/>
      <c r="B1269" s="624">
        <v>116300</v>
      </c>
      <c r="C1269" s="1344">
        <v>331901600000000</v>
      </c>
      <c r="D1269" s="624" t="s">
        <v>4964</v>
      </c>
      <c r="E1269" s="624">
        <v>1</v>
      </c>
      <c r="F1269" s="643">
        <v>0</v>
      </c>
      <c r="G1269" s="643">
        <v>0</v>
      </c>
      <c r="H1269" s="26">
        <v>0</v>
      </c>
      <c r="I1269" s="26">
        <f t="shared" si="131"/>
        <v>0</v>
      </c>
      <c r="J1269" s="1340" t="e">
        <f t="shared" si="128"/>
        <v>#DIV/0!</v>
      </c>
      <c r="K1269" s="1339">
        <f t="shared" si="129"/>
        <v>0</v>
      </c>
    </row>
    <row r="1270" spans="1:11" ht="15" x14ac:dyDescent="0.25">
      <c r="A1270" s="1341"/>
      <c r="B1270" s="624">
        <v>118630</v>
      </c>
      <c r="C1270" s="1344">
        <v>331901600000000</v>
      </c>
      <c r="D1270" s="624" t="s">
        <v>6355</v>
      </c>
      <c r="E1270" s="624">
        <v>1</v>
      </c>
      <c r="F1270" s="643">
        <v>0</v>
      </c>
      <c r="G1270" s="643">
        <v>0</v>
      </c>
      <c r="H1270" s="26">
        <v>0</v>
      </c>
      <c r="I1270" s="26">
        <f t="shared" si="131"/>
        <v>0</v>
      </c>
      <c r="J1270" s="1340" t="e">
        <f t="shared" si="128"/>
        <v>#DIV/0!</v>
      </c>
      <c r="K1270" s="1339">
        <f t="shared" si="129"/>
        <v>0</v>
      </c>
    </row>
    <row r="1271" spans="1:11" ht="15" x14ac:dyDescent="0.25">
      <c r="A1271" s="1341"/>
      <c r="B1271" s="624">
        <v>116350</v>
      </c>
      <c r="C1271" s="1344">
        <v>331903400000000</v>
      </c>
      <c r="D1271" s="624" t="s">
        <v>6343</v>
      </c>
      <c r="E1271" s="624">
        <v>1</v>
      </c>
      <c r="F1271" s="643">
        <v>0</v>
      </c>
      <c r="G1271" s="643">
        <v>4969</v>
      </c>
      <c r="H1271" s="26">
        <v>0</v>
      </c>
      <c r="I1271" s="26">
        <f t="shared" si="131"/>
        <v>1656.3333333333333</v>
      </c>
      <c r="J1271" s="1340" t="e">
        <f t="shared" si="128"/>
        <v>#DIV/0!</v>
      </c>
      <c r="K1271" s="1339">
        <f t="shared" si="129"/>
        <v>1.4429046492368199E-2</v>
      </c>
    </row>
    <row r="1272" spans="1:11" ht="15" x14ac:dyDescent="0.25">
      <c r="A1272" s="1341"/>
      <c r="B1272" s="624">
        <v>118650</v>
      </c>
      <c r="C1272" s="1344">
        <v>331903400000000</v>
      </c>
      <c r="D1272" s="624" t="s">
        <v>6356</v>
      </c>
      <c r="E1272" s="624">
        <v>1</v>
      </c>
      <c r="F1272" s="643">
        <v>0</v>
      </c>
      <c r="G1272" s="643">
        <v>0</v>
      </c>
      <c r="H1272" s="26">
        <v>0</v>
      </c>
      <c r="I1272" s="26">
        <f t="shared" si="131"/>
        <v>0</v>
      </c>
      <c r="J1272" s="1340" t="e">
        <f t="shared" si="128"/>
        <v>#DIV/0!</v>
      </c>
      <c r="K1272" s="1339">
        <f t="shared" si="129"/>
        <v>0</v>
      </c>
    </row>
    <row r="1273" spans="1:11" ht="15" x14ac:dyDescent="0.25">
      <c r="A1273" s="1341"/>
      <c r="B1273" s="624">
        <v>116400</v>
      </c>
      <c r="C1273" s="1344">
        <v>331909400000000</v>
      </c>
      <c r="D1273" s="624" t="s">
        <v>4966</v>
      </c>
      <c r="E1273" s="624">
        <v>1</v>
      </c>
      <c r="F1273" s="643">
        <v>992.44</v>
      </c>
      <c r="G1273" s="643">
        <v>732.45</v>
      </c>
      <c r="H1273" s="26">
        <v>0</v>
      </c>
      <c r="I1273" s="26">
        <f t="shared" si="131"/>
        <v>574.96333333333337</v>
      </c>
      <c r="J1273" s="1340">
        <f t="shared" si="128"/>
        <v>0.73802950304300508</v>
      </c>
      <c r="K1273" s="1339">
        <f t="shared" si="129"/>
        <v>5.0087578998231005E-3</v>
      </c>
    </row>
    <row r="1274" spans="1:11" ht="15" x14ac:dyDescent="0.25">
      <c r="A1274" s="1341"/>
      <c r="B1274" s="624">
        <v>118670</v>
      </c>
      <c r="C1274" s="1344">
        <v>331909400000000</v>
      </c>
      <c r="D1274" s="624" t="s">
        <v>6357</v>
      </c>
      <c r="E1274" s="624">
        <v>1</v>
      </c>
      <c r="F1274" s="643">
        <v>0</v>
      </c>
      <c r="G1274" s="643">
        <v>0</v>
      </c>
      <c r="H1274" s="26">
        <v>0</v>
      </c>
      <c r="I1274" s="26">
        <f t="shared" si="131"/>
        <v>0</v>
      </c>
      <c r="J1274" s="1340" t="e">
        <f t="shared" si="128"/>
        <v>#DIV/0!</v>
      </c>
      <c r="K1274" s="1339">
        <f t="shared" si="129"/>
        <v>0</v>
      </c>
    </row>
    <row r="1275" spans="1:11" ht="15" x14ac:dyDescent="0.25">
      <c r="A1275" s="1341"/>
      <c r="B1275" s="624">
        <v>116600</v>
      </c>
      <c r="C1275" s="1344">
        <v>333901400000000</v>
      </c>
      <c r="D1275" s="624" t="s">
        <v>4967</v>
      </c>
      <c r="E1275" s="624">
        <v>1</v>
      </c>
      <c r="F1275" s="643">
        <v>1932</v>
      </c>
      <c r="G1275" s="643">
        <v>1530</v>
      </c>
      <c r="H1275" s="26">
        <v>0</v>
      </c>
      <c r="I1275" s="26">
        <f t="shared" si="131"/>
        <v>1154</v>
      </c>
      <c r="J1275" s="1340">
        <f t="shared" si="128"/>
        <v>0.79192546583850931</v>
      </c>
      <c r="K1275" s="1339">
        <f t="shared" si="129"/>
        <v>1.0053000393757035E-2</v>
      </c>
    </row>
    <row r="1276" spans="1:11" ht="15" x14ac:dyDescent="0.25">
      <c r="A1276" s="1341"/>
      <c r="B1276" s="624">
        <v>118190</v>
      </c>
      <c r="C1276" s="1344">
        <v>333901400000000</v>
      </c>
      <c r="D1276" s="624" t="s">
        <v>6347</v>
      </c>
      <c r="E1276" s="624">
        <v>1</v>
      </c>
      <c r="F1276" s="643">
        <v>0</v>
      </c>
      <c r="G1276" s="643">
        <v>0</v>
      </c>
      <c r="H1276" s="26">
        <v>0</v>
      </c>
      <c r="I1276" s="26">
        <f t="shared" si="131"/>
        <v>0</v>
      </c>
      <c r="J1276" s="1340" t="e">
        <f t="shared" si="128"/>
        <v>#DIV/0!</v>
      </c>
      <c r="K1276" s="1339">
        <f t="shared" si="129"/>
        <v>0</v>
      </c>
    </row>
    <row r="1277" spans="1:11" ht="15" x14ac:dyDescent="0.25">
      <c r="A1277" s="1341"/>
      <c r="B1277" s="624">
        <v>118690</v>
      </c>
      <c r="C1277" s="1344">
        <v>333901400000000</v>
      </c>
      <c r="D1277" s="624" t="s">
        <v>4983</v>
      </c>
      <c r="E1277" s="624">
        <v>1</v>
      </c>
      <c r="F1277" s="643">
        <v>0</v>
      </c>
      <c r="G1277" s="643">
        <v>0</v>
      </c>
      <c r="H1277" s="26">
        <v>0</v>
      </c>
      <c r="I1277" s="26">
        <f t="shared" si="131"/>
        <v>0</v>
      </c>
      <c r="J1277" s="1340" t="e">
        <f t="shared" si="128"/>
        <v>#DIV/0!</v>
      </c>
      <c r="K1277" s="1339">
        <f t="shared" si="129"/>
        <v>0</v>
      </c>
    </row>
    <row r="1278" spans="1:11" ht="15" x14ac:dyDescent="0.25">
      <c r="A1278" s="1341"/>
      <c r="B1278" s="624">
        <v>116700</v>
      </c>
      <c r="C1278" s="1344">
        <v>333903000000000</v>
      </c>
      <c r="D1278" s="624" t="s">
        <v>4968</v>
      </c>
      <c r="E1278" s="624">
        <v>1</v>
      </c>
      <c r="F1278" s="643">
        <v>0</v>
      </c>
      <c r="G1278" s="643">
        <v>0</v>
      </c>
      <c r="H1278" s="26">
        <v>0</v>
      </c>
      <c r="I1278" s="26">
        <f t="shared" si="131"/>
        <v>0</v>
      </c>
      <c r="J1278" s="1340" t="e">
        <f t="shared" si="128"/>
        <v>#DIV/0!</v>
      </c>
      <c r="K1278" s="1339">
        <f t="shared" si="129"/>
        <v>0</v>
      </c>
    </row>
    <row r="1279" spans="1:11" ht="15" x14ac:dyDescent="0.25">
      <c r="A1279" s="1341"/>
      <c r="B1279" s="624">
        <v>118710</v>
      </c>
      <c r="C1279" s="1344">
        <v>333903000000000</v>
      </c>
      <c r="D1279" s="624" t="s">
        <v>4984</v>
      </c>
      <c r="E1279" s="624">
        <v>1</v>
      </c>
      <c r="F1279" s="643">
        <v>51880.800000000003</v>
      </c>
      <c r="G1279" s="643">
        <v>97086.25</v>
      </c>
      <c r="H1279" s="26">
        <v>0</v>
      </c>
      <c r="I1279" s="26">
        <f t="shared" si="131"/>
        <v>49655.683333333327</v>
      </c>
      <c r="J1279" s="1340">
        <f t="shared" ref="J1279:J1311" si="132">(G1279/F1279)+(H1279/G1279)/2</f>
        <v>1.8713329401242849</v>
      </c>
      <c r="K1279" s="1339">
        <f t="shared" ref="K1279:K1310" si="133">I1279/I$1311</f>
        <v>0.43257244722900745</v>
      </c>
    </row>
    <row r="1280" spans="1:11" ht="15" x14ac:dyDescent="0.25">
      <c r="A1280" s="1341"/>
      <c r="B1280" s="624">
        <v>118750</v>
      </c>
      <c r="C1280" s="1344">
        <v>333903100000000</v>
      </c>
      <c r="D1280" s="624" t="s">
        <v>4985</v>
      </c>
      <c r="E1280" s="624">
        <v>1</v>
      </c>
      <c r="F1280" s="643">
        <v>0</v>
      </c>
      <c r="G1280" s="643">
        <v>0</v>
      </c>
      <c r="H1280" s="26">
        <v>0</v>
      </c>
      <c r="I1280" s="26">
        <f t="shared" si="131"/>
        <v>0</v>
      </c>
      <c r="J1280" s="1340" t="e">
        <f t="shared" si="132"/>
        <v>#DIV/0!</v>
      </c>
      <c r="K1280" s="1339">
        <f t="shared" si="133"/>
        <v>0</v>
      </c>
    </row>
    <row r="1281" spans="1:11" ht="15" x14ac:dyDescent="0.25">
      <c r="A1281" s="1341"/>
      <c r="B1281" s="624">
        <v>116900</v>
      </c>
      <c r="C1281" s="1344">
        <v>333903200000000</v>
      </c>
      <c r="D1281" s="624" t="s">
        <v>4969</v>
      </c>
      <c r="E1281" s="624">
        <v>1</v>
      </c>
      <c r="F1281" s="643">
        <v>0</v>
      </c>
      <c r="G1281" s="643">
        <v>0</v>
      </c>
      <c r="H1281" s="26">
        <v>0</v>
      </c>
      <c r="I1281" s="26">
        <f t="shared" si="131"/>
        <v>0</v>
      </c>
      <c r="J1281" s="1340" t="e">
        <f t="shared" si="132"/>
        <v>#DIV/0!</v>
      </c>
      <c r="K1281" s="1339">
        <f t="shared" si="133"/>
        <v>0</v>
      </c>
    </row>
    <row r="1282" spans="1:11" ht="15" x14ac:dyDescent="0.25">
      <c r="A1282" s="1341"/>
      <c r="B1282" s="624">
        <v>118770</v>
      </c>
      <c r="C1282" s="1344">
        <v>333903200000000</v>
      </c>
      <c r="D1282" s="624" t="s">
        <v>6358</v>
      </c>
      <c r="E1282" s="624">
        <v>1</v>
      </c>
      <c r="F1282" s="643">
        <v>2483.41</v>
      </c>
      <c r="G1282" s="643">
        <v>0</v>
      </c>
      <c r="H1282" s="26">
        <v>0</v>
      </c>
      <c r="I1282" s="26">
        <f t="shared" si="131"/>
        <v>827.80333333333328</v>
      </c>
      <c r="J1282" s="1340" t="e">
        <f t="shared" si="132"/>
        <v>#DIV/0!</v>
      </c>
      <c r="K1282" s="1339">
        <f t="shared" si="133"/>
        <v>7.2113580900809238E-3</v>
      </c>
    </row>
    <row r="1283" spans="1:11" ht="15" x14ac:dyDescent="0.25">
      <c r="A1283" s="1341"/>
      <c r="B1283" s="624">
        <v>117000</v>
      </c>
      <c r="C1283" s="1344">
        <v>333903300000000</v>
      </c>
      <c r="D1283" s="624" t="s">
        <v>4970</v>
      </c>
      <c r="E1283" s="624">
        <v>1</v>
      </c>
      <c r="F1283" s="643">
        <v>0</v>
      </c>
      <c r="G1283" s="643">
        <v>0</v>
      </c>
      <c r="H1283" s="26">
        <v>0</v>
      </c>
      <c r="I1283" s="26">
        <f t="shared" si="131"/>
        <v>0</v>
      </c>
      <c r="J1283" s="1340" t="e">
        <f t="shared" si="132"/>
        <v>#DIV/0!</v>
      </c>
      <c r="K1283" s="1339">
        <f t="shared" si="133"/>
        <v>0</v>
      </c>
    </row>
    <row r="1284" spans="1:11" ht="15" x14ac:dyDescent="0.25">
      <c r="A1284" s="1341"/>
      <c r="B1284" s="624">
        <v>118210</v>
      </c>
      <c r="C1284" s="1344">
        <v>333903300000000</v>
      </c>
      <c r="D1284" s="624" t="s">
        <v>6346</v>
      </c>
      <c r="E1284" s="624">
        <v>1</v>
      </c>
      <c r="F1284" s="643">
        <v>0</v>
      </c>
      <c r="G1284" s="643">
        <v>38.25</v>
      </c>
      <c r="H1284" s="26">
        <v>0</v>
      </c>
      <c r="I1284" s="26">
        <f t="shared" si="131"/>
        <v>12.75</v>
      </c>
      <c r="J1284" s="1340" t="e">
        <f t="shared" si="132"/>
        <v>#DIV/0!</v>
      </c>
      <c r="K1284" s="1339">
        <f t="shared" si="133"/>
        <v>1.110708449050279E-4</v>
      </c>
    </row>
    <row r="1285" spans="1:11" ht="15" x14ac:dyDescent="0.25">
      <c r="A1285" s="1341"/>
      <c r="B1285" s="624">
        <v>118790</v>
      </c>
      <c r="C1285" s="1344">
        <v>333903300000000</v>
      </c>
      <c r="D1285" s="624" t="s">
        <v>4987</v>
      </c>
      <c r="E1285" s="624">
        <v>1</v>
      </c>
      <c r="F1285" s="643">
        <v>0</v>
      </c>
      <c r="G1285" s="643">
        <v>0</v>
      </c>
      <c r="H1285" s="26">
        <v>0</v>
      </c>
      <c r="I1285" s="26">
        <f t="shared" si="131"/>
        <v>0</v>
      </c>
      <c r="J1285" s="1340" t="e">
        <f t="shared" si="132"/>
        <v>#DIV/0!</v>
      </c>
      <c r="K1285" s="1339">
        <f t="shared" si="133"/>
        <v>0</v>
      </c>
    </row>
    <row r="1286" spans="1:11" ht="15" x14ac:dyDescent="0.25">
      <c r="A1286" s="1341"/>
      <c r="B1286" s="624">
        <v>117100</v>
      </c>
      <c r="C1286" s="1344">
        <v>333903600000000</v>
      </c>
      <c r="D1286" s="624" t="s">
        <v>4951</v>
      </c>
      <c r="E1286" s="624">
        <v>1</v>
      </c>
      <c r="F1286" s="643">
        <v>0</v>
      </c>
      <c r="G1286" s="643">
        <v>0</v>
      </c>
      <c r="H1286" s="26">
        <v>0</v>
      </c>
      <c r="I1286" s="26">
        <f t="shared" si="131"/>
        <v>0</v>
      </c>
      <c r="J1286" s="1340" t="e">
        <f t="shared" si="132"/>
        <v>#DIV/0!</v>
      </c>
      <c r="K1286" s="1339">
        <f t="shared" si="133"/>
        <v>0</v>
      </c>
    </row>
    <row r="1287" spans="1:11" ht="15" x14ac:dyDescent="0.25">
      <c r="A1287" s="1341"/>
      <c r="B1287" s="624">
        <v>118240</v>
      </c>
      <c r="C1287" s="1344">
        <v>333903600000000</v>
      </c>
      <c r="D1287" s="624" t="s">
        <v>6348</v>
      </c>
      <c r="E1287" s="624">
        <v>1</v>
      </c>
      <c r="F1287" s="643">
        <v>0</v>
      </c>
      <c r="G1287" s="643">
        <v>0</v>
      </c>
      <c r="H1287" s="26">
        <v>0</v>
      </c>
      <c r="I1287" s="26">
        <f t="shared" si="131"/>
        <v>0</v>
      </c>
      <c r="J1287" s="1340" t="e">
        <f t="shared" si="132"/>
        <v>#DIV/0!</v>
      </c>
      <c r="K1287" s="1339">
        <f t="shared" si="133"/>
        <v>0</v>
      </c>
    </row>
    <row r="1288" spans="1:11" ht="15" x14ac:dyDescent="0.25">
      <c r="A1288" s="1341"/>
      <c r="B1288" s="624">
        <v>118810</v>
      </c>
      <c r="C1288" s="1344">
        <v>333903600000000</v>
      </c>
      <c r="D1288" s="624" t="s">
        <v>4957</v>
      </c>
      <c r="E1288" s="624">
        <v>1</v>
      </c>
      <c r="F1288" s="643">
        <v>6248.79</v>
      </c>
      <c r="G1288" s="643">
        <v>4387</v>
      </c>
      <c r="H1288" s="26">
        <v>0</v>
      </c>
      <c r="I1288" s="26">
        <f t="shared" si="131"/>
        <v>3545.2633333333338</v>
      </c>
      <c r="J1288" s="1340">
        <f t="shared" si="132"/>
        <v>0.70205591802572975</v>
      </c>
      <c r="K1288" s="1339">
        <f t="shared" si="133"/>
        <v>3.088434461522737E-2</v>
      </c>
    </row>
    <row r="1289" spans="1:11" ht="15" x14ac:dyDescent="0.25">
      <c r="A1289" s="1341"/>
      <c r="B1289" s="624">
        <v>117200</v>
      </c>
      <c r="C1289" s="1344">
        <v>333903900000000</v>
      </c>
      <c r="D1289" s="624" t="s">
        <v>4952</v>
      </c>
      <c r="E1289" s="624">
        <v>1</v>
      </c>
      <c r="F1289" s="643">
        <v>0</v>
      </c>
      <c r="G1289" s="643">
        <v>0</v>
      </c>
      <c r="H1289" s="26">
        <v>0</v>
      </c>
      <c r="I1289" s="26">
        <f t="shared" si="131"/>
        <v>0</v>
      </c>
      <c r="J1289" s="1340" t="e">
        <f t="shared" si="132"/>
        <v>#DIV/0!</v>
      </c>
      <c r="K1289" s="1339">
        <f t="shared" si="133"/>
        <v>0</v>
      </c>
    </row>
    <row r="1290" spans="1:11" ht="15" x14ac:dyDescent="0.25">
      <c r="A1290" s="1341"/>
      <c r="B1290" s="624">
        <v>118270</v>
      </c>
      <c r="C1290" s="1344">
        <v>333903900000000</v>
      </c>
      <c r="D1290" s="624" t="s">
        <v>6372</v>
      </c>
      <c r="E1290" s="624">
        <v>1</v>
      </c>
      <c r="F1290" s="643">
        <v>0</v>
      </c>
      <c r="G1290" s="643">
        <v>0</v>
      </c>
      <c r="H1290" s="26">
        <v>0</v>
      </c>
      <c r="I1290" s="26">
        <f t="shared" si="131"/>
        <v>0</v>
      </c>
      <c r="J1290" s="1340" t="e">
        <f t="shared" si="132"/>
        <v>#DIV/0!</v>
      </c>
      <c r="K1290" s="1339">
        <f t="shared" si="133"/>
        <v>0</v>
      </c>
    </row>
    <row r="1291" spans="1:11" ht="15" x14ac:dyDescent="0.25">
      <c r="A1291" s="1341"/>
      <c r="B1291" s="624">
        <v>118850</v>
      </c>
      <c r="C1291" s="1344">
        <v>333903900000000</v>
      </c>
      <c r="D1291" s="624" t="s">
        <v>4958</v>
      </c>
      <c r="E1291" s="624">
        <v>1</v>
      </c>
      <c r="F1291" s="643">
        <v>41329.31</v>
      </c>
      <c r="G1291" s="643">
        <v>58949.23</v>
      </c>
      <c r="H1291" s="26">
        <v>0</v>
      </c>
      <c r="I1291" s="26">
        <f t="shared" si="131"/>
        <v>33426.18</v>
      </c>
      <c r="J1291" s="1340">
        <f t="shared" si="132"/>
        <v>1.4263298854977255</v>
      </c>
      <c r="K1291" s="1339">
        <f t="shared" si="133"/>
        <v>0.2911901219252977</v>
      </c>
    </row>
    <row r="1292" spans="1:11" ht="15" x14ac:dyDescent="0.25">
      <c r="A1292" s="1341"/>
      <c r="B1292" s="624">
        <v>118130</v>
      </c>
      <c r="C1292" s="1344">
        <v>333904000000000</v>
      </c>
      <c r="D1292" s="624" t="s">
        <v>7496</v>
      </c>
      <c r="E1292" s="624">
        <v>1</v>
      </c>
      <c r="F1292" s="643">
        <v>0</v>
      </c>
      <c r="G1292" s="643">
        <v>0</v>
      </c>
      <c r="H1292" s="26">
        <v>0</v>
      </c>
      <c r="I1292" s="26">
        <f t="shared" si="131"/>
        <v>0</v>
      </c>
      <c r="J1292" s="1340" t="e">
        <f t="shared" si="132"/>
        <v>#DIV/0!</v>
      </c>
      <c r="K1292" s="1339">
        <f t="shared" si="133"/>
        <v>0</v>
      </c>
    </row>
    <row r="1293" spans="1:11" ht="15" x14ac:dyDescent="0.25">
      <c r="A1293" s="1341"/>
      <c r="B1293" s="624">
        <v>118160</v>
      </c>
      <c r="C1293" s="1344">
        <v>333904000000000</v>
      </c>
      <c r="D1293" s="624" t="s">
        <v>7495</v>
      </c>
      <c r="E1293" s="624">
        <v>1</v>
      </c>
      <c r="F1293" s="643">
        <v>0</v>
      </c>
      <c r="G1293" s="643">
        <v>0</v>
      </c>
      <c r="H1293" s="26">
        <v>0</v>
      </c>
      <c r="I1293" s="26">
        <f t="shared" ref="I1293:I1310" si="134">(F1293+G1293+H1293)/3</f>
        <v>0</v>
      </c>
      <c r="J1293" s="1340" t="e">
        <f t="shared" si="132"/>
        <v>#DIV/0!</v>
      </c>
      <c r="K1293" s="1339">
        <f t="shared" si="133"/>
        <v>0</v>
      </c>
    </row>
    <row r="1294" spans="1:11" ht="15" x14ac:dyDescent="0.25">
      <c r="A1294" s="1341"/>
      <c r="B1294" s="624">
        <v>117400</v>
      </c>
      <c r="C1294" s="1344">
        <v>333904600000000</v>
      </c>
      <c r="D1294" s="624" t="s">
        <v>4971</v>
      </c>
      <c r="E1294" s="624">
        <v>1</v>
      </c>
      <c r="F1294" s="643">
        <v>0</v>
      </c>
      <c r="G1294" s="643">
        <v>0</v>
      </c>
      <c r="H1294" s="26">
        <v>0</v>
      </c>
      <c r="I1294" s="26">
        <f t="shared" si="134"/>
        <v>0</v>
      </c>
      <c r="J1294" s="1340" t="e">
        <f t="shared" si="132"/>
        <v>#DIV/0!</v>
      </c>
      <c r="K1294" s="1339">
        <f t="shared" si="133"/>
        <v>0</v>
      </c>
    </row>
    <row r="1295" spans="1:11" ht="15" x14ac:dyDescent="0.25">
      <c r="A1295" s="1341"/>
      <c r="B1295" s="624">
        <v>118870</v>
      </c>
      <c r="C1295" s="1344">
        <v>333904600000000</v>
      </c>
      <c r="D1295" s="624" t="s">
        <v>4988</v>
      </c>
      <c r="E1295" s="624">
        <v>1</v>
      </c>
      <c r="F1295" s="643">
        <v>0</v>
      </c>
      <c r="G1295" s="643">
        <v>0</v>
      </c>
      <c r="H1295" s="26">
        <v>0</v>
      </c>
      <c r="I1295" s="26">
        <f t="shared" si="134"/>
        <v>0</v>
      </c>
      <c r="J1295" s="1340" t="e">
        <f t="shared" si="132"/>
        <v>#DIV/0!</v>
      </c>
      <c r="K1295" s="1339">
        <f t="shared" si="133"/>
        <v>0</v>
      </c>
    </row>
    <row r="1296" spans="1:11" ht="15" x14ac:dyDescent="0.25">
      <c r="A1296" s="1341"/>
      <c r="B1296" s="624">
        <v>117500</v>
      </c>
      <c r="C1296" s="1344">
        <v>333904700000000</v>
      </c>
      <c r="D1296" s="624" t="s">
        <v>6344</v>
      </c>
      <c r="E1296" s="624">
        <v>1</v>
      </c>
      <c r="F1296" s="643">
        <v>0</v>
      </c>
      <c r="G1296" s="643">
        <v>0</v>
      </c>
      <c r="H1296" s="26">
        <v>0</v>
      </c>
      <c r="I1296" s="26">
        <f t="shared" si="134"/>
        <v>0</v>
      </c>
      <c r="J1296" s="1340" t="e">
        <f t="shared" si="132"/>
        <v>#DIV/0!</v>
      </c>
      <c r="K1296" s="1339">
        <f t="shared" si="133"/>
        <v>0</v>
      </c>
    </row>
    <row r="1297" spans="1:11" ht="15" x14ac:dyDescent="0.25">
      <c r="A1297" s="1341"/>
      <c r="B1297" s="624">
        <v>118300</v>
      </c>
      <c r="C1297" s="1344">
        <v>333904700000000</v>
      </c>
      <c r="D1297" s="624" t="s">
        <v>6350</v>
      </c>
      <c r="E1297" s="624">
        <v>1</v>
      </c>
      <c r="F1297" s="643">
        <v>0</v>
      </c>
      <c r="G1297" s="643">
        <v>0</v>
      </c>
      <c r="H1297" s="26">
        <v>0</v>
      </c>
      <c r="I1297" s="26">
        <f t="shared" si="134"/>
        <v>0</v>
      </c>
      <c r="J1297" s="1340" t="e">
        <f t="shared" si="132"/>
        <v>#DIV/0!</v>
      </c>
      <c r="K1297" s="1339">
        <f t="shared" si="133"/>
        <v>0</v>
      </c>
    </row>
    <row r="1298" spans="1:11" ht="15" x14ac:dyDescent="0.25">
      <c r="A1298" s="1341"/>
      <c r="B1298" s="624">
        <v>118890</v>
      </c>
      <c r="C1298" s="1344">
        <v>333904700000000</v>
      </c>
      <c r="D1298" s="624" t="s">
        <v>6359</v>
      </c>
      <c r="E1298" s="624">
        <v>1</v>
      </c>
      <c r="F1298" s="643">
        <v>1415.76</v>
      </c>
      <c r="G1298" s="643">
        <v>153</v>
      </c>
      <c r="H1298" s="26">
        <v>0</v>
      </c>
      <c r="I1298" s="26">
        <f t="shared" si="134"/>
        <v>522.91999999999996</v>
      </c>
      <c r="J1298" s="1340">
        <f t="shared" si="132"/>
        <v>0.10806916426512968</v>
      </c>
      <c r="K1298" s="1339">
        <f t="shared" si="133"/>
        <v>4.5553855857048773E-3</v>
      </c>
    </row>
    <row r="1299" spans="1:11" ht="15" x14ac:dyDescent="0.25">
      <c r="A1299" s="1341"/>
      <c r="B1299" s="624">
        <v>117600</v>
      </c>
      <c r="C1299" s="1344">
        <v>333904900000000</v>
      </c>
      <c r="D1299" s="624" t="s">
        <v>4973</v>
      </c>
      <c r="E1299" s="624">
        <v>1</v>
      </c>
      <c r="F1299" s="643">
        <v>0</v>
      </c>
      <c r="G1299" s="643">
        <v>0</v>
      </c>
      <c r="H1299" s="26">
        <v>0</v>
      </c>
      <c r="I1299" s="26">
        <f t="shared" si="134"/>
        <v>0</v>
      </c>
      <c r="J1299" s="1340" t="e">
        <f t="shared" si="132"/>
        <v>#DIV/0!</v>
      </c>
      <c r="K1299" s="1339">
        <f t="shared" si="133"/>
        <v>0</v>
      </c>
    </row>
    <row r="1300" spans="1:11" ht="15" x14ac:dyDescent="0.25">
      <c r="A1300" s="1341"/>
      <c r="B1300" s="624">
        <v>118910</v>
      </c>
      <c r="C1300" s="1344">
        <v>333904900000000</v>
      </c>
      <c r="D1300" s="624" t="s">
        <v>4990</v>
      </c>
      <c r="E1300" s="624">
        <v>1</v>
      </c>
      <c r="F1300" s="643">
        <v>0</v>
      </c>
      <c r="G1300" s="643">
        <v>0</v>
      </c>
      <c r="H1300" s="26">
        <v>0</v>
      </c>
      <c r="I1300" s="26">
        <f t="shared" si="134"/>
        <v>0</v>
      </c>
      <c r="J1300" s="1340" t="e">
        <f t="shared" si="132"/>
        <v>#DIV/0!</v>
      </c>
      <c r="K1300" s="1339">
        <f t="shared" si="133"/>
        <v>0</v>
      </c>
    </row>
    <row r="1301" spans="1:11" ht="15" x14ac:dyDescent="0.25">
      <c r="A1301" s="1341"/>
      <c r="B1301" s="624">
        <v>117700</v>
      </c>
      <c r="C1301" s="1344">
        <v>333909200000000</v>
      </c>
      <c r="D1301" s="624" t="s">
        <v>4974</v>
      </c>
      <c r="E1301" s="624">
        <v>1</v>
      </c>
      <c r="F1301" s="643">
        <v>0</v>
      </c>
      <c r="G1301" s="643">
        <v>0</v>
      </c>
      <c r="H1301" s="26">
        <v>0</v>
      </c>
      <c r="I1301" s="26">
        <f t="shared" si="134"/>
        <v>0</v>
      </c>
      <c r="J1301" s="1340" t="e">
        <f t="shared" si="132"/>
        <v>#DIV/0!</v>
      </c>
      <c r="K1301" s="1339">
        <f t="shared" si="133"/>
        <v>0</v>
      </c>
    </row>
    <row r="1302" spans="1:11" ht="15" x14ac:dyDescent="0.25">
      <c r="A1302" s="1341"/>
      <c r="B1302" s="624">
        <v>118930</v>
      </c>
      <c r="C1302" s="1344">
        <v>333909200000000</v>
      </c>
      <c r="D1302" s="624" t="s">
        <v>4991</v>
      </c>
      <c r="E1302" s="624">
        <v>1</v>
      </c>
      <c r="F1302" s="643">
        <v>0</v>
      </c>
      <c r="G1302" s="643">
        <v>0</v>
      </c>
      <c r="H1302" s="26">
        <v>0</v>
      </c>
      <c r="I1302" s="26">
        <f t="shared" si="134"/>
        <v>0</v>
      </c>
      <c r="J1302" s="1340" t="e">
        <f t="shared" si="132"/>
        <v>#DIV/0!</v>
      </c>
      <c r="K1302" s="1339">
        <f t="shared" si="133"/>
        <v>0</v>
      </c>
    </row>
    <row r="1303" spans="1:11" ht="15" x14ac:dyDescent="0.25">
      <c r="A1303" s="1341"/>
      <c r="B1303" s="624">
        <v>117800</v>
      </c>
      <c r="C1303" s="1344">
        <v>333909300000000</v>
      </c>
      <c r="D1303" s="624" t="s">
        <v>4975</v>
      </c>
      <c r="E1303" s="624">
        <v>1</v>
      </c>
      <c r="F1303" s="643">
        <v>0</v>
      </c>
      <c r="G1303" s="643">
        <v>0</v>
      </c>
      <c r="H1303" s="26">
        <v>0</v>
      </c>
      <c r="I1303" s="26">
        <f t="shared" si="134"/>
        <v>0</v>
      </c>
      <c r="J1303" s="1340" t="e">
        <f t="shared" si="132"/>
        <v>#DIV/0!</v>
      </c>
      <c r="K1303" s="1339">
        <f t="shared" si="133"/>
        <v>0</v>
      </c>
    </row>
    <row r="1304" spans="1:11" ht="15" x14ac:dyDescent="0.25">
      <c r="A1304" s="1341"/>
      <c r="B1304" s="624">
        <v>118950</v>
      </c>
      <c r="C1304" s="1344">
        <v>333909300000000</v>
      </c>
      <c r="D1304" s="624" t="s">
        <v>4992</v>
      </c>
      <c r="E1304" s="624">
        <v>1</v>
      </c>
      <c r="F1304" s="643">
        <v>84.3</v>
      </c>
      <c r="G1304" s="643">
        <v>0</v>
      </c>
      <c r="H1304" s="26">
        <v>0</v>
      </c>
      <c r="I1304" s="26">
        <f t="shared" si="134"/>
        <v>28.099999999999998</v>
      </c>
      <c r="J1304" s="1340" t="e">
        <f t="shared" si="132"/>
        <v>#DIV/0!</v>
      </c>
      <c r="K1304" s="1339">
        <f t="shared" si="133"/>
        <v>2.4479143073186539E-4</v>
      </c>
    </row>
    <row r="1305" spans="1:11" ht="15" x14ac:dyDescent="0.25">
      <c r="A1305" s="1341"/>
      <c r="B1305" s="624">
        <v>117900</v>
      </c>
      <c r="C1305" s="1344">
        <v>333933000000000</v>
      </c>
      <c r="D1305" s="624" t="s">
        <v>4976</v>
      </c>
      <c r="E1305" s="624">
        <v>1</v>
      </c>
      <c r="F1305" s="643">
        <v>0</v>
      </c>
      <c r="G1305" s="643">
        <v>0</v>
      </c>
      <c r="H1305" s="26">
        <v>0</v>
      </c>
      <c r="I1305" s="26">
        <f t="shared" si="134"/>
        <v>0</v>
      </c>
      <c r="J1305" s="1340" t="e">
        <f t="shared" si="132"/>
        <v>#DIV/0!</v>
      </c>
      <c r="K1305" s="1339">
        <f t="shared" si="133"/>
        <v>0</v>
      </c>
    </row>
    <row r="1306" spans="1:11" ht="15" x14ac:dyDescent="0.25">
      <c r="A1306" s="1341"/>
      <c r="B1306" s="624">
        <v>118970</v>
      </c>
      <c r="C1306" s="1344">
        <v>333933000000000</v>
      </c>
      <c r="D1306" s="624" t="s">
        <v>4993</v>
      </c>
      <c r="E1306" s="624">
        <v>1</v>
      </c>
      <c r="F1306" s="643">
        <v>0</v>
      </c>
      <c r="G1306" s="643">
        <v>0</v>
      </c>
      <c r="H1306" s="26">
        <v>0</v>
      </c>
      <c r="I1306" s="26">
        <f t="shared" si="134"/>
        <v>0</v>
      </c>
      <c r="J1306" s="1340" t="e">
        <f t="shared" si="132"/>
        <v>#DIV/0!</v>
      </c>
      <c r="K1306" s="1339">
        <f t="shared" si="133"/>
        <v>0</v>
      </c>
    </row>
    <row r="1307" spans="1:11" ht="15" x14ac:dyDescent="0.25">
      <c r="A1307" s="1341"/>
      <c r="B1307" s="624">
        <v>118000</v>
      </c>
      <c r="C1307" s="1344">
        <v>344905100000000</v>
      </c>
      <c r="D1307" s="624" t="s">
        <v>7494</v>
      </c>
      <c r="E1307" s="624">
        <v>1</v>
      </c>
      <c r="F1307" s="643">
        <v>0</v>
      </c>
      <c r="G1307" s="643">
        <v>0</v>
      </c>
      <c r="H1307" s="26">
        <v>0</v>
      </c>
      <c r="I1307" s="26">
        <f t="shared" si="134"/>
        <v>0</v>
      </c>
      <c r="J1307" s="1340" t="e">
        <f t="shared" si="132"/>
        <v>#DIV/0!</v>
      </c>
      <c r="K1307" s="1339">
        <f t="shared" si="133"/>
        <v>0</v>
      </c>
    </row>
    <row r="1308" spans="1:11" ht="15" x14ac:dyDescent="0.25">
      <c r="A1308" s="1341"/>
      <c r="B1308" s="624">
        <v>118990</v>
      </c>
      <c r="C1308" s="1344">
        <v>344905100000000</v>
      </c>
      <c r="D1308" s="624" t="s">
        <v>4959</v>
      </c>
      <c r="E1308" s="624">
        <v>1</v>
      </c>
      <c r="F1308" s="643">
        <v>0</v>
      </c>
      <c r="G1308" s="643">
        <v>0</v>
      </c>
      <c r="H1308" s="26">
        <v>0</v>
      </c>
      <c r="I1308" s="26">
        <f t="shared" si="134"/>
        <v>0</v>
      </c>
      <c r="J1308" s="1340" t="e">
        <f t="shared" si="132"/>
        <v>#DIV/0!</v>
      </c>
      <c r="K1308" s="1339">
        <f t="shared" si="133"/>
        <v>0</v>
      </c>
    </row>
    <row r="1309" spans="1:11" ht="15" x14ac:dyDescent="0.25">
      <c r="A1309" s="1341"/>
      <c r="B1309" s="624">
        <v>118100</v>
      </c>
      <c r="C1309" s="1344">
        <v>344905200000000</v>
      </c>
      <c r="D1309" s="624" t="s">
        <v>6340</v>
      </c>
      <c r="E1309" s="624">
        <v>1</v>
      </c>
      <c r="F1309" s="643">
        <v>0</v>
      </c>
      <c r="G1309" s="643">
        <v>0</v>
      </c>
      <c r="H1309" s="26">
        <v>0</v>
      </c>
      <c r="I1309" s="26">
        <f t="shared" si="134"/>
        <v>0</v>
      </c>
      <c r="J1309" s="1340" t="e">
        <f t="shared" si="132"/>
        <v>#DIV/0!</v>
      </c>
      <c r="K1309" s="1339">
        <f t="shared" si="133"/>
        <v>0</v>
      </c>
    </row>
    <row r="1310" spans="1:11" ht="15" x14ac:dyDescent="0.25">
      <c r="A1310" s="1341"/>
      <c r="B1310" s="624">
        <v>119010</v>
      </c>
      <c r="C1310" s="1344">
        <v>344905200000000</v>
      </c>
      <c r="D1310" s="624" t="s">
        <v>4960</v>
      </c>
      <c r="E1310" s="624">
        <v>1</v>
      </c>
      <c r="F1310" s="643">
        <v>1946.67</v>
      </c>
      <c r="G1310" s="643">
        <v>1275</v>
      </c>
      <c r="H1310" s="26">
        <v>0</v>
      </c>
      <c r="I1310" s="26">
        <f t="shared" si="134"/>
        <v>1073.8900000000001</v>
      </c>
      <c r="J1310" s="1340">
        <f t="shared" si="132"/>
        <v>0.65496463190987686</v>
      </c>
      <c r="K1310" s="1339">
        <f t="shared" si="133"/>
        <v>9.3551270302008171E-3</v>
      </c>
    </row>
    <row r="1311" spans="1:11" ht="15" x14ac:dyDescent="0.25">
      <c r="B1311" s="1598" t="s">
        <v>1575</v>
      </c>
      <c r="C1311" s="1598"/>
      <c r="D1311" s="1598"/>
      <c r="E1311" s="1598"/>
      <c r="F1311" s="25">
        <f>F1247+F1260</f>
        <v>128148.75</v>
      </c>
      <c r="G1311" s="25">
        <f>G1247+G1260</f>
        <v>216226.05000000002</v>
      </c>
      <c r="H1311" s="25">
        <f>H1247+H1260</f>
        <v>0</v>
      </c>
      <c r="I1311" s="25">
        <f>I1247+I1260</f>
        <v>114791.59999999999</v>
      </c>
      <c r="J1311" s="1338">
        <f t="shared" si="132"/>
        <v>1.6873051824539842</v>
      </c>
      <c r="K1311" s="1338">
        <f>I1311/I$1310</f>
        <v>106.89325722373798</v>
      </c>
    </row>
    <row r="1314" spans="1:11" ht="15" x14ac:dyDescent="0.25">
      <c r="B1314" s="616" t="s">
        <v>7493</v>
      </c>
      <c r="F1314" s="643"/>
    </row>
    <row r="1315" spans="1:11" ht="45" customHeight="1" x14ac:dyDescent="0.25">
      <c r="B1315" s="1343" t="s">
        <v>2967</v>
      </c>
      <c r="C1315" s="1343" t="s">
        <v>472</v>
      </c>
      <c r="D1315" s="1343" t="s">
        <v>2968</v>
      </c>
      <c r="E1315" s="1343" t="s">
        <v>1403</v>
      </c>
      <c r="F1315" s="1081">
        <v>2017</v>
      </c>
      <c r="G1315" s="1081">
        <f>F1315+1</f>
        <v>2018</v>
      </c>
      <c r="H1315" s="1081">
        <f>G1315+1</f>
        <v>2019</v>
      </c>
      <c r="I1315" s="1082" t="s">
        <v>7336</v>
      </c>
      <c r="J1315" s="1342" t="s">
        <v>7335</v>
      </c>
      <c r="K1315" s="1342" t="s">
        <v>7334</v>
      </c>
    </row>
    <row r="1316" spans="1:11" s="12" customFormat="1" ht="15" x14ac:dyDescent="0.25">
      <c r="A1316" s="1081"/>
      <c r="B1316" s="570" t="s">
        <v>2950</v>
      </c>
      <c r="C1316" s="1345" t="s">
        <v>5013</v>
      </c>
      <c r="D1316" s="570" t="s">
        <v>5014</v>
      </c>
      <c r="E1316" s="570"/>
      <c r="F1316" s="642">
        <f>SUM(F1317:F1328)</f>
        <v>2099</v>
      </c>
      <c r="G1316" s="642">
        <f>SUM(G1317:G1328)</f>
        <v>0</v>
      </c>
      <c r="H1316" s="642">
        <f>SUM(H1317:H1328)</f>
        <v>0</v>
      </c>
      <c r="I1316" s="642">
        <f>SUM(I1317:I1328)</f>
        <v>699.66666666666663</v>
      </c>
      <c r="J1316" s="1338" t="e">
        <f t="shared" ref="J1316:J1347" si="135">(G1316/F1316)+(H1316/G1316)/2</f>
        <v>#DIV/0!</v>
      </c>
      <c r="K1316" s="1337">
        <f t="shared" ref="K1316:K1347" si="136">I1316/I$1380</f>
        <v>1.020265367182034E-2</v>
      </c>
    </row>
    <row r="1317" spans="1:11" ht="15" x14ac:dyDescent="0.25">
      <c r="A1317" s="1341"/>
      <c r="B1317" s="624">
        <v>119200</v>
      </c>
      <c r="C1317" s="1344">
        <v>333904700000000</v>
      </c>
      <c r="D1317" s="624" t="s">
        <v>6360</v>
      </c>
      <c r="E1317" s="624">
        <v>1</v>
      </c>
      <c r="F1317" s="643">
        <v>0</v>
      </c>
      <c r="G1317" s="643">
        <v>0</v>
      </c>
      <c r="H1317" s="26">
        <v>0</v>
      </c>
      <c r="I1317" s="26">
        <f t="shared" ref="I1317:I1328" si="137">(F1317+G1317+H1317)/3</f>
        <v>0</v>
      </c>
      <c r="J1317" s="1340" t="e">
        <f t="shared" si="135"/>
        <v>#DIV/0!</v>
      </c>
      <c r="K1317" s="1339">
        <f t="shared" si="136"/>
        <v>0</v>
      </c>
    </row>
    <row r="1318" spans="1:11" ht="15" x14ac:dyDescent="0.25">
      <c r="A1318" s="1341"/>
      <c r="B1318" s="624">
        <v>119410</v>
      </c>
      <c r="C1318" s="1344">
        <v>333904700000000</v>
      </c>
      <c r="D1318" s="624" t="s">
        <v>7492</v>
      </c>
      <c r="E1318" s="624">
        <v>1</v>
      </c>
      <c r="F1318" s="643">
        <v>0</v>
      </c>
      <c r="G1318" s="643">
        <v>0</v>
      </c>
      <c r="H1318" s="26">
        <v>0</v>
      </c>
      <c r="I1318" s="26">
        <f t="shared" si="137"/>
        <v>0</v>
      </c>
      <c r="J1318" s="1340" t="e">
        <f t="shared" si="135"/>
        <v>#DIV/0!</v>
      </c>
      <c r="K1318" s="1339">
        <f t="shared" si="136"/>
        <v>0</v>
      </c>
    </row>
    <row r="1319" spans="1:11" ht="15" x14ac:dyDescent="0.25">
      <c r="A1319" s="1341"/>
      <c r="B1319" s="624">
        <v>119220</v>
      </c>
      <c r="C1319" s="1344">
        <v>344903000000000</v>
      </c>
      <c r="D1319" s="624" t="s">
        <v>5018</v>
      </c>
      <c r="E1319" s="624">
        <v>1</v>
      </c>
      <c r="F1319" s="643">
        <v>0</v>
      </c>
      <c r="G1319" s="643">
        <v>0</v>
      </c>
      <c r="H1319" s="26">
        <v>0</v>
      </c>
      <c r="I1319" s="26">
        <f t="shared" si="137"/>
        <v>0</v>
      </c>
      <c r="J1319" s="1340" t="e">
        <f t="shared" si="135"/>
        <v>#DIV/0!</v>
      </c>
      <c r="K1319" s="1339">
        <f t="shared" si="136"/>
        <v>0</v>
      </c>
    </row>
    <row r="1320" spans="1:11" ht="15" x14ac:dyDescent="0.25">
      <c r="A1320" s="1341"/>
      <c r="B1320" s="624">
        <v>119430</v>
      </c>
      <c r="C1320" s="1344">
        <v>344903000000000</v>
      </c>
      <c r="D1320" s="624" t="s">
        <v>7491</v>
      </c>
      <c r="E1320" s="624">
        <v>1</v>
      </c>
      <c r="F1320" s="643">
        <v>0</v>
      </c>
      <c r="G1320" s="643">
        <v>0</v>
      </c>
      <c r="H1320" s="26">
        <v>0</v>
      </c>
      <c r="I1320" s="26">
        <f t="shared" si="137"/>
        <v>0</v>
      </c>
      <c r="J1320" s="1340" t="e">
        <f t="shared" si="135"/>
        <v>#DIV/0!</v>
      </c>
      <c r="K1320" s="1339">
        <f t="shared" si="136"/>
        <v>0</v>
      </c>
    </row>
    <row r="1321" spans="1:11" ht="15" x14ac:dyDescent="0.25">
      <c r="A1321" s="1341"/>
      <c r="B1321" s="624">
        <v>119240</v>
      </c>
      <c r="C1321" s="1344">
        <v>344903600000000</v>
      </c>
      <c r="D1321" s="624" t="s">
        <v>5019</v>
      </c>
      <c r="E1321" s="624">
        <v>1</v>
      </c>
      <c r="F1321" s="643">
        <v>0</v>
      </c>
      <c r="G1321" s="643">
        <v>0</v>
      </c>
      <c r="H1321" s="26">
        <v>0</v>
      </c>
      <c r="I1321" s="26">
        <f t="shared" si="137"/>
        <v>0</v>
      </c>
      <c r="J1321" s="1340" t="e">
        <f t="shared" si="135"/>
        <v>#DIV/0!</v>
      </c>
      <c r="K1321" s="1339">
        <f t="shared" si="136"/>
        <v>0</v>
      </c>
    </row>
    <row r="1322" spans="1:11" ht="15" x14ac:dyDescent="0.25">
      <c r="A1322" s="1341"/>
      <c r="B1322" s="624">
        <v>119450</v>
      </c>
      <c r="C1322" s="1344">
        <v>344903600000000</v>
      </c>
      <c r="D1322" s="624" t="s">
        <v>7474</v>
      </c>
      <c r="E1322" s="624">
        <v>1</v>
      </c>
      <c r="F1322" s="643">
        <v>0</v>
      </c>
      <c r="G1322" s="643">
        <v>0</v>
      </c>
      <c r="H1322" s="26">
        <v>0</v>
      </c>
      <c r="I1322" s="26">
        <f t="shared" si="137"/>
        <v>0</v>
      </c>
      <c r="J1322" s="1340" t="e">
        <f t="shared" si="135"/>
        <v>#DIV/0!</v>
      </c>
      <c r="K1322" s="1339">
        <f t="shared" si="136"/>
        <v>0</v>
      </c>
    </row>
    <row r="1323" spans="1:11" ht="15" x14ac:dyDescent="0.25">
      <c r="A1323" s="1341"/>
      <c r="B1323" s="624">
        <v>119260</v>
      </c>
      <c r="C1323" s="1344">
        <v>344903900000000</v>
      </c>
      <c r="D1323" s="624" t="s">
        <v>5020</v>
      </c>
      <c r="E1323" s="624">
        <v>1</v>
      </c>
      <c r="F1323" s="643">
        <v>0</v>
      </c>
      <c r="G1323" s="643">
        <v>0</v>
      </c>
      <c r="H1323" s="26">
        <v>0</v>
      </c>
      <c r="I1323" s="26">
        <f t="shared" si="137"/>
        <v>0</v>
      </c>
      <c r="J1323" s="1340" t="e">
        <f t="shared" si="135"/>
        <v>#DIV/0!</v>
      </c>
      <c r="K1323" s="1339">
        <f t="shared" si="136"/>
        <v>0</v>
      </c>
    </row>
    <row r="1324" spans="1:11" ht="15" x14ac:dyDescent="0.25">
      <c r="A1324" s="1341"/>
      <c r="B1324" s="624">
        <v>119470</v>
      </c>
      <c r="C1324" s="1344">
        <v>344903900000000</v>
      </c>
      <c r="D1324" s="624" t="s">
        <v>7473</v>
      </c>
      <c r="E1324" s="624">
        <v>1</v>
      </c>
      <c r="F1324" s="643">
        <v>0</v>
      </c>
      <c r="G1324" s="643">
        <v>0</v>
      </c>
      <c r="H1324" s="26">
        <v>0</v>
      </c>
      <c r="I1324" s="26">
        <f t="shared" si="137"/>
        <v>0</v>
      </c>
      <c r="J1324" s="1340" t="e">
        <f t="shared" si="135"/>
        <v>#DIV/0!</v>
      </c>
      <c r="K1324" s="1339">
        <f t="shared" si="136"/>
        <v>0</v>
      </c>
    </row>
    <row r="1325" spans="1:11" ht="15" x14ac:dyDescent="0.25">
      <c r="A1325" s="1341"/>
      <c r="B1325" s="624">
        <v>119280</v>
      </c>
      <c r="C1325" s="1344">
        <v>344905100000000</v>
      </c>
      <c r="D1325" s="624" t="s">
        <v>5021</v>
      </c>
      <c r="E1325" s="624">
        <v>1</v>
      </c>
      <c r="F1325" s="643">
        <v>0</v>
      </c>
      <c r="G1325" s="643">
        <v>0</v>
      </c>
      <c r="H1325" s="26">
        <v>0</v>
      </c>
      <c r="I1325" s="26">
        <f t="shared" si="137"/>
        <v>0</v>
      </c>
      <c r="J1325" s="1340" t="e">
        <f t="shared" si="135"/>
        <v>#DIV/0!</v>
      </c>
      <c r="K1325" s="1339">
        <f t="shared" si="136"/>
        <v>0</v>
      </c>
    </row>
    <row r="1326" spans="1:11" ht="15" x14ac:dyDescent="0.25">
      <c r="A1326" s="1341"/>
      <c r="B1326" s="624">
        <v>119490</v>
      </c>
      <c r="C1326" s="1344">
        <v>344905100000000</v>
      </c>
      <c r="D1326" s="624" t="s">
        <v>7490</v>
      </c>
      <c r="E1326" s="624">
        <v>1</v>
      </c>
      <c r="F1326" s="643">
        <v>0</v>
      </c>
      <c r="G1326" s="643">
        <v>0</v>
      </c>
      <c r="H1326" s="26">
        <v>0</v>
      </c>
      <c r="I1326" s="26">
        <f t="shared" si="137"/>
        <v>0</v>
      </c>
      <c r="J1326" s="1340" t="e">
        <f t="shared" si="135"/>
        <v>#DIV/0!</v>
      </c>
      <c r="K1326" s="1339">
        <f t="shared" si="136"/>
        <v>0</v>
      </c>
    </row>
    <row r="1327" spans="1:11" ht="15" x14ac:dyDescent="0.25">
      <c r="A1327" s="1341"/>
      <c r="B1327" s="624">
        <v>119310</v>
      </c>
      <c r="C1327" s="1344">
        <v>344905200000000</v>
      </c>
      <c r="D1327" s="624" t="s">
        <v>5022</v>
      </c>
      <c r="E1327" s="624">
        <v>1</v>
      </c>
      <c r="F1327" s="643">
        <v>0</v>
      </c>
      <c r="G1327" s="643">
        <v>0</v>
      </c>
      <c r="H1327" s="26">
        <v>0</v>
      </c>
      <c r="I1327" s="26">
        <f t="shared" si="137"/>
        <v>0</v>
      </c>
      <c r="J1327" s="1340" t="e">
        <f t="shared" si="135"/>
        <v>#DIV/0!</v>
      </c>
      <c r="K1327" s="1339">
        <f t="shared" si="136"/>
        <v>0</v>
      </c>
    </row>
    <row r="1328" spans="1:11" ht="15" x14ac:dyDescent="0.25">
      <c r="A1328" s="1341"/>
      <c r="B1328" s="624">
        <v>119510</v>
      </c>
      <c r="C1328" s="1344">
        <v>344905200000000</v>
      </c>
      <c r="D1328" s="624" t="s">
        <v>7489</v>
      </c>
      <c r="E1328" s="624">
        <v>1</v>
      </c>
      <c r="F1328" s="643">
        <v>2099</v>
      </c>
      <c r="G1328" s="643">
        <v>0</v>
      </c>
      <c r="H1328" s="26">
        <v>0</v>
      </c>
      <c r="I1328" s="26">
        <f t="shared" si="137"/>
        <v>699.66666666666663</v>
      </c>
      <c r="J1328" s="1340" t="e">
        <f t="shared" si="135"/>
        <v>#DIV/0!</v>
      </c>
      <c r="K1328" s="1339">
        <f t="shared" si="136"/>
        <v>1.020265367182034E-2</v>
      </c>
    </row>
    <row r="1329" spans="1:11" s="12" customFormat="1" ht="15" x14ac:dyDescent="0.25">
      <c r="A1329" s="1081"/>
      <c r="B1329" s="570" t="s">
        <v>2965</v>
      </c>
      <c r="C1329" s="1345">
        <v>10</v>
      </c>
      <c r="D1329" s="570" t="s">
        <v>5031</v>
      </c>
      <c r="E1329" s="570"/>
      <c r="F1329" s="642">
        <f>SUM(F1330:F1379)</f>
        <v>78646.180000000008</v>
      </c>
      <c r="G1329" s="642">
        <f>SUM(G1330:G1379)</f>
        <v>124985.61</v>
      </c>
      <c r="H1329" s="642">
        <f>SUM(H1330:H1379)</f>
        <v>0</v>
      </c>
      <c r="I1329" s="642">
        <f>SUM(I1330:I1379)</f>
        <v>67877.263333333351</v>
      </c>
      <c r="J1329" s="1338">
        <f t="shared" si="135"/>
        <v>1.5892139961534049</v>
      </c>
      <c r="K1329" s="1337">
        <f t="shared" si="136"/>
        <v>0.98979734632817962</v>
      </c>
    </row>
    <row r="1330" spans="1:11" ht="15" x14ac:dyDescent="0.25">
      <c r="A1330" s="1341"/>
      <c r="B1330" s="624">
        <v>120000</v>
      </c>
      <c r="C1330" s="1344">
        <v>331900400000000</v>
      </c>
      <c r="D1330" s="624" t="s">
        <v>6364</v>
      </c>
      <c r="E1330" s="624">
        <v>1</v>
      </c>
      <c r="F1330" s="643">
        <v>0</v>
      </c>
      <c r="G1330" s="643">
        <v>0</v>
      </c>
      <c r="H1330" s="26">
        <v>0</v>
      </c>
      <c r="I1330" s="26">
        <f t="shared" ref="I1330:I1361" si="138">(F1330+G1330+H1330)/3</f>
        <v>0</v>
      </c>
      <c r="J1330" s="1340" t="e">
        <f t="shared" si="135"/>
        <v>#DIV/0!</v>
      </c>
      <c r="K1330" s="1339">
        <f t="shared" si="136"/>
        <v>0</v>
      </c>
    </row>
    <row r="1331" spans="1:11" ht="15" x14ac:dyDescent="0.25">
      <c r="A1331" s="1341"/>
      <c r="B1331" s="624">
        <v>122500</v>
      </c>
      <c r="C1331" s="1344">
        <v>331900400000000</v>
      </c>
      <c r="D1331" s="624" t="s">
        <v>7488</v>
      </c>
      <c r="E1331" s="624">
        <v>1</v>
      </c>
      <c r="F1331" s="643">
        <v>0</v>
      </c>
      <c r="G1331" s="643">
        <v>1581.57</v>
      </c>
      <c r="H1331" s="26">
        <v>0</v>
      </c>
      <c r="I1331" s="26">
        <f t="shared" si="138"/>
        <v>527.18999999999994</v>
      </c>
      <c r="J1331" s="1340" t="e">
        <f t="shared" si="135"/>
        <v>#DIV/0!</v>
      </c>
      <c r="K1331" s="1339">
        <f t="shared" si="136"/>
        <v>7.687570732606429E-3</v>
      </c>
    </row>
    <row r="1332" spans="1:11" ht="15" x14ac:dyDescent="0.25">
      <c r="A1332" s="1341"/>
      <c r="B1332" s="624">
        <v>120050</v>
      </c>
      <c r="C1332" s="1344">
        <v>331900800000000</v>
      </c>
      <c r="D1332" s="624" t="s">
        <v>7487</v>
      </c>
      <c r="E1332" s="624">
        <v>1</v>
      </c>
      <c r="F1332" s="643">
        <v>0</v>
      </c>
      <c r="G1332" s="643">
        <v>0</v>
      </c>
      <c r="H1332" s="26">
        <v>0</v>
      </c>
      <c r="I1332" s="26">
        <f t="shared" si="138"/>
        <v>0</v>
      </c>
      <c r="J1332" s="1340" t="e">
        <f t="shared" si="135"/>
        <v>#DIV/0!</v>
      </c>
      <c r="K1332" s="1339">
        <f t="shared" si="136"/>
        <v>0</v>
      </c>
    </row>
    <row r="1333" spans="1:11" ht="15" x14ac:dyDescent="0.25">
      <c r="A1333" s="1341"/>
      <c r="B1333" s="624">
        <v>122530</v>
      </c>
      <c r="C1333" s="1344">
        <v>331900800000000</v>
      </c>
      <c r="D1333" s="624" t="s">
        <v>7486</v>
      </c>
      <c r="E1333" s="624">
        <v>1</v>
      </c>
      <c r="F1333" s="643">
        <v>0</v>
      </c>
      <c r="G1333" s="643">
        <v>0</v>
      </c>
      <c r="H1333" s="26">
        <v>0</v>
      </c>
      <c r="I1333" s="26">
        <f t="shared" si="138"/>
        <v>0</v>
      </c>
      <c r="J1333" s="1340" t="e">
        <f t="shared" si="135"/>
        <v>#DIV/0!</v>
      </c>
      <c r="K1333" s="1339">
        <f t="shared" si="136"/>
        <v>0</v>
      </c>
    </row>
    <row r="1334" spans="1:11" ht="15" x14ac:dyDescent="0.25">
      <c r="A1334" s="1341"/>
      <c r="B1334" s="624">
        <v>120100</v>
      </c>
      <c r="C1334" s="1344">
        <v>331901100000000</v>
      </c>
      <c r="D1334" s="624" t="s">
        <v>6365</v>
      </c>
      <c r="E1334" s="624">
        <v>1</v>
      </c>
      <c r="F1334" s="643">
        <v>22591.17</v>
      </c>
      <c r="G1334" s="643">
        <v>26441.41</v>
      </c>
      <c r="H1334" s="26">
        <v>0</v>
      </c>
      <c r="I1334" s="26">
        <f t="shared" si="138"/>
        <v>16344.193333333335</v>
      </c>
      <c r="J1334" s="1340">
        <f t="shared" si="135"/>
        <v>1.170431190593493</v>
      </c>
      <c r="K1334" s="1339">
        <f t="shared" si="136"/>
        <v>0.2383336981304548</v>
      </c>
    </row>
    <row r="1335" spans="1:11" ht="15" x14ac:dyDescent="0.25">
      <c r="A1335" s="1341"/>
      <c r="B1335" s="624">
        <v>122560</v>
      </c>
      <c r="C1335" s="1344">
        <v>331901100000000</v>
      </c>
      <c r="D1335" s="624" t="s">
        <v>7485</v>
      </c>
      <c r="E1335" s="624">
        <v>1</v>
      </c>
      <c r="F1335" s="643">
        <v>0</v>
      </c>
      <c r="G1335" s="643">
        <v>0</v>
      </c>
      <c r="H1335" s="26">
        <v>0</v>
      </c>
      <c r="I1335" s="26">
        <f t="shared" si="138"/>
        <v>0</v>
      </c>
      <c r="J1335" s="1340" t="e">
        <f t="shared" si="135"/>
        <v>#DIV/0!</v>
      </c>
      <c r="K1335" s="1339">
        <f t="shared" si="136"/>
        <v>0</v>
      </c>
    </row>
    <row r="1336" spans="1:11" ht="15" x14ac:dyDescent="0.25">
      <c r="A1336" s="1341"/>
      <c r="B1336" s="624">
        <v>120200</v>
      </c>
      <c r="C1336" s="1344">
        <v>331901300000000</v>
      </c>
      <c r="D1336" s="624" t="s">
        <v>6366</v>
      </c>
      <c r="E1336" s="624">
        <v>1</v>
      </c>
      <c r="F1336" s="643">
        <v>5361.15</v>
      </c>
      <c r="G1336" s="643">
        <v>6185.18</v>
      </c>
      <c r="H1336" s="26">
        <v>0</v>
      </c>
      <c r="I1336" s="26">
        <f t="shared" si="138"/>
        <v>3848.7766666666666</v>
      </c>
      <c r="J1336" s="1340">
        <f t="shared" si="135"/>
        <v>1.1537039627691821</v>
      </c>
      <c r="K1336" s="1339">
        <f t="shared" si="136"/>
        <v>5.6123490314697162E-2</v>
      </c>
    </row>
    <row r="1337" spans="1:11" ht="15" x14ac:dyDescent="0.25">
      <c r="A1337" s="1341"/>
      <c r="B1337" s="624">
        <v>122590</v>
      </c>
      <c r="C1337" s="1344">
        <v>331901300000000</v>
      </c>
      <c r="D1337" s="624" t="s">
        <v>7484</v>
      </c>
      <c r="E1337" s="624">
        <v>1</v>
      </c>
      <c r="F1337" s="643">
        <v>0</v>
      </c>
      <c r="G1337" s="643">
        <v>0</v>
      </c>
      <c r="H1337" s="26">
        <v>0</v>
      </c>
      <c r="I1337" s="26">
        <f t="shared" si="138"/>
        <v>0</v>
      </c>
      <c r="J1337" s="1340" t="e">
        <f t="shared" si="135"/>
        <v>#DIV/0!</v>
      </c>
      <c r="K1337" s="1339">
        <f t="shared" si="136"/>
        <v>0</v>
      </c>
    </row>
    <row r="1338" spans="1:11" ht="15" x14ac:dyDescent="0.25">
      <c r="A1338" s="1341"/>
      <c r="B1338" s="624">
        <v>120300</v>
      </c>
      <c r="C1338" s="1344">
        <v>331901600000000</v>
      </c>
      <c r="D1338" s="624" t="s">
        <v>6367</v>
      </c>
      <c r="E1338" s="624">
        <v>1</v>
      </c>
      <c r="F1338" s="643">
        <v>0</v>
      </c>
      <c r="G1338" s="643">
        <v>0</v>
      </c>
      <c r="H1338" s="26">
        <v>0</v>
      </c>
      <c r="I1338" s="26">
        <f t="shared" si="138"/>
        <v>0</v>
      </c>
      <c r="J1338" s="1340" t="e">
        <f t="shared" si="135"/>
        <v>#DIV/0!</v>
      </c>
      <c r="K1338" s="1339">
        <f t="shared" si="136"/>
        <v>0</v>
      </c>
    </row>
    <row r="1339" spans="1:11" ht="15" x14ac:dyDescent="0.25">
      <c r="A1339" s="1341"/>
      <c r="B1339" s="624">
        <v>122610</v>
      </c>
      <c r="C1339" s="1344">
        <v>331901600000000</v>
      </c>
      <c r="D1339" s="624" t="s">
        <v>7483</v>
      </c>
      <c r="E1339" s="624">
        <v>1</v>
      </c>
      <c r="F1339" s="643">
        <v>0</v>
      </c>
      <c r="G1339" s="643">
        <v>0</v>
      </c>
      <c r="H1339" s="26">
        <v>0</v>
      </c>
      <c r="I1339" s="26">
        <f t="shared" si="138"/>
        <v>0</v>
      </c>
      <c r="J1339" s="1340" t="e">
        <f t="shared" si="135"/>
        <v>#DIV/0!</v>
      </c>
      <c r="K1339" s="1339">
        <f t="shared" si="136"/>
        <v>0</v>
      </c>
    </row>
    <row r="1340" spans="1:11" ht="15" x14ac:dyDescent="0.25">
      <c r="A1340" s="1341"/>
      <c r="B1340" s="624">
        <v>120350</v>
      </c>
      <c r="C1340" s="1344">
        <v>331903400000000</v>
      </c>
      <c r="D1340" s="624" t="s">
        <v>7482</v>
      </c>
      <c r="E1340" s="624">
        <v>1</v>
      </c>
      <c r="F1340" s="643">
        <v>0</v>
      </c>
      <c r="G1340" s="643">
        <v>0</v>
      </c>
      <c r="H1340" s="26">
        <v>0</v>
      </c>
      <c r="I1340" s="26">
        <f t="shared" si="138"/>
        <v>0</v>
      </c>
      <c r="J1340" s="1340" t="e">
        <f t="shared" si="135"/>
        <v>#DIV/0!</v>
      </c>
      <c r="K1340" s="1339">
        <f t="shared" si="136"/>
        <v>0</v>
      </c>
    </row>
    <row r="1341" spans="1:11" ht="15" x14ac:dyDescent="0.25">
      <c r="A1341" s="1341"/>
      <c r="B1341" s="624">
        <v>122640</v>
      </c>
      <c r="C1341" s="1344">
        <v>331903400000000</v>
      </c>
      <c r="D1341" s="624" t="s">
        <v>7481</v>
      </c>
      <c r="E1341" s="624">
        <v>1</v>
      </c>
      <c r="F1341" s="643">
        <v>0</v>
      </c>
      <c r="G1341" s="643">
        <v>0</v>
      </c>
      <c r="H1341" s="26">
        <v>0</v>
      </c>
      <c r="I1341" s="26">
        <f t="shared" si="138"/>
        <v>0</v>
      </c>
      <c r="J1341" s="1340" t="e">
        <f t="shared" si="135"/>
        <v>#DIV/0!</v>
      </c>
      <c r="K1341" s="1339">
        <f t="shared" si="136"/>
        <v>0</v>
      </c>
    </row>
    <row r="1342" spans="1:11" ht="15" x14ac:dyDescent="0.25">
      <c r="A1342" s="1341"/>
      <c r="B1342" s="624">
        <v>120400</v>
      </c>
      <c r="C1342" s="1344">
        <v>331909400000000</v>
      </c>
      <c r="D1342" s="624" t="s">
        <v>6369</v>
      </c>
      <c r="E1342" s="624">
        <v>1</v>
      </c>
      <c r="F1342" s="643">
        <v>0</v>
      </c>
      <c r="G1342" s="643">
        <v>0</v>
      </c>
      <c r="H1342" s="26">
        <v>0</v>
      </c>
      <c r="I1342" s="26">
        <f t="shared" si="138"/>
        <v>0</v>
      </c>
      <c r="J1342" s="1340" t="e">
        <f t="shared" si="135"/>
        <v>#DIV/0!</v>
      </c>
      <c r="K1342" s="1339">
        <f t="shared" si="136"/>
        <v>0</v>
      </c>
    </row>
    <row r="1343" spans="1:11" ht="15" x14ac:dyDescent="0.25">
      <c r="A1343" s="1341"/>
      <c r="B1343" s="624">
        <v>122670</v>
      </c>
      <c r="C1343" s="1344">
        <v>331909400000000</v>
      </c>
      <c r="D1343" s="624" t="s">
        <v>7480</v>
      </c>
      <c r="E1343" s="624">
        <v>1</v>
      </c>
      <c r="F1343" s="643">
        <v>0</v>
      </c>
      <c r="G1343" s="643">
        <v>0</v>
      </c>
      <c r="H1343" s="26">
        <v>0</v>
      </c>
      <c r="I1343" s="26">
        <f t="shared" si="138"/>
        <v>0</v>
      </c>
      <c r="J1343" s="1340" t="e">
        <f t="shared" si="135"/>
        <v>#DIV/0!</v>
      </c>
      <c r="K1343" s="1339">
        <f t="shared" si="136"/>
        <v>0</v>
      </c>
    </row>
    <row r="1344" spans="1:11" ht="15" x14ac:dyDescent="0.25">
      <c r="A1344" s="1341"/>
      <c r="B1344" s="624">
        <v>120600</v>
      </c>
      <c r="C1344" s="1344">
        <v>333901400000000</v>
      </c>
      <c r="D1344" s="624" t="s">
        <v>5044</v>
      </c>
      <c r="E1344" s="624">
        <v>1</v>
      </c>
      <c r="F1344" s="643">
        <v>1204</v>
      </c>
      <c r="G1344" s="643">
        <v>1004</v>
      </c>
      <c r="H1344" s="26">
        <v>0</v>
      </c>
      <c r="I1344" s="26">
        <f t="shared" si="138"/>
        <v>736</v>
      </c>
      <c r="J1344" s="1340">
        <f t="shared" si="135"/>
        <v>0.83388704318936879</v>
      </c>
      <c r="K1344" s="1339">
        <f t="shared" si="136"/>
        <v>1.0732472276026351E-2</v>
      </c>
    </row>
    <row r="1345" spans="1:11" ht="15" x14ac:dyDescent="0.25">
      <c r="A1345" s="1341"/>
      <c r="B1345" s="624">
        <v>122300</v>
      </c>
      <c r="C1345" s="1344">
        <v>333901400000000</v>
      </c>
      <c r="D1345" s="624" t="s">
        <v>6347</v>
      </c>
      <c r="E1345" s="624">
        <v>1</v>
      </c>
      <c r="F1345" s="643">
        <v>0</v>
      </c>
      <c r="G1345" s="643">
        <v>0</v>
      </c>
      <c r="H1345" s="26">
        <v>0</v>
      </c>
      <c r="I1345" s="26">
        <f t="shared" si="138"/>
        <v>0</v>
      </c>
      <c r="J1345" s="1340" t="e">
        <f t="shared" si="135"/>
        <v>#DIV/0!</v>
      </c>
      <c r="K1345" s="1339">
        <f t="shared" si="136"/>
        <v>0</v>
      </c>
    </row>
    <row r="1346" spans="1:11" ht="15" x14ac:dyDescent="0.25">
      <c r="A1346" s="1341"/>
      <c r="B1346" s="624">
        <v>122690</v>
      </c>
      <c r="C1346" s="1344">
        <v>333901400000000</v>
      </c>
      <c r="D1346" s="624" t="s">
        <v>7479</v>
      </c>
      <c r="E1346" s="624">
        <v>1</v>
      </c>
      <c r="F1346" s="643">
        <v>0</v>
      </c>
      <c r="G1346" s="643">
        <v>0</v>
      </c>
      <c r="H1346" s="26">
        <v>0</v>
      </c>
      <c r="I1346" s="26">
        <f t="shared" si="138"/>
        <v>0</v>
      </c>
      <c r="J1346" s="1340" t="e">
        <f t="shared" si="135"/>
        <v>#DIV/0!</v>
      </c>
      <c r="K1346" s="1339">
        <f t="shared" si="136"/>
        <v>0</v>
      </c>
    </row>
    <row r="1347" spans="1:11" ht="15" x14ac:dyDescent="0.25">
      <c r="A1347" s="1341"/>
      <c r="B1347" s="624">
        <v>120700</v>
      </c>
      <c r="C1347" s="1344">
        <v>333903000000000</v>
      </c>
      <c r="D1347" s="624" t="s">
        <v>5043</v>
      </c>
      <c r="E1347" s="624">
        <v>1</v>
      </c>
      <c r="F1347" s="643">
        <v>0</v>
      </c>
      <c r="G1347" s="643">
        <v>0</v>
      </c>
      <c r="H1347" s="26">
        <v>0</v>
      </c>
      <c r="I1347" s="26">
        <f t="shared" si="138"/>
        <v>0</v>
      </c>
      <c r="J1347" s="1340" t="e">
        <f t="shared" si="135"/>
        <v>#DIV/0!</v>
      </c>
      <c r="K1347" s="1339">
        <f t="shared" si="136"/>
        <v>0</v>
      </c>
    </row>
    <row r="1348" spans="1:11" ht="15" x14ac:dyDescent="0.25">
      <c r="A1348" s="1341"/>
      <c r="B1348" s="624">
        <v>122710</v>
      </c>
      <c r="C1348" s="1344">
        <v>333903000000000</v>
      </c>
      <c r="D1348" s="624" t="s">
        <v>7478</v>
      </c>
      <c r="E1348" s="624">
        <v>1</v>
      </c>
      <c r="F1348" s="643">
        <v>4516.3599999999997</v>
      </c>
      <c r="G1348" s="643">
        <v>38839.94</v>
      </c>
      <c r="H1348" s="26">
        <v>0</v>
      </c>
      <c r="I1348" s="26">
        <f t="shared" si="138"/>
        <v>14452.1</v>
      </c>
      <c r="J1348" s="1340">
        <f t="shared" ref="J1348:J1380" si="139">(G1348/F1348)+(H1348/G1348)/2</f>
        <v>8.5998326085608774</v>
      </c>
      <c r="K1348" s="1339">
        <f t="shared" ref="K1348:K1379" si="140">I1348/I$1380</f>
        <v>0.21074288394070712</v>
      </c>
    </row>
    <row r="1349" spans="1:11" ht="15" x14ac:dyDescent="0.25">
      <c r="A1349" s="1341"/>
      <c r="B1349" s="624">
        <v>122760</v>
      </c>
      <c r="C1349" s="1344">
        <v>333903100000000</v>
      </c>
      <c r="D1349" s="624" t="s">
        <v>7477</v>
      </c>
      <c r="E1349" s="624">
        <v>1</v>
      </c>
      <c r="F1349" s="643">
        <v>8029.8</v>
      </c>
      <c r="G1349" s="643">
        <v>6025.7</v>
      </c>
      <c r="H1349" s="26">
        <v>0</v>
      </c>
      <c r="I1349" s="26">
        <f t="shared" si="138"/>
        <v>4685.166666666667</v>
      </c>
      <c r="J1349" s="1340">
        <f t="shared" si="139"/>
        <v>0.75041719594510448</v>
      </c>
      <c r="K1349" s="1339">
        <f t="shared" si="140"/>
        <v>6.8319865976308153E-2</v>
      </c>
    </row>
    <row r="1350" spans="1:11" ht="15" x14ac:dyDescent="0.25">
      <c r="A1350" s="1341"/>
      <c r="B1350" s="624">
        <v>120900</v>
      </c>
      <c r="C1350" s="1344">
        <v>333903200000000</v>
      </c>
      <c r="D1350" s="624" t="s">
        <v>5042</v>
      </c>
      <c r="E1350" s="624">
        <v>1</v>
      </c>
      <c r="F1350" s="643">
        <v>0</v>
      </c>
      <c r="G1350" s="643">
        <v>0</v>
      </c>
      <c r="H1350" s="26">
        <v>0</v>
      </c>
      <c r="I1350" s="26">
        <f t="shared" si="138"/>
        <v>0</v>
      </c>
      <c r="J1350" s="1340" t="e">
        <f t="shared" si="139"/>
        <v>#DIV/0!</v>
      </c>
      <c r="K1350" s="1339">
        <f t="shared" si="140"/>
        <v>0</v>
      </c>
    </row>
    <row r="1351" spans="1:11" ht="15" x14ac:dyDescent="0.25">
      <c r="A1351" s="1341"/>
      <c r="B1351" s="624">
        <v>122820</v>
      </c>
      <c r="C1351" s="1344">
        <v>333903200000000</v>
      </c>
      <c r="D1351" s="624" t="s">
        <v>7476</v>
      </c>
      <c r="E1351" s="624">
        <v>1</v>
      </c>
      <c r="F1351" s="643">
        <v>139.19999999999999</v>
      </c>
      <c r="G1351" s="643">
        <v>0</v>
      </c>
      <c r="H1351" s="26">
        <v>0</v>
      </c>
      <c r="I1351" s="26">
        <f t="shared" si="138"/>
        <v>46.4</v>
      </c>
      <c r="J1351" s="1340" t="e">
        <f t="shared" si="139"/>
        <v>#DIV/0!</v>
      </c>
      <c r="K1351" s="1339">
        <f t="shared" si="140"/>
        <v>6.7661238261905259E-4</v>
      </c>
    </row>
    <row r="1352" spans="1:11" ht="15" x14ac:dyDescent="0.25">
      <c r="A1352" s="1341"/>
      <c r="B1352" s="624">
        <v>121000</v>
      </c>
      <c r="C1352" s="1344">
        <v>333903300000000</v>
      </c>
      <c r="D1352" s="624" t="s">
        <v>5041</v>
      </c>
      <c r="E1352" s="624">
        <v>1</v>
      </c>
      <c r="F1352" s="643">
        <v>0</v>
      </c>
      <c r="G1352" s="643">
        <v>0</v>
      </c>
      <c r="H1352" s="26">
        <v>0</v>
      </c>
      <c r="I1352" s="26">
        <f t="shared" si="138"/>
        <v>0</v>
      </c>
      <c r="J1352" s="1340" t="e">
        <f t="shared" si="139"/>
        <v>#DIV/0!</v>
      </c>
      <c r="K1352" s="1339">
        <f t="shared" si="140"/>
        <v>0</v>
      </c>
    </row>
    <row r="1353" spans="1:11" ht="15" x14ac:dyDescent="0.25">
      <c r="A1353" s="1341"/>
      <c r="B1353" s="624">
        <v>122320</v>
      </c>
      <c r="C1353" s="1344">
        <v>333903300000000</v>
      </c>
      <c r="D1353" s="624" t="s">
        <v>6346</v>
      </c>
      <c r="E1353" s="624">
        <v>1</v>
      </c>
      <c r="F1353" s="643">
        <v>0</v>
      </c>
      <c r="G1353" s="643">
        <v>0</v>
      </c>
      <c r="H1353" s="26">
        <v>0</v>
      </c>
      <c r="I1353" s="26">
        <f t="shared" si="138"/>
        <v>0</v>
      </c>
      <c r="J1353" s="1340" t="e">
        <f t="shared" si="139"/>
        <v>#DIV/0!</v>
      </c>
      <c r="K1353" s="1339">
        <f t="shared" si="140"/>
        <v>0</v>
      </c>
    </row>
    <row r="1354" spans="1:11" ht="15" x14ac:dyDescent="0.25">
      <c r="A1354" s="1341"/>
      <c r="B1354" s="624">
        <v>122840</v>
      </c>
      <c r="C1354" s="1344">
        <v>333903300000000</v>
      </c>
      <c r="D1354" s="624" t="s">
        <v>7475</v>
      </c>
      <c r="E1354" s="624">
        <v>1</v>
      </c>
      <c r="F1354" s="643">
        <v>0</v>
      </c>
      <c r="G1354" s="643">
        <v>0</v>
      </c>
      <c r="H1354" s="26">
        <v>0</v>
      </c>
      <c r="I1354" s="26">
        <f t="shared" si="138"/>
        <v>0</v>
      </c>
      <c r="J1354" s="1340" t="e">
        <f t="shared" si="139"/>
        <v>#DIV/0!</v>
      </c>
      <c r="K1354" s="1339">
        <f t="shared" si="140"/>
        <v>0</v>
      </c>
    </row>
    <row r="1355" spans="1:11" ht="15" x14ac:dyDescent="0.25">
      <c r="A1355" s="1341"/>
      <c r="B1355" s="624">
        <v>121100</v>
      </c>
      <c r="C1355" s="1344">
        <v>333903600000000</v>
      </c>
      <c r="D1355" s="624" t="s">
        <v>5019</v>
      </c>
      <c r="E1355" s="624">
        <v>1</v>
      </c>
      <c r="F1355" s="643">
        <v>0</v>
      </c>
      <c r="G1355" s="643">
        <v>0</v>
      </c>
      <c r="H1355" s="26">
        <v>0</v>
      </c>
      <c r="I1355" s="26">
        <f t="shared" si="138"/>
        <v>0</v>
      </c>
      <c r="J1355" s="1340" t="e">
        <f t="shared" si="139"/>
        <v>#DIV/0!</v>
      </c>
      <c r="K1355" s="1339">
        <f t="shared" si="140"/>
        <v>0</v>
      </c>
    </row>
    <row r="1356" spans="1:11" ht="15" x14ac:dyDescent="0.25">
      <c r="A1356" s="1341"/>
      <c r="B1356" s="624">
        <v>122340</v>
      </c>
      <c r="C1356" s="1344">
        <v>333903600000000</v>
      </c>
      <c r="D1356" s="624" t="s">
        <v>6348</v>
      </c>
      <c r="E1356" s="624">
        <v>1</v>
      </c>
      <c r="F1356" s="643">
        <v>0</v>
      </c>
      <c r="G1356" s="643">
        <v>0</v>
      </c>
      <c r="H1356" s="26">
        <v>0</v>
      </c>
      <c r="I1356" s="26">
        <f t="shared" si="138"/>
        <v>0</v>
      </c>
      <c r="J1356" s="1340" t="e">
        <f t="shared" si="139"/>
        <v>#DIV/0!</v>
      </c>
      <c r="K1356" s="1339">
        <f t="shared" si="140"/>
        <v>0</v>
      </c>
    </row>
    <row r="1357" spans="1:11" ht="15" x14ac:dyDescent="0.25">
      <c r="A1357" s="1341"/>
      <c r="B1357" s="624">
        <v>122860</v>
      </c>
      <c r="C1357" s="1344">
        <v>333903600000000</v>
      </c>
      <c r="D1357" s="624" t="s">
        <v>7474</v>
      </c>
      <c r="E1357" s="624">
        <v>1</v>
      </c>
      <c r="F1357" s="643">
        <v>1104.58</v>
      </c>
      <c r="G1357" s="643">
        <v>5160</v>
      </c>
      <c r="H1357" s="26">
        <v>0</v>
      </c>
      <c r="I1357" s="26">
        <f t="shared" si="138"/>
        <v>2088.1933333333332</v>
      </c>
      <c r="J1357" s="1340">
        <f t="shared" si="139"/>
        <v>4.6714588350323201</v>
      </c>
      <c r="K1357" s="1339">
        <f t="shared" si="140"/>
        <v>3.0450376436118275E-2</v>
      </c>
    </row>
    <row r="1358" spans="1:11" ht="15" x14ac:dyDescent="0.25">
      <c r="A1358" s="1341"/>
      <c r="B1358" s="624">
        <v>121200</v>
      </c>
      <c r="C1358" s="1344">
        <v>333903900000000</v>
      </c>
      <c r="D1358" s="624" t="s">
        <v>5020</v>
      </c>
      <c r="E1358" s="624">
        <v>1</v>
      </c>
      <c r="F1358" s="643">
        <v>0</v>
      </c>
      <c r="G1358" s="643">
        <v>0</v>
      </c>
      <c r="H1358" s="26">
        <v>0</v>
      </c>
      <c r="I1358" s="26">
        <f t="shared" si="138"/>
        <v>0</v>
      </c>
      <c r="J1358" s="1340" t="e">
        <f t="shared" si="139"/>
        <v>#DIV/0!</v>
      </c>
      <c r="K1358" s="1339">
        <f t="shared" si="140"/>
        <v>0</v>
      </c>
    </row>
    <row r="1359" spans="1:11" ht="15" x14ac:dyDescent="0.25">
      <c r="A1359" s="1341"/>
      <c r="B1359" s="624">
        <v>122360</v>
      </c>
      <c r="C1359" s="1344">
        <v>333903900000000</v>
      </c>
      <c r="D1359" s="624" t="s">
        <v>6372</v>
      </c>
      <c r="E1359" s="624">
        <v>1</v>
      </c>
      <c r="F1359" s="643">
        <v>0</v>
      </c>
      <c r="G1359" s="643">
        <v>0</v>
      </c>
      <c r="H1359" s="26">
        <v>0</v>
      </c>
      <c r="I1359" s="26">
        <f t="shared" si="138"/>
        <v>0</v>
      </c>
      <c r="J1359" s="1340" t="e">
        <f t="shared" si="139"/>
        <v>#DIV/0!</v>
      </c>
      <c r="K1359" s="1339">
        <f t="shared" si="140"/>
        <v>0</v>
      </c>
    </row>
    <row r="1360" spans="1:11" ht="15" x14ac:dyDescent="0.25">
      <c r="A1360" s="1341"/>
      <c r="B1360" s="624">
        <v>122900</v>
      </c>
      <c r="C1360" s="1344">
        <v>333903900000000</v>
      </c>
      <c r="D1360" s="624" t="s">
        <v>7473</v>
      </c>
      <c r="E1360" s="624">
        <v>1</v>
      </c>
      <c r="F1360" s="643">
        <v>34855</v>
      </c>
      <c r="G1360" s="643">
        <v>38711.410000000003</v>
      </c>
      <c r="H1360" s="26">
        <v>0</v>
      </c>
      <c r="I1360" s="26">
        <f t="shared" si="138"/>
        <v>24522.136666666669</v>
      </c>
      <c r="J1360" s="1340">
        <f t="shared" si="139"/>
        <v>1.1106415148472244</v>
      </c>
      <c r="K1360" s="1339">
        <f t="shared" si="140"/>
        <v>0.35758580424446912</v>
      </c>
    </row>
    <row r="1361" spans="1:11" ht="15" x14ac:dyDescent="0.25">
      <c r="A1361" s="1341"/>
      <c r="B1361" s="624">
        <v>122230</v>
      </c>
      <c r="C1361" s="1344">
        <v>333904000000000</v>
      </c>
      <c r="D1361" s="624" t="s">
        <v>7472</v>
      </c>
      <c r="E1361" s="624">
        <v>1</v>
      </c>
      <c r="F1361" s="643">
        <v>0</v>
      </c>
      <c r="G1361" s="643">
        <v>0</v>
      </c>
      <c r="H1361" s="26">
        <v>0</v>
      </c>
      <c r="I1361" s="26">
        <f t="shared" si="138"/>
        <v>0</v>
      </c>
      <c r="J1361" s="1340" t="e">
        <f t="shared" si="139"/>
        <v>#DIV/0!</v>
      </c>
      <c r="K1361" s="1339">
        <f t="shared" si="140"/>
        <v>0</v>
      </c>
    </row>
    <row r="1362" spans="1:11" ht="15" x14ac:dyDescent="0.25">
      <c r="A1362" s="1341"/>
      <c r="B1362" s="624">
        <v>122260</v>
      </c>
      <c r="C1362" s="1344">
        <v>333904000000000</v>
      </c>
      <c r="D1362" s="624" t="s">
        <v>7471</v>
      </c>
      <c r="E1362" s="624">
        <v>1</v>
      </c>
      <c r="F1362" s="643">
        <v>0</v>
      </c>
      <c r="G1362" s="643">
        <v>0</v>
      </c>
      <c r="H1362" s="26">
        <v>0</v>
      </c>
      <c r="I1362" s="26">
        <f t="shared" ref="I1362:I1379" si="141">(F1362+G1362+H1362)/3</f>
        <v>0</v>
      </c>
      <c r="J1362" s="1340" t="e">
        <f t="shared" si="139"/>
        <v>#DIV/0!</v>
      </c>
      <c r="K1362" s="1339">
        <f t="shared" si="140"/>
        <v>0</v>
      </c>
    </row>
    <row r="1363" spans="1:11" ht="15" x14ac:dyDescent="0.25">
      <c r="A1363" s="1341"/>
      <c r="B1363" s="624">
        <v>121400</v>
      </c>
      <c r="C1363" s="1344">
        <v>333904600000000</v>
      </c>
      <c r="D1363" s="624" t="s">
        <v>5040</v>
      </c>
      <c r="E1363" s="624">
        <v>1</v>
      </c>
      <c r="F1363" s="643">
        <v>0</v>
      </c>
      <c r="G1363" s="643">
        <v>0</v>
      </c>
      <c r="H1363" s="26">
        <v>0</v>
      </c>
      <c r="I1363" s="26">
        <f t="shared" si="141"/>
        <v>0</v>
      </c>
      <c r="J1363" s="1340" t="e">
        <f t="shared" si="139"/>
        <v>#DIV/0!</v>
      </c>
      <c r="K1363" s="1339">
        <f t="shared" si="140"/>
        <v>0</v>
      </c>
    </row>
    <row r="1364" spans="1:11" ht="15" x14ac:dyDescent="0.25">
      <c r="A1364" s="1341"/>
      <c r="B1364" s="624">
        <v>122950</v>
      </c>
      <c r="C1364" s="1344">
        <v>333904600000000</v>
      </c>
      <c r="D1364" s="624" t="s">
        <v>7470</v>
      </c>
      <c r="E1364" s="624">
        <v>1</v>
      </c>
      <c r="F1364" s="643">
        <v>0</v>
      </c>
      <c r="G1364" s="643">
        <v>0</v>
      </c>
      <c r="H1364" s="26">
        <v>0</v>
      </c>
      <c r="I1364" s="26">
        <f t="shared" si="141"/>
        <v>0</v>
      </c>
      <c r="J1364" s="1340" t="e">
        <f t="shared" si="139"/>
        <v>#DIV/0!</v>
      </c>
      <c r="K1364" s="1339">
        <f t="shared" si="140"/>
        <v>0</v>
      </c>
    </row>
    <row r="1365" spans="1:11" ht="15" x14ac:dyDescent="0.25">
      <c r="A1365" s="1341"/>
      <c r="B1365" s="624">
        <v>121500</v>
      </c>
      <c r="C1365" s="1344">
        <v>333904700000000</v>
      </c>
      <c r="D1365" s="624" t="s">
        <v>7469</v>
      </c>
      <c r="E1365" s="624">
        <v>1</v>
      </c>
      <c r="F1365" s="643">
        <v>0</v>
      </c>
      <c r="G1365" s="643">
        <v>0</v>
      </c>
      <c r="H1365" s="26">
        <v>0</v>
      </c>
      <c r="I1365" s="26">
        <f t="shared" si="141"/>
        <v>0</v>
      </c>
      <c r="J1365" s="1340" t="e">
        <f t="shared" si="139"/>
        <v>#DIV/0!</v>
      </c>
      <c r="K1365" s="1339">
        <f t="shared" si="140"/>
        <v>0</v>
      </c>
    </row>
    <row r="1366" spans="1:11" ht="15" x14ac:dyDescent="0.25">
      <c r="A1366" s="1341"/>
      <c r="B1366" s="624">
        <v>122380</v>
      </c>
      <c r="C1366" s="1344">
        <v>333904700000000</v>
      </c>
      <c r="D1366" s="624" t="s">
        <v>6350</v>
      </c>
      <c r="E1366" s="624">
        <v>1</v>
      </c>
      <c r="F1366" s="643">
        <v>0</v>
      </c>
      <c r="G1366" s="643">
        <v>0</v>
      </c>
      <c r="H1366" s="26">
        <v>0</v>
      </c>
      <c r="I1366" s="26">
        <f t="shared" si="141"/>
        <v>0</v>
      </c>
      <c r="J1366" s="1340" t="e">
        <f t="shared" si="139"/>
        <v>#DIV/0!</v>
      </c>
      <c r="K1366" s="1339">
        <f t="shared" si="140"/>
        <v>0</v>
      </c>
    </row>
    <row r="1367" spans="1:11" ht="15" x14ac:dyDescent="0.25">
      <c r="A1367" s="1341"/>
      <c r="B1367" s="624">
        <v>122970</v>
      </c>
      <c r="C1367" s="1344">
        <v>333904700000000</v>
      </c>
      <c r="D1367" s="624" t="s">
        <v>7468</v>
      </c>
      <c r="E1367" s="624">
        <v>1</v>
      </c>
      <c r="F1367" s="643">
        <v>844.92</v>
      </c>
      <c r="G1367" s="643">
        <v>1036.4000000000001</v>
      </c>
      <c r="H1367" s="26">
        <v>0</v>
      </c>
      <c r="I1367" s="26">
        <f t="shared" si="141"/>
        <v>627.10666666666668</v>
      </c>
      <c r="J1367" s="1340">
        <f t="shared" si="139"/>
        <v>1.2266250059177202</v>
      </c>
      <c r="K1367" s="1339">
        <f t="shared" si="140"/>
        <v>9.1445718941729603E-3</v>
      </c>
    </row>
    <row r="1368" spans="1:11" ht="15" x14ac:dyDescent="0.25">
      <c r="A1368" s="1341"/>
      <c r="B1368" s="624">
        <v>121600</v>
      </c>
      <c r="C1368" s="1344">
        <v>333904900000000</v>
      </c>
      <c r="D1368" s="624" t="s">
        <v>5038</v>
      </c>
      <c r="E1368" s="624">
        <v>1</v>
      </c>
      <c r="F1368" s="643">
        <v>0</v>
      </c>
      <c r="G1368" s="643">
        <v>0</v>
      </c>
      <c r="H1368" s="26">
        <v>0</v>
      </c>
      <c r="I1368" s="26">
        <f t="shared" si="141"/>
        <v>0</v>
      </c>
      <c r="J1368" s="1340" t="e">
        <f t="shared" si="139"/>
        <v>#DIV/0!</v>
      </c>
      <c r="K1368" s="1339">
        <f t="shared" si="140"/>
        <v>0</v>
      </c>
    </row>
    <row r="1369" spans="1:11" ht="15" x14ac:dyDescent="0.25">
      <c r="A1369" s="1341"/>
      <c r="B1369" s="624">
        <v>122990</v>
      </c>
      <c r="C1369" s="1344">
        <v>333904900000000</v>
      </c>
      <c r="D1369" s="624" t="s">
        <v>7467</v>
      </c>
      <c r="E1369" s="624">
        <v>1</v>
      </c>
      <c r="F1369" s="643">
        <v>0</v>
      </c>
      <c r="G1369" s="643">
        <v>0</v>
      </c>
      <c r="H1369" s="26">
        <v>0</v>
      </c>
      <c r="I1369" s="26">
        <f t="shared" si="141"/>
        <v>0</v>
      </c>
      <c r="J1369" s="1340" t="e">
        <f t="shared" si="139"/>
        <v>#DIV/0!</v>
      </c>
      <c r="K1369" s="1339">
        <f t="shared" si="140"/>
        <v>0</v>
      </c>
    </row>
    <row r="1370" spans="1:11" ht="15" x14ac:dyDescent="0.25">
      <c r="A1370" s="1341"/>
      <c r="B1370" s="624">
        <v>121700</v>
      </c>
      <c r="C1370" s="1344">
        <v>333909200000000</v>
      </c>
      <c r="D1370" s="624" t="s">
        <v>5037</v>
      </c>
      <c r="E1370" s="624">
        <v>1</v>
      </c>
      <c r="F1370" s="643">
        <v>0</v>
      </c>
      <c r="G1370" s="643">
        <v>0</v>
      </c>
      <c r="H1370" s="26">
        <v>0</v>
      </c>
      <c r="I1370" s="26">
        <f t="shared" si="141"/>
        <v>0</v>
      </c>
      <c r="J1370" s="1340" t="e">
        <f t="shared" si="139"/>
        <v>#DIV/0!</v>
      </c>
      <c r="K1370" s="1339">
        <f t="shared" si="140"/>
        <v>0</v>
      </c>
    </row>
    <row r="1371" spans="1:11" ht="15" x14ac:dyDescent="0.25">
      <c r="A1371" s="1341"/>
      <c r="B1371" s="624">
        <v>123010</v>
      </c>
      <c r="C1371" s="1344">
        <v>333909200000000</v>
      </c>
      <c r="D1371" s="624" t="s">
        <v>7466</v>
      </c>
      <c r="E1371" s="624">
        <v>1</v>
      </c>
      <c r="F1371" s="643">
        <v>0</v>
      </c>
      <c r="G1371" s="643">
        <v>0</v>
      </c>
      <c r="H1371" s="26">
        <v>0</v>
      </c>
      <c r="I1371" s="26">
        <f t="shared" si="141"/>
        <v>0</v>
      </c>
      <c r="J1371" s="1340" t="e">
        <f t="shared" si="139"/>
        <v>#DIV/0!</v>
      </c>
      <c r="K1371" s="1339">
        <f t="shared" si="140"/>
        <v>0</v>
      </c>
    </row>
    <row r="1372" spans="1:11" ht="15" x14ac:dyDescent="0.25">
      <c r="A1372" s="1341"/>
      <c r="B1372" s="624">
        <v>121800</v>
      </c>
      <c r="C1372" s="1344">
        <v>333909300000000</v>
      </c>
      <c r="D1372" s="624" t="s">
        <v>5036</v>
      </c>
      <c r="E1372" s="624">
        <v>1</v>
      </c>
      <c r="F1372" s="643">
        <v>0</v>
      </c>
      <c r="G1372" s="643">
        <v>0</v>
      </c>
      <c r="H1372" s="26">
        <v>0</v>
      </c>
      <c r="I1372" s="26">
        <f t="shared" si="141"/>
        <v>0</v>
      </c>
      <c r="J1372" s="1340" t="e">
        <f t="shared" si="139"/>
        <v>#DIV/0!</v>
      </c>
      <c r="K1372" s="1339">
        <f t="shared" si="140"/>
        <v>0</v>
      </c>
    </row>
    <row r="1373" spans="1:11" ht="15" x14ac:dyDescent="0.25">
      <c r="A1373" s="1341"/>
      <c r="B1373" s="624">
        <v>123040</v>
      </c>
      <c r="C1373" s="1344">
        <v>333909300000000</v>
      </c>
      <c r="D1373" s="624" t="s">
        <v>7465</v>
      </c>
      <c r="E1373" s="624">
        <v>1</v>
      </c>
      <c r="F1373" s="643">
        <v>0</v>
      </c>
      <c r="G1373" s="643">
        <v>0</v>
      </c>
      <c r="H1373" s="26">
        <v>0</v>
      </c>
      <c r="I1373" s="26">
        <f t="shared" si="141"/>
        <v>0</v>
      </c>
      <c r="J1373" s="1340" t="e">
        <f t="shared" si="139"/>
        <v>#DIV/0!</v>
      </c>
      <c r="K1373" s="1339">
        <f t="shared" si="140"/>
        <v>0</v>
      </c>
    </row>
    <row r="1374" spans="1:11" ht="15" x14ac:dyDescent="0.25">
      <c r="A1374" s="1341"/>
      <c r="B1374" s="624">
        <v>121900</v>
      </c>
      <c r="C1374" s="1344">
        <v>333933000000000</v>
      </c>
      <c r="D1374" s="624" t="s">
        <v>7464</v>
      </c>
      <c r="E1374" s="624">
        <v>1</v>
      </c>
      <c r="F1374" s="643">
        <v>0</v>
      </c>
      <c r="G1374" s="643">
        <v>0</v>
      </c>
      <c r="H1374" s="26">
        <v>0</v>
      </c>
      <c r="I1374" s="26">
        <f t="shared" si="141"/>
        <v>0</v>
      </c>
      <c r="J1374" s="1340" t="e">
        <f t="shared" si="139"/>
        <v>#DIV/0!</v>
      </c>
      <c r="K1374" s="1339">
        <f t="shared" si="140"/>
        <v>0</v>
      </c>
    </row>
    <row r="1375" spans="1:11" ht="15" x14ac:dyDescent="0.25">
      <c r="A1375" s="1341"/>
      <c r="B1375" s="624">
        <v>123070</v>
      </c>
      <c r="C1375" s="1344">
        <v>333933000000000</v>
      </c>
      <c r="D1375" s="624" t="s">
        <v>7463</v>
      </c>
      <c r="E1375" s="624">
        <v>1</v>
      </c>
      <c r="F1375" s="643">
        <v>0</v>
      </c>
      <c r="G1375" s="643">
        <v>0</v>
      </c>
      <c r="H1375" s="26">
        <v>0</v>
      </c>
      <c r="I1375" s="26">
        <f t="shared" si="141"/>
        <v>0</v>
      </c>
      <c r="J1375" s="1340" t="e">
        <f t="shared" si="139"/>
        <v>#DIV/0!</v>
      </c>
      <c r="K1375" s="1339">
        <f t="shared" si="140"/>
        <v>0</v>
      </c>
    </row>
    <row r="1376" spans="1:11" ht="15" x14ac:dyDescent="0.25">
      <c r="A1376" s="1341"/>
      <c r="B1376" s="624">
        <v>122100</v>
      </c>
      <c r="C1376" s="1344">
        <v>344905100000000</v>
      </c>
      <c r="D1376" s="624" t="s">
        <v>5021</v>
      </c>
      <c r="E1376" s="624">
        <v>1</v>
      </c>
      <c r="F1376" s="643">
        <v>0</v>
      </c>
      <c r="G1376" s="643">
        <v>0</v>
      </c>
      <c r="H1376" s="26">
        <v>0</v>
      </c>
      <c r="I1376" s="26">
        <f t="shared" si="141"/>
        <v>0</v>
      </c>
      <c r="J1376" s="1340" t="e">
        <f t="shared" si="139"/>
        <v>#DIV/0!</v>
      </c>
      <c r="K1376" s="1339">
        <f t="shared" si="140"/>
        <v>0</v>
      </c>
    </row>
    <row r="1377" spans="1:11" ht="15" x14ac:dyDescent="0.25">
      <c r="A1377" s="1341"/>
      <c r="B1377" s="624">
        <v>123100</v>
      </c>
      <c r="C1377" s="1344">
        <v>344905100000000</v>
      </c>
      <c r="D1377" s="624" t="s">
        <v>7462</v>
      </c>
      <c r="E1377" s="624">
        <v>1</v>
      </c>
      <c r="F1377" s="643">
        <v>0</v>
      </c>
      <c r="G1377" s="643">
        <v>0</v>
      </c>
      <c r="H1377" s="26">
        <v>0</v>
      </c>
      <c r="I1377" s="26">
        <f t="shared" si="141"/>
        <v>0</v>
      </c>
      <c r="J1377" s="1340" t="e">
        <f t="shared" si="139"/>
        <v>#DIV/0!</v>
      </c>
      <c r="K1377" s="1339">
        <f t="shared" si="140"/>
        <v>0</v>
      </c>
    </row>
    <row r="1378" spans="1:11" ht="15" x14ac:dyDescent="0.25">
      <c r="A1378" s="1341"/>
      <c r="B1378" s="624">
        <v>122200</v>
      </c>
      <c r="C1378" s="1344">
        <v>344905200000000</v>
      </c>
      <c r="D1378" s="624" t="s">
        <v>5022</v>
      </c>
      <c r="E1378" s="624">
        <v>1</v>
      </c>
      <c r="F1378" s="643">
        <v>0</v>
      </c>
      <c r="G1378" s="643">
        <v>0</v>
      </c>
      <c r="H1378" s="26">
        <v>0</v>
      </c>
      <c r="I1378" s="26">
        <f t="shared" si="141"/>
        <v>0</v>
      </c>
      <c r="J1378" s="1340" t="e">
        <f t="shared" si="139"/>
        <v>#DIV/0!</v>
      </c>
      <c r="K1378" s="1339">
        <f t="shared" si="140"/>
        <v>0</v>
      </c>
    </row>
    <row r="1379" spans="1:11" ht="15" x14ac:dyDescent="0.25">
      <c r="A1379" s="1341"/>
      <c r="B1379" s="624">
        <v>123140</v>
      </c>
      <c r="C1379" s="1344">
        <v>344905200000000</v>
      </c>
      <c r="D1379" s="624" t="s">
        <v>7461</v>
      </c>
      <c r="E1379" s="624">
        <v>1</v>
      </c>
      <c r="F1379" s="643">
        <v>0</v>
      </c>
      <c r="G1379" s="643">
        <v>0</v>
      </c>
      <c r="H1379" s="26">
        <v>0</v>
      </c>
      <c r="I1379" s="26">
        <f t="shared" si="141"/>
        <v>0</v>
      </c>
      <c r="J1379" s="1340" t="e">
        <f t="shared" si="139"/>
        <v>#DIV/0!</v>
      </c>
      <c r="K1379" s="1339">
        <f t="shared" si="140"/>
        <v>0</v>
      </c>
    </row>
    <row r="1380" spans="1:11" ht="15" x14ac:dyDescent="0.25">
      <c r="B1380" s="1598" t="s">
        <v>1575</v>
      </c>
      <c r="C1380" s="1598"/>
      <c r="D1380" s="1598"/>
      <c r="E1380" s="1598"/>
      <c r="F1380" s="25">
        <f>F1316+F1329</f>
        <v>80745.180000000008</v>
      </c>
      <c r="G1380" s="25">
        <f>G1316+G1329</f>
        <v>124985.61</v>
      </c>
      <c r="H1380" s="25">
        <f>H1316+H1329</f>
        <v>0</v>
      </c>
      <c r="I1380" s="25">
        <f>I1316+I1329</f>
        <v>68576.930000000022</v>
      </c>
      <c r="J1380" s="1338">
        <f t="shared" si="139"/>
        <v>1.5479018066465391</v>
      </c>
      <c r="K1380" s="1338">
        <f>I1380/I$1310</f>
        <v>63.858430565514176</v>
      </c>
    </row>
    <row r="1382" spans="1:11" ht="15" x14ac:dyDescent="0.25">
      <c r="B1382" s="616" t="s">
        <v>7460</v>
      </c>
      <c r="F1382" s="643"/>
    </row>
    <row r="1383" spans="1:11" ht="45" customHeight="1" x14ac:dyDescent="0.25">
      <c r="B1383" s="1343" t="s">
        <v>2967</v>
      </c>
      <c r="C1383" s="1343" t="s">
        <v>472</v>
      </c>
      <c r="D1383" s="1343" t="s">
        <v>2968</v>
      </c>
      <c r="E1383" s="1343" t="s">
        <v>1403</v>
      </c>
      <c r="F1383" s="1081">
        <v>2017</v>
      </c>
      <c r="G1383" s="1081">
        <f>F1383+1</f>
        <v>2018</v>
      </c>
      <c r="H1383" s="1081">
        <f>G1383+1</f>
        <v>2019</v>
      </c>
      <c r="I1383" s="1082" t="s">
        <v>7336</v>
      </c>
      <c r="J1383" s="1342" t="s">
        <v>7335</v>
      </c>
      <c r="K1383" s="1342" t="s">
        <v>7334</v>
      </c>
    </row>
    <row r="1384" spans="1:11" s="12" customFormat="1" ht="15" x14ac:dyDescent="0.25">
      <c r="A1384" s="1081"/>
      <c r="B1384" s="570" t="s">
        <v>2950</v>
      </c>
      <c r="C1384" s="1345" t="s">
        <v>7459</v>
      </c>
      <c r="D1384" s="570" t="s">
        <v>5080</v>
      </c>
      <c r="E1384" s="570"/>
      <c r="F1384" s="642">
        <f>SUM(F1385:F1390)</f>
        <v>0</v>
      </c>
      <c r="G1384" s="642">
        <f>SUM(G1385:G1390)</f>
        <v>0</v>
      </c>
      <c r="H1384" s="642">
        <f>SUM(H1385:H1390)</f>
        <v>0</v>
      </c>
      <c r="I1384" s="642">
        <f>SUM(I1385:I1390)</f>
        <v>0</v>
      </c>
      <c r="J1384" s="1338" t="e">
        <f t="shared" ref="J1384:J1405" si="142">(G1384/F1384)+(H1384/G1384)/2</f>
        <v>#DIV/0!</v>
      </c>
      <c r="K1384" s="1337">
        <f t="shared" ref="K1384:K1405" si="143">I1384/I$1405</f>
        <v>0</v>
      </c>
    </row>
    <row r="1385" spans="1:11" ht="15" x14ac:dyDescent="0.25">
      <c r="A1385" s="1341"/>
      <c r="B1385" s="624">
        <v>123200</v>
      </c>
      <c r="C1385" s="1344">
        <v>333904700000000</v>
      </c>
      <c r="D1385" s="624" t="s">
        <v>6393</v>
      </c>
      <c r="E1385" s="624">
        <v>1</v>
      </c>
      <c r="F1385" s="643">
        <v>0</v>
      </c>
      <c r="G1385" s="643">
        <v>0</v>
      </c>
      <c r="H1385" s="26">
        <v>0</v>
      </c>
      <c r="I1385" s="26">
        <f t="shared" ref="I1385:I1390" si="144">(F1385+G1385+H1385)/3</f>
        <v>0</v>
      </c>
      <c r="J1385" s="1340" t="e">
        <f t="shared" si="142"/>
        <v>#DIV/0!</v>
      </c>
      <c r="K1385" s="1339">
        <f t="shared" si="143"/>
        <v>0</v>
      </c>
    </row>
    <row r="1386" spans="1:11" ht="15" x14ac:dyDescent="0.25">
      <c r="A1386" s="1341"/>
      <c r="B1386" s="624">
        <v>123220</v>
      </c>
      <c r="C1386" s="1344">
        <v>344903000000000</v>
      </c>
      <c r="D1386" s="624" t="s">
        <v>6392</v>
      </c>
      <c r="E1386" s="624">
        <v>1</v>
      </c>
      <c r="F1386" s="643">
        <v>0</v>
      </c>
      <c r="G1386" s="643">
        <v>0</v>
      </c>
      <c r="H1386" s="26">
        <v>0</v>
      </c>
      <c r="I1386" s="26">
        <f t="shared" si="144"/>
        <v>0</v>
      </c>
      <c r="J1386" s="1340" t="e">
        <f t="shared" si="142"/>
        <v>#DIV/0!</v>
      </c>
      <c r="K1386" s="1339">
        <f t="shared" si="143"/>
        <v>0</v>
      </c>
    </row>
    <row r="1387" spans="1:11" ht="15" x14ac:dyDescent="0.25">
      <c r="A1387" s="1341"/>
      <c r="B1387" s="624">
        <v>123240</v>
      </c>
      <c r="C1387" s="1344">
        <v>344903600000000</v>
      </c>
      <c r="D1387" s="624" t="s">
        <v>6382</v>
      </c>
      <c r="E1387" s="624">
        <v>1</v>
      </c>
      <c r="F1387" s="643">
        <v>0</v>
      </c>
      <c r="G1387" s="643">
        <v>0</v>
      </c>
      <c r="H1387" s="26">
        <v>0</v>
      </c>
      <c r="I1387" s="26">
        <f t="shared" si="144"/>
        <v>0</v>
      </c>
      <c r="J1387" s="1340" t="e">
        <f t="shared" si="142"/>
        <v>#DIV/0!</v>
      </c>
      <c r="K1387" s="1339">
        <f t="shared" si="143"/>
        <v>0</v>
      </c>
    </row>
    <row r="1388" spans="1:11" ht="15" x14ac:dyDescent="0.25">
      <c r="A1388" s="1341"/>
      <c r="B1388" s="624">
        <v>123260</v>
      </c>
      <c r="C1388" s="1344">
        <v>344903900000000</v>
      </c>
      <c r="D1388" s="624" t="s">
        <v>6391</v>
      </c>
      <c r="E1388" s="624">
        <v>1</v>
      </c>
      <c r="F1388" s="643">
        <v>0</v>
      </c>
      <c r="G1388" s="643">
        <v>0</v>
      </c>
      <c r="H1388" s="26">
        <v>0</v>
      </c>
      <c r="I1388" s="26">
        <f t="shared" si="144"/>
        <v>0</v>
      </c>
      <c r="J1388" s="1340" t="e">
        <f t="shared" si="142"/>
        <v>#DIV/0!</v>
      </c>
      <c r="K1388" s="1339">
        <f t="shared" si="143"/>
        <v>0</v>
      </c>
    </row>
    <row r="1389" spans="1:11" ht="15" x14ac:dyDescent="0.25">
      <c r="A1389" s="1341"/>
      <c r="B1389" s="624">
        <v>123280</v>
      </c>
      <c r="C1389" s="1344">
        <v>344905100000000</v>
      </c>
      <c r="D1389" s="624" t="s">
        <v>6390</v>
      </c>
      <c r="E1389" s="624">
        <v>1</v>
      </c>
      <c r="F1389" s="643">
        <v>0</v>
      </c>
      <c r="G1389" s="643">
        <v>0</v>
      </c>
      <c r="H1389" s="26">
        <v>0</v>
      </c>
      <c r="I1389" s="26">
        <f t="shared" si="144"/>
        <v>0</v>
      </c>
      <c r="J1389" s="1340" t="e">
        <f t="shared" si="142"/>
        <v>#DIV/0!</v>
      </c>
      <c r="K1389" s="1339">
        <f t="shared" si="143"/>
        <v>0</v>
      </c>
    </row>
    <row r="1390" spans="1:11" ht="15" x14ac:dyDescent="0.25">
      <c r="A1390" s="1341"/>
      <c r="B1390" s="624">
        <v>123300</v>
      </c>
      <c r="C1390" s="1344">
        <v>344905200000000</v>
      </c>
      <c r="D1390" s="624" t="s">
        <v>6388</v>
      </c>
      <c r="E1390" s="624">
        <v>1</v>
      </c>
      <c r="F1390" s="643">
        <v>0</v>
      </c>
      <c r="G1390" s="643">
        <v>0</v>
      </c>
      <c r="H1390" s="26">
        <v>0</v>
      </c>
      <c r="I1390" s="26">
        <f t="shared" si="144"/>
        <v>0</v>
      </c>
      <c r="J1390" s="1340" t="e">
        <f t="shared" si="142"/>
        <v>#DIV/0!</v>
      </c>
      <c r="K1390" s="1339">
        <f t="shared" si="143"/>
        <v>0</v>
      </c>
    </row>
    <row r="1391" spans="1:11" s="12" customFormat="1" ht="15" x14ac:dyDescent="0.25">
      <c r="A1391" s="1081"/>
      <c r="B1391" s="570" t="s">
        <v>2965</v>
      </c>
      <c r="C1391" s="1345">
        <v>9</v>
      </c>
      <c r="D1391" s="570" t="s">
        <v>5081</v>
      </c>
      <c r="E1391" s="570"/>
      <c r="F1391" s="642">
        <f>SUM(F1392:F1404)</f>
        <v>186977.1</v>
      </c>
      <c r="G1391" s="642">
        <f>SUM(G1392:G1404)</f>
        <v>165833.00000000003</v>
      </c>
      <c r="H1391" s="642">
        <f>SUM(H1392:H1404)</f>
        <v>0</v>
      </c>
      <c r="I1391" s="642">
        <f>SUM(I1392:I1404)</f>
        <v>117603.36666666668</v>
      </c>
      <c r="J1391" s="1338">
        <f t="shared" si="142"/>
        <v>0.88691609828155438</v>
      </c>
      <c r="K1391" s="1337">
        <f t="shared" si="143"/>
        <v>1</v>
      </c>
    </row>
    <row r="1392" spans="1:11" ht="15" x14ac:dyDescent="0.25">
      <c r="A1392" s="1341"/>
      <c r="B1392" s="624">
        <v>124000</v>
      </c>
      <c r="C1392" s="1344">
        <v>333901400000000</v>
      </c>
      <c r="D1392" s="624" t="s">
        <v>7458</v>
      </c>
      <c r="E1392" s="624">
        <v>1</v>
      </c>
      <c r="F1392" s="643">
        <v>644</v>
      </c>
      <c r="G1392" s="643">
        <v>0</v>
      </c>
      <c r="H1392" s="26">
        <v>0</v>
      </c>
      <c r="I1392" s="26">
        <f t="shared" ref="I1392:I1404" si="145">(F1392+G1392+H1392)/3</f>
        <v>214.66666666666666</v>
      </c>
      <c r="J1392" s="1340" t="e">
        <f t="shared" si="142"/>
        <v>#DIV/0!</v>
      </c>
      <c r="K1392" s="1339">
        <f t="shared" si="143"/>
        <v>1.825344569217264E-3</v>
      </c>
    </row>
    <row r="1393" spans="1:11" ht="15" x14ac:dyDescent="0.25">
      <c r="A1393" s="1341"/>
      <c r="B1393" s="624">
        <v>124100</v>
      </c>
      <c r="C1393" s="1344">
        <v>333903000000000</v>
      </c>
      <c r="D1393" s="624" t="s">
        <v>7457</v>
      </c>
      <c r="E1393" s="624">
        <v>1</v>
      </c>
      <c r="F1393" s="643">
        <v>55572.5</v>
      </c>
      <c r="G1393" s="643">
        <v>31712.36</v>
      </c>
      <c r="H1393" s="26">
        <v>0</v>
      </c>
      <c r="I1393" s="26">
        <f t="shared" si="145"/>
        <v>29094.953333333335</v>
      </c>
      <c r="J1393" s="1340">
        <f t="shared" si="142"/>
        <v>0.57064843222817041</v>
      </c>
      <c r="K1393" s="1339">
        <f t="shared" si="143"/>
        <v>0.24739898319237458</v>
      </c>
    </row>
    <row r="1394" spans="1:11" ht="15" x14ac:dyDescent="0.25">
      <c r="A1394" s="1341"/>
      <c r="B1394" s="624">
        <v>124200</v>
      </c>
      <c r="C1394" s="1344">
        <v>333903100000000</v>
      </c>
      <c r="D1394" s="624" t="s">
        <v>7456</v>
      </c>
      <c r="E1394" s="624">
        <v>1</v>
      </c>
      <c r="F1394" s="643">
        <v>5536.69</v>
      </c>
      <c r="G1394" s="643">
        <v>7766.3</v>
      </c>
      <c r="H1394" s="26">
        <v>0</v>
      </c>
      <c r="I1394" s="26">
        <f t="shared" si="145"/>
        <v>4434.33</v>
      </c>
      <c r="J1394" s="1340">
        <f t="shared" si="142"/>
        <v>1.4026972794214596</v>
      </c>
      <c r="K1394" s="1339">
        <f t="shared" si="143"/>
        <v>3.7705808308775735E-2</v>
      </c>
    </row>
    <row r="1395" spans="1:11" ht="15" x14ac:dyDescent="0.25">
      <c r="A1395" s="1341"/>
      <c r="B1395" s="624">
        <v>124300</v>
      </c>
      <c r="C1395" s="1344">
        <v>333903200000000</v>
      </c>
      <c r="D1395" s="624" t="s">
        <v>6383</v>
      </c>
      <c r="E1395" s="624">
        <v>1</v>
      </c>
      <c r="F1395" s="643">
        <v>0</v>
      </c>
      <c r="G1395" s="643">
        <v>0</v>
      </c>
      <c r="H1395" s="26">
        <v>0</v>
      </c>
      <c r="I1395" s="26">
        <f t="shared" si="145"/>
        <v>0</v>
      </c>
      <c r="J1395" s="1340" t="e">
        <f t="shared" si="142"/>
        <v>#DIV/0!</v>
      </c>
      <c r="K1395" s="1339">
        <f t="shared" si="143"/>
        <v>0</v>
      </c>
    </row>
    <row r="1396" spans="1:11" ht="15" x14ac:dyDescent="0.25">
      <c r="A1396" s="1341"/>
      <c r="B1396" s="624">
        <v>124400</v>
      </c>
      <c r="C1396" s="1344">
        <v>333903300000000</v>
      </c>
      <c r="D1396" s="624" t="s">
        <v>6394</v>
      </c>
      <c r="E1396" s="624">
        <v>1</v>
      </c>
      <c r="F1396" s="643">
        <v>0</v>
      </c>
      <c r="G1396" s="643">
        <v>0</v>
      </c>
      <c r="H1396" s="26">
        <v>0</v>
      </c>
      <c r="I1396" s="26">
        <f t="shared" si="145"/>
        <v>0</v>
      </c>
      <c r="J1396" s="1340" t="e">
        <f t="shared" si="142"/>
        <v>#DIV/0!</v>
      </c>
      <c r="K1396" s="1339">
        <f t="shared" si="143"/>
        <v>0</v>
      </c>
    </row>
    <row r="1397" spans="1:11" ht="15" x14ac:dyDescent="0.25">
      <c r="A1397" s="1341"/>
      <c r="B1397" s="624">
        <v>124500</v>
      </c>
      <c r="C1397" s="1344">
        <v>333903600000000</v>
      </c>
      <c r="D1397" s="624" t="s">
        <v>6382</v>
      </c>
      <c r="E1397" s="624">
        <v>1</v>
      </c>
      <c r="F1397" s="643">
        <v>27572.97</v>
      </c>
      <c r="G1397" s="643">
        <v>20468</v>
      </c>
      <c r="H1397" s="26">
        <v>0</v>
      </c>
      <c r="I1397" s="26">
        <f t="shared" si="145"/>
        <v>16013.656666666668</v>
      </c>
      <c r="J1397" s="1340">
        <f t="shared" si="142"/>
        <v>0.74232119354570791</v>
      </c>
      <c r="K1397" s="1339">
        <f t="shared" si="143"/>
        <v>0.13616665169166076</v>
      </c>
    </row>
    <row r="1398" spans="1:11" ht="15" x14ac:dyDescent="0.25">
      <c r="A1398" s="1341"/>
      <c r="B1398" s="624">
        <v>124600</v>
      </c>
      <c r="C1398" s="1344">
        <v>333903900000000</v>
      </c>
      <c r="D1398" s="624" t="s">
        <v>6391</v>
      </c>
      <c r="E1398" s="624">
        <v>1</v>
      </c>
      <c r="F1398" s="643">
        <v>94280.22</v>
      </c>
      <c r="G1398" s="643">
        <v>103476.3</v>
      </c>
      <c r="H1398" s="26">
        <v>0</v>
      </c>
      <c r="I1398" s="26">
        <f t="shared" si="145"/>
        <v>65918.840000000011</v>
      </c>
      <c r="J1398" s="1340">
        <f t="shared" si="142"/>
        <v>1.0975398657321758</v>
      </c>
      <c r="K1398" s="1339">
        <f t="shared" si="143"/>
        <v>0.56051830715730644</v>
      </c>
    </row>
    <row r="1399" spans="1:11" ht="15" x14ac:dyDescent="0.25">
      <c r="A1399" s="1341"/>
      <c r="B1399" s="624">
        <v>123320</v>
      </c>
      <c r="C1399" s="1344">
        <v>333904000000000</v>
      </c>
      <c r="D1399" s="624" t="s">
        <v>7455</v>
      </c>
      <c r="E1399" s="624">
        <v>1</v>
      </c>
      <c r="F1399" s="643">
        <v>0</v>
      </c>
      <c r="G1399" s="643">
        <v>0</v>
      </c>
      <c r="H1399" s="26">
        <v>0</v>
      </c>
      <c r="I1399" s="26">
        <f t="shared" si="145"/>
        <v>0</v>
      </c>
      <c r="J1399" s="1340" t="e">
        <f t="shared" si="142"/>
        <v>#DIV/0!</v>
      </c>
      <c r="K1399" s="1339">
        <f t="shared" si="143"/>
        <v>0</v>
      </c>
    </row>
    <row r="1400" spans="1:11" ht="15" x14ac:dyDescent="0.25">
      <c r="A1400" s="1341"/>
      <c r="B1400" s="624">
        <v>124700</v>
      </c>
      <c r="C1400" s="1344">
        <v>333904700000000</v>
      </c>
      <c r="D1400" s="624" t="s">
        <v>7454</v>
      </c>
      <c r="E1400" s="624">
        <v>1</v>
      </c>
      <c r="F1400" s="643">
        <v>3202.12</v>
      </c>
      <c r="G1400" s="643">
        <v>2373.6</v>
      </c>
      <c r="H1400" s="26">
        <v>0</v>
      </c>
      <c r="I1400" s="26">
        <f t="shared" si="145"/>
        <v>1858.573333333333</v>
      </c>
      <c r="J1400" s="1340">
        <f t="shared" si="142"/>
        <v>0.74125891596817106</v>
      </c>
      <c r="K1400" s="1339">
        <f t="shared" si="143"/>
        <v>1.5803742579931807E-2</v>
      </c>
    </row>
    <row r="1401" spans="1:11" ht="15" x14ac:dyDescent="0.25">
      <c r="A1401" s="1341"/>
      <c r="B1401" s="624">
        <v>124800</v>
      </c>
      <c r="C1401" s="1344">
        <v>333909200000000</v>
      </c>
      <c r="D1401" s="624" t="s">
        <v>7453</v>
      </c>
      <c r="E1401" s="624">
        <v>1</v>
      </c>
      <c r="F1401" s="643">
        <v>168.6</v>
      </c>
      <c r="G1401" s="643">
        <v>0</v>
      </c>
      <c r="H1401" s="26">
        <v>0</v>
      </c>
      <c r="I1401" s="26">
        <f t="shared" si="145"/>
        <v>56.199999999999996</v>
      </c>
      <c r="J1401" s="1340" t="e">
        <f t="shared" si="142"/>
        <v>#DIV/0!</v>
      </c>
      <c r="K1401" s="1339">
        <f t="shared" si="143"/>
        <v>4.7787747572986135E-4</v>
      </c>
    </row>
    <row r="1402" spans="1:11" ht="15" x14ac:dyDescent="0.25">
      <c r="A1402" s="1341"/>
      <c r="B1402" s="624">
        <v>124900</v>
      </c>
      <c r="C1402" s="1344">
        <v>333909300000000</v>
      </c>
      <c r="D1402" s="624" t="s">
        <v>6395</v>
      </c>
      <c r="E1402" s="624">
        <v>1</v>
      </c>
      <c r="F1402" s="643">
        <v>0</v>
      </c>
      <c r="G1402" s="643">
        <v>36.44</v>
      </c>
      <c r="H1402" s="26">
        <v>0</v>
      </c>
      <c r="I1402" s="26">
        <f t="shared" si="145"/>
        <v>12.146666666666667</v>
      </c>
      <c r="J1402" s="1340" t="e">
        <f t="shared" si="142"/>
        <v>#DIV/0!</v>
      </c>
      <c r="K1402" s="1339">
        <f t="shared" si="143"/>
        <v>1.0328502500353587E-4</v>
      </c>
    </row>
    <row r="1403" spans="1:11" ht="15" x14ac:dyDescent="0.25">
      <c r="A1403" s="1341"/>
      <c r="B1403" s="624">
        <v>125000</v>
      </c>
      <c r="C1403" s="1344">
        <v>344905100000000</v>
      </c>
      <c r="D1403" s="624" t="s">
        <v>6390</v>
      </c>
      <c r="E1403" s="624">
        <v>1</v>
      </c>
      <c r="F1403" s="643">
        <v>0</v>
      </c>
      <c r="G1403" s="643">
        <v>0</v>
      </c>
      <c r="H1403" s="26">
        <v>0</v>
      </c>
      <c r="I1403" s="26">
        <f t="shared" si="145"/>
        <v>0</v>
      </c>
      <c r="J1403" s="1340" t="e">
        <f t="shared" si="142"/>
        <v>#DIV/0!</v>
      </c>
      <c r="K1403" s="1339">
        <f t="shared" si="143"/>
        <v>0</v>
      </c>
    </row>
    <row r="1404" spans="1:11" ht="15" x14ac:dyDescent="0.25">
      <c r="A1404" s="1341"/>
      <c r="B1404" s="624">
        <v>125100</v>
      </c>
      <c r="C1404" s="1344">
        <v>344905200000000</v>
      </c>
      <c r="D1404" s="624" t="s">
        <v>7452</v>
      </c>
      <c r="E1404" s="624">
        <v>1</v>
      </c>
      <c r="F1404" s="643">
        <v>0</v>
      </c>
      <c r="G1404" s="643">
        <v>0</v>
      </c>
      <c r="H1404" s="26">
        <v>0</v>
      </c>
      <c r="I1404" s="26">
        <f t="shared" si="145"/>
        <v>0</v>
      </c>
      <c r="J1404" s="1340" t="e">
        <f t="shared" si="142"/>
        <v>#DIV/0!</v>
      </c>
      <c r="K1404" s="1339">
        <f t="shared" si="143"/>
        <v>0</v>
      </c>
    </row>
    <row r="1405" spans="1:11" ht="15" x14ac:dyDescent="0.25">
      <c r="B1405" s="1598" t="s">
        <v>1575</v>
      </c>
      <c r="C1405" s="1598"/>
      <c r="D1405" s="1598"/>
      <c r="E1405" s="1598"/>
      <c r="F1405" s="25">
        <f>F1384+F1391</f>
        <v>186977.1</v>
      </c>
      <c r="G1405" s="25">
        <f>G1384+G1391</f>
        <v>165833.00000000003</v>
      </c>
      <c r="H1405" s="25">
        <f>H1384+H1391</f>
        <v>0</v>
      </c>
      <c r="I1405" s="25">
        <f>I1384+I1391</f>
        <v>117603.36666666668</v>
      </c>
      <c r="J1405" s="1338">
        <f t="shared" si="142"/>
        <v>0.88691609828155438</v>
      </c>
      <c r="K1405" s="1338">
        <f t="shared" si="143"/>
        <v>1</v>
      </c>
    </row>
    <row r="1409" spans="1:11" ht="15" x14ac:dyDescent="0.25">
      <c r="B1409" s="616" t="s">
        <v>7451</v>
      </c>
      <c r="F1409" s="643"/>
    </row>
    <row r="1410" spans="1:11" ht="45" customHeight="1" x14ac:dyDescent="0.25">
      <c r="B1410" s="1343" t="s">
        <v>2967</v>
      </c>
      <c r="C1410" s="1343" t="s">
        <v>472</v>
      </c>
      <c r="D1410" s="1343" t="s">
        <v>2968</v>
      </c>
      <c r="E1410" s="1343" t="s">
        <v>1403</v>
      </c>
      <c r="F1410" s="1081">
        <v>2017</v>
      </c>
      <c r="G1410" s="1081">
        <f>F1410+1</f>
        <v>2018</v>
      </c>
      <c r="H1410" s="1081">
        <f>G1410+1</f>
        <v>2019</v>
      </c>
      <c r="I1410" s="1082" t="s">
        <v>7336</v>
      </c>
      <c r="J1410" s="1342" t="s">
        <v>7335</v>
      </c>
      <c r="K1410" s="1342" t="s">
        <v>7334</v>
      </c>
    </row>
    <row r="1411" spans="1:11" s="12" customFormat="1" ht="15" x14ac:dyDescent="0.25">
      <c r="A1411" s="1081"/>
      <c r="B1411" s="570" t="s">
        <v>2950</v>
      </c>
      <c r="C1411" s="1345" t="s">
        <v>4889</v>
      </c>
      <c r="D1411" s="570" t="s">
        <v>4890</v>
      </c>
      <c r="E1411" s="570"/>
      <c r="F1411" s="642">
        <f>SUM(F1412:F1417)</f>
        <v>0</v>
      </c>
      <c r="G1411" s="642">
        <f>SUM(G1412:G1417)</f>
        <v>0</v>
      </c>
      <c r="H1411" s="642">
        <f>SUM(H1412:H1417)</f>
        <v>0</v>
      </c>
      <c r="I1411" s="642">
        <f>SUM(I1412:I1417)</f>
        <v>0</v>
      </c>
      <c r="J1411" s="1338" t="e">
        <f t="shared" ref="J1411:J1442" si="146">(G1411/F1411)+(H1411/G1411)/2</f>
        <v>#DIV/0!</v>
      </c>
      <c r="K1411" s="1337" t="e">
        <f t="shared" ref="K1411:K1442" si="147">I1411/I$1436</f>
        <v>#DIV/0!</v>
      </c>
    </row>
    <row r="1412" spans="1:11" ht="15" x14ac:dyDescent="0.25">
      <c r="A1412" s="1341"/>
      <c r="B1412" s="624">
        <v>126000</v>
      </c>
      <c r="C1412" s="1344">
        <v>333904700000000</v>
      </c>
      <c r="D1412" s="624" t="s">
        <v>3149</v>
      </c>
      <c r="E1412" s="624">
        <v>20</v>
      </c>
      <c r="F1412" s="643">
        <v>0</v>
      </c>
      <c r="G1412" s="643">
        <v>0</v>
      </c>
      <c r="H1412" s="26">
        <v>0</v>
      </c>
      <c r="I1412" s="26">
        <f t="shared" ref="I1412:I1417" si="148">(F1412+G1412+H1412)/3</f>
        <v>0</v>
      </c>
      <c r="J1412" s="1340" t="e">
        <f t="shared" si="146"/>
        <v>#DIV/0!</v>
      </c>
      <c r="K1412" s="1339" t="e">
        <f t="shared" si="147"/>
        <v>#DIV/0!</v>
      </c>
    </row>
    <row r="1413" spans="1:11" ht="15" x14ac:dyDescent="0.25">
      <c r="A1413" s="1341"/>
      <c r="B1413" s="624">
        <v>126020</v>
      </c>
      <c r="C1413" s="1344">
        <v>344903000000000</v>
      </c>
      <c r="D1413" s="624" t="s">
        <v>3562</v>
      </c>
      <c r="E1413" s="624">
        <v>20</v>
      </c>
      <c r="F1413" s="643">
        <v>0</v>
      </c>
      <c r="G1413" s="643">
        <v>0</v>
      </c>
      <c r="H1413" s="26">
        <v>0</v>
      </c>
      <c r="I1413" s="26">
        <f t="shared" si="148"/>
        <v>0</v>
      </c>
      <c r="J1413" s="1340" t="e">
        <f t="shared" si="146"/>
        <v>#DIV/0!</v>
      </c>
      <c r="K1413" s="1339" t="e">
        <f t="shared" si="147"/>
        <v>#DIV/0!</v>
      </c>
    </row>
    <row r="1414" spans="1:11" ht="15" x14ac:dyDescent="0.25">
      <c r="A1414" s="1341"/>
      <c r="B1414" s="624">
        <v>126040</v>
      </c>
      <c r="C1414" s="1344">
        <v>344903600000000</v>
      </c>
      <c r="D1414" s="624" t="s">
        <v>3150</v>
      </c>
      <c r="E1414" s="624">
        <v>20</v>
      </c>
      <c r="F1414" s="643">
        <v>0</v>
      </c>
      <c r="G1414" s="643">
        <v>0</v>
      </c>
      <c r="H1414" s="26">
        <v>0</v>
      </c>
      <c r="I1414" s="26">
        <f t="shared" si="148"/>
        <v>0</v>
      </c>
      <c r="J1414" s="1340" t="e">
        <f t="shared" si="146"/>
        <v>#DIV/0!</v>
      </c>
      <c r="K1414" s="1339" t="e">
        <f t="shared" si="147"/>
        <v>#DIV/0!</v>
      </c>
    </row>
    <row r="1415" spans="1:11" ht="15" x14ac:dyDescent="0.25">
      <c r="A1415" s="1341"/>
      <c r="B1415" s="624">
        <v>126060</v>
      </c>
      <c r="C1415" s="1344">
        <v>344903900000000</v>
      </c>
      <c r="D1415" s="624" t="s">
        <v>4691</v>
      </c>
      <c r="E1415" s="624">
        <v>20</v>
      </c>
      <c r="F1415" s="643">
        <v>0</v>
      </c>
      <c r="G1415" s="643">
        <v>0</v>
      </c>
      <c r="H1415" s="26">
        <v>0</v>
      </c>
      <c r="I1415" s="26">
        <f t="shared" si="148"/>
        <v>0</v>
      </c>
      <c r="J1415" s="1340" t="e">
        <f t="shared" si="146"/>
        <v>#DIV/0!</v>
      </c>
      <c r="K1415" s="1339" t="e">
        <f t="shared" si="147"/>
        <v>#DIV/0!</v>
      </c>
    </row>
    <row r="1416" spans="1:11" ht="15" x14ac:dyDescent="0.25">
      <c r="A1416" s="1341"/>
      <c r="B1416" s="624">
        <v>126080</v>
      </c>
      <c r="C1416" s="1344">
        <v>344905100000000</v>
      </c>
      <c r="D1416" s="624" t="s">
        <v>3130</v>
      </c>
      <c r="E1416" s="624">
        <v>20</v>
      </c>
      <c r="F1416" s="643">
        <v>0</v>
      </c>
      <c r="G1416" s="643">
        <v>0</v>
      </c>
      <c r="H1416" s="26">
        <v>0</v>
      </c>
      <c r="I1416" s="26">
        <f t="shared" si="148"/>
        <v>0</v>
      </c>
      <c r="J1416" s="1340" t="e">
        <f t="shared" si="146"/>
        <v>#DIV/0!</v>
      </c>
      <c r="K1416" s="1339" t="e">
        <f t="shared" si="147"/>
        <v>#DIV/0!</v>
      </c>
    </row>
    <row r="1417" spans="1:11" ht="15" x14ac:dyDescent="0.25">
      <c r="A1417" s="1341"/>
      <c r="B1417" s="624">
        <v>126090</v>
      </c>
      <c r="C1417" s="1344">
        <v>344905200000000</v>
      </c>
      <c r="D1417" s="624" t="s">
        <v>3152</v>
      </c>
      <c r="E1417" s="624">
        <v>20</v>
      </c>
      <c r="F1417" s="643">
        <v>0</v>
      </c>
      <c r="G1417" s="643">
        <v>0</v>
      </c>
      <c r="H1417" s="26">
        <v>0</v>
      </c>
      <c r="I1417" s="26">
        <f t="shared" si="148"/>
        <v>0</v>
      </c>
      <c r="J1417" s="1340" t="e">
        <f t="shared" si="146"/>
        <v>#DIV/0!</v>
      </c>
      <c r="K1417" s="1339" t="e">
        <f t="shared" si="147"/>
        <v>#DIV/0!</v>
      </c>
    </row>
    <row r="1418" spans="1:11" s="12" customFormat="1" ht="15" x14ac:dyDescent="0.25">
      <c r="A1418" s="1081"/>
      <c r="B1418" s="570" t="s">
        <v>2965</v>
      </c>
      <c r="C1418" s="1345">
        <v>40</v>
      </c>
      <c r="D1418" s="570" t="s">
        <v>4893</v>
      </c>
      <c r="E1418" s="570"/>
      <c r="F1418" s="642">
        <f>SUM(F1419:F1445)</f>
        <v>90709.260000000009</v>
      </c>
      <c r="G1418" s="642">
        <f>SUM(G1419:G1445)</f>
        <v>92348.659999999989</v>
      </c>
      <c r="H1418" s="642">
        <f>SUM(H1419:H1445)</f>
        <v>0</v>
      </c>
      <c r="I1418" s="642">
        <f>SUM(I1419:I1445)</f>
        <v>61019.306666666678</v>
      </c>
      <c r="J1418" s="1338">
        <f t="shared" si="146"/>
        <v>1.0180731272639638</v>
      </c>
      <c r="K1418" s="1337" t="e">
        <f t="shared" si="147"/>
        <v>#DIV/0!</v>
      </c>
    </row>
    <row r="1419" spans="1:11" ht="15" x14ac:dyDescent="0.25">
      <c r="A1419" s="1341"/>
      <c r="B1419" s="624">
        <v>126200</v>
      </c>
      <c r="C1419" s="1344">
        <v>331900400000000</v>
      </c>
      <c r="D1419" s="624" t="s">
        <v>6414</v>
      </c>
      <c r="E1419" s="624">
        <v>20</v>
      </c>
      <c r="F1419" s="643">
        <v>0</v>
      </c>
      <c r="G1419" s="643">
        <v>0</v>
      </c>
      <c r="H1419" s="26">
        <v>0</v>
      </c>
      <c r="I1419" s="26">
        <f t="shared" ref="I1419:I1445" si="149">(F1419+G1419+H1419)/3</f>
        <v>0</v>
      </c>
      <c r="J1419" s="1340" t="e">
        <f t="shared" si="146"/>
        <v>#DIV/0!</v>
      </c>
      <c r="K1419" s="1339" t="e">
        <f t="shared" si="147"/>
        <v>#DIV/0!</v>
      </c>
    </row>
    <row r="1420" spans="1:11" ht="15" x14ac:dyDescent="0.25">
      <c r="A1420" s="1341"/>
      <c r="B1420" s="624">
        <v>126250</v>
      </c>
      <c r="C1420" s="1344">
        <v>331900800000000</v>
      </c>
      <c r="D1420" s="624" t="s">
        <v>6413</v>
      </c>
      <c r="E1420" s="624">
        <v>1</v>
      </c>
      <c r="F1420" s="643">
        <v>5988.79</v>
      </c>
      <c r="G1420" s="643">
        <v>9266.41</v>
      </c>
      <c r="H1420" s="26">
        <v>0</v>
      </c>
      <c r="I1420" s="26">
        <f t="shared" si="149"/>
        <v>5085.0666666666666</v>
      </c>
      <c r="J1420" s="1340">
        <f t="shared" si="146"/>
        <v>1.5472925248672937</v>
      </c>
      <c r="K1420" s="1339" t="e">
        <f t="shared" si="147"/>
        <v>#DIV/0!</v>
      </c>
    </row>
    <row r="1421" spans="1:11" ht="15" x14ac:dyDescent="0.25">
      <c r="A1421" s="1341"/>
      <c r="B1421" s="624">
        <v>126220</v>
      </c>
      <c r="C1421" s="1344">
        <v>331901100000000</v>
      </c>
      <c r="D1421" s="624" t="s">
        <v>6415</v>
      </c>
      <c r="E1421" s="624">
        <v>20</v>
      </c>
      <c r="F1421" s="643">
        <v>41740.67</v>
      </c>
      <c r="G1421" s="643">
        <v>36501.46</v>
      </c>
      <c r="H1421" s="26">
        <v>0</v>
      </c>
      <c r="I1421" s="26">
        <f t="shared" si="149"/>
        <v>26080.710000000003</v>
      </c>
      <c r="J1421" s="1340">
        <f t="shared" si="146"/>
        <v>0.87448189020444567</v>
      </c>
      <c r="K1421" s="1339" t="e">
        <f t="shared" si="147"/>
        <v>#DIV/0!</v>
      </c>
    </row>
    <row r="1422" spans="1:11" ht="15" x14ac:dyDescent="0.25">
      <c r="A1422" s="1341"/>
      <c r="B1422" s="624">
        <v>126240</v>
      </c>
      <c r="C1422" s="1344">
        <v>331901300000000</v>
      </c>
      <c r="D1422" s="624" t="s">
        <v>6416</v>
      </c>
      <c r="E1422" s="624">
        <v>20</v>
      </c>
      <c r="F1422" s="643">
        <v>9272.82</v>
      </c>
      <c r="G1422" s="643">
        <v>8063.68</v>
      </c>
      <c r="H1422" s="26">
        <v>0</v>
      </c>
      <c r="I1422" s="26">
        <f t="shared" si="149"/>
        <v>5778.833333333333</v>
      </c>
      <c r="J1422" s="1340">
        <f t="shared" si="146"/>
        <v>0.86960385298107812</v>
      </c>
      <c r="K1422" s="1339" t="e">
        <f t="shared" si="147"/>
        <v>#DIV/0!</v>
      </c>
    </row>
    <row r="1423" spans="1:11" ht="15" x14ac:dyDescent="0.25">
      <c r="A1423" s="1341"/>
      <c r="B1423" s="624">
        <v>126260</v>
      </c>
      <c r="C1423" s="1344">
        <v>331901600000000</v>
      </c>
      <c r="D1423" s="624" t="s">
        <v>6417</v>
      </c>
      <c r="E1423" s="624">
        <v>20</v>
      </c>
      <c r="F1423" s="643">
        <v>452.18</v>
      </c>
      <c r="G1423" s="643">
        <v>0</v>
      </c>
      <c r="H1423" s="26">
        <v>0</v>
      </c>
      <c r="I1423" s="26">
        <f t="shared" si="149"/>
        <v>150.72666666666666</v>
      </c>
      <c r="J1423" s="1340" t="e">
        <f t="shared" si="146"/>
        <v>#DIV/0!</v>
      </c>
      <c r="K1423" s="1339" t="e">
        <f t="shared" si="147"/>
        <v>#DIV/0!</v>
      </c>
    </row>
    <row r="1424" spans="1:11" ht="15" x14ac:dyDescent="0.25">
      <c r="A1424" s="1341"/>
      <c r="B1424" s="624">
        <v>126270</v>
      </c>
      <c r="C1424" s="1344">
        <v>331903400000000</v>
      </c>
      <c r="D1424" s="624" t="s">
        <v>7450</v>
      </c>
      <c r="E1424" s="624">
        <v>20</v>
      </c>
      <c r="F1424" s="643">
        <v>0</v>
      </c>
      <c r="G1424" s="643">
        <v>0</v>
      </c>
      <c r="H1424" s="26">
        <v>0</v>
      </c>
      <c r="I1424" s="26">
        <f t="shared" si="149"/>
        <v>0</v>
      </c>
      <c r="J1424" s="1340" t="e">
        <f t="shared" si="146"/>
        <v>#DIV/0!</v>
      </c>
      <c r="K1424" s="1339" t="e">
        <f t="shared" si="147"/>
        <v>#DIV/0!</v>
      </c>
    </row>
    <row r="1425" spans="1:11" ht="15" x14ac:dyDescent="0.25">
      <c r="A1425" s="1341"/>
      <c r="B1425" s="624">
        <v>126280</v>
      </c>
      <c r="C1425" s="1344">
        <v>331909400000000</v>
      </c>
      <c r="D1425" s="624" t="s">
        <v>6412</v>
      </c>
      <c r="E1425" s="624">
        <v>20</v>
      </c>
      <c r="F1425" s="643">
        <v>0</v>
      </c>
      <c r="G1425" s="643">
        <v>0</v>
      </c>
      <c r="H1425" s="26">
        <v>0</v>
      </c>
      <c r="I1425" s="26">
        <f t="shared" si="149"/>
        <v>0</v>
      </c>
      <c r="J1425" s="1340" t="e">
        <f t="shared" si="146"/>
        <v>#DIV/0!</v>
      </c>
      <c r="K1425" s="1339" t="e">
        <f t="shared" si="147"/>
        <v>#DIV/0!</v>
      </c>
    </row>
    <row r="1426" spans="1:11" ht="15" x14ac:dyDescent="0.25">
      <c r="A1426" s="1341"/>
      <c r="B1426" s="624">
        <v>126300</v>
      </c>
      <c r="C1426" s="1344">
        <v>333901400000000</v>
      </c>
      <c r="D1426" s="624" t="s">
        <v>6411</v>
      </c>
      <c r="E1426" s="624">
        <v>20</v>
      </c>
      <c r="F1426" s="643">
        <v>0</v>
      </c>
      <c r="G1426" s="643">
        <v>0</v>
      </c>
      <c r="H1426" s="26">
        <v>0</v>
      </c>
      <c r="I1426" s="26">
        <f t="shared" si="149"/>
        <v>0</v>
      </c>
      <c r="J1426" s="1340" t="e">
        <f t="shared" si="146"/>
        <v>#DIV/0!</v>
      </c>
      <c r="K1426" s="1339" t="e">
        <f t="shared" si="147"/>
        <v>#DIV/0!</v>
      </c>
    </row>
    <row r="1427" spans="1:11" ht="15" x14ac:dyDescent="0.25">
      <c r="A1427" s="1341"/>
      <c r="B1427" s="624">
        <v>128000</v>
      </c>
      <c r="C1427" s="1344">
        <v>333901400000000</v>
      </c>
      <c r="D1427" s="624" t="s">
        <v>6442</v>
      </c>
      <c r="E1427" s="624">
        <v>31</v>
      </c>
      <c r="F1427" s="643">
        <v>0</v>
      </c>
      <c r="G1427" s="643">
        <v>0</v>
      </c>
      <c r="H1427" s="26">
        <v>0</v>
      </c>
      <c r="I1427" s="26">
        <f t="shared" si="149"/>
        <v>0</v>
      </c>
      <c r="J1427" s="1340" t="e">
        <f t="shared" si="146"/>
        <v>#DIV/0!</v>
      </c>
      <c r="K1427" s="1339" t="e">
        <f t="shared" si="147"/>
        <v>#DIV/0!</v>
      </c>
    </row>
    <row r="1428" spans="1:11" ht="15" x14ac:dyDescent="0.25">
      <c r="A1428" s="1341"/>
      <c r="B1428" s="624">
        <v>126320</v>
      </c>
      <c r="C1428" s="1344">
        <v>333903000000000</v>
      </c>
      <c r="D1428" s="624" t="s">
        <v>6410</v>
      </c>
      <c r="E1428" s="624">
        <v>20</v>
      </c>
      <c r="F1428" s="643">
        <v>0</v>
      </c>
      <c r="G1428" s="643">
        <v>281.3</v>
      </c>
      <c r="H1428" s="26">
        <v>0</v>
      </c>
      <c r="I1428" s="26">
        <f t="shared" si="149"/>
        <v>93.766666666666666</v>
      </c>
      <c r="J1428" s="1340" t="e">
        <f t="shared" si="146"/>
        <v>#DIV/0!</v>
      </c>
      <c r="K1428" s="1339" t="e">
        <f t="shared" si="147"/>
        <v>#DIV/0!</v>
      </c>
    </row>
    <row r="1429" spans="1:11" ht="15" x14ac:dyDescent="0.25">
      <c r="A1429" s="1341"/>
      <c r="B1429" s="624">
        <v>128020</v>
      </c>
      <c r="C1429" s="1344">
        <v>333903000000000</v>
      </c>
      <c r="D1429" s="624" t="s">
        <v>6443</v>
      </c>
      <c r="E1429" s="624">
        <v>31</v>
      </c>
      <c r="F1429" s="643">
        <v>0</v>
      </c>
      <c r="G1429" s="643">
        <v>0</v>
      </c>
      <c r="H1429" s="26">
        <v>0</v>
      </c>
      <c r="I1429" s="26">
        <f t="shared" si="149"/>
        <v>0</v>
      </c>
      <c r="J1429" s="1340" t="e">
        <f t="shared" si="146"/>
        <v>#DIV/0!</v>
      </c>
      <c r="K1429" s="1339" t="e">
        <f t="shared" si="147"/>
        <v>#DIV/0!</v>
      </c>
    </row>
    <row r="1430" spans="1:11" ht="15" x14ac:dyDescent="0.25">
      <c r="A1430" s="1341"/>
      <c r="B1430" s="624">
        <v>126340</v>
      </c>
      <c r="C1430" s="1344">
        <v>333903300000000</v>
      </c>
      <c r="D1430" s="624" t="s">
        <v>6409</v>
      </c>
      <c r="E1430" s="624">
        <v>20</v>
      </c>
      <c r="F1430" s="643">
        <v>0</v>
      </c>
      <c r="G1430" s="643">
        <v>0</v>
      </c>
      <c r="H1430" s="26">
        <v>0</v>
      </c>
      <c r="I1430" s="26">
        <f t="shared" si="149"/>
        <v>0</v>
      </c>
      <c r="J1430" s="1340" t="e">
        <f t="shared" si="146"/>
        <v>#DIV/0!</v>
      </c>
      <c r="K1430" s="1339" t="e">
        <f t="shared" si="147"/>
        <v>#DIV/0!</v>
      </c>
    </row>
    <row r="1431" spans="1:11" ht="15" x14ac:dyDescent="0.25">
      <c r="A1431" s="1341"/>
      <c r="B1431" s="624">
        <v>126360</v>
      </c>
      <c r="C1431" s="1344">
        <v>333903500000000</v>
      </c>
      <c r="D1431" s="624" t="s">
        <v>6408</v>
      </c>
      <c r="E1431" s="624">
        <v>20</v>
      </c>
      <c r="F1431" s="643">
        <v>0</v>
      </c>
      <c r="G1431" s="643">
        <v>0</v>
      </c>
      <c r="H1431" s="26">
        <v>0</v>
      </c>
      <c r="I1431" s="26">
        <f t="shared" si="149"/>
        <v>0</v>
      </c>
      <c r="J1431" s="1340" t="e">
        <f t="shared" si="146"/>
        <v>#DIV/0!</v>
      </c>
      <c r="K1431" s="1339" t="e">
        <f t="shared" si="147"/>
        <v>#DIV/0!</v>
      </c>
    </row>
    <row r="1432" spans="1:11" ht="15" x14ac:dyDescent="0.25">
      <c r="A1432" s="1341"/>
      <c r="B1432" s="624">
        <v>126380</v>
      </c>
      <c r="C1432" s="1344">
        <v>333903600000000</v>
      </c>
      <c r="D1432" s="624" t="s">
        <v>6407</v>
      </c>
      <c r="E1432" s="624">
        <v>20</v>
      </c>
      <c r="F1432" s="643">
        <v>0</v>
      </c>
      <c r="G1432" s="643">
        <v>0</v>
      </c>
      <c r="H1432" s="26">
        <v>0</v>
      </c>
      <c r="I1432" s="26">
        <f t="shared" si="149"/>
        <v>0</v>
      </c>
      <c r="J1432" s="1340" t="e">
        <f t="shared" si="146"/>
        <v>#DIV/0!</v>
      </c>
      <c r="K1432" s="1339" t="e">
        <f t="shared" si="147"/>
        <v>#DIV/0!</v>
      </c>
    </row>
    <row r="1433" spans="1:11" ht="15" x14ac:dyDescent="0.25">
      <c r="A1433" s="1341"/>
      <c r="B1433" s="624">
        <v>128040</v>
      </c>
      <c r="C1433" s="1344">
        <v>333903600000000</v>
      </c>
      <c r="D1433" s="624" t="s">
        <v>6444</v>
      </c>
      <c r="E1433" s="624">
        <v>31</v>
      </c>
      <c r="F1433" s="643">
        <v>0</v>
      </c>
      <c r="G1433" s="643">
        <v>0</v>
      </c>
      <c r="H1433" s="26">
        <v>0</v>
      </c>
      <c r="I1433" s="26">
        <f t="shared" si="149"/>
        <v>0</v>
      </c>
      <c r="J1433" s="1340" t="e">
        <f t="shared" si="146"/>
        <v>#DIV/0!</v>
      </c>
      <c r="K1433" s="1339" t="e">
        <f t="shared" si="147"/>
        <v>#DIV/0!</v>
      </c>
    </row>
    <row r="1434" spans="1:11" ht="15" x14ac:dyDescent="0.25">
      <c r="A1434" s="1341"/>
      <c r="B1434" s="624">
        <v>126400</v>
      </c>
      <c r="C1434" s="1344">
        <v>333903900000000</v>
      </c>
      <c r="D1434" s="624" t="s">
        <v>6406</v>
      </c>
      <c r="E1434" s="624">
        <v>20</v>
      </c>
      <c r="F1434" s="643">
        <v>29450.639999999999</v>
      </c>
      <c r="G1434" s="643">
        <v>28782.63</v>
      </c>
      <c r="H1434" s="26">
        <v>0</v>
      </c>
      <c r="I1434" s="26">
        <f t="shared" si="149"/>
        <v>19411.09</v>
      </c>
      <c r="J1434" s="1340">
        <f t="shared" si="146"/>
        <v>0.9773176406353139</v>
      </c>
      <c r="K1434" s="1339" t="e">
        <f t="shared" si="147"/>
        <v>#DIV/0!</v>
      </c>
    </row>
    <row r="1435" spans="1:11" ht="15" x14ac:dyDescent="0.25">
      <c r="A1435" s="1341"/>
      <c r="B1435" s="624">
        <v>128060</v>
      </c>
      <c r="C1435" s="1344">
        <v>333903900000000</v>
      </c>
      <c r="D1435" s="624" t="s">
        <v>6445</v>
      </c>
      <c r="E1435" s="624">
        <v>31</v>
      </c>
      <c r="F1435" s="643">
        <v>0</v>
      </c>
      <c r="G1435" s="643">
        <v>0</v>
      </c>
      <c r="H1435" s="26">
        <v>0</v>
      </c>
      <c r="I1435" s="26">
        <f t="shared" si="149"/>
        <v>0</v>
      </c>
      <c r="J1435" s="1340" t="e">
        <f t="shared" si="146"/>
        <v>#DIV/0!</v>
      </c>
      <c r="K1435" s="1339" t="e">
        <f t="shared" si="147"/>
        <v>#DIV/0!</v>
      </c>
    </row>
    <row r="1436" spans="1:11" ht="15" x14ac:dyDescent="0.25">
      <c r="A1436" s="1341"/>
      <c r="B1436" s="624">
        <v>126580</v>
      </c>
      <c r="C1436" s="1344">
        <v>333904000000000</v>
      </c>
      <c r="D1436" s="624" t="s">
        <v>6397</v>
      </c>
      <c r="E1436" s="624">
        <v>20</v>
      </c>
      <c r="F1436" s="643">
        <v>0</v>
      </c>
      <c r="G1436" s="643">
        <v>0</v>
      </c>
      <c r="H1436" s="26">
        <v>0</v>
      </c>
      <c r="I1436" s="26">
        <f t="shared" si="149"/>
        <v>0</v>
      </c>
      <c r="J1436" s="1340" t="e">
        <f t="shared" si="146"/>
        <v>#DIV/0!</v>
      </c>
      <c r="K1436" s="1339" t="e">
        <f t="shared" si="147"/>
        <v>#DIV/0!</v>
      </c>
    </row>
    <row r="1437" spans="1:11" ht="15" x14ac:dyDescent="0.25">
      <c r="A1437" s="1341"/>
      <c r="B1437" s="624">
        <v>126450</v>
      </c>
      <c r="C1437" s="1344">
        <v>333904600000000</v>
      </c>
      <c r="D1437" s="624" t="s">
        <v>6405</v>
      </c>
      <c r="E1437" s="624">
        <v>1</v>
      </c>
      <c r="F1437" s="643">
        <v>0</v>
      </c>
      <c r="G1437" s="643">
        <v>0</v>
      </c>
      <c r="H1437" s="26">
        <v>0</v>
      </c>
      <c r="I1437" s="26">
        <f t="shared" si="149"/>
        <v>0</v>
      </c>
      <c r="J1437" s="1340" t="e">
        <f t="shared" si="146"/>
        <v>#DIV/0!</v>
      </c>
      <c r="K1437" s="1339" t="e">
        <f t="shared" si="147"/>
        <v>#DIV/0!</v>
      </c>
    </row>
    <row r="1438" spans="1:11" ht="15" x14ac:dyDescent="0.25">
      <c r="A1438" s="1341"/>
      <c r="B1438" s="624">
        <v>126560</v>
      </c>
      <c r="C1438" s="1344">
        <v>333904700000000</v>
      </c>
      <c r="D1438" s="624" t="s">
        <v>6404</v>
      </c>
      <c r="E1438" s="624">
        <v>20</v>
      </c>
      <c r="F1438" s="643">
        <v>0</v>
      </c>
      <c r="G1438" s="643">
        <v>0</v>
      </c>
      <c r="H1438" s="26">
        <v>0</v>
      </c>
      <c r="I1438" s="26">
        <f t="shared" si="149"/>
        <v>0</v>
      </c>
      <c r="J1438" s="1340" t="e">
        <f t="shared" si="146"/>
        <v>#DIV/0!</v>
      </c>
      <c r="K1438" s="1339" t="e">
        <f t="shared" si="147"/>
        <v>#DIV/0!</v>
      </c>
    </row>
    <row r="1439" spans="1:11" ht="15" x14ac:dyDescent="0.25">
      <c r="A1439" s="1341"/>
      <c r="B1439" s="624">
        <v>128080</v>
      </c>
      <c r="C1439" s="1344">
        <v>333904700000000</v>
      </c>
      <c r="D1439" s="624" t="s">
        <v>6446</v>
      </c>
      <c r="E1439" s="624">
        <v>31</v>
      </c>
      <c r="F1439" s="643">
        <v>0</v>
      </c>
      <c r="G1439" s="643">
        <v>0</v>
      </c>
      <c r="H1439" s="26">
        <v>0</v>
      </c>
      <c r="I1439" s="26">
        <f t="shared" si="149"/>
        <v>0</v>
      </c>
      <c r="J1439" s="1340" t="e">
        <f t="shared" si="146"/>
        <v>#DIV/0!</v>
      </c>
      <c r="K1439" s="1339" t="e">
        <f t="shared" si="147"/>
        <v>#DIV/0!</v>
      </c>
    </row>
    <row r="1440" spans="1:11" ht="15" x14ac:dyDescent="0.25">
      <c r="A1440" s="1341"/>
      <c r="B1440" s="624">
        <v>126470</v>
      </c>
      <c r="C1440" s="1344">
        <v>333904900000000</v>
      </c>
      <c r="D1440" s="624" t="s">
        <v>6403</v>
      </c>
      <c r="E1440" s="624">
        <v>20</v>
      </c>
      <c r="F1440" s="643">
        <v>2850.16</v>
      </c>
      <c r="G1440" s="643">
        <v>2732.18</v>
      </c>
      <c r="H1440" s="26">
        <v>0</v>
      </c>
      <c r="I1440" s="26">
        <f t="shared" si="149"/>
        <v>1860.78</v>
      </c>
      <c r="J1440" s="1340">
        <f t="shared" si="146"/>
        <v>0.95860583265500887</v>
      </c>
      <c r="K1440" s="1339" t="e">
        <f t="shared" si="147"/>
        <v>#DIV/0!</v>
      </c>
    </row>
    <row r="1441" spans="1:11" ht="15" x14ac:dyDescent="0.25">
      <c r="A1441" s="1341"/>
      <c r="B1441" s="624">
        <v>126490</v>
      </c>
      <c r="C1441" s="1344">
        <v>333909200000000</v>
      </c>
      <c r="D1441" s="624" t="s">
        <v>6402</v>
      </c>
      <c r="E1441" s="624">
        <v>20</v>
      </c>
      <c r="F1441" s="643">
        <v>0</v>
      </c>
      <c r="G1441" s="643">
        <v>0</v>
      </c>
      <c r="H1441" s="26">
        <v>0</v>
      </c>
      <c r="I1441" s="26">
        <f t="shared" si="149"/>
        <v>0</v>
      </c>
      <c r="J1441" s="1340" t="e">
        <f t="shared" si="146"/>
        <v>#DIV/0!</v>
      </c>
      <c r="K1441" s="1339" t="e">
        <f t="shared" si="147"/>
        <v>#DIV/0!</v>
      </c>
    </row>
    <row r="1442" spans="1:11" ht="15" x14ac:dyDescent="0.25">
      <c r="A1442" s="1341"/>
      <c r="B1442" s="624">
        <v>126510</v>
      </c>
      <c r="C1442" s="1344">
        <v>333909300000000</v>
      </c>
      <c r="D1442" s="624" t="s">
        <v>6401</v>
      </c>
      <c r="E1442" s="624">
        <v>20</v>
      </c>
      <c r="F1442" s="643">
        <v>0</v>
      </c>
      <c r="G1442" s="643">
        <v>0</v>
      </c>
      <c r="H1442" s="26">
        <v>0</v>
      </c>
      <c r="I1442" s="26">
        <f t="shared" si="149"/>
        <v>0</v>
      </c>
      <c r="J1442" s="1340" t="e">
        <f t="shared" si="146"/>
        <v>#DIV/0!</v>
      </c>
      <c r="K1442" s="1339" t="e">
        <f t="shared" si="147"/>
        <v>#DIV/0!</v>
      </c>
    </row>
    <row r="1443" spans="1:11" ht="15" x14ac:dyDescent="0.25">
      <c r="A1443" s="1341"/>
      <c r="B1443" s="624">
        <v>126520</v>
      </c>
      <c r="C1443" s="1344">
        <v>333933000000000</v>
      </c>
      <c r="D1443" s="624" t="s">
        <v>6400</v>
      </c>
      <c r="E1443" s="624">
        <v>20</v>
      </c>
      <c r="F1443" s="643">
        <v>0</v>
      </c>
      <c r="G1443" s="643">
        <v>0</v>
      </c>
      <c r="H1443" s="26">
        <v>0</v>
      </c>
      <c r="I1443" s="26">
        <f t="shared" si="149"/>
        <v>0</v>
      </c>
      <c r="J1443" s="1340" t="e">
        <f t="shared" ref="J1443:J1477" si="150">(G1443/F1443)+(H1443/G1443)/2</f>
        <v>#DIV/0!</v>
      </c>
      <c r="K1443" s="1339" t="e">
        <f t="shared" ref="K1443:K1477" si="151">I1443/I$1436</f>
        <v>#DIV/0!</v>
      </c>
    </row>
    <row r="1444" spans="1:11" ht="15" x14ac:dyDescent="0.25">
      <c r="A1444" s="1341"/>
      <c r="B1444" s="624">
        <v>126550</v>
      </c>
      <c r="C1444" s="1344">
        <v>344905100000000</v>
      </c>
      <c r="D1444" s="624" t="s">
        <v>7449</v>
      </c>
      <c r="E1444" s="624">
        <v>20</v>
      </c>
      <c r="F1444" s="643">
        <v>0</v>
      </c>
      <c r="G1444" s="643">
        <v>0</v>
      </c>
      <c r="H1444" s="26">
        <v>0</v>
      </c>
      <c r="I1444" s="26">
        <f t="shared" si="149"/>
        <v>0</v>
      </c>
      <c r="J1444" s="1340" t="e">
        <f t="shared" si="150"/>
        <v>#DIV/0!</v>
      </c>
      <c r="K1444" s="1339" t="e">
        <f t="shared" si="151"/>
        <v>#DIV/0!</v>
      </c>
    </row>
    <row r="1445" spans="1:11" ht="15" x14ac:dyDescent="0.25">
      <c r="A1445" s="1341"/>
      <c r="B1445" s="624">
        <v>126570</v>
      </c>
      <c r="C1445" s="1344">
        <v>344905200000000</v>
      </c>
      <c r="D1445" s="624" t="s">
        <v>6398</v>
      </c>
      <c r="E1445" s="624">
        <v>20</v>
      </c>
      <c r="F1445" s="643">
        <v>954</v>
      </c>
      <c r="G1445" s="643">
        <v>6721</v>
      </c>
      <c r="H1445" s="26">
        <v>0</v>
      </c>
      <c r="I1445" s="26">
        <f t="shared" si="149"/>
        <v>2558.3333333333335</v>
      </c>
      <c r="J1445" s="1340">
        <f t="shared" si="150"/>
        <v>7.0450733752620547</v>
      </c>
      <c r="K1445" s="1339" t="e">
        <f t="shared" si="151"/>
        <v>#DIV/0!</v>
      </c>
    </row>
    <row r="1446" spans="1:11" s="12" customFormat="1" ht="15" x14ac:dyDescent="0.25">
      <c r="A1446" s="1081"/>
      <c r="B1446" s="570" t="s">
        <v>2965</v>
      </c>
      <c r="C1446" s="1345">
        <v>41</v>
      </c>
      <c r="D1446" s="570" t="s">
        <v>4892</v>
      </c>
      <c r="E1446" s="570"/>
      <c r="F1446" s="642">
        <f>SUM(F1447:F1476)</f>
        <v>199370.02</v>
      </c>
      <c r="G1446" s="642">
        <f>SUM(G1447:G1476)</f>
        <v>295358.5500000001</v>
      </c>
      <c r="H1446" s="642">
        <f>SUM(H1447:H1476)</f>
        <v>0</v>
      </c>
      <c r="I1446" s="642">
        <f>SUM(I1447:I1476)</f>
        <v>164909.52333333332</v>
      </c>
      <c r="J1446" s="1338">
        <f t="shared" si="150"/>
        <v>1.4814591983288166</v>
      </c>
      <c r="K1446" s="1337" t="e">
        <f t="shared" si="151"/>
        <v>#DIV/0!</v>
      </c>
    </row>
    <row r="1447" spans="1:11" ht="15" x14ac:dyDescent="0.25">
      <c r="A1447" s="1341"/>
      <c r="B1447" s="624">
        <v>126500</v>
      </c>
      <c r="C1447" s="1344">
        <v>331900400000000</v>
      </c>
      <c r="D1447" s="624" t="s">
        <v>6419</v>
      </c>
      <c r="E1447" s="624">
        <v>31</v>
      </c>
      <c r="F1447" s="643">
        <f>12337.35+1067.65</f>
        <v>13405</v>
      </c>
      <c r="G1447" s="643">
        <v>0</v>
      </c>
      <c r="H1447" s="26">
        <v>0</v>
      </c>
      <c r="I1447" s="26">
        <f t="shared" ref="I1447:I1476" si="152">(F1447+G1447+H1447)/3</f>
        <v>4468.333333333333</v>
      </c>
      <c r="J1447" s="1340" t="e">
        <f t="shared" si="150"/>
        <v>#DIV/0!</v>
      </c>
      <c r="K1447" s="1339" t="e">
        <f t="shared" si="151"/>
        <v>#DIV/0!</v>
      </c>
    </row>
    <row r="1448" spans="1:11" ht="15" x14ac:dyDescent="0.25">
      <c r="A1448" s="1341"/>
      <c r="B1448" s="624">
        <v>126600</v>
      </c>
      <c r="C1448" s="1344">
        <v>331900800000000</v>
      </c>
      <c r="D1448" s="624" t="s">
        <v>7448</v>
      </c>
      <c r="E1448" s="624">
        <v>1</v>
      </c>
      <c r="F1448" s="643">
        <v>0</v>
      </c>
      <c r="G1448" s="643">
        <v>0</v>
      </c>
      <c r="H1448" s="26">
        <v>0</v>
      </c>
      <c r="I1448" s="26">
        <f t="shared" si="152"/>
        <v>0</v>
      </c>
      <c r="J1448" s="1340" t="e">
        <f t="shared" si="150"/>
        <v>#DIV/0!</v>
      </c>
      <c r="K1448" s="1339" t="e">
        <f t="shared" si="151"/>
        <v>#DIV/0!</v>
      </c>
    </row>
    <row r="1449" spans="1:11" ht="15" x14ac:dyDescent="0.25">
      <c r="A1449" s="1341"/>
      <c r="B1449" s="624">
        <v>126620</v>
      </c>
      <c r="C1449" s="1344">
        <v>331901100000000</v>
      </c>
      <c r="D1449" s="624" t="s">
        <v>6440</v>
      </c>
      <c r="E1449" s="624">
        <v>31</v>
      </c>
      <c r="F1449" s="643">
        <v>143324.21</v>
      </c>
      <c r="G1449" s="643">
        <v>182612.24</v>
      </c>
      <c r="H1449" s="26">
        <v>0</v>
      </c>
      <c r="I1449" s="26">
        <f t="shared" si="152"/>
        <v>108645.48333333332</v>
      </c>
      <c r="J1449" s="1340">
        <f t="shared" si="150"/>
        <v>1.2741199829393792</v>
      </c>
      <c r="K1449" s="1339" t="e">
        <f t="shared" si="151"/>
        <v>#DIV/0!</v>
      </c>
    </row>
    <row r="1450" spans="1:11" ht="15" x14ac:dyDescent="0.25">
      <c r="A1450" s="1341"/>
      <c r="B1450" s="624">
        <v>126650</v>
      </c>
      <c r="C1450" s="1344">
        <v>331901300000000</v>
      </c>
      <c r="D1450" s="624" t="s">
        <v>6421</v>
      </c>
      <c r="E1450" s="624">
        <v>31</v>
      </c>
      <c r="F1450" s="643">
        <v>1847.74</v>
      </c>
      <c r="G1450" s="643">
        <v>40671.54</v>
      </c>
      <c r="H1450" s="26">
        <v>0</v>
      </c>
      <c r="I1450" s="26">
        <f t="shared" si="152"/>
        <v>14173.093333333332</v>
      </c>
      <c r="J1450" s="1340">
        <f t="shared" si="150"/>
        <v>22.011505947806508</v>
      </c>
      <c r="K1450" s="1339" t="e">
        <f t="shared" si="151"/>
        <v>#DIV/0!</v>
      </c>
    </row>
    <row r="1451" spans="1:11" ht="15" x14ac:dyDescent="0.25">
      <c r="A1451" s="1341"/>
      <c r="B1451" s="624">
        <v>126670</v>
      </c>
      <c r="C1451" s="1344">
        <v>331901600000000</v>
      </c>
      <c r="D1451" s="624" t="s">
        <v>6422</v>
      </c>
      <c r="E1451" s="624">
        <v>31</v>
      </c>
      <c r="F1451" s="643">
        <v>0</v>
      </c>
      <c r="G1451" s="643">
        <v>0</v>
      </c>
      <c r="H1451" s="26">
        <v>0</v>
      </c>
      <c r="I1451" s="26">
        <f t="shared" si="152"/>
        <v>0</v>
      </c>
      <c r="J1451" s="1340" t="e">
        <f t="shared" si="150"/>
        <v>#DIV/0!</v>
      </c>
      <c r="K1451" s="1339" t="e">
        <f t="shared" si="151"/>
        <v>#DIV/0!</v>
      </c>
    </row>
    <row r="1452" spans="1:11" ht="15" x14ac:dyDescent="0.25">
      <c r="A1452" s="1341"/>
      <c r="B1452" s="624">
        <v>126680</v>
      </c>
      <c r="C1452" s="1344">
        <v>331903400000000</v>
      </c>
      <c r="D1452" s="624" t="s">
        <v>7447</v>
      </c>
      <c r="E1452" s="624">
        <v>31</v>
      </c>
      <c r="F1452" s="643">
        <v>0</v>
      </c>
      <c r="G1452" s="643">
        <v>0</v>
      </c>
      <c r="H1452" s="26">
        <v>0</v>
      </c>
      <c r="I1452" s="26">
        <f t="shared" si="152"/>
        <v>0</v>
      </c>
      <c r="J1452" s="1340" t="e">
        <f t="shared" si="150"/>
        <v>#DIV/0!</v>
      </c>
      <c r="K1452" s="1339" t="e">
        <f t="shared" si="151"/>
        <v>#DIV/0!</v>
      </c>
    </row>
    <row r="1453" spans="1:11" ht="15" x14ac:dyDescent="0.25">
      <c r="A1453" s="1341"/>
      <c r="B1453" s="624">
        <v>126690</v>
      </c>
      <c r="C1453" s="1344">
        <v>331909400000000</v>
      </c>
      <c r="D1453" s="624" t="s">
        <v>6424</v>
      </c>
      <c r="E1453" s="624">
        <v>31</v>
      </c>
      <c r="F1453" s="643">
        <v>0</v>
      </c>
      <c r="G1453" s="643">
        <v>0</v>
      </c>
      <c r="H1453" s="26">
        <v>0</v>
      </c>
      <c r="I1453" s="26">
        <f t="shared" si="152"/>
        <v>0</v>
      </c>
      <c r="J1453" s="1340" t="e">
        <f t="shared" si="150"/>
        <v>#DIV/0!</v>
      </c>
      <c r="K1453" s="1339" t="e">
        <f t="shared" si="151"/>
        <v>#DIV/0!</v>
      </c>
    </row>
    <row r="1454" spans="1:11" ht="15" x14ac:dyDescent="0.25">
      <c r="A1454" s="1341"/>
      <c r="B1454" s="624">
        <v>126700</v>
      </c>
      <c r="C1454" s="1344">
        <v>333901400000000</v>
      </c>
      <c r="D1454" s="624" t="s">
        <v>6425</v>
      </c>
      <c r="E1454" s="624">
        <v>31</v>
      </c>
      <c r="F1454" s="643">
        <v>252</v>
      </c>
      <c r="G1454" s="643">
        <v>360</v>
      </c>
      <c r="H1454" s="26">
        <v>0</v>
      </c>
      <c r="I1454" s="26">
        <f t="shared" si="152"/>
        <v>204</v>
      </c>
      <c r="J1454" s="1340">
        <f t="shared" si="150"/>
        <v>1.4285714285714286</v>
      </c>
      <c r="K1454" s="1339" t="e">
        <f t="shared" si="151"/>
        <v>#DIV/0!</v>
      </c>
    </row>
    <row r="1455" spans="1:11" ht="15" x14ac:dyDescent="0.25">
      <c r="A1455" s="1341"/>
      <c r="B1455" s="624">
        <v>128200</v>
      </c>
      <c r="C1455" s="1344">
        <v>333901400000000</v>
      </c>
      <c r="D1455" s="624" t="s">
        <v>6447</v>
      </c>
      <c r="E1455" s="624">
        <v>31</v>
      </c>
      <c r="F1455" s="643">
        <v>0</v>
      </c>
      <c r="G1455" s="643">
        <v>0</v>
      </c>
      <c r="H1455" s="26">
        <v>0</v>
      </c>
      <c r="I1455" s="26">
        <f t="shared" si="152"/>
        <v>0</v>
      </c>
      <c r="J1455" s="1340" t="e">
        <f t="shared" si="150"/>
        <v>#DIV/0!</v>
      </c>
      <c r="K1455" s="1339" t="e">
        <f t="shared" si="151"/>
        <v>#DIV/0!</v>
      </c>
    </row>
    <row r="1456" spans="1:11" ht="15" x14ac:dyDescent="0.25">
      <c r="A1456" s="1341"/>
      <c r="B1456" s="624">
        <v>126720</v>
      </c>
      <c r="C1456" s="1344">
        <v>333903000000000</v>
      </c>
      <c r="D1456" s="624" t="s">
        <v>6426</v>
      </c>
      <c r="E1456" s="624">
        <v>31</v>
      </c>
      <c r="F1456" s="643">
        <v>11466.45</v>
      </c>
      <c r="G1456" s="643">
        <v>26536.560000000001</v>
      </c>
      <c r="H1456" s="26">
        <v>0</v>
      </c>
      <c r="I1456" s="26">
        <f t="shared" si="152"/>
        <v>12667.67</v>
      </c>
      <c r="J1456" s="1340">
        <f t="shared" si="150"/>
        <v>2.3142786128226258</v>
      </c>
      <c r="K1456" s="1339" t="e">
        <f t="shared" si="151"/>
        <v>#DIV/0!</v>
      </c>
    </row>
    <row r="1457" spans="1:11" ht="15" x14ac:dyDescent="0.25">
      <c r="A1457" s="1341"/>
      <c r="B1457" s="624">
        <v>126750</v>
      </c>
      <c r="C1457" s="1344">
        <v>333903000000000</v>
      </c>
      <c r="D1457" s="624" t="s">
        <v>6441</v>
      </c>
      <c r="E1457" s="624">
        <v>1008</v>
      </c>
      <c r="F1457" s="643">
        <v>0</v>
      </c>
      <c r="G1457" s="643">
        <v>0</v>
      </c>
      <c r="H1457" s="26">
        <v>0</v>
      </c>
      <c r="I1457" s="26">
        <f t="shared" si="152"/>
        <v>0</v>
      </c>
      <c r="J1457" s="1340" t="e">
        <f t="shared" si="150"/>
        <v>#DIV/0!</v>
      </c>
      <c r="K1457" s="1339" t="e">
        <f t="shared" si="151"/>
        <v>#DIV/0!</v>
      </c>
    </row>
    <row r="1458" spans="1:11" ht="15" x14ac:dyDescent="0.25">
      <c r="A1458" s="1341"/>
      <c r="B1458" s="624">
        <v>126980</v>
      </c>
      <c r="C1458" s="1344">
        <v>333903000000000</v>
      </c>
      <c r="D1458" s="624" t="s">
        <v>6904</v>
      </c>
      <c r="E1458" s="624">
        <v>1170</v>
      </c>
      <c r="F1458" s="643">
        <v>0</v>
      </c>
      <c r="G1458" s="643">
        <v>0</v>
      </c>
      <c r="H1458" s="26">
        <v>0</v>
      </c>
      <c r="I1458" s="26">
        <f t="shared" si="152"/>
        <v>0</v>
      </c>
      <c r="J1458" s="1340" t="e">
        <f t="shared" si="150"/>
        <v>#DIV/0!</v>
      </c>
      <c r="K1458" s="1339" t="e">
        <f t="shared" si="151"/>
        <v>#DIV/0!</v>
      </c>
    </row>
    <row r="1459" spans="1:11" ht="15" x14ac:dyDescent="0.25">
      <c r="A1459" s="1341"/>
      <c r="B1459" s="624">
        <v>126760</v>
      </c>
      <c r="C1459" s="1344">
        <v>333903200000000</v>
      </c>
      <c r="D1459" s="624" t="s">
        <v>7446</v>
      </c>
      <c r="E1459" s="624">
        <v>31</v>
      </c>
      <c r="F1459" s="643">
        <v>0</v>
      </c>
      <c r="G1459" s="643">
        <v>0</v>
      </c>
      <c r="H1459" s="26">
        <v>0</v>
      </c>
      <c r="I1459" s="26">
        <f t="shared" si="152"/>
        <v>0</v>
      </c>
      <c r="J1459" s="1340" t="e">
        <f t="shared" si="150"/>
        <v>#DIV/0!</v>
      </c>
      <c r="K1459" s="1339" t="e">
        <f t="shared" si="151"/>
        <v>#DIV/0!</v>
      </c>
    </row>
    <row r="1460" spans="1:11" ht="15" x14ac:dyDescent="0.25">
      <c r="A1460" s="1341"/>
      <c r="B1460" s="624">
        <v>126780</v>
      </c>
      <c r="C1460" s="1344">
        <v>333903300000000</v>
      </c>
      <c r="D1460" s="624" t="s">
        <v>6428</v>
      </c>
      <c r="E1460" s="624">
        <v>31</v>
      </c>
      <c r="F1460" s="643">
        <v>0</v>
      </c>
      <c r="G1460" s="643">
        <v>101.95</v>
      </c>
      <c r="H1460" s="26">
        <v>0</v>
      </c>
      <c r="I1460" s="26">
        <f t="shared" si="152"/>
        <v>33.983333333333334</v>
      </c>
      <c r="J1460" s="1340" t="e">
        <f t="shared" si="150"/>
        <v>#DIV/0!</v>
      </c>
      <c r="K1460" s="1339" t="e">
        <f t="shared" si="151"/>
        <v>#DIV/0!</v>
      </c>
    </row>
    <row r="1461" spans="1:11" ht="15" x14ac:dyDescent="0.25">
      <c r="A1461" s="1341"/>
      <c r="B1461" s="624">
        <v>128220</v>
      </c>
      <c r="C1461" s="1344">
        <v>333903300000000</v>
      </c>
      <c r="D1461" s="624" t="s">
        <v>6448</v>
      </c>
      <c r="E1461" s="624">
        <v>31</v>
      </c>
      <c r="F1461" s="643">
        <v>0</v>
      </c>
      <c r="G1461" s="643">
        <v>0</v>
      </c>
      <c r="H1461" s="26">
        <v>0</v>
      </c>
      <c r="I1461" s="26">
        <f t="shared" si="152"/>
        <v>0</v>
      </c>
      <c r="J1461" s="1340" t="e">
        <f t="shared" si="150"/>
        <v>#DIV/0!</v>
      </c>
      <c r="K1461" s="1339" t="e">
        <f t="shared" si="151"/>
        <v>#DIV/0!</v>
      </c>
    </row>
    <row r="1462" spans="1:11" ht="15" x14ac:dyDescent="0.25">
      <c r="A1462" s="1341"/>
      <c r="B1462" s="624">
        <v>126790</v>
      </c>
      <c r="C1462" s="1344">
        <v>333903500000000</v>
      </c>
      <c r="D1462" s="624" t="s">
        <v>6429</v>
      </c>
      <c r="E1462" s="624">
        <v>31</v>
      </c>
      <c r="F1462" s="643">
        <v>0</v>
      </c>
      <c r="G1462" s="643">
        <v>0</v>
      </c>
      <c r="H1462" s="26">
        <v>0</v>
      </c>
      <c r="I1462" s="26">
        <f t="shared" si="152"/>
        <v>0</v>
      </c>
      <c r="J1462" s="1340" t="e">
        <f t="shared" si="150"/>
        <v>#DIV/0!</v>
      </c>
      <c r="K1462" s="1339" t="e">
        <f t="shared" si="151"/>
        <v>#DIV/0!</v>
      </c>
    </row>
    <row r="1463" spans="1:11" ht="15" x14ac:dyDescent="0.25">
      <c r="A1463" s="1341"/>
      <c r="B1463" s="624">
        <v>126800</v>
      </c>
      <c r="C1463" s="1344">
        <v>333903600000000</v>
      </c>
      <c r="D1463" s="624" t="s">
        <v>6430</v>
      </c>
      <c r="E1463" s="624">
        <v>31</v>
      </c>
      <c r="F1463" s="643">
        <v>20112</v>
      </c>
      <c r="G1463" s="643">
        <v>28235</v>
      </c>
      <c r="H1463" s="26">
        <v>0</v>
      </c>
      <c r="I1463" s="26">
        <f t="shared" si="152"/>
        <v>16115.666666666666</v>
      </c>
      <c r="J1463" s="1340">
        <f t="shared" si="150"/>
        <v>1.4038882259347654</v>
      </c>
      <c r="K1463" s="1339" t="e">
        <f t="shared" si="151"/>
        <v>#DIV/0!</v>
      </c>
    </row>
    <row r="1464" spans="1:11" ht="15" x14ac:dyDescent="0.25">
      <c r="A1464" s="1341"/>
      <c r="B1464" s="624">
        <v>128240</v>
      </c>
      <c r="C1464" s="1344">
        <v>333903600000000</v>
      </c>
      <c r="D1464" s="624" t="s">
        <v>6449</v>
      </c>
      <c r="E1464" s="624">
        <v>31</v>
      </c>
      <c r="F1464" s="643">
        <v>0</v>
      </c>
      <c r="G1464" s="643">
        <v>0</v>
      </c>
      <c r="H1464" s="26">
        <v>0</v>
      </c>
      <c r="I1464" s="26">
        <f t="shared" si="152"/>
        <v>0</v>
      </c>
      <c r="J1464" s="1340" t="e">
        <f t="shared" si="150"/>
        <v>#DIV/0!</v>
      </c>
      <c r="K1464" s="1339" t="e">
        <f t="shared" si="151"/>
        <v>#DIV/0!</v>
      </c>
    </row>
    <row r="1465" spans="1:11" ht="15" x14ac:dyDescent="0.25">
      <c r="A1465" s="1341"/>
      <c r="B1465" s="624">
        <v>126830</v>
      </c>
      <c r="C1465" s="1344">
        <v>333903900000000</v>
      </c>
      <c r="D1465" s="624" t="s">
        <v>6431</v>
      </c>
      <c r="E1465" s="624">
        <v>31</v>
      </c>
      <c r="F1465" s="643">
        <v>4432.8500000000004</v>
      </c>
      <c r="G1465" s="643">
        <f>12252.86-975.78</f>
        <v>11277.08</v>
      </c>
      <c r="H1465" s="26">
        <v>0</v>
      </c>
      <c r="I1465" s="26">
        <f t="shared" si="152"/>
        <v>5236.6433333333334</v>
      </c>
      <c r="J1465" s="1340">
        <f t="shared" si="150"/>
        <v>2.5439796067992373</v>
      </c>
      <c r="K1465" s="1339" t="e">
        <f t="shared" si="151"/>
        <v>#DIV/0!</v>
      </c>
    </row>
    <row r="1466" spans="1:11" ht="15" x14ac:dyDescent="0.25">
      <c r="A1466" s="1341"/>
      <c r="B1466" s="624">
        <v>128260</v>
      </c>
      <c r="C1466" s="1344">
        <v>333903900000000</v>
      </c>
      <c r="D1466" s="624" t="s">
        <v>6450</v>
      </c>
      <c r="E1466" s="624">
        <v>31</v>
      </c>
      <c r="F1466" s="643">
        <v>0</v>
      </c>
      <c r="G1466" s="643">
        <v>0</v>
      </c>
      <c r="H1466" s="26">
        <v>0</v>
      </c>
      <c r="I1466" s="26">
        <f t="shared" si="152"/>
        <v>0</v>
      </c>
      <c r="J1466" s="1340" t="e">
        <f t="shared" si="150"/>
        <v>#DIV/0!</v>
      </c>
      <c r="K1466" s="1339" t="e">
        <f t="shared" si="151"/>
        <v>#DIV/0!</v>
      </c>
    </row>
    <row r="1467" spans="1:11" ht="15" x14ac:dyDescent="0.25">
      <c r="A1467" s="1341"/>
      <c r="B1467" s="624">
        <v>128100</v>
      </c>
      <c r="C1467" s="1344">
        <v>333904000000000</v>
      </c>
      <c r="D1467" s="624" t="s">
        <v>6452</v>
      </c>
      <c r="E1467" s="624">
        <v>31</v>
      </c>
      <c r="F1467" s="643">
        <v>0</v>
      </c>
      <c r="G1467" s="643">
        <v>975.78</v>
      </c>
      <c r="H1467" s="26">
        <v>0</v>
      </c>
      <c r="I1467" s="26">
        <f t="shared" si="152"/>
        <v>325.26</v>
      </c>
      <c r="J1467" s="1340" t="e">
        <f t="shared" si="150"/>
        <v>#DIV/0!</v>
      </c>
      <c r="K1467" s="1339" t="e">
        <f t="shared" si="151"/>
        <v>#DIV/0!</v>
      </c>
    </row>
    <row r="1468" spans="1:11" ht="15" x14ac:dyDescent="0.25">
      <c r="A1468" s="1341"/>
      <c r="B1468" s="624">
        <v>126860</v>
      </c>
      <c r="C1468" s="1344">
        <v>333904600000000</v>
      </c>
      <c r="D1468" s="624" t="s">
        <v>6432</v>
      </c>
      <c r="E1468" s="624">
        <v>31</v>
      </c>
      <c r="F1468" s="643">
        <v>0</v>
      </c>
      <c r="G1468" s="643">
        <v>0</v>
      </c>
      <c r="H1468" s="26">
        <v>0</v>
      </c>
      <c r="I1468" s="26">
        <f t="shared" si="152"/>
        <v>0</v>
      </c>
      <c r="J1468" s="1340" t="e">
        <f t="shared" si="150"/>
        <v>#DIV/0!</v>
      </c>
      <c r="K1468" s="1339" t="e">
        <f t="shared" si="151"/>
        <v>#DIV/0!</v>
      </c>
    </row>
    <row r="1469" spans="1:11" ht="15" x14ac:dyDescent="0.25">
      <c r="A1469" s="1341"/>
      <c r="B1469" s="624">
        <v>126870</v>
      </c>
      <c r="C1469" s="1344">
        <v>333904700000000</v>
      </c>
      <c r="D1469" s="624" t="s">
        <v>6433</v>
      </c>
      <c r="E1469" s="624">
        <v>31</v>
      </c>
      <c r="F1469" s="643">
        <v>0</v>
      </c>
      <c r="G1469" s="643">
        <v>154.19999999999999</v>
      </c>
      <c r="H1469" s="26">
        <v>0</v>
      </c>
      <c r="I1469" s="26">
        <f t="shared" si="152"/>
        <v>51.4</v>
      </c>
      <c r="J1469" s="1340" t="e">
        <f t="shared" si="150"/>
        <v>#DIV/0!</v>
      </c>
      <c r="K1469" s="1339" t="e">
        <f t="shared" si="151"/>
        <v>#DIV/0!</v>
      </c>
    </row>
    <row r="1470" spans="1:11" ht="15" x14ac:dyDescent="0.25">
      <c r="A1470" s="1341"/>
      <c r="B1470" s="624">
        <v>128280</v>
      </c>
      <c r="C1470" s="1344">
        <v>333904700000000</v>
      </c>
      <c r="D1470" s="624" t="s">
        <v>6451</v>
      </c>
      <c r="E1470" s="624">
        <v>31</v>
      </c>
      <c r="F1470" s="643">
        <v>0</v>
      </c>
      <c r="G1470" s="643">
        <v>0</v>
      </c>
      <c r="H1470" s="26">
        <v>0</v>
      </c>
      <c r="I1470" s="26">
        <f t="shared" si="152"/>
        <v>0</v>
      </c>
      <c r="J1470" s="1340" t="e">
        <f t="shared" si="150"/>
        <v>#DIV/0!</v>
      </c>
      <c r="K1470" s="1339" t="e">
        <f t="shared" si="151"/>
        <v>#DIV/0!</v>
      </c>
    </row>
    <row r="1471" spans="1:11" ht="15" x14ac:dyDescent="0.25">
      <c r="A1471" s="1341"/>
      <c r="B1471" s="624">
        <v>126880</v>
      </c>
      <c r="C1471" s="1344">
        <v>333904900000000</v>
      </c>
      <c r="D1471" s="624" t="s">
        <v>6434</v>
      </c>
      <c r="E1471" s="624">
        <v>31</v>
      </c>
      <c r="F1471" s="643">
        <v>4529.7700000000004</v>
      </c>
      <c r="G1471" s="643">
        <v>4306.87</v>
      </c>
      <c r="H1471" s="26">
        <v>0</v>
      </c>
      <c r="I1471" s="26">
        <f t="shared" si="152"/>
        <v>2945.5466666666666</v>
      </c>
      <c r="J1471" s="1340">
        <f t="shared" si="150"/>
        <v>0.95079220357766503</v>
      </c>
      <c r="K1471" s="1339" t="e">
        <f t="shared" si="151"/>
        <v>#DIV/0!</v>
      </c>
    </row>
    <row r="1472" spans="1:11" ht="15" x14ac:dyDescent="0.25">
      <c r="A1472" s="1341"/>
      <c r="B1472" s="624">
        <v>126890</v>
      </c>
      <c r="C1472" s="1344">
        <v>333909200000000</v>
      </c>
      <c r="D1472" s="624" t="s">
        <v>6435</v>
      </c>
      <c r="E1472" s="624">
        <v>31</v>
      </c>
      <c r="F1472" s="643">
        <v>0</v>
      </c>
      <c r="G1472" s="643">
        <v>96.7</v>
      </c>
      <c r="H1472" s="26">
        <v>0</v>
      </c>
      <c r="I1472" s="26">
        <f t="shared" si="152"/>
        <v>32.233333333333334</v>
      </c>
      <c r="J1472" s="1340" t="e">
        <f t="shared" si="150"/>
        <v>#DIV/0!</v>
      </c>
      <c r="K1472" s="1339" t="e">
        <f t="shared" si="151"/>
        <v>#DIV/0!</v>
      </c>
    </row>
    <row r="1473" spans="1:11" ht="15" x14ac:dyDescent="0.25">
      <c r="A1473" s="1341"/>
      <c r="B1473" s="624">
        <v>126900</v>
      </c>
      <c r="C1473" s="1344">
        <v>333909300000000</v>
      </c>
      <c r="D1473" s="624" t="s">
        <v>6436</v>
      </c>
      <c r="E1473" s="624">
        <v>31</v>
      </c>
      <c r="F1473" s="643">
        <v>0</v>
      </c>
      <c r="G1473" s="643">
        <v>30.63</v>
      </c>
      <c r="H1473" s="26">
        <v>0</v>
      </c>
      <c r="I1473" s="26">
        <f t="shared" si="152"/>
        <v>10.209999999999999</v>
      </c>
      <c r="J1473" s="1340" t="e">
        <f t="shared" si="150"/>
        <v>#DIV/0!</v>
      </c>
      <c r="K1473" s="1339" t="e">
        <f t="shared" si="151"/>
        <v>#DIV/0!</v>
      </c>
    </row>
    <row r="1474" spans="1:11" ht="15" x14ac:dyDescent="0.25">
      <c r="A1474" s="1341"/>
      <c r="B1474" s="624">
        <v>126920</v>
      </c>
      <c r="C1474" s="1344">
        <v>333933000000000</v>
      </c>
      <c r="D1474" s="624" t="s">
        <v>6437</v>
      </c>
      <c r="E1474" s="624">
        <v>31</v>
      </c>
      <c r="F1474" s="643">
        <v>0</v>
      </c>
      <c r="G1474" s="643">
        <v>0</v>
      </c>
      <c r="H1474" s="26">
        <v>0</v>
      </c>
      <c r="I1474" s="26">
        <f t="shared" si="152"/>
        <v>0</v>
      </c>
      <c r="J1474" s="1340" t="e">
        <f t="shared" si="150"/>
        <v>#DIV/0!</v>
      </c>
      <c r="K1474" s="1339" t="e">
        <f t="shared" si="151"/>
        <v>#DIV/0!</v>
      </c>
    </row>
    <row r="1475" spans="1:11" ht="15" x14ac:dyDescent="0.25">
      <c r="A1475" s="1341"/>
      <c r="B1475" s="624">
        <v>126940</v>
      </c>
      <c r="C1475" s="1344">
        <v>344905100000000</v>
      </c>
      <c r="D1475" s="624" t="s">
        <v>6438</v>
      </c>
      <c r="E1475" s="624">
        <v>31</v>
      </c>
      <c r="F1475" s="643">
        <v>0</v>
      </c>
      <c r="G1475" s="643">
        <v>0</v>
      </c>
      <c r="H1475" s="26">
        <v>0</v>
      </c>
      <c r="I1475" s="26">
        <f t="shared" si="152"/>
        <v>0</v>
      </c>
      <c r="J1475" s="1340" t="e">
        <f t="shared" si="150"/>
        <v>#DIV/0!</v>
      </c>
      <c r="K1475" s="1339" t="e">
        <f t="shared" si="151"/>
        <v>#DIV/0!</v>
      </c>
    </row>
    <row r="1476" spans="1:11" ht="15" x14ac:dyDescent="0.25">
      <c r="A1476" s="1341"/>
      <c r="B1476" s="624">
        <v>126960</v>
      </c>
      <c r="C1476" s="1344">
        <v>344905200000000</v>
      </c>
      <c r="D1476" s="624" t="s">
        <v>6439</v>
      </c>
      <c r="E1476" s="624">
        <v>31</v>
      </c>
      <c r="F1476" s="643">
        <v>0</v>
      </c>
      <c r="G1476" s="643">
        <v>0</v>
      </c>
      <c r="H1476" s="26">
        <v>0</v>
      </c>
      <c r="I1476" s="26">
        <f t="shared" si="152"/>
        <v>0</v>
      </c>
      <c r="J1476" s="1340" t="e">
        <f t="shared" si="150"/>
        <v>#DIV/0!</v>
      </c>
      <c r="K1476" s="1339" t="e">
        <f t="shared" si="151"/>
        <v>#DIV/0!</v>
      </c>
    </row>
    <row r="1477" spans="1:11" ht="15" x14ac:dyDescent="0.25">
      <c r="B1477" s="1598" t="s">
        <v>1575</v>
      </c>
      <c r="C1477" s="1598"/>
      <c r="D1477" s="1598"/>
      <c r="E1477" s="1598"/>
      <c r="F1477" s="25">
        <f>F1446+F1418+F1411</f>
        <v>290079.28000000003</v>
      </c>
      <c r="G1477" s="25">
        <f>G1446+G1418+G1411</f>
        <v>387707.21000000008</v>
      </c>
      <c r="H1477" s="25">
        <f>H1446+H1418+H1411</f>
        <v>0</v>
      </c>
      <c r="I1477" s="25">
        <f>I1446+I1418+I1411</f>
        <v>225928.83</v>
      </c>
      <c r="J1477" s="1338">
        <f t="shared" si="150"/>
        <v>1.3365560270281973</v>
      </c>
      <c r="K1477" s="1337" t="e">
        <f t="shared" si="151"/>
        <v>#DIV/0!</v>
      </c>
    </row>
    <row r="1479" spans="1:11" ht="15" x14ac:dyDescent="0.25">
      <c r="B1479" s="616" t="s">
        <v>7445</v>
      </c>
      <c r="F1479" s="643"/>
    </row>
    <row r="1480" spans="1:11" ht="45" customHeight="1" x14ac:dyDescent="0.25">
      <c r="B1480" s="1343" t="s">
        <v>2967</v>
      </c>
      <c r="C1480" s="1343" t="s">
        <v>472</v>
      </c>
      <c r="D1480" s="1343" t="s">
        <v>2968</v>
      </c>
      <c r="E1480" s="1343" t="s">
        <v>1403</v>
      </c>
      <c r="F1480" s="1081">
        <v>2017</v>
      </c>
      <c r="G1480" s="1081">
        <f>F1480+1</f>
        <v>2018</v>
      </c>
      <c r="H1480" s="1081">
        <f>G1480+1</f>
        <v>2019</v>
      </c>
      <c r="I1480" s="1082" t="s">
        <v>7336</v>
      </c>
      <c r="J1480" s="1342" t="s">
        <v>7335</v>
      </c>
      <c r="K1480" s="1342" t="s">
        <v>7334</v>
      </c>
    </row>
    <row r="1481" spans="1:11" s="12" customFormat="1" ht="15" x14ac:dyDescent="0.25">
      <c r="A1481" s="1081"/>
      <c r="B1481" s="570" t="s">
        <v>2950</v>
      </c>
      <c r="C1481" s="1345" t="s">
        <v>4687</v>
      </c>
      <c r="D1481" s="570" t="s">
        <v>4688</v>
      </c>
      <c r="E1481" s="570"/>
      <c r="F1481" s="642">
        <f>SUM(F1482:F1487)</f>
        <v>0</v>
      </c>
      <c r="G1481" s="642">
        <f>SUM(G1482:G1487)</f>
        <v>0</v>
      </c>
      <c r="H1481" s="642">
        <f>SUM(H1482:H1487)</f>
        <v>0</v>
      </c>
      <c r="I1481" s="642">
        <f>SUM(I1482:I1487)</f>
        <v>0</v>
      </c>
      <c r="J1481" s="1338" t="e">
        <f t="shared" ref="J1481:J1517" si="153">(G1481/F1481)+(H1481/G1481)/2</f>
        <v>#DIV/0!</v>
      </c>
      <c r="K1481" s="1337">
        <f t="shared" ref="K1481:K1516" si="154">I1481/I$1517</f>
        <v>0</v>
      </c>
    </row>
    <row r="1482" spans="1:11" ht="15" x14ac:dyDescent="0.25">
      <c r="A1482" s="1341"/>
      <c r="B1482" s="624">
        <v>129000</v>
      </c>
      <c r="C1482" s="1344">
        <v>333904700000000</v>
      </c>
      <c r="D1482" s="624" t="s">
        <v>5084</v>
      </c>
      <c r="E1482" s="624">
        <v>20</v>
      </c>
      <c r="F1482" s="643">
        <v>0</v>
      </c>
      <c r="G1482" s="643">
        <v>0</v>
      </c>
      <c r="H1482" s="26">
        <v>0</v>
      </c>
      <c r="I1482" s="26">
        <f t="shared" ref="I1482:I1487" si="155">(F1482+G1482+H1482)/3</f>
        <v>0</v>
      </c>
      <c r="J1482" s="1340" t="e">
        <f t="shared" si="153"/>
        <v>#DIV/0!</v>
      </c>
      <c r="K1482" s="1339">
        <f t="shared" si="154"/>
        <v>0</v>
      </c>
    </row>
    <row r="1483" spans="1:11" ht="15" x14ac:dyDescent="0.25">
      <c r="A1483" s="1341"/>
      <c r="B1483" s="624">
        <v>129020</v>
      </c>
      <c r="C1483" s="1344">
        <v>344903000000000</v>
      </c>
      <c r="D1483" s="624" t="s">
        <v>5018</v>
      </c>
      <c r="E1483" s="624">
        <v>20</v>
      </c>
      <c r="F1483" s="643">
        <v>0</v>
      </c>
      <c r="G1483" s="643">
        <v>0</v>
      </c>
      <c r="H1483" s="26">
        <v>0</v>
      </c>
      <c r="I1483" s="26">
        <f t="shared" si="155"/>
        <v>0</v>
      </c>
      <c r="J1483" s="1340" t="e">
        <f t="shared" si="153"/>
        <v>#DIV/0!</v>
      </c>
      <c r="K1483" s="1339">
        <f t="shared" si="154"/>
        <v>0</v>
      </c>
    </row>
    <row r="1484" spans="1:11" ht="15" x14ac:dyDescent="0.25">
      <c r="A1484" s="1341"/>
      <c r="B1484" s="624">
        <v>129040</v>
      </c>
      <c r="C1484" s="1344">
        <v>344903600000000</v>
      </c>
      <c r="D1484" s="624" t="s">
        <v>6453</v>
      </c>
      <c r="E1484" s="624">
        <v>20</v>
      </c>
      <c r="F1484" s="643">
        <v>0</v>
      </c>
      <c r="G1484" s="643">
        <v>0</v>
      </c>
      <c r="H1484" s="26">
        <v>0</v>
      </c>
      <c r="I1484" s="26">
        <f t="shared" si="155"/>
        <v>0</v>
      </c>
      <c r="J1484" s="1340" t="e">
        <f t="shared" si="153"/>
        <v>#DIV/0!</v>
      </c>
      <c r="K1484" s="1339">
        <f t="shared" si="154"/>
        <v>0</v>
      </c>
    </row>
    <row r="1485" spans="1:11" ht="15" x14ac:dyDescent="0.25">
      <c r="A1485" s="1341"/>
      <c r="B1485" s="624">
        <v>129060</v>
      </c>
      <c r="C1485" s="1344">
        <v>344903900000000</v>
      </c>
      <c r="D1485" s="624" t="s">
        <v>6454</v>
      </c>
      <c r="E1485" s="624">
        <v>20</v>
      </c>
      <c r="F1485" s="643">
        <v>0</v>
      </c>
      <c r="G1485" s="643">
        <v>0</v>
      </c>
      <c r="H1485" s="26">
        <v>0</v>
      </c>
      <c r="I1485" s="26">
        <f t="shared" si="155"/>
        <v>0</v>
      </c>
      <c r="J1485" s="1340" t="e">
        <f t="shared" si="153"/>
        <v>#DIV/0!</v>
      </c>
      <c r="K1485" s="1339">
        <f t="shared" si="154"/>
        <v>0</v>
      </c>
    </row>
    <row r="1486" spans="1:11" ht="15" x14ac:dyDescent="0.25">
      <c r="A1486" s="1341"/>
      <c r="B1486" s="624">
        <v>129080</v>
      </c>
      <c r="C1486" s="1344">
        <v>344905100000000</v>
      </c>
      <c r="D1486" s="624" t="s">
        <v>5087</v>
      </c>
      <c r="E1486" s="624">
        <v>20</v>
      </c>
      <c r="F1486" s="643">
        <v>0</v>
      </c>
      <c r="G1486" s="643">
        <v>0</v>
      </c>
      <c r="H1486" s="26">
        <v>0</v>
      </c>
      <c r="I1486" s="26">
        <f t="shared" si="155"/>
        <v>0</v>
      </c>
      <c r="J1486" s="1340" t="e">
        <f t="shared" si="153"/>
        <v>#DIV/0!</v>
      </c>
      <c r="K1486" s="1339">
        <f t="shared" si="154"/>
        <v>0</v>
      </c>
    </row>
    <row r="1487" spans="1:11" ht="15" x14ac:dyDescent="0.25">
      <c r="A1487" s="1341"/>
      <c r="B1487" s="624">
        <v>129100</v>
      </c>
      <c r="C1487" s="1344">
        <v>344905100000000</v>
      </c>
      <c r="D1487" s="624" t="s">
        <v>5022</v>
      </c>
      <c r="E1487" s="624">
        <v>20</v>
      </c>
      <c r="F1487" s="643">
        <v>0</v>
      </c>
      <c r="G1487" s="643">
        <v>0</v>
      </c>
      <c r="H1487" s="26">
        <v>0</v>
      </c>
      <c r="I1487" s="26">
        <f t="shared" si="155"/>
        <v>0</v>
      </c>
      <c r="J1487" s="1340" t="e">
        <f t="shared" si="153"/>
        <v>#DIV/0!</v>
      </c>
      <c r="K1487" s="1339">
        <f t="shared" si="154"/>
        <v>0</v>
      </c>
    </row>
    <row r="1488" spans="1:11" s="12" customFormat="1" ht="15" x14ac:dyDescent="0.25">
      <c r="A1488" s="1081"/>
      <c r="B1488" s="570" t="s">
        <v>2965</v>
      </c>
      <c r="C1488" s="1345">
        <v>49</v>
      </c>
      <c r="D1488" s="570" t="s">
        <v>4772</v>
      </c>
      <c r="E1488" s="570"/>
      <c r="F1488" s="642">
        <f>SUM(F1489:F1516)</f>
        <v>191953.34</v>
      </c>
      <c r="G1488" s="642">
        <f>SUM(G1489:G1516)</f>
        <v>214354.18999999994</v>
      </c>
      <c r="H1488" s="642">
        <f>SUM(H1489:H1516)</f>
        <v>0</v>
      </c>
      <c r="I1488" s="642">
        <f>SUM(I1489:I1516)</f>
        <v>135435.84333333332</v>
      </c>
      <c r="J1488" s="1338">
        <f t="shared" si="153"/>
        <v>1.1166994541485964</v>
      </c>
      <c r="K1488" s="1337">
        <f t="shared" si="154"/>
        <v>1</v>
      </c>
    </row>
    <row r="1489" spans="1:11" ht="15" x14ac:dyDescent="0.25">
      <c r="A1489" s="1341"/>
      <c r="B1489" s="624">
        <v>129200</v>
      </c>
      <c r="C1489" s="1344">
        <v>331900400000000</v>
      </c>
      <c r="D1489" s="624" t="s">
        <v>6364</v>
      </c>
      <c r="E1489" s="624">
        <v>20</v>
      </c>
      <c r="F1489" s="643">
        <v>19252.939999999999</v>
      </c>
      <c r="G1489" s="643">
        <v>57356.6</v>
      </c>
      <c r="H1489" s="26">
        <v>0</v>
      </c>
      <c r="I1489" s="26">
        <f t="shared" ref="I1489:I1516" si="156">(F1489+G1489+H1489)/3</f>
        <v>25536.513333333332</v>
      </c>
      <c r="J1489" s="1340">
        <f t="shared" si="153"/>
        <v>2.979108645225093</v>
      </c>
      <c r="K1489" s="1339">
        <f t="shared" si="154"/>
        <v>0.18855062814120133</v>
      </c>
    </row>
    <row r="1490" spans="1:11" ht="15" x14ac:dyDescent="0.25">
      <c r="A1490" s="1341"/>
      <c r="B1490" s="624">
        <v>129220</v>
      </c>
      <c r="C1490" s="1344">
        <v>331900800000000</v>
      </c>
      <c r="D1490" s="624" t="s">
        <v>6455</v>
      </c>
      <c r="E1490" s="624">
        <v>1</v>
      </c>
      <c r="F1490" s="643">
        <v>0</v>
      </c>
      <c r="G1490" s="643">
        <v>2986.16</v>
      </c>
      <c r="H1490" s="26">
        <v>0</v>
      </c>
      <c r="I1490" s="26">
        <f t="shared" si="156"/>
        <v>995.38666666666666</v>
      </c>
      <c r="J1490" s="1340" t="e">
        <f t="shared" si="153"/>
        <v>#DIV/0!</v>
      </c>
      <c r="K1490" s="1339">
        <f t="shared" si="154"/>
        <v>7.3495069116735305E-3</v>
      </c>
    </row>
    <row r="1491" spans="1:11" ht="15" x14ac:dyDescent="0.25">
      <c r="A1491" s="1341"/>
      <c r="B1491" s="624">
        <v>129240</v>
      </c>
      <c r="C1491" s="1344">
        <v>331901100000000</v>
      </c>
      <c r="D1491" s="624" t="s">
        <v>6456</v>
      </c>
      <c r="E1491" s="624">
        <v>20</v>
      </c>
      <c r="F1491" s="643">
        <v>104586.72</v>
      </c>
      <c r="G1491" s="643">
        <v>101915.72</v>
      </c>
      <c r="H1491" s="26">
        <v>0</v>
      </c>
      <c r="I1491" s="26">
        <f t="shared" si="156"/>
        <v>68834.146666666667</v>
      </c>
      <c r="J1491" s="1340">
        <f t="shared" si="153"/>
        <v>0.97446138477236877</v>
      </c>
      <c r="K1491" s="1339">
        <f t="shared" si="154"/>
        <v>0.5082417251779705</v>
      </c>
    </row>
    <row r="1492" spans="1:11" ht="15" x14ac:dyDescent="0.25">
      <c r="A1492" s="1341"/>
      <c r="B1492" s="624">
        <v>129280</v>
      </c>
      <c r="C1492" s="1344">
        <v>331901300000000</v>
      </c>
      <c r="D1492" s="624" t="s">
        <v>6457</v>
      </c>
      <c r="E1492" s="624">
        <v>20</v>
      </c>
      <c r="F1492" s="643">
        <v>28942.71</v>
      </c>
      <c r="G1492" s="643">
        <v>24863.59</v>
      </c>
      <c r="H1492" s="26">
        <v>0</v>
      </c>
      <c r="I1492" s="26">
        <f t="shared" si="156"/>
        <v>17935.433333333334</v>
      </c>
      <c r="J1492" s="1340">
        <f t="shared" si="153"/>
        <v>0.85906226472918401</v>
      </c>
      <c r="K1492" s="1339">
        <f t="shared" si="154"/>
        <v>0.13242752355586421</v>
      </c>
    </row>
    <row r="1493" spans="1:11" ht="15" x14ac:dyDescent="0.25">
      <c r="A1493" s="1341"/>
      <c r="B1493" s="624">
        <v>129300</v>
      </c>
      <c r="C1493" s="1344">
        <v>331901600000000</v>
      </c>
      <c r="D1493" s="624" t="s">
        <v>6367</v>
      </c>
      <c r="E1493" s="624">
        <v>20</v>
      </c>
      <c r="F1493" s="643">
        <v>27627.200000000001</v>
      </c>
      <c r="G1493" s="643">
        <v>9164.7199999999993</v>
      </c>
      <c r="H1493" s="26">
        <v>0</v>
      </c>
      <c r="I1493" s="26">
        <f t="shared" si="156"/>
        <v>12263.973333333333</v>
      </c>
      <c r="J1493" s="1340">
        <f t="shared" si="153"/>
        <v>0.33172815196617822</v>
      </c>
      <c r="K1493" s="1339">
        <f t="shared" si="154"/>
        <v>9.0551902889911995E-2</v>
      </c>
    </row>
    <row r="1494" spans="1:11" ht="15" x14ac:dyDescent="0.25">
      <c r="A1494" s="1341"/>
      <c r="B1494" s="624">
        <v>129320</v>
      </c>
      <c r="C1494" s="1344">
        <v>331903400000000</v>
      </c>
      <c r="D1494" s="624" t="s">
        <v>6458</v>
      </c>
      <c r="E1494" s="624">
        <v>20</v>
      </c>
      <c r="F1494" s="643">
        <v>0</v>
      </c>
      <c r="G1494" s="643">
        <v>0</v>
      </c>
      <c r="H1494" s="26">
        <v>0</v>
      </c>
      <c r="I1494" s="26">
        <f t="shared" si="156"/>
        <v>0</v>
      </c>
      <c r="J1494" s="1340" t="e">
        <f t="shared" si="153"/>
        <v>#DIV/0!</v>
      </c>
      <c r="K1494" s="1339">
        <f t="shared" si="154"/>
        <v>0</v>
      </c>
    </row>
    <row r="1495" spans="1:11" ht="15" x14ac:dyDescent="0.25">
      <c r="A1495" s="1341"/>
      <c r="B1495" s="624">
        <v>129340</v>
      </c>
      <c r="C1495" s="1344">
        <v>331909400000000</v>
      </c>
      <c r="D1495" s="624" t="s">
        <v>6369</v>
      </c>
      <c r="E1495" s="624">
        <v>20</v>
      </c>
      <c r="F1495" s="643">
        <v>0</v>
      </c>
      <c r="G1495" s="643">
        <v>6472.61</v>
      </c>
      <c r="H1495" s="26">
        <v>0</v>
      </c>
      <c r="I1495" s="26">
        <f t="shared" si="156"/>
        <v>2157.5366666666664</v>
      </c>
      <c r="J1495" s="1340" t="e">
        <f t="shared" si="153"/>
        <v>#DIV/0!</v>
      </c>
      <c r="K1495" s="1339">
        <f t="shared" si="154"/>
        <v>1.593032253180245E-2</v>
      </c>
    </row>
    <row r="1496" spans="1:11" ht="15" x14ac:dyDescent="0.25">
      <c r="A1496" s="1341"/>
      <c r="B1496" s="624">
        <v>129360</v>
      </c>
      <c r="C1496" s="1344">
        <v>333901400000000</v>
      </c>
      <c r="D1496" s="624" t="s">
        <v>5044</v>
      </c>
      <c r="E1496" s="624">
        <v>20</v>
      </c>
      <c r="F1496" s="643">
        <v>904</v>
      </c>
      <c r="G1496" s="643">
        <v>546</v>
      </c>
      <c r="H1496" s="26">
        <v>0</v>
      </c>
      <c r="I1496" s="26">
        <f t="shared" si="156"/>
        <v>483.33333333333331</v>
      </c>
      <c r="J1496" s="1340">
        <f t="shared" si="153"/>
        <v>0.60398230088495575</v>
      </c>
      <c r="K1496" s="1339">
        <f t="shared" si="154"/>
        <v>3.5687253937922341E-3</v>
      </c>
    </row>
    <row r="1497" spans="1:11" ht="15" x14ac:dyDescent="0.25">
      <c r="A1497" s="1341"/>
      <c r="B1497" s="624">
        <v>129800</v>
      </c>
      <c r="C1497" s="1344">
        <v>333901400000000</v>
      </c>
      <c r="D1497" s="624" t="s">
        <v>6460</v>
      </c>
      <c r="E1497" s="624">
        <v>20</v>
      </c>
      <c r="F1497" s="643">
        <v>0</v>
      </c>
      <c r="G1497" s="643">
        <v>0</v>
      </c>
      <c r="H1497" s="26">
        <v>0</v>
      </c>
      <c r="I1497" s="26">
        <f t="shared" si="156"/>
        <v>0</v>
      </c>
      <c r="J1497" s="1340" t="e">
        <f t="shared" si="153"/>
        <v>#DIV/0!</v>
      </c>
      <c r="K1497" s="1339">
        <f t="shared" si="154"/>
        <v>0</v>
      </c>
    </row>
    <row r="1498" spans="1:11" ht="15" x14ac:dyDescent="0.25">
      <c r="A1498" s="1341"/>
      <c r="B1498" s="624">
        <v>129380</v>
      </c>
      <c r="C1498" s="1344">
        <v>333903000000000</v>
      </c>
      <c r="D1498" s="624" t="s">
        <v>5018</v>
      </c>
      <c r="E1498" s="624">
        <v>20</v>
      </c>
      <c r="F1498" s="643">
        <v>111.35</v>
      </c>
      <c r="G1498" s="643">
        <v>146.80000000000001</v>
      </c>
      <c r="H1498" s="26">
        <v>0</v>
      </c>
      <c r="I1498" s="26">
        <f t="shared" si="156"/>
        <v>86.05</v>
      </c>
      <c r="J1498" s="1340">
        <f t="shared" si="153"/>
        <v>1.3183655141445894</v>
      </c>
      <c r="K1498" s="1339">
        <f t="shared" si="154"/>
        <v>6.3535617959135536E-4</v>
      </c>
    </row>
    <row r="1499" spans="1:11" ht="15" x14ac:dyDescent="0.25">
      <c r="A1499" s="1341"/>
      <c r="B1499" s="624">
        <v>129420</v>
      </c>
      <c r="C1499" s="1344">
        <v>333903200000000</v>
      </c>
      <c r="D1499" s="624" t="s">
        <v>6459</v>
      </c>
      <c r="E1499" s="624">
        <v>20</v>
      </c>
      <c r="F1499" s="643">
        <v>0</v>
      </c>
      <c r="G1499" s="643">
        <v>0</v>
      </c>
      <c r="H1499" s="26">
        <v>0</v>
      </c>
      <c r="I1499" s="26">
        <f t="shared" si="156"/>
        <v>0</v>
      </c>
      <c r="J1499" s="1340" t="e">
        <f t="shared" si="153"/>
        <v>#DIV/0!</v>
      </c>
      <c r="K1499" s="1339">
        <f t="shared" si="154"/>
        <v>0</v>
      </c>
    </row>
    <row r="1500" spans="1:11" ht="15" x14ac:dyDescent="0.25">
      <c r="A1500" s="1341"/>
      <c r="B1500" s="624">
        <v>129440</v>
      </c>
      <c r="C1500" s="1344">
        <v>333903300000000</v>
      </c>
      <c r="D1500" s="624" t="s">
        <v>5041</v>
      </c>
      <c r="E1500" s="624">
        <v>20</v>
      </c>
      <c r="F1500" s="643">
        <v>0</v>
      </c>
      <c r="G1500" s="643">
        <v>0</v>
      </c>
      <c r="H1500" s="26">
        <v>0</v>
      </c>
      <c r="I1500" s="26">
        <f t="shared" si="156"/>
        <v>0</v>
      </c>
      <c r="J1500" s="1340" t="e">
        <f t="shared" si="153"/>
        <v>#DIV/0!</v>
      </c>
      <c r="K1500" s="1339">
        <f t="shared" si="154"/>
        <v>0</v>
      </c>
    </row>
    <row r="1501" spans="1:11" ht="15" x14ac:dyDescent="0.25">
      <c r="A1501" s="1341"/>
      <c r="B1501" s="624">
        <v>129820</v>
      </c>
      <c r="C1501" s="1344">
        <v>333903300000000</v>
      </c>
      <c r="D1501" s="624" t="s">
        <v>6461</v>
      </c>
      <c r="E1501" s="624">
        <v>20</v>
      </c>
      <c r="F1501" s="643">
        <v>0</v>
      </c>
      <c r="G1501" s="643">
        <v>0</v>
      </c>
      <c r="H1501" s="26">
        <v>0</v>
      </c>
      <c r="I1501" s="26">
        <f t="shared" si="156"/>
        <v>0</v>
      </c>
      <c r="J1501" s="1340" t="e">
        <f t="shared" si="153"/>
        <v>#DIV/0!</v>
      </c>
      <c r="K1501" s="1339">
        <f t="shared" si="154"/>
        <v>0</v>
      </c>
    </row>
    <row r="1502" spans="1:11" ht="15" x14ac:dyDescent="0.25">
      <c r="A1502" s="1341"/>
      <c r="B1502" s="624">
        <v>129460</v>
      </c>
      <c r="C1502" s="1344">
        <v>333903500000000</v>
      </c>
      <c r="D1502" s="624" t="s">
        <v>5094</v>
      </c>
      <c r="E1502" s="624">
        <v>20</v>
      </c>
      <c r="F1502" s="643">
        <v>0</v>
      </c>
      <c r="G1502" s="643">
        <v>0</v>
      </c>
      <c r="H1502" s="26">
        <v>0</v>
      </c>
      <c r="I1502" s="26">
        <f t="shared" si="156"/>
        <v>0</v>
      </c>
      <c r="J1502" s="1340" t="e">
        <f t="shared" si="153"/>
        <v>#DIV/0!</v>
      </c>
      <c r="K1502" s="1339">
        <f t="shared" si="154"/>
        <v>0</v>
      </c>
    </row>
    <row r="1503" spans="1:11" ht="15" x14ac:dyDescent="0.25">
      <c r="A1503" s="1341"/>
      <c r="B1503" s="624">
        <v>129480</v>
      </c>
      <c r="C1503" s="1344">
        <v>333903600000000</v>
      </c>
      <c r="D1503" s="624" t="s">
        <v>6453</v>
      </c>
      <c r="E1503" s="624">
        <v>20</v>
      </c>
      <c r="F1503" s="643">
        <v>0</v>
      </c>
      <c r="G1503" s="643">
        <v>0</v>
      </c>
      <c r="H1503" s="26">
        <v>0</v>
      </c>
      <c r="I1503" s="26">
        <f t="shared" si="156"/>
        <v>0</v>
      </c>
      <c r="J1503" s="1340" t="e">
        <f t="shared" si="153"/>
        <v>#DIV/0!</v>
      </c>
      <c r="K1503" s="1339">
        <f t="shared" si="154"/>
        <v>0</v>
      </c>
    </row>
    <row r="1504" spans="1:11" ht="15" x14ac:dyDescent="0.25">
      <c r="A1504" s="1341"/>
      <c r="B1504" s="624">
        <v>129840</v>
      </c>
      <c r="C1504" s="1344">
        <v>333903600000000</v>
      </c>
      <c r="D1504" s="624" t="s">
        <v>6462</v>
      </c>
      <c r="E1504" s="624">
        <v>20</v>
      </c>
      <c r="F1504" s="643">
        <v>0</v>
      </c>
      <c r="G1504" s="643">
        <v>0</v>
      </c>
      <c r="H1504" s="26">
        <v>0</v>
      </c>
      <c r="I1504" s="26">
        <f t="shared" si="156"/>
        <v>0</v>
      </c>
      <c r="J1504" s="1340" t="e">
        <f t="shared" si="153"/>
        <v>#DIV/0!</v>
      </c>
      <c r="K1504" s="1339">
        <f t="shared" si="154"/>
        <v>0</v>
      </c>
    </row>
    <row r="1505" spans="1:11" ht="15" x14ac:dyDescent="0.25">
      <c r="A1505" s="1341"/>
      <c r="B1505" s="624">
        <v>129520</v>
      </c>
      <c r="C1505" s="1344">
        <v>333903900000000</v>
      </c>
      <c r="D1505" s="624" t="s">
        <v>6454</v>
      </c>
      <c r="E1505" s="624">
        <v>20</v>
      </c>
      <c r="F1505" s="643">
        <v>0</v>
      </c>
      <c r="G1505" s="643">
        <v>0</v>
      </c>
      <c r="H1505" s="26">
        <v>0</v>
      </c>
      <c r="I1505" s="26">
        <f t="shared" si="156"/>
        <v>0</v>
      </c>
      <c r="J1505" s="1340" t="e">
        <f t="shared" si="153"/>
        <v>#DIV/0!</v>
      </c>
      <c r="K1505" s="1339">
        <f t="shared" si="154"/>
        <v>0</v>
      </c>
    </row>
    <row r="1506" spans="1:11" ht="15" x14ac:dyDescent="0.25">
      <c r="A1506" s="1341"/>
      <c r="B1506" s="624">
        <v>129860</v>
      </c>
      <c r="C1506" s="1344">
        <v>333903900000000</v>
      </c>
      <c r="D1506" s="624" t="s">
        <v>6463</v>
      </c>
      <c r="E1506" s="624">
        <v>20</v>
      </c>
      <c r="F1506" s="643">
        <v>0</v>
      </c>
      <c r="G1506" s="643">
        <v>0</v>
      </c>
      <c r="H1506" s="26">
        <v>0</v>
      </c>
      <c r="I1506" s="26">
        <f t="shared" si="156"/>
        <v>0</v>
      </c>
      <c r="J1506" s="1340" t="e">
        <f t="shared" si="153"/>
        <v>#DIV/0!</v>
      </c>
      <c r="K1506" s="1339">
        <f t="shared" si="154"/>
        <v>0</v>
      </c>
    </row>
    <row r="1507" spans="1:11" ht="15" x14ac:dyDescent="0.25">
      <c r="A1507" s="1341"/>
      <c r="B1507" s="624">
        <v>129750</v>
      </c>
      <c r="C1507" s="1344">
        <v>333904000000000</v>
      </c>
      <c r="D1507" s="624" t="s">
        <v>7444</v>
      </c>
      <c r="E1507" s="624">
        <v>20</v>
      </c>
      <c r="F1507" s="643">
        <v>0</v>
      </c>
      <c r="G1507" s="643">
        <v>0</v>
      </c>
      <c r="H1507" s="26">
        <v>0</v>
      </c>
      <c r="I1507" s="26">
        <f t="shared" si="156"/>
        <v>0</v>
      </c>
      <c r="J1507" s="1340" t="e">
        <f t="shared" si="153"/>
        <v>#DIV/0!</v>
      </c>
      <c r="K1507" s="1339">
        <f t="shared" si="154"/>
        <v>0</v>
      </c>
    </row>
    <row r="1508" spans="1:11" ht="15" x14ac:dyDescent="0.25">
      <c r="A1508" s="1341"/>
      <c r="B1508" s="624">
        <v>129560</v>
      </c>
      <c r="C1508" s="1344">
        <v>333904600000000</v>
      </c>
      <c r="D1508" s="624" t="s">
        <v>5040</v>
      </c>
      <c r="E1508" s="624">
        <v>1</v>
      </c>
      <c r="F1508" s="643">
        <v>0</v>
      </c>
      <c r="G1508" s="643">
        <v>0</v>
      </c>
      <c r="H1508" s="26">
        <v>0</v>
      </c>
      <c r="I1508" s="26">
        <f t="shared" si="156"/>
        <v>0</v>
      </c>
      <c r="J1508" s="1340" t="e">
        <f t="shared" si="153"/>
        <v>#DIV/0!</v>
      </c>
      <c r="K1508" s="1339">
        <f t="shared" si="154"/>
        <v>0</v>
      </c>
    </row>
    <row r="1509" spans="1:11" ht="15" x14ac:dyDescent="0.25">
      <c r="A1509" s="1341"/>
      <c r="B1509" s="624">
        <v>129580</v>
      </c>
      <c r="C1509" s="1344">
        <v>333904700000000</v>
      </c>
      <c r="D1509" s="624" t="s">
        <v>5095</v>
      </c>
      <c r="E1509" s="624">
        <v>20</v>
      </c>
      <c r="F1509" s="643">
        <v>0</v>
      </c>
      <c r="G1509" s="643">
        <v>0</v>
      </c>
      <c r="H1509" s="26">
        <v>0</v>
      </c>
      <c r="I1509" s="26">
        <f t="shared" si="156"/>
        <v>0</v>
      </c>
      <c r="J1509" s="1340" t="e">
        <f t="shared" si="153"/>
        <v>#DIV/0!</v>
      </c>
      <c r="K1509" s="1339">
        <f t="shared" si="154"/>
        <v>0</v>
      </c>
    </row>
    <row r="1510" spans="1:11" ht="15" x14ac:dyDescent="0.25">
      <c r="A1510" s="1341"/>
      <c r="B1510" s="624">
        <v>129880</v>
      </c>
      <c r="C1510" s="1344">
        <v>333904700000000</v>
      </c>
      <c r="D1510" s="624" t="s">
        <v>6464</v>
      </c>
      <c r="E1510" s="624">
        <v>20</v>
      </c>
      <c r="F1510" s="643">
        <v>0</v>
      </c>
      <c r="G1510" s="643">
        <v>0</v>
      </c>
      <c r="H1510" s="26">
        <v>0</v>
      </c>
      <c r="I1510" s="26">
        <f t="shared" si="156"/>
        <v>0</v>
      </c>
      <c r="J1510" s="1340" t="e">
        <f t="shared" si="153"/>
        <v>#DIV/0!</v>
      </c>
      <c r="K1510" s="1339">
        <f t="shared" si="154"/>
        <v>0</v>
      </c>
    </row>
    <row r="1511" spans="1:11" ht="15" x14ac:dyDescent="0.25">
      <c r="A1511" s="1341"/>
      <c r="B1511" s="624">
        <v>129600</v>
      </c>
      <c r="C1511" s="1344">
        <v>333904900000000</v>
      </c>
      <c r="D1511" s="624" t="s">
        <v>5038</v>
      </c>
      <c r="E1511" s="624">
        <v>20</v>
      </c>
      <c r="F1511" s="643">
        <v>10354.99</v>
      </c>
      <c r="G1511" s="643">
        <v>10875.09</v>
      </c>
      <c r="H1511" s="26">
        <v>0</v>
      </c>
      <c r="I1511" s="26">
        <f t="shared" si="156"/>
        <v>7076.6933333333336</v>
      </c>
      <c r="J1511" s="1340">
        <f t="shared" si="153"/>
        <v>1.0502269920106153</v>
      </c>
      <c r="K1511" s="1339">
        <f t="shared" si="154"/>
        <v>5.2251259040165962E-2</v>
      </c>
    </row>
    <row r="1512" spans="1:11" ht="15" x14ac:dyDescent="0.25">
      <c r="A1512" s="1341"/>
      <c r="B1512" s="624">
        <v>129620</v>
      </c>
      <c r="C1512" s="1344">
        <v>333909200000000</v>
      </c>
      <c r="D1512" s="624" t="s">
        <v>5037</v>
      </c>
      <c r="E1512" s="624">
        <v>20</v>
      </c>
      <c r="F1512" s="643">
        <v>0</v>
      </c>
      <c r="G1512" s="643">
        <v>0</v>
      </c>
      <c r="H1512" s="26">
        <v>0</v>
      </c>
      <c r="I1512" s="26">
        <f t="shared" si="156"/>
        <v>0</v>
      </c>
      <c r="J1512" s="1340" t="e">
        <f t="shared" si="153"/>
        <v>#DIV/0!</v>
      </c>
      <c r="K1512" s="1339">
        <f t="shared" si="154"/>
        <v>0</v>
      </c>
    </row>
    <row r="1513" spans="1:11" ht="15" x14ac:dyDescent="0.25">
      <c r="A1513" s="1341"/>
      <c r="B1513" s="624">
        <v>129640</v>
      </c>
      <c r="C1513" s="1344">
        <v>333909300000000</v>
      </c>
      <c r="D1513" s="624" t="s">
        <v>5036</v>
      </c>
      <c r="E1513" s="624">
        <v>20</v>
      </c>
      <c r="F1513" s="643">
        <v>173.43</v>
      </c>
      <c r="G1513" s="643">
        <v>26.9</v>
      </c>
      <c r="H1513" s="26">
        <v>0</v>
      </c>
      <c r="I1513" s="26">
        <f t="shared" si="156"/>
        <v>66.776666666666671</v>
      </c>
      <c r="J1513" s="1340">
        <f t="shared" si="153"/>
        <v>0.15510580637721269</v>
      </c>
      <c r="K1513" s="1339">
        <f t="shared" si="154"/>
        <v>4.9305017802648166E-4</v>
      </c>
    </row>
    <row r="1514" spans="1:11" ht="15" x14ac:dyDescent="0.25">
      <c r="A1514" s="1341"/>
      <c r="B1514" s="624">
        <v>129660</v>
      </c>
      <c r="C1514" s="1344">
        <v>333933000000000</v>
      </c>
      <c r="D1514" s="624" t="s">
        <v>5035</v>
      </c>
      <c r="E1514" s="624">
        <v>20</v>
      </c>
      <c r="F1514" s="643">
        <v>0</v>
      </c>
      <c r="G1514" s="643">
        <v>0</v>
      </c>
      <c r="H1514" s="26">
        <v>0</v>
      </c>
      <c r="I1514" s="26">
        <f t="shared" si="156"/>
        <v>0</v>
      </c>
      <c r="J1514" s="1340" t="e">
        <f t="shared" si="153"/>
        <v>#DIV/0!</v>
      </c>
      <c r="K1514" s="1339">
        <f t="shared" si="154"/>
        <v>0</v>
      </c>
    </row>
    <row r="1515" spans="1:11" ht="15" x14ac:dyDescent="0.25">
      <c r="A1515" s="1341"/>
      <c r="B1515" s="624">
        <v>129680</v>
      </c>
      <c r="C1515" s="1344">
        <v>344905100000000</v>
      </c>
      <c r="D1515" s="624" t="s">
        <v>5087</v>
      </c>
      <c r="E1515" s="624">
        <v>20</v>
      </c>
      <c r="F1515" s="643">
        <v>0</v>
      </c>
      <c r="G1515" s="643">
        <v>0</v>
      </c>
      <c r="H1515" s="26">
        <v>0</v>
      </c>
      <c r="I1515" s="26">
        <f t="shared" si="156"/>
        <v>0</v>
      </c>
      <c r="J1515" s="1340" t="e">
        <f t="shared" si="153"/>
        <v>#DIV/0!</v>
      </c>
      <c r="K1515" s="1339">
        <f t="shared" si="154"/>
        <v>0</v>
      </c>
    </row>
    <row r="1516" spans="1:11" ht="15" x14ac:dyDescent="0.25">
      <c r="A1516" s="1341"/>
      <c r="B1516" s="624">
        <v>129700</v>
      </c>
      <c r="C1516" s="1344">
        <v>344905200000000</v>
      </c>
      <c r="D1516" s="624" t="s">
        <v>5022</v>
      </c>
      <c r="E1516" s="624">
        <v>20</v>
      </c>
      <c r="F1516" s="643">
        <v>0</v>
      </c>
      <c r="G1516" s="643">
        <v>0</v>
      </c>
      <c r="H1516" s="26">
        <v>0</v>
      </c>
      <c r="I1516" s="26">
        <f t="shared" si="156"/>
        <v>0</v>
      </c>
      <c r="J1516" s="1340" t="e">
        <f t="shared" si="153"/>
        <v>#DIV/0!</v>
      </c>
      <c r="K1516" s="1339">
        <f t="shared" si="154"/>
        <v>0</v>
      </c>
    </row>
    <row r="1517" spans="1:11" ht="15" x14ac:dyDescent="0.25">
      <c r="B1517" s="1598" t="s">
        <v>1575</v>
      </c>
      <c r="C1517" s="1598"/>
      <c r="D1517" s="1598"/>
      <c r="E1517" s="1598"/>
      <c r="F1517" s="25">
        <f>F1481+F1488</f>
        <v>191953.34</v>
      </c>
      <c r="G1517" s="25">
        <f>G1481+G1488</f>
        <v>214354.18999999994</v>
      </c>
      <c r="H1517" s="25">
        <f>H1481+H1488</f>
        <v>0</v>
      </c>
      <c r="I1517" s="25">
        <f>I1481+I1488</f>
        <v>135435.84333333332</v>
      </c>
      <c r="J1517" s="1338">
        <f t="shared" si="153"/>
        <v>1.1166994541485964</v>
      </c>
      <c r="K1517" s="1337" t="e">
        <f>I1517/I$1436</f>
        <v>#DIV/0!</v>
      </c>
    </row>
    <row r="1520" spans="1:11" ht="15" x14ac:dyDescent="0.25">
      <c r="B1520" s="616" t="s">
        <v>7443</v>
      </c>
      <c r="F1520" s="643"/>
    </row>
    <row r="1521" spans="1:11" ht="45" customHeight="1" x14ac:dyDescent="0.25">
      <c r="B1521" s="1343" t="s">
        <v>2967</v>
      </c>
      <c r="C1521" s="1343" t="s">
        <v>472</v>
      </c>
      <c r="D1521" s="1343" t="s">
        <v>2968</v>
      </c>
      <c r="E1521" s="1343" t="s">
        <v>1403</v>
      </c>
      <c r="F1521" s="1081">
        <v>2017</v>
      </c>
      <c r="G1521" s="1081">
        <f>F1521+1</f>
        <v>2018</v>
      </c>
      <c r="H1521" s="1081">
        <f>G1521+1</f>
        <v>2019</v>
      </c>
      <c r="I1521" s="1082" t="s">
        <v>7336</v>
      </c>
      <c r="J1521" s="1342" t="s">
        <v>7335</v>
      </c>
      <c r="K1521" s="1342" t="s">
        <v>7334</v>
      </c>
    </row>
    <row r="1522" spans="1:11" s="12" customFormat="1" ht="15" x14ac:dyDescent="0.25">
      <c r="A1522" s="1081"/>
      <c r="B1522" s="570" t="s">
        <v>2965</v>
      </c>
      <c r="C1522" s="1345">
        <v>19</v>
      </c>
      <c r="D1522" s="570" t="s">
        <v>4719</v>
      </c>
      <c r="E1522" s="570"/>
      <c r="F1522" s="642">
        <f>SUM(F1523:F1524)</f>
        <v>195472.11</v>
      </c>
      <c r="G1522" s="642">
        <f>SUM(G1523:G1524)</f>
        <v>213067.38239999997</v>
      </c>
      <c r="H1522" s="642">
        <f>SUM(H1523:H1524)</f>
        <v>0</v>
      </c>
      <c r="I1522" s="642">
        <f>SUM(I1523:I1524)</f>
        <v>136179.8308</v>
      </c>
      <c r="J1522" s="1338">
        <f t="shared" ref="J1522:J1528" si="157">(G1522/F1522)+(H1522/G1522)/2</f>
        <v>1.0900142347673025</v>
      </c>
      <c r="K1522" s="1337">
        <f t="shared" ref="K1522:K1527" si="158">I1522/I$1528</f>
        <v>0.47606928635469653</v>
      </c>
    </row>
    <row r="1523" spans="1:11" ht="15" x14ac:dyDescent="0.25">
      <c r="A1523" s="1341"/>
      <c r="B1523" s="624">
        <v>105000</v>
      </c>
      <c r="C1523" s="1344">
        <v>333903000000000</v>
      </c>
      <c r="D1523" s="624" t="s">
        <v>7442</v>
      </c>
      <c r="E1523" s="624">
        <v>1013</v>
      </c>
      <c r="F1523" s="643">
        <v>0</v>
      </c>
      <c r="G1523" s="643">
        <f>7812.65*48%</f>
        <v>3750.0719999999997</v>
      </c>
      <c r="H1523" s="26">
        <v>0</v>
      </c>
      <c r="I1523" s="26">
        <f>(F1523+G1523+H1523)/3</f>
        <v>1250.0239999999999</v>
      </c>
      <c r="J1523" s="1340" t="e">
        <f t="shared" si="157"/>
        <v>#DIV/0!</v>
      </c>
      <c r="K1523" s="1339">
        <f t="shared" si="158"/>
        <v>4.3699425246036009E-3</v>
      </c>
    </row>
    <row r="1524" spans="1:11" ht="15" x14ac:dyDescent="0.25">
      <c r="A1524" s="1341"/>
      <c r="B1524" s="624">
        <v>105100</v>
      </c>
      <c r="C1524" s="1344">
        <v>333903900000000</v>
      </c>
      <c r="D1524" s="624" t="s">
        <v>7441</v>
      </c>
      <c r="E1524" s="624">
        <v>1013</v>
      </c>
      <c r="F1524" s="643">
        <v>195472.11</v>
      </c>
      <c r="G1524" s="643">
        <f>436077.73*48%</f>
        <v>209317.31039999999</v>
      </c>
      <c r="H1524" s="26">
        <v>0</v>
      </c>
      <c r="I1524" s="26">
        <f>(F1524+G1524+H1524)/3</f>
        <v>134929.80679999999</v>
      </c>
      <c r="J1524" s="1340">
        <f t="shared" si="157"/>
        <v>1.0708295439180557</v>
      </c>
      <c r="K1524" s="1339">
        <f t="shared" si="158"/>
        <v>0.47169934383009293</v>
      </c>
    </row>
    <row r="1525" spans="1:11" ht="15" x14ac:dyDescent="0.25">
      <c r="A1525" s="1341"/>
      <c r="B1525" s="624" t="s">
        <v>2965</v>
      </c>
      <c r="C1525" s="1344">
        <v>24</v>
      </c>
      <c r="D1525" s="624" t="s">
        <v>4837</v>
      </c>
      <c r="E1525" s="624"/>
      <c r="F1525" s="642">
        <f>SUM(F1526:F1527)</f>
        <v>218788.84</v>
      </c>
      <c r="G1525" s="642">
        <f>SUM(G1526:G1527)</f>
        <v>230822.99999999997</v>
      </c>
      <c r="H1525" s="642">
        <f>SUM(H1526:H1527)</f>
        <v>0</v>
      </c>
      <c r="I1525" s="642">
        <f>SUM(I1526:I1527)</f>
        <v>149870.61333333334</v>
      </c>
      <c r="J1525" s="1338">
        <f t="shared" si="157"/>
        <v>1.0550035367434645</v>
      </c>
      <c r="K1525" s="1337">
        <f t="shared" si="158"/>
        <v>0.52393071364530341</v>
      </c>
    </row>
    <row r="1526" spans="1:11" ht="15" x14ac:dyDescent="0.25">
      <c r="A1526" s="1341"/>
      <c r="B1526" s="624">
        <v>105200</v>
      </c>
      <c r="C1526" s="1344">
        <v>333903000000000</v>
      </c>
      <c r="D1526" s="624" t="s">
        <v>7440</v>
      </c>
      <c r="E1526" s="624">
        <v>1013</v>
      </c>
      <c r="F1526" s="643">
        <v>0</v>
      </c>
      <c r="G1526" s="643">
        <f>7812.65-3750.07</f>
        <v>4062.5799999999995</v>
      </c>
      <c r="H1526" s="26">
        <v>0</v>
      </c>
      <c r="I1526" s="26">
        <f>(F1526+G1526+H1526)/3</f>
        <v>1354.1933333333332</v>
      </c>
      <c r="J1526" s="1340" t="e">
        <f t="shared" si="157"/>
        <v>#DIV/0!</v>
      </c>
      <c r="K1526" s="1339">
        <f t="shared" si="158"/>
        <v>4.7341067322451665E-3</v>
      </c>
    </row>
    <row r="1527" spans="1:11" ht="15" x14ac:dyDescent="0.25">
      <c r="A1527" s="1341"/>
      <c r="B1527" s="624">
        <v>105300</v>
      </c>
      <c r="C1527" s="1344">
        <v>333903900000000</v>
      </c>
      <c r="D1527" s="624" t="s">
        <v>7439</v>
      </c>
      <c r="E1527" s="624">
        <v>1013</v>
      </c>
      <c r="F1527" s="643">
        <v>218788.84</v>
      </c>
      <c r="G1527" s="643">
        <f>436077.73-209317.31</f>
        <v>226760.41999999998</v>
      </c>
      <c r="H1527" s="26">
        <v>0</v>
      </c>
      <c r="I1527" s="26">
        <f>(F1527+G1527+H1527)/3</f>
        <v>148516.42000000001</v>
      </c>
      <c r="J1527" s="1340">
        <f t="shared" si="157"/>
        <v>1.0364350393740376</v>
      </c>
      <c r="K1527" s="1339">
        <f t="shared" si="158"/>
        <v>0.51919660691305825</v>
      </c>
    </row>
    <row r="1528" spans="1:11" ht="15" x14ac:dyDescent="0.25">
      <c r="B1528" s="1598" t="s">
        <v>1575</v>
      </c>
      <c r="C1528" s="1598"/>
      <c r="D1528" s="1598"/>
      <c r="E1528" s="1598"/>
      <c r="F1528" s="25">
        <f>F1522+F1525</f>
        <v>414260.94999999995</v>
      </c>
      <c r="G1528" s="25">
        <f>G1522+G1525</f>
        <v>443890.38239999994</v>
      </c>
      <c r="H1528" s="25">
        <f>H1522+H1525</f>
        <v>0</v>
      </c>
      <c r="I1528" s="25">
        <f>I1522+I1525</f>
        <v>286050.44413333334</v>
      </c>
      <c r="J1528" s="1338">
        <f t="shared" si="157"/>
        <v>1.0715235949707544</v>
      </c>
      <c r="K1528" s="1337" t="e">
        <f>I1528/I$1436</f>
        <v>#DIV/0!</v>
      </c>
    </row>
    <row r="1530" spans="1:11" ht="15" x14ac:dyDescent="0.25">
      <c r="B1530" s="616" t="s">
        <v>7438</v>
      </c>
    </row>
    <row r="1531" spans="1:11" ht="45" customHeight="1" x14ac:dyDescent="0.25">
      <c r="B1531" s="1343" t="s">
        <v>2967</v>
      </c>
      <c r="C1531" s="1343" t="s">
        <v>472</v>
      </c>
      <c r="D1531" s="1343" t="s">
        <v>2968</v>
      </c>
      <c r="E1531" s="1343" t="s">
        <v>1403</v>
      </c>
      <c r="F1531" s="1081">
        <v>2017</v>
      </c>
      <c r="G1531" s="1081">
        <f>F1531+1</f>
        <v>2018</v>
      </c>
      <c r="H1531" s="1081">
        <f>G1531+1</f>
        <v>2019</v>
      </c>
      <c r="I1531" s="1082" t="s">
        <v>7336</v>
      </c>
      <c r="J1531" s="1342" t="s">
        <v>7335</v>
      </c>
      <c r="K1531" s="1342" t="s">
        <v>7334</v>
      </c>
    </row>
    <row r="1532" spans="1:11" s="12" customFormat="1" ht="15" x14ac:dyDescent="0.25">
      <c r="A1532" s="1081"/>
      <c r="B1532" s="570" t="s">
        <v>2950</v>
      </c>
      <c r="C1532" s="1345" t="s">
        <v>7433</v>
      </c>
      <c r="D1532" s="570" t="s">
        <v>7432</v>
      </c>
      <c r="E1532" s="570"/>
      <c r="F1532" s="642">
        <f>SUM(F1533:F1534)</f>
        <v>0</v>
      </c>
      <c r="G1532" s="642">
        <f>SUM(G1533:G1534)</f>
        <v>0</v>
      </c>
      <c r="H1532" s="642">
        <f>SUM(H1533:H1534)</f>
        <v>0</v>
      </c>
      <c r="I1532" s="642">
        <f>SUM(I1533:I1534)</f>
        <v>0</v>
      </c>
      <c r="J1532" s="1338" t="e">
        <f t="shared" ref="J1532:J1554" si="159">(G1532/F1532)+(H1532/G1532)/2</f>
        <v>#DIV/0!</v>
      </c>
      <c r="K1532" s="1337">
        <f t="shared" ref="K1532:K1554" si="160">I1532/I$1576</f>
        <v>0</v>
      </c>
    </row>
    <row r="1533" spans="1:11" ht="15" x14ac:dyDescent="0.25">
      <c r="A1533" s="1341"/>
      <c r="B1533" s="624">
        <v>105400</v>
      </c>
      <c r="C1533" s="1344">
        <v>344905200000000</v>
      </c>
      <c r="D1533" s="624" t="s">
        <v>5156</v>
      </c>
      <c r="E1533" s="624">
        <v>31</v>
      </c>
      <c r="F1533" s="643">
        <v>0</v>
      </c>
      <c r="G1533" s="643">
        <v>0</v>
      </c>
      <c r="H1533" s="26">
        <v>0</v>
      </c>
      <c r="I1533" s="26">
        <f>(F1533+G1533+H1533)/3</f>
        <v>0</v>
      </c>
      <c r="J1533" s="1340" t="e">
        <f t="shared" si="159"/>
        <v>#DIV/0!</v>
      </c>
      <c r="K1533" s="1339">
        <f t="shared" si="160"/>
        <v>0</v>
      </c>
    </row>
    <row r="1534" spans="1:11" ht="15" x14ac:dyDescent="0.25">
      <c r="A1534" s="1341"/>
      <c r="B1534" s="624">
        <v>105450</v>
      </c>
      <c r="C1534" s="1344">
        <v>344905200000000</v>
      </c>
      <c r="D1534" s="624" t="s">
        <v>5156</v>
      </c>
      <c r="E1534" s="624">
        <v>1011</v>
      </c>
      <c r="F1534" s="643">
        <v>0</v>
      </c>
      <c r="G1534" s="643">
        <v>0</v>
      </c>
      <c r="H1534" s="26">
        <v>0</v>
      </c>
      <c r="I1534" s="26">
        <f>(F1534+G1534+H1534)/3</f>
        <v>0</v>
      </c>
      <c r="J1534" s="1340" t="e">
        <f t="shared" si="159"/>
        <v>#DIV/0!</v>
      </c>
      <c r="K1534" s="1339">
        <f t="shared" si="160"/>
        <v>0</v>
      </c>
    </row>
    <row r="1535" spans="1:11" s="12" customFormat="1" ht="15" x14ac:dyDescent="0.25">
      <c r="A1535" s="1081"/>
      <c r="B1535" s="570" t="s">
        <v>2950</v>
      </c>
      <c r="C1535" s="1345" t="s">
        <v>7431</v>
      </c>
      <c r="D1535" s="570" t="s">
        <v>7430</v>
      </c>
      <c r="E1535" s="570"/>
      <c r="F1535" s="642">
        <f>SUM(F1536:F1537)</f>
        <v>0</v>
      </c>
      <c r="G1535" s="642">
        <f>SUM(G1536:G1537)</f>
        <v>0</v>
      </c>
      <c r="H1535" s="642">
        <f>SUM(H1536:H1537)</f>
        <v>0</v>
      </c>
      <c r="I1535" s="642">
        <f>SUM(I1536:I1537)</f>
        <v>0</v>
      </c>
      <c r="J1535" s="1338" t="e">
        <f t="shared" si="159"/>
        <v>#DIV/0!</v>
      </c>
      <c r="K1535" s="1337">
        <f t="shared" si="160"/>
        <v>0</v>
      </c>
    </row>
    <row r="1536" spans="1:11" ht="15" x14ac:dyDescent="0.25">
      <c r="A1536" s="1341"/>
      <c r="B1536" s="624">
        <v>105500</v>
      </c>
      <c r="C1536" s="1344">
        <v>344905200000000</v>
      </c>
      <c r="D1536" s="624" t="s">
        <v>5131</v>
      </c>
      <c r="E1536" s="624">
        <v>31</v>
      </c>
      <c r="F1536" s="643">
        <v>0</v>
      </c>
      <c r="G1536" s="643">
        <v>0</v>
      </c>
      <c r="H1536" s="26">
        <v>0</v>
      </c>
      <c r="I1536" s="26">
        <f>(F1536+G1536+H1536)/3</f>
        <v>0</v>
      </c>
      <c r="J1536" s="1340" t="e">
        <f t="shared" si="159"/>
        <v>#DIV/0!</v>
      </c>
      <c r="K1536" s="1339">
        <f t="shared" si="160"/>
        <v>0</v>
      </c>
    </row>
    <row r="1537" spans="1:11" ht="15" x14ac:dyDescent="0.25">
      <c r="A1537" s="1341"/>
      <c r="B1537" s="624">
        <v>105550</v>
      </c>
      <c r="C1537" s="1344">
        <v>344905200000000</v>
      </c>
      <c r="D1537" s="624" t="s">
        <v>5131</v>
      </c>
      <c r="E1537" s="624">
        <v>1011</v>
      </c>
      <c r="F1537" s="643">
        <v>0</v>
      </c>
      <c r="G1537" s="643">
        <v>0</v>
      </c>
      <c r="H1537" s="26">
        <v>0</v>
      </c>
      <c r="I1537" s="26">
        <f>(F1537+G1537+H1537)/3</f>
        <v>0</v>
      </c>
      <c r="J1537" s="1340" t="e">
        <f t="shared" si="159"/>
        <v>#DIV/0!</v>
      </c>
      <c r="K1537" s="1339">
        <f t="shared" si="160"/>
        <v>0</v>
      </c>
    </row>
    <row r="1538" spans="1:11" s="12" customFormat="1" ht="15" x14ac:dyDescent="0.25">
      <c r="A1538" s="1081"/>
      <c r="B1538" s="570" t="s">
        <v>2950</v>
      </c>
      <c r="C1538" s="1345" t="s">
        <v>7429</v>
      </c>
      <c r="D1538" s="570" t="s">
        <v>7428</v>
      </c>
      <c r="E1538" s="570"/>
      <c r="F1538" s="642">
        <f>SUM(F1539:F1540)</f>
        <v>0</v>
      </c>
      <c r="G1538" s="642">
        <f>SUM(G1539:G1540)</f>
        <v>0</v>
      </c>
      <c r="H1538" s="642">
        <f>SUM(H1539:H1540)</f>
        <v>0</v>
      </c>
      <c r="I1538" s="642">
        <f>SUM(I1539:I1540)</f>
        <v>0</v>
      </c>
      <c r="J1538" s="1338" t="e">
        <f t="shared" si="159"/>
        <v>#DIV/0!</v>
      </c>
      <c r="K1538" s="1337">
        <f t="shared" si="160"/>
        <v>0</v>
      </c>
    </row>
    <row r="1539" spans="1:11" ht="15" x14ac:dyDescent="0.25">
      <c r="A1539" s="1341"/>
      <c r="B1539" s="624">
        <v>105700</v>
      </c>
      <c r="C1539" s="1344">
        <v>344905200000000</v>
      </c>
      <c r="D1539" s="624" t="s">
        <v>7437</v>
      </c>
      <c r="E1539" s="624">
        <v>31</v>
      </c>
      <c r="F1539" s="643">
        <v>0</v>
      </c>
      <c r="G1539" s="643">
        <v>0</v>
      </c>
      <c r="H1539" s="26">
        <v>0</v>
      </c>
      <c r="I1539" s="26">
        <f>(F1539+G1539+H1539)/3</f>
        <v>0</v>
      </c>
      <c r="J1539" s="1340" t="e">
        <f t="shared" si="159"/>
        <v>#DIV/0!</v>
      </c>
      <c r="K1539" s="1339">
        <f t="shared" si="160"/>
        <v>0</v>
      </c>
    </row>
    <row r="1540" spans="1:11" ht="15" x14ac:dyDescent="0.25">
      <c r="A1540" s="1341"/>
      <c r="B1540" s="624">
        <v>105750</v>
      </c>
      <c r="C1540" s="1344">
        <v>344905200000000</v>
      </c>
      <c r="D1540" s="624" t="s">
        <v>7437</v>
      </c>
      <c r="E1540" s="624">
        <v>1011</v>
      </c>
      <c r="F1540" s="643">
        <v>0</v>
      </c>
      <c r="G1540" s="643">
        <v>0</v>
      </c>
      <c r="H1540" s="26">
        <v>0</v>
      </c>
      <c r="I1540" s="26">
        <f>(F1540+G1540+H1540)/3</f>
        <v>0</v>
      </c>
      <c r="J1540" s="1340" t="e">
        <f t="shared" si="159"/>
        <v>#DIV/0!</v>
      </c>
      <c r="K1540" s="1339">
        <f t="shared" si="160"/>
        <v>0</v>
      </c>
    </row>
    <row r="1541" spans="1:11" s="12" customFormat="1" ht="15" x14ac:dyDescent="0.25">
      <c r="A1541" s="1081"/>
      <c r="B1541" s="570" t="s">
        <v>2950</v>
      </c>
      <c r="C1541" s="1345" t="s">
        <v>7426</v>
      </c>
      <c r="D1541" s="570" t="s">
        <v>7425</v>
      </c>
      <c r="E1541" s="570"/>
      <c r="F1541" s="642">
        <f>SUM(F1542:F1543)</f>
        <v>0</v>
      </c>
      <c r="G1541" s="642">
        <f>SUM(G1542:G1543)</f>
        <v>0</v>
      </c>
      <c r="H1541" s="642">
        <f>SUM(H1542:H1543)</f>
        <v>0</v>
      </c>
      <c r="I1541" s="642">
        <f>SUM(I1542:I1543)</f>
        <v>0</v>
      </c>
      <c r="J1541" s="1338" t="e">
        <f t="shared" si="159"/>
        <v>#DIV/0!</v>
      </c>
      <c r="K1541" s="1337">
        <f t="shared" si="160"/>
        <v>0</v>
      </c>
    </row>
    <row r="1542" spans="1:11" ht="15" x14ac:dyDescent="0.25">
      <c r="A1542" s="1341"/>
      <c r="B1542" s="624">
        <v>105600</v>
      </c>
      <c r="C1542" s="1344">
        <v>344905200000000</v>
      </c>
      <c r="D1542" s="624" t="s">
        <v>7424</v>
      </c>
      <c r="E1542" s="624">
        <v>31</v>
      </c>
      <c r="F1542" s="643">
        <v>0</v>
      </c>
      <c r="G1542" s="643">
        <v>0</v>
      </c>
      <c r="H1542" s="26">
        <v>0</v>
      </c>
      <c r="I1542" s="26">
        <f>(F1542+G1542+H1542)/3</f>
        <v>0</v>
      </c>
      <c r="J1542" s="1340" t="e">
        <f t="shared" si="159"/>
        <v>#DIV/0!</v>
      </c>
      <c r="K1542" s="1339">
        <f t="shared" si="160"/>
        <v>0</v>
      </c>
    </row>
    <row r="1543" spans="1:11" ht="15" x14ac:dyDescent="0.25">
      <c r="A1543" s="1341"/>
      <c r="B1543" s="624">
        <v>105650</v>
      </c>
      <c r="C1543" s="1344">
        <v>344905200000000</v>
      </c>
      <c r="D1543" s="624" t="s">
        <v>7424</v>
      </c>
      <c r="E1543" s="624">
        <v>1011</v>
      </c>
      <c r="F1543" s="643">
        <v>0</v>
      </c>
      <c r="G1543" s="643">
        <v>0</v>
      </c>
      <c r="H1543" s="26">
        <v>0</v>
      </c>
      <c r="I1543" s="26">
        <f>(F1543+G1543+H1543)/3</f>
        <v>0</v>
      </c>
      <c r="J1543" s="1340" t="e">
        <f t="shared" si="159"/>
        <v>#DIV/0!</v>
      </c>
      <c r="K1543" s="1339">
        <f t="shared" si="160"/>
        <v>0</v>
      </c>
    </row>
    <row r="1544" spans="1:11" s="12" customFormat="1" ht="15" x14ac:dyDescent="0.25">
      <c r="A1544" s="1081"/>
      <c r="B1544" s="570" t="s">
        <v>2965</v>
      </c>
      <c r="C1544" s="1345">
        <v>19</v>
      </c>
      <c r="D1544" s="570" t="s">
        <v>4719</v>
      </c>
      <c r="E1544" s="570"/>
      <c r="F1544" s="642">
        <f>SUM(F1545:F1555)</f>
        <v>694192.11999999988</v>
      </c>
      <c r="G1544" s="642">
        <f>SUM(G1545:G1555)</f>
        <v>861147.3371</v>
      </c>
      <c r="H1544" s="642">
        <f>SUM(H1545:H1555)</f>
        <v>0</v>
      </c>
      <c r="I1544" s="642">
        <f>SUM(I1545:I1555)</f>
        <v>517848.48569999996</v>
      </c>
      <c r="J1544" s="1338">
        <f t="shared" si="159"/>
        <v>1.2405028986788271</v>
      </c>
      <c r="K1544" s="1337">
        <f t="shared" si="160"/>
        <v>0.83487686474717171</v>
      </c>
    </row>
    <row r="1545" spans="1:11" s="1" customFormat="1" ht="15" x14ac:dyDescent="0.25">
      <c r="A1545" s="1348"/>
      <c r="B1545" s="634"/>
      <c r="C1545" s="1347">
        <v>331901399000000</v>
      </c>
      <c r="D1545" s="634" t="s">
        <v>7436</v>
      </c>
      <c r="E1545" s="634"/>
      <c r="F1545" s="1346">
        <v>0</v>
      </c>
      <c r="G1545" s="1346">
        <v>104</v>
      </c>
      <c r="H1545" s="1346">
        <v>0</v>
      </c>
      <c r="I1545" s="26">
        <f t="shared" ref="I1545:I1554" si="161">(F1545+G1545+H1545)/3</f>
        <v>34.666666666666664</v>
      </c>
      <c r="J1545" s="1340" t="e">
        <f t="shared" si="159"/>
        <v>#DIV/0!</v>
      </c>
      <c r="K1545" s="1339">
        <f t="shared" si="160"/>
        <v>5.5889702832246693E-5</v>
      </c>
    </row>
    <row r="1546" spans="1:11" s="1" customFormat="1" ht="15" x14ac:dyDescent="0.25">
      <c r="A1546" s="1348"/>
      <c r="B1546" s="634"/>
      <c r="C1546" s="1347">
        <v>331903400000000</v>
      </c>
      <c r="D1546" s="634" t="s">
        <v>7435</v>
      </c>
      <c r="E1546" s="634"/>
      <c r="F1546" s="1346">
        <v>0</v>
      </c>
      <c r="G1546" s="1346">
        <v>520</v>
      </c>
      <c r="H1546" s="1346">
        <v>0</v>
      </c>
      <c r="I1546" s="26">
        <f t="shared" si="161"/>
        <v>173.33333333333334</v>
      </c>
      <c r="J1546" s="1340" t="e">
        <f t="shared" si="159"/>
        <v>#DIV/0!</v>
      </c>
      <c r="K1546" s="1339">
        <f t="shared" si="160"/>
        <v>2.7944851416123351E-4</v>
      </c>
    </row>
    <row r="1547" spans="1:11" ht="15" x14ac:dyDescent="0.25">
      <c r="A1547" s="1341"/>
      <c r="B1547" s="624">
        <v>105800</v>
      </c>
      <c r="C1547" s="1344">
        <v>333903000000000</v>
      </c>
      <c r="D1547" s="624" t="s">
        <v>5119</v>
      </c>
      <c r="E1547" s="624">
        <v>31</v>
      </c>
      <c r="F1547" s="643">
        <v>105325.48</v>
      </c>
      <c r="G1547" s="643">
        <v>110578.38</v>
      </c>
      <c r="H1547" s="26">
        <v>0</v>
      </c>
      <c r="I1547" s="26">
        <f t="shared" si="161"/>
        <v>71967.953333333324</v>
      </c>
      <c r="J1547" s="1340">
        <f t="shared" si="159"/>
        <v>1.0498730221784891</v>
      </c>
      <c r="K1547" s="1339">
        <f t="shared" si="160"/>
        <v>0.1160269478436057</v>
      </c>
    </row>
    <row r="1548" spans="1:11" ht="15" x14ac:dyDescent="0.25">
      <c r="A1548" s="1341"/>
      <c r="B1548" s="624">
        <v>105820</v>
      </c>
      <c r="C1548" s="1344">
        <v>333903000000000</v>
      </c>
      <c r="D1548" s="624" t="s">
        <v>5119</v>
      </c>
      <c r="E1548" s="624">
        <v>1011</v>
      </c>
      <c r="F1548" s="643">
        <v>0</v>
      </c>
      <c r="G1548" s="643">
        <v>8563.7000000000007</v>
      </c>
      <c r="H1548" s="26">
        <v>0</v>
      </c>
      <c r="I1548" s="26">
        <f t="shared" si="161"/>
        <v>2854.5666666666671</v>
      </c>
      <c r="J1548" s="1340" t="e">
        <f t="shared" si="159"/>
        <v>#DIV/0!</v>
      </c>
      <c r="K1548" s="1339">
        <f t="shared" si="160"/>
        <v>4.602140847543376E-3</v>
      </c>
    </row>
    <row r="1549" spans="1:11" ht="15" x14ac:dyDescent="0.25">
      <c r="A1549" s="1341"/>
      <c r="B1549" s="624">
        <v>105840</v>
      </c>
      <c r="C1549" s="1344">
        <v>333903000000000</v>
      </c>
      <c r="D1549" s="624" t="s">
        <v>5119</v>
      </c>
      <c r="E1549" s="624">
        <v>1049</v>
      </c>
      <c r="F1549" s="643">
        <v>0</v>
      </c>
      <c r="G1549" s="643">
        <v>0</v>
      </c>
      <c r="H1549" s="26">
        <v>0</v>
      </c>
      <c r="I1549" s="26">
        <f t="shared" si="161"/>
        <v>0</v>
      </c>
      <c r="J1549" s="1340" t="e">
        <f t="shared" si="159"/>
        <v>#DIV/0!</v>
      </c>
      <c r="K1549" s="1339">
        <f t="shared" si="160"/>
        <v>0</v>
      </c>
    </row>
    <row r="1550" spans="1:11" ht="15" x14ac:dyDescent="0.25">
      <c r="A1550" s="1341"/>
      <c r="B1550" s="624">
        <v>105980</v>
      </c>
      <c r="C1550" s="1344">
        <v>333903000000000</v>
      </c>
      <c r="D1550" s="624" t="s">
        <v>5119</v>
      </c>
      <c r="E1550" s="624">
        <v>1172</v>
      </c>
      <c r="F1550" s="643">
        <v>0</v>
      </c>
      <c r="G1550" s="643">
        <v>0</v>
      </c>
      <c r="H1550" s="26">
        <v>0</v>
      </c>
      <c r="I1550" s="26">
        <f t="shared" si="161"/>
        <v>0</v>
      </c>
      <c r="J1550" s="1340" t="e">
        <f t="shared" si="159"/>
        <v>#DIV/0!</v>
      </c>
      <c r="K1550" s="1339">
        <f t="shared" si="160"/>
        <v>0</v>
      </c>
    </row>
    <row r="1551" spans="1:11" ht="15" x14ac:dyDescent="0.25">
      <c r="A1551" s="1341"/>
      <c r="B1551" s="624"/>
      <c r="C1551" s="1344">
        <v>333903600000000</v>
      </c>
      <c r="D1551" s="624" t="s">
        <v>4161</v>
      </c>
      <c r="E1551" s="624">
        <v>31</v>
      </c>
      <c r="F1551" s="643">
        <v>0</v>
      </c>
      <c r="G1551" s="643">
        <v>2570</v>
      </c>
      <c r="H1551" s="26">
        <v>0</v>
      </c>
      <c r="I1551" s="26">
        <f t="shared" si="161"/>
        <v>856.66666666666663</v>
      </c>
      <c r="J1551" s="1340" t="e">
        <f t="shared" si="159"/>
        <v>#DIV/0!</v>
      </c>
      <c r="K1551" s="1339">
        <f t="shared" si="160"/>
        <v>1.3811205411430193E-3</v>
      </c>
    </row>
    <row r="1552" spans="1:11" ht="15" x14ac:dyDescent="0.25">
      <c r="A1552" s="1341"/>
      <c r="B1552" s="624">
        <v>105860</v>
      </c>
      <c r="C1552" s="1344">
        <v>333903900000000</v>
      </c>
      <c r="D1552" s="624" t="s">
        <v>5118</v>
      </c>
      <c r="E1552" s="624">
        <v>31</v>
      </c>
      <c r="F1552" s="643">
        <v>272484.78999999998</v>
      </c>
      <c r="G1552" s="643">
        <v>462448.57</v>
      </c>
      <c r="H1552" s="26">
        <v>0</v>
      </c>
      <c r="I1552" s="26">
        <f t="shared" si="161"/>
        <v>244977.78666666665</v>
      </c>
      <c r="J1552" s="1340">
        <f t="shared" si="159"/>
        <v>1.6971537016800096</v>
      </c>
      <c r="K1552" s="1339">
        <f t="shared" si="160"/>
        <v>0.39495391434523636</v>
      </c>
    </row>
    <row r="1553" spans="1:12" ht="15" x14ac:dyDescent="0.25">
      <c r="A1553" s="1341"/>
      <c r="B1553" s="624">
        <v>105910</v>
      </c>
      <c r="C1553" s="1344">
        <v>333903900000000</v>
      </c>
      <c r="D1553" s="624" t="s">
        <v>5118</v>
      </c>
      <c r="E1553" s="624">
        <v>1011</v>
      </c>
      <c r="F1553" s="643">
        <v>231289.54</v>
      </c>
      <c r="G1553" s="643">
        <f>246821.73*87%</f>
        <v>214734.9051</v>
      </c>
      <c r="H1553" s="26">
        <v>0</v>
      </c>
      <c r="I1553" s="26">
        <f t="shared" si="161"/>
        <v>148674.81503333335</v>
      </c>
      <c r="J1553" s="1340">
        <f t="shared" si="159"/>
        <v>0.92842462784957758</v>
      </c>
      <c r="K1553" s="1339">
        <f t="shared" si="160"/>
        <v>0.23969397781304552</v>
      </c>
      <c r="L1553" s="15"/>
    </row>
    <row r="1554" spans="1:12" ht="15" x14ac:dyDescent="0.25">
      <c r="A1554" s="1341"/>
      <c r="B1554" s="624">
        <v>105960</v>
      </c>
      <c r="C1554" s="1344">
        <v>333903900000000</v>
      </c>
      <c r="D1554" s="624" t="s">
        <v>5118</v>
      </c>
      <c r="E1554" s="624">
        <v>1049</v>
      </c>
      <c r="F1554" s="643">
        <v>84251.31</v>
      </c>
      <c r="G1554" s="643">
        <f>86678.26*70%</f>
        <v>60674.781999999992</v>
      </c>
      <c r="H1554" s="26">
        <v>0</v>
      </c>
      <c r="I1554" s="26">
        <f t="shared" si="161"/>
        <v>48308.697333333337</v>
      </c>
      <c r="J1554" s="1340">
        <f t="shared" si="159"/>
        <v>0.72016425619969582</v>
      </c>
      <c r="K1554" s="1339">
        <f t="shared" si="160"/>
        <v>7.7883425139604293E-2</v>
      </c>
    </row>
    <row r="1555" spans="1:12" ht="15" x14ac:dyDescent="0.25">
      <c r="A1555" s="1341"/>
      <c r="B1555" s="624"/>
      <c r="C1555" s="1344">
        <v>333904700000000</v>
      </c>
      <c r="D1555" s="624" t="s">
        <v>3736</v>
      </c>
      <c r="E1555" s="624">
        <v>31</v>
      </c>
      <c r="F1555" s="643">
        <v>841</v>
      </c>
      <c r="G1555" s="643">
        <v>953</v>
      </c>
      <c r="H1555" s="26"/>
      <c r="I1555" s="26"/>
      <c r="J1555" s="1340"/>
      <c r="K1555" s="1339"/>
    </row>
    <row r="1556" spans="1:12" s="12" customFormat="1" ht="15" x14ac:dyDescent="0.25">
      <c r="A1556" s="1081"/>
      <c r="B1556" s="570" t="s">
        <v>2965</v>
      </c>
      <c r="C1556" s="1345">
        <v>20</v>
      </c>
      <c r="D1556" s="570" t="s">
        <v>5114</v>
      </c>
      <c r="E1556" s="570"/>
      <c r="F1556" s="642">
        <f>SUM(F1557:F1562)</f>
        <v>94830.02</v>
      </c>
      <c r="G1556" s="642">
        <f>SUM(G1557:G1562)</f>
        <v>113109.05350000001</v>
      </c>
      <c r="H1556" s="642">
        <f>SUM(H1557:H1562)</f>
        <v>0</v>
      </c>
      <c r="I1556" s="642">
        <f>SUM(I1557:I1562)</f>
        <v>69313.0245</v>
      </c>
      <c r="J1556" s="1338">
        <f t="shared" ref="J1556:J1576" si="162">(G1556/F1556)+(H1556/G1556)/2</f>
        <v>1.1927557697446443</v>
      </c>
      <c r="K1556" s="1337">
        <f t="shared" ref="K1556:K1575" si="163">I1556/I$1576</f>
        <v>0.11174666370315101</v>
      </c>
    </row>
    <row r="1557" spans="1:12" ht="15" x14ac:dyDescent="0.25">
      <c r="A1557" s="1341"/>
      <c r="B1557" s="624">
        <v>106100</v>
      </c>
      <c r="C1557" s="1344">
        <v>333903000000000</v>
      </c>
      <c r="D1557" s="624" t="s">
        <v>5122</v>
      </c>
      <c r="E1557" s="624">
        <v>31</v>
      </c>
      <c r="F1557" s="643">
        <v>0</v>
      </c>
      <c r="G1557" s="643">
        <v>0</v>
      </c>
      <c r="H1557" s="26">
        <v>0</v>
      </c>
      <c r="I1557" s="26">
        <f t="shared" ref="I1557:I1562" si="164">(F1557+G1557+H1557)/3</f>
        <v>0</v>
      </c>
      <c r="J1557" s="1340" t="e">
        <f t="shared" si="162"/>
        <v>#DIV/0!</v>
      </c>
      <c r="K1557" s="1339">
        <f t="shared" si="163"/>
        <v>0</v>
      </c>
    </row>
    <row r="1558" spans="1:12" ht="15" x14ac:dyDescent="0.25">
      <c r="A1558" s="1341"/>
      <c r="B1558" s="624">
        <v>106120</v>
      </c>
      <c r="C1558" s="1344">
        <v>333903000000000</v>
      </c>
      <c r="D1558" s="624" t="s">
        <v>5122</v>
      </c>
      <c r="E1558" s="624">
        <v>1011</v>
      </c>
      <c r="F1558" s="643">
        <v>0</v>
      </c>
      <c r="G1558" s="643">
        <v>0</v>
      </c>
      <c r="H1558" s="26">
        <v>0</v>
      </c>
      <c r="I1558" s="26">
        <f t="shared" si="164"/>
        <v>0</v>
      </c>
      <c r="J1558" s="1340" t="e">
        <f t="shared" si="162"/>
        <v>#DIV/0!</v>
      </c>
      <c r="K1558" s="1339">
        <f t="shared" si="163"/>
        <v>0</v>
      </c>
    </row>
    <row r="1559" spans="1:12" ht="15" x14ac:dyDescent="0.25">
      <c r="A1559" s="1341"/>
      <c r="B1559" s="624">
        <v>106140</v>
      </c>
      <c r="C1559" s="1344">
        <v>333903000000000</v>
      </c>
      <c r="D1559" s="624" t="s">
        <v>5122</v>
      </c>
      <c r="E1559" s="624">
        <v>1049</v>
      </c>
      <c r="F1559" s="643">
        <v>0</v>
      </c>
      <c r="G1559" s="643">
        <v>0</v>
      </c>
      <c r="H1559" s="26">
        <v>0</v>
      </c>
      <c r="I1559" s="26">
        <f t="shared" si="164"/>
        <v>0</v>
      </c>
      <c r="J1559" s="1340" t="e">
        <f t="shared" si="162"/>
        <v>#DIV/0!</v>
      </c>
      <c r="K1559" s="1339">
        <f t="shared" si="163"/>
        <v>0</v>
      </c>
    </row>
    <row r="1560" spans="1:12" ht="15" x14ac:dyDescent="0.25">
      <c r="A1560" s="1341"/>
      <c r="B1560" s="624">
        <v>106160</v>
      </c>
      <c r="C1560" s="1344">
        <v>333903900000000</v>
      </c>
      <c r="D1560" s="624" t="s">
        <v>5123</v>
      </c>
      <c r="E1560" s="624">
        <v>31</v>
      </c>
      <c r="F1560" s="643">
        <v>46453.74</v>
      </c>
      <c r="G1560" s="643">
        <v>71487.62</v>
      </c>
      <c r="H1560" s="26">
        <v>0</v>
      </c>
      <c r="I1560" s="26">
        <f t="shared" si="164"/>
        <v>39313.78666666666</v>
      </c>
      <c r="J1560" s="1340">
        <f t="shared" si="162"/>
        <v>1.5388991284662978</v>
      </c>
      <c r="K1560" s="1339">
        <f t="shared" si="163"/>
        <v>6.3381803481067561E-2</v>
      </c>
    </row>
    <row r="1561" spans="1:12" ht="15" x14ac:dyDescent="0.25">
      <c r="A1561" s="1341"/>
      <c r="B1561" s="624">
        <v>106210</v>
      </c>
      <c r="C1561" s="1344">
        <v>333903900000000</v>
      </c>
      <c r="D1561" s="624" t="s">
        <v>5123</v>
      </c>
      <c r="E1561" s="624">
        <v>1011</v>
      </c>
      <c r="F1561" s="643">
        <v>35243.800000000003</v>
      </c>
      <c r="G1561" s="643">
        <f>246821.73*13%</f>
        <v>32086.824900000003</v>
      </c>
      <c r="H1561" s="26">
        <v>0</v>
      </c>
      <c r="I1561" s="26">
        <f t="shared" si="164"/>
        <v>22443.541633333338</v>
      </c>
      <c r="J1561" s="1340">
        <f t="shared" si="162"/>
        <v>0.91042466760110996</v>
      </c>
      <c r="K1561" s="1339">
        <f t="shared" si="163"/>
        <v>3.6183544395869911E-2</v>
      </c>
    </row>
    <row r="1562" spans="1:12" ht="15" x14ac:dyDescent="0.25">
      <c r="A1562" s="1341"/>
      <c r="B1562" s="624">
        <v>106260</v>
      </c>
      <c r="C1562" s="1344">
        <v>333903900000000</v>
      </c>
      <c r="D1562" s="624" t="s">
        <v>5123</v>
      </c>
      <c r="E1562" s="624">
        <v>1049</v>
      </c>
      <c r="F1562" s="643">
        <v>13132.48</v>
      </c>
      <c r="G1562" s="643">
        <f>86678.26*11%</f>
        <v>9534.6085999999996</v>
      </c>
      <c r="H1562" s="26">
        <v>0</v>
      </c>
      <c r="I1562" s="26">
        <f t="shared" si="164"/>
        <v>7555.6961999999994</v>
      </c>
      <c r="J1562" s="1340">
        <f t="shared" si="162"/>
        <v>0.72603260008772141</v>
      </c>
      <c r="K1562" s="1339">
        <f t="shared" si="163"/>
        <v>1.2181315826213526E-2</v>
      </c>
    </row>
    <row r="1563" spans="1:12" s="12" customFormat="1" ht="15" x14ac:dyDescent="0.25">
      <c r="A1563" s="1081"/>
      <c r="B1563" s="570" t="s">
        <v>2965</v>
      </c>
      <c r="C1563" s="1345">
        <v>21</v>
      </c>
      <c r="D1563" s="570" t="s">
        <v>7423</v>
      </c>
      <c r="E1563" s="570"/>
      <c r="F1563" s="642">
        <f>SUM(F1564:F1567)</f>
        <v>4812.57</v>
      </c>
      <c r="G1563" s="642">
        <f>SUM(G1564:G1567)</f>
        <v>21775.47</v>
      </c>
      <c r="H1563" s="642">
        <f>SUM(H1564:H1567)</f>
        <v>0</v>
      </c>
      <c r="I1563" s="642">
        <f>SUM(I1564:I1567)</f>
        <v>8862.68</v>
      </c>
      <c r="J1563" s="1338">
        <f t="shared" si="162"/>
        <v>4.5247071730904702</v>
      </c>
      <c r="K1563" s="1337">
        <f t="shared" si="163"/>
        <v>1.428843898549893E-2</v>
      </c>
      <c r="L1563" s="33"/>
    </row>
    <row r="1564" spans="1:12" ht="15" x14ac:dyDescent="0.25">
      <c r="A1564" s="1341"/>
      <c r="B1564" s="624">
        <v>106480</v>
      </c>
      <c r="C1564" s="1344">
        <v>333903000000000</v>
      </c>
      <c r="D1564" s="624" t="s">
        <v>7422</v>
      </c>
      <c r="E1564" s="624">
        <v>31</v>
      </c>
      <c r="F1564" s="643">
        <v>0</v>
      </c>
      <c r="G1564" s="643">
        <v>0</v>
      </c>
      <c r="H1564" s="26">
        <v>0</v>
      </c>
      <c r="I1564" s="26">
        <f>(F1564+G1564+H1564)/3</f>
        <v>0</v>
      </c>
      <c r="J1564" s="1340" t="e">
        <f t="shared" si="162"/>
        <v>#DIV/0!</v>
      </c>
      <c r="K1564" s="1339">
        <f t="shared" si="163"/>
        <v>0</v>
      </c>
    </row>
    <row r="1565" spans="1:12" ht="15" x14ac:dyDescent="0.25">
      <c r="A1565" s="1341"/>
      <c r="B1565" s="624">
        <v>106500</v>
      </c>
      <c r="C1565" s="1344">
        <v>333903000000000</v>
      </c>
      <c r="D1565" s="624" t="s">
        <v>7422</v>
      </c>
      <c r="E1565" s="624">
        <v>1011</v>
      </c>
      <c r="F1565" s="643">
        <v>0</v>
      </c>
      <c r="G1565" s="643">
        <v>0</v>
      </c>
      <c r="H1565" s="26">
        <v>0</v>
      </c>
      <c r="I1565" s="26">
        <f>(F1565+G1565+H1565)/3</f>
        <v>0</v>
      </c>
      <c r="J1565" s="1340" t="e">
        <f t="shared" si="162"/>
        <v>#DIV/0!</v>
      </c>
      <c r="K1565" s="1339">
        <f t="shared" si="163"/>
        <v>0</v>
      </c>
    </row>
    <row r="1566" spans="1:12" ht="15" x14ac:dyDescent="0.25">
      <c r="A1566" s="1341"/>
      <c r="B1566" s="624">
        <v>106530</v>
      </c>
      <c r="C1566" s="1344">
        <v>333903900000000</v>
      </c>
      <c r="D1566" s="624" t="s">
        <v>7421</v>
      </c>
      <c r="E1566" s="624">
        <v>31</v>
      </c>
      <c r="F1566" s="643">
        <v>4812.57</v>
      </c>
      <c r="G1566" s="643">
        <v>21775.47</v>
      </c>
      <c r="H1566" s="26">
        <v>0</v>
      </c>
      <c r="I1566" s="26">
        <f>(F1566+G1566+H1566)/3</f>
        <v>8862.68</v>
      </c>
      <c r="J1566" s="1340">
        <f t="shared" si="162"/>
        <v>4.5247071730904702</v>
      </c>
      <c r="K1566" s="1339">
        <f t="shared" si="163"/>
        <v>1.428843898549893E-2</v>
      </c>
    </row>
    <row r="1567" spans="1:12" ht="15" x14ac:dyDescent="0.25">
      <c r="A1567" s="1341"/>
      <c r="B1567" s="624">
        <v>106590</v>
      </c>
      <c r="C1567" s="1344">
        <v>333903900000000</v>
      </c>
      <c r="D1567" s="624" t="s">
        <v>7421</v>
      </c>
      <c r="E1567" s="624">
        <v>1011</v>
      </c>
      <c r="F1567" s="643">
        <v>0</v>
      </c>
      <c r="G1567" s="643">
        <v>0</v>
      </c>
      <c r="H1567" s="26">
        <v>0</v>
      </c>
      <c r="I1567" s="26">
        <f>(F1567+G1567+H1567)/3</f>
        <v>0</v>
      </c>
      <c r="J1567" s="1340" t="e">
        <f t="shared" si="162"/>
        <v>#DIV/0!</v>
      </c>
      <c r="K1567" s="1339">
        <f t="shared" si="163"/>
        <v>0</v>
      </c>
    </row>
    <row r="1568" spans="1:12" s="12" customFormat="1" ht="15" x14ac:dyDescent="0.25">
      <c r="A1568" s="1081"/>
      <c r="B1568" s="570" t="s">
        <v>2965</v>
      </c>
      <c r="C1568" s="1345">
        <v>22</v>
      </c>
      <c r="D1568" s="570" t="s">
        <v>7419</v>
      </c>
      <c r="E1568" s="570"/>
      <c r="F1568" s="642">
        <f>SUM(F1569:F1572)</f>
        <v>6580.23</v>
      </c>
      <c r="G1568" s="642">
        <f>SUM(G1569:G1572)</f>
        <v>27576.639999999999</v>
      </c>
      <c r="H1568" s="642">
        <f>SUM(H1569:H1572)</f>
        <v>0</v>
      </c>
      <c r="I1568" s="642">
        <f>SUM(I1569:I1572)</f>
        <v>11385.623333333331</v>
      </c>
      <c r="J1568" s="1338">
        <f t="shared" si="162"/>
        <v>4.190832235347397</v>
      </c>
      <c r="K1568" s="1337">
        <f t="shared" si="163"/>
        <v>1.8355935711343096E-2</v>
      </c>
    </row>
    <row r="1569" spans="1:11" ht="15" x14ac:dyDescent="0.25">
      <c r="A1569" s="1341"/>
      <c r="B1569" s="624">
        <v>106300</v>
      </c>
      <c r="C1569" s="1344">
        <v>333903000000000</v>
      </c>
      <c r="D1569" s="624" t="s">
        <v>7418</v>
      </c>
      <c r="E1569" s="624">
        <v>31</v>
      </c>
      <c r="F1569" s="643">
        <v>0</v>
      </c>
      <c r="G1569" s="643">
        <v>0</v>
      </c>
      <c r="H1569" s="26">
        <v>0</v>
      </c>
      <c r="I1569" s="26">
        <f>(F1569+G1569+H1569)/3</f>
        <v>0</v>
      </c>
      <c r="J1569" s="1340" t="e">
        <f t="shared" si="162"/>
        <v>#DIV/0!</v>
      </c>
      <c r="K1569" s="1339">
        <f t="shared" si="163"/>
        <v>0</v>
      </c>
    </row>
    <row r="1570" spans="1:11" ht="15" x14ac:dyDescent="0.25">
      <c r="A1570" s="1341"/>
      <c r="B1570" s="624">
        <v>106330</v>
      </c>
      <c r="C1570" s="1344">
        <v>333903000000000</v>
      </c>
      <c r="D1570" s="624" t="s">
        <v>7418</v>
      </c>
      <c r="E1570" s="624">
        <v>1011</v>
      </c>
      <c r="F1570" s="643">
        <v>0</v>
      </c>
      <c r="G1570" s="643">
        <v>0</v>
      </c>
      <c r="H1570" s="26">
        <v>0</v>
      </c>
      <c r="I1570" s="26">
        <f>(F1570+G1570+H1570)/3</f>
        <v>0</v>
      </c>
      <c r="J1570" s="1340" t="e">
        <f t="shared" si="162"/>
        <v>#DIV/0!</v>
      </c>
      <c r="K1570" s="1339">
        <f t="shared" si="163"/>
        <v>0</v>
      </c>
    </row>
    <row r="1571" spans="1:11" ht="15" x14ac:dyDescent="0.25">
      <c r="A1571" s="1341"/>
      <c r="B1571" s="624">
        <v>106360</v>
      </c>
      <c r="C1571" s="1344">
        <v>333903900000000</v>
      </c>
      <c r="D1571" s="624" t="s">
        <v>5116</v>
      </c>
      <c r="E1571" s="624">
        <v>31</v>
      </c>
      <c r="F1571" s="643">
        <v>6580.23</v>
      </c>
      <c r="G1571" s="643">
        <v>27576.639999999999</v>
      </c>
      <c r="H1571" s="26">
        <v>0</v>
      </c>
      <c r="I1571" s="26">
        <f>(F1571+G1571+H1571)/3</f>
        <v>11385.623333333331</v>
      </c>
      <c r="J1571" s="1340">
        <f t="shared" si="162"/>
        <v>4.190832235347397</v>
      </c>
      <c r="K1571" s="1339">
        <f t="shared" si="163"/>
        <v>1.8355935711343096E-2</v>
      </c>
    </row>
    <row r="1572" spans="1:11" ht="15" x14ac:dyDescent="0.25">
      <c r="A1572" s="1341"/>
      <c r="B1572" s="624">
        <v>106420</v>
      </c>
      <c r="C1572" s="1344">
        <v>333903900000000</v>
      </c>
      <c r="D1572" s="624" t="s">
        <v>5116</v>
      </c>
      <c r="E1572" s="624">
        <v>1011</v>
      </c>
      <c r="F1572" s="643">
        <v>0</v>
      </c>
      <c r="G1572" s="643">
        <v>0</v>
      </c>
      <c r="H1572" s="26">
        <v>0</v>
      </c>
      <c r="I1572" s="26">
        <f>(F1572+G1572+H1572)/3</f>
        <v>0</v>
      </c>
      <c r="J1572" s="1340" t="e">
        <f t="shared" si="162"/>
        <v>#DIV/0!</v>
      </c>
      <c r="K1572" s="1339">
        <f t="shared" si="163"/>
        <v>0</v>
      </c>
    </row>
    <row r="1573" spans="1:11" s="12" customFormat="1" ht="15" x14ac:dyDescent="0.25">
      <c r="A1573" s="1081"/>
      <c r="B1573" s="570" t="s">
        <v>2965</v>
      </c>
      <c r="C1573" s="1345">
        <v>24</v>
      </c>
      <c r="D1573" s="570" t="s">
        <v>4837</v>
      </c>
      <c r="E1573" s="570"/>
      <c r="F1573" s="642">
        <f>SUM(F1574:F1575)</f>
        <v>22109.58</v>
      </c>
      <c r="G1573" s="642">
        <f>SUM(G1574:G1575)</f>
        <v>16468.8694</v>
      </c>
      <c r="H1573" s="642">
        <f>SUM(H1574:H1575)</f>
        <v>0</v>
      </c>
      <c r="I1573" s="642">
        <f>SUM(I1574:I1575)</f>
        <v>12859.483133333333</v>
      </c>
      <c r="J1573" s="1338">
        <f t="shared" si="162"/>
        <v>0.74487481896987628</v>
      </c>
      <c r="K1573" s="1337">
        <f t="shared" si="163"/>
        <v>2.0732096852835249E-2</v>
      </c>
    </row>
    <row r="1574" spans="1:11" ht="15" x14ac:dyDescent="0.25">
      <c r="A1574" s="1341"/>
      <c r="B1574" s="624">
        <v>106000</v>
      </c>
      <c r="C1574" s="1344">
        <v>333903000000000</v>
      </c>
      <c r="D1574" s="624" t="s">
        <v>5121</v>
      </c>
      <c r="E1574" s="624">
        <v>1049</v>
      </c>
      <c r="F1574" s="643">
        <v>0</v>
      </c>
      <c r="G1574" s="643">
        <v>0</v>
      </c>
      <c r="H1574" s="26">
        <v>0</v>
      </c>
      <c r="I1574" s="26">
        <f>(F1574+G1574+H1574)/3</f>
        <v>0</v>
      </c>
      <c r="J1574" s="1340" t="e">
        <f t="shared" si="162"/>
        <v>#DIV/0!</v>
      </c>
      <c r="K1574" s="1339">
        <f t="shared" si="163"/>
        <v>0</v>
      </c>
    </row>
    <row r="1575" spans="1:11" ht="15" x14ac:dyDescent="0.25">
      <c r="A1575" s="1341"/>
      <c r="B1575" s="624">
        <v>106050</v>
      </c>
      <c r="C1575" s="1344">
        <v>333903900000000</v>
      </c>
      <c r="D1575" s="624" t="s">
        <v>5120</v>
      </c>
      <c r="E1575" s="624">
        <v>1049</v>
      </c>
      <c r="F1575" s="643">
        <v>22109.58</v>
      </c>
      <c r="G1575" s="643">
        <f>86678.26*19%</f>
        <v>16468.8694</v>
      </c>
      <c r="H1575" s="26">
        <v>0</v>
      </c>
      <c r="I1575" s="26">
        <f>(F1575+G1575+H1575)/3</f>
        <v>12859.483133333333</v>
      </c>
      <c r="J1575" s="1340">
        <f t="shared" si="162"/>
        <v>0.74487481896987628</v>
      </c>
      <c r="K1575" s="1339">
        <f t="shared" si="163"/>
        <v>2.0732096852835249E-2</v>
      </c>
    </row>
    <row r="1576" spans="1:11" ht="15" x14ac:dyDescent="0.25">
      <c r="B1576" s="1598" t="s">
        <v>1575</v>
      </c>
      <c r="C1576" s="1598"/>
      <c r="D1576" s="1598"/>
      <c r="E1576" s="1598"/>
      <c r="F1576" s="25">
        <f>F1532+F1535+F1538+F1541+F1544+F1556+F1563+F1568+F1573</f>
        <v>822524.51999999979</v>
      </c>
      <c r="G1576" s="25">
        <f>G1532+G1535+G1538+G1541+G1544+G1556+G1563+G1568+G1573</f>
        <v>1040077.37</v>
      </c>
      <c r="H1576" s="25">
        <f>H1532+H1535+H1538+H1541+H1544+H1556+H1563+H1568+H1573</f>
        <v>0</v>
      </c>
      <c r="I1576" s="25">
        <f>I1532+I1535+I1538+I1541+I1544+I1556+I1563+I1568+I1573</f>
        <v>620269.29666666663</v>
      </c>
      <c r="J1576" s="1338">
        <f t="shared" si="162"/>
        <v>1.2644940603108104</v>
      </c>
      <c r="K1576" s="1337" t="e">
        <f>I1576/I$1436</f>
        <v>#DIV/0!</v>
      </c>
    </row>
    <row r="1578" spans="1:11" ht="15" x14ac:dyDescent="0.25">
      <c r="B1578" s="616" t="s">
        <v>7434</v>
      </c>
    </row>
    <row r="1579" spans="1:11" ht="45" customHeight="1" x14ac:dyDescent="0.25">
      <c r="B1579" s="1343" t="s">
        <v>2967</v>
      </c>
      <c r="C1579" s="1343" t="s">
        <v>472</v>
      </c>
      <c r="D1579" s="1343" t="s">
        <v>2968</v>
      </c>
      <c r="E1579" s="1343" t="s">
        <v>1403</v>
      </c>
      <c r="F1579" s="1081">
        <v>2017</v>
      </c>
      <c r="G1579" s="1081">
        <f>F1579+1</f>
        <v>2018</v>
      </c>
      <c r="H1579" s="1081">
        <f>G1579+1</f>
        <v>2019</v>
      </c>
      <c r="I1579" s="1082" t="s">
        <v>7336</v>
      </c>
      <c r="J1579" s="1342" t="s">
        <v>7335</v>
      </c>
      <c r="K1579" s="1342" t="s">
        <v>7334</v>
      </c>
    </row>
    <row r="1580" spans="1:11" s="12" customFormat="1" ht="15" x14ac:dyDescent="0.25">
      <c r="A1580" s="1081"/>
      <c r="B1580" s="570" t="s">
        <v>2950</v>
      </c>
      <c r="C1580" s="1345" t="s">
        <v>7433</v>
      </c>
      <c r="D1580" s="570" t="s">
        <v>7432</v>
      </c>
      <c r="E1580" s="570"/>
      <c r="F1580" s="642">
        <f>SUM(F1581:F1583)</f>
        <v>0</v>
      </c>
      <c r="G1580" s="642">
        <f>SUM(G1581:G1583)</f>
        <v>0</v>
      </c>
      <c r="H1580" s="642">
        <f>SUM(H1581:H1583)</f>
        <v>0</v>
      </c>
      <c r="I1580" s="642">
        <f>SUM(I1581:I1583)</f>
        <v>0</v>
      </c>
      <c r="J1580" s="1338" t="e">
        <f t="shared" ref="J1580:J1611" si="165">(G1580/F1580)+(H1580/G1580)/2</f>
        <v>#DIV/0!</v>
      </c>
      <c r="K1580" s="1337">
        <f t="shared" ref="K1580:K1611" si="166">I1580/I$1634</f>
        <v>0</v>
      </c>
    </row>
    <row r="1581" spans="1:11" ht="15" x14ac:dyDescent="0.25">
      <c r="A1581" s="1341"/>
      <c r="B1581" s="624">
        <v>106700</v>
      </c>
      <c r="C1581" s="1344">
        <v>344905200000000</v>
      </c>
      <c r="D1581" s="624" t="s">
        <v>5156</v>
      </c>
      <c r="E1581" s="624">
        <v>1</v>
      </c>
      <c r="F1581" s="643">
        <v>0</v>
      </c>
      <c r="G1581" s="643">
        <v>0</v>
      </c>
      <c r="H1581" s="26">
        <v>0</v>
      </c>
      <c r="I1581" s="26">
        <f>(F1581+G1581+H1581)/3</f>
        <v>0</v>
      </c>
      <c r="J1581" s="1340" t="e">
        <f t="shared" si="165"/>
        <v>#DIV/0!</v>
      </c>
      <c r="K1581" s="1339">
        <f t="shared" si="166"/>
        <v>0</v>
      </c>
    </row>
    <row r="1582" spans="1:11" ht="15" x14ac:dyDescent="0.25">
      <c r="A1582" s="1341"/>
      <c r="B1582" s="624">
        <v>106730</v>
      </c>
      <c r="C1582" s="1344">
        <v>344905200000000</v>
      </c>
      <c r="D1582" s="624" t="s">
        <v>5156</v>
      </c>
      <c r="E1582" s="624">
        <v>20</v>
      </c>
      <c r="F1582" s="643">
        <v>0</v>
      </c>
      <c r="G1582" s="643">
        <v>0</v>
      </c>
      <c r="H1582" s="26">
        <v>0</v>
      </c>
      <c r="I1582" s="26">
        <f>(F1582+G1582+H1582)/3</f>
        <v>0</v>
      </c>
      <c r="J1582" s="1340" t="e">
        <f t="shared" si="165"/>
        <v>#DIV/0!</v>
      </c>
      <c r="K1582" s="1339">
        <f t="shared" si="166"/>
        <v>0</v>
      </c>
    </row>
    <row r="1583" spans="1:11" ht="15" x14ac:dyDescent="0.25">
      <c r="A1583" s="1341"/>
      <c r="B1583" s="624">
        <v>106760</v>
      </c>
      <c r="C1583" s="1344">
        <v>344905200000000</v>
      </c>
      <c r="D1583" s="624" t="s">
        <v>5156</v>
      </c>
      <c r="E1583" s="624">
        <v>1036</v>
      </c>
      <c r="F1583" s="643">
        <v>0</v>
      </c>
      <c r="G1583" s="643">
        <v>0</v>
      </c>
      <c r="H1583" s="26">
        <v>0</v>
      </c>
      <c r="I1583" s="26">
        <f>(F1583+G1583+H1583)/3</f>
        <v>0</v>
      </c>
      <c r="J1583" s="1340" t="e">
        <f t="shared" si="165"/>
        <v>#DIV/0!</v>
      </c>
      <c r="K1583" s="1339">
        <f t="shared" si="166"/>
        <v>0</v>
      </c>
    </row>
    <row r="1584" spans="1:11" s="12" customFormat="1" ht="15" x14ac:dyDescent="0.25">
      <c r="A1584" s="1081"/>
      <c r="B1584" s="570" t="s">
        <v>2950</v>
      </c>
      <c r="C1584" s="1345" t="s">
        <v>7431</v>
      </c>
      <c r="D1584" s="570" t="s">
        <v>7430</v>
      </c>
      <c r="E1584" s="570"/>
      <c r="F1584" s="642">
        <f>SUM(F1585:F1587)</f>
        <v>0</v>
      </c>
      <c r="G1584" s="642">
        <f>SUM(G1585:G1587)</f>
        <v>0</v>
      </c>
      <c r="H1584" s="642">
        <f>SUM(H1585:H1587)</f>
        <v>0</v>
      </c>
      <c r="I1584" s="642">
        <f>SUM(I1585:I1587)</f>
        <v>0</v>
      </c>
      <c r="J1584" s="1338" t="e">
        <f t="shared" si="165"/>
        <v>#DIV/0!</v>
      </c>
      <c r="K1584" s="1337">
        <f t="shared" si="166"/>
        <v>0</v>
      </c>
    </row>
    <row r="1585" spans="1:11" ht="15" x14ac:dyDescent="0.25">
      <c r="A1585" s="1341"/>
      <c r="B1585" s="624">
        <v>106800</v>
      </c>
      <c r="C1585" s="1344">
        <v>344905200000000</v>
      </c>
      <c r="D1585" s="624" t="s">
        <v>6472</v>
      </c>
      <c r="E1585" s="624">
        <v>1</v>
      </c>
      <c r="F1585" s="643">
        <v>0</v>
      </c>
      <c r="G1585" s="643">
        <v>0</v>
      </c>
      <c r="H1585" s="26">
        <v>0</v>
      </c>
      <c r="I1585" s="26">
        <f>(F1585+G1585+H1585)/3</f>
        <v>0</v>
      </c>
      <c r="J1585" s="1340" t="e">
        <f t="shared" si="165"/>
        <v>#DIV/0!</v>
      </c>
      <c r="K1585" s="1339">
        <f t="shared" si="166"/>
        <v>0</v>
      </c>
    </row>
    <row r="1586" spans="1:11" ht="15" x14ac:dyDescent="0.25">
      <c r="A1586" s="1341"/>
      <c r="B1586" s="624">
        <v>106850</v>
      </c>
      <c r="C1586" s="1344">
        <v>344905200000000</v>
      </c>
      <c r="D1586" s="624" t="s">
        <v>6472</v>
      </c>
      <c r="E1586" s="624">
        <v>20</v>
      </c>
      <c r="F1586" s="643">
        <v>0</v>
      </c>
      <c r="G1586" s="643">
        <v>0</v>
      </c>
      <c r="H1586" s="26">
        <v>0</v>
      </c>
      <c r="I1586" s="26">
        <f>(F1586+G1586+H1586)/3</f>
        <v>0</v>
      </c>
      <c r="J1586" s="1340" t="e">
        <f t="shared" si="165"/>
        <v>#DIV/0!</v>
      </c>
      <c r="K1586" s="1339">
        <f t="shared" si="166"/>
        <v>0</v>
      </c>
    </row>
    <row r="1587" spans="1:11" ht="15" x14ac:dyDescent="0.25">
      <c r="A1587" s="1341"/>
      <c r="B1587" s="624">
        <v>106870</v>
      </c>
      <c r="C1587" s="1344">
        <v>344905200000000</v>
      </c>
      <c r="D1587" s="624" t="s">
        <v>6472</v>
      </c>
      <c r="E1587" s="624">
        <v>1036</v>
      </c>
      <c r="F1587" s="643">
        <v>0</v>
      </c>
      <c r="G1587" s="643">
        <v>0</v>
      </c>
      <c r="H1587" s="26">
        <v>0</v>
      </c>
      <c r="I1587" s="26">
        <f>(F1587+G1587+H1587)/3</f>
        <v>0</v>
      </c>
      <c r="J1587" s="1340" t="e">
        <f t="shared" si="165"/>
        <v>#DIV/0!</v>
      </c>
      <c r="K1587" s="1339">
        <f t="shared" si="166"/>
        <v>0</v>
      </c>
    </row>
    <row r="1588" spans="1:11" s="12" customFormat="1" ht="15" x14ac:dyDescent="0.25">
      <c r="A1588" s="1081"/>
      <c r="B1588" s="570" t="s">
        <v>2950</v>
      </c>
      <c r="C1588" s="1345" t="s">
        <v>7429</v>
      </c>
      <c r="D1588" s="570" t="s">
        <v>7428</v>
      </c>
      <c r="E1588" s="570"/>
      <c r="F1588" s="642">
        <f>SUM(F1589:F1591)</f>
        <v>0</v>
      </c>
      <c r="G1588" s="642">
        <f>SUM(G1589:G1591)</f>
        <v>0</v>
      </c>
      <c r="H1588" s="642">
        <f>SUM(H1589:H1591)</f>
        <v>0</v>
      </c>
      <c r="I1588" s="642">
        <f>SUM(I1589:I1591)</f>
        <v>0</v>
      </c>
      <c r="J1588" s="1338" t="e">
        <f t="shared" si="165"/>
        <v>#DIV/0!</v>
      </c>
      <c r="K1588" s="1337">
        <f t="shared" si="166"/>
        <v>0</v>
      </c>
    </row>
    <row r="1589" spans="1:11" ht="15" x14ac:dyDescent="0.25">
      <c r="A1589" s="1341"/>
      <c r="B1589" s="624">
        <v>108000</v>
      </c>
      <c r="C1589" s="1344">
        <v>344905200000000</v>
      </c>
      <c r="D1589" s="624" t="s">
        <v>7427</v>
      </c>
      <c r="E1589" s="624">
        <v>1</v>
      </c>
      <c r="F1589" s="643">
        <v>0</v>
      </c>
      <c r="G1589" s="643">
        <v>0</v>
      </c>
      <c r="H1589" s="26">
        <v>0</v>
      </c>
      <c r="I1589" s="26">
        <f>(F1589+G1589+H1589)/3</f>
        <v>0</v>
      </c>
      <c r="J1589" s="1340" t="e">
        <f t="shared" si="165"/>
        <v>#DIV/0!</v>
      </c>
      <c r="K1589" s="1339">
        <f t="shared" si="166"/>
        <v>0</v>
      </c>
    </row>
    <row r="1590" spans="1:11" ht="15" x14ac:dyDescent="0.25">
      <c r="A1590" s="1341"/>
      <c r="B1590" s="624">
        <v>108050</v>
      </c>
      <c r="C1590" s="1344">
        <v>344905200000000</v>
      </c>
      <c r="D1590" s="624" t="s">
        <v>7427</v>
      </c>
      <c r="E1590" s="624">
        <v>20</v>
      </c>
      <c r="F1590" s="643">
        <v>0</v>
      </c>
      <c r="G1590" s="643">
        <v>0</v>
      </c>
      <c r="H1590" s="26">
        <v>0</v>
      </c>
      <c r="I1590" s="26">
        <f>(F1590+G1590+H1590)/3</f>
        <v>0</v>
      </c>
      <c r="J1590" s="1340" t="e">
        <f t="shared" si="165"/>
        <v>#DIV/0!</v>
      </c>
      <c r="K1590" s="1339">
        <f t="shared" si="166"/>
        <v>0</v>
      </c>
    </row>
    <row r="1591" spans="1:11" ht="15" x14ac:dyDescent="0.25">
      <c r="A1591" s="1341"/>
      <c r="B1591" s="624">
        <v>108070</v>
      </c>
      <c r="C1591" s="1344">
        <v>344905200000000</v>
      </c>
      <c r="D1591" s="624" t="s">
        <v>7427</v>
      </c>
      <c r="E1591" s="624">
        <v>1036</v>
      </c>
      <c r="F1591" s="643">
        <v>0</v>
      </c>
      <c r="G1591" s="643">
        <v>0</v>
      </c>
      <c r="H1591" s="26">
        <v>0</v>
      </c>
      <c r="I1591" s="26">
        <f>(F1591+G1591+H1591)/3</f>
        <v>0</v>
      </c>
      <c r="J1591" s="1340" t="e">
        <f t="shared" si="165"/>
        <v>#DIV/0!</v>
      </c>
      <c r="K1591" s="1339">
        <f t="shared" si="166"/>
        <v>0</v>
      </c>
    </row>
    <row r="1592" spans="1:11" s="12" customFormat="1" ht="15" x14ac:dyDescent="0.25">
      <c r="A1592" s="1081"/>
      <c r="B1592" s="570" t="s">
        <v>2950</v>
      </c>
      <c r="C1592" s="1345" t="s">
        <v>7426</v>
      </c>
      <c r="D1592" s="570" t="s">
        <v>7425</v>
      </c>
      <c r="E1592" s="570"/>
      <c r="F1592" s="642">
        <f>SUM(F1593:F1595)</f>
        <v>0</v>
      </c>
      <c r="G1592" s="642">
        <f>SUM(G1593:G1595)</f>
        <v>0</v>
      </c>
      <c r="H1592" s="642">
        <f>SUM(H1593:H1595)</f>
        <v>0</v>
      </c>
      <c r="I1592" s="642">
        <f>SUM(I1593:I1595)</f>
        <v>0</v>
      </c>
      <c r="J1592" s="1338" t="e">
        <f t="shared" si="165"/>
        <v>#DIV/0!</v>
      </c>
      <c r="K1592" s="1337">
        <f t="shared" si="166"/>
        <v>0</v>
      </c>
    </row>
    <row r="1593" spans="1:11" ht="15" x14ac:dyDescent="0.25">
      <c r="A1593" s="1341"/>
      <c r="B1593" s="624">
        <v>106900</v>
      </c>
      <c r="C1593" s="1344">
        <v>344905200000000</v>
      </c>
      <c r="D1593" s="624" t="s">
        <v>7424</v>
      </c>
      <c r="E1593" s="624">
        <v>1</v>
      </c>
      <c r="F1593" s="643">
        <v>0</v>
      </c>
      <c r="G1593" s="643">
        <v>0</v>
      </c>
      <c r="H1593" s="26">
        <v>0</v>
      </c>
      <c r="I1593" s="26">
        <f>(F1593+G1593+H1593)/3</f>
        <v>0</v>
      </c>
      <c r="J1593" s="1340" t="e">
        <f t="shared" si="165"/>
        <v>#DIV/0!</v>
      </c>
      <c r="K1593" s="1339">
        <f t="shared" si="166"/>
        <v>0</v>
      </c>
    </row>
    <row r="1594" spans="1:11" ht="15" x14ac:dyDescent="0.25">
      <c r="A1594" s="1341"/>
      <c r="B1594" s="624">
        <v>106950</v>
      </c>
      <c r="C1594" s="1344">
        <v>344905200000000</v>
      </c>
      <c r="D1594" s="624" t="s">
        <v>7424</v>
      </c>
      <c r="E1594" s="624">
        <v>20</v>
      </c>
      <c r="F1594" s="643">
        <v>0</v>
      </c>
      <c r="G1594" s="643">
        <v>0</v>
      </c>
      <c r="H1594" s="26">
        <v>0</v>
      </c>
      <c r="I1594" s="26">
        <f>(F1594+G1594+H1594)/3</f>
        <v>0</v>
      </c>
      <c r="J1594" s="1340" t="e">
        <f t="shared" si="165"/>
        <v>#DIV/0!</v>
      </c>
      <c r="K1594" s="1339">
        <f t="shared" si="166"/>
        <v>0</v>
      </c>
    </row>
    <row r="1595" spans="1:11" ht="15" x14ac:dyDescent="0.25">
      <c r="A1595" s="1341"/>
      <c r="B1595" s="624">
        <v>106970</v>
      </c>
      <c r="C1595" s="1344">
        <v>344905200000000</v>
      </c>
      <c r="D1595" s="624" t="s">
        <v>7424</v>
      </c>
      <c r="E1595" s="624">
        <v>1036</v>
      </c>
      <c r="F1595" s="643">
        <v>0</v>
      </c>
      <c r="G1595" s="643">
        <v>0</v>
      </c>
      <c r="H1595" s="26">
        <v>0</v>
      </c>
      <c r="I1595" s="26">
        <f>(F1595+G1595+H1595)/3</f>
        <v>0</v>
      </c>
      <c r="J1595" s="1340" t="e">
        <f t="shared" si="165"/>
        <v>#DIV/0!</v>
      </c>
      <c r="K1595" s="1339">
        <f t="shared" si="166"/>
        <v>0</v>
      </c>
    </row>
    <row r="1596" spans="1:11" s="12" customFormat="1" ht="15" x14ac:dyDescent="0.25">
      <c r="A1596" s="1081"/>
      <c r="B1596" s="570" t="s">
        <v>2965</v>
      </c>
      <c r="C1596" s="1345">
        <v>19</v>
      </c>
      <c r="D1596" s="570" t="s">
        <v>4719</v>
      </c>
      <c r="E1596" s="570"/>
      <c r="F1596" s="642">
        <f>SUM(F1597:F1601)</f>
        <v>0</v>
      </c>
      <c r="G1596" s="642">
        <f>SUM(G1597:G1601)</f>
        <v>46122.22</v>
      </c>
      <c r="H1596" s="642">
        <f>SUM(H1597:H1601)</f>
        <v>0</v>
      </c>
      <c r="I1596" s="642">
        <f>SUM(I1597:I1601)</f>
        <v>15374.073333333334</v>
      </c>
      <c r="J1596" s="1338" t="e">
        <f t="shared" si="165"/>
        <v>#DIV/0!</v>
      </c>
      <c r="K1596" s="1337">
        <f t="shared" si="166"/>
        <v>0.25128101110350365</v>
      </c>
    </row>
    <row r="1597" spans="1:11" ht="15" x14ac:dyDescent="0.25">
      <c r="A1597" s="1341"/>
      <c r="B1597" s="624">
        <v>108220</v>
      </c>
      <c r="C1597" s="1344">
        <v>333903000000000</v>
      </c>
      <c r="D1597" s="624" t="s">
        <v>5119</v>
      </c>
      <c r="E1597" s="624">
        <v>1</v>
      </c>
      <c r="F1597" s="643">
        <v>0</v>
      </c>
      <c r="G1597" s="643">
        <v>0</v>
      </c>
      <c r="H1597" s="26">
        <v>0</v>
      </c>
      <c r="I1597" s="26">
        <f>(F1597+G1597+H1597)/3</f>
        <v>0</v>
      </c>
      <c r="J1597" s="1340" t="e">
        <f t="shared" si="165"/>
        <v>#DIV/0!</v>
      </c>
      <c r="K1597" s="1339">
        <f t="shared" si="166"/>
        <v>0</v>
      </c>
    </row>
    <row r="1598" spans="1:11" ht="15" x14ac:dyDescent="0.25">
      <c r="A1598" s="1341"/>
      <c r="B1598" s="624">
        <v>108240</v>
      </c>
      <c r="C1598" s="1344">
        <v>333903000000000</v>
      </c>
      <c r="D1598" s="624" t="s">
        <v>5119</v>
      </c>
      <c r="E1598" s="624">
        <v>20</v>
      </c>
      <c r="F1598" s="643">
        <v>0</v>
      </c>
      <c r="G1598" s="643">
        <v>0</v>
      </c>
      <c r="H1598" s="26">
        <v>0</v>
      </c>
      <c r="I1598" s="26">
        <f>(F1598+G1598+H1598)/3</f>
        <v>0</v>
      </c>
      <c r="J1598" s="1340" t="e">
        <f t="shared" si="165"/>
        <v>#DIV/0!</v>
      </c>
      <c r="K1598" s="1339">
        <f t="shared" si="166"/>
        <v>0</v>
      </c>
    </row>
    <row r="1599" spans="1:11" ht="15" x14ac:dyDescent="0.25">
      <c r="A1599" s="1341"/>
      <c r="B1599" s="624">
        <v>108280</v>
      </c>
      <c r="C1599" s="1344">
        <v>333903900000000</v>
      </c>
      <c r="D1599" s="624" t="s">
        <v>5118</v>
      </c>
      <c r="E1599" s="624">
        <v>1</v>
      </c>
      <c r="F1599" s="643">
        <v>0</v>
      </c>
      <c r="G1599" s="643">
        <v>1053.44</v>
      </c>
      <c r="H1599" s="26">
        <v>0</v>
      </c>
      <c r="I1599" s="26">
        <f>(F1599+G1599+H1599)/3</f>
        <v>351.1466666666667</v>
      </c>
      <c r="J1599" s="1340" t="e">
        <f t="shared" si="165"/>
        <v>#DIV/0!</v>
      </c>
      <c r="K1599" s="1339">
        <f t="shared" si="166"/>
        <v>5.7393045767717794E-3</v>
      </c>
    </row>
    <row r="1600" spans="1:11" ht="15" x14ac:dyDescent="0.25">
      <c r="A1600" s="1341"/>
      <c r="B1600" s="624">
        <v>108320</v>
      </c>
      <c r="C1600" s="1344">
        <v>333903900000000</v>
      </c>
      <c r="D1600" s="624" t="s">
        <v>5118</v>
      </c>
      <c r="E1600" s="624">
        <v>20</v>
      </c>
      <c r="F1600" s="643">
        <v>0</v>
      </c>
      <c r="G1600" s="643">
        <v>0</v>
      </c>
      <c r="H1600" s="26">
        <v>0</v>
      </c>
      <c r="I1600" s="26">
        <f>(F1600+G1600+H1600)/3</f>
        <v>0</v>
      </c>
      <c r="J1600" s="1340" t="e">
        <f t="shared" si="165"/>
        <v>#DIV/0!</v>
      </c>
      <c r="K1600" s="1339">
        <f t="shared" si="166"/>
        <v>0</v>
      </c>
    </row>
    <row r="1601" spans="1:11" ht="15" x14ac:dyDescent="0.25">
      <c r="A1601" s="1341"/>
      <c r="B1601" s="624"/>
      <c r="C1601" s="1344">
        <v>333903900000000</v>
      </c>
      <c r="D1601" s="624" t="s">
        <v>5118</v>
      </c>
      <c r="E1601" s="624">
        <v>1172</v>
      </c>
      <c r="F1601" s="643">
        <v>0</v>
      </c>
      <c r="G1601" s="643">
        <v>45068.78</v>
      </c>
      <c r="H1601" s="26">
        <v>0</v>
      </c>
      <c r="I1601" s="26">
        <f>(F1601+G1601+H1601)/3</f>
        <v>15022.926666666666</v>
      </c>
      <c r="J1601" s="1340" t="e">
        <f t="shared" si="165"/>
        <v>#DIV/0!</v>
      </c>
      <c r="K1601" s="1339">
        <f t="shared" si="166"/>
        <v>0.24554170652673185</v>
      </c>
    </row>
    <row r="1602" spans="1:11" s="12" customFormat="1" ht="15" x14ac:dyDescent="0.25">
      <c r="A1602" s="1081"/>
      <c r="B1602" s="570" t="s">
        <v>2965</v>
      </c>
      <c r="C1602" s="1345">
        <v>20</v>
      </c>
      <c r="D1602" s="570" t="s">
        <v>5114</v>
      </c>
      <c r="E1602" s="570"/>
      <c r="F1602" s="642">
        <f>SUM(F1603:F1606)</f>
        <v>0</v>
      </c>
      <c r="G1602" s="642">
        <f>SUM(G1603:G1606)</f>
        <v>0</v>
      </c>
      <c r="H1602" s="642">
        <f>SUM(H1603:H1606)</f>
        <v>0</v>
      </c>
      <c r="I1602" s="642">
        <f>SUM(I1603:I1606)</f>
        <v>0</v>
      </c>
      <c r="J1602" s="1338" t="e">
        <f t="shared" si="165"/>
        <v>#DIV/0!</v>
      </c>
      <c r="K1602" s="1337">
        <f t="shared" si="166"/>
        <v>0</v>
      </c>
    </row>
    <row r="1603" spans="1:11" ht="15" x14ac:dyDescent="0.25">
      <c r="A1603" s="1341"/>
      <c r="B1603" s="624">
        <v>108600</v>
      </c>
      <c r="C1603" s="1344">
        <v>333903000000000</v>
      </c>
      <c r="D1603" s="624" t="s">
        <v>5122</v>
      </c>
      <c r="E1603" s="624">
        <v>1</v>
      </c>
      <c r="F1603" s="643">
        <v>0</v>
      </c>
      <c r="G1603" s="643">
        <v>0</v>
      </c>
      <c r="H1603" s="26">
        <v>0</v>
      </c>
      <c r="I1603" s="26">
        <f>(F1603+G1603+H1603)/3</f>
        <v>0</v>
      </c>
      <c r="J1603" s="1340" t="e">
        <f t="shared" si="165"/>
        <v>#DIV/0!</v>
      </c>
      <c r="K1603" s="1339">
        <f t="shared" si="166"/>
        <v>0</v>
      </c>
    </row>
    <row r="1604" spans="1:11" ht="15" x14ac:dyDescent="0.25">
      <c r="A1604" s="1341"/>
      <c r="B1604" s="624">
        <v>108630</v>
      </c>
      <c r="C1604" s="1344">
        <v>333903000000000</v>
      </c>
      <c r="D1604" s="624" t="s">
        <v>5122</v>
      </c>
      <c r="E1604" s="624">
        <v>20</v>
      </c>
      <c r="F1604" s="643">
        <v>0</v>
      </c>
      <c r="G1604" s="643">
        <v>0</v>
      </c>
      <c r="H1604" s="26">
        <v>0</v>
      </c>
      <c r="I1604" s="26">
        <f>(F1604+G1604+H1604)/3</f>
        <v>0</v>
      </c>
      <c r="J1604" s="1340" t="e">
        <f t="shared" si="165"/>
        <v>#DIV/0!</v>
      </c>
      <c r="K1604" s="1339">
        <f t="shared" si="166"/>
        <v>0</v>
      </c>
    </row>
    <row r="1605" spans="1:11" ht="15" x14ac:dyDescent="0.25">
      <c r="A1605" s="1341"/>
      <c r="B1605" s="624">
        <v>108660</v>
      </c>
      <c r="C1605" s="1344">
        <v>333903900000000</v>
      </c>
      <c r="D1605" s="624" t="s">
        <v>5123</v>
      </c>
      <c r="E1605" s="624">
        <v>1</v>
      </c>
      <c r="F1605" s="643">
        <v>0</v>
      </c>
      <c r="G1605" s="643">
        <v>0</v>
      </c>
      <c r="H1605" s="26">
        <v>0</v>
      </c>
      <c r="I1605" s="26">
        <f>(F1605+G1605+H1605)/3</f>
        <v>0</v>
      </c>
      <c r="J1605" s="1340" t="e">
        <f t="shared" si="165"/>
        <v>#DIV/0!</v>
      </c>
      <c r="K1605" s="1339">
        <f t="shared" si="166"/>
        <v>0</v>
      </c>
    </row>
    <row r="1606" spans="1:11" ht="15" x14ac:dyDescent="0.25">
      <c r="A1606" s="1341"/>
      <c r="B1606" s="624">
        <v>108690</v>
      </c>
      <c r="C1606" s="1344">
        <v>333903900000000</v>
      </c>
      <c r="D1606" s="624" t="s">
        <v>5123</v>
      </c>
      <c r="E1606" s="624">
        <v>20</v>
      </c>
      <c r="F1606" s="643">
        <v>0</v>
      </c>
      <c r="G1606" s="643">
        <v>0</v>
      </c>
      <c r="H1606" s="26">
        <v>0</v>
      </c>
      <c r="I1606" s="26">
        <f>(F1606+G1606+H1606)/3</f>
        <v>0</v>
      </c>
      <c r="J1606" s="1340" t="e">
        <f t="shared" si="165"/>
        <v>#DIV/0!</v>
      </c>
      <c r="K1606" s="1339">
        <f t="shared" si="166"/>
        <v>0</v>
      </c>
    </row>
    <row r="1607" spans="1:11" s="12" customFormat="1" ht="15" x14ac:dyDescent="0.25">
      <c r="A1607" s="1081"/>
      <c r="B1607" s="570" t="s">
        <v>2965</v>
      </c>
      <c r="C1607" s="1345">
        <v>21</v>
      </c>
      <c r="D1607" s="570" t="s">
        <v>7423</v>
      </c>
      <c r="E1607" s="570"/>
      <c r="F1607" s="642">
        <f>SUM(F1608:F1611)</f>
        <v>0</v>
      </c>
      <c r="G1607" s="642">
        <f>SUM(G1608:G1611)</f>
        <v>0</v>
      </c>
      <c r="H1607" s="642">
        <f>SUM(H1608:H1611)</f>
        <v>0</v>
      </c>
      <c r="I1607" s="642">
        <f>SUM(I1608:I1611)</f>
        <v>0</v>
      </c>
      <c r="J1607" s="1338" t="e">
        <f t="shared" si="165"/>
        <v>#DIV/0!</v>
      </c>
      <c r="K1607" s="1337">
        <f t="shared" si="166"/>
        <v>0</v>
      </c>
    </row>
    <row r="1608" spans="1:11" ht="15" x14ac:dyDescent="0.25">
      <c r="A1608" s="1341"/>
      <c r="B1608" s="624">
        <v>108930</v>
      </c>
      <c r="C1608" s="1344">
        <v>333903000000000</v>
      </c>
      <c r="D1608" s="624" t="s">
        <v>7422</v>
      </c>
      <c r="E1608" s="624">
        <v>1</v>
      </c>
      <c r="F1608" s="643">
        <v>0</v>
      </c>
      <c r="G1608" s="643">
        <v>0</v>
      </c>
      <c r="H1608" s="26">
        <v>0</v>
      </c>
      <c r="I1608" s="26">
        <f>(F1608+G1608+H1608)/3</f>
        <v>0</v>
      </c>
      <c r="J1608" s="1340" t="e">
        <f t="shared" si="165"/>
        <v>#DIV/0!</v>
      </c>
      <c r="K1608" s="1339">
        <f t="shared" si="166"/>
        <v>0</v>
      </c>
    </row>
    <row r="1609" spans="1:11" ht="15" x14ac:dyDescent="0.25">
      <c r="A1609" s="1341"/>
      <c r="B1609" s="624">
        <v>108960</v>
      </c>
      <c r="C1609" s="1344">
        <v>333903000000000</v>
      </c>
      <c r="D1609" s="624" t="s">
        <v>7422</v>
      </c>
      <c r="E1609" s="624">
        <v>20</v>
      </c>
      <c r="F1609" s="643">
        <v>0</v>
      </c>
      <c r="G1609" s="643">
        <v>0</v>
      </c>
      <c r="H1609" s="26">
        <v>0</v>
      </c>
      <c r="I1609" s="26">
        <f>(F1609+G1609+H1609)/3</f>
        <v>0</v>
      </c>
      <c r="J1609" s="1340" t="e">
        <f t="shared" si="165"/>
        <v>#DIV/0!</v>
      </c>
      <c r="K1609" s="1339">
        <f t="shared" si="166"/>
        <v>0</v>
      </c>
    </row>
    <row r="1610" spans="1:11" ht="15" x14ac:dyDescent="0.25">
      <c r="A1610" s="1341"/>
      <c r="B1610" s="624">
        <v>108990</v>
      </c>
      <c r="C1610" s="1344">
        <v>333903900000000</v>
      </c>
      <c r="D1610" s="624" t="s">
        <v>7421</v>
      </c>
      <c r="E1610" s="624">
        <v>1</v>
      </c>
      <c r="F1610" s="643">
        <v>0</v>
      </c>
      <c r="G1610" s="643">
        <v>0</v>
      </c>
      <c r="H1610" s="26">
        <v>0</v>
      </c>
      <c r="I1610" s="26">
        <f>(F1610+G1610+H1610)/3</f>
        <v>0</v>
      </c>
      <c r="J1610" s="1340" t="e">
        <f t="shared" si="165"/>
        <v>#DIV/0!</v>
      </c>
      <c r="K1610" s="1339">
        <f t="shared" si="166"/>
        <v>0</v>
      </c>
    </row>
    <row r="1611" spans="1:11" ht="15" x14ac:dyDescent="0.25">
      <c r="A1611" s="1341"/>
      <c r="B1611" s="624">
        <v>109020</v>
      </c>
      <c r="C1611" s="1344">
        <v>333903900000000</v>
      </c>
      <c r="D1611" s="624" t="s">
        <v>7420</v>
      </c>
      <c r="E1611" s="624">
        <v>20</v>
      </c>
      <c r="F1611" s="643">
        <v>0</v>
      </c>
      <c r="G1611" s="643">
        <v>0</v>
      </c>
      <c r="H1611" s="26">
        <v>0</v>
      </c>
      <c r="I1611" s="26">
        <f>(F1611+G1611+H1611)/3</f>
        <v>0</v>
      </c>
      <c r="J1611" s="1340" t="e">
        <f t="shared" si="165"/>
        <v>#DIV/0!</v>
      </c>
      <c r="K1611" s="1339">
        <f t="shared" si="166"/>
        <v>0</v>
      </c>
    </row>
    <row r="1612" spans="1:11" s="12" customFormat="1" ht="15" x14ac:dyDescent="0.25">
      <c r="A1612" s="1081"/>
      <c r="B1612" s="570" t="s">
        <v>2965</v>
      </c>
      <c r="C1612" s="1345">
        <v>22</v>
      </c>
      <c r="D1612" s="570" t="s">
        <v>7419</v>
      </c>
      <c r="E1612" s="570"/>
      <c r="F1612" s="642">
        <f>SUM(F1613:F1616)</f>
        <v>0</v>
      </c>
      <c r="G1612" s="642">
        <f>SUM(G1613:G1616)</f>
        <v>0</v>
      </c>
      <c r="H1612" s="642">
        <f>SUM(H1613:H1616)</f>
        <v>0</v>
      </c>
      <c r="I1612" s="642">
        <f>SUM(I1613:I1616)</f>
        <v>0</v>
      </c>
      <c r="J1612" s="1338" t="e">
        <f t="shared" ref="J1612:J1634" si="167">(G1612/F1612)+(H1612/G1612)/2</f>
        <v>#DIV/0!</v>
      </c>
      <c r="K1612" s="1337">
        <f t="shared" ref="K1612:K1633" si="168">I1612/I$1634</f>
        <v>0</v>
      </c>
    </row>
    <row r="1613" spans="1:11" ht="15" x14ac:dyDescent="0.25">
      <c r="A1613" s="1341"/>
      <c r="B1613" s="624">
        <v>108780</v>
      </c>
      <c r="C1613" s="1344">
        <v>333903000000000</v>
      </c>
      <c r="D1613" s="624" t="s">
        <v>7418</v>
      </c>
      <c r="E1613" s="624">
        <v>1</v>
      </c>
      <c r="F1613" s="643">
        <v>0</v>
      </c>
      <c r="G1613" s="643">
        <v>0</v>
      </c>
      <c r="H1613" s="26">
        <v>0</v>
      </c>
      <c r="I1613" s="26">
        <f>(F1613+G1613+H1613)/3</f>
        <v>0</v>
      </c>
      <c r="J1613" s="1340" t="e">
        <f t="shared" si="167"/>
        <v>#DIV/0!</v>
      </c>
      <c r="K1613" s="1339">
        <f t="shared" si="168"/>
        <v>0</v>
      </c>
    </row>
    <row r="1614" spans="1:11" ht="15" x14ac:dyDescent="0.25">
      <c r="A1614" s="1341"/>
      <c r="B1614" s="624">
        <v>108810</v>
      </c>
      <c r="C1614" s="1344">
        <v>333903000000000</v>
      </c>
      <c r="D1614" s="624" t="s">
        <v>7418</v>
      </c>
      <c r="E1614" s="624">
        <v>20</v>
      </c>
      <c r="F1614" s="643">
        <v>0</v>
      </c>
      <c r="G1614" s="643">
        <v>0</v>
      </c>
      <c r="H1614" s="26">
        <v>0</v>
      </c>
      <c r="I1614" s="26">
        <f>(F1614+G1614+H1614)/3</f>
        <v>0</v>
      </c>
      <c r="J1614" s="1340" t="e">
        <f t="shared" si="167"/>
        <v>#DIV/0!</v>
      </c>
      <c r="K1614" s="1339">
        <f t="shared" si="168"/>
        <v>0</v>
      </c>
    </row>
    <row r="1615" spans="1:11" ht="15" x14ac:dyDescent="0.25">
      <c r="A1615" s="1341"/>
      <c r="B1615" s="624">
        <v>108840</v>
      </c>
      <c r="C1615" s="1344">
        <v>333903900000000</v>
      </c>
      <c r="D1615" s="624" t="s">
        <v>5116</v>
      </c>
      <c r="E1615" s="624">
        <v>1</v>
      </c>
      <c r="F1615" s="643">
        <v>0</v>
      </c>
      <c r="G1615" s="643">
        <v>0</v>
      </c>
      <c r="H1615" s="26">
        <v>0</v>
      </c>
      <c r="I1615" s="26">
        <f>(F1615+G1615+H1615)/3</f>
        <v>0</v>
      </c>
      <c r="J1615" s="1340" t="e">
        <f t="shared" si="167"/>
        <v>#DIV/0!</v>
      </c>
      <c r="K1615" s="1339">
        <f t="shared" si="168"/>
        <v>0</v>
      </c>
    </row>
    <row r="1616" spans="1:11" ht="15" x14ac:dyDescent="0.25">
      <c r="A1616" s="1341"/>
      <c r="B1616" s="624">
        <v>108900</v>
      </c>
      <c r="C1616" s="1344">
        <v>333903900000000</v>
      </c>
      <c r="D1616" s="624" t="s">
        <v>5116</v>
      </c>
      <c r="E1616" s="624">
        <v>20</v>
      </c>
      <c r="F1616" s="643">
        <v>0</v>
      </c>
      <c r="G1616" s="643">
        <v>0</v>
      </c>
      <c r="H1616" s="26">
        <v>0</v>
      </c>
      <c r="I1616" s="26">
        <f>(F1616+G1616+H1616)/3</f>
        <v>0</v>
      </c>
      <c r="J1616" s="1340" t="e">
        <f t="shared" si="167"/>
        <v>#DIV/0!</v>
      </c>
      <c r="K1616" s="1339">
        <f t="shared" si="168"/>
        <v>0</v>
      </c>
    </row>
    <row r="1617" spans="1:11" s="12" customFormat="1" ht="15" x14ac:dyDescent="0.25">
      <c r="A1617" s="1081"/>
      <c r="B1617" s="570" t="s">
        <v>2965</v>
      </c>
      <c r="C1617" s="1345">
        <v>23</v>
      </c>
      <c r="D1617" s="570" t="s">
        <v>7417</v>
      </c>
      <c r="E1617" s="570"/>
      <c r="F1617" s="642">
        <f>SUM(F1618:F1619)</f>
        <v>55773.29</v>
      </c>
      <c r="G1617" s="642">
        <f>SUM(G1618:G1619)</f>
        <v>45023.03</v>
      </c>
      <c r="H1617" s="642">
        <f>SUM(H1618:H1619)</f>
        <v>0</v>
      </c>
      <c r="I1617" s="642">
        <f>SUM(I1618:I1619)</f>
        <v>33598.773333333338</v>
      </c>
      <c r="J1617" s="1338">
        <f t="shared" si="167"/>
        <v>0.80725074672840702</v>
      </c>
      <c r="K1617" s="1337">
        <f t="shared" si="168"/>
        <v>0.54915399139747201</v>
      </c>
    </row>
    <row r="1618" spans="1:11" ht="15" x14ac:dyDescent="0.25">
      <c r="A1618" s="1341"/>
      <c r="B1618" s="624">
        <v>108560</v>
      </c>
      <c r="C1618" s="1344">
        <v>333903000000000</v>
      </c>
      <c r="D1618" s="624" t="s">
        <v>5154</v>
      </c>
      <c r="E1618" s="624">
        <v>1</v>
      </c>
      <c r="F1618" s="643">
        <v>0</v>
      </c>
      <c r="G1618" s="643">
        <v>0</v>
      </c>
      <c r="H1618" s="26">
        <v>0</v>
      </c>
      <c r="I1618" s="26">
        <f>(F1618+G1618+H1618)/3</f>
        <v>0</v>
      </c>
      <c r="J1618" s="1340" t="e">
        <f t="shared" si="167"/>
        <v>#DIV/0!</v>
      </c>
      <c r="K1618" s="1339">
        <f t="shared" si="168"/>
        <v>0</v>
      </c>
    </row>
    <row r="1619" spans="1:11" ht="15" x14ac:dyDescent="0.25">
      <c r="A1619" s="1341"/>
      <c r="B1619" s="624">
        <v>108590</v>
      </c>
      <c r="C1619" s="1344">
        <v>333903900000000</v>
      </c>
      <c r="D1619" s="624" t="s">
        <v>5155</v>
      </c>
      <c r="E1619" s="624">
        <v>1</v>
      </c>
      <c r="F1619" s="643">
        <v>55773.29</v>
      </c>
      <c r="G1619" s="643">
        <f>42461.63+2561.4</f>
        <v>45023.03</v>
      </c>
      <c r="H1619" s="26">
        <v>0</v>
      </c>
      <c r="I1619" s="26">
        <f>(F1619+G1619+H1619)/3</f>
        <v>33598.773333333338</v>
      </c>
      <c r="J1619" s="1340">
        <f t="shared" si="167"/>
        <v>0.80725074672840702</v>
      </c>
      <c r="K1619" s="1339">
        <f t="shared" si="168"/>
        <v>0.54915399139747201</v>
      </c>
    </row>
    <row r="1620" spans="1:11" s="12" customFormat="1" ht="15" x14ac:dyDescent="0.25">
      <c r="A1620" s="1081"/>
      <c r="B1620" s="570" t="s">
        <v>2965</v>
      </c>
      <c r="C1620" s="1345">
        <v>24</v>
      </c>
      <c r="D1620" s="570" t="s">
        <v>4837</v>
      </c>
      <c r="E1620" s="570"/>
      <c r="F1620" s="642">
        <f>SUM(F1621:F1622)</f>
        <v>6320.43</v>
      </c>
      <c r="G1620" s="642">
        <f>SUM(G1621:G1622)</f>
        <v>7040.87</v>
      </c>
      <c r="H1620" s="642">
        <f>SUM(H1621:H1622)</f>
        <v>0</v>
      </c>
      <c r="I1620" s="642">
        <f>SUM(I1621:I1622)</f>
        <v>4453.7666666666664</v>
      </c>
      <c r="J1620" s="1338">
        <f t="shared" si="167"/>
        <v>1.1139859155152418</v>
      </c>
      <c r="K1620" s="1337">
        <f t="shared" si="168"/>
        <v>7.2794435602996629E-2</v>
      </c>
    </row>
    <row r="1621" spans="1:11" ht="15" x14ac:dyDescent="0.25">
      <c r="A1621" s="1341"/>
      <c r="B1621" s="624">
        <v>108360</v>
      </c>
      <c r="C1621" s="1344">
        <v>333903000000000</v>
      </c>
      <c r="D1621" s="624" t="s">
        <v>5121</v>
      </c>
      <c r="E1621" s="624">
        <v>1</v>
      </c>
      <c r="F1621" s="643">
        <v>0</v>
      </c>
      <c r="G1621" s="643">
        <v>0</v>
      </c>
      <c r="H1621" s="26">
        <v>0</v>
      </c>
      <c r="I1621" s="26">
        <f>(F1621+G1621+H1621)/3</f>
        <v>0</v>
      </c>
      <c r="J1621" s="1340" t="e">
        <f t="shared" si="167"/>
        <v>#DIV/0!</v>
      </c>
      <c r="K1621" s="1339">
        <f t="shared" si="168"/>
        <v>0</v>
      </c>
    </row>
    <row r="1622" spans="1:11" ht="15" x14ac:dyDescent="0.25">
      <c r="A1622" s="1341"/>
      <c r="B1622" s="624">
        <v>108390</v>
      </c>
      <c r="C1622" s="1344">
        <v>333903900000000</v>
      </c>
      <c r="D1622" s="624" t="s">
        <v>5120</v>
      </c>
      <c r="E1622" s="624">
        <v>1</v>
      </c>
      <c r="F1622" s="643">
        <v>6320.43</v>
      </c>
      <c r="G1622" s="643">
        <v>7040.87</v>
      </c>
      <c r="H1622" s="26">
        <v>0</v>
      </c>
      <c r="I1622" s="26">
        <f>(F1622+G1622+H1622)/3</f>
        <v>4453.7666666666664</v>
      </c>
      <c r="J1622" s="1340">
        <f t="shared" si="167"/>
        <v>1.1139859155152418</v>
      </c>
      <c r="K1622" s="1339">
        <f t="shared" si="168"/>
        <v>7.2794435602996629E-2</v>
      </c>
    </row>
    <row r="1623" spans="1:11" s="12" customFormat="1" ht="15" x14ac:dyDescent="0.25">
      <c r="A1623" s="1081"/>
      <c r="B1623" s="570" t="s">
        <v>2965</v>
      </c>
      <c r="C1623" s="1345">
        <v>25</v>
      </c>
      <c r="D1623" s="570" t="s">
        <v>7416</v>
      </c>
      <c r="E1623" s="570"/>
      <c r="F1623" s="642">
        <f>SUM(F1624:F1625)</f>
        <v>5718.03</v>
      </c>
      <c r="G1623" s="642">
        <f>SUM(G1624:G1625)</f>
        <v>17289.150000000001</v>
      </c>
      <c r="H1623" s="642">
        <f>SUM(H1624:H1625)</f>
        <v>0</v>
      </c>
      <c r="I1623" s="642">
        <f>SUM(I1624:I1625)</f>
        <v>7669.06</v>
      </c>
      <c r="J1623" s="1338">
        <f t="shared" si="167"/>
        <v>3.0236200229799426</v>
      </c>
      <c r="K1623" s="1337">
        <f t="shared" si="168"/>
        <v>0.12534668654371595</v>
      </c>
    </row>
    <row r="1624" spans="1:11" ht="15" x14ac:dyDescent="0.25">
      <c r="A1624" s="1341"/>
      <c r="B1624" s="624">
        <v>108500</v>
      </c>
      <c r="C1624" s="1344">
        <v>333903000000000</v>
      </c>
      <c r="D1624" s="624" t="s">
        <v>5152</v>
      </c>
      <c r="E1624" s="624">
        <v>1</v>
      </c>
      <c r="F1624" s="643">
        <v>0</v>
      </c>
      <c r="G1624" s="643">
        <v>0</v>
      </c>
      <c r="H1624" s="26">
        <v>0</v>
      </c>
      <c r="I1624" s="26">
        <f>(F1624+G1624+H1624)/3</f>
        <v>0</v>
      </c>
      <c r="J1624" s="1340" t="e">
        <f t="shared" si="167"/>
        <v>#DIV/0!</v>
      </c>
      <c r="K1624" s="1339">
        <f t="shared" si="168"/>
        <v>0</v>
      </c>
    </row>
    <row r="1625" spans="1:11" ht="15" x14ac:dyDescent="0.25">
      <c r="A1625" s="1341"/>
      <c r="B1625" s="624">
        <v>108530</v>
      </c>
      <c r="C1625" s="1344">
        <v>333903900000000</v>
      </c>
      <c r="D1625" s="624" t="s">
        <v>5153</v>
      </c>
      <c r="E1625" s="624">
        <v>1</v>
      </c>
      <c r="F1625" s="643">
        <v>5718.03</v>
      </c>
      <c r="G1625" s="643">
        <v>17289.150000000001</v>
      </c>
      <c r="H1625" s="26">
        <v>0</v>
      </c>
      <c r="I1625" s="26">
        <f>(F1625+G1625+H1625)/3</f>
        <v>7669.06</v>
      </c>
      <c r="J1625" s="1340">
        <f t="shared" si="167"/>
        <v>3.0236200229799426</v>
      </c>
      <c r="K1625" s="1339">
        <f t="shared" si="168"/>
        <v>0.12534668654371595</v>
      </c>
    </row>
    <row r="1626" spans="1:11" s="12" customFormat="1" ht="15" x14ac:dyDescent="0.25">
      <c r="A1626" s="1081"/>
      <c r="B1626" s="570" t="s">
        <v>2965</v>
      </c>
      <c r="C1626" s="1345">
        <v>26</v>
      </c>
      <c r="D1626" s="570" t="s">
        <v>7415</v>
      </c>
      <c r="E1626" s="570"/>
      <c r="F1626" s="642">
        <f>SUM(F1627:F1628)</f>
        <v>126.75</v>
      </c>
      <c r="G1626" s="642">
        <f>SUM(G1627:G1628)</f>
        <v>134.6</v>
      </c>
      <c r="H1626" s="642">
        <f>SUM(H1627:H1628)</f>
        <v>0</v>
      </c>
      <c r="I1626" s="642">
        <f>SUM(I1627:I1628)</f>
        <v>87.116666666666674</v>
      </c>
      <c r="J1626" s="1338">
        <f t="shared" si="167"/>
        <v>1.0619329388560157</v>
      </c>
      <c r="K1626" s="1337">
        <f t="shared" si="168"/>
        <v>1.4238753523117638E-3</v>
      </c>
    </row>
    <row r="1627" spans="1:11" ht="15" x14ac:dyDescent="0.25">
      <c r="A1627" s="1341"/>
      <c r="B1627" s="624">
        <v>108420</v>
      </c>
      <c r="C1627" s="1344">
        <v>333903000000000</v>
      </c>
      <c r="D1627" s="624" t="s">
        <v>5219</v>
      </c>
      <c r="E1627" s="624">
        <v>1</v>
      </c>
      <c r="F1627" s="643">
        <v>0</v>
      </c>
      <c r="G1627" s="643">
        <v>0</v>
      </c>
      <c r="H1627" s="26">
        <v>0</v>
      </c>
      <c r="I1627" s="26">
        <f>(F1627+G1627+H1627)/3</f>
        <v>0</v>
      </c>
      <c r="J1627" s="1340" t="e">
        <f t="shared" si="167"/>
        <v>#DIV/0!</v>
      </c>
      <c r="K1627" s="1339">
        <f t="shared" si="168"/>
        <v>0</v>
      </c>
    </row>
    <row r="1628" spans="1:11" ht="15" x14ac:dyDescent="0.25">
      <c r="A1628" s="1341"/>
      <c r="B1628" s="624">
        <v>108450</v>
      </c>
      <c r="C1628" s="1344">
        <v>333903900000000</v>
      </c>
      <c r="D1628" s="624" t="s">
        <v>7414</v>
      </c>
      <c r="E1628" s="624">
        <v>1</v>
      </c>
      <c r="F1628" s="643">
        <v>126.75</v>
      </c>
      <c r="G1628" s="643">
        <v>134.6</v>
      </c>
      <c r="H1628" s="26">
        <v>0</v>
      </c>
      <c r="I1628" s="26">
        <f>(F1628+G1628+H1628)/3</f>
        <v>87.116666666666674</v>
      </c>
      <c r="J1628" s="1340">
        <f t="shared" si="167"/>
        <v>1.0619329388560157</v>
      </c>
      <c r="K1628" s="1339">
        <f t="shared" si="168"/>
        <v>1.4238753523117638E-3</v>
      </c>
    </row>
    <row r="1629" spans="1:11" s="12" customFormat="1" ht="15" x14ac:dyDescent="0.25">
      <c r="A1629" s="1081"/>
      <c r="B1629" s="570" t="s">
        <v>2965</v>
      </c>
      <c r="C1629" s="1345">
        <v>33</v>
      </c>
      <c r="D1629" s="570" t="s">
        <v>7413</v>
      </c>
      <c r="E1629" s="570"/>
      <c r="F1629" s="642">
        <f>SUM(F1630:F1633)</f>
        <v>0</v>
      </c>
      <c r="G1629" s="642">
        <f>SUM(G1630:G1633)</f>
        <v>0</v>
      </c>
      <c r="H1629" s="642">
        <f>SUM(H1630:H1633)</f>
        <v>0</v>
      </c>
      <c r="I1629" s="642">
        <f>SUM(I1630:I1633)</f>
        <v>0</v>
      </c>
      <c r="J1629" s="1338" t="e">
        <f t="shared" si="167"/>
        <v>#DIV/0!</v>
      </c>
      <c r="K1629" s="1337">
        <f t="shared" si="168"/>
        <v>0</v>
      </c>
    </row>
    <row r="1630" spans="1:11" ht="15" x14ac:dyDescent="0.25">
      <c r="A1630" s="1341"/>
      <c r="B1630" s="624">
        <v>108100</v>
      </c>
      <c r="C1630" s="1344">
        <v>333903000000000</v>
      </c>
      <c r="D1630" s="624" t="s">
        <v>5148</v>
      </c>
      <c r="E1630" s="624">
        <v>1</v>
      </c>
      <c r="F1630" s="643">
        <v>0</v>
      </c>
      <c r="G1630" s="643">
        <v>0</v>
      </c>
      <c r="H1630" s="26">
        <v>0</v>
      </c>
      <c r="I1630" s="26">
        <f>(F1630+G1630+H1630)/3</f>
        <v>0</v>
      </c>
      <c r="J1630" s="1340" t="e">
        <f t="shared" si="167"/>
        <v>#DIV/0!</v>
      </c>
      <c r="K1630" s="1339">
        <f t="shared" si="168"/>
        <v>0</v>
      </c>
    </row>
    <row r="1631" spans="1:11" ht="15" x14ac:dyDescent="0.25">
      <c r="A1631" s="1341"/>
      <c r="B1631" s="624">
        <v>108130</v>
      </c>
      <c r="C1631" s="1344">
        <v>333903000000000</v>
      </c>
      <c r="D1631" s="624" t="s">
        <v>5148</v>
      </c>
      <c r="E1631" s="624">
        <v>20</v>
      </c>
      <c r="F1631" s="643">
        <v>0</v>
      </c>
      <c r="G1631" s="643">
        <v>0</v>
      </c>
      <c r="H1631" s="26">
        <v>0</v>
      </c>
      <c r="I1631" s="26">
        <f>(F1631+G1631+H1631)/3</f>
        <v>0</v>
      </c>
      <c r="J1631" s="1340" t="e">
        <f t="shared" si="167"/>
        <v>#DIV/0!</v>
      </c>
      <c r="K1631" s="1339">
        <f t="shared" si="168"/>
        <v>0</v>
      </c>
    </row>
    <row r="1632" spans="1:11" ht="15" x14ac:dyDescent="0.25">
      <c r="A1632" s="1341"/>
      <c r="B1632" s="624">
        <v>108160</v>
      </c>
      <c r="C1632" s="1344">
        <v>333903900000000</v>
      </c>
      <c r="D1632" s="624" t="s">
        <v>7412</v>
      </c>
      <c r="E1632" s="624">
        <v>1</v>
      </c>
      <c r="F1632" s="643">
        <v>0</v>
      </c>
      <c r="G1632" s="643">
        <v>0</v>
      </c>
      <c r="H1632" s="26">
        <v>0</v>
      </c>
      <c r="I1632" s="26">
        <f>(F1632+G1632+H1632)/3</f>
        <v>0</v>
      </c>
      <c r="J1632" s="1340" t="e">
        <f t="shared" si="167"/>
        <v>#DIV/0!</v>
      </c>
      <c r="K1632" s="1339">
        <f t="shared" si="168"/>
        <v>0</v>
      </c>
    </row>
    <row r="1633" spans="1:11" ht="15" x14ac:dyDescent="0.25">
      <c r="A1633" s="1341"/>
      <c r="B1633" s="624">
        <v>108190</v>
      </c>
      <c r="C1633" s="1344">
        <v>333903900000000</v>
      </c>
      <c r="D1633" s="624" t="s">
        <v>7412</v>
      </c>
      <c r="E1633" s="624">
        <v>20</v>
      </c>
      <c r="F1633" s="643">
        <v>0</v>
      </c>
      <c r="G1633" s="643">
        <v>0</v>
      </c>
      <c r="H1633" s="26">
        <v>0</v>
      </c>
      <c r="I1633" s="26">
        <f>(F1633+G1633+H1633)/3</f>
        <v>0</v>
      </c>
      <c r="J1633" s="1340" t="e">
        <f t="shared" si="167"/>
        <v>#DIV/0!</v>
      </c>
      <c r="K1633" s="1339">
        <f t="shared" si="168"/>
        <v>0</v>
      </c>
    </row>
    <row r="1634" spans="1:11" ht="15" x14ac:dyDescent="0.25">
      <c r="B1634" s="1598" t="s">
        <v>1575</v>
      </c>
      <c r="C1634" s="1598"/>
      <c r="D1634" s="1598"/>
      <c r="E1634" s="1598"/>
      <c r="F1634" s="25">
        <f>F1580+F1584+F1588+F1592+F1596+F1602+F1607+F1612+F1617+F1620+F1623+F1626+F1629</f>
        <v>67938.5</v>
      </c>
      <c r="G1634" s="25">
        <f>G1580+G1584+G1588+G1592+G1596+G1602+G1607+G1612+G1617+G1620+G1623+G1626+G1629</f>
        <v>115609.87</v>
      </c>
      <c r="H1634" s="25">
        <f>H1580+H1584+H1588+H1592+H1596+H1602+H1607+H1612+H1617+H1620+H1623+H1626+H1629</f>
        <v>0</v>
      </c>
      <c r="I1634" s="25">
        <f>I1580+I1584+I1588+I1592+I1596+I1602+I1607+I1612+I1617+I1620+I1623+I1626+I1629</f>
        <v>61182.790000000008</v>
      </c>
      <c r="J1634" s="1338">
        <f t="shared" si="167"/>
        <v>1.7016841702422043</v>
      </c>
      <c r="K1634" s="1337" t="e">
        <f>I1634/I$1436</f>
        <v>#DIV/0!</v>
      </c>
    </row>
    <row r="1635" spans="1:11" ht="15" x14ac:dyDescent="0.25">
      <c r="B1635" s="616" t="s">
        <v>7411</v>
      </c>
    </row>
    <row r="1636" spans="1:11" ht="15" x14ac:dyDescent="0.25">
      <c r="B1636" s="616" t="s">
        <v>7359</v>
      </c>
    </row>
    <row r="1637" spans="1:11" ht="45" customHeight="1" x14ac:dyDescent="0.25">
      <c r="B1637" s="1343" t="s">
        <v>2967</v>
      </c>
      <c r="C1637" s="1343" t="s">
        <v>472</v>
      </c>
      <c r="D1637" s="1343" t="s">
        <v>2968</v>
      </c>
      <c r="E1637" s="1343" t="s">
        <v>1403</v>
      </c>
      <c r="F1637" s="1081">
        <v>2017</v>
      </c>
      <c r="G1637" s="1081">
        <f>F1637+1</f>
        <v>2018</v>
      </c>
      <c r="H1637" s="1081">
        <f>G1637+1</f>
        <v>2019</v>
      </c>
      <c r="I1637" s="1082" t="s">
        <v>7336</v>
      </c>
      <c r="J1637" s="1342" t="s">
        <v>7335</v>
      </c>
      <c r="K1637" s="1342" t="s">
        <v>7334</v>
      </c>
    </row>
    <row r="1638" spans="1:11" s="12" customFormat="1" ht="15" x14ac:dyDescent="0.25">
      <c r="A1638" s="1081"/>
      <c r="B1638" s="570" t="s">
        <v>2950</v>
      </c>
      <c r="C1638" s="1345" t="s">
        <v>7410</v>
      </c>
      <c r="D1638" s="570" t="s">
        <v>7409</v>
      </c>
      <c r="E1638" s="570"/>
      <c r="F1638" s="642">
        <f>SUM(F1639:F1644)</f>
        <v>0</v>
      </c>
      <c r="G1638" s="642">
        <f>SUM(G1639:G1644)</f>
        <v>0</v>
      </c>
      <c r="H1638" s="642">
        <f>SUM(H1639:H1644)</f>
        <v>0</v>
      </c>
      <c r="I1638" s="642">
        <f>SUM(I1639:I1644)</f>
        <v>0</v>
      </c>
      <c r="J1638" s="1338" t="e">
        <f t="shared" ref="J1638:J1669" si="169">(G1638/F1638)+(H1638/G1638)/2</f>
        <v>#DIV/0!</v>
      </c>
      <c r="K1638" s="1337">
        <f t="shared" ref="K1638:K1669" si="170">I1638/I$1690</f>
        <v>0</v>
      </c>
    </row>
    <row r="1639" spans="1:11" ht="15" x14ac:dyDescent="0.25">
      <c r="A1639" s="1341"/>
      <c r="B1639" s="624">
        <v>130000</v>
      </c>
      <c r="C1639" s="1344">
        <v>333904700000000</v>
      </c>
      <c r="D1639" s="624" t="s">
        <v>5266</v>
      </c>
      <c r="E1639" s="624">
        <v>40</v>
      </c>
      <c r="F1639" s="643">
        <v>0</v>
      </c>
      <c r="G1639" s="643">
        <v>0</v>
      </c>
      <c r="H1639" s="26">
        <v>0</v>
      </c>
      <c r="I1639" s="26">
        <f t="shared" ref="I1639:I1644" si="171">(F1639+G1639+H1639)/3</f>
        <v>0</v>
      </c>
      <c r="J1639" s="1340" t="e">
        <f t="shared" si="169"/>
        <v>#DIV/0!</v>
      </c>
      <c r="K1639" s="1339">
        <f t="shared" si="170"/>
        <v>0</v>
      </c>
    </row>
    <row r="1640" spans="1:11" ht="15" x14ac:dyDescent="0.25">
      <c r="A1640" s="1341"/>
      <c r="B1640" s="624">
        <v>130100</v>
      </c>
      <c r="C1640" s="1344">
        <v>344903000000000</v>
      </c>
      <c r="D1640" s="624" t="s">
        <v>5267</v>
      </c>
      <c r="E1640" s="624">
        <v>40</v>
      </c>
      <c r="F1640" s="643">
        <v>0</v>
      </c>
      <c r="G1640" s="643">
        <v>0</v>
      </c>
      <c r="H1640" s="26">
        <v>0</v>
      </c>
      <c r="I1640" s="26">
        <f t="shared" si="171"/>
        <v>0</v>
      </c>
      <c r="J1640" s="1340" t="e">
        <f t="shared" si="169"/>
        <v>#DIV/0!</v>
      </c>
      <c r="K1640" s="1339">
        <f t="shared" si="170"/>
        <v>0</v>
      </c>
    </row>
    <row r="1641" spans="1:11" ht="15" x14ac:dyDescent="0.25">
      <c r="A1641" s="1341"/>
      <c r="B1641" s="624">
        <v>130200</v>
      </c>
      <c r="C1641" s="1344">
        <v>344903600000000</v>
      </c>
      <c r="D1641" s="624" t="s">
        <v>6474</v>
      </c>
      <c r="E1641" s="624">
        <v>40</v>
      </c>
      <c r="F1641" s="643">
        <v>0</v>
      </c>
      <c r="G1641" s="643">
        <v>0</v>
      </c>
      <c r="H1641" s="26">
        <v>0</v>
      </c>
      <c r="I1641" s="26">
        <f t="shared" si="171"/>
        <v>0</v>
      </c>
      <c r="J1641" s="1340" t="e">
        <f t="shared" si="169"/>
        <v>#DIV/0!</v>
      </c>
      <c r="K1641" s="1339">
        <f t="shared" si="170"/>
        <v>0</v>
      </c>
    </row>
    <row r="1642" spans="1:11" ht="15" x14ac:dyDescent="0.25">
      <c r="A1642" s="1341"/>
      <c r="B1642" s="624">
        <v>130300</v>
      </c>
      <c r="C1642" s="1344">
        <v>344903900000000</v>
      </c>
      <c r="D1642" s="624" t="s">
        <v>6475</v>
      </c>
      <c r="E1642" s="624">
        <v>40</v>
      </c>
      <c r="F1642" s="643">
        <v>0</v>
      </c>
      <c r="G1642" s="643">
        <v>0</v>
      </c>
      <c r="H1642" s="26">
        <v>0</v>
      </c>
      <c r="I1642" s="26">
        <f t="shared" si="171"/>
        <v>0</v>
      </c>
      <c r="J1642" s="1340" t="e">
        <f t="shared" si="169"/>
        <v>#DIV/0!</v>
      </c>
      <c r="K1642" s="1339">
        <f t="shared" si="170"/>
        <v>0</v>
      </c>
    </row>
    <row r="1643" spans="1:11" ht="15" x14ac:dyDescent="0.25">
      <c r="A1643" s="1341"/>
      <c r="B1643" s="624">
        <v>130400</v>
      </c>
      <c r="C1643" s="1344">
        <v>344905100000000</v>
      </c>
      <c r="D1643" s="624" t="s">
        <v>5270</v>
      </c>
      <c r="E1643" s="624">
        <v>40</v>
      </c>
      <c r="F1643" s="643">
        <v>0</v>
      </c>
      <c r="G1643" s="643">
        <v>0</v>
      </c>
      <c r="H1643" s="26">
        <v>0</v>
      </c>
      <c r="I1643" s="26">
        <f t="shared" si="171"/>
        <v>0</v>
      </c>
      <c r="J1643" s="1340" t="e">
        <f t="shared" si="169"/>
        <v>#DIV/0!</v>
      </c>
      <c r="K1643" s="1339">
        <f t="shared" si="170"/>
        <v>0</v>
      </c>
    </row>
    <row r="1644" spans="1:11" ht="15" x14ac:dyDescent="0.25">
      <c r="A1644" s="1341"/>
      <c r="B1644" s="624">
        <v>130500</v>
      </c>
      <c r="C1644" s="1344">
        <v>344905200000000</v>
      </c>
      <c r="D1644" s="624" t="s">
        <v>5271</v>
      </c>
      <c r="E1644" s="624">
        <v>40</v>
      </c>
      <c r="F1644" s="643">
        <v>0</v>
      </c>
      <c r="G1644" s="643">
        <v>0</v>
      </c>
      <c r="H1644" s="26">
        <v>0</v>
      </c>
      <c r="I1644" s="26">
        <f t="shared" si="171"/>
        <v>0</v>
      </c>
      <c r="J1644" s="1340" t="e">
        <f t="shared" si="169"/>
        <v>#DIV/0!</v>
      </c>
      <c r="K1644" s="1339">
        <f t="shared" si="170"/>
        <v>0</v>
      </c>
    </row>
    <row r="1645" spans="1:11" s="12" customFormat="1" ht="15" x14ac:dyDescent="0.25">
      <c r="A1645" s="1081"/>
      <c r="B1645" s="570" t="s">
        <v>2965</v>
      </c>
      <c r="C1645" s="1345">
        <v>28</v>
      </c>
      <c r="D1645" s="570" t="s">
        <v>5249</v>
      </c>
      <c r="E1645" s="570"/>
      <c r="F1645" s="642">
        <f>SUM(F1646:F1672)</f>
        <v>201643.54</v>
      </c>
      <c r="G1645" s="642">
        <f>SUM(G1646:G1672)</f>
        <v>199979.57</v>
      </c>
      <c r="H1645" s="642">
        <f>SUM(H1646:H1672)</f>
        <v>0</v>
      </c>
      <c r="I1645" s="642">
        <f>SUM(I1646:I1672)</f>
        <v>133874.37</v>
      </c>
      <c r="J1645" s="1338">
        <f t="shared" si="169"/>
        <v>0.99174796276637478</v>
      </c>
      <c r="K1645" s="1337">
        <f t="shared" si="170"/>
        <v>1</v>
      </c>
    </row>
    <row r="1646" spans="1:11" ht="15" x14ac:dyDescent="0.25">
      <c r="A1646" s="1341"/>
      <c r="B1646" s="624">
        <v>131000</v>
      </c>
      <c r="C1646" s="1344">
        <v>331900400000000</v>
      </c>
      <c r="D1646" s="624" t="s">
        <v>6476</v>
      </c>
      <c r="E1646" s="624">
        <v>40</v>
      </c>
      <c r="F1646" s="643">
        <v>0</v>
      </c>
      <c r="G1646" s="643">
        <v>0</v>
      </c>
      <c r="H1646" s="26">
        <v>0</v>
      </c>
      <c r="I1646" s="26">
        <f t="shared" ref="I1646:I1672" si="172">(F1646+G1646+H1646)/3</f>
        <v>0</v>
      </c>
      <c r="J1646" s="1340" t="e">
        <f t="shared" si="169"/>
        <v>#DIV/0!</v>
      </c>
      <c r="K1646" s="1339">
        <f t="shared" si="170"/>
        <v>0</v>
      </c>
    </row>
    <row r="1647" spans="1:11" ht="15" x14ac:dyDescent="0.25">
      <c r="A1647" s="1341"/>
      <c r="B1647" s="624">
        <v>131050</v>
      </c>
      <c r="C1647" s="1344">
        <v>331900800000000</v>
      </c>
      <c r="D1647" s="624" t="s">
        <v>7408</v>
      </c>
      <c r="E1647" s="624">
        <v>1</v>
      </c>
      <c r="F1647" s="643">
        <v>0</v>
      </c>
      <c r="G1647" s="643">
        <v>0</v>
      </c>
      <c r="H1647" s="26">
        <v>0</v>
      </c>
      <c r="I1647" s="26">
        <f t="shared" si="172"/>
        <v>0</v>
      </c>
      <c r="J1647" s="1340" t="e">
        <f t="shared" si="169"/>
        <v>#DIV/0!</v>
      </c>
      <c r="K1647" s="1339">
        <f t="shared" si="170"/>
        <v>0</v>
      </c>
    </row>
    <row r="1648" spans="1:11" ht="15" x14ac:dyDescent="0.25">
      <c r="A1648" s="1341"/>
      <c r="B1648" s="624">
        <v>131100</v>
      </c>
      <c r="C1648" s="1344">
        <v>331901100000000</v>
      </c>
      <c r="D1648" s="624" t="s">
        <v>6478</v>
      </c>
      <c r="E1648" s="624">
        <v>40</v>
      </c>
      <c r="F1648" s="643">
        <v>73398.36</v>
      </c>
      <c r="G1648" s="643">
        <v>79945.429999999993</v>
      </c>
      <c r="H1648" s="26">
        <v>0</v>
      </c>
      <c r="I1648" s="26">
        <f t="shared" si="172"/>
        <v>51114.596666666657</v>
      </c>
      <c r="J1648" s="1340">
        <f t="shared" si="169"/>
        <v>1.0891991319697061</v>
      </c>
      <c r="K1648" s="1339">
        <f t="shared" si="170"/>
        <v>0.38181017521626176</v>
      </c>
    </row>
    <row r="1649" spans="1:11" ht="15" x14ac:dyDescent="0.25">
      <c r="A1649" s="1341"/>
      <c r="B1649" s="624">
        <v>131200</v>
      </c>
      <c r="C1649" s="1344">
        <v>331901300000000</v>
      </c>
      <c r="D1649" s="624" t="s">
        <v>6479</v>
      </c>
      <c r="E1649" s="624">
        <v>40</v>
      </c>
      <c r="F1649" s="643">
        <v>74375.05</v>
      </c>
      <c r="G1649" s="643">
        <v>68702.31</v>
      </c>
      <c r="H1649" s="26">
        <v>0</v>
      </c>
      <c r="I1649" s="26">
        <f t="shared" si="172"/>
        <v>47692.453333333331</v>
      </c>
      <c r="J1649" s="1340">
        <f t="shared" si="169"/>
        <v>0.92372791682156841</v>
      </c>
      <c r="K1649" s="1339">
        <f t="shared" si="170"/>
        <v>0.35624782647592168</v>
      </c>
    </row>
    <row r="1650" spans="1:11" ht="15" x14ac:dyDescent="0.25">
      <c r="A1650" s="1341"/>
      <c r="B1650" s="624">
        <v>131300</v>
      </c>
      <c r="C1650" s="1344">
        <v>331901600000000</v>
      </c>
      <c r="D1650" s="624" t="s">
        <v>6480</v>
      </c>
      <c r="E1650" s="624">
        <v>40</v>
      </c>
      <c r="F1650" s="643">
        <v>0</v>
      </c>
      <c r="G1650" s="643">
        <v>0</v>
      </c>
      <c r="H1650" s="26">
        <v>0</v>
      </c>
      <c r="I1650" s="26">
        <f t="shared" si="172"/>
        <v>0</v>
      </c>
      <c r="J1650" s="1340" t="e">
        <f t="shared" si="169"/>
        <v>#DIV/0!</v>
      </c>
      <c r="K1650" s="1339">
        <f t="shared" si="170"/>
        <v>0</v>
      </c>
    </row>
    <row r="1651" spans="1:11" ht="15" x14ac:dyDescent="0.25">
      <c r="A1651" s="1341"/>
      <c r="B1651" s="624">
        <v>131400</v>
      </c>
      <c r="C1651" s="1344">
        <v>331903400000000</v>
      </c>
      <c r="D1651" s="624" t="s">
        <v>6482</v>
      </c>
      <c r="E1651" s="624">
        <v>40</v>
      </c>
      <c r="F1651" s="643">
        <v>0</v>
      </c>
      <c r="G1651" s="643">
        <v>1260</v>
      </c>
      <c r="H1651" s="26">
        <v>0</v>
      </c>
      <c r="I1651" s="26">
        <f t="shared" si="172"/>
        <v>420</v>
      </c>
      <c r="J1651" s="1340" t="e">
        <f t="shared" si="169"/>
        <v>#DIV/0!</v>
      </c>
      <c r="K1651" s="1339">
        <f t="shared" si="170"/>
        <v>3.1372696655827402E-3</v>
      </c>
    </row>
    <row r="1652" spans="1:11" ht="15" x14ac:dyDescent="0.25">
      <c r="A1652" s="1341"/>
      <c r="B1652" s="624">
        <v>131500</v>
      </c>
      <c r="C1652" s="1344">
        <v>331909400000000</v>
      </c>
      <c r="D1652" s="624" t="s">
        <v>6481</v>
      </c>
      <c r="E1652" s="624">
        <v>40</v>
      </c>
      <c r="F1652" s="643">
        <v>790.84</v>
      </c>
      <c r="G1652" s="643">
        <v>0</v>
      </c>
      <c r="H1652" s="26">
        <v>0</v>
      </c>
      <c r="I1652" s="26">
        <f t="shared" si="172"/>
        <v>263.61333333333334</v>
      </c>
      <c r="J1652" s="1340" t="e">
        <f t="shared" si="169"/>
        <v>#DIV/0!</v>
      </c>
      <c r="K1652" s="1339">
        <f t="shared" si="170"/>
        <v>1.969109795499567E-3</v>
      </c>
    </row>
    <row r="1653" spans="1:11" ht="15" x14ac:dyDescent="0.25">
      <c r="A1653" s="1341"/>
      <c r="B1653" s="624">
        <v>131600</v>
      </c>
      <c r="C1653" s="1344">
        <v>333901400000000</v>
      </c>
      <c r="D1653" s="624" t="s">
        <v>5278</v>
      </c>
      <c r="E1653" s="624">
        <v>40</v>
      </c>
      <c r="F1653" s="643">
        <v>4564</v>
      </c>
      <c r="G1653" s="643">
        <v>772</v>
      </c>
      <c r="H1653" s="26">
        <v>0</v>
      </c>
      <c r="I1653" s="26">
        <f t="shared" si="172"/>
        <v>1778.6666666666667</v>
      </c>
      <c r="J1653" s="1340">
        <f t="shared" si="169"/>
        <v>0.16914986853637159</v>
      </c>
      <c r="K1653" s="1339">
        <f t="shared" si="170"/>
        <v>1.3286088044086906E-2</v>
      </c>
    </row>
    <row r="1654" spans="1:11" ht="15" x14ac:dyDescent="0.25">
      <c r="A1654" s="1341"/>
      <c r="B1654" s="624">
        <v>133100</v>
      </c>
      <c r="C1654" s="1344">
        <v>333901400000000</v>
      </c>
      <c r="D1654" s="624" t="s">
        <v>6483</v>
      </c>
      <c r="E1654" s="624">
        <v>40</v>
      </c>
      <c r="F1654" s="643">
        <v>0</v>
      </c>
      <c r="G1654" s="643">
        <v>0</v>
      </c>
      <c r="H1654" s="26">
        <v>0</v>
      </c>
      <c r="I1654" s="26">
        <f t="shared" si="172"/>
        <v>0</v>
      </c>
      <c r="J1654" s="1340" t="e">
        <f t="shared" si="169"/>
        <v>#DIV/0!</v>
      </c>
      <c r="K1654" s="1339">
        <f t="shared" si="170"/>
        <v>0</v>
      </c>
    </row>
    <row r="1655" spans="1:11" ht="15" x14ac:dyDescent="0.25">
      <c r="A1655" s="1341"/>
      <c r="B1655" s="624">
        <v>131700</v>
      </c>
      <c r="C1655" s="1344">
        <v>333903000000000</v>
      </c>
      <c r="D1655" s="624" t="s">
        <v>5279</v>
      </c>
      <c r="E1655" s="624">
        <v>40</v>
      </c>
      <c r="F1655" s="643">
        <v>17576.97</v>
      </c>
      <c r="G1655" s="643">
        <v>15020.17</v>
      </c>
      <c r="H1655" s="26">
        <v>0</v>
      </c>
      <c r="I1655" s="26">
        <f t="shared" si="172"/>
        <v>10865.713333333333</v>
      </c>
      <c r="J1655" s="1340">
        <f t="shared" si="169"/>
        <v>0.85453693099550143</v>
      </c>
      <c r="K1655" s="1339">
        <f t="shared" si="170"/>
        <v>8.1163506751391876E-2</v>
      </c>
    </row>
    <row r="1656" spans="1:11" ht="15" x14ac:dyDescent="0.25">
      <c r="A1656" s="1341"/>
      <c r="B1656" s="624">
        <v>131800</v>
      </c>
      <c r="C1656" s="1344">
        <v>333903300000000</v>
      </c>
      <c r="D1656" s="624" t="s">
        <v>5280</v>
      </c>
      <c r="E1656" s="624">
        <v>40</v>
      </c>
      <c r="F1656" s="643">
        <v>70.349999999999994</v>
      </c>
      <c r="G1656" s="643">
        <v>783</v>
      </c>
      <c r="H1656" s="26">
        <v>0</v>
      </c>
      <c r="I1656" s="26">
        <f t="shared" si="172"/>
        <v>284.45</v>
      </c>
      <c r="J1656" s="1340">
        <f t="shared" si="169"/>
        <v>11.130063965884862</v>
      </c>
      <c r="K1656" s="1339">
        <f t="shared" si="170"/>
        <v>2.1247532294643105E-3</v>
      </c>
    </row>
    <row r="1657" spans="1:11" ht="15" x14ac:dyDescent="0.25">
      <c r="A1657" s="1341"/>
      <c r="B1657" s="624">
        <v>133130</v>
      </c>
      <c r="C1657" s="1344">
        <v>333903300000000</v>
      </c>
      <c r="D1657" s="624" t="s">
        <v>6484</v>
      </c>
      <c r="E1657" s="624">
        <v>40</v>
      </c>
      <c r="F1657" s="643">
        <v>0</v>
      </c>
      <c r="G1657" s="643">
        <v>0</v>
      </c>
      <c r="H1657" s="26">
        <v>0</v>
      </c>
      <c r="I1657" s="26">
        <f t="shared" si="172"/>
        <v>0</v>
      </c>
      <c r="J1657" s="1340" t="e">
        <f t="shared" si="169"/>
        <v>#DIV/0!</v>
      </c>
      <c r="K1657" s="1339">
        <f t="shared" si="170"/>
        <v>0</v>
      </c>
    </row>
    <row r="1658" spans="1:11" ht="15" x14ac:dyDescent="0.25">
      <c r="A1658" s="1341"/>
      <c r="B1658" s="624">
        <v>131900</v>
      </c>
      <c r="C1658" s="1344">
        <v>333903500000000</v>
      </c>
      <c r="D1658" s="624" t="s">
        <v>5281</v>
      </c>
      <c r="E1658" s="624">
        <v>40</v>
      </c>
      <c r="F1658" s="643">
        <v>0</v>
      </c>
      <c r="G1658" s="643">
        <v>0</v>
      </c>
      <c r="H1658" s="26">
        <v>0</v>
      </c>
      <c r="I1658" s="26">
        <f t="shared" si="172"/>
        <v>0</v>
      </c>
      <c r="J1658" s="1340" t="e">
        <f t="shared" si="169"/>
        <v>#DIV/0!</v>
      </c>
      <c r="K1658" s="1339">
        <f t="shared" si="170"/>
        <v>0</v>
      </c>
    </row>
    <row r="1659" spans="1:11" ht="15" x14ac:dyDescent="0.25">
      <c r="A1659" s="1341"/>
      <c r="B1659" s="624">
        <v>132000</v>
      </c>
      <c r="C1659" s="1344">
        <v>333903600000000</v>
      </c>
      <c r="D1659" s="624" t="s">
        <v>6474</v>
      </c>
      <c r="E1659" s="624">
        <v>40</v>
      </c>
      <c r="F1659" s="643">
        <v>0</v>
      </c>
      <c r="G1659" s="643">
        <v>0</v>
      </c>
      <c r="H1659" s="26">
        <v>0</v>
      </c>
      <c r="I1659" s="26">
        <f t="shared" si="172"/>
        <v>0</v>
      </c>
      <c r="J1659" s="1340" t="e">
        <f t="shared" si="169"/>
        <v>#DIV/0!</v>
      </c>
      <c r="K1659" s="1339">
        <f t="shared" si="170"/>
        <v>0</v>
      </c>
    </row>
    <row r="1660" spans="1:11" ht="15" x14ac:dyDescent="0.25">
      <c r="A1660" s="1341"/>
      <c r="B1660" s="624">
        <v>133160</v>
      </c>
      <c r="C1660" s="1344">
        <v>333903600000000</v>
      </c>
      <c r="D1660" s="624" t="s">
        <v>6485</v>
      </c>
      <c r="E1660" s="624">
        <v>40</v>
      </c>
      <c r="F1660" s="643">
        <v>0</v>
      </c>
      <c r="G1660" s="643">
        <v>0</v>
      </c>
      <c r="H1660" s="26">
        <v>0</v>
      </c>
      <c r="I1660" s="26">
        <f t="shared" si="172"/>
        <v>0</v>
      </c>
      <c r="J1660" s="1340" t="e">
        <f t="shared" si="169"/>
        <v>#DIV/0!</v>
      </c>
      <c r="K1660" s="1339">
        <f t="shared" si="170"/>
        <v>0</v>
      </c>
    </row>
    <row r="1661" spans="1:11" ht="15" x14ac:dyDescent="0.25">
      <c r="A1661" s="1341"/>
      <c r="B1661" s="624">
        <v>133190</v>
      </c>
      <c r="C1661" s="1344">
        <v>333903600000000</v>
      </c>
      <c r="D1661" s="624" t="s">
        <v>7407</v>
      </c>
      <c r="E1661" s="624">
        <v>40</v>
      </c>
      <c r="F1661" s="643">
        <v>0</v>
      </c>
      <c r="G1661" s="643">
        <v>0</v>
      </c>
      <c r="H1661" s="26">
        <v>0</v>
      </c>
      <c r="I1661" s="26">
        <f t="shared" si="172"/>
        <v>0</v>
      </c>
      <c r="J1661" s="1340" t="e">
        <f t="shared" si="169"/>
        <v>#DIV/0!</v>
      </c>
      <c r="K1661" s="1339">
        <f t="shared" si="170"/>
        <v>0</v>
      </c>
    </row>
    <row r="1662" spans="1:11" ht="15" x14ac:dyDescent="0.25">
      <c r="A1662" s="1341"/>
      <c r="B1662" s="624">
        <v>132100</v>
      </c>
      <c r="C1662" s="1344">
        <v>333903900000000</v>
      </c>
      <c r="D1662" s="624" t="s">
        <v>6475</v>
      </c>
      <c r="E1662" s="624">
        <v>40</v>
      </c>
      <c r="F1662" s="643">
        <v>30867.97</v>
      </c>
      <c r="G1662" s="643">
        <v>33496.660000000003</v>
      </c>
      <c r="H1662" s="26">
        <v>0</v>
      </c>
      <c r="I1662" s="26">
        <f t="shared" si="172"/>
        <v>21454.876666666667</v>
      </c>
      <c r="J1662" s="1340">
        <f t="shared" si="169"/>
        <v>1.08515914716776</v>
      </c>
      <c r="K1662" s="1339">
        <f t="shared" si="170"/>
        <v>0.16026127082179112</v>
      </c>
    </row>
    <row r="1663" spans="1:11" ht="15" x14ac:dyDescent="0.25">
      <c r="A1663" s="1341"/>
      <c r="B1663" s="624">
        <v>133250</v>
      </c>
      <c r="C1663" s="1344">
        <v>333903900000000</v>
      </c>
      <c r="D1663" s="624" t="s">
        <v>7406</v>
      </c>
      <c r="E1663" s="624">
        <v>40</v>
      </c>
      <c r="F1663" s="643">
        <v>0</v>
      </c>
      <c r="G1663" s="643">
        <v>0</v>
      </c>
      <c r="H1663" s="26">
        <v>0</v>
      </c>
      <c r="I1663" s="26">
        <f t="shared" si="172"/>
        <v>0</v>
      </c>
      <c r="J1663" s="1340" t="e">
        <f t="shared" si="169"/>
        <v>#DIV/0!</v>
      </c>
      <c r="K1663" s="1339">
        <f t="shared" si="170"/>
        <v>0</v>
      </c>
    </row>
    <row r="1664" spans="1:11" ht="15" x14ac:dyDescent="0.25">
      <c r="A1664" s="1341"/>
      <c r="B1664" s="624">
        <v>133000</v>
      </c>
      <c r="C1664" s="1344">
        <v>333904000000000</v>
      </c>
      <c r="D1664" s="624" t="s">
        <v>5979</v>
      </c>
      <c r="E1664" s="624">
        <v>40</v>
      </c>
      <c r="F1664" s="643">
        <v>0</v>
      </c>
      <c r="G1664" s="643">
        <v>0</v>
      </c>
      <c r="H1664" s="26">
        <v>0</v>
      </c>
      <c r="I1664" s="26">
        <f t="shared" si="172"/>
        <v>0</v>
      </c>
      <c r="J1664" s="1340" t="e">
        <f t="shared" si="169"/>
        <v>#DIV/0!</v>
      </c>
      <c r="K1664" s="1339">
        <f t="shared" si="170"/>
        <v>0</v>
      </c>
    </row>
    <row r="1665" spans="1:11" ht="15" x14ac:dyDescent="0.25">
      <c r="A1665" s="1341"/>
      <c r="B1665" s="624">
        <v>132200</v>
      </c>
      <c r="C1665" s="1344">
        <v>333904600000000</v>
      </c>
      <c r="D1665" s="624" t="s">
        <v>5283</v>
      </c>
      <c r="E1665" s="624">
        <v>40</v>
      </c>
      <c r="F1665" s="643">
        <v>0</v>
      </c>
      <c r="G1665" s="643">
        <v>0</v>
      </c>
      <c r="H1665" s="26">
        <v>0</v>
      </c>
      <c r="I1665" s="26">
        <f t="shared" si="172"/>
        <v>0</v>
      </c>
      <c r="J1665" s="1340" t="e">
        <f t="shared" si="169"/>
        <v>#DIV/0!</v>
      </c>
      <c r="K1665" s="1339">
        <f t="shared" si="170"/>
        <v>0</v>
      </c>
    </row>
    <row r="1666" spans="1:11" ht="15" x14ac:dyDescent="0.25">
      <c r="A1666" s="1341"/>
      <c r="B1666" s="624">
        <v>132300</v>
      </c>
      <c r="C1666" s="1344">
        <v>333904700000000</v>
      </c>
      <c r="D1666" s="624" t="s">
        <v>5266</v>
      </c>
      <c r="E1666" s="624">
        <v>40</v>
      </c>
      <c r="F1666" s="643">
        <v>0</v>
      </c>
      <c r="G1666" s="643">
        <v>0</v>
      </c>
      <c r="H1666" s="26">
        <v>0</v>
      </c>
      <c r="I1666" s="26">
        <f t="shared" si="172"/>
        <v>0</v>
      </c>
      <c r="J1666" s="1340" t="e">
        <f t="shared" si="169"/>
        <v>#DIV/0!</v>
      </c>
      <c r="K1666" s="1339">
        <f t="shared" si="170"/>
        <v>0</v>
      </c>
    </row>
    <row r="1667" spans="1:11" ht="15" x14ac:dyDescent="0.25">
      <c r="A1667" s="1341"/>
      <c r="B1667" s="624">
        <v>132400</v>
      </c>
      <c r="C1667" s="1344">
        <v>333904900000000</v>
      </c>
      <c r="D1667" s="624" t="s">
        <v>5285</v>
      </c>
      <c r="E1667" s="624">
        <v>40</v>
      </c>
      <c r="F1667" s="643">
        <v>0</v>
      </c>
      <c r="G1667" s="643">
        <v>0</v>
      </c>
      <c r="H1667" s="26">
        <v>0</v>
      </c>
      <c r="I1667" s="26">
        <f t="shared" si="172"/>
        <v>0</v>
      </c>
      <c r="J1667" s="1340" t="e">
        <f t="shared" si="169"/>
        <v>#DIV/0!</v>
      </c>
      <c r="K1667" s="1339">
        <f t="shared" si="170"/>
        <v>0</v>
      </c>
    </row>
    <row r="1668" spans="1:11" ht="15" x14ac:dyDescent="0.25">
      <c r="A1668" s="1341"/>
      <c r="B1668" s="624">
        <v>132500</v>
      </c>
      <c r="C1668" s="1344">
        <v>333909200000000</v>
      </c>
      <c r="D1668" s="624" t="s">
        <v>5286</v>
      </c>
      <c r="E1668" s="624">
        <v>40</v>
      </c>
      <c r="F1668" s="643">
        <v>0</v>
      </c>
      <c r="G1668" s="643">
        <v>0</v>
      </c>
      <c r="H1668" s="26">
        <v>0</v>
      </c>
      <c r="I1668" s="26">
        <f t="shared" si="172"/>
        <v>0</v>
      </c>
      <c r="J1668" s="1340" t="e">
        <f t="shared" si="169"/>
        <v>#DIV/0!</v>
      </c>
      <c r="K1668" s="1339">
        <f t="shared" si="170"/>
        <v>0</v>
      </c>
    </row>
    <row r="1669" spans="1:11" ht="15" x14ac:dyDescent="0.25">
      <c r="A1669" s="1341"/>
      <c r="B1669" s="624">
        <v>132600</v>
      </c>
      <c r="C1669" s="1344">
        <v>333909300000000</v>
      </c>
      <c r="D1669" s="624" t="s">
        <v>5287</v>
      </c>
      <c r="E1669" s="624">
        <v>40</v>
      </c>
      <c r="F1669" s="643">
        <v>0</v>
      </c>
      <c r="G1669" s="643">
        <v>0</v>
      </c>
      <c r="H1669" s="26">
        <v>0</v>
      </c>
      <c r="I1669" s="26">
        <f t="shared" si="172"/>
        <v>0</v>
      </c>
      <c r="J1669" s="1340" t="e">
        <f t="shared" si="169"/>
        <v>#DIV/0!</v>
      </c>
      <c r="K1669" s="1339">
        <f t="shared" si="170"/>
        <v>0</v>
      </c>
    </row>
    <row r="1670" spans="1:11" ht="15" x14ac:dyDescent="0.25">
      <c r="A1670" s="1341"/>
      <c r="B1670" s="624">
        <v>132700</v>
      </c>
      <c r="C1670" s="1344">
        <v>333933000000000</v>
      </c>
      <c r="D1670" s="624" t="s">
        <v>5288</v>
      </c>
      <c r="E1670" s="624">
        <v>40</v>
      </c>
      <c r="F1670" s="643">
        <v>0</v>
      </c>
      <c r="G1670" s="643">
        <v>0</v>
      </c>
      <c r="H1670" s="26">
        <v>0</v>
      </c>
      <c r="I1670" s="26">
        <f t="shared" si="172"/>
        <v>0</v>
      </c>
      <c r="J1670" s="1340" t="e">
        <f t="shared" ref="J1670:J1690" si="173">(G1670/F1670)+(H1670/G1670)/2</f>
        <v>#DIV/0!</v>
      </c>
      <c r="K1670" s="1339">
        <f t="shared" ref="K1670:K1689" si="174">I1670/I$1690</f>
        <v>0</v>
      </c>
    </row>
    <row r="1671" spans="1:11" ht="15" x14ac:dyDescent="0.25">
      <c r="A1671" s="1341"/>
      <c r="B1671" s="624">
        <v>132800</v>
      </c>
      <c r="C1671" s="1344">
        <v>344905100000000</v>
      </c>
      <c r="D1671" s="624" t="s">
        <v>5270</v>
      </c>
      <c r="E1671" s="624">
        <v>40</v>
      </c>
      <c r="F1671" s="643">
        <v>0</v>
      </c>
      <c r="G1671" s="643">
        <v>0</v>
      </c>
      <c r="H1671" s="26">
        <v>0</v>
      </c>
      <c r="I1671" s="26">
        <f t="shared" si="172"/>
        <v>0</v>
      </c>
      <c r="J1671" s="1340" t="e">
        <f t="shared" si="173"/>
        <v>#DIV/0!</v>
      </c>
      <c r="K1671" s="1339">
        <f t="shared" si="174"/>
        <v>0</v>
      </c>
    </row>
    <row r="1672" spans="1:11" ht="15" x14ac:dyDescent="0.25">
      <c r="A1672" s="1341"/>
      <c r="B1672" s="624">
        <v>132900</v>
      </c>
      <c r="C1672" s="1344">
        <v>344905200000000</v>
      </c>
      <c r="D1672" s="624" t="s">
        <v>5271</v>
      </c>
      <c r="E1672" s="624">
        <v>40</v>
      </c>
      <c r="F1672" s="643">
        <v>0</v>
      </c>
      <c r="G1672" s="643">
        <v>0</v>
      </c>
      <c r="H1672" s="26">
        <v>0</v>
      </c>
      <c r="I1672" s="26">
        <f t="shared" si="172"/>
        <v>0</v>
      </c>
      <c r="J1672" s="1340" t="e">
        <f t="shared" si="173"/>
        <v>#DIV/0!</v>
      </c>
      <c r="K1672" s="1339">
        <f t="shared" si="174"/>
        <v>0</v>
      </c>
    </row>
    <row r="1673" spans="1:11" s="12" customFormat="1" ht="15" x14ac:dyDescent="0.25">
      <c r="A1673" s="1081"/>
      <c r="B1673" s="570" t="s">
        <v>2965</v>
      </c>
      <c r="C1673" s="1345">
        <v>45</v>
      </c>
      <c r="D1673" s="570" t="s">
        <v>5251</v>
      </c>
      <c r="E1673" s="570"/>
      <c r="F1673" s="642">
        <f>SUM(F1674:F1689)</f>
        <v>0</v>
      </c>
      <c r="G1673" s="642">
        <f>SUM(G1674:G1689)</f>
        <v>20</v>
      </c>
      <c r="H1673" s="642">
        <f>SUM(H1674:H1689)</f>
        <v>0</v>
      </c>
      <c r="I1673" s="642">
        <f>SUM(I1674:I1689)</f>
        <v>6.666666666666667</v>
      </c>
      <c r="J1673" s="1338" t="e">
        <f t="shared" si="173"/>
        <v>#DIV/0!</v>
      </c>
      <c r="K1673" s="1337">
        <f t="shared" si="174"/>
        <v>4.9797931199726037E-5</v>
      </c>
    </row>
    <row r="1674" spans="1:11" ht="15" x14ac:dyDescent="0.25">
      <c r="A1674" s="1341"/>
      <c r="B1674" s="624">
        <v>133300</v>
      </c>
      <c r="C1674" s="1344">
        <v>333901400000000</v>
      </c>
      <c r="D1674" s="624" t="s">
        <v>5256</v>
      </c>
      <c r="E1674" s="624">
        <v>40</v>
      </c>
      <c r="F1674" s="643">
        <v>0</v>
      </c>
      <c r="G1674" s="643">
        <v>0</v>
      </c>
      <c r="H1674" s="26">
        <v>0</v>
      </c>
      <c r="I1674" s="26">
        <f t="shared" ref="I1674:I1689" si="175">(F1674+G1674+H1674)/3</f>
        <v>0</v>
      </c>
      <c r="J1674" s="1340" t="e">
        <f t="shared" si="173"/>
        <v>#DIV/0!</v>
      </c>
      <c r="K1674" s="1339">
        <f t="shared" si="174"/>
        <v>0</v>
      </c>
    </row>
    <row r="1675" spans="1:11" ht="15" x14ac:dyDescent="0.25">
      <c r="A1675" s="1341"/>
      <c r="B1675" s="624">
        <v>133550</v>
      </c>
      <c r="C1675" s="1344">
        <v>333901400000000</v>
      </c>
      <c r="D1675" s="624" t="s">
        <v>7405</v>
      </c>
      <c r="E1675" s="624">
        <v>40</v>
      </c>
      <c r="F1675" s="643">
        <v>0</v>
      </c>
      <c r="G1675" s="643">
        <v>0</v>
      </c>
      <c r="H1675" s="26">
        <v>0</v>
      </c>
      <c r="I1675" s="26">
        <f t="shared" si="175"/>
        <v>0</v>
      </c>
      <c r="J1675" s="1340" t="e">
        <f t="shared" si="173"/>
        <v>#DIV/0!</v>
      </c>
      <c r="K1675" s="1339">
        <f t="shared" si="174"/>
        <v>0</v>
      </c>
    </row>
    <row r="1676" spans="1:11" ht="15" x14ac:dyDescent="0.25">
      <c r="A1676" s="1341"/>
      <c r="B1676" s="624">
        <v>133320</v>
      </c>
      <c r="C1676" s="1344">
        <v>333903000000000</v>
      </c>
      <c r="D1676" s="624" t="s">
        <v>5257</v>
      </c>
      <c r="E1676" s="624">
        <v>40</v>
      </c>
      <c r="F1676" s="643">
        <v>0</v>
      </c>
      <c r="G1676" s="643">
        <v>0</v>
      </c>
      <c r="H1676" s="26">
        <v>0</v>
      </c>
      <c r="I1676" s="26">
        <f t="shared" si="175"/>
        <v>0</v>
      </c>
      <c r="J1676" s="1340" t="e">
        <f t="shared" si="173"/>
        <v>#DIV/0!</v>
      </c>
      <c r="K1676" s="1339">
        <f t="shared" si="174"/>
        <v>0</v>
      </c>
    </row>
    <row r="1677" spans="1:11" ht="15" x14ac:dyDescent="0.25">
      <c r="A1677" s="1341"/>
      <c r="B1677" s="624">
        <v>133340</v>
      </c>
      <c r="C1677" s="1344">
        <v>333903300000000</v>
      </c>
      <c r="D1677" s="624" t="s">
        <v>7404</v>
      </c>
      <c r="E1677" s="624">
        <v>40</v>
      </c>
      <c r="F1677" s="643">
        <v>0</v>
      </c>
      <c r="G1677" s="643">
        <v>0</v>
      </c>
      <c r="H1677" s="26">
        <v>0</v>
      </c>
      <c r="I1677" s="26">
        <f t="shared" si="175"/>
        <v>0</v>
      </c>
      <c r="J1677" s="1340" t="e">
        <f t="shared" si="173"/>
        <v>#DIV/0!</v>
      </c>
      <c r="K1677" s="1339">
        <f t="shared" si="174"/>
        <v>0</v>
      </c>
    </row>
    <row r="1678" spans="1:11" ht="15" x14ac:dyDescent="0.25">
      <c r="A1678" s="1341"/>
      <c r="B1678" s="624">
        <v>133570</v>
      </c>
      <c r="C1678" s="1344">
        <v>333903300000000</v>
      </c>
      <c r="D1678" s="624" t="s">
        <v>6493</v>
      </c>
      <c r="E1678" s="624">
        <v>40</v>
      </c>
      <c r="F1678" s="643">
        <v>0</v>
      </c>
      <c r="G1678" s="643">
        <v>0</v>
      </c>
      <c r="H1678" s="26">
        <v>0</v>
      </c>
      <c r="I1678" s="26">
        <f t="shared" si="175"/>
        <v>0</v>
      </c>
      <c r="J1678" s="1340" t="e">
        <f t="shared" si="173"/>
        <v>#DIV/0!</v>
      </c>
      <c r="K1678" s="1339">
        <f t="shared" si="174"/>
        <v>0</v>
      </c>
    </row>
    <row r="1679" spans="1:11" ht="15" x14ac:dyDescent="0.25">
      <c r="A1679" s="1341"/>
      <c r="B1679" s="624">
        <v>133360</v>
      </c>
      <c r="C1679" s="1344">
        <v>333903500000000</v>
      </c>
      <c r="D1679" s="624" t="s">
        <v>5260</v>
      </c>
      <c r="E1679" s="624">
        <v>40</v>
      </c>
      <c r="F1679" s="643">
        <v>0</v>
      </c>
      <c r="G1679" s="643">
        <v>0</v>
      </c>
      <c r="H1679" s="26">
        <v>0</v>
      </c>
      <c r="I1679" s="26">
        <f t="shared" si="175"/>
        <v>0</v>
      </c>
      <c r="J1679" s="1340" t="e">
        <f t="shared" si="173"/>
        <v>#DIV/0!</v>
      </c>
      <c r="K1679" s="1339">
        <f t="shared" si="174"/>
        <v>0</v>
      </c>
    </row>
    <row r="1680" spans="1:11" ht="15" x14ac:dyDescent="0.25">
      <c r="A1680" s="1341"/>
      <c r="B1680" s="624">
        <v>133380</v>
      </c>
      <c r="C1680" s="1344">
        <v>333903600000000</v>
      </c>
      <c r="D1680" s="624" t="s">
        <v>6489</v>
      </c>
      <c r="E1680" s="624">
        <v>40</v>
      </c>
      <c r="F1680" s="643">
        <v>0</v>
      </c>
      <c r="G1680" s="643">
        <v>0</v>
      </c>
      <c r="H1680" s="26">
        <v>0</v>
      </c>
      <c r="I1680" s="26">
        <f t="shared" si="175"/>
        <v>0</v>
      </c>
      <c r="J1680" s="1340" t="e">
        <f t="shared" si="173"/>
        <v>#DIV/0!</v>
      </c>
      <c r="K1680" s="1339">
        <f t="shared" si="174"/>
        <v>0</v>
      </c>
    </row>
    <row r="1681" spans="1:11" ht="15" x14ac:dyDescent="0.25">
      <c r="A1681" s="1341"/>
      <c r="B1681" s="624">
        <v>133590</v>
      </c>
      <c r="C1681" s="1344">
        <v>333903600000000</v>
      </c>
      <c r="D1681" s="624" t="s">
        <v>6496</v>
      </c>
      <c r="E1681" s="624">
        <v>40</v>
      </c>
      <c r="F1681" s="643">
        <v>0</v>
      </c>
      <c r="G1681" s="643">
        <v>0</v>
      </c>
      <c r="H1681" s="26">
        <v>0</v>
      </c>
      <c r="I1681" s="26">
        <f t="shared" si="175"/>
        <v>0</v>
      </c>
      <c r="J1681" s="1340" t="e">
        <f t="shared" si="173"/>
        <v>#DIV/0!</v>
      </c>
      <c r="K1681" s="1339">
        <f t="shared" si="174"/>
        <v>0</v>
      </c>
    </row>
    <row r="1682" spans="1:11" ht="15" x14ac:dyDescent="0.25">
      <c r="A1682" s="1341"/>
      <c r="B1682" s="624">
        <v>133400</v>
      </c>
      <c r="C1682" s="1344">
        <v>333903900000000</v>
      </c>
      <c r="D1682" s="624" t="s">
        <v>6490</v>
      </c>
      <c r="E1682" s="624">
        <v>40</v>
      </c>
      <c r="F1682" s="643">
        <v>0</v>
      </c>
      <c r="G1682" s="643">
        <v>0</v>
      </c>
      <c r="H1682" s="26">
        <v>0</v>
      </c>
      <c r="I1682" s="26">
        <f t="shared" si="175"/>
        <v>0</v>
      </c>
      <c r="J1682" s="1340" t="e">
        <f t="shared" si="173"/>
        <v>#DIV/0!</v>
      </c>
      <c r="K1682" s="1339">
        <f t="shared" si="174"/>
        <v>0</v>
      </c>
    </row>
    <row r="1683" spans="1:11" ht="15" x14ac:dyDescent="0.25">
      <c r="A1683" s="1341"/>
      <c r="B1683" s="624">
        <v>133610</v>
      </c>
      <c r="C1683" s="1344">
        <v>333903900000000</v>
      </c>
      <c r="D1683" s="624" t="s">
        <v>7403</v>
      </c>
      <c r="E1683" s="624">
        <v>40</v>
      </c>
      <c r="F1683" s="643">
        <v>0</v>
      </c>
      <c r="G1683" s="643">
        <v>0</v>
      </c>
      <c r="H1683" s="26">
        <v>0</v>
      </c>
      <c r="I1683" s="26">
        <f t="shared" si="175"/>
        <v>0</v>
      </c>
      <c r="J1683" s="1340" t="e">
        <f t="shared" si="173"/>
        <v>#DIV/0!</v>
      </c>
      <c r="K1683" s="1339">
        <f t="shared" si="174"/>
        <v>0</v>
      </c>
    </row>
    <row r="1684" spans="1:11" ht="15" x14ac:dyDescent="0.25">
      <c r="A1684" s="1341"/>
      <c r="B1684" s="624">
        <v>133500</v>
      </c>
      <c r="C1684" s="1344">
        <v>333904000000000</v>
      </c>
      <c r="D1684" s="624" t="s">
        <v>7402</v>
      </c>
      <c r="E1684" s="624">
        <v>40</v>
      </c>
      <c r="F1684" s="643">
        <v>0</v>
      </c>
      <c r="G1684" s="643">
        <v>0</v>
      </c>
      <c r="H1684" s="26">
        <v>0</v>
      </c>
      <c r="I1684" s="26">
        <f t="shared" si="175"/>
        <v>0</v>
      </c>
      <c r="J1684" s="1340" t="e">
        <f t="shared" si="173"/>
        <v>#DIV/0!</v>
      </c>
      <c r="K1684" s="1339">
        <f t="shared" si="174"/>
        <v>0</v>
      </c>
    </row>
    <row r="1685" spans="1:11" ht="15" x14ac:dyDescent="0.25">
      <c r="A1685" s="1341"/>
      <c r="B1685" s="624">
        <v>133420</v>
      </c>
      <c r="C1685" s="1344">
        <v>333904700000000</v>
      </c>
      <c r="D1685" s="624" t="s">
        <v>7401</v>
      </c>
      <c r="E1685" s="624">
        <v>40</v>
      </c>
      <c r="F1685" s="643">
        <v>0</v>
      </c>
      <c r="G1685" s="643">
        <v>0</v>
      </c>
      <c r="H1685" s="26">
        <v>0</v>
      </c>
      <c r="I1685" s="26">
        <f t="shared" si="175"/>
        <v>0</v>
      </c>
      <c r="J1685" s="1340" t="e">
        <f t="shared" si="173"/>
        <v>#DIV/0!</v>
      </c>
      <c r="K1685" s="1339">
        <f t="shared" si="174"/>
        <v>0</v>
      </c>
    </row>
    <row r="1686" spans="1:11" ht="15" x14ac:dyDescent="0.25">
      <c r="A1686" s="1341"/>
      <c r="B1686" s="624">
        <v>133630</v>
      </c>
      <c r="C1686" s="1344">
        <v>333904700000000</v>
      </c>
      <c r="D1686" s="624" t="s">
        <v>6494</v>
      </c>
      <c r="E1686" s="624">
        <v>40</v>
      </c>
      <c r="F1686" s="643">
        <v>0</v>
      </c>
      <c r="G1686" s="643">
        <v>0</v>
      </c>
      <c r="H1686" s="26">
        <v>0</v>
      </c>
      <c r="I1686" s="26">
        <f t="shared" si="175"/>
        <v>0</v>
      </c>
      <c r="J1686" s="1340" t="e">
        <f t="shared" si="173"/>
        <v>#DIV/0!</v>
      </c>
      <c r="K1686" s="1339">
        <f t="shared" si="174"/>
        <v>0</v>
      </c>
    </row>
    <row r="1687" spans="1:11" ht="15" x14ac:dyDescent="0.25">
      <c r="A1687" s="1341"/>
      <c r="B1687" s="624">
        <v>133440</v>
      </c>
      <c r="C1687" s="1344">
        <v>333909300000000</v>
      </c>
      <c r="D1687" s="624" t="s">
        <v>5263</v>
      </c>
      <c r="E1687" s="624">
        <v>40</v>
      </c>
      <c r="F1687" s="643">
        <v>0</v>
      </c>
      <c r="G1687" s="643">
        <v>20</v>
      </c>
      <c r="H1687" s="26">
        <v>0</v>
      </c>
      <c r="I1687" s="26">
        <f t="shared" si="175"/>
        <v>6.666666666666667</v>
      </c>
      <c r="J1687" s="1340" t="e">
        <f t="shared" si="173"/>
        <v>#DIV/0!</v>
      </c>
      <c r="K1687" s="1339">
        <f t="shared" si="174"/>
        <v>4.9797931199726037E-5</v>
      </c>
    </row>
    <row r="1688" spans="1:11" ht="15" x14ac:dyDescent="0.25">
      <c r="A1688" s="1341"/>
      <c r="B1688" s="624">
        <v>133460</v>
      </c>
      <c r="C1688" s="1344">
        <v>344905100000000</v>
      </c>
      <c r="D1688" s="624" t="s">
        <v>5264</v>
      </c>
      <c r="E1688" s="624">
        <v>40</v>
      </c>
      <c r="F1688" s="643">
        <v>0</v>
      </c>
      <c r="G1688" s="643">
        <v>0</v>
      </c>
      <c r="H1688" s="26">
        <v>0</v>
      </c>
      <c r="I1688" s="26">
        <f t="shared" si="175"/>
        <v>0</v>
      </c>
      <c r="J1688" s="1340" t="e">
        <f t="shared" si="173"/>
        <v>#DIV/0!</v>
      </c>
      <c r="K1688" s="1339">
        <f t="shared" si="174"/>
        <v>0</v>
      </c>
    </row>
    <row r="1689" spans="1:11" ht="15" x14ac:dyDescent="0.25">
      <c r="A1689" s="1341"/>
      <c r="B1689" s="624">
        <v>133480</v>
      </c>
      <c r="C1689" s="1344">
        <v>344905200000000</v>
      </c>
      <c r="D1689" s="624" t="s">
        <v>6491</v>
      </c>
      <c r="E1689" s="624">
        <v>40</v>
      </c>
      <c r="F1689" s="643">
        <v>0</v>
      </c>
      <c r="G1689" s="643">
        <v>0</v>
      </c>
      <c r="H1689" s="26">
        <v>0</v>
      </c>
      <c r="I1689" s="26">
        <f t="shared" si="175"/>
        <v>0</v>
      </c>
      <c r="J1689" s="1340" t="e">
        <f t="shared" si="173"/>
        <v>#DIV/0!</v>
      </c>
      <c r="K1689" s="1339">
        <f t="shared" si="174"/>
        <v>0</v>
      </c>
    </row>
    <row r="1690" spans="1:11" ht="15" x14ac:dyDescent="0.25">
      <c r="B1690" s="1598" t="s">
        <v>1575</v>
      </c>
      <c r="C1690" s="1598"/>
      <c r="D1690" s="1598"/>
      <c r="E1690" s="1598"/>
      <c r="F1690" s="25">
        <f>F1638+F1645</f>
        <v>201643.54</v>
      </c>
      <c r="G1690" s="25">
        <f>G1638+G1645</f>
        <v>199979.57</v>
      </c>
      <c r="H1690" s="25">
        <f>H1638+H1645</f>
        <v>0</v>
      </c>
      <c r="I1690" s="25">
        <f>I1638+I1645</f>
        <v>133874.37</v>
      </c>
      <c r="J1690" s="1338">
        <f t="shared" si="173"/>
        <v>0.99174796276637478</v>
      </c>
      <c r="K1690" s="1337" t="e">
        <f>I1690/I$1436</f>
        <v>#DIV/0!</v>
      </c>
    </row>
    <row r="1692" spans="1:11" ht="15" x14ac:dyDescent="0.25">
      <c r="B1692" s="616" t="s">
        <v>7400</v>
      </c>
    </row>
    <row r="1693" spans="1:11" ht="45" customHeight="1" x14ac:dyDescent="0.25">
      <c r="B1693" s="1343" t="s">
        <v>2967</v>
      </c>
      <c r="C1693" s="1343" t="s">
        <v>472</v>
      </c>
      <c r="D1693" s="1343" t="s">
        <v>2968</v>
      </c>
      <c r="E1693" s="1343" t="s">
        <v>1403</v>
      </c>
      <c r="F1693" s="1081">
        <v>2017</v>
      </c>
      <c r="G1693" s="1081">
        <f>F1693+1</f>
        <v>2018</v>
      </c>
      <c r="H1693" s="1081">
        <f>G1693+1</f>
        <v>2019</v>
      </c>
      <c r="I1693" s="1082" t="s">
        <v>7336</v>
      </c>
      <c r="J1693" s="1342" t="s">
        <v>7335</v>
      </c>
      <c r="K1693" s="1342" t="s">
        <v>7334</v>
      </c>
    </row>
    <row r="1694" spans="1:11" s="12" customFormat="1" ht="15" x14ac:dyDescent="0.25">
      <c r="A1694" s="1081"/>
      <c r="B1694" s="570" t="s">
        <v>2950</v>
      </c>
      <c r="C1694" s="1345" t="s">
        <v>7379</v>
      </c>
      <c r="D1694" s="570" t="s">
        <v>7378</v>
      </c>
      <c r="E1694" s="570"/>
      <c r="F1694" s="642">
        <f>SUM(F1695:F1700)</f>
        <v>0</v>
      </c>
      <c r="G1694" s="642">
        <f>SUM(G1695:G1700)</f>
        <v>0</v>
      </c>
      <c r="H1694" s="642">
        <f>SUM(H1695:H1700)</f>
        <v>0</v>
      </c>
      <c r="I1694" s="642">
        <f>SUM(I1695:I1700)</f>
        <v>0</v>
      </c>
      <c r="J1694" s="1338" t="e">
        <f t="shared" ref="J1694:J1725" si="176">(G1694/F1694)+(H1694/G1694)/2</f>
        <v>#DIV/0!</v>
      </c>
      <c r="K1694" s="1337">
        <f t="shared" ref="K1694:K1725" si="177">I1694/I$1880</f>
        <v>0</v>
      </c>
    </row>
    <row r="1695" spans="1:11" ht="15" x14ac:dyDescent="0.25">
      <c r="A1695" s="1341"/>
      <c r="B1695" s="624">
        <v>134000</v>
      </c>
      <c r="C1695" s="1344">
        <v>333904700000000</v>
      </c>
      <c r="D1695" s="624" t="s">
        <v>6497</v>
      </c>
      <c r="E1695" s="624">
        <v>40</v>
      </c>
      <c r="F1695" s="643">
        <v>0</v>
      </c>
      <c r="G1695" s="643">
        <v>0</v>
      </c>
      <c r="H1695" s="26">
        <v>0</v>
      </c>
      <c r="I1695" s="26">
        <f t="shared" ref="I1695:I1700" si="178">(F1695+G1695+H1695)/3</f>
        <v>0</v>
      </c>
      <c r="J1695" s="1340" t="e">
        <f t="shared" si="176"/>
        <v>#DIV/0!</v>
      </c>
      <c r="K1695" s="1339">
        <f t="shared" si="177"/>
        <v>0</v>
      </c>
    </row>
    <row r="1696" spans="1:11" ht="15" x14ac:dyDescent="0.25">
      <c r="A1696" s="1341"/>
      <c r="B1696" s="624">
        <v>134020</v>
      </c>
      <c r="C1696" s="1344">
        <v>344903000000000</v>
      </c>
      <c r="D1696" s="624" t="s">
        <v>6498</v>
      </c>
      <c r="E1696" s="624">
        <v>40</v>
      </c>
      <c r="F1696" s="643">
        <v>0</v>
      </c>
      <c r="G1696" s="643">
        <v>0</v>
      </c>
      <c r="H1696" s="26">
        <v>0</v>
      </c>
      <c r="I1696" s="26">
        <f t="shared" si="178"/>
        <v>0</v>
      </c>
      <c r="J1696" s="1340" t="e">
        <f t="shared" si="176"/>
        <v>#DIV/0!</v>
      </c>
      <c r="K1696" s="1339">
        <f t="shared" si="177"/>
        <v>0</v>
      </c>
    </row>
    <row r="1697" spans="1:11" ht="15" x14ac:dyDescent="0.25">
      <c r="A1697" s="1341"/>
      <c r="B1697" s="624">
        <v>134040</v>
      </c>
      <c r="C1697" s="1344">
        <v>344903600000000</v>
      </c>
      <c r="D1697" s="624" t="s">
        <v>6499</v>
      </c>
      <c r="E1697" s="624">
        <v>40</v>
      </c>
      <c r="F1697" s="643">
        <v>0</v>
      </c>
      <c r="G1697" s="643">
        <v>0</v>
      </c>
      <c r="H1697" s="26">
        <v>0</v>
      </c>
      <c r="I1697" s="26">
        <f t="shared" si="178"/>
        <v>0</v>
      </c>
      <c r="J1697" s="1340" t="e">
        <f t="shared" si="176"/>
        <v>#DIV/0!</v>
      </c>
      <c r="K1697" s="1339">
        <f t="shared" si="177"/>
        <v>0</v>
      </c>
    </row>
    <row r="1698" spans="1:11" ht="15" x14ac:dyDescent="0.25">
      <c r="A1698" s="1341"/>
      <c r="B1698" s="624">
        <v>134060</v>
      </c>
      <c r="C1698" s="1344">
        <v>344903900000000</v>
      </c>
      <c r="D1698" s="624" t="s">
        <v>6500</v>
      </c>
      <c r="E1698" s="624">
        <v>40</v>
      </c>
      <c r="F1698" s="643">
        <v>0</v>
      </c>
      <c r="G1698" s="643">
        <v>0</v>
      </c>
      <c r="H1698" s="26">
        <v>0</v>
      </c>
      <c r="I1698" s="26">
        <f t="shared" si="178"/>
        <v>0</v>
      </c>
      <c r="J1698" s="1340" t="e">
        <f t="shared" si="176"/>
        <v>#DIV/0!</v>
      </c>
      <c r="K1698" s="1339">
        <f t="shared" si="177"/>
        <v>0</v>
      </c>
    </row>
    <row r="1699" spans="1:11" ht="15" x14ac:dyDescent="0.25">
      <c r="A1699" s="1341"/>
      <c r="B1699" s="624">
        <v>134080</v>
      </c>
      <c r="C1699" s="1344">
        <v>344905100000000</v>
      </c>
      <c r="D1699" s="624" t="s">
        <v>6501</v>
      </c>
      <c r="E1699" s="624">
        <v>40</v>
      </c>
      <c r="F1699" s="643">
        <v>0</v>
      </c>
      <c r="G1699" s="643">
        <v>0</v>
      </c>
      <c r="H1699" s="26">
        <v>0</v>
      </c>
      <c r="I1699" s="26">
        <f t="shared" si="178"/>
        <v>0</v>
      </c>
      <c r="J1699" s="1340" t="e">
        <f t="shared" si="176"/>
        <v>#DIV/0!</v>
      </c>
      <c r="K1699" s="1339">
        <f t="shared" si="177"/>
        <v>0</v>
      </c>
    </row>
    <row r="1700" spans="1:11" ht="15" x14ac:dyDescent="0.25">
      <c r="A1700" s="1341"/>
      <c r="B1700" s="624">
        <v>134100</v>
      </c>
      <c r="C1700" s="1344">
        <v>344905200000000</v>
      </c>
      <c r="D1700" s="624" t="s">
        <v>6502</v>
      </c>
      <c r="E1700" s="624">
        <v>40</v>
      </c>
      <c r="F1700" s="643">
        <v>0</v>
      </c>
      <c r="G1700" s="643">
        <v>0</v>
      </c>
      <c r="H1700" s="26">
        <v>0</v>
      </c>
      <c r="I1700" s="26">
        <f t="shared" si="178"/>
        <v>0</v>
      </c>
      <c r="J1700" s="1340" t="e">
        <f t="shared" si="176"/>
        <v>#DIV/0!</v>
      </c>
      <c r="K1700" s="1339">
        <f t="shared" si="177"/>
        <v>0</v>
      </c>
    </row>
    <row r="1701" spans="1:11" s="12" customFormat="1" ht="15" x14ac:dyDescent="0.25">
      <c r="A1701" s="1081"/>
      <c r="B1701" s="570" t="s">
        <v>2950</v>
      </c>
      <c r="C1701" s="1345" t="s">
        <v>7370</v>
      </c>
      <c r="D1701" s="570" t="s">
        <v>7369</v>
      </c>
      <c r="E1701" s="570"/>
      <c r="F1701" s="642">
        <f>SUM(F1702:F1707)</f>
        <v>0</v>
      </c>
      <c r="G1701" s="642">
        <f>SUM(G1702:G1707)</f>
        <v>0</v>
      </c>
      <c r="H1701" s="642">
        <f>SUM(H1702:H1707)</f>
        <v>0</v>
      </c>
      <c r="I1701" s="642">
        <f>SUM(I1702:I1707)</f>
        <v>0</v>
      </c>
      <c r="J1701" s="1338" t="e">
        <f t="shared" si="176"/>
        <v>#DIV/0!</v>
      </c>
      <c r="K1701" s="1337">
        <f t="shared" si="177"/>
        <v>0</v>
      </c>
    </row>
    <row r="1702" spans="1:11" ht="15" x14ac:dyDescent="0.25">
      <c r="A1702" s="1341"/>
      <c r="B1702" s="624">
        <v>134200</v>
      </c>
      <c r="C1702" s="1344">
        <v>333904700000000</v>
      </c>
      <c r="D1702" s="624" t="s">
        <v>6503</v>
      </c>
      <c r="E1702" s="624">
        <v>40</v>
      </c>
      <c r="F1702" s="643">
        <v>0</v>
      </c>
      <c r="G1702" s="643">
        <v>0</v>
      </c>
      <c r="H1702" s="26">
        <v>0</v>
      </c>
      <c r="I1702" s="26">
        <f t="shared" ref="I1702:I1707" si="179">(F1702+G1702+H1702)/3</f>
        <v>0</v>
      </c>
      <c r="J1702" s="1340" t="e">
        <f t="shared" si="176"/>
        <v>#DIV/0!</v>
      </c>
      <c r="K1702" s="1339">
        <f t="shared" si="177"/>
        <v>0</v>
      </c>
    </row>
    <row r="1703" spans="1:11" ht="15" x14ac:dyDescent="0.25">
      <c r="A1703" s="1341"/>
      <c r="B1703" s="624">
        <v>134220</v>
      </c>
      <c r="C1703" s="1344">
        <v>344903000000000</v>
      </c>
      <c r="D1703" s="624" t="s">
        <v>6504</v>
      </c>
      <c r="E1703" s="624">
        <v>40</v>
      </c>
      <c r="F1703" s="643">
        <v>0</v>
      </c>
      <c r="G1703" s="643">
        <v>0</v>
      </c>
      <c r="H1703" s="26">
        <v>0</v>
      </c>
      <c r="I1703" s="26">
        <f t="shared" si="179"/>
        <v>0</v>
      </c>
      <c r="J1703" s="1340" t="e">
        <f t="shared" si="176"/>
        <v>#DIV/0!</v>
      </c>
      <c r="K1703" s="1339">
        <f t="shared" si="177"/>
        <v>0</v>
      </c>
    </row>
    <row r="1704" spans="1:11" ht="15" x14ac:dyDescent="0.25">
      <c r="A1704" s="1341"/>
      <c r="B1704" s="624">
        <v>134240</v>
      </c>
      <c r="C1704" s="1344">
        <v>344903600000000</v>
      </c>
      <c r="D1704" s="624" t="s">
        <v>6505</v>
      </c>
      <c r="E1704" s="624">
        <v>40</v>
      </c>
      <c r="F1704" s="643">
        <v>0</v>
      </c>
      <c r="G1704" s="643">
        <v>0</v>
      </c>
      <c r="H1704" s="26">
        <v>0</v>
      </c>
      <c r="I1704" s="26">
        <f t="shared" si="179"/>
        <v>0</v>
      </c>
      <c r="J1704" s="1340" t="e">
        <f t="shared" si="176"/>
        <v>#DIV/0!</v>
      </c>
      <c r="K1704" s="1339">
        <f t="shared" si="177"/>
        <v>0</v>
      </c>
    </row>
    <row r="1705" spans="1:11" ht="15" x14ac:dyDescent="0.25">
      <c r="A1705" s="1341"/>
      <c r="B1705" s="624">
        <v>134260</v>
      </c>
      <c r="C1705" s="1344">
        <v>344903900000000</v>
      </c>
      <c r="D1705" s="624" t="s">
        <v>6506</v>
      </c>
      <c r="E1705" s="624">
        <v>40</v>
      </c>
      <c r="F1705" s="643">
        <v>0</v>
      </c>
      <c r="G1705" s="643">
        <v>0</v>
      </c>
      <c r="H1705" s="26">
        <v>0</v>
      </c>
      <c r="I1705" s="26">
        <f t="shared" si="179"/>
        <v>0</v>
      </c>
      <c r="J1705" s="1340" t="e">
        <f t="shared" si="176"/>
        <v>#DIV/0!</v>
      </c>
      <c r="K1705" s="1339">
        <f t="shared" si="177"/>
        <v>0</v>
      </c>
    </row>
    <row r="1706" spans="1:11" ht="15" x14ac:dyDescent="0.25">
      <c r="A1706" s="1341"/>
      <c r="B1706" s="624">
        <v>134280</v>
      </c>
      <c r="C1706" s="1344">
        <v>344905100000000</v>
      </c>
      <c r="D1706" s="624" t="s">
        <v>6507</v>
      </c>
      <c r="E1706" s="624">
        <v>40</v>
      </c>
      <c r="F1706" s="643">
        <v>0</v>
      </c>
      <c r="G1706" s="643">
        <v>0</v>
      </c>
      <c r="H1706" s="26">
        <v>0</v>
      </c>
      <c r="I1706" s="26">
        <f t="shared" si="179"/>
        <v>0</v>
      </c>
      <c r="J1706" s="1340" t="e">
        <f t="shared" si="176"/>
        <v>#DIV/0!</v>
      </c>
      <c r="K1706" s="1339">
        <f t="shared" si="177"/>
        <v>0</v>
      </c>
    </row>
    <row r="1707" spans="1:11" ht="15" x14ac:dyDescent="0.25">
      <c r="A1707" s="1341"/>
      <c r="B1707" s="624">
        <v>134300</v>
      </c>
      <c r="C1707" s="1344">
        <v>344905200000000</v>
      </c>
      <c r="D1707" s="624" t="s">
        <v>6508</v>
      </c>
      <c r="E1707" s="624">
        <v>40</v>
      </c>
      <c r="F1707" s="643">
        <v>0</v>
      </c>
      <c r="G1707" s="643">
        <v>0</v>
      </c>
      <c r="H1707" s="26">
        <v>0</v>
      </c>
      <c r="I1707" s="26">
        <f t="shared" si="179"/>
        <v>0</v>
      </c>
      <c r="J1707" s="1340" t="e">
        <f t="shared" si="176"/>
        <v>#DIV/0!</v>
      </c>
      <c r="K1707" s="1339">
        <f t="shared" si="177"/>
        <v>0</v>
      </c>
    </row>
    <row r="1708" spans="1:11" s="12" customFormat="1" ht="15" x14ac:dyDescent="0.25">
      <c r="A1708" s="1081"/>
      <c r="B1708" s="570" t="s">
        <v>2950</v>
      </c>
      <c r="C1708" s="1345" t="s">
        <v>7368</v>
      </c>
      <c r="D1708" s="570" t="s">
        <v>5511</v>
      </c>
      <c r="E1708" s="570"/>
      <c r="F1708" s="642">
        <f>SUM(F1709:F1714)</f>
        <v>0</v>
      </c>
      <c r="G1708" s="642">
        <f>SUM(G1709:G1714)</f>
        <v>0</v>
      </c>
      <c r="H1708" s="642">
        <f>SUM(H1709:H1714)</f>
        <v>0</v>
      </c>
      <c r="I1708" s="642">
        <f>SUM(I1709:I1714)</f>
        <v>0</v>
      </c>
      <c r="J1708" s="1338" t="e">
        <f t="shared" si="176"/>
        <v>#DIV/0!</v>
      </c>
      <c r="K1708" s="1337">
        <f t="shared" si="177"/>
        <v>0</v>
      </c>
    </row>
    <row r="1709" spans="1:11" ht="15" x14ac:dyDescent="0.25">
      <c r="A1709" s="1341"/>
      <c r="B1709" s="624">
        <v>134400</v>
      </c>
      <c r="C1709" s="1344">
        <v>333904700000000</v>
      </c>
      <c r="D1709" s="624" t="s">
        <v>6509</v>
      </c>
      <c r="E1709" s="624">
        <v>40</v>
      </c>
      <c r="F1709" s="643">
        <v>0</v>
      </c>
      <c r="G1709" s="643">
        <v>0</v>
      </c>
      <c r="H1709" s="26">
        <v>0</v>
      </c>
      <c r="I1709" s="26">
        <f t="shared" ref="I1709:I1714" si="180">(F1709+G1709+H1709)/3</f>
        <v>0</v>
      </c>
      <c r="J1709" s="1340" t="e">
        <f t="shared" si="176"/>
        <v>#DIV/0!</v>
      </c>
      <c r="K1709" s="1339">
        <f t="shared" si="177"/>
        <v>0</v>
      </c>
    </row>
    <row r="1710" spans="1:11" ht="15" x14ac:dyDescent="0.25">
      <c r="A1710" s="1341"/>
      <c r="B1710" s="624">
        <v>134420</v>
      </c>
      <c r="C1710" s="1344">
        <v>344903000000000</v>
      </c>
      <c r="D1710" s="624" t="s">
        <v>6510</v>
      </c>
      <c r="E1710" s="624">
        <v>40</v>
      </c>
      <c r="F1710" s="643">
        <v>0</v>
      </c>
      <c r="G1710" s="643">
        <v>0</v>
      </c>
      <c r="H1710" s="26">
        <v>0</v>
      </c>
      <c r="I1710" s="26">
        <f t="shared" si="180"/>
        <v>0</v>
      </c>
      <c r="J1710" s="1340" t="e">
        <f t="shared" si="176"/>
        <v>#DIV/0!</v>
      </c>
      <c r="K1710" s="1339">
        <f t="shared" si="177"/>
        <v>0</v>
      </c>
    </row>
    <row r="1711" spans="1:11" ht="15" x14ac:dyDescent="0.25">
      <c r="A1711" s="1341"/>
      <c r="B1711" s="624">
        <v>134440</v>
      </c>
      <c r="C1711" s="1344">
        <v>344903600000000</v>
      </c>
      <c r="D1711" s="624" t="s">
        <v>6511</v>
      </c>
      <c r="E1711" s="624">
        <v>40</v>
      </c>
      <c r="F1711" s="643">
        <v>0</v>
      </c>
      <c r="G1711" s="643">
        <v>0</v>
      </c>
      <c r="H1711" s="26">
        <v>0</v>
      </c>
      <c r="I1711" s="26">
        <f t="shared" si="180"/>
        <v>0</v>
      </c>
      <c r="J1711" s="1340" t="e">
        <f t="shared" si="176"/>
        <v>#DIV/0!</v>
      </c>
      <c r="K1711" s="1339">
        <f t="shared" si="177"/>
        <v>0</v>
      </c>
    </row>
    <row r="1712" spans="1:11" ht="15" x14ac:dyDescent="0.25">
      <c r="A1712" s="1341"/>
      <c r="B1712" s="624">
        <v>134460</v>
      </c>
      <c r="C1712" s="1344">
        <v>344903900000000</v>
      </c>
      <c r="D1712" s="624" t="s">
        <v>6512</v>
      </c>
      <c r="E1712" s="624">
        <v>40</v>
      </c>
      <c r="F1712" s="643">
        <v>0</v>
      </c>
      <c r="G1712" s="643">
        <v>0</v>
      </c>
      <c r="H1712" s="26">
        <v>0</v>
      </c>
      <c r="I1712" s="26">
        <f t="shared" si="180"/>
        <v>0</v>
      </c>
      <c r="J1712" s="1340" t="e">
        <f t="shared" si="176"/>
        <v>#DIV/0!</v>
      </c>
      <c r="K1712" s="1339">
        <f t="shared" si="177"/>
        <v>0</v>
      </c>
    </row>
    <row r="1713" spans="1:11" ht="15" x14ac:dyDescent="0.25">
      <c r="A1713" s="1341"/>
      <c r="B1713" s="624">
        <v>134480</v>
      </c>
      <c r="C1713" s="1344">
        <v>344905100000000</v>
      </c>
      <c r="D1713" s="624" t="s">
        <v>6513</v>
      </c>
      <c r="E1713" s="624">
        <v>40</v>
      </c>
      <c r="F1713" s="643">
        <v>0</v>
      </c>
      <c r="G1713" s="643">
        <v>0</v>
      </c>
      <c r="H1713" s="26">
        <v>0</v>
      </c>
      <c r="I1713" s="26">
        <f t="shared" si="180"/>
        <v>0</v>
      </c>
      <c r="J1713" s="1340" t="e">
        <f t="shared" si="176"/>
        <v>#DIV/0!</v>
      </c>
      <c r="K1713" s="1339">
        <f t="shared" si="177"/>
        <v>0</v>
      </c>
    </row>
    <row r="1714" spans="1:11" ht="15" x14ac:dyDescent="0.25">
      <c r="A1714" s="1341"/>
      <c r="B1714" s="624">
        <v>134500</v>
      </c>
      <c r="C1714" s="1344">
        <v>344905200000000</v>
      </c>
      <c r="D1714" s="624" t="s">
        <v>6514</v>
      </c>
      <c r="E1714" s="624">
        <v>40</v>
      </c>
      <c r="F1714" s="643">
        <v>0</v>
      </c>
      <c r="G1714" s="643">
        <v>0</v>
      </c>
      <c r="H1714" s="26">
        <v>0</v>
      </c>
      <c r="I1714" s="26">
        <f t="shared" si="180"/>
        <v>0</v>
      </c>
      <c r="J1714" s="1340" t="e">
        <f t="shared" si="176"/>
        <v>#DIV/0!</v>
      </c>
      <c r="K1714" s="1339">
        <f t="shared" si="177"/>
        <v>0</v>
      </c>
    </row>
    <row r="1715" spans="1:11" s="12" customFormat="1" ht="15" x14ac:dyDescent="0.25">
      <c r="A1715" s="1081"/>
      <c r="B1715" s="570" t="s">
        <v>2965</v>
      </c>
      <c r="C1715" s="1345">
        <v>29</v>
      </c>
      <c r="D1715" s="570" t="s">
        <v>5495</v>
      </c>
      <c r="E1715" s="570"/>
      <c r="F1715" s="642">
        <f>SUM(F1716:F1784)</f>
        <v>2448996.2500000005</v>
      </c>
      <c r="G1715" s="642">
        <f>SUM(G1716:G1784)</f>
        <v>2831432.11</v>
      </c>
      <c r="H1715" s="642">
        <f>SUM(H1716:H1784)</f>
        <v>0</v>
      </c>
      <c r="I1715" s="642">
        <f>SUM(I1716:I1784)</f>
        <v>1760142.7866666666</v>
      </c>
      <c r="J1715" s="1338">
        <f t="shared" si="176"/>
        <v>1.1561602472849843</v>
      </c>
      <c r="K1715" s="1337">
        <f t="shared" si="177"/>
        <v>0.8914334149535923</v>
      </c>
    </row>
    <row r="1716" spans="1:11" ht="15" x14ac:dyDescent="0.25">
      <c r="A1716" s="1341"/>
      <c r="B1716" s="624">
        <v>134800</v>
      </c>
      <c r="C1716" s="1344">
        <v>331900400000000</v>
      </c>
      <c r="D1716" s="624" t="s">
        <v>6521</v>
      </c>
      <c r="E1716" s="624">
        <v>40</v>
      </c>
      <c r="F1716" s="643">
        <f>19918.19+239302.78</f>
        <v>259220.97</v>
      </c>
      <c r="G1716" s="643">
        <v>452806.96</v>
      </c>
      <c r="H1716" s="26">
        <v>0</v>
      </c>
      <c r="I1716" s="26">
        <f t="shared" ref="I1716:I1747" si="181">(F1716+G1716+H1716)/3</f>
        <v>237342.64333333334</v>
      </c>
      <c r="J1716" s="1340">
        <f t="shared" si="176"/>
        <v>1.7467991111984498</v>
      </c>
      <c r="K1716" s="1339">
        <f t="shared" si="177"/>
        <v>0.12020340887310843</v>
      </c>
    </row>
    <row r="1717" spans="1:11" ht="15" x14ac:dyDescent="0.25">
      <c r="A1717" s="1341"/>
      <c r="B1717" s="624">
        <v>138000</v>
      </c>
      <c r="C1717" s="1344">
        <v>331900400000000</v>
      </c>
      <c r="D1717" s="624" t="s">
        <v>5353</v>
      </c>
      <c r="E1717" s="624">
        <v>40</v>
      </c>
      <c r="F1717" s="643">
        <v>0</v>
      </c>
      <c r="G1717" s="643">
        <v>0</v>
      </c>
      <c r="H1717" s="26">
        <v>0</v>
      </c>
      <c r="I1717" s="26">
        <f t="shared" si="181"/>
        <v>0</v>
      </c>
      <c r="J1717" s="1340" t="e">
        <f t="shared" si="176"/>
        <v>#DIV/0!</v>
      </c>
      <c r="K1717" s="1339">
        <f t="shared" si="177"/>
        <v>0</v>
      </c>
    </row>
    <row r="1718" spans="1:11" ht="15" x14ac:dyDescent="0.25">
      <c r="A1718" s="1341"/>
      <c r="B1718" s="624">
        <v>139000</v>
      </c>
      <c r="C1718" s="1344">
        <v>331900400000000</v>
      </c>
      <c r="D1718" s="624" t="s">
        <v>6544</v>
      </c>
      <c r="E1718" s="624">
        <v>40</v>
      </c>
      <c r="F1718" s="643">
        <v>0</v>
      </c>
      <c r="G1718" s="643">
        <v>0</v>
      </c>
      <c r="H1718" s="26">
        <v>0</v>
      </c>
      <c r="I1718" s="26">
        <f t="shared" si="181"/>
        <v>0</v>
      </c>
      <c r="J1718" s="1340" t="e">
        <f t="shared" si="176"/>
        <v>#DIV/0!</v>
      </c>
      <c r="K1718" s="1339">
        <f t="shared" si="177"/>
        <v>0</v>
      </c>
    </row>
    <row r="1719" spans="1:11" ht="15" x14ac:dyDescent="0.25">
      <c r="A1719" s="1341"/>
      <c r="B1719" s="624">
        <v>134850</v>
      </c>
      <c r="C1719" s="1344">
        <v>331900800000000</v>
      </c>
      <c r="D1719" s="624" t="s">
        <v>7399</v>
      </c>
      <c r="E1719" s="624">
        <v>1</v>
      </c>
      <c r="F1719" s="643">
        <v>0</v>
      </c>
      <c r="G1719" s="643">
        <v>0</v>
      </c>
      <c r="H1719" s="26">
        <v>0</v>
      </c>
      <c r="I1719" s="26">
        <f t="shared" si="181"/>
        <v>0</v>
      </c>
      <c r="J1719" s="1340" t="e">
        <f t="shared" si="176"/>
        <v>#DIV/0!</v>
      </c>
      <c r="K1719" s="1339">
        <f t="shared" si="177"/>
        <v>0</v>
      </c>
    </row>
    <row r="1720" spans="1:11" ht="15" x14ac:dyDescent="0.25">
      <c r="A1720" s="1341"/>
      <c r="B1720" s="624">
        <v>138050</v>
      </c>
      <c r="C1720" s="1344">
        <v>331900800000000</v>
      </c>
      <c r="D1720" s="624" t="s">
        <v>6528</v>
      </c>
      <c r="E1720" s="624">
        <v>1</v>
      </c>
      <c r="F1720" s="643">
        <v>0</v>
      </c>
      <c r="G1720" s="643">
        <v>0</v>
      </c>
      <c r="H1720" s="26">
        <v>0</v>
      </c>
      <c r="I1720" s="26">
        <f t="shared" si="181"/>
        <v>0</v>
      </c>
      <c r="J1720" s="1340" t="e">
        <f t="shared" si="176"/>
        <v>#DIV/0!</v>
      </c>
      <c r="K1720" s="1339">
        <f t="shared" si="177"/>
        <v>0</v>
      </c>
    </row>
    <row r="1721" spans="1:11" ht="15" x14ac:dyDescent="0.25">
      <c r="A1721" s="1341"/>
      <c r="B1721" s="624">
        <v>139050</v>
      </c>
      <c r="C1721" s="1344">
        <v>331900800000000</v>
      </c>
      <c r="D1721" s="624" t="s">
        <v>7398</v>
      </c>
      <c r="E1721" s="624">
        <v>1</v>
      </c>
      <c r="F1721" s="643">
        <v>0</v>
      </c>
      <c r="G1721" s="643">
        <v>0</v>
      </c>
      <c r="H1721" s="26">
        <v>0</v>
      </c>
      <c r="I1721" s="26">
        <f t="shared" si="181"/>
        <v>0</v>
      </c>
      <c r="J1721" s="1340" t="e">
        <f t="shared" si="176"/>
        <v>#DIV/0!</v>
      </c>
      <c r="K1721" s="1339">
        <f t="shared" si="177"/>
        <v>0</v>
      </c>
    </row>
    <row r="1722" spans="1:11" ht="15" x14ac:dyDescent="0.25">
      <c r="A1722" s="1341"/>
      <c r="B1722" s="624">
        <v>134880</v>
      </c>
      <c r="C1722" s="1344">
        <v>331901100000000</v>
      </c>
      <c r="D1722" s="624" t="s">
        <v>7397</v>
      </c>
      <c r="E1722" s="624">
        <v>40</v>
      </c>
      <c r="F1722" s="643">
        <f>173442.27+1149029.22</f>
        <v>1322471.49</v>
      </c>
      <c r="G1722" s="643">
        <v>1498098.81</v>
      </c>
      <c r="H1722" s="26">
        <v>0</v>
      </c>
      <c r="I1722" s="26">
        <f t="shared" si="181"/>
        <v>940190.1</v>
      </c>
      <c r="J1722" s="1340">
        <f t="shared" si="176"/>
        <v>1.1328023487296501</v>
      </c>
      <c r="K1722" s="1339">
        <f t="shared" si="177"/>
        <v>0.47616413730602686</v>
      </c>
    </row>
    <row r="1723" spans="1:11" ht="15" x14ac:dyDescent="0.25">
      <c r="A1723" s="1341"/>
      <c r="B1723" s="624">
        <v>138080</v>
      </c>
      <c r="C1723" s="1344">
        <v>331901100000000</v>
      </c>
      <c r="D1723" s="624" t="s">
        <v>6529</v>
      </c>
      <c r="E1723" s="624">
        <v>40</v>
      </c>
      <c r="F1723" s="643">
        <v>0</v>
      </c>
      <c r="G1723" s="643">
        <v>0</v>
      </c>
      <c r="H1723" s="26">
        <v>0</v>
      </c>
      <c r="I1723" s="26">
        <f t="shared" si="181"/>
        <v>0</v>
      </c>
      <c r="J1723" s="1340" t="e">
        <f t="shared" si="176"/>
        <v>#DIV/0!</v>
      </c>
      <c r="K1723" s="1339">
        <f t="shared" si="177"/>
        <v>0</v>
      </c>
    </row>
    <row r="1724" spans="1:11" ht="15" x14ac:dyDescent="0.25">
      <c r="A1724" s="1341"/>
      <c r="B1724" s="624">
        <v>139100</v>
      </c>
      <c r="C1724" s="1344">
        <v>331901100000000</v>
      </c>
      <c r="D1724" s="624" t="s">
        <v>7396</v>
      </c>
      <c r="E1724" s="624">
        <v>40</v>
      </c>
      <c r="F1724" s="643">
        <v>31517.279999999999</v>
      </c>
      <c r="G1724" s="643">
        <v>40972.54</v>
      </c>
      <c r="H1724" s="26">
        <v>0</v>
      </c>
      <c r="I1724" s="26">
        <f t="shared" si="181"/>
        <v>24163.273333333334</v>
      </c>
      <c r="J1724" s="1340">
        <f t="shared" si="176"/>
        <v>1.300002411375601</v>
      </c>
      <c r="K1724" s="1339">
        <f t="shared" si="177"/>
        <v>1.223761471350995E-2</v>
      </c>
    </row>
    <row r="1725" spans="1:11" ht="15" x14ac:dyDescent="0.25">
      <c r="A1725" s="1341"/>
      <c r="B1725" s="624">
        <v>134950</v>
      </c>
      <c r="C1725" s="1344">
        <v>331901300000000</v>
      </c>
      <c r="D1725" s="624" t="s">
        <v>6524</v>
      </c>
      <c r="E1725" s="624">
        <v>40</v>
      </c>
      <c r="F1725" s="643">
        <v>275046.78999999998</v>
      </c>
      <c r="G1725" s="643">
        <v>311882.23999999999</v>
      </c>
      <c r="H1725" s="26">
        <v>0</v>
      </c>
      <c r="I1725" s="26">
        <f t="shared" si="181"/>
        <v>195643.01</v>
      </c>
      <c r="J1725" s="1340">
        <f t="shared" si="176"/>
        <v>1.1339243042974616</v>
      </c>
      <c r="K1725" s="1339">
        <f t="shared" si="177"/>
        <v>9.9084413967562943E-2</v>
      </c>
    </row>
    <row r="1726" spans="1:11" ht="15" x14ac:dyDescent="0.25">
      <c r="A1726" s="1341"/>
      <c r="B1726" s="624">
        <v>138150</v>
      </c>
      <c r="C1726" s="1344">
        <v>331901300000000</v>
      </c>
      <c r="D1726" s="624" t="s">
        <v>5356</v>
      </c>
      <c r="E1726" s="624">
        <v>40</v>
      </c>
      <c r="F1726" s="643">
        <v>0</v>
      </c>
      <c r="G1726" s="643">
        <v>0</v>
      </c>
      <c r="H1726" s="26">
        <v>0</v>
      </c>
      <c r="I1726" s="26">
        <f t="shared" si="181"/>
        <v>0</v>
      </c>
      <c r="J1726" s="1340" t="e">
        <f t="shared" ref="J1726:J1757" si="182">(G1726/F1726)+(H1726/G1726)/2</f>
        <v>#DIV/0!</v>
      </c>
      <c r="K1726" s="1339">
        <f t="shared" ref="K1726:K1757" si="183">I1726/I$1880</f>
        <v>0</v>
      </c>
    </row>
    <row r="1727" spans="1:11" ht="15" x14ac:dyDescent="0.25">
      <c r="A1727" s="1341"/>
      <c r="B1727" s="624">
        <v>139180</v>
      </c>
      <c r="C1727" s="1344">
        <v>331901300000000</v>
      </c>
      <c r="D1727" s="624" t="s">
        <v>7395</v>
      </c>
      <c r="E1727" s="624">
        <v>40</v>
      </c>
      <c r="F1727" s="643">
        <v>6867.63</v>
      </c>
      <c r="G1727" s="643">
        <v>8986.4699999999993</v>
      </c>
      <c r="H1727" s="26">
        <v>0</v>
      </c>
      <c r="I1727" s="26">
        <f t="shared" si="181"/>
        <v>5284.7</v>
      </c>
      <c r="J1727" s="1340">
        <f t="shared" si="182"/>
        <v>1.3085256485861934</v>
      </c>
      <c r="K1727" s="1339">
        <f t="shared" si="183"/>
        <v>2.6764636390248738E-3</v>
      </c>
    </row>
    <row r="1728" spans="1:11" ht="15" x14ac:dyDescent="0.25">
      <c r="A1728" s="1341"/>
      <c r="B1728" s="624">
        <v>134980</v>
      </c>
      <c r="C1728" s="1344">
        <v>331901600000000</v>
      </c>
      <c r="D1728" s="624" t="s">
        <v>6525</v>
      </c>
      <c r="E1728" s="624">
        <v>40</v>
      </c>
      <c r="F1728" s="643">
        <f>52389.42+109689.92</f>
        <v>162079.34</v>
      </c>
      <c r="G1728" s="643">
        <v>183816.39</v>
      </c>
      <c r="H1728" s="26">
        <v>0</v>
      </c>
      <c r="I1728" s="26">
        <f t="shared" si="181"/>
        <v>115298.57666666666</v>
      </c>
      <c r="J1728" s="1340">
        <f t="shared" si="182"/>
        <v>1.1341136384193076</v>
      </c>
      <c r="K1728" s="1339">
        <f t="shared" si="183"/>
        <v>5.8393560292855806E-2</v>
      </c>
    </row>
    <row r="1729" spans="1:11" ht="15" x14ac:dyDescent="0.25">
      <c r="A1729" s="1341"/>
      <c r="B1729" s="624">
        <v>138180</v>
      </c>
      <c r="C1729" s="1344">
        <v>331901600000000</v>
      </c>
      <c r="D1729" s="624" t="s">
        <v>5357</v>
      </c>
      <c r="E1729" s="624">
        <v>40</v>
      </c>
      <c r="F1729" s="643">
        <v>0</v>
      </c>
      <c r="G1729" s="643">
        <v>0</v>
      </c>
      <c r="H1729" s="26">
        <v>0</v>
      </c>
      <c r="I1729" s="26">
        <f t="shared" si="181"/>
        <v>0</v>
      </c>
      <c r="J1729" s="1340" t="e">
        <f t="shared" si="182"/>
        <v>#DIV/0!</v>
      </c>
      <c r="K1729" s="1339">
        <f t="shared" si="183"/>
        <v>0</v>
      </c>
    </row>
    <row r="1730" spans="1:11" ht="15" x14ac:dyDescent="0.25">
      <c r="A1730" s="1341"/>
      <c r="B1730" s="624">
        <v>139230</v>
      </c>
      <c r="C1730" s="1344">
        <v>331901600000000</v>
      </c>
      <c r="D1730" s="624" t="s">
        <v>5336</v>
      </c>
      <c r="E1730" s="624">
        <v>40</v>
      </c>
      <c r="F1730" s="643">
        <v>0</v>
      </c>
      <c r="G1730" s="643">
        <v>0</v>
      </c>
      <c r="H1730" s="26">
        <v>0</v>
      </c>
      <c r="I1730" s="26">
        <f t="shared" si="181"/>
        <v>0</v>
      </c>
      <c r="J1730" s="1340" t="e">
        <f t="shared" si="182"/>
        <v>#DIV/0!</v>
      </c>
      <c r="K1730" s="1339">
        <f t="shared" si="183"/>
        <v>0</v>
      </c>
    </row>
    <row r="1731" spans="1:11" ht="15" x14ac:dyDescent="0.25">
      <c r="A1731" s="1341"/>
      <c r="B1731" s="624">
        <v>135010</v>
      </c>
      <c r="C1731" s="1344">
        <v>331903400000000</v>
      </c>
      <c r="D1731" s="624" t="s">
        <v>6526</v>
      </c>
      <c r="E1731" s="624">
        <v>40</v>
      </c>
      <c r="F1731" s="643">
        <v>0</v>
      </c>
      <c r="G1731" s="643">
        <v>32126</v>
      </c>
      <c r="H1731" s="26">
        <v>0</v>
      </c>
      <c r="I1731" s="26">
        <f t="shared" si="181"/>
        <v>10708.666666666666</v>
      </c>
      <c r="J1731" s="1340" t="e">
        <f t="shared" si="182"/>
        <v>#DIV/0!</v>
      </c>
      <c r="K1731" s="1339">
        <f t="shared" si="183"/>
        <v>5.4234596014477703E-3</v>
      </c>
    </row>
    <row r="1732" spans="1:11" ht="15" x14ac:dyDescent="0.25">
      <c r="A1732" s="1341"/>
      <c r="B1732" s="624">
        <v>138210</v>
      </c>
      <c r="C1732" s="1344">
        <v>331903400000000</v>
      </c>
      <c r="D1732" s="624" t="s">
        <v>5358</v>
      </c>
      <c r="E1732" s="624">
        <v>40</v>
      </c>
      <c r="F1732" s="643">
        <v>0</v>
      </c>
      <c r="G1732" s="643">
        <v>0</v>
      </c>
      <c r="H1732" s="26">
        <v>0</v>
      </c>
      <c r="I1732" s="26">
        <f t="shared" si="181"/>
        <v>0</v>
      </c>
      <c r="J1732" s="1340" t="e">
        <f t="shared" si="182"/>
        <v>#DIV/0!</v>
      </c>
      <c r="K1732" s="1339">
        <f t="shared" si="183"/>
        <v>0</v>
      </c>
    </row>
    <row r="1733" spans="1:11" ht="15" x14ac:dyDescent="0.25">
      <c r="A1733" s="1341"/>
      <c r="B1733" s="624">
        <v>139260</v>
      </c>
      <c r="C1733" s="1344">
        <v>331903400000000</v>
      </c>
      <c r="D1733" s="624" t="s">
        <v>5337</v>
      </c>
      <c r="E1733" s="624">
        <v>40</v>
      </c>
      <c r="F1733" s="643">
        <v>0</v>
      </c>
      <c r="G1733" s="643">
        <v>0</v>
      </c>
      <c r="H1733" s="26">
        <v>0</v>
      </c>
      <c r="I1733" s="26">
        <f t="shared" si="181"/>
        <v>0</v>
      </c>
      <c r="J1733" s="1340" t="e">
        <f t="shared" si="182"/>
        <v>#DIV/0!</v>
      </c>
      <c r="K1733" s="1339">
        <f t="shared" si="183"/>
        <v>0</v>
      </c>
    </row>
    <row r="1734" spans="1:11" ht="15" x14ac:dyDescent="0.25">
      <c r="A1734" s="1341"/>
      <c r="B1734" s="624">
        <v>135050</v>
      </c>
      <c r="C1734" s="1344">
        <v>331909400000000</v>
      </c>
      <c r="D1734" s="624" t="s">
        <v>6527</v>
      </c>
      <c r="E1734" s="624">
        <v>40</v>
      </c>
      <c r="F1734" s="643">
        <v>24570.45</v>
      </c>
      <c r="G1734" s="643">
        <v>60535.78</v>
      </c>
      <c r="H1734" s="26">
        <v>0</v>
      </c>
      <c r="I1734" s="26">
        <f t="shared" si="181"/>
        <v>28368.743333333332</v>
      </c>
      <c r="J1734" s="1340">
        <f t="shared" si="182"/>
        <v>2.4637635859335094</v>
      </c>
      <c r="K1734" s="1339">
        <f t="shared" si="183"/>
        <v>1.4367496738981583E-2</v>
      </c>
    </row>
    <row r="1735" spans="1:11" ht="15" x14ac:dyDescent="0.25">
      <c r="A1735" s="1341"/>
      <c r="B1735" s="624">
        <v>138240</v>
      </c>
      <c r="C1735" s="1344">
        <v>331909400000000</v>
      </c>
      <c r="D1735" s="624" t="s">
        <v>5359</v>
      </c>
      <c r="E1735" s="624">
        <v>40</v>
      </c>
      <c r="F1735" s="643">
        <v>0</v>
      </c>
      <c r="G1735" s="643">
        <v>0</v>
      </c>
      <c r="H1735" s="26">
        <v>0</v>
      </c>
      <c r="I1735" s="26">
        <f t="shared" si="181"/>
        <v>0</v>
      </c>
      <c r="J1735" s="1340" t="e">
        <f t="shared" si="182"/>
        <v>#DIV/0!</v>
      </c>
      <c r="K1735" s="1339">
        <f t="shared" si="183"/>
        <v>0</v>
      </c>
    </row>
    <row r="1736" spans="1:11" ht="15" x14ac:dyDescent="0.25">
      <c r="A1736" s="1341"/>
      <c r="B1736" s="624">
        <v>139300</v>
      </c>
      <c r="C1736" s="1344">
        <v>331909400000000</v>
      </c>
      <c r="D1736" s="624" t="s">
        <v>6546</v>
      </c>
      <c r="E1736" s="624">
        <v>40</v>
      </c>
      <c r="F1736" s="643">
        <v>0</v>
      </c>
      <c r="G1736" s="643">
        <v>0</v>
      </c>
      <c r="H1736" s="26">
        <v>0</v>
      </c>
      <c r="I1736" s="26">
        <f t="shared" si="181"/>
        <v>0</v>
      </c>
      <c r="J1736" s="1340" t="e">
        <f t="shared" si="182"/>
        <v>#DIV/0!</v>
      </c>
      <c r="K1736" s="1339">
        <f t="shared" si="183"/>
        <v>0</v>
      </c>
    </row>
    <row r="1737" spans="1:11" ht="15" x14ac:dyDescent="0.25">
      <c r="A1737" s="1341"/>
      <c r="B1737" s="624">
        <v>134650</v>
      </c>
      <c r="C1737" s="1344">
        <v>333901400000000</v>
      </c>
      <c r="D1737" s="624" t="s">
        <v>6519</v>
      </c>
      <c r="E1737" s="624">
        <v>40</v>
      </c>
      <c r="F1737" s="643">
        <v>0</v>
      </c>
      <c r="G1737" s="643">
        <v>0</v>
      </c>
      <c r="H1737" s="26">
        <v>0</v>
      </c>
      <c r="I1737" s="26">
        <f t="shared" si="181"/>
        <v>0</v>
      </c>
      <c r="J1737" s="1340" t="e">
        <f t="shared" si="182"/>
        <v>#DIV/0!</v>
      </c>
      <c r="K1737" s="1339">
        <f t="shared" si="183"/>
        <v>0</v>
      </c>
    </row>
    <row r="1738" spans="1:11" ht="15" x14ac:dyDescent="0.25">
      <c r="A1738" s="1341"/>
      <c r="B1738" s="624">
        <v>135100</v>
      </c>
      <c r="C1738" s="1344">
        <v>333901400000000</v>
      </c>
      <c r="D1738" s="624" t="s">
        <v>5318</v>
      </c>
      <c r="E1738" s="624">
        <v>40</v>
      </c>
      <c r="F1738" s="643">
        <f>70100+7428</f>
        <v>77528</v>
      </c>
      <c r="G1738" s="643">
        <v>40990</v>
      </c>
      <c r="H1738" s="26">
        <v>0</v>
      </c>
      <c r="I1738" s="26">
        <f t="shared" si="181"/>
        <v>39506</v>
      </c>
      <c r="J1738" s="1340">
        <f t="shared" si="182"/>
        <v>0.52871220720255907</v>
      </c>
      <c r="K1738" s="1339">
        <f t="shared" si="183"/>
        <v>2.0008017961912063E-2</v>
      </c>
    </row>
    <row r="1739" spans="1:11" ht="15" x14ac:dyDescent="0.25">
      <c r="A1739" s="1341"/>
      <c r="B1739" s="624">
        <v>138270</v>
      </c>
      <c r="C1739" s="1344">
        <v>333901400000000</v>
      </c>
      <c r="D1739" s="624" t="s">
        <v>6530</v>
      </c>
      <c r="E1739" s="624">
        <v>40</v>
      </c>
      <c r="F1739" s="643">
        <v>0</v>
      </c>
      <c r="G1739" s="643">
        <v>0</v>
      </c>
      <c r="H1739" s="26">
        <v>0</v>
      </c>
      <c r="I1739" s="26">
        <f t="shared" si="181"/>
        <v>0</v>
      </c>
      <c r="J1739" s="1340" t="e">
        <f t="shared" si="182"/>
        <v>#DIV/0!</v>
      </c>
      <c r="K1739" s="1339">
        <f t="shared" si="183"/>
        <v>0</v>
      </c>
    </row>
    <row r="1740" spans="1:11" ht="15" x14ac:dyDescent="0.25">
      <c r="A1740" s="1341"/>
      <c r="B1740" s="624">
        <v>139330</v>
      </c>
      <c r="C1740" s="1344">
        <v>333901400000000</v>
      </c>
      <c r="D1740" s="624" t="s">
        <v>5339</v>
      </c>
      <c r="E1740" s="624">
        <v>40</v>
      </c>
      <c r="F1740" s="643">
        <v>0</v>
      </c>
      <c r="G1740" s="643">
        <v>1440</v>
      </c>
      <c r="H1740" s="26">
        <v>0</v>
      </c>
      <c r="I1740" s="26">
        <f t="shared" si="181"/>
        <v>480</v>
      </c>
      <c r="J1740" s="1340" t="e">
        <f t="shared" si="182"/>
        <v>#DIV/0!</v>
      </c>
      <c r="K1740" s="1339">
        <f t="shared" si="183"/>
        <v>2.4309848179308942E-4</v>
      </c>
    </row>
    <row r="1741" spans="1:11" ht="15" x14ac:dyDescent="0.25">
      <c r="A1741" s="1341"/>
      <c r="B1741" s="624">
        <v>135130</v>
      </c>
      <c r="C1741" s="1344">
        <v>333903000000000</v>
      </c>
      <c r="D1741" s="624" t="s">
        <v>5319</v>
      </c>
      <c r="E1741" s="624">
        <v>40</v>
      </c>
      <c r="F1741" s="643">
        <f>106003.79+2374.91</f>
        <v>108378.7</v>
      </c>
      <c r="G1741" s="643">
        <v>28331.95</v>
      </c>
      <c r="H1741" s="26">
        <v>0</v>
      </c>
      <c r="I1741" s="26">
        <f t="shared" si="181"/>
        <v>45570.216666666667</v>
      </c>
      <c r="J1741" s="1340">
        <f t="shared" si="182"/>
        <v>0.26141621923865116</v>
      </c>
      <c r="K1741" s="1339">
        <f t="shared" si="183"/>
        <v>2.3079271847185012E-2</v>
      </c>
    </row>
    <row r="1742" spans="1:11" ht="15" x14ac:dyDescent="0.25">
      <c r="A1742" s="1341"/>
      <c r="B1742" s="624">
        <v>138300</v>
      </c>
      <c r="C1742" s="1344">
        <v>333903000000000</v>
      </c>
      <c r="D1742" s="624" t="s">
        <v>6531</v>
      </c>
      <c r="E1742" s="624">
        <v>40</v>
      </c>
      <c r="F1742" s="643">
        <v>0</v>
      </c>
      <c r="G1742" s="643">
        <v>0</v>
      </c>
      <c r="H1742" s="26">
        <v>0</v>
      </c>
      <c r="I1742" s="26">
        <f t="shared" si="181"/>
        <v>0</v>
      </c>
      <c r="J1742" s="1340" t="e">
        <f t="shared" si="182"/>
        <v>#DIV/0!</v>
      </c>
      <c r="K1742" s="1339">
        <f t="shared" si="183"/>
        <v>0</v>
      </c>
    </row>
    <row r="1743" spans="1:11" ht="15" x14ac:dyDescent="0.25">
      <c r="A1743" s="1341"/>
      <c r="B1743" s="624">
        <v>139360</v>
      </c>
      <c r="C1743" s="1344">
        <v>333903000000000</v>
      </c>
      <c r="D1743" s="624" t="s">
        <v>5340</v>
      </c>
      <c r="E1743" s="624">
        <v>40</v>
      </c>
      <c r="F1743" s="643">
        <v>0</v>
      </c>
      <c r="G1743" s="643">
        <v>0</v>
      </c>
      <c r="H1743" s="26">
        <v>0</v>
      </c>
      <c r="I1743" s="26">
        <f t="shared" si="181"/>
        <v>0</v>
      </c>
      <c r="J1743" s="1340" t="e">
        <f t="shared" si="182"/>
        <v>#DIV/0!</v>
      </c>
      <c r="K1743" s="1339">
        <f t="shared" si="183"/>
        <v>0</v>
      </c>
    </row>
    <row r="1744" spans="1:11" ht="15" x14ac:dyDescent="0.25">
      <c r="A1744" s="1341"/>
      <c r="B1744" s="624">
        <v>134670</v>
      </c>
      <c r="C1744" s="1344">
        <v>333903300000000</v>
      </c>
      <c r="D1744" s="624" t="s">
        <v>6520</v>
      </c>
      <c r="E1744" s="624">
        <v>40</v>
      </c>
      <c r="F1744" s="643">
        <v>0</v>
      </c>
      <c r="G1744" s="643">
        <v>0</v>
      </c>
      <c r="H1744" s="26">
        <v>0</v>
      </c>
      <c r="I1744" s="26">
        <f t="shared" si="181"/>
        <v>0</v>
      </c>
      <c r="J1744" s="1340" t="e">
        <f t="shared" si="182"/>
        <v>#DIV/0!</v>
      </c>
      <c r="K1744" s="1339">
        <f t="shared" si="183"/>
        <v>0</v>
      </c>
    </row>
    <row r="1745" spans="1:11" ht="15" x14ac:dyDescent="0.25">
      <c r="A1745" s="1341"/>
      <c r="B1745" s="624">
        <v>135180</v>
      </c>
      <c r="C1745" s="1344">
        <v>333903300000000</v>
      </c>
      <c r="D1745" s="624" t="s">
        <v>5320</v>
      </c>
      <c r="E1745" s="624">
        <v>40</v>
      </c>
      <c r="F1745" s="643">
        <v>1206.5999999999999</v>
      </c>
      <c r="G1745" s="643">
        <v>38.549999999999997</v>
      </c>
      <c r="H1745" s="26">
        <v>0</v>
      </c>
      <c r="I1745" s="26">
        <f t="shared" si="181"/>
        <v>415.04999999999995</v>
      </c>
      <c r="J1745" s="1340">
        <f t="shared" si="182"/>
        <v>3.1949278965688714E-2</v>
      </c>
      <c r="K1745" s="1339">
        <f t="shared" si="183"/>
        <v>2.1020421847546197E-4</v>
      </c>
    </row>
    <row r="1746" spans="1:11" ht="15" x14ac:dyDescent="0.25">
      <c r="A1746" s="1341"/>
      <c r="B1746" s="624">
        <v>138380</v>
      </c>
      <c r="C1746" s="1344">
        <v>333903300000000</v>
      </c>
      <c r="D1746" s="624" t="s">
        <v>6532</v>
      </c>
      <c r="E1746" s="624">
        <v>40</v>
      </c>
      <c r="F1746" s="643">
        <v>0</v>
      </c>
      <c r="G1746" s="643">
        <v>0</v>
      </c>
      <c r="H1746" s="26">
        <v>0</v>
      </c>
      <c r="I1746" s="26">
        <f t="shared" si="181"/>
        <v>0</v>
      </c>
      <c r="J1746" s="1340" t="e">
        <f t="shared" si="182"/>
        <v>#DIV/0!</v>
      </c>
      <c r="K1746" s="1339">
        <f t="shared" si="183"/>
        <v>0</v>
      </c>
    </row>
    <row r="1747" spans="1:11" ht="15" x14ac:dyDescent="0.25">
      <c r="A1747" s="1341"/>
      <c r="B1747" s="624">
        <v>139400</v>
      </c>
      <c r="C1747" s="1344">
        <v>333903300000000</v>
      </c>
      <c r="D1747" s="624" t="s">
        <v>5341</v>
      </c>
      <c r="E1747" s="624">
        <v>40</v>
      </c>
      <c r="F1747" s="643">
        <v>65.650000000000006</v>
      </c>
      <c r="G1747" s="643">
        <v>136.5</v>
      </c>
      <c r="H1747" s="26">
        <v>0</v>
      </c>
      <c r="I1747" s="26">
        <f t="shared" si="181"/>
        <v>67.38333333333334</v>
      </c>
      <c r="J1747" s="1340">
        <f t="shared" si="182"/>
        <v>2.0792079207920788</v>
      </c>
      <c r="K1747" s="1339">
        <f t="shared" si="183"/>
        <v>3.4126637565606272E-5</v>
      </c>
    </row>
    <row r="1748" spans="1:11" ht="15" x14ac:dyDescent="0.25">
      <c r="A1748" s="1341"/>
      <c r="B1748" s="624">
        <v>135210</v>
      </c>
      <c r="C1748" s="1344">
        <v>333903500000000</v>
      </c>
      <c r="D1748" s="624" t="s">
        <v>5321</v>
      </c>
      <c r="E1748" s="624">
        <v>40</v>
      </c>
      <c r="F1748" s="643">
        <v>0</v>
      </c>
      <c r="G1748" s="643">
        <v>0</v>
      </c>
      <c r="H1748" s="26">
        <v>0</v>
      </c>
      <c r="I1748" s="26">
        <f t="shared" ref="I1748:I1779" si="184">(F1748+G1748+H1748)/3</f>
        <v>0</v>
      </c>
      <c r="J1748" s="1340" t="e">
        <f t="shared" si="182"/>
        <v>#DIV/0!</v>
      </c>
      <c r="K1748" s="1339">
        <f t="shared" si="183"/>
        <v>0</v>
      </c>
    </row>
    <row r="1749" spans="1:11" ht="15" x14ac:dyDescent="0.25">
      <c r="A1749" s="1341"/>
      <c r="B1749" s="624">
        <v>138420</v>
      </c>
      <c r="C1749" s="1344">
        <v>333903500000000</v>
      </c>
      <c r="D1749" s="624" t="s">
        <v>6533</v>
      </c>
      <c r="E1749" s="624">
        <v>40</v>
      </c>
      <c r="F1749" s="643">
        <v>0</v>
      </c>
      <c r="G1749" s="643">
        <v>0</v>
      </c>
      <c r="H1749" s="26">
        <v>0</v>
      </c>
      <c r="I1749" s="26">
        <f t="shared" si="184"/>
        <v>0</v>
      </c>
      <c r="J1749" s="1340" t="e">
        <f t="shared" si="182"/>
        <v>#DIV/0!</v>
      </c>
      <c r="K1749" s="1339">
        <f t="shared" si="183"/>
        <v>0</v>
      </c>
    </row>
    <row r="1750" spans="1:11" ht="15" x14ac:dyDescent="0.25">
      <c r="A1750" s="1341"/>
      <c r="B1750" s="624">
        <v>139430</v>
      </c>
      <c r="C1750" s="1344">
        <v>333903500000000</v>
      </c>
      <c r="D1750" s="624" t="s">
        <v>5342</v>
      </c>
      <c r="E1750" s="624">
        <v>40</v>
      </c>
      <c r="F1750" s="643">
        <v>0</v>
      </c>
      <c r="G1750" s="643">
        <v>0</v>
      </c>
      <c r="H1750" s="26">
        <v>0</v>
      </c>
      <c r="I1750" s="26">
        <f t="shared" si="184"/>
        <v>0</v>
      </c>
      <c r="J1750" s="1340" t="e">
        <f t="shared" si="182"/>
        <v>#DIV/0!</v>
      </c>
      <c r="K1750" s="1339">
        <f t="shared" si="183"/>
        <v>0</v>
      </c>
    </row>
    <row r="1751" spans="1:11" ht="15" x14ac:dyDescent="0.25">
      <c r="A1751" s="1341"/>
      <c r="B1751" s="624">
        <v>134690</v>
      </c>
      <c r="C1751" s="1344">
        <v>333903600000000</v>
      </c>
      <c r="D1751" s="624" t="s">
        <v>6517</v>
      </c>
      <c r="E1751" s="624">
        <v>40</v>
      </c>
      <c r="F1751" s="643">
        <v>0</v>
      </c>
      <c r="G1751" s="643">
        <v>0</v>
      </c>
      <c r="H1751" s="26">
        <v>0</v>
      </c>
      <c r="I1751" s="26">
        <f t="shared" si="184"/>
        <v>0</v>
      </c>
      <c r="J1751" s="1340" t="e">
        <f t="shared" si="182"/>
        <v>#DIV/0!</v>
      </c>
      <c r="K1751" s="1339">
        <f t="shared" si="183"/>
        <v>0</v>
      </c>
    </row>
    <row r="1752" spans="1:11" ht="15" x14ac:dyDescent="0.25">
      <c r="A1752" s="1341"/>
      <c r="B1752" s="624">
        <v>135250</v>
      </c>
      <c r="C1752" s="1344">
        <v>333903600000000</v>
      </c>
      <c r="D1752" s="624" t="s">
        <v>5322</v>
      </c>
      <c r="E1752" s="624">
        <v>40</v>
      </c>
      <c r="F1752" s="643">
        <v>61871</v>
      </c>
      <c r="G1752" s="643">
        <v>4880</v>
      </c>
      <c r="H1752" s="26">
        <v>0</v>
      </c>
      <c r="I1752" s="26">
        <f t="shared" si="184"/>
        <v>22250.333333333332</v>
      </c>
      <c r="J1752" s="1340">
        <f t="shared" si="182"/>
        <v>7.8873785780090841E-2</v>
      </c>
      <c r="K1752" s="1339">
        <f t="shared" si="183"/>
        <v>1.1268796359840632E-2</v>
      </c>
    </row>
    <row r="1753" spans="1:11" ht="15" x14ac:dyDescent="0.25">
      <c r="A1753" s="1341"/>
      <c r="B1753" s="624">
        <v>138450</v>
      </c>
      <c r="C1753" s="1344">
        <v>333903600000000</v>
      </c>
      <c r="D1753" s="624" t="s">
        <v>6534</v>
      </c>
      <c r="E1753" s="624">
        <v>40</v>
      </c>
      <c r="F1753" s="643">
        <v>0</v>
      </c>
      <c r="G1753" s="643">
        <v>0</v>
      </c>
      <c r="H1753" s="26">
        <v>0</v>
      </c>
      <c r="I1753" s="26">
        <f t="shared" si="184"/>
        <v>0</v>
      </c>
      <c r="J1753" s="1340" t="e">
        <f t="shared" si="182"/>
        <v>#DIV/0!</v>
      </c>
      <c r="K1753" s="1339">
        <f t="shared" si="183"/>
        <v>0</v>
      </c>
    </row>
    <row r="1754" spans="1:11" ht="15" x14ac:dyDescent="0.25">
      <c r="A1754" s="1341"/>
      <c r="B1754" s="624">
        <v>139460</v>
      </c>
      <c r="C1754" s="1344">
        <v>333903600000000</v>
      </c>
      <c r="D1754" s="624" t="s">
        <v>5343</v>
      </c>
      <c r="E1754" s="624">
        <v>40</v>
      </c>
      <c r="F1754" s="643">
        <v>0</v>
      </c>
      <c r="G1754" s="643">
        <v>0</v>
      </c>
      <c r="H1754" s="26">
        <v>0</v>
      </c>
      <c r="I1754" s="26">
        <f t="shared" si="184"/>
        <v>0</v>
      </c>
      <c r="J1754" s="1340" t="e">
        <f t="shared" si="182"/>
        <v>#DIV/0!</v>
      </c>
      <c r="K1754" s="1339">
        <f t="shared" si="183"/>
        <v>0</v>
      </c>
    </row>
    <row r="1755" spans="1:11" ht="15" x14ac:dyDescent="0.25">
      <c r="A1755" s="1341"/>
      <c r="B1755" s="624">
        <v>134710</v>
      </c>
      <c r="C1755" s="1344">
        <v>333903900000000</v>
      </c>
      <c r="D1755" s="624" t="s">
        <v>6516</v>
      </c>
      <c r="E1755" s="624">
        <v>40</v>
      </c>
      <c r="F1755" s="643">
        <v>0</v>
      </c>
      <c r="G1755" s="643">
        <v>0</v>
      </c>
      <c r="H1755" s="26">
        <v>0</v>
      </c>
      <c r="I1755" s="26">
        <f t="shared" si="184"/>
        <v>0</v>
      </c>
      <c r="J1755" s="1340" t="e">
        <f t="shared" si="182"/>
        <v>#DIV/0!</v>
      </c>
      <c r="K1755" s="1339">
        <f t="shared" si="183"/>
        <v>0</v>
      </c>
    </row>
    <row r="1756" spans="1:11" ht="15" x14ac:dyDescent="0.25">
      <c r="A1756" s="1341"/>
      <c r="B1756" s="624">
        <v>135300</v>
      </c>
      <c r="C1756" s="1344">
        <v>333903900000000</v>
      </c>
      <c r="D1756" s="624" t="s">
        <v>5323</v>
      </c>
      <c r="E1756" s="624">
        <v>40</v>
      </c>
      <c r="F1756" s="643">
        <f>53439.49-4739.99+34144.08</f>
        <v>82843.58</v>
      </c>
      <c r="G1756" s="643">
        <f>144729.55</f>
        <v>144729.54999999999</v>
      </c>
      <c r="H1756" s="26">
        <v>0</v>
      </c>
      <c r="I1756" s="26">
        <f t="shared" si="184"/>
        <v>75857.710000000006</v>
      </c>
      <c r="J1756" s="1340">
        <f t="shared" si="182"/>
        <v>1.7470219176911475</v>
      </c>
      <c r="K1756" s="1339">
        <f t="shared" si="183"/>
        <v>3.8418529444375953E-2</v>
      </c>
    </row>
    <row r="1757" spans="1:11" ht="15" x14ac:dyDescent="0.25">
      <c r="A1757" s="1341"/>
      <c r="B1757" s="624">
        <v>138580</v>
      </c>
      <c r="C1757" s="1344">
        <v>333903900000000</v>
      </c>
      <c r="D1757" s="624" t="s">
        <v>6535</v>
      </c>
      <c r="E1757" s="624">
        <v>40</v>
      </c>
      <c r="F1757" s="643">
        <v>0</v>
      </c>
      <c r="G1757" s="643">
        <v>0</v>
      </c>
      <c r="H1757" s="26">
        <v>0</v>
      </c>
      <c r="I1757" s="26">
        <f t="shared" si="184"/>
        <v>0</v>
      </c>
      <c r="J1757" s="1340" t="e">
        <f t="shared" si="182"/>
        <v>#DIV/0!</v>
      </c>
      <c r="K1757" s="1339">
        <f t="shared" si="183"/>
        <v>0</v>
      </c>
    </row>
    <row r="1758" spans="1:11" ht="15" x14ac:dyDescent="0.25">
      <c r="A1758" s="1341"/>
      <c r="B1758" s="624">
        <v>139520</v>
      </c>
      <c r="C1758" s="1344">
        <v>333903900000000</v>
      </c>
      <c r="D1758" s="624" t="s">
        <v>5344</v>
      </c>
      <c r="E1758" s="624">
        <v>40</v>
      </c>
      <c r="F1758" s="643">
        <v>0</v>
      </c>
      <c r="G1758" s="643">
        <v>0</v>
      </c>
      <c r="H1758" s="26">
        <v>0</v>
      </c>
      <c r="I1758" s="26">
        <f t="shared" si="184"/>
        <v>0</v>
      </c>
      <c r="J1758" s="1340" t="e">
        <f t="shared" ref="J1758:J1789" si="185">(G1758/F1758)+(H1758/G1758)/2</f>
        <v>#DIV/0!</v>
      </c>
      <c r="K1758" s="1339">
        <f t="shared" ref="K1758:K1789" si="186">I1758/I$1880</f>
        <v>0</v>
      </c>
    </row>
    <row r="1759" spans="1:11" ht="15" x14ac:dyDescent="0.25">
      <c r="A1759" s="1341"/>
      <c r="B1759" s="624">
        <v>134600</v>
      </c>
      <c r="C1759" s="1344">
        <v>333904000000000</v>
      </c>
      <c r="D1759" s="624" t="s">
        <v>6515</v>
      </c>
      <c r="E1759" s="624">
        <v>40</v>
      </c>
      <c r="F1759" s="643">
        <f>4739.99</f>
        <v>4739.99</v>
      </c>
      <c r="G1759" s="643">
        <v>0</v>
      </c>
      <c r="H1759" s="26">
        <v>0</v>
      </c>
      <c r="I1759" s="26">
        <f t="shared" si="184"/>
        <v>1579.9966666666667</v>
      </c>
      <c r="J1759" s="1340" t="e">
        <f t="shared" si="185"/>
        <v>#DIV/0!</v>
      </c>
      <c r="K1759" s="1339">
        <f t="shared" si="186"/>
        <v>8.0019748105168459E-4</v>
      </c>
    </row>
    <row r="1760" spans="1:11" ht="15" x14ac:dyDescent="0.25">
      <c r="A1760" s="1341"/>
      <c r="B1760" s="624">
        <v>135380</v>
      </c>
      <c r="C1760" s="1344">
        <v>333904600000000</v>
      </c>
      <c r="D1760" s="624" t="s">
        <v>5324</v>
      </c>
      <c r="E1760" s="624">
        <v>40</v>
      </c>
      <c r="F1760" s="643">
        <v>0</v>
      </c>
      <c r="G1760" s="643">
        <v>0</v>
      </c>
      <c r="H1760" s="26">
        <v>0</v>
      </c>
      <c r="I1760" s="26">
        <f t="shared" si="184"/>
        <v>0</v>
      </c>
      <c r="J1760" s="1340" t="e">
        <f t="shared" si="185"/>
        <v>#DIV/0!</v>
      </c>
      <c r="K1760" s="1339">
        <f t="shared" si="186"/>
        <v>0</v>
      </c>
    </row>
    <row r="1761" spans="1:11" ht="15" x14ac:dyDescent="0.25">
      <c r="A1761" s="1341"/>
      <c r="B1761" s="624">
        <v>138630</v>
      </c>
      <c r="C1761" s="1344">
        <v>333904600000000</v>
      </c>
      <c r="D1761" s="624" t="s">
        <v>6536</v>
      </c>
      <c r="E1761" s="624">
        <v>40</v>
      </c>
      <c r="F1761" s="643">
        <v>0</v>
      </c>
      <c r="G1761" s="643">
        <v>0</v>
      </c>
      <c r="H1761" s="26">
        <v>0</v>
      </c>
      <c r="I1761" s="26">
        <f t="shared" si="184"/>
        <v>0</v>
      </c>
      <c r="J1761" s="1340" t="e">
        <f t="shared" si="185"/>
        <v>#DIV/0!</v>
      </c>
      <c r="K1761" s="1339">
        <f t="shared" si="186"/>
        <v>0</v>
      </c>
    </row>
    <row r="1762" spans="1:11" ht="15" x14ac:dyDescent="0.25">
      <c r="A1762" s="1341"/>
      <c r="B1762" s="624">
        <v>139580</v>
      </c>
      <c r="C1762" s="1344">
        <v>333904600000000</v>
      </c>
      <c r="D1762" s="624" t="s">
        <v>5345</v>
      </c>
      <c r="E1762" s="624">
        <v>40</v>
      </c>
      <c r="F1762" s="643">
        <v>0</v>
      </c>
      <c r="G1762" s="643">
        <v>0</v>
      </c>
      <c r="H1762" s="26">
        <v>0</v>
      </c>
      <c r="I1762" s="26">
        <f t="shared" si="184"/>
        <v>0</v>
      </c>
      <c r="J1762" s="1340" t="e">
        <f t="shared" si="185"/>
        <v>#DIV/0!</v>
      </c>
      <c r="K1762" s="1339">
        <f t="shared" si="186"/>
        <v>0</v>
      </c>
    </row>
    <row r="1763" spans="1:11" ht="15" x14ac:dyDescent="0.25">
      <c r="A1763" s="1341"/>
      <c r="B1763" s="624">
        <v>134730</v>
      </c>
      <c r="C1763" s="1344">
        <v>333904700000000</v>
      </c>
      <c r="D1763" s="624" t="s">
        <v>6518</v>
      </c>
      <c r="E1763" s="624">
        <v>40</v>
      </c>
      <c r="F1763" s="643">
        <v>0</v>
      </c>
      <c r="G1763" s="643">
        <v>0</v>
      </c>
      <c r="H1763" s="26">
        <v>0</v>
      </c>
      <c r="I1763" s="26">
        <f t="shared" si="184"/>
        <v>0</v>
      </c>
      <c r="J1763" s="1340" t="e">
        <f t="shared" si="185"/>
        <v>#DIV/0!</v>
      </c>
      <c r="K1763" s="1339">
        <f t="shared" si="186"/>
        <v>0</v>
      </c>
    </row>
    <row r="1764" spans="1:11" ht="15" x14ac:dyDescent="0.25">
      <c r="A1764" s="1341"/>
      <c r="B1764" s="624">
        <v>135430</v>
      </c>
      <c r="C1764" s="1344">
        <v>333904700000000</v>
      </c>
      <c r="D1764" s="624" t="s">
        <v>5325</v>
      </c>
      <c r="E1764" s="624">
        <v>40</v>
      </c>
      <c r="F1764" s="643">
        <f>216+11155.8</f>
        <v>11371.8</v>
      </c>
      <c r="G1764" s="643">
        <v>842</v>
      </c>
      <c r="H1764" s="26">
        <v>0</v>
      </c>
      <c r="I1764" s="26">
        <f t="shared" si="184"/>
        <v>4071.2666666666664</v>
      </c>
      <c r="J1764" s="1340">
        <f t="shared" si="185"/>
        <v>7.4042807646986411E-2</v>
      </c>
      <c r="K1764" s="1339">
        <f t="shared" si="186"/>
        <v>2.0619140534197467E-3</v>
      </c>
    </row>
    <row r="1765" spans="1:11" ht="15" x14ac:dyDescent="0.25">
      <c r="A1765" s="1341"/>
      <c r="B1765" s="624">
        <v>138680</v>
      </c>
      <c r="C1765" s="1344">
        <v>333904700000000</v>
      </c>
      <c r="D1765" s="624" t="s">
        <v>6537</v>
      </c>
      <c r="E1765" s="624">
        <v>40</v>
      </c>
      <c r="F1765" s="643">
        <v>0</v>
      </c>
      <c r="G1765" s="643">
        <v>0</v>
      </c>
      <c r="H1765" s="26">
        <v>0</v>
      </c>
      <c r="I1765" s="26">
        <f t="shared" si="184"/>
        <v>0</v>
      </c>
      <c r="J1765" s="1340" t="e">
        <f t="shared" si="185"/>
        <v>#DIV/0!</v>
      </c>
      <c r="K1765" s="1339">
        <f t="shared" si="186"/>
        <v>0</v>
      </c>
    </row>
    <row r="1766" spans="1:11" ht="15" x14ac:dyDescent="0.25">
      <c r="A1766" s="1341"/>
      <c r="B1766" s="624">
        <v>139620</v>
      </c>
      <c r="C1766" s="1344">
        <v>333904700000000</v>
      </c>
      <c r="D1766" s="624" t="s">
        <v>7394</v>
      </c>
      <c r="E1766" s="624">
        <v>40</v>
      </c>
      <c r="F1766" s="643">
        <v>0</v>
      </c>
      <c r="G1766" s="643">
        <v>0</v>
      </c>
      <c r="H1766" s="26">
        <v>0</v>
      </c>
      <c r="I1766" s="26">
        <f t="shared" si="184"/>
        <v>0</v>
      </c>
      <c r="J1766" s="1340" t="e">
        <f t="shared" si="185"/>
        <v>#DIV/0!</v>
      </c>
      <c r="K1766" s="1339">
        <f t="shared" si="186"/>
        <v>0</v>
      </c>
    </row>
    <row r="1767" spans="1:11" ht="15" x14ac:dyDescent="0.25">
      <c r="A1767" s="1341"/>
      <c r="B1767" s="624">
        <v>135480</v>
      </c>
      <c r="C1767" s="1344">
        <v>333904900000000</v>
      </c>
      <c r="D1767" s="624" t="s">
        <v>5326</v>
      </c>
      <c r="E1767" s="624">
        <v>40</v>
      </c>
      <c r="F1767" s="643">
        <f>6007.13+11989.18</f>
        <v>17996.310000000001</v>
      </c>
      <c r="G1767" s="643">
        <v>18860.93</v>
      </c>
      <c r="H1767" s="26">
        <v>0</v>
      </c>
      <c r="I1767" s="26">
        <f t="shared" si="184"/>
        <v>12285.746666666668</v>
      </c>
      <c r="J1767" s="1340">
        <f t="shared" si="185"/>
        <v>1.048044293524617</v>
      </c>
      <c r="K1767" s="1339">
        <f t="shared" si="186"/>
        <v>6.2221799215857829E-3</v>
      </c>
    </row>
    <row r="1768" spans="1:11" ht="15" x14ac:dyDescent="0.25">
      <c r="A1768" s="1341"/>
      <c r="B1768" s="624">
        <v>138730</v>
      </c>
      <c r="C1768" s="1344">
        <v>333904900000000</v>
      </c>
      <c r="D1768" s="624" t="s">
        <v>6538</v>
      </c>
      <c r="E1768" s="624">
        <v>40</v>
      </c>
      <c r="F1768" s="643">
        <v>0</v>
      </c>
      <c r="G1768" s="643">
        <v>0</v>
      </c>
      <c r="H1768" s="26">
        <v>0</v>
      </c>
      <c r="I1768" s="26">
        <f t="shared" si="184"/>
        <v>0</v>
      </c>
      <c r="J1768" s="1340" t="e">
        <f t="shared" si="185"/>
        <v>#DIV/0!</v>
      </c>
      <c r="K1768" s="1339">
        <f t="shared" si="186"/>
        <v>0</v>
      </c>
    </row>
    <row r="1769" spans="1:11" ht="15" x14ac:dyDescent="0.25">
      <c r="A1769" s="1341"/>
      <c r="B1769" s="624">
        <v>139650</v>
      </c>
      <c r="C1769" s="1344">
        <v>333904900000000</v>
      </c>
      <c r="D1769" s="624" t="s">
        <v>5347</v>
      </c>
      <c r="E1769" s="624">
        <v>40</v>
      </c>
      <c r="F1769" s="643">
        <v>488.38</v>
      </c>
      <c r="G1769" s="643">
        <v>522.54</v>
      </c>
      <c r="H1769" s="26">
        <v>0</v>
      </c>
      <c r="I1769" s="26">
        <f t="shared" si="184"/>
        <v>336.9733333333333</v>
      </c>
      <c r="J1769" s="1340">
        <f t="shared" si="185"/>
        <v>1.0699455342151603</v>
      </c>
      <c r="K1769" s="1339">
        <f t="shared" si="186"/>
        <v>1.706618869543541E-4</v>
      </c>
    </row>
    <row r="1770" spans="1:11" ht="15" x14ac:dyDescent="0.25">
      <c r="A1770" s="1341"/>
      <c r="B1770" s="624">
        <v>135530</v>
      </c>
      <c r="C1770" s="1344">
        <v>333909200000000</v>
      </c>
      <c r="D1770" s="624" t="s">
        <v>5327</v>
      </c>
      <c r="E1770" s="624">
        <v>40</v>
      </c>
      <c r="F1770" s="643">
        <v>0</v>
      </c>
      <c r="G1770" s="643">
        <v>1143.52</v>
      </c>
      <c r="H1770" s="26">
        <v>0</v>
      </c>
      <c r="I1770" s="26">
        <f t="shared" si="184"/>
        <v>381.17333333333335</v>
      </c>
      <c r="J1770" s="1340" t="e">
        <f t="shared" si="185"/>
        <v>#DIV/0!</v>
      </c>
      <c r="K1770" s="1339">
        <f t="shared" si="186"/>
        <v>1.9304720548613444E-4</v>
      </c>
    </row>
    <row r="1771" spans="1:11" ht="15" x14ac:dyDescent="0.25">
      <c r="A1771" s="1341"/>
      <c r="B1771" s="624">
        <v>138760</v>
      </c>
      <c r="C1771" s="1344">
        <v>333909200000000</v>
      </c>
      <c r="D1771" s="624" t="s">
        <v>6539</v>
      </c>
      <c r="E1771" s="624">
        <v>40</v>
      </c>
      <c r="F1771" s="643">
        <v>0</v>
      </c>
      <c r="G1771" s="643">
        <v>0</v>
      </c>
      <c r="H1771" s="26">
        <v>0</v>
      </c>
      <c r="I1771" s="26">
        <f t="shared" si="184"/>
        <v>0</v>
      </c>
      <c r="J1771" s="1340" t="e">
        <f t="shared" si="185"/>
        <v>#DIV/0!</v>
      </c>
      <c r="K1771" s="1339">
        <f t="shared" si="186"/>
        <v>0</v>
      </c>
    </row>
    <row r="1772" spans="1:11" ht="15" x14ac:dyDescent="0.25">
      <c r="A1772" s="1341"/>
      <c r="B1772" s="624">
        <v>139680</v>
      </c>
      <c r="C1772" s="1344">
        <v>333909200000000</v>
      </c>
      <c r="D1772" s="624" t="s">
        <v>5348</v>
      </c>
      <c r="E1772" s="624">
        <v>40</v>
      </c>
      <c r="F1772" s="643">
        <v>0</v>
      </c>
      <c r="G1772" s="643">
        <v>0</v>
      </c>
      <c r="H1772" s="26">
        <v>0</v>
      </c>
      <c r="I1772" s="26">
        <f t="shared" si="184"/>
        <v>0</v>
      </c>
      <c r="J1772" s="1340" t="e">
        <f t="shared" si="185"/>
        <v>#DIV/0!</v>
      </c>
      <c r="K1772" s="1339">
        <f t="shared" si="186"/>
        <v>0</v>
      </c>
    </row>
    <row r="1773" spans="1:11" ht="15" x14ac:dyDescent="0.25">
      <c r="A1773" s="1341"/>
      <c r="B1773" s="624">
        <v>135560</v>
      </c>
      <c r="C1773" s="1344">
        <v>333909300000000</v>
      </c>
      <c r="D1773" s="624" t="s">
        <v>5328</v>
      </c>
      <c r="E1773" s="624">
        <v>40</v>
      </c>
      <c r="F1773" s="643">
        <f>390.29+342</f>
        <v>732.29</v>
      </c>
      <c r="G1773" s="643">
        <v>291.38</v>
      </c>
      <c r="H1773" s="26">
        <v>0</v>
      </c>
      <c r="I1773" s="26">
        <f t="shared" si="184"/>
        <v>341.2233333333333</v>
      </c>
      <c r="J1773" s="1340">
        <f t="shared" si="185"/>
        <v>0.39790247033279169</v>
      </c>
      <c r="K1773" s="1339">
        <f t="shared" si="186"/>
        <v>1.7281432142856375E-4</v>
      </c>
    </row>
    <row r="1774" spans="1:11" ht="15" x14ac:dyDescent="0.25">
      <c r="A1774" s="1341"/>
      <c r="B1774" s="624">
        <v>138820</v>
      </c>
      <c r="C1774" s="1344">
        <v>333909300000000</v>
      </c>
      <c r="D1774" s="624" t="s">
        <v>6540</v>
      </c>
      <c r="E1774" s="624">
        <v>40</v>
      </c>
      <c r="F1774" s="643">
        <v>0</v>
      </c>
      <c r="G1774" s="643">
        <v>0</v>
      </c>
      <c r="H1774" s="26">
        <v>0</v>
      </c>
      <c r="I1774" s="26">
        <f t="shared" si="184"/>
        <v>0</v>
      </c>
      <c r="J1774" s="1340" t="e">
        <f t="shared" si="185"/>
        <v>#DIV/0!</v>
      </c>
      <c r="K1774" s="1339">
        <f t="shared" si="186"/>
        <v>0</v>
      </c>
    </row>
    <row r="1775" spans="1:11" ht="15" x14ac:dyDescent="0.25">
      <c r="A1775" s="1341"/>
      <c r="B1775" s="624">
        <v>139710</v>
      </c>
      <c r="C1775" s="1344">
        <v>333909300000000</v>
      </c>
      <c r="D1775" s="624" t="s">
        <v>5349</v>
      </c>
      <c r="E1775" s="624">
        <v>40</v>
      </c>
      <c r="F1775" s="643">
        <v>0</v>
      </c>
      <c r="G1775" s="643">
        <v>0</v>
      </c>
      <c r="H1775" s="26">
        <v>0</v>
      </c>
      <c r="I1775" s="26">
        <f t="shared" si="184"/>
        <v>0</v>
      </c>
      <c r="J1775" s="1340" t="e">
        <f t="shared" si="185"/>
        <v>#DIV/0!</v>
      </c>
      <c r="K1775" s="1339">
        <f t="shared" si="186"/>
        <v>0</v>
      </c>
    </row>
    <row r="1776" spans="1:11" ht="15" x14ac:dyDescent="0.25">
      <c r="A1776" s="1341"/>
      <c r="B1776" s="624">
        <v>135620</v>
      </c>
      <c r="C1776" s="1344">
        <v>333933000000000</v>
      </c>
      <c r="D1776" s="624" t="s">
        <v>5329</v>
      </c>
      <c r="E1776" s="624">
        <v>40</v>
      </c>
      <c r="F1776" s="643">
        <v>0</v>
      </c>
      <c r="G1776" s="643">
        <v>0</v>
      </c>
      <c r="H1776" s="26">
        <v>0</v>
      </c>
      <c r="I1776" s="26">
        <f t="shared" si="184"/>
        <v>0</v>
      </c>
      <c r="J1776" s="1340" t="e">
        <f t="shared" si="185"/>
        <v>#DIV/0!</v>
      </c>
      <c r="K1776" s="1339">
        <f t="shared" si="186"/>
        <v>0</v>
      </c>
    </row>
    <row r="1777" spans="1:11" ht="15" x14ac:dyDescent="0.25">
      <c r="A1777" s="1341"/>
      <c r="B1777" s="624">
        <v>138850</v>
      </c>
      <c r="C1777" s="1344">
        <v>333933000000000</v>
      </c>
      <c r="D1777" s="624" t="s">
        <v>6541</v>
      </c>
      <c r="E1777" s="624">
        <v>40</v>
      </c>
      <c r="F1777" s="643">
        <v>0</v>
      </c>
      <c r="G1777" s="643">
        <v>0</v>
      </c>
      <c r="H1777" s="26">
        <v>0</v>
      </c>
      <c r="I1777" s="26">
        <f t="shared" si="184"/>
        <v>0</v>
      </c>
      <c r="J1777" s="1340" t="e">
        <f t="shared" si="185"/>
        <v>#DIV/0!</v>
      </c>
      <c r="K1777" s="1339">
        <f t="shared" si="186"/>
        <v>0</v>
      </c>
    </row>
    <row r="1778" spans="1:11" ht="15" x14ac:dyDescent="0.25">
      <c r="A1778" s="1341"/>
      <c r="B1778" s="624">
        <v>138880</v>
      </c>
      <c r="C1778" s="1344">
        <v>333933000000000</v>
      </c>
      <c r="D1778" s="624" t="s">
        <v>6542</v>
      </c>
      <c r="E1778" s="624">
        <v>40</v>
      </c>
      <c r="F1778" s="643">
        <v>0</v>
      </c>
      <c r="G1778" s="643">
        <v>0</v>
      </c>
      <c r="H1778" s="26">
        <v>0</v>
      </c>
      <c r="I1778" s="26">
        <f t="shared" si="184"/>
        <v>0</v>
      </c>
      <c r="J1778" s="1340" t="e">
        <f t="shared" si="185"/>
        <v>#DIV/0!</v>
      </c>
      <c r="K1778" s="1339">
        <f t="shared" si="186"/>
        <v>0</v>
      </c>
    </row>
    <row r="1779" spans="1:11" ht="15" x14ac:dyDescent="0.25">
      <c r="A1779" s="1341"/>
      <c r="B1779" s="624">
        <v>138930</v>
      </c>
      <c r="C1779" s="1344">
        <v>333933000000000</v>
      </c>
      <c r="D1779" s="624" t="s">
        <v>6543</v>
      </c>
      <c r="E1779" s="624">
        <v>40</v>
      </c>
      <c r="F1779" s="643">
        <v>0</v>
      </c>
      <c r="G1779" s="643">
        <v>0</v>
      </c>
      <c r="H1779" s="26">
        <v>0</v>
      </c>
      <c r="I1779" s="26">
        <f t="shared" si="184"/>
        <v>0</v>
      </c>
      <c r="J1779" s="1340" t="e">
        <f t="shared" si="185"/>
        <v>#DIV/0!</v>
      </c>
      <c r="K1779" s="1339">
        <f t="shared" si="186"/>
        <v>0</v>
      </c>
    </row>
    <row r="1780" spans="1:11" ht="15" x14ac:dyDescent="0.25">
      <c r="A1780" s="1341"/>
      <c r="B1780" s="624">
        <v>139740</v>
      </c>
      <c r="C1780" s="1344">
        <v>333933000000000</v>
      </c>
      <c r="D1780" s="624" t="s">
        <v>5350</v>
      </c>
      <c r="E1780" s="624">
        <v>40</v>
      </c>
      <c r="F1780" s="643">
        <v>0</v>
      </c>
      <c r="G1780" s="643">
        <v>0</v>
      </c>
      <c r="H1780" s="26">
        <v>0</v>
      </c>
      <c r="I1780" s="26">
        <f t="shared" ref="I1780:I1784" si="187">(F1780+G1780+H1780)/3</f>
        <v>0</v>
      </c>
      <c r="J1780" s="1340" t="e">
        <f t="shared" si="185"/>
        <v>#DIV/0!</v>
      </c>
      <c r="K1780" s="1339">
        <f t="shared" si="186"/>
        <v>0</v>
      </c>
    </row>
    <row r="1781" spans="1:11" ht="15" x14ac:dyDescent="0.25">
      <c r="A1781" s="1341"/>
      <c r="B1781" s="624">
        <v>135650</v>
      </c>
      <c r="C1781" s="1344">
        <v>344905100000000</v>
      </c>
      <c r="D1781" s="624" t="s">
        <v>5330</v>
      </c>
      <c r="E1781" s="624">
        <v>40</v>
      </c>
      <c r="F1781" s="643">
        <v>0</v>
      </c>
      <c r="G1781" s="643">
        <v>0</v>
      </c>
      <c r="H1781" s="26">
        <v>0</v>
      </c>
      <c r="I1781" s="26">
        <f t="shared" si="187"/>
        <v>0</v>
      </c>
      <c r="J1781" s="1340" t="e">
        <f t="shared" si="185"/>
        <v>#DIV/0!</v>
      </c>
      <c r="K1781" s="1339">
        <f t="shared" si="186"/>
        <v>0</v>
      </c>
    </row>
    <row r="1782" spans="1:11" ht="15" x14ac:dyDescent="0.25">
      <c r="A1782" s="1341"/>
      <c r="B1782" s="624">
        <v>139770</v>
      </c>
      <c r="C1782" s="1344">
        <v>344905100000000</v>
      </c>
      <c r="D1782" s="624" t="s">
        <v>5351</v>
      </c>
      <c r="E1782" s="624">
        <v>40</v>
      </c>
      <c r="F1782" s="643">
        <v>0</v>
      </c>
      <c r="G1782" s="643">
        <v>0</v>
      </c>
      <c r="H1782" s="26">
        <v>0</v>
      </c>
      <c r="I1782" s="26">
        <f t="shared" si="187"/>
        <v>0</v>
      </c>
      <c r="J1782" s="1340" t="e">
        <f t="shared" si="185"/>
        <v>#DIV/0!</v>
      </c>
      <c r="K1782" s="1339">
        <f t="shared" si="186"/>
        <v>0</v>
      </c>
    </row>
    <row r="1783" spans="1:11" ht="15" x14ac:dyDescent="0.25">
      <c r="A1783" s="1341"/>
      <c r="B1783" s="624">
        <v>135700</v>
      </c>
      <c r="C1783" s="1344">
        <v>344905200000000</v>
      </c>
      <c r="D1783" s="624" t="s">
        <v>5331</v>
      </c>
      <c r="E1783" s="624">
        <v>40</v>
      </c>
      <c r="F1783" s="643">
        <v>0</v>
      </c>
      <c r="G1783" s="643">
        <v>0</v>
      </c>
      <c r="H1783" s="26">
        <v>0</v>
      </c>
      <c r="I1783" s="26">
        <f t="shared" si="187"/>
        <v>0</v>
      </c>
      <c r="J1783" s="1340" t="e">
        <f t="shared" si="185"/>
        <v>#DIV/0!</v>
      </c>
      <c r="K1783" s="1339">
        <f t="shared" si="186"/>
        <v>0</v>
      </c>
    </row>
    <row r="1784" spans="1:11" ht="15" x14ac:dyDescent="0.25">
      <c r="A1784" s="1341"/>
      <c r="B1784" s="624">
        <v>139800</v>
      </c>
      <c r="C1784" s="1344">
        <v>344905200000000</v>
      </c>
      <c r="D1784" s="624" t="s">
        <v>5352</v>
      </c>
      <c r="E1784" s="624">
        <v>40</v>
      </c>
      <c r="F1784" s="643">
        <v>0</v>
      </c>
      <c r="G1784" s="643">
        <v>0</v>
      </c>
      <c r="H1784" s="26">
        <v>0</v>
      </c>
      <c r="I1784" s="26">
        <f t="shared" si="187"/>
        <v>0</v>
      </c>
      <c r="J1784" s="1340" t="e">
        <f t="shared" si="185"/>
        <v>#DIV/0!</v>
      </c>
      <c r="K1784" s="1339">
        <f t="shared" si="186"/>
        <v>0</v>
      </c>
    </row>
    <row r="1785" spans="1:11" s="12" customFormat="1" ht="15" x14ac:dyDescent="0.25">
      <c r="A1785" s="1081"/>
      <c r="B1785" s="570" t="s">
        <v>2965</v>
      </c>
      <c r="C1785" s="1345">
        <v>42</v>
      </c>
      <c r="D1785" s="570" t="s">
        <v>5497</v>
      </c>
      <c r="E1785" s="570"/>
      <c r="F1785" s="642">
        <f>SUM(F1786:F1811)</f>
        <v>131886.38</v>
      </c>
      <c r="G1785" s="642">
        <f>SUM(G1786:G1811)</f>
        <v>278730.81</v>
      </c>
      <c r="H1785" s="642">
        <f>SUM(H1786:H1811)</f>
        <v>0</v>
      </c>
      <c r="I1785" s="642">
        <f>SUM(I1786:I1811)</f>
        <v>136872.39666666664</v>
      </c>
      <c r="J1785" s="1338">
        <f t="shared" si="185"/>
        <v>2.1134161844460357</v>
      </c>
      <c r="K1785" s="1337">
        <f t="shared" si="186"/>
        <v>6.931973297718369E-2</v>
      </c>
    </row>
    <row r="1786" spans="1:11" ht="15" x14ac:dyDescent="0.25">
      <c r="A1786" s="1341"/>
      <c r="B1786" s="624">
        <v>141000</v>
      </c>
      <c r="C1786" s="1344">
        <v>331900400000000</v>
      </c>
      <c r="D1786" s="624" t="s">
        <v>6549</v>
      </c>
      <c r="E1786" s="624">
        <v>40</v>
      </c>
      <c r="F1786" s="643">
        <v>0</v>
      </c>
      <c r="G1786" s="643">
        <v>0</v>
      </c>
      <c r="H1786" s="26">
        <v>0</v>
      </c>
      <c r="I1786" s="26">
        <f t="shared" ref="I1786:I1811" si="188">(F1786+G1786+H1786)/3</f>
        <v>0</v>
      </c>
      <c r="J1786" s="1340" t="e">
        <f t="shared" si="185"/>
        <v>#DIV/0!</v>
      </c>
      <c r="K1786" s="1339">
        <f t="shared" si="186"/>
        <v>0</v>
      </c>
    </row>
    <row r="1787" spans="1:11" ht="15" x14ac:dyDescent="0.25">
      <c r="A1787" s="1341"/>
      <c r="B1787" s="624">
        <v>141050</v>
      </c>
      <c r="C1787" s="1344">
        <v>331900800000000</v>
      </c>
      <c r="D1787" s="624" t="s">
        <v>6548</v>
      </c>
      <c r="E1787" s="624">
        <v>1</v>
      </c>
      <c r="F1787" s="643">
        <v>0</v>
      </c>
      <c r="G1787" s="643">
        <v>0</v>
      </c>
      <c r="H1787" s="26">
        <v>0</v>
      </c>
      <c r="I1787" s="26">
        <f t="shared" si="188"/>
        <v>0</v>
      </c>
      <c r="J1787" s="1340" t="e">
        <f t="shared" si="185"/>
        <v>#DIV/0!</v>
      </c>
      <c r="K1787" s="1339">
        <f t="shared" si="186"/>
        <v>0</v>
      </c>
    </row>
    <row r="1788" spans="1:11" ht="15" x14ac:dyDescent="0.25">
      <c r="A1788" s="1341"/>
      <c r="B1788" s="624">
        <v>141100</v>
      </c>
      <c r="C1788" s="1344">
        <v>331901100000000</v>
      </c>
      <c r="D1788" s="624" t="s">
        <v>7393</v>
      </c>
      <c r="E1788" s="624">
        <v>40</v>
      </c>
      <c r="F1788" s="643">
        <v>0</v>
      </c>
      <c r="G1788" s="643">
        <v>1013.5</v>
      </c>
      <c r="H1788" s="26">
        <v>0</v>
      </c>
      <c r="I1788" s="26">
        <f t="shared" si="188"/>
        <v>337.83333333333331</v>
      </c>
      <c r="J1788" s="1340" t="e">
        <f t="shared" si="185"/>
        <v>#DIV/0!</v>
      </c>
      <c r="K1788" s="1339">
        <f t="shared" si="186"/>
        <v>1.7109743840090007E-4</v>
      </c>
    </row>
    <row r="1789" spans="1:11" ht="15" x14ac:dyDescent="0.25">
      <c r="A1789" s="1341"/>
      <c r="B1789" s="624">
        <v>141180</v>
      </c>
      <c r="C1789" s="1344">
        <v>331901300000000</v>
      </c>
      <c r="D1789" s="624" t="s">
        <v>6550</v>
      </c>
      <c r="E1789" s="624">
        <v>40</v>
      </c>
      <c r="F1789" s="643">
        <v>0</v>
      </c>
      <c r="G1789" s="643">
        <v>0</v>
      </c>
      <c r="H1789" s="26">
        <v>0</v>
      </c>
      <c r="I1789" s="26">
        <f t="shared" si="188"/>
        <v>0</v>
      </c>
      <c r="J1789" s="1340" t="e">
        <f t="shared" si="185"/>
        <v>#DIV/0!</v>
      </c>
      <c r="K1789" s="1339">
        <f t="shared" si="186"/>
        <v>0</v>
      </c>
    </row>
    <row r="1790" spans="1:11" ht="15" x14ac:dyDescent="0.25">
      <c r="A1790" s="1341"/>
      <c r="B1790" s="624">
        <v>141230</v>
      </c>
      <c r="C1790" s="1344">
        <v>331901600000000</v>
      </c>
      <c r="D1790" s="624" t="s">
        <v>6551</v>
      </c>
      <c r="E1790" s="624">
        <v>40</v>
      </c>
      <c r="F1790" s="643">
        <v>0</v>
      </c>
      <c r="G1790" s="643">
        <v>0</v>
      </c>
      <c r="H1790" s="26">
        <v>0</v>
      </c>
      <c r="I1790" s="26">
        <f t="shared" si="188"/>
        <v>0</v>
      </c>
      <c r="J1790" s="1340" t="e">
        <f t="shared" ref="J1790:J1821" si="189">(G1790/F1790)+(H1790/G1790)/2</f>
        <v>#DIV/0!</v>
      </c>
      <c r="K1790" s="1339">
        <f t="shared" ref="K1790:K1821" si="190">I1790/I$1880</f>
        <v>0</v>
      </c>
    </row>
    <row r="1791" spans="1:11" ht="15" x14ac:dyDescent="0.25">
      <c r="A1791" s="1341"/>
      <c r="B1791" s="624">
        <v>141260</v>
      </c>
      <c r="C1791" s="1344">
        <v>331903400000000</v>
      </c>
      <c r="D1791" s="624" t="s">
        <v>5380</v>
      </c>
      <c r="E1791" s="624">
        <v>40</v>
      </c>
      <c r="F1791" s="643">
        <v>0</v>
      </c>
      <c r="G1791" s="643">
        <v>0</v>
      </c>
      <c r="H1791" s="26">
        <v>0</v>
      </c>
      <c r="I1791" s="26">
        <f t="shared" si="188"/>
        <v>0</v>
      </c>
      <c r="J1791" s="1340" t="e">
        <f t="shared" si="189"/>
        <v>#DIV/0!</v>
      </c>
      <c r="K1791" s="1339">
        <f t="shared" si="190"/>
        <v>0</v>
      </c>
    </row>
    <row r="1792" spans="1:11" ht="15" x14ac:dyDescent="0.25">
      <c r="A1792" s="1341"/>
      <c r="B1792" s="624">
        <v>141300</v>
      </c>
      <c r="C1792" s="1344">
        <v>331909400000000</v>
      </c>
      <c r="D1792" s="624" t="s">
        <v>6553</v>
      </c>
      <c r="E1792" s="624">
        <v>40</v>
      </c>
      <c r="F1792" s="643">
        <v>0</v>
      </c>
      <c r="G1792" s="643">
        <v>0</v>
      </c>
      <c r="H1792" s="26">
        <v>0</v>
      </c>
      <c r="I1792" s="26">
        <f t="shared" si="188"/>
        <v>0</v>
      </c>
      <c r="J1792" s="1340" t="e">
        <f t="shared" si="189"/>
        <v>#DIV/0!</v>
      </c>
      <c r="K1792" s="1339">
        <f t="shared" si="190"/>
        <v>0</v>
      </c>
    </row>
    <row r="1793" spans="1:11" ht="15" x14ac:dyDescent="0.25">
      <c r="A1793" s="1341"/>
      <c r="B1793" s="624">
        <v>140800</v>
      </c>
      <c r="C1793" s="1344">
        <v>333717000000000</v>
      </c>
      <c r="D1793" s="624" t="s">
        <v>7392</v>
      </c>
      <c r="E1793" s="624">
        <v>40</v>
      </c>
      <c r="F1793" s="643">
        <v>0</v>
      </c>
      <c r="G1793" s="643">
        <v>0</v>
      </c>
      <c r="H1793" s="26">
        <v>0</v>
      </c>
      <c r="I1793" s="26">
        <f t="shared" si="188"/>
        <v>0</v>
      </c>
      <c r="J1793" s="1340" t="e">
        <f t="shared" si="189"/>
        <v>#DIV/0!</v>
      </c>
      <c r="K1793" s="1339">
        <f t="shared" si="190"/>
        <v>0</v>
      </c>
    </row>
    <row r="1794" spans="1:11" ht="15" x14ac:dyDescent="0.25">
      <c r="A1794" s="1341"/>
      <c r="B1794" s="624">
        <v>140850</v>
      </c>
      <c r="C1794" s="1344">
        <v>333719200000000</v>
      </c>
      <c r="D1794" s="624" t="s">
        <v>7391</v>
      </c>
      <c r="E1794" s="624">
        <v>40</v>
      </c>
      <c r="F1794" s="643">
        <v>0</v>
      </c>
      <c r="G1794" s="643">
        <v>0</v>
      </c>
      <c r="H1794" s="26">
        <v>0</v>
      </c>
      <c r="I1794" s="26">
        <f t="shared" si="188"/>
        <v>0</v>
      </c>
      <c r="J1794" s="1340" t="e">
        <f t="shared" si="189"/>
        <v>#DIV/0!</v>
      </c>
      <c r="K1794" s="1339">
        <f t="shared" si="190"/>
        <v>0</v>
      </c>
    </row>
    <row r="1795" spans="1:11" ht="15" x14ac:dyDescent="0.25">
      <c r="A1795" s="1341"/>
      <c r="B1795" s="624">
        <v>141360</v>
      </c>
      <c r="C1795" s="1344">
        <v>333901400000000</v>
      </c>
      <c r="D1795" s="624" t="s">
        <v>5382</v>
      </c>
      <c r="E1795" s="624">
        <v>40</v>
      </c>
      <c r="F1795" s="643">
        <v>1260</v>
      </c>
      <c r="G1795" s="643">
        <v>35034</v>
      </c>
      <c r="H1795" s="26">
        <v>0</v>
      </c>
      <c r="I1795" s="26">
        <f t="shared" si="188"/>
        <v>12098</v>
      </c>
      <c r="J1795" s="1340">
        <f t="shared" si="189"/>
        <v>27.804761904761904</v>
      </c>
      <c r="K1795" s="1339">
        <f t="shared" si="190"/>
        <v>6.1270946515266577E-3</v>
      </c>
    </row>
    <row r="1796" spans="1:11" ht="15" x14ac:dyDescent="0.25">
      <c r="A1796" s="1341"/>
      <c r="B1796" s="624">
        <v>141390</v>
      </c>
      <c r="C1796" s="1344">
        <v>333903000000000</v>
      </c>
      <c r="D1796" s="624" t="s">
        <v>5383</v>
      </c>
      <c r="E1796" s="624">
        <v>40</v>
      </c>
      <c r="F1796" s="643">
        <v>0</v>
      </c>
      <c r="G1796" s="643">
        <v>79326.759999999995</v>
      </c>
      <c r="H1796" s="26">
        <v>0</v>
      </c>
      <c r="I1796" s="26">
        <f t="shared" si="188"/>
        <v>26442.25333333333</v>
      </c>
      <c r="J1796" s="1340" t="e">
        <f t="shared" si="189"/>
        <v>#DIV/0!</v>
      </c>
      <c r="K1796" s="1339">
        <f t="shared" si="190"/>
        <v>1.3391815917753312E-2</v>
      </c>
    </row>
    <row r="1797" spans="1:11" ht="15" x14ac:dyDescent="0.25">
      <c r="A1797" s="1341"/>
      <c r="B1797" s="624">
        <v>141450</v>
      </c>
      <c r="C1797" s="1344">
        <v>333903200000000</v>
      </c>
      <c r="D1797" s="624" t="s">
        <v>5474</v>
      </c>
      <c r="E1797" s="624">
        <v>40</v>
      </c>
      <c r="F1797" s="643">
        <v>22090.84</v>
      </c>
      <c r="G1797" s="643">
        <v>42427.05</v>
      </c>
      <c r="H1797" s="26">
        <v>0</v>
      </c>
      <c r="I1797" s="26">
        <f t="shared" si="188"/>
        <v>21505.963333333333</v>
      </c>
      <c r="J1797" s="1340">
        <f t="shared" si="189"/>
        <v>1.9205720561101345</v>
      </c>
      <c r="K1797" s="1339">
        <f t="shared" si="190"/>
        <v>1.0891806324648295E-2</v>
      </c>
    </row>
    <row r="1798" spans="1:11" ht="15" x14ac:dyDescent="0.25">
      <c r="A1798" s="1341"/>
      <c r="B1798" s="624">
        <v>141480</v>
      </c>
      <c r="C1798" s="1344">
        <v>333903300000000</v>
      </c>
      <c r="D1798" s="624" t="s">
        <v>5384</v>
      </c>
      <c r="E1798" s="624">
        <v>40</v>
      </c>
      <c r="F1798" s="643">
        <v>0</v>
      </c>
      <c r="G1798" s="643">
        <v>32.65</v>
      </c>
      <c r="H1798" s="26">
        <v>0</v>
      </c>
      <c r="I1798" s="26">
        <f t="shared" si="188"/>
        <v>10.883333333333333</v>
      </c>
      <c r="J1798" s="1340" t="e">
        <f t="shared" si="189"/>
        <v>#DIV/0!</v>
      </c>
      <c r="K1798" s="1339">
        <f t="shared" si="190"/>
        <v>5.5119204378780335E-6</v>
      </c>
    </row>
    <row r="1799" spans="1:11" ht="15" x14ac:dyDescent="0.25">
      <c r="A1799" s="1341"/>
      <c r="B1799" s="624">
        <v>141510</v>
      </c>
      <c r="C1799" s="1344">
        <v>333903500000000</v>
      </c>
      <c r="D1799" s="624" t="s">
        <v>5385</v>
      </c>
      <c r="E1799" s="624">
        <v>40</v>
      </c>
      <c r="F1799" s="643">
        <v>0</v>
      </c>
      <c r="G1799" s="643">
        <v>0</v>
      </c>
      <c r="H1799" s="26">
        <v>0</v>
      </c>
      <c r="I1799" s="26">
        <f t="shared" si="188"/>
        <v>0</v>
      </c>
      <c r="J1799" s="1340" t="e">
        <f t="shared" si="189"/>
        <v>#DIV/0!</v>
      </c>
      <c r="K1799" s="1339">
        <f t="shared" si="190"/>
        <v>0</v>
      </c>
    </row>
    <row r="1800" spans="1:11" ht="15" x14ac:dyDescent="0.25">
      <c r="A1800" s="1341"/>
      <c r="B1800" s="624">
        <v>141540</v>
      </c>
      <c r="C1800" s="1344">
        <v>333903600000000</v>
      </c>
      <c r="D1800" s="624" t="s">
        <v>5386</v>
      </c>
      <c r="E1800" s="624">
        <v>40</v>
      </c>
      <c r="F1800" s="643">
        <v>0</v>
      </c>
      <c r="G1800" s="643">
        <v>0</v>
      </c>
      <c r="H1800" s="26">
        <v>0</v>
      </c>
      <c r="I1800" s="26">
        <f t="shared" si="188"/>
        <v>0</v>
      </c>
      <c r="J1800" s="1340" t="e">
        <f t="shared" si="189"/>
        <v>#DIV/0!</v>
      </c>
      <c r="K1800" s="1339">
        <f t="shared" si="190"/>
        <v>0</v>
      </c>
    </row>
    <row r="1801" spans="1:11" ht="15" x14ac:dyDescent="0.25">
      <c r="A1801" s="1341"/>
      <c r="B1801" s="624">
        <v>141600</v>
      </c>
      <c r="C1801" s="1344">
        <v>333903900000000</v>
      </c>
      <c r="D1801" s="624" t="s">
        <v>5387</v>
      </c>
      <c r="E1801" s="624">
        <v>40</v>
      </c>
      <c r="F1801" s="643">
        <v>103591.56</v>
      </c>
      <c r="G1801" s="643">
        <v>118775.42</v>
      </c>
      <c r="H1801" s="26">
        <v>0</v>
      </c>
      <c r="I1801" s="26">
        <f t="shared" si="188"/>
        <v>74122.32666666666</v>
      </c>
      <c r="J1801" s="1340">
        <f t="shared" si="189"/>
        <v>1.1465742962071428</v>
      </c>
      <c r="K1801" s="1339">
        <f t="shared" si="190"/>
        <v>3.7539635582579355E-2</v>
      </c>
    </row>
    <row r="1802" spans="1:11" ht="15" x14ac:dyDescent="0.25">
      <c r="A1802" s="1341"/>
      <c r="B1802" s="624">
        <v>141680</v>
      </c>
      <c r="C1802" s="1344">
        <v>333904600000000</v>
      </c>
      <c r="D1802" s="624" t="s">
        <v>5388</v>
      </c>
      <c r="E1802" s="624">
        <v>40</v>
      </c>
      <c r="F1802" s="643">
        <v>0</v>
      </c>
      <c r="G1802" s="643">
        <v>0</v>
      </c>
      <c r="H1802" s="26">
        <v>0</v>
      </c>
      <c r="I1802" s="26">
        <f t="shared" si="188"/>
        <v>0</v>
      </c>
      <c r="J1802" s="1340" t="e">
        <f t="shared" si="189"/>
        <v>#DIV/0!</v>
      </c>
      <c r="K1802" s="1339">
        <f t="shared" si="190"/>
        <v>0</v>
      </c>
    </row>
    <row r="1803" spans="1:11" ht="15" x14ac:dyDescent="0.25">
      <c r="A1803" s="1341"/>
      <c r="B1803" s="624">
        <v>141730</v>
      </c>
      <c r="C1803" s="1344">
        <v>333904700000000</v>
      </c>
      <c r="D1803" s="624" t="s">
        <v>5389</v>
      </c>
      <c r="E1803" s="624">
        <v>40</v>
      </c>
      <c r="F1803" s="643">
        <v>0</v>
      </c>
      <c r="G1803" s="643">
        <v>606</v>
      </c>
      <c r="H1803" s="26">
        <v>0</v>
      </c>
      <c r="I1803" s="26">
        <f t="shared" si="188"/>
        <v>202</v>
      </c>
      <c r="J1803" s="1340" t="e">
        <f t="shared" si="189"/>
        <v>#DIV/0!</v>
      </c>
      <c r="K1803" s="1339">
        <f t="shared" si="190"/>
        <v>1.0230394442125846E-4</v>
      </c>
    </row>
    <row r="1804" spans="1:11" ht="15" x14ac:dyDescent="0.25">
      <c r="A1804" s="1341"/>
      <c r="B1804" s="624">
        <v>141770</v>
      </c>
      <c r="C1804" s="1344">
        <v>333904900000000</v>
      </c>
      <c r="D1804" s="624" t="s">
        <v>5390</v>
      </c>
      <c r="E1804" s="624">
        <v>40</v>
      </c>
      <c r="F1804" s="643">
        <v>0</v>
      </c>
      <c r="G1804" s="643">
        <v>0</v>
      </c>
      <c r="H1804" s="26">
        <v>0</v>
      </c>
      <c r="I1804" s="26">
        <f t="shared" si="188"/>
        <v>0</v>
      </c>
      <c r="J1804" s="1340" t="e">
        <f t="shared" si="189"/>
        <v>#DIV/0!</v>
      </c>
      <c r="K1804" s="1339">
        <f t="shared" si="190"/>
        <v>0</v>
      </c>
    </row>
    <row r="1805" spans="1:11" ht="15" x14ac:dyDescent="0.25">
      <c r="A1805" s="1341"/>
      <c r="B1805" s="624">
        <v>141820</v>
      </c>
      <c r="C1805" s="1344">
        <v>333909200000000</v>
      </c>
      <c r="D1805" s="624" t="s">
        <v>5391</v>
      </c>
      <c r="E1805" s="624">
        <v>40</v>
      </c>
      <c r="F1805" s="643">
        <v>848</v>
      </c>
      <c r="G1805" s="643">
        <v>101.95</v>
      </c>
      <c r="H1805" s="26">
        <v>0</v>
      </c>
      <c r="I1805" s="26">
        <f t="shared" si="188"/>
        <v>316.65000000000003</v>
      </c>
      <c r="J1805" s="1340">
        <f t="shared" si="189"/>
        <v>0.12022405660377358</v>
      </c>
      <c r="K1805" s="1339">
        <f t="shared" si="190"/>
        <v>1.6036902970787868E-4</v>
      </c>
    </row>
    <row r="1806" spans="1:11" ht="15" x14ac:dyDescent="0.25">
      <c r="A1806" s="1341"/>
      <c r="B1806" s="624">
        <v>141850</v>
      </c>
      <c r="C1806" s="1344">
        <v>333909300000000</v>
      </c>
      <c r="D1806" s="624" t="s">
        <v>5392</v>
      </c>
      <c r="E1806" s="624">
        <v>40</v>
      </c>
      <c r="F1806" s="643">
        <v>4095.98</v>
      </c>
      <c r="G1806" s="643">
        <v>100</v>
      </c>
      <c r="H1806" s="26">
        <v>0</v>
      </c>
      <c r="I1806" s="26">
        <f t="shared" si="188"/>
        <v>1398.6599999999999</v>
      </c>
      <c r="J1806" s="1340">
        <f t="shared" si="189"/>
        <v>2.441418170987163E-2</v>
      </c>
      <c r="K1806" s="1339">
        <f t="shared" si="190"/>
        <v>7.0835858863483832E-4</v>
      </c>
    </row>
    <row r="1807" spans="1:11" ht="15" x14ac:dyDescent="0.25">
      <c r="A1807" s="1341"/>
      <c r="B1807" s="624">
        <v>141880</v>
      </c>
      <c r="C1807" s="1344">
        <v>333933000000000</v>
      </c>
      <c r="D1807" s="624" t="s">
        <v>5393</v>
      </c>
      <c r="E1807" s="624">
        <v>40</v>
      </c>
      <c r="F1807" s="643">
        <v>0</v>
      </c>
      <c r="G1807" s="643">
        <v>0</v>
      </c>
      <c r="H1807" s="26">
        <v>0</v>
      </c>
      <c r="I1807" s="26">
        <f t="shared" si="188"/>
        <v>0</v>
      </c>
      <c r="J1807" s="1340" t="e">
        <f t="shared" si="189"/>
        <v>#DIV/0!</v>
      </c>
      <c r="K1807" s="1339">
        <f t="shared" si="190"/>
        <v>0</v>
      </c>
    </row>
    <row r="1808" spans="1:11" ht="15" x14ac:dyDescent="0.25">
      <c r="A1808" s="1341"/>
      <c r="B1808" s="624">
        <v>141950</v>
      </c>
      <c r="C1808" s="1344">
        <v>333933900000000</v>
      </c>
      <c r="D1808" s="624" t="s">
        <v>5473</v>
      </c>
      <c r="E1808" s="624">
        <v>40</v>
      </c>
      <c r="F1808" s="643">
        <v>0</v>
      </c>
      <c r="G1808" s="643">
        <v>1313.48</v>
      </c>
      <c r="H1808" s="26">
        <v>0</v>
      </c>
      <c r="I1808" s="26">
        <f t="shared" si="188"/>
        <v>437.82666666666665</v>
      </c>
      <c r="J1808" s="1340" t="e">
        <f t="shared" si="189"/>
        <v>#DIV/0!</v>
      </c>
      <c r="K1808" s="1339">
        <f t="shared" si="190"/>
        <v>2.2173957907332435E-4</v>
      </c>
    </row>
    <row r="1809" spans="1:11" ht="15" x14ac:dyDescent="0.25">
      <c r="A1809" s="1341"/>
      <c r="B1809" s="624">
        <v>141980</v>
      </c>
      <c r="C1809" s="1344">
        <v>344905100000000</v>
      </c>
      <c r="D1809" s="624" t="s">
        <v>5394</v>
      </c>
      <c r="E1809" s="624">
        <v>40</v>
      </c>
      <c r="F1809" s="643">
        <v>0</v>
      </c>
      <c r="G1809" s="643">
        <v>0</v>
      </c>
      <c r="H1809" s="26">
        <v>0</v>
      </c>
      <c r="I1809" s="26">
        <f t="shared" si="188"/>
        <v>0</v>
      </c>
      <c r="J1809" s="1340" t="e">
        <f t="shared" si="189"/>
        <v>#DIV/0!</v>
      </c>
      <c r="K1809" s="1339">
        <f t="shared" si="190"/>
        <v>0</v>
      </c>
    </row>
    <row r="1810" spans="1:11" ht="15" x14ac:dyDescent="0.25">
      <c r="A1810" s="1341"/>
      <c r="B1810" s="624">
        <v>142020</v>
      </c>
      <c r="C1810" s="1344">
        <v>344905200000000</v>
      </c>
      <c r="D1810" s="624" t="s">
        <v>6555</v>
      </c>
      <c r="E1810" s="624">
        <v>40</v>
      </c>
      <c r="F1810" s="643">
        <v>0</v>
      </c>
      <c r="G1810" s="643">
        <v>0</v>
      </c>
      <c r="H1810" s="26">
        <v>0</v>
      </c>
      <c r="I1810" s="26">
        <f t="shared" si="188"/>
        <v>0</v>
      </c>
      <c r="J1810" s="1340" t="e">
        <f t="shared" si="189"/>
        <v>#DIV/0!</v>
      </c>
      <c r="K1810" s="1339">
        <f t="shared" si="190"/>
        <v>0</v>
      </c>
    </row>
    <row r="1811" spans="1:11" ht="15" x14ac:dyDescent="0.25">
      <c r="A1811" s="1341"/>
      <c r="B1811" s="624">
        <v>142080</v>
      </c>
      <c r="C1811" s="1344">
        <v>344915200000000</v>
      </c>
      <c r="D1811" s="624" t="s">
        <v>7390</v>
      </c>
      <c r="E1811" s="624">
        <v>4002</v>
      </c>
      <c r="F1811" s="643">
        <v>0</v>
      </c>
      <c r="G1811" s="643">
        <v>0</v>
      </c>
      <c r="H1811" s="26">
        <v>0</v>
      </c>
      <c r="I1811" s="26">
        <f t="shared" si="188"/>
        <v>0</v>
      </c>
      <c r="J1811" s="1340" t="e">
        <f t="shared" si="189"/>
        <v>#DIV/0!</v>
      </c>
      <c r="K1811" s="1339">
        <f t="shared" si="190"/>
        <v>0</v>
      </c>
    </row>
    <row r="1812" spans="1:11" s="12" customFormat="1" ht="15" x14ac:dyDescent="0.25">
      <c r="A1812" s="1081"/>
      <c r="B1812" s="570" t="s">
        <v>2965</v>
      </c>
      <c r="C1812" s="1345">
        <v>43</v>
      </c>
      <c r="D1812" s="570" t="s">
        <v>5498</v>
      </c>
      <c r="E1812" s="570"/>
      <c r="F1812" s="642">
        <f>SUM(F1813:F1834)</f>
        <v>112131.43999999999</v>
      </c>
      <c r="G1812" s="642">
        <f>SUM(G1813:G1834)</f>
        <v>120348.27999999998</v>
      </c>
      <c r="H1812" s="642">
        <f>SUM(H1813:H1834)</f>
        <v>0</v>
      </c>
      <c r="I1812" s="642">
        <f>SUM(I1813:I1834)</f>
        <v>77493.240000000005</v>
      </c>
      <c r="J1812" s="1338">
        <f t="shared" si="189"/>
        <v>1.0732786451328904</v>
      </c>
      <c r="K1812" s="1337">
        <f t="shared" si="190"/>
        <v>3.9246852069223979E-2</v>
      </c>
    </row>
    <row r="1813" spans="1:11" ht="15" x14ac:dyDescent="0.25">
      <c r="A1813" s="1341"/>
      <c r="B1813" s="624">
        <v>143000</v>
      </c>
      <c r="C1813" s="1344">
        <v>331900400000000</v>
      </c>
      <c r="D1813" s="624" t="s">
        <v>6556</v>
      </c>
      <c r="E1813" s="624">
        <v>40</v>
      </c>
      <c r="F1813" s="643">
        <v>28414.02</v>
      </c>
      <c r="G1813" s="643">
        <v>72172.289999999994</v>
      </c>
      <c r="H1813" s="26">
        <v>0</v>
      </c>
      <c r="I1813" s="26">
        <f t="shared" ref="I1813:I1834" si="191">(F1813+G1813+H1813)/3</f>
        <v>33528.769999999997</v>
      </c>
      <c r="J1813" s="1340">
        <f t="shared" si="189"/>
        <v>2.5400239036926133</v>
      </c>
      <c r="K1813" s="1339">
        <f t="shared" si="190"/>
        <v>1.6980818923728502E-2</v>
      </c>
    </row>
    <row r="1814" spans="1:11" ht="15" x14ac:dyDescent="0.25">
      <c r="A1814" s="1341"/>
      <c r="B1814" s="624">
        <v>143050</v>
      </c>
      <c r="C1814" s="1344">
        <v>331900800000000</v>
      </c>
      <c r="D1814" s="624" t="s">
        <v>7389</v>
      </c>
      <c r="E1814" s="624">
        <v>1</v>
      </c>
      <c r="F1814" s="643">
        <v>0</v>
      </c>
      <c r="G1814" s="643">
        <v>0</v>
      </c>
      <c r="H1814" s="26">
        <v>0</v>
      </c>
      <c r="I1814" s="26">
        <f t="shared" si="191"/>
        <v>0</v>
      </c>
      <c r="J1814" s="1340" t="e">
        <f t="shared" si="189"/>
        <v>#DIV/0!</v>
      </c>
      <c r="K1814" s="1339">
        <f t="shared" si="190"/>
        <v>0</v>
      </c>
    </row>
    <row r="1815" spans="1:11" ht="15" x14ac:dyDescent="0.25">
      <c r="A1815" s="1341"/>
      <c r="B1815" s="624">
        <v>143100</v>
      </c>
      <c r="C1815" s="1344">
        <v>331901100000000</v>
      </c>
      <c r="D1815" s="624" t="s">
        <v>6560</v>
      </c>
      <c r="E1815" s="624">
        <v>40</v>
      </c>
      <c r="F1815" s="643">
        <v>0</v>
      </c>
      <c r="G1815" s="643">
        <v>0</v>
      </c>
      <c r="H1815" s="26">
        <v>0</v>
      </c>
      <c r="I1815" s="26">
        <f t="shared" si="191"/>
        <v>0</v>
      </c>
      <c r="J1815" s="1340" t="e">
        <f t="shared" si="189"/>
        <v>#DIV/0!</v>
      </c>
      <c r="K1815" s="1339">
        <f t="shared" si="190"/>
        <v>0</v>
      </c>
    </row>
    <row r="1816" spans="1:11" ht="15" x14ac:dyDescent="0.25">
      <c r="A1816" s="1341"/>
      <c r="B1816" s="624">
        <v>143180</v>
      </c>
      <c r="C1816" s="1344">
        <v>331901300000000</v>
      </c>
      <c r="D1816" s="624" t="s">
        <v>6559</v>
      </c>
      <c r="E1816" s="624">
        <v>40</v>
      </c>
      <c r="F1816" s="643">
        <v>0</v>
      </c>
      <c r="G1816" s="643">
        <v>0</v>
      </c>
      <c r="H1816" s="26">
        <v>0</v>
      </c>
      <c r="I1816" s="26">
        <f t="shared" si="191"/>
        <v>0</v>
      </c>
      <c r="J1816" s="1340" t="e">
        <f t="shared" si="189"/>
        <v>#DIV/0!</v>
      </c>
      <c r="K1816" s="1339">
        <f t="shared" si="190"/>
        <v>0</v>
      </c>
    </row>
    <row r="1817" spans="1:11" ht="15" x14ac:dyDescent="0.25">
      <c r="A1817" s="1341"/>
      <c r="B1817" s="624">
        <v>143230</v>
      </c>
      <c r="C1817" s="1344">
        <v>331901600000000</v>
      </c>
      <c r="D1817" s="624" t="s">
        <v>6558</v>
      </c>
      <c r="E1817" s="624">
        <v>40</v>
      </c>
      <c r="F1817" s="643">
        <v>0</v>
      </c>
      <c r="G1817" s="643">
        <v>431.48</v>
      </c>
      <c r="H1817" s="26">
        <v>0</v>
      </c>
      <c r="I1817" s="26">
        <f t="shared" si="191"/>
        <v>143.82666666666668</v>
      </c>
      <c r="J1817" s="1340" t="e">
        <f t="shared" si="189"/>
        <v>#DIV/0!</v>
      </c>
      <c r="K1817" s="1339">
        <f t="shared" si="190"/>
        <v>7.2841758975057108E-5</v>
      </c>
    </row>
    <row r="1818" spans="1:11" ht="15" x14ac:dyDescent="0.25">
      <c r="A1818" s="1341"/>
      <c r="B1818" s="624">
        <v>143260</v>
      </c>
      <c r="C1818" s="1344">
        <v>331903400000000</v>
      </c>
      <c r="D1818" s="624" t="s">
        <v>5425</v>
      </c>
      <c r="E1818" s="624">
        <v>40</v>
      </c>
      <c r="F1818" s="643">
        <v>0</v>
      </c>
      <c r="G1818" s="643">
        <v>0</v>
      </c>
      <c r="H1818" s="26">
        <v>0</v>
      </c>
      <c r="I1818" s="26">
        <f t="shared" si="191"/>
        <v>0</v>
      </c>
      <c r="J1818" s="1340" t="e">
        <f t="shared" si="189"/>
        <v>#DIV/0!</v>
      </c>
      <c r="K1818" s="1339">
        <f t="shared" si="190"/>
        <v>0</v>
      </c>
    </row>
    <row r="1819" spans="1:11" ht="15" x14ac:dyDescent="0.25">
      <c r="A1819" s="1341"/>
      <c r="B1819" s="624">
        <v>143290</v>
      </c>
      <c r="C1819" s="1344">
        <v>331909400000000</v>
      </c>
      <c r="D1819" s="624" t="s">
        <v>6561</v>
      </c>
      <c r="E1819" s="624">
        <v>40</v>
      </c>
      <c r="F1819" s="643">
        <v>3472.77</v>
      </c>
      <c r="G1819" s="643">
        <v>10320.93</v>
      </c>
      <c r="H1819" s="26">
        <v>0</v>
      </c>
      <c r="I1819" s="26">
        <f t="shared" si="191"/>
        <v>4597.9000000000005</v>
      </c>
      <c r="J1819" s="1340">
        <f t="shared" si="189"/>
        <v>2.9719589837507234</v>
      </c>
      <c r="K1819" s="1339">
        <f t="shared" si="190"/>
        <v>2.3286302279925957E-3</v>
      </c>
    </row>
    <row r="1820" spans="1:11" ht="15" x14ac:dyDescent="0.25">
      <c r="A1820" s="1341"/>
      <c r="B1820" s="624">
        <v>143350</v>
      </c>
      <c r="C1820" s="1344">
        <v>333901400000000</v>
      </c>
      <c r="D1820" s="624" t="s">
        <v>5427</v>
      </c>
      <c r="E1820" s="624">
        <v>40</v>
      </c>
      <c r="F1820" s="643">
        <v>0</v>
      </c>
      <c r="G1820" s="643">
        <v>360</v>
      </c>
      <c r="H1820" s="26">
        <v>0</v>
      </c>
      <c r="I1820" s="26">
        <f t="shared" si="191"/>
        <v>120</v>
      </c>
      <c r="J1820" s="1340" t="e">
        <f t="shared" si="189"/>
        <v>#DIV/0!</v>
      </c>
      <c r="K1820" s="1339">
        <f t="shared" si="190"/>
        <v>6.0774620448272354E-5</v>
      </c>
    </row>
    <row r="1821" spans="1:11" ht="15" x14ac:dyDescent="0.25">
      <c r="A1821" s="1341"/>
      <c r="B1821" s="624">
        <v>143380</v>
      </c>
      <c r="C1821" s="1344">
        <v>333903000000000</v>
      </c>
      <c r="D1821" s="624" t="s">
        <v>5428</v>
      </c>
      <c r="E1821" s="624">
        <v>40</v>
      </c>
      <c r="F1821" s="643">
        <v>7078.96</v>
      </c>
      <c r="G1821" s="643">
        <v>10856.64</v>
      </c>
      <c r="H1821" s="26">
        <v>0</v>
      </c>
      <c r="I1821" s="26">
        <f t="shared" si="191"/>
        <v>5978.5333333333328</v>
      </c>
      <c r="J1821" s="1340">
        <f t="shared" si="189"/>
        <v>1.5336490105891261</v>
      </c>
      <c r="K1821" s="1339">
        <f t="shared" si="190"/>
        <v>3.0278591180889821E-3</v>
      </c>
    </row>
    <row r="1822" spans="1:11" ht="15" x14ac:dyDescent="0.25">
      <c r="A1822" s="1341"/>
      <c r="B1822" s="624">
        <v>143430</v>
      </c>
      <c r="C1822" s="1344">
        <v>333903200000000</v>
      </c>
      <c r="D1822" s="624" t="s">
        <v>5476</v>
      </c>
      <c r="E1822" s="624">
        <v>40</v>
      </c>
      <c r="F1822" s="643">
        <v>58190.67</v>
      </c>
      <c r="G1822" s="643">
        <v>26021.7</v>
      </c>
      <c r="H1822" s="26">
        <v>0</v>
      </c>
      <c r="I1822" s="26">
        <f t="shared" si="191"/>
        <v>28070.789999999997</v>
      </c>
      <c r="J1822" s="1340">
        <f t="shared" ref="J1822:J1853" si="192">(G1822/F1822)+(H1822/G1822)/2</f>
        <v>0.44717993451527543</v>
      </c>
      <c r="K1822" s="1339">
        <f t="shared" ref="K1822:K1853" si="193">I1822/I$1880</f>
        <v>1.4216596732776324E-2</v>
      </c>
    </row>
    <row r="1823" spans="1:11" ht="15" x14ac:dyDescent="0.25">
      <c r="A1823" s="1341"/>
      <c r="B1823" s="624">
        <v>143460</v>
      </c>
      <c r="C1823" s="1344">
        <v>333903300000000</v>
      </c>
      <c r="D1823" s="624" t="s">
        <v>5429</v>
      </c>
      <c r="E1823" s="624">
        <v>40</v>
      </c>
      <c r="F1823" s="643">
        <v>0</v>
      </c>
      <c r="G1823" s="643">
        <v>0</v>
      </c>
      <c r="H1823" s="26">
        <v>0</v>
      </c>
      <c r="I1823" s="26">
        <f t="shared" si="191"/>
        <v>0</v>
      </c>
      <c r="J1823" s="1340" t="e">
        <f t="shared" si="192"/>
        <v>#DIV/0!</v>
      </c>
      <c r="K1823" s="1339">
        <f t="shared" si="193"/>
        <v>0</v>
      </c>
    </row>
    <row r="1824" spans="1:11" ht="15" x14ac:dyDescent="0.25">
      <c r="A1824" s="1341"/>
      <c r="B1824" s="624">
        <v>143490</v>
      </c>
      <c r="C1824" s="1344">
        <v>333903500000000</v>
      </c>
      <c r="D1824" s="624" t="s">
        <v>5430</v>
      </c>
      <c r="E1824" s="624">
        <v>40</v>
      </c>
      <c r="F1824" s="643">
        <v>0</v>
      </c>
      <c r="G1824" s="643">
        <v>0</v>
      </c>
      <c r="H1824" s="26">
        <v>0</v>
      </c>
      <c r="I1824" s="26">
        <f t="shared" si="191"/>
        <v>0</v>
      </c>
      <c r="J1824" s="1340" t="e">
        <f t="shared" si="192"/>
        <v>#DIV/0!</v>
      </c>
      <c r="K1824" s="1339">
        <f t="shared" si="193"/>
        <v>0</v>
      </c>
    </row>
    <row r="1825" spans="1:11" ht="15" x14ac:dyDescent="0.25">
      <c r="A1825" s="1341"/>
      <c r="B1825" s="624">
        <v>143520</v>
      </c>
      <c r="C1825" s="1344">
        <v>333903600000000</v>
      </c>
      <c r="D1825" s="624" t="s">
        <v>5431</v>
      </c>
      <c r="E1825" s="624">
        <v>40</v>
      </c>
      <c r="F1825" s="643">
        <v>12225.32</v>
      </c>
      <c r="G1825" s="643">
        <v>0</v>
      </c>
      <c r="H1825" s="26">
        <v>0</v>
      </c>
      <c r="I1825" s="26">
        <f t="shared" si="191"/>
        <v>4075.1066666666666</v>
      </c>
      <c r="J1825" s="1340" t="e">
        <f t="shared" si="192"/>
        <v>#DIV/0!</v>
      </c>
      <c r="K1825" s="1339">
        <f t="shared" si="193"/>
        <v>2.0638588412740916E-3</v>
      </c>
    </row>
    <row r="1826" spans="1:11" ht="15" x14ac:dyDescent="0.25">
      <c r="A1826" s="1341"/>
      <c r="B1826" s="624">
        <v>143580</v>
      </c>
      <c r="C1826" s="1344">
        <v>333903900000000</v>
      </c>
      <c r="D1826" s="624" t="s">
        <v>5432</v>
      </c>
      <c r="E1826" s="624">
        <v>40</v>
      </c>
      <c r="F1826" s="643">
        <v>0</v>
      </c>
      <c r="G1826" s="643">
        <v>0</v>
      </c>
      <c r="H1826" s="26">
        <v>0</v>
      </c>
      <c r="I1826" s="26">
        <f t="shared" si="191"/>
        <v>0</v>
      </c>
      <c r="J1826" s="1340" t="e">
        <f t="shared" si="192"/>
        <v>#DIV/0!</v>
      </c>
      <c r="K1826" s="1339">
        <f t="shared" si="193"/>
        <v>0</v>
      </c>
    </row>
    <row r="1827" spans="1:11" ht="15" x14ac:dyDescent="0.25">
      <c r="A1827" s="1341"/>
      <c r="B1827" s="624">
        <v>143680</v>
      </c>
      <c r="C1827" s="1344">
        <v>333904600000000</v>
      </c>
      <c r="D1827" s="624" t="s">
        <v>5433</v>
      </c>
      <c r="E1827" s="624">
        <v>40</v>
      </c>
      <c r="F1827" s="643">
        <v>0</v>
      </c>
      <c r="G1827" s="643">
        <v>0</v>
      </c>
      <c r="H1827" s="26">
        <v>0</v>
      </c>
      <c r="I1827" s="26">
        <f t="shared" si="191"/>
        <v>0</v>
      </c>
      <c r="J1827" s="1340" t="e">
        <f t="shared" si="192"/>
        <v>#DIV/0!</v>
      </c>
      <c r="K1827" s="1339">
        <f t="shared" si="193"/>
        <v>0</v>
      </c>
    </row>
    <row r="1828" spans="1:11" ht="15" x14ac:dyDescent="0.25">
      <c r="A1828" s="1341"/>
      <c r="B1828" s="624">
        <v>143720</v>
      </c>
      <c r="C1828" s="1344">
        <v>333904700000000</v>
      </c>
      <c r="D1828" s="624" t="s">
        <v>5434</v>
      </c>
      <c r="E1828" s="624">
        <v>40</v>
      </c>
      <c r="F1828" s="643">
        <v>2445.06</v>
      </c>
      <c r="G1828" s="643">
        <v>0</v>
      </c>
      <c r="H1828" s="26">
        <v>0</v>
      </c>
      <c r="I1828" s="26">
        <f t="shared" si="191"/>
        <v>815.02</v>
      </c>
      <c r="J1828" s="1340" t="e">
        <f t="shared" si="192"/>
        <v>#DIV/0!</v>
      </c>
      <c r="K1828" s="1339">
        <f t="shared" si="193"/>
        <v>4.1277109298125777E-4</v>
      </c>
    </row>
    <row r="1829" spans="1:11" ht="15" x14ac:dyDescent="0.25">
      <c r="A1829" s="1341"/>
      <c r="B1829" s="624">
        <v>143740</v>
      </c>
      <c r="C1829" s="1344">
        <v>333904900000000</v>
      </c>
      <c r="D1829" s="624" t="s">
        <v>5435</v>
      </c>
      <c r="E1829" s="624">
        <v>40</v>
      </c>
      <c r="F1829" s="643">
        <v>304.64</v>
      </c>
      <c r="G1829" s="643">
        <v>185.24</v>
      </c>
      <c r="H1829" s="26">
        <v>0</v>
      </c>
      <c r="I1829" s="26">
        <f t="shared" si="191"/>
        <v>163.29333333333332</v>
      </c>
      <c r="J1829" s="1340">
        <f t="shared" si="192"/>
        <v>0.60806197478991597</v>
      </c>
      <c r="K1829" s="1339">
        <f t="shared" si="193"/>
        <v>8.2700752958887939E-5</v>
      </c>
    </row>
    <row r="1830" spans="1:11" ht="15" x14ac:dyDescent="0.25">
      <c r="A1830" s="1341"/>
      <c r="B1830" s="624">
        <v>143760</v>
      </c>
      <c r="C1830" s="1344">
        <v>333909200000000</v>
      </c>
      <c r="D1830" s="624" t="s">
        <v>5436</v>
      </c>
      <c r="E1830" s="624">
        <v>40</v>
      </c>
      <c r="F1830" s="643">
        <v>0</v>
      </c>
      <c r="G1830" s="643">
        <v>0</v>
      </c>
      <c r="H1830" s="26">
        <v>0</v>
      </c>
      <c r="I1830" s="26">
        <f t="shared" si="191"/>
        <v>0</v>
      </c>
      <c r="J1830" s="1340" t="e">
        <f t="shared" si="192"/>
        <v>#DIV/0!</v>
      </c>
      <c r="K1830" s="1339">
        <f t="shared" si="193"/>
        <v>0</v>
      </c>
    </row>
    <row r="1831" spans="1:11" ht="15" x14ac:dyDescent="0.25">
      <c r="A1831" s="1341"/>
      <c r="B1831" s="624">
        <v>143780</v>
      </c>
      <c r="C1831" s="1344">
        <v>333909300000000</v>
      </c>
      <c r="D1831" s="624" t="s">
        <v>5437</v>
      </c>
      <c r="E1831" s="624">
        <v>40</v>
      </c>
      <c r="F1831" s="643">
        <v>0</v>
      </c>
      <c r="G1831" s="643">
        <v>0</v>
      </c>
      <c r="H1831" s="26">
        <v>0</v>
      </c>
      <c r="I1831" s="26">
        <f t="shared" si="191"/>
        <v>0</v>
      </c>
      <c r="J1831" s="1340" t="e">
        <f t="shared" si="192"/>
        <v>#DIV/0!</v>
      </c>
      <c r="K1831" s="1339">
        <f t="shared" si="193"/>
        <v>0</v>
      </c>
    </row>
    <row r="1832" spans="1:11" ht="15" x14ac:dyDescent="0.25">
      <c r="A1832" s="1341"/>
      <c r="B1832" s="624">
        <v>143800</v>
      </c>
      <c r="C1832" s="1344">
        <v>333933000000000</v>
      </c>
      <c r="D1832" s="624" t="s">
        <v>5438</v>
      </c>
      <c r="E1832" s="624">
        <v>40</v>
      </c>
      <c r="F1832" s="643">
        <v>0</v>
      </c>
      <c r="G1832" s="643">
        <v>0</v>
      </c>
      <c r="H1832" s="26">
        <v>0</v>
      </c>
      <c r="I1832" s="26">
        <f t="shared" si="191"/>
        <v>0</v>
      </c>
      <c r="J1832" s="1340" t="e">
        <f t="shared" si="192"/>
        <v>#DIV/0!</v>
      </c>
      <c r="K1832" s="1339">
        <f t="shared" si="193"/>
        <v>0</v>
      </c>
    </row>
    <row r="1833" spans="1:11" ht="15" x14ac:dyDescent="0.25">
      <c r="A1833" s="1341"/>
      <c r="B1833" s="624">
        <v>143820</v>
      </c>
      <c r="C1833" s="1344">
        <v>344905100000000</v>
      </c>
      <c r="D1833" s="624" t="s">
        <v>5439</v>
      </c>
      <c r="E1833" s="624">
        <v>40</v>
      </c>
      <c r="F1833" s="643">
        <v>0</v>
      </c>
      <c r="G1833" s="643">
        <v>0</v>
      </c>
      <c r="H1833" s="26">
        <v>0</v>
      </c>
      <c r="I1833" s="26">
        <f t="shared" si="191"/>
        <v>0</v>
      </c>
      <c r="J1833" s="1340" t="e">
        <f t="shared" si="192"/>
        <v>#DIV/0!</v>
      </c>
      <c r="K1833" s="1339">
        <f t="shared" si="193"/>
        <v>0</v>
      </c>
    </row>
    <row r="1834" spans="1:11" ht="15" x14ac:dyDescent="0.25">
      <c r="A1834" s="1341"/>
      <c r="B1834" s="624">
        <v>143840</v>
      </c>
      <c r="C1834" s="1344">
        <v>344905200000000</v>
      </c>
      <c r="D1834" s="624" t="s">
        <v>5440</v>
      </c>
      <c r="E1834" s="624">
        <v>40</v>
      </c>
      <c r="F1834" s="643">
        <v>0</v>
      </c>
      <c r="G1834" s="643">
        <v>0</v>
      </c>
      <c r="H1834" s="26">
        <v>0</v>
      </c>
      <c r="I1834" s="26">
        <f t="shared" si="191"/>
        <v>0</v>
      </c>
      <c r="J1834" s="1340" t="e">
        <f t="shared" si="192"/>
        <v>#DIV/0!</v>
      </c>
      <c r="K1834" s="1339">
        <f t="shared" si="193"/>
        <v>0</v>
      </c>
    </row>
    <row r="1835" spans="1:11" s="12" customFormat="1" ht="15" x14ac:dyDescent="0.25">
      <c r="A1835" s="1081"/>
      <c r="B1835" s="570" t="s">
        <v>2965</v>
      </c>
      <c r="C1835" s="1345">
        <v>46</v>
      </c>
      <c r="D1835" s="570" t="s">
        <v>5499</v>
      </c>
      <c r="E1835" s="570"/>
      <c r="F1835" s="642">
        <f>SUM(F1836:F1879)</f>
        <v>0</v>
      </c>
      <c r="G1835" s="642">
        <f>SUM(G1836:G1879)</f>
        <v>0</v>
      </c>
      <c r="H1835" s="642">
        <f>SUM(H1836:H1879)</f>
        <v>0</v>
      </c>
      <c r="I1835" s="642">
        <f>SUM(I1836:I1879)</f>
        <v>0</v>
      </c>
      <c r="J1835" s="1338" t="e">
        <f t="shared" si="192"/>
        <v>#DIV/0!</v>
      </c>
      <c r="K1835" s="1337">
        <f t="shared" si="193"/>
        <v>0</v>
      </c>
    </row>
    <row r="1836" spans="1:11" ht="15" x14ac:dyDescent="0.25">
      <c r="A1836" s="1341"/>
      <c r="B1836" s="624">
        <v>144500</v>
      </c>
      <c r="C1836" s="1344">
        <v>331900400000000</v>
      </c>
      <c r="D1836" s="624" t="s">
        <v>6562</v>
      </c>
      <c r="E1836" s="624">
        <v>40</v>
      </c>
      <c r="F1836" s="643">
        <v>0</v>
      </c>
      <c r="G1836" s="643">
        <v>0</v>
      </c>
      <c r="H1836" s="26">
        <v>0</v>
      </c>
      <c r="I1836" s="26">
        <f t="shared" ref="I1836:I1879" si="194">(F1836+G1836+H1836)/3</f>
        <v>0</v>
      </c>
      <c r="J1836" s="1340" t="e">
        <f t="shared" si="192"/>
        <v>#DIV/0!</v>
      </c>
      <c r="K1836" s="1339">
        <f t="shared" si="193"/>
        <v>0</v>
      </c>
    </row>
    <row r="1837" spans="1:11" ht="15" x14ac:dyDescent="0.25">
      <c r="A1837" s="1341"/>
      <c r="B1837" s="624">
        <v>147000</v>
      </c>
      <c r="C1837" s="1344">
        <v>331900400000000</v>
      </c>
      <c r="D1837" s="624" t="s">
        <v>6568</v>
      </c>
      <c r="E1837" s="624">
        <v>40</v>
      </c>
      <c r="F1837" s="643">
        <v>0</v>
      </c>
      <c r="G1837" s="643">
        <v>0</v>
      </c>
      <c r="H1837" s="26">
        <v>0</v>
      </c>
      <c r="I1837" s="26">
        <f t="shared" si="194"/>
        <v>0</v>
      </c>
      <c r="J1837" s="1340" t="e">
        <f t="shared" si="192"/>
        <v>#DIV/0!</v>
      </c>
      <c r="K1837" s="1339">
        <f t="shared" si="193"/>
        <v>0</v>
      </c>
    </row>
    <row r="1838" spans="1:11" ht="15" x14ac:dyDescent="0.25">
      <c r="A1838" s="1341"/>
      <c r="B1838" s="624">
        <v>144550</v>
      </c>
      <c r="C1838" s="1344">
        <v>331900800000000</v>
      </c>
      <c r="D1838" s="624" t="s">
        <v>6563</v>
      </c>
      <c r="E1838" s="624">
        <v>1</v>
      </c>
      <c r="F1838" s="643">
        <v>0</v>
      </c>
      <c r="G1838" s="643">
        <v>0</v>
      </c>
      <c r="H1838" s="26">
        <v>0</v>
      </c>
      <c r="I1838" s="26">
        <f t="shared" si="194"/>
        <v>0</v>
      </c>
      <c r="J1838" s="1340" t="e">
        <f t="shared" si="192"/>
        <v>#DIV/0!</v>
      </c>
      <c r="K1838" s="1339">
        <f t="shared" si="193"/>
        <v>0</v>
      </c>
    </row>
    <row r="1839" spans="1:11" ht="15" x14ac:dyDescent="0.25">
      <c r="A1839" s="1341"/>
      <c r="B1839" s="624">
        <v>147050</v>
      </c>
      <c r="C1839" s="1344">
        <v>331900800000000</v>
      </c>
      <c r="D1839" s="624" t="s">
        <v>7388</v>
      </c>
      <c r="E1839" s="624">
        <v>1</v>
      </c>
      <c r="F1839" s="643">
        <v>0</v>
      </c>
      <c r="G1839" s="643">
        <v>0</v>
      </c>
      <c r="H1839" s="26">
        <v>0</v>
      </c>
      <c r="I1839" s="26">
        <f t="shared" si="194"/>
        <v>0</v>
      </c>
      <c r="J1839" s="1340" t="e">
        <f t="shared" si="192"/>
        <v>#DIV/0!</v>
      </c>
      <c r="K1839" s="1339">
        <f t="shared" si="193"/>
        <v>0</v>
      </c>
    </row>
    <row r="1840" spans="1:11" ht="15" x14ac:dyDescent="0.25">
      <c r="A1840" s="1341"/>
      <c r="B1840" s="624">
        <v>144580</v>
      </c>
      <c r="C1840" s="1344">
        <v>331901100000000</v>
      </c>
      <c r="D1840" s="624" t="s">
        <v>7387</v>
      </c>
      <c r="E1840" s="624">
        <v>40</v>
      </c>
      <c r="F1840" s="643">
        <v>0</v>
      </c>
      <c r="G1840" s="643">
        <v>0</v>
      </c>
      <c r="H1840" s="26">
        <v>0</v>
      </c>
      <c r="I1840" s="26">
        <f t="shared" si="194"/>
        <v>0</v>
      </c>
      <c r="J1840" s="1340" t="e">
        <f t="shared" si="192"/>
        <v>#DIV/0!</v>
      </c>
      <c r="K1840" s="1339">
        <f t="shared" si="193"/>
        <v>0</v>
      </c>
    </row>
    <row r="1841" spans="1:11" ht="15" x14ac:dyDescent="0.25">
      <c r="A1841" s="1341"/>
      <c r="B1841" s="624">
        <v>147100</v>
      </c>
      <c r="C1841" s="1344">
        <v>331901100000000</v>
      </c>
      <c r="D1841" s="624" t="s">
        <v>6573</v>
      </c>
      <c r="E1841" s="624">
        <v>40</v>
      </c>
      <c r="F1841" s="643">
        <v>0</v>
      </c>
      <c r="G1841" s="643">
        <v>0</v>
      </c>
      <c r="H1841" s="26">
        <v>0</v>
      </c>
      <c r="I1841" s="26">
        <f t="shared" si="194"/>
        <v>0</v>
      </c>
      <c r="J1841" s="1340" t="e">
        <f t="shared" si="192"/>
        <v>#DIV/0!</v>
      </c>
      <c r="K1841" s="1339">
        <f t="shared" si="193"/>
        <v>0</v>
      </c>
    </row>
    <row r="1842" spans="1:11" ht="15" x14ac:dyDescent="0.25">
      <c r="A1842" s="1341"/>
      <c r="B1842" s="624">
        <v>144660</v>
      </c>
      <c r="C1842" s="1344">
        <v>331901300000000</v>
      </c>
      <c r="D1842" s="624" t="s">
        <v>6565</v>
      </c>
      <c r="E1842" s="624">
        <v>40</v>
      </c>
      <c r="F1842" s="643">
        <v>0</v>
      </c>
      <c r="G1842" s="643">
        <v>0</v>
      </c>
      <c r="H1842" s="26">
        <v>0</v>
      </c>
      <c r="I1842" s="26">
        <f t="shared" si="194"/>
        <v>0</v>
      </c>
      <c r="J1842" s="1340" t="e">
        <f t="shared" si="192"/>
        <v>#DIV/0!</v>
      </c>
      <c r="K1842" s="1339">
        <f t="shared" si="193"/>
        <v>0</v>
      </c>
    </row>
    <row r="1843" spans="1:11" ht="15" x14ac:dyDescent="0.25">
      <c r="A1843" s="1341"/>
      <c r="B1843" s="624">
        <v>147200</v>
      </c>
      <c r="C1843" s="1344">
        <v>331901300000000</v>
      </c>
      <c r="D1843" s="624" t="s">
        <v>6570</v>
      </c>
      <c r="E1843" s="624">
        <v>40</v>
      </c>
      <c r="F1843" s="643">
        <v>0</v>
      </c>
      <c r="G1843" s="643">
        <v>0</v>
      </c>
      <c r="H1843" s="26">
        <v>0</v>
      </c>
      <c r="I1843" s="26">
        <f t="shared" si="194"/>
        <v>0</v>
      </c>
      <c r="J1843" s="1340" t="e">
        <f t="shared" si="192"/>
        <v>#DIV/0!</v>
      </c>
      <c r="K1843" s="1339">
        <f t="shared" si="193"/>
        <v>0</v>
      </c>
    </row>
    <row r="1844" spans="1:11" ht="15" x14ac:dyDescent="0.25">
      <c r="A1844" s="1341"/>
      <c r="B1844" s="624">
        <v>144690</v>
      </c>
      <c r="C1844" s="1344">
        <v>331901600000000</v>
      </c>
      <c r="D1844" s="624" t="s">
        <v>6566</v>
      </c>
      <c r="E1844" s="624">
        <v>40</v>
      </c>
      <c r="F1844" s="643">
        <v>0</v>
      </c>
      <c r="G1844" s="643">
        <v>0</v>
      </c>
      <c r="H1844" s="26">
        <v>0</v>
      </c>
      <c r="I1844" s="26">
        <f t="shared" si="194"/>
        <v>0</v>
      </c>
      <c r="J1844" s="1340" t="e">
        <f t="shared" si="192"/>
        <v>#DIV/0!</v>
      </c>
      <c r="K1844" s="1339">
        <f t="shared" si="193"/>
        <v>0</v>
      </c>
    </row>
    <row r="1845" spans="1:11" ht="15" x14ac:dyDescent="0.25">
      <c r="A1845" s="1341"/>
      <c r="B1845" s="624">
        <v>147250</v>
      </c>
      <c r="C1845" s="1344">
        <v>331901600000000</v>
      </c>
      <c r="D1845" s="624" t="s">
        <v>6571</v>
      </c>
      <c r="E1845" s="624">
        <v>40</v>
      </c>
      <c r="F1845" s="643">
        <v>0</v>
      </c>
      <c r="G1845" s="643">
        <v>0</v>
      </c>
      <c r="H1845" s="26">
        <v>0</v>
      </c>
      <c r="I1845" s="26">
        <f t="shared" si="194"/>
        <v>0</v>
      </c>
      <c r="J1845" s="1340" t="e">
        <f t="shared" si="192"/>
        <v>#DIV/0!</v>
      </c>
      <c r="K1845" s="1339">
        <f t="shared" si="193"/>
        <v>0</v>
      </c>
    </row>
    <row r="1846" spans="1:11" ht="15" x14ac:dyDescent="0.25">
      <c r="A1846" s="1341"/>
      <c r="B1846" s="624">
        <v>144730</v>
      </c>
      <c r="C1846" s="1344">
        <v>331903400000000</v>
      </c>
      <c r="D1846" s="624" t="s">
        <v>5402</v>
      </c>
      <c r="E1846" s="624">
        <v>40</v>
      </c>
      <c r="F1846" s="643">
        <v>0</v>
      </c>
      <c r="G1846" s="643">
        <v>0</v>
      </c>
      <c r="H1846" s="26">
        <v>0</v>
      </c>
      <c r="I1846" s="26">
        <f t="shared" si="194"/>
        <v>0</v>
      </c>
      <c r="J1846" s="1340" t="e">
        <f t="shared" si="192"/>
        <v>#DIV/0!</v>
      </c>
      <c r="K1846" s="1339">
        <f t="shared" si="193"/>
        <v>0</v>
      </c>
    </row>
    <row r="1847" spans="1:11" ht="15" x14ac:dyDescent="0.25">
      <c r="A1847" s="1341"/>
      <c r="B1847" s="624">
        <v>147300</v>
      </c>
      <c r="C1847" s="1344">
        <v>331903400000000</v>
      </c>
      <c r="D1847" s="624" t="s">
        <v>5447</v>
      </c>
      <c r="E1847" s="624">
        <v>40</v>
      </c>
      <c r="F1847" s="643">
        <v>0</v>
      </c>
      <c r="G1847" s="643">
        <v>0</v>
      </c>
      <c r="H1847" s="26">
        <v>0</v>
      </c>
      <c r="I1847" s="26">
        <f t="shared" si="194"/>
        <v>0</v>
      </c>
      <c r="J1847" s="1340" t="e">
        <f t="shared" si="192"/>
        <v>#DIV/0!</v>
      </c>
      <c r="K1847" s="1339">
        <f t="shared" si="193"/>
        <v>0</v>
      </c>
    </row>
    <row r="1848" spans="1:11" ht="15" x14ac:dyDescent="0.25">
      <c r="A1848" s="1341"/>
      <c r="B1848" s="624">
        <v>144760</v>
      </c>
      <c r="C1848" s="1344">
        <v>331909400000000</v>
      </c>
      <c r="D1848" s="624" t="s">
        <v>6567</v>
      </c>
      <c r="E1848" s="624">
        <v>40</v>
      </c>
      <c r="F1848" s="643">
        <v>0</v>
      </c>
      <c r="G1848" s="643">
        <v>0</v>
      </c>
      <c r="H1848" s="26">
        <v>0</v>
      </c>
      <c r="I1848" s="26">
        <f t="shared" si="194"/>
        <v>0</v>
      </c>
      <c r="J1848" s="1340" t="e">
        <f t="shared" si="192"/>
        <v>#DIV/0!</v>
      </c>
      <c r="K1848" s="1339">
        <f t="shared" si="193"/>
        <v>0</v>
      </c>
    </row>
    <row r="1849" spans="1:11" ht="15" x14ac:dyDescent="0.25">
      <c r="A1849" s="1341"/>
      <c r="B1849" s="624">
        <v>147350</v>
      </c>
      <c r="C1849" s="1344">
        <v>331909400000000</v>
      </c>
      <c r="D1849" s="624" t="s">
        <v>6572</v>
      </c>
      <c r="E1849" s="624">
        <v>40</v>
      </c>
      <c r="F1849" s="643">
        <v>0</v>
      </c>
      <c r="G1849" s="643">
        <v>0</v>
      </c>
      <c r="H1849" s="26">
        <v>0</v>
      </c>
      <c r="I1849" s="26">
        <f t="shared" si="194"/>
        <v>0</v>
      </c>
      <c r="J1849" s="1340" t="e">
        <f t="shared" si="192"/>
        <v>#DIV/0!</v>
      </c>
      <c r="K1849" s="1339">
        <f t="shared" si="193"/>
        <v>0</v>
      </c>
    </row>
    <row r="1850" spans="1:11" ht="15" x14ac:dyDescent="0.25">
      <c r="A1850" s="1341"/>
      <c r="B1850" s="624">
        <v>144790</v>
      </c>
      <c r="C1850" s="1344">
        <v>333901400000000</v>
      </c>
      <c r="D1850" s="624" t="s">
        <v>5404</v>
      </c>
      <c r="E1850" s="624">
        <v>40</v>
      </c>
      <c r="F1850" s="643">
        <v>0</v>
      </c>
      <c r="G1850" s="643">
        <v>0</v>
      </c>
      <c r="H1850" s="26">
        <v>0</v>
      </c>
      <c r="I1850" s="26">
        <f t="shared" si="194"/>
        <v>0</v>
      </c>
      <c r="J1850" s="1340" t="e">
        <f t="shared" si="192"/>
        <v>#DIV/0!</v>
      </c>
      <c r="K1850" s="1339">
        <f t="shared" si="193"/>
        <v>0</v>
      </c>
    </row>
    <row r="1851" spans="1:11" ht="15" x14ac:dyDescent="0.25">
      <c r="A1851" s="1341"/>
      <c r="B1851" s="624">
        <v>147400</v>
      </c>
      <c r="C1851" s="1344">
        <v>333901400000000</v>
      </c>
      <c r="D1851" s="624" t="s">
        <v>5449</v>
      </c>
      <c r="E1851" s="624">
        <v>40</v>
      </c>
      <c r="F1851" s="643">
        <v>0</v>
      </c>
      <c r="G1851" s="643">
        <v>0</v>
      </c>
      <c r="H1851" s="26">
        <v>0</v>
      </c>
      <c r="I1851" s="26">
        <f t="shared" si="194"/>
        <v>0</v>
      </c>
      <c r="J1851" s="1340" t="e">
        <f t="shared" si="192"/>
        <v>#DIV/0!</v>
      </c>
      <c r="K1851" s="1339">
        <f t="shared" si="193"/>
        <v>0</v>
      </c>
    </row>
    <row r="1852" spans="1:11" ht="15" x14ac:dyDescent="0.25">
      <c r="A1852" s="1341"/>
      <c r="B1852" s="624">
        <v>144840</v>
      </c>
      <c r="C1852" s="1344">
        <v>333903000000000</v>
      </c>
      <c r="D1852" s="624" t="s">
        <v>5405</v>
      </c>
      <c r="E1852" s="624">
        <v>40</v>
      </c>
      <c r="F1852" s="643">
        <v>0</v>
      </c>
      <c r="G1852" s="643">
        <v>0</v>
      </c>
      <c r="H1852" s="26">
        <v>0</v>
      </c>
      <c r="I1852" s="26">
        <f t="shared" si="194"/>
        <v>0</v>
      </c>
      <c r="J1852" s="1340" t="e">
        <f t="shared" si="192"/>
        <v>#DIV/0!</v>
      </c>
      <c r="K1852" s="1339">
        <f t="shared" si="193"/>
        <v>0</v>
      </c>
    </row>
    <row r="1853" spans="1:11" ht="15" x14ac:dyDescent="0.25">
      <c r="A1853" s="1341"/>
      <c r="B1853" s="624">
        <v>147450</v>
      </c>
      <c r="C1853" s="1344">
        <v>333903000000000</v>
      </c>
      <c r="D1853" s="624" t="s">
        <v>5450</v>
      </c>
      <c r="E1853" s="624">
        <v>40</v>
      </c>
      <c r="F1853" s="643">
        <v>0</v>
      </c>
      <c r="G1853" s="643">
        <v>0</v>
      </c>
      <c r="H1853" s="26">
        <v>0</v>
      </c>
      <c r="I1853" s="26">
        <f t="shared" si="194"/>
        <v>0</v>
      </c>
      <c r="J1853" s="1340" t="e">
        <f t="shared" si="192"/>
        <v>#DIV/0!</v>
      </c>
      <c r="K1853" s="1339">
        <f t="shared" si="193"/>
        <v>0</v>
      </c>
    </row>
    <row r="1854" spans="1:11" ht="15" x14ac:dyDescent="0.25">
      <c r="A1854" s="1341"/>
      <c r="B1854" s="624">
        <v>144900</v>
      </c>
      <c r="C1854" s="1344">
        <v>333903200000000</v>
      </c>
      <c r="D1854" s="624" t="s">
        <v>5477</v>
      </c>
      <c r="E1854" s="624">
        <v>40</v>
      </c>
      <c r="F1854" s="643">
        <v>0</v>
      </c>
      <c r="G1854" s="643">
        <v>0</v>
      </c>
      <c r="H1854" s="26">
        <v>0</v>
      </c>
      <c r="I1854" s="26">
        <f t="shared" si="194"/>
        <v>0</v>
      </c>
      <c r="J1854" s="1340" t="e">
        <f t="shared" ref="J1854:J1880" si="195">(G1854/F1854)+(H1854/G1854)/2</f>
        <v>#DIV/0!</v>
      </c>
      <c r="K1854" s="1339">
        <f t="shared" ref="K1854:K1880" si="196">I1854/I$1880</f>
        <v>0</v>
      </c>
    </row>
    <row r="1855" spans="1:11" ht="15" x14ac:dyDescent="0.25">
      <c r="A1855" s="1341"/>
      <c r="B1855" s="624">
        <v>147500</v>
      </c>
      <c r="C1855" s="1344">
        <v>333903200000000</v>
      </c>
      <c r="D1855" s="624" t="s">
        <v>5479</v>
      </c>
      <c r="E1855" s="624">
        <v>40</v>
      </c>
      <c r="F1855" s="643">
        <v>0</v>
      </c>
      <c r="G1855" s="643">
        <v>0</v>
      </c>
      <c r="H1855" s="26">
        <v>0</v>
      </c>
      <c r="I1855" s="26">
        <f t="shared" si="194"/>
        <v>0</v>
      </c>
      <c r="J1855" s="1340" t="e">
        <f t="shared" si="195"/>
        <v>#DIV/0!</v>
      </c>
      <c r="K1855" s="1339">
        <f t="shared" si="196"/>
        <v>0</v>
      </c>
    </row>
    <row r="1856" spans="1:11" ht="15" x14ac:dyDescent="0.25">
      <c r="A1856" s="1341"/>
      <c r="B1856" s="624">
        <v>144930</v>
      </c>
      <c r="C1856" s="1344">
        <v>333903300000000</v>
      </c>
      <c r="D1856" s="624" t="s">
        <v>5406</v>
      </c>
      <c r="E1856" s="624">
        <v>40</v>
      </c>
      <c r="F1856" s="643">
        <v>0</v>
      </c>
      <c r="G1856" s="643">
        <v>0</v>
      </c>
      <c r="H1856" s="26">
        <v>0</v>
      </c>
      <c r="I1856" s="26">
        <f t="shared" si="194"/>
        <v>0</v>
      </c>
      <c r="J1856" s="1340" t="e">
        <f t="shared" si="195"/>
        <v>#DIV/0!</v>
      </c>
      <c r="K1856" s="1339">
        <f t="shared" si="196"/>
        <v>0</v>
      </c>
    </row>
    <row r="1857" spans="1:11" ht="15" x14ac:dyDescent="0.25">
      <c r="A1857" s="1341"/>
      <c r="B1857" s="624">
        <v>147550</v>
      </c>
      <c r="C1857" s="1344">
        <v>333903300000000</v>
      </c>
      <c r="D1857" s="624" t="s">
        <v>5451</v>
      </c>
      <c r="E1857" s="624">
        <v>40</v>
      </c>
      <c r="F1857" s="643">
        <v>0</v>
      </c>
      <c r="G1857" s="643">
        <v>0</v>
      </c>
      <c r="H1857" s="26">
        <v>0</v>
      </c>
      <c r="I1857" s="26">
        <f t="shared" si="194"/>
        <v>0</v>
      </c>
      <c r="J1857" s="1340" t="e">
        <f t="shared" si="195"/>
        <v>#DIV/0!</v>
      </c>
      <c r="K1857" s="1339">
        <f t="shared" si="196"/>
        <v>0</v>
      </c>
    </row>
    <row r="1858" spans="1:11" ht="15" x14ac:dyDescent="0.25">
      <c r="A1858" s="1341"/>
      <c r="B1858" s="624">
        <v>144960</v>
      </c>
      <c r="C1858" s="1344">
        <v>333903500000000</v>
      </c>
      <c r="D1858" s="624" t="s">
        <v>5407</v>
      </c>
      <c r="E1858" s="624">
        <v>40</v>
      </c>
      <c r="F1858" s="643">
        <v>0</v>
      </c>
      <c r="G1858" s="643">
        <v>0</v>
      </c>
      <c r="H1858" s="26">
        <v>0</v>
      </c>
      <c r="I1858" s="26">
        <f t="shared" si="194"/>
        <v>0</v>
      </c>
      <c r="J1858" s="1340" t="e">
        <f t="shared" si="195"/>
        <v>#DIV/0!</v>
      </c>
      <c r="K1858" s="1339">
        <f t="shared" si="196"/>
        <v>0</v>
      </c>
    </row>
    <row r="1859" spans="1:11" ht="15" x14ac:dyDescent="0.25">
      <c r="A1859" s="1341"/>
      <c r="B1859" s="624">
        <v>147600</v>
      </c>
      <c r="C1859" s="1344">
        <v>333903500000000</v>
      </c>
      <c r="D1859" s="624" t="s">
        <v>5452</v>
      </c>
      <c r="E1859" s="624">
        <v>40</v>
      </c>
      <c r="F1859" s="643">
        <v>0</v>
      </c>
      <c r="G1859" s="643">
        <v>0</v>
      </c>
      <c r="H1859" s="26">
        <v>0</v>
      </c>
      <c r="I1859" s="26">
        <f t="shared" si="194"/>
        <v>0</v>
      </c>
      <c r="J1859" s="1340" t="e">
        <f t="shared" si="195"/>
        <v>#DIV/0!</v>
      </c>
      <c r="K1859" s="1339">
        <f t="shared" si="196"/>
        <v>0</v>
      </c>
    </row>
    <row r="1860" spans="1:11" ht="15" x14ac:dyDescent="0.25">
      <c r="A1860" s="1341"/>
      <c r="B1860" s="624">
        <v>144990</v>
      </c>
      <c r="C1860" s="1344">
        <v>333903600000000</v>
      </c>
      <c r="D1860" s="624" t="s">
        <v>5408</v>
      </c>
      <c r="E1860" s="624">
        <v>40</v>
      </c>
      <c r="F1860" s="643">
        <v>0</v>
      </c>
      <c r="G1860" s="643">
        <v>0</v>
      </c>
      <c r="H1860" s="26">
        <v>0</v>
      </c>
      <c r="I1860" s="26">
        <f t="shared" si="194"/>
        <v>0</v>
      </c>
      <c r="J1860" s="1340" t="e">
        <f t="shared" si="195"/>
        <v>#DIV/0!</v>
      </c>
      <c r="K1860" s="1339">
        <f t="shared" si="196"/>
        <v>0</v>
      </c>
    </row>
    <row r="1861" spans="1:11" ht="15" x14ac:dyDescent="0.25">
      <c r="A1861" s="1341"/>
      <c r="B1861" s="624">
        <v>147650</v>
      </c>
      <c r="C1861" s="1344">
        <v>333903600000000</v>
      </c>
      <c r="D1861" s="624" t="s">
        <v>5453</v>
      </c>
      <c r="E1861" s="624">
        <v>40</v>
      </c>
      <c r="F1861" s="643">
        <v>0</v>
      </c>
      <c r="G1861" s="643">
        <v>0</v>
      </c>
      <c r="H1861" s="26">
        <v>0</v>
      </c>
      <c r="I1861" s="26">
        <f t="shared" si="194"/>
        <v>0</v>
      </c>
      <c r="J1861" s="1340" t="e">
        <f t="shared" si="195"/>
        <v>#DIV/0!</v>
      </c>
      <c r="K1861" s="1339">
        <f t="shared" si="196"/>
        <v>0</v>
      </c>
    </row>
    <row r="1862" spans="1:11" ht="15" x14ac:dyDescent="0.25">
      <c r="A1862" s="1341"/>
      <c r="B1862" s="624">
        <v>145090</v>
      </c>
      <c r="C1862" s="1344">
        <v>333903900000000</v>
      </c>
      <c r="D1862" s="624" t="s">
        <v>5409</v>
      </c>
      <c r="E1862" s="624">
        <v>40</v>
      </c>
      <c r="F1862" s="643">
        <v>0</v>
      </c>
      <c r="G1862" s="643">
        <v>0</v>
      </c>
      <c r="H1862" s="26">
        <v>0</v>
      </c>
      <c r="I1862" s="26">
        <f t="shared" si="194"/>
        <v>0</v>
      </c>
      <c r="J1862" s="1340" t="e">
        <f t="shared" si="195"/>
        <v>#DIV/0!</v>
      </c>
      <c r="K1862" s="1339">
        <f t="shared" si="196"/>
        <v>0</v>
      </c>
    </row>
    <row r="1863" spans="1:11" ht="15" x14ac:dyDescent="0.25">
      <c r="A1863" s="1341"/>
      <c r="B1863" s="624">
        <v>147750</v>
      </c>
      <c r="C1863" s="1344">
        <v>333903900000000</v>
      </c>
      <c r="D1863" s="624" t="s">
        <v>5454</v>
      </c>
      <c r="E1863" s="624">
        <v>40</v>
      </c>
      <c r="F1863" s="643">
        <v>0</v>
      </c>
      <c r="G1863" s="643">
        <v>0</v>
      </c>
      <c r="H1863" s="26">
        <v>0</v>
      </c>
      <c r="I1863" s="26">
        <f t="shared" si="194"/>
        <v>0</v>
      </c>
      <c r="J1863" s="1340" t="e">
        <f t="shared" si="195"/>
        <v>#DIV/0!</v>
      </c>
      <c r="K1863" s="1339">
        <f t="shared" si="196"/>
        <v>0</v>
      </c>
    </row>
    <row r="1864" spans="1:11" ht="15" x14ac:dyDescent="0.25">
      <c r="A1864" s="1341"/>
      <c r="B1864" s="624">
        <v>145190</v>
      </c>
      <c r="C1864" s="1344">
        <v>333904600000000</v>
      </c>
      <c r="D1864" s="624" t="s">
        <v>5410</v>
      </c>
      <c r="E1864" s="624">
        <v>40</v>
      </c>
      <c r="F1864" s="643">
        <v>0</v>
      </c>
      <c r="G1864" s="643">
        <v>0</v>
      </c>
      <c r="H1864" s="26">
        <v>0</v>
      </c>
      <c r="I1864" s="26">
        <f t="shared" si="194"/>
        <v>0</v>
      </c>
      <c r="J1864" s="1340" t="e">
        <f t="shared" si="195"/>
        <v>#DIV/0!</v>
      </c>
      <c r="K1864" s="1339">
        <f t="shared" si="196"/>
        <v>0</v>
      </c>
    </row>
    <row r="1865" spans="1:11" ht="15" x14ac:dyDescent="0.25">
      <c r="A1865" s="1341"/>
      <c r="B1865" s="624">
        <v>147850</v>
      </c>
      <c r="C1865" s="1344">
        <v>333904600000000</v>
      </c>
      <c r="D1865" s="624" t="s">
        <v>5455</v>
      </c>
      <c r="E1865" s="624">
        <v>40</v>
      </c>
      <c r="F1865" s="643">
        <v>0</v>
      </c>
      <c r="G1865" s="643">
        <v>0</v>
      </c>
      <c r="H1865" s="26">
        <v>0</v>
      </c>
      <c r="I1865" s="26">
        <f t="shared" si="194"/>
        <v>0</v>
      </c>
      <c r="J1865" s="1340" t="e">
        <f t="shared" si="195"/>
        <v>#DIV/0!</v>
      </c>
      <c r="K1865" s="1339">
        <f t="shared" si="196"/>
        <v>0</v>
      </c>
    </row>
    <row r="1866" spans="1:11" ht="15" x14ac:dyDescent="0.25">
      <c r="A1866" s="1341"/>
      <c r="B1866" s="624">
        <v>145230</v>
      </c>
      <c r="C1866" s="1344">
        <v>333904700000000</v>
      </c>
      <c r="D1866" s="624" t="s">
        <v>5411</v>
      </c>
      <c r="E1866" s="624">
        <v>40</v>
      </c>
      <c r="F1866" s="643">
        <v>0</v>
      </c>
      <c r="G1866" s="643">
        <v>0</v>
      </c>
      <c r="H1866" s="26">
        <v>0</v>
      </c>
      <c r="I1866" s="26">
        <f t="shared" si="194"/>
        <v>0</v>
      </c>
      <c r="J1866" s="1340" t="e">
        <f t="shared" si="195"/>
        <v>#DIV/0!</v>
      </c>
      <c r="K1866" s="1339">
        <f t="shared" si="196"/>
        <v>0</v>
      </c>
    </row>
    <row r="1867" spans="1:11" ht="15" x14ac:dyDescent="0.25">
      <c r="A1867" s="1341"/>
      <c r="B1867" s="624">
        <v>147900</v>
      </c>
      <c r="C1867" s="1344">
        <v>333904700000000</v>
      </c>
      <c r="D1867" s="624" t="s">
        <v>5456</v>
      </c>
      <c r="E1867" s="624">
        <v>40</v>
      </c>
      <c r="F1867" s="643">
        <v>0</v>
      </c>
      <c r="G1867" s="643">
        <v>0</v>
      </c>
      <c r="H1867" s="26">
        <v>0</v>
      </c>
      <c r="I1867" s="26">
        <f t="shared" si="194"/>
        <v>0</v>
      </c>
      <c r="J1867" s="1340" t="e">
        <f t="shared" si="195"/>
        <v>#DIV/0!</v>
      </c>
      <c r="K1867" s="1339">
        <f t="shared" si="196"/>
        <v>0</v>
      </c>
    </row>
    <row r="1868" spans="1:11" ht="15" x14ac:dyDescent="0.25">
      <c r="A1868" s="1341"/>
      <c r="B1868" s="624">
        <v>145260</v>
      </c>
      <c r="C1868" s="1344">
        <v>333904900000000</v>
      </c>
      <c r="D1868" s="624" t="s">
        <v>5412</v>
      </c>
      <c r="E1868" s="624">
        <v>40</v>
      </c>
      <c r="F1868" s="643">
        <v>0</v>
      </c>
      <c r="G1868" s="643">
        <v>0</v>
      </c>
      <c r="H1868" s="26">
        <v>0</v>
      </c>
      <c r="I1868" s="26">
        <f t="shared" si="194"/>
        <v>0</v>
      </c>
      <c r="J1868" s="1340" t="e">
        <f t="shared" si="195"/>
        <v>#DIV/0!</v>
      </c>
      <c r="K1868" s="1339">
        <f t="shared" si="196"/>
        <v>0</v>
      </c>
    </row>
    <row r="1869" spans="1:11" ht="15" x14ac:dyDescent="0.25">
      <c r="A1869" s="1341"/>
      <c r="B1869" s="624">
        <v>147950</v>
      </c>
      <c r="C1869" s="1344">
        <v>333904900000000</v>
      </c>
      <c r="D1869" s="624" t="s">
        <v>5457</v>
      </c>
      <c r="E1869" s="624">
        <v>40</v>
      </c>
      <c r="F1869" s="643">
        <v>0</v>
      </c>
      <c r="G1869" s="643">
        <v>0</v>
      </c>
      <c r="H1869" s="26">
        <v>0</v>
      </c>
      <c r="I1869" s="26">
        <f t="shared" si="194"/>
        <v>0</v>
      </c>
      <c r="J1869" s="1340" t="e">
        <f t="shared" si="195"/>
        <v>#DIV/0!</v>
      </c>
      <c r="K1869" s="1339">
        <f t="shared" si="196"/>
        <v>0</v>
      </c>
    </row>
    <row r="1870" spans="1:11" ht="15" x14ac:dyDescent="0.25">
      <c r="A1870" s="1341"/>
      <c r="B1870" s="624">
        <v>145290</v>
      </c>
      <c r="C1870" s="1344">
        <v>333909200000000</v>
      </c>
      <c r="D1870" s="624" t="s">
        <v>5413</v>
      </c>
      <c r="E1870" s="624">
        <v>40</v>
      </c>
      <c r="F1870" s="643">
        <v>0</v>
      </c>
      <c r="G1870" s="643">
        <v>0</v>
      </c>
      <c r="H1870" s="26">
        <v>0</v>
      </c>
      <c r="I1870" s="26">
        <f t="shared" si="194"/>
        <v>0</v>
      </c>
      <c r="J1870" s="1340" t="e">
        <f t="shared" si="195"/>
        <v>#DIV/0!</v>
      </c>
      <c r="K1870" s="1339">
        <f t="shared" si="196"/>
        <v>0</v>
      </c>
    </row>
    <row r="1871" spans="1:11" ht="15" x14ac:dyDescent="0.25">
      <c r="A1871" s="1341"/>
      <c r="B1871" s="624">
        <v>148000</v>
      </c>
      <c r="C1871" s="1344">
        <v>333909200000000</v>
      </c>
      <c r="D1871" s="624" t="s">
        <v>5458</v>
      </c>
      <c r="E1871" s="624">
        <v>40</v>
      </c>
      <c r="F1871" s="643">
        <v>0</v>
      </c>
      <c r="G1871" s="643">
        <v>0</v>
      </c>
      <c r="H1871" s="26">
        <v>0</v>
      </c>
      <c r="I1871" s="26">
        <f t="shared" si="194"/>
        <v>0</v>
      </c>
      <c r="J1871" s="1340" t="e">
        <f t="shared" si="195"/>
        <v>#DIV/0!</v>
      </c>
      <c r="K1871" s="1339">
        <f t="shared" si="196"/>
        <v>0</v>
      </c>
    </row>
    <row r="1872" spans="1:11" ht="15" x14ac:dyDescent="0.25">
      <c r="A1872" s="1341"/>
      <c r="B1872" s="624">
        <v>145330</v>
      </c>
      <c r="C1872" s="1344">
        <v>333909300000000</v>
      </c>
      <c r="D1872" s="624" t="s">
        <v>5414</v>
      </c>
      <c r="E1872" s="624">
        <v>40</v>
      </c>
      <c r="F1872" s="643">
        <v>0</v>
      </c>
      <c r="G1872" s="643">
        <v>0</v>
      </c>
      <c r="H1872" s="26">
        <v>0</v>
      </c>
      <c r="I1872" s="26">
        <f t="shared" si="194"/>
        <v>0</v>
      </c>
      <c r="J1872" s="1340" t="e">
        <f t="shared" si="195"/>
        <v>#DIV/0!</v>
      </c>
      <c r="K1872" s="1339">
        <f t="shared" si="196"/>
        <v>0</v>
      </c>
    </row>
    <row r="1873" spans="1:11" ht="15" x14ac:dyDescent="0.25">
      <c r="A1873" s="1341"/>
      <c r="B1873" s="624">
        <v>148050</v>
      </c>
      <c r="C1873" s="1344">
        <v>333909300000000</v>
      </c>
      <c r="D1873" s="624" t="s">
        <v>5459</v>
      </c>
      <c r="E1873" s="624">
        <v>40</v>
      </c>
      <c r="F1873" s="643">
        <v>0</v>
      </c>
      <c r="G1873" s="643">
        <v>0</v>
      </c>
      <c r="H1873" s="26">
        <v>0</v>
      </c>
      <c r="I1873" s="26">
        <f t="shared" si="194"/>
        <v>0</v>
      </c>
      <c r="J1873" s="1340" t="e">
        <f t="shared" si="195"/>
        <v>#DIV/0!</v>
      </c>
      <c r="K1873" s="1339">
        <f t="shared" si="196"/>
        <v>0</v>
      </c>
    </row>
    <row r="1874" spans="1:11" ht="15" x14ac:dyDescent="0.25">
      <c r="A1874" s="1341"/>
      <c r="B1874" s="624">
        <v>145360</v>
      </c>
      <c r="C1874" s="1344">
        <v>333933000000000</v>
      </c>
      <c r="D1874" s="624" t="s">
        <v>5415</v>
      </c>
      <c r="E1874" s="624">
        <v>40</v>
      </c>
      <c r="F1874" s="643">
        <v>0</v>
      </c>
      <c r="G1874" s="643">
        <v>0</v>
      </c>
      <c r="H1874" s="26">
        <v>0</v>
      </c>
      <c r="I1874" s="26">
        <f t="shared" si="194"/>
        <v>0</v>
      </c>
      <c r="J1874" s="1340" t="e">
        <f t="shared" si="195"/>
        <v>#DIV/0!</v>
      </c>
      <c r="K1874" s="1339">
        <f t="shared" si="196"/>
        <v>0</v>
      </c>
    </row>
    <row r="1875" spans="1:11" ht="15" x14ac:dyDescent="0.25">
      <c r="A1875" s="1341"/>
      <c r="B1875" s="624">
        <v>148100</v>
      </c>
      <c r="C1875" s="1344">
        <v>333933000000000</v>
      </c>
      <c r="D1875" s="624" t="s">
        <v>5460</v>
      </c>
      <c r="E1875" s="624">
        <v>40</v>
      </c>
      <c r="F1875" s="643">
        <v>0</v>
      </c>
      <c r="G1875" s="643">
        <v>0</v>
      </c>
      <c r="H1875" s="26">
        <v>0</v>
      </c>
      <c r="I1875" s="26">
        <f t="shared" si="194"/>
        <v>0</v>
      </c>
      <c r="J1875" s="1340" t="e">
        <f t="shared" si="195"/>
        <v>#DIV/0!</v>
      </c>
      <c r="K1875" s="1339">
        <f t="shared" si="196"/>
        <v>0</v>
      </c>
    </row>
    <row r="1876" spans="1:11" ht="15" x14ac:dyDescent="0.25">
      <c r="A1876" s="1341"/>
      <c r="B1876" s="624">
        <v>145390</v>
      </c>
      <c r="C1876" s="1344">
        <v>344905100000000</v>
      </c>
      <c r="D1876" s="624" t="s">
        <v>5416</v>
      </c>
      <c r="E1876" s="624">
        <v>40</v>
      </c>
      <c r="F1876" s="643">
        <v>0</v>
      </c>
      <c r="G1876" s="643">
        <v>0</v>
      </c>
      <c r="H1876" s="26">
        <v>0</v>
      </c>
      <c r="I1876" s="26">
        <f t="shared" si="194"/>
        <v>0</v>
      </c>
      <c r="J1876" s="1340" t="e">
        <f t="shared" si="195"/>
        <v>#DIV/0!</v>
      </c>
      <c r="K1876" s="1339">
        <f t="shared" si="196"/>
        <v>0</v>
      </c>
    </row>
    <row r="1877" spans="1:11" ht="15" x14ac:dyDescent="0.25">
      <c r="A1877" s="1341"/>
      <c r="B1877" s="624">
        <v>148150</v>
      </c>
      <c r="C1877" s="1344">
        <v>344905100000000</v>
      </c>
      <c r="D1877" s="624" t="s">
        <v>5461</v>
      </c>
      <c r="E1877" s="624">
        <v>40</v>
      </c>
      <c r="F1877" s="643">
        <v>0</v>
      </c>
      <c r="G1877" s="643">
        <v>0</v>
      </c>
      <c r="H1877" s="26">
        <v>0</v>
      </c>
      <c r="I1877" s="26">
        <f t="shared" si="194"/>
        <v>0</v>
      </c>
      <c r="J1877" s="1340" t="e">
        <f t="shared" si="195"/>
        <v>#DIV/0!</v>
      </c>
      <c r="K1877" s="1339">
        <f t="shared" si="196"/>
        <v>0</v>
      </c>
    </row>
    <row r="1878" spans="1:11" ht="15" x14ac:dyDescent="0.25">
      <c r="A1878" s="1341"/>
      <c r="B1878" s="624">
        <v>145420</v>
      </c>
      <c r="C1878" s="1344">
        <v>344905200000000</v>
      </c>
      <c r="D1878" s="624" t="s">
        <v>5417</v>
      </c>
      <c r="E1878" s="624">
        <v>40</v>
      </c>
      <c r="F1878" s="643">
        <v>0</v>
      </c>
      <c r="G1878" s="643">
        <v>0</v>
      </c>
      <c r="H1878" s="26">
        <v>0</v>
      </c>
      <c r="I1878" s="26">
        <f t="shared" si="194"/>
        <v>0</v>
      </c>
      <c r="J1878" s="1340" t="e">
        <f t="shared" si="195"/>
        <v>#DIV/0!</v>
      </c>
      <c r="K1878" s="1339">
        <f t="shared" si="196"/>
        <v>0</v>
      </c>
    </row>
    <row r="1879" spans="1:11" ht="15" x14ac:dyDescent="0.25">
      <c r="A1879" s="1341"/>
      <c r="B1879" s="624">
        <v>148200</v>
      </c>
      <c r="C1879" s="1344">
        <v>344905200000000</v>
      </c>
      <c r="D1879" s="624" t="s">
        <v>5462</v>
      </c>
      <c r="E1879" s="624">
        <v>40</v>
      </c>
      <c r="F1879" s="643">
        <v>0</v>
      </c>
      <c r="G1879" s="643">
        <v>0</v>
      </c>
      <c r="H1879" s="26">
        <v>0</v>
      </c>
      <c r="I1879" s="26">
        <f t="shared" si="194"/>
        <v>0</v>
      </c>
      <c r="J1879" s="1340" t="e">
        <f t="shared" si="195"/>
        <v>#DIV/0!</v>
      </c>
      <c r="K1879" s="1339">
        <f t="shared" si="196"/>
        <v>0</v>
      </c>
    </row>
    <row r="1880" spans="1:11" ht="15" x14ac:dyDescent="0.25">
      <c r="B1880" s="1598" t="s">
        <v>1575</v>
      </c>
      <c r="C1880" s="1598"/>
      <c r="D1880" s="1598"/>
      <c r="E1880" s="1598"/>
      <c r="F1880" s="25">
        <f>F1694+F1701+F1708+F1715+F1785+F1812+F1835</f>
        <v>2693014.0700000003</v>
      </c>
      <c r="G1880" s="25">
        <f>G1694+G1701+G1708+G1715+G1785+G1812+G1835</f>
        <v>3230511.1999999997</v>
      </c>
      <c r="H1880" s="25">
        <f>H1694+H1701+H1708+H1715+H1785+H1812+H1835</f>
        <v>0</v>
      </c>
      <c r="I1880" s="25">
        <f>I1694+I1701+I1708+I1715+I1785+I1812+I1835</f>
        <v>1974508.4233333333</v>
      </c>
      <c r="J1880" s="1338">
        <f t="shared" si="195"/>
        <v>1.1995894250934973</v>
      </c>
      <c r="K1880" s="1337">
        <f t="shared" si="196"/>
        <v>1</v>
      </c>
    </row>
    <row r="1882" spans="1:11" ht="15" x14ac:dyDescent="0.25">
      <c r="B1882" s="616" t="s">
        <v>7386</v>
      </c>
    </row>
    <row r="1883" spans="1:11" ht="45" customHeight="1" x14ac:dyDescent="0.25">
      <c r="B1883" s="1343" t="s">
        <v>2967</v>
      </c>
      <c r="C1883" s="1343" t="s">
        <v>472</v>
      </c>
      <c r="D1883" s="1343" t="s">
        <v>2968</v>
      </c>
      <c r="E1883" s="1343" t="s">
        <v>1403</v>
      </c>
      <c r="F1883" s="1081">
        <v>2017</v>
      </c>
      <c r="G1883" s="1081">
        <f>F1883+1</f>
        <v>2018</v>
      </c>
      <c r="H1883" s="1081">
        <f>G1883+1</f>
        <v>2019</v>
      </c>
      <c r="I1883" s="1082" t="s">
        <v>7336</v>
      </c>
      <c r="J1883" s="1342" t="s">
        <v>7335</v>
      </c>
      <c r="K1883" s="1342" t="s">
        <v>7334</v>
      </c>
    </row>
    <row r="1884" spans="1:11" s="12" customFormat="1" ht="15" x14ac:dyDescent="0.25">
      <c r="A1884" s="1081"/>
      <c r="B1884" s="570" t="s">
        <v>2950</v>
      </c>
      <c r="C1884" s="1345" t="s">
        <v>7379</v>
      </c>
      <c r="D1884" s="570" t="s">
        <v>7378</v>
      </c>
      <c r="E1884" s="570"/>
      <c r="F1884" s="642">
        <f>SUM(F1885:F1897)</f>
        <v>22229.4</v>
      </c>
      <c r="G1884" s="642">
        <f>SUM(G1885:G1897)</f>
        <v>1365</v>
      </c>
      <c r="H1884" s="642">
        <f>SUM(H1885:H1897)</f>
        <v>0</v>
      </c>
      <c r="I1884" s="642">
        <f>SUM(I1885:I1897)</f>
        <v>7864.8</v>
      </c>
      <c r="J1884" s="1338">
        <f t="shared" ref="J1884:J1915" si="197">(G1884/F1884)+(H1884/G1884)/2</f>
        <v>6.1405166131339575E-2</v>
      </c>
      <c r="K1884" s="1337">
        <f t="shared" ref="K1884:K1915" si="198">I1884/I$1952</f>
        <v>4.2741306352095693E-2</v>
      </c>
    </row>
    <row r="1885" spans="1:11" ht="15" x14ac:dyDescent="0.25">
      <c r="A1885" s="1341"/>
      <c r="B1885" s="624">
        <v>150000</v>
      </c>
      <c r="C1885" s="1344">
        <v>333904700000000</v>
      </c>
      <c r="D1885" s="624" t="s">
        <v>5489</v>
      </c>
      <c r="E1885" s="624">
        <v>4294</v>
      </c>
      <c r="F1885" s="643">
        <v>0</v>
      </c>
      <c r="G1885" s="643">
        <v>0</v>
      </c>
      <c r="H1885" s="26">
        <v>0</v>
      </c>
      <c r="I1885" s="26">
        <f t="shared" ref="I1885:I1897" si="199">(F1885+G1885+H1885)/3</f>
        <v>0</v>
      </c>
      <c r="J1885" s="1340" t="e">
        <f t="shared" si="197"/>
        <v>#DIV/0!</v>
      </c>
      <c r="K1885" s="1339">
        <f t="shared" si="198"/>
        <v>0</v>
      </c>
    </row>
    <row r="1886" spans="1:11" ht="15" x14ac:dyDescent="0.25">
      <c r="A1886" s="1341"/>
      <c r="B1886" s="624">
        <v>151000</v>
      </c>
      <c r="C1886" s="1344">
        <v>333904700000000</v>
      </c>
      <c r="D1886" s="624" t="s">
        <v>5489</v>
      </c>
      <c r="E1886" s="624">
        <v>4011</v>
      </c>
      <c r="F1886" s="643">
        <v>0</v>
      </c>
      <c r="G1886" s="643">
        <v>0</v>
      </c>
      <c r="H1886" s="26">
        <v>0</v>
      </c>
      <c r="I1886" s="26">
        <f t="shared" si="199"/>
        <v>0</v>
      </c>
      <c r="J1886" s="1340" t="e">
        <f t="shared" si="197"/>
        <v>#DIV/0!</v>
      </c>
      <c r="K1886" s="1339">
        <f t="shared" si="198"/>
        <v>0</v>
      </c>
    </row>
    <row r="1887" spans="1:11" ht="15" x14ac:dyDescent="0.25">
      <c r="A1887" s="1341"/>
      <c r="B1887" s="624">
        <v>150050</v>
      </c>
      <c r="C1887" s="1344">
        <v>344309300000000</v>
      </c>
      <c r="D1887" s="624" t="s">
        <v>7385</v>
      </c>
      <c r="E1887" s="624">
        <v>4294</v>
      </c>
      <c r="F1887" s="643">
        <v>0</v>
      </c>
      <c r="G1887" s="643">
        <v>0</v>
      </c>
      <c r="H1887" s="26">
        <v>0</v>
      </c>
      <c r="I1887" s="26">
        <f t="shared" si="199"/>
        <v>0</v>
      </c>
      <c r="J1887" s="1340" t="e">
        <f t="shared" si="197"/>
        <v>#DIV/0!</v>
      </c>
      <c r="K1887" s="1339">
        <f t="shared" si="198"/>
        <v>0</v>
      </c>
    </row>
    <row r="1888" spans="1:11" ht="15" x14ac:dyDescent="0.25">
      <c r="A1888" s="1341"/>
      <c r="B1888" s="624">
        <v>151050</v>
      </c>
      <c r="C1888" s="1344">
        <v>344903000000000</v>
      </c>
      <c r="D1888" s="624" t="s">
        <v>5490</v>
      </c>
      <c r="E1888" s="624">
        <v>4011</v>
      </c>
      <c r="F1888" s="643">
        <v>0</v>
      </c>
      <c r="G1888" s="643">
        <v>0</v>
      </c>
      <c r="H1888" s="26">
        <v>0</v>
      </c>
      <c r="I1888" s="26">
        <f t="shared" si="199"/>
        <v>0</v>
      </c>
      <c r="J1888" s="1340" t="e">
        <f t="shared" si="197"/>
        <v>#DIV/0!</v>
      </c>
      <c r="K1888" s="1339">
        <f t="shared" si="198"/>
        <v>0</v>
      </c>
    </row>
    <row r="1889" spans="1:11" ht="15" x14ac:dyDescent="0.25">
      <c r="A1889" s="1341"/>
      <c r="B1889" s="624">
        <v>150100</v>
      </c>
      <c r="C1889" s="1344">
        <v>344903600000000</v>
      </c>
      <c r="D1889" s="624" t="s">
        <v>5491</v>
      </c>
      <c r="E1889" s="624">
        <v>4294</v>
      </c>
      <c r="F1889" s="643">
        <v>0</v>
      </c>
      <c r="G1889" s="643">
        <v>0</v>
      </c>
      <c r="H1889" s="26">
        <v>0</v>
      </c>
      <c r="I1889" s="26">
        <f t="shared" si="199"/>
        <v>0</v>
      </c>
      <c r="J1889" s="1340" t="e">
        <f t="shared" si="197"/>
        <v>#DIV/0!</v>
      </c>
      <c r="K1889" s="1339">
        <f t="shared" si="198"/>
        <v>0</v>
      </c>
    </row>
    <row r="1890" spans="1:11" ht="15" x14ac:dyDescent="0.25">
      <c r="A1890" s="1341"/>
      <c r="B1890" s="624">
        <v>151100</v>
      </c>
      <c r="C1890" s="1344">
        <v>344903600000000</v>
      </c>
      <c r="D1890" s="624" t="s">
        <v>5491</v>
      </c>
      <c r="E1890" s="624">
        <v>4011</v>
      </c>
      <c r="F1890" s="643">
        <v>0</v>
      </c>
      <c r="G1890" s="643">
        <v>0</v>
      </c>
      <c r="H1890" s="26">
        <v>0</v>
      </c>
      <c r="I1890" s="26">
        <f t="shared" si="199"/>
        <v>0</v>
      </c>
      <c r="J1890" s="1340" t="e">
        <f t="shared" si="197"/>
        <v>#DIV/0!</v>
      </c>
      <c r="K1890" s="1339">
        <f t="shared" si="198"/>
        <v>0</v>
      </c>
    </row>
    <row r="1891" spans="1:11" ht="15" x14ac:dyDescent="0.25">
      <c r="A1891" s="1341"/>
      <c r="B1891" s="624">
        <v>150150</v>
      </c>
      <c r="C1891" s="1344">
        <v>344903900000000</v>
      </c>
      <c r="D1891" s="624" t="s">
        <v>5492</v>
      </c>
      <c r="E1891" s="624">
        <v>4294</v>
      </c>
      <c r="F1891" s="643">
        <v>0</v>
      </c>
      <c r="G1891" s="643">
        <v>0</v>
      </c>
      <c r="H1891" s="26">
        <v>0</v>
      </c>
      <c r="I1891" s="26">
        <f t="shared" si="199"/>
        <v>0</v>
      </c>
      <c r="J1891" s="1340" t="e">
        <f t="shared" si="197"/>
        <v>#DIV/0!</v>
      </c>
      <c r="K1891" s="1339">
        <f t="shared" si="198"/>
        <v>0</v>
      </c>
    </row>
    <row r="1892" spans="1:11" ht="15" x14ac:dyDescent="0.25">
      <c r="A1892" s="1341"/>
      <c r="B1892" s="624">
        <v>151150</v>
      </c>
      <c r="C1892" s="1344">
        <v>344903900000000</v>
      </c>
      <c r="D1892" s="624" t="s">
        <v>5492</v>
      </c>
      <c r="E1892" s="624">
        <v>4011</v>
      </c>
      <c r="F1892" s="643">
        <v>0</v>
      </c>
      <c r="G1892" s="643">
        <v>0</v>
      </c>
      <c r="H1892" s="26">
        <v>0</v>
      </c>
      <c r="I1892" s="26">
        <f t="shared" si="199"/>
        <v>0</v>
      </c>
      <c r="J1892" s="1340" t="e">
        <f t="shared" si="197"/>
        <v>#DIV/0!</v>
      </c>
      <c r="K1892" s="1339">
        <f t="shared" si="198"/>
        <v>0</v>
      </c>
    </row>
    <row r="1893" spans="1:11" ht="15" x14ac:dyDescent="0.25">
      <c r="A1893" s="1341"/>
      <c r="B1893" s="624">
        <v>150200</v>
      </c>
      <c r="C1893" s="1344">
        <v>344905100000000</v>
      </c>
      <c r="D1893" s="624" t="s">
        <v>5493</v>
      </c>
      <c r="E1893" s="624">
        <v>4294</v>
      </c>
      <c r="F1893" s="643">
        <v>0</v>
      </c>
      <c r="G1893" s="643">
        <v>0</v>
      </c>
      <c r="H1893" s="26">
        <v>0</v>
      </c>
      <c r="I1893" s="26">
        <f t="shared" si="199"/>
        <v>0</v>
      </c>
      <c r="J1893" s="1340" t="e">
        <f t="shared" si="197"/>
        <v>#DIV/0!</v>
      </c>
      <c r="K1893" s="1339">
        <f t="shared" si="198"/>
        <v>0</v>
      </c>
    </row>
    <row r="1894" spans="1:11" ht="15" x14ac:dyDescent="0.25">
      <c r="A1894" s="1341"/>
      <c r="B1894" s="624">
        <v>151200</v>
      </c>
      <c r="C1894" s="1344">
        <v>344905100000000</v>
      </c>
      <c r="D1894" s="624" t="s">
        <v>5493</v>
      </c>
      <c r="E1894" s="624">
        <v>4011</v>
      </c>
      <c r="F1894" s="643">
        <v>0</v>
      </c>
      <c r="G1894" s="643">
        <v>0</v>
      </c>
      <c r="H1894" s="26">
        <v>0</v>
      </c>
      <c r="I1894" s="26">
        <f t="shared" si="199"/>
        <v>0</v>
      </c>
      <c r="J1894" s="1340" t="e">
        <f t="shared" si="197"/>
        <v>#DIV/0!</v>
      </c>
      <c r="K1894" s="1339">
        <f t="shared" si="198"/>
        <v>0</v>
      </c>
    </row>
    <row r="1895" spans="1:11" ht="15" x14ac:dyDescent="0.25">
      <c r="A1895" s="1341"/>
      <c r="B1895" s="624">
        <v>0</v>
      </c>
      <c r="C1895" s="1344">
        <v>344905200000000</v>
      </c>
      <c r="D1895" s="624" t="s">
        <v>5494</v>
      </c>
      <c r="E1895" s="624">
        <v>4241</v>
      </c>
      <c r="F1895" s="643">
        <v>22229.4</v>
      </c>
      <c r="G1895" s="643">
        <v>1365</v>
      </c>
      <c r="H1895" s="26">
        <v>0</v>
      </c>
      <c r="I1895" s="26">
        <f t="shared" si="199"/>
        <v>7864.8</v>
      </c>
      <c r="J1895" s="1340">
        <f t="shared" si="197"/>
        <v>6.1405166131339575E-2</v>
      </c>
      <c r="K1895" s="1339">
        <f t="shared" si="198"/>
        <v>4.2741306352095693E-2</v>
      </c>
    </row>
    <row r="1896" spans="1:11" ht="15" x14ac:dyDescent="0.25">
      <c r="A1896" s="1341"/>
      <c r="B1896" s="624">
        <v>150250</v>
      </c>
      <c r="C1896" s="1344">
        <v>344905200000000</v>
      </c>
      <c r="D1896" s="624" t="s">
        <v>5494</v>
      </c>
      <c r="E1896" s="624">
        <v>4294</v>
      </c>
      <c r="F1896" s="643">
        <v>0</v>
      </c>
      <c r="G1896" s="643">
        <v>0</v>
      </c>
      <c r="H1896" s="26">
        <v>0</v>
      </c>
      <c r="I1896" s="26">
        <f t="shared" si="199"/>
        <v>0</v>
      </c>
      <c r="J1896" s="1340" t="e">
        <f t="shared" si="197"/>
        <v>#DIV/0!</v>
      </c>
      <c r="K1896" s="1339">
        <f t="shared" si="198"/>
        <v>0</v>
      </c>
    </row>
    <row r="1897" spans="1:11" ht="15" x14ac:dyDescent="0.25">
      <c r="A1897" s="1341"/>
      <c r="B1897" s="624">
        <v>151250</v>
      </c>
      <c r="C1897" s="1344">
        <v>344905200000000</v>
      </c>
      <c r="D1897" s="624" t="s">
        <v>5494</v>
      </c>
      <c r="E1897" s="624">
        <v>4011</v>
      </c>
      <c r="F1897" s="643">
        <v>0</v>
      </c>
      <c r="G1897" s="643">
        <v>0</v>
      </c>
      <c r="H1897" s="26">
        <v>0</v>
      </c>
      <c r="I1897" s="26">
        <f t="shared" si="199"/>
        <v>0</v>
      </c>
      <c r="J1897" s="1340" t="e">
        <f t="shared" si="197"/>
        <v>#DIV/0!</v>
      </c>
      <c r="K1897" s="1339">
        <f t="shared" si="198"/>
        <v>0</v>
      </c>
    </row>
    <row r="1898" spans="1:11" s="12" customFormat="1" ht="15" x14ac:dyDescent="0.25">
      <c r="A1898" s="1081"/>
      <c r="B1898" s="570" t="s">
        <v>2965</v>
      </c>
      <c r="C1898" s="1345">
        <v>29</v>
      </c>
      <c r="D1898" s="570" t="s">
        <v>5495</v>
      </c>
      <c r="E1898" s="570"/>
      <c r="F1898" s="642">
        <f>SUM(F1899:F1921)</f>
        <v>266796.89999999997</v>
      </c>
      <c r="G1898" s="642">
        <f>SUM(G1899:G1921)</f>
        <v>168717.46</v>
      </c>
      <c r="H1898" s="642">
        <f>SUM(H1899:H1921)</f>
        <v>0</v>
      </c>
      <c r="I1898" s="642">
        <f>SUM(I1899:I1921)</f>
        <v>145171.45333333334</v>
      </c>
      <c r="J1898" s="1338">
        <f t="shared" si="197"/>
        <v>0.63238163561870475</v>
      </c>
      <c r="K1898" s="1337">
        <f t="shared" si="198"/>
        <v>0.78893519994137984</v>
      </c>
    </row>
    <row r="1899" spans="1:11" ht="15" x14ac:dyDescent="0.25">
      <c r="A1899" s="1341"/>
      <c r="B1899" s="624">
        <v>153000</v>
      </c>
      <c r="C1899" s="1344">
        <v>331900400000000</v>
      </c>
      <c r="D1899" s="624" t="s">
        <v>6574</v>
      </c>
      <c r="E1899" s="624">
        <v>4070</v>
      </c>
      <c r="F1899" s="643">
        <v>32200.86</v>
      </c>
      <c r="G1899" s="643">
        <v>6932.21</v>
      </c>
      <c r="H1899" s="26">
        <v>0</v>
      </c>
      <c r="I1899" s="26">
        <f t="shared" ref="I1899:I1921" si="200">(F1899+G1899+H1899)/3</f>
        <v>13044.356666666667</v>
      </c>
      <c r="J1899" s="1340">
        <f t="shared" si="197"/>
        <v>0.21528027512308678</v>
      </c>
      <c r="K1899" s="1339">
        <f t="shared" si="198"/>
        <v>7.0889640481131347E-2</v>
      </c>
    </row>
    <row r="1900" spans="1:11" ht="15" x14ac:dyDescent="0.25">
      <c r="A1900" s="1341"/>
      <c r="B1900" s="624">
        <v>153050</v>
      </c>
      <c r="C1900" s="1344">
        <v>331900800000000</v>
      </c>
      <c r="D1900" s="624" t="s">
        <v>7384</v>
      </c>
      <c r="E1900" s="624">
        <v>1</v>
      </c>
      <c r="F1900" s="643">
        <v>0</v>
      </c>
      <c r="G1900" s="643">
        <v>0</v>
      </c>
      <c r="H1900" s="26">
        <v>0</v>
      </c>
      <c r="I1900" s="26">
        <f t="shared" si="200"/>
        <v>0</v>
      </c>
      <c r="J1900" s="1340" t="e">
        <f t="shared" si="197"/>
        <v>#DIV/0!</v>
      </c>
      <c r="K1900" s="1339">
        <f t="shared" si="198"/>
        <v>0</v>
      </c>
    </row>
    <row r="1901" spans="1:11" ht="15" x14ac:dyDescent="0.25">
      <c r="A1901" s="1341"/>
      <c r="B1901" s="624">
        <v>153100</v>
      </c>
      <c r="C1901" s="1344">
        <v>331901100000000</v>
      </c>
      <c r="D1901" s="624" t="s">
        <v>6576</v>
      </c>
      <c r="E1901" s="624">
        <v>4070</v>
      </c>
      <c r="F1901" s="643">
        <v>23249.84</v>
      </c>
      <c r="G1901" s="643">
        <v>0</v>
      </c>
      <c r="H1901" s="26">
        <v>0</v>
      </c>
      <c r="I1901" s="26">
        <f t="shared" si="200"/>
        <v>7749.9466666666667</v>
      </c>
      <c r="J1901" s="1340" t="e">
        <f t="shared" si="197"/>
        <v>#DIV/0!</v>
      </c>
      <c r="K1901" s="1339">
        <f t="shared" si="198"/>
        <v>4.2117135170939228E-2</v>
      </c>
    </row>
    <row r="1902" spans="1:11" ht="15" x14ac:dyDescent="0.25">
      <c r="A1902" s="1341"/>
      <c r="B1902" s="624">
        <v>153200</v>
      </c>
      <c r="C1902" s="1344">
        <v>331901300000000</v>
      </c>
      <c r="D1902" s="624" t="s">
        <v>6577</v>
      </c>
      <c r="E1902" s="624">
        <v>4070</v>
      </c>
      <c r="F1902" s="643">
        <v>5576.12</v>
      </c>
      <c r="G1902" s="643">
        <v>0</v>
      </c>
      <c r="H1902" s="26">
        <v>0</v>
      </c>
      <c r="I1902" s="26">
        <f t="shared" si="200"/>
        <v>1858.7066666666667</v>
      </c>
      <c r="J1902" s="1340" t="e">
        <f t="shared" si="197"/>
        <v>#DIV/0!</v>
      </c>
      <c r="K1902" s="1339">
        <f t="shared" si="198"/>
        <v>1.0101153374362045E-2</v>
      </c>
    </row>
    <row r="1903" spans="1:11" ht="15" x14ac:dyDescent="0.25">
      <c r="A1903" s="1341"/>
      <c r="B1903" s="624">
        <v>153300</v>
      </c>
      <c r="C1903" s="1344">
        <v>331901600000000</v>
      </c>
      <c r="D1903" s="624" t="s">
        <v>6578</v>
      </c>
      <c r="E1903" s="624">
        <v>4070</v>
      </c>
      <c r="F1903" s="643">
        <v>5404.92</v>
      </c>
      <c r="G1903" s="643">
        <v>0</v>
      </c>
      <c r="H1903" s="26">
        <v>0</v>
      </c>
      <c r="I1903" s="26">
        <f t="shared" si="200"/>
        <v>1801.64</v>
      </c>
      <c r="J1903" s="1340" t="e">
        <f t="shared" si="197"/>
        <v>#DIV/0!</v>
      </c>
      <c r="K1903" s="1339">
        <f t="shared" si="198"/>
        <v>9.7910242061069186E-3</v>
      </c>
    </row>
    <row r="1904" spans="1:11" ht="15" x14ac:dyDescent="0.25">
      <c r="A1904" s="1341"/>
      <c r="B1904" s="624">
        <v>153400</v>
      </c>
      <c r="C1904" s="1344">
        <v>331903400000000</v>
      </c>
      <c r="D1904" s="624" t="s">
        <v>6579</v>
      </c>
      <c r="E1904" s="624">
        <v>4070</v>
      </c>
      <c r="F1904" s="643">
        <v>0</v>
      </c>
      <c r="G1904" s="643">
        <v>0</v>
      </c>
      <c r="H1904" s="26">
        <v>0</v>
      </c>
      <c r="I1904" s="26">
        <f t="shared" si="200"/>
        <v>0</v>
      </c>
      <c r="J1904" s="1340" t="e">
        <f t="shared" si="197"/>
        <v>#DIV/0!</v>
      </c>
      <c r="K1904" s="1339">
        <f t="shared" si="198"/>
        <v>0</v>
      </c>
    </row>
    <row r="1905" spans="1:11" ht="15" x14ac:dyDescent="0.25">
      <c r="A1905" s="1341"/>
      <c r="B1905" s="624">
        <v>156000</v>
      </c>
      <c r="C1905" s="1344">
        <v>331903400000000</v>
      </c>
      <c r="D1905" s="624" t="s">
        <v>5496</v>
      </c>
      <c r="E1905" s="624">
        <v>4011</v>
      </c>
      <c r="F1905" s="643">
        <v>0</v>
      </c>
      <c r="G1905" s="643">
        <v>2260</v>
      </c>
      <c r="H1905" s="26">
        <v>0</v>
      </c>
      <c r="I1905" s="26">
        <f t="shared" si="200"/>
        <v>753.33333333333337</v>
      </c>
      <c r="J1905" s="1340" t="e">
        <f t="shared" si="197"/>
        <v>#DIV/0!</v>
      </c>
      <c r="K1905" s="1339">
        <f t="shared" si="198"/>
        <v>4.0939948613118483E-3</v>
      </c>
    </row>
    <row r="1906" spans="1:11" ht="15" x14ac:dyDescent="0.25">
      <c r="A1906" s="1341"/>
      <c r="B1906" s="624">
        <v>153500</v>
      </c>
      <c r="C1906" s="1344">
        <v>331909400000000</v>
      </c>
      <c r="D1906" s="624" t="s">
        <v>6580</v>
      </c>
      <c r="E1906" s="624">
        <v>4070</v>
      </c>
      <c r="F1906" s="643">
        <v>1953.89</v>
      </c>
      <c r="G1906" s="643">
        <v>2846.58</v>
      </c>
      <c r="H1906" s="26">
        <v>0</v>
      </c>
      <c r="I1906" s="26">
        <f t="shared" si="200"/>
        <v>1600.1566666666668</v>
      </c>
      <c r="J1906" s="1340">
        <f t="shared" si="197"/>
        <v>1.4568783298957464</v>
      </c>
      <c r="K1906" s="1339">
        <f t="shared" si="198"/>
        <v>8.6960617309211011E-3</v>
      </c>
    </row>
    <row r="1907" spans="1:11" ht="15" x14ac:dyDescent="0.25">
      <c r="A1907" s="1341"/>
      <c r="B1907" s="624">
        <v>156850</v>
      </c>
      <c r="C1907" s="1344">
        <v>333309300000000</v>
      </c>
      <c r="D1907" s="624" t="s">
        <v>5500</v>
      </c>
      <c r="E1907" s="624">
        <v>4090</v>
      </c>
      <c r="F1907" s="643">
        <v>0</v>
      </c>
      <c r="G1907" s="643">
        <v>0</v>
      </c>
      <c r="H1907" s="26">
        <v>0</v>
      </c>
      <c r="I1907" s="26">
        <f t="shared" si="200"/>
        <v>0</v>
      </c>
      <c r="J1907" s="1340" t="e">
        <f t="shared" si="197"/>
        <v>#DIV/0!</v>
      </c>
      <c r="K1907" s="1339">
        <f t="shared" si="198"/>
        <v>0</v>
      </c>
    </row>
    <row r="1908" spans="1:11" ht="15" x14ac:dyDescent="0.25">
      <c r="A1908" s="1341"/>
      <c r="B1908" s="624">
        <v>153600</v>
      </c>
      <c r="C1908" s="1344">
        <v>333901400000000</v>
      </c>
      <c r="D1908" s="624" t="s">
        <v>6581</v>
      </c>
      <c r="E1908" s="624">
        <v>4070</v>
      </c>
      <c r="F1908" s="643">
        <v>27000</v>
      </c>
      <c r="G1908" s="643">
        <v>0</v>
      </c>
      <c r="H1908" s="26">
        <v>0</v>
      </c>
      <c r="I1908" s="26">
        <f t="shared" si="200"/>
        <v>9000</v>
      </c>
      <c r="J1908" s="1340" t="e">
        <f t="shared" si="197"/>
        <v>#DIV/0!</v>
      </c>
      <c r="K1908" s="1339">
        <f t="shared" si="198"/>
        <v>4.8910558077619425E-2</v>
      </c>
    </row>
    <row r="1909" spans="1:11" ht="15" x14ac:dyDescent="0.25">
      <c r="A1909" s="1341"/>
      <c r="B1909" s="624">
        <v>156100</v>
      </c>
      <c r="C1909" s="1344">
        <v>333901400000000</v>
      </c>
      <c r="D1909" s="624" t="s">
        <v>6590</v>
      </c>
      <c r="E1909" s="624">
        <v>4011</v>
      </c>
      <c r="F1909" s="643">
        <v>0</v>
      </c>
      <c r="G1909" s="643">
        <v>0</v>
      </c>
      <c r="H1909" s="26">
        <v>0</v>
      </c>
      <c r="I1909" s="26">
        <f t="shared" si="200"/>
        <v>0</v>
      </c>
      <c r="J1909" s="1340" t="e">
        <f t="shared" si="197"/>
        <v>#DIV/0!</v>
      </c>
      <c r="K1909" s="1339">
        <f t="shared" si="198"/>
        <v>0</v>
      </c>
    </row>
    <row r="1910" spans="1:11" ht="15" x14ac:dyDescent="0.25">
      <c r="A1910" s="1341"/>
      <c r="B1910" s="624">
        <v>153700</v>
      </c>
      <c r="C1910" s="1344">
        <v>333903000000000</v>
      </c>
      <c r="D1910" s="624" t="s">
        <v>6582</v>
      </c>
      <c r="E1910" s="624">
        <v>4070</v>
      </c>
      <c r="F1910" s="643">
        <v>0</v>
      </c>
      <c r="G1910" s="643">
        <v>2680.74</v>
      </c>
      <c r="H1910" s="26">
        <v>0</v>
      </c>
      <c r="I1910" s="26">
        <f t="shared" si="200"/>
        <v>893.57999999999993</v>
      </c>
      <c r="J1910" s="1340" t="e">
        <f t="shared" si="197"/>
        <v>#DIV/0!</v>
      </c>
      <c r="K1910" s="1339">
        <f t="shared" si="198"/>
        <v>4.8561662763332404E-3</v>
      </c>
    </row>
    <row r="1911" spans="1:11" ht="15" x14ac:dyDescent="0.25">
      <c r="A1911" s="1341"/>
      <c r="B1911" s="624">
        <v>156200</v>
      </c>
      <c r="C1911" s="1344">
        <v>333903000000000</v>
      </c>
      <c r="D1911" s="624" t="s">
        <v>6587</v>
      </c>
      <c r="E1911" s="624">
        <v>4011</v>
      </c>
      <c r="F1911" s="643">
        <v>48792.08</v>
      </c>
      <c r="G1911" s="643">
        <v>45279.1</v>
      </c>
      <c r="H1911" s="26">
        <v>0</v>
      </c>
      <c r="I1911" s="26">
        <f t="shared" si="200"/>
        <v>31357.059999999998</v>
      </c>
      <c r="J1911" s="1340">
        <f t="shared" si="197"/>
        <v>0.92800101983764571</v>
      </c>
      <c r="K1911" s="1339">
        <f t="shared" si="198"/>
        <v>0.17041014491926632</v>
      </c>
    </row>
    <row r="1912" spans="1:11" ht="15" x14ac:dyDescent="0.25">
      <c r="A1912" s="1341"/>
      <c r="B1912" s="624">
        <v>156300</v>
      </c>
      <c r="C1912" s="1344">
        <v>333903200000000</v>
      </c>
      <c r="D1912" s="624" t="s">
        <v>6591</v>
      </c>
      <c r="E1912" s="624">
        <v>4011</v>
      </c>
      <c r="F1912" s="643">
        <v>0</v>
      </c>
      <c r="G1912" s="643">
        <v>34700.75</v>
      </c>
      <c r="H1912" s="26">
        <v>0</v>
      </c>
      <c r="I1912" s="26">
        <f t="shared" si="200"/>
        <v>11566.916666666666</v>
      </c>
      <c r="J1912" s="1340" t="e">
        <f t="shared" si="197"/>
        <v>#DIV/0!</v>
      </c>
      <c r="K1912" s="1339">
        <f t="shared" si="198"/>
        <v>6.2860483267109343E-2</v>
      </c>
    </row>
    <row r="1913" spans="1:11" ht="15" x14ac:dyDescent="0.25">
      <c r="A1913" s="1341"/>
      <c r="B1913" s="624">
        <v>156400</v>
      </c>
      <c r="C1913" s="1344">
        <v>333903600000000</v>
      </c>
      <c r="D1913" s="624" t="s">
        <v>7383</v>
      </c>
      <c r="E1913" s="624">
        <v>4011</v>
      </c>
      <c r="F1913" s="643">
        <v>42678.5</v>
      </c>
      <c r="G1913" s="643">
        <v>240</v>
      </c>
      <c r="H1913" s="26">
        <v>0</v>
      </c>
      <c r="I1913" s="26">
        <f t="shared" si="200"/>
        <v>14306.166666666666</v>
      </c>
      <c r="J1913" s="1340">
        <f t="shared" si="197"/>
        <v>5.6234403739587845E-3</v>
      </c>
      <c r="K1913" s="1339">
        <f t="shared" si="198"/>
        <v>7.7746955068678111E-2</v>
      </c>
    </row>
    <row r="1914" spans="1:11" ht="15" x14ac:dyDescent="0.25">
      <c r="A1914" s="1341"/>
      <c r="B1914" s="624">
        <v>153800</v>
      </c>
      <c r="C1914" s="1344">
        <v>333903900000000</v>
      </c>
      <c r="D1914" s="624" t="s">
        <v>6583</v>
      </c>
      <c r="E1914" s="624">
        <v>4070</v>
      </c>
      <c r="F1914" s="643">
        <v>0</v>
      </c>
      <c r="G1914" s="643">
        <v>73065</v>
      </c>
      <c r="H1914" s="26">
        <v>0</v>
      </c>
      <c r="I1914" s="26">
        <f t="shared" si="200"/>
        <v>24355</v>
      </c>
      <c r="J1914" s="1340" t="e">
        <f t="shared" si="197"/>
        <v>#DIV/0!</v>
      </c>
      <c r="K1914" s="1339">
        <f t="shared" si="198"/>
        <v>0.13235740466449122</v>
      </c>
    </row>
    <row r="1915" spans="1:11" ht="15" x14ac:dyDescent="0.25">
      <c r="A1915" s="1341"/>
      <c r="B1915" s="624">
        <v>156500</v>
      </c>
      <c r="C1915" s="1344">
        <v>333903900000000</v>
      </c>
      <c r="D1915" s="624" t="s">
        <v>6589</v>
      </c>
      <c r="E1915" s="624">
        <v>4011</v>
      </c>
      <c r="F1915" s="643">
        <v>67928.289999999994</v>
      </c>
      <c r="G1915" s="643">
        <v>0</v>
      </c>
      <c r="H1915" s="26">
        <v>0</v>
      </c>
      <c r="I1915" s="26">
        <f t="shared" si="200"/>
        <v>22642.763333333332</v>
      </c>
      <c r="J1915" s="1340" t="e">
        <f t="shared" si="197"/>
        <v>#DIV/0!</v>
      </c>
      <c r="K1915" s="1339">
        <f t="shared" si="198"/>
        <v>0.12305224345031017</v>
      </c>
    </row>
    <row r="1916" spans="1:11" ht="15" x14ac:dyDescent="0.25">
      <c r="A1916" s="1341"/>
      <c r="B1916" s="624">
        <v>153900</v>
      </c>
      <c r="C1916" s="1344">
        <v>333904600000000</v>
      </c>
      <c r="D1916" s="624" t="s">
        <v>6584</v>
      </c>
      <c r="E1916" s="624">
        <v>4070</v>
      </c>
      <c r="F1916" s="643">
        <v>0</v>
      </c>
      <c r="G1916" s="643">
        <v>0</v>
      </c>
      <c r="H1916" s="26">
        <v>0</v>
      </c>
      <c r="I1916" s="26">
        <f t="shared" si="200"/>
        <v>0</v>
      </c>
      <c r="J1916" s="1340" t="e">
        <f t="shared" ref="J1916:J1952" si="201">(G1916/F1916)+(H1916/G1916)/2</f>
        <v>#DIV/0!</v>
      </c>
      <c r="K1916" s="1339">
        <f t="shared" ref="K1916:K1952" si="202">I1916/I$1952</f>
        <v>0</v>
      </c>
    </row>
    <row r="1917" spans="1:11" ht="15" x14ac:dyDescent="0.25">
      <c r="A1917" s="1341"/>
      <c r="B1917" s="624">
        <v>156600</v>
      </c>
      <c r="C1917" s="1344">
        <v>333904700000000</v>
      </c>
      <c r="D1917" s="624" t="s">
        <v>7382</v>
      </c>
      <c r="E1917" s="624">
        <v>4011</v>
      </c>
      <c r="F1917" s="643">
        <v>7867.1</v>
      </c>
      <c r="G1917" s="643">
        <v>500</v>
      </c>
      <c r="H1917" s="26">
        <v>0</v>
      </c>
      <c r="I1917" s="26">
        <f t="shared" si="200"/>
        <v>2789.0333333333333</v>
      </c>
      <c r="J1917" s="1340">
        <f t="shared" si="201"/>
        <v>6.3555821077652494E-2</v>
      </c>
      <c r="K1917" s="1339">
        <f t="shared" si="202"/>
        <v>1.5157019647824054E-2</v>
      </c>
    </row>
    <row r="1918" spans="1:11" ht="15" x14ac:dyDescent="0.25">
      <c r="A1918" s="1341"/>
      <c r="B1918" s="624">
        <v>154000</v>
      </c>
      <c r="C1918" s="1344">
        <v>333904900000000</v>
      </c>
      <c r="D1918" s="624" t="s">
        <v>6585</v>
      </c>
      <c r="E1918" s="624">
        <v>4070</v>
      </c>
      <c r="F1918" s="643">
        <v>1385.25</v>
      </c>
      <c r="G1918" s="643">
        <v>213.08</v>
      </c>
      <c r="H1918" s="26">
        <v>0</v>
      </c>
      <c r="I1918" s="26">
        <f t="shared" si="200"/>
        <v>532.77666666666664</v>
      </c>
      <c r="J1918" s="1340">
        <f t="shared" si="201"/>
        <v>0.15382060999819527</v>
      </c>
      <c r="K1918" s="1339">
        <f t="shared" si="202"/>
        <v>2.8953782330444983E-3</v>
      </c>
    </row>
    <row r="1919" spans="1:11" ht="15" x14ac:dyDescent="0.25">
      <c r="A1919" s="1341"/>
      <c r="B1919" s="624">
        <v>156700</v>
      </c>
      <c r="C1919" s="1344">
        <v>344905100000000</v>
      </c>
      <c r="D1919" s="624" t="s">
        <v>6593</v>
      </c>
      <c r="E1919" s="624">
        <v>4011</v>
      </c>
      <c r="F1919" s="643">
        <v>1020.05</v>
      </c>
      <c r="G1919" s="643">
        <v>0</v>
      </c>
      <c r="H1919" s="26">
        <v>0</v>
      </c>
      <c r="I1919" s="26">
        <f t="shared" si="200"/>
        <v>340.01666666666665</v>
      </c>
      <c r="J1919" s="1340" t="e">
        <f t="shared" si="201"/>
        <v>#DIV/0!</v>
      </c>
      <c r="K1919" s="1339">
        <f t="shared" si="202"/>
        <v>1.8478227691509515E-3</v>
      </c>
    </row>
    <row r="1920" spans="1:11" ht="15" x14ac:dyDescent="0.25">
      <c r="A1920" s="1341"/>
      <c r="B1920" s="624">
        <v>154100</v>
      </c>
      <c r="C1920" s="1344">
        <v>344905200000000</v>
      </c>
      <c r="D1920" s="624" t="s">
        <v>6586</v>
      </c>
      <c r="E1920" s="624">
        <v>4070</v>
      </c>
      <c r="F1920" s="643">
        <v>1740</v>
      </c>
      <c r="G1920" s="643">
        <v>0</v>
      </c>
      <c r="H1920" s="26">
        <v>0</v>
      </c>
      <c r="I1920" s="26">
        <f t="shared" si="200"/>
        <v>580</v>
      </c>
      <c r="J1920" s="1340" t="e">
        <f t="shared" si="201"/>
        <v>#DIV/0!</v>
      </c>
      <c r="K1920" s="1339">
        <f t="shared" si="202"/>
        <v>3.1520137427799183E-3</v>
      </c>
    </row>
    <row r="1921" spans="1:11" ht="15" x14ac:dyDescent="0.25">
      <c r="A1921" s="1341"/>
      <c r="B1921" s="624">
        <v>156800</v>
      </c>
      <c r="C1921" s="1344">
        <v>344905200000000</v>
      </c>
      <c r="D1921" s="624" t="s">
        <v>6594</v>
      </c>
      <c r="E1921" s="624">
        <v>4011</v>
      </c>
      <c r="F1921" s="643">
        <v>0</v>
      </c>
      <c r="G1921" s="643">
        <v>0</v>
      </c>
      <c r="H1921" s="26">
        <v>0</v>
      </c>
      <c r="I1921" s="26">
        <f t="shared" si="200"/>
        <v>0</v>
      </c>
      <c r="J1921" s="1340" t="e">
        <f t="shared" si="201"/>
        <v>#DIV/0!</v>
      </c>
      <c r="K1921" s="1339">
        <f t="shared" si="202"/>
        <v>0</v>
      </c>
    </row>
    <row r="1922" spans="1:11" s="12" customFormat="1" ht="15" x14ac:dyDescent="0.25">
      <c r="A1922" s="1081"/>
      <c r="B1922" s="570" t="s">
        <v>2965</v>
      </c>
      <c r="C1922" s="1345">
        <v>42</v>
      </c>
      <c r="D1922" s="570" t="s">
        <v>5497</v>
      </c>
      <c r="E1922" s="570"/>
      <c r="F1922" s="642">
        <f>SUM(F1923:F1938)</f>
        <v>4875</v>
      </c>
      <c r="G1922" s="642">
        <f>SUM(G1923:G1938)</f>
        <v>58649.45</v>
      </c>
      <c r="H1922" s="642">
        <f>SUM(H1923:H1938)</f>
        <v>0</v>
      </c>
      <c r="I1922" s="642">
        <f>SUM(I1923:I1938)</f>
        <v>21174.816666666666</v>
      </c>
      <c r="J1922" s="1338">
        <f t="shared" si="201"/>
        <v>12.030656410256409</v>
      </c>
      <c r="K1922" s="1337">
        <f t="shared" si="202"/>
        <v>0.11507467781754929</v>
      </c>
    </row>
    <row r="1923" spans="1:11" ht="15" x14ac:dyDescent="0.25">
      <c r="A1923" s="1341"/>
      <c r="B1923" s="624">
        <v>158000</v>
      </c>
      <c r="C1923" s="1344">
        <v>331901300000000</v>
      </c>
      <c r="D1923" s="624" t="s">
        <v>7381</v>
      </c>
      <c r="E1923" s="624">
        <v>4011</v>
      </c>
      <c r="F1923" s="643">
        <v>0</v>
      </c>
      <c r="G1923" s="643">
        <v>0</v>
      </c>
      <c r="H1923" s="26">
        <v>0</v>
      </c>
      <c r="I1923" s="26">
        <f t="shared" ref="I1923:I1938" si="203">(F1923+G1923+H1923)/3</f>
        <v>0</v>
      </c>
      <c r="J1923" s="1340" t="e">
        <f t="shared" si="201"/>
        <v>#DIV/0!</v>
      </c>
      <c r="K1923" s="1339">
        <f t="shared" si="202"/>
        <v>0</v>
      </c>
    </row>
    <row r="1924" spans="1:11" ht="15" x14ac:dyDescent="0.25">
      <c r="A1924" s="1341"/>
      <c r="B1924" s="624">
        <v>158100</v>
      </c>
      <c r="C1924" s="1344">
        <v>331903400000000</v>
      </c>
      <c r="D1924" s="624" t="s">
        <v>5503</v>
      </c>
      <c r="E1924" s="624">
        <v>4011</v>
      </c>
      <c r="F1924" s="643">
        <v>0</v>
      </c>
      <c r="G1924" s="643">
        <v>0</v>
      </c>
      <c r="H1924" s="26">
        <v>0</v>
      </c>
      <c r="I1924" s="26">
        <f t="shared" si="203"/>
        <v>0</v>
      </c>
      <c r="J1924" s="1340" t="e">
        <f t="shared" si="201"/>
        <v>#DIV/0!</v>
      </c>
      <c r="K1924" s="1339">
        <f t="shared" si="202"/>
        <v>0</v>
      </c>
    </row>
    <row r="1925" spans="1:11" ht="15" x14ac:dyDescent="0.25">
      <c r="A1925" s="1341"/>
      <c r="B1925" s="624">
        <v>158200</v>
      </c>
      <c r="C1925" s="1344">
        <v>333901400000000</v>
      </c>
      <c r="D1925" s="624" t="s">
        <v>5504</v>
      </c>
      <c r="E1925" s="624">
        <v>4011</v>
      </c>
      <c r="F1925" s="643">
        <v>0</v>
      </c>
      <c r="G1925" s="643">
        <v>0</v>
      </c>
      <c r="H1925" s="26">
        <v>0</v>
      </c>
      <c r="I1925" s="26">
        <f t="shared" si="203"/>
        <v>0</v>
      </c>
      <c r="J1925" s="1340" t="e">
        <f t="shared" si="201"/>
        <v>#DIV/0!</v>
      </c>
      <c r="K1925" s="1339">
        <f t="shared" si="202"/>
        <v>0</v>
      </c>
    </row>
    <row r="1926" spans="1:11" ht="15" x14ac:dyDescent="0.25">
      <c r="A1926" s="1341"/>
      <c r="B1926" s="624">
        <v>158300</v>
      </c>
      <c r="C1926" s="1344">
        <v>333903000000000</v>
      </c>
      <c r="D1926" s="624" t="s">
        <v>5383</v>
      </c>
      <c r="E1926" s="624">
        <v>4011</v>
      </c>
      <c r="F1926" s="643">
        <v>0</v>
      </c>
      <c r="G1926" s="643">
        <v>44174.13</v>
      </c>
      <c r="H1926" s="26">
        <v>0</v>
      </c>
      <c r="I1926" s="26">
        <f t="shared" si="203"/>
        <v>14724.71</v>
      </c>
      <c r="J1926" s="1340" t="e">
        <f t="shared" si="201"/>
        <v>#DIV/0!</v>
      </c>
      <c r="K1926" s="1339">
        <f t="shared" si="202"/>
        <v>8.0021531514567049E-2</v>
      </c>
    </row>
    <row r="1927" spans="1:11" ht="15" x14ac:dyDescent="0.25">
      <c r="A1927" s="1341"/>
      <c r="B1927" s="624">
        <v>159100</v>
      </c>
      <c r="C1927" s="1344">
        <v>333903000000000</v>
      </c>
      <c r="D1927" s="624" t="s">
        <v>5383</v>
      </c>
      <c r="E1927" s="624">
        <v>4230</v>
      </c>
      <c r="F1927" s="643">
        <v>0</v>
      </c>
      <c r="G1927" s="643">
        <v>0</v>
      </c>
      <c r="H1927" s="26">
        <v>0</v>
      </c>
      <c r="I1927" s="26">
        <f t="shared" si="203"/>
        <v>0</v>
      </c>
      <c r="J1927" s="1340" t="e">
        <f t="shared" si="201"/>
        <v>#DIV/0!</v>
      </c>
      <c r="K1927" s="1339">
        <f t="shared" si="202"/>
        <v>0</v>
      </c>
    </row>
    <row r="1928" spans="1:11" ht="15" x14ac:dyDescent="0.25">
      <c r="A1928" s="1341"/>
      <c r="B1928" s="624">
        <v>158400</v>
      </c>
      <c r="C1928" s="1344">
        <v>333903200000000</v>
      </c>
      <c r="D1928" s="624" t="s">
        <v>6597</v>
      </c>
      <c r="E1928" s="624">
        <v>4011</v>
      </c>
      <c r="F1928" s="643">
        <v>0</v>
      </c>
      <c r="G1928" s="643">
        <v>0</v>
      </c>
      <c r="H1928" s="26">
        <v>0</v>
      </c>
      <c r="I1928" s="26">
        <f t="shared" si="203"/>
        <v>0</v>
      </c>
      <c r="J1928" s="1340" t="e">
        <f t="shared" si="201"/>
        <v>#DIV/0!</v>
      </c>
      <c r="K1928" s="1339">
        <f t="shared" si="202"/>
        <v>0</v>
      </c>
    </row>
    <row r="1929" spans="1:11" ht="15" x14ac:dyDescent="0.25">
      <c r="A1929" s="1341"/>
      <c r="B1929" s="624">
        <v>159130</v>
      </c>
      <c r="C1929" s="1344">
        <v>333903200000000</v>
      </c>
      <c r="D1929" s="624" t="s">
        <v>6597</v>
      </c>
      <c r="E1929" s="624">
        <v>4230</v>
      </c>
      <c r="F1929" s="643">
        <v>0</v>
      </c>
      <c r="G1929" s="643">
        <v>0</v>
      </c>
      <c r="H1929" s="26">
        <v>0</v>
      </c>
      <c r="I1929" s="26">
        <f t="shared" si="203"/>
        <v>0</v>
      </c>
      <c r="J1929" s="1340" t="e">
        <f t="shared" si="201"/>
        <v>#DIV/0!</v>
      </c>
      <c r="K1929" s="1339">
        <f t="shared" si="202"/>
        <v>0</v>
      </c>
    </row>
    <row r="1930" spans="1:11" ht="15" x14ac:dyDescent="0.25">
      <c r="A1930" s="1341"/>
      <c r="B1930" s="624">
        <v>158500</v>
      </c>
      <c r="C1930" s="1344">
        <v>333903600000000</v>
      </c>
      <c r="D1930" s="624" t="s">
        <v>5505</v>
      </c>
      <c r="E1930" s="624">
        <v>4011</v>
      </c>
      <c r="F1930" s="643">
        <v>0</v>
      </c>
      <c r="G1930" s="643">
        <v>0</v>
      </c>
      <c r="H1930" s="26">
        <v>0</v>
      </c>
      <c r="I1930" s="26">
        <f t="shared" si="203"/>
        <v>0</v>
      </c>
      <c r="J1930" s="1340" t="e">
        <f t="shared" si="201"/>
        <v>#DIV/0!</v>
      </c>
      <c r="K1930" s="1339">
        <f t="shared" si="202"/>
        <v>0</v>
      </c>
    </row>
    <row r="1931" spans="1:11" ht="15" x14ac:dyDescent="0.25">
      <c r="A1931" s="1341"/>
      <c r="B1931" s="624">
        <v>159160</v>
      </c>
      <c r="C1931" s="1344">
        <v>333903600000000</v>
      </c>
      <c r="D1931" s="624" t="s">
        <v>5505</v>
      </c>
      <c r="E1931" s="624">
        <v>4230</v>
      </c>
      <c r="F1931" s="643">
        <v>0</v>
      </c>
      <c r="G1931" s="643">
        <v>0</v>
      </c>
      <c r="H1931" s="26">
        <v>0</v>
      </c>
      <c r="I1931" s="26">
        <f t="shared" si="203"/>
        <v>0</v>
      </c>
      <c r="J1931" s="1340" t="e">
        <f t="shared" si="201"/>
        <v>#DIV/0!</v>
      </c>
      <c r="K1931" s="1339">
        <f t="shared" si="202"/>
        <v>0</v>
      </c>
    </row>
    <row r="1932" spans="1:11" ht="15" x14ac:dyDescent="0.25">
      <c r="A1932" s="1341"/>
      <c r="B1932" s="624">
        <v>158600</v>
      </c>
      <c r="C1932" s="1344">
        <v>333903900000000</v>
      </c>
      <c r="D1932" s="624" t="s">
        <v>5506</v>
      </c>
      <c r="E1932" s="624">
        <v>4011</v>
      </c>
      <c r="F1932" s="643">
        <v>4875</v>
      </c>
      <c r="G1932" s="643">
        <v>14033.32</v>
      </c>
      <c r="H1932" s="26">
        <v>0</v>
      </c>
      <c r="I1932" s="26">
        <f t="shared" si="203"/>
        <v>6302.7733333333335</v>
      </c>
      <c r="J1932" s="1340">
        <f t="shared" si="201"/>
        <v>2.8786297435897437</v>
      </c>
      <c r="K1932" s="1339">
        <f t="shared" si="202"/>
        <v>3.4252462352230111E-2</v>
      </c>
    </row>
    <row r="1933" spans="1:11" ht="15" x14ac:dyDescent="0.25">
      <c r="A1933" s="1341"/>
      <c r="B1933" s="624">
        <v>159190</v>
      </c>
      <c r="C1933" s="1344">
        <v>333903900000000</v>
      </c>
      <c r="D1933" s="624" t="s">
        <v>5506</v>
      </c>
      <c r="E1933" s="624">
        <v>4230</v>
      </c>
      <c r="F1933" s="643">
        <v>0</v>
      </c>
      <c r="G1933" s="643">
        <v>0</v>
      </c>
      <c r="H1933" s="26">
        <v>0</v>
      </c>
      <c r="I1933" s="26">
        <f t="shared" si="203"/>
        <v>0</v>
      </c>
      <c r="J1933" s="1340" t="e">
        <f t="shared" si="201"/>
        <v>#DIV/0!</v>
      </c>
      <c r="K1933" s="1339">
        <f t="shared" si="202"/>
        <v>0</v>
      </c>
    </row>
    <row r="1934" spans="1:11" ht="15" x14ac:dyDescent="0.25">
      <c r="A1934" s="1341"/>
      <c r="B1934" s="624">
        <v>158700</v>
      </c>
      <c r="C1934" s="1344">
        <v>333904600000000</v>
      </c>
      <c r="D1934" s="624" t="s">
        <v>6595</v>
      </c>
      <c r="E1934" s="624">
        <v>4011</v>
      </c>
      <c r="F1934" s="643">
        <v>0</v>
      </c>
      <c r="G1934" s="643">
        <v>0</v>
      </c>
      <c r="H1934" s="26">
        <v>0</v>
      </c>
      <c r="I1934" s="26">
        <f t="shared" si="203"/>
        <v>0</v>
      </c>
      <c r="J1934" s="1340" t="e">
        <f t="shared" si="201"/>
        <v>#DIV/0!</v>
      </c>
      <c r="K1934" s="1339">
        <f t="shared" si="202"/>
        <v>0</v>
      </c>
    </row>
    <row r="1935" spans="1:11" ht="15" x14ac:dyDescent="0.25">
      <c r="A1935" s="1341"/>
      <c r="B1935" s="624">
        <v>158800</v>
      </c>
      <c r="C1935" s="1344">
        <v>333904700000000</v>
      </c>
      <c r="D1935" s="624" t="s">
        <v>5507</v>
      </c>
      <c r="E1935" s="624">
        <v>4011</v>
      </c>
      <c r="F1935" s="643">
        <v>0</v>
      </c>
      <c r="G1935" s="643">
        <v>442</v>
      </c>
      <c r="H1935" s="26">
        <v>0</v>
      </c>
      <c r="I1935" s="26">
        <f t="shared" si="203"/>
        <v>147.33333333333334</v>
      </c>
      <c r="J1935" s="1340" t="e">
        <f t="shared" si="201"/>
        <v>#DIV/0!</v>
      </c>
      <c r="K1935" s="1339">
        <f t="shared" si="202"/>
        <v>8.0068395075214027E-4</v>
      </c>
    </row>
    <row r="1936" spans="1:11" ht="15" x14ac:dyDescent="0.25">
      <c r="A1936" s="1341"/>
      <c r="B1936" s="624">
        <v>159210</v>
      </c>
      <c r="C1936" s="1344">
        <v>333904700000000</v>
      </c>
      <c r="D1936" s="624" t="s">
        <v>5507</v>
      </c>
      <c r="E1936" s="624">
        <v>4230</v>
      </c>
      <c r="F1936" s="643">
        <v>0</v>
      </c>
      <c r="G1936" s="643">
        <v>0</v>
      </c>
      <c r="H1936" s="26">
        <v>0</v>
      </c>
      <c r="I1936" s="26">
        <f t="shared" si="203"/>
        <v>0</v>
      </c>
      <c r="J1936" s="1340" t="e">
        <f t="shared" si="201"/>
        <v>#DIV/0!</v>
      </c>
      <c r="K1936" s="1339">
        <f t="shared" si="202"/>
        <v>0</v>
      </c>
    </row>
    <row r="1937" spans="1:11" ht="15" x14ac:dyDescent="0.25">
      <c r="A1937" s="1341"/>
      <c r="B1937" s="624">
        <v>158900</v>
      </c>
      <c r="C1937" s="1344">
        <v>344905100000000</v>
      </c>
      <c r="D1937" s="624" t="s">
        <v>5394</v>
      </c>
      <c r="E1937" s="624">
        <v>4011</v>
      </c>
      <c r="F1937" s="643">
        <v>0</v>
      </c>
      <c r="G1937" s="643">
        <v>0</v>
      </c>
      <c r="H1937" s="26">
        <v>0</v>
      </c>
      <c r="I1937" s="26">
        <f t="shared" si="203"/>
        <v>0</v>
      </c>
      <c r="J1937" s="1340" t="e">
        <f t="shared" si="201"/>
        <v>#DIV/0!</v>
      </c>
      <c r="K1937" s="1339">
        <f t="shared" si="202"/>
        <v>0</v>
      </c>
    </row>
    <row r="1938" spans="1:11" ht="15" x14ac:dyDescent="0.25">
      <c r="A1938" s="1341"/>
      <c r="B1938" s="624">
        <v>159000</v>
      </c>
      <c r="C1938" s="1344">
        <v>344905200000000</v>
      </c>
      <c r="D1938" s="624" t="s">
        <v>6555</v>
      </c>
      <c r="E1938" s="624">
        <v>4011</v>
      </c>
      <c r="F1938" s="643">
        <v>0</v>
      </c>
      <c r="G1938" s="643">
        <v>0</v>
      </c>
      <c r="H1938" s="26">
        <v>0</v>
      </c>
      <c r="I1938" s="26">
        <f t="shared" si="203"/>
        <v>0</v>
      </c>
      <c r="J1938" s="1340" t="e">
        <f t="shared" si="201"/>
        <v>#DIV/0!</v>
      </c>
      <c r="K1938" s="1339">
        <f t="shared" si="202"/>
        <v>0</v>
      </c>
    </row>
    <row r="1939" spans="1:11" s="12" customFormat="1" ht="15" x14ac:dyDescent="0.25">
      <c r="A1939" s="1081"/>
      <c r="B1939" s="570" t="s">
        <v>2965</v>
      </c>
      <c r="C1939" s="1345">
        <v>43</v>
      </c>
      <c r="D1939" s="570" t="s">
        <v>5498</v>
      </c>
      <c r="E1939" s="570"/>
      <c r="F1939" s="642">
        <f>SUM(F1940:F1943)</f>
        <v>9430.92</v>
      </c>
      <c r="G1939" s="642">
        <f>SUM(G1940:G1943)</f>
        <v>19963.919999999998</v>
      </c>
      <c r="H1939" s="642">
        <f>SUM(H1940:H1943)</f>
        <v>0</v>
      </c>
      <c r="I1939" s="642">
        <f>SUM(I1940:I1943)</f>
        <v>9798.2800000000007</v>
      </c>
      <c r="J1939" s="1338">
        <f t="shared" si="201"/>
        <v>2.1168581644208624</v>
      </c>
      <c r="K1939" s="1337">
        <f t="shared" si="202"/>
        <v>5.3248815888975211E-2</v>
      </c>
    </row>
    <row r="1940" spans="1:11" ht="15" x14ac:dyDescent="0.25">
      <c r="A1940" s="1341"/>
      <c r="B1940" s="624">
        <v>160000</v>
      </c>
      <c r="C1940" s="1344">
        <v>333903000000000</v>
      </c>
      <c r="D1940" s="624" t="s">
        <v>6599</v>
      </c>
      <c r="E1940" s="624">
        <v>4050</v>
      </c>
      <c r="F1940" s="643">
        <v>0</v>
      </c>
      <c r="G1940" s="643">
        <v>0</v>
      </c>
      <c r="H1940" s="26">
        <v>0</v>
      </c>
      <c r="I1940" s="26">
        <f>(F1940+G1940+H1940)/3</f>
        <v>0</v>
      </c>
      <c r="J1940" s="1340" t="e">
        <f t="shared" si="201"/>
        <v>#DIV/0!</v>
      </c>
      <c r="K1940" s="1339">
        <f t="shared" si="202"/>
        <v>0</v>
      </c>
    </row>
    <row r="1941" spans="1:11" ht="15" x14ac:dyDescent="0.25">
      <c r="A1941" s="1341"/>
      <c r="B1941" s="624">
        <v>160200</v>
      </c>
      <c r="C1941" s="1344">
        <v>333903000000000</v>
      </c>
      <c r="D1941" s="624" t="s">
        <v>6600</v>
      </c>
      <c r="E1941" s="624">
        <v>4051</v>
      </c>
      <c r="F1941" s="643">
        <v>2856.8</v>
      </c>
      <c r="G1941" s="643">
        <v>6444.5</v>
      </c>
      <c r="H1941" s="26">
        <v>0</v>
      </c>
      <c r="I1941" s="26">
        <f>(F1941+G1941+H1941)/3</f>
        <v>3100.4333333333329</v>
      </c>
      <c r="J1941" s="1340">
        <f t="shared" si="201"/>
        <v>2.2558457014841782</v>
      </c>
      <c r="K1941" s="1339">
        <f t="shared" si="202"/>
        <v>1.6849324957309685E-2</v>
      </c>
    </row>
    <row r="1942" spans="1:11" ht="15" x14ac:dyDescent="0.25">
      <c r="A1942" s="1341"/>
      <c r="B1942" s="624">
        <v>160100</v>
      </c>
      <c r="C1942" s="1344">
        <v>333903200000000</v>
      </c>
      <c r="D1942" s="624" t="s">
        <v>6598</v>
      </c>
      <c r="E1942" s="624">
        <v>4050</v>
      </c>
      <c r="F1942" s="643">
        <v>6574.12</v>
      </c>
      <c r="G1942" s="643">
        <v>11829.42</v>
      </c>
      <c r="H1942" s="26">
        <v>0</v>
      </c>
      <c r="I1942" s="26">
        <f>(F1942+G1942+H1942)/3</f>
        <v>6134.5133333333333</v>
      </c>
      <c r="J1942" s="1340">
        <f t="shared" si="201"/>
        <v>1.799392161992784</v>
      </c>
      <c r="K1942" s="1339">
        <f t="shared" si="202"/>
        <v>3.333805229643675E-2</v>
      </c>
    </row>
    <row r="1943" spans="1:11" ht="15" x14ac:dyDescent="0.25">
      <c r="A1943" s="1341"/>
      <c r="B1943" s="624">
        <v>160300</v>
      </c>
      <c r="C1943" s="1344">
        <v>333903200000000</v>
      </c>
      <c r="D1943" s="624" t="s">
        <v>6601</v>
      </c>
      <c r="E1943" s="624">
        <v>4051</v>
      </c>
      <c r="F1943" s="643">
        <v>0</v>
      </c>
      <c r="G1943" s="643">
        <v>1690</v>
      </c>
      <c r="H1943" s="26">
        <v>0</v>
      </c>
      <c r="I1943" s="26">
        <f>(F1943+G1943+H1943)/3</f>
        <v>563.33333333333337</v>
      </c>
      <c r="J1943" s="1340" t="e">
        <f t="shared" si="201"/>
        <v>#DIV/0!</v>
      </c>
      <c r="K1943" s="1339">
        <f t="shared" si="202"/>
        <v>3.0614386352287716E-3</v>
      </c>
    </row>
    <row r="1944" spans="1:11" s="12" customFormat="1" ht="15" x14ac:dyDescent="0.25">
      <c r="A1944" s="1081"/>
      <c r="B1944" s="570" t="s">
        <v>2965</v>
      </c>
      <c r="C1944" s="1345">
        <v>46</v>
      </c>
      <c r="D1944" s="570" t="s">
        <v>5499</v>
      </c>
      <c r="E1944" s="570"/>
      <c r="F1944" s="642">
        <f>SUM(F1945:F1951)</f>
        <v>0</v>
      </c>
      <c r="G1944" s="642">
        <f>SUM(G1945:G1951)</f>
        <v>0</v>
      </c>
      <c r="H1944" s="642">
        <f>SUM(H1945:H1951)</f>
        <v>0</v>
      </c>
      <c r="I1944" s="642">
        <f>SUM(I1945:I1951)</f>
        <v>0</v>
      </c>
      <c r="J1944" s="1338" t="e">
        <f t="shared" si="201"/>
        <v>#DIV/0!</v>
      </c>
      <c r="K1944" s="1337">
        <f t="shared" si="202"/>
        <v>0</v>
      </c>
    </row>
    <row r="1945" spans="1:11" ht="15" x14ac:dyDescent="0.25">
      <c r="A1945" s="1341"/>
      <c r="B1945" s="624">
        <v>161000</v>
      </c>
      <c r="C1945" s="1344">
        <v>333901400000000</v>
      </c>
      <c r="D1945" s="624" t="s">
        <v>5501</v>
      </c>
      <c r="E1945" s="624">
        <v>4190</v>
      </c>
      <c r="F1945" s="643">
        <v>0</v>
      </c>
      <c r="G1945" s="643">
        <v>0</v>
      </c>
      <c r="H1945" s="26">
        <v>0</v>
      </c>
      <c r="I1945" s="26">
        <f t="shared" ref="I1945:I1951" si="204">(F1945+G1945+H1945)/3</f>
        <v>0</v>
      </c>
      <c r="J1945" s="1340" t="e">
        <f t="shared" si="201"/>
        <v>#DIV/0!</v>
      </c>
      <c r="K1945" s="1339">
        <f t="shared" si="202"/>
        <v>0</v>
      </c>
    </row>
    <row r="1946" spans="1:11" ht="15" x14ac:dyDescent="0.25">
      <c r="A1946" s="1341"/>
      <c r="B1946" s="624">
        <v>161100</v>
      </c>
      <c r="C1946" s="1344">
        <v>333903000000000</v>
      </c>
      <c r="D1946" s="624" t="s">
        <v>5450</v>
      </c>
      <c r="E1946" s="624">
        <v>4190</v>
      </c>
      <c r="F1946" s="643">
        <v>0</v>
      </c>
      <c r="G1946" s="643">
        <v>0</v>
      </c>
      <c r="H1946" s="26">
        <v>0</v>
      </c>
      <c r="I1946" s="26">
        <f t="shared" si="204"/>
        <v>0</v>
      </c>
      <c r="J1946" s="1340" t="e">
        <f t="shared" si="201"/>
        <v>#DIV/0!</v>
      </c>
      <c r="K1946" s="1339">
        <f t="shared" si="202"/>
        <v>0</v>
      </c>
    </row>
    <row r="1947" spans="1:11" ht="15" x14ac:dyDescent="0.25">
      <c r="A1947" s="1341"/>
      <c r="B1947" s="624">
        <v>161200</v>
      </c>
      <c r="C1947" s="1344">
        <v>333903600000000</v>
      </c>
      <c r="D1947" s="624" t="s">
        <v>5453</v>
      </c>
      <c r="E1947" s="624">
        <v>4190</v>
      </c>
      <c r="F1947" s="643">
        <v>0</v>
      </c>
      <c r="G1947" s="643">
        <v>0</v>
      </c>
      <c r="H1947" s="26">
        <v>0</v>
      </c>
      <c r="I1947" s="26">
        <f t="shared" si="204"/>
        <v>0</v>
      </c>
      <c r="J1947" s="1340" t="e">
        <f t="shared" si="201"/>
        <v>#DIV/0!</v>
      </c>
      <c r="K1947" s="1339">
        <f t="shared" si="202"/>
        <v>0</v>
      </c>
    </row>
    <row r="1948" spans="1:11" ht="15" x14ac:dyDescent="0.25">
      <c r="A1948" s="1341"/>
      <c r="B1948" s="624">
        <v>161300</v>
      </c>
      <c r="C1948" s="1344">
        <v>333903900000000</v>
      </c>
      <c r="D1948" s="624" t="s">
        <v>5454</v>
      </c>
      <c r="E1948" s="624">
        <v>4190</v>
      </c>
      <c r="F1948" s="643">
        <v>0</v>
      </c>
      <c r="G1948" s="643">
        <v>0</v>
      </c>
      <c r="H1948" s="26">
        <v>0</v>
      </c>
      <c r="I1948" s="26">
        <f t="shared" si="204"/>
        <v>0</v>
      </c>
      <c r="J1948" s="1340" t="e">
        <f t="shared" si="201"/>
        <v>#DIV/0!</v>
      </c>
      <c r="K1948" s="1339">
        <f t="shared" si="202"/>
        <v>0</v>
      </c>
    </row>
    <row r="1949" spans="1:11" ht="15" x14ac:dyDescent="0.25">
      <c r="A1949" s="1341"/>
      <c r="B1949" s="624">
        <v>161400</v>
      </c>
      <c r="C1949" s="1344">
        <v>333904700000000</v>
      </c>
      <c r="D1949" s="624" t="s">
        <v>6602</v>
      </c>
      <c r="E1949" s="624">
        <v>4190</v>
      </c>
      <c r="F1949" s="643">
        <v>0</v>
      </c>
      <c r="G1949" s="643">
        <v>0</v>
      </c>
      <c r="H1949" s="26">
        <v>0</v>
      </c>
      <c r="I1949" s="26">
        <f t="shared" si="204"/>
        <v>0</v>
      </c>
      <c r="J1949" s="1340" t="e">
        <f t="shared" si="201"/>
        <v>#DIV/0!</v>
      </c>
      <c r="K1949" s="1339">
        <f t="shared" si="202"/>
        <v>0</v>
      </c>
    </row>
    <row r="1950" spans="1:11" ht="15" x14ac:dyDescent="0.25">
      <c r="A1950" s="1341"/>
      <c r="B1950" s="624">
        <v>161500</v>
      </c>
      <c r="C1950" s="1344">
        <v>344905100000000</v>
      </c>
      <c r="D1950" s="624" t="s">
        <v>5461</v>
      </c>
      <c r="E1950" s="624">
        <v>4190</v>
      </c>
      <c r="F1950" s="643">
        <v>0</v>
      </c>
      <c r="G1950" s="643">
        <v>0</v>
      </c>
      <c r="H1950" s="26">
        <v>0</v>
      </c>
      <c r="I1950" s="26">
        <f t="shared" si="204"/>
        <v>0</v>
      </c>
      <c r="J1950" s="1340" t="e">
        <f t="shared" si="201"/>
        <v>#DIV/0!</v>
      </c>
      <c r="K1950" s="1339">
        <f t="shared" si="202"/>
        <v>0</v>
      </c>
    </row>
    <row r="1951" spans="1:11" ht="15" x14ac:dyDescent="0.25">
      <c r="A1951" s="1341"/>
      <c r="B1951" s="624">
        <v>161600</v>
      </c>
      <c r="C1951" s="1344">
        <v>344905200000000</v>
      </c>
      <c r="D1951" s="624" t="s">
        <v>5462</v>
      </c>
      <c r="E1951" s="624">
        <v>4190</v>
      </c>
      <c r="F1951" s="643">
        <v>0</v>
      </c>
      <c r="G1951" s="643">
        <v>0</v>
      </c>
      <c r="H1951" s="26">
        <v>0</v>
      </c>
      <c r="I1951" s="26">
        <f t="shared" si="204"/>
        <v>0</v>
      </c>
      <c r="J1951" s="1340" t="e">
        <f t="shared" si="201"/>
        <v>#DIV/0!</v>
      </c>
      <c r="K1951" s="1339">
        <f t="shared" si="202"/>
        <v>0</v>
      </c>
    </row>
    <row r="1952" spans="1:11" ht="15" x14ac:dyDescent="0.25">
      <c r="B1952" s="1598" t="s">
        <v>1575</v>
      </c>
      <c r="C1952" s="1598"/>
      <c r="D1952" s="1598"/>
      <c r="E1952" s="1598"/>
      <c r="F1952" s="25">
        <f>F1884+F1898+F1922+F1939+F1944</f>
        <v>303332.21999999997</v>
      </c>
      <c r="G1952" s="25">
        <f>G1884+G1898+G1922+G1939+G1944</f>
        <v>248695.82999999996</v>
      </c>
      <c r="H1952" s="25">
        <f>H1884+H1898+H1922+H1939+H1944</f>
        <v>0</v>
      </c>
      <c r="I1952" s="25">
        <f>I1884+I1898+I1922+I1939+I1944</f>
        <v>184009.35</v>
      </c>
      <c r="J1952" s="1338">
        <f t="shared" si="201"/>
        <v>0.81987937186494719</v>
      </c>
      <c r="K1952" s="1337">
        <f t="shared" si="202"/>
        <v>1</v>
      </c>
    </row>
    <row r="1954" spans="1:11" ht="15" x14ac:dyDescent="0.25">
      <c r="B1954" s="616" t="s">
        <v>7380</v>
      </c>
    </row>
    <row r="1955" spans="1:11" ht="45" customHeight="1" x14ac:dyDescent="0.25">
      <c r="B1955" s="1343" t="s">
        <v>2967</v>
      </c>
      <c r="C1955" s="1343" t="s">
        <v>472</v>
      </c>
      <c r="D1955" s="1343" t="s">
        <v>2968</v>
      </c>
      <c r="E1955" s="1343" t="s">
        <v>1403</v>
      </c>
      <c r="F1955" s="1081">
        <v>2017</v>
      </c>
      <c r="G1955" s="1081">
        <f>F1955+1</f>
        <v>2018</v>
      </c>
      <c r="H1955" s="1081">
        <f>G1955+1</f>
        <v>2019</v>
      </c>
      <c r="I1955" s="1082" t="s">
        <v>7336</v>
      </c>
      <c r="J1955" s="1342" t="s">
        <v>7335</v>
      </c>
      <c r="K1955" s="1342" t="s">
        <v>7334</v>
      </c>
    </row>
    <row r="1956" spans="1:11" s="12" customFormat="1" ht="15" x14ac:dyDescent="0.25">
      <c r="A1956" s="1081"/>
      <c r="B1956" s="570" t="s">
        <v>2950</v>
      </c>
      <c r="C1956" s="1345" t="s">
        <v>7379</v>
      </c>
      <c r="D1956" s="570" t="s">
        <v>7378</v>
      </c>
      <c r="E1956" s="570"/>
      <c r="F1956" s="642">
        <f>SUM(F1957:F1985)</f>
        <v>0</v>
      </c>
      <c r="G1956" s="642">
        <f>SUM(G1957:G1985)</f>
        <v>339750.68000000005</v>
      </c>
      <c r="H1956" s="642">
        <f>SUM(H1957:H1985)</f>
        <v>0</v>
      </c>
      <c r="I1956" s="642">
        <f>SUM(I1957:I1985)</f>
        <v>113250.22666666667</v>
      </c>
      <c r="J1956" s="1338" t="e">
        <f t="shared" ref="J1956:J1987" si="205">(G1956/F1956)+(H1956/G1956)/2</f>
        <v>#DIV/0!</v>
      </c>
      <c r="K1956" s="1337">
        <f t="shared" ref="K1956:K1987" si="206">I1956/I$2053</f>
        <v>0.33763949116603187</v>
      </c>
    </row>
    <row r="1957" spans="1:11" ht="15" x14ac:dyDescent="0.25">
      <c r="A1957" s="1341"/>
      <c r="B1957" s="624">
        <v>162000</v>
      </c>
      <c r="C1957" s="1344">
        <v>333904700000000</v>
      </c>
      <c r="D1957" s="624" t="s">
        <v>6603</v>
      </c>
      <c r="E1957" s="624">
        <v>4509</v>
      </c>
      <c r="F1957" s="643">
        <v>0</v>
      </c>
      <c r="G1957" s="643">
        <v>0</v>
      </c>
      <c r="H1957" s="26">
        <v>0</v>
      </c>
      <c r="I1957" s="26">
        <f t="shared" ref="I1957:I1985" si="207">(F1957+G1957+H1957)/3</f>
        <v>0</v>
      </c>
      <c r="J1957" s="1340" t="e">
        <f t="shared" si="205"/>
        <v>#DIV/0!</v>
      </c>
      <c r="K1957" s="1339">
        <f t="shared" si="206"/>
        <v>0</v>
      </c>
    </row>
    <row r="1958" spans="1:11" ht="15" x14ac:dyDescent="0.25">
      <c r="A1958" s="1341"/>
      <c r="B1958" s="624">
        <v>162700</v>
      </c>
      <c r="C1958" s="1344">
        <v>333904700000000</v>
      </c>
      <c r="D1958" s="624" t="s">
        <v>6607</v>
      </c>
      <c r="E1958" s="624">
        <v>4508</v>
      </c>
      <c r="F1958" s="643">
        <v>0</v>
      </c>
      <c r="G1958" s="643">
        <v>0</v>
      </c>
      <c r="H1958" s="26">
        <v>0</v>
      </c>
      <c r="I1958" s="26">
        <f t="shared" si="207"/>
        <v>0</v>
      </c>
      <c r="J1958" s="1340" t="e">
        <f t="shared" si="205"/>
        <v>#DIV/0!</v>
      </c>
      <c r="K1958" s="1339">
        <f t="shared" si="206"/>
        <v>0</v>
      </c>
    </row>
    <row r="1959" spans="1:11" ht="15" x14ac:dyDescent="0.25">
      <c r="A1959" s="1341"/>
      <c r="B1959" s="624">
        <v>165000</v>
      </c>
      <c r="C1959" s="1344">
        <v>333904700000000</v>
      </c>
      <c r="D1959" s="624" t="s">
        <v>7377</v>
      </c>
      <c r="E1959" s="624">
        <v>4512</v>
      </c>
      <c r="F1959" s="643">
        <v>0</v>
      </c>
      <c r="G1959" s="643">
        <v>35.67</v>
      </c>
      <c r="H1959" s="26">
        <v>0</v>
      </c>
      <c r="I1959" s="26">
        <f t="shared" si="207"/>
        <v>11.89</v>
      </c>
      <c r="J1959" s="1340" t="e">
        <f t="shared" si="205"/>
        <v>#DIV/0!</v>
      </c>
      <c r="K1959" s="1339">
        <f t="shared" si="206"/>
        <v>3.5448348918366717E-5</v>
      </c>
    </row>
    <row r="1960" spans="1:11" ht="15" x14ac:dyDescent="0.25">
      <c r="A1960" s="1341"/>
      <c r="B1960" s="624">
        <v>167000</v>
      </c>
      <c r="C1960" s="1344">
        <v>333904700000000</v>
      </c>
      <c r="D1960" s="624" t="s">
        <v>6620</v>
      </c>
      <c r="E1960" s="624">
        <v>4505</v>
      </c>
      <c r="F1960" s="643">
        <v>0</v>
      </c>
      <c r="G1960" s="643">
        <v>0</v>
      </c>
      <c r="H1960" s="26">
        <v>0</v>
      </c>
      <c r="I1960" s="26">
        <f t="shared" si="207"/>
        <v>0</v>
      </c>
      <c r="J1960" s="1340" t="e">
        <f t="shared" si="205"/>
        <v>#DIV/0!</v>
      </c>
      <c r="K1960" s="1339">
        <f t="shared" si="206"/>
        <v>0</v>
      </c>
    </row>
    <row r="1961" spans="1:11" ht="15" x14ac:dyDescent="0.25">
      <c r="A1961" s="1341"/>
      <c r="B1961" s="624">
        <v>162100</v>
      </c>
      <c r="C1961" s="1344">
        <v>344209300000000</v>
      </c>
      <c r="D1961" s="624" t="s">
        <v>7376</v>
      </c>
      <c r="E1961" s="624">
        <v>4509</v>
      </c>
      <c r="F1961" s="643">
        <v>0</v>
      </c>
      <c r="G1961" s="643">
        <v>0</v>
      </c>
      <c r="H1961" s="26">
        <v>0</v>
      </c>
      <c r="I1961" s="26">
        <f t="shared" si="207"/>
        <v>0</v>
      </c>
      <c r="J1961" s="1340" t="e">
        <f t="shared" si="205"/>
        <v>#DIV/0!</v>
      </c>
      <c r="K1961" s="1339">
        <f t="shared" si="206"/>
        <v>0</v>
      </c>
    </row>
    <row r="1962" spans="1:11" ht="15" x14ac:dyDescent="0.25">
      <c r="A1962" s="1341"/>
      <c r="B1962" s="624">
        <v>162800</v>
      </c>
      <c r="C1962" s="1344">
        <v>344209300000000</v>
      </c>
      <c r="D1962" s="624" t="s">
        <v>6608</v>
      </c>
      <c r="E1962" s="624">
        <v>4508</v>
      </c>
      <c r="F1962" s="643">
        <v>0</v>
      </c>
      <c r="G1962" s="643">
        <v>0</v>
      </c>
      <c r="H1962" s="26">
        <v>0</v>
      </c>
      <c r="I1962" s="26">
        <f t="shared" si="207"/>
        <v>0</v>
      </c>
      <c r="J1962" s="1340" t="e">
        <f t="shared" si="205"/>
        <v>#DIV/0!</v>
      </c>
      <c r="K1962" s="1339">
        <f t="shared" si="206"/>
        <v>0</v>
      </c>
    </row>
    <row r="1963" spans="1:11" ht="15" x14ac:dyDescent="0.25">
      <c r="A1963" s="1341"/>
      <c r="B1963" s="624">
        <v>165100</v>
      </c>
      <c r="C1963" s="1344">
        <v>344209300000000</v>
      </c>
      <c r="D1963" s="624" t="s">
        <v>5515</v>
      </c>
      <c r="E1963" s="624">
        <v>4512</v>
      </c>
      <c r="F1963" s="643">
        <v>0</v>
      </c>
      <c r="G1963" s="643">
        <v>0</v>
      </c>
      <c r="H1963" s="26">
        <v>0</v>
      </c>
      <c r="I1963" s="26">
        <f t="shared" si="207"/>
        <v>0</v>
      </c>
      <c r="J1963" s="1340" t="e">
        <f t="shared" si="205"/>
        <v>#DIV/0!</v>
      </c>
      <c r="K1963" s="1339">
        <f t="shared" si="206"/>
        <v>0</v>
      </c>
    </row>
    <row r="1964" spans="1:11" ht="15" x14ac:dyDescent="0.25">
      <c r="A1964" s="1341"/>
      <c r="B1964" s="624">
        <v>162200</v>
      </c>
      <c r="C1964" s="1344">
        <v>344903000000000</v>
      </c>
      <c r="D1964" s="624" t="s">
        <v>7375</v>
      </c>
      <c r="E1964" s="624">
        <v>4509</v>
      </c>
      <c r="F1964" s="643">
        <v>0</v>
      </c>
      <c r="G1964" s="643">
        <v>0</v>
      </c>
      <c r="H1964" s="26">
        <v>0</v>
      </c>
      <c r="I1964" s="26">
        <f t="shared" si="207"/>
        <v>0</v>
      </c>
      <c r="J1964" s="1340" t="e">
        <f t="shared" si="205"/>
        <v>#DIV/0!</v>
      </c>
      <c r="K1964" s="1339">
        <f t="shared" si="206"/>
        <v>0</v>
      </c>
    </row>
    <row r="1965" spans="1:11" ht="15" x14ac:dyDescent="0.25">
      <c r="A1965" s="1341"/>
      <c r="B1965" s="624">
        <v>162900</v>
      </c>
      <c r="C1965" s="1344">
        <v>344903000000000</v>
      </c>
      <c r="D1965" s="624" t="s">
        <v>6609</v>
      </c>
      <c r="E1965" s="624">
        <v>4508</v>
      </c>
      <c r="F1965" s="643">
        <v>0</v>
      </c>
      <c r="G1965" s="643">
        <v>0</v>
      </c>
      <c r="H1965" s="26">
        <v>0</v>
      </c>
      <c r="I1965" s="26">
        <f t="shared" si="207"/>
        <v>0</v>
      </c>
      <c r="J1965" s="1340" t="e">
        <f t="shared" si="205"/>
        <v>#DIV/0!</v>
      </c>
      <c r="K1965" s="1339">
        <f t="shared" si="206"/>
        <v>0</v>
      </c>
    </row>
    <row r="1966" spans="1:11" ht="15" x14ac:dyDescent="0.25">
      <c r="A1966" s="1341"/>
      <c r="B1966" s="624">
        <v>165200</v>
      </c>
      <c r="C1966" s="1344">
        <v>344903000000000</v>
      </c>
      <c r="D1966" s="624" t="s">
        <v>5516</v>
      </c>
      <c r="E1966" s="624">
        <v>4512</v>
      </c>
      <c r="F1966" s="643">
        <v>0</v>
      </c>
      <c r="G1966" s="643">
        <v>0</v>
      </c>
      <c r="H1966" s="26">
        <v>0</v>
      </c>
      <c r="I1966" s="26">
        <f t="shared" si="207"/>
        <v>0</v>
      </c>
      <c r="J1966" s="1340" t="e">
        <f t="shared" si="205"/>
        <v>#DIV/0!</v>
      </c>
      <c r="K1966" s="1339">
        <f t="shared" si="206"/>
        <v>0</v>
      </c>
    </row>
    <row r="1967" spans="1:11" ht="15" x14ac:dyDescent="0.25">
      <c r="A1967" s="1341"/>
      <c r="B1967" s="624">
        <v>167100</v>
      </c>
      <c r="C1967" s="1344">
        <v>344903000000000</v>
      </c>
      <c r="D1967" s="624" t="s">
        <v>6618</v>
      </c>
      <c r="E1967" s="624">
        <v>4505</v>
      </c>
      <c r="F1967" s="643">
        <v>0</v>
      </c>
      <c r="G1967" s="643">
        <v>0</v>
      </c>
      <c r="H1967" s="26">
        <v>0</v>
      </c>
      <c r="I1967" s="26">
        <f t="shared" si="207"/>
        <v>0</v>
      </c>
      <c r="J1967" s="1340" t="e">
        <f t="shared" si="205"/>
        <v>#DIV/0!</v>
      </c>
      <c r="K1967" s="1339">
        <f t="shared" si="206"/>
        <v>0</v>
      </c>
    </row>
    <row r="1968" spans="1:11" ht="15" x14ac:dyDescent="0.25">
      <c r="A1968" s="1341"/>
      <c r="B1968" s="624">
        <v>162300</v>
      </c>
      <c r="C1968" s="1344">
        <v>344903600000000</v>
      </c>
      <c r="D1968" s="624" t="s">
        <v>7374</v>
      </c>
      <c r="E1968" s="624">
        <v>4509</v>
      </c>
      <c r="F1968" s="643">
        <v>0</v>
      </c>
      <c r="G1968" s="643">
        <v>0</v>
      </c>
      <c r="H1968" s="26">
        <v>0</v>
      </c>
      <c r="I1968" s="26">
        <f t="shared" si="207"/>
        <v>0</v>
      </c>
      <c r="J1968" s="1340" t="e">
        <f t="shared" si="205"/>
        <v>#DIV/0!</v>
      </c>
      <c r="K1968" s="1339">
        <f t="shared" si="206"/>
        <v>0</v>
      </c>
    </row>
    <row r="1969" spans="1:11" ht="15" x14ac:dyDescent="0.25">
      <c r="A1969" s="1341"/>
      <c r="B1969" s="624">
        <v>163000</v>
      </c>
      <c r="C1969" s="1344">
        <v>344903600000000</v>
      </c>
      <c r="D1969" s="624" t="s">
        <v>6612</v>
      </c>
      <c r="E1969" s="624">
        <v>4508</v>
      </c>
      <c r="F1969" s="643">
        <v>0</v>
      </c>
      <c r="G1969" s="643">
        <v>0</v>
      </c>
      <c r="H1969" s="26">
        <v>0</v>
      </c>
      <c r="I1969" s="26">
        <f t="shared" si="207"/>
        <v>0</v>
      </c>
      <c r="J1969" s="1340" t="e">
        <f t="shared" si="205"/>
        <v>#DIV/0!</v>
      </c>
      <c r="K1969" s="1339">
        <f t="shared" si="206"/>
        <v>0</v>
      </c>
    </row>
    <row r="1970" spans="1:11" ht="15" x14ac:dyDescent="0.25">
      <c r="A1970" s="1341"/>
      <c r="B1970" s="624">
        <v>165300</v>
      </c>
      <c r="C1970" s="1344">
        <v>344903600000000</v>
      </c>
      <c r="D1970" s="624" t="s">
        <v>6614</v>
      </c>
      <c r="E1970" s="624">
        <v>4512</v>
      </c>
      <c r="F1970" s="643">
        <v>0</v>
      </c>
      <c r="G1970" s="643">
        <v>0</v>
      </c>
      <c r="H1970" s="26">
        <v>0</v>
      </c>
      <c r="I1970" s="26">
        <f t="shared" si="207"/>
        <v>0</v>
      </c>
      <c r="J1970" s="1340" t="e">
        <f t="shared" si="205"/>
        <v>#DIV/0!</v>
      </c>
      <c r="K1970" s="1339">
        <f t="shared" si="206"/>
        <v>0</v>
      </c>
    </row>
    <row r="1971" spans="1:11" ht="15" x14ac:dyDescent="0.25">
      <c r="A1971" s="1341"/>
      <c r="B1971" s="624">
        <v>167200</v>
      </c>
      <c r="C1971" s="1344">
        <v>344903600000000</v>
      </c>
      <c r="D1971" s="624" t="s">
        <v>6621</v>
      </c>
      <c r="E1971" s="624">
        <v>4505</v>
      </c>
      <c r="F1971" s="643">
        <v>0</v>
      </c>
      <c r="G1971" s="643">
        <v>0</v>
      </c>
      <c r="H1971" s="26">
        <v>0</v>
      </c>
      <c r="I1971" s="26">
        <f t="shared" si="207"/>
        <v>0</v>
      </c>
      <c r="J1971" s="1340" t="e">
        <f t="shared" si="205"/>
        <v>#DIV/0!</v>
      </c>
      <c r="K1971" s="1339">
        <f t="shared" si="206"/>
        <v>0</v>
      </c>
    </row>
    <row r="1972" spans="1:11" ht="15" x14ac:dyDescent="0.25">
      <c r="A1972" s="1341"/>
      <c r="B1972" s="624">
        <v>162400</v>
      </c>
      <c r="C1972" s="1344">
        <v>344903900000000</v>
      </c>
      <c r="D1972" s="624" t="s">
        <v>7373</v>
      </c>
      <c r="E1972" s="624">
        <v>4509</v>
      </c>
      <c r="F1972" s="643">
        <v>0</v>
      </c>
      <c r="G1972" s="643">
        <v>0</v>
      </c>
      <c r="H1972" s="26">
        <v>0</v>
      </c>
      <c r="I1972" s="26">
        <f t="shared" si="207"/>
        <v>0</v>
      </c>
      <c r="J1972" s="1340" t="e">
        <f t="shared" si="205"/>
        <v>#DIV/0!</v>
      </c>
      <c r="K1972" s="1339">
        <f t="shared" si="206"/>
        <v>0</v>
      </c>
    </row>
    <row r="1973" spans="1:11" ht="15" x14ac:dyDescent="0.25">
      <c r="A1973" s="1341"/>
      <c r="B1973" s="624">
        <v>163100</v>
      </c>
      <c r="C1973" s="1344">
        <v>344903900000000</v>
      </c>
      <c r="D1973" s="624" t="s">
        <v>6613</v>
      </c>
      <c r="E1973" s="624">
        <v>4508</v>
      </c>
      <c r="F1973" s="643">
        <v>0</v>
      </c>
      <c r="G1973" s="643">
        <v>0</v>
      </c>
      <c r="H1973" s="26">
        <v>0</v>
      </c>
      <c r="I1973" s="26">
        <f t="shared" si="207"/>
        <v>0</v>
      </c>
      <c r="J1973" s="1340" t="e">
        <f t="shared" si="205"/>
        <v>#DIV/0!</v>
      </c>
      <c r="K1973" s="1339">
        <f t="shared" si="206"/>
        <v>0</v>
      </c>
    </row>
    <row r="1974" spans="1:11" ht="15" x14ac:dyDescent="0.25">
      <c r="A1974" s="1341"/>
      <c r="B1974" s="624">
        <v>165400</v>
      </c>
      <c r="C1974" s="1344">
        <v>344903900000000</v>
      </c>
      <c r="D1974" s="624" t="s">
        <v>6615</v>
      </c>
      <c r="E1974" s="624">
        <v>4512</v>
      </c>
      <c r="F1974" s="643">
        <v>0</v>
      </c>
      <c r="G1974" s="643">
        <v>178.33</v>
      </c>
      <c r="H1974" s="26">
        <v>0</v>
      </c>
      <c r="I1974" s="26">
        <f t="shared" si="207"/>
        <v>59.443333333333335</v>
      </c>
      <c r="J1974" s="1340" t="e">
        <f t="shared" si="205"/>
        <v>#DIV/0!</v>
      </c>
      <c r="K1974" s="1339">
        <f t="shared" si="206"/>
        <v>1.7722186887054491E-4</v>
      </c>
    </row>
    <row r="1975" spans="1:11" ht="15" x14ac:dyDescent="0.25">
      <c r="A1975" s="1341"/>
      <c r="B1975" s="624">
        <v>167300</v>
      </c>
      <c r="C1975" s="1344">
        <v>344903900000000</v>
      </c>
      <c r="D1975" s="624" t="s">
        <v>6622</v>
      </c>
      <c r="E1975" s="624">
        <v>4505</v>
      </c>
      <c r="F1975" s="643">
        <v>0</v>
      </c>
      <c r="G1975" s="643">
        <v>0</v>
      </c>
      <c r="H1975" s="26">
        <v>0</v>
      </c>
      <c r="I1975" s="26">
        <f t="shared" si="207"/>
        <v>0</v>
      </c>
      <c r="J1975" s="1340" t="e">
        <f t="shared" si="205"/>
        <v>#DIV/0!</v>
      </c>
      <c r="K1975" s="1339">
        <f t="shared" si="206"/>
        <v>0</v>
      </c>
    </row>
    <row r="1976" spans="1:11" ht="15" x14ac:dyDescent="0.25">
      <c r="A1976" s="1341"/>
      <c r="B1976" s="624">
        <v>162500</v>
      </c>
      <c r="C1976" s="1344">
        <v>344905100000000</v>
      </c>
      <c r="D1976" s="624" t="s">
        <v>7372</v>
      </c>
      <c r="E1976" s="624">
        <v>4509</v>
      </c>
      <c r="F1976" s="643">
        <v>0</v>
      </c>
      <c r="G1976" s="643">
        <v>0</v>
      </c>
      <c r="H1976" s="26">
        <v>0</v>
      </c>
      <c r="I1976" s="26">
        <f t="shared" si="207"/>
        <v>0</v>
      </c>
      <c r="J1976" s="1340" t="e">
        <f t="shared" si="205"/>
        <v>#DIV/0!</v>
      </c>
      <c r="K1976" s="1339">
        <f t="shared" si="206"/>
        <v>0</v>
      </c>
    </row>
    <row r="1977" spans="1:11" ht="15" x14ac:dyDescent="0.25">
      <c r="A1977" s="1341"/>
      <c r="B1977" s="624">
        <v>163200</v>
      </c>
      <c r="C1977" s="1344">
        <v>344905100000000</v>
      </c>
      <c r="D1977" s="624" t="s">
        <v>6610</v>
      </c>
      <c r="E1977" s="624">
        <v>4508</v>
      </c>
      <c r="F1977" s="643">
        <v>0</v>
      </c>
      <c r="G1977" s="643">
        <v>0</v>
      </c>
      <c r="H1977" s="26">
        <v>0</v>
      </c>
      <c r="I1977" s="26">
        <f t="shared" si="207"/>
        <v>0</v>
      </c>
      <c r="J1977" s="1340" t="e">
        <f t="shared" si="205"/>
        <v>#DIV/0!</v>
      </c>
      <c r="K1977" s="1339">
        <f t="shared" si="206"/>
        <v>0</v>
      </c>
    </row>
    <row r="1978" spans="1:11" ht="15" x14ac:dyDescent="0.25">
      <c r="A1978" s="1341"/>
      <c r="B1978" s="624">
        <v>165500</v>
      </c>
      <c r="C1978" s="1344">
        <v>344905100000000</v>
      </c>
      <c r="D1978" s="624" t="s">
        <v>5600</v>
      </c>
      <c r="E1978" s="624">
        <v>4512</v>
      </c>
      <c r="F1978" s="643">
        <v>0</v>
      </c>
      <c r="G1978" s="643">
        <v>0</v>
      </c>
      <c r="H1978" s="26">
        <v>0</v>
      </c>
      <c r="I1978" s="26">
        <f t="shared" si="207"/>
        <v>0</v>
      </c>
      <c r="J1978" s="1340" t="e">
        <f t="shared" si="205"/>
        <v>#DIV/0!</v>
      </c>
      <c r="K1978" s="1339">
        <f t="shared" si="206"/>
        <v>0</v>
      </c>
    </row>
    <row r="1979" spans="1:11" ht="15" x14ac:dyDescent="0.25">
      <c r="A1979" s="1341"/>
      <c r="B1979" s="624">
        <v>167400</v>
      </c>
      <c r="C1979" s="1344">
        <v>344905100000000</v>
      </c>
      <c r="D1979" s="624" t="s">
        <v>6619</v>
      </c>
      <c r="E1979" s="624">
        <v>4505</v>
      </c>
      <c r="F1979" s="643">
        <v>0</v>
      </c>
      <c r="G1979" s="643">
        <v>0</v>
      </c>
      <c r="H1979" s="26">
        <v>0</v>
      </c>
      <c r="I1979" s="26">
        <f t="shared" si="207"/>
        <v>0</v>
      </c>
      <c r="J1979" s="1340" t="e">
        <f t="shared" si="205"/>
        <v>#DIV/0!</v>
      </c>
      <c r="K1979" s="1339">
        <f t="shared" si="206"/>
        <v>0</v>
      </c>
    </row>
    <row r="1980" spans="1:11" ht="15" x14ac:dyDescent="0.25">
      <c r="A1980" s="1341"/>
      <c r="B1980" s="624">
        <v>162600</v>
      </c>
      <c r="C1980" s="1344">
        <v>344905200000000</v>
      </c>
      <c r="D1980" s="624" t="s">
        <v>7371</v>
      </c>
      <c r="E1980" s="624">
        <v>4509</v>
      </c>
      <c r="F1980" s="643">
        <v>0</v>
      </c>
      <c r="G1980" s="643">
        <v>0</v>
      </c>
      <c r="H1980" s="26">
        <v>0</v>
      </c>
      <c r="I1980" s="26">
        <f t="shared" si="207"/>
        <v>0</v>
      </c>
      <c r="J1980" s="1340" t="e">
        <f t="shared" si="205"/>
        <v>#DIV/0!</v>
      </c>
      <c r="K1980" s="1339">
        <f t="shared" si="206"/>
        <v>0</v>
      </c>
    </row>
    <row r="1981" spans="1:11" ht="15" x14ac:dyDescent="0.25">
      <c r="A1981" s="1341"/>
      <c r="B1981" s="624">
        <v>163300</v>
      </c>
      <c r="C1981" s="1344">
        <v>344905200000000</v>
      </c>
      <c r="D1981" s="624" t="s">
        <v>6611</v>
      </c>
      <c r="E1981" s="624">
        <v>4508</v>
      </c>
      <c r="F1981" s="643">
        <v>0</v>
      </c>
      <c r="G1981" s="643">
        <v>0</v>
      </c>
      <c r="H1981" s="26">
        <v>0</v>
      </c>
      <c r="I1981" s="26">
        <f t="shared" si="207"/>
        <v>0</v>
      </c>
      <c r="J1981" s="1340" t="e">
        <f t="shared" si="205"/>
        <v>#DIV/0!</v>
      </c>
      <c r="K1981" s="1339">
        <f t="shared" si="206"/>
        <v>0</v>
      </c>
    </row>
    <row r="1982" spans="1:11" ht="15" x14ac:dyDescent="0.25">
      <c r="A1982" s="1341"/>
      <c r="B1982" s="624">
        <v>165600</v>
      </c>
      <c r="C1982" s="1344">
        <v>344905200000000</v>
      </c>
      <c r="D1982" s="624" t="s">
        <v>5508</v>
      </c>
      <c r="E1982" s="624">
        <v>40</v>
      </c>
      <c r="F1982" s="643">
        <v>0</v>
      </c>
      <c r="G1982" s="643">
        <v>0</v>
      </c>
      <c r="H1982" s="26">
        <v>0</v>
      </c>
      <c r="I1982" s="26">
        <f t="shared" si="207"/>
        <v>0</v>
      </c>
      <c r="J1982" s="1340" t="e">
        <f t="shared" si="205"/>
        <v>#DIV/0!</v>
      </c>
      <c r="K1982" s="1339">
        <f t="shared" si="206"/>
        <v>0</v>
      </c>
    </row>
    <row r="1983" spans="1:11" ht="15" x14ac:dyDescent="0.25">
      <c r="A1983" s="1341"/>
      <c r="B1983" s="624">
        <v>165700</v>
      </c>
      <c r="C1983" s="1344">
        <v>344905200000000</v>
      </c>
      <c r="D1983" s="624" t="s">
        <v>6616</v>
      </c>
      <c r="E1983" s="624">
        <v>40</v>
      </c>
      <c r="F1983" s="643">
        <v>0</v>
      </c>
      <c r="G1983" s="643">
        <v>4433.84</v>
      </c>
      <c r="H1983" s="26">
        <v>0</v>
      </c>
      <c r="I1983" s="26">
        <f t="shared" si="207"/>
        <v>1477.9466666666667</v>
      </c>
      <c r="J1983" s="1340" t="e">
        <f t="shared" si="205"/>
        <v>#DIV/0!</v>
      </c>
      <c r="K1983" s="1339">
        <f t="shared" si="206"/>
        <v>4.406288403930785E-3</v>
      </c>
    </row>
    <row r="1984" spans="1:11" ht="15" x14ac:dyDescent="0.25">
      <c r="A1984" s="1341"/>
      <c r="B1984" s="624">
        <v>165800</v>
      </c>
      <c r="C1984" s="1344">
        <v>344905200000000</v>
      </c>
      <c r="D1984" s="624" t="s">
        <v>6617</v>
      </c>
      <c r="E1984" s="624">
        <v>4512</v>
      </c>
      <c r="F1984" s="643">
        <v>0</v>
      </c>
      <c r="G1984" s="643">
        <v>335102.84000000003</v>
      </c>
      <c r="H1984" s="26">
        <v>0</v>
      </c>
      <c r="I1984" s="26">
        <f t="shared" si="207"/>
        <v>111700.94666666667</v>
      </c>
      <c r="J1984" s="1340" t="e">
        <f t="shared" si="205"/>
        <v>#DIV/0!</v>
      </c>
      <c r="K1984" s="1339">
        <f t="shared" si="206"/>
        <v>0.33302053254431219</v>
      </c>
    </row>
    <row r="1985" spans="1:11" ht="15" x14ac:dyDescent="0.25">
      <c r="A1985" s="1341"/>
      <c r="B1985" s="624">
        <v>167500</v>
      </c>
      <c r="C1985" s="1344">
        <v>344905200000000</v>
      </c>
      <c r="D1985" s="624" t="s">
        <v>6623</v>
      </c>
      <c r="E1985" s="624">
        <v>4505</v>
      </c>
      <c r="F1985" s="643">
        <v>0</v>
      </c>
      <c r="G1985" s="643">
        <v>0</v>
      </c>
      <c r="H1985" s="26">
        <v>0</v>
      </c>
      <c r="I1985" s="26">
        <f t="shared" si="207"/>
        <v>0</v>
      </c>
      <c r="J1985" s="1340" t="e">
        <f t="shared" si="205"/>
        <v>#DIV/0!</v>
      </c>
      <c r="K1985" s="1339">
        <f t="shared" si="206"/>
        <v>0</v>
      </c>
    </row>
    <row r="1986" spans="1:11" s="12" customFormat="1" ht="15" x14ac:dyDescent="0.25">
      <c r="A1986" s="1081"/>
      <c r="B1986" s="570" t="s">
        <v>2950</v>
      </c>
      <c r="C1986" s="1345" t="s">
        <v>7370</v>
      </c>
      <c r="D1986" s="570" t="s">
        <v>7369</v>
      </c>
      <c r="E1986" s="570"/>
      <c r="F1986" s="642">
        <f>SUM(F1987:F1992)</f>
        <v>0</v>
      </c>
      <c r="G1986" s="642">
        <f>SUM(G1987:G1992)</f>
        <v>0</v>
      </c>
      <c r="H1986" s="642">
        <f>SUM(H1987:H1992)</f>
        <v>0</v>
      </c>
      <c r="I1986" s="642">
        <f>SUM(I1987:I1992)</f>
        <v>0</v>
      </c>
      <c r="J1986" s="1338" t="e">
        <f t="shared" si="205"/>
        <v>#DIV/0!</v>
      </c>
      <c r="K1986" s="1337">
        <f t="shared" si="206"/>
        <v>0</v>
      </c>
    </row>
    <row r="1987" spans="1:11" ht="15" x14ac:dyDescent="0.25">
      <c r="A1987" s="1341"/>
      <c r="B1987" s="624">
        <v>169000</v>
      </c>
      <c r="C1987" s="1344">
        <v>333904700000000</v>
      </c>
      <c r="D1987" s="624" t="s">
        <v>6628</v>
      </c>
      <c r="E1987" s="624">
        <v>4506</v>
      </c>
      <c r="F1987" s="643">
        <v>0</v>
      </c>
      <c r="G1987" s="643">
        <v>0</v>
      </c>
      <c r="H1987" s="26">
        <v>0</v>
      </c>
      <c r="I1987" s="26">
        <f t="shared" ref="I1987:I1992" si="208">(F1987+G1987+H1987)/3</f>
        <v>0</v>
      </c>
      <c r="J1987" s="1340" t="e">
        <f t="shared" si="205"/>
        <v>#DIV/0!</v>
      </c>
      <c r="K1987" s="1339">
        <f t="shared" si="206"/>
        <v>0</v>
      </c>
    </row>
    <row r="1988" spans="1:11" ht="15" x14ac:dyDescent="0.25">
      <c r="A1988" s="1341"/>
      <c r="B1988" s="624">
        <v>169100</v>
      </c>
      <c r="C1988" s="1344">
        <v>344903000000000</v>
      </c>
      <c r="D1988" s="624" t="s">
        <v>6627</v>
      </c>
      <c r="E1988" s="624">
        <v>4506</v>
      </c>
      <c r="F1988" s="643">
        <v>0</v>
      </c>
      <c r="G1988" s="643">
        <v>0</v>
      </c>
      <c r="H1988" s="26">
        <v>0</v>
      </c>
      <c r="I1988" s="26">
        <f t="shared" si="208"/>
        <v>0</v>
      </c>
      <c r="J1988" s="1340" t="e">
        <f t="shared" ref="J1988:J2019" si="209">(G1988/F1988)+(H1988/G1988)/2</f>
        <v>#DIV/0!</v>
      </c>
      <c r="K1988" s="1339">
        <f t="shared" ref="K1988:K2019" si="210">I1988/I$2053</f>
        <v>0</v>
      </c>
    </row>
    <row r="1989" spans="1:11" ht="15" x14ac:dyDescent="0.25">
      <c r="A1989" s="1341"/>
      <c r="B1989" s="624">
        <v>169200</v>
      </c>
      <c r="C1989" s="1344">
        <v>344903600000000</v>
      </c>
      <c r="D1989" s="624" t="s">
        <v>6626</v>
      </c>
      <c r="E1989" s="624">
        <v>4506</v>
      </c>
      <c r="F1989" s="643">
        <v>0</v>
      </c>
      <c r="G1989" s="643">
        <v>0</v>
      </c>
      <c r="H1989" s="26">
        <v>0</v>
      </c>
      <c r="I1989" s="26">
        <f t="shared" si="208"/>
        <v>0</v>
      </c>
      <c r="J1989" s="1340" t="e">
        <f t="shared" si="209"/>
        <v>#DIV/0!</v>
      </c>
      <c r="K1989" s="1339">
        <f t="shared" si="210"/>
        <v>0</v>
      </c>
    </row>
    <row r="1990" spans="1:11" ht="15" x14ac:dyDescent="0.25">
      <c r="A1990" s="1341"/>
      <c r="B1990" s="624">
        <v>169300</v>
      </c>
      <c r="C1990" s="1344">
        <v>344903900000000</v>
      </c>
      <c r="D1990" s="624" t="s">
        <v>6629</v>
      </c>
      <c r="E1990" s="624">
        <v>4506</v>
      </c>
      <c r="F1990" s="643">
        <v>0</v>
      </c>
      <c r="G1990" s="643">
        <v>0</v>
      </c>
      <c r="H1990" s="26">
        <v>0</v>
      </c>
      <c r="I1990" s="26">
        <f t="shared" si="208"/>
        <v>0</v>
      </c>
      <c r="J1990" s="1340" t="e">
        <f t="shared" si="209"/>
        <v>#DIV/0!</v>
      </c>
      <c r="K1990" s="1339">
        <f t="shared" si="210"/>
        <v>0</v>
      </c>
    </row>
    <row r="1991" spans="1:11" ht="15" x14ac:dyDescent="0.25">
      <c r="A1991" s="1341"/>
      <c r="B1991" s="624">
        <v>169400</v>
      </c>
      <c r="C1991" s="1344">
        <v>344905100000000</v>
      </c>
      <c r="D1991" s="624" t="s">
        <v>6624</v>
      </c>
      <c r="E1991" s="624">
        <v>4506</v>
      </c>
      <c r="F1991" s="643">
        <v>0</v>
      </c>
      <c r="G1991" s="643">
        <v>0</v>
      </c>
      <c r="H1991" s="26">
        <v>0</v>
      </c>
      <c r="I1991" s="26">
        <f t="shared" si="208"/>
        <v>0</v>
      </c>
      <c r="J1991" s="1340" t="e">
        <f t="shared" si="209"/>
        <v>#DIV/0!</v>
      </c>
      <c r="K1991" s="1339">
        <f t="shared" si="210"/>
        <v>0</v>
      </c>
    </row>
    <row r="1992" spans="1:11" ht="15" x14ac:dyDescent="0.25">
      <c r="A1992" s="1341"/>
      <c r="B1992" s="624">
        <v>169500</v>
      </c>
      <c r="C1992" s="1344">
        <v>344905200000000</v>
      </c>
      <c r="D1992" s="624" t="s">
        <v>6624</v>
      </c>
      <c r="E1992" s="624">
        <v>4506</v>
      </c>
      <c r="F1992" s="643">
        <v>0</v>
      </c>
      <c r="G1992" s="643">
        <v>0</v>
      </c>
      <c r="H1992" s="26">
        <v>0</v>
      </c>
      <c r="I1992" s="26">
        <f t="shared" si="208"/>
        <v>0</v>
      </c>
      <c r="J1992" s="1340" t="e">
        <f t="shared" si="209"/>
        <v>#DIV/0!</v>
      </c>
      <c r="K1992" s="1339">
        <f t="shared" si="210"/>
        <v>0</v>
      </c>
    </row>
    <row r="1993" spans="1:11" s="12" customFormat="1" ht="15" x14ac:dyDescent="0.25">
      <c r="A1993" s="1081"/>
      <c r="B1993" s="570" t="s">
        <v>2950</v>
      </c>
      <c r="C1993" s="1345" t="s">
        <v>7368</v>
      </c>
      <c r="D1993" s="570" t="s">
        <v>5511</v>
      </c>
      <c r="E1993" s="570"/>
      <c r="F1993" s="642">
        <f>SUM(F1994:F1999)</f>
        <v>0</v>
      </c>
      <c r="G1993" s="642">
        <f>SUM(G1994:G1999)</f>
        <v>0</v>
      </c>
      <c r="H1993" s="642">
        <f>SUM(H1994:H1999)</f>
        <v>0</v>
      </c>
      <c r="I1993" s="642">
        <f>SUM(I1994:I1999)</f>
        <v>0</v>
      </c>
      <c r="J1993" s="1338" t="e">
        <f t="shared" si="209"/>
        <v>#DIV/0!</v>
      </c>
      <c r="K1993" s="1337">
        <f t="shared" si="210"/>
        <v>0</v>
      </c>
    </row>
    <row r="1994" spans="1:11" ht="15" x14ac:dyDescent="0.25">
      <c r="A1994" s="1341"/>
      <c r="B1994" s="624">
        <v>171000</v>
      </c>
      <c r="C1994" s="1344">
        <v>333904700000000</v>
      </c>
      <c r="D1994" s="624" t="s">
        <v>6630</v>
      </c>
      <c r="E1994" s="624">
        <v>4507</v>
      </c>
      <c r="F1994" s="643">
        <v>0</v>
      </c>
      <c r="G1994" s="643">
        <v>0</v>
      </c>
      <c r="H1994" s="26">
        <v>0</v>
      </c>
      <c r="I1994" s="26">
        <f t="shared" ref="I1994:I1999" si="211">(F1994+G1994+H1994)/3</f>
        <v>0</v>
      </c>
      <c r="J1994" s="1340" t="e">
        <f t="shared" si="209"/>
        <v>#DIV/0!</v>
      </c>
      <c r="K1994" s="1339">
        <f t="shared" si="210"/>
        <v>0</v>
      </c>
    </row>
    <row r="1995" spans="1:11" ht="15" x14ac:dyDescent="0.25">
      <c r="A1995" s="1341"/>
      <c r="B1995" s="624">
        <v>171100</v>
      </c>
      <c r="C1995" s="1344">
        <v>344903000000000</v>
      </c>
      <c r="D1995" s="624" t="s">
        <v>6631</v>
      </c>
      <c r="E1995" s="624">
        <v>4507</v>
      </c>
      <c r="F1995" s="643">
        <v>0</v>
      </c>
      <c r="G1995" s="643">
        <v>0</v>
      </c>
      <c r="H1995" s="26">
        <v>0</v>
      </c>
      <c r="I1995" s="26">
        <f t="shared" si="211"/>
        <v>0</v>
      </c>
      <c r="J1995" s="1340" t="e">
        <f t="shared" si="209"/>
        <v>#DIV/0!</v>
      </c>
      <c r="K1995" s="1339">
        <f t="shared" si="210"/>
        <v>0</v>
      </c>
    </row>
    <row r="1996" spans="1:11" ht="15" x14ac:dyDescent="0.25">
      <c r="A1996" s="1341"/>
      <c r="B1996" s="624">
        <v>171200</v>
      </c>
      <c r="C1996" s="1344">
        <v>344903600000000</v>
      </c>
      <c r="D1996" s="624" t="s">
        <v>6632</v>
      </c>
      <c r="E1996" s="624">
        <v>4507</v>
      </c>
      <c r="F1996" s="643">
        <v>0</v>
      </c>
      <c r="G1996" s="643">
        <v>0</v>
      </c>
      <c r="H1996" s="26">
        <v>0</v>
      </c>
      <c r="I1996" s="26">
        <f t="shared" si="211"/>
        <v>0</v>
      </c>
      <c r="J1996" s="1340" t="e">
        <f t="shared" si="209"/>
        <v>#DIV/0!</v>
      </c>
      <c r="K1996" s="1339">
        <f t="shared" si="210"/>
        <v>0</v>
      </c>
    </row>
    <row r="1997" spans="1:11" ht="15" x14ac:dyDescent="0.25">
      <c r="A1997" s="1341"/>
      <c r="B1997" s="624">
        <v>171300</v>
      </c>
      <c r="C1997" s="1344">
        <v>344903900000000</v>
      </c>
      <c r="D1997" s="624" t="s">
        <v>6633</v>
      </c>
      <c r="E1997" s="624">
        <v>4507</v>
      </c>
      <c r="F1997" s="643">
        <v>0</v>
      </c>
      <c r="G1997" s="643">
        <v>0</v>
      </c>
      <c r="H1997" s="26">
        <v>0</v>
      </c>
      <c r="I1997" s="26">
        <f t="shared" si="211"/>
        <v>0</v>
      </c>
      <c r="J1997" s="1340" t="e">
        <f t="shared" si="209"/>
        <v>#DIV/0!</v>
      </c>
      <c r="K1997" s="1339">
        <f t="shared" si="210"/>
        <v>0</v>
      </c>
    </row>
    <row r="1998" spans="1:11" ht="15" x14ac:dyDescent="0.25">
      <c r="A1998" s="1341"/>
      <c r="B1998" s="624">
        <v>171400</v>
      </c>
      <c r="C1998" s="1344">
        <v>344905100000000</v>
      </c>
      <c r="D1998" s="624" t="s">
        <v>6634</v>
      </c>
      <c r="E1998" s="624">
        <v>4507</v>
      </c>
      <c r="F1998" s="643">
        <v>0</v>
      </c>
      <c r="G1998" s="643">
        <v>0</v>
      </c>
      <c r="H1998" s="26">
        <v>0</v>
      </c>
      <c r="I1998" s="26">
        <f t="shared" si="211"/>
        <v>0</v>
      </c>
      <c r="J1998" s="1340" t="e">
        <f t="shared" si="209"/>
        <v>#DIV/0!</v>
      </c>
      <c r="K1998" s="1339">
        <f t="shared" si="210"/>
        <v>0</v>
      </c>
    </row>
    <row r="1999" spans="1:11" ht="15" x14ac:dyDescent="0.25">
      <c r="A1999" s="1341"/>
      <c r="B1999" s="624">
        <v>171500</v>
      </c>
      <c r="C1999" s="1344">
        <v>344905200000000</v>
      </c>
      <c r="D1999" s="624" t="s">
        <v>6635</v>
      </c>
      <c r="E1999" s="624">
        <v>4507</v>
      </c>
      <c r="F1999" s="643">
        <v>0</v>
      </c>
      <c r="G1999" s="643">
        <v>0</v>
      </c>
      <c r="H1999" s="26">
        <v>0</v>
      </c>
      <c r="I1999" s="26">
        <f t="shared" si="211"/>
        <v>0</v>
      </c>
      <c r="J1999" s="1340" t="e">
        <f t="shared" si="209"/>
        <v>#DIV/0!</v>
      </c>
      <c r="K1999" s="1339">
        <f t="shared" si="210"/>
        <v>0</v>
      </c>
    </row>
    <row r="2000" spans="1:11" s="12" customFormat="1" ht="15" x14ac:dyDescent="0.25">
      <c r="A2000" s="1081"/>
      <c r="B2000" s="570" t="s">
        <v>2965</v>
      </c>
      <c r="C2000" s="1345">
        <v>29</v>
      </c>
      <c r="D2000" s="570" t="s">
        <v>5495</v>
      </c>
      <c r="E2000" s="570"/>
      <c r="F2000" s="642">
        <f>SUM(F2001:F2008)</f>
        <v>233759.68</v>
      </c>
      <c r="G2000" s="642">
        <f>SUM(G2001:G2008)</f>
        <v>274759.31</v>
      </c>
      <c r="H2000" s="642">
        <f>SUM(H2001:H2008)</f>
        <v>0</v>
      </c>
      <c r="I2000" s="642">
        <f>SUM(I2001:I2008)</f>
        <v>169506.33000000002</v>
      </c>
      <c r="J2000" s="1338">
        <f t="shared" si="209"/>
        <v>1.1753922233295322</v>
      </c>
      <c r="K2000" s="1337">
        <f t="shared" si="210"/>
        <v>0.50535908576213728</v>
      </c>
    </row>
    <row r="2001" spans="1:11" s="12" customFormat="1" ht="30" x14ac:dyDescent="0.25">
      <c r="A2001" s="1081"/>
      <c r="B2001" s="570"/>
      <c r="C2001" s="1344">
        <v>331903400000000</v>
      </c>
      <c r="D2001" s="624" t="s">
        <v>7367</v>
      </c>
      <c r="E2001" s="624">
        <v>4500</v>
      </c>
      <c r="F2001" s="643">
        <v>0</v>
      </c>
      <c r="G2001" s="643">
        <v>4520</v>
      </c>
      <c r="H2001" s="26">
        <v>0</v>
      </c>
      <c r="I2001" s="26">
        <f t="shared" ref="I2001:I2008" si="212">(F2001+G2001+H2001)/3</f>
        <v>1506.6666666666667</v>
      </c>
      <c r="J2001" s="1340" t="e">
        <f t="shared" si="209"/>
        <v>#DIV/0!</v>
      </c>
      <c r="K2001" s="1339">
        <f t="shared" si="210"/>
        <v>4.4919130112424325E-3</v>
      </c>
    </row>
    <row r="2002" spans="1:11" ht="15" x14ac:dyDescent="0.25">
      <c r="A2002" s="1341"/>
      <c r="B2002" s="624">
        <v>175000</v>
      </c>
      <c r="C2002" s="1344">
        <v>333901400000000</v>
      </c>
      <c r="D2002" s="624" t="s">
        <v>5529</v>
      </c>
      <c r="E2002" s="624">
        <v>4500</v>
      </c>
      <c r="F2002" s="643">
        <v>0</v>
      </c>
      <c r="G2002" s="643">
        <v>0</v>
      </c>
      <c r="H2002" s="26">
        <v>0</v>
      </c>
      <c r="I2002" s="26">
        <f t="shared" si="212"/>
        <v>0</v>
      </c>
      <c r="J2002" s="1340" t="e">
        <f t="shared" si="209"/>
        <v>#DIV/0!</v>
      </c>
      <c r="K2002" s="1339">
        <f t="shared" si="210"/>
        <v>0</v>
      </c>
    </row>
    <row r="2003" spans="1:11" ht="15" x14ac:dyDescent="0.25">
      <c r="A2003" s="1341"/>
      <c r="B2003" s="624">
        <v>175100</v>
      </c>
      <c r="C2003" s="1344">
        <v>333903000000000</v>
      </c>
      <c r="D2003" s="624" t="s">
        <v>5530</v>
      </c>
      <c r="E2003" s="624">
        <v>4500</v>
      </c>
      <c r="F2003" s="643">
        <v>124582.9</v>
      </c>
      <c r="G2003" s="643">
        <v>102467.68</v>
      </c>
      <c r="H2003" s="26">
        <v>0</v>
      </c>
      <c r="I2003" s="26">
        <f t="shared" si="212"/>
        <v>75683.526666666658</v>
      </c>
      <c r="J2003" s="1340">
        <f t="shared" si="209"/>
        <v>0.82248591098778401</v>
      </c>
      <c r="K2003" s="1339">
        <f t="shared" si="210"/>
        <v>0.22563970232569483</v>
      </c>
    </row>
    <row r="2004" spans="1:11" ht="15" x14ac:dyDescent="0.25">
      <c r="A2004" s="1341"/>
      <c r="B2004" s="624">
        <v>175200</v>
      </c>
      <c r="C2004" s="1344">
        <v>333903600000000</v>
      </c>
      <c r="D2004" s="624" t="s">
        <v>6637</v>
      </c>
      <c r="E2004" s="624">
        <v>4500</v>
      </c>
      <c r="F2004" s="643">
        <v>14000</v>
      </c>
      <c r="G2004" s="643">
        <v>19471</v>
      </c>
      <c r="H2004" s="26">
        <v>0</v>
      </c>
      <c r="I2004" s="26">
        <f t="shared" si="212"/>
        <v>11157</v>
      </c>
      <c r="J2004" s="1340">
        <f t="shared" si="209"/>
        <v>1.3907857142857143</v>
      </c>
      <c r="K2004" s="1339">
        <f t="shared" si="210"/>
        <v>3.3263013362675987E-2</v>
      </c>
    </row>
    <row r="2005" spans="1:11" ht="15" x14ac:dyDescent="0.25">
      <c r="A2005" s="1341"/>
      <c r="B2005" s="624">
        <v>175300</v>
      </c>
      <c r="C2005" s="1344">
        <v>333903900000000</v>
      </c>
      <c r="D2005" s="624" t="s">
        <v>6638</v>
      </c>
      <c r="E2005" s="624">
        <v>4500</v>
      </c>
      <c r="F2005" s="643">
        <v>89387.78</v>
      </c>
      <c r="G2005" s="643">
        <v>140317.43</v>
      </c>
      <c r="H2005" s="26">
        <v>0</v>
      </c>
      <c r="I2005" s="26">
        <f t="shared" si="212"/>
        <v>76568.403333333335</v>
      </c>
      <c r="J2005" s="1340">
        <f t="shared" si="209"/>
        <v>1.5697607659570469</v>
      </c>
      <c r="K2005" s="1339">
        <f t="shared" si="210"/>
        <v>0.22827783662592374</v>
      </c>
    </row>
    <row r="2006" spans="1:11" ht="15" x14ac:dyDescent="0.25">
      <c r="A2006" s="1341"/>
      <c r="B2006" s="624">
        <v>175400</v>
      </c>
      <c r="C2006" s="1344">
        <v>333904700000000</v>
      </c>
      <c r="D2006" s="624" t="s">
        <v>6636</v>
      </c>
      <c r="E2006" s="624">
        <v>4500</v>
      </c>
      <c r="F2006" s="643">
        <v>4351</v>
      </c>
      <c r="G2006" s="643">
        <v>3875.4</v>
      </c>
      <c r="H2006" s="26">
        <v>0</v>
      </c>
      <c r="I2006" s="26">
        <f t="shared" si="212"/>
        <v>2742.1333333333332</v>
      </c>
      <c r="J2006" s="1340">
        <f t="shared" si="209"/>
        <v>0.89069179498965756</v>
      </c>
      <c r="K2006" s="1339">
        <f t="shared" si="210"/>
        <v>8.1752816804612268E-3</v>
      </c>
    </row>
    <row r="2007" spans="1:11" ht="15" x14ac:dyDescent="0.25">
      <c r="A2007" s="1341"/>
      <c r="B2007" s="624">
        <v>175500</v>
      </c>
      <c r="C2007" s="1344">
        <v>344905100000000</v>
      </c>
      <c r="D2007" s="624" t="s">
        <v>5534</v>
      </c>
      <c r="E2007" s="624">
        <v>4500</v>
      </c>
      <c r="F2007" s="643">
        <v>0</v>
      </c>
      <c r="G2007" s="643">
        <v>0</v>
      </c>
      <c r="H2007" s="26">
        <v>0</v>
      </c>
      <c r="I2007" s="26">
        <f t="shared" si="212"/>
        <v>0</v>
      </c>
      <c r="J2007" s="1340" t="e">
        <f t="shared" si="209"/>
        <v>#DIV/0!</v>
      </c>
      <c r="K2007" s="1339">
        <f t="shared" si="210"/>
        <v>0</v>
      </c>
    </row>
    <row r="2008" spans="1:11" ht="15" x14ac:dyDescent="0.25">
      <c r="A2008" s="1341"/>
      <c r="B2008" s="624">
        <v>175600</v>
      </c>
      <c r="C2008" s="1344">
        <v>344905200000000</v>
      </c>
      <c r="D2008" s="624" t="s">
        <v>6639</v>
      </c>
      <c r="E2008" s="624">
        <v>4500</v>
      </c>
      <c r="F2008" s="643">
        <v>1438</v>
      </c>
      <c r="G2008" s="643">
        <v>4107.8</v>
      </c>
      <c r="H2008" s="26">
        <v>0</v>
      </c>
      <c r="I2008" s="26">
        <f t="shared" si="212"/>
        <v>1848.6000000000001</v>
      </c>
      <c r="J2008" s="1340">
        <f t="shared" si="209"/>
        <v>2.8566063977746872</v>
      </c>
      <c r="K2008" s="1339">
        <f t="shared" si="210"/>
        <v>5.5113387561390005E-3</v>
      </c>
    </row>
    <row r="2009" spans="1:11" s="12" customFormat="1" ht="15" x14ac:dyDescent="0.25">
      <c r="A2009" s="1081"/>
      <c r="B2009" s="570" t="s">
        <v>2965</v>
      </c>
      <c r="C2009" s="1345">
        <v>42</v>
      </c>
      <c r="D2009" s="570" t="s">
        <v>5497</v>
      </c>
      <c r="E2009" s="570"/>
      <c r="F2009" s="642">
        <f>SUM(F2010:F2018)</f>
        <v>0</v>
      </c>
      <c r="G2009" s="642">
        <f>SUM(G2010:G2018)</f>
        <v>0</v>
      </c>
      <c r="H2009" s="642">
        <f>SUM(H2010:H2018)</f>
        <v>0</v>
      </c>
      <c r="I2009" s="642">
        <f>SUM(I2010:I2018)</f>
        <v>0</v>
      </c>
      <c r="J2009" s="1338" t="e">
        <f t="shared" si="209"/>
        <v>#DIV/0!</v>
      </c>
      <c r="K2009" s="1337">
        <f t="shared" si="210"/>
        <v>0</v>
      </c>
    </row>
    <row r="2010" spans="1:11" ht="15" x14ac:dyDescent="0.25">
      <c r="A2010" s="1341"/>
      <c r="B2010" s="624">
        <v>177000</v>
      </c>
      <c r="C2010" s="1344">
        <v>331901300000000</v>
      </c>
      <c r="D2010" s="624" t="s">
        <v>6640</v>
      </c>
      <c r="E2010" s="624">
        <v>4501</v>
      </c>
      <c r="F2010" s="643">
        <v>0</v>
      </c>
      <c r="G2010" s="643">
        <v>0</v>
      </c>
      <c r="H2010" s="26">
        <v>0</v>
      </c>
      <c r="I2010" s="26">
        <f t="shared" ref="I2010:I2018" si="213">(F2010+G2010+H2010)/3</f>
        <v>0</v>
      </c>
      <c r="J2010" s="1340" t="e">
        <f t="shared" si="209"/>
        <v>#DIV/0!</v>
      </c>
      <c r="K2010" s="1339">
        <f t="shared" si="210"/>
        <v>0</v>
      </c>
    </row>
    <row r="2011" spans="1:11" ht="15" x14ac:dyDescent="0.25">
      <c r="A2011" s="1341"/>
      <c r="B2011" s="624">
        <v>177100</v>
      </c>
      <c r="C2011" s="1344">
        <v>331903400000000</v>
      </c>
      <c r="D2011" s="624" t="s">
        <v>5503</v>
      </c>
      <c r="E2011" s="624">
        <v>4501</v>
      </c>
      <c r="F2011" s="643">
        <v>0</v>
      </c>
      <c r="G2011" s="643">
        <v>0</v>
      </c>
      <c r="H2011" s="26">
        <v>0</v>
      </c>
      <c r="I2011" s="26">
        <f t="shared" si="213"/>
        <v>0</v>
      </c>
      <c r="J2011" s="1340" t="e">
        <f t="shared" si="209"/>
        <v>#DIV/0!</v>
      </c>
      <c r="K2011" s="1339">
        <f t="shared" si="210"/>
        <v>0</v>
      </c>
    </row>
    <row r="2012" spans="1:11" ht="15" x14ac:dyDescent="0.25">
      <c r="A2012" s="1341"/>
      <c r="B2012" s="624">
        <v>177200</v>
      </c>
      <c r="C2012" s="1344">
        <v>333903000000000</v>
      </c>
      <c r="D2012" s="624" t="s">
        <v>5383</v>
      </c>
      <c r="E2012" s="624">
        <v>4501</v>
      </c>
      <c r="F2012" s="643">
        <v>0</v>
      </c>
      <c r="G2012" s="643">
        <v>0</v>
      </c>
      <c r="H2012" s="26">
        <v>0</v>
      </c>
      <c r="I2012" s="26">
        <f t="shared" si="213"/>
        <v>0</v>
      </c>
      <c r="J2012" s="1340" t="e">
        <f t="shared" si="209"/>
        <v>#DIV/0!</v>
      </c>
      <c r="K2012" s="1339">
        <f t="shared" si="210"/>
        <v>0</v>
      </c>
    </row>
    <row r="2013" spans="1:11" ht="15" x14ac:dyDescent="0.25">
      <c r="A2013" s="1341"/>
      <c r="B2013" s="624">
        <v>177300</v>
      </c>
      <c r="C2013" s="1344">
        <v>333903600000000</v>
      </c>
      <c r="D2013" s="624" t="s">
        <v>5505</v>
      </c>
      <c r="E2013" s="624">
        <v>4501</v>
      </c>
      <c r="F2013" s="643">
        <v>0</v>
      </c>
      <c r="G2013" s="643">
        <v>0</v>
      </c>
      <c r="H2013" s="26">
        <v>0</v>
      </c>
      <c r="I2013" s="26">
        <f t="shared" si="213"/>
        <v>0</v>
      </c>
      <c r="J2013" s="1340" t="e">
        <f t="shared" si="209"/>
        <v>#DIV/0!</v>
      </c>
      <c r="K2013" s="1339">
        <f t="shared" si="210"/>
        <v>0</v>
      </c>
    </row>
    <row r="2014" spans="1:11" ht="15" x14ac:dyDescent="0.25">
      <c r="A2014" s="1341"/>
      <c r="B2014" s="624">
        <v>177400</v>
      </c>
      <c r="C2014" s="1344">
        <v>333903900000000</v>
      </c>
      <c r="D2014" s="624" t="s">
        <v>5506</v>
      </c>
      <c r="E2014" s="624">
        <v>4501</v>
      </c>
      <c r="F2014" s="643">
        <v>0</v>
      </c>
      <c r="G2014" s="643">
        <v>0</v>
      </c>
      <c r="H2014" s="26">
        <v>0</v>
      </c>
      <c r="I2014" s="26">
        <f t="shared" si="213"/>
        <v>0</v>
      </c>
      <c r="J2014" s="1340" t="e">
        <f t="shared" si="209"/>
        <v>#DIV/0!</v>
      </c>
      <c r="K2014" s="1339">
        <f t="shared" si="210"/>
        <v>0</v>
      </c>
    </row>
    <row r="2015" spans="1:11" ht="15" x14ac:dyDescent="0.25">
      <c r="A2015" s="1341"/>
      <c r="B2015" s="624">
        <v>177500</v>
      </c>
      <c r="C2015" s="1344">
        <v>333903900000000</v>
      </c>
      <c r="D2015" s="624" t="s">
        <v>6641</v>
      </c>
      <c r="E2015" s="624">
        <v>4501</v>
      </c>
      <c r="F2015" s="643">
        <v>0</v>
      </c>
      <c r="G2015" s="643">
        <v>0</v>
      </c>
      <c r="H2015" s="26">
        <v>0</v>
      </c>
      <c r="I2015" s="26">
        <f t="shared" si="213"/>
        <v>0</v>
      </c>
      <c r="J2015" s="1340" t="e">
        <f t="shared" si="209"/>
        <v>#DIV/0!</v>
      </c>
      <c r="K2015" s="1339">
        <f t="shared" si="210"/>
        <v>0</v>
      </c>
    </row>
    <row r="2016" spans="1:11" ht="15" x14ac:dyDescent="0.25">
      <c r="A2016" s="1341"/>
      <c r="B2016" s="624">
        <v>177600</v>
      </c>
      <c r="C2016" s="1344">
        <v>333904700000000</v>
      </c>
      <c r="D2016" s="624" t="s">
        <v>6641</v>
      </c>
      <c r="E2016" s="624">
        <v>4501</v>
      </c>
      <c r="F2016" s="643">
        <v>0</v>
      </c>
      <c r="G2016" s="643">
        <v>0</v>
      </c>
      <c r="H2016" s="26">
        <v>0</v>
      </c>
      <c r="I2016" s="26">
        <f t="shared" si="213"/>
        <v>0</v>
      </c>
      <c r="J2016" s="1340" t="e">
        <f t="shared" si="209"/>
        <v>#DIV/0!</v>
      </c>
      <c r="K2016" s="1339">
        <f t="shared" si="210"/>
        <v>0</v>
      </c>
    </row>
    <row r="2017" spans="1:11" ht="15" x14ac:dyDescent="0.25">
      <c r="A2017" s="1341"/>
      <c r="B2017" s="624">
        <v>177700</v>
      </c>
      <c r="C2017" s="1344">
        <v>344905100000000</v>
      </c>
      <c r="D2017" s="624" t="s">
        <v>5394</v>
      </c>
      <c r="E2017" s="624">
        <v>4501</v>
      </c>
      <c r="F2017" s="643">
        <v>0</v>
      </c>
      <c r="G2017" s="643">
        <v>0</v>
      </c>
      <c r="H2017" s="26">
        <v>0</v>
      </c>
      <c r="I2017" s="26">
        <f t="shared" si="213"/>
        <v>0</v>
      </c>
      <c r="J2017" s="1340" t="e">
        <f t="shared" si="209"/>
        <v>#DIV/0!</v>
      </c>
      <c r="K2017" s="1339">
        <f t="shared" si="210"/>
        <v>0</v>
      </c>
    </row>
    <row r="2018" spans="1:11" ht="15" x14ac:dyDescent="0.25">
      <c r="A2018" s="1341"/>
      <c r="B2018" s="624">
        <v>177800</v>
      </c>
      <c r="C2018" s="1344">
        <v>344905200000000</v>
      </c>
      <c r="D2018" s="624" t="s">
        <v>6555</v>
      </c>
      <c r="E2018" s="624">
        <v>4501</v>
      </c>
      <c r="F2018" s="643">
        <v>0</v>
      </c>
      <c r="G2018" s="643">
        <v>0</v>
      </c>
      <c r="H2018" s="26">
        <v>0</v>
      </c>
      <c r="I2018" s="26">
        <f t="shared" si="213"/>
        <v>0</v>
      </c>
      <c r="J2018" s="1340" t="e">
        <f t="shared" si="209"/>
        <v>#DIV/0!</v>
      </c>
      <c r="K2018" s="1339">
        <f t="shared" si="210"/>
        <v>0</v>
      </c>
    </row>
    <row r="2019" spans="1:11" s="12" customFormat="1" ht="15" x14ac:dyDescent="0.25">
      <c r="A2019" s="1081"/>
      <c r="B2019" s="570" t="s">
        <v>2965</v>
      </c>
      <c r="C2019" s="1345">
        <v>43</v>
      </c>
      <c r="D2019" s="570" t="s">
        <v>5498</v>
      </c>
      <c r="E2019" s="570"/>
      <c r="F2019" s="642">
        <f>SUM(F2020:F2021)</f>
        <v>37115.94</v>
      </c>
      <c r="G2019" s="642">
        <f>SUM(G2020:G2021)</f>
        <v>25998.17</v>
      </c>
      <c r="H2019" s="642">
        <f>SUM(H2020:H2021)</f>
        <v>0</v>
      </c>
      <c r="I2019" s="642">
        <f>SUM(I2020:I2021)</f>
        <v>21038.036666666667</v>
      </c>
      <c r="J2019" s="1338">
        <f t="shared" si="209"/>
        <v>0.7004583475455558</v>
      </c>
      <c r="K2019" s="1337">
        <f t="shared" si="210"/>
        <v>6.2721922987165071E-2</v>
      </c>
    </row>
    <row r="2020" spans="1:11" ht="15" x14ac:dyDescent="0.25">
      <c r="A2020" s="1341"/>
      <c r="B2020" s="624">
        <v>179000</v>
      </c>
      <c r="C2020" s="1344">
        <v>333903000000000</v>
      </c>
      <c r="D2020" s="624" t="s">
        <v>5428</v>
      </c>
      <c r="E2020" s="624">
        <v>4503</v>
      </c>
      <c r="F2020" s="643">
        <v>10344.77</v>
      </c>
      <c r="G2020" s="643">
        <v>636.28</v>
      </c>
      <c r="H2020" s="26">
        <v>0</v>
      </c>
      <c r="I2020" s="26">
        <f>(F2020+G2020+H2020)/3</f>
        <v>3660.3500000000004</v>
      </c>
      <c r="J2020" s="1340">
        <f t="shared" ref="J2020:J2053" si="214">(G2020/F2020)+(H2020/G2020)/2</f>
        <v>6.1507409057910419E-2</v>
      </c>
      <c r="K2020" s="1339">
        <f t="shared" ref="K2020:K2053" si="215">I2020/I$2053</f>
        <v>1.0912814462854805E-2</v>
      </c>
    </row>
    <row r="2021" spans="1:11" ht="15" x14ac:dyDescent="0.25">
      <c r="A2021" s="1341"/>
      <c r="B2021" s="624">
        <v>179100</v>
      </c>
      <c r="C2021" s="1344">
        <v>333903200000000</v>
      </c>
      <c r="D2021" s="624" t="s">
        <v>5476</v>
      </c>
      <c r="E2021" s="624">
        <v>4503</v>
      </c>
      <c r="F2021" s="643">
        <v>26771.17</v>
      </c>
      <c r="G2021" s="643">
        <v>25361.89</v>
      </c>
      <c r="H2021" s="26">
        <v>0</v>
      </c>
      <c r="I2021" s="26">
        <f>(F2021+G2021+H2021)/3</f>
        <v>17377.686666666665</v>
      </c>
      <c r="J2021" s="1340">
        <f t="shared" si="214"/>
        <v>0.94735829625675683</v>
      </c>
      <c r="K2021" s="1339">
        <f t="shared" si="215"/>
        <v>5.1809108524310261E-2</v>
      </c>
    </row>
    <row r="2022" spans="1:11" s="12" customFormat="1" ht="15" x14ac:dyDescent="0.25">
      <c r="A2022" s="1081"/>
      <c r="B2022" s="570" t="s">
        <v>2965</v>
      </c>
      <c r="C2022" s="1345">
        <v>44</v>
      </c>
      <c r="D2022" s="570" t="s">
        <v>7366</v>
      </c>
      <c r="E2022" s="570"/>
      <c r="F2022" s="642">
        <f>SUM(F2023:F2029)</f>
        <v>0</v>
      </c>
      <c r="G2022" s="642">
        <f>SUM(G2023:G2029)</f>
        <v>0</v>
      </c>
      <c r="H2022" s="642">
        <f>SUM(H2023:H2029)</f>
        <v>0</v>
      </c>
      <c r="I2022" s="642">
        <f>SUM(I2023:I2029)</f>
        <v>0</v>
      </c>
      <c r="J2022" s="1338" t="e">
        <f t="shared" si="214"/>
        <v>#DIV/0!</v>
      </c>
      <c r="K2022" s="1337">
        <f t="shared" si="215"/>
        <v>0</v>
      </c>
    </row>
    <row r="2023" spans="1:11" ht="15" x14ac:dyDescent="0.25">
      <c r="A2023" s="1341"/>
      <c r="B2023" s="624">
        <v>173000</v>
      </c>
      <c r="C2023" s="1344">
        <v>333901400000000</v>
      </c>
      <c r="D2023" s="624" t="s">
        <v>7365</v>
      </c>
      <c r="E2023" s="624">
        <v>4504</v>
      </c>
      <c r="F2023" s="643">
        <v>0</v>
      </c>
      <c r="G2023" s="643">
        <v>0</v>
      </c>
      <c r="H2023" s="26">
        <v>0</v>
      </c>
      <c r="I2023" s="26">
        <f t="shared" ref="I2023:I2029" si="216">(F2023+G2023+H2023)/3</f>
        <v>0</v>
      </c>
      <c r="J2023" s="1340" t="e">
        <f t="shared" si="214"/>
        <v>#DIV/0!</v>
      </c>
      <c r="K2023" s="1339">
        <f t="shared" si="215"/>
        <v>0</v>
      </c>
    </row>
    <row r="2024" spans="1:11" ht="15" x14ac:dyDescent="0.25">
      <c r="A2024" s="1341"/>
      <c r="B2024" s="624">
        <v>173100</v>
      </c>
      <c r="C2024" s="1344">
        <v>333903000000000</v>
      </c>
      <c r="D2024" s="624" t="s">
        <v>5279</v>
      </c>
      <c r="E2024" s="624">
        <v>4504</v>
      </c>
      <c r="F2024" s="643">
        <v>0</v>
      </c>
      <c r="G2024" s="643">
        <v>0</v>
      </c>
      <c r="H2024" s="26">
        <v>0</v>
      </c>
      <c r="I2024" s="26">
        <f t="shared" si="216"/>
        <v>0</v>
      </c>
      <c r="J2024" s="1340" t="e">
        <f t="shared" si="214"/>
        <v>#DIV/0!</v>
      </c>
      <c r="K2024" s="1339">
        <f t="shared" si="215"/>
        <v>0</v>
      </c>
    </row>
    <row r="2025" spans="1:11" ht="15" x14ac:dyDescent="0.25">
      <c r="A2025" s="1341"/>
      <c r="B2025" s="624">
        <v>173200</v>
      </c>
      <c r="C2025" s="1344">
        <v>333903600000000</v>
      </c>
      <c r="D2025" s="624" t="s">
        <v>6474</v>
      </c>
      <c r="E2025" s="624">
        <v>4504</v>
      </c>
      <c r="F2025" s="643">
        <v>0</v>
      </c>
      <c r="G2025" s="643">
        <v>0</v>
      </c>
      <c r="H2025" s="26">
        <v>0</v>
      </c>
      <c r="I2025" s="26">
        <f t="shared" si="216"/>
        <v>0</v>
      </c>
      <c r="J2025" s="1340" t="e">
        <f t="shared" si="214"/>
        <v>#DIV/0!</v>
      </c>
      <c r="K2025" s="1339">
        <f t="shared" si="215"/>
        <v>0</v>
      </c>
    </row>
    <row r="2026" spans="1:11" ht="15" x14ac:dyDescent="0.25">
      <c r="A2026" s="1341"/>
      <c r="B2026" s="624">
        <v>173300</v>
      </c>
      <c r="C2026" s="1344">
        <v>333903900000000</v>
      </c>
      <c r="D2026" s="624" t="s">
        <v>6475</v>
      </c>
      <c r="E2026" s="624">
        <v>4504</v>
      </c>
      <c r="F2026" s="643">
        <v>0</v>
      </c>
      <c r="G2026" s="643">
        <v>0</v>
      </c>
      <c r="H2026" s="26">
        <v>0</v>
      </c>
      <c r="I2026" s="26">
        <f t="shared" si="216"/>
        <v>0</v>
      </c>
      <c r="J2026" s="1340" t="e">
        <f t="shared" si="214"/>
        <v>#DIV/0!</v>
      </c>
      <c r="K2026" s="1339">
        <f t="shared" si="215"/>
        <v>0</v>
      </c>
    </row>
    <row r="2027" spans="1:11" ht="15" x14ac:dyDescent="0.25">
      <c r="A2027" s="1341"/>
      <c r="B2027" s="624">
        <v>173400</v>
      </c>
      <c r="C2027" s="1344">
        <v>333904700000000</v>
      </c>
      <c r="D2027" s="624" t="s">
        <v>7364</v>
      </c>
      <c r="E2027" s="624">
        <v>4504</v>
      </c>
      <c r="F2027" s="643">
        <v>0</v>
      </c>
      <c r="G2027" s="643">
        <v>0</v>
      </c>
      <c r="H2027" s="26">
        <v>0</v>
      </c>
      <c r="I2027" s="26">
        <f t="shared" si="216"/>
        <v>0</v>
      </c>
      <c r="J2027" s="1340" t="e">
        <f t="shared" si="214"/>
        <v>#DIV/0!</v>
      </c>
      <c r="K2027" s="1339">
        <f t="shared" si="215"/>
        <v>0</v>
      </c>
    </row>
    <row r="2028" spans="1:11" ht="15" x14ac:dyDescent="0.25">
      <c r="A2028" s="1341"/>
      <c r="B2028" s="624">
        <v>173500</v>
      </c>
      <c r="C2028" s="1344">
        <v>344905100000000</v>
      </c>
      <c r="D2028" s="624" t="s">
        <v>5270</v>
      </c>
      <c r="E2028" s="624">
        <v>4504</v>
      </c>
      <c r="F2028" s="643">
        <v>0</v>
      </c>
      <c r="G2028" s="643">
        <v>0</v>
      </c>
      <c r="H2028" s="26">
        <v>0</v>
      </c>
      <c r="I2028" s="26">
        <f t="shared" si="216"/>
        <v>0</v>
      </c>
      <c r="J2028" s="1340" t="e">
        <f t="shared" si="214"/>
        <v>#DIV/0!</v>
      </c>
      <c r="K2028" s="1339">
        <f t="shared" si="215"/>
        <v>0</v>
      </c>
    </row>
    <row r="2029" spans="1:11" ht="15" x14ac:dyDescent="0.25">
      <c r="A2029" s="1341"/>
      <c r="B2029" s="624">
        <v>173600</v>
      </c>
      <c r="C2029" s="1344">
        <v>344905200000000</v>
      </c>
      <c r="D2029" s="624" t="s">
        <v>7363</v>
      </c>
      <c r="E2029" s="624">
        <v>4504</v>
      </c>
      <c r="F2029" s="643">
        <v>0</v>
      </c>
      <c r="G2029" s="643">
        <v>0</v>
      </c>
      <c r="H2029" s="26">
        <v>0</v>
      </c>
      <c r="I2029" s="26">
        <f t="shared" si="216"/>
        <v>0</v>
      </c>
      <c r="J2029" s="1340" t="e">
        <f t="shared" si="214"/>
        <v>#DIV/0!</v>
      </c>
      <c r="K2029" s="1339">
        <f t="shared" si="215"/>
        <v>0</v>
      </c>
    </row>
    <row r="2030" spans="1:11" s="12" customFormat="1" ht="15" x14ac:dyDescent="0.25">
      <c r="A2030" s="1081"/>
      <c r="B2030" s="570" t="s">
        <v>2965</v>
      </c>
      <c r="C2030" s="1345">
        <v>46</v>
      </c>
      <c r="D2030" s="570" t="s">
        <v>5499</v>
      </c>
      <c r="E2030" s="570"/>
      <c r="F2030" s="642">
        <f>SUM(F2031:F2052)</f>
        <v>17015.59</v>
      </c>
      <c r="G2030" s="642">
        <f>SUM(G2031:G2052)</f>
        <v>77853.42</v>
      </c>
      <c r="H2030" s="642">
        <f>SUM(H2031:H2052)</f>
        <v>0</v>
      </c>
      <c r="I2030" s="642">
        <f>SUM(I2031:I2052)</f>
        <v>31623.00333333333</v>
      </c>
      <c r="J2030" s="1338">
        <f t="shared" si="214"/>
        <v>4.575417014631876</v>
      </c>
      <c r="K2030" s="1337">
        <f t="shared" si="215"/>
        <v>9.4279500084665568E-2</v>
      </c>
    </row>
    <row r="2031" spans="1:11" ht="15" x14ac:dyDescent="0.25">
      <c r="A2031" s="1341"/>
      <c r="B2031" s="624">
        <v>181000</v>
      </c>
      <c r="C2031" s="1344">
        <v>331900400000000</v>
      </c>
      <c r="D2031" s="624" t="s">
        <v>5397</v>
      </c>
      <c r="E2031" s="624">
        <v>4502</v>
      </c>
      <c r="F2031" s="643">
        <v>0</v>
      </c>
      <c r="G2031" s="643">
        <v>0</v>
      </c>
      <c r="H2031" s="26">
        <v>0</v>
      </c>
      <c r="I2031" s="26">
        <f t="shared" ref="I2031:I2052" si="217">(F2031+G2031+H2031)/3</f>
        <v>0</v>
      </c>
      <c r="J2031" s="1340" t="e">
        <f t="shared" si="214"/>
        <v>#DIV/0!</v>
      </c>
      <c r="K2031" s="1339">
        <f t="shared" si="215"/>
        <v>0</v>
      </c>
    </row>
    <row r="2032" spans="1:11" ht="15" x14ac:dyDescent="0.25">
      <c r="A2032" s="1341"/>
      <c r="B2032" s="624">
        <v>181100</v>
      </c>
      <c r="C2032" s="1344">
        <v>331900800000000</v>
      </c>
      <c r="D2032" s="624" t="s">
        <v>7362</v>
      </c>
      <c r="E2032" s="624">
        <v>1</v>
      </c>
      <c r="F2032" s="643">
        <v>0</v>
      </c>
      <c r="G2032" s="643">
        <v>0</v>
      </c>
      <c r="H2032" s="26">
        <v>0</v>
      </c>
      <c r="I2032" s="26">
        <f t="shared" si="217"/>
        <v>0</v>
      </c>
      <c r="J2032" s="1340" t="e">
        <f t="shared" si="214"/>
        <v>#DIV/0!</v>
      </c>
      <c r="K2032" s="1339">
        <f t="shared" si="215"/>
        <v>0</v>
      </c>
    </row>
    <row r="2033" spans="1:11" ht="15" x14ac:dyDescent="0.25">
      <c r="A2033" s="1341"/>
      <c r="B2033" s="624">
        <v>181200</v>
      </c>
      <c r="C2033" s="1344">
        <v>331901100000000</v>
      </c>
      <c r="D2033" s="624" t="s">
        <v>6643</v>
      </c>
      <c r="E2033" s="624">
        <v>4502</v>
      </c>
      <c r="F2033" s="643">
        <v>0</v>
      </c>
      <c r="G2033" s="643">
        <v>0</v>
      </c>
      <c r="H2033" s="26">
        <v>0</v>
      </c>
      <c r="I2033" s="26">
        <f t="shared" si="217"/>
        <v>0</v>
      </c>
      <c r="J2033" s="1340" t="e">
        <f t="shared" si="214"/>
        <v>#DIV/0!</v>
      </c>
      <c r="K2033" s="1339">
        <f t="shared" si="215"/>
        <v>0</v>
      </c>
    </row>
    <row r="2034" spans="1:11" ht="15" x14ac:dyDescent="0.25">
      <c r="A2034" s="1341"/>
      <c r="B2034" s="624">
        <v>181300</v>
      </c>
      <c r="C2034" s="1344">
        <v>331901300000000</v>
      </c>
      <c r="D2034" s="624" t="s">
        <v>5400</v>
      </c>
      <c r="E2034" s="624">
        <v>4502</v>
      </c>
      <c r="F2034" s="643">
        <v>0</v>
      </c>
      <c r="G2034" s="643">
        <v>0</v>
      </c>
      <c r="H2034" s="26">
        <v>0</v>
      </c>
      <c r="I2034" s="26">
        <f t="shared" si="217"/>
        <v>0</v>
      </c>
      <c r="J2034" s="1340" t="e">
        <f t="shared" si="214"/>
        <v>#DIV/0!</v>
      </c>
      <c r="K2034" s="1339">
        <f t="shared" si="215"/>
        <v>0</v>
      </c>
    </row>
    <row r="2035" spans="1:11" ht="15" x14ac:dyDescent="0.25">
      <c r="A2035" s="1341"/>
      <c r="B2035" s="624">
        <v>181400</v>
      </c>
      <c r="C2035" s="1344">
        <v>331901600000000</v>
      </c>
      <c r="D2035" s="624" t="s">
        <v>5401</v>
      </c>
      <c r="E2035" s="624">
        <v>4502</v>
      </c>
      <c r="F2035" s="643">
        <v>0</v>
      </c>
      <c r="G2035" s="643">
        <v>0</v>
      </c>
      <c r="H2035" s="26">
        <v>0</v>
      </c>
      <c r="I2035" s="26">
        <f t="shared" si="217"/>
        <v>0</v>
      </c>
      <c r="J2035" s="1340" t="e">
        <f t="shared" si="214"/>
        <v>#DIV/0!</v>
      </c>
      <c r="K2035" s="1339">
        <f t="shared" si="215"/>
        <v>0</v>
      </c>
    </row>
    <row r="2036" spans="1:11" ht="15" x14ac:dyDescent="0.25">
      <c r="A2036" s="1341"/>
      <c r="B2036" s="624">
        <v>181500</v>
      </c>
      <c r="C2036" s="1344">
        <v>331903400000000</v>
      </c>
      <c r="D2036" s="624" t="s">
        <v>6644</v>
      </c>
      <c r="E2036" s="624">
        <v>4502</v>
      </c>
      <c r="F2036" s="643">
        <v>0</v>
      </c>
      <c r="G2036" s="643">
        <v>0</v>
      </c>
      <c r="H2036" s="26">
        <v>0</v>
      </c>
      <c r="I2036" s="26">
        <f t="shared" si="217"/>
        <v>0</v>
      </c>
      <c r="J2036" s="1340" t="e">
        <f t="shared" si="214"/>
        <v>#DIV/0!</v>
      </c>
      <c r="K2036" s="1339">
        <f t="shared" si="215"/>
        <v>0</v>
      </c>
    </row>
    <row r="2037" spans="1:11" s="12" customFormat="1" ht="15" x14ac:dyDescent="0.25">
      <c r="A2037" s="1341"/>
      <c r="B2037" s="624">
        <v>181600</v>
      </c>
      <c r="C2037" s="1344">
        <v>331909400000000</v>
      </c>
      <c r="D2037" s="624" t="s">
        <v>5403</v>
      </c>
      <c r="E2037" s="624">
        <v>4502</v>
      </c>
      <c r="F2037" s="643">
        <v>0</v>
      </c>
      <c r="G2037" s="643">
        <v>0</v>
      </c>
      <c r="H2037" s="26">
        <v>0</v>
      </c>
      <c r="I2037" s="26">
        <f t="shared" si="217"/>
        <v>0</v>
      </c>
      <c r="J2037" s="1340" t="e">
        <f t="shared" si="214"/>
        <v>#DIV/0!</v>
      </c>
      <c r="K2037" s="1339">
        <f t="shared" si="215"/>
        <v>0</v>
      </c>
    </row>
    <row r="2038" spans="1:11" ht="15" x14ac:dyDescent="0.25">
      <c r="A2038" s="1341"/>
      <c r="B2038" s="624">
        <v>181700</v>
      </c>
      <c r="C2038" s="1344">
        <v>333901400000000</v>
      </c>
      <c r="D2038" s="624" t="s">
        <v>7361</v>
      </c>
      <c r="E2038" s="624">
        <v>4502</v>
      </c>
      <c r="F2038" s="643">
        <v>1120</v>
      </c>
      <c r="G2038" s="643">
        <v>1130</v>
      </c>
      <c r="H2038" s="26">
        <v>0</v>
      </c>
      <c r="I2038" s="26">
        <f t="shared" si="217"/>
        <v>750</v>
      </c>
      <c r="J2038" s="1340">
        <f t="shared" si="214"/>
        <v>1.0089285714285714</v>
      </c>
      <c r="K2038" s="1339">
        <f t="shared" si="215"/>
        <v>2.2360186449768746E-3</v>
      </c>
    </row>
    <row r="2039" spans="1:11" ht="15" x14ac:dyDescent="0.25">
      <c r="A2039" s="1341"/>
      <c r="B2039" s="624">
        <v>181800</v>
      </c>
      <c r="C2039" s="1344">
        <v>333903000000000</v>
      </c>
      <c r="D2039" s="624" t="s">
        <v>5405</v>
      </c>
      <c r="E2039" s="624">
        <v>4502</v>
      </c>
      <c r="F2039" s="643">
        <v>12751.55</v>
      </c>
      <c r="G2039" s="643">
        <v>18637.79</v>
      </c>
      <c r="H2039" s="26">
        <v>0</v>
      </c>
      <c r="I2039" s="26">
        <f t="shared" si="217"/>
        <v>10463.113333333333</v>
      </c>
      <c r="J2039" s="1340">
        <f t="shared" si="214"/>
        <v>1.4616097650873816</v>
      </c>
      <c r="K2039" s="1339">
        <f t="shared" si="215"/>
        <v>3.1194288663785957E-2</v>
      </c>
    </row>
    <row r="2040" spans="1:11" ht="15" x14ac:dyDescent="0.25">
      <c r="A2040" s="1341"/>
      <c r="B2040" s="624">
        <v>181900</v>
      </c>
      <c r="C2040" s="1344">
        <v>333903200000000</v>
      </c>
      <c r="D2040" s="624" t="s">
        <v>5477</v>
      </c>
      <c r="E2040" s="624">
        <v>4502</v>
      </c>
      <c r="F2040" s="643">
        <v>0</v>
      </c>
      <c r="G2040" s="643">
        <v>0</v>
      </c>
      <c r="H2040" s="26">
        <v>0</v>
      </c>
      <c r="I2040" s="26">
        <f t="shared" si="217"/>
        <v>0</v>
      </c>
      <c r="J2040" s="1340" t="e">
        <f t="shared" si="214"/>
        <v>#DIV/0!</v>
      </c>
      <c r="K2040" s="1339">
        <f t="shared" si="215"/>
        <v>0</v>
      </c>
    </row>
    <row r="2041" spans="1:11" ht="15" x14ac:dyDescent="0.25">
      <c r="A2041" s="1341"/>
      <c r="B2041" s="624">
        <v>182000</v>
      </c>
      <c r="C2041" s="1344">
        <v>333903300000000</v>
      </c>
      <c r="D2041" s="624" t="s">
        <v>5406</v>
      </c>
      <c r="E2041" s="624">
        <v>4502</v>
      </c>
      <c r="F2041" s="643">
        <v>0</v>
      </c>
      <c r="G2041" s="643">
        <v>0</v>
      </c>
      <c r="H2041" s="26">
        <v>0</v>
      </c>
      <c r="I2041" s="26">
        <f t="shared" si="217"/>
        <v>0</v>
      </c>
      <c r="J2041" s="1340" t="e">
        <f t="shared" si="214"/>
        <v>#DIV/0!</v>
      </c>
      <c r="K2041" s="1339">
        <f t="shared" si="215"/>
        <v>0</v>
      </c>
    </row>
    <row r="2042" spans="1:11" ht="15" x14ac:dyDescent="0.25">
      <c r="A2042" s="1341"/>
      <c r="B2042" s="624">
        <v>182100</v>
      </c>
      <c r="C2042" s="1344">
        <v>333903500000000</v>
      </c>
      <c r="D2042" s="624" t="s">
        <v>5407</v>
      </c>
      <c r="E2042" s="624">
        <v>4502</v>
      </c>
      <c r="F2042" s="643">
        <v>0</v>
      </c>
      <c r="G2042" s="643">
        <v>0</v>
      </c>
      <c r="H2042" s="26">
        <v>0</v>
      </c>
      <c r="I2042" s="26">
        <f t="shared" si="217"/>
        <v>0</v>
      </c>
      <c r="J2042" s="1340" t="e">
        <f t="shared" si="214"/>
        <v>#DIV/0!</v>
      </c>
      <c r="K2042" s="1339">
        <f t="shared" si="215"/>
        <v>0</v>
      </c>
    </row>
    <row r="2043" spans="1:11" ht="15" x14ac:dyDescent="0.25">
      <c r="A2043" s="1341"/>
      <c r="B2043" s="624">
        <v>182200</v>
      </c>
      <c r="C2043" s="1344">
        <v>333903600000000</v>
      </c>
      <c r="D2043" s="624" t="s">
        <v>5408</v>
      </c>
      <c r="E2043" s="624">
        <v>4502</v>
      </c>
      <c r="F2043" s="643">
        <v>0</v>
      </c>
      <c r="G2043" s="643">
        <v>0</v>
      </c>
      <c r="H2043" s="26">
        <v>0</v>
      </c>
      <c r="I2043" s="26">
        <f t="shared" si="217"/>
        <v>0</v>
      </c>
      <c r="J2043" s="1340" t="e">
        <f t="shared" si="214"/>
        <v>#DIV/0!</v>
      </c>
      <c r="K2043" s="1339">
        <f t="shared" si="215"/>
        <v>0</v>
      </c>
    </row>
    <row r="2044" spans="1:11" ht="15" x14ac:dyDescent="0.25">
      <c r="A2044" s="1341"/>
      <c r="B2044" s="624">
        <v>182300</v>
      </c>
      <c r="C2044" s="1344">
        <v>333903900000000</v>
      </c>
      <c r="D2044" s="624" t="s">
        <v>5409</v>
      </c>
      <c r="E2044" s="624">
        <v>4502</v>
      </c>
      <c r="F2044" s="643">
        <v>2827.04</v>
      </c>
      <c r="G2044" s="643">
        <v>2949.16</v>
      </c>
      <c r="H2044" s="26">
        <v>0</v>
      </c>
      <c r="I2044" s="26">
        <f t="shared" si="217"/>
        <v>1925.3999999999999</v>
      </c>
      <c r="J2044" s="1340">
        <f t="shared" si="214"/>
        <v>1.043197124908031</v>
      </c>
      <c r="K2044" s="1339">
        <f t="shared" si="215"/>
        <v>5.7403070653846318E-3</v>
      </c>
    </row>
    <row r="2045" spans="1:11" ht="15" x14ac:dyDescent="0.25">
      <c r="A2045" s="1341"/>
      <c r="B2045" s="624">
        <v>182400</v>
      </c>
      <c r="C2045" s="1344">
        <v>333904600000000</v>
      </c>
      <c r="D2045" s="624" t="s">
        <v>5410</v>
      </c>
      <c r="E2045" s="624">
        <v>4502</v>
      </c>
      <c r="F2045" s="643">
        <v>0</v>
      </c>
      <c r="G2045" s="643">
        <v>0</v>
      </c>
      <c r="H2045" s="26">
        <v>0</v>
      </c>
      <c r="I2045" s="26">
        <f t="shared" si="217"/>
        <v>0</v>
      </c>
      <c r="J2045" s="1340" t="e">
        <f t="shared" si="214"/>
        <v>#DIV/0!</v>
      </c>
      <c r="K2045" s="1339">
        <f t="shared" si="215"/>
        <v>0</v>
      </c>
    </row>
    <row r="2046" spans="1:11" ht="15" x14ac:dyDescent="0.25">
      <c r="A2046" s="1341"/>
      <c r="B2046" s="624">
        <v>182500</v>
      </c>
      <c r="C2046" s="1344">
        <v>333904700000000</v>
      </c>
      <c r="D2046" s="624" t="s">
        <v>6642</v>
      </c>
      <c r="E2046" s="624">
        <v>4502</v>
      </c>
      <c r="F2046" s="643">
        <v>317</v>
      </c>
      <c r="G2046" s="643">
        <v>136.47</v>
      </c>
      <c r="H2046" s="26">
        <v>0</v>
      </c>
      <c r="I2046" s="26">
        <f t="shared" si="217"/>
        <v>151.15666666666667</v>
      </c>
      <c r="J2046" s="1340">
        <f t="shared" si="214"/>
        <v>0.43050473186119875</v>
      </c>
      <c r="K2046" s="1339">
        <f t="shared" si="215"/>
        <v>4.5065216663896148E-4</v>
      </c>
    </row>
    <row r="2047" spans="1:11" ht="15" x14ac:dyDescent="0.25">
      <c r="A2047" s="1341"/>
      <c r="B2047" s="624">
        <v>182600</v>
      </c>
      <c r="C2047" s="1344">
        <v>333904900000000</v>
      </c>
      <c r="D2047" s="624" t="s">
        <v>5412</v>
      </c>
      <c r="E2047" s="624">
        <v>4502</v>
      </c>
      <c r="F2047" s="643">
        <v>0</v>
      </c>
      <c r="G2047" s="643">
        <v>0</v>
      </c>
      <c r="H2047" s="26">
        <v>0</v>
      </c>
      <c r="I2047" s="26">
        <f t="shared" si="217"/>
        <v>0</v>
      </c>
      <c r="J2047" s="1340" t="e">
        <f t="shared" si="214"/>
        <v>#DIV/0!</v>
      </c>
      <c r="K2047" s="1339">
        <f t="shared" si="215"/>
        <v>0</v>
      </c>
    </row>
    <row r="2048" spans="1:11" ht="15" x14ac:dyDescent="0.25">
      <c r="A2048" s="1341"/>
      <c r="B2048" s="624">
        <v>182700</v>
      </c>
      <c r="C2048" s="1344">
        <v>333909200000000</v>
      </c>
      <c r="D2048" s="624" t="s">
        <v>5413</v>
      </c>
      <c r="E2048" s="624">
        <v>4502</v>
      </c>
      <c r="F2048" s="643">
        <v>0</v>
      </c>
      <c r="G2048" s="643">
        <v>0</v>
      </c>
      <c r="H2048" s="26">
        <v>0</v>
      </c>
      <c r="I2048" s="26">
        <f t="shared" si="217"/>
        <v>0</v>
      </c>
      <c r="J2048" s="1340" t="e">
        <f t="shared" si="214"/>
        <v>#DIV/0!</v>
      </c>
      <c r="K2048" s="1339">
        <f t="shared" si="215"/>
        <v>0</v>
      </c>
    </row>
    <row r="2049" spans="1:11" ht="15" x14ac:dyDescent="0.25">
      <c r="A2049" s="1341"/>
      <c r="B2049" s="624">
        <v>182800</v>
      </c>
      <c r="C2049" s="1344">
        <v>333909300000000</v>
      </c>
      <c r="D2049" s="624" t="s">
        <v>5414</v>
      </c>
      <c r="E2049" s="624">
        <v>4502</v>
      </c>
      <c r="F2049" s="643">
        <v>0</v>
      </c>
      <c r="G2049" s="643">
        <v>0</v>
      </c>
      <c r="H2049" s="26">
        <v>0</v>
      </c>
      <c r="I2049" s="26">
        <f t="shared" si="217"/>
        <v>0</v>
      </c>
      <c r="J2049" s="1340" t="e">
        <f t="shared" si="214"/>
        <v>#DIV/0!</v>
      </c>
      <c r="K2049" s="1339">
        <f t="shared" si="215"/>
        <v>0</v>
      </c>
    </row>
    <row r="2050" spans="1:11" ht="15" x14ac:dyDescent="0.25">
      <c r="A2050" s="1341"/>
      <c r="B2050" s="624">
        <v>182900</v>
      </c>
      <c r="C2050" s="1344">
        <v>333933000000000</v>
      </c>
      <c r="D2050" s="624" t="s">
        <v>5415</v>
      </c>
      <c r="E2050" s="624">
        <v>4502</v>
      </c>
      <c r="F2050" s="643">
        <v>0</v>
      </c>
      <c r="G2050" s="643">
        <v>0</v>
      </c>
      <c r="H2050" s="26">
        <v>0</v>
      </c>
      <c r="I2050" s="26">
        <f t="shared" si="217"/>
        <v>0</v>
      </c>
      <c r="J2050" s="1340" t="e">
        <f t="shared" si="214"/>
        <v>#DIV/0!</v>
      </c>
      <c r="K2050" s="1339">
        <f t="shared" si="215"/>
        <v>0</v>
      </c>
    </row>
    <row r="2051" spans="1:11" ht="15" x14ac:dyDescent="0.25">
      <c r="A2051" s="1341"/>
      <c r="B2051" s="624">
        <v>183000</v>
      </c>
      <c r="C2051" s="1344">
        <v>344905100000000</v>
      </c>
      <c r="D2051" s="624" t="s">
        <v>5416</v>
      </c>
      <c r="E2051" s="624">
        <v>4502</v>
      </c>
      <c r="F2051" s="643">
        <v>0</v>
      </c>
      <c r="G2051" s="643">
        <v>0</v>
      </c>
      <c r="H2051" s="26">
        <v>0</v>
      </c>
      <c r="I2051" s="26">
        <f t="shared" si="217"/>
        <v>0</v>
      </c>
      <c r="J2051" s="1340" t="e">
        <f t="shared" si="214"/>
        <v>#DIV/0!</v>
      </c>
      <c r="K2051" s="1339">
        <f t="shared" si="215"/>
        <v>0</v>
      </c>
    </row>
    <row r="2052" spans="1:11" ht="15" x14ac:dyDescent="0.25">
      <c r="A2052" s="1341"/>
      <c r="B2052" s="624">
        <v>183100</v>
      </c>
      <c r="C2052" s="1344">
        <v>344905200000000</v>
      </c>
      <c r="D2052" s="624" t="s">
        <v>5417</v>
      </c>
      <c r="E2052" s="624">
        <v>4502</v>
      </c>
      <c r="F2052" s="643">
        <v>0</v>
      </c>
      <c r="G2052" s="643">
        <v>55000</v>
      </c>
      <c r="H2052" s="26">
        <v>0</v>
      </c>
      <c r="I2052" s="26">
        <f t="shared" si="217"/>
        <v>18333.333333333332</v>
      </c>
      <c r="J2052" s="1340" t="e">
        <f t="shared" si="214"/>
        <v>#DIV/0!</v>
      </c>
      <c r="K2052" s="1339">
        <f t="shared" si="215"/>
        <v>5.4658233543879151E-2</v>
      </c>
    </row>
    <row r="2053" spans="1:11" ht="15" x14ac:dyDescent="0.25">
      <c r="B2053" s="1598" t="s">
        <v>1575</v>
      </c>
      <c r="C2053" s="1598"/>
      <c r="D2053" s="1598"/>
      <c r="E2053" s="1598"/>
      <c r="F2053" s="25">
        <f>F1956+F1986+F1993+F2000+F2009+F2019+F2022+F2030</f>
        <v>287891.21000000002</v>
      </c>
      <c r="G2053" s="25">
        <f>G1956+G1986+G1993+G2000+G2009+G2019+G2022+G2030</f>
        <v>718361.58000000007</v>
      </c>
      <c r="H2053" s="25">
        <f>H1956+H1986+H1993+H2000+H2009+H2019+H2022+H2030</f>
        <v>0</v>
      </c>
      <c r="I2053" s="25">
        <f>I1956+I1986+I1993+I2000+I2009+I2019+I2022+I2030</f>
        <v>335417.59666666674</v>
      </c>
      <c r="J2053" s="1338">
        <f t="shared" si="214"/>
        <v>2.4952536063883297</v>
      </c>
      <c r="K2053" s="1337">
        <f t="shared" si="215"/>
        <v>1</v>
      </c>
    </row>
    <row r="2055" spans="1:11" ht="15" x14ac:dyDescent="0.25">
      <c r="B2055" s="616" t="s">
        <v>7360</v>
      </c>
      <c r="G2055" s="15"/>
    </row>
    <row r="2056" spans="1:11" ht="15" x14ac:dyDescent="0.25">
      <c r="B2056" s="616" t="s">
        <v>7359</v>
      </c>
    </row>
    <row r="2057" spans="1:11" ht="45" customHeight="1" x14ac:dyDescent="0.25">
      <c r="B2057" s="1343" t="s">
        <v>2967</v>
      </c>
      <c r="C2057" s="1343" t="s">
        <v>472</v>
      </c>
      <c r="D2057" s="1343" t="s">
        <v>2968</v>
      </c>
      <c r="E2057" s="1343" t="s">
        <v>1403</v>
      </c>
      <c r="F2057" s="1081">
        <v>2017</v>
      </c>
      <c r="G2057" s="1081">
        <f>F2057+1</f>
        <v>2018</v>
      </c>
      <c r="H2057" s="1081">
        <f>G2057+1</f>
        <v>2019</v>
      </c>
      <c r="I2057" s="1082" t="s">
        <v>7336</v>
      </c>
      <c r="J2057" s="1342" t="s">
        <v>7335</v>
      </c>
      <c r="K2057" s="1342" t="s">
        <v>7334</v>
      </c>
    </row>
    <row r="2058" spans="1:11" s="12" customFormat="1" ht="15" x14ac:dyDescent="0.25">
      <c r="A2058" s="1081"/>
      <c r="B2058" s="570" t="s">
        <v>2950</v>
      </c>
      <c r="C2058" s="1345" t="s">
        <v>5540</v>
      </c>
      <c r="D2058" s="570" t="s">
        <v>5541</v>
      </c>
      <c r="E2058" s="570"/>
      <c r="F2058" s="642">
        <f>SUM(F2059:F2070)</f>
        <v>0</v>
      </c>
      <c r="G2058" s="642">
        <f>SUM(G2059:G2070)</f>
        <v>0</v>
      </c>
      <c r="H2058" s="642">
        <f>SUM(H2059:H2070)</f>
        <v>0</v>
      </c>
      <c r="I2058" s="642">
        <f>SUM(I2059:I2070)</f>
        <v>0</v>
      </c>
      <c r="J2058" s="1338" t="e">
        <f t="shared" ref="J2058:J2089" si="218">(G2058/F2058)+(H2058/G2058)/2</f>
        <v>#DIV/0!</v>
      </c>
      <c r="K2058" s="1337">
        <f t="shared" ref="K2058:K2089" si="219">I2058/I$2129</f>
        <v>0</v>
      </c>
    </row>
    <row r="2059" spans="1:11" ht="15" x14ac:dyDescent="0.25">
      <c r="A2059" s="1341"/>
      <c r="B2059" s="624">
        <v>185000</v>
      </c>
      <c r="C2059" s="1344">
        <v>333904700000000</v>
      </c>
      <c r="D2059" s="624" t="s">
        <v>6645</v>
      </c>
      <c r="E2059" s="624">
        <v>1</v>
      </c>
      <c r="F2059" s="643">
        <v>0</v>
      </c>
      <c r="G2059" s="643">
        <v>0</v>
      </c>
      <c r="H2059" s="26">
        <v>0</v>
      </c>
      <c r="I2059" s="26">
        <f t="shared" ref="I2059:I2070" si="220">(F2059+G2059+H2059)/3</f>
        <v>0</v>
      </c>
      <c r="J2059" s="1340" t="e">
        <f t="shared" si="218"/>
        <v>#DIV/0!</v>
      </c>
      <c r="K2059" s="1339">
        <f t="shared" si="219"/>
        <v>0</v>
      </c>
    </row>
    <row r="2060" spans="1:11" ht="15" x14ac:dyDescent="0.25">
      <c r="A2060" s="1341"/>
      <c r="B2060" s="624">
        <v>187000</v>
      </c>
      <c r="C2060" s="1344">
        <v>333904700000000</v>
      </c>
      <c r="D2060" s="624" t="s">
        <v>6648</v>
      </c>
      <c r="E2060" s="624">
        <v>1</v>
      </c>
      <c r="F2060" s="643">
        <v>0</v>
      </c>
      <c r="G2060" s="643">
        <v>0</v>
      </c>
      <c r="H2060" s="26">
        <v>0</v>
      </c>
      <c r="I2060" s="26">
        <f t="shared" si="220"/>
        <v>0</v>
      </c>
      <c r="J2060" s="1340" t="e">
        <f t="shared" si="218"/>
        <v>#DIV/0!</v>
      </c>
      <c r="K2060" s="1339">
        <f t="shared" si="219"/>
        <v>0</v>
      </c>
    </row>
    <row r="2061" spans="1:11" ht="15" x14ac:dyDescent="0.25">
      <c r="A2061" s="1341"/>
      <c r="B2061" s="624">
        <v>185100</v>
      </c>
      <c r="C2061" s="1344">
        <v>344903000000000</v>
      </c>
      <c r="D2061" s="624" t="s">
        <v>3562</v>
      </c>
      <c r="E2061" s="624">
        <v>1</v>
      </c>
      <c r="F2061" s="643">
        <v>0</v>
      </c>
      <c r="G2061" s="643">
        <v>0</v>
      </c>
      <c r="H2061" s="26">
        <v>0</v>
      </c>
      <c r="I2061" s="26">
        <f t="shared" si="220"/>
        <v>0</v>
      </c>
      <c r="J2061" s="1340" t="e">
        <f t="shared" si="218"/>
        <v>#DIV/0!</v>
      </c>
      <c r="K2061" s="1339">
        <f t="shared" si="219"/>
        <v>0</v>
      </c>
    </row>
    <row r="2062" spans="1:11" ht="15" x14ac:dyDescent="0.25">
      <c r="A2062" s="1341"/>
      <c r="B2062" s="624">
        <v>187100</v>
      </c>
      <c r="C2062" s="1344">
        <v>344903000000000</v>
      </c>
      <c r="D2062" s="624" t="s">
        <v>5612</v>
      </c>
      <c r="E2062" s="624">
        <v>1</v>
      </c>
      <c r="F2062" s="643">
        <v>0</v>
      </c>
      <c r="G2062" s="643">
        <v>0</v>
      </c>
      <c r="H2062" s="26">
        <v>0</v>
      </c>
      <c r="I2062" s="26">
        <f t="shared" si="220"/>
        <v>0</v>
      </c>
      <c r="J2062" s="1340" t="e">
        <f t="shared" si="218"/>
        <v>#DIV/0!</v>
      </c>
      <c r="K2062" s="1339">
        <f t="shared" si="219"/>
        <v>0</v>
      </c>
    </row>
    <row r="2063" spans="1:11" ht="15" x14ac:dyDescent="0.25">
      <c r="A2063" s="1341"/>
      <c r="B2063" s="624">
        <v>185200</v>
      </c>
      <c r="C2063" s="1344">
        <v>344903600000000</v>
      </c>
      <c r="D2063" s="624" t="s">
        <v>4161</v>
      </c>
      <c r="E2063" s="624">
        <v>1</v>
      </c>
      <c r="F2063" s="643">
        <v>0</v>
      </c>
      <c r="G2063" s="643">
        <v>0</v>
      </c>
      <c r="H2063" s="26">
        <v>0</v>
      </c>
      <c r="I2063" s="26">
        <f t="shared" si="220"/>
        <v>0</v>
      </c>
      <c r="J2063" s="1340" t="e">
        <f t="shared" si="218"/>
        <v>#DIV/0!</v>
      </c>
      <c r="K2063" s="1339">
        <f t="shared" si="219"/>
        <v>0</v>
      </c>
    </row>
    <row r="2064" spans="1:11" ht="15" x14ac:dyDescent="0.25">
      <c r="A2064" s="1341"/>
      <c r="B2064" s="624">
        <v>187200</v>
      </c>
      <c r="C2064" s="1344">
        <v>344903600000000</v>
      </c>
      <c r="D2064" s="624" t="s">
        <v>5613</v>
      </c>
      <c r="E2064" s="624">
        <v>1</v>
      </c>
      <c r="F2064" s="643">
        <v>0</v>
      </c>
      <c r="G2064" s="643">
        <v>0</v>
      </c>
      <c r="H2064" s="26">
        <v>0</v>
      </c>
      <c r="I2064" s="26">
        <f t="shared" si="220"/>
        <v>0</v>
      </c>
      <c r="J2064" s="1340" t="e">
        <f t="shared" si="218"/>
        <v>#DIV/0!</v>
      </c>
      <c r="K2064" s="1339">
        <f t="shared" si="219"/>
        <v>0</v>
      </c>
    </row>
    <row r="2065" spans="1:11" ht="15" x14ac:dyDescent="0.25">
      <c r="A2065" s="1341"/>
      <c r="B2065" s="624">
        <v>185300</v>
      </c>
      <c r="C2065" s="1344">
        <v>344903900000000</v>
      </c>
      <c r="D2065" s="624" t="s">
        <v>4165</v>
      </c>
      <c r="E2065" s="624">
        <v>1</v>
      </c>
      <c r="F2065" s="643">
        <v>0</v>
      </c>
      <c r="G2065" s="643">
        <v>0</v>
      </c>
      <c r="H2065" s="26">
        <v>0</v>
      </c>
      <c r="I2065" s="26">
        <f t="shared" si="220"/>
        <v>0</v>
      </c>
      <c r="J2065" s="1340" t="e">
        <f t="shared" si="218"/>
        <v>#DIV/0!</v>
      </c>
      <c r="K2065" s="1339">
        <f t="shared" si="219"/>
        <v>0</v>
      </c>
    </row>
    <row r="2066" spans="1:11" ht="15" x14ac:dyDescent="0.25">
      <c r="A2066" s="1341"/>
      <c r="B2066" s="624">
        <v>187300</v>
      </c>
      <c r="C2066" s="1344">
        <v>344903900000000</v>
      </c>
      <c r="D2066" s="624" t="s">
        <v>5614</v>
      </c>
      <c r="E2066" s="624">
        <v>1</v>
      </c>
      <c r="F2066" s="643">
        <v>0</v>
      </c>
      <c r="G2066" s="643">
        <v>0</v>
      </c>
      <c r="H2066" s="26">
        <v>0</v>
      </c>
      <c r="I2066" s="26">
        <f t="shared" si="220"/>
        <v>0</v>
      </c>
      <c r="J2066" s="1340" t="e">
        <f t="shared" si="218"/>
        <v>#DIV/0!</v>
      </c>
      <c r="K2066" s="1339">
        <f t="shared" si="219"/>
        <v>0</v>
      </c>
    </row>
    <row r="2067" spans="1:11" ht="15" x14ac:dyDescent="0.25">
      <c r="A2067" s="1341"/>
      <c r="B2067" s="624">
        <v>185400</v>
      </c>
      <c r="C2067" s="1344">
        <v>344905100000000</v>
      </c>
      <c r="D2067" s="624" t="s">
        <v>4494</v>
      </c>
      <c r="E2067" s="624">
        <v>1</v>
      </c>
      <c r="F2067" s="643">
        <v>0</v>
      </c>
      <c r="G2067" s="643">
        <v>0</v>
      </c>
      <c r="H2067" s="26">
        <v>0</v>
      </c>
      <c r="I2067" s="26">
        <f t="shared" si="220"/>
        <v>0</v>
      </c>
      <c r="J2067" s="1340" t="e">
        <f t="shared" si="218"/>
        <v>#DIV/0!</v>
      </c>
      <c r="K2067" s="1339">
        <f t="shared" si="219"/>
        <v>0</v>
      </c>
    </row>
    <row r="2068" spans="1:11" ht="15" x14ac:dyDescent="0.25">
      <c r="A2068" s="1341"/>
      <c r="B2068" s="624">
        <v>187400</v>
      </c>
      <c r="C2068" s="1344">
        <v>344905100000000</v>
      </c>
      <c r="D2068" s="624" t="s">
        <v>5615</v>
      </c>
      <c r="E2068" s="624">
        <v>1</v>
      </c>
      <c r="F2068" s="643">
        <v>0</v>
      </c>
      <c r="G2068" s="643">
        <v>0</v>
      </c>
      <c r="H2068" s="26">
        <v>0</v>
      </c>
      <c r="I2068" s="26">
        <f t="shared" si="220"/>
        <v>0</v>
      </c>
      <c r="J2068" s="1340" t="e">
        <f t="shared" si="218"/>
        <v>#DIV/0!</v>
      </c>
      <c r="K2068" s="1339">
        <f t="shared" si="219"/>
        <v>0</v>
      </c>
    </row>
    <row r="2069" spans="1:11" ht="15" x14ac:dyDescent="0.25">
      <c r="A2069" s="1341"/>
      <c r="B2069" s="624">
        <v>185500</v>
      </c>
      <c r="C2069" s="1344">
        <v>344905200000000</v>
      </c>
      <c r="D2069" s="624" t="s">
        <v>4494</v>
      </c>
      <c r="E2069" s="624">
        <v>1</v>
      </c>
      <c r="F2069" s="643">
        <v>0</v>
      </c>
      <c r="G2069" s="643">
        <v>0</v>
      </c>
      <c r="H2069" s="26">
        <v>0</v>
      </c>
      <c r="I2069" s="26">
        <f t="shared" si="220"/>
        <v>0</v>
      </c>
      <c r="J2069" s="1340" t="e">
        <f t="shared" si="218"/>
        <v>#DIV/0!</v>
      </c>
      <c r="K2069" s="1339">
        <f t="shared" si="219"/>
        <v>0</v>
      </c>
    </row>
    <row r="2070" spans="1:11" ht="15" x14ac:dyDescent="0.25">
      <c r="A2070" s="1341"/>
      <c r="B2070" s="624">
        <v>187500</v>
      </c>
      <c r="C2070" s="1344">
        <v>344905200000000</v>
      </c>
      <c r="D2070" s="624" t="s">
        <v>6647</v>
      </c>
      <c r="E2070" s="624">
        <v>1</v>
      </c>
      <c r="F2070" s="643">
        <v>0</v>
      </c>
      <c r="G2070" s="643">
        <v>0</v>
      </c>
      <c r="H2070" s="26">
        <v>0</v>
      </c>
      <c r="I2070" s="26">
        <f t="shared" si="220"/>
        <v>0</v>
      </c>
      <c r="J2070" s="1340" t="e">
        <f t="shared" si="218"/>
        <v>#DIV/0!</v>
      </c>
      <c r="K2070" s="1339">
        <f t="shared" si="219"/>
        <v>0</v>
      </c>
    </row>
    <row r="2071" spans="1:11" s="12" customFormat="1" ht="15" x14ac:dyDescent="0.25">
      <c r="A2071" s="1081"/>
      <c r="B2071" s="570" t="s">
        <v>2965</v>
      </c>
      <c r="C2071" s="1345">
        <v>12</v>
      </c>
      <c r="D2071" s="570" t="s">
        <v>5542</v>
      </c>
      <c r="E2071" s="570"/>
      <c r="F2071" s="642">
        <f>SUM(F2072:F2098)</f>
        <v>361368.75000000006</v>
      </c>
      <c r="G2071" s="642">
        <f>SUM(G2072:G2098)</f>
        <v>350950.77000000008</v>
      </c>
      <c r="H2071" s="642">
        <f>SUM(H2072:H2098)</f>
        <v>0</v>
      </c>
      <c r="I2071" s="642">
        <f>SUM(I2072:I2098)</f>
        <v>237439.84000000003</v>
      </c>
      <c r="J2071" s="1338">
        <f t="shared" si="218"/>
        <v>0.97117077777201266</v>
      </c>
      <c r="K2071" s="1337">
        <f t="shared" si="219"/>
        <v>1</v>
      </c>
    </row>
    <row r="2072" spans="1:11" ht="15" x14ac:dyDescent="0.25">
      <c r="A2072" s="1341"/>
      <c r="B2072" s="624">
        <v>189000</v>
      </c>
      <c r="C2072" s="1344">
        <v>331900400000000</v>
      </c>
      <c r="D2072" s="624" t="s">
        <v>6650</v>
      </c>
      <c r="E2072" s="624">
        <v>1</v>
      </c>
      <c r="F2072" s="643">
        <v>24919.88</v>
      </c>
      <c r="G2072" s="643">
        <v>51537.75</v>
      </c>
      <c r="H2072" s="26">
        <v>0</v>
      </c>
      <c r="I2072" s="26">
        <f t="shared" ref="I2072:I2098" si="221">(F2072+G2072+H2072)/3</f>
        <v>25485.876666666667</v>
      </c>
      <c r="J2072" s="1340">
        <f t="shared" si="218"/>
        <v>2.0681379685616461</v>
      </c>
      <c r="K2072" s="1339">
        <f t="shared" si="219"/>
        <v>0.1073361431959635</v>
      </c>
    </row>
    <row r="2073" spans="1:11" ht="15" x14ac:dyDescent="0.25">
      <c r="A2073" s="1341"/>
      <c r="B2073" s="624">
        <v>189100</v>
      </c>
      <c r="C2073" s="1344">
        <v>331900800000000</v>
      </c>
      <c r="D2073" s="624" t="s">
        <v>6649</v>
      </c>
      <c r="E2073" s="624">
        <v>1</v>
      </c>
      <c r="F2073" s="643">
        <v>0</v>
      </c>
      <c r="G2073" s="643">
        <v>0</v>
      </c>
      <c r="H2073" s="26">
        <v>0</v>
      </c>
      <c r="I2073" s="26">
        <f t="shared" si="221"/>
        <v>0</v>
      </c>
      <c r="J2073" s="1340" t="e">
        <f t="shared" si="218"/>
        <v>#DIV/0!</v>
      </c>
      <c r="K2073" s="1339">
        <f t="shared" si="219"/>
        <v>0</v>
      </c>
    </row>
    <row r="2074" spans="1:11" ht="15" x14ac:dyDescent="0.25">
      <c r="A2074" s="1341"/>
      <c r="B2074" s="624">
        <v>189200</v>
      </c>
      <c r="C2074" s="1344">
        <v>331901100000000</v>
      </c>
      <c r="D2074" s="624" t="s">
        <v>7358</v>
      </c>
      <c r="E2074" s="624">
        <v>1</v>
      </c>
      <c r="F2074" s="643">
        <v>189761.22</v>
      </c>
      <c r="G2074" s="643">
        <v>163599.17000000001</v>
      </c>
      <c r="H2074" s="26">
        <v>0</v>
      </c>
      <c r="I2074" s="26">
        <f t="shared" si="221"/>
        <v>117786.79666666668</v>
      </c>
      <c r="J2074" s="1340">
        <f t="shared" si="218"/>
        <v>0.86213173587311476</v>
      </c>
      <c r="K2074" s="1339">
        <f t="shared" si="219"/>
        <v>0.4960700641756946</v>
      </c>
    </row>
    <row r="2075" spans="1:11" ht="15" x14ac:dyDescent="0.25">
      <c r="A2075" s="1341"/>
      <c r="B2075" s="624">
        <v>189300</v>
      </c>
      <c r="C2075" s="1344">
        <v>331901300000000</v>
      </c>
      <c r="D2075" s="624" t="s">
        <v>6652</v>
      </c>
      <c r="E2075" s="624">
        <v>1</v>
      </c>
      <c r="F2075" s="643">
        <v>41571.85</v>
      </c>
      <c r="G2075" s="643">
        <v>36695.86</v>
      </c>
      <c r="H2075" s="26">
        <v>0</v>
      </c>
      <c r="I2075" s="26">
        <f t="shared" si="221"/>
        <v>26089.236666666664</v>
      </c>
      <c r="J2075" s="1340">
        <f t="shared" si="218"/>
        <v>0.88270933335899182</v>
      </c>
      <c r="K2075" s="1339">
        <f t="shared" si="219"/>
        <v>0.10987725002959343</v>
      </c>
    </row>
    <row r="2076" spans="1:11" ht="15" x14ac:dyDescent="0.25">
      <c r="A2076" s="1341"/>
      <c r="B2076" s="624">
        <v>189400</v>
      </c>
      <c r="C2076" s="1344">
        <v>331901600000000</v>
      </c>
      <c r="D2076" s="624" t="s">
        <v>6653</v>
      </c>
      <c r="E2076" s="624">
        <v>1</v>
      </c>
      <c r="F2076" s="643">
        <v>2554.09</v>
      </c>
      <c r="G2076" s="643">
        <v>4668.93</v>
      </c>
      <c r="H2076" s="26">
        <v>0</v>
      </c>
      <c r="I2076" s="26">
        <f t="shared" si="221"/>
        <v>2407.6733333333336</v>
      </c>
      <c r="J2076" s="1340">
        <f t="shared" si="218"/>
        <v>1.8280209389645627</v>
      </c>
      <c r="K2076" s="1339">
        <f t="shared" si="219"/>
        <v>1.0140140480777503E-2</v>
      </c>
    </row>
    <row r="2077" spans="1:11" ht="15" x14ac:dyDescent="0.25">
      <c r="A2077" s="1341"/>
      <c r="B2077" s="624">
        <v>189500</v>
      </c>
      <c r="C2077" s="1344">
        <v>331903400000000</v>
      </c>
      <c r="D2077" s="624" t="s">
        <v>5630</v>
      </c>
      <c r="E2077" s="624">
        <v>1</v>
      </c>
      <c r="F2077" s="643">
        <v>0</v>
      </c>
      <c r="G2077" s="643">
        <v>0</v>
      </c>
      <c r="H2077" s="26">
        <v>0</v>
      </c>
      <c r="I2077" s="26">
        <f t="shared" si="221"/>
        <v>0</v>
      </c>
      <c r="J2077" s="1340" t="e">
        <f t="shared" si="218"/>
        <v>#DIV/0!</v>
      </c>
      <c r="K2077" s="1339">
        <f t="shared" si="219"/>
        <v>0</v>
      </c>
    </row>
    <row r="2078" spans="1:11" ht="15" x14ac:dyDescent="0.25">
      <c r="A2078" s="1341"/>
      <c r="B2078" s="624">
        <v>189600</v>
      </c>
      <c r="C2078" s="1344">
        <v>331909400000000</v>
      </c>
      <c r="D2078" s="624" t="s">
        <v>6654</v>
      </c>
      <c r="E2078" s="624">
        <v>1</v>
      </c>
      <c r="F2078" s="643">
        <v>3689.67</v>
      </c>
      <c r="G2078" s="643">
        <v>5537.88</v>
      </c>
      <c r="H2078" s="26">
        <v>0</v>
      </c>
      <c r="I2078" s="26">
        <f t="shared" si="221"/>
        <v>3075.85</v>
      </c>
      <c r="J2078" s="1340">
        <f t="shared" si="218"/>
        <v>1.500914715950207</v>
      </c>
      <c r="K2078" s="1339">
        <f t="shared" si="219"/>
        <v>1.2954228742741738E-2</v>
      </c>
    </row>
    <row r="2079" spans="1:11" ht="15" x14ac:dyDescent="0.25">
      <c r="A2079" s="1341"/>
      <c r="B2079" s="624">
        <v>189700</v>
      </c>
      <c r="C2079" s="1344">
        <v>333901400000000</v>
      </c>
      <c r="D2079" s="624" t="s">
        <v>5631</v>
      </c>
      <c r="E2079" s="624">
        <v>1</v>
      </c>
      <c r="F2079" s="643">
        <v>6465.7</v>
      </c>
      <c r="G2079" s="643">
        <v>9800</v>
      </c>
      <c r="H2079" s="26">
        <v>0</v>
      </c>
      <c r="I2079" s="26">
        <f t="shared" si="221"/>
        <v>5421.9000000000005</v>
      </c>
      <c r="J2079" s="1340">
        <f t="shared" si="218"/>
        <v>1.5156904898154879</v>
      </c>
      <c r="K2079" s="1339">
        <f t="shared" si="219"/>
        <v>2.2834836815927774E-2</v>
      </c>
    </row>
    <row r="2080" spans="1:11" ht="15" x14ac:dyDescent="0.25">
      <c r="A2080" s="1341"/>
      <c r="B2080" s="624">
        <v>199000</v>
      </c>
      <c r="C2080" s="1344">
        <v>333901400000000</v>
      </c>
      <c r="D2080" s="624" t="s">
        <v>6664</v>
      </c>
      <c r="E2080" s="624">
        <v>1</v>
      </c>
      <c r="F2080" s="643">
        <v>0</v>
      </c>
      <c r="G2080" s="643">
        <v>0</v>
      </c>
      <c r="H2080" s="26">
        <v>0</v>
      </c>
      <c r="I2080" s="26">
        <f t="shared" si="221"/>
        <v>0</v>
      </c>
      <c r="J2080" s="1340" t="e">
        <f t="shared" si="218"/>
        <v>#DIV/0!</v>
      </c>
      <c r="K2080" s="1339">
        <f t="shared" si="219"/>
        <v>0</v>
      </c>
    </row>
    <row r="2081" spans="1:11" ht="15" x14ac:dyDescent="0.25">
      <c r="A2081" s="1341"/>
      <c r="B2081" s="624">
        <v>189800</v>
      </c>
      <c r="C2081" s="1344">
        <v>333903000000000</v>
      </c>
      <c r="D2081" s="624" t="s">
        <v>5632</v>
      </c>
      <c r="E2081" s="624">
        <v>1</v>
      </c>
      <c r="F2081" s="643">
        <v>28660.32</v>
      </c>
      <c r="G2081" s="643">
        <v>23827.62</v>
      </c>
      <c r="H2081" s="26">
        <v>0</v>
      </c>
      <c r="I2081" s="26">
        <f t="shared" si="221"/>
        <v>17495.98</v>
      </c>
      <c r="J2081" s="1340">
        <f t="shared" si="218"/>
        <v>0.83138011020114222</v>
      </c>
      <c r="K2081" s="1339">
        <f t="shared" si="219"/>
        <v>7.3685949249291935E-2</v>
      </c>
    </row>
    <row r="2082" spans="1:11" ht="15" x14ac:dyDescent="0.25">
      <c r="A2082" s="1341"/>
      <c r="B2082" s="624">
        <v>199100</v>
      </c>
      <c r="C2082" s="1344">
        <v>333903000000000</v>
      </c>
      <c r="D2082" s="624" t="s">
        <v>6665</v>
      </c>
      <c r="E2082" s="624">
        <v>1</v>
      </c>
      <c r="F2082" s="643">
        <v>0</v>
      </c>
      <c r="G2082" s="643">
        <v>0</v>
      </c>
      <c r="H2082" s="26">
        <v>0</v>
      </c>
      <c r="I2082" s="26">
        <f t="shared" si="221"/>
        <v>0</v>
      </c>
      <c r="J2082" s="1340" t="e">
        <f t="shared" si="218"/>
        <v>#DIV/0!</v>
      </c>
      <c r="K2082" s="1339">
        <f t="shared" si="219"/>
        <v>0</v>
      </c>
    </row>
    <row r="2083" spans="1:11" ht="15" x14ac:dyDescent="0.25">
      <c r="A2083" s="1341"/>
      <c r="B2083" s="624">
        <v>189900</v>
      </c>
      <c r="C2083" s="1344">
        <v>333903300000000</v>
      </c>
      <c r="D2083" s="624" t="s">
        <v>5633</v>
      </c>
      <c r="E2083" s="624">
        <v>1</v>
      </c>
      <c r="F2083" s="643">
        <v>631.79999999999995</v>
      </c>
      <c r="G2083" s="643">
        <v>292.39999999999998</v>
      </c>
      <c r="H2083" s="26">
        <v>0</v>
      </c>
      <c r="I2083" s="26">
        <f t="shared" si="221"/>
        <v>308.06666666666666</v>
      </c>
      <c r="J2083" s="1340">
        <f t="shared" si="218"/>
        <v>0.46280468502690725</v>
      </c>
      <c r="K2083" s="1339">
        <f t="shared" si="219"/>
        <v>1.2974514583006232E-3</v>
      </c>
    </row>
    <row r="2084" spans="1:11" ht="15" x14ac:dyDescent="0.25">
      <c r="A2084" s="1341"/>
      <c r="B2084" s="624">
        <v>190000</v>
      </c>
      <c r="C2084" s="1344">
        <v>333903500000000</v>
      </c>
      <c r="D2084" s="624" t="s">
        <v>5634</v>
      </c>
      <c r="E2084" s="624">
        <v>1</v>
      </c>
      <c r="F2084" s="643">
        <v>0</v>
      </c>
      <c r="G2084" s="643">
        <v>0</v>
      </c>
      <c r="H2084" s="26">
        <v>0</v>
      </c>
      <c r="I2084" s="26">
        <f t="shared" si="221"/>
        <v>0</v>
      </c>
      <c r="J2084" s="1340" t="e">
        <f t="shared" si="218"/>
        <v>#DIV/0!</v>
      </c>
      <c r="K2084" s="1339">
        <f t="shared" si="219"/>
        <v>0</v>
      </c>
    </row>
    <row r="2085" spans="1:11" ht="15" x14ac:dyDescent="0.25">
      <c r="A2085" s="1341"/>
      <c r="B2085" s="624">
        <v>190100</v>
      </c>
      <c r="C2085" s="1344">
        <v>333903600000000</v>
      </c>
      <c r="D2085" s="624" t="s">
        <v>5635</v>
      </c>
      <c r="E2085" s="624">
        <v>1</v>
      </c>
      <c r="F2085" s="643">
        <v>23875.200000000001</v>
      </c>
      <c r="G2085" s="643">
        <v>16386.02</v>
      </c>
      <c r="H2085" s="26">
        <v>0</v>
      </c>
      <c r="I2085" s="26">
        <f t="shared" si="221"/>
        <v>13420.406666666668</v>
      </c>
      <c r="J2085" s="1340">
        <f t="shared" si="218"/>
        <v>0.68631969575123974</v>
      </c>
      <c r="K2085" s="1339">
        <f t="shared" si="219"/>
        <v>5.6521292579487362E-2</v>
      </c>
    </row>
    <row r="2086" spans="1:11" ht="15" x14ac:dyDescent="0.25">
      <c r="A2086" s="1341"/>
      <c r="B2086" s="624">
        <v>199200</v>
      </c>
      <c r="C2086" s="1344">
        <v>333903600000000</v>
      </c>
      <c r="D2086" s="624" t="s">
        <v>6668</v>
      </c>
      <c r="E2086" s="624">
        <v>1</v>
      </c>
      <c r="F2086" s="643">
        <v>0</v>
      </c>
      <c r="G2086" s="643">
        <v>0</v>
      </c>
      <c r="H2086" s="26">
        <v>0</v>
      </c>
      <c r="I2086" s="26">
        <f t="shared" si="221"/>
        <v>0</v>
      </c>
      <c r="J2086" s="1340" t="e">
        <f t="shared" si="218"/>
        <v>#DIV/0!</v>
      </c>
      <c r="K2086" s="1339">
        <f t="shared" si="219"/>
        <v>0</v>
      </c>
    </row>
    <row r="2087" spans="1:11" ht="15" x14ac:dyDescent="0.25">
      <c r="A2087" s="1341"/>
      <c r="B2087" s="624">
        <v>190200</v>
      </c>
      <c r="C2087" s="1344">
        <v>333903900000000</v>
      </c>
      <c r="D2087" s="624" t="s">
        <v>5636</v>
      </c>
      <c r="E2087" s="624">
        <v>1</v>
      </c>
      <c r="F2087" s="643">
        <v>34910.519999999997</v>
      </c>
      <c r="G2087" s="643">
        <v>33277.730000000003</v>
      </c>
      <c r="H2087" s="26">
        <v>0</v>
      </c>
      <c r="I2087" s="26">
        <f t="shared" si="221"/>
        <v>22729.416666666668</v>
      </c>
      <c r="J2087" s="1340">
        <f t="shared" si="218"/>
        <v>0.95322928446783395</v>
      </c>
      <c r="K2087" s="1339">
        <f t="shared" si="219"/>
        <v>9.5727055184448684E-2</v>
      </c>
    </row>
    <row r="2088" spans="1:11" ht="15" x14ac:dyDescent="0.25">
      <c r="A2088" s="1341"/>
      <c r="B2088" s="624">
        <v>199300</v>
      </c>
      <c r="C2088" s="1344">
        <v>333903900000000</v>
      </c>
      <c r="D2088" s="624" t="s">
        <v>6666</v>
      </c>
      <c r="E2088" s="624">
        <v>1</v>
      </c>
      <c r="F2088" s="643">
        <v>0</v>
      </c>
      <c r="G2088" s="643">
        <v>0</v>
      </c>
      <c r="H2088" s="26">
        <v>0</v>
      </c>
      <c r="I2088" s="26">
        <f t="shared" si="221"/>
        <v>0</v>
      </c>
      <c r="J2088" s="1340" t="e">
        <f t="shared" si="218"/>
        <v>#DIV/0!</v>
      </c>
      <c r="K2088" s="1339">
        <f t="shared" si="219"/>
        <v>0</v>
      </c>
    </row>
    <row r="2089" spans="1:11" ht="15" x14ac:dyDescent="0.25">
      <c r="A2089" s="1341"/>
      <c r="B2089" s="624">
        <v>197000</v>
      </c>
      <c r="C2089" s="1344">
        <v>333904000000000</v>
      </c>
      <c r="D2089" s="624" t="s">
        <v>5643</v>
      </c>
      <c r="E2089" s="624">
        <v>1</v>
      </c>
      <c r="F2089" s="643">
        <v>0</v>
      </c>
      <c r="G2089" s="643">
        <v>0</v>
      </c>
      <c r="H2089" s="26">
        <v>0</v>
      </c>
      <c r="I2089" s="26">
        <f t="shared" si="221"/>
        <v>0</v>
      </c>
      <c r="J2089" s="1340" t="e">
        <f t="shared" si="218"/>
        <v>#DIV/0!</v>
      </c>
      <c r="K2089" s="1339">
        <f t="shared" si="219"/>
        <v>0</v>
      </c>
    </row>
    <row r="2090" spans="1:11" ht="15" x14ac:dyDescent="0.25">
      <c r="A2090" s="1341"/>
      <c r="B2090" s="624">
        <v>190300</v>
      </c>
      <c r="C2090" s="1344">
        <v>333904600000000</v>
      </c>
      <c r="D2090" s="624" t="s">
        <v>5637</v>
      </c>
      <c r="E2090" s="624">
        <v>1</v>
      </c>
      <c r="F2090" s="643">
        <v>0</v>
      </c>
      <c r="G2090" s="643">
        <v>0</v>
      </c>
      <c r="H2090" s="26">
        <v>0</v>
      </c>
      <c r="I2090" s="26">
        <f t="shared" si="221"/>
        <v>0</v>
      </c>
      <c r="J2090" s="1340" t="e">
        <f t="shared" ref="J2090:J2121" si="222">(G2090/F2090)+(H2090/G2090)/2</f>
        <v>#DIV/0!</v>
      </c>
      <c r="K2090" s="1339">
        <f t="shared" ref="K2090:K2121" si="223">I2090/I$2129</f>
        <v>0</v>
      </c>
    </row>
    <row r="2091" spans="1:11" ht="15" x14ac:dyDescent="0.25">
      <c r="A2091" s="1341"/>
      <c r="B2091" s="624">
        <v>190400</v>
      </c>
      <c r="C2091" s="1344">
        <v>333904700000000</v>
      </c>
      <c r="D2091" s="624" t="s">
        <v>6655</v>
      </c>
      <c r="E2091" s="624">
        <v>1</v>
      </c>
      <c r="F2091" s="643">
        <v>550</v>
      </c>
      <c r="G2091" s="643">
        <v>689</v>
      </c>
      <c r="H2091" s="26">
        <v>0</v>
      </c>
      <c r="I2091" s="26">
        <f t="shared" si="221"/>
        <v>413</v>
      </c>
      <c r="J2091" s="1340">
        <f t="shared" si="222"/>
        <v>1.2527272727272727</v>
      </c>
      <c r="K2091" s="1339">
        <f t="shared" si="223"/>
        <v>1.7393879645471457E-3</v>
      </c>
    </row>
    <row r="2092" spans="1:11" ht="15" x14ac:dyDescent="0.25">
      <c r="A2092" s="1341"/>
      <c r="B2092" s="624">
        <v>199400</v>
      </c>
      <c r="C2092" s="1344">
        <v>333904700000000</v>
      </c>
      <c r="D2092" s="624" t="s">
        <v>6667</v>
      </c>
      <c r="E2092" s="624">
        <v>1</v>
      </c>
      <c r="F2092" s="643">
        <v>0</v>
      </c>
      <c r="G2092" s="643">
        <v>0</v>
      </c>
      <c r="H2092" s="26">
        <v>0</v>
      </c>
      <c r="I2092" s="26">
        <f t="shared" si="221"/>
        <v>0</v>
      </c>
      <c r="J2092" s="1340" t="e">
        <f t="shared" si="222"/>
        <v>#DIV/0!</v>
      </c>
      <c r="K2092" s="1339">
        <f t="shared" si="223"/>
        <v>0</v>
      </c>
    </row>
    <row r="2093" spans="1:11" ht="15" x14ac:dyDescent="0.25">
      <c r="A2093" s="1341"/>
      <c r="B2093" s="624">
        <v>190500</v>
      </c>
      <c r="C2093" s="1344">
        <v>333904900000000</v>
      </c>
      <c r="D2093" s="624" t="s">
        <v>5638</v>
      </c>
      <c r="E2093" s="624">
        <v>1</v>
      </c>
      <c r="F2093" s="643">
        <v>3006.65</v>
      </c>
      <c r="G2093" s="643">
        <v>2783.36</v>
      </c>
      <c r="H2093" s="26">
        <v>0</v>
      </c>
      <c r="I2093" s="26">
        <f t="shared" si="221"/>
        <v>1930.0033333333333</v>
      </c>
      <c r="J2093" s="1340">
        <f t="shared" si="222"/>
        <v>0.92573462158881148</v>
      </c>
      <c r="K2093" s="1339">
        <f t="shared" si="223"/>
        <v>8.1283887882224529E-3</v>
      </c>
    </row>
    <row r="2094" spans="1:11" ht="15" x14ac:dyDescent="0.25">
      <c r="A2094" s="1341"/>
      <c r="B2094" s="624">
        <v>190600</v>
      </c>
      <c r="C2094" s="1344">
        <v>333909200000000</v>
      </c>
      <c r="D2094" s="624" t="s">
        <v>5639</v>
      </c>
      <c r="E2094" s="624">
        <v>1</v>
      </c>
      <c r="F2094" s="643">
        <v>0</v>
      </c>
      <c r="G2094" s="643">
        <v>34.65</v>
      </c>
      <c r="H2094" s="26">
        <v>0</v>
      </c>
      <c r="I2094" s="26">
        <f t="shared" si="221"/>
        <v>11.549999999999999</v>
      </c>
      <c r="J2094" s="1340" t="e">
        <f t="shared" si="222"/>
        <v>#DIV/0!</v>
      </c>
      <c r="K2094" s="1339">
        <f t="shared" si="223"/>
        <v>4.8643900703437122E-5</v>
      </c>
    </row>
    <row r="2095" spans="1:11" ht="15" x14ac:dyDescent="0.25">
      <c r="A2095" s="1341"/>
      <c r="B2095" s="624">
        <v>190700</v>
      </c>
      <c r="C2095" s="1344">
        <v>333909300000000</v>
      </c>
      <c r="D2095" s="624" t="s">
        <v>5640</v>
      </c>
      <c r="E2095" s="624">
        <v>1</v>
      </c>
      <c r="F2095" s="643">
        <v>771.85</v>
      </c>
      <c r="G2095" s="643">
        <v>1222.4000000000001</v>
      </c>
      <c r="H2095" s="26">
        <v>0</v>
      </c>
      <c r="I2095" s="26">
        <f t="shared" si="221"/>
        <v>664.75</v>
      </c>
      <c r="J2095" s="1340">
        <f t="shared" si="222"/>
        <v>1.5837274081751636</v>
      </c>
      <c r="K2095" s="1339">
        <f t="shared" si="223"/>
        <v>2.7996565361566952E-3</v>
      </c>
    </row>
    <row r="2096" spans="1:11" ht="15" x14ac:dyDescent="0.25">
      <c r="A2096" s="1341"/>
      <c r="B2096" s="624">
        <v>190800</v>
      </c>
      <c r="C2096" s="1344">
        <v>333933000000000</v>
      </c>
      <c r="D2096" s="624" t="s">
        <v>5641</v>
      </c>
      <c r="E2096" s="624">
        <v>1</v>
      </c>
      <c r="F2096" s="643">
        <v>0</v>
      </c>
      <c r="G2096" s="643">
        <v>0</v>
      </c>
      <c r="H2096" s="26">
        <v>0</v>
      </c>
      <c r="I2096" s="26">
        <f t="shared" si="221"/>
        <v>0</v>
      </c>
      <c r="J2096" s="1340" t="e">
        <f t="shared" si="222"/>
        <v>#DIV/0!</v>
      </c>
      <c r="K2096" s="1339">
        <f t="shared" si="223"/>
        <v>0</v>
      </c>
    </row>
    <row r="2097" spans="1:11" ht="15" x14ac:dyDescent="0.25">
      <c r="A2097" s="1341"/>
      <c r="B2097" s="624">
        <v>190900</v>
      </c>
      <c r="C2097" s="1344">
        <v>344905100000000</v>
      </c>
      <c r="D2097" s="624" t="s">
        <v>5642</v>
      </c>
      <c r="E2097" s="624">
        <v>1</v>
      </c>
      <c r="F2097" s="643">
        <v>0</v>
      </c>
      <c r="G2097" s="643">
        <v>0</v>
      </c>
      <c r="H2097" s="26">
        <v>0</v>
      </c>
      <c r="I2097" s="26">
        <f t="shared" si="221"/>
        <v>0</v>
      </c>
      <c r="J2097" s="1340" t="e">
        <f t="shared" si="222"/>
        <v>#DIV/0!</v>
      </c>
      <c r="K2097" s="1339">
        <f t="shared" si="223"/>
        <v>0</v>
      </c>
    </row>
    <row r="2098" spans="1:11" ht="15" x14ac:dyDescent="0.25">
      <c r="A2098" s="1341"/>
      <c r="B2098" s="624">
        <v>191000</v>
      </c>
      <c r="C2098" s="1344">
        <v>344905200000000</v>
      </c>
      <c r="D2098" s="624" t="s">
        <v>5629</v>
      </c>
      <c r="E2098" s="624">
        <v>1</v>
      </c>
      <c r="F2098" s="643">
        <v>0</v>
      </c>
      <c r="G2098" s="643">
        <v>598</v>
      </c>
      <c r="H2098" s="26">
        <v>0</v>
      </c>
      <c r="I2098" s="26">
        <f t="shared" si="221"/>
        <v>199.33333333333334</v>
      </c>
      <c r="J2098" s="1340" t="e">
        <f t="shared" si="222"/>
        <v>#DIV/0!</v>
      </c>
      <c r="K2098" s="1339">
        <f t="shared" si="223"/>
        <v>8.395108981430131E-4</v>
      </c>
    </row>
    <row r="2099" spans="1:11" s="12" customFormat="1" ht="15" x14ac:dyDescent="0.25">
      <c r="A2099" s="1081"/>
      <c r="B2099" s="570" t="s">
        <v>2965</v>
      </c>
      <c r="C2099" s="1345">
        <v>13</v>
      </c>
      <c r="D2099" s="570" t="s">
        <v>5570</v>
      </c>
      <c r="E2099" s="570"/>
      <c r="F2099" s="642">
        <f>SUM(F2100:F2128)</f>
        <v>0</v>
      </c>
      <c r="G2099" s="642">
        <f>SUM(G2100:G2128)</f>
        <v>0</v>
      </c>
      <c r="H2099" s="642">
        <f>SUM(H2100:H2128)</f>
        <v>0</v>
      </c>
      <c r="I2099" s="642">
        <f>SUM(I2100:I2128)</f>
        <v>0</v>
      </c>
      <c r="J2099" s="1338" t="e">
        <f t="shared" si="222"/>
        <v>#DIV/0!</v>
      </c>
      <c r="K2099" s="1337">
        <f t="shared" si="223"/>
        <v>0</v>
      </c>
    </row>
    <row r="2100" spans="1:11" ht="15" x14ac:dyDescent="0.25">
      <c r="A2100" s="1341"/>
      <c r="B2100" s="624">
        <v>193000</v>
      </c>
      <c r="C2100" s="1344">
        <v>331900400000000</v>
      </c>
      <c r="D2100" s="624" t="s">
        <v>6657</v>
      </c>
      <c r="E2100" s="624">
        <v>1</v>
      </c>
      <c r="F2100" s="643">
        <v>0</v>
      </c>
      <c r="G2100" s="643">
        <v>0</v>
      </c>
      <c r="H2100" s="26">
        <v>0</v>
      </c>
      <c r="I2100" s="26">
        <f t="shared" ref="I2100:I2128" si="224">(F2100+G2100+H2100)/3</f>
        <v>0</v>
      </c>
      <c r="J2100" s="1340" t="e">
        <f t="shared" si="222"/>
        <v>#DIV/0!</v>
      </c>
      <c r="K2100" s="1339">
        <f t="shared" si="223"/>
        <v>0</v>
      </c>
    </row>
    <row r="2101" spans="1:11" ht="15" x14ac:dyDescent="0.25">
      <c r="A2101" s="1341"/>
      <c r="B2101" s="624">
        <v>193100</v>
      </c>
      <c r="C2101" s="1344">
        <v>331900800000000</v>
      </c>
      <c r="D2101" s="624" t="s">
        <v>6660</v>
      </c>
      <c r="E2101" s="624">
        <v>1</v>
      </c>
      <c r="F2101" s="643">
        <v>0</v>
      </c>
      <c r="G2101" s="643">
        <v>0</v>
      </c>
      <c r="H2101" s="26">
        <v>0</v>
      </c>
      <c r="I2101" s="26">
        <f t="shared" si="224"/>
        <v>0</v>
      </c>
      <c r="J2101" s="1340" t="e">
        <f t="shared" si="222"/>
        <v>#DIV/0!</v>
      </c>
      <c r="K2101" s="1339">
        <f t="shared" si="223"/>
        <v>0</v>
      </c>
    </row>
    <row r="2102" spans="1:11" ht="15" x14ac:dyDescent="0.25">
      <c r="A2102" s="1341"/>
      <c r="B2102" s="624">
        <v>193200</v>
      </c>
      <c r="C2102" s="1344">
        <v>331901100000000</v>
      </c>
      <c r="D2102" s="624" t="s">
        <v>6661</v>
      </c>
      <c r="E2102" s="624">
        <v>1</v>
      </c>
      <c r="F2102" s="643">
        <v>0</v>
      </c>
      <c r="G2102" s="643">
        <v>0</v>
      </c>
      <c r="H2102" s="26">
        <v>0</v>
      </c>
      <c r="I2102" s="26">
        <f t="shared" si="224"/>
        <v>0</v>
      </c>
      <c r="J2102" s="1340" t="e">
        <f t="shared" si="222"/>
        <v>#DIV/0!</v>
      </c>
      <c r="K2102" s="1339">
        <f t="shared" si="223"/>
        <v>0</v>
      </c>
    </row>
    <row r="2103" spans="1:11" ht="15" x14ac:dyDescent="0.25">
      <c r="A2103" s="1341"/>
      <c r="B2103" s="624">
        <v>193300</v>
      </c>
      <c r="C2103" s="1344">
        <v>331901300000000</v>
      </c>
      <c r="D2103" s="624" t="s">
        <v>5618</v>
      </c>
      <c r="E2103" s="624">
        <v>1</v>
      </c>
      <c r="F2103" s="643">
        <v>0</v>
      </c>
      <c r="G2103" s="643">
        <v>0</v>
      </c>
      <c r="H2103" s="26">
        <v>0</v>
      </c>
      <c r="I2103" s="26">
        <f t="shared" si="224"/>
        <v>0</v>
      </c>
      <c r="J2103" s="1340" t="e">
        <f t="shared" si="222"/>
        <v>#DIV/0!</v>
      </c>
      <c r="K2103" s="1339">
        <f t="shared" si="223"/>
        <v>0</v>
      </c>
    </row>
    <row r="2104" spans="1:11" ht="15" x14ac:dyDescent="0.25">
      <c r="A2104" s="1341"/>
      <c r="B2104" s="624">
        <v>193400</v>
      </c>
      <c r="C2104" s="1344">
        <v>331901600000000</v>
      </c>
      <c r="D2104" s="624" t="s">
        <v>6658</v>
      </c>
      <c r="E2104" s="624">
        <v>1</v>
      </c>
      <c r="F2104" s="643">
        <v>0</v>
      </c>
      <c r="G2104" s="643">
        <v>0</v>
      </c>
      <c r="H2104" s="26">
        <v>0</v>
      </c>
      <c r="I2104" s="26">
        <f t="shared" si="224"/>
        <v>0</v>
      </c>
      <c r="J2104" s="1340" t="e">
        <f t="shared" si="222"/>
        <v>#DIV/0!</v>
      </c>
      <c r="K2104" s="1339">
        <f t="shared" si="223"/>
        <v>0</v>
      </c>
    </row>
    <row r="2105" spans="1:11" ht="15" x14ac:dyDescent="0.25">
      <c r="A2105" s="1341"/>
      <c r="B2105" s="624">
        <v>193500</v>
      </c>
      <c r="C2105" s="1344">
        <v>331903400000000</v>
      </c>
      <c r="D2105" s="624" t="s">
        <v>6662</v>
      </c>
      <c r="E2105" s="624">
        <v>1</v>
      </c>
      <c r="F2105" s="643">
        <v>0</v>
      </c>
      <c r="G2105" s="643">
        <v>0</v>
      </c>
      <c r="H2105" s="26">
        <v>0</v>
      </c>
      <c r="I2105" s="26">
        <f t="shared" si="224"/>
        <v>0</v>
      </c>
      <c r="J2105" s="1340" t="e">
        <f t="shared" si="222"/>
        <v>#DIV/0!</v>
      </c>
      <c r="K2105" s="1339">
        <f t="shared" si="223"/>
        <v>0</v>
      </c>
    </row>
    <row r="2106" spans="1:11" ht="15" x14ac:dyDescent="0.25">
      <c r="A2106" s="1341"/>
      <c r="B2106" s="624">
        <v>193600</v>
      </c>
      <c r="C2106" s="1344">
        <v>331909400000000</v>
      </c>
      <c r="D2106" s="624" t="s">
        <v>6659</v>
      </c>
      <c r="E2106" s="624">
        <v>1</v>
      </c>
      <c r="F2106" s="643">
        <v>0</v>
      </c>
      <c r="G2106" s="643">
        <v>0</v>
      </c>
      <c r="H2106" s="26">
        <v>0</v>
      </c>
      <c r="I2106" s="26">
        <f t="shared" si="224"/>
        <v>0</v>
      </c>
      <c r="J2106" s="1340" t="e">
        <f t="shared" si="222"/>
        <v>#DIV/0!</v>
      </c>
      <c r="K2106" s="1339">
        <f t="shared" si="223"/>
        <v>0</v>
      </c>
    </row>
    <row r="2107" spans="1:11" ht="15" x14ac:dyDescent="0.25">
      <c r="A2107" s="1341"/>
      <c r="B2107" s="624">
        <v>193700</v>
      </c>
      <c r="C2107" s="1344">
        <v>333901400000000</v>
      </c>
      <c r="D2107" s="624" t="s">
        <v>5619</v>
      </c>
      <c r="E2107" s="624">
        <v>1</v>
      </c>
      <c r="F2107" s="643">
        <v>0</v>
      </c>
      <c r="G2107" s="643">
        <v>0</v>
      </c>
      <c r="H2107" s="26">
        <v>0</v>
      </c>
      <c r="I2107" s="26">
        <f t="shared" si="224"/>
        <v>0</v>
      </c>
      <c r="J2107" s="1340" t="e">
        <f t="shared" si="222"/>
        <v>#DIV/0!</v>
      </c>
      <c r="K2107" s="1339">
        <f t="shared" si="223"/>
        <v>0</v>
      </c>
    </row>
    <row r="2108" spans="1:11" ht="15" x14ac:dyDescent="0.25">
      <c r="A2108" s="1341"/>
      <c r="B2108" s="624">
        <v>200000</v>
      </c>
      <c r="C2108" s="1344">
        <v>333901400000000</v>
      </c>
      <c r="D2108" s="624" t="s">
        <v>6669</v>
      </c>
      <c r="E2108" s="624">
        <v>1</v>
      </c>
      <c r="F2108" s="643">
        <v>0</v>
      </c>
      <c r="G2108" s="643">
        <v>0</v>
      </c>
      <c r="H2108" s="26">
        <v>0</v>
      </c>
      <c r="I2108" s="26">
        <f t="shared" si="224"/>
        <v>0</v>
      </c>
      <c r="J2108" s="1340" t="e">
        <f t="shared" si="222"/>
        <v>#DIV/0!</v>
      </c>
      <c r="K2108" s="1339">
        <f t="shared" si="223"/>
        <v>0</v>
      </c>
    </row>
    <row r="2109" spans="1:11" ht="15" x14ac:dyDescent="0.25">
      <c r="A2109" s="1341"/>
      <c r="B2109" s="624">
        <v>193800</v>
      </c>
      <c r="C2109" s="1344">
        <v>333903000000000</v>
      </c>
      <c r="D2109" s="624" t="s">
        <v>5620</v>
      </c>
      <c r="E2109" s="624">
        <v>1</v>
      </c>
      <c r="F2109" s="643">
        <v>0</v>
      </c>
      <c r="G2109" s="643">
        <v>0</v>
      </c>
      <c r="H2109" s="26">
        <v>0</v>
      </c>
      <c r="I2109" s="26">
        <f t="shared" si="224"/>
        <v>0</v>
      </c>
      <c r="J2109" s="1340" t="e">
        <f t="shared" si="222"/>
        <v>#DIV/0!</v>
      </c>
      <c r="K2109" s="1339">
        <f t="shared" si="223"/>
        <v>0</v>
      </c>
    </row>
    <row r="2110" spans="1:11" ht="15" x14ac:dyDescent="0.25">
      <c r="A2110" s="1341"/>
      <c r="B2110" s="624">
        <v>193900</v>
      </c>
      <c r="C2110" s="1344">
        <v>333903200000000</v>
      </c>
      <c r="D2110" s="624" t="s">
        <v>6663</v>
      </c>
      <c r="E2110" s="624">
        <v>1</v>
      </c>
      <c r="F2110" s="643">
        <v>0</v>
      </c>
      <c r="G2110" s="643">
        <v>0</v>
      </c>
      <c r="H2110" s="26">
        <v>0</v>
      </c>
      <c r="I2110" s="26">
        <f t="shared" si="224"/>
        <v>0</v>
      </c>
      <c r="J2110" s="1340" t="e">
        <f t="shared" si="222"/>
        <v>#DIV/0!</v>
      </c>
      <c r="K2110" s="1339">
        <f t="shared" si="223"/>
        <v>0</v>
      </c>
    </row>
    <row r="2111" spans="1:11" ht="15" x14ac:dyDescent="0.25">
      <c r="A2111" s="1341"/>
      <c r="B2111" s="624">
        <v>194000</v>
      </c>
      <c r="C2111" s="1344">
        <v>333903300000000</v>
      </c>
      <c r="D2111" s="624" t="s">
        <v>5621</v>
      </c>
      <c r="E2111" s="624">
        <v>1</v>
      </c>
      <c r="F2111" s="643">
        <v>0</v>
      </c>
      <c r="G2111" s="643">
        <v>0</v>
      </c>
      <c r="H2111" s="26">
        <v>0</v>
      </c>
      <c r="I2111" s="26">
        <f t="shared" si="224"/>
        <v>0</v>
      </c>
      <c r="J2111" s="1340" t="e">
        <f t="shared" si="222"/>
        <v>#DIV/0!</v>
      </c>
      <c r="K2111" s="1339">
        <f t="shared" si="223"/>
        <v>0</v>
      </c>
    </row>
    <row r="2112" spans="1:11" ht="15" x14ac:dyDescent="0.25">
      <c r="A2112" s="1341"/>
      <c r="B2112" s="624">
        <v>200100</v>
      </c>
      <c r="C2112" s="1344">
        <v>333903300000000</v>
      </c>
      <c r="D2112" s="624" t="s">
        <v>6670</v>
      </c>
      <c r="E2112" s="624">
        <v>1</v>
      </c>
      <c r="F2112" s="643">
        <v>0</v>
      </c>
      <c r="G2112" s="643">
        <v>0</v>
      </c>
      <c r="H2112" s="26">
        <v>0</v>
      </c>
      <c r="I2112" s="26">
        <f t="shared" si="224"/>
        <v>0</v>
      </c>
      <c r="J2112" s="1340" t="e">
        <f t="shared" si="222"/>
        <v>#DIV/0!</v>
      </c>
      <c r="K2112" s="1339">
        <f t="shared" si="223"/>
        <v>0</v>
      </c>
    </row>
    <row r="2113" spans="1:11" ht="15" x14ac:dyDescent="0.25">
      <c r="A2113" s="1341"/>
      <c r="B2113" s="624">
        <v>194100</v>
      </c>
      <c r="C2113" s="1344">
        <v>333903500000000</v>
      </c>
      <c r="D2113" s="624" t="s">
        <v>5622</v>
      </c>
      <c r="E2113" s="624">
        <v>1</v>
      </c>
      <c r="F2113" s="643">
        <v>0</v>
      </c>
      <c r="G2113" s="643">
        <v>0</v>
      </c>
      <c r="H2113" s="26">
        <v>0</v>
      </c>
      <c r="I2113" s="26">
        <f t="shared" si="224"/>
        <v>0</v>
      </c>
      <c r="J2113" s="1340" t="e">
        <f t="shared" si="222"/>
        <v>#DIV/0!</v>
      </c>
      <c r="K2113" s="1339">
        <f t="shared" si="223"/>
        <v>0</v>
      </c>
    </row>
    <row r="2114" spans="1:11" ht="15" x14ac:dyDescent="0.25">
      <c r="A2114" s="1341"/>
      <c r="B2114" s="624">
        <v>194200</v>
      </c>
      <c r="C2114" s="1344">
        <v>333903600000000</v>
      </c>
      <c r="D2114" s="624" t="s">
        <v>5613</v>
      </c>
      <c r="E2114" s="624">
        <v>1</v>
      </c>
      <c r="F2114" s="643">
        <v>0</v>
      </c>
      <c r="G2114" s="643">
        <v>0</v>
      </c>
      <c r="H2114" s="26">
        <v>0</v>
      </c>
      <c r="I2114" s="26">
        <f t="shared" si="224"/>
        <v>0</v>
      </c>
      <c r="J2114" s="1340" t="e">
        <f t="shared" si="222"/>
        <v>#DIV/0!</v>
      </c>
      <c r="K2114" s="1339">
        <f t="shared" si="223"/>
        <v>0</v>
      </c>
    </row>
    <row r="2115" spans="1:11" ht="15" x14ac:dyDescent="0.25">
      <c r="A2115" s="1341"/>
      <c r="B2115" s="624">
        <v>200200</v>
      </c>
      <c r="C2115" s="1344">
        <v>333903600000000</v>
      </c>
      <c r="D2115" s="624" t="s">
        <v>6672</v>
      </c>
      <c r="E2115" s="624">
        <v>1</v>
      </c>
      <c r="F2115" s="643">
        <v>0</v>
      </c>
      <c r="G2115" s="643">
        <v>0</v>
      </c>
      <c r="H2115" s="26">
        <v>0</v>
      </c>
      <c r="I2115" s="26">
        <f t="shared" si="224"/>
        <v>0</v>
      </c>
      <c r="J2115" s="1340" t="e">
        <f t="shared" si="222"/>
        <v>#DIV/0!</v>
      </c>
      <c r="K2115" s="1339">
        <f t="shared" si="223"/>
        <v>0</v>
      </c>
    </row>
    <row r="2116" spans="1:11" ht="15" x14ac:dyDescent="0.25">
      <c r="A2116" s="1341"/>
      <c r="B2116" s="624">
        <v>194300</v>
      </c>
      <c r="C2116" s="1344">
        <v>333903900000000</v>
      </c>
      <c r="D2116" s="624" t="s">
        <v>5614</v>
      </c>
      <c r="E2116" s="624">
        <v>1</v>
      </c>
      <c r="F2116" s="643">
        <v>0</v>
      </c>
      <c r="G2116" s="643">
        <v>0</v>
      </c>
      <c r="H2116" s="26">
        <v>0</v>
      </c>
      <c r="I2116" s="26">
        <f t="shared" si="224"/>
        <v>0</v>
      </c>
      <c r="J2116" s="1340" t="e">
        <f t="shared" si="222"/>
        <v>#DIV/0!</v>
      </c>
      <c r="K2116" s="1339">
        <f t="shared" si="223"/>
        <v>0</v>
      </c>
    </row>
    <row r="2117" spans="1:11" ht="15" x14ac:dyDescent="0.25">
      <c r="A2117" s="1341"/>
      <c r="B2117" s="624">
        <v>200300</v>
      </c>
      <c r="C2117" s="1344">
        <v>333903900000000</v>
      </c>
      <c r="D2117" s="624" t="s">
        <v>6671</v>
      </c>
      <c r="E2117" s="624">
        <v>1</v>
      </c>
      <c r="F2117" s="643">
        <v>0</v>
      </c>
      <c r="G2117" s="643">
        <v>0</v>
      </c>
      <c r="H2117" s="26">
        <v>0</v>
      </c>
      <c r="I2117" s="26">
        <f t="shared" si="224"/>
        <v>0</v>
      </c>
      <c r="J2117" s="1340" t="e">
        <f t="shared" si="222"/>
        <v>#DIV/0!</v>
      </c>
      <c r="K2117" s="1339">
        <f t="shared" si="223"/>
        <v>0</v>
      </c>
    </row>
    <row r="2118" spans="1:11" ht="15" x14ac:dyDescent="0.25">
      <c r="A2118" s="1341"/>
      <c r="B2118" s="624">
        <v>198000</v>
      </c>
      <c r="C2118" s="1344">
        <v>333904000000000</v>
      </c>
      <c r="D2118" s="624" t="s">
        <v>5628</v>
      </c>
      <c r="E2118" s="624">
        <v>1</v>
      </c>
      <c r="F2118" s="643">
        <v>0</v>
      </c>
      <c r="G2118" s="643">
        <v>0</v>
      </c>
      <c r="H2118" s="26">
        <v>0</v>
      </c>
      <c r="I2118" s="26">
        <f t="shared" si="224"/>
        <v>0</v>
      </c>
      <c r="J2118" s="1340" t="e">
        <f t="shared" si="222"/>
        <v>#DIV/0!</v>
      </c>
      <c r="K2118" s="1339">
        <f t="shared" si="223"/>
        <v>0</v>
      </c>
    </row>
    <row r="2119" spans="1:11" ht="15" x14ac:dyDescent="0.25">
      <c r="A2119" s="1341"/>
      <c r="B2119" s="624">
        <v>194400</v>
      </c>
      <c r="C2119" s="1344">
        <v>333904600000000</v>
      </c>
      <c r="D2119" s="624" t="s">
        <v>5623</v>
      </c>
      <c r="E2119" s="624">
        <v>1</v>
      </c>
      <c r="F2119" s="643">
        <v>0</v>
      </c>
      <c r="G2119" s="643">
        <v>0</v>
      </c>
      <c r="H2119" s="26">
        <v>0</v>
      </c>
      <c r="I2119" s="26">
        <f t="shared" si="224"/>
        <v>0</v>
      </c>
      <c r="J2119" s="1340" t="e">
        <f t="shared" si="222"/>
        <v>#DIV/0!</v>
      </c>
      <c r="K2119" s="1339">
        <f t="shared" si="223"/>
        <v>0</v>
      </c>
    </row>
    <row r="2120" spans="1:11" ht="15" x14ac:dyDescent="0.25">
      <c r="A2120" s="1341"/>
      <c r="B2120" s="624">
        <v>194500</v>
      </c>
      <c r="C2120" s="1344">
        <v>333904700000000</v>
      </c>
      <c r="D2120" s="624" t="s">
        <v>6648</v>
      </c>
      <c r="E2120" s="624">
        <v>1</v>
      </c>
      <c r="F2120" s="643">
        <v>0</v>
      </c>
      <c r="G2120" s="643">
        <v>0</v>
      </c>
      <c r="H2120" s="26">
        <v>0</v>
      </c>
      <c r="I2120" s="26">
        <f t="shared" si="224"/>
        <v>0</v>
      </c>
      <c r="J2120" s="1340" t="e">
        <f t="shared" si="222"/>
        <v>#DIV/0!</v>
      </c>
      <c r="K2120" s="1339">
        <f t="shared" si="223"/>
        <v>0</v>
      </c>
    </row>
    <row r="2121" spans="1:11" ht="15" x14ac:dyDescent="0.25">
      <c r="A2121" s="1341"/>
      <c r="B2121" s="624">
        <v>200400</v>
      </c>
      <c r="C2121" s="1344">
        <v>333904700000000</v>
      </c>
      <c r="D2121" s="624" t="s">
        <v>6673</v>
      </c>
      <c r="E2121" s="624">
        <v>1</v>
      </c>
      <c r="F2121" s="643">
        <v>0</v>
      </c>
      <c r="G2121" s="643">
        <v>0</v>
      </c>
      <c r="H2121" s="26">
        <v>0</v>
      </c>
      <c r="I2121" s="26">
        <f t="shared" si="224"/>
        <v>0</v>
      </c>
      <c r="J2121" s="1340" t="e">
        <f t="shared" si="222"/>
        <v>#DIV/0!</v>
      </c>
      <c r="K2121" s="1339">
        <f t="shared" si="223"/>
        <v>0</v>
      </c>
    </row>
    <row r="2122" spans="1:11" ht="15" x14ac:dyDescent="0.25">
      <c r="A2122" s="1341"/>
      <c r="B2122" s="624">
        <v>194600</v>
      </c>
      <c r="C2122" s="1344">
        <v>333904900000000</v>
      </c>
      <c r="D2122" s="624" t="s">
        <v>5624</v>
      </c>
      <c r="E2122" s="624">
        <v>1</v>
      </c>
      <c r="F2122" s="643">
        <v>0</v>
      </c>
      <c r="G2122" s="643">
        <v>0</v>
      </c>
      <c r="H2122" s="26">
        <v>0</v>
      </c>
      <c r="I2122" s="26">
        <f t="shared" si="224"/>
        <v>0</v>
      </c>
      <c r="J2122" s="1340" t="e">
        <f t="shared" ref="J2122:J2129" si="225">(G2122/F2122)+(H2122/G2122)/2</f>
        <v>#DIV/0!</v>
      </c>
      <c r="K2122" s="1339">
        <f t="shared" ref="K2122:K2129" si="226">I2122/I$2129</f>
        <v>0</v>
      </c>
    </row>
    <row r="2123" spans="1:11" ht="15" x14ac:dyDescent="0.25">
      <c r="A2123" s="1341"/>
      <c r="B2123" s="624">
        <v>194700</v>
      </c>
      <c r="C2123" s="1344">
        <v>333909200000000</v>
      </c>
      <c r="D2123" s="624" t="s">
        <v>5625</v>
      </c>
      <c r="E2123" s="624">
        <v>1</v>
      </c>
      <c r="F2123" s="643">
        <v>0</v>
      </c>
      <c r="G2123" s="643">
        <v>0</v>
      </c>
      <c r="H2123" s="26">
        <v>0</v>
      </c>
      <c r="I2123" s="26">
        <f t="shared" si="224"/>
        <v>0</v>
      </c>
      <c r="J2123" s="1340" t="e">
        <f t="shared" si="225"/>
        <v>#DIV/0!</v>
      </c>
      <c r="K2123" s="1339">
        <f t="shared" si="226"/>
        <v>0</v>
      </c>
    </row>
    <row r="2124" spans="1:11" ht="15" x14ac:dyDescent="0.25">
      <c r="A2124" s="1341"/>
      <c r="B2124" s="624">
        <v>194800</v>
      </c>
      <c r="C2124" s="1344">
        <v>333909300000000</v>
      </c>
      <c r="D2124" s="624" t="s">
        <v>5626</v>
      </c>
      <c r="E2124" s="624">
        <v>1</v>
      </c>
      <c r="F2124" s="643">
        <v>0</v>
      </c>
      <c r="G2124" s="643">
        <v>0</v>
      </c>
      <c r="H2124" s="26">
        <v>0</v>
      </c>
      <c r="I2124" s="26">
        <f t="shared" si="224"/>
        <v>0</v>
      </c>
      <c r="J2124" s="1340" t="e">
        <f t="shared" si="225"/>
        <v>#DIV/0!</v>
      </c>
      <c r="K2124" s="1339">
        <f t="shared" si="226"/>
        <v>0</v>
      </c>
    </row>
    <row r="2125" spans="1:11" ht="15" x14ac:dyDescent="0.25">
      <c r="A2125" s="1341"/>
      <c r="B2125" s="624">
        <v>194900</v>
      </c>
      <c r="C2125" s="1344">
        <v>333933000000000</v>
      </c>
      <c r="D2125" s="624" t="s">
        <v>5627</v>
      </c>
      <c r="E2125" s="624">
        <v>1</v>
      </c>
      <c r="F2125" s="643">
        <v>0</v>
      </c>
      <c r="G2125" s="643">
        <v>0</v>
      </c>
      <c r="H2125" s="26">
        <v>0</v>
      </c>
      <c r="I2125" s="26">
        <f t="shared" si="224"/>
        <v>0</v>
      </c>
      <c r="J2125" s="1340" t="e">
        <f t="shared" si="225"/>
        <v>#DIV/0!</v>
      </c>
      <c r="K2125" s="1339">
        <f t="shared" si="226"/>
        <v>0</v>
      </c>
    </row>
    <row r="2126" spans="1:11" ht="15" x14ac:dyDescent="0.25">
      <c r="A2126" s="1341"/>
      <c r="B2126" s="624">
        <v>195000</v>
      </c>
      <c r="C2126" s="1344">
        <v>344905100000000</v>
      </c>
      <c r="D2126" s="624" t="s">
        <v>5615</v>
      </c>
      <c r="E2126" s="624">
        <v>1</v>
      </c>
      <c r="F2126" s="643">
        <v>0</v>
      </c>
      <c r="G2126" s="643">
        <v>0</v>
      </c>
      <c r="H2126" s="26">
        <v>0</v>
      </c>
      <c r="I2126" s="26">
        <f t="shared" si="224"/>
        <v>0</v>
      </c>
      <c r="J2126" s="1340" t="e">
        <f t="shared" si="225"/>
        <v>#DIV/0!</v>
      </c>
      <c r="K2126" s="1339">
        <f t="shared" si="226"/>
        <v>0</v>
      </c>
    </row>
    <row r="2127" spans="1:11" ht="15" x14ac:dyDescent="0.25">
      <c r="A2127" s="1341"/>
      <c r="B2127" s="624">
        <v>195100</v>
      </c>
      <c r="C2127" s="1344">
        <v>344905200000000</v>
      </c>
      <c r="D2127" s="624" t="s">
        <v>6647</v>
      </c>
      <c r="E2127" s="624">
        <v>1</v>
      </c>
      <c r="F2127" s="643">
        <v>0</v>
      </c>
      <c r="G2127" s="643">
        <v>0</v>
      </c>
      <c r="H2127" s="26">
        <v>0</v>
      </c>
      <c r="I2127" s="26">
        <f t="shared" si="224"/>
        <v>0</v>
      </c>
      <c r="J2127" s="1340" t="e">
        <f t="shared" si="225"/>
        <v>#DIV/0!</v>
      </c>
      <c r="K2127" s="1339">
        <f t="shared" si="226"/>
        <v>0</v>
      </c>
    </row>
    <row r="2128" spans="1:11" ht="15" x14ac:dyDescent="0.25">
      <c r="A2128" s="1341"/>
      <c r="B2128" s="624">
        <v>195200</v>
      </c>
      <c r="C2128" s="1344">
        <v>344915200000000</v>
      </c>
      <c r="D2128" s="624" t="s">
        <v>6656</v>
      </c>
      <c r="E2128" s="624">
        <v>1</v>
      </c>
      <c r="F2128" s="643">
        <v>0</v>
      </c>
      <c r="G2128" s="643">
        <v>0</v>
      </c>
      <c r="H2128" s="26">
        <v>0</v>
      </c>
      <c r="I2128" s="26">
        <f t="shared" si="224"/>
        <v>0</v>
      </c>
      <c r="J2128" s="1340" t="e">
        <f t="shared" si="225"/>
        <v>#DIV/0!</v>
      </c>
      <c r="K2128" s="1339">
        <f t="shared" si="226"/>
        <v>0</v>
      </c>
    </row>
    <row r="2129" spans="1:11" ht="15" x14ac:dyDescent="0.25">
      <c r="B2129" s="1598" t="s">
        <v>1575</v>
      </c>
      <c r="C2129" s="1598"/>
      <c r="D2129" s="1598"/>
      <c r="E2129" s="1598"/>
      <c r="F2129" s="25">
        <f>F2058+F2071+F2099</f>
        <v>361368.75000000006</v>
      </c>
      <c r="G2129" s="25">
        <f>G2058+G2071+G2099</f>
        <v>350950.77000000008</v>
      </c>
      <c r="H2129" s="25">
        <f>H2058+H2071+H2099</f>
        <v>0</v>
      </c>
      <c r="I2129" s="25">
        <f>I2058+I2071+I2099</f>
        <v>237439.84000000003</v>
      </c>
      <c r="J2129" s="1338">
        <f t="shared" si="225"/>
        <v>0.97117077777201266</v>
      </c>
      <c r="K2129" s="1337">
        <f t="shared" si="226"/>
        <v>1</v>
      </c>
    </row>
    <row r="2131" spans="1:11" ht="15" x14ac:dyDescent="0.25">
      <c r="B2131" s="616" t="s">
        <v>7357</v>
      </c>
    </row>
    <row r="2132" spans="1:11" ht="45" customHeight="1" x14ac:dyDescent="0.25">
      <c r="B2132" s="1343" t="s">
        <v>2967</v>
      </c>
      <c r="C2132" s="1343" t="s">
        <v>472</v>
      </c>
      <c r="D2132" s="1343" t="s">
        <v>2968</v>
      </c>
      <c r="E2132" s="1343" t="s">
        <v>1403</v>
      </c>
      <c r="F2132" s="1081">
        <v>2017</v>
      </c>
      <c r="G2132" s="1081">
        <f>F2132+1</f>
        <v>2018</v>
      </c>
      <c r="H2132" s="1081">
        <f>G2132+1</f>
        <v>2019</v>
      </c>
      <c r="I2132" s="1082" t="s">
        <v>7336</v>
      </c>
      <c r="J2132" s="1342" t="s">
        <v>7335</v>
      </c>
      <c r="K2132" s="1342" t="s">
        <v>7334</v>
      </c>
    </row>
    <row r="2133" spans="1:11" s="12" customFormat="1" ht="15" x14ac:dyDescent="0.25">
      <c r="A2133" s="1081"/>
      <c r="B2133" s="570" t="s">
        <v>2965</v>
      </c>
      <c r="C2133" s="1345">
        <v>13</v>
      </c>
      <c r="D2133" s="570" t="s">
        <v>5570</v>
      </c>
      <c r="E2133" s="570"/>
      <c r="F2133" s="642">
        <f>SUM(F2134:F2163)</f>
        <v>52055.5</v>
      </c>
      <c r="G2133" s="642">
        <f>SUM(G2134:G2163)</f>
        <v>60420</v>
      </c>
      <c r="H2133" s="642">
        <f>SUM(H2134:H2163)</f>
        <v>0</v>
      </c>
      <c r="I2133" s="642">
        <f>SUM(I2134:I2163)</f>
        <v>37491.833333333328</v>
      </c>
      <c r="J2133" s="1338">
        <f t="shared" ref="J2133:J2175" si="227">(G2133/F2133)+(H2133/G2133)/2</f>
        <v>1.1606842696737136</v>
      </c>
      <c r="K2133" s="1337">
        <f t="shared" ref="K2133:K2175" si="228">I2133/I$2175</f>
        <v>0.67300884807485906</v>
      </c>
    </row>
    <row r="2134" spans="1:11" ht="15" x14ac:dyDescent="0.25">
      <c r="A2134" s="1341"/>
      <c r="B2134" s="624">
        <v>203000</v>
      </c>
      <c r="C2134" s="1344">
        <v>333504300000000</v>
      </c>
      <c r="D2134" s="624" t="s">
        <v>5548</v>
      </c>
      <c r="E2134" s="624">
        <v>1</v>
      </c>
      <c r="F2134" s="643">
        <v>0</v>
      </c>
      <c r="G2134" s="643">
        <v>0</v>
      </c>
      <c r="H2134" s="26">
        <v>0</v>
      </c>
      <c r="I2134" s="26">
        <f t="shared" ref="I2134:I2163" si="229">(F2134+G2134+H2134)/3</f>
        <v>0</v>
      </c>
      <c r="J2134" s="1340" t="e">
        <f t="shared" si="227"/>
        <v>#DIV/0!</v>
      </c>
      <c r="K2134" s="1339">
        <f t="shared" si="228"/>
        <v>0</v>
      </c>
    </row>
    <row r="2135" spans="1:11" ht="15" x14ac:dyDescent="0.25">
      <c r="A2135" s="1341"/>
      <c r="B2135" s="624">
        <v>205000</v>
      </c>
      <c r="C2135" s="1344">
        <v>333504300000000</v>
      </c>
      <c r="D2135" s="624" t="s">
        <v>7356</v>
      </c>
      <c r="E2135" s="624">
        <v>1</v>
      </c>
      <c r="F2135" s="643">
        <v>32800</v>
      </c>
      <c r="G2135" s="643">
        <v>46020</v>
      </c>
      <c r="H2135" s="26">
        <v>0</v>
      </c>
      <c r="I2135" s="26">
        <f t="shared" si="229"/>
        <v>26273.333333333332</v>
      </c>
      <c r="J2135" s="1340">
        <f t="shared" si="227"/>
        <v>1.4030487804878049</v>
      </c>
      <c r="K2135" s="1339">
        <f t="shared" si="228"/>
        <v>0.47162766473819095</v>
      </c>
    </row>
    <row r="2136" spans="1:11" ht="15" x14ac:dyDescent="0.25">
      <c r="A2136" s="1341"/>
      <c r="B2136" s="624">
        <v>202000</v>
      </c>
      <c r="C2136" s="1344">
        <v>333900800000000</v>
      </c>
      <c r="D2136" s="624" t="s">
        <v>5574</v>
      </c>
      <c r="E2136" s="624">
        <v>1</v>
      </c>
      <c r="F2136" s="643">
        <v>0</v>
      </c>
      <c r="G2136" s="643">
        <v>0</v>
      </c>
      <c r="H2136" s="26">
        <v>0</v>
      </c>
      <c r="I2136" s="26">
        <f t="shared" si="229"/>
        <v>0</v>
      </c>
      <c r="J2136" s="1340" t="e">
        <f t="shared" si="227"/>
        <v>#DIV/0!</v>
      </c>
      <c r="K2136" s="1339">
        <f t="shared" si="228"/>
        <v>0</v>
      </c>
    </row>
    <row r="2137" spans="1:11" ht="15" x14ac:dyDescent="0.25">
      <c r="A2137" s="1341"/>
      <c r="B2137" s="624">
        <v>203100</v>
      </c>
      <c r="C2137" s="1344">
        <v>333900800000000</v>
      </c>
      <c r="D2137" s="624" t="s">
        <v>5549</v>
      </c>
      <c r="E2137" s="624">
        <v>1</v>
      </c>
      <c r="F2137" s="643">
        <v>0</v>
      </c>
      <c r="G2137" s="643">
        <v>0</v>
      </c>
      <c r="H2137" s="26">
        <v>0</v>
      </c>
      <c r="I2137" s="26">
        <f t="shared" si="229"/>
        <v>0</v>
      </c>
      <c r="J2137" s="1340" t="e">
        <f t="shared" si="227"/>
        <v>#DIV/0!</v>
      </c>
      <c r="K2137" s="1339">
        <f t="shared" si="228"/>
        <v>0</v>
      </c>
    </row>
    <row r="2138" spans="1:11" ht="15" x14ac:dyDescent="0.25">
      <c r="A2138" s="1341"/>
      <c r="B2138" s="624">
        <v>205100</v>
      </c>
      <c r="C2138" s="1344">
        <v>333900800000000</v>
      </c>
      <c r="D2138" s="624" t="s">
        <v>5550</v>
      </c>
      <c r="E2138" s="624">
        <v>1</v>
      </c>
      <c r="F2138" s="643">
        <v>0</v>
      </c>
      <c r="G2138" s="643">
        <v>0</v>
      </c>
      <c r="H2138" s="26">
        <v>0</v>
      </c>
      <c r="I2138" s="26">
        <f t="shared" si="229"/>
        <v>0</v>
      </c>
      <c r="J2138" s="1340" t="e">
        <f t="shared" si="227"/>
        <v>#DIV/0!</v>
      </c>
      <c r="K2138" s="1339">
        <f t="shared" si="228"/>
        <v>0</v>
      </c>
    </row>
    <row r="2139" spans="1:11" ht="15" x14ac:dyDescent="0.25">
      <c r="A2139" s="1341"/>
      <c r="B2139" s="624">
        <v>202100</v>
      </c>
      <c r="C2139" s="1344">
        <v>333901400000000</v>
      </c>
      <c r="D2139" s="624" t="s">
        <v>6675</v>
      </c>
      <c r="E2139" s="624">
        <v>1</v>
      </c>
      <c r="F2139" s="643">
        <v>0</v>
      </c>
      <c r="G2139" s="643">
        <v>0</v>
      </c>
      <c r="H2139" s="26">
        <v>0</v>
      </c>
      <c r="I2139" s="26">
        <f t="shared" si="229"/>
        <v>0</v>
      </c>
      <c r="J2139" s="1340" t="e">
        <f t="shared" si="227"/>
        <v>#DIV/0!</v>
      </c>
      <c r="K2139" s="1339">
        <f t="shared" si="228"/>
        <v>0</v>
      </c>
    </row>
    <row r="2140" spans="1:11" ht="15" x14ac:dyDescent="0.25">
      <c r="A2140" s="1341"/>
      <c r="B2140" s="624">
        <v>202200</v>
      </c>
      <c r="C2140" s="1344">
        <v>333903000000000</v>
      </c>
      <c r="D2140" s="624" t="s">
        <v>6676</v>
      </c>
      <c r="E2140" s="624">
        <v>1</v>
      </c>
      <c r="F2140" s="643">
        <v>0</v>
      </c>
      <c r="G2140" s="643">
        <v>0</v>
      </c>
      <c r="H2140" s="26">
        <v>0</v>
      </c>
      <c r="I2140" s="26">
        <f t="shared" si="229"/>
        <v>0</v>
      </c>
      <c r="J2140" s="1340" t="e">
        <f t="shared" si="227"/>
        <v>#DIV/0!</v>
      </c>
      <c r="K2140" s="1339">
        <f t="shared" si="228"/>
        <v>0</v>
      </c>
    </row>
    <row r="2141" spans="1:11" ht="15" x14ac:dyDescent="0.25">
      <c r="A2141" s="1341"/>
      <c r="B2141" s="624">
        <v>203200</v>
      </c>
      <c r="C2141" s="1344">
        <v>333903000000000</v>
      </c>
      <c r="D2141" s="624" t="s">
        <v>5551</v>
      </c>
      <c r="E2141" s="624">
        <v>1</v>
      </c>
      <c r="F2141" s="643">
        <v>0</v>
      </c>
      <c r="G2141" s="643">
        <v>0</v>
      </c>
      <c r="H2141" s="26">
        <v>0</v>
      </c>
      <c r="I2141" s="26">
        <f t="shared" si="229"/>
        <v>0</v>
      </c>
      <c r="J2141" s="1340" t="e">
        <f t="shared" si="227"/>
        <v>#DIV/0!</v>
      </c>
      <c r="K2141" s="1339">
        <f t="shared" si="228"/>
        <v>0</v>
      </c>
    </row>
    <row r="2142" spans="1:11" ht="15" x14ac:dyDescent="0.25">
      <c r="A2142" s="1341"/>
      <c r="B2142" s="624">
        <v>205200</v>
      </c>
      <c r="C2142" s="1344">
        <v>333903000000000</v>
      </c>
      <c r="D2142" s="624" t="s">
        <v>5552</v>
      </c>
      <c r="E2142" s="624">
        <v>1</v>
      </c>
      <c r="F2142" s="643">
        <v>0</v>
      </c>
      <c r="G2142" s="643">
        <v>0</v>
      </c>
      <c r="H2142" s="26">
        <v>0</v>
      </c>
      <c r="I2142" s="26">
        <f t="shared" si="229"/>
        <v>0</v>
      </c>
      <c r="J2142" s="1340" t="e">
        <f t="shared" si="227"/>
        <v>#DIV/0!</v>
      </c>
      <c r="K2142" s="1339">
        <f t="shared" si="228"/>
        <v>0</v>
      </c>
    </row>
    <row r="2143" spans="1:11" ht="15" x14ac:dyDescent="0.25">
      <c r="A2143" s="1341"/>
      <c r="B2143" s="624">
        <v>202300</v>
      </c>
      <c r="C2143" s="1344">
        <v>333903200000000</v>
      </c>
      <c r="D2143" s="624" t="s">
        <v>6677</v>
      </c>
      <c r="E2143" s="624">
        <v>1</v>
      </c>
      <c r="F2143" s="643">
        <v>0</v>
      </c>
      <c r="G2143" s="643">
        <v>0</v>
      </c>
      <c r="H2143" s="26">
        <v>0</v>
      </c>
      <c r="I2143" s="26">
        <f t="shared" si="229"/>
        <v>0</v>
      </c>
      <c r="J2143" s="1340" t="e">
        <f t="shared" si="227"/>
        <v>#DIV/0!</v>
      </c>
      <c r="K2143" s="1339">
        <f t="shared" si="228"/>
        <v>0</v>
      </c>
    </row>
    <row r="2144" spans="1:11" ht="15" x14ac:dyDescent="0.25">
      <c r="A2144" s="1341"/>
      <c r="B2144" s="624">
        <v>203300</v>
      </c>
      <c r="C2144" s="1344">
        <v>333903200000000</v>
      </c>
      <c r="D2144" s="624" t="s">
        <v>5553</v>
      </c>
      <c r="E2144" s="624">
        <v>1</v>
      </c>
      <c r="F2144" s="643">
        <v>0</v>
      </c>
      <c r="G2144" s="643">
        <v>0</v>
      </c>
      <c r="H2144" s="26">
        <v>0</v>
      </c>
      <c r="I2144" s="26">
        <f t="shared" si="229"/>
        <v>0</v>
      </c>
      <c r="J2144" s="1340" t="e">
        <f t="shared" si="227"/>
        <v>#DIV/0!</v>
      </c>
      <c r="K2144" s="1339">
        <f t="shared" si="228"/>
        <v>0</v>
      </c>
    </row>
    <row r="2145" spans="1:11" ht="15" x14ac:dyDescent="0.25">
      <c r="A2145" s="1341"/>
      <c r="B2145" s="624">
        <v>205300</v>
      </c>
      <c r="C2145" s="1344">
        <v>333903200000000</v>
      </c>
      <c r="D2145" s="624" t="s">
        <v>5554</v>
      </c>
      <c r="E2145" s="624">
        <v>1</v>
      </c>
      <c r="F2145" s="643">
        <v>7412.2</v>
      </c>
      <c r="G2145" s="643">
        <v>0</v>
      </c>
      <c r="H2145" s="26">
        <v>0</v>
      </c>
      <c r="I2145" s="26">
        <f t="shared" si="229"/>
        <v>2470.7333333333331</v>
      </c>
      <c r="J2145" s="1340" t="e">
        <f t="shared" si="227"/>
        <v>#DIV/0!</v>
      </c>
      <c r="K2145" s="1339">
        <f t="shared" si="228"/>
        <v>4.4351669329769333E-2</v>
      </c>
    </row>
    <row r="2146" spans="1:11" ht="15" x14ac:dyDescent="0.25">
      <c r="A2146" s="1341"/>
      <c r="B2146" s="624">
        <v>202400</v>
      </c>
      <c r="C2146" s="1344">
        <v>333903600000000</v>
      </c>
      <c r="D2146" s="624" t="s">
        <v>5555</v>
      </c>
      <c r="E2146" s="624">
        <v>1</v>
      </c>
      <c r="F2146" s="643">
        <v>0</v>
      </c>
      <c r="G2146" s="643">
        <v>0</v>
      </c>
      <c r="H2146" s="26">
        <v>0</v>
      </c>
      <c r="I2146" s="26">
        <f t="shared" si="229"/>
        <v>0</v>
      </c>
      <c r="J2146" s="1340" t="e">
        <f t="shared" si="227"/>
        <v>#DIV/0!</v>
      </c>
      <c r="K2146" s="1339">
        <f t="shared" si="228"/>
        <v>0</v>
      </c>
    </row>
    <row r="2147" spans="1:11" ht="15" x14ac:dyDescent="0.25">
      <c r="A2147" s="1341"/>
      <c r="B2147" s="624">
        <v>203400</v>
      </c>
      <c r="C2147" s="1344">
        <v>333903600000000</v>
      </c>
      <c r="D2147" s="624" t="s">
        <v>5556</v>
      </c>
      <c r="E2147" s="624">
        <v>1</v>
      </c>
      <c r="F2147" s="643">
        <v>0</v>
      </c>
      <c r="G2147" s="643">
        <v>0</v>
      </c>
      <c r="H2147" s="26">
        <v>0</v>
      </c>
      <c r="I2147" s="26">
        <f t="shared" si="229"/>
        <v>0</v>
      </c>
      <c r="J2147" s="1340" t="e">
        <f t="shared" si="227"/>
        <v>#DIV/0!</v>
      </c>
      <c r="K2147" s="1339">
        <f t="shared" si="228"/>
        <v>0</v>
      </c>
    </row>
    <row r="2148" spans="1:11" ht="15" x14ac:dyDescent="0.25">
      <c r="A2148" s="1341"/>
      <c r="B2148" s="624">
        <v>205400</v>
      </c>
      <c r="C2148" s="1344">
        <v>333903600000000</v>
      </c>
      <c r="D2148" s="624" t="s">
        <v>5557</v>
      </c>
      <c r="E2148" s="624">
        <v>1</v>
      </c>
      <c r="F2148" s="643">
        <v>0</v>
      </c>
      <c r="G2148" s="643">
        <v>0</v>
      </c>
      <c r="H2148" s="26">
        <v>0</v>
      </c>
      <c r="I2148" s="26">
        <f t="shared" si="229"/>
        <v>0</v>
      </c>
      <c r="J2148" s="1340" t="e">
        <f t="shared" si="227"/>
        <v>#DIV/0!</v>
      </c>
      <c r="K2148" s="1339">
        <f t="shared" si="228"/>
        <v>0</v>
      </c>
    </row>
    <row r="2149" spans="1:11" ht="15" x14ac:dyDescent="0.25">
      <c r="A2149" s="1341"/>
      <c r="B2149" s="624">
        <v>202500</v>
      </c>
      <c r="C2149" s="1344">
        <v>333903900000000</v>
      </c>
      <c r="D2149" s="624" t="s">
        <v>5558</v>
      </c>
      <c r="E2149" s="624">
        <v>1</v>
      </c>
      <c r="F2149" s="643">
        <v>11843.3</v>
      </c>
      <c r="G2149" s="643">
        <v>14400</v>
      </c>
      <c r="H2149" s="26">
        <v>0</v>
      </c>
      <c r="I2149" s="26">
        <f t="shared" si="229"/>
        <v>8747.7666666666664</v>
      </c>
      <c r="J2149" s="1340">
        <f t="shared" si="227"/>
        <v>1.2158773314870011</v>
      </c>
      <c r="K2149" s="1339">
        <f t="shared" si="228"/>
        <v>0.15702951400689885</v>
      </c>
    </row>
    <row r="2150" spans="1:11" ht="15" x14ac:dyDescent="0.25">
      <c r="A2150" s="1341"/>
      <c r="B2150" s="624">
        <v>203500</v>
      </c>
      <c r="C2150" s="1344">
        <v>333903900000000</v>
      </c>
      <c r="D2150" s="624" t="s">
        <v>5559</v>
      </c>
      <c r="E2150" s="624">
        <v>1</v>
      </c>
      <c r="F2150" s="643">
        <v>0</v>
      </c>
      <c r="G2150" s="643">
        <v>0</v>
      </c>
      <c r="H2150" s="26">
        <v>0</v>
      </c>
      <c r="I2150" s="26">
        <f t="shared" si="229"/>
        <v>0</v>
      </c>
      <c r="J2150" s="1340" t="e">
        <f t="shared" si="227"/>
        <v>#DIV/0!</v>
      </c>
      <c r="K2150" s="1339">
        <f t="shared" si="228"/>
        <v>0</v>
      </c>
    </row>
    <row r="2151" spans="1:11" ht="15" x14ac:dyDescent="0.25">
      <c r="A2151" s="1341"/>
      <c r="B2151" s="624">
        <v>205500</v>
      </c>
      <c r="C2151" s="1344">
        <v>333903900000000</v>
      </c>
      <c r="D2151" s="624" t="s">
        <v>5560</v>
      </c>
      <c r="E2151" s="624">
        <v>1</v>
      </c>
      <c r="F2151" s="643">
        <v>0</v>
      </c>
      <c r="G2151" s="643">
        <v>0</v>
      </c>
      <c r="H2151" s="26">
        <v>0</v>
      </c>
      <c r="I2151" s="26">
        <f t="shared" si="229"/>
        <v>0</v>
      </c>
      <c r="J2151" s="1340" t="e">
        <f t="shared" si="227"/>
        <v>#DIV/0!</v>
      </c>
      <c r="K2151" s="1339">
        <f t="shared" si="228"/>
        <v>0</v>
      </c>
    </row>
    <row r="2152" spans="1:11" ht="15" x14ac:dyDescent="0.25">
      <c r="A2152" s="1341"/>
      <c r="B2152" s="624">
        <v>202600</v>
      </c>
      <c r="C2152" s="1344">
        <v>333904700000000</v>
      </c>
      <c r="D2152" s="624" t="s">
        <v>6674</v>
      </c>
      <c r="E2152" s="624">
        <v>1</v>
      </c>
      <c r="F2152" s="643">
        <v>0</v>
      </c>
      <c r="G2152" s="643">
        <v>0</v>
      </c>
      <c r="H2152" s="26">
        <v>0</v>
      </c>
      <c r="I2152" s="26">
        <f t="shared" si="229"/>
        <v>0</v>
      </c>
      <c r="J2152" s="1340" t="e">
        <f t="shared" si="227"/>
        <v>#DIV/0!</v>
      </c>
      <c r="K2152" s="1339">
        <f t="shared" si="228"/>
        <v>0</v>
      </c>
    </row>
    <row r="2153" spans="1:11" ht="15" x14ac:dyDescent="0.25">
      <c r="A2153" s="1341"/>
      <c r="B2153" s="624">
        <v>203600</v>
      </c>
      <c r="C2153" s="1344">
        <v>333904700000000</v>
      </c>
      <c r="D2153" s="624" t="s">
        <v>6678</v>
      </c>
      <c r="E2153" s="624">
        <v>1</v>
      </c>
      <c r="F2153" s="643">
        <v>0</v>
      </c>
      <c r="G2153" s="643">
        <v>0</v>
      </c>
      <c r="H2153" s="26">
        <v>0</v>
      </c>
      <c r="I2153" s="26">
        <f t="shared" si="229"/>
        <v>0</v>
      </c>
      <c r="J2153" s="1340" t="e">
        <f t="shared" si="227"/>
        <v>#DIV/0!</v>
      </c>
      <c r="K2153" s="1339">
        <f t="shared" si="228"/>
        <v>0</v>
      </c>
    </row>
    <row r="2154" spans="1:11" ht="15" x14ac:dyDescent="0.25">
      <c r="A2154" s="1341"/>
      <c r="B2154" s="624">
        <v>205600</v>
      </c>
      <c r="C2154" s="1344">
        <v>333904700000000</v>
      </c>
      <c r="D2154" s="624" t="s">
        <v>6679</v>
      </c>
      <c r="E2154" s="624">
        <v>1</v>
      </c>
      <c r="F2154" s="643">
        <v>0</v>
      </c>
      <c r="G2154" s="643">
        <v>0</v>
      </c>
      <c r="H2154" s="26">
        <v>0</v>
      </c>
      <c r="I2154" s="26">
        <f t="shared" si="229"/>
        <v>0</v>
      </c>
      <c r="J2154" s="1340" t="e">
        <f t="shared" si="227"/>
        <v>#DIV/0!</v>
      </c>
      <c r="K2154" s="1339">
        <f t="shared" si="228"/>
        <v>0</v>
      </c>
    </row>
    <row r="2155" spans="1:11" ht="15" x14ac:dyDescent="0.25">
      <c r="A2155" s="1341"/>
      <c r="B2155" s="624">
        <v>202700</v>
      </c>
      <c r="C2155" s="1344">
        <v>333909200000000</v>
      </c>
      <c r="D2155" s="624" t="s">
        <v>5561</v>
      </c>
      <c r="E2155" s="624">
        <v>1</v>
      </c>
      <c r="F2155" s="643">
        <v>0</v>
      </c>
      <c r="G2155" s="643">
        <v>0</v>
      </c>
      <c r="H2155" s="26">
        <v>0</v>
      </c>
      <c r="I2155" s="26">
        <f t="shared" si="229"/>
        <v>0</v>
      </c>
      <c r="J2155" s="1340" t="e">
        <f t="shared" si="227"/>
        <v>#DIV/0!</v>
      </c>
      <c r="K2155" s="1339">
        <f t="shared" si="228"/>
        <v>0</v>
      </c>
    </row>
    <row r="2156" spans="1:11" ht="15" x14ac:dyDescent="0.25">
      <c r="A2156" s="1341"/>
      <c r="B2156" s="624">
        <v>203700</v>
      </c>
      <c r="C2156" s="1344">
        <v>333909200000000</v>
      </c>
      <c r="D2156" s="624" t="s">
        <v>5562</v>
      </c>
      <c r="E2156" s="624">
        <v>1</v>
      </c>
      <c r="F2156" s="643">
        <v>0</v>
      </c>
      <c r="G2156" s="643">
        <v>0</v>
      </c>
      <c r="H2156" s="26">
        <v>0</v>
      </c>
      <c r="I2156" s="26">
        <f t="shared" si="229"/>
        <v>0</v>
      </c>
      <c r="J2156" s="1340" t="e">
        <f t="shared" si="227"/>
        <v>#DIV/0!</v>
      </c>
      <c r="K2156" s="1339">
        <f t="shared" si="228"/>
        <v>0</v>
      </c>
    </row>
    <row r="2157" spans="1:11" ht="15" x14ac:dyDescent="0.25">
      <c r="A2157" s="1341"/>
      <c r="B2157" s="624">
        <v>205700</v>
      </c>
      <c r="C2157" s="1344">
        <v>333909200000000</v>
      </c>
      <c r="D2157" s="624" t="s">
        <v>5563</v>
      </c>
      <c r="E2157" s="624">
        <v>1</v>
      </c>
      <c r="F2157" s="643">
        <v>0</v>
      </c>
      <c r="G2157" s="643">
        <v>0</v>
      </c>
      <c r="H2157" s="26">
        <v>0</v>
      </c>
      <c r="I2157" s="26">
        <f t="shared" si="229"/>
        <v>0</v>
      </c>
      <c r="J2157" s="1340" t="e">
        <f t="shared" si="227"/>
        <v>#DIV/0!</v>
      </c>
      <c r="K2157" s="1339">
        <f t="shared" si="228"/>
        <v>0</v>
      </c>
    </row>
    <row r="2158" spans="1:11" ht="15" x14ac:dyDescent="0.25">
      <c r="A2158" s="1341"/>
      <c r="B2158" s="624">
        <v>202800</v>
      </c>
      <c r="C2158" s="1344">
        <v>344905100000000</v>
      </c>
      <c r="D2158" s="624" t="s">
        <v>5564</v>
      </c>
      <c r="E2158" s="624">
        <v>1</v>
      </c>
      <c r="F2158" s="643">
        <v>0</v>
      </c>
      <c r="G2158" s="643">
        <v>0</v>
      </c>
      <c r="H2158" s="26">
        <v>0</v>
      </c>
      <c r="I2158" s="26">
        <f t="shared" si="229"/>
        <v>0</v>
      </c>
      <c r="J2158" s="1340" t="e">
        <f t="shared" si="227"/>
        <v>#DIV/0!</v>
      </c>
      <c r="K2158" s="1339">
        <f t="shared" si="228"/>
        <v>0</v>
      </c>
    </row>
    <row r="2159" spans="1:11" ht="15" x14ac:dyDescent="0.25">
      <c r="A2159" s="1341"/>
      <c r="B2159" s="624">
        <v>203800</v>
      </c>
      <c r="C2159" s="1344">
        <v>344905100000000</v>
      </c>
      <c r="D2159" s="624" t="s">
        <v>5565</v>
      </c>
      <c r="E2159" s="624">
        <v>1</v>
      </c>
      <c r="F2159" s="643">
        <v>0</v>
      </c>
      <c r="G2159" s="643">
        <v>0</v>
      </c>
      <c r="H2159" s="26">
        <v>0</v>
      </c>
      <c r="I2159" s="26">
        <f t="shared" si="229"/>
        <v>0</v>
      </c>
      <c r="J2159" s="1340" t="e">
        <f t="shared" si="227"/>
        <v>#DIV/0!</v>
      </c>
      <c r="K2159" s="1339">
        <f t="shared" si="228"/>
        <v>0</v>
      </c>
    </row>
    <row r="2160" spans="1:11" ht="15" x14ac:dyDescent="0.25">
      <c r="A2160" s="1341"/>
      <c r="B2160" s="624">
        <v>205800</v>
      </c>
      <c r="C2160" s="1344">
        <v>344905100000000</v>
      </c>
      <c r="D2160" s="624" t="s">
        <v>5566</v>
      </c>
      <c r="E2160" s="624">
        <v>1</v>
      </c>
      <c r="F2160" s="643">
        <v>0</v>
      </c>
      <c r="G2160" s="643">
        <v>0</v>
      </c>
      <c r="H2160" s="26">
        <v>0</v>
      </c>
      <c r="I2160" s="26">
        <f t="shared" si="229"/>
        <v>0</v>
      </c>
      <c r="J2160" s="1340" t="e">
        <f t="shared" si="227"/>
        <v>#DIV/0!</v>
      </c>
      <c r="K2160" s="1339">
        <f t="shared" si="228"/>
        <v>0</v>
      </c>
    </row>
    <row r="2161" spans="1:11" ht="15" x14ac:dyDescent="0.25">
      <c r="A2161" s="1341"/>
      <c r="B2161" s="624">
        <v>202900</v>
      </c>
      <c r="C2161" s="1344">
        <v>344905200000000</v>
      </c>
      <c r="D2161" s="624" t="s">
        <v>5567</v>
      </c>
      <c r="E2161" s="624">
        <v>1</v>
      </c>
      <c r="F2161" s="643">
        <v>0</v>
      </c>
      <c r="G2161" s="643">
        <v>0</v>
      </c>
      <c r="H2161" s="26">
        <v>0</v>
      </c>
      <c r="I2161" s="26">
        <f t="shared" si="229"/>
        <v>0</v>
      </c>
      <c r="J2161" s="1340" t="e">
        <f t="shared" si="227"/>
        <v>#DIV/0!</v>
      </c>
      <c r="K2161" s="1339">
        <f t="shared" si="228"/>
        <v>0</v>
      </c>
    </row>
    <row r="2162" spans="1:11" ht="15" x14ac:dyDescent="0.25">
      <c r="A2162" s="1341"/>
      <c r="B2162" s="624">
        <v>203900</v>
      </c>
      <c r="C2162" s="1344">
        <v>344905200000000</v>
      </c>
      <c r="D2162" s="624" t="s">
        <v>5568</v>
      </c>
      <c r="E2162" s="624">
        <v>1</v>
      </c>
      <c r="F2162" s="643">
        <v>0</v>
      </c>
      <c r="G2162" s="643">
        <v>0</v>
      </c>
      <c r="H2162" s="26">
        <v>0</v>
      </c>
      <c r="I2162" s="26">
        <f t="shared" si="229"/>
        <v>0</v>
      </c>
      <c r="J2162" s="1340" t="e">
        <f t="shared" si="227"/>
        <v>#DIV/0!</v>
      </c>
      <c r="K2162" s="1339">
        <f t="shared" si="228"/>
        <v>0</v>
      </c>
    </row>
    <row r="2163" spans="1:11" ht="15" x14ac:dyDescent="0.25">
      <c r="A2163" s="1341"/>
      <c r="B2163" s="624">
        <v>205900</v>
      </c>
      <c r="C2163" s="1344">
        <v>344905200000000</v>
      </c>
      <c r="D2163" s="624" t="s">
        <v>5569</v>
      </c>
      <c r="E2163" s="624">
        <v>1</v>
      </c>
      <c r="F2163" s="643">
        <v>0</v>
      </c>
      <c r="G2163" s="643">
        <v>0</v>
      </c>
      <c r="H2163" s="26">
        <v>0</v>
      </c>
      <c r="I2163" s="26">
        <f t="shared" si="229"/>
        <v>0</v>
      </c>
      <c r="J2163" s="1340" t="e">
        <f t="shared" si="227"/>
        <v>#DIV/0!</v>
      </c>
      <c r="K2163" s="1339">
        <f t="shared" si="228"/>
        <v>0</v>
      </c>
    </row>
    <row r="2164" spans="1:11" s="12" customFormat="1" ht="15" x14ac:dyDescent="0.25">
      <c r="A2164" s="1081"/>
      <c r="B2164" s="570" t="s">
        <v>2965</v>
      </c>
      <c r="C2164" s="1345">
        <v>17</v>
      </c>
      <c r="D2164" s="570" t="s">
        <v>5575</v>
      </c>
      <c r="E2164" s="570"/>
      <c r="F2164" s="642">
        <f>SUM(F2165:F2174)</f>
        <v>23379.02</v>
      </c>
      <c r="G2164" s="642">
        <f>SUM(G2165:G2174)</f>
        <v>31268.84</v>
      </c>
      <c r="H2164" s="642">
        <f>SUM(H2165:H2174)</f>
        <v>0</v>
      </c>
      <c r="I2164" s="642">
        <f>SUM(I2165:I2174)</f>
        <v>18215.953333333335</v>
      </c>
      <c r="J2164" s="1338">
        <f t="shared" si="227"/>
        <v>1.3374743680445116</v>
      </c>
      <c r="K2164" s="1337">
        <f t="shared" si="228"/>
        <v>0.32699115192514083</v>
      </c>
    </row>
    <row r="2165" spans="1:11" ht="30" x14ac:dyDescent="0.25">
      <c r="A2165" s="1341"/>
      <c r="B2165" s="624">
        <v>207000</v>
      </c>
      <c r="C2165" s="1344">
        <v>333504300000000</v>
      </c>
      <c r="D2165" s="624" t="s">
        <v>7355</v>
      </c>
      <c r="E2165" s="624">
        <v>1</v>
      </c>
      <c r="F2165" s="643">
        <v>0</v>
      </c>
      <c r="G2165" s="643">
        <v>0</v>
      </c>
      <c r="H2165" s="26">
        <v>0</v>
      </c>
      <c r="I2165" s="26">
        <f t="shared" ref="I2165:I2174" si="230">(F2165+G2165+H2165)/3</f>
        <v>0</v>
      </c>
      <c r="J2165" s="1340" t="e">
        <f t="shared" si="227"/>
        <v>#DIV/0!</v>
      </c>
      <c r="K2165" s="1339">
        <f t="shared" si="228"/>
        <v>0</v>
      </c>
    </row>
    <row r="2166" spans="1:11" ht="15" x14ac:dyDescent="0.25">
      <c r="A2166" s="1341"/>
      <c r="B2166" s="624">
        <v>207100</v>
      </c>
      <c r="C2166" s="1344">
        <v>333900800000000</v>
      </c>
      <c r="D2166" s="624" t="s">
        <v>5577</v>
      </c>
      <c r="E2166" s="624">
        <v>1</v>
      </c>
      <c r="F2166" s="643">
        <v>1750</v>
      </c>
      <c r="G2166" s="643">
        <v>1547.29</v>
      </c>
      <c r="H2166" s="26">
        <v>0</v>
      </c>
      <c r="I2166" s="26">
        <f t="shared" si="230"/>
        <v>1099.0966666666666</v>
      </c>
      <c r="J2166" s="1340">
        <f t="shared" si="227"/>
        <v>0.88416571428571422</v>
      </c>
      <c r="K2166" s="1339">
        <f t="shared" si="228"/>
        <v>1.9729677526828086E-2</v>
      </c>
    </row>
    <row r="2167" spans="1:11" ht="15" x14ac:dyDescent="0.25">
      <c r="A2167" s="1341"/>
      <c r="B2167" s="624">
        <v>207200</v>
      </c>
      <c r="C2167" s="1344">
        <v>333903000000000</v>
      </c>
      <c r="D2167" s="624" t="s">
        <v>5578</v>
      </c>
      <c r="E2167" s="624">
        <v>1</v>
      </c>
      <c r="F2167" s="643">
        <v>0</v>
      </c>
      <c r="G2167" s="643">
        <v>0</v>
      </c>
      <c r="H2167" s="26">
        <v>0</v>
      </c>
      <c r="I2167" s="26">
        <f t="shared" si="230"/>
        <v>0</v>
      </c>
      <c r="J2167" s="1340" t="e">
        <f t="shared" si="227"/>
        <v>#DIV/0!</v>
      </c>
      <c r="K2167" s="1339">
        <f t="shared" si="228"/>
        <v>0</v>
      </c>
    </row>
    <row r="2168" spans="1:11" ht="15" x14ac:dyDescent="0.25">
      <c r="A2168" s="1341"/>
      <c r="B2168" s="624">
        <v>207300</v>
      </c>
      <c r="C2168" s="1344">
        <v>333903200000000</v>
      </c>
      <c r="D2168" s="624" t="s">
        <v>7354</v>
      </c>
      <c r="E2168" s="624">
        <v>1</v>
      </c>
      <c r="F2168" s="643">
        <v>20461.02</v>
      </c>
      <c r="G2168" s="643">
        <v>26321.55</v>
      </c>
      <c r="H2168" s="26">
        <v>0</v>
      </c>
      <c r="I2168" s="26">
        <f t="shared" si="230"/>
        <v>15594.19</v>
      </c>
      <c r="J2168" s="1340">
        <f t="shared" si="227"/>
        <v>1.2864241372131007</v>
      </c>
      <c r="K2168" s="1339">
        <f t="shared" si="228"/>
        <v>0.27992837147362287</v>
      </c>
    </row>
    <row r="2169" spans="1:11" ht="15" x14ac:dyDescent="0.25">
      <c r="A2169" s="1341"/>
      <c r="B2169" s="624">
        <v>207400</v>
      </c>
      <c r="C2169" s="1344">
        <v>333903600000000</v>
      </c>
      <c r="D2169" s="624" t="s">
        <v>5580</v>
      </c>
      <c r="E2169" s="624">
        <v>1</v>
      </c>
      <c r="F2169" s="643">
        <v>1000</v>
      </c>
      <c r="G2169" s="643">
        <v>3400</v>
      </c>
      <c r="H2169" s="26">
        <v>0</v>
      </c>
      <c r="I2169" s="26">
        <f t="shared" si="230"/>
        <v>1466.6666666666667</v>
      </c>
      <c r="J2169" s="1340">
        <f t="shared" si="227"/>
        <v>3.4</v>
      </c>
      <c r="K2169" s="1339">
        <f t="shared" si="228"/>
        <v>2.6327857458107593E-2</v>
      </c>
    </row>
    <row r="2170" spans="1:11" ht="15" x14ac:dyDescent="0.25">
      <c r="A2170" s="1341"/>
      <c r="B2170" s="624">
        <v>207500</v>
      </c>
      <c r="C2170" s="1344">
        <v>333903900000000</v>
      </c>
      <c r="D2170" s="624" t="s">
        <v>5581</v>
      </c>
      <c r="E2170" s="624">
        <v>1</v>
      </c>
      <c r="F2170" s="643">
        <v>0</v>
      </c>
      <c r="G2170" s="643">
        <v>0</v>
      </c>
      <c r="H2170" s="26">
        <v>0</v>
      </c>
      <c r="I2170" s="26">
        <f t="shared" si="230"/>
        <v>0</v>
      </c>
      <c r="J2170" s="1340" t="e">
        <f t="shared" si="227"/>
        <v>#DIV/0!</v>
      </c>
      <c r="K2170" s="1339">
        <f t="shared" si="228"/>
        <v>0</v>
      </c>
    </row>
    <row r="2171" spans="1:11" ht="15" x14ac:dyDescent="0.25">
      <c r="A2171" s="1341"/>
      <c r="B2171" s="624">
        <v>207600</v>
      </c>
      <c r="C2171" s="1344">
        <v>333904700000000</v>
      </c>
      <c r="D2171" s="624" t="s">
        <v>5582</v>
      </c>
      <c r="E2171" s="624">
        <v>1</v>
      </c>
      <c r="F2171" s="643">
        <v>168</v>
      </c>
      <c r="G2171" s="643">
        <v>0</v>
      </c>
      <c r="H2171" s="26">
        <v>0</v>
      </c>
      <c r="I2171" s="26">
        <f t="shared" si="230"/>
        <v>56</v>
      </c>
      <c r="J2171" s="1340" t="e">
        <f t="shared" si="227"/>
        <v>#DIV/0!</v>
      </c>
      <c r="K2171" s="1339">
        <f t="shared" si="228"/>
        <v>1.0052454665822898E-3</v>
      </c>
    </row>
    <row r="2172" spans="1:11" ht="15" x14ac:dyDescent="0.25">
      <c r="A2172" s="1341"/>
      <c r="B2172" s="624">
        <v>207700</v>
      </c>
      <c r="C2172" s="1344">
        <v>333909200000000</v>
      </c>
      <c r="D2172" s="624" t="s">
        <v>5583</v>
      </c>
      <c r="E2172" s="624">
        <v>1</v>
      </c>
      <c r="F2172" s="643">
        <v>0</v>
      </c>
      <c r="G2172" s="643">
        <v>0</v>
      </c>
      <c r="H2172" s="26">
        <v>0</v>
      </c>
      <c r="I2172" s="26">
        <f t="shared" si="230"/>
        <v>0</v>
      </c>
      <c r="J2172" s="1340" t="e">
        <f t="shared" si="227"/>
        <v>#DIV/0!</v>
      </c>
      <c r="K2172" s="1339">
        <f t="shared" si="228"/>
        <v>0</v>
      </c>
    </row>
    <row r="2173" spans="1:11" ht="15" x14ac:dyDescent="0.25">
      <c r="A2173" s="1341"/>
      <c r="B2173" s="624">
        <v>207800</v>
      </c>
      <c r="C2173" s="1344">
        <v>344905100000000</v>
      </c>
      <c r="D2173" s="624" t="s">
        <v>5584</v>
      </c>
      <c r="E2173" s="624">
        <v>1</v>
      </c>
      <c r="F2173" s="643">
        <v>0</v>
      </c>
      <c r="G2173" s="643">
        <v>0</v>
      </c>
      <c r="H2173" s="26">
        <v>0</v>
      </c>
      <c r="I2173" s="26">
        <f t="shared" si="230"/>
        <v>0</v>
      </c>
      <c r="J2173" s="1340" t="e">
        <f t="shared" si="227"/>
        <v>#DIV/0!</v>
      </c>
      <c r="K2173" s="1339">
        <f t="shared" si="228"/>
        <v>0</v>
      </c>
    </row>
    <row r="2174" spans="1:11" ht="15" x14ac:dyDescent="0.25">
      <c r="A2174" s="1341"/>
      <c r="B2174" s="624">
        <v>207900</v>
      </c>
      <c r="C2174" s="1344">
        <v>344905200000000</v>
      </c>
      <c r="D2174" s="624" t="s">
        <v>5585</v>
      </c>
      <c r="E2174" s="624">
        <v>1</v>
      </c>
      <c r="F2174" s="643">
        <v>0</v>
      </c>
      <c r="G2174" s="643">
        <v>0</v>
      </c>
      <c r="H2174" s="26">
        <v>0</v>
      </c>
      <c r="I2174" s="26">
        <f t="shared" si="230"/>
        <v>0</v>
      </c>
      <c r="J2174" s="1340" t="e">
        <f t="shared" si="227"/>
        <v>#DIV/0!</v>
      </c>
      <c r="K2174" s="1339">
        <f t="shared" si="228"/>
        <v>0</v>
      </c>
    </row>
    <row r="2175" spans="1:11" ht="15" x14ac:dyDescent="0.25">
      <c r="B2175" s="1598" t="s">
        <v>1575</v>
      </c>
      <c r="C2175" s="1598"/>
      <c r="D2175" s="1598"/>
      <c r="E2175" s="1598"/>
      <c r="F2175" s="25">
        <f>F2133+F2164</f>
        <v>75434.52</v>
      </c>
      <c r="G2175" s="25">
        <f>G2133+G2164</f>
        <v>91688.84</v>
      </c>
      <c r="H2175" s="25">
        <f>H2133+H2164</f>
        <v>0</v>
      </c>
      <c r="I2175" s="25">
        <f>I2133+I2164</f>
        <v>55707.786666666667</v>
      </c>
      <c r="J2175" s="1338">
        <f t="shared" si="227"/>
        <v>1.2154758855759935</v>
      </c>
      <c r="K2175" s="1337">
        <f t="shared" si="228"/>
        <v>1</v>
      </c>
    </row>
    <row r="2177" spans="1:11" ht="15" x14ac:dyDescent="0.25">
      <c r="B2177" s="616" t="s">
        <v>7353</v>
      </c>
    </row>
    <row r="2178" spans="1:11" ht="45" customHeight="1" x14ac:dyDescent="0.25">
      <c r="B2178" s="1343" t="s">
        <v>2967</v>
      </c>
      <c r="C2178" s="1343" t="s">
        <v>472</v>
      </c>
      <c r="D2178" s="1343" t="s">
        <v>2968</v>
      </c>
      <c r="E2178" s="1343" t="s">
        <v>1403</v>
      </c>
      <c r="F2178" s="1081">
        <v>2017</v>
      </c>
      <c r="G2178" s="1081">
        <f>F2178+1</f>
        <v>2018</v>
      </c>
      <c r="H2178" s="1081">
        <f>G2178+1</f>
        <v>2019</v>
      </c>
      <c r="I2178" s="1082" t="s">
        <v>7336</v>
      </c>
      <c r="J2178" s="1342" t="s">
        <v>7335</v>
      </c>
      <c r="K2178" s="1342" t="s">
        <v>7334</v>
      </c>
    </row>
    <row r="2179" spans="1:11" s="12" customFormat="1" ht="15" x14ac:dyDescent="0.25">
      <c r="A2179" s="1081"/>
      <c r="B2179" s="570" t="s">
        <v>2965</v>
      </c>
      <c r="C2179" s="1345">
        <v>13</v>
      </c>
      <c r="D2179" s="570" t="s">
        <v>5570</v>
      </c>
      <c r="E2179" s="570"/>
      <c r="F2179" s="642">
        <f>SUM(F2180:F2184)</f>
        <v>0</v>
      </c>
      <c r="G2179" s="642">
        <f>SUM(G2180:G2184)</f>
        <v>8317.68</v>
      </c>
      <c r="H2179" s="642">
        <f>SUM(H2180:H2184)</f>
        <v>0</v>
      </c>
      <c r="I2179" s="642">
        <f>SUM(I2180:I2184)</f>
        <v>2772.56</v>
      </c>
      <c r="J2179" s="1338" t="e">
        <f t="shared" ref="J2179:J2185" si="231">(G2179/F2179)+(H2179/G2179)/2</f>
        <v>#DIV/0!</v>
      </c>
      <c r="K2179" s="1337" t="e">
        <f t="shared" ref="K2179:K2185" si="232">I2179/I$2185</f>
        <v>#DIV/0!</v>
      </c>
    </row>
    <row r="2180" spans="1:11" ht="15" x14ac:dyDescent="0.25">
      <c r="A2180" s="1341"/>
      <c r="B2180" s="624">
        <v>208800</v>
      </c>
      <c r="C2180" s="1344">
        <v>344309300000000</v>
      </c>
      <c r="D2180" s="624" t="s">
        <v>7352</v>
      </c>
      <c r="E2180" s="624">
        <v>1173</v>
      </c>
      <c r="F2180" s="643">
        <v>0</v>
      </c>
      <c r="G2180" s="643">
        <v>0</v>
      </c>
      <c r="H2180" s="26">
        <v>0</v>
      </c>
      <c r="I2180" s="26">
        <f>(F2180+G2180+H2180)/3</f>
        <v>0</v>
      </c>
      <c r="J2180" s="1340" t="e">
        <f t="shared" si="231"/>
        <v>#DIV/0!</v>
      </c>
      <c r="K2180" s="1339" t="e">
        <f t="shared" si="232"/>
        <v>#DIV/0!</v>
      </c>
    </row>
    <row r="2181" spans="1:11" ht="15" x14ac:dyDescent="0.25">
      <c r="A2181" s="1341"/>
      <c r="B2181" s="624">
        <v>208820</v>
      </c>
      <c r="C2181" s="1344">
        <v>344903000000000</v>
      </c>
      <c r="D2181" s="624" t="s">
        <v>7351</v>
      </c>
      <c r="E2181" s="624">
        <v>1173</v>
      </c>
      <c r="F2181" s="643">
        <v>0</v>
      </c>
      <c r="G2181" s="643">
        <v>0</v>
      </c>
      <c r="H2181" s="26">
        <v>0</v>
      </c>
      <c r="I2181" s="26">
        <f>(F2181+G2181+H2181)/3</f>
        <v>0</v>
      </c>
      <c r="J2181" s="1340" t="e">
        <f t="shared" si="231"/>
        <v>#DIV/0!</v>
      </c>
      <c r="K2181" s="1339" t="e">
        <f t="shared" si="232"/>
        <v>#DIV/0!</v>
      </c>
    </row>
    <row r="2182" spans="1:11" ht="15" x14ac:dyDescent="0.25">
      <c r="A2182" s="1341"/>
      <c r="B2182" s="624">
        <v>208840</v>
      </c>
      <c r="C2182" s="1344">
        <v>344903900000000</v>
      </c>
      <c r="D2182" s="624" t="s">
        <v>7350</v>
      </c>
      <c r="E2182" s="624">
        <v>1173</v>
      </c>
      <c r="F2182" s="643">
        <v>0</v>
      </c>
      <c r="G2182" s="643">
        <v>0</v>
      </c>
      <c r="H2182" s="26">
        <v>0</v>
      </c>
      <c r="I2182" s="26">
        <f>(F2182+G2182+H2182)/3</f>
        <v>0</v>
      </c>
      <c r="J2182" s="1340" t="e">
        <f t="shared" si="231"/>
        <v>#DIV/0!</v>
      </c>
      <c r="K2182" s="1339" t="e">
        <f t="shared" si="232"/>
        <v>#DIV/0!</v>
      </c>
    </row>
    <row r="2183" spans="1:11" ht="15" x14ac:dyDescent="0.25">
      <c r="A2183" s="1341"/>
      <c r="B2183" s="624">
        <v>208880</v>
      </c>
      <c r="C2183" s="1344">
        <v>344905200000000</v>
      </c>
      <c r="D2183" s="624" t="s">
        <v>7349</v>
      </c>
      <c r="E2183" s="624">
        <v>1173</v>
      </c>
      <c r="F2183" s="643">
        <v>0</v>
      </c>
      <c r="G2183" s="643">
        <v>0</v>
      </c>
      <c r="H2183" s="26">
        <v>0</v>
      </c>
      <c r="I2183" s="26">
        <f>(F2183+G2183+H2183)/3</f>
        <v>0</v>
      </c>
      <c r="J2183" s="1340" t="e">
        <f t="shared" si="231"/>
        <v>#DIV/0!</v>
      </c>
      <c r="K2183" s="1339" t="e">
        <f t="shared" si="232"/>
        <v>#DIV/0!</v>
      </c>
    </row>
    <row r="2184" spans="1:11" ht="15" x14ac:dyDescent="0.25">
      <c r="A2184" s="1341"/>
      <c r="B2184" s="624">
        <v>209000</v>
      </c>
      <c r="C2184" s="1344">
        <v>344905200000000</v>
      </c>
      <c r="D2184" s="624" t="s">
        <v>5588</v>
      </c>
      <c r="E2184" s="624">
        <v>1099</v>
      </c>
      <c r="F2184" s="643">
        <v>0</v>
      </c>
      <c r="G2184" s="643">
        <v>8317.68</v>
      </c>
      <c r="H2184" s="26">
        <v>0</v>
      </c>
      <c r="I2184" s="26">
        <f>(F2184+G2184+H2184)/3</f>
        <v>2772.56</v>
      </c>
      <c r="J2184" s="1340" t="e">
        <f t="shared" si="231"/>
        <v>#DIV/0!</v>
      </c>
      <c r="K2184" s="1339" t="e">
        <f t="shared" si="232"/>
        <v>#DIV/0!</v>
      </c>
    </row>
    <row r="2185" spans="1:11" ht="15" x14ac:dyDescent="0.25">
      <c r="B2185" s="1598" t="s">
        <v>1575</v>
      </c>
      <c r="C2185" s="1598"/>
      <c r="D2185" s="1598"/>
      <c r="E2185" s="1598"/>
      <c r="F2185" s="25">
        <f>F2143+F2174</f>
        <v>0</v>
      </c>
      <c r="G2185" s="25">
        <f>G2143+G2174</f>
        <v>0</v>
      </c>
      <c r="H2185" s="25">
        <f>H2143+H2174</f>
        <v>0</v>
      </c>
      <c r="I2185" s="25">
        <f>I2143+I2174</f>
        <v>0</v>
      </c>
      <c r="J2185" s="1338" t="e">
        <f t="shared" si="231"/>
        <v>#DIV/0!</v>
      </c>
      <c r="K2185" s="1337" t="e">
        <f t="shared" si="232"/>
        <v>#DIV/0!</v>
      </c>
    </row>
    <row r="2187" spans="1:11" ht="15" x14ac:dyDescent="0.25">
      <c r="B2187" s="616" t="s">
        <v>7348</v>
      </c>
    </row>
    <row r="2188" spans="1:11" ht="45" customHeight="1" x14ac:dyDescent="0.25">
      <c r="B2188" s="1343" t="s">
        <v>2967</v>
      </c>
      <c r="C2188" s="1343" t="s">
        <v>472</v>
      </c>
      <c r="D2188" s="1343" t="s">
        <v>2968</v>
      </c>
      <c r="E2188" s="1343" t="s">
        <v>1403</v>
      </c>
      <c r="F2188" s="1081">
        <v>2017</v>
      </c>
      <c r="G2188" s="1081">
        <f>F2188+1</f>
        <v>2018</v>
      </c>
      <c r="H2188" s="1081">
        <f>G2188+1</f>
        <v>2019</v>
      </c>
      <c r="I2188" s="1082" t="s">
        <v>7336</v>
      </c>
      <c r="J2188" s="1342" t="s">
        <v>7335</v>
      </c>
      <c r="K2188" s="1342" t="s">
        <v>7334</v>
      </c>
    </row>
    <row r="2189" spans="1:11" s="12" customFormat="1" ht="15" x14ac:dyDescent="0.25">
      <c r="A2189" s="1081"/>
      <c r="B2189" s="570" t="s">
        <v>2965</v>
      </c>
      <c r="C2189" s="1345">
        <v>13</v>
      </c>
      <c r="D2189" s="570" t="s">
        <v>5570</v>
      </c>
      <c r="E2189" s="570"/>
      <c r="F2189" s="642">
        <f>SUM(F2190:F2240)</f>
        <v>83351.989999999991</v>
      </c>
      <c r="G2189" s="642">
        <f>SUM(G2190:G2240)</f>
        <v>119393.28</v>
      </c>
      <c r="H2189" s="642">
        <f>SUM(H2190:H2240)</f>
        <v>0</v>
      </c>
      <c r="I2189" s="642">
        <f>SUM(I2190:I2240)</f>
        <v>67581.756666666668</v>
      </c>
      <c r="J2189" s="1338">
        <f t="shared" ref="J2189:J2220" si="233">(G2189/F2189)+(H2189/G2189)/2</f>
        <v>1.4323986745847341</v>
      </c>
      <c r="K2189" s="1337">
        <f t="shared" ref="K2189:K2220" si="234">I2189/I$2310</f>
        <v>0.749008865442507</v>
      </c>
    </row>
    <row r="2190" spans="1:11" ht="15" x14ac:dyDescent="0.25">
      <c r="A2190" s="1341"/>
      <c r="B2190" s="624">
        <v>217000</v>
      </c>
      <c r="C2190" s="1344">
        <v>331900400000000</v>
      </c>
      <c r="D2190" s="624" t="s">
        <v>6742</v>
      </c>
      <c r="E2190" s="624">
        <v>1161</v>
      </c>
      <c r="F2190" s="643">
        <v>0</v>
      </c>
      <c r="G2190" s="643">
        <v>30187.279999999999</v>
      </c>
      <c r="H2190" s="26">
        <v>0</v>
      </c>
      <c r="I2190" s="26">
        <f t="shared" ref="I2190:I2221" si="235">(F2190+G2190+H2190)/3</f>
        <v>10062.426666666666</v>
      </c>
      <c r="J2190" s="1340" t="e">
        <f t="shared" si="233"/>
        <v>#DIV/0!</v>
      </c>
      <c r="K2190" s="1339">
        <f t="shared" si="234"/>
        <v>0.11152191290872177</v>
      </c>
    </row>
    <row r="2191" spans="1:11" ht="15" x14ac:dyDescent="0.25">
      <c r="A2191" s="1341"/>
      <c r="B2191" s="624">
        <v>217100</v>
      </c>
      <c r="C2191" s="1344">
        <v>331900800000000</v>
      </c>
      <c r="D2191" s="624" t="s">
        <v>6771</v>
      </c>
      <c r="E2191" s="624">
        <v>1</v>
      </c>
      <c r="F2191" s="643">
        <v>0</v>
      </c>
      <c r="G2191" s="643">
        <v>0</v>
      </c>
      <c r="H2191" s="26">
        <v>0</v>
      </c>
      <c r="I2191" s="26">
        <f t="shared" si="235"/>
        <v>0</v>
      </c>
      <c r="J2191" s="1340" t="e">
        <f t="shared" si="233"/>
        <v>#DIV/0!</v>
      </c>
      <c r="K2191" s="1339">
        <f t="shared" si="234"/>
        <v>0</v>
      </c>
    </row>
    <row r="2192" spans="1:11" ht="15" x14ac:dyDescent="0.25">
      <c r="A2192" s="1341"/>
      <c r="B2192" s="624">
        <v>217200</v>
      </c>
      <c r="C2192" s="1344">
        <v>331901100000000</v>
      </c>
      <c r="D2192" s="624" t="s">
        <v>6772</v>
      </c>
      <c r="E2192" s="624">
        <v>1161</v>
      </c>
      <c r="F2192" s="643">
        <v>37886.71</v>
      </c>
      <c r="G2192" s="643">
        <v>10392.540000000001</v>
      </c>
      <c r="H2192" s="26">
        <v>0</v>
      </c>
      <c r="I2192" s="26">
        <f t="shared" si="235"/>
        <v>16093.083333333334</v>
      </c>
      <c r="J2192" s="1340">
        <f t="shared" si="233"/>
        <v>0.27430568661147936</v>
      </c>
      <c r="K2192" s="1339">
        <f t="shared" si="234"/>
        <v>0.17835970361683484</v>
      </c>
    </row>
    <row r="2193" spans="1:11" ht="15" x14ac:dyDescent="0.25">
      <c r="A2193" s="1341"/>
      <c r="B2193" s="624">
        <v>217300</v>
      </c>
      <c r="C2193" s="1344">
        <v>331901300000000</v>
      </c>
      <c r="D2193" s="624" t="s">
        <v>6775</v>
      </c>
      <c r="E2193" s="624">
        <v>1161</v>
      </c>
      <c r="F2193" s="643">
        <v>8181.79</v>
      </c>
      <c r="G2193" s="643">
        <v>2536.2800000000002</v>
      </c>
      <c r="H2193" s="26">
        <v>0</v>
      </c>
      <c r="I2193" s="26">
        <f t="shared" si="235"/>
        <v>3572.69</v>
      </c>
      <c r="J2193" s="1340">
        <f t="shared" si="233"/>
        <v>0.30999084552402351</v>
      </c>
      <c r="K2193" s="1339">
        <f t="shared" si="234"/>
        <v>3.9596136819534042E-2</v>
      </c>
    </row>
    <row r="2194" spans="1:11" ht="15" x14ac:dyDescent="0.25">
      <c r="A2194" s="1341"/>
      <c r="B2194" s="624">
        <v>217400</v>
      </c>
      <c r="C2194" s="1344">
        <v>331901600000000</v>
      </c>
      <c r="D2194" s="624" t="s">
        <v>6773</v>
      </c>
      <c r="E2194" s="624">
        <v>1161</v>
      </c>
      <c r="F2194" s="643">
        <v>0</v>
      </c>
      <c r="G2194" s="643">
        <v>0</v>
      </c>
      <c r="H2194" s="26">
        <v>0</v>
      </c>
      <c r="I2194" s="26">
        <f t="shared" si="235"/>
        <v>0</v>
      </c>
      <c r="J2194" s="1340" t="e">
        <f t="shared" si="233"/>
        <v>#DIV/0!</v>
      </c>
      <c r="K2194" s="1339">
        <f t="shared" si="234"/>
        <v>0</v>
      </c>
    </row>
    <row r="2195" spans="1:11" ht="15" x14ac:dyDescent="0.25">
      <c r="A2195" s="1341"/>
      <c r="B2195" s="624">
        <v>217500</v>
      </c>
      <c r="C2195" s="1344">
        <v>331903400000000</v>
      </c>
      <c r="D2195" s="624" t="s">
        <v>6680</v>
      </c>
      <c r="E2195" s="624">
        <v>1161</v>
      </c>
      <c r="F2195" s="643">
        <v>0</v>
      </c>
      <c r="G2195" s="643">
        <v>0</v>
      </c>
      <c r="H2195" s="26">
        <v>0</v>
      </c>
      <c r="I2195" s="26">
        <f t="shared" si="235"/>
        <v>0</v>
      </c>
      <c r="J2195" s="1340" t="e">
        <f t="shared" si="233"/>
        <v>#DIV/0!</v>
      </c>
      <c r="K2195" s="1339">
        <f t="shared" si="234"/>
        <v>0</v>
      </c>
    </row>
    <row r="2196" spans="1:11" ht="15" x14ac:dyDescent="0.25">
      <c r="A2196" s="1341"/>
      <c r="B2196" s="624">
        <v>217600</v>
      </c>
      <c r="C2196" s="1344">
        <v>331909400000000</v>
      </c>
      <c r="D2196" s="624" t="s">
        <v>6774</v>
      </c>
      <c r="E2196" s="624">
        <v>1161</v>
      </c>
      <c r="F2196" s="643">
        <v>0</v>
      </c>
      <c r="G2196" s="643">
        <v>0</v>
      </c>
      <c r="H2196" s="26">
        <v>0</v>
      </c>
      <c r="I2196" s="26">
        <f t="shared" si="235"/>
        <v>0</v>
      </c>
      <c r="J2196" s="1340" t="e">
        <f t="shared" si="233"/>
        <v>#DIV/0!</v>
      </c>
      <c r="K2196" s="1339">
        <f t="shared" si="234"/>
        <v>0</v>
      </c>
    </row>
    <row r="2197" spans="1:11" ht="15" x14ac:dyDescent="0.25">
      <c r="A2197" s="1341"/>
      <c r="B2197" s="624">
        <v>211000</v>
      </c>
      <c r="C2197" s="1344">
        <v>333900800000000</v>
      </c>
      <c r="D2197" s="624" t="s">
        <v>6743</v>
      </c>
      <c r="E2197" s="624">
        <v>1161</v>
      </c>
      <c r="F2197" s="643">
        <v>0</v>
      </c>
      <c r="G2197" s="643">
        <v>0</v>
      </c>
      <c r="H2197" s="26">
        <v>0</v>
      </c>
      <c r="I2197" s="26">
        <f t="shared" si="235"/>
        <v>0</v>
      </c>
      <c r="J2197" s="1340" t="e">
        <f t="shared" si="233"/>
        <v>#DIV/0!</v>
      </c>
      <c r="K2197" s="1339">
        <f t="shared" si="234"/>
        <v>0</v>
      </c>
    </row>
    <row r="2198" spans="1:11" ht="15" x14ac:dyDescent="0.25">
      <c r="A2198" s="1341"/>
      <c r="B2198" s="624">
        <v>213000</v>
      </c>
      <c r="C2198" s="1344">
        <v>333900800000000</v>
      </c>
      <c r="D2198" s="624" t="s">
        <v>6753</v>
      </c>
      <c r="E2198" s="624">
        <v>1161</v>
      </c>
      <c r="F2198" s="643">
        <v>0</v>
      </c>
      <c r="G2198" s="643">
        <v>0</v>
      </c>
      <c r="H2198" s="26">
        <v>0</v>
      </c>
      <c r="I2198" s="26">
        <f t="shared" si="235"/>
        <v>0</v>
      </c>
      <c r="J2198" s="1340" t="e">
        <f t="shared" si="233"/>
        <v>#DIV/0!</v>
      </c>
      <c r="K2198" s="1339">
        <f t="shared" si="234"/>
        <v>0</v>
      </c>
    </row>
    <row r="2199" spans="1:11" ht="15" x14ac:dyDescent="0.25">
      <c r="A2199" s="1341"/>
      <c r="B2199" s="624">
        <v>215000</v>
      </c>
      <c r="C2199" s="1344">
        <v>333900800000000</v>
      </c>
      <c r="D2199" s="624" t="s">
        <v>6762</v>
      </c>
      <c r="E2199" s="624">
        <v>1161</v>
      </c>
      <c r="F2199" s="643">
        <v>0</v>
      </c>
      <c r="G2199" s="643">
        <v>0</v>
      </c>
      <c r="H2199" s="26">
        <v>0</v>
      </c>
      <c r="I2199" s="26">
        <f t="shared" si="235"/>
        <v>0</v>
      </c>
      <c r="J2199" s="1340" t="e">
        <f t="shared" si="233"/>
        <v>#DIV/0!</v>
      </c>
      <c r="K2199" s="1339">
        <f t="shared" si="234"/>
        <v>0</v>
      </c>
    </row>
    <row r="2200" spans="1:11" ht="15" x14ac:dyDescent="0.25">
      <c r="A2200" s="1341"/>
      <c r="B2200" s="624">
        <v>211100</v>
      </c>
      <c r="C2200" s="1344">
        <v>333901400000000</v>
      </c>
      <c r="D2200" s="624" t="s">
        <v>6744</v>
      </c>
      <c r="E2200" s="624">
        <v>1161</v>
      </c>
      <c r="F2200" s="643">
        <v>0</v>
      </c>
      <c r="G2200" s="643">
        <v>0</v>
      </c>
      <c r="H2200" s="26">
        <v>0</v>
      </c>
      <c r="I2200" s="26">
        <f t="shared" si="235"/>
        <v>0</v>
      </c>
      <c r="J2200" s="1340" t="e">
        <f t="shared" si="233"/>
        <v>#DIV/0!</v>
      </c>
      <c r="K2200" s="1339">
        <f t="shared" si="234"/>
        <v>0</v>
      </c>
    </row>
    <row r="2201" spans="1:11" ht="15" x14ac:dyDescent="0.25">
      <c r="A2201" s="1341"/>
      <c r="B2201" s="624">
        <v>217700</v>
      </c>
      <c r="C2201" s="1344">
        <v>333901400000000</v>
      </c>
      <c r="D2201" s="624" t="s">
        <v>6681</v>
      </c>
      <c r="E2201" s="624">
        <v>1161</v>
      </c>
      <c r="F2201" s="643">
        <v>1288</v>
      </c>
      <c r="G2201" s="643">
        <v>1708</v>
      </c>
      <c r="H2201" s="26">
        <v>0</v>
      </c>
      <c r="I2201" s="26">
        <f t="shared" si="235"/>
        <v>998.66666666666663</v>
      </c>
      <c r="J2201" s="1340">
        <f t="shared" si="233"/>
        <v>1.326086956521739</v>
      </c>
      <c r="K2201" s="1339">
        <f t="shared" si="234"/>
        <v>1.1068226454139969E-2</v>
      </c>
    </row>
    <row r="2202" spans="1:11" ht="15" x14ac:dyDescent="0.25">
      <c r="A2202" s="1341"/>
      <c r="B2202" s="624">
        <v>211200</v>
      </c>
      <c r="C2202" s="1344">
        <v>333903000000000</v>
      </c>
      <c r="D2202" s="624" t="s">
        <v>6745</v>
      </c>
      <c r="E2202" s="624">
        <v>1161</v>
      </c>
      <c r="F2202" s="643">
        <v>0</v>
      </c>
      <c r="G2202" s="643">
        <v>0</v>
      </c>
      <c r="H2202" s="26">
        <v>0</v>
      </c>
      <c r="I2202" s="26">
        <f t="shared" si="235"/>
        <v>0</v>
      </c>
      <c r="J2202" s="1340" t="e">
        <f t="shared" si="233"/>
        <v>#DIV/0!</v>
      </c>
      <c r="K2202" s="1339">
        <f t="shared" si="234"/>
        <v>0</v>
      </c>
    </row>
    <row r="2203" spans="1:11" ht="15" x14ac:dyDescent="0.25">
      <c r="A2203" s="1341"/>
      <c r="B2203" s="624">
        <v>213100</v>
      </c>
      <c r="C2203" s="1344">
        <v>333903000000000</v>
      </c>
      <c r="D2203" s="624" t="s">
        <v>6754</v>
      </c>
      <c r="E2203" s="624">
        <v>1161</v>
      </c>
      <c r="F2203" s="643">
        <v>0</v>
      </c>
      <c r="G2203" s="643">
        <v>0</v>
      </c>
      <c r="H2203" s="26">
        <v>0</v>
      </c>
      <c r="I2203" s="26">
        <f t="shared" si="235"/>
        <v>0</v>
      </c>
      <c r="J2203" s="1340" t="e">
        <f t="shared" si="233"/>
        <v>#DIV/0!</v>
      </c>
      <c r="K2203" s="1339">
        <f t="shared" si="234"/>
        <v>0</v>
      </c>
    </row>
    <row r="2204" spans="1:11" ht="15" x14ac:dyDescent="0.25">
      <c r="A2204" s="1341"/>
      <c r="B2204" s="624">
        <v>215100</v>
      </c>
      <c r="C2204" s="1344">
        <v>333903000000000</v>
      </c>
      <c r="D2204" s="624" t="s">
        <v>6763</v>
      </c>
      <c r="E2204" s="624">
        <v>1161</v>
      </c>
      <c r="F2204" s="643">
        <v>0</v>
      </c>
      <c r="G2204" s="643">
        <v>0</v>
      </c>
      <c r="H2204" s="26">
        <v>0</v>
      </c>
      <c r="I2204" s="26">
        <f t="shared" si="235"/>
        <v>0</v>
      </c>
      <c r="J2204" s="1340" t="e">
        <f t="shared" si="233"/>
        <v>#DIV/0!</v>
      </c>
      <c r="K2204" s="1339">
        <f t="shared" si="234"/>
        <v>0</v>
      </c>
    </row>
    <row r="2205" spans="1:11" ht="15" x14ac:dyDescent="0.25">
      <c r="A2205" s="1341"/>
      <c r="B2205" s="624">
        <v>217800</v>
      </c>
      <c r="C2205" s="1344">
        <v>333903000000000</v>
      </c>
      <c r="D2205" s="624" t="s">
        <v>6682</v>
      </c>
      <c r="E2205" s="624">
        <v>1161</v>
      </c>
      <c r="F2205" s="643">
        <v>6435.45</v>
      </c>
      <c r="G2205" s="643">
        <v>23170.41</v>
      </c>
      <c r="H2205" s="26">
        <v>0</v>
      </c>
      <c r="I2205" s="26">
        <f t="shared" si="235"/>
        <v>9868.6200000000008</v>
      </c>
      <c r="J2205" s="1340">
        <f t="shared" si="233"/>
        <v>3.6004335361163555</v>
      </c>
      <c r="K2205" s="1339">
        <f t="shared" si="234"/>
        <v>0.10937395288703752</v>
      </c>
    </row>
    <row r="2206" spans="1:11" ht="15" x14ac:dyDescent="0.25">
      <c r="A2206" s="1341"/>
      <c r="B2206" s="624">
        <v>211300</v>
      </c>
      <c r="C2206" s="1344">
        <v>333903200000000</v>
      </c>
      <c r="D2206" s="624" t="s">
        <v>7347</v>
      </c>
      <c r="E2206" s="624">
        <v>1161</v>
      </c>
      <c r="F2206" s="643">
        <v>0</v>
      </c>
      <c r="G2206" s="643">
        <v>0</v>
      </c>
      <c r="H2206" s="26">
        <v>0</v>
      </c>
      <c r="I2206" s="26">
        <f t="shared" si="235"/>
        <v>0</v>
      </c>
      <c r="J2206" s="1340" t="e">
        <f t="shared" si="233"/>
        <v>#DIV/0!</v>
      </c>
      <c r="K2206" s="1339">
        <f t="shared" si="234"/>
        <v>0</v>
      </c>
    </row>
    <row r="2207" spans="1:11" ht="15" x14ac:dyDescent="0.25">
      <c r="A2207" s="1341"/>
      <c r="B2207" s="624">
        <v>213200</v>
      </c>
      <c r="C2207" s="1344">
        <v>333903200000000</v>
      </c>
      <c r="D2207" s="624" t="s">
        <v>7346</v>
      </c>
      <c r="E2207" s="624">
        <v>1161</v>
      </c>
      <c r="F2207" s="643">
        <v>0</v>
      </c>
      <c r="G2207" s="643">
        <v>0</v>
      </c>
      <c r="H2207" s="26">
        <v>0</v>
      </c>
      <c r="I2207" s="26">
        <f t="shared" si="235"/>
        <v>0</v>
      </c>
      <c r="J2207" s="1340" t="e">
        <f t="shared" si="233"/>
        <v>#DIV/0!</v>
      </c>
      <c r="K2207" s="1339">
        <f t="shared" si="234"/>
        <v>0</v>
      </c>
    </row>
    <row r="2208" spans="1:11" ht="15" x14ac:dyDescent="0.25">
      <c r="A2208" s="1341"/>
      <c r="B2208" s="624">
        <v>215200</v>
      </c>
      <c r="C2208" s="1344">
        <v>333903200000000</v>
      </c>
      <c r="D2208" s="624" t="s">
        <v>7345</v>
      </c>
      <c r="E2208" s="624">
        <v>1161</v>
      </c>
      <c r="F2208" s="643">
        <v>0</v>
      </c>
      <c r="G2208" s="643">
        <v>0</v>
      </c>
      <c r="H2208" s="26">
        <v>0</v>
      </c>
      <c r="I2208" s="26">
        <f t="shared" si="235"/>
        <v>0</v>
      </c>
      <c r="J2208" s="1340" t="e">
        <f t="shared" si="233"/>
        <v>#DIV/0!</v>
      </c>
      <c r="K2208" s="1339">
        <f t="shared" si="234"/>
        <v>0</v>
      </c>
    </row>
    <row r="2209" spans="1:11" ht="15" x14ac:dyDescent="0.25">
      <c r="A2209" s="1341"/>
      <c r="B2209" s="624">
        <v>217900</v>
      </c>
      <c r="C2209" s="1344">
        <v>333903300000000</v>
      </c>
      <c r="D2209" s="624" t="s">
        <v>6683</v>
      </c>
      <c r="E2209" s="624">
        <v>1161</v>
      </c>
      <c r="F2209" s="643">
        <v>0</v>
      </c>
      <c r="G2209" s="643">
        <v>0</v>
      </c>
      <c r="H2209" s="26">
        <v>0</v>
      </c>
      <c r="I2209" s="26">
        <f t="shared" si="235"/>
        <v>0</v>
      </c>
      <c r="J2209" s="1340" t="e">
        <f t="shared" si="233"/>
        <v>#DIV/0!</v>
      </c>
      <c r="K2209" s="1339">
        <f t="shared" si="234"/>
        <v>0</v>
      </c>
    </row>
    <row r="2210" spans="1:11" ht="15" x14ac:dyDescent="0.25">
      <c r="A2210" s="1341"/>
      <c r="B2210" s="624">
        <v>211400</v>
      </c>
      <c r="C2210" s="1344">
        <v>333903600000000</v>
      </c>
      <c r="D2210" s="624" t="s">
        <v>6747</v>
      </c>
      <c r="E2210" s="624">
        <v>1161</v>
      </c>
      <c r="F2210" s="643">
        <v>0</v>
      </c>
      <c r="G2210" s="643">
        <v>0</v>
      </c>
      <c r="H2210" s="26">
        <v>0</v>
      </c>
      <c r="I2210" s="26">
        <f t="shared" si="235"/>
        <v>0</v>
      </c>
      <c r="J2210" s="1340" t="e">
        <f t="shared" si="233"/>
        <v>#DIV/0!</v>
      </c>
      <c r="K2210" s="1339">
        <f t="shared" si="234"/>
        <v>0</v>
      </c>
    </row>
    <row r="2211" spans="1:11" ht="15" x14ac:dyDescent="0.25">
      <c r="A2211" s="1341"/>
      <c r="B2211" s="624">
        <v>213300</v>
      </c>
      <c r="C2211" s="1344">
        <v>333903600000000</v>
      </c>
      <c r="D2211" s="624" t="s">
        <v>6756</v>
      </c>
      <c r="E2211" s="624">
        <v>1161</v>
      </c>
      <c r="F2211" s="643">
        <v>0</v>
      </c>
      <c r="G2211" s="643">
        <v>0</v>
      </c>
      <c r="H2211" s="26">
        <v>0</v>
      </c>
      <c r="I2211" s="26">
        <f t="shared" si="235"/>
        <v>0</v>
      </c>
      <c r="J2211" s="1340" t="e">
        <f t="shared" si="233"/>
        <v>#DIV/0!</v>
      </c>
      <c r="K2211" s="1339">
        <f t="shared" si="234"/>
        <v>0</v>
      </c>
    </row>
    <row r="2212" spans="1:11" ht="15" x14ac:dyDescent="0.25">
      <c r="A2212" s="1341"/>
      <c r="B2212" s="624">
        <v>215300</v>
      </c>
      <c r="C2212" s="1344">
        <v>333903600000000</v>
      </c>
      <c r="D2212" s="624" t="s">
        <v>6765</v>
      </c>
      <c r="E2212" s="624">
        <v>1161</v>
      </c>
      <c r="F2212" s="643">
        <v>0</v>
      </c>
      <c r="G2212" s="643">
        <v>0</v>
      </c>
      <c r="H2212" s="26">
        <v>0</v>
      </c>
      <c r="I2212" s="26">
        <f t="shared" si="235"/>
        <v>0</v>
      </c>
      <c r="J2212" s="1340" t="e">
        <f t="shared" si="233"/>
        <v>#DIV/0!</v>
      </c>
      <c r="K2212" s="1339">
        <f t="shared" si="234"/>
        <v>0</v>
      </c>
    </row>
    <row r="2213" spans="1:11" ht="15" x14ac:dyDescent="0.25">
      <c r="A2213" s="1341"/>
      <c r="B2213" s="624">
        <v>218000</v>
      </c>
      <c r="C2213" s="1344">
        <v>333903600000000</v>
      </c>
      <c r="D2213" s="624" t="s">
        <v>6684</v>
      </c>
      <c r="E2213" s="624">
        <v>1161</v>
      </c>
      <c r="F2213" s="643">
        <v>2325</v>
      </c>
      <c r="G2213" s="643">
        <v>16867.02</v>
      </c>
      <c r="H2213" s="26">
        <v>0</v>
      </c>
      <c r="I2213" s="26">
        <f t="shared" si="235"/>
        <v>6397.34</v>
      </c>
      <c r="J2213" s="1340">
        <f t="shared" si="233"/>
        <v>7.2546322580645164</v>
      </c>
      <c r="K2213" s="1339">
        <f t="shared" si="234"/>
        <v>7.0901743482103943E-2</v>
      </c>
    </row>
    <row r="2214" spans="1:11" ht="15" x14ac:dyDescent="0.25">
      <c r="A2214" s="1341"/>
      <c r="B2214" s="624">
        <v>211500</v>
      </c>
      <c r="C2214" s="1344">
        <v>333903900000000</v>
      </c>
      <c r="D2214" s="624" t="s">
        <v>6748</v>
      </c>
      <c r="E2214" s="624">
        <v>1161</v>
      </c>
      <c r="F2214" s="643">
        <v>0</v>
      </c>
      <c r="G2214" s="643">
        <v>0</v>
      </c>
      <c r="H2214" s="26">
        <v>0</v>
      </c>
      <c r="I2214" s="26">
        <f t="shared" si="235"/>
        <v>0</v>
      </c>
      <c r="J2214" s="1340" t="e">
        <f t="shared" si="233"/>
        <v>#DIV/0!</v>
      </c>
      <c r="K2214" s="1339">
        <f t="shared" si="234"/>
        <v>0</v>
      </c>
    </row>
    <row r="2215" spans="1:11" ht="15" x14ac:dyDescent="0.25">
      <c r="A2215" s="1341"/>
      <c r="B2215" s="624">
        <v>213400</v>
      </c>
      <c r="C2215" s="1344">
        <v>333903900000000</v>
      </c>
      <c r="D2215" s="624" t="s">
        <v>6757</v>
      </c>
      <c r="E2215" s="624">
        <v>1161</v>
      </c>
      <c r="F2215" s="643">
        <v>0</v>
      </c>
      <c r="G2215" s="643">
        <v>0</v>
      </c>
      <c r="H2215" s="26">
        <v>0</v>
      </c>
      <c r="I2215" s="26">
        <f t="shared" si="235"/>
        <v>0</v>
      </c>
      <c r="J2215" s="1340" t="e">
        <f t="shared" si="233"/>
        <v>#DIV/0!</v>
      </c>
      <c r="K2215" s="1339">
        <f t="shared" si="234"/>
        <v>0</v>
      </c>
    </row>
    <row r="2216" spans="1:11" ht="15" x14ac:dyDescent="0.25">
      <c r="A2216" s="1341"/>
      <c r="B2216" s="624">
        <v>215400</v>
      </c>
      <c r="C2216" s="1344">
        <v>333903900000000</v>
      </c>
      <c r="D2216" s="624" t="s">
        <v>6766</v>
      </c>
      <c r="E2216" s="624">
        <v>1161</v>
      </c>
      <c r="F2216" s="643">
        <v>0</v>
      </c>
      <c r="G2216" s="643">
        <v>0</v>
      </c>
      <c r="H2216" s="26">
        <v>0</v>
      </c>
      <c r="I2216" s="26">
        <f t="shared" si="235"/>
        <v>0</v>
      </c>
      <c r="J2216" s="1340" t="e">
        <f t="shared" si="233"/>
        <v>#DIV/0!</v>
      </c>
      <c r="K2216" s="1339">
        <f t="shared" si="234"/>
        <v>0</v>
      </c>
    </row>
    <row r="2217" spans="1:11" ht="15" x14ac:dyDescent="0.25">
      <c r="A2217" s="1341"/>
      <c r="B2217" s="624">
        <v>218100</v>
      </c>
      <c r="C2217" s="1344">
        <v>333903900000000</v>
      </c>
      <c r="D2217" s="624" t="s">
        <v>6685</v>
      </c>
      <c r="E2217" s="624">
        <v>1161</v>
      </c>
      <c r="F2217" s="643">
        <v>26153.98</v>
      </c>
      <c r="G2217" s="643">
        <v>33148.839999999997</v>
      </c>
      <c r="H2217" s="26">
        <v>0</v>
      </c>
      <c r="I2217" s="26">
        <f t="shared" si="235"/>
        <v>19767.606666666663</v>
      </c>
      <c r="J2217" s="1340">
        <f t="shared" si="233"/>
        <v>1.267449160701354</v>
      </c>
      <c r="K2217" s="1339">
        <f t="shared" si="234"/>
        <v>0.21908445965590814</v>
      </c>
    </row>
    <row r="2218" spans="1:11" ht="15" x14ac:dyDescent="0.25">
      <c r="A2218" s="1341"/>
      <c r="B2218" s="624">
        <v>218200</v>
      </c>
      <c r="C2218" s="1344">
        <v>333904600000000</v>
      </c>
      <c r="D2218" s="624" t="s">
        <v>6686</v>
      </c>
      <c r="E2218" s="624">
        <v>1161</v>
      </c>
      <c r="F2218" s="643">
        <v>0</v>
      </c>
      <c r="G2218" s="643">
        <v>0</v>
      </c>
      <c r="H2218" s="26">
        <v>0</v>
      </c>
      <c r="I2218" s="26">
        <f t="shared" si="235"/>
        <v>0</v>
      </c>
      <c r="J2218" s="1340" t="e">
        <f t="shared" si="233"/>
        <v>#DIV/0!</v>
      </c>
      <c r="K2218" s="1339">
        <f t="shared" si="234"/>
        <v>0</v>
      </c>
    </row>
    <row r="2219" spans="1:11" ht="15" x14ac:dyDescent="0.25">
      <c r="A2219" s="1341"/>
      <c r="B2219" s="624">
        <v>211600</v>
      </c>
      <c r="C2219" s="1344">
        <v>333904700000000</v>
      </c>
      <c r="D2219" s="624" t="s">
        <v>6749</v>
      </c>
      <c r="E2219" s="624">
        <v>1161</v>
      </c>
      <c r="F2219" s="643">
        <v>0</v>
      </c>
      <c r="G2219" s="643">
        <v>0</v>
      </c>
      <c r="H2219" s="26">
        <v>0</v>
      </c>
      <c r="I2219" s="26">
        <f t="shared" si="235"/>
        <v>0</v>
      </c>
      <c r="J2219" s="1340" t="e">
        <f t="shared" si="233"/>
        <v>#DIV/0!</v>
      </c>
      <c r="K2219" s="1339">
        <f t="shared" si="234"/>
        <v>0</v>
      </c>
    </row>
    <row r="2220" spans="1:11" ht="15" x14ac:dyDescent="0.25">
      <c r="A2220" s="1341"/>
      <c r="B2220" s="624">
        <v>213500</v>
      </c>
      <c r="C2220" s="1344">
        <v>333904700000000</v>
      </c>
      <c r="D2220" s="624" t="s">
        <v>6758</v>
      </c>
      <c r="E2220" s="624">
        <v>1161</v>
      </c>
      <c r="F2220" s="643">
        <v>0</v>
      </c>
      <c r="G2220" s="643">
        <v>0</v>
      </c>
      <c r="H2220" s="26">
        <v>0</v>
      </c>
      <c r="I2220" s="26">
        <f t="shared" si="235"/>
        <v>0</v>
      </c>
      <c r="J2220" s="1340" t="e">
        <f t="shared" si="233"/>
        <v>#DIV/0!</v>
      </c>
      <c r="K2220" s="1339">
        <f t="shared" si="234"/>
        <v>0</v>
      </c>
    </row>
    <row r="2221" spans="1:11" ht="15" x14ac:dyDescent="0.25">
      <c r="A2221" s="1341"/>
      <c r="B2221" s="624">
        <v>215500</v>
      </c>
      <c r="C2221" s="1344">
        <v>333904700000000</v>
      </c>
      <c r="D2221" s="624" t="s">
        <v>6767</v>
      </c>
      <c r="E2221" s="624">
        <v>1161</v>
      </c>
      <c r="F2221" s="643">
        <v>0</v>
      </c>
      <c r="G2221" s="643">
        <v>0</v>
      </c>
      <c r="H2221" s="26">
        <v>0</v>
      </c>
      <c r="I2221" s="26">
        <f t="shared" si="235"/>
        <v>0</v>
      </c>
      <c r="J2221" s="1340" t="e">
        <f t="shared" ref="J2221:J2252" si="236">(G2221/F2221)+(H2221/G2221)/2</f>
        <v>#DIV/0!</v>
      </c>
      <c r="K2221" s="1339">
        <f t="shared" ref="K2221:K2252" si="237">I2221/I$2310</f>
        <v>0</v>
      </c>
    </row>
    <row r="2222" spans="1:11" ht="15" x14ac:dyDescent="0.25">
      <c r="A2222" s="1341"/>
      <c r="B2222" s="624">
        <v>218300</v>
      </c>
      <c r="C2222" s="1344">
        <v>333904700000000</v>
      </c>
      <c r="D2222" s="624" t="s">
        <v>7344</v>
      </c>
      <c r="E2222" s="624">
        <v>1161</v>
      </c>
      <c r="F2222" s="643">
        <v>551</v>
      </c>
      <c r="G2222" s="643">
        <v>432.67</v>
      </c>
      <c r="H2222" s="26">
        <v>0</v>
      </c>
      <c r="I2222" s="26">
        <f t="shared" ref="I2222:I2240" si="238">(F2222+G2222+H2222)/3</f>
        <v>327.89000000000004</v>
      </c>
      <c r="J2222" s="1340">
        <f t="shared" si="236"/>
        <v>0.78524500907441019</v>
      </c>
      <c r="K2222" s="1339">
        <f t="shared" si="237"/>
        <v>3.6340061135326654E-3</v>
      </c>
    </row>
    <row r="2223" spans="1:11" ht="15" x14ac:dyDescent="0.25">
      <c r="A2223" s="1341"/>
      <c r="B2223" s="624">
        <v>218400</v>
      </c>
      <c r="C2223" s="1344">
        <v>333904900000000</v>
      </c>
      <c r="D2223" s="624" t="s">
        <v>6687</v>
      </c>
      <c r="E2223" s="624">
        <v>1161</v>
      </c>
      <c r="F2223" s="643">
        <v>530.05999999999995</v>
      </c>
      <c r="G2223" s="643">
        <v>460.24</v>
      </c>
      <c r="H2223" s="26">
        <v>0</v>
      </c>
      <c r="I2223" s="26">
        <f t="shared" si="238"/>
        <v>330.09999999999997</v>
      </c>
      <c r="J2223" s="1340">
        <f t="shared" si="236"/>
        <v>0.86827906274761357</v>
      </c>
      <c r="K2223" s="1339">
        <f t="shared" si="237"/>
        <v>3.6584995519141558E-3</v>
      </c>
    </row>
    <row r="2224" spans="1:11" ht="15" x14ac:dyDescent="0.25">
      <c r="A2224" s="1341"/>
      <c r="B2224" s="624">
        <v>211700</v>
      </c>
      <c r="C2224" s="1344">
        <v>333909200000000</v>
      </c>
      <c r="D2224" s="624" t="s">
        <v>6750</v>
      </c>
      <c r="E2224" s="624">
        <v>1161</v>
      </c>
      <c r="F2224" s="643">
        <v>0</v>
      </c>
      <c r="G2224" s="643">
        <v>0</v>
      </c>
      <c r="H2224" s="26">
        <v>0</v>
      </c>
      <c r="I2224" s="26">
        <f t="shared" si="238"/>
        <v>0</v>
      </c>
      <c r="J2224" s="1340" t="e">
        <f t="shared" si="236"/>
        <v>#DIV/0!</v>
      </c>
      <c r="K2224" s="1339">
        <f t="shared" si="237"/>
        <v>0</v>
      </c>
    </row>
    <row r="2225" spans="1:11" ht="15" x14ac:dyDescent="0.25">
      <c r="A2225" s="1341"/>
      <c r="B2225" s="624">
        <v>213600</v>
      </c>
      <c r="C2225" s="1344">
        <v>333909200000000</v>
      </c>
      <c r="D2225" s="624" t="s">
        <v>6759</v>
      </c>
      <c r="E2225" s="624">
        <v>1161</v>
      </c>
      <c r="F2225" s="643">
        <v>0</v>
      </c>
      <c r="G2225" s="643">
        <v>0</v>
      </c>
      <c r="H2225" s="26">
        <v>0</v>
      </c>
      <c r="I2225" s="26">
        <f t="shared" si="238"/>
        <v>0</v>
      </c>
      <c r="J2225" s="1340" t="e">
        <f t="shared" si="236"/>
        <v>#DIV/0!</v>
      </c>
      <c r="K2225" s="1339">
        <f t="shared" si="237"/>
        <v>0</v>
      </c>
    </row>
    <row r="2226" spans="1:11" ht="15" x14ac:dyDescent="0.25">
      <c r="A2226" s="1341"/>
      <c r="B2226" s="624">
        <v>215600</v>
      </c>
      <c r="C2226" s="1344">
        <v>333909200000000</v>
      </c>
      <c r="D2226" s="624" t="s">
        <v>6768</v>
      </c>
      <c r="E2226" s="624">
        <v>1161</v>
      </c>
      <c r="F2226" s="643">
        <v>0</v>
      </c>
      <c r="G2226" s="643">
        <v>0</v>
      </c>
      <c r="H2226" s="26">
        <v>0</v>
      </c>
      <c r="I2226" s="26">
        <f t="shared" si="238"/>
        <v>0</v>
      </c>
      <c r="J2226" s="1340" t="e">
        <f t="shared" si="236"/>
        <v>#DIV/0!</v>
      </c>
      <c r="K2226" s="1339">
        <f t="shared" si="237"/>
        <v>0</v>
      </c>
    </row>
    <row r="2227" spans="1:11" ht="15" x14ac:dyDescent="0.25">
      <c r="A2227" s="1341"/>
      <c r="B2227" s="624">
        <v>218500</v>
      </c>
      <c r="C2227" s="1344">
        <v>333909200000000</v>
      </c>
      <c r="D2227" s="624" t="s">
        <v>6688</v>
      </c>
      <c r="E2227" s="624">
        <v>1161</v>
      </c>
      <c r="F2227" s="643">
        <v>0</v>
      </c>
      <c r="G2227" s="643">
        <v>490</v>
      </c>
      <c r="H2227" s="26">
        <v>0</v>
      </c>
      <c r="I2227" s="26">
        <f t="shared" si="238"/>
        <v>163.33333333333334</v>
      </c>
      <c r="J2227" s="1340" t="e">
        <f t="shared" si="236"/>
        <v>#DIV/0!</v>
      </c>
      <c r="K2227" s="1339">
        <f t="shared" si="237"/>
        <v>1.8102239527799018E-3</v>
      </c>
    </row>
    <row r="2228" spans="1:11" ht="15" x14ac:dyDescent="0.25">
      <c r="A2228" s="1341"/>
      <c r="B2228" s="624">
        <v>218600</v>
      </c>
      <c r="C2228" s="1344">
        <v>333909300000000</v>
      </c>
      <c r="D2228" s="624" t="s">
        <v>6689</v>
      </c>
      <c r="E2228" s="624">
        <v>1161</v>
      </c>
      <c r="F2228" s="643">
        <v>0</v>
      </c>
      <c r="G2228" s="643">
        <v>0</v>
      </c>
      <c r="H2228" s="26">
        <v>0</v>
      </c>
      <c r="I2228" s="26">
        <f t="shared" si="238"/>
        <v>0</v>
      </c>
      <c r="J2228" s="1340" t="e">
        <f t="shared" si="236"/>
        <v>#DIV/0!</v>
      </c>
      <c r="K2228" s="1339">
        <f t="shared" si="237"/>
        <v>0</v>
      </c>
    </row>
    <row r="2229" spans="1:11" ht="15" x14ac:dyDescent="0.25">
      <c r="A2229" s="1341"/>
      <c r="B2229" s="624">
        <v>211800</v>
      </c>
      <c r="C2229" s="1344">
        <v>344905100000000</v>
      </c>
      <c r="D2229" s="624" t="s">
        <v>6751</v>
      </c>
      <c r="E2229" s="624">
        <v>1161</v>
      </c>
      <c r="F2229" s="643">
        <v>0</v>
      </c>
      <c r="G2229" s="643">
        <v>0</v>
      </c>
      <c r="H2229" s="26">
        <v>0</v>
      </c>
      <c r="I2229" s="26">
        <f t="shared" si="238"/>
        <v>0</v>
      </c>
      <c r="J2229" s="1340" t="e">
        <f t="shared" si="236"/>
        <v>#DIV/0!</v>
      </c>
      <c r="K2229" s="1339">
        <f t="shared" si="237"/>
        <v>0</v>
      </c>
    </row>
    <row r="2230" spans="1:11" ht="15" x14ac:dyDescent="0.25">
      <c r="A2230" s="1341"/>
      <c r="B2230" s="624">
        <v>213700</v>
      </c>
      <c r="C2230" s="1344">
        <v>344905100000000</v>
      </c>
      <c r="D2230" s="624" t="s">
        <v>6760</v>
      </c>
      <c r="E2230" s="624">
        <v>1161</v>
      </c>
      <c r="F2230" s="643">
        <v>0</v>
      </c>
      <c r="G2230" s="643">
        <v>0</v>
      </c>
      <c r="H2230" s="26">
        <v>0</v>
      </c>
      <c r="I2230" s="26">
        <f t="shared" si="238"/>
        <v>0</v>
      </c>
      <c r="J2230" s="1340" t="e">
        <f t="shared" si="236"/>
        <v>#DIV/0!</v>
      </c>
      <c r="K2230" s="1339">
        <f t="shared" si="237"/>
        <v>0</v>
      </c>
    </row>
    <row r="2231" spans="1:11" ht="15" x14ac:dyDescent="0.25">
      <c r="A2231" s="1341"/>
      <c r="B2231" s="624">
        <v>215700</v>
      </c>
      <c r="C2231" s="1344">
        <v>344905100000000</v>
      </c>
      <c r="D2231" s="624" t="s">
        <v>6769</v>
      </c>
      <c r="E2231" s="624">
        <v>1161</v>
      </c>
      <c r="F2231" s="643">
        <v>0</v>
      </c>
      <c r="G2231" s="643">
        <v>0</v>
      </c>
      <c r="H2231" s="26">
        <v>0</v>
      </c>
      <c r="I2231" s="26">
        <f t="shared" si="238"/>
        <v>0</v>
      </c>
      <c r="J2231" s="1340" t="e">
        <f t="shared" si="236"/>
        <v>#DIV/0!</v>
      </c>
      <c r="K2231" s="1339">
        <f t="shared" si="237"/>
        <v>0</v>
      </c>
    </row>
    <row r="2232" spans="1:11" ht="15" x14ac:dyDescent="0.25">
      <c r="A2232" s="1341"/>
      <c r="B2232" s="624">
        <v>218700</v>
      </c>
      <c r="C2232" s="1344">
        <v>344905100000000</v>
      </c>
      <c r="D2232" s="624" t="s">
        <v>6690</v>
      </c>
      <c r="E2232" s="624">
        <v>1161</v>
      </c>
      <c r="F2232" s="643">
        <v>0</v>
      </c>
      <c r="G2232" s="643">
        <v>0</v>
      </c>
      <c r="H2232" s="26">
        <v>0</v>
      </c>
      <c r="I2232" s="26">
        <f t="shared" si="238"/>
        <v>0</v>
      </c>
      <c r="J2232" s="1340" t="e">
        <f t="shared" si="236"/>
        <v>#DIV/0!</v>
      </c>
      <c r="K2232" s="1339">
        <f t="shared" si="237"/>
        <v>0</v>
      </c>
    </row>
    <row r="2233" spans="1:11" ht="15" x14ac:dyDescent="0.25">
      <c r="A2233" s="1341"/>
      <c r="B2233" s="624">
        <v>218800</v>
      </c>
      <c r="C2233" s="1344">
        <v>344905100000000</v>
      </c>
      <c r="D2233" s="624" t="s">
        <v>5591</v>
      </c>
      <c r="E2233" s="624">
        <v>1</v>
      </c>
      <c r="F2233" s="643">
        <v>0</v>
      </c>
      <c r="G2233" s="643">
        <v>0</v>
      </c>
      <c r="H2233" s="26">
        <v>0</v>
      </c>
      <c r="I2233" s="26">
        <f t="shared" si="238"/>
        <v>0</v>
      </c>
      <c r="J2233" s="1340" t="e">
        <f t="shared" si="236"/>
        <v>#DIV/0!</v>
      </c>
      <c r="K2233" s="1339">
        <f t="shared" si="237"/>
        <v>0</v>
      </c>
    </row>
    <row r="2234" spans="1:11" ht="15" x14ac:dyDescent="0.25">
      <c r="A2234" s="1341"/>
      <c r="B2234" s="624">
        <v>218900</v>
      </c>
      <c r="C2234" s="1344">
        <v>344905100000000</v>
      </c>
      <c r="D2234" s="624" t="s">
        <v>5592</v>
      </c>
      <c r="E2234" s="624">
        <v>1167</v>
      </c>
      <c r="F2234" s="643">
        <v>0</v>
      </c>
      <c r="G2234" s="643">
        <v>0</v>
      </c>
      <c r="H2234" s="26">
        <v>0</v>
      </c>
      <c r="I2234" s="26">
        <f t="shared" si="238"/>
        <v>0</v>
      </c>
      <c r="J2234" s="1340" t="e">
        <f t="shared" si="236"/>
        <v>#DIV/0!</v>
      </c>
      <c r="K2234" s="1339">
        <f t="shared" si="237"/>
        <v>0</v>
      </c>
    </row>
    <row r="2235" spans="1:11" ht="15" x14ac:dyDescent="0.25">
      <c r="A2235" s="1341"/>
      <c r="B2235" s="624">
        <v>211900</v>
      </c>
      <c r="C2235" s="1344">
        <v>344905200000000</v>
      </c>
      <c r="D2235" s="624" t="s">
        <v>6752</v>
      </c>
      <c r="E2235" s="624">
        <v>1161</v>
      </c>
      <c r="F2235" s="643">
        <v>0</v>
      </c>
      <c r="G2235" s="643">
        <v>0</v>
      </c>
      <c r="H2235" s="26">
        <v>0</v>
      </c>
      <c r="I2235" s="26">
        <f t="shared" si="238"/>
        <v>0</v>
      </c>
      <c r="J2235" s="1340" t="e">
        <f t="shared" si="236"/>
        <v>#DIV/0!</v>
      </c>
      <c r="K2235" s="1339">
        <f t="shared" si="237"/>
        <v>0</v>
      </c>
    </row>
    <row r="2236" spans="1:11" ht="15" x14ac:dyDescent="0.25">
      <c r="A2236" s="1341"/>
      <c r="B2236" s="624">
        <v>213800</v>
      </c>
      <c r="C2236" s="1344">
        <v>344905200000000</v>
      </c>
      <c r="D2236" s="624" t="s">
        <v>6761</v>
      </c>
      <c r="E2236" s="624">
        <v>1161</v>
      </c>
      <c r="F2236" s="643">
        <v>0</v>
      </c>
      <c r="G2236" s="643">
        <v>0</v>
      </c>
      <c r="H2236" s="26">
        <v>0</v>
      </c>
      <c r="I2236" s="26">
        <f t="shared" si="238"/>
        <v>0</v>
      </c>
      <c r="J2236" s="1340" t="e">
        <f t="shared" si="236"/>
        <v>#DIV/0!</v>
      </c>
      <c r="K2236" s="1339">
        <f t="shared" si="237"/>
        <v>0</v>
      </c>
    </row>
    <row r="2237" spans="1:11" ht="15" x14ac:dyDescent="0.25">
      <c r="A2237" s="1341"/>
      <c r="B2237" s="624">
        <v>215800</v>
      </c>
      <c r="C2237" s="1344">
        <v>344905200000000</v>
      </c>
      <c r="D2237" s="624" t="s">
        <v>6770</v>
      </c>
      <c r="E2237" s="624">
        <v>1161</v>
      </c>
      <c r="F2237" s="643">
        <v>0</v>
      </c>
      <c r="G2237" s="643">
        <v>0</v>
      </c>
      <c r="H2237" s="26">
        <v>0</v>
      </c>
      <c r="I2237" s="26">
        <f t="shared" si="238"/>
        <v>0</v>
      </c>
      <c r="J2237" s="1340" t="e">
        <f t="shared" si="236"/>
        <v>#DIV/0!</v>
      </c>
      <c r="K2237" s="1339">
        <f t="shared" si="237"/>
        <v>0</v>
      </c>
    </row>
    <row r="2238" spans="1:11" ht="15" x14ac:dyDescent="0.25">
      <c r="A2238" s="1341"/>
      <c r="B2238" s="624">
        <v>219000</v>
      </c>
      <c r="C2238" s="1344">
        <v>344905200000000</v>
      </c>
      <c r="D2238" s="624" t="s">
        <v>6691</v>
      </c>
      <c r="E2238" s="624">
        <v>1161</v>
      </c>
      <c r="F2238" s="643">
        <v>0</v>
      </c>
      <c r="G2238" s="643">
        <v>0</v>
      </c>
      <c r="H2238" s="26">
        <v>0</v>
      </c>
      <c r="I2238" s="26">
        <f t="shared" si="238"/>
        <v>0</v>
      </c>
      <c r="J2238" s="1340" t="e">
        <f t="shared" si="236"/>
        <v>#DIV/0!</v>
      </c>
      <c r="K2238" s="1339">
        <f t="shared" si="237"/>
        <v>0</v>
      </c>
    </row>
    <row r="2239" spans="1:11" ht="15" x14ac:dyDescent="0.25">
      <c r="A2239" s="1341"/>
      <c r="B2239" s="624">
        <v>219100</v>
      </c>
      <c r="C2239" s="1344">
        <v>344905200000000</v>
      </c>
      <c r="D2239" s="624" t="s">
        <v>5593</v>
      </c>
      <c r="E2239" s="624">
        <v>1</v>
      </c>
      <c r="F2239" s="643">
        <v>0</v>
      </c>
      <c r="G2239" s="643">
        <v>0</v>
      </c>
      <c r="H2239" s="26">
        <v>0</v>
      </c>
      <c r="I2239" s="26">
        <f t="shared" si="238"/>
        <v>0</v>
      </c>
      <c r="J2239" s="1340" t="e">
        <f t="shared" si="236"/>
        <v>#DIV/0!</v>
      </c>
      <c r="K2239" s="1339">
        <f t="shared" si="237"/>
        <v>0</v>
      </c>
    </row>
    <row r="2240" spans="1:11" ht="15" x14ac:dyDescent="0.25">
      <c r="A2240" s="1341"/>
      <c r="B2240" s="624">
        <v>219200</v>
      </c>
      <c r="C2240" s="1344">
        <v>344905200000000</v>
      </c>
      <c r="D2240" s="624" t="s">
        <v>5594</v>
      </c>
      <c r="E2240" s="624">
        <v>1167</v>
      </c>
      <c r="F2240" s="643">
        <v>0</v>
      </c>
      <c r="G2240" s="643">
        <v>0</v>
      </c>
      <c r="H2240" s="26">
        <v>0</v>
      </c>
      <c r="I2240" s="26">
        <f t="shared" si="238"/>
        <v>0</v>
      </c>
      <c r="J2240" s="1340" t="e">
        <f t="shared" si="236"/>
        <v>#DIV/0!</v>
      </c>
      <c r="K2240" s="1339">
        <f t="shared" si="237"/>
        <v>0</v>
      </c>
    </row>
    <row r="2241" spans="1:11" s="12" customFormat="1" ht="15" x14ac:dyDescent="0.25">
      <c r="A2241" s="1081"/>
      <c r="B2241" s="570" t="s">
        <v>2965</v>
      </c>
      <c r="C2241" s="1345">
        <v>14</v>
      </c>
      <c r="D2241" s="570" t="s">
        <v>7343</v>
      </c>
      <c r="E2241" s="570"/>
      <c r="F2241" s="642">
        <f>SUM(F2242:F2290)</f>
        <v>0</v>
      </c>
      <c r="G2241" s="642">
        <f>SUM(G2242:G2290)</f>
        <v>1891.94</v>
      </c>
      <c r="H2241" s="642">
        <f>SUM(H2242:H2290)</f>
        <v>0</v>
      </c>
      <c r="I2241" s="642">
        <f>SUM(I2242:I2290)</f>
        <v>630.64666666666665</v>
      </c>
      <c r="J2241" s="1338" t="e">
        <f t="shared" si="236"/>
        <v>#DIV/0!</v>
      </c>
      <c r="K2241" s="1337">
        <f t="shared" si="237"/>
        <v>6.9894593984130759E-3</v>
      </c>
    </row>
    <row r="2242" spans="1:11" ht="15" x14ac:dyDescent="0.25">
      <c r="A2242" s="1341"/>
      <c r="B2242" s="624">
        <v>227000</v>
      </c>
      <c r="C2242" s="1344">
        <v>331900400000000</v>
      </c>
      <c r="D2242" s="624" t="s">
        <v>6703</v>
      </c>
      <c r="E2242" s="624">
        <v>1162</v>
      </c>
      <c r="F2242" s="643">
        <v>0</v>
      </c>
      <c r="G2242" s="643">
        <v>0</v>
      </c>
      <c r="H2242" s="26">
        <v>0</v>
      </c>
      <c r="I2242" s="26">
        <f t="shared" ref="I2242:I2273" si="239">(F2242+G2242+H2242)/3</f>
        <v>0</v>
      </c>
      <c r="J2242" s="1340" t="e">
        <f t="shared" si="236"/>
        <v>#DIV/0!</v>
      </c>
      <c r="K2242" s="1339">
        <f t="shared" si="237"/>
        <v>0</v>
      </c>
    </row>
    <row r="2243" spans="1:11" ht="15" x14ac:dyDescent="0.25">
      <c r="A2243" s="1341"/>
      <c r="B2243" s="624">
        <v>227100</v>
      </c>
      <c r="C2243" s="1344">
        <v>331900800000000</v>
      </c>
      <c r="D2243" s="624" t="s">
        <v>6805</v>
      </c>
      <c r="E2243" s="624">
        <v>1</v>
      </c>
      <c r="F2243" s="643">
        <v>0</v>
      </c>
      <c r="G2243" s="643">
        <v>0</v>
      </c>
      <c r="H2243" s="26">
        <v>0</v>
      </c>
      <c r="I2243" s="26">
        <f t="shared" si="239"/>
        <v>0</v>
      </c>
      <c r="J2243" s="1340" t="e">
        <f t="shared" si="236"/>
        <v>#DIV/0!</v>
      </c>
      <c r="K2243" s="1339">
        <f t="shared" si="237"/>
        <v>0</v>
      </c>
    </row>
    <row r="2244" spans="1:11" ht="15" x14ac:dyDescent="0.25">
      <c r="A2244" s="1341"/>
      <c r="B2244" s="624">
        <v>227200</v>
      </c>
      <c r="C2244" s="1344">
        <v>331901100000000</v>
      </c>
      <c r="D2244" s="624" t="s">
        <v>6704</v>
      </c>
      <c r="E2244" s="624">
        <v>1162</v>
      </c>
      <c r="F2244" s="643">
        <v>0</v>
      </c>
      <c r="G2244" s="643">
        <v>0</v>
      </c>
      <c r="H2244" s="26">
        <v>0</v>
      </c>
      <c r="I2244" s="26">
        <f t="shared" si="239"/>
        <v>0</v>
      </c>
      <c r="J2244" s="1340" t="e">
        <f t="shared" si="236"/>
        <v>#DIV/0!</v>
      </c>
      <c r="K2244" s="1339">
        <f t="shared" si="237"/>
        <v>0</v>
      </c>
    </row>
    <row r="2245" spans="1:11" ht="15" x14ac:dyDescent="0.25">
      <c r="A2245" s="1341"/>
      <c r="B2245" s="624">
        <v>227300</v>
      </c>
      <c r="C2245" s="1344">
        <v>331901300000000</v>
      </c>
      <c r="D2245" s="624" t="s">
        <v>6806</v>
      </c>
      <c r="E2245" s="624">
        <v>1162</v>
      </c>
      <c r="F2245" s="643">
        <v>0</v>
      </c>
      <c r="G2245" s="643">
        <v>0</v>
      </c>
      <c r="H2245" s="26">
        <v>0</v>
      </c>
      <c r="I2245" s="26">
        <f t="shared" si="239"/>
        <v>0</v>
      </c>
      <c r="J2245" s="1340" t="e">
        <f t="shared" si="236"/>
        <v>#DIV/0!</v>
      </c>
      <c r="K2245" s="1339">
        <f t="shared" si="237"/>
        <v>0</v>
      </c>
    </row>
    <row r="2246" spans="1:11" ht="15" x14ac:dyDescent="0.25">
      <c r="A2246" s="1341"/>
      <c r="B2246" s="624">
        <v>227400</v>
      </c>
      <c r="C2246" s="1344">
        <v>331901600000000</v>
      </c>
      <c r="D2246" s="624" t="s">
        <v>6705</v>
      </c>
      <c r="E2246" s="624">
        <v>1162</v>
      </c>
      <c r="F2246" s="643">
        <v>0</v>
      </c>
      <c r="G2246" s="643">
        <v>0</v>
      </c>
      <c r="H2246" s="26">
        <v>0</v>
      </c>
      <c r="I2246" s="26">
        <f t="shared" si="239"/>
        <v>0</v>
      </c>
      <c r="J2246" s="1340" t="e">
        <f t="shared" si="236"/>
        <v>#DIV/0!</v>
      </c>
      <c r="K2246" s="1339">
        <f t="shared" si="237"/>
        <v>0</v>
      </c>
    </row>
    <row r="2247" spans="1:11" ht="15" x14ac:dyDescent="0.25">
      <c r="A2247" s="1341"/>
      <c r="B2247" s="624">
        <v>227500</v>
      </c>
      <c r="C2247" s="1344">
        <v>331903400000000</v>
      </c>
      <c r="D2247" s="624" t="s">
        <v>6707</v>
      </c>
      <c r="E2247" s="624">
        <v>1162</v>
      </c>
      <c r="F2247" s="643">
        <v>0</v>
      </c>
      <c r="G2247" s="643">
        <v>0</v>
      </c>
      <c r="H2247" s="26">
        <v>0</v>
      </c>
      <c r="I2247" s="26">
        <f t="shared" si="239"/>
        <v>0</v>
      </c>
      <c r="J2247" s="1340" t="e">
        <f t="shared" si="236"/>
        <v>#DIV/0!</v>
      </c>
      <c r="K2247" s="1339">
        <f t="shared" si="237"/>
        <v>0</v>
      </c>
    </row>
    <row r="2248" spans="1:11" ht="15" x14ac:dyDescent="0.25">
      <c r="A2248" s="1341"/>
      <c r="B2248" s="624">
        <v>227600</v>
      </c>
      <c r="C2248" s="1344">
        <v>331909400000000</v>
      </c>
      <c r="D2248" s="624" t="s">
        <v>6706</v>
      </c>
      <c r="E2248" s="624">
        <v>1162</v>
      </c>
      <c r="F2248" s="643">
        <v>0</v>
      </c>
      <c r="G2248" s="643">
        <v>0</v>
      </c>
      <c r="H2248" s="26">
        <v>0</v>
      </c>
      <c r="I2248" s="26">
        <f t="shared" si="239"/>
        <v>0</v>
      </c>
      <c r="J2248" s="1340" t="e">
        <f t="shared" si="236"/>
        <v>#DIV/0!</v>
      </c>
      <c r="K2248" s="1339">
        <f t="shared" si="237"/>
        <v>0</v>
      </c>
    </row>
    <row r="2249" spans="1:11" ht="15" x14ac:dyDescent="0.25">
      <c r="A2249" s="1341"/>
      <c r="B2249" s="624">
        <v>227700</v>
      </c>
      <c r="C2249" s="1344">
        <v>333504300000000</v>
      </c>
      <c r="D2249" s="624" t="s">
        <v>6709</v>
      </c>
      <c r="E2249" s="624">
        <v>1162</v>
      </c>
      <c r="F2249" s="643">
        <v>0</v>
      </c>
      <c r="G2249" s="643">
        <v>0</v>
      </c>
      <c r="H2249" s="26">
        <v>0</v>
      </c>
      <c r="I2249" s="26">
        <f t="shared" si="239"/>
        <v>0</v>
      </c>
      <c r="J2249" s="1340" t="e">
        <f t="shared" si="236"/>
        <v>#DIV/0!</v>
      </c>
      <c r="K2249" s="1339">
        <f t="shared" si="237"/>
        <v>0</v>
      </c>
    </row>
    <row r="2250" spans="1:11" ht="15" x14ac:dyDescent="0.25">
      <c r="A2250" s="1341"/>
      <c r="B2250" s="624">
        <v>221000</v>
      </c>
      <c r="C2250" s="1344">
        <v>333900800000000</v>
      </c>
      <c r="D2250" s="624" t="s">
        <v>6777</v>
      </c>
      <c r="E2250" s="624">
        <v>1162</v>
      </c>
      <c r="F2250" s="643">
        <v>0</v>
      </c>
      <c r="G2250" s="643">
        <v>0</v>
      </c>
      <c r="H2250" s="26">
        <v>0</v>
      </c>
      <c r="I2250" s="26">
        <f t="shared" si="239"/>
        <v>0</v>
      </c>
      <c r="J2250" s="1340" t="e">
        <f t="shared" si="236"/>
        <v>#DIV/0!</v>
      </c>
      <c r="K2250" s="1339">
        <f t="shared" si="237"/>
        <v>0</v>
      </c>
    </row>
    <row r="2251" spans="1:11" ht="15" x14ac:dyDescent="0.25">
      <c r="A2251" s="1341"/>
      <c r="B2251" s="624">
        <v>223000</v>
      </c>
      <c r="C2251" s="1344">
        <v>333900800000000</v>
      </c>
      <c r="D2251" s="624" t="s">
        <v>6787</v>
      </c>
      <c r="E2251" s="624">
        <v>1162</v>
      </c>
      <c r="F2251" s="643">
        <v>0</v>
      </c>
      <c r="G2251" s="643">
        <v>0</v>
      </c>
      <c r="H2251" s="26">
        <v>0</v>
      </c>
      <c r="I2251" s="26">
        <f t="shared" si="239"/>
        <v>0</v>
      </c>
      <c r="J2251" s="1340" t="e">
        <f t="shared" si="236"/>
        <v>#DIV/0!</v>
      </c>
      <c r="K2251" s="1339">
        <f t="shared" si="237"/>
        <v>0</v>
      </c>
    </row>
    <row r="2252" spans="1:11" ht="15" x14ac:dyDescent="0.25">
      <c r="A2252" s="1341"/>
      <c r="B2252" s="624">
        <v>225000</v>
      </c>
      <c r="C2252" s="1344">
        <v>333900800000000</v>
      </c>
      <c r="D2252" s="624" t="s">
        <v>6796</v>
      </c>
      <c r="E2252" s="624">
        <v>1162</v>
      </c>
      <c r="F2252" s="643">
        <v>0</v>
      </c>
      <c r="G2252" s="643">
        <v>0</v>
      </c>
      <c r="H2252" s="26">
        <v>0</v>
      </c>
      <c r="I2252" s="26">
        <f t="shared" si="239"/>
        <v>0</v>
      </c>
      <c r="J2252" s="1340" t="e">
        <f t="shared" si="236"/>
        <v>#DIV/0!</v>
      </c>
      <c r="K2252" s="1339">
        <f t="shared" si="237"/>
        <v>0</v>
      </c>
    </row>
    <row r="2253" spans="1:11" ht="15" x14ac:dyDescent="0.25">
      <c r="A2253" s="1341"/>
      <c r="B2253" s="624">
        <v>221100</v>
      </c>
      <c r="C2253" s="1344">
        <v>333901400000000</v>
      </c>
      <c r="D2253" s="624" t="s">
        <v>6778</v>
      </c>
      <c r="E2253" s="624">
        <v>1162</v>
      </c>
      <c r="F2253" s="643">
        <v>0</v>
      </c>
      <c r="G2253" s="643">
        <v>0</v>
      </c>
      <c r="H2253" s="26">
        <v>0</v>
      </c>
      <c r="I2253" s="26">
        <f t="shared" si="239"/>
        <v>0</v>
      </c>
      <c r="J2253" s="1340" t="e">
        <f t="shared" ref="J2253:J2284" si="240">(G2253/F2253)+(H2253/G2253)/2</f>
        <v>#DIV/0!</v>
      </c>
      <c r="K2253" s="1339">
        <f t="shared" ref="K2253:K2284" si="241">I2253/I$2310</f>
        <v>0</v>
      </c>
    </row>
    <row r="2254" spans="1:11" ht="15" x14ac:dyDescent="0.25">
      <c r="A2254" s="1341"/>
      <c r="B2254" s="624">
        <v>227800</v>
      </c>
      <c r="C2254" s="1344">
        <v>333901400000000</v>
      </c>
      <c r="D2254" s="624" t="s">
        <v>6693</v>
      </c>
      <c r="E2254" s="624">
        <v>1162</v>
      </c>
      <c r="F2254" s="643">
        <v>0</v>
      </c>
      <c r="G2254" s="643">
        <v>0</v>
      </c>
      <c r="H2254" s="26">
        <v>0</v>
      </c>
      <c r="I2254" s="26">
        <f t="shared" si="239"/>
        <v>0</v>
      </c>
      <c r="J2254" s="1340" t="e">
        <f t="shared" si="240"/>
        <v>#DIV/0!</v>
      </c>
      <c r="K2254" s="1339">
        <f t="shared" si="241"/>
        <v>0</v>
      </c>
    </row>
    <row r="2255" spans="1:11" ht="15" x14ac:dyDescent="0.25">
      <c r="A2255" s="1341"/>
      <c r="B2255" s="624">
        <v>221200</v>
      </c>
      <c r="C2255" s="1344">
        <v>333903000000000</v>
      </c>
      <c r="D2255" s="624" t="s">
        <v>6779</v>
      </c>
      <c r="E2255" s="624">
        <v>1162</v>
      </c>
      <c r="F2255" s="643">
        <v>0</v>
      </c>
      <c r="G2255" s="643">
        <v>0</v>
      </c>
      <c r="H2255" s="26">
        <v>0</v>
      </c>
      <c r="I2255" s="26">
        <f t="shared" si="239"/>
        <v>0</v>
      </c>
      <c r="J2255" s="1340" t="e">
        <f t="shared" si="240"/>
        <v>#DIV/0!</v>
      </c>
      <c r="K2255" s="1339">
        <f t="shared" si="241"/>
        <v>0</v>
      </c>
    </row>
    <row r="2256" spans="1:11" ht="15" x14ac:dyDescent="0.25">
      <c r="A2256" s="1341"/>
      <c r="B2256" s="624">
        <v>223100</v>
      </c>
      <c r="C2256" s="1344">
        <v>333903000000000</v>
      </c>
      <c r="D2256" s="624" t="s">
        <v>6788</v>
      </c>
      <c r="E2256" s="624">
        <v>1162</v>
      </c>
      <c r="F2256" s="643">
        <v>0</v>
      </c>
      <c r="G2256" s="643">
        <v>0</v>
      </c>
      <c r="H2256" s="26">
        <v>0</v>
      </c>
      <c r="I2256" s="26">
        <f t="shared" si="239"/>
        <v>0</v>
      </c>
      <c r="J2256" s="1340" t="e">
        <f t="shared" si="240"/>
        <v>#DIV/0!</v>
      </c>
      <c r="K2256" s="1339">
        <f t="shared" si="241"/>
        <v>0</v>
      </c>
    </row>
    <row r="2257" spans="1:11" ht="15" x14ac:dyDescent="0.25">
      <c r="A2257" s="1341"/>
      <c r="B2257" s="624">
        <v>225100</v>
      </c>
      <c r="C2257" s="1344">
        <v>333903000000000</v>
      </c>
      <c r="D2257" s="624" t="s">
        <v>6797</v>
      </c>
      <c r="E2257" s="624">
        <v>1162</v>
      </c>
      <c r="F2257" s="643">
        <v>0</v>
      </c>
      <c r="G2257" s="643">
        <v>0</v>
      </c>
      <c r="H2257" s="26">
        <v>0</v>
      </c>
      <c r="I2257" s="26">
        <f t="shared" si="239"/>
        <v>0</v>
      </c>
      <c r="J2257" s="1340" t="e">
        <f t="shared" si="240"/>
        <v>#DIV/0!</v>
      </c>
      <c r="K2257" s="1339">
        <f t="shared" si="241"/>
        <v>0</v>
      </c>
    </row>
    <row r="2258" spans="1:11" ht="15" x14ac:dyDescent="0.25">
      <c r="A2258" s="1341"/>
      <c r="B2258" s="624">
        <v>227900</v>
      </c>
      <c r="C2258" s="1344">
        <v>333903000000000</v>
      </c>
      <c r="D2258" s="624" t="s">
        <v>6694</v>
      </c>
      <c r="E2258" s="624">
        <v>1162</v>
      </c>
      <c r="F2258" s="643">
        <v>0</v>
      </c>
      <c r="G2258" s="643">
        <v>425.44</v>
      </c>
      <c r="H2258" s="26">
        <v>0</v>
      </c>
      <c r="I2258" s="26">
        <f t="shared" si="239"/>
        <v>141.81333333333333</v>
      </c>
      <c r="J2258" s="1340" t="e">
        <f t="shared" si="240"/>
        <v>#DIV/0!</v>
      </c>
      <c r="K2258" s="1339">
        <f t="shared" si="241"/>
        <v>1.5717177111646558E-3</v>
      </c>
    </row>
    <row r="2259" spans="1:11" ht="15" x14ac:dyDescent="0.25">
      <c r="A2259" s="1341"/>
      <c r="B2259" s="624">
        <v>221300</v>
      </c>
      <c r="C2259" s="1344">
        <v>333903200000000</v>
      </c>
      <c r="D2259" s="624" t="s">
        <v>6786</v>
      </c>
      <c r="E2259" s="624">
        <v>1162</v>
      </c>
      <c r="F2259" s="643">
        <v>0</v>
      </c>
      <c r="G2259" s="643">
        <v>0</v>
      </c>
      <c r="H2259" s="26">
        <v>0</v>
      </c>
      <c r="I2259" s="26">
        <f t="shared" si="239"/>
        <v>0</v>
      </c>
      <c r="J2259" s="1340" t="e">
        <f t="shared" si="240"/>
        <v>#DIV/0!</v>
      </c>
      <c r="K2259" s="1339">
        <f t="shared" si="241"/>
        <v>0</v>
      </c>
    </row>
    <row r="2260" spans="1:11" ht="15" x14ac:dyDescent="0.25">
      <c r="A2260" s="1341"/>
      <c r="B2260" s="624">
        <v>223200</v>
      </c>
      <c r="C2260" s="1344">
        <v>333903200000000</v>
      </c>
      <c r="D2260" s="624" t="s">
        <v>6795</v>
      </c>
      <c r="E2260" s="624">
        <v>1162</v>
      </c>
      <c r="F2260" s="643">
        <v>0</v>
      </c>
      <c r="G2260" s="643">
        <v>0</v>
      </c>
      <c r="H2260" s="26">
        <v>0</v>
      </c>
      <c r="I2260" s="26">
        <f t="shared" si="239"/>
        <v>0</v>
      </c>
      <c r="J2260" s="1340" t="e">
        <f t="shared" si="240"/>
        <v>#DIV/0!</v>
      </c>
      <c r="K2260" s="1339">
        <f t="shared" si="241"/>
        <v>0</v>
      </c>
    </row>
    <row r="2261" spans="1:11" ht="15" x14ac:dyDescent="0.25">
      <c r="A2261" s="1341"/>
      <c r="B2261" s="624">
        <v>225200</v>
      </c>
      <c r="C2261" s="1344">
        <v>333903200000000</v>
      </c>
      <c r="D2261" s="624" t="s">
        <v>6803</v>
      </c>
      <c r="E2261" s="624">
        <v>1162</v>
      </c>
      <c r="F2261" s="643">
        <v>0</v>
      </c>
      <c r="G2261" s="643">
        <v>0</v>
      </c>
      <c r="H2261" s="26">
        <v>0</v>
      </c>
      <c r="I2261" s="26">
        <f t="shared" si="239"/>
        <v>0</v>
      </c>
      <c r="J2261" s="1340" t="e">
        <f t="shared" si="240"/>
        <v>#DIV/0!</v>
      </c>
      <c r="K2261" s="1339">
        <f t="shared" si="241"/>
        <v>0</v>
      </c>
    </row>
    <row r="2262" spans="1:11" ht="15" x14ac:dyDescent="0.25">
      <c r="A2262" s="1341"/>
      <c r="B2262" s="624">
        <v>228000</v>
      </c>
      <c r="C2262" s="1344">
        <v>333903200000000</v>
      </c>
      <c r="D2262" s="624" t="s">
        <v>6807</v>
      </c>
      <c r="E2262" s="624">
        <v>1162</v>
      </c>
      <c r="F2262" s="643">
        <v>0</v>
      </c>
      <c r="G2262" s="643">
        <v>0</v>
      </c>
      <c r="H2262" s="26">
        <v>0</v>
      </c>
      <c r="I2262" s="26">
        <f t="shared" si="239"/>
        <v>0</v>
      </c>
      <c r="J2262" s="1340" t="e">
        <f t="shared" si="240"/>
        <v>#DIV/0!</v>
      </c>
      <c r="K2262" s="1339">
        <f t="shared" si="241"/>
        <v>0</v>
      </c>
    </row>
    <row r="2263" spans="1:11" ht="15" x14ac:dyDescent="0.25">
      <c r="A2263" s="1341"/>
      <c r="B2263" s="624">
        <v>228100</v>
      </c>
      <c r="C2263" s="1344">
        <v>333903300000000</v>
      </c>
      <c r="D2263" s="624" t="s">
        <v>6695</v>
      </c>
      <c r="E2263" s="624">
        <v>1162</v>
      </c>
      <c r="F2263" s="643">
        <v>0</v>
      </c>
      <c r="G2263" s="643">
        <v>0</v>
      </c>
      <c r="H2263" s="26">
        <v>0</v>
      </c>
      <c r="I2263" s="26">
        <f t="shared" si="239"/>
        <v>0</v>
      </c>
      <c r="J2263" s="1340" t="e">
        <f t="shared" si="240"/>
        <v>#DIV/0!</v>
      </c>
      <c r="K2263" s="1339">
        <f t="shared" si="241"/>
        <v>0</v>
      </c>
    </row>
    <row r="2264" spans="1:11" ht="15" x14ac:dyDescent="0.25">
      <c r="A2264" s="1341"/>
      <c r="B2264" s="624">
        <v>221400</v>
      </c>
      <c r="C2264" s="1344">
        <v>333903600000000</v>
      </c>
      <c r="D2264" s="624" t="s">
        <v>6780</v>
      </c>
      <c r="E2264" s="624">
        <v>1162</v>
      </c>
      <c r="F2264" s="643">
        <v>0</v>
      </c>
      <c r="G2264" s="643">
        <v>0</v>
      </c>
      <c r="H2264" s="26">
        <v>0</v>
      </c>
      <c r="I2264" s="26">
        <f t="shared" si="239"/>
        <v>0</v>
      </c>
      <c r="J2264" s="1340" t="e">
        <f t="shared" si="240"/>
        <v>#DIV/0!</v>
      </c>
      <c r="K2264" s="1339">
        <f t="shared" si="241"/>
        <v>0</v>
      </c>
    </row>
    <row r="2265" spans="1:11" ht="15" x14ac:dyDescent="0.25">
      <c r="A2265" s="1341"/>
      <c r="B2265" s="624">
        <v>223300</v>
      </c>
      <c r="C2265" s="1344">
        <v>333903600000000</v>
      </c>
      <c r="D2265" s="624" t="s">
        <v>6789</v>
      </c>
      <c r="E2265" s="624">
        <v>1162</v>
      </c>
      <c r="F2265" s="643">
        <v>0</v>
      </c>
      <c r="G2265" s="643">
        <v>0</v>
      </c>
      <c r="H2265" s="26">
        <v>0</v>
      </c>
      <c r="I2265" s="26">
        <f t="shared" si="239"/>
        <v>0</v>
      </c>
      <c r="J2265" s="1340" t="e">
        <f t="shared" si="240"/>
        <v>#DIV/0!</v>
      </c>
      <c r="K2265" s="1339">
        <f t="shared" si="241"/>
        <v>0</v>
      </c>
    </row>
    <row r="2266" spans="1:11" ht="15" x14ac:dyDescent="0.25">
      <c r="A2266" s="1341"/>
      <c r="B2266" s="624">
        <v>225300</v>
      </c>
      <c r="C2266" s="1344">
        <v>333903600000000</v>
      </c>
      <c r="D2266" s="624" t="s">
        <v>6798</v>
      </c>
      <c r="E2266" s="624">
        <v>1162</v>
      </c>
      <c r="F2266" s="643">
        <v>0</v>
      </c>
      <c r="G2266" s="643">
        <v>0</v>
      </c>
      <c r="H2266" s="26">
        <v>0</v>
      </c>
      <c r="I2266" s="26">
        <f t="shared" si="239"/>
        <v>0</v>
      </c>
      <c r="J2266" s="1340" t="e">
        <f t="shared" si="240"/>
        <v>#DIV/0!</v>
      </c>
      <c r="K2266" s="1339">
        <f t="shared" si="241"/>
        <v>0</v>
      </c>
    </row>
    <row r="2267" spans="1:11" ht="15" x14ac:dyDescent="0.25">
      <c r="A2267" s="1341"/>
      <c r="B2267" s="624">
        <v>228200</v>
      </c>
      <c r="C2267" s="1344">
        <v>333903600000000</v>
      </c>
      <c r="D2267" s="624" t="s">
        <v>6696</v>
      </c>
      <c r="E2267" s="624">
        <v>1162</v>
      </c>
      <c r="F2267" s="643">
        <v>0</v>
      </c>
      <c r="G2267" s="643">
        <v>0</v>
      </c>
      <c r="H2267" s="26">
        <v>0</v>
      </c>
      <c r="I2267" s="26">
        <f t="shared" si="239"/>
        <v>0</v>
      </c>
      <c r="J2267" s="1340" t="e">
        <f t="shared" si="240"/>
        <v>#DIV/0!</v>
      </c>
      <c r="K2267" s="1339">
        <f t="shared" si="241"/>
        <v>0</v>
      </c>
    </row>
    <row r="2268" spans="1:11" ht="15" x14ac:dyDescent="0.25">
      <c r="A2268" s="1341"/>
      <c r="B2268" s="624">
        <v>221500</v>
      </c>
      <c r="C2268" s="1344">
        <v>333903900000000</v>
      </c>
      <c r="D2268" s="624" t="s">
        <v>6781</v>
      </c>
      <c r="E2268" s="624">
        <v>1162</v>
      </c>
      <c r="F2268" s="643">
        <v>0</v>
      </c>
      <c r="G2268" s="643">
        <v>0</v>
      </c>
      <c r="H2268" s="26">
        <v>0</v>
      </c>
      <c r="I2268" s="26">
        <f t="shared" si="239"/>
        <v>0</v>
      </c>
      <c r="J2268" s="1340" t="e">
        <f t="shared" si="240"/>
        <v>#DIV/0!</v>
      </c>
      <c r="K2268" s="1339">
        <f t="shared" si="241"/>
        <v>0</v>
      </c>
    </row>
    <row r="2269" spans="1:11" ht="15" x14ac:dyDescent="0.25">
      <c r="A2269" s="1341"/>
      <c r="B2269" s="624">
        <v>223400</v>
      </c>
      <c r="C2269" s="1344">
        <v>333903900000000</v>
      </c>
      <c r="D2269" s="624" t="s">
        <v>6790</v>
      </c>
      <c r="E2269" s="624">
        <v>1162</v>
      </c>
      <c r="F2269" s="643">
        <v>0</v>
      </c>
      <c r="G2269" s="643">
        <v>0</v>
      </c>
      <c r="H2269" s="26">
        <v>0</v>
      </c>
      <c r="I2269" s="26">
        <f t="shared" si="239"/>
        <v>0</v>
      </c>
      <c r="J2269" s="1340" t="e">
        <f t="shared" si="240"/>
        <v>#DIV/0!</v>
      </c>
      <c r="K2269" s="1339">
        <f t="shared" si="241"/>
        <v>0</v>
      </c>
    </row>
    <row r="2270" spans="1:11" ht="15" x14ac:dyDescent="0.25">
      <c r="A2270" s="1341"/>
      <c r="B2270" s="624">
        <v>225400</v>
      </c>
      <c r="C2270" s="1344">
        <v>333903900000000</v>
      </c>
      <c r="D2270" s="624" t="s">
        <v>6799</v>
      </c>
      <c r="E2270" s="624">
        <v>1162</v>
      </c>
      <c r="F2270" s="643">
        <v>0</v>
      </c>
      <c r="G2270" s="643">
        <v>0</v>
      </c>
      <c r="H2270" s="26">
        <v>0</v>
      </c>
      <c r="I2270" s="26">
        <f t="shared" si="239"/>
        <v>0</v>
      </c>
      <c r="J2270" s="1340" t="e">
        <f t="shared" si="240"/>
        <v>#DIV/0!</v>
      </c>
      <c r="K2270" s="1339">
        <f t="shared" si="241"/>
        <v>0</v>
      </c>
    </row>
    <row r="2271" spans="1:11" ht="15" x14ac:dyDescent="0.25">
      <c r="A2271" s="1341"/>
      <c r="B2271" s="624">
        <v>228300</v>
      </c>
      <c r="C2271" s="1344">
        <v>333903900000000</v>
      </c>
      <c r="D2271" s="624" t="s">
        <v>6697</v>
      </c>
      <c r="E2271" s="624">
        <v>1162</v>
      </c>
      <c r="F2271" s="643">
        <v>0</v>
      </c>
      <c r="G2271" s="643">
        <v>1466.5</v>
      </c>
      <c r="H2271" s="26">
        <v>0</v>
      </c>
      <c r="I2271" s="26">
        <f t="shared" si="239"/>
        <v>488.83333333333331</v>
      </c>
      <c r="J2271" s="1340" t="e">
        <f t="shared" si="240"/>
        <v>#DIV/0!</v>
      </c>
      <c r="K2271" s="1339">
        <f t="shared" si="241"/>
        <v>5.4177416872484199E-3</v>
      </c>
    </row>
    <row r="2272" spans="1:11" ht="15" x14ac:dyDescent="0.25">
      <c r="A2272" s="1341"/>
      <c r="B2272" s="624">
        <v>228400</v>
      </c>
      <c r="C2272" s="1344">
        <v>333904600000000</v>
      </c>
      <c r="D2272" s="624" t="s">
        <v>6808</v>
      </c>
      <c r="E2272" s="624">
        <v>1162</v>
      </c>
      <c r="F2272" s="643">
        <v>0</v>
      </c>
      <c r="G2272" s="643">
        <v>0</v>
      </c>
      <c r="H2272" s="26">
        <v>0</v>
      </c>
      <c r="I2272" s="26">
        <f t="shared" si="239"/>
        <v>0</v>
      </c>
      <c r="J2272" s="1340" t="e">
        <f t="shared" si="240"/>
        <v>#DIV/0!</v>
      </c>
      <c r="K2272" s="1339">
        <f t="shared" si="241"/>
        <v>0</v>
      </c>
    </row>
    <row r="2273" spans="1:11" ht="15" x14ac:dyDescent="0.25">
      <c r="A2273" s="1341"/>
      <c r="B2273" s="624">
        <v>221600</v>
      </c>
      <c r="C2273" s="1344">
        <v>333904700000000</v>
      </c>
      <c r="D2273" s="624" t="s">
        <v>6782</v>
      </c>
      <c r="E2273" s="624">
        <v>1162</v>
      </c>
      <c r="F2273" s="643">
        <v>0</v>
      </c>
      <c r="G2273" s="643">
        <v>0</v>
      </c>
      <c r="H2273" s="26">
        <v>0</v>
      </c>
      <c r="I2273" s="26">
        <f t="shared" si="239"/>
        <v>0</v>
      </c>
      <c r="J2273" s="1340" t="e">
        <f t="shared" si="240"/>
        <v>#DIV/0!</v>
      </c>
      <c r="K2273" s="1339">
        <f t="shared" si="241"/>
        <v>0</v>
      </c>
    </row>
    <row r="2274" spans="1:11" ht="15" x14ac:dyDescent="0.25">
      <c r="A2274" s="1341"/>
      <c r="B2274" s="624">
        <v>223500</v>
      </c>
      <c r="C2274" s="1344">
        <v>333904700000000</v>
      </c>
      <c r="D2274" s="624" t="s">
        <v>6791</v>
      </c>
      <c r="E2274" s="624">
        <v>1162</v>
      </c>
      <c r="F2274" s="643">
        <v>0</v>
      </c>
      <c r="G2274" s="643">
        <v>0</v>
      </c>
      <c r="H2274" s="26">
        <v>0</v>
      </c>
      <c r="I2274" s="26">
        <f t="shared" ref="I2274:I2290" si="242">(F2274+G2274+H2274)/3</f>
        <v>0</v>
      </c>
      <c r="J2274" s="1340" t="e">
        <f t="shared" si="240"/>
        <v>#DIV/0!</v>
      </c>
      <c r="K2274" s="1339">
        <f t="shared" si="241"/>
        <v>0</v>
      </c>
    </row>
    <row r="2275" spans="1:11" ht="15" x14ac:dyDescent="0.25">
      <c r="A2275" s="1341"/>
      <c r="B2275" s="624">
        <v>225500</v>
      </c>
      <c r="C2275" s="1344">
        <v>333904700000000</v>
      </c>
      <c r="D2275" s="624" t="s">
        <v>6800</v>
      </c>
      <c r="E2275" s="624">
        <v>1162</v>
      </c>
      <c r="F2275" s="643">
        <v>0</v>
      </c>
      <c r="G2275" s="643">
        <v>0</v>
      </c>
      <c r="H2275" s="26">
        <v>0</v>
      </c>
      <c r="I2275" s="26">
        <f t="shared" si="242"/>
        <v>0</v>
      </c>
      <c r="J2275" s="1340" t="e">
        <f t="shared" si="240"/>
        <v>#DIV/0!</v>
      </c>
      <c r="K2275" s="1339">
        <f t="shared" si="241"/>
        <v>0</v>
      </c>
    </row>
    <row r="2276" spans="1:11" ht="15" x14ac:dyDescent="0.25">
      <c r="A2276" s="1341"/>
      <c r="B2276" s="624">
        <v>228500</v>
      </c>
      <c r="C2276" s="1344">
        <v>333904700000000</v>
      </c>
      <c r="D2276" s="624" t="s">
        <v>6809</v>
      </c>
      <c r="E2276" s="624">
        <v>1162</v>
      </c>
      <c r="F2276" s="643">
        <v>0</v>
      </c>
      <c r="G2276" s="643">
        <v>0</v>
      </c>
      <c r="H2276" s="26">
        <v>0</v>
      </c>
      <c r="I2276" s="26">
        <f t="shared" si="242"/>
        <v>0</v>
      </c>
      <c r="J2276" s="1340" t="e">
        <f t="shared" si="240"/>
        <v>#DIV/0!</v>
      </c>
      <c r="K2276" s="1339">
        <f t="shared" si="241"/>
        <v>0</v>
      </c>
    </row>
    <row r="2277" spans="1:11" ht="15" x14ac:dyDescent="0.25">
      <c r="A2277" s="1341"/>
      <c r="B2277" s="624">
        <v>228600</v>
      </c>
      <c r="C2277" s="1344">
        <v>333904900000000</v>
      </c>
      <c r="D2277" s="624" t="s">
        <v>6698</v>
      </c>
      <c r="E2277" s="624">
        <v>1162</v>
      </c>
      <c r="F2277" s="643">
        <v>0</v>
      </c>
      <c r="G2277" s="643">
        <v>0</v>
      </c>
      <c r="H2277" s="26">
        <v>0</v>
      </c>
      <c r="I2277" s="26">
        <f t="shared" si="242"/>
        <v>0</v>
      </c>
      <c r="J2277" s="1340" t="e">
        <f t="shared" si="240"/>
        <v>#DIV/0!</v>
      </c>
      <c r="K2277" s="1339">
        <f t="shared" si="241"/>
        <v>0</v>
      </c>
    </row>
    <row r="2278" spans="1:11" ht="15" x14ac:dyDescent="0.25">
      <c r="A2278" s="1341"/>
      <c r="B2278" s="624">
        <v>221700</v>
      </c>
      <c r="C2278" s="1344">
        <v>333909200000000</v>
      </c>
      <c r="D2278" s="624" t="s">
        <v>6783</v>
      </c>
      <c r="E2278" s="624">
        <v>1162</v>
      </c>
      <c r="F2278" s="643">
        <v>0</v>
      </c>
      <c r="G2278" s="643">
        <v>0</v>
      </c>
      <c r="H2278" s="26">
        <v>0</v>
      </c>
      <c r="I2278" s="26">
        <f t="shared" si="242"/>
        <v>0</v>
      </c>
      <c r="J2278" s="1340" t="e">
        <f t="shared" si="240"/>
        <v>#DIV/0!</v>
      </c>
      <c r="K2278" s="1339">
        <f t="shared" si="241"/>
        <v>0</v>
      </c>
    </row>
    <row r="2279" spans="1:11" ht="15" x14ac:dyDescent="0.25">
      <c r="A2279" s="1341"/>
      <c r="B2279" s="624">
        <v>223600</v>
      </c>
      <c r="C2279" s="1344">
        <v>333909200000000</v>
      </c>
      <c r="D2279" s="624" t="s">
        <v>6792</v>
      </c>
      <c r="E2279" s="624">
        <v>1162</v>
      </c>
      <c r="F2279" s="643">
        <v>0</v>
      </c>
      <c r="G2279" s="643">
        <v>0</v>
      </c>
      <c r="H2279" s="26">
        <v>0</v>
      </c>
      <c r="I2279" s="26">
        <f t="shared" si="242"/>
        <v>0</v>
      </c>
      <c r="J2279" s="1340" t="e">
        <f t="shared" si="240"/>
        <v>#DIV/0!</v>
      </c>
      <c r="K2279" s="1339">
        <f t="shared" si="241"/>
        <v>0</v>
      </c>
    </row>
    <row r="2280" spans="1:11" ht="15" x14ac:dyDescent="0.25">
      <c r="A2280" s="1341"/>
      <c r="B2280" s="624">
        <v>225600</v>
      </c>
      <c r="C2280" s="1344">
        <v>333909200000000</v>
      </c>
      <c r="D2280" s="624" t="s">
        <v>7342</v>
      </c>
      <c r="E2280" s="624">
        <v>1162</v>
      </c>
      <c r="F2280" s="643">
        <v>0</v>
      </c>
      <c r="G2280" s="643">
        <v>0</v>
      </c>
      <c r="H2280" s="26">
        <v>0</v>
      </c>
      <c r="I2280" s="26">
        <f t="shared" si="242"/>
        <v>0</v>
      </c>
      <c r="J2280" s="1340" t="e">
        <f t="shared" si="240"/>
        <v>#DIV/0!</v>
      </c>
      <c r="K2280" s="1339">
        <f t="shared" si="241"/>
        <v>0</v>
      </c>
    </row>
    <row r="2281" spans="1:11" ht="15" x14ac:dyDescent="0.25">
      <c r="A2281" s="1341"/>
      <c r="B2281" s="624">
        <v>228700</v>
      </c>
      <c r="C2281" s="1344">
        <v>333909200000000</v>
      </c>
      <c r="D2281" s="624" t="s">
        <v>6699</v>
      </c>
      <c r="E2281" s="624">
        <v>1162</v>
      </c>
      <c r="F2281" s="643">
        <v>0</v>
      </c>
      <c r="G2281" s="643">
        <v>0</v>
      </c>
      <c r="H2281" s="26">
        <v>0</v>
      </c>
      <c r="I2281" s="26">
        <f t="shared" si="242"/>
        <v>0</v>
      </c>
      <c r="J2281" s="1340" t="e">
        <f t="shared" si="240"/>
        <v>#DIV/0!</v>
      </c>
      <c r="K2281" s="1339">
        <f t="shared" si="241"/>
        <v>0</v>
      </c>
    </row>
    <row r="2282" spans="1:11" ht="15" x14ac:dyDescent="0.25">
      <c r="A2282" s="1341"/>
      <c r="B2282" s="624">
        <v>228800</v>
      </c>
      <c r="C2282" s="1344">
        <v>333909300000000</v>
      </c>
      <c r="D2282" s="624" t="s">
        <v>6700</v>
      </c>
      <c r="E2282" s="624">
        <v>1162</v>
      </c>
      <c r="F2282" s="643">
        <v>0</v>
      </c>
      <c r="G2282" s="643">
        <v>0</v>
      </c>
      <c r="H2282" s="26">
        <v>0</v>
      </c>
      <c r="I2282" s="26">
        <f t="shared" si="242"/>
        <v>0</v>
      </c>
      <c r="J2282" s="1340" t="e">
        <f t="shared" si="240"/>
        <v>#DIV/0!</v>
      </c>
      <c r="K2282" s="1339">
        <f t="shared" si="241"/>
        <v>0</v>
      </c>
    </row>
    <row r="2283" spans="1:11" ht="15" x14ac:dyDescent="0.25">
      <c r="A2283" s="1341"/>
      <c r="B2283" s="624">
        <v>221800</v>
      </c>
      <c r="C2283" s="1344">
        <v>344905100000000</v>
      </c>
      <c r="D2283" s="624" t="s">
        <v>6784</v>
      </c>
      <c r="E2283" s="624">
        <v>1162</v>
      </c>
      <c r="F2283" s="643">
        <v>0</v>
      </c>
      <c r="G2283" s="643">
        <v>0</v>
      </c>
      <c r="H2283" s="26">
        <v>0</v>
      </c>
      <c r="I2283" s="26">
        <f t="shared" si="242"/>
        <v>0</v>
      </c>
      <c r="J2283" s="1340" t="e">
        <f t="shared" si="240"/>
        <v>#DIV/0!</v>
      </c>
      <c r="K2283" s="1339">
        <f t="shared" si="241"/>
        <v>0</v>
      </c>
    </row>
    <row r="2284" spans="1:11" ht="15" x14ac:dyDescent="0.25">
      <c r="A2284" s="1341"/>
      <c r="B2284" s="624">
        <v>223700</v>
      </c>
      <c r="C2284" s="1344">
        <v>344905100000000</v>
      </c>
      <c r="D2284" s="624" t="s">
        <v>6793</v>
      </c>
      <c r="E2284" s="624">
        <v>1162</v>
      </c>
      <c r="F2284" s="643">
        <v>0</v>
      </c>
      <c r="G2284" s="643">
        <v>0</v>
      </c>
      <c r="H2284" s="26">
        <v>0</v>
      </c>
      <c r="I2284" s="26">
        <f t="shared" si="242"/>
        <v>0</v>
      </c>
      <c r="J2284" s="1340" t="e">
        <f t="shared" si="240"/>
        <v>#DIV/0!</v>
      </c>
      <c r="K2284" s="1339">
        <f t="shared" si="241"/>
        <v>0</v>
      </c>
    </row>
    <row r="2285" spans="1:11" ht="15" x14ac:dyDescent="0.25">
      <c r="A2285" s="1341"/>
      <c r="B2285" s="624">
        <v>225700</v>
      </c>
      <c r="C2285" s="1344">
        <v>344905100000000</v>
      </c>
      <c r="D2285" s="624" t="s">
        <v>6802</v>
      </c>
      <c r="E2285" s="624">
        <v>1162</v>
      </c>
      <c r="F2285" s="643">
        <v>0</v>
      </c>
      <c r="G2285" s="643">
        <v>0</v>
      </c>
      <c r="H2285" s="26">
        <v>0</v>
      </c>
      <c r="I2285" s="26">
        <f t="shared" si="242"/>
        <v>0</v>
      </c>
      <c r="J2285" s="1340" t="e">
        <f t="shared" ref="J2285:J2310" si="243">(G2285/F2285)+(H2285/G2285)/2</f>
        <v>#DIV/0!</v>
      </c>
      <c r="K2285" s="1339">
        <f t="shared" ref="K2285:K2310" si="244">I2285/I$2310</f>
        <v>0</v>
      </c>
    </row>
    <row r="2286" spans="1:11" ht="15" x14ac:dyDescent="0.25">
      <c r="A2286" s="1341"/>
      <c r="B2286" s="624">
        <v>228900</v>
      </c>
      <c r="C2286" s="1344">
        <v>344905100000000</v>
      </c>
      <c r="D2286" s="624" t="s">
        <v>6701</v>
      </c>
      <c r="E2286" s="624">
        <v>1162</v>
      </c>
      <c r="F2286" s="643">
        <v>0</v>
      </c>
      <c r="G2286" s="643">
        <v>0</v>
      </c>
      <c r="H2286" s="26">
        <v>0</v>
      </c>
      <c r="I2286" s="26">
        <f t="shared" si="242"/>
        <v>0</v>
      </c>
      <c r="J2286" s="1340" t="e">
        <f t="shared" si="243"/>
        <v>#DIV/0!</v>
      </c>
      <c r="K2286" s="1339">
        <f t="shared" si="244"/>
        <v>0</v>
      </c>
    </row>
    <row r="2287" spans="1:11" ht="15" x14ac:dyDescent="0.25">
      <c r="A2287" s="1341"/>
      <c r="B2287" s="624">
        <v>221900</v>
      </c>
      <c r="C2287" s="1344">
        <v>344905200000000</v>
      </c>
      <c r="D2287" s="624" t="s">
        <v>6785</v>
      </c>
      <c r="E2287" s="624">
        <v>1162</v>
      </c>
      <c r="F2287" s="643">
        <v>0</v>
      </c>
      <c r="G2287" s="643">
        <v>0</v>
      </c>
      <c r="H2287" s="26">
        <v>0</v>
      </c>
      <c r="I2287" s="26">
        <f t="shared" si="242"/>
        <v>0</v>
      </c>
      <c r="J2287" s="1340" t="e">
        <f t="shared" si="243"/>
        <v>#DIV/0!</v>
      </c>
      <c r="K2287" s="1339">
        <f t="shared" si="244"/>
        <v>0</v>
      </c>
    </row>
    <row r="2288" spans="1:11" ht="15" x14ac:dyDescent="0.25">
      <c r="A2288" s="1341"/>
      <c r="B2288" s="624">
        <v>223800</v>
      </c>
      <c r="C2288" s="1344">
        <v>344905200000000</v>
      </c>
      <c r="D2288" s="624" t="s">
        <v>6794</v>
      </c>
      <c r="E2288" s="624">
        <v>1162</v>
      </c>
      <c r="F2288" s="643">
        <v>0</v>
      </c>
      <c r="G2288" s="643">
        <v>0</v>
      </c>
      <c r="H2288" s="26">
        <v>0</v>
      </c>
      <c r="I2288" s="26">
        <f t="shared" si="242"/>
        <v>0</v>
      </c>
      <c r="J2288" s="1340" t="e">
        <f t="shared" si="243"/>
        <v>#DIV/0!</v>
      </c>
      <c r="K2288" s="1339">
        <f t="shared" si="244"/>
        <v>0</v>
      </c>
    </row>
    <row r="2289" spans="1:11" ht="15" x14ac:dyDescent="0.25">
      <c r="A2289" s="1341"/>
      <c r="B2289" s="624">
        <v>225800</v>
      </c>
      <c r="C2289" s="1344">
        <v>344905200000000</v>
      </c>
      <c r="D2289" s="624" t="s">
        <v>6804</v>
      </c>
      <c r="E2289" s="624">
        <v>1162</v>
      </c>
      <c r="F2289" s="643">
        <v>0</v>
      </c>
      <c r="G2289" s="643">
        <v>0</v>
      </c>
      <c r="H2289" s="26">
        <v>0</v>
      </c>
      <c r="I2289" s="26">
        <f t="shared" si="242"/>
        <v>0</v>
      </c>
      <c r="J2289" s="1340" t="e">
        <f t="shared" si="243"/>
        <v>#DIV/0!</v>
      </c>
      <c r="K2289" s="1339">
        <f t="shared" si="244"/>
        <v>0</v>
      </c>
    </row>
    <row r="2290" spans="1:11" ht="15" x14ac:dyDescent="0.25">
      <c r="A2290" s="1341"/>
      <c r="B2290" s="624">
        <v>229000</v>
      </c>
      <c r="C2290" s="1344">
        <v>344905200000000</v>
      </c>
      <c r="D2290" s="624" t="s">
        <v>6708</v>
      </c>
      <c r="E2290" s="624">
        <v>1162</v>
      </c>
      <c r="F2290" s="643">
        <v>0</v>
      </c>
      <c r="G2290" s="643">
        <v>0</v>
      </c>
      <c r="H2290" s="26">
        <v>0</v>
      </c>
      <c r="I2290" s="26">
        <f t="shared" si="242"/>
        <v>0</v>
      </c>
      <c r="J2290" s="1340" t="e">
        <f t="shared" si="243"/>
        <v>#DIV/0!</v>
      </c>
      <c r="K2290" s="1339">
        <f t="shared" si="244"/>
        <v>0</v>
      </c>
    </row>
    <row r="2291" spans="1:11" s="12" customFormat="1" ht="15" x14ac:dyDescent="0.25">
      <c r="A2291" s="1081"/>
      <c r="B2291" s="570" t="s">
        <v>2965</v>
      </c>
      <c r="C2291" s="1345">
        <v>15</v>
      </c>
      <c r="D2291" s="570" t="s">
        <v>7341</v>
      </c>
      <c r="E2291" s="570"/>
      <c r="F2291" s="642">
        <f>SUM(F2292:F2298)</f>
        <v>7713.86</v>
      </c>
      <c r="G2291" s="642">
        <f>SUM(G2292:G2298)</f>
        <v>42554.33</v>
      </c>
      <c r="H2291" s="642">
        <f>SUM(H2292:H2298)</f>
        <v>0</v>
      </c>
      <c r="I2291" s="642">
        <f>SUM(I2292:I2298)</f>
        <v>16756.063333333332</v>
      </c>
      <c r="J2291" s="1338">
        <f t="shared" si="243"/>
        <v>5.5166064719867878</v>
      </c>
      <c r="K2291" s="1337">
        <f t="shared" si="244"/>
        <v>0.18570751347120637</v>
      </c>
    </row>
    <row r="2292" spans="1:11" ht="15" x14ac:dyDescent="0.25">
      <c r="A2292" s="1341"/>
      <c r="B2292" s="624">
        <v>231000</v>
      </c>
      <c r="C2292" s="1344">
        <v>333901400000000</v>
      </c>
      <c r="D2292" s="624" t="s">
        <v>6714</v>
      </c>
      <c r="E2292" s="624">
        <v>1163</v>
      </c>
      <c r="F2292" s="643">
        <v>0</v>
      </c>
      <c r="G2292" s="643">
        <v>0</v>
      </c>
      <c r="H2292" s="26">
        <v>0</v>
      </c>
      <c r="I2292" s="26">
        <f t="shared" ref="I2292:I2298" si="245">(F2292+G2292+H2292)/3</f>
        <v>0</v>
      </c>
      <c r="J2292" s="1340" t="e">
        <f t="shared" si="243"/>
        <v>#DIV/0!</v>
      </c>
      <c r="K2292" s="1339">
        <f t="shared" si="244"/>
        <v>0</v>
      </c>
    </row>
    <row r="2293" spans="1:11" ht="15" x14ac:dyDescent="0.25">
      <c r="A2293" s="1341"/>
      <c r="B2293" s="624">
        <v>231100</v>
      </c>
      <c r="C2293" s="1344">
        <v>333903000000000</v>
      </c>
      <c r="D2293" s="624" t="s">
        <v>6715</v>
      </c>
      <c r="E2293" s="624">
        <v>1163</v>
      </c>
      <c r="F2293" s="643">
        <v>256.26</v>
      </c>
      <c r="G2293" s="643">
        <v>1728.33</v>
      </c>
      <c r="H2293" s="26">
        <v>0</v>
      </c>
      <c r="I2293" s="26">
        <f t="shared" si="245"/>
        <v>661.53</v>
      </c>
      <c r="J2293" s="1340">
        <f t="shared" si="243"/>
        <v>6.7444392413954573</v>
      </c>
      <c r="K2293" s="1339">
        <f t="shared" si="244"/>
        <v>7.3317394988723777E-3</v>
      </c>
    </row>
    <row r="2294" spans="1:11" ht="15" x14ac:dyDescent="0.25">
      <c r="A2294" s="1341"/>
      <c r="B2294" s="624">
        <v>231200</v>
      </c>
      <c r="C2294" s="1344">
        <v>333903300000000</v>
      </c>
      <c r="D2294" s="624" t="s">
        <v>6716</v>
      </c>
      <c r="E2294" s="624">
        <v>1163</v>
      </c>
      <c r="F2294" s="643">
        <v>0</v>
      </c>
      <c r="G2294" s="643">
        <v>0</v>
      </c>
      <c r="H2294" s="26">
        <v>0</v>
      </c>
      <c r="I2294" s="26">
        <f t="shared" si="245"/>
        <v>0</v>
      </c>
      <c r="J2294" s="1340" t="e">
        <f t="shared" si="243"/>
        <v>#DIV/0!</v>
      </c>
      <c r="K2294" s="1339">
        <f t="shared" si="244"/>
        <v>0</v>
      </c>
    </row>
    <row r="2295" spans="1:11" ht="15" x14ac:dyDescent="0.25">
      <c r="A2295" s="1341"/>
      <c r="B2295" s="624">
        <v>231300</v>
      </c>
      <c r="C2295" s="1344">
        <v>333903600000000</v>
      </c>
      <c r="D2295" s="624" t="s">
        <v>6717</v>
      </c>
      <c r="E2295" s="624">
        <v>1163</v>
      </c>
      <c r="F2295" s="643">
        <v>0</v>
      </c>
      <c r="G2295" s="643">
        <v>0</v>
      </c>
      <c r="H2295" s="26">
        <v>0</v>
      </c>
      <c r="I2295" s="26">
        <f t="shared" si="245"/>
        <v>0</v>
      </c>
      <c r="J2295" s="1340" t="e">
        <f t="shared" si="243"/>
        <v>#DIV/0!</v>
      </c>
      <c r="K2295" s="1339">
        <f t="shared" si="244"/>
        <v>0</v>
      </c>
    </row>
    <row r="2296" spans="1:11" ht="15" x14ac:dyDescent="0.25">
      <c r="A2296" s="1341"/>
      <c r="B2296" s="624">
        <v>231400</v>
      </c>
      <c r="C2296" s="1344">
        <v>333903900000000</v>
      </c>
      <c r="D2296" s="624" t="s">
        <v>6718</v>
      </c>
      <c r="E2296" s="624">
        <v>1163</v>
      </c>
      <c r="F2296" s="643">
        <v>3037.6</v>
      </c>
      <c r="G2296" s="643">
        <v>826</v>
      </c>
      <c r="H2296" s="26">
        <v>0</v>
      </c>
      <c r="I2296" s="26">
        <f t="shared" si="245"/>
        <v>1287.8666666666666</v>
      </c>
      <c r="J2296" s="1340">
        <f t="shared" si="243"/>
        <v>0.27192520410850674</v>
      </c>
      <c r="K2296" s="1339">
        <f t="shared" si="244"/>
        <v>1.4273431150939648E-2</v>
      </c>
    </row>
    <row r="2297" spans="1:11" ht="15" x14ac:dyDescent="0.25">
      <c r="A2297" s="1341"/>
      <c r="B2297" s="624">
        <v>231500</v>
      </c>
      <c r="C2297" s="1344">
        <v>333904700000000</v>
      </c>
      <c r="D2297" s="624" t="s">
        <v>6810</v>
      </c>
      <c r="E2297" s="624">
        <v>1163</v>
      </c>
      <c r="F2297" s="643">
        <v>0</v>
      </c>
      <c r="G2297" s="643">
        <v>0</v>
      </c>
      <c r="H2297" s="26">
        <v>0</v>
      </c>
      <c r="I2297" s="26">
        <f t="shared" si="245"/>
        <v>0</v>
      </c>
      <c r="J2297" s="1340" t="e">
        <f t="shared" si="243"/>
        <v>#DIV/0!</v>
      </c>
      <c r="K2297" s="1339">
        <f t="shared" si="244"/>
        <v>0</v>
      </c>
    </row>
    <row r="2298" spans="1:11" ht="15" x14ac:dyDescent="0.25">
      <c r="A2298" s="1341"/>
      <c r="B2298" s="624">
        <v>231600</v>
      </c>
      <c r="C2298" s="1344">
        <v>344905200000000</v>
      </c>
      <c r="D2298" s="624" t="s">
        <v>6719</v>
      </c>
      <c r="E2298" s="624">
        <v>1163</v>
      </c>
      <c r="F2298" s="643">
        <v>4420</v>
      </c>
      <c r="G2298" s="643">
        <v>40000</v>
      </c>
      <c r="H2298" s="26">
        <v>0</v>
      </c>
      <c r="I2298" s="26">
        <f t="shared" si="245"/>
        <v>14806.666666666666</v>
      </c>
      <c r="J2298" s="1340">
        <f t="shared" si="243"/>
        <v>9.0497737556561084</v>
      </c>
      <c r="K2298" s="1339">
        <f t="shared" si="244"/>
        <v>0.16410234282139435</v>
      </c>
    </row>
    <row r="2299" spans="1:11" s="12" customFormat="1" ht="15" x14ac:dyDescent="0.25">
      <c r="A2299" s="1081"/>
      <c r="B2299" s="570" t="s">
        <v>2965</v>
      </c>
      <c r="C2299" s="1345">
        <v>16</v>
      </c>
      <c r="D2299" s="570" t="s">
        <v>7340</v>
      </c>
      <c r="E2299" s="570"/>
      <c r="F2299" s="642">
        <f>SUM(F2300:F2309)</f>
        <v>779.33999999999992</v>
      </c>
      <c r="G2299" s="642">
        <f>SUM(G2300:G2309)</f>
        <v>15000</v>
      </c>
      <c r="H2299" s="642">
        <f>SUM(H2300:H2309)</f>
        <v>0</v>
      </c>
      <c r="I2299" s="642">
        <f>SUM(I2300:I2309)</f>
        <v>5259.78</v>
      </c>
      <c r="J2299" s="1338">
        <f t="shared" si="243"/>
        <v>19.247055200554318</v>
      </c>
      <c r="K2299" s="1337">
        <f t="shared" si="244"/>
        <v>5.8294161687873491E-2</v>
      </c>
    </row>
    <row r="2300" spans="1:11" ht="15" x14ac:dyDescent="0.25">
      <c r="A2300" s="1341"/>
      <c r="B2300" s="624">
        <v>233000</v>
      </c>
      <c r="C2300" s="1344">
        <v>333901400000000</v>
      </c>
      <c r="D2300" s="624" t="s">
        <v>6721</v>
      </c>
      <c r="E2300" s="624">
        <v>1164</v>
      </c>
      <c r="F2300" s="643">
        <v>0</v>
      </c>
      <c r="G2300" s="643">
        <v>0</v>
      </c>
      <c r="H2300" s="26">
        <v>0</v>
      </c>
      <c r="I2300" s="26">
        <f t="shared" ref="I2300:I2309" si="246">(F2300+G2300+H2300)/3</f>
        <v>0</v>
      </c>
      <c r="J2300" s="1340" t="e">
        <f t="shared" si="243"/>
        <v>#DIV/0!</v>
      </c>
      <c r="K2300" s="1339">
        <f t="shared" si="244"/>
        <v>0</v>
      </c>
    </row>
    <row r="2301" spans="1:11" ht="15" x14ac:dyDescent="0.25">
      <c r="A2301" s="1341"/>
      <c r="B2301" s="624">
        <v>233100</v>
      </c>
      <c r="C2301" s="1344">
        <v>333903000000000</v>
      </c>
      <c r="D2301" s="624" t="s">
        <v>6722</v>
      </c>
      <c r="E2301" s="624">
        <v>1164</v>
      </c>
      <c r="F2301" s="643">
        <v>419.94</v>
      </c>
      <c r="G2301" s="643">
        <v>0</v>
      </c>
      <c r="H2301" s="26">
        <v>0</v>
      </c>
      <c r="I2301" s="26">
        <f t="shared" si="246"/>
        <v>139.97999999999999</v>
      </c>
      <c r="J2301" s="1340" t="e">
        <f t="shared" si="243"/>
        <v>#DIV/0!</v>
      </c>
      <c r="K2301" s="1339">
        <f t="shared" si="244"/>
        <v>1.5513988708783508E-3</v>
      </c>
    </row>
    <row r="2302" spans="1:11" ht="15" x14ac:dyDescent="0.25">
      <c r="A2302" s="1341"/>
      <c r="B2302" s="624">
        <v>235000</v>
      </c>
      <c r="C2302" s="1344">
        <v>333903000000000</v>
      </c>
      <c r="D2302" s="624" t="s">
        <v>6728</v>
      </c>
      <c r="E2302" s="624">
        <v>1149</v>
      </c>
      <c r="F2302" s="643">
        <v>0</v>
      </c>
      <c r="G2302" s="643">
        <v>0</v>
      </c>
      <c r="H2302" s="26">
        <v>0</v>
      </c>
      <c r="I2302" s="26">
        <f t="shared" si="246"/>
        <v>0</v>
      </c>
      <c r="J2302" s="1340" t="e">
        <f t="shared" si="243"/>
        <v>#DIV/0!</v>
      </c>
      <c r="K2302" s="1339">
        <f t="shared" si="244"/>
        <v>0</v>
      </c>
    </row>
    <row r="2303" spans="1:11" ht="15" x14ac:dyDescent="0.25">
      <c r="A2303" s="1341"/>
      <c r="B2303" s="624">
        <v>233200</v>
      </c>
      <c r="C2303" s="1344">
        <v>333903300000000</v>
      </c>
      <c r="D2303" s="624" t="s">
        <v>6723</v>
      </c>
      <c r="E2303" s="624">
        <v>1164</v>
      </c>
      <c r="F2303" s="643">
        <v>0</v>
      </c>
      <c r="G2303" s="643">
        <v>0</v>
      </c>
      <c r="H2303" s="26">
        <v>0</v>
      </c>
      <c r="I2303" s="26">
        <f t="shared" si="246"/>
        <v>0</v>
      </c>
      <c r="J2303" s="1340" t="e">
        <f t="shared" si="243"/>
        <v>#DIV/0!</v>
      </c>
      <c r="K2303" s="1339">
        <f t="shared" si="244"/>
        <v>0</v>
      </c>
    </row>
    <row r="2304" spans="1:11" ht="15" x14ac:dyDescent="0.25">
      <c r="A2304" s="1341"/>
      <c r="B2304" s="624">
        <v>233300</v>
      </c>
      <c r="C2304" s="1344">
        <v>333903600000000</v>
      </c>
      <c r="D2304" s="624" t="s">
        <v>6724</v>
      </c>
      <c r="E2304" s="624">
        <v>1164</v>
      </c>
      <c r="F2304" s="643">
        <v>0</v>
      </c>
      <c r="G2304" s="643">
        <v>0</v>
      </c>
      <c r="H2304" s="26">
        <v>0</v>
      </c>
      <c r="I2304" s="26">
        <f t="shared" si="246"/>
        <v>0</v>
      </c>
      <c r="J2304" s="1340" t="e">
        <f t="shared" si="243"/>
        <v>#DIV/0!</v>
      </c>
      <c r="K2304" s="1339">
        <f t="shared" si="244"/>
        <v>0</v>
      </c>
    </row>
    <row r="2305" spans="1:11" ht="15" x14ac:dyDescent="0.25">
      <c r="A2305" s="1341"/>
      <c r="B2305" s="624">
        <v>233400</v>
      </c>
      <c r="C2305" s="1344">
        <v>333903900000000</v>
      </c>
      <c r="D2305" s="624" t="s">
        <v>6725</v>
      </c>
      <c r="E2305" s="624">
        <v>1164</v>
      </c>
      <c r="F2305" s="643">
        <v>359.4</v>
      </c>
      <c r="G2305" s="643">
        <v>0</v>
      </c>
      <c r="H2305" s="26">
        <v>0</v>
      </c>
      <c r="I2305" s="26">
        <f t="shared" si="246"/>
        <v>119.8</v>
      </c>
      <c r="J2305" s="1340" t="e">
        <f t="shared" si="243"/>
        <v>#DIV/0!</v>
      </c>
      <c r="K2305" s="1339">
        <f t="shared" si="244"/>
        <v>1.3277438543450953E-3</v>
      </c>
    </row>
    <row r="2306" spans="1:11" ht="15" x14ac:dyDescent="0.25">
      <c r="A2306" s="1341"/>
      <c r="B2306" s="624">
        <v>235100</v>
      </c>
      <c r="C2306" s="1344">
        <v>333903900000000</v>
      </c>
      <c r="D2306" s="624" t="s">
        <v>6727</v>
      </c>
      <c r="E2306" s="624">
        <v>1149</v>
      </c>
      <c r="F2306" s="643">
        <v>0</v>
      </c>
      <c r="G2306" s="643">
        <v>0</v>
      </c>
      <c r="H2306" s="26">
        <v>0</v>
      </c>
      <c r="I2306" s="26">
        <f t="shared" si="246"/>
        <v>0</v>
      </c>
      <c r="J2306" s="1340" t="e">
        <f t="shared" si="243"/>
        <v>#DIV/0!</v>
      </c>
      <c r="K2306" s="1339">
        <f t="shared" si="244"/>
        <v>0</v>
      </c>
    </row>
    <row r="2307" spans="1:11" ht="15" x14ac:dyDescent="0.25">
      <c r="A2307" s="1341"/>
      <c r="B2307" s="624">
        <v>233500</v>
      </c>
      <c r="C2307" s="1344">
        <v>333904700000000</v>
      </c>
      <c r="D2307" s="624" t="s">
        <v>6811</v>
      </c>
      <c r="E2307" s="624">
        <v>1164</v>
      </c>
      <c r="F2307" s="643">
        <v>0</v>
      </c>
      <c r="G2307" s="643">
        <v>0</v>
      </c>
      <c r="H2307" s="26">
        <v>0</v>
      </c>
      <c r="I2307" s="26">
        <f t="shared" si="246"/>
        <v>0</v>
      </c>
      <c r="J2307" s="1340" t="e">
        <f t="shared" si="243"/>
        <v>#DIV/0!</v>
      </c>
      <c r="K2307" s="1339">
        <f t="shared" si="244"/>
        <v>0</v>
      </c>
    </row>
    <row r="2308" spans="1:11" ht="15" x14ac:dyDescent="0.25">
      <c r="A2308" s="1341"/>
      <c r="B2308" s="624">
        <v>233600</v>
      </c>
      <c r="C2308" s="1344">
        <v>344905200000000</v>
      </c>
      <c r="D2308" s="624" t="s">
        <v>6726</v>
      </c>
      <c r="E2308" s="624">
        <v>1164</v>
      </c>
      <c r="F2308" s="643">
        <v>0</v>
      </c>
      <c r="G2308" s="643">
        <v>15000</v>
      </c>
      <c r="H2308" s="26">
        <v>0</v>
      </c>
      <c r="I2308" s="26">
        <f t="shared" si="246"/>
        <v>5000</v>
      </c>
      <c r="J2308" s="1340" t="e">
        <f t="shared" si="243"/>
        <v>#DIV/0!</v>
      </c>
      <c r="K2308" s="1339">
        <f t="shared" si="244"/>
        <v>5.5415018962650053E-2</v>
      </c>
    </row>
    <row r="2309" spans="1:11" ht="15" x14ac:dyDescent="0.25">
      <c r="A2309" s="1341"/>
      <c r="B2309" s="624">
        <v>235200</v>
      </c>
      <c r="C2309" s="1344">
        <v>344905200000000</v>
      </c>
      <c r="D2309" s="624" t="s">
        <v>6729</v>
      </c>
      <c r="E2309" s="624">
        <v>1149</v>
      </c>
      <c r="F2309" s="643">
        <v>0</v>
      </c>
      <c r="G2309" s="643">
        <v>0</v>
      </c>
      <c r="H2309" s="26">
        <v>0</v>
      </c>
      <c r="I2309" s="26">
        <f t="shared" si="246"/>
        <v>0</v>
      </c>
      <c r="J2309" s="1340" t="e">
        <f t="shared" si="243"/>
        <v>#DIV/0!</v>
      </c>
      <c r="K2309" s="1339">
        <f t="shared" si="244"/>
        <v>0</v>
      </c>
    </row>
    <row r="2310" spans="1:11" ht="15" x14ac:dyDescent="0.25">
      <c r="B2310" s="1598" t="s">
        <v>1575</v>
      </c>
      <c r="C2310" s="1598"/>
      <c r="D2310" s="1598"/>
      <c r="E2310" s="1598"/>
      <c r="F2310" s="25">
        <f>F2189+F2241+F2291+F2299</f>
        <v>91845.189999999988</v>
      </c>
      <c r="G2310" s="25">
        <f>G2189+G2241+G2291+G2299</f>
        <v>178839.55</v>
      </c>
      <c r="H2310" s="25">
        <f>H2189+H2241+H2291+H2299</f>
        <v>0</v>
      </c>
      <c r="I2310" s="25">
        <f>I2189+I2241+I2291+I2299</f>
        <v>90228.246666666673</v>
      </c>
      <c r="J2310" s="1338">
        <f t="shared" si="243"/>
        <v>1.947184713755832</v>
      </c>
      <c r="K2310" s="1337">
        <f t="shared" si="244"/>
        <v>1</v>
      </c>
    </row>
    <row r="2312" spans="1:11" ht="15" x14ac:dyDescent="0.25">
      <c r="B2312" s="616" t="s">
        <v>7339</v>
      </c>
    </row>
    <row r="2313" spans="1:11" ht="45" customHeight="1" x14ac:dyDescent="0.25">
      <c r="B2313" s="1343" t="s">
        <v>2967</v>
      </c>
      <c r="C2313" s="1343" t="s">
        <v>472</v>
      </c>
      <c r="D2313" s="1343" t="s">
        <v>2968</v>
      </c>
      <c r="E2313" s="1343" t="s">
        <v>1403</v>
      </c>
      <c r="F2313" s="1081">
        <v>2017</v>
      </c>
      <c r="G2313" s="1081">
        <f>F2313+1</f>
        <v>2018</v>
      </c>
      <c r="H2313" s="1081">
        <f>G2313+1</f>
        <v>2019</v>
      </c>
      <c r="I2313" s="1082" t="s">
        <v>7336</v>
      </c>
      <c r="J2313" s="1342" t="s">
        <v>7335</v>
      </c>
      <c r="K2313" s="1342" t="s">
        <v>7334</v>
      </c>
    </row>
    <row r="2314" spans="1:11" s="12" customFormat="1" ht="15" x14ac:dyDescent="0.25">
      <c r="A2314" s="1081"/>
      <c r="B2314" s="570" t="s">
        <v>2965</v>
      </c>
      <c r="C2314" s="1345">
        <v>18</v>
      </c>
      <c r="D2314" s="570" t="s">
        <v>7338</v>
      </c>
      <c r="E2314" s="570"/>
      <c r="F2314" s="642">
        <f>SUM(F2315:F2322)</f>
        <v>48830.1</v>
      </c>
      <c r="G2314" s="642">
        <f>SUM(G2315:G2322)</f>
        <v>0</v>
      </c>
      <c r="H2314" s="642">
        <f>SUM(H2315:H2322)</f>
        <v>0</v>
      </c>
      <c r="I2314" s="642">
        <f>SUM(I2315:I2322)</f>
        <v>16276.699999999999</v>
      </c>
      <c r="J2314" s="1338" t="e">
        <f t="shared" ref="J2314:J2350" si="247">(G2314/F2314)+(H2314/G2314)/2</f>
        <v>#DIV/0!</v>
      </c>
      <c r="K2314" s="1337">
        <f t="shared" ref="K2314:K2350" si="248">I2314/I$2350</f>
        <v>1</v>
      </c>
    </row>
    <row r="2315" spans="1:11" ht="15" x14ac:dyDescent="0.25">
      <c r="A2315" s="1341"/>
      <c r="B2315" s="624">
        <v>237000</v>
      </c>
      <c r="C2315" s="1344">
        <v>333901400000000</v>
      </c>
      <c r="D2315" s="624" t="s">
        <v>6812</v>
      </c>
      <c r="E2315" s="624">
        <v>1</v>
      </c>
      <c r="F2315" s="643">
        <v>0</v>
      </c>
      <c r="G2315" s="643">
        <v>0</v>
      </c>
      <c r="H2315" s="26">
        <v>0</v>
      </c>
      <c r="I2315" s="26">
        <f t="shared" ref="I2315:I2322" si="249">(F2315+G2315+H2315)/3</f>
        <v>0</v>
      </c>
      <c r="J2315" s="1340" t="e">
        <f t="shared" si="247"/>
        <v>#DIV/0!</v>
      </c>
      <c r="K2315" s="1339">
        <f t="shared" si="248"/>
        <v>0</v>
      </c>
    </row>
    <row r="2316" spans="1:11" ht="15" x14ac:dyDescent="0.25">
      <c r="A2316" s="1341"/>
      <c r="B2316" s="624">
        <v>237100</v>
      </c>
      <c r="C2316" s="1344">
        <v>333903000000000</v>
      </c>
      <c r="D2316" s="624" t="s">
        <v>6813</v>
      </c>
      <c r="E2316" s="624">
        <v>1</v>
      </c>
      <c r="F2316" s="643">
        <v>0</v>
      </c>
      <c r="G2316" s="643">
        <v>0</v>
      </c>
      <c r="H2316" s="26">
        <v>0</v>
      </c>
      <c r="I2316" s="26">
        <f t="shared" si="249"/>
        <v>0</v>
      </c>
      <c r="J2316" s="1340" t="e">
        <f t="shared" si="247"/>
        <v>#DIV/0!</v>
      </c>
      <c r="K2316" s="1339">
        <f t="shared" si="248"/>
        <v>0</v>
      </c>
    </row>
    <row r="2317" spans="1:11" ht="15" x14ac:dyDescent="0.25">
      <c r="A2317" s="1341"/>
      <c r="B2317" s="624">
        <v>237200</v>
      </c>
      <c r="C2317" s="1344">
        <v>333903300000000</v>
      </c>
      <c r="D2317" s="624" t="s">
        <v>6814</v>
      </c>
      <c r="E2317" s="624">
        <v>1</v>
      </c>
      <c r="F2317" s="643">
        <v>0</v>
      </c>
      <c r="G2317" s="643">
        <v>0</v>
      </c>
      <c r="H2317" s="26">
        <v>0</v>
      </c>
      <c r="I2317" s="26">
        <f t="shared" si="249"/>
        <v>0</v>
      </c>
      <c r="J2317" s="1340" t="e">
        <f t="shared" si="247"/>
        <v>#DIV/0!</v>
      </c>
      <c r="K2317" s="1339">
        <f t="shared" si="248"/>
        <v>0</v>
      </c>
    </row>
    <row r="2318" spans="1:11" ht="15" x14ac:dyDescent="0.25">
      <c r="A2318" s="1341"/>
      <c r="B2318" s="624">
        <v>237300</v>
      </c>
      <c r="C2318" s="1344">
        <v>333903600000000</v>
      </c>
      <c r="D2318" s="624" t="s">
        <v>6815</v>
      </c>
      <c r="E2318" s="624">
        <v>1</v>
      </c>
      <c r="F2318" s="643">
        <v>0</v>
      </c>
      <c r="G2318" s="643">
        <v>0</v>
      </c>
      <c r="H2318" s="26">
        <v>0</v>
      </c>
      <c r="I2318" s="26">
        <f t="shared" si="249"/>
        <v>0</v>
      </c>
      <c r="J2318" s="1340" t="e">
        <f t="shared" si="247"/>
        <v>#DIV/0!</v>
      </c>
      <c r="K2318" s="1339">
        <f t="shared" si="248"/>
        <v>0</v>
      </c>
    </row>
    <row r="2319" spans="1:11" ht="15" x14ac:dyDescent="0.25">
      <c r="A2319" s="1341"/>
      <c r="B2319" s="624">
        <v>237400</v>
      </c>
      <c r="C2319" s="1344">
        <v>333903900000000</v>
      </c>
      <c r="D2319" s="624" t="s">
        <v>6816</v>
      </c>
      <c r="E2319" s="624">
        <v>1</v>
      </c>
      <c r="F2319" s="643">
        <v>0</v>
      </c>
      <c r="G2319" s="643">
        <v>0</v>
      </c>
      <c r="H2319" s="26">
        <v>0</v>
      </c>
      <c r="I2319" s="26">
        <f t="shared" si="249"/>
        <v>0</v>
      </c>
      <c r="J2319" s="1340" t="e">
        <f t="shared" si="247"/>
        <v>#DIV/0!</v>
      </c>
      <c r="K2319" s="1339">
        <f t="shared" si="248"/>
        <v>0</v>
      </c>
    </row>
    <row r="2320" spans="1:11" ht="15" x14ac:dyDescent="0.25">
      <c r="A2320" s="1341"/>
      <c r="B2320" s="624">
        <v>237500</v>
      </c>
      <c r="C2320" s="1344">
        <v>333904700000000</v>
      </c>
      <c r="D2320" s="624" t="s">
        <v>6817</v>
      </c>
      <c r="E2320" s="624">
        <v>1</v>
      </c>
      <c r="F2320" s="643">
        <v>0</v>
      </c>
      <c r="G2320" s="643">
        <v>0</v>
      </c>
      <c r="H2320" s="26">
        <v>0</v>
      </c>
      <c r="I2320" s="26">
        <f t="shared" si="249"/>
        <v>0</v>
      </c>
      <c r="J2320" s="1340" t="e">
        <f t="shared" si="247"/>
        <v>#DIV/0!</v>
      </c>
      <c r="K2320" s="1339">
        <f t="shared" si="248"/>
        <v>0</v>
      </c>
    </row>
    <row r="2321" spans="1:11" ht="15" x14ac:dyDescent="0.25">
      <c r="A2321" s="1341"/>
      <c r="B2321" s="624">
        <v>237600</v>
      </c>
      <c r="C2321" s="1344">
        <v>344905100000000</v>
      </c>
      <c r="D2321" s="624" t="s">
        <v>6818</v>
      </c>
      <c r="E2321" s="624">
        <v>1</v>
      </c>
      <c r="F2321" s="643">
        <v>6330.1</v>
      </c>
      <c r="G2321" s="643">
        <v>0</v>
      </c>
      <c r="H2321" s="26">
        <v>0</v>
      </c>
      <c r="I2321" s="26">
        <f t="shared" si="249"/>
        <v>2110.0333333333333</v>
      </c>
      <c r="J2321" s="1340" t="e">
        <f t="shared" si="247"/>
        <v>#DIV/0!</v>
      </c>
      <c r="K2321" s="1339">
        <f t="shared" si="248"/>
        <v>0.12963520451524777</v>
      </c>
    </row>
    <row r="2322" spans="1:11" ht="15" x14ac:dyDescent="0.25">
      <c r="A2322" s="1341"/>
      <c r="B2322" s="624">
        <v>237700</v>
      </c>
      <c r="C2322" s="1344">
        <v>344905200000000</v>
      </c>
      <c r="D2322" s="624" t="s">
        <v>6819</v>
      </c>
      <c r="E2322" s="624">
        <v>1</v>
      </c>
      <c r="F2322" s="643">
        <v>42500</v>
      </c>
      <c r="G2322" s="643">
        <v>0</v>
      </c>
      <c r="H2322" s="26">
        <v>0</v>
      </c>
      <c r="I2322" s="26">
        <f t="shared" si="249"/>
        <v>14166.666666666666</v>
      </c>
      <c r="J2322" s="1340" t="e">
        <f t="shared" si="247"/>
        <v>#DIV/0!</v>
      </c>
      <c r="K2322" s="1339">
        <f t="shared" si="248"/>
        <v>0.87036479548475221</v>
      </c>
    </row>
    <row r="2323" spans="1:11" s="12" customFormat="1" ht="15" x14ac:dyDescent="0.25">
      <c r="A2323" s="1081"/>
      <c r="B2323" s="570" t="s">
        <v>2965</v>
      </c>
      <c r="C2323" s="1345">
        <v>51</v>
      </c>
      <c r="D2323" s="570" t="s">
        <v>6856</v>
      </c>
      <c r="E2323" s="570"/>
      <c r="F2323" s="642">
        <f>SUM(F2324:F2329)</f>
        <v>0</v>
      </c>
      <c r="G2323" s="642">
        <f>SUM(G2324:G2329)</f>
        <v>0</v>
      </c>
      <c r="H2323" s="642">
        <f>SUM(H2324:H2329)</f>
        <v>0</v>
      </c>
      <c r="I2323" s="642">
        <f>SUM(I2324:I2329)</f>
        <v>0</v>
      </c>
      <c r="J2323" s="1338" t="e">
        <f t="shared" si="247"/>
        <v>#DIV/0!</v>
      </c>
      <c r="K2323" s="1337">
        <f t="shared" si="248"/>
        <v>0</v>
      </c>
    </row>
    <row r="2324" spans="1:11" ht="15" x14ac:dyDescent="0.25">
      <c r="A2324" s="1341"/>
      <c r="B2324" s="624">
        <v>237800</v>
      </c>
      <c r="C2324" s="1344">
        <v>333903000000000</v>
      </c>
      <c r="D2324" s="624" t="s">
        <v>6857</v>
      </c>
      <c r="E2324" s="624">
        <v>1</v>
      </c>
      <c r="F2324" s="643">
        <v>0</v>
      </c>
      <c r="G2324" s="643">
        <v>0</v>
      </c>
      <c r="H2324" s="26">
        <v>0</v>
      </c>
      <c r="I2324" s="26">
        <f t="shared" ref="I2324:I2329" si="250">(F2324+G2324+H2324)/3</f>
        <v>0</v>
      </c>
      <c r="J2324" s="1340" t="e">
        <f t="shared" si="247"/>
        <v>#DIV/0!</v>
      </c>
      <c r="K2324" s="1339">
        <f t="shared" si="248"/>
        <v>0</v>
      </c>
    </row>
    <row r="2325" spans="1:11" ht="15" x14ac:dyDescent="0.25">
      <c r="A2325" s="1341"/>
      <c r="B2325" s="624">
        <v>237820</v>
      </c>
      <c r="C2325" s="1344">
        <v>333903200000000</v>
      </c>
      <c r="D2325" s="624" t="s">
        <v>6858</v>
      </c>
      <c r="E2325" s="624">
        <v>1</v>
      </c>
      <c r="F2325" s="643">
        <v>0</v>
      </c>
      <c r="G2325" s="643">
        <v>0</v>
      </c>
      <c r="H2325" s="26">
        <v>0</v>
      </c>
      <c r="I2325" s="26">
        <f t="shared" si="250"/>
        <v>0</v>
      </c>
      <c r="J2325" s="1340" t="e">
        <f t="shared" si="247"/>
        <v>#DIV/0!</v>
      </c>
      <c r="K2325" s="1339">
        <f t="shared" si="248"/>
        <v>0</v>
      </c>
    </row>
    <row r="2326" spans="1:11" ht="15" x14ac:dyDescent="0.25">
      <c r="A2326" s="1341"/>
      <c r="B2326" s="624">
        <v>237840</v>
      </c>
      <c r="C2326" s="1344">
        <v>333903300000000</v>
      </c>
      <c r="D2326" s="624" t="s">
        <v>6859</v>
      </c>
      <c r="E2326" s="624">
        <v>1</v>
      </c>
      <c r="F2326" s="643">
        <v>0</v>
      </c>
      <c r="G2326" s="643">
        <v>0</v>
      </c>
      <c r="H2326" s="26">
        <v>0</v>
      </c>
      <c r="I2326" s="26">
        <f t="shared" si="250"/>
        <v>0</v>
      </c>
      <c r="J2326" s="1340" t="e">
        <f t="shared" si="247"/>
        <v>#DIV/0!</v>
      </c>
      <c r="K2326" s="1339">
        <f t="shared" si="248"/>
        <v>0</v>
      </c>
    </row>
    <row r="2327" spans="1:11" ht="15" x14ac:dyDescent="0.25">
      <c r="A2327" s="1341"/>
      <c r="B2327" s="624">
        <v>237860</v>
      </c>
      <c r="C2327" s="1344">
        <v>333903600000000</v>
      </c>
      <c r="D2327" s="624" t="s">
        <v>6860</v>
      </c>
      <c r="E2327" s="624">
        <v>1</v>
      </c>
      <c r="F2327" s="643">
        <v>0</v>
      </c>
      <c r="G2327" s="643">
        <v>0</v>
      </c>
      <c r="H2327" s="26">
        <v>0</v>
      </c>
      <c r="I2327" s="26">
        <f t="shared" si="250"/>
        <v>0</v>
      </c>
      <c r="J2327" s="1340" t="e">
        <f t="shared" si="247"/>
        <v>#DIV/0!</v>
      </c>
      <c r="K2327" s="1339">
        <f t="shared" si="248"/>
        <v>0</v>
      </c>
    </row>
    <row r="2328" spans="1:11" ht="15" x14ac:dyDescent="0.25">
      <c r="A2328" s="1341"/>
      <c r="B2328" s="624">
        <v>237880</v>
      </c>
      <c r="C2328" s="1344">
        <v>333903900000000</v>
      </c>
      <c r="D2328" s="624" t="s">
        <v>6861</v>
      </c>
      <c r="E2328" s="624">
        <v>1</v>
      </c>
      <c r="F2328" s="643">
        <v>0</v>
      </c>
      <c r="G2328" s="643">
        <v>0</v>
      </c>
      <c r="H2328" s="26">
        <v>0</v>
      </c>
      <c r="I2328" s="26">
        <f t="shared" si="250"/>
        <v>0</v>
      </c>
      <c r="J2328" s="1340" t="e">
        <f t="shared" si="247"/>
        <v>#DIV/0!</v>
      </c>
      <c r="K2328" s="1339">
        <f t="shared" si="248"/>
        <v>0</v>
      </c>
    </row>
    <row r="2329" spans="1:11" ht="15" x14ac:dyDescent="0.25">
      <c r="A2329" s="1341"/>
      <c r="B2329" s="624">
        <v>237900</v>
      </c>
      <c r="C2329" s="1344">
        <v>333904700000000</v>
      </c>
      <c r="D2329" s="624" t="s">
        <v>6862</v>
      </c>
      <c r="E2329" s="624">
        <v>1</v>
      </c>
      <c r="F2329" s="643">
        <v>0</v>
      </c>
      <c r="G2329" s="643">
        <v>0</v>
      </c>
      <c r="H2329" s="26">
        <v>0</v>
      </c>
      <c r="I2329" s="26">
        <f t="shared" si="250"/>
        <v>0</v>
      </c>
      <c r="J2329" s="1340" t="e">
        <f t="shared" si="247"/>
        <v>#DIV/0!</v>
      </c>
      <c r="K2329" s="1339">
        <f t="shared" si="248"/>
        <v>0</v>
      </c>
    </row>
    <row r="2330" spans="1:11" s="12" customFormat="1" ht="15" x14ac:dyDescent="0.25">
      <c r="A2330" s="1081"/>
      <c r="B2330" s="570" t="s">
        <v>2965</v>
      </c>
      <c r="C2330" s="1345">
        <v>52</v>
      </c>
      <c r="D2330" s="570" t="s">
        <v>6881</v>
      </c>
      <c r="E2330" s="570"/>
      <c r="F2330" s="642">
        <f>SUM(F2331:F2339)</f>
        <v>0</v>
      </c>
      <c r="G2330" s="642">
        <f>SUM(G2331:G2339)</f>
        <v>0</v>
      </c>
      <c r="H2330" s="642">
        <f>SUM(H2331:H2339)</f>
        <v>0</v>
      </c>
      <c r="I2330" s="642">
        <f>SUM(I2331:I2339)</f>
        <v>0</v>
      </c>
      <c r="J2330" s="1338" t="e">
        <f t="shared" si="247"/>
        <v>#DIV/0!</v>
      </c>
      <c r="K2330" s="1337">
        <f t="shared" si="248"/>
        <v>0</v>
      </c>
    </row>
    <row r="2331" spans="1:11" ht="15" x14ac:dyDescent="0.25">
      <c r="A2331" s="1341"/>
      <c r="B2331" s="624">
        <v>238000</v>
      </c>
      <c r="C2331" s="1344">
        <v>333901400000000</v>
      </c>
      <c r="D2331" s="624" t="s">
        <v>6863</v>
      </c>
      <c r="E2331" s="624">
        <v>1</v>
      </c>
      <c r="F2331" s="643">
        <v>0</v>
      </c>
      <c r="G2331" s="643">
        <v>0</v>
      </c>
      <c r="H2331" s="26">
        <v>0</v>
      </c>
      <c r="I2331" s="26">
        <f t="shared" ref="I2331:I2339" si="251">(F2331+G2331+H2331)/3</f>
        <v>0</v>
      </c>
      <c r="J2331" s="1340" t="e">
        <f t="shared" si="247"/>
        <v>#DIV/0!</v>
      </c>
      <c r="K2331" s="1339">
        <f t="shared" si="248"/>
        <v>0</v>
      </c>
    </row>
    <row r="2332" spans="1:11" ht="15" x14ac:dyDescent="0.25">
      <c r="A2332" s="1341"/>
      <c r="B2332" s="624">
        <v>238020</v>
      </c>
      <c r="C2332" s="1344">
        <v>333903000000000</v>
      </c>
      <c r="D2332" s="624" t="s">
        <v>6864</v>
      </c>
      <c r="E2332" s="624">
        <v>1</v>
      </c>
      <c r="F2332" s="643">
        <v>0</v>
      </c>
      <c r="G2332" s="643">
        <v>0</v>
      </c>
      <c r="H2332" s="26">
        <v>0</v>
      </c>
      <c r="I2332" s="26">
        <f t="shared" si="251"/>
        <v>0</v>
      </c>
      <c r="J2332" s="1340" t="e">
        <f t="shared" si="247"/>
        <v>#DIV/0!</v>
      </c>
      <c r="K2332" s="1339">
        <f t="shared" si="248"/>
        <v>0</v>
      </c>
    </row>
    <row r="2333" spans="1:11" ht="15" x14ac:dyDescent="0.25">
      <c r="A2333" s="1341"/>
      <c r="B2333" s="624">
        <v>238040</v>
      </c>
      <c r="C2333" s="1344">
        <v>333903200000000</v>
      </c>
      <c r="D2333" s="624" t="s">
        <v>6871</v>
      </c>
      <c r="E2333" s="624">
        <v>1</v>
      </c>
      <c r="F2333" s="643">
        <v>0</v>
      </c>
      <c r="G2333" s="643">
        <v>0</v>
      </c>
      <c r="H2333" s="26">
        <v>0</v>
      </c>
      <c r="I2333" s="26">
        <f t="shared" si="251"/>
        <v>0</v>
      </c>
      <c r="J2333" s="1340" t="e">
        <f t="shared" si="247"/>
        <v>#DIV/0!</v>
      </c>
      <c r="K2333" s="1339">
        <f t="shared" si="248"/>
        <v>0</v>
      </c>
    </row>
    <row r="2334" spans="1:11" ht="15" x14ac:dyDescent="0.25">
      <c r="A2334" s="1341"/>
      <c r="B2334" s="624">
        <v>238060</v>
      </c>
      <c r="C2334" s="1344">
        <v>333903300000000</v>
      </c>
      <c r="D2334" s="624" t="s">
        <v>6865</v>
      </c>
      <c r="E2334" s="624">
        <v>1</v>
      </c>
      <c r="F2334" s="643">
        <v>0</v>
      </c>
      <c r="G2334" s="643">
        <v>0</v>
      </c>
      <c r="H2334" s="26">
        <v>0</v>
      </c>
      <c r="I2334" s="26">
        <f t="shared" si="251"/>
        <v>0</v>
      </c>
      <c r="J2334" s="1340" t="e">
        <f t="shared" si="247"/>
        <v>#DIV/0!</v>
      </c>
      <c r="K2334" s="1339">
        <f t="shared" si="248"/>
        <v>0</v>
      </c>
    </row>
    <row r="2335" spans="1:11" ht="15" x14ac:dyDescent="0.25">
      <c r="A2335" s="1341"/>
      <c r="B2335" s="624">
        <v>238080</v>
      </c>
      <c r="C2335" s="1344">
        <v>333903600000000</v>
      </c>
      <c r="D2335" s="624" t="s">
        <v>6866</v>
      </c>
      <c r="E2335" s="624">
        <v>1</v>
      </c>
      <c r="F2335" s="643">
        <v>0</v>
      </c>
      <c r="G2335" s="643">
        <v>0</v>
      </c>
      <c r="H2335" s="26">
        <v>0</v>
      </c>
      <c r="I2335" s="26">
        <f t="shared" si="251"/>
        <v>0</v>
      </c>
      <c r="J2335" s="1340" t="e">
        <f t="shared" si="247"/>
        <v>#DIV/0!</v>
      </c>
      <c r="K2335" s="1339">
        <f t="shared" si="248"/>
        <v>0</v>
      </c>
    </row>
    <row r="2336" spans="1:11" ht="15" x14ac:dyDescent="0.25">
      <c r="A2336" s="1341"/>
      <c r="B2336" s="624">
        <v>238100</v>
      </c>
      <c r="C2336" s="1344">
        <v>333903900000000</v>
      </c>
      <c r="D2336" s="624" t="s">
        <v>6867</v>
      </c>
      <c r="E2336" s="624">
        <v>1</v>
      </c>
      <c r="F2336" s="643">
        <v>0</v>
      </c>
      <c r="G2336" s="643">
        <v>0</v>
      </c>
      <c r="H2336" s="26">
        <v>0</v>
      </c>
      <c r="I2336" s="26">
        <f t="shared" si="251"/>
        <v>0</v>
      </c>
      <c r="J2336" s="1340" t="e">
        <f t="shared" si="247"/>
        <v>#DIV/0!</v>
      </c>
      <c r="K2336" s="1339">
        <f t="shared" si="248"/>
        <v>0</v>
      </c>
    </row>
    <row r="2337" spans="1:11" ht="15" x14ac:dyDescent="0.25">
      <c r="A2337" s="1341"/>
      <c r="B2337" s="624">
        <v>238120</v>
      </c>
      <c r="C2337" s="1344">
        <v>333904700000000</v>
      </c>
      <c r="D2337" s="624" t="s">
        <v>6868</v>
      </c>
      <c r="E2337" s="624">
        <v>1</v>
      </c>
      <c r="F2337" s="643">
        <v>0</v>
      </c>
      <c r="G2337" s="643">
        <v>0</v>
      </c>
      <c r="H2337" s="26">
        <v>0</v>
      </c>
      <c r="I2337" s="26">
        <f t="shared" si="251"/>
        <v>0</v>
      </c>
      <c r="J2337" s="1340" t="e">
        <f t="shared" si="247"/>
        <v>#DIV/0!</v>
      </c>
      <c r="K2337" s="1339">
        <f t="shared" si="248"/>
        <v>0</v>
      </c>
    </row>
    <row r="2338" spans="1:11" ht="15" x14ac:dyDescent="0.25">
      <c r="A2338" s="1341"/>
      <c r="B2338" s="624">
        <v>238140</v>
      </c>
      <c r="C2338" s="1344">
        <v>344905100000000</v>
      </c>
      <c r="D2338" s="624" t="s">
        <v>6869</v>
      </c>
      <c r="E2338" s="624">
        <v>1</v>
      </c>
      <c r="F2338" s="643">
        <v>0</v>
      </c>
      <c r="G2338" s="643">
        <v>0</v>
      </c>
      <c r="H2338" s="26">
        <v>0</v>
      </c>
      <c r="I2338" s="26">
        <f t="shared" si="251"/>
        <v>0</v>
      </c>
      <c r="J2338" s="1340" t="e">
        <f t="shared" si="247"/>
        <v>#DIV/0!</v>
      </c>
      <c r="K2338" s="1339">
        <f t="shared" si="248"/>
        <v>0</v>
      </c>
    </row>
    <row r="2339" spans="1:11" ht="15" x14ac:dyDescent="0.25">
      <c r="A2339" s="1341"/>
      <c r="B2339" s="624">
        <v>238160</v>
      </c>
      <c r="C2339" s="1344">
        <v>344905200000000</v>
      </c>
      <c r="D2339" s="624" t="s">
        <v>6870</v>
      </c>
      <c r="E2339" s="624">
        <v>1</v>
      </c>
      <c r="F2339" s="643">
        <v>0</v>
      </c>
      <c r="G2339" s="643">
        <v>0</v>
      </c>
      <c r="H2339" s="26">
        <v>0</v>
      </c>
      <c r="I2339" s="26">
        <f t="shared" si="251"/>
        <v>0</v>
      </c>
      <c r="J2339" s="1340" t="e">
        <f t="shared" si="247"/>
        <v>#DIV/0!</v>
      </c>
      <c r="K2339" s="1339">
        <f t="shared" si="248"/>
        <v>0</v>
      </c>
    </row>
    <row r="2340" spans="1:11" s="12" customFormat="1" ht="15" x14ac:dyDescent="0.25">
      <c r="A2340" s="1081"/>
      <c r="B2340" s="570" t="s">
        <v>2965</v>
      </c>
      <c r="C2340" s="1345">
        <v>53</v>
      </c>
      <c r="D2340" s="570" t="s">
        <v>6882</v>
      </c>
      <c r="E2340" s="570"/>
      <c r="F2340" s="642">
        <f>SUM(F2341:F2349)</f>
        <v>0</v>
      </c>
      <c r="G2340" s="642">
        <f>SUM(G2341:G2349)</f>
        <v>0</v>
      </c>
      <c r="H2340" s="642">
        <f>SUM(H2341:H2349)</f>
        <v>0</v>
      </c>
      <c r="I2340" s="642">
        <f>SUM(I2341:I2349)</f>
        <v>0</v>
      </c>
      <c r="J2340" s="1338" t="e">
        <f t="shared" si="247"/>
        <v>#DIV/0!</v>
      </c>
      <c r="K2340" s="1337">
        <f t="shared" si="248"/>
        <v>0</v>
      </c>
    </row>
    <row r="2341" spans="1:11" ht="15" x14ac:dyDescent="0.25">
      <c r="A2341" s="1341"/>
      <c r="B2341" s="624">
        <v>238300</v>
      </c>
      <c r="C2341" s="1344">
        <v>333901400000000</v>
      </c>
      <c r="D2341" s="624" t="s">
        <v>6872</v>
      </c>
      <c r="E2341" s="624">
        <v>1</v>
      </c>
      <c r="F2341" s="643">
        <v>0</v>
      </c>
      <c r="G2341" s="643">
        <v>0</v>
      </c>
      <c r="H2341" s="26">
        <v>0</v>
      </c>
      <c r="I2341" s="26">
        <f t="shared" ref="I2341:I2349" si="252">(F2341+G2341+H2341)/3</f>
        <v>0</v>
      </c>
      <c r="J2341" s="1340" t="e">
        <f t="shared" si="247"/>
        <v>#DIV/0!</v>
      </c>
      <c r="K2341" s="1339">
        <f t="shared" si="248"/>
        <v>0</v>
      </c>
    </row>
    <row r="2342" spans="1:11" ht="15" x14ac:dyDescent="0.25">
      <c r="A2342" s="1341"/>
      <c r="B2342" s="624">
        <v>238320</v>
      </c>
      <c r="C2342" s="1344">
        <v>333903000000000</v>
      </c>
      <c r="D2342" s="624" t="s">
        <v>6873</v>
      </c>
      <c r="E2342" s="624">
        <v>1</v>
      </c>
      <c r="F2342" s="643">
        <v>0</v>
      </c>
      <c r="G2342" s="643">
        <v>0</v>
      </c>
      <c r="H2342" s="26">
        <v>0</v>
      </c>
      <c r="I2342" s="26">
        <f t="shared" si="252"/>
        <v>0</v>
      </c>
      <c r="J2342" s="1340" t="e">
        <f t="shared" si="247"/>
        <v>#DIV/0!</v>
      </c>
      <c r="K2342" s="1339">
        <f t="shared" si="248"/>
        <v>0</v>
      </c>
    </row>
    <row r="2343" spans="1:11" ht="15" x14ac:dyDescent="0.25">
      <c r="A2343" s="1341"/>
      <c r="B2343" s="624">
        <v>238340</v>
      </c>
      <c r="C2343" s="1344">
        <v>333903200000000</v>
      </c>
      <c r="D2343" s="624" t="s">
        <v>6874</v>
      </c>
      <c r="E2343" s="624">
        <v>1</v>
      </c>
      <c r="F2343" s="643">
        <v>0</v>
      </c>
      <c r="G2343" s="643">
        <v>0</v>
      </c>
      <c r="H2343" s="26">
        <v>0</v>
      </c>
      <c r="I2343" s="26">
        <f t="shared" si="252"/>
        <v>0</v>
      </c>
      <c r="J2343" s="1340" t="e">
        <f t="shared" si="247"/>
        <v>#DIV/0!</v>
      </c>
      <c r="K2343" s="1339">
        <f t="shared" si="248"/>
        <v>0</v>
      </c>
    </row>
    <row r="2344" spans="1:11" ht="15" x14ac:dyDescent="0.25">
      <c r="A2344" s="1341"/>
      <c r="B2344" s="624">
        <v>238360</v>
      </c>
      <c r="C2344" s="1344">
        <v>333903300000000</v>
      </c>
      <c r="D2344" s="624" t="s">
        <v>6875</v>
      </c>
      <c r="E2344" s="624">
        <v>1</v>
      </c>
      <c r="F2344" s="643">
        <v>0</v>
      </c>
      <c r="G2344" s="643">
        <v>0</v>
      </c>
      <c r="H2344" s="26">
        <v>0</v>
      </c>
      <c r="I2344" s="26">
        <f t="shared" si="252"/>
        <v>0</v>
      </c>
      <c r="J2344" s="1340" t="e">
        <f t="shared" si="247"/>
        <v>#DIV/0!</v>
      </c>
      <c r="K2344" s="1339">
        <f t="shared" si="248"/>
        <v>0</v>
      </c>
    </row>
    <row r="2345" spans="1:11" ht="15" x14ac:dyDescent="0.25">
      <c r="A2345" s="1341"/>
      <c r="B2345" s="624">
        <v>238380</v>
      </c>
      <c r="C2345" s="1344">
        <v>333903600000000</v>
      </c>
      <c r="D2345" s="624" t="s">
        <v>6876</v>
      </c>
      <c r="E2345" s="624">
        <v>1</v>
      </c>
      <c r="F2345" s="643">
        <v>0</v>
      </c>
      <c r="G2345" s="643">
        <v>0</v>
      </c>
      <c r="H2345" s="26">
        <v>0</v>
      </c>
      <c r="I2345" s="26">
        <f t="shared" si="252"/>
        <v>0</v>
      </c>
      <c r="J2345" s="1340" t="e">
        <f t="shared" si="247"/>
        <v>#DIV/0!</v>
      </c>
      <c r="K2345" s="1339">
        <f t="shared" si="248"/>
        <v>0</v>
      </c>
    </row>
    <row r="2346" spans="1:11" ht="15" x14ac:dyDescent="0.25">
      <c r="A2346" s="1341"/>
      <c r="B2346" s="624">
        <v>238400</v>
      </c>
      <c r="C2346" s="1344">
        <v>333903900000000</v>
      </c>
      <c r="D2346" s="624" t="s">
        <v>6877</v>
      </c>
      <c r="E2346" s="624">
        <v>1</v>
      </c>
      <c r="F2346" s="643">
        <v>0</v>
      </c>
      <c r="G2346" s="643">
        <v>0</v>
      </c>
      <c r="H2346" s="26">
        <v>0</v>
      </c>
      <c r="I2346" s="26">
        <f t="shared" si="252"/>
        <v>0</v>
      </c>
      <c r="J2346" s="1340" t="e">
        <f t="shared" si="247"/>
        <v>#DIV/0!</v>
      </c>
      <c r="K2346" s="1339">
        <f t="shared" si="248"/>
        <v>0</v>
      </c>
    </row>
    <row r="2347" spans="1:11" ht="15" x14ac:dyDescent="0.25">
      <c r="A2347" s="1341"/>
      <c r="B2347" s="624">
        <v>238420</v>
      </c>
      <c r="C2347" s="1344">
        <v>333904700000000</v>
      </c>
      <c r="D2347" s="624" t="s">
        <v>6878</v>
      </c>
      <c r="E2347" s="624">
        <v>1</v>
      </c>
      <c r="F2347" s="643">
        <v>0</v>
      </c>
      <c r="G2347" s="643">
        <v>0</v>
      </c>
      <c r="H2347" s="26">
        <v>0</v>
      </c>
      <c r="I2347" s="26">
        <f t="shared" si="252"/>
        <v>0</v>
      </c>
      <c r="J2347" s="1340" t="e">
        <f t="shared" si="247"/>
        <v>#DIV/0!</v>
      </c>
      <c r="K2347" s="1339">
        <f t="shared" si="248"/>
        <v>0</v>
      </c>
    </row>
    <row r="2348" spans="1:11" ht="15" x14ac:dyDescent="0.25">
      <c r="A2348" s="1341"/>
      <c r="B2348" s="624">
        <v>238440</v>
      </c>
      <c r="C2348" s="1344">
        <v>344905100000000</v>
      </c>
      <c r="D2348" s="624" t="s">
        <v>6879</v>
      </c>
      <c r="E2348" s="624">
        <v>1</v>
      </c>
      <c r="F2348" s="643">
        <v>0</v>
      </c>
      <c r="G2348" s="643">
        <v>0</v>
      </c>
      <c r="H2348" s="26">
        <v>0</v>
      </c>
      <c r="I2348" s="26">
        <f t="shared" si="252"/>
        <v>0</v>
      </c>
      <c r="J2348" s="1340" t="e">
        <f t="shared" si="247"/>
        <v>#DIV/0!</v>
      </c>
      <c r="K2348" s="1339">
        <f t="shared" si="248"/>
        <v>0</v>
      </c>
    </row>
    <row r="2349" spans="1:11" ht="15" x14ac:dyDescent="0.25">
      <c r="A2349" s="1341"/>
      <c r="B2349" s="624">
        <v>238460</v>
      </c>
      <c r="C2349" s="1344">
        <v>344905200000000</v>
      </c>
      <c r="D2349" s="624" t="s">
        <v>6880</v>
      </c>
      <c r="E2349" s="624">
        <v>1</v>
      </c>
      <c r="F2349" s="643">
        <v>0</v>
      </c>
      <c r="G2349" s="643">
        <v>0</v>
      </c>
      <c r="H2349" s="26">
        <v>0</v>
      </c>
      <c r="I2349" s="26">
        <f t="shared" si="252"/>
        <v>0</v>
      </c>
      <c r="J2349" s="1340" t="e">
        <f t="shared" si="247"/>
        <v>#DIV/0!</v>
      </c>
      <c r="K2349" s="1339">
        <f t="shared" si="248"/>
        <v>0</v>
      </c>
    </row>
    <row r="2350" spans="1:11" ht="15" x14ac:dyDescent="0.25">
      <c r="B2350" s="1598" t="s">
        <v>1575</v>
      </c>
      <c r="C2350" s="1598"/>
      <c r="D2350" s="1598"/>
      <c r="E2350" s="1598"/>
      <c r="F2350" s="25">
        <f>F2314+F2323+F2330+F2340</f>
        <v>48830.1</v>
      </c>
      <c r="G2350" s="25">
        <f>G2314+G2323+G2330+G2340</f>
        <v>0</v>
      </c>
      <c r="H2350" s="25">
        <f>H2314+H2323+H2330+H2340</f>
        <v>0</v>
      </c>
      <c r="I2350" s="25">
        <f>I2314+I2323+I2330+I2340</f>
        <v>16276.699999999999</v>
      </c>
      <c r="J2350" s="1338" t="e">
        <f t="shared" si="247"/>
        <v>#DIV/0!</v>
      </c>
      <c r="K2350" s="1337">
        <f t="shared" si="248"/>
        <v>1</v>
      </c>
    </row>
    <row r="2352" spans="1:11" ht="15" x14ac:dyDescent="0.25">
      <c r="B2352" s="616" t="s">
        <v>7337</v>
      </c>
    </row>
    <row r="2353" spans="1:11" ht="45" customHeight="1" x14ac:dyDescent="0.25">
      <c r="B2353" s="1343" t="s">
        <v>2967</v>
      </c>
      <c r="C2353" s="1343" t="s">
        <v>472</v>
      </c>
      <c r="D2353" s="1343" t="s">
        <v>2968</v>
      </c>
      <c r="E2353" s="1343" t="s">
        <v>1403</v>
      </c>
      <c r="F2353" s="1081">
        <v>2017</v>
      </c>
      <c r="G2353" s="1081">
        <f>F2353+1</f>
        <v>2018</v>
      </c>
      <c r="H2353" s="1081">
        <f>G2353+1</f>
        <v>2019</v>
      </c>
      <c r="I2353" s="1082" t="s">
        <v>7336</v>
      </c>
      <c r="J2353" s="1342" t="s">
        <v>7335</v>
      </c>
      <c r="K2353" s="1342" t="s">
        <v>7334</v>
      </c>
    </row>
    <row r="2354" spans="1:11" s="12" customFormat="1" ht="15" x14ac:dyDescent="0.25">
      <c r="A2354" s="1081"/>
      <c r="B2354" s="570" t="s">
        <v>2965</v>
      </c>
      <c r="C2354" s="570">
        <v>12</v>
      </c>
      <c r="D2354" s="570" t="s">
        <v>5542</v>
      </c>
      <c r="E2354" s="570"/>
      <c r="F2354" s="642">
        <f>SUM(F2355:F2362)</f>
        <v>0</v>
      </c>
      <c r="G2354" s="642">
        <f>SUM(G2355:G2362)</f>
        <v>0</v>
      </c>
      <c r="H2354" s="642">
        <f>SUM(H2355:H2362)</f>
        <v>0</v>
      </c>
      <c r="I2354" s="642">
        <f>SUM(I2355:I2362)</f>
        <v>0</v>
      </c>
      <c r="J2354" s="1338" t="e">
        <f t="shared" ref="J2354:J2363" si="253">(G2354/F2354)+(H2354/G2354)/2</f>
        <v>#DIV/0!</v>
      </c>
      <c r="K2354" s="1337" t="e">
        <f t="shared" ref="K2354:K2363" si="254">I2354/I$2363</f>
        <v>#DIV/0!</v>
      </c>
    </row>
    <row r="2355" spans="1:11" ht="15" x14ac:dyDescent="0.25">
      <c r="A2355" s="1341"/>
      <c r="B2355" s="624">
        <v>239000</v>
      </c>
      <c r="C2355" s="624">
        <v>333901400000000</v>
      </c>
      <c r="D2355" s="624" t="s">
        <v>6731</v>
      </c>
      <c r="E2355" s="624">
        <v>1</v>
      </c>
      <c r="F2355" s="643">
        <v>0</v>
      </c>
      <c r="G2355" s="643">
        <v>0</v>
      </c>
      <c r="H2355" s="26">
        <v>0</v>
      </c>
      <c r="I2355" s="26">
        <f t="shared" ref="I2355:I2362" si="255">(F2355+G2355+H2355)/3</f>
        <v>0</v>
      </c>
      <c r="J2355" s="1340" t="e">
        <f t="shared" si="253"/>
        <v>#DIV/0!</v>
      </c>
      <c r="K2355" s="1339" t="e">
        <f t="shared" si="254"/>
        <v>#DIV/0!</v>
      </c>
    </row>
    <row r="2356" spans="1:11" ht="15" x14ac:dyDescent="0.25">
      <c r="A2356" s="1341"/>
      <c r="B2356" s="624">
        <v>239100</v>
      </c>
      <c r="C2356" s="624">
        <v>333903000000000</v>
      </c>
      <c r="D2356" s="624" t="s">
        <v>6732</v>
      </c>
      <c r="E2356" s="624">
        <v>1</v>
      </c>
      <c r="F2356" s="643">
        <v>0</v>
      </c>
      <c r="G2356" s="643">
        <v>0</v>
      </c>
      <c r="H2356" s="26">
        <v>0</v>
      </c>
      <c r="I2356" s="26">
        <f t="shared" si="255"/>
        <v>0</v>
      </c>
      <c r="J2356" s="1340" t="e">
        <f t="shared" si="253"/>
        <v>#DIV/0!</v>
      </c>
      <c r="K2356" s="1339" t="e">
        <f t="shared" si="254"/>
        <v>#DIV/0!</v>
      </c>
    </row>
    <row r="2357" spans="1:11" ht="15" x14ac:dyDescent="0.25">
      <c r="A2357" s="1341"/>
      <c r="B2357" s="624">
        <v>239200</v>
      </c>
      <c r="C2357" s="624">
        <v>333903300000000</v>
      </c>
      <c r="D2357" s="624" t="s">
        <v>6733</v>
      </c>
      <c r="E2357" s="624">
        <v>1</v>
      </c>
      <c r="F2357" s="643">
        <v>0</v>
      </c>
      <c r="G2357" s="643">
        <v>0</v>
      </c>
      <c r="H2357" s="26">
        <v>0</v>
      </c>
      <c r="I2357" s="26">
        <f t="shared" si="255"/>
        <v>0</v>
      </c>
      <c r="J2357" s="1340" t="e">
        <f t="shared" si="253"/>
        <v>#DIV/0!</v>
      </c>
      <c r="K2357" s="1339" t="e">
        <f t="shared" si="254"/>
        <v>#DIV/0!</v>
      </c>
    </row>
    <row r="2358" spans="1:11" ht="15" x14ac:dyDescent="0.25">
      <c r="A2358" s="1341"/>
      <c r="B2358" s="624">
        <v>239300</v>
      </c>
      <c r="C2358" s="624">
        <v>333903600000000</v>
      </c>
      <c r="D2358" s="624" t="s">
        <v>6734</v>
      </c>
      <c r="E2358" s="624">
        <v>1</v>
      </c>
      <c r="F2358" s="643">
        <v>0</v>
      </c>
      <c r="G2358" s="643">
        <v>0</v>
      </c>
      <c r="H2358" s="26">
        <v>0</v>
      </c>
      <c r="I2358" s="26">
        <f t="shared" si="255"/>
        <v>0</v>
      </c>
      <c r="J2358" s="1340" t="e">
        <f t="shared" si="253"/>
        <v>#DIV/0!</v>
      </c>
      <c r="K2358" s="1339" t="e">
        <f t="shared" si="254"/>
        <v>#DIV/0!</v>
      </c>
    </row>
    <row r="2359" spans="1:11" ht="15" x14ac:dyDescent="0.25">
      <c r="A2359" s="1341"/>
      <c r="B2359" s="624">
        <v>239400</v>
      </c>
      <c r="C2359" s="624">
        <v>333903900000000</v>
      </c>
      <c r="D2359" s="624" t="s">
        <v>6735</v>
      </c>
      <c r="E2359" s="624">
        <v>1</v>
      </c>
      <c r="F2359" s="643">
        <v>0</v>
      </c>
      <c r="G2359" s="643">
        <v>0</v>
      </c>
      <c r="H2359" s="26">
        <v>0</v>
      </c>
      <c r="I2359" s="26">
        <f t="shared" si="255"/>
        <v>0</v>
      </c>
      <c r="J2359" s="1340" t="e">
        <f t="shared" si="253"/>
        <v>#DIV/0!</v>
      </c>
      <c r="K2359" s="1339" t="e">
        <f t="shared" si="254"/>
        <v>#DIV/0!</v>
      </c>
    </row>
    <row r="2360" spans="1:11" ht="15" x14ac:dyDescent="0.25">
      <c r="A2360" s="1341"/>
      <c r="B2360" s="624">
        <v>239500</v>
      </c>
      <c r="C2360" s="624">
        <v>333904700000000</v>
      </c>
      <c r="D2360" s="624" t="s">
        <v>6820</v>
      </c>
      <c r="E2360" s="624">
        <v>1</v>
      </c>
      <c r="F2360" s="643">
        <v>0</v>
      </c>
      <c r="G2360" s="643">
        <v>0</v>
      </c>
      <c r="H2360" s="26">
        <v>0</v>
      </c>
      <c r="I2360" s="26">
        <f t="shared" si="255"/>
        <v>0</v>
      </c>
      <c r="J2360" s="1340" t="e">
        <f t="shared" si="253"/>
        <v>#DIV/0!</v>
      </c>
      <c r="K2360" s="1339" t="e">
        <f t="shared" si="254"/>
        <v>#DIV/0!</v>
      </c>
    </row>
    <row r="2361" spans="1:11" ht="15" x14ac:dyDescent="0.25">
      <c r="A2361" s="1341"/>
      <c r="B2361" s="624">
        <v>239600</v>
      </c>
      <c r="C2361" s="624">
        <v>344905100000000</v>
      </c>
      <c r="D2361" s="624" t="s">
        <v>6736</v>
      </c>
      <c r="E2361" s="624">
        <v>1</v>
      </c>
      <c r="F2361" s="643">
        <v>0</v>
      </c>
      <c r="G2361" s="643">
        <v>0</v>
      </c>
      <c r="H2361" s="26">
        <v>0</v>
      </c>
      <c r="I2361" s="26">
        <f t="shared" si="255"/>
        <v>0</v>
      </c>
      <c r="J2361" s="1340" t="e">
        <f t="shared" si="253"/>
        <v>#DIV/0!</v>
      </c>
      <c r="K2361" s="1339" t="e">
        <f t="shared" si="254"/>
        <v>#DIV/0!</v>
      </c>
    </row>
    <row r="2362" spans="1:11" ht="15" x14ac:dyDescent="0.25">
      <c r="A2362" s="1341"/>
      <c r="B2362" s="624">
        <v>239700</v>
      </c>
      <c r="C2362" s="624">
        <v>344905200000000</v>
      </c>
      <c r="D2362" s="624" t="s">
        <v>6737</v>
      </c>
      <c r="E2362" s="624">
        <v>1</v>
      </c>
      <c r="F2362" s="643">
        <v>0</v>
      </c>
      <c r="G2362" s="643">
        <v>0</v>
      </c>
      <c r="H2362" s="26">
        <v>0</v>
      </c>
      <c r="I2362" s="26">
        <f t="shared" si="255"/>
        <v>0</v>
      </c>
      <c r="J2362" s="1340" t="e">
        <f t="shared" si="253"/>
        <v>#DIV/0!</v>
      </c>
      <c r="K2362" s="1339" t="e">
        <f t="shared" si="254"/>
        <v>#DIV/0!</v>
      </c>
    </row>
    <row r="2363" spans="1:11" ht="15" x14ac:dyDescent="0.25">
      <c r="B2363" s="1598" t="s">
        <v>1575</v>
      </c>
      <c r="C2363" s="1598"/>
      <c r="D2363" s="1598"/>
      <c r="E2363" s="1598"/>
      <c r="F2363" s="25">
        <f>F2354</f>
        <v>0</v>
      </c>
      <c r="G2363" s="25">
        <f>G2354</f>
        <v>0</v>
      </c>
      <c r="H2363" s="25">
        <f>H2354</f>
        <v>0</v>
      </c>
      <c r="I2363" s="25">
        <f>I2354</f>
        <v>0</v>
      </c>
      <c r="J2363" s="1338" t="e">
        <f t="shared" si="253"/>
        <v>#DIV/0!</v>
      </c>
      <c r="K2363" s="1337" t="e">
        <f t="shared" si="254"/>
        <v>#DIV/0!</v>
      </c>
    </row>
    <row r="2365" spans="1:11" ht="15" x14ac:dyDescent="0.25">
      <c r="B2365" s="1598" t="s">
        <v>1772</v>
      </c>
      <c r="C2365" s="1598"/>
      <c r="D2365" s="1598"/>
      <c r="E2365" s="1598"/>
      <c r="F2365" s="25">
        <f>F2363+F2350+F2310+F2185+F2175+F2129+F2053+F1952+F1880+F1690+F1634+F1576+F1528+F1517+F1477+F1405+F1380+F1311+F1243+F1207+F1170+F998+F855+F851+F820+F814+F801+F780+F768+F755+F694+F622+F582+F242+F184+F143+F31</f>
        <v>15754567.309999999</v>
      </c>
      <c r="G2365" s="25">
        <f>G2363+G2350+G2310+G2185+G2175+G2129+G2053+G1952+G1880+G1690+G1634+G1576+G1528+G1517+G1477+G1405+G1380+G1311+G1243+G1207+G1170+G998+G855+G851+G820+G814+G801+G780+G768+G755+G694+G622+G582+G242+G184+G143+G31</f>
        <v>16809659.323399998</v>
      </c>
      <c r="H2365" s="25">
        <f>H2363+H2350+H2310+H2185+H2175+H2129+H2053+H1952+H1880+H1690+H1634+H1576+H1528+H1517+H1477+H1405+H1380+H1311+H1243+H1207+H1170+H998+H855+H851+H820+H814+H801+H780+H768+H755+H694+H622+H582+H242+H184+H143+H31</f>
        <v>1415231.4169117648</v>
      </c>
      <c r="I2365" s="25">
        <f>I2363+I2350+I2310+I2185+I2175+I2129+I2053+I1952+I1880+I1690+I1634+I1576+I1528+I1517+I1477+I1405+I1380+I1311+I1243+I1207+I1170+I998+I855+I851+I820+I814+I801+I780+I768+I755+I694+I622+I582+I242+I184+I143+I31</f>
        <v>10877667.330103919</v>
      </c>
      <c r="J2365" s="1338">
        <f>(G2365/F2365)+(H2365/G2365)/2</f>
        <v>1.1090663277220705</v>
      </c>
      <c r="K2365" s="1337" t="e">
        <f>I2365/I$2363</f>
        <v>#DIV/0!</v>
      </c>
    </row>
  </sheetData>
  <mergeCells count="38">
    <mergeCell ref="B2365:E2365"/>
    <mergeCell ref="B2129:E2129"/>
    <mergeCell ref="B2175:E2175"/>
    <mergeCell ref="B2185:E2185"/>
    <mergeCell ref="B2310:E2310"/>
    <mergeCell ref="B2350:E2350"/>
    <mergeCell ref="B2363:E2363"/>
    <mergeCell ref="B1634:E1634"/>
    <mergeCell ref="B1690:E1690"/>
    <mergeCell ref="B1880:E1880"/>
    <mergeCell ref="B1952:E1952"/>
    <mergeCell ref="B2053:E2053"/>
    <mergeCell ref="B780:E780"/>
    <mergeCell ref="B801:E801"/>
    <mergeCell ref="B1380:E1380"/>
    <mergeCell ref="B1405:E1405"/>
    <mergeCell ref="B1477:E1477"/>
    <mergeCell ref="B998:E998"/>
    <mergeCell ref="B1170:E1170"/>
    <mergeCell ref="B1207:E1207"/>
    <mergeCell ref="B1243:E1243"/>
    <mergeCell ref="B1311:E1311"/>
    <mergeCell ref="B1517:E1517"/>
    <mergeCell ref="B1528:E1528"/>
    <mergeCell ref="B1576:E1576"/>
    <mergeCell ref="B622:E622"/>
    <mergeCell ref="B31:E31"/>
    <mergeCell ref="B143:E143"/>
    <mergeCell ref="B184:E184"/>
    <mergeCell ref="B242:E242"/>
    <mergeCell ref="B582:E582"/>
    <mergeCell ref="B814:E814"/>
    <mergeCell ref="B820:E820"/>
    <mergeCell ref="B851:E851"/>
    <mergeCell ref="B855:E855"/>
    <mergeCell ref="B694:E694"/>
    <mergeCell ref="B755:E755"/>
    <mergeCell ref="B768:E76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501"/>
  <sheetViews>
    <sheetView zoomScale="90" zoomScaleNormal="90" workbookViewId="0">
      <selection activeCell="I98" sqref="I98"/>
    </sheetView>
  </sheetViews>
  <sheetFormatPr defaultRowHeight="15" x14ac:dyDescent="0.25"/>
  <cols>
    <col min="1" max="1" width="2.85546875" style="1" customWidth="1"/>
    <col min="2" max="2" width="5.85546875" style="532" customWidth="1"/>
    <col min="3" max="3" width="19" style="1" customWidth="1"/>
    <col min="4" max="4" width="73.140625" style="1" customWidth="1"/>
    <col min="5" max="5" width="20.42578125" style="1" customWidth="1"/>
    <col min="6" max="7" width="15" style="1" customWidth="1"/>
    <col min="8" max="8" width="9.140625" style="1"/>
    <col min="9" max="9" width="15" style="1" bestFit="1" customWidth="1"/>
    <col min="10" max="257" width="9.140625" style="1"/>
    <col min="258" max="258" width="5.85546875" style="1" customWidth="1"/>
    <col min="259" max="259" width="17.5703125" style="1" customWidth="1"/>
    <col min="260" max="260" width="100" style="1" customWidth="1"/>
    <col min="261" max="261" width="20.42578125" style="1" customWidth="1"/>
    <col min="262" max="262" width="12.42578125" style="1" customWidth="1"/>
    <col min="263" max="263" width="13.5703125" style="1" bestFit="1" customWidth="1"/>
    <col min="264" max="513" width="9.140625" style="1"/>
    <col min="514" max="514" width="5.85546875" style="1" customWidth="1"/>
    <col min="515" max="515" width="17.5703125" style="1" customWidth="1"/>
    <col min="516" max="516" width="100" style="1" customWidth="1"/>
    <col min="517" max="517" width="20.42578125" style="1" customWidth="1"/>
    <col min="518" max="518" width="12.42578125" style="1" customWidth="1"/>
    <col min="519" max="519" width="13.5703125" style="1" bestFit="1" customWidth="1"/>
    <col min="520" max="769" width="9.140625" style="1"/>
    <col min="770" max="770" width="5.85546875" style="1" customWidth="1"/>
    <col min="771" max="771" width="17.5703125" style="1" customWidth="1"/>
    <col min="772" max="772" width="100" style="1" customWidth="1"/>
    <col min="773" max="773" width="20.42578125" style="1" customWidth="1"/>
    <col min="774" max="774" width="12.42578125" style="1" customWidth="1"/>
    <col min="775" max="775" width="13.5703125" style="1" bestFit="1" customWidth="1"/>
    <col min="776" max="1025" width="9.140625" style="1"/>
    <col min="1026" max="1026" width="5.85546875" style="1" customWidth="1"/>
    <col min="1027" max="1027" width="17.5703125" style="1" customWidth="1"/>
    <col min="1028" max="1028" width="100" style="1" customWidth="1"/>
    <col min="1029" max="1029" width="20.42578125" style="1" customWidth="1"/>
    <col min="1030" max="1030" width="12.42578125" style="1" customWidth="1"/>
    <col min="1031" max="1031" width="13.5703125" style="1" bestFit="1" customWidth="1"/>
    <col min="1032" max="1281" width="9.140625" style="1"/>
    <col min="1282" max="1282" width="5.85546875" style="1" customWidth="1"/>
    <col min="1283" max="1283" width="17.5703125" style="1" customWidth="1"/>
    <col min="1284" max="1284" width="100" style="1" customWidth="1"/>
    <col min="1285" max="1285" width="20.42578125" style="1" customWidth="1"/>
    <col min="1286" max="1286" width="12.42578125" style="1" customWidth="1"/>
    <col min="1287" max="1287" width="13.5703125" style="1" bestFit="1" customWidth="1"/>
    <col min="1288" max="1537" width="9.140625" style="1"/>
    <col min="1538" max="1538" width="5.85546875" style="1" customWidth="1"/>
    <col min="1539" max="1539" width="17.5703125" style="1" customWidth="1"/>
    <col min="1540" max="1540" width="100" style="1" customWidth="1"/>
    <col min="1541" max="1541" width="20.42578125" style="1" customWidth="1"/>
    <col min="1542" max="1542" width="12.42578125" style="1" customWidth="1"/>
    <col min="1543" max="1543" width="13.5703125" style="1" bestFit="1" customWidth="1"/>
    <col min="1544" max="1793" width="9.140625" style="1"/>
    <col min="1794" max="1794" width="5.85546875" style="1" customWidth="1"/>
    <col min="1795" max="1795" width="17.5703125" style="1" customWidth="1"/>
    <col min="1796" max="1796" width="100" style="1" customWidth="1"/>
    <col min="1797" max="1797" width="20.42578125" style="1" customWidth="1"/>
    <col min="1798" max="1798" width="12.42578125" style="1" customWidth="1"/>
    <col min="1799" max="1799" width="13.5703125" style="1" bestFit="1" customWidth="1"/>
    <col min="1800" max="2049" width="9.140625" style="1"/>
    <col min="2050" max="2050" width="5.85546875" style="1" customWidth="1"/>
    <col min="2051" max="2051" width="17.5703125" style="1" customWidth="1"/>
    <col min="2052" max="2052" width="100" style="1" customWidth="1"/>
    <col min="2053" max="2053" width="20.42578125" style="1" customWidth="1"/>
    <col min="2054" max="2054" width="12.42578125" style="1" customWidth="1"/>
    <col min="2055" max="2055" width="13.5703125" style="1" bestFit="1" customWidth="1"/>
    <col min="2056" max="2305" width="9.140625" style="1"/>
    <col min="2306" max="2306" width="5.85546875" style="1" customWidth="1"/>
    <col min="2307" max="2307" width="17.5703125" style="1" customWidth="1"/>
    <col min="2308" max="2308" width="100" style="1" customWidth="1"/>
    <col min="2309" max="2309" width="20.42578125" style="1" customWidth="1"/>
    <col min="2310" max="2310" width="12.42578125" style="1" customWidth="1"/>
    <col min="2311" max="2311" width="13.5703125" style="1" bestFit="1" customWidth="1"/>
    <col min="2312" max="2561" width="9.140625" style="1"/>
    <col min="2562" max="2562" width="5.85546875" style="1" customWidth="1"/>
    <col min="2563" max="2563" width="17.5703125" style="1" customWidth="1"/>
    <col min="2564" max="2564" width="100" style="1" customWidth="1"/>
    <col min="2565" max="2565" width="20.42578125" style="1" customWidth="1"/>
    <col min="2566" max="2566" width="12.42578125" style="1" customWidth="1"/>
    <col min="2567" max="2567" width="13.5703125" style="1" bestFit="1" customWidth="1"/>
    <col min="2568" max="2817" width="9.140625" style="1"/>
    <col min="2818" max="2818" width="5.85546875" style="1" customWidth="1"/>
    <col min="2819" max="2819" width="17.5703125" style="1" customWidth="1"/>
    <col min="2820" max="2820" width="100" style="1" customWidth="1"/>
    <col min="2821" max="2821" width="20.42578125" style="1" customWidth="1"/>
    <col min="2822" max="2822" width="12.42578125" style="1" customWidth="1"/>
    <col min="2823" max="2823" width="13.5703125" style="1" bestFit="1" customWidth="1"/>
    <col min="2824" max="3073" width="9.140625" style="1"/>
    <col min="3074" max="3074" width="5.85546875" style="1" customWidth="1"/>
    <col min="3075" max="3075" width="17.5703125" style="1" customWidth="1"/>
    <col min="3076" max="3076" width="100" style="1" customWidth="1"/>
    <col min="3077" max="3077" width="20.42578125" style="1" customWidth="1"/>
    <col min="3078" max="3078" width="12.42578125" style="1" customWidth="1"/>
    <col min="3079" max="3079" width="13.5703125" style="1" bestFit="1" customWidth="1"/>
    <col min="3080" max="3329" width="9.140625" style="1"/>
    <col min="3330" max="3330" width="5.85546875" style="1" customWidth="1"/>
    <col min="3331" max="3331" width="17.5703125" style="1" customWidth="1"/>
    <col min="3332" max="3332" width="100" style="1" customWidth="1"/>
    <col min="3333" max="3333" width="20.42578125" style="1" customWidth="1"/>
    <col min="3334" max="3334" width="12.42578125" style="1" customWidth="1"/>
    <col min="3335" max="3335" width="13.5703125" style="1" bestFit="1" customWidth="1"/>
    <col min="3336" max="3585" width="9.140625" style="1"/>
    <col min="3586" max="3586" width="5.85546875" style="1" customWidth="1"/>
    <col min="3587" max="3587" width="17.5703125" style="1" customWidth="1"/>
    <col min="3588" max="3588" width="100" style="1" customWidth="1"/>
    <col min="3589" max="3589" width="20.42578125" style="1" customWidth="1"/>
    <col min="3590" max="3590" width="12.42578125" style="1" customWidth="1"/>
    <col min="3591" max="3591" width="13.5703125" style="1" bestFit="1" customWidth="1"/>
    <col min="3592" max="3841" width="9.140625" style="1"/>
    <col min="3842" max="3842" width="5.85546875" style="1" customWidth="1"/>
    <col min="3843" max="3843" width="17.5703125" style="1" customWidth="1"/>
    <col min="3844" max="3844" width="100" style="1" customWidth="1"/>
    <col min="3845" max="3845" width="20.42578125" style="1" customWidth="1"/>
    <col min="3846" max="3846" width="12.42578125" style="1" customWidth="1"/>
    <col min="3847" max="3847" width="13.5703125" style="1" bestFit="1" customWidth="1"/>
    <col min="3848" max="4097" width="9.140625" style="1"/>
    <col min="4098" max="4098" width="5.85546875" style="1" customWidth="1"/>
    <col min="4099" max="4099" width="17.5703125" style="1" customWidth="1"/>
    <col min="4100" max="4100" width="100" style="1" customWidth="1"/>
    <col min="4101" max="4101" width="20.42578125" style="1" customWidth="1"/>
    <col min="4102" max="4102" width="12.42578125" style="1" customWidth="1"/>
    <col min="4103" max="4103" width="13.5703125" style="1" bestFit="1" customWidth="1"/>
    <col min="4104" max="4353" width="9.140625" style="1"/>
    <col min="4354" max="4354" width="5.85546875" style="1" customWidth="1"/>
    <col min="4355" max="4355" width="17.5703125" style="1" customWidth="1"/>
    <col min="4356" max="4356" width="100" style="1" customWidth="1"/>
    <col min="4357" max="4357" width="20.42578125" style="1" customWidth="1"/>
    <col min="4358" max="4358" width="12.42578125" style="1" customWidth="1"/>
    <col min="4359" max="4359" width="13.5703125" style="1" bestFit="1" customWidth="1"/>
    <col min="4360" max="4609" width="9.140625" style="1"/>
    <col min="4610" max="4610" width="5.85546875" style="1" customWidth="1"/>
    <col min="4611" max="4611" width="17.5703125" style="1" customWidth="1"/>
    <col min="4612" max="4612" width="100" style="1" customWidth="1"/>
    <col min="4613" max="4613" width="20.42578125" style="1" customWidth="1"/>
    <col min="4614" max="4614" width="12.42578125" style="1" customWidth="1"/>
    <col min="4615" max="4615" width="13.5703125" style="1" bestFit="1" customWidth="1"/>
    <col min="4616" max="4865" width="9.140625" style="1"/>
    <col min="4866" max="4866" width="5.85546875" style="1" customWidth="1"/>
    <col min="4867" max="4867" width="17.5703125" style="1" customWidth="1"/>
    <col min="4868" max="4868" width="100" style="1" customWidth="1"/>
    <col min="4869" max="4869" width="20.42578125" style="1" customWidth="1"/>
    <col min="4870" max="4870" width="12.42578125" style="1" customWidth="1"/>
    <col min="4871" max="4871" width="13.5703125" style="1" bestFit="1" customWidth="1"/>
    <col min="4872" max="5121" width="9.140625" style="1"/>
    <col min="5122" max="5122" width="5.85546875" style="1" customWidth="1"/>
    <col min="5123" max="5123" width="17.5703125" style="1" customWidth="1"/>
    <col min="5124" max="5124" width="100" style="1" customWidth="1"/>
    <col min="5125" max="5125" width="20.42578125" style="1" customWidth="1"/>
    <col min="5126" max="5126" width="12.42578125" style="1" customWidth="1"/>
    <col min="5127" max="5127" width="13.5703125" style="1" bestFit="1" customWidth="1"/>
    <col min="5128" max="5377" width="9.140625" style="1"/>
    <col min="5378" max="5378" width="5.85546875" style="1" customWidth="1"/>
    <col min="5379" max="5379" width="17.5703125" style="1" customWidth="1"/>
    <col min="5380" max="5380" width="100" style="1" customWidth="1"/>
    <col min="5381" max="5381" width="20.42578125" style="1" customWidth="1"/>
    <col min="5382" max="5382" width="12.42578125" style="1" customWidth="1"/>
    <col min="5383" max="5383" width="13.5703125" style="1" bestFit="1" customWidth="1"/>
    <col min="5384" max="5633" width="9.140625" style="1"/>
    <col min="5634" max="5634" width="5.85546875" style="1" customWidth="1"/>
    <col min="5635" max="5635" width="17.5703125" style="1" customWidth="1"/>
    <col min="5636" max="5636" width="100" style="1" customWidth="1"/>
    <col min="5637" max="5637" width="20.42578125" style="1" customWidth="1"/>
    <col min="5638" max="5638" width="12.42578125" style="1" customWidth="1"/>
    <col min="5639" max="5639" width="13.5703125" style="1" bestFit="1" customWidth="1"/>
    <col min="5640" max="5889" width="9.140625" style="1"/>
    <col min="5890" max="5890" width="5.85546875" style="1" customWidth="1"/>
    <col min="5891" max="5891" width="17.5703125" style="1" customWidth="1"/>
    <col min="5892" max="5892" width="100" style="1" customWidth="1"/>
    <col min="5893" max="5893" width="20.42578125" style="1" customWidth="1"/>
    <col min="5894" max="5894" width="12.42578125" style="1" customWidth="1"/>
    <col min="5895" max="5895" width="13.5703125" style="1" bestFit="1" customWidth="1"/>
    <col min="5896" max="6145" width="9.140625" style="1"/>
    <col min="6146" max="6146" width="5.85546875" style="1" customWidth="1"/>
    <col min="6147" max="6147" width="17.5703125" style="1" customWidth="1"/>
    <col min="6148" max="6148" width="100" style="1" customWidth="1"/>
    <col min="6149" max="6149" width="20.42578125" style="1" customWidth="1"/>
    <col min="6150" max="6150" width="12.42578125" style="1" customWidth="1"/>
    <col min="6151" max="6151" width="13.5703125" style="1" bestFit="1" customWidth="1"/>
    <col min="6152" max="6401" width="9.140625" style="1"/>
    <col min="6402" max="6402" width="5.85546875" style="1" customWidth="1"/>
    <col min="6403" max="6403" width="17.5703125" style="1" customWidth="1"/>
    <col min="6404" max="6404" width="100" style="1" customWidth="1"/>
    <col min="6405" max="6405" width="20.42578125" style="1" customWidth="1"/>
    <col min="6406" max="6406" width="12.42578125" style="1" customWidth="1"/>
    <col min="6407" max="6407" width="13.5703125" style="1" bestFit="1" customWidth="1"/>
    <col min="6408" max="6657" width="9.140625" style="1"/>
    <col min="6658" max="6658" width="5.85546875" style="1" customWidth="1"/>
    <col min="6659" max="6659" width="17.5703125" style="1" customWidth="1"/>
    <col min="6660" max="6660" width="100" style="1" customWidth="1"/>
    <col min="6661" max="6661" width="20.42578125" style="1" customWidth="1"/>
    <col min="6662" max="6662" width="12.42578125" style="1" customWidth="1"/>
    <col min="6663" max="6663" width="13.5703125" style="1" bestFit="1" customWidth="1"/>
    <col min="6664" max="6913" width="9.140625" style="1"/>
    <col min="6914" max="6914" width="5.85546875" style="1" customWidth="1"/>
    <col min="6915" max="6915" width="17.5703125" style="1" customWidth="1"/>
    <col min="6916" max="6916" width="100" style="1" customWidth="1"/>
    <col min="6917" max="6917" width="20.42578125" style="1" customWidth="1"/>
    <col min="6918" max="6918" width="12.42578125" style="1" customWidth="1"/>
    <col min="6919" max="6919" width="13.5703125" style="1" bestFit="1" customWidth="1"/>
    <col min="6920" max="7169" width="9.140625" style="1"/>
    <col min="7170" max="7170" width="5.85546875" style="1" customWidth="1"/>
    <col min="7171" max="7171" width="17.5703125" style="1" customWidth="1"/>
    <col min="7172" max="7172" width="100" style="1" customWidth="1"/>
    <col min="7173" max="7173" width="20.42578125" style="1" customWidth="1"/>
    <col min="7174" max="7174" width="12.42578125" style="1" customWidth="1"/>
    <col min="7175" max="7175" width="13.5703125" style="1" bestFit="1" customWidth="1"/>
    <col min="7176" max="7425" width="9.140625" style="1"/>
    <col min="7426" max="7426" width="5.85546875" style="1" customWidth="1"/>
    <col min="7427" max="7427" width="17.5703125" style="1" customWidth="1"/>
    <col min="7428" max="7428" width="100" style="1" customWidth="1"/>
    <col min="7429" max="7429" width="20.42578125" style="1" customWidth="1"/>
    <col min="7430" max="7430" width="12.42578125" style="1" customWidth="1"/>
    <col min="7431" max="7431" width="13.5703125" style="1" bestFit="1" customWidth="1"/>
    <col min="7432" max="7681" width="9.140625" style="1"/>
    <col min="7682" max="7682" width="5.85546875" style="1" customWidth="1"/>
    <col min="7683" max="7683" width="17.5703125" style="1" customWidth="1"/>
    <col min="7684" max="7684" width="100" style="1" customWidth="1"/>
    <col min="7685" max="7685" width="20.42578125" style="1" customWidth="1"/>
    <col min="7686" max="7686" width="12.42578125" style="1" customWidth="1"/>
    <col min="7687" max="7687" width="13.5703125" style="1" bestFit="1" customWidth="1"/>
    <col min="7688" max="7937" width="9.140625" style="1"/>
    <col min="7938" max="7938" width="5.85546875" style="1" customWidth="1"/>
    <col min="7939" max="7939" width="17.5703125" style="1" customWidth="1"/>
    <col min="7940" max="7940" width="100" style="1" customWidth="1"/>
    <col min="7941" max="7941" width="20.42578125" style="1" customWidth="1"/>
    <col min="7942" max="7942" width="12.42578125" style="1" customWidth="1"/>
    <col min="7943" max="7943" width="13.5703125" style="1" bestFit="1" customWidth="1"/>
    <col min="7944" max="8193" width="9.140625" style="1"/>
    <col min="8194" max="8194" width="5.85546875" style="1" customWidth="1"/>
    <col min="8195" max="8195" width="17.5703125" style="1" customWidth="1"/>
    <col min="8196" max="8196" width="100" style="1" customWidth="1"/>
    <col min="8197" max="8197" width="20.42578125" style="1" customWidth="1"/>
    <col min="8198" max="8198" width="12.42578125" style="1" customWidth="1"/>
    <col min="8199" max="8199" width="13.5703125" style="1" bestFit="1" customWidth="1"/>
    <col min="8200" max="8449" width="9.140625" style="1"/>
    <col min="8450" max="8450" width="5.85546875" style="1" customWidth="1"/>
    <col min="8451" max="8451" width="17.5703125" style="1" customWidth="1"/>
    <col min="8452" max="8452" width="100" style="1" customWidth="1"/>
    <col min="8453" max="8453" width="20.42578125" style="1" customWidth="1"/>
    <col min="8454" max="8454" width="12.42578125" style="1" customWidth="1"/>
    <col min="8455" max="8455" width="13.5703125" style="1" bestFit="1" customWidth="1"/>
    <col min="8456" max="8705" width="9.140625" style="1"/>
    <col min="8706" max="8706" width="5.85546875" style="1" customWidth="1"/>
    <col min="8707" max="8707" width="17.5703125" style="1" customWidth="1"/>
    <col min="8708" max="8708" width="100" style="1" customWidth="1"/>
    <col min="8709" max="8709" width="20.42578125" style="1" customWidth="1"/>
    <col min="8710" max="8710" width="12.42578125" style="1" customWidth="1"/>
    <col min="8711" max="8711" width="13.5703125" style="1" bestFit="1" customWidth="1"/>
    <col min="8712" max="8961" width="9.140625" style="1"/>
    <col min="8962" max="8962" width="5.85546875" style="1" customWidth="1"/>
    <col min="8963" max="8963" width="17.5703125" style="1" customWidth="1"/>
    <col min="8964" max="8964" width="100" style="1" customWidth="1"/>
    <col min="8965" max="8965" width="20.42578125" style="1" customWidth="1"/>
    <col min="8966" max="8966" width="12.42578125" style="1" customWidth="1"/>
    <col min="8967" max="8967" width="13.5703125" style="1" bestFit="1" customWidth="1"/>
    <col min="8968" max="9217" width="9.140625" style="1"/>
    <col min="9218" max="9218" width="5.85546875" style="1" customWidth="1"/>
    <col min="9219" max="9219" width="17.5703125" style="1" customWidth="1"/>
    <col min="9220" max="9220" width="100" style="1" customWidth="1"/>
    <col min="9221" max="9221" width="20.42578125" style="1" customWidth="1"/>
    <col min="9222" max="9222" width="12.42578125" style="1" customWidth="1"/>
    <col min="9223" max="9223" width="13.5703125" style="1" bestFit="1" customWidth="1"/>
    <col min="9224" max="9473" width="9.140625" style="1"/>
    <col min="9474" max="9474" width="5.85546875" style="1" customWidth="1"/>
    <col min="9475" max="9475" width="17.5703125" style="1" customWidth="1"/>
    <col min="9476" max="9476" width="100" style="1" customWidth="1"/>
    <col min="9477" max="9477" width="20.42578125" style="1" customWidth="1"/>
    <col min="9478" max="9478" width="12.42578125" style="1" customWidth="1"/>
    <col min="9479" max="9479" width="13.5703125" style="1" bestFit="1" customWidth="1"/>
    <col min="9480" max="9729" width="9.140625" style="1"/>
    <col min="9730" max="9730" width="5.85546875" style="1" customWidth="1"/>
    <col min="9731" max="9731" width="17.5703125" style="1" customWidth="1"/>
    <col min="9732" max="9732" width="100" style="1" customWidth="1"/>
    <col min="9733" max="9733" width="20.42578125" style="1" customWidth="1"/>
    <col min="9734" max="9734" width="12.42578125" style="1" customWidth="1"/>
    <col min="9735" max="9735" width="13.5703125" style="1" bestFit="1" customWidth="1"/>
    <col min="9736" max="9985" width="9.140625" style="1"/>
    <col min="9986" max="9986" width="5.85546875" style="1" customWidth="1"/>
    <col min="9987" max="9987" width="17.5703125" style="1" customWidth="1"/>
    <col min="9988" max="9988" width="100" style="1" customWidth="1"/>
    <col min="9989" max="9989" width="20.42578125" style="1" customWidth="1"/>
    <col min="9990" max="9990" width="12.42578125" style="1" customWidth="1"/>
    <col min="9991" max="9991" width="13.5703125" style="1" bestFit="1" customWidth="1"/>
    <col min="9992" max="10241" width="9.140625" style="1"/>
    <col min="10242" max="10242" width="5.85546875" style="1" customWidth="1"/>
    <col min="10243" max="10243" width="17.5703125" style="1" customWidth="1"/>
    <col min="10244" max="10244" width="100" style="1" customWidth="1"/>
    <col min="10245" max="10245" width="20.42578125" style="1" customWidth="1"/>
    <col min="10246" max="10246" width="12.42578125" style="1" customWidth="1"/>
    <col min="10247" max="10247" width="13.5703125" style="1" bestFit="1" customWidth="1"/>
    <col min="10248" max="10497" width="9.140625" style="1"/>
    <col min="10498" max="10498" width="5.85546875" style="1" customWidth="1"/>
    <col min="10499" max="10499" width="17.5703125" style="1" customWidth="1"/>
    <col min="10500" max="10500" width="100" style="1" customWidth="1"/>
    <col min="10501" max="10501" width="20.42578125" style="1" customWidth="1"/>
    <col min="10502" max="10502" width="12.42578125" style="1" customWidth="1"/>
    <col min="10503" max="10503" width="13.5703125" style="1" bestFit="1" customWidth="1"/>
    <col min="10504" max="10753" width="9.140625" style="1"/>
    <col min="10754" max="10754" width="5.85546875" style="1" customWidth="1"/>
    <col min="10755" max="10755" width="17.5703125" style="1" customWidth="1"/>
    <col min="10756" max="10756" width="100" style="1" customWidth="1"/>
    <col min="10757" max="10757" width="20.42578125" style="1" customWidth="1"/>
    <col min="10758" max="10758" width="12.42578125" style="1" customWidth="1"/>
    <col min="10759" max="10759" width="13.5703125" style="1" bestFit="1" customWidth="1"/>
    <col min="10760" max="11009" width="9.140625" style="1"/>
    <col min="11010" max="11010" width="5.85546875" style="1" customWidth="1"/>
    <col min="11011" max="11011" width="17.5703125" style="1" customWidth="1"/>
    <col min="11012" max="11012" width="100" style="1" customWidth="1"/>
    <col min="11013" max="11013" width="20.42578125" style="1" customWidth="1"/>
    <col min="11014" max="11014" width="12.42578125" style="1" customWidth="1"/>
    <col min="11015" max="11015" width="13.5703125" style="1" bestFit="1" customWidth="1"/>
    <col min="11016" max="11265" width="9.140625" style="1"/>
    <col min="11266" max="11266" width="5.85546875" style="1" customWidth="1"/>
    <col min="11267" max="11267" width="17.5703125" style="1" customWidth="1"/>
    <col min="11268" max="11268" width="100" style="1" customWidth="1"/>
    <col min="11269" max="11269" width="20.42578125" style="1" customWidth="1"/>
    <col min="11270" max="11270" width="12.42578125" style="1" customWidth="1"/>
    <col min="11271" max="11271" width="13.5703125" style="1" bestFit="1" customWidth="1"/>
    <col min="11272" max="11521" width="9.140625" style="1"/>
    <col min="11522" max="11522" width="5.85546875" style="1" customWidth="1"/>
    <col min="11523" max="11523" width="17.5703125" style="1" customWidth="1"/>
    <col min="11524" max="11524" width="100" style="1" customWidth="1"/>
    <col min="11525" max="11525" width="20.42578125" style="1" customWidth="1"/>
    <col min="11526" max="11526" width="12.42578125" style="1" customWidth="1"/>
    <col min="11527" max="11527" width="13.5703125" style="1" bestFit="1" customWidth="1"/>
    <col min="11528" max="11777" width="9.140625" style="1"/>
    <col min="11778" max="11778" width="5.85546875" style="1" customWidth="1"/>
    <col min="11779" max="11779" width="17.5703125" style="1" customWidth="1"/>
    <col min="11780" max="11780" width="100" style="1" customWidth="1"/>
    <col min="11781" max="11781" width="20.42578125" style="1" customWidth="1"/>
    <col min="11782" max="11782" width="12.42578125" style="1" customWidth="1"/>
    <col min="11783" max="11783" width="13.5703125" style="1" bestFit="1" customWidth="1"/>
    <col min="11784" max="12033" width="9.140625" style="1"/>
    <col min="12034" max="12034" width="5.85546875" style="1" customWidth="1"/>
    <col min="12035" max="12035" width="17.5703125" style="1" customWidth="1"/>
    <col min="12036" max="12036" width="100" style="1" customWidth="1"/>
    <col min="12037" max="12037" width="20.42578125" style="1" customWidth="1"/>
    <col min="12038" max="12038" width="12.42578125" style="1" customWidth="1"/>
    <col min="12039" max="12039" width="13.5703125" style="1" bestFit="1" customWidth="1"/>
    <col min="12040" max="12289" width="9.140625" style="1"/>
    <col min="12290" max="12290" width="5.85546875" style="1" customWidth="1"/>
    <col min="12291" max="12291" width="17.5703125" style="1" customWidth="1"/>
    <col min="12292" max="12292" width="100" style="1" customWidth="1"/>
    <col min="12293" max="12293" width="20.42578125" style="1" customWidth="1"/>
    <col min="12294" max="12294" width="12.42578125" style="1" customWidth="1"/>
    <col min="12295" max="12295" width="13.5703125" style="1" bestFit="1" customWidth="1"/>
    <col min="12296" max="12545" width="9.140625" style="1"/>
    <col min="12546" max="12546" width="5.85546875" style="1" customWidth="1"/>
    <col min="12547" max="12547" width="17.5703125" style="1" customWidth="1"/>
    <col min="12548" max="12548" width="100" style="1" customWidth="1"/>
    <col min="12549" max="12549" width="20.42578125" style="1" customWidth="1"/>
    <col min="12550" max="12550" width="12.42578125" style="1" customWidth="1"/>
    <col min="12551" max="12551" width="13.5703125" style="1" bestFit="1" customWidth="1"/>
    <col min="12552" max="12801" width="9.140625" style="1"/>
    <col min="12802" max="12802" width="5.85546875" style="1" customWidth="1"/>
    <col min="12803" max="12803" width="17.5703125" style="1" customWidth="1"/>
    <col min="12804" max="12804" width="100" style="1" customWidth="1"/>
    <col min="12805" max="12805" width="20.42578125" style="1" customWidth="1"/>
    <col min="12806" max="12806" width="12.42578125" style="1" customWidth="1"/>
    <col min="12807" max="12807" width="13.5703125" style="1" bestFit="1" customWidth="1"/>
    <col min="12808" max="13057" width="9.140625" style="1"/>
    <col min="13058" max="13058" width="5.85546875" style="1" customWidth="1"/>
    <col min="13059" max="13059" width="17.5703125" style="1" customWidth="1"/>
    <col min="13060" max="13060" width="100" style="1" customWidth="1"/>
    <col min="13061" max="13061" width="20.42578125" style="1" customWidth="1"/>
    <col min="13062" max="13062" width="12.42578125" style="1" customWidth="1"/>
    <col min="13063" max="13063" width="13.5703125" style="1" bestFit="1" customWidth="1"/>
    <col min="13064" max="13313" width="9.140625" style="1"/>
    <col min="13314" max="13314" width="5.85546875" style="1" customWidth="1"/>
    <col min="13315" max="13315" width="17.5703125" style="1" customWidth="1"/>
    <col min="13316" max="13316" width="100" style="1" customWidth="1"/>
    <col min="13317" max="13317" width="20.42578125" style="1" customWidth="1"/>
    <col min="13318" max="13318" width="12.42578125" style="1" customWidth="1"/>
    <col min="13319" max="13319" width="13.5703125" style="1" bestFit="1" customWidth="1"/>
    <col min="13320" max="13569" width="9.140625" style="1"/>
    <col min="13570" max="13570" width="5.85546875" style="1" customWidth="1"/>
    <col min="13571" max="13571" width="17.5703125" style="1" customWidth="1"/>
    <col min="13572" max="13572" width="100" style="1" customWidth="1"/>
    <col min="13573" max="13573" width="20.42578125" style="1" customWidth="1"/>
    <col min="13574" max="13574" width="12.42578125" style="1" customWidth="1"/>
    <col min="13575" max="13575" width="13.5703125" style="1" bestFit="1" customWidth="1"/>
    <col min="13576" max="13825" width="9.140625" style="1"/>
    <col min="13826" max="13826" width="5.85546875" style="1" customWidth="1"/>
    <col min="13827" max="13827" width="17.5703125" style="1" customWidth="1"/>
    <col min="13828" max="13828" width="100" style="1" customWidth="1"/>
    <col min="13829" max="13829" width="20.42578125" style="1" customWidth="1"/>
    <col min="13830" max="13830" width="12.42578125" style="1" customWidth="1"/>
    <col min="13831" max="13831" width="13.5703125" style="1" bestFit="1" customWidth="1"/>
    <col min="13832" max="14081" width="9.140625" style="1"/>
    <col min="14082" max="14082" width="5.85546875" style="1" customWidth="1"/>
    <col min="14083" max="14083" width="17.5703125" style="1" customWidth="1"/>
    <col min="14084" max="14084" width="100" style="1" customWidth="1"/>
    <col min="14085" max="14085" width="20.42578125" style="1" customWidth="1"/>
    <col min="14086" max="14086" width="12.42578125" style="1" customWidth="1"/>
    <col min="14087" max="14087" width="13.5703125" style="1" bestFit="1" customWidth="1"/>
    <col min="14088" max="14337" width="9.140625" style="1"/>
    <col min="14338" max="14338" width="5.85546875" style="1" customWidth="1"/>
    <col min="14339" max="14339" width="17.5703125" style="1" customWidth="1"/>
    <col min="14340" max="14340" width="100" style="1" customWidth="1"/>
    <col min="14341" max="14341" width="20.42578125" style="1" customWidth="1"/>
    <col min="14342" max="14342" width="12.42578125" style="1" customWidth="1"/>
    <col min="14343" max="14343" width="13.5703125" style="1" bestFit="1" customWidth="1"/>
    <col min="14344" max="14593" width="9.140625" style="1"/>
    <col min="14594" max="14594" width="5.85546875" style="1" customWidth="1"/>
    <col min="14595" max="14595" width="17.5703125" style="1" customWidth="1"/>
    <col min="14596" max="14596" width="100" style="1" customWidth="1"/>
    <col min="14597" max="14597" width="20.42578125" style="1" customWidth="1"/>
    <col min="14598" max="14598" width="12.42578125" style="1" customWidth="1"/>
    <col min="14599" max="14599" width="13.5703125" style="1" bestFit="1" customWidth="1"/>
    <col min="14600" max="14849" width="9.140625" style="1"/>
    <col min="14850" max="14850" width="5.85546875" style="1" customWidth="1"/>
    <col min="14851" max="14851" width="17.5703125" style="1" customWidth="1"/>
    <col min="14852" max="14852" width="100" style="1" customWidth="1"/>
    <col min="14853" max="14853" width="20.42578125" style="1" customWidth="1"/>
    <col min="14854" max="14854" width="12.42578125" style="1" customWidth="1"/>
    <col min="14855" max="14855" width="13.5703125" style="1" bestFit="1" customWidth="1"/>
    <col min="14856" max="15105" width="9.140625" style="1"/>
    <col min="15106" max="15106" width="5.85546875" style="1" customWidth="1"/>
    <col min="15107" max="15107" width="17.5703125" style="1" customWidth="1"/>
    <col min="15108" max="15108" width="100" style="1" customWidth="1"/>
    <col min="15109" max="15109" width="20.42578125" style="1" customWidth="1"/>
    <col min="15110" max="15110" width="12.42578125" style="1" customWidth="1"/>
    <col min="15111" max="15111" width="13.5703125" style="1" bestFit="1" customWidth="1"/>
    <col min="15112" max="15361" width="9.140625" style="1"/>
    <col min="15362" max="15362" width="5.85546875" style="1" customWidth="1"/>
    <col min="15363" max="15363" width="17.5703125" style="1" customWidth="1"/>
    <col min="15364" max="15364" width="100" style="1" customWidth="1"/>
    <col min="15365" max="15365" width="20.42578125" style="1" customWidth="1"/>
    <col min="15366" max="15366" width="12.42578125" style="1" customWidth="1"/>
    <col min="15367" max="15367" width="13.5703125" style="1" bestFit="1" customWidth="1"/>
    <col min="15368" max="15617" width="9.140625" style="1"/>
    <col min="15618" max="15618" width="5.85546875" style="1" customWidth="1"/>
    <col min="15619" max="15619" width="17.5703125" style="1" customWidth="1"/>
    <col min="15620" max="15620" width="100" style="1" customWidth="1"/>
    <col min="15621" max="15621" width="20.42578125" style="1" customWidth="1"/>
    <col min="15622" max="15622" width="12.42578125" style="1" customWidth="1"/>
    <col min="15623" max="15623" width="13.5703125" style="1" bestFit="1" customWidth="1"/>
    <col min="15624" max="15873" width="9.140625" style="1"/>
    <col min="15874" max="15874" width="5.85546875" style="1" customWidth="1"/>
    <col min="15875" max="15875" width="17.5703125" style="1" customWidth="1"/>
    <col min="15876" max="15876" width="100" style="1" customWidth="1"/>
    <col min="15877" max="15877" width="20.42578125" style="1" customWidth="1"/>
    <col min="15878" max="15878" width="12.42578125" style="1" customWidth="1"/>
    <col min="15879" max="15879" width="13.5703125" style="1" bestFit="1" customWidth="1"/>
    <col min="15880" max="16129" width="9.140625" style="1"/>
    <col min="16130" max="16130" width="5.85546875" style="1" customWidth="1"/>
    <col min="16131" max="16131" width="17.5703125" style="1" customWidth="1"/>
    <col min="16132" max="16132" width="100" style="1" customWidth="1"/>
    <col min="16133" max="16133" width="20.42578125" style="1" customWidth="1"/>
    <col min="16134" max="16134" width="12.42578125" style="1" customWidth="1"/>
    <col min="16135" max="16135" width="13.5703125" style="1" bestFit="1" customWidth="1"/>
    <col min="16136" max="16384" width="9.140625" style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1466"/>
      <c r="AW1" s="1466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B2" s="531"/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1466"/>
      <c r="AG3" s="1466"/>
      <c r="AH3" s="1466"/>
      <c r="AI3" s="1466"/>
      <c r="AJ3" s="1466"/>
      <c r="AK3" s="1466"/>
      <c r="AL3" s="1466"/>
      <c r="AM3" s="1466"/>
      <c r="AN3" s="1466"/>
      <c r="AO3" s="1466"/>
      <c r="AP3" s="1466"/>
      <c r="AQ3" s="1466"/>
      <c r="AR3" s="1466"/>
      <c r="AS3" s="1466"/>
      <c r="AT3" s="1466"/>
      <c r="AU3" s="1466"/>
      <c r="AV3" s="1466"/>
      <c r="AW3" s="1466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B4" s="531"/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  <c r="AQ5" s="1470"/>
      <c r="AR5" s="1470"/>
      <c r="AS5" s="1470"/>
      <c r="AT5" s="1470"/>
      <c r="AU5" s="1470"/>
      <c r="AV5" s="1470"/>
      <c r="AW5" s="1470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x14ac:dyDescent="0.25">
      <c r="E6" s="20"/>
    </row>
    <row r="7" spans="2:60" ht="18.75" x14ac:dyDescent="0.3">
      <c r="B7" s="1600" t="s">
        <v>2602</v>
      </c>
      <c r="C7" s="1600"/>
      <c r="D7" s="1600"/>
      <c r="E7" s="1600"/>
      <c r="F7" s="1600"/>
      <c r="G7" s="1600"/>
    </row>
    <row r="8" spans="2:60" x14ac:dyDescent="0.25">
      <c r="B8" s="533"/>
      <c r="C8" s="204"/>
      <c r="D8" s="204"/>
      <c r="E8" s="204"/>
    </row>
    <row r="9" spans="2:60" s="12" customFormat="1" x14ac:dyDescent="0.25">
      <c r="B9" s="534" t="s">
        <v>1405</v>
      </c>
      <c r="C9" s="21" t="s">
        <v>1406</v>
      </c>
      <c r="D9" s="22" t="s">
        <v>1</v>
      </c>
      <c r="E9" s="23">
        <v>2020</v>
      </c>
      <c r="F9" s="23">
        <v>2021</v>
      </c>
      <c r="G9" s="23">
        <v>2022</v>
      </c>
    </row>
    <row r="10" spans="2:60" s="12" customFormat="1" x14ac:dyDescent="0.25">
      <c r="B10" s="535">
        <v>1</v>
      </c>
      <c r="C10" s="243" t="s">
        <v>1407</v>
      </c>
      <c r="D10" s="243" t="s">
        <v>7892</v>
      </c>
      <c r="E10" s="244">
        <f>(E11+E12)/2</f>
        <v>5.2099999999999994E-2</v>
      </c>
      <c r="F10" s="244">
        <f>(F11+F12)/2</f>
        <v>4.8799999999999996E-2</v>
      </c>
      <c r="G10" s="244">
        <f>(G11+G12)/2</f>
        <v>4.3800000000000006E-2</v>
      </c>
    </row>
    <row r="11" spans="2:60" x14ac:dyDescent="0.25">
      <c r="B11" s="245" t="s">
        <v>1408</v>
      </c>
      <c r="C11" s="242" t="s">
        <v>1407</v>
      </c>
      <c r="D11" s="242" t="s">
        <v>1409</v>
      </c>
      <c r="E11" s="246">
        <v>3.8899999999999997E-2</v>
      </c>
      <c r="F11" s="246">
        <v>4.5499999999999999E-2</v>
      </c>
      <c r="G11" s="246">
        <v>4.1000000000000002E-2</v>
      </c>
    </row>
    <row r="12" spans="2:60" x14ac:dyDescent="0.25">
      <c r="B12" s="245" t="s">
        <v>1410</v>
      </c>
      <c r="C12" s="242" t="s">
        <v>1407</v>
      </c>
      <c r="D12" s="242" t="s">
        <v>1411</v>
      </c>
      <c r="E12" s="246">
        <v>6.5299999999999997E-2</v>
      </c>
      <c r="F12" s="246">
        <v>5.21E-2</v>
      </c>
      <c r="G12" s="246">
        <v>4.6600000000000003E-2</v>
      </c>
    </row>
    <row r="13" spans="2:60" s="12" customFormat="1" x14ac:dyDescent="0.25">
      <c r="B13" s="535">
        <v>3</v>
      </c>
      <c r="C13" s="242" t="s">
        <v>1407</v>
      </c>
      <c r="D13" s="243" t="s">
        <v>1412</v>
      </c>
      <c r="E13" s="244">
        <f>PUER!D13</f>
        <v>2.1999999999999999E-2</v>
      </c>
      <c r="F13" s="244">
        <f>PUER!E13</f>
        <v>2.7E-2</v>
      </c>
      <c r="G13" s="244">
        <f>PUER!F13</f>
        <v>2.5999999999999999E-2</v>
      </c>
    </row>
    <row r="14" spans="2:60" s="12" customFormat="1" x14ac:dyDescent="0.25">
      <c r="B14" s="535">
        <v>4</v>
      </c>
      <c r="C14" s="242" t="s">
        <v>1407</v>
      </c>
      <c r="D14" s="243" t="s">
        <v>1776</v>
      </c>
      <c r="E14" s="244">
        <f>PUER!D14</f>
        <v>2.1999999999999999E-2</v>
      </c>
      <c r="F14" s="244">
        <f>PUER!E14</f>
        <v>2.7E-2</v>
      </c>
      <c r="G14" s="244">
        <f>PUER!F14</f>
        <v>2.5999999999999999E-2</v>
      </c>
    </row>
    <row r="15" spans="2:60" s="12" customFormat="1" x14ac:dyDescent="0.25">
      <c r="B15" s="535">
        <v>5</v>
      </c>
      <c r="C15" s="242" t="s">
        <v>2605</v>
      </c>
      <c r="D15" s="243" t="s">
        <v>1413</v>
      </c>
      <c r="E15" s="244">
        <f>PUER!D15</f>
        <v>7.2499999999999995E-2</v>
      </c>
      <c r="F15" s="244">
        <f>PUER!E15</f>
        <v>8.2500000000000004E-2</v>
      </c>
      <c r="G15" s="244">
        <f>PUER!F15</f>
        <v>8.5000000000000006E-2</v>
      </c>
    </row>
    <row r="16" spans="2:60" s="12" customFormat="1" x14ac:dyDescent="0.25">
      <c r="B16" s="535">
        <v>6</v>
      </c>
      <c r="C16" s="242" t="s">
        <v>1407</v>
      </c>
      <c r="D16" s="243" t="s">
        <v>1414</v>
      </c>
      <c r="E16" s="244">
        <f>PUER!D16</f>
        <v>4.2999999999999997E-2</v>
      </c>
      <c r="F16" s="244">
        <f>PUER!E16</f>
        <v>4.4999999999999998E-2</v>
      </c>
      <c r="G16" s="244">
        <f>PUER!F16</f>
        <v>4.6399999999999997E-2</v>
      </c>
    </row>
    <row r="17" spans="2:7" s="12" customFormat="1" x14ac:dyDescent="0.25">
      <c r="B17" s="535">
        <v>7</v>
      </c>
      <c r="C17" s="242" t="s">
        <v>2606</v>
      </c>
      <c r="D17" s="243" t="s">
        <v>3125</v>
      </c>
      <c r="E17" s="563">
        <f>639.67*(1+E85)*(1+E86)</f>
        <v>695.43992848243033</v>
      </c>
      <c r="F17" s="563">
        <f>599.28*(1+F85)*(1+F86)</f>
        <v>628.52486399999998</v>
      </c>
      <c r="G17" s="563">
        <f>599.28*(1+G85)*(1+G86)</f>
        <v>625.52846399999999</v>
      </c>
    </row>
    <row r="18" spans="2:7" s="12" customFormat="1" x14ac:dyDescent="0.25">
      <c r="B18" s="535">
        <v>8</v>
      </c>
      <c r="C18" s="242" t="s">
        <v>7893</v>
      </c>
      <c r="D18" s="243" t="s">
        <v>4220</v>
      </c>
      <c r="E18" s="600">
        <f>[2]Plan1!$F$143</f>
        <v>7.8287497111162452E-3</v>
      </c>
      <c r="F18" s="563">
        <v>0</v>
      </c>
      <c r="G18" s="563">
        <v>0</v>
      </c>
    </row>
    <row r="19" spans="2:7" s="12" customFormat="1" x14ac:dyDescent="0.25">
      <c r="B19" s="535">
        <v>9</v>
      </c>
      <c r="C19" s="242" t="s">
        <v>7893</v>
      </c>
      <c r="D19" s="243" t="s">
        <v>4221</v>
      </c>
      <c r="E19" s="600">
        <f>[2]Plan1!$F$144</f>
        <v>2.3142272527130858E-2</v>
      </c>
      <c r="F19" s="563">
        <v>0</v>
      </c>
      <c r="G19" s="563">
        <v>0</v>
      </c>
    </row>
    <row r="20" spans="2:7" s="12" customFormat="1" x14ac:dyDescent="0.25">
      <c r="B20" s="535">
        <v>10</v>
      </c>
      <c r="C20" s="242" t="s">
        <v>7893</v>
      </c>
      <c r="D20" s="243" t="s">
        <v>4222</v>
      </c>
      <c r="E20" s="600">
        <f>[2]Plan1!$F$140</f>
        <v>3.3995472139048966E-2</v>
      </c>
      <c r="F20" s="563">
        <v>0</v>
      </c>
      <c r="G20" s="563">
        <v>0</v>
      </c>
    </row>
    <row r="21" spans="2:7" s="12" customFormat="1" x14ac:dyDescent="0.25">
      <c r="B21" s="535">
        <v>11</v>
      </c>
      <c r="C21" s="242" t="s">
        <v>7893</v>
      </c>
      <c r="D21" s="243" t="s">
        <v>4223</v>
      </c>
      <c r="E21" s="600">
        <f>[2]Plan1!$F$141</f>
        <v>3.1071339796171937E-2</v>
      </c>
      <c r="F21" s="563">
        <v>0</v>
      </c>
      <c r="G21" s="563">
        <v>0</v>
      </c>
    </row>
    <row r="22" spans="2:7" s="12" customFormat="1" x14ac:dyDescent="0.25">
      <c r="B22" s="536">
        <v>12</v>
      </c>
      <c r="C22" s="253"/>
      <c r="D22" s="252" t="s">
        <v>2607</v>
      </c>
      <c r="E22" s="254"/>
      <c r="F22" s="254"/>
      <c r="G22" s="254"/>
    </row>
    <row r="23" spans="2:7" s="12" customFormat="1" x14ac:dyDescent="0.25">
      <c r="B23" s="536" t="s">
        <v>7894</v>
      </c>
      <c r="C23" s="253"/>
      <c r="D23" s="253" t="s">
        <v>3114</v>
      </c>
      <c r="E23" s="255">
        <f>E12</f>
        <v>6.5299999999999997E-2</v>
      </c>
      <c r="F23" s="255">
        <f t="shared" ref="F23:G27" si="0">E23*(1+E$10)</f>
        <v>6.870213E-2</v>
      </c>
      <c r="G23" s="255">
        <f t="shared" si="0"/>
        <v>7.2054793943999995E-2</v>
      </c>
    </row>
    <row r="24" spans="2:7" x14ac:dyDescent="0.25">
      <c r="B24" s="537" t="s">
        <v>7895</v>
      </c>
      <c r="C24" s="253"/>
      <c r="D24" s="253" t="s">
        <v>2603</v>
      </c>
      <c r="E24" s="255">
        <v>0</v>
      </c>
      <c r="F24" s="255">
        <f t="shared" si="0"/>
        <v>0</v>
      </c>
      <c r="G24" s="255">
        <f t="shared" si="0"/>
        <v>0</v>
      </c>
    </row>
    <row r="25" spans="2:7" x14ac:dyDescent="0.25">
      <c r="B25" s="537" t="s">
        <v>7896</v>
      </c>
      <c r="C25" s="253"/>
      <c r="D25" s="253" t="s">
        <v>2604</v>
      </c>
      <c r="E25" s="255">
        <f>IF(CIG!D42=0,"0,00%",((((CIG!D42/CIG!E42)-1)))+(((CIG!G42/CIG!E42)-1))/2)</f>
        <v>-8.65259067424482E-2</v>
      </c>
      <c r="F25" s="255">
        <f t="shared" si="0"/>
        <v>-9.1033906483729748E-2</v>
      </c>
      <c r="G25" s="255">
        <f t="shared" si="0"/>
        <v>-9.5476361120135758E-2</v>
      </c>
    </row>
    <row r="26" spans="2:7" x14ac:dyDescent="0.25">
      <c r="B26" s="537" t="s">
        <v>7897</v>
      </c>
      <c r="C26" s="253"/>
      <c r="D26" s="253" t="s">
        <v>2611</v>
      </c>
      <c r="E26" s="255">
        <f>IF(CIG!D47=0,"0,00%",((((CIG!D47/CIG!E47)-1)))+(((CIG!G47/CIG!E47)-1))/2)</f>
        <v>-0.37073031070480988</v>
      </c>
      <c r="F26" s="255">
        <f t="shared" si="0"/>
        <v>-0.39004535989253047</v>
      </c>
      <c r="G26" s="255">
        <f t="shared" si="0"/>
        <v>-0.40907957345528595</v>
      </c>
    </row>
    <row r="27" spans="2:7" x14ac:dyDescent="0.25">
      <c r="B27" s="537" t="s">
        <v>7898</v>
      </c>
      <c r="C27" s="253"/>
      <c r="D27" s="253" t="s">
        <v>2610</v>
      </c>
      <c r="E27" s="255">
        <f>IF(CIG!D51=0,"0,00%",((((CIG!D51/CIG!E51)-1)))+(((CIG!G51/CIG!E51)-1))/2)</f>
        <v>-0.49088103458084037</v>
      </c>
      <c r="F27" s="255">
        <f t="shared" si="0"/>
        <v>-0.51645593648250221</v>
      </c>
      <c r="G27" s="255">
        <f t="shared" si="0"/>
        <v>-0.54165898618284825</v>
      </c>
    </row>
    <row r="28" spans="2:7" x14ac:dyDescent="0.25">
      <c r="B28" s="537" t="s">
        <v>7899</v>
      </c>
      <c r="C28" s="253"/>
      <c r="D28" s="253" t="s">
        <v>2615</v>
      </c>
      <c r="E28" s="255">
        <v>0.21</v>
      </c>
      <c r="F28" s="255">
        <v>0.21</v>
      </c>
      <c r="G28" s="255">
        <v>0.21</v>
      </c>
    </row>
    <row r="29" spans="2:7" x14ac:dyDescent="0.25">
      <c r="B29" s="537" t="s">
        <v>7900</v>
      </c>
      <c r="C29" s="253"/>
      <c r="D29" s="253" t="s">
        <v>2614</v>
      </c>
      <c r="E29" s="255">
        <v>0.2</v>
      </c>
      <c r="F29" s="255">
        <v>0.2</v>
      </c>
      <c r="G29" s="255">
        <v>0.2</v>
      </c>
    </row>
    <row r="30" spans="2:7" x14ac:dyDescent="0.25">
      <c r="B30" s="537" t="s">
        <v>7901</v>
      </c>
      <c r="C30" s="253"/>
      <c r="D30" s="253" t="s">
        <v>2608</v>
      </c>
      <c r="E30" s="256">
        <f>FOPAGLEG!N22</f>
        <v>2753.8429668936055</v>
      </c>
      <c r="F30" s="256">
        <f>E30*(1+E$10)</f>
        <v>2897.3181854687623</v>
      </c>
      <c r="G30" s="256">
        <f>F30*(1+F$10)</f>
        <v>3038.7073129196378</v>
      </c>
    </row>
    <row r="31" spans="2:7" x14ac:dyDescent="0.25">
      <c r="B31" s="537" t="s">
        <v>7902</v>
      </c>
      <c r="C31" s="253"/>
      <c r="D31" s="253" t="s">
        <v>2609</v>
      </c>
      <c r="E31" s="256">
        <f>FOPAGLEG!O18</f>
        <v>1239.2293351021226</v>
      </c>
      <c r="F31" s="256">
        <f>E31*(1+E$10)</f>
        <v>1303.7931834609433</v>
      </c>
      <c r="G31" s="256">
        <f>F31*(1+F$10)</f>
        <v>1367.4182908138373</v>
      </c>
    </row>
    <row r="32" spans="2:7" s="545" customFormat="1" ht="15.75" x14ac:dyDescent="0.25">
      <c r="B32" s="541">
        <v>13</v>
      </c>
      <c r="C32" s="542"/>
      <c r="D32" s="543" t="s">
        <v>2949</v>
      </c>
      <c r="E32" s="544"/>
      <c r="F32" s="544"/>
      <c r="G32" s="544"/>
    </row>
    <row r="33" spans="2:7" s="12" customFormat="1" x14ac:dyDescent="0.25">
      <c r="B33" s="539" t="s">
        <v>7903</v>
      </c>
      <c r="C33" s="540" t="s">
        <v>3073</v>
      </c>
      <c r="D33" s="540" t="str">
        <f>DESPORC!D13</f>
        <v>REALIZAÇÃO DE NOVOS INVESTIMENTOS</v>
      </c>
      <c r="E33" s="540"/>
      <c r="F33" s="540"/>
      <c r="G33" s="540"/>
    </row>
    <row r="34" spans="2:7" s="12" customFormat="1" x14ac:dyDescent="0.25">
      <c r="B34" s="539" t="s">
        <v>7904</v>
      </c>
      <c r="C34" s="540"/>
      <c r="D34" s="540" t="str">
        <f>DESPORC!D14</f>
        <v>Custo de Aquis.: Obrigacoes Tributarias e Contributivas</v>
      </c>
      <c r="E34" s="549">
        <f>(SUM(E39,E41,E36)*(E$29))</f>
        <v>1700</v>
      </c>
      <c r="F34" s="540"/>
      <c r="G34" s="540"/>
    </row>
    <row r="35" spans="2:7" s="12" customFormat="1" x14ac:dyDescent="0.25">
      <c r="B35" s="539" t="s">
        <v>7905</v>
      </c>
      <c r="C35" s="540"/>
      <c r="D35" s="540" t="str">
        <f>DESPORC!D15</f>
        <v>Custo de Aquis.:Material De Consumo</v>
      </c>
      <c r="E35" s="549">
        <f>SUM(E36,E37,E38)</f>
        <v>5000</v>
      </c>
      <c r="F35" s="540"/>
      <c r="G35" s="540"/>
    </row>
    <row r="36" spans="2:7" x14ac:dyDescent="0.25">
      <c r="B36" s="538" t="s">
        <v>7906</v>
      </c>
      <c r="C36" s="530"/>
      <c r="D36" s="530" t="s">
        <v>3083</v>
      </c>
      <c r="E36" s="550">
        <v>2000</v>
      </c>
      <c r="F36" s="530"/>
      <c r="G36" s="530"/>
    </row>
    <row r="37" spans="2:7" x14ac:dyDescent="0.25">
      <c r="B37" s="538" t="s">
        <v>7907</v>
      </c>
      <c r="C37" s="530"/>
      <c r="D37" s="530" t="s">
        <v>3084</v>
      </c>
      <c r="E37" s="550">
        <v>1000</v>
      </c>
      <c r="F37" s="530"/>
      <c r="G37" s="530"/>
    </row>
    <row r="38" spans="2:7" x14ac:dyDescent="0.25">
      <c r="B38" s="538" t="s">
        <v>7908</v>
      </c>
      <c r="C38" s="530"/>
      <c r="D38" s="530" t="s">
        <v>3085</v>
      </c>
      <c r="E38" s="550">
        <v>2000</v>
      </c>
      <c r="F38" s="530"/>
      <c r="G38" s="530"/>
    </row>
    <row r="39" spans="2:7" s="12" customFormat="1" x14ac:dyDescent="0.25">
      <c r="B39" s="539" t="s">
        <v>7909</v>
      </c>
      <c r="C39" s="540"/>
      <c r="D39" s="540" t="str">
        <f>DESPORC!D16</f>
        <v>Custo de Aquis.: Servicos - Pessoa Fisica</v>
      </c>
      <c r="E39" s="549">
        <v>5000</v>
      </c>
      <c r="F39" s="540"/>
      <c r="G39" s="540"/>
    </row>
    <row r="40" spans="2:7" s="12" customFormat="1" x14ac:dyDescent="0.25">
      <c r="B40" s="539" t="s">
        <v>7910</v>
      </c>
      <c r="C40" s="540"/>
      <c r="D40" s="540" t="str">
        <f>DESPORC!D17</f>
        <v>Custo de Aquis.:Serviços - Pessoa Juridica</v>
      </c>
      <c r="E40" s="549">
        <f>SUM(E41,E42)</f>
        <v>4500</v>
      </c>
      <c r="F40" s="540"/>
      <c r="G40" s="540"/>
    </row>
    <row r="41" spans="2:7" x14ac:dyDescent="0.25">
      <c r="B41" s="538" t="s">
        <v>7911</v>
      </c>
      <c r="C41" s="530"/>
      <c r="D41" s="530" t="s">
        <v>3081</v>
      </c>
      <c r="E41" s="550">
        <v>1500</v>
      </c>
      <c r="F41" s="530"/>
      <c r="G41" s="530"/>
    </row>
    <row r="42" spans="2:7" x14ac:dyDescent="0.25">
      <c r="B42" s="538" t="s">
        <v>7912</v>
      </c>
      <c r="C42" s="530"/>
      <c r="D42" s="530" t="s">
        <v>3082</v>
      </c>
      <c r="E42" s="550">
        <v>3000</v>
      </c>
      <c r="F42" s="530"/>
      <c r="G42" s="530"/>
    </row>
    <row r="43" spans="2:7" s="12" customFormat="1" x14ac:dyDescent="0.25">
      <c r="B43" s="539" t="s">
        <v>7908</v>
      </c>
      <c r="C43" s="540"/>
      <c r="D43" s="540" t="str">
        <f>DESPORC!D18</f>
        <v>Custo de Aquis.:Obras e Instalacoes</v>
      </c>
      <c r="E43" s="549">
        <f>E44</f>
        <v>5000</v>
      </c>
      <c r="F43" s="540"/>
      <c r="G43" s="540"/>
    </row>
    <row r="44" spans="2:7" x14ac:dyDescent="0.25">
      <c r="B44" s="538" t="s">
        <v>7909</v>
      </c>
      <c r="C44" s="530"/>
      <c r="D44" s="530" t="s">
        <v>3126</v>
      </c>
      <c r="E44" s="550">
        <v>5000</v>
      </c>
      <c r="F44" s="530"/>
      <c r="G44" s="530"/>
    </row>
    <row r="45" spans="2:7" s="12" customFormat="1" x14ac:dyDescent="0.25">
      <c r="B45" s="539" t="s">
        <v>7910</v>
      </c>
      <c r="C45" s="540"/>
      <c r="D45" s="540" t="str">
        <f>DESPORC!D20</f>
        <v>Custo de Aquis.: Equipamentos e Material Permanente</v>
      </c>
      <c r="E45" s="549">
        <f>SUM(E46,E47)</f>
        <v>30000</v>
      </c>
      <c r="F45" s="540"/>
      <c r="G45" s="540"/>
    </row>
    <row r="46" spans="2:7" x14ac:dyDescent="0.25">
      <c r="B46" s="538" t="s">
        <v>7911</v>
      </c>
      <c r="C46" s="530"/>
      <c r="D46" s="530" t="str">
        <f>DESPORC!D21</f>
        <v>Aquisição de Equipamentos de Informática</v>
      </c>
      <c r="E46" s="550">
        <v>15000</v>
      </c>
      <c r="F46" s="530"/>
      <c r="G46" s="530"/>
    </row>
    <row r="47" spans="2:7" x14ac:dyDescent="0.25">
      <c r="B47" s="538" t="s">
        <v>7912</v>
      </c>
      <c r="C47" s="530"/>
      <c r="D47" s="530" t="str">
        <f>DESPORC!D22</f>
        <v>Aquisição de Equipamentos Diversos</v>
      </c>
      <c r="E47" s="550">
        <v>15000</v>
      </c>
      <c r="F47" s="530"/>
      <c r="G47" s="530"/>
    </row>
    <row r="48" spans="2:7" s="12" customFormat="1" x14ac:dyDescent="0.25">
      <c r="B48" s="539" t="s">
        <v>7913</v>
      </c>
      <c r="C48" s="540"/>
      <c r="D48" s="540" t="str">
        <f>DESPORC!D23</f>
        <v>Custo de Aquis.: Aquisição de Imóveis</v>
      </c>
      <c r="E48" s="549">
        <v>1</v>
      </c>
      <c r="F48" s="540"/>
      <c r="G48" s="540"/>
    </row>
    <row r="49" spans="2:7" s="12" customFormat="1" x14ac:dyDescent="0.25">
      <c r="B49" s="547">
        <v>14</v>
      </c>
      <c r="C49" s="548" t="s">
        <v>3074</v>
      </c>
      <c r="D49" s="548" t="str">
        <f>DESPORC!D27</f>
        <v>GESTÃO , APOIO E MANUT., COORDEN. E PLANEJAMENTO</v>
      </c>
      <c r="E49" s="551"/>
      <c r="F49" s="548"/>
      <c r="G49" s="548"/>
    </row>
    <row r="50" spans="2:7" s="12" customFormat="1" x14ac:dyDescent="0.25">
      <c r="B50" s="547">
        <f>B49+1</f>
        <v>15</v>
      </c>
      <c r="C50" s="548"/>
      <c r="D50" s="548" t="str">
        <f>DESPORC!D28</f>
        <v>Folha Pgtº: Venc. e Prev. Servidores Contratados</v>
      </c>
      <c r="E50" s="551">
        <f>SUM(E51,E52,E53)</f>
        <v>0.03</v>
      </c>
      <c r="F50" s="548"/>
      <c r="G50" s="548"/>
    </row>
    <row r="51" spans="2:7" x14ac:dyDescent="0.25">
      <c r="B51" s="547">
        <f t="shared" ref="B51:B83" si="1">B50+1</f>
        <v>16</v>
      </c>
      <c r="C51" s="546"/>
      <c r="D51" s="546" t="s">
        <v>3075</v>
      </c>
      <c r="E51" s="552">
        <v>0.01</v>
      </c>
      <c r="F51" s="546"/>
      <c r="G51" s="546"/>
    </row>
    <row r="52" spans="2:7" x14ac:dyDescent="0.25">
      <c r="B52" s="547">
        <f t="shared" si="1"/>
        <v>17</v>
      </c>
      <c r="C52" s="546"/>
      <c r="D52" s="546" t="s">
        <v>3116</v>
      </c>
      <c r="E52" s="552">
        <v>0.01</v>
      </c>
      <c r="F52" s="546"/>
      <c r="G52" s="546"/>
    </row>
    <row r="53" spans="2:7" x14ac:dyDescent="0.25">
      <c r="B53" s="547">
        <f t="shared" si="1"/>
        <v>18</v>
      </c>
      <c r="C53" s="546"/>
      <c r="D53" s="546" t="s">
        <v>2991</v>
      </c>
      <c r="E53" s="552">
        <f>E51</f>
        <v>0.01</v>
      </c>
      <c r="F53" s="546"/>
      <c r="G53" s="546"/>
    </row>
    <row r="54" spans="2:7" s="12" customFormat="1" x14ac:dyDescent="0.25">
      <c r="B54" s="547">
        <f t="shared" si="1"/>
        <v>19</v>
      </c>
      <c r="C54" s="548"/>
      <c r="D54" s="548" t="str">
        <f>DESPORC!D29</f>
        <v>Folha Pgtº: Serv Efet C.C e Ag. Polit</v>
      </c>
      <c r="E54" s="551">
        <f>SUM(E55,E56,E57,E58,E59,E60)</f>
        <v>75182.3637409558</v>
      </c>
      <c r="F54" s="548"/>
      <c r="G54" s="548"/>
    </row>
    <row r="55" spans="2:7" x14ac:dyDescent="0.25">
      <c r="B55" s="547">
        <f t="shared" si="1"/>
        <v>20</v>
      </c>
      <c r="C55" s="546"/>
      <c r="D55" s="546" t="str">
        <f>DESPORC!D30</f>
        <v>Vencimentos Servidores C.C.</v>
      </c>
      <c r="E55" s="552">
        <f>FOPAGLEG!D34</f>
        <v>9914.8850000000002</v>
      </c>
      <c r="F55" s="546"/>
      <c r="G55" s="546"/>
    </row>
    <row r="56" spans="2:7" x14ac:dyDescent="0.25">
      <c r="B56" s="547">
        <f t="shared" si="1"/>
        <v>21</v>
      </c>
      <c r="C56" s="546"/>
      <c r="D56" s="546" t="str">
        <f>DESPORC!D31</f>
        <v>Verba Idenizatória</v>
      </c>
      <c r="E56" s="552">
        <f>FOPAGLEG!D30</f>
        <v>1239.2293351021226</v>
      </c>
      <c r="F56" s="546"/>
      <c r="G56" s="546"/>
    </row>
    <row r="57" spans="2:7" x14ac:dyDescent="0.25">
      <c r="B57" s="547">
        <f t="shared" si="1"/>
        <v>22</v>
      </c>
      <c r="C57" s="546"/>
      <c r="D57" s="546" t="str">
        <f>DESPORC!D32</f>
        <v>Férias Servidores C.C.</v>
      </c>
      <c r="E57" s="552">
        <f>FOPAGLEG!D35</f>
        <v>3304.9616666666666</v>
      </c>
      <c r="F57" s="546"/>
      <c r="G57" s="546"/>
    </row>
    <row r="58" spans="2:7" x14ac:dyDescent="0.25">
      <c r="B58" s="547">
        <f t="shared" si="1"/>
        <v>23</v>
      </c>
      <c r="C58" s="546"/>
      <c r="D58" s="546" t="str">
        <f>DESPORC!D33</f>
        <v>Subsídios Vereadores</v>
      </c>
      <c r="E58" s="552">
        <f>FOPAGLEG!D29</f>
        <v>24784.586702042445</v>
      </c>
      <c r="F58" s="546"/>
      <c r="G58" s="546"/>
    </row>
    <row r="59" spans="2:7" x14ac:dyDescent="0.25">
      <c r="B59" s="547">
        <f t="shared" si="1"/>
        <v>24</v>
      </c>
      <c r="C59" s="546"/>
      <c r="D59" s="546" t="s">
        <v>2981</v>
      </c>
      <c r="E59" s="552">
        <f>FOPAGLEG!D36</f>
        <v>9914.8850000000002</v>
      </c>
      <c r="F59" s="546"/>
      <c r="G59" s="546"/>
    </row>
    <row r="60" spans="2:7" x14ac:dyDescent="0.25">
      <c r="B60" s="547">
        <f t="shared" si="1"/>
        <v>25</v>
      </c>
      <c r="C60" s="546"/>
      <c r="D60" s="546" t="s">
        <v>3117</v>
      </c>
      <c r="E60" s="552">
        <f>FOPAGLEG!D31</f>
        <v>26023.816037144567</v>
      </c>
      <c r="F60" s="546"/>
      <c r="G60" s="546"/>
    </row>
    <row r="61" spans="2:7" s="12" customFormat="1" x14ac:dyDescent="0.25">
      <c r="B61" s="547">
        <f t="shared" si="1"/>
        <v>26</v>
      </c>
      <c r="C61" s="548"/>
      <c r="D61" s="548" t="str">
        <f>DESPORC!D43</f>
        <v>Folha Pgtº: Sessões e Convocações Extraordinárias</v>
      </c>
      <c r="E61" s="551">
        <f>FOPAGLEG!N23</f>
        <v>24784.586702042445</v>
      </c>
      <c r="F61" s="548"/>
      <c r="G61" s="548"/>
    </row>
    <row r="62" spans="2:7" s="12" customFormat="1" x14ac:dyDescent="0.25">
      <c r="B62" s="547">
        <f t="shared" si="1"/>
        <v>27</v>
      </c>
      <c r="C62" s="548"/>
      <c r="D62" s="548" t="str">
        <f>DESPORC!D44</f>
        <v>Substituição de Servidores P/Serviços Terceiros</v>
      </c>
      <c r="E62" s="551">
        <f>FOPAGLEG!N27</f>
        <v>9914.8850000000002</v>
      </c>
      <c r="F62" s="548"/>
      <c r="G62" s="548"/>
    </row>
    <row r="63" spans="2:7" s="12" customFormat="1" x14ac:dyDescent="0.25">
      <c r="B63" s="547">
        <f t="shared" si="1"/>
        <v>28</v>
      </c>
      <c r="C63" s="548"/>
      <c r="D63" s="548" t="str">
        <f>DESPORC!D45</f>
        <v>Folha Pgtº: Indenizacoes Trabalhistas</v>
      </c>
      <c r="E63" s="551">
        <f>SUM(E64,E65)</f>
        <v>0.02</v>
      </c>
      <c r="F63" s="548"/>
      <c r="G63" s="548"/>
    </row>
    <row r="64" spans="2:7" x14ac:dyDescent="0.25">
      <c r="B64" s="547">
        <f t="shared" si="1"/>
        <v>29</v>
      </c>
      <c r="C64" s="546"/>
      <c r="D64" s="546" t="str">
        <f>DESPORC!D46</f>
        <v>13º Salário - Indenizacoes Trabalhistas</v>
      </c>
      <c r="E64" s="552">
        <v>0.01</v>
      </c>
      <c r="F64" s="546"/>
      <c r="G64" s="546"/>
    </row>
    <row r="65" spans="2:7" x14ac:dyDescent="0.25">
      <c r="B65" s="547">
        <f t="shared" si="1"/>
        <v>30</v>
      </c>
      <c r="C65" s="546"/>
      <c r="D65" s="546" t="str">
        <f>DESPORC!D47</f>
        <v>Férias e 1/3 de Férias - Indenizacoes Trabalhistas</v>
      </c>
      <c r="E65" s="552">
        <v>0.01</v>
      </c>
      <c r="F65" s="546"/>
      <c r="G65" s="546"/>
    </row>
    <row r="66" spans="2:7" s="12" customFormat="1" x14ac:dyDescent="0.25">
      <c r="B66" s="547">
        <f t="shared" si="1"/>
        <v>31</v>
      </c>
      <c r="C66" s="548"/>
      <c r="D66" s="548" t="str">
        <f>DESPORC!D48</f>
        <v>Diarias</v>
      </c>
      <c r="E66" s="551">
        <v>60000</v>
      </c>
      <c r="F66" s="548"/>
      <c r="G66" s="548"/>
    </row>
    <row r="67" spans="2:7" s="12" customFormat="1" x14ac:dyDescent="0.25">
      <c r="B67" s="547">
        <f t="shared" si="1"/>
        <v>32</v>
      </c>
      <c r="C67" s="548"/>
      <c r="D67" s="548" t="str">
        <f>DESPORC!D52</f>
        <v>Material De Consumo</v>
      </c>
      <c r="E67" s="551">
        <v>10000</v>
      </c>
      <c r="F67" s="548"/>
      <c r="G67" s="548"/>
    </row>
    <row r="68" spans="2:7" s="12" customFormat="1" x14ac:dyDescent="0.25">
      <c r="B68" s="547">
        <f t="shared" si="1"/>
        <v>33</v>
      </c>
      <c r="C68" s="548"/>
      <c r="D68" s="548" t="str">
        <f>DESPORC!D60</f>
        <v>Passagens E Despesas Com Locomocao</v>
      </c>
      <c r="E68" s="551">
        <v>15000</v>
      </c>
      <c r="F68" s="548"/>
      <c r="G68" s="548"/>
    </row>
    <row r="69" spans="2:7" s="12" customFormat="1" x14ac:dyDescent="0.25">
      <c r="B69" s="547">
        <f t="shared" si="1"/>
        <v>34</v>
      </c>
      <c r="C69" s="548"/>
      <c r="D69" s="548" t="str">
        <f>DESPORC!D62</f>
        <v>Servicos De Consultoria</v>
      </c>
      <c r="E69" s="551">
        <v>0.01</v>
      </c>
      <c r="F69" s="548"/>
      <c r="G69" s="548"/>
    </row>
    <row r="70" spans="2:7" s="12" customFormat="1" x14ac:dyDescent="0.25">
      <c r="B70" s="547">
        <f t="shared" si="1"/>
        <v>35</v>
      </c>
      <c r="C70" s="548"/>
      <c r="D70" s="548" t="str">
        <f>DESPORC!D63</f>
        <v>Servicos De - Pessoa Fisica</v>
      </c>
      <c r="E70" s="551">
        <v>15000</v>
      </c>
      <c r="F70" s="548"/>
      <c r="G70" s="548"/>
    </row>
    <row r="71" spans="2:7" s="12" customFormat="1" x14ac:dyDescent="0.25">
      <c r="B71" s="547">
        <f t="shared" si="1"/>
        <v>36</v>
      </c>
      <c r="C71" s="548"/>
      <c r="D71" s="548" t="str">
        <f>DESPORC!D66</f>
        <v>Servicos De -Pessoa Juridica</v>
      </c>
      <c r="E71" s="551">
        <v>70000</v>
      </c>
      <c r="F71" s="548"/>
      <c r="G71" s="548"/>
    </row>
    <row r="72" spans="2:7" s="12" customFormat="1" x14ac:dyDescent="0.25">
      <c r="B72" s="547">
        <f t="shared" si="1"/>
        <v>37</v>
      </c>
      <c r="C72" s="548"/>
      <c r="D72" s="548" t="str">
        <f>DESPORC!D78</f>
        <v>Serviços de Tecnologia da Informação e Comunicação - PJ</v>
      </c>
      <c r="E72" s="551">
        <v>50000</v>
      </c>
      <c r="F72" s="548"/>
      <c r="G72" s="548"/>
    </row>
    <row r="73" spans="2:7" s="12" customFormat="1" x14ac:dyDescent="0.25">
      <c r="B73" s="547">
        <f t="shared" si="1"/>
        <v>38</v>
      </c>
      <c r="C73" s="548"/>
      <c r="D73" s="548" t="str">
        <f>DESPORC!D83</f>
        <v>Auxilio - Alimentacao</v>
      </c>
      <c r="E73" s="551">
        <f>SUM(E74)</f>
        <v>14256</v>
      </c>
      <c r="F73" s="548"/>
      <c r="G73" s="548"/>
    </row>
    <row r="74" spans="2:7" x14ac:dyDescent="0.25">
      <c r="B74" s="547">
        <f t="shared" si="1"/>
        <v>39</v>
      </c>
      <c r="C74" s="546"/>
      <c r="D74" s="546" t="str">
        <f>DESPORC!D84</f>
        <v>Auxilio - Alimentacao</v>
      </c>
      <c r="E74" s="552">
        <f>FOPAGLEG!Q27*12</f>
        <v>14256</v>
      </c>
      <c r="F74" s="546"/>
      <c r="G74" s="546"/>
    </row>
    <row r="75" spans="2:7" s="12" customFormat="1" x14ac:dyDescent="0.25">
      <c r="B75" s="547">
        <f t="shared" si="1"/>
        <v>40</v>
      </c>
      <c r="C75" s="548"/>
      <c r="D75" s="548" t="str">
        <f>DESPORC!D85</f>
        <v>Obrigacoes Tributarias E Contributivas</v>
      </c>
      <c r="E75" s="551">
        <f>10000-2059-2179.79</f>
        <v>5761.21</v>
      </c>
      <c r="F75" s="548"/>
      <c r="G75" s="548"/>
    </row>
    <row r="76" spans="2:7" s="12" customFormat="1" x14ac:dyDescent="0.25">
      <c r="B76" s="547">
        <f t="shared" si="1"/>
        <v>41</v>
      </c>
      <c r="C76" s="548"/>
      <c r="D76" s="548" t="str">
        <f>DESPORC!D89</f>
        <v>Despesas de Exercicios Anteriores</v>
      </c>
      <c r="E76" s="551">
        <v>0.01</v>
      </c>
      <c r="F76" s="548"/>
      <c r="G76" s="548"/>
    </row>
    <row r="77" spans="2:7" s="12" customFormat="1" x14ac:dyDescent="0.25">
      <c r="B77" s="547">
        <f t="shared" si="1"/>
        <v>42</v>
      </c>
      <c r="C77" s="548"/>
      <c r="D77" s="548" t="str">
        <f>DESPORC!D90</f>
        <v>Ressarcimento de Despesa</v>
      </c>
      <c r="E77" s="551">
        <f>SUM(E78,E79)</f>
        <v>7781.7597139297213</v>
      </c>
      <c r="F77" s="548"/>
      <c r="G77" s="548"/>
    </row>
    <row r="78" spans="2:7" x14ac:dyDescent="0.25">
      <c r="B78" s="547">
        <f t="shared" si="1"/>
        <v>43</v>
      </c>
      <c r="C78" s="546"/>
      <c r="D78" s="546" t="str">
        <f>DESPORC!D91</f>
        <v>Ressarcimento de Despesas</v>
      </c>
      <c r="E78" s="552">
        <v>5000</v>
      </c>
      <c r="F78" s="546"/>
      <c r="G78" s="546"/>
    </row>
    <row r="79" spans="2:7" x14ac:dyDescent="0.25">
      <c r="B79" s="547">
        <f t="shared" si="1"/>
        <v>44</v>
      </c>
      <c r="C79" s="546"/>
      <c r="D79" s="546" t="str">
        <f>DESPORC!D92</f>
        <v>Gratificação Lei 1068/2017</v>
      </c>
      <c r="E79" s="552">
        <f>(E17*2)*2</f>
        <v>2781.7597139297213</v>
      </c>
      <c r="F79" s="546"/>
      <c r="G79" s="546"/>
    </row>
    <row r="80" spans="2:7" s="12" customFormat="1" x14ac:dyDescent="0.25">
      <c r="B80" s="547">
        <f t="shared" si="1"/>
        <v>45</v>
      </c>
      <c r="C80" s="548"/>
      <c r="D80" s="548" t="str">
        <f>DESPORC!D93</f>
        <v>Obras E Instalacoes</v>
      </c>
      <c r="E80" s="551">
        <v>10000</v>
      </c>
      <c r="F80" s="548"/>
      <c r="G80" s="548"/>
    </row>
    <row r="81" spans="2:7" s="12" customFormat="1" x14ac:dyDescent="0.25">
      <c r="B81" s="547">
        <f t="shared" si="1"/>
        <v>46</v>
      </c>
      <c r="C81" s="548"/>
      <c r="D81" s="548" t="str">
        <f>DESPORC!D94</f>
        <v>Equipamentos E Material Permanente</v>
      </c>
      <c r="E81" s="551">
        <v>20000</v>
      </c>
      <c r="F81" s="548"/>
      <c r="G81" s="548"/>
    </row>
    <row r="82" spans="2:7" s="12" customFormat="1" x14ac:dyDescent="0.25">
      <c r="B82" s="547">
        <f t="shared" si="1"/>
        <v>47</v>
      </c>
      <c r="C82" s="548"/>
      <c r="D82" s="548" t="s">
        <v>6944</v>
      </c>
      <c r="E82" s="551">
        <v>618.9</v>
      </c>
      <c r="F82" s="548"/>
      <c r="G82" s="548"/>
    </row>
    <row r="83" spans="2:7" x14ac:dyDescent="0.25">
      <c r="B83" s="547">
        <f t="shared" si="1"/>
        <v>48</v>
      </c>
      <c r="C83" s="1599" t="s">
        <v>3127</v>
      </c>
      <c r="D83" s="1599"/>
      <c r="E83" s="551">
        <v>16176.55</v>
      </c>
      <c r="F83" s="548"/>
      <c r="G83" s="548"/>
    </row>
    <row r="84" spans="2:7" s="12" customFormat="1" ht="18.75" x14ac:dyDescent="0.3">
      <c r="B84" s="547">
        <f t="shared" ref="B84:B145" si="2">B83+1</f>
        <v>49</v>
      </c>
      <c r="C84" s="247"/>
      <c r="D84" s="1412" t="s">
        <v>2612</v>
      </c>
      <c r="E84" s="248"/>
      <c r="F84" s="248"/>
      <c r="G84" s="248"/>
    </row>
    <row r="85" spans="2:7" s="12" customFormat="1" x14ac:dyDescent="0.25">
      <c r="B85" s="547">
        <f t="shared" si="2"/>
        <v>50</v>
      </c>
      <c r="C85" s="247"/>
      <c r="D85" s="247" t="s">
        <v>3114</v>
      </c>
      <c r="E85" s="249">
        <f>MA!E35+1.5%</f>
        <v>8.7185468260869578E-2</v>
      </c>
      <c r="F85" s="249">
        <f>F10</f>
        <v>4.8799999999999996E-2</v>
      </c>
      <c r="G85" s="249">
        <f>G10</f>
        <v>4.3800000000000006E-2</v>
      </c>
    </row>
    <row r="86" spans="2:7" x14ac:dyDescent="0.25">
      <c r="B86" s="547">
        <f t="shared" si="2"/>
        <v>51</v>
      </c>
      <c r="C86" s="247"/>
      <c r="D86" s="247" t="s">
        <v>2603</v>
      </c>
      <c r="E86" s="249">
        <v>0</v>
      </c>
      <c r="F86" s="249">
        <f t="shared" ref="F86:G91" si="3">E86*(1+E$10)</f>
        <v>0</v>
      </c>
      <c r="G86" s="249">
        <f t="shared" si="3"/>
        <v>0</v>
      </c>
    </row>
    <row r="87" spans="2:7" x14ac:dyDescent="0.25">
      <c r="B87" s="547">
        <f t="shared" si="2"/>
        <v>52</v>
      </c>
      <c r="C87" s="247"/>
      <c r="D87" s="247" t="s">
        <v>2604</v>
      </c>
      <c r="E87" s="249">
        <f>IF(CIG!D41=0,"0,00%",((((CIG!D41/CIG!E41)-1)))+(((CIG!G41/CIG!E41)-1))/2)+10.23%+5%</f>
        <v>4.9988176586301405E-2</v>
      </c>
      <c r="F87" s="249">
        <f t="shared" si="3"/>
        <v>5.2592560586447713E-2</v>
      </c>
      <c r="G87" s="249">
        <f t="shared" si="3"/>
        <v>5.5159077543066357E-2</v>
      </c>
    </row>
    <row r="88" spans="2:7" x14ac:dyDescent="0.25">
      <c r="B88" s="547">
        <f t="shared" si="2"/>
        <v>53</v>
      </c>
      <c r="C88" s="247"/>
      <c r="D88" s="247" t="s">
        <v>2619</v>
      </c>
      <c r="E88" s="251" t="str">
        <f>IF(CIG!D44=0,"0,00%",((((CIG!D44/CIG!E44)-1)))+(((CIG!G44/CIG!E44)-1))/2)</f>
        <v>0,00%</v>
      </c>
      <c r="F88" s="249">
        <f t="shared" si="3"/>
        <v>0</v>
      </c>
      <c r="G88" s="249">
        <f t="shared" si="3"/>
        <v>0</v>
      </c>
    </row>
    <row r="89" spans="2:7" x14ac:dyDescent="0.25">
      <c r="B89" s="547">
        <f t="shared" si="2"/>
        <v>54</v>
      </c>
      <c r="C89" s="247"/>
      <c r="D89" s="247" t="s">
        <v>2611</v>
      </c>
      <c r="E89" s="251">
        <f>IF(CIG!D46=0,"0,00%",((((CIG!D46/CIG!E46)-1)))+(((CIG!G46/CIG!E46)-1))/2)</f>
        <v>-1.4598530882556915E-2</v>
      </c>
      <c r="F89" s="249">
        <f t="shared" si="3"/>
        <v>-1.5359114341538131E-2</v>
      </c>
      <c r="G89" s="249">
        <f t="shared" si="3"/>
        <v>-1.6108639121405192E-2</v>
      </c>
    </row>
    <row r="90" spans="2:7" x14ac:dyDescent="0.25">
      <c r="B90" s="547">
        <f t="shared" si="2"/>
        <v>55</v>
      </c>
      <c r="C90" s="247"/>
      <c r="D90" s="247" t="s">
        <v>2610</v>
      </c>
      <c r="E90" s="251">
        <f>IF(CIG!D50=0,"0,00%",((((CIG!D50/CIG!E50)-1)))+(((CIG!G50/CIG!E50)-1))/2)</f>
        <v>-0.22130477823654959</v>
      </c>
      <c r="F90" s="249">
        <f t="shared" si="3"/>
        <v>-0.23283475718267382</v>
      </c>
      <c r="G90" s="249">
        <f t="shared" si="3"/>
        <v>-0.24419709333318829</v>
      </c>
    </row>
    <row r="91" spans="2:7" x14ac:dyDescent="0.25">
      <c r="B91" s="547">
        <f t="shared" si="2"/>
        <v>56</v>
      </c>
      <c r="C91" s="247"/>
      <c r="D91" s="247" t="s">
        <v>2620</v>
      </c>
      <c r="E91" s="251" t="str">
        <f>IF(CIG!D55=0,"0,00%",((((CIG!D55/CIG!E55)-1)))+(((CIG!G55/CIG!E55)-1))/2)</f>
        <v>0,00%</v>
      </c>
      <c r="F91" s="249">
        <f t="shared" si="3"/>
        <v>0</v>
      </c>
      <c r="G91" s="249">
        <f t="shared" si="3"/>
        <v>0</v>
      </c>
    </row>
    <row r="92" spans="2:7" x14ac:dyDescent="0.25">
      <c r="B92" s="547">
        <f t="shared" si="2"/>
        <v>57</v>
      </c>
      <c r="C92" s="247"/>
      <c r="D92" s="247" t="s">
        <v>2615</v>
      </c>
      <c r="E92" s="250">
        <v>0.21</v>
      </c>
      <c r="F92" s="250">
        <v>0.221502</v>
      </c>
      <c r="G92" s="250">
        <v>0.221502</v>
      </c>
    </row>
    <row r="93" spans="2:7" x14ac:dyDescent="0.25">
      <c r="B93" s="547">
        <f t="shared" si="2"/>
        <v>58</v>
      </c>
      <c r="C93" s="247"/>
      <c r="D93" s="247" t="s">
        <v>2614</v>
      </c>
      <c r="E93" s="249">
        <v>0.2</v>
      </c>
      <c r="F93" s="249">
        <v>0.2</v>
      </c>
      <c r="G93" s="249">
        <v>0.2</v>
      </c>
    </row>
    <row r="94" spans="2:7" x14ac:dyDescent="0.25">
      <c r="B94" s="547">
        <f t="shared" si="2"/>
        <v>59</v>
      </c>
      <c r="C94" s="247"/>
      <c r="D94" s="247" t="s">
        <v>2613</v>
      </c>
      <c r="E94" s="249">
        <f>18.14%-6.6%</f>
        <v>0.1154</v>
      </c>
      <c r="F94" s="249">
        <v>0.1154</v>
      </c>
      <c r="G94" s="249">
        <v>0.1154</v>
      </c>
    </row>
    <row r="95" spans="2:7" x14ac:dyDescent="0.25">
      <c r="B95" s="547">
        <f t="shared" si="2"/>
        <v>60</v>
      </c>
      <c r="C95" s="247"/>
      <c r="D95" s="247" t="s">
        <v>2616</v>
      </c>
      <c r="E95" s="529">
        <f>'FOPAG EXEC.'!N18</f>
        <v>10060.263197503673</v>
      </c>
      <c r="F95" s="529">
        <f t="shared" ref="F95:G97" si="4">E95</f>
        <v>10060.263197503673</v>
      </c>
      <c r="G95" s="529">
        <f t="shared" si="4"/>
        <v>10060.263197503673</v>
      </c>
    </row>
    <row r="96" spans="2:7" x14ac:dyDescent="0.25">
      <c r="B96" s="547">
        <f t="shared" si="2"/>
        <v>61</v>
      </c>
      <c r="C96" s="247"/>
      <c r="D96" s="247" t="s">
        <v>2617</v>
      </c>
      <c r="E96" s="529">
        <f>'FOPAG EXEC.'!N28</f>
        <v>5030.1315987518365</v>
      </c>
      <c r="F96" s="529">
        <f t="shared" si="4"/>
        <v>5030.1315987518365</v>
      </c>
      <c r="G96" s="529">
        <f t="shared" si="4"/>
        <v>5030.1315987518365</v>
      </c>
    </row>
    <row r="97" spans="2:7" x14ac:dyDescent="0.25">
      <c r="B97" s="547">
        <f t="shared" si="2"/>
        <v>62</v>
      </c>
      <c r="C97" s="247"/>
      <c r="D97" s="247" t="s">
        <v>2618</v>
      </c>
      <c r="E97" s="529">
        <f>'FOPAG EXEC.'!N99</f>
        <v>4760.1000000000004</v>
      </c>
      <c r="F97" s="529">
        <f t="shared" si="4"/>
        <v>4760.1000000000004</v>
      </c>
      <c r="G97" s="529">
        <f t="shared" si="4"/>
        <v>4760.1000000000004</v>
      </c>
    </row>
    <row r="98" spans="2:7" s="1411" customFormat="1" ht="21" x14ac:dyDescent="0.35">
      <c r="B98" s="1407">
        <f t="shared" si="2"/>
        <v>63</v>
      </c>
      <c r="C98" s="1408"/>
      <c r="D98" s="1409" t="s">
        <v>3133</v>
      </c>
      <c r="E98" s="1410"/>
      <c r="F98" s="1410"/>
      <c r="G98" s="1410"/>
    </row>
    <row r="99" spans="2:7" x14ac:dyDescent="0.25">
      <c r="B99" s="547">
        <f t="shared" si="2"/>
        <v>64</v>
      </c>
      <c r="C99" s="574"/>
      <c r="D99" s="252" t="s">
        <v>3134</v>
      </c>
      <c r="E99" s="574"/>
      <c r="F99" s="574"/>
      <c r="G99" s="574"/>
    </row>
    <row r="100" spans="2:7" x14ac:dyDescent="0.25">
      <c r="B100" s="547">
        <f t="shared" si="2"/>
        <v>65</v>
      </c>
      <c r="C100" s="575" t="s">
        <v>4206</v>
      </c>
      <c r="D100" s="575" t="str">
        <f>DESPORC!D112</f>
        <v>REALIZAÇÃO DE NOVOS INVESTIMENTOS</v>
      </c>
      <c r="E100" s="575"/>
      <c r="F100" s="574"/>
      <c r="G100" s="574"/>
    </row>
    <row r="101" spans="2:7" x14ac:dyDescent="0.25">
      <c r="B101" s="547">
        <f t="shared" si="2"/>
        <v>66</v>
      </c>
      <c r="C101" s="575"/>
      <c r="D101" s="575" t="str">
        <f>DESPORC!D113</f>
        <v>Custo de Aquis.: Obrigacoes Tributarias e Contributivas</v>
      </c>
      <c r="E101" s="576">
        <f>(SUM(E105,E107,E103)*(E$29))</f>
        <v>6.0000000000000001E-3</v>
      </c>
      <c r="F101" s="576">
        <f t="shared" ref="F101:G111" si="5">E101*(1+F$10)</f>
        <v>6.2927999999999994E-3</v>
      </c>
      <c r="G101" s="576">
        <f t="shared" si="5"/>
        <v>6.5684246399999998E-3</v>
      </c>
    </row>
    <row r="102" spans="2:7" x14ac:dyDescent="0.25">
      <c r="B102" s="547">
        <f t="shared" si="2"/>
        <v>67</v>
      </c>
      <c r="C102" s="575"/>
      <c r="D102" s="575" t="str">
        <f>DESPORC!D114</f>
        <v>Custo de Aquis.:Material De Consumo</v>
      </c>
      <c r="E102" s="576">
        <f>SUM(E103,E104)</f>
        <v>0.02</v>
      </c>
      <c r="F102" s="576">
        <f t="shared" si="5"/>
        <v>2.0975999999999998E-2</v>
      </c>
      <c r="G102" s="576">
        <f t="shared" si="5"/>
        <v>2.1894748799999999E-2</v>
      </c>
    </row>
    <row r="103" spans="2:7" x14ac:dyDescent="0.25">
      <c r="B103" s="547">
        <f t="shared" si="2"/>
        <v>68</v>
      </c>
      <c r="C103" s="574"/>
      <c r="D103" s="574" t="s">
        <v>3083</v>
      </c>
      <c r="E103" s="577">
        <v>0.01</v>
      </c>
      <c r="F103" s="578">
        <f t="shared" si="5"/>
        <v>1.0487999999999999E-2</v>
      </c>
      <c r="G103" s="578">
        <f t="shared" si="5"/>
        <v>1.0947374399999999E-2</v>
      </c>
    </row>
    <row r="104" spans="2:7" x14ac:dyDescent="0.25">
      <c r="B104" s="547">
        <f t="shared" si="2"/>
        <v>69</v>
      </c>
      <c r="C104" s="574"/>
      <c r="D104" s="574" t="s">
        <v>3085</v>
      </c>
      <c r="E104" s="577">
        <v>0.01</v>
      </c>
      <c r="F104" s="578">
        <f t="shared" si="5"/>
        <v>1.0487999999999999E-2</v>
      </c>
      <c r="G104" s="578">
        <f t="shared" si="5"/>
        <v>1.0947374399999999E-2</v>
      </c>
    </row>
    <row r="105" spans="2:7" x14ac:dyDescent="0.25">
      <c r="B105" s="547">
        <f t="shared" si="2"/>
        <v>70</v>
      </c>
      <c r="C105" s="575"/>
      <c r="D105" s="575" t="str">
        <f>DESPORC!D115</f>
        <v>Custo de Aquis.: Servicos - Pessoa Fisica</v>
      </c>
      <c r="E105" s="576">
        <v>0.01</v>
      </c>
      <c r="F105" s="576">
        <f t="shared" si="5"/>
        <v>1.0487999999999999E-2</v>
      </c>
      <c r="G105" s="576">
        <f t="shared" si="5"/>
        <v>1.0947374399999999E-2</v>
      </c>
    </row>
    <row r="106" spans="2:7" x14ac:dyDescent="0.25">
      <c r="B106" s="547">
        <f t="shared" si="2"/>
        <v>71</v>
      </c>
      <c r="C106" s="575"/>
      <c r="D106" s="575" t="str">
        <f>DESPORC!D116</f>
        <v>Custo de Aquis.:Serviços - Pessoa Juridica</v>
      </c>
      <c r="E106" s="576">
        <f>SUM(E107,E108)</f>
        <v>0.02</v>
      </c>
      <c r="F106" s="576">
        <f t="shared" si="5"/>
        <v>2.0975999999999998E-2</v>
      </c>
      <c r="G106" s="576">
        <f t="shared" si="5"/>
        <v>2.1894748799999999E-2</v>
      </c>
    </row>
    <row r="107" spans="2:7" x14ac:dyDescent="0.25">
      <c r="B107" s="547">
        <f t="shared" si="2"/>
        <v>72</v>
      </c>
      <c r="C107" s="574"/>
      <c r="D107" s="574" t="s">
        <v>3081</v>
      </c>
      <c r="E107" s="577">
        <v>0.01</v>
      </c>
      <c r="F107" s="578">
        <f t="shared" si="5"/>
        <v>1.0487999999999999E-2</v>
      </c>
      <c r="G107" s="578">
        <f t="shared" si="5"/>
        <v>1.0947374399999999E-2</v>
      </c>
    </row>
    <row r="108" spans="2:7" x14ac:dyDescent="0.25">
      <c r="B108" s="547">
        <f t="shared" si="2"/>
        <v>73</v>
      </c>
      <c r="C108" s="574"/>
      <c r="D108" s="574" t="s">
        <v>3082</v>
      </c>
      <c r="E108" s="577">
        <v>0.01</v>
      </c>
      <c r="F108" s="578">
        <f t="shared" si="5"/>
        <v>1.0487999999999999E-2</v>
      </c>
      <c r="G108" s="578">
        <f t="shared" si="5"/>
        <v>1.0947374399999999E-2</v>
      </c>
    </row>
    <row r="109" spans="2:7" x14ac:dyDescent="0.25">
      <c r="B109" s="547">
        <f t="shared" si="2"/>
        <v>74</v>
      </c>
      <c r="C109" s="575"/>
      <c r="D109" s="575" t="str">
        <f>DESPORC!D117</f>
        <v>Custo de Aquis.:Obras e Instalacoes</v>
      </c>
      <c r="E109" s="576">
        <f>E110</f>
        <v>0.01</v>
      </c>
      <c r="F109" s="576">
        <f t="shared" si="5"/>
        <v>1.0487999999999999E-2</v>
      </c>
      <c r="G109" s="576">
        <f t="shared" si="5"/>
        <v>1.0947374399999999E-2</v>
      </c>
    </row>
    <row r="110" spans="2:7" x14ac:dyDescent="0.25">
      <c r="B110" s="547">
        <f t="shared" si="2"/>
        <v>75</v>
      </c>
      <c r="C110" s="574"/>
      <c r="D110" s="574" t="s">
        <v>3126</v>
      </c>
      <c r="E110" s="577">
        <v>0.01</v>
      </c>
      <c r="F110" s="578">
        <f t="shared" si="5"/>
        <v>1.0487999999999999E-2</v>
      </c>
      <c r="G110" s="578">
        <f t="shared" si="5"/>
        <v>1.0947374399999999E-2</v>
      </c>
    </row>
    <row r="111" spans="2:7" x14ac:dyDescent="0.25">
      <c r="B111" s="547">
        <f t="shared" si="2"/>
        <v>76</v>
      </c>
      <c r="C111" s="575"/>
      <c r="D111" s="575" t="str">
        <f>DESPORC!D118</f>
        <v>Custo de Aquis.: Equipamentos e Material Permanente</v>
      </c>
      <c r="E111" s="576">
        <v>0.01</v>
      </c>
      <c r="F111" s="576">
        <f t="shared" si="5"/>
        <v>1.0487999999999999E-2</v>
      </c>
      <c r="G111" s="576">
        <f t="shared" si="5"/>
        <v>1.0947374399999999E-2</v>
      </c>
    </row>
    <row r="112" spans="2:7" x14ac:dyDescent="0.25">
      <c r="B112" s="547">
        <f t="shared" si="2"/>
        <v>77</v>
      </c>
      <c r="C112" s="579" t="s">
        <v>4207</v>
      </c>
      <c r="D112" s="579" t="str">
        <f>DESPORC!D122</f>
        <v>NOVOS INVESTIMENTOS EM PROTEÇÃO E SEGURANÇA</v>
      </c>
      <c r="E112" s="579"/>
      <c r="F112" s="581"/>
      <c r="G112" s="581"/>
    </row>
    <row r="113" spans="2:7" x14ac:dyDescent="0.25">
      <c r="B113" s="547">
        <f t="shared" si="2"/>
        <v>78</v>
      </c>
      <c r="C113" s="575"/>
      <c r="D113" s="575" t="str">
        <f>DESPORC!D123</f>
        <v>Conselho Tut.: Obrig Trib. e Contributivas</v>
      </c>
      <c r="E113" s="576">
        <f>(SUM(E117,E119,E115)*(E$29))</f>
        <v>6.0000000000000001E-3</v>
      </c>
      <c r="F113" s="576">
        <f t="shared" ref="F113:G124" si="6">E113*(1+F$10)</f>
        <v>6.2927999999999994E-3</v>
      </c>
      <c r="G113" s="576">
        <f t="shared" si="6"/>
        <v>6.5684246399999998E-3</v>
      </c>
    </row>
    <row r="114" spans="2:7" x14ac:dyDescent="0.25">
      <c r="B114" s="547">
        <f t="shared" si="2"/>
        <v>79</v>
      </c>
      <c r="C114" s="575"/>
      <c r="D114" s="575" t="str">
        <f>DESPORC!D124</f>
        <v>Conselho Tut.: Material de Consumo</v>
      </c>
      <c r="E114" s="576">
        <f>SUM(E115,E116)</f>
        <v>0.02</v>
      </c>
      <c r="F114" s="576">
        <f t="shared" si="6"/>
        <v>2.0975999999999998E-2</v>
      </c>
      <c r="G114" s="576">
        <f t="shared" si="6"/>
        <v>2.1894748799999999E-2</v>
      </c>
    </row>
    <row r="115" spans="2:7" x14ac:dyDescent="0.25">
      <c r="B115" s="547">
        <f t="shared" si="2"/>
        <v>80</v>
      </c>
      <c r="C115" s="574"/>
      <c r="D115" s="574" t="s">
        <v>3083</v>
      </c>
      <c r="E115" s="577">
        <v>0.01</v>
      </c>
      <c r="F115" s="578">
        <f t="shared" si="6"/>
        <v>1.0487999999999999E-2</v>
      </c>
      <c r="G115" s="578">
        <f t="shared" si="6"/>
        <v>1.0947374399999999E-2</v>
      </c>
    </row>
    <row r="116" spans="2:7" x14ac:dyDescent="0.25">
      <c r="B116" s="547">
        <f t="shared" si="2"/>
        <v>81</v>
      </c>
      <c r="C116" s="574"/>
      <c r="D116" s="574" t="s">
        <v>3085</v>
      </c>
      <c r="E116" s="577">
        <v>0.01</v>
      </c>
      <c r="F116" s="578">
        <f t="shared" si="6"/>
        <v>1.0487999999999999E-2</v>
      </c>
      <c r="G116" s="578">
        <f t="shared" si="6"/>
        <v>1.0947374399999999E-2</v>
      </c>
    </row>
    <row r="117" spans="2:7" x14ac:dyDescent="0.25">
      <c r="B117" s="547">
        <f t="shared" si="2"/>
        <v>82</v>
      </c>
      <c r="C117" s="575"/>
      <c r="D117" s="575" t="str">
        <f>DESPORC!D125</f>
        <v>Conselho Tut.: Prest. de Serv. P. Física</v>
      </c>
      <c r="E117" s="576">
        <v>0.01</v>
      </c>
      <c r="F117" s="576">
        <f t="shared" si="6"/>
        <v>1.0487999999999999E-2</v>
      </c>
      <c r="G117" s="576">
        <f t="shared" si="6"/>
        <v>1.0947374399999999E-2</v>
      </c>
    </row>
    <row r="118" spans="2:7" x14ac:dyDescent="0.25">
      <c r="B118" s="547">
        <f t="shared" si="2"/>
        <v>83</v>
      </c>
      <c r="C118" s="575"/>
      <c r="D118" s="575" t="str">
        <f>DESPORC!D126</f>
        <v>Conselho Tut.: Prest. de Serv. P. Jurídica</v>
      </c>
      <c r="E118" s="576">
        <f>SUM(E119,E120)</f>
        <v>0.02</v>
      </c>
      <c r="F118" s="576">
        <f t="shared" si="6"/>
        <v>2.0975999999999998E-2</v>
      </c>
      <c r="G118" s="576">
        <f t="shared" si="6"/>
        <v>2.1894748799999999E-2</v>
      </c>
    </row>
    <row r="119" spans="2:7" x14ac:dyDescent="0.25">
      <c r="B119" s="547">
        <f t="shared" si="2"/>
        <v>84</v>
      </c>
      <c r="C119" s="574"/>
      <c r="D119" s="574" t="s">
        <v>3081</v>
      </c>
      <c r="E119" s="577">
        <v>0.01</v>
      </c>
      <c r="F119" s="578">
        <f t="shared" si="6"/>
        <v>1.0487999999999999E-2</v>
      </c>
      <c r="G119" s="578">
        <f t="shared" si="6"/>
        <v>1.0947374399999999E-2</v>
      </c>
    </row>
    <row r="120" spans="2:7" x14ac:dyDescent="0.25">
      <c r="B120" s="547">
        <f t="shared" si="2"/>
        <v>85</v>
      </c>
      <c r="C120" s="574"/>
      <c r="D120" s="574" t="s">
        <v>3082</v>
      </c>
      <c r="E120" s="577">
        <v>0.01</v>
      </c>
      <c r="F120" s="578">
        <f t="shared" si="6"/>
        <v>1.0487999999999999E-2</v>
      </c>
      <c r="G120" s="578">
        <f t="shared" si="6"/>
        <v>1.0947374399999999E-2</v>
      </c>
    </row>
    <row r="121" spans="2:7" x14ac:dyDescent="0.25">
      <c r="B121" s="547">
        <f t="shared" si="2"/>
        <v>86</v>
      </c>
      <c r="C121" s="575"/>
      <c r="D121" s="575" t="str">
        <f>DESPORC!D127</f>
        <v>Conselho Tut.: Obras e Instalações</v>
      </c>
      <c r="E121" s="576">
        <f>E122</f>
        <v>0.01</v>
      </c>
      <c r="F121" s="576">
        <f t="shared" si="6"/>
        <v>1.0487999999999999E-2</v>
      </c>
      <c r="G121" s="576">
        <f t="shared" si="6"/>
        <v>1.0947374399999999E-2</v>
      </c>
    </row>
    <row r="122" spans="2:7" x14ac:dyDescent="0.25">
      <c r="B122" s="547">
        <f t="shared" si="2"/>
        <v>87</v>
      </c>
      <c r="C122" s="574"/>
      <c r="D122" s="574" t="s">
        <v>3126</v>
      </c>
      <c r="E122" s="577">
        <v>0.01</v>
      </c>
      <c r="F122" s="578">
        <f>E122*(1+F$10)</f>
        <v>1.0487999999999999E-2</v>
      </c>
      <c r="G122" s="578">
        <f>F122*(1+G$10)</f>
        <v>1.0947374399999999E-2</v>
      </c>
    </row>
    <row r="123" spans="2:7" x14ac:dyDescent="0.25">
      <c r="B123" s="547">
        <f t="shared" si="2"/>
        <v>88</v>
      </c>
      <c r="C123" s="575"/>
      <c r="D123" s="575" t="str">
        <f>DESPORC!D128</f>
        <v>Conselho Tut.: Equipamentos e Mat. Permanente</v>
      </c>
      <c r="E123" s="576">
        <v>0.01</v>
      </c>
      <c r="F123" s="576">
        <f t="shared" si="6"/>
        <v>1.0487999999999999E-2</v>
      </c>
      <c r="G123" s="576">
        <f t="shared" si="6"/>
        <v>1.0947374399999999E-2</v>
      </c>
    </row>
    <row r="124" spans="2:7" ht="15.75" x14ac:dyDescent="0.25">
      <c r="B124" s="547">
        <f t="shared" si="2"/>
        <v>89</v>
      </c>
      <c r="C124" s="575"/>
      <c r="D124" s="632" t="s">
        <v>5725</v>
      </c>
      <c r="E124" s="576">
        <v>0.01</v>
      </c>
      <c r="F124" s="576">
        <f t="shared" si="6"/>
        <v>1.0487999999999999E-2</v>
      </c>
      <c r="G124" s="576">
        <f t="shared" si="6"/>
        <v>1.0947374399999999E-2</v>
      </c>
    </row>
    <row r="125" spans="2:7" x14ac:dyDescent="0.25">
      <c r="B125" s="547">
        <f t="shared" si="2"/>
        <v>90</v>
      </c>
      <c r="C125" s="579" t="s">
        <v>4207</v>
      </c>
      <c r="D125" s="579" t="str">
        <f>DESPORC!D133</f>
        <v>NOVOS INVESTIMENTOS EM PROTEÇÃO E SEGURANÇA</v>
      </c>
      <c r="E125" s="579"/>
      <c r="F125" s="581"/>
      <c r="G125" s="581"/>
    </row>
    <row r="126" spans="2:7" ht="15.75" x14ac:dyDescent="0.25">
      <c r="B126" s="547">
        <f t="shared" si="2"/>
        <v>91</v>
      </c>
      <c r="D126" s="625" t="s">
        <v>5677</v>
      </c>
      <c r="E126" s="26">
        <v>0.01</v>
      </c>
      <c r="F126" s="26">
        <f>E126*(1+F$10)</f>
        <v>1.0487999999999999E-2</v>
      </c>
      <c r="G126" s="26">
        <f>F126*(1+G$10)</f>
        <v>1.0947374399999999E-2</v>
      </c>
    </row>
    <row r="127" spans="2:7" ht="15.75" x14ac:dyDescent="0.25">
      <c r="B127" s="547">
        <f t="shared" si="2"/>
        <v>92</v>
      </c>
      <c r="D127" s="625" t="s">
        <v>5678</v>
      </c>
      <c r="E127" s="26">
        <v>0.01</v>
      </c>
      <c r="F127" s="26">
        <f t="shared" ref="F127:G127" si="7">E127*(1+F$10)</f>
        <v>1.0487999999999999E-2</v>
      </c>
      <c r="G127" s="26">
        <f t="shared" si="7"/>
        <v>1.0947374399999999E-2</v>
      </c>
    </row>
    <row r="128" spans="2:7" ht="15.75" x14ac:dyDescent="0.25">
      <c r="B128" s="547">
        <f t="shared" si="2"/>
        <v>93</v>
      </c>
      <c r="D128" s="625" t="s">
        <v>5679</v>
      </c>
      <c r="E128" s="26">
        <v>0.01</v>
      </c>
      <c r="F128" s="26">
        <f t="shared" ref="F128:G128" si="8">E128*(1+F$10)</f>
        <v>1.0487999999999999E-2</v>
      </c>
      <c r="G128" s="26">
        <f t="shared" si="8"/>
        <v>1.0947374399999999E-2</v>
      </c>
    </row>
    <row r="129" spans="2:7" ht="15.75" x14ac:dyDescent="0.25">
      <c r="B129" s="547">
        <f t="shared" si="2"/>
        <v>94</v>
      </c>
      <c r="D129" s="625" t="s">
        <v>5680</v>
      </c>
      <c r="E129" s="26">
        <v>0.01</v>
      </c>
      <c r="F129" s="26">
        <f t="shared" ref="F129:G129" si="9">E129*(1+F$10)</f>
        <v>1.0487999999999999E-2</v>
      </c>
      <c r="G129" s="26">
        <f t="shared" si="9"/>
        <v>1.0947374399999999E-2</v>
      </c>
    </row>
    <row r="130" spans="2:7" ht="15.75" x14ac:dyDescent="0.25">
      <c r="B130" s="547">
        <f t="shared" si="2"/>
        <v>95</v>
      </c>
      <c r="D130" s="625" t="s">
        <v>5681</v>
      </c>
      <c r="E130" s="26">
        <v>0.01</v>
      </c>
      <c r="F130" s="26">
        <f t="shared" ref="F130:G130" si="10">E130*(1+F$10)</f>
        <v>1.0487999999999999E-2</v>
      </c>
      <c r="G130" s="26">
        <f t="shared" si="10"/>
        <v>1.0947374399999999E-2</v>
      </c>
    </row>
    <row r="131" spans="2:7" ht="15.75" x14ac:dyDescent="0.25">
      <c r="B131" s="547">
        <f t="shared" si="2"/>
        <v>96</v>
      </c>
      <c r="D131" s="625" t="s">
        <v>5682</v>
      </c>
      <c r="E131" s="26">
        <v>0.01</v>
      </c>
      <c r="F131" s="26">
        <f t="shared" ref="F131:G131" si="11">E131*(1+F$10)</f>
        <v>1.0487999999999999E-2</v>
      </c>
      <c r="G131" s="26">
        <f t="shared" si="11"/>
        <v>1.0947374399999999E-2</v>
      </c>
    </row>
    <row r="132" spans="2:7" x14ac:dyDescent="0.25">
      <c r="B132" s="547">
        <f t="shared" si="2"/>
        <v>97</v>
      </c>
      <c r="C132" s="579" t="s">
        <v>3074</v>
      </c>
      <c r="D132" s="579" t="str">
        <f>DESPORC!D143</f>
        <v xml:space="preserve">GESTÃO , APOIO E MANUTENÇÃO , COORDENAÇÃO E PLANEJAMENTO </v>
      </c>
      <c r="E132" s="580"/>
      <c r="F132" s="581"/>
      <c r="G132" s="581"/>
    </row>
    <row r="133" spans="2:7" x14ac:dyDescent="0.25">
      <c r="B133" s="547">
        <f t="shared" si="2"/>
        <v>98</v>
      </c>
      <c r="C133" s="579"/>
      <c r="D133" s="579" t="str">
        <f>DESPORC!D144</f>
        <v>GEST. GAB. PREFEITO: RATEIO PELA PARTICIPAÇÃO EM CONSÓRCIO PÚBLICO</v>
      </c>
      <c r="E133" s="580">
        <f>SUM(E134,E135,E136)</f>
        <v>541.76666666666665</v>
      </c>
      <c r="F133" s="581"/>
      <c r="G133" s="581"/>
    </row>
    <row r="134" spans="2:7" x14ac:dyDescent="0.25">
      <c r="B134" s="547">
        <f t="shared" si="2"/>
        <v>99</v>
      </c>
      <c r="C134" s="573"/>
      <c r="D134" s="573" t="str">
        <f>DESPORC!D145</f>
        <v>Transferencias  A Consórcios Públicos: Rateio Contrato 006-2017</v>
      </c>
      <c r="E134" s="529">
        <v>540.1</v>
      </c>
      <c r="F134" s="573"/>
      <c r="G134" s="573"/>
    </row>
    <row r="135" spans="2:7" s="12" customFormat="1" x14ac:dyDescent="0.25">
      <c r="B135" s="547">
        <f t="shared" si="2"/>
        <v>100</v>
      </c>
      <c r="C135" s="579"/>
      <c r="D135" s="579" t="str">
        <f>DESPORC!D146</f>
        <v>GEST. GAB. PREFEITO: Folha Pgtoº: Servidor Contratado: Venc e Prev</v>
      </c>
      <c r="E135" s="583">
        <f>SUM(E136,E137,E138)</f>
        <v>1.1666666666666665</v>
      </c>
      <c r="F135" s="579"/>
      <c r="G135" s="579"/>
    </row>
    <row r="136" spans="2:7" s="12" customFormat="1" x14ac:dyDescent="0.25">
      <c r="B136" s="547">
        <f t="shared" si="2"/>
        <v>101</v>
      </c>
      <c r="C136" s="546"/>
      <c r="D136" s="546" t="s">
        <v>3075</v>
      </c>
      <c r="E136" s="552">
        <v>0.5</v>
      </c>
      <c r="F136" s="548"/>
      <c r="G136" s="548"/>
    </row>
    <row r="137" spans="2:7" x14ac:dyDescent="0.25">
      <c r="B137" s="547">
        <f t="shared" si="2"/>
        <v>102</v>
      </c>
      <c r="C137" s="546"/>
      <c r="D137" s="546" t="s">
        <v>3116</v>
      </c>
      <c r="E137" s="552">
        <f>E136/3</f>
        <v>0.16666666666666666</v>
      </c>
      <c r="F137" s="546"/>
      <c r="G137" s="546"/>
    </row>
    <row r="138" spans="2:7" x14ac:dyDescent="0.25">
      <c r="B138" s="547">
        <f t="shared" si="2"/>
        <v>103</v>
      </c>
      <c r="C138" s="546"/>
      <c r="D138" s="546" t="s">
        <v>2991</v>
      </c>
      <c r="E138" s="552">
        <f>E136</f>
        <v>0.5</v>
      </c>
      <c r="F138" s="546"/>
      <c r="G138" s="546"/>
    </row>
    <row r="139" spans="2:7" s="12" customFormat="1" x14ac:dyDescent="0.25">
      <c r="B139" s="547">
        <f t="shared" si="2"/>
        <v>104</v>
      </c>
      <c r="C139" s="579"/>
      <c r="D139" s="579" t="str">
        <f>DESPORC!D149</f>
        <v>GEST. GAB. PREFEITO: Folha Pgtoº: Serv Efet. C.C. e Ag. Polit</v>
      </c>
      <c r="E139" s="579"/>
      <c r="F139" s="579"/>
      <c r="G139" s="579"/>
    </row>
    <row r="140" spans="2:7" x14ac:dyDescent="0.25">
      <c r="B140" s="547">
        <f t="shared" si="2"/>
        <v>105</v>
      </c>
      <c r="C140" s="546"/>
      <c r="D140" s="546" t="str">
        <f>DESPORC!D150</f>
        <v>Subsídios Prefeito Municipal</v>
      </c>
      <c r="E140" s="584">
        <f>'FOPAG EXEC.'!E221</f>
        <v>10937.370211496256</v>
      </c>
      <c r="F140" s="546"/>
      <c r="G140" s="546"/>
    </row>
    <row r="141" spans="2:7" x14ac:dyDescent="0.25">
      <c r="B141" s="547">
        <f t="shared" si="2"/>
        <v>106</v>
      </c>
      <c r="C141" s="546"/>
      <c r="D141" s="546" t="str">
        <f>DESPORC!D151</f>
        <v>Vencimentos Servidores C.C.</v>
      </c>
      <c r="E141" s="584">
        <f>'FOPAG EXEC.'!E222</f>
        <v>10779.31728688669</v>
      </c>
      <c r="F141" s="546"/>
      <c r="G141" s="546"/>
    </row>
    <row r="142" spans="2:7" x14ac:dyDescent="0.25">
      <c r="B142" s="547">
        <f t="shared" si="2"/>
        <v>107</v>
      </c>
      <c r="C142" s="546"/>
      <c r="D142" s="546" t="str">
        <f>DESPORC!D152</f>
        <v>13º Salário Prefeito Municipal</v>
      </c>
      <c r="E142" s="584">
        <f>'FOPAG EXEC.'!E226</f>
        <v>10937.370211496256</v>
      </c>
      <c r="F142" s="546"/>
      <c r="G142" s="546"/>
    </row>
    <row r="143" spans="2:7" x14ac:dyDescent="0.25">
      <c r="B143" s="547">
        <f t="shared" si="2"/>
        <v>108</v>
      </c>
      <c r="C143" s="546"/>
      <c r="D143" s="546" t="str">
        <f>DESPORC!D153</f>
        <v>Gratificação Lei 463 Comissão de Sindicancia</v>
      </c>
      <c r="E143" s="584">
        <f>'FOPAG EXEC.'!E227+'FOPAG FUNDEB'!G275+'FOPAG ED.'!E222</f>
        <v>2086.319785447291</v>
      </c>
      <c r="F143" s="546"/>
      <c r="G143" s="546"/>
    </row>
    <row r="144" spans="2:7" x14ac:dyDescent="0.25">
      <c r="B144" s="547">
        <f t="shared" si="2"/>
        <v>109</v>
      </c>
      <c r="C144" s="546"/>
      <c r="D144" s="546" t="str">
        <f>DESPORC!D154</f>
        <v>13º Salário Servidores C.C.</v>
      </c>
      <c r="E144" s="584">
        <f>'FOPAG EXEC.'!E225</f>
        <v>10779.31728688669</v>
      </c>
      <c r="F144" s="546"/>
      <c r="G144" s="546"/>
    </row>
    <row r="145" spans="2:7" x14ac:dyDescent="0.25">
      <c r="B145" s="547">
        <f t="shared" si="2"/>
        <v>110</v>
      </c>
      <c r="C145" s="546"/>
      <c r="D145" s="546" t="str">
        <f>DESPORC!D155</f>
        <v>Férias Servidores C.C.</v>
      </c>
      <c r="E145" s="584">
        <f>'FOPAG EXEC.'!E223</f>
        <v>3593.1057622955627</v>
      </c>
      <c r="F145" s="546"/>
      <c r="G145" s="546"/>
    </row>
    <row r="146" spans="2:7" x14ac:dyDescent="0.25">
      <c r="B146" s="547">
        <f t="shared" ref="B146:B209" si="12">B145+1</f>
        <v>111</v>
      </c>
      <c r="C146" s="546"/>
      <c r="D146" s="546" t="str">
        <f>DESPORC!D156</f>
        <v>Férias Prefeito Municipal</v>
      </c>
      <c r="E146" s="584">
        <f>'FOPAG EXEC.'!E224</f>
        <v>3645.7900704987519</v>
      </c>
      <c r="F146" s="546"/>
      <c r="G146" s="546"/>
    </row>
    <row r="147" spans="2:7" s="12" customFormat="1" x14ac:dyDescent="0.25">
      <c r="B147" s="547">
        <f t="shared" si="12"/>
        <v>112</v>
      </c>
      <c r="C147" s="579"/>
      <c r="D147" s="579" t="str">
        <f>DESPORC!D160</f>
        <v>GEST. GAB. PREFEITO: Folha Pgtoº: Hora Extra</v>
      </c>
      <c r="E147" s="579"/>
      <c r="F147" s="579"/>
      <c r="G147" s="579"/>
    </row>
    <row r="148" spans="2:7" x14ac:dyDescent="0.25">
      <c r="B148" s="547">
        <f t="shared" si="12"/>
        <v>113</v>
      </c>
      <c r="C148" s="546"/>
      <c r="D148" s="546" t="s">
        <v>3431</v>
      </c>
      <c r="E148" s="584">
        <v>0.01</v>
      </c>
      <c r="F148" s="546"/>
      <c r="G148" s="546"/>
    </row>
    <row r="149" spans="2:7" x14ac:dyDescent="0.25">
      <c r="B149" s="547">
        <f t="shared" si="12"/>
        <v>114</v>
      </c>
      <c r="C149" s="546"/>
      <c r="D149" s="546" t="s">
        <v>3433</v>
      </c>
      <c r="E149" s="584">
        <v>0.01</v>
      </c>
      <c r="F149" s="546"/>
      <c r="G149" s="546"/>
    </row>
    <row r="150" spans="2:7" s="12" customFormat="1" x14ac:dyDescent="0.25">
      <c r="B150" s="547">
        <f t="shared" si="12"/>
        <v>115</v>
      </c>
      <c r="C150" s="579"/>
      <c r="D150" s="579" t="str">
        <f>DESPORC!D161</f>
        <v>GEST. GAB. PREFEITO: Substituição de Servidores P/Serviços Terceiros</v>
      </c>
      <c r="E150" s="579"/>
      <c r="F150" s="579"/>
      <c r="G150" s="579"/>
    </row>
    <row r="151" spans="2:7" x14ac:dyDescent="0.25">
      <c r="B151" s="547">
        <f t="shared" si="12"/>
        <v>116</v>
      </c>
      <c r="C151" s="546"/>
      <c r="D151" s="546" t="s">
        <v>4212</v>
      </c>
      <c r="E151" s="584">
        <v>0.01</v>
      </c>
      <c r="F151" s="546"/>
      <c r="G151" s="546"/>
    </row>
    <row r="152" spans="2:7" x14ac:dyDescent="0.25">
      <c r="B152" s="547">
        <f t="shared" si="12"/>
        <v>117</v>
      </c>
      <c r="C152" s="546"/>
      <c r="D152" s="546" t="s">
        <v>4213</v>
      </c>
      <c r="E152" s="584">
        <v>0.01</v>
      </c>
      <c r="F152" s="546"/>
      <c r="G152" s="546"/>
    </row>
    <row r="153" spans="2:7" s="12" customFormat="1" x14ac:dyDescent="0.25">
      <c r="B153" s="547">
        <f t="shared" si="12"/>
        <v>118</v>
      </c>
      <c r="C153" s="579"/>
      <c r="D153" s="579" t="str">
        <f>DESPORC!D162</f>
        <v>GEST. GAB. PREFEITO: Folha Pgtoº: Indenizacoes Trabalhistas</v>
      </c>
      <c r="E153" s="583">
        <f>SUM(E154:E159)</f>
        <v>6.0000000000000005E-2</v>
      </c>
      <c r="F153" s="579"/>
      <c r="G153" s="579"/>
    </row>
    <row r="154" spans="2:7" x14ac:dyDescent="0.25">
      <c r="B154" s="547">
        <f t="shared" si="12"/>
        <v>119</v>
      </c>
      <c r="C154" s="546"/>
      <c r="D154" s="546" t="s">
        <v>4218</v>
      </c>
      <c r="E154" s="584">
        <v>0.01</v>
      </c>
      <c r="F154" s="546"/>
      <c r="G154" s="546"/>
    </row>
    <row r="155" spans="2:7" x14ac:dyDescent="0.25">
      <c r="B155" s="547">
        <f t="shared" si="12"/>
        <v>120</v>
      </c>
      <c r="C155" s="546"/>
      <c r="D155" s="546" t="s">
        <v>4219</v>
      </c>
      <c r="E155" s="584">
        <v>0.01</v>
      </c>
      <c r="F155" s="546"/>
      <c r="G155" s="546"/>
    </row>
    <row r="156" spans="2:7" x14ac:dyDescent="0.25">
      <c r="B156" s="547">
        <f t="shared" si="12"/>
        <v>121</v>
      </c>
      <c r="C156" s="546"/>
      <c r="D156" s="546" t="s">
        <v>4214</v>
      </c>
      <c r="E156" s="584">
        <v>0.01</v>
      </c>
      <c r="F156" s="546"/>
      <c r="G156" s="546"/>
    </row>
    <row r="157" spans="2:7" x14ac:dyDescent="0.25">
      <c r="B157" s="547">
        <f t="shared" si="12"/>
        <v>122</v>
      </c>
      <c r="C157" s="546"/>
      <c r="D157" s="546" t="s">
        <v>4215</v>
      </c>
      <c r="E157" s="584">
        <v>0.01</v>
      </c>
      <c r="F157" s="546"/>
      <c r="G157" s="546"/>
    </row>
    <row r="158" spans="2:7" x14ac:dyDescent="0.25">
      <c r="B158" s="547">
        <f t="shared" si="12"/>
        <v>123</v>
      </c>
      <c r="C158" s="546"/>
      <c r="D158" s="546" t="s">
        <v>4216</v>
      </c>
      <c r="E158" s="584">
        <v>0.01</v>
      </c>
      <c r="F158" s="546"/>
      <c r="G158" s="546"/>
    </row>
    <row r="159" spans="2:7" x14ac:dyDescent="0.25">
      <c r="B159" s="547">
        <f t="shared" si="12"/>
        <v>124</v>
      </c>
      <c r="C159" s="546"/>
      <c r="D159" s="546" t="s">
        <v>4217</v>
      </c>
      <c r="E159" s="584">
        <v>0.01</v>
      </c>
      <c r="F159" s="546"/>
      <c r="G159" s="546"/>
    </row>
    <row r="160" spans="2:7" s="12" customFormat="1" x14ac:dyDescent="0.25">
      <c r="B160" s="547">
        <f t="shared" si="12"/>
        <v>125</v>
      </c>
      <c r="C160" s="579"/>
      <c r="D160" s="579" t="str">
        <f>DESPORC!D165</f>
        <v>GEST. GAB. PREFEITO: Diárias</v>
      </c>
      <c r="E160" s="583">
        <f>'BASE TRIENAL DESPESAS'!I70</f>
        <v>16585.833333333332</v>
      </c>
      <c r="F160" s="579"/>
      <c r="G160" s="579"/>
    </row>
    <row r="161" spans="2:7" x14ac:dyDescent="0.25">
      <c r="B161" s="547">
        <f t="shared" si="12"/>
        <v>126</v>
      </c>
      <c r="C161" s="546"/>
      <c r="D161" s="546" t="str">
        <f>DESPORC!D166</f>
        <v>Diárias Prefeito Municipal</v>
      </c>
      <c r="E161" s="584">
        <v>0</v>
      </c>
      <c r="F161" s="546"/>
      <c r="G161" s="546"/>
    </row>
    <row r="162" spans="2:7" x14ac:dyDescent="0.25">
      <c r="B162" s="547">
        <f t="shared" si="12"/>
        <v>127</v>
      </c>
      <c r="C162" s="546"/>
      <c r="D162" s="546" t="str">
        <f>DESPORC!D167</f>
        <v>Diárias Servidores C.C</v>
      </c>
      <c r="E162" s="584">
        <v>0</v>
      </c>
      <c r="F162" s="546"/>
      <c r="G162" s="546"/>
    </row>
    <row r="163" spans="2:7" x14ac:dyDescent="0.25">
      <c r="B163" s="547">
        <f t="shared" si="12"/>
        <v>128</v>
      </c>
      <c r="C163" s="546"/>
      <c r="D163" s="546" t="str">
        <f>DESPORC!D168</f>
        <v>Diárias Servidores Contratados</v>
      </c>
      <c r="E163" s="584">
        <v>0</v>
      </c>
      <c r="F163" s="546"/>
      <c r="G163" s="546"/>
    </row>
    <row r="164" spans="2:7" x14ac:dyDescent="0.25">
      <c r="B164" s="547">
        <f t="shared" si="12"/>
        <v>129</v>
      </c>
      <c r="C164" s="546"/>
      <c r="D164" s="546" t="str">
        <f>DESPORC!D169</f>
        <v>Diárias Servidores Efetivos</v>
      </c>
      <c r="E164" s="584">
        <v>0</v>
      </c>
      <c r="F164" s="546"/>
      <c r="G164" s="546"/>
    </row>
    <row r="165" spans="2:7" s="12" customFormat="1" x14ac:dyDescent="0.25">
      <c r="B165" s="547">
        <f t="shared" si="12"/>
        <v>130</v>
      </c>
      <c r="C165" s="579"/>
      <c r="D165" s="579" t="str">
        <f>DESPORC!D170</f>
        <v>GEST. GAB. PREFEITO: Material De Consumo</v>
      </c>
      <c r="E165" s="583">
        <f>'BASE TRIENAL DESPESAS'!I73</f>
        <v>18867.603333333333</v>
      </c>
      <c r="F165" s="579"/>
      <c r="G165" s="579"/>
    </row>
    <row r="166" spans="2:7" x14ac:dyDescent="0.25">
      <c r="B166" s="547">
        <f t="shared" si="12"/>
        <v>131</v>
      </c>
      <c r="C166" s="546"/>
      <c r="D166" s="546" t="str">
        <f>DESPORC!D171</f>
        <v>Gêneros Alimentícios - Aq. imediata</v>
      </c>
      <c r="E166" s="584">
        <v>0</v>
      </c>
      <c r="F166" s="546"/>
      <c r="G166" s="546"/>
    </row>
    <row r="167" spans="2:7" x14ac:dyDescent="0.25">
      <c r="B167" s="547">
        <f t="shared" si="12"/>
        <v>132</v>
      </c>
      <c r="C167" s="546"/>
      <c r="D167" s="546" t="str">
        <f>DESPORC!D172</f>
        <v>Suprimentos de Informática - Aq. Imediata</v>
      </c>
      <c r="E167" s="584">
        <v>0</v>
      </c>
      <c r="F167" s="546"/>
      <c r="G167" s="546"/>
    </row>
    <row r="168" spans="2:7" x14ac:dyDescent="0.25">
      <c r="B168" s="547">
        <f t="shared" si="12"/>
        <v>133</v>
      </c>
      <c r="C168" s="546"/>
      <c r="D168" s="546" t="str">
        <f>DESPORC!D173</f>
        <v>Materiaial Elétrico - Aq. Imediata</v>
      </c>
      <c r="E168" s="584">
        <v>0</v>
      </c>
      <c r="F168" s="546"/>
      <c r="G168" s="546"/>
    </row>
    <row r="169" spans="2:7" x14ac:dyDescent="0.25">
      <c r="B169" s="547">
        <f t="shared" si="12"/>
        <v>134</v>
      </c>
      <c r="C169" s="546"/>
      <c r="D169" s="546" t="str">
        <f>DESPORC!D174</f>
        <v>Materiais e Autopeças Veículo IXE 9035</v>
      </c>
      <c r="E169" s="584">
        <v>0</v>
      </c>
      <c r="F169" s="546"/>
      <c r="G169" s="546"/>
    </row>
    <row r="170" spans="2:7" x14ac:dyDescent="0.25">
      <c r="B170" s="547">
        <f t="shared" si="12"/>
        <v>135</v>
      </c>
      <c r="C170" s="546"/>
      <c r="D170" s="546" t="str">
        <f>DESPORC!D175</f>
        <v>Material para Homenagens, Recepções e Festividades</v>
      </c>
      <c r="E170" s="584">
        <v>0</v>
      </c>
      <c r="F170" s="546"/>
      <c r="G170" s="546"/>
    </row>
    <row r="171" spans="2:7" x14ac:dyDescent="0.25">
      <c r="B171" s="547">
        <f t="shared" si="12"/>
        <v>136</v>
      </c>
      <c r="C171" s="546"/>
      <c r="D171" s="546" t="str">
        <f>DESPORC!D176</f>
        <v>Material de Expediente - Aq. Imediata</v>
      </c>
      <c r="E171" s="584">
        <v>0</v>
      </c>
      <c r="F171" s="546"/>
      <c r="G171" s="546"/>
    </row>
    <row r="172" spans="2:7" x14ac:dyDescent="0.25">
      <c r="B172" s="547">
        <f t="shared" si="12"/>
        <v>137</v>
      </c>
      <c r="C172" s="546"/>
      <c r="D172" s="546" t="str">
        <f>DESPORC!D177</f>
        <v>Material Bibliografico</v>
      </c>
      <c r="E172" s="584">
        <v>0</v>
      </c>
      <c r="F172" s="546"/>
      <c r="G172" s="546"/>
    </row>
    <row r="173" spans="2:7" x14ac:dyDescent="0.25">
      <c r="B173" s="547">
        <f t="shared" si="12"/>
        <v>138</v>
      </c>
      <c r="C173" s="546"/>
      <c r="D173" s="546" t="str">
        <f>DESPORC!D178</f>
        <v>Material de Copa e Cozinha</v>
      </c>
      <c r="E173" s="584">
        <v>0</v>
      </c>
      <c r="F173" s="546"/>
      <c r="G173" s="546"/>
    </row>
    <row r="174" spans="2:7" x14ac:dyDescent="0.25">
      <c r="B174" s="547">
        <f t="shared" si="12"/>
        <v>139</v>
      </c>
      <c r="C174" s="546"/>
      <c r="D174" s="546" t="str">
        <f>DESPORC!D179</f>
        <v>Combustiveis Veículo Placas IXE 9035</v>
      </c>
      <c r="E174" s="584">
        <v>0</v>
      </c>
      <c r="F174" s="546"/>
      <c r="G174" s="546"/>
    </row>
    <row r="175" spans="2:7" x14ac:dyDescent="0.25">
      <c r="B175" s="547">
        <f t="shared" si="12"/>
        <v>140</v>
      </c>
      <c r="C175" s="546"/>
      <c r="D175" s="546" t="str">
        <f>DESPORC!D180</f>
        <v>Graxas e Lubrificantes Veículo IXE 9035</v>
      </c>
      <c r="E175" s="584">
        <v>0</v>
      </c>
      <c r="F175" s="546"/>
      <c r="G175" s="546"/>
    </row>
    <row r="176" spans="2:7" x14ac:dyDescent="0.25">
      <c r="B176" s="547">
        <f t="shared" si="12"/>
        <v>141</v>
      </c>
      <c r="C176" s="546"/>
      <c r="D176" s="546" t="str">
        <f>DESPORC!D181</f>
        <v>Material P/Manutencao De Bens Imoveis</v>
      </c>
      <c r="E176" s="584">
        <v>0</v>
      </c>
      <c r="F176" s="546"/>
      <c r="G176" s="546"/>
    </row>
    <row r="177" spans="2:7" s="12" customFormat="1" x14ac:dyDescent="0.25">
      <c r="B177" s="547">
        <f t="shared" si="12"/>
        <v>142</v>
      </c>
      <c r="C177" s="579"/>
      <c r="D177" s="579" t="str">
        <f>DESPORC!D182</f>
        <v>GEST. GAB. PREFEITO: Passagens e Despesas com Locomocao</v>
      </c>
      <c r="E177" s="583">
        <f>'BASE TRIENAL DESPESAS'!I74</f>
        <v>4896.5933333333332</v>
      </c>
      <c r="F177" s="579"/>
      <c r="G177" s="579"/>
    </row>
    <row r="178" spans="2:7" x14ac:dyDescent="0.25">
      <c r="B178" s="547">
        <f t="shared" si="12"/>
        <v>143</v>
      </c>
      <c r="C178" s="546"/>
      <c r="D178" s="546" t="str">
        <f>DESPORC!D183</f>
        <v>Despesas Com Locomocao Servidores</v>
      </c>
      <c r="E178" s="584">
        <v>0</v>
      </c>
      <c r="F178" s="546"/>
      <c r="G178" s="546"/>
    </row>
    <row r="179" spans="2:7" x14ac:dyDescent="0.25">
      <c r="B179" s="547">
        <f t="shared" si="12"/>
        <v>144</v>
      </c>
      <c r="C179" s="546"/>
      <c r="D179" s="546" t="str">
        <f>DESPORC!D184</f>
        <v>Despesas Com Locomocao: Prefeito Municipal</v>
      </c>
      <c r="E179" s="584">
        <v>0</v>
      </c>
      <c r="F179" s="546"/>
      <c r="G179" s="546"/>
    </row>
    <row r="180" spans="2:7" s="12" customFormat="1" x14ac:dyDescent="0.25">
      <c r="B180" s="547">
        <f t="shared" si="12"/>
        <v>145</v>
      </c>
      <c r="C180" s="579"/>
      <c r="D180" s="579" t="str">
        <f>DESPORC!D185</f>
        <v>GEST. GAB. PREFEITO: Servicos De Consultoria</v>
      </c>
      <c r="E180" s="583">
        <f>'BASE TRIENAL DESPESAS'!I77+0.01</f>
        <v>0.01</v>
      </c>
      <c r="F180" s="579"/>
      <c r="G180" s="579"/>
    </row>
    <row r="181" spans="2:7" s="12" customFormat="1" x14ac:dyDescent="0.25">
      <c r="B181" s="547">
        <f t="shared" si="12"/>
        <v>146</v>
      </c>
      <c r="C181" s="579"/>
      <c r="D181" s="579" t="str">
        <f>DESPORC!D186</f>
        <v>GEST. GAB. PREFEITO: Servicos De - Pessoa Fisica</v>
      </c>
      <c r="E181" s="583">
        <f>'BASE TRIENAL DESPESAS'!I80+0.01</f>
        <v>0.01</v>
      </c>
      <c r="F181" s="579"/>
      <c r="G181" s="579"/>
    </row>
    <row r="182" spans="2:7" s="12" customFormat="1" x14ac:dyDescent="0.25">
      <c r="B182" s="547">
        <f t="shared" si="12"/>
        <v>147</v>
      </c>
      <c r="C182" s="579"/>
      <c r="D182" s="579" t="str">
        <f>DESPORC!D187</f>
        <v>GEST. GAB. PREFEITO: Servicos De - Pessoa Jurídica</v>
      </c>
      <c r="E182" s="583">
        <f>'BASE TRIENAL DESPESAS'!I82+0.01</f>
        <v>66052.37</v>
      </c>
      <c r="F182" s="579"/>
      <c r="G182" s="579"/>
    </row>
    <row r="183" spans="2:7" x14ac:dyDescent="0.25">
      <c r="B183" s="547">
        <f t="shared" si="12"/>
        <v>148</v>
      </c>
      <c r="C183" s="546"/>
      <c r="D183" s="546" t="str">
        <f>DESPORC!D188</f>
        <v>Servicos Diversos</v>
      </c>
      <c r="E183" s="584">
        <v>0</v>
      </c>
      <c r="F183" s="546"/>
      <c r="G183" s="546"/>
    </row>
    <row r="184" spans="2:7" x14ac:dyDescent="0.25">
      <c r="B184" s="547">
        <f t="shared" si="12"/>
        <v>149</v>
      </c>
      <c r="C184" s="546"/>
      <c r="D184" s="546" t="str">
        <f>DESPORC!D189</f>
        <v>Serviços Gráficos</v>
      </c>
      <c r="E184" s="584">
        <v>0</v>
      </c>
      <c r="F184" s="546"/>
      <c r="G184" s="546"/>
    </row>
    <row r="185" spans="2:7" x14ac:dyDescent="0.25">
      <c r="B185" s="547">
        <f t="shared" si="12"/>
        <v>150</v>
      </c>
      <c r="C185" s="546"/>
      <c r="D185" s="546" t="str">
        <f>DESPORC!D190</f>
        <v>Manutenção Veículo IXE 9035</v>
      </c>
      <c r="E185" s="584">
        <v>0</v>
      </c>
      <c r="F185" s="546"/>
      <c r="G185" s="546"/>
    </row>
    <row r="186" spans="2:7" x14ac:dyDescent="0.25">
      <c r="B186" s="547">
        <f t="shared" si="12"/>
        <v>151</v>
      </c>
      <c r="C186" s="546"/>
      <c r="D186" s="546" t="str">
        <f>DESPORC!D191</f>
        <v>Mensalidades: Famurs, CNM, AMZCS</v>
      </c>
      <c r="E186" s="584">
        <v>0</v>
      </c>
      <c r="F186" s="546"/>
      <c r="G186" s="546"/>
    </row>
    <row r="187" spans="2:7" x14ac:dyDescent="0.25">
      <c r="B187" s="547">
        <f t="shared" si="12"/>
        <v>152</v>
      </c>
      <c r="C187" s="546"/>
      <c r="D187" s="546" t="str">
        <f>DESPORC!D192</f>
        <v>Seguros Veiculo Placas IXE 9035</v>
      </c>
      <c r="E187" s="584">
        <v>0</v>
      </c>
      <c r="F187" s="546"/>
      <c r="G187" s="546"/>
    </row>
    <row r="188" spans="2:7" x14ac:dyDescent="0.25">
      <c r="B188" s="547">
        <f t="shared" si="12"/>
        <v>153</v>
      </c>
      <c r="C188" s="546"/>
      <c r="D188" s="546" t="str">
        <f>DESPORC!D193</f>
        <v>Conta Telefone Fixo</v>
      </c>
      <c r="E188" s="584">
        <v>0</v>
      </c>
      <c r="F188" s="546"/>
      <c r="G188" s="546"/>
    </row>
    <row r="189" spans="2:7" x14ac:dyDescent="0.25">
      <c r="B189" s="547">
        <f t="shared" si="12"/>
        <v>154</v>
      </c>
      <c r="C189" s="546"/>
      <c r="D189" s="546" t="str">
        <f>DESPORC!D194</f>
        <v>Assinaturas de Periodicos e Anuidades</v>
      </c>
      <c r="E189" s="584">
        <v>0</v>
      </c>
      <c r="F189" s="546"/>
      <c r="G189" s="546"/>
    </row>
    <row r="190" spans="2:7" x14ac:dyDescent="0.25">
      <c r="B190" s="547">
        <f t="shared" si="12"/>
        <v>155</v>
      </c>
      <c r="C190" s="546"/>
      <c r="D190" s="546" t="str">
        <f>DESPORC!D195</f>
        <v>Estagiários</v>
      </c>
      <c r="E190" s="584">
        <v>0</v>
      </c>
      <c r="F190" s="546"/>
      <c r="G190" s="546"/>
    </row>
    <row r="191" spans="2:7" x14ac:dyDescent="0.25">
      <c r="B191" s="547">
        <f t="shared" si="12"/>
        <v>156</v>
      </c>
      <c r="C191" s="546"/>
      <c r="D191" s="546" t="str">
        <f>DESPORC!D196</f>
        <v>Multas Veiculo Placas IXE 9035</v>
      </c>
      <c r="E191" s="584">
        <v>0</v>
      </c>
      <c r="F191" s="546"/>
      <c r="G191" s="546"/>
    </row>
    <row r="192" spans="2:7" x14ac:dyDescent="0.25">
      <c r="B192" s="547">
        <f t="shared" si="12"/>
        <v>157</v>
      </c>
      <c r="C192" s="546"/>
      <c r="D192" s="546"/>
      <c r="E192" s="584"/>
      <c r="F192" s="546"/>
      <c r="G192" s="546"/>
    </row>
    <row r="193" spans="2:7" s="12" customFormat="1" x14ac:dyDescent="0.25">
      <c r="B193" s="547">
        <f t="shared" si="12"/>
        <v>158</v>
      </c>
      <c r="C193" s="579"/>
      <c r="D193" s="579" t="str">
        <f>DESPORC!D197</f>
        <v>GEST. GAB. PREFEITO: Auxilio - Alimentacao</v>
      </c>
      <c r="E193" s="582">
        <f>'BASE TRIENAL DESPESAS'!H86</f>
        <v>8832</v>
      </c>
      <c r="F193" s="579"/>
      <c r="G193" s="579"/>
    </row>
    <row r="194" spans="2:7" x14ac:dyDescent="0.25">
      <c r="B194" s="547">
        <f t="shared" si="12"/>
        <v>159</v>
      </c>
      <c r="C194" s="546"/>
      <c r="D194" s="546" t="str">
        <f>DESPORC!D198</f>
        <v>Indenização Auxilio-Alimentacao</v>
      </c>
      <c r="E194" s="584">
        <v>0</v>
      </c>
      <c r="F194" s="546"/>
      <c r="G194" s="546"/>
    </row>
    <row r="195" spans="2:7" s="12" customFormat="1" x14ac:dyDescent="0.25">
      <c r="B195" s="547">
        <f t="shared" si="12"/>
        <v>160</v>
      </c>
      <c r="C195" s="579"/>
      <c r="D195" s="579" t="str">
        <f>DESPORC!D199</f>
        <v>GEST. GAB. PREFEITO: Obrigacoes Tributarias E Contributivas</v>
      </c>
      <c r="E195" s="582"/>
      <c r="F195" s="579"/>
      <c r="G195" s="579"/>
    </row>
    <row r="196" spans="2:7" x14ac:dyDescent="0.25">
      <c r="B196" s="547">
        <f t="shared" si="12"/>
        <v>161</v>
      </c>
      <c r="C196" s="546"/>
      <c r="D196" s="546" t="str">
        <f>DESPORC!D200</f>
        <v>Contrib. Patron. Prev. S/Serv. Veiculo IXE 9035</v>
      </c>
      <c r="E196" s="584">
        <v>500</v>
      </c>
      <c r="F196" s="546"/>
      <c r="G196" s="546"/>
    </row>
    <row r="197" spans="2:7" s="12" customFormat="1" x14ac:dyDescent="0.25">
      <c r="B197" s="547">
        <f t="shared" si="12"/>
        <v>162</v>
      </c>
      <c r="C197" s="579"/>
      <c r="D197" s="579" t="str">
        <f>DESPORC!D201</f>
        <v>GEST. GAB. PREFEITO: Auxilio-transporte</v>
      </c>
      <c r="E197" s="582">
        <v>0.01</v>
      </c>
      <c r="F197" s="579"/>
      <c r="G197" s="579"/>
    </row>
    <row r="198" spans="2:7" s="12" customFormat="1" x14ac:dyDescent="0.25">
      <c r="B198" s="547">
        <f t="shared" si="12"/>
        <v>163</v>
      </c>
      <c r="C198" s="579"/>
      <c r="D198" s="579" t="str">
        <f>DESPORC!D202</f>
        <v>GEST. GAB. PREFEITO: Indenizacoes e Restituicoes</v>
      </c>
      <c r="E198" s="582"/>
      <c r="F198" s="579"/>
      <c r="G198" s="579"/>
    </row>
    <row r="199" spans="2:7" x14ac:dyDescent="0.25">
      <c r="B199" s="547">
        <f t="shared" si="12"/>
        <v>164</v>
      </c>
      <c r="C199" s="546"/>
      <c r="D199" s="546" t="str">
        <f>DESPORC!D203</f>
        <v>Ressarcimento de Despesas</v>
      </c>
      <c r="E199" s="584">
        <v>500</v>
      </c>
      <c r="F199" s="546"/>
      <c r="G199" s="546"/>
    </row>
    <row r="200" spans="2:7" s="12" customFormat="1" x14ac:dyDescent="0.25">
      <c r="B200" s="547">
        <f t="shared" si="12"/>
        <v>165</v>
      </c>
      <c r="C200" s="579"/>
      <c r="D200" s="579" t="str">
        <f>DESPORC!D204</f>
        <v>GEST. GAB. PREFEITO: Obras e Instalacoes</v>
      </c>
      <c r="E200" s="582"/>
      <c r="F200" s="579"/>
      <c r="G200" s="579"/>
    </row>
    <row r="201" spans="2:7" x14ac:dyDescent="0.25">
      <c r="B201" s="547">
        <f t="shared" si="12"/>
        <v>166</v>
      </c>
      <c r="C201" s="546"/>
      <c r="D201" s="546" t="s">
        <v>4224</v>
      </c>
      <c r="E201" s="584">
        <v>0.01</v>
      </c>
      <c r="F201" s="546"/>
      <c r="G201" s="546"/>
    </row>
    <row r="202" spans="2:7" s="12" customFormat="1" x14ac:dyDescent="0.25">
      <c r="B202" s="547">
        <f t="shared" si="12"/>
        <v>167</v>
      </c>
      <c r="C202" s="579"/>
      <c r="D202" s="579" t="str">
        <f>DESPORC!D205</f>
        <v>GEST. GAB. PREFEITO: Equipamentos e Material Permanente</v>
      </c>
      <c r="E202" s="582"/>
      <c r="F202" s="579"/>
      <c r="G202" s="579"/>
    </row>
    <row r="203" spans="2:7" x14ac:dyDescent="0.25">
      <c r="B203" s="547">
        <f t="shared" si="12"/>
        <v>168</v>
      </c>
      <c r="C203" s="546"/>
      <c r="D203" s="546" t="str">
        <f>DESPORC!D206</f>
        <v>Equipamentos - Informatica</v>
      </c>
      <c r="E203" s="584">
        <v>0.01</v>
      </c>
      <c r="F203" s="546"/>
      <c r="G203" s="546"/>
    </row>
    <row r="204" spans="2:7" s="12" customFormat="1" x14ac:dyDescent="0.25">
      <c r="B204" s="547">
        <f t="shared" si="12"/>
        <v>169</v>
      </c>
      <c r="C204" s="579" t="s">
        <v>3074</v>
      </c>
      <c r="D204" s="579" t="str">
        <f>DESPORC!D210</f>
        <v xml:space="preserve">GESTÃO , APOIO E MANUTENÇÃO , COORDENAÇÃO E PLANEJAMENTO </v>
      </c>
      <c r="E204" s="582"/>
      <c r="F204" s="579"/>
      <c r="G204" s="579"/>
    </row>
    <row r="205" spans="2:7" ht="15.75" x14ac:dyDescent="0.25">
      <c r="B205" s="547">
        <f t="shared" si="12"/>
        <v>170</v>
      </c>
      <c r="D205" s="625" t="s">
        <v>3155</v>
      </c>
      <c r="E205" s="630"/>
    </row>
    <row r="206" spans="2:7" x14ac:dyDescent="0.25">
      <c r="B206" s="547">
        <f t="shared" si="12"/>
        <v>171</v>
      </c>
      <c r="C206" s="546"/>
      <c r="D206" s="546" t="s">
        <v>3163</v>
      </c>
      <c r="E206" s="584">
        <f>'FOPAG EXEC.'!E228</f>
        <v>1390.8798569648607</v>
      </c>
      <c r="F206" s="546"/>
      <c r="G206" s="546"/>
    </row>
    <row r="207" spans="2:7" ht="15.75" x14ac:dyDescent="0.25">
      <c r="B207" s="547">
        <f t="shared" si="12"/>
        <v>172</v>
      </c>
      <c r="D207" s="625" t="s">
        <v>3165</v>
      </c>
      <c r="E207" s="630">
        <v>0</v>
      </c>
    </row>
    <row r="208" spans="2:7" ht="15.75" x14ac:dyDescent="0.25">
      <c r="B208" s="547">
        <f t="shared" si="12"/>
        <v>173</v>
      </c>
      <c r="D208" s="625" t="s">
        <v>3174</v>
      </c>
      <c r="E208" s="630">
        <v>1000</v>
      </c>
    </row>
    <row r="209" spans="2:7" ht="15.75" x14ac:dyDescent="0.25">
      <c r="B209" s="547">
        <f t="shared" si="12"/>
        <v>174</v>
      </c>
      <c r="D209" s="625" t="s">
        <v>3001</v>
      </c>
      <c r="E209" s="630">
        <v>500</v>
      </c>
    </row>
    <row r="210" spans="2:7" ht="15.75" x14ac:dyDescent="0.25">
      <c r="B210" s="547">
        <f t="shared" ref="B210:B273" si="13">B209+1</f>
        <v>175</v>
      </c>
      <c r="D210" s="625" t="s">
        <v>3204</v>
      </c>
      <c r="E210" s="630">
        <v>500</v>
      </c>
    </row>
    <row r="211" spans="2:7" ht="15.75" x14ac:dyDescent="0.25">
      <c r="B211" s="547">
        <f t="shared" si="13"/>
        <v>176</v>
      </c>
      <c r="D211" s="625" t="s">
        <v>3019</v>
      </c>
      <c r="E211" s="630">
        <v>0.01</v>
      </c>
    </row>
    <row r="212" spans="2:7" ht="15.75" x14ac:dyDescent="0.25">
      <c r="B212" s="547">
        <f t="shared" si="13"/>
        <v>177</v>
      </c>
      <c r="D212" s="625" t="s">
        <v>3020</v>
      </c>
      <c r="E212" s="630">
        <v>0.01</v>
      </c>
    </row>
    <row r="213" spans="2:7" ht="15.75" x14ac:dyDescent="0.25">
      <c r="B213" s="547">
        <f t="shared" si="13"/>
        <v>178</v>
      </c>
      <c r="D213" s="625" t="s">
        <v>3209</v>
      </c>
      <c r="E213" s="630">
        <v>1000</v>
      </c>
    </row>
    <row r="214" spans="2:7" ht="15.75" x14ac:dyDescent="0.25">
      <c r="B214" s="547">
        <f t="shared" si="13"/>
        <v>179</v>
      </c>
      <c r="D214" s="625" t="s">
        <v>3050</v>
      </c>
      <c r="E214" s="630">
        <v>0.01</v>
      </c>
    </row>
    <row r="215" spans="2:7" ht="15.75" x14ac:dyDescent="0.25">
      <c r="B215" s="547">
        <f t="shared" si="13"/>
        <v>180</v>
      </c>
      <c r="D215" s="625" t="s">
        <v>3230</v>
      </c>
      <c r="E215" s="630">
        <v>300</v>
      </c>
    </row>
    <row r="216" spans="2:7" ht="15.75" x14ac:dyDescent="0.25">
      <c r="B216" s="547">
        <f t="shared" si="13"/>
        <v>181</v>
      </c>
      <c r="D216" s="625" t="s">
        <v>3130</v>
      </c>
      <c r="E216" s="630">
        <v>0.01</v>
      </c>
    </row>
    <row r="217" spans="2:7" ht="17.25" customHeight="1" x14ac:dyDescent="0.25">
      <c r="B217" s="547">
        <f t="shared" si="13"/>
        <v>182</v>
      </c>
      <c r="D217" s="625" t="s">
        <v>3152</v>
      </c>
      <c r="E217" s="630">
        <v>1.0999999999999999E-2</v>
      </c>
    </row>
    <row r="218" spans="2:7" s="12" customFormat="1" x14ac:dyDescent="0.25">
      <c r="B218" s="547">
        <f t="shared" si="13"/>
        <v>183</v>
      </c>
      <c r="C218" s="579"/>
      <c r="D218" s="579" t="str">
        <f>DESPORC!D227</f>
        <v>Tecnologia da Informação</v>
      </c>
      <c r="E218" s="582"/>
      <c r="F218" s="579"/>
      <c r="G218" s="579"/>
    </row>
    <row r="219" spans="2:7" s="12" customFormat="1" x14ac:dyDescent="0.25">
      <c r="B219" s="547">
        <f t="shared" si="13"/>
        <v>184</v>
      </c>
      <c r="C219" s="579" t="s">
        <v>3074</v>
      </c>
      <c r="D219" s="579" t="str">
        <f>DESPORC!D228</f>
        <v>GESTÃO, COORDENAÇÃO E PLANEJAMENTO</v>
      </c>
      <c r="E219" s="582"/>
      <c r="F219" s="579"/>
      <c r="G219" s="579"/>
    </row>
    <row r="220" spans="2:7" s="12" customFormat="1" x14ac:dyDescent="0.25">
      <c r="B220" s="547">
        <f t="shared" si="13"/>
        <v>185</v>
      </c>
      <c r="C220" s="579"/>
      <c r="D220" s="579" t="str">
        <f>DESPORC!D230</f>
        <v>Gest. de T.I.: Serviços de Tecnologia da Informação e Comunicação - PJ</v>
      </c>
      <c r="E220" s="582"/>
      <c r="F220" s="579"/>
      <c r="G220" s="579"/>
    </row>
    <row r="221" spans="2:7" x14ac:dyDescent="0.25">
      <c r="B221" s="547">
        <f t="shared" si="13"/>
        <v>186</v>
      </c>
      <c r="C221" s="546"/>
      <c r="D221" s="546" t="str">
        <f>DESPORC!D231</f>
        <v>Locação de Sistemas de Informática</v>
      </c>
      <c r="E221" s="584">
        <v>0.01</v>
      </c>
      <c r="F221" s="546"/>
      <c r="G221" s="546"/>
    </row>
    <row r="222" spans="2:7" x14ac:dyDescent="0.25">
      <c r="B222" s="547">
        <f t="shared" si="13"/>
        <v>187</v>
      </c>
      <c r="C222" s="546"/>
      <c r="D222" s="546" t="str">
        <f>DESPORC!D232</f>
        <v>Suporte de Infraestrutura de T.I.C.</v>
      </c>
      <c r="E222" s="584">
        <v>0.01</v>
      </c>
      <c r="F222" s="546"/>
      <c r="G222" s="546"/>
    </row>
    <row r="223" spans="2:7" x14ac:dyDescent="0.25">
      <c r="B223" s="547">
        <f t="shared" si="13"/>
        <v>188</v>
      </c>
      <c r="C223" s="546"/>
      <c r="D223" s="546" t="str">
        <f>DESPORC!D233</f>
        <v>Manutencao e Conservacao de Equipamentos de T.I.C.</v>
      </c>
      <c r="E223" s="584">
        <v>0.01</v>
      </c>
      <c r="F223" s="546"/>
      <c r="G223" s="546"/>
    </row>
    <row r="224" spans="2:7" x14ac:dyDescent="0.25">
      <c r="B224" s="547">
        <f t="shared" si="13"/>
        <v>189</v>
      </c>
      <c r="C224" s="546"/>
      <c r="D224" s="546" t="str">
        <f>DESPORC!D234</f>
        <v>Outros Serviços de T.I.C.</v>
      </c>
      <c r="E224" s="584">
        <v>0.01</v>
      </c>
      <c r="F224" s="546"/>
      <c r="G224" s="546"/>
    </row>
    <row r="225" spans="2:7" s="12" customFormat="1" x14ac:dyDescent="0.25">
      <c r="B225" s="547">
        <f t="shared" si="13"/>
        <v>190</v>
      </c>
      <c r="C225" s="579" t="s">
        <v>3074</v>
      </c>
      <c r="D225" s="579" t="str">
        <f>DESPORC!D238</f>
        <v xml:space="preserve">GESTÃO , APOIO E MANUTENÇÃO , COORDENAÇÃO E PLANEJAMENTO </v>
      </c>
      <c r="E225" s="582"/>
      <c r="F225" s="579"/>
      <c r="G225" s="579"/>
    </row>
    <row r="226" spans="2:7" ht="15.75" x14ac:dyDescent="0.25">
      <c r="B226" s="547">
        <f t="shared" si="13"/>
        <v>191</v>
      </c>
      <c r="D226" s="624" t="s">
        <v>5105</v>
      </c>
      <c r="E226" s="630">
        <v>0.01</v>
      </c>
    </row>
    <row r="227" spans="2:7" ht="15.75" x14ac:dyDescent="0.25">
      <c r="B227" s="547">
        <f t="shared" si="13"/>
        <v>192</v>
      </c>
      <c r="D227" s="624" t="s">
        <v>5106</v>
      </c>
      <c r="E227" s="630">
        <v>0.01</v>
      </c>
    </row>
    <row r="228" spans="2:7" ht="15.75" x14ac:dyDescent="0.25">
      <c r="B228" s="547">
        <f t="shared" si="13"/>
        <v>193</v>
      </c>
      <c r="D228" s="624" t="s">
        <v>5107</v>
      </c>
      <c r="E228" s="630">
        <v>0.01</v>
      </c>
    </row>
    <row r="229" spans="2:7" s="12" customFormat="1" x14ac:dyDescent="0.25">
      <c r="B229" s="547">
        <f t="shared" si="13"/>
        <v>194</v>
      </c>
      <c r="C229" s="579"/>
      <c r="D229" s="579" t="str">
        <f>DESPORC!D245</f>
        <v>Apoio ao Conselho Tutelar</v>
      </c>
      <c r="E229" s="582"/>
      <c r="F229" s="579"/>
      <c r="G229" s="579"/>
    </row>
    <row r="230" spans="2:7" s="12" customFormat="1" x14ac:dyDescent="0.25">
      <c r="B230" s="547">
        <f t="shared" si="13"/>
        <v>195</v>
      </c>
      <c r="C230" s="579" t="s">
        <v>4225</v>
      </c>
      <c r="D230" s="579" t="str">
        <f>DESPORC!D245</f>
        <v>Apoio ao Conselho Tutelar</v>
      </c>
      <c r="E230" s="582"/>
      <c r="F230" s="579"/>
      <c r="G230" s="579"/>
    </row>
    <row r="231" spans="2:7" s="12" customFormat="1" x14ac:dyDescent="0.25">
      <c r="B231" s="547">
        <f t="shared" si="13"/>
        <v>196</v>
      </c>
      <c r="C231" s="579"/>
      <c r="D231" s="579" t="str">
        <f>DESPORC!D246</f>
        <v>Conselho Tut.: Folha PGTº: Servidores Contratados</v>
      </c>
      <c r="E231" s="582">
        <v>0.01</v>
      </c>
      <c r="F231" s="579"/>
      <c r="G231" s="579"/>
    </row>
    <row r="232" spans="2:7" s="12" customFormat="1" x14ac:dyDescent="0.25">
      <c r="B232" s="547">
        <f t="shared" si="13"/>
        <v>197</v>
      </c>
      <c r="C232" s="579"/>
      <c r="D232" s="579" t="str">
        <f>DESPORC!D249</f>
        <v>Conselho Tut.: Folha PGTº: Serv. Efetivos., C.C. e Conselheiros</v>
      </c>
      <c r="E232" s="582"/>
      <c r="F232" s="579"/>
      <c r="G232" s="579"/>
    </row>
    <row r="233" spans="2:7" x14ac:dyDescent="0.25">
      <c r="B233" s="547">
        <f t="shared" si="13"/>
        <v>198</v>
      </c>
      <c r="C233" s="546"/>
      <c r="D233" s="546" t="str">
        <f>DESPORC!D246</f>
        <v>Conselho Tut.: Folha PGTº: Servidores Contratados</v>
      </c>
      <c r="E233" s="584">
        <v>0.01</v>
      </c>
      <c r="F233" s="546"/>
      <c r="G233" s="546"/>
    </row>
    <row r="234" spans="2:7" s="12" customFormat="1" x14ac:dyDescent="0.25">
      <c r="B234" s="547">
        <f t="shared" si="13"/>
        <v>199</v>
      </c>
      <c r="C234" s="579"/>
      <c r="D234" s="579" t="str">
        <f>DESPORC!D251</f>
        <v>Conselho Tut.: Folha PGTº: Obrigações Patronais</v>
      </c>
      <c r="E234" s="582"/>
      <c r="F234" s="579"/>
      <c r="G234" s="579"/>
    </row>
    <row r="235" spans="2:7" x14ac:dyDescent="0.25">
      <c r="B235" s="547">
        <f t="shared" si="13"/>
        <v>200</v>
      </c>
      <c r="C235" s="546"/>
      <c r="D235" s="546" t="str">
        <f>DESPORC!D250</f>
        <v>Remuneracao dos Conselheiros Tutelares</v>
      </c>
      <c r="E235" s="584">
        <f>'FOPAG EXEC.'!E229</f>
        <v>9736.1589987540247</v>
      </c>
      <c r="F235" s="546"/>
      <c r="G235" s="546"/>
    </row>
    <row r="236" spans="2:7" s="12" customFormat="1" x14ac:dyDescent="0.25">
      <c r="B236" s="547">
        <f t="shared" si="13"/>
        <v>201</v>
      </c>
      <c r="C236" s="579"/>
      <c r="D236" s="579" t="str">
        <f>DESPORC!D253</f>
        <v>Conselho Tut.: Folha PGTº: Hora Extra</v>
      </c>
      <c r="E236" s="582">
        <v>0.01</v>
      </c>
      <c r="F236" s="579"/>
      <c r="G236" s="579"/>
    </row>
    <row r="237" spans="2:7" s="12" customFormat="1" x14ac:dyDescent="0.25">
      <c r="B237" s="547">
        <f t="shared" si="13"/>
        <v>202</v>
      </c>
      <c r="C237" s="579"/>
      <c r="D237" s="579" t="str">
        <f>DESPORC!D254</f>
        <v>Conselho Tut.: Folha PGTº: Indenizações Trabalhistas</v>
      </c>
      <c r="E237" s="582">
        <v>0.01</v>
      </c>
      <c r="F237" s="579"/>
      <c r="G237" s="579"/>
    </row>
    <row r="238" spans="2:7" s="12" customFormat="1" x14ac:dyDescent="0.25">
      <c r="B238" s="547">
        <f t="shared" si="13"/>
        <v>203</v>
      </c>
      <c r="C238" s="579"/>
      <c r="D238" s="579" t="str">
        <f>DESPORC!D255</f>
        <v>Conselho Tut.: Diarias</v>
      </c>
      <c r="E238" s="583">
        <f>'BASE TRIENAL DESPESAS'!I125</f>
        <v>2299</v>
      </c>
      <c r="F238" s="579"/>
      <c r="G238" s="579"/>
    </row>
    <row r="239" spans="2:7" x14ac:dyDescent="0.25">
      <c r="B239" s="547">
        <f t="shared" si="13"/>
        <v>204</v>
      </c>
      <c r="C239" s="546"/>
      <c r="D239" s="546" t="str">
        <f>DESPORC!D256</f>
        <v>Diarias Conselheiros Tutelares</v>
      </c>
      <c r="E239" s="584">
        <v>0</v>
      </c>
      <c r="F239" s="546"/>
      <c r="G239" s="546"/>
    </row>
    <row r="240" spans="2:7" x14ac:dyDescent="0.25">
      <c r="B240" s="547">
        <f t="shared" si="13"/>
        <v>205</v>
      </c>
      <c r="C240" s="546"/>
      <c r="D240" s="546" t="str">
        <f>DESPORC!D257</f>
        <v>Diarias Servidores C.C.</v>
      </c>
      <c r="E240" s="584">
        <v>0</v>
      </c>
      <c r="F240" s="546"/>
      <c r="G240" s="546"/>
    </row>
    <row r="241" spans="2:7" x14ac:dyDescent="0.25">
      <c r="B241" s="547">
        <f t="shared" si="13"/>
        <v>206</v>
      </c>
      <c r="C241" s="546"/>
      <c r="D241" s="546" t="str">
        <f>DESPORC!D258</f>
        <v>Diarias Servidores Contratados</v>
      </c>
      <c r="E241" s="584">
        <v>0</v>
      </c>
      <c r="F241" s="546"/>
      <c r="G241" s="546"/>
    </row>
    <row r="242" spans="2:7" x14ac:dyDescent="0.25">
      <c r="B242" s="547">
        <f t="shared" si="13"/>
        <v>207</v>
      </c>
      <c r="C242" s="546"/>
      <c r="D242" s="546" t="str">
        <f>DESPORC!D259</f>
        <v>Diarias Servidores Efetivos</v>
      </c>
      <c r="E242" s="584">
        <v>0</v>
      </c>
      <c r="F242" s="546"/>
      <c r="G242" s="546"/>
    </row>
    <row r="243" spans="2:7" s="12" customFormat="1" x14ac:dyDescent="0.25">
      <c r="B243" s="547">
        <f t="shared" si="13"/>
        <v>208</v>
      </c>
      <c r="C243" s="579"/>
      <c r="D243" s="579" t="str">
        <f>DESPORC!D260</f>
        <v>Conselho Tut.: Materiais de Consumo</v>
      </c>
      <c r="E243" s="583">
        <f>'BASE TRIENAL DESPESAS'!H127</f>
        <v>12261.045</v>
      </c>
      <c r="F243" s="579"/>
      <c r="G243" s="579"/>
    </row>
    <row r="244" spans="2:7" x14ac:dyDescent="0.25">
      <c r="B244" s="547">
        <f t="shared" si="13"/>
        <v>209</v>
      </c>
      <c r="C244" s="546"/>
      <c r="D244" s="546" t="str">
        <f>DESPORC!D261</f>
        <v>Material P/Manutenção de Prédios - Aq. Imediata</v>
      </c>
      <c r="E244" s="584">
        <v>0</v>
      </c>
      <c r="F244" s="546"/>
      <c r="G244" s="546"/>
    </row>
    <row r="245" spans="2:7" x14ac:dyDescent="0.25">
      <c r="B245" s="547">
        <f t="shared" si="13"/>
        <v>210</v>
      </c>
      <c r="C245" s="546"/>
      <c r="D245" s="546" t="str">
        <f>DESPORC!D262</f>
        <v>Generos Alimentícios - Aq. Imediata</v>
      </c>
      <c r="E245" s="584">
        <v>0</v>
      </c>
      <c r="F245" s="546"/>
      <c r="G245" s="546"/>
    </row>
    <row r="246" spans="2:7" x14ac:dyDescent="0.25">
      <c r="B246" s="547">
        <f t="shared" si="13"/>
        <v>211</v>
      </c>
      <c r="C246" s="546"/>
      <c r="D246" s="546" t="str">
        <f>DESPORC!D263</f>
        <v>Generos Alimentícios - Almoxarifado</v>
      </c>
      <c r="E246" s="584">
        <v>0</v>
      </c>
      <c r="F246" s="546"/>
      <c r="G246" s="546"/>
    </row>
    <row r="247" spans="2:7" x14ac:dyDescent="0.25">
      <c r="B247" s="547">
        <f t="shared" si="13"/>
        <v>212</v>
      </c>
      <c r="C247" s="546"/>
      <c r="D247" s="546" t="str">
        <f>DESPORC!D264</f>
        <v>Material de Expediente - Aq. Imediata</v>
      </c>
      <c r="E247" s="584">
        <v>0</v>
      </c>
      <c r="F247" s="546"/>
      <c r="G247" s="546"/>
    </row>
    <row r="248" spans="2:7" x14ac:dyDescent="0.25">
      <c r="B248" s="547">
        <f t="shared" si="13"/>
        <v>213</v>
      </c>
      <c r="C248" s="546"/>
      <c r="D248" s="546" t="str">
        <f>DESPORC!D265</f>
        <v>Material de Expediente - Almoxarifado</v>
      </c>
      <c r="E248" s="584">
        <v>0</v>
      </c>
      <c r="F248" s="546"/>
      <c r="G248" s="546"/>
    </row>
    <row r="249" spans="2:7" x14ac:dyDescent="0.25">
      <c r="B249" s="547">
        <f t="shared" si="13"/>
        <v>214</v>
      </c>
      <c r="C249" s="546"/>
      <c r="D249" s="546" t="str">
        <f>DESPORC!D266</f>
        <v>Material de Copa e Cozinha - Aq. Imediata</v>
      </c>
      <c r="E249" s="584">
        <v>0</v>
      </c>
      <c r="F249" s="546"/>
      <c r="G249" s="546"/>
    </row>
    <row r="250" spans="2:7" x14ac:dyDescent="0.25">
      <c r="B250" s="547">
        <f t="shared" si="13"/>
        <v>215</v>
      </c>
      <c r="C250" s="546"/>
      <c r="D250" s="546" t="str">
        <f>DESPORC!D267</f>
        <v>Material de Copa e Cozinha - Almoxarifado</v>
      </c>
      <c r="E250" s="584">
        <v>0</v>
      </c>
      <c r="F250" s="546"/>
      <c r="G250" s="546"/>
    </row>
    <row r="251" spans="2:7" x14ac:dyDescent="0.25">
      <c r="B251" s="547">
        <f t="shared" si="13"/>
        <v>216</v>
      </c>
      <c r="C251" s="546"/>
      <c r="D251" s="546" t="str">
        <f>DESPORC!D268</f>
        <v>Material de Limpeza e Higienaização - Aq. Imediata</v>
      </c>
      <c r="E251" s="584">
        <v>0</v>
      </c>
      <c r="F251" s="546"/>
      <c r="G251" s="546"/>
    </row>
    <row r="252" spans="2:7" x14ac:dyDescent="0.25">
      <c r="B252" s="547">
        <f t="shared" si="13"/>
        <v>217</v>
      </c>
      <c r="C252" s="546"/>
      <c r="D252" s="546" t="str">
        <f>DESPORC!D269</f>
        <v>Material de Limpeza e Higienaização - Almoxarifado</v>
      </c>
      <c r="E252" s="584">
        <v>0</v>
      </c>
      <c r="F252" s="546"/>
      <c r="G252" s="546"/>
    </row>
    <row r="253" spans="2:7" x14ac:dyDescent="0.25">
      <c r="B253" s="547">
        <f t="shared" si="13"/>
        <v>218</v>
      </c>
      <c r="C253" s="546"/>
      <c r="D253" s="546" t="str">
        <f>DESPORC!D270</f>
        <v>Graxas e Lubrificantes ITP 0262 - Aq. Imediata</v>
      </c>
      <c r="E253" s="584">
        <v>0</v>
      </c>
      <c r="F253" s="546"/>
      <c r="G253" s="546"/>
    </row>
    <row r="254" spans="2:7" x14ac:dyDescent="0.25">
      <c r="B254" s="547">
        <f t="shared" si="13"/>
        <v>219</v>
      </c>
      <c r="C254" s="546"/>
      <c r="D254" s="546" t="str">
        <f>DESPORC!D271</f>
        <v>Materiais e Autopecas ITP 0262 - Aq. Imediata</v>
      </c>
      <c r="E254" s="584">
        <v>0</v>
      </c>
      <c r="F254" s="546"/>
      <c r="G254" s="546"/>
    </row>
    <row r="255" spans="2:7" x14ac:dyDescent="0.25">
      <c r="B255" s="547">
        <f t="shared" si="13"/>
        <v>220</v>
      </c>
      <c r="C255" s="546"/>
      <c r="D255" s="546" t="str">
        <f>DESPORC!D272</f>
        <v>Gas de Cozinha -  Aq. Imediata</v>
      </c>
      <c r="E255" s="584">
        <v>0</v>
      </c>
      <c r="F255" s="546"/>
      <c r="G255" s="546"/>
    </row>
    <row r="256" spans="2:7" x14ac:dyDescent="0.25">
      <c r="B256" s="547">
        <f t="shared" si="13"/>
        <v>221</v>
      </c>
      <c r="C256" s="546"/>
      <c r="D256" s="546" t="s">
        <v>6909</v>
      </c>
      <c r="E256" s="584">
        <v>0</v>
      </c>
      <c r="F256" s="546"/>
      <c r="G256" s="546"/>
    </row>
    <row r="257" spans="2:7" s="12" customFormat="1" x14ac:dyDescent="0.25">
      <c r="B257" s="547">
        <f t="shared" si="13"/>
        <v>222</v>
      </c>
      <c r="C257" s="579"/>
      <c r="D257" s="579" t="str">
        <f>DESPORC!D273</f>
        <v>Conselho Tut.: Despesas com Locomocao</v>
      </c>
      <c r="E257" s="580">
        <v>0.01</v>
      </c>
      <c r="F257" s="579"/>
      <c r="G257" s="579"/>
    </row>
    <row r="258" spans="2:7" s="12" customFormat="1" x14ac:dyDescent="0.25">
      <c r="B258" s="547">
        <f t="shared" si="13"/>
        <v>223</v>
      </c>
      <c r="C258" s="579"/>
      <c r="D258" s="579" t="str">
        <f>DESPORC!D274</f>
        <v>Conselho Tut.: Servicos de Consultoria</v>
      </c>
      <c r="E258" s="580">
        <v>0.01</v>
      </c>
      <c r="F258" s="579"/>
      <c r="G258" s="579"/>
    </row>
    <row r="259" spans="2:7" s="12" customFormat="1" x14ac:dyDescent="0.25">
      <c r="B259" s="547">
        <f t="shared" si="13"/>
        <v>224</v>
      </c>
      <c r="C259" s="579"/>
      <c r="D259" s="579" t="str">
        <f>DESPORC!D275</f>
        <v>Conselho Tut.: Prest. de Serv. P. Física</v>
      </c>
      <c r="E259" s="583">
        <f>'BASE TRIENAL DESPESAS'!H131</f>
        <v>22360.994999999999</v>
      </c>
      <c r="F259" s="579"/>
      <c r="G259" s="579"/>
    </row>
    <row r="260" spans="2:7" x14ac:dyDescent="0.25">
      <c r="B260" s="547">
        <f t="shared" si="13"/>
        <v>225</v>
      </c>
      <c r="C260" s="546"/>
      <c r="D260" s="546" t="str">
        <f>DESPORC!D276</f>
        <v>Locação de Imóveis</v>
      </c>
      <c r="E260" s="584">
        <v>0</v>
      </c>
      <c r="F260" s="546"/>
      <c r="G260" s="546"/>
    </row>
    <row r="261" spans="2:7" s="12" customFormat="1" x14ac:dyDescent="0.25">
      <c r="B261" s="547">
        <f t="shared" si="13"/>
        <v>226</v>
      </c>
      <c r="C261" s="579"/>
      <c r="D261" s="579" t="str">
        <f>DESPORC!D277</f>
        <v>Conselho Tut.: Prest. de Serv. P. Jurídica</v>
      </c>
      <c r="E261" s="583">
        <f>'BASE TRIENAL DESPESAS'!H132</f>
        <v>9470.1450000000004</v>
      </c>
      <c r="F261" s="579"/>
      <c r="G261" s="579"/>
    </row>
    <row r="262" spans="2:7" x14ac:dyDescent="0.25">
      <c r="B262" s="547">
        <f t="shared" si="13"/>
        <v>227</v>
      </c>
      <c r="C262" s="546"/>
      <c r="D262" s="546" t="str">
        <f>DESPORC!D278</f>
        <v>Conta Energia Eletrica</v>
      </c>
      <c r="E262" s="584">
        <v>0</v>
      </c>
      <c r="F262" s="546"/>
      <c r="G262" s="546"/>
    </row>
    <row r="263" spans="2:7" x14ac:dyDescent="0.25">
      <c r="B263" s="547">
        <f t="shared" si="13"/>
        <v>228</v>
      </c>
      <c r="C263" s="546"/>
      <c r="D263" s="546" t="str">
        <f>DESPORC!D279</f>
        <v>Serviços Diversos</v>
      </c>
      <c r="E263" s="584">
        <v>0</v>
      </c>
      <c r="F263" s="546"/>
      <c r="G263" s="546"/>
    </row>
    <row r="264" spans="2:7" x14ac:dyDescent="0.25">
      <c r="B264" s="547">
        <f t="shared" si="13"/>
        <v>229</v>
      </c>
      <c r="C264" s="546"/>
      <c r="D264" s="546" t="str">
        <f>DESPORC!D280</f>
        <v>Conta Telefone Fixo</v>
      </c>
      <c r="E264" s="584">
        <v>0</v>
      </c>
      <c r="F264" s="546"/>
      <c r="G264" s="546"/>
    </row>
    <row r="265" spans="2:7" x14ac:dyDescent="0.25">
      <c r="B265" s="547">
        <f t="shared" si="13"/>
        <v>230</v>
      </c>
      <c r="C265" s="546"/>
      <c r="D265" s="546" t="str">
        <f>DESPORC!D281</f>
        <v>Conta Agua</v>
      </c>
      <c r="E265" s="584">
        <v>0</v>
      </c>
      <c r="F265" s="546"/>
      <c r="G265" s="546"/>
    </row>
    <row r="266" spans="2:7" x14ac:dyDescent="0.25">
      <c r="B266" s="547">
        <f t="shared" si="13"/>
        <v>231</v>
      </c>
      <c r="C266" s="546"/>
      <c r="D266" s="546" t="s">
        <v>6910</v>
      </c>
      <c r="E266" s="584">
        <v>0</v>
      </c>
      <c r="F266" s="546"/>
      <c r="G266" s="546"/>
    </row>
    <row r="267" spans="2:7" s="12" customFormat="1" x14ac:dyDescent="0.25">
      <c r="B267" s="547">
        <f t="shared" si="13"/>
        <v>232</v>
      </c>
      <c r="C267" s="579"/>
      <c r="D267" s="579" t="str">
        <f>DESPORC!D282</f>
        <v>Conselho Tut.: Auxilio-Alimentacao</v>
      </c>
      <c r="E267" s="583">
        <f>'BASE TRIENAL DESPESAS'!H135</f>
        <v>30912</v>
      </c>
      <c r="F267" s="579"/>
      <c r="G267" s="579"/>
    </row>
    <row r="268" spans="2:7" x14ac:dyDescent="0.25">
      <c r="B268" s="547">
        <f t="shared" si="13"/>
        <v>233</v>
      </c>
      <c r="C268" s="546"/>
      <c r="D268" s="546" t="str">
        <f>DESPORC!D283</f>
        <v>Indenização Auxilio-Alimentacao</v>
      </c>
      <c r="E268" s="584">
        <v>0</v>
      </c>
      <c r="F268" s="546"/>
      <c r="G268" s="546"/>
    </row>
    <row r="269" spans="2:7" s="12" customFormat="1" x14ac:dyDescent="0.25">
      <c r="B269" s="547">
        <f t="shared" si="13"/>
        <v>234</v>
      </c>
      <c r="C269" s="579"/>
      <c r="D269" s="579" t="str">
        <f>DESPORC!D284</f>
        <v>Conselho Tut.: Obrig Tributaveis</v>
      </c>
      <c r="E269" s="579">
        <v>100</v>
      </c>
      <c r="F269" s="579"/>
      <c r="G269" s="579"/>
    </row>
    <row r="270" spans="2:7" s="12" customFormat="1" x14ac:dyDescent="0.25">
      <c r="B270" s="547">
        <f t="shared" si="13"/>
        <v>235</v>
      </c>
      <c r="C270" s="579"/>
      <c r="D270" s="579" t="str">
        <f>DESPORC!D285</f>
        <v>Conselho Tut.: Auxilio-Transporte</v>
      </c>
      <c r="E270" s="579">
        <v>0.01</v>
      </c>
      <c r="F270" s="579"/>
      <c r="G270" s="579"/>
    </row>
    <row r="271" spans="2:7" s="12" customFormat="1" x14ac:dyDescent="0.25">
      <c r="B271" s="547">
        <f t="shared" si="13"/>
        <v>236</v>
      </c>
      <c r="C271" s="579"/>
      <c r="D271" s="579" t="str">
        <f>DESPORC!D286</f>
        <v>Conselho Tut.: Despesas de Exercícios Anteriores</v>
      </c>
      <c r="E271" s="579">
        <v>0.01</v>
      </c>
      <c r="F271" s="579"/>
      <c r="G271" s="579"/>
    </row>
    <row r="272" spans="2:7" s="12" customFormat="1" x14ac:dyDescent="0.25">
      <c r="B272" s="547">
        <f t="shared" si="13"/>
        <v>237</v>
      </c>
      <c r="C272" s="579"/>
      <c r="D272" s="579" t="str">
        <f>DESPORC!D287</f>
        <v>Conselho Tut.: Ressarcimento de Despesas</v>
      </c>
      <c r="E272" s="579">
        <v>0.01</v>
      </c>
      <c r="F272" s="579"/>
      <c r="G272" s="579"/>
    </row>
    <row r="273" spans="2:7" s="12" customFormat="1" x14ac:dyDescent="0.25">
      <c r="B273" s="547">
        <f t="shared" si="13"/>
        <v>238</v>
      </c>
      <c r="C273" s="579"/>
      <c r="D273" s="579" t="str">
        <f>DESPORC!D288</f>
        <v>Conselho Tut.: Materiais Adquiridos Através de Consórcio</v>
      </c>
      <c r="E273" s="579">
        <v>0.01</v>
      </c>
      <c r="F273" s="579"/>
      <c r="G273" s="579"/>
    </row>
    <row r="274" spans="2:7" s="12" customFormat="1" x14ac:dyDescent="0.25">
      <c r="B274" s="547">
        <f t="shared" ref="B274:B337" si="14">B273+1</f>
        <v>239</v>
      </c>
      <c r="C274" s="579"/>
      <c r="D274" s="579" t="str">
        <f>DESPORC!D289</f>
        <v>Conselho Tut.: Obras e Instalações</v>
      </c>
      <c r="E274" s="579">
        <v>0.01</v>
      </c>
      <c r="F274" s="579"/>
      <c r="G274" s="579"/>
    </row>
    <row r="275" spans="2:7" s="12" customFormat="1" x14ac:dyDescent="0.25">
      <c r="B275" s="547">
        <f t="shared" si="14"/>
        <v>240</v>
      </c>
      <c r="C275" s="579"/>
      <c r="D275" s="579" t="str">
        <f>DESPORC!D290</f>
        <v>Conselho Tut.: Equipamentos e Material Permanente</v>
      </c>
      <c r="E275" s="579">
        <v>0.01</v>
      </c>
      <c r="F275" s="579"/>
      <c r="G275" s="579"/>
    </row>
    <row r="276" spans="2:7" x14ac:dyDescent="0.25">
      <c r="B276" s="547">
        <f t="shared" si="14"/>
        <v>241</v>
      </c>
      <c r="C276" s="546"/>
      <c r="D276" s="546" t="str">
        <f>DESPORC!D291</f>
        <v>Conselho Tut.: Equipamentos de Informática</v>
      </c>
      <c r="E276" s="584">
        <v>0</v>
      </c>
      <c r="F276" s="546"/>
      <c r="G276" s="546"/>
    </row>
    <row r="277" spans="2:7" s="12" customFormat="1" x14ac:dyDescent="0.25">
      <c r="B277" s="547">
        <f t="shared" si="14"/>
        <v>242</v>
      </c>
      <c r="C277" s="579"/>
      <c r="D277" s="579" t="str">
        <f>DESPORC!D309</f>
        <v>Tecnologia da Informação</v>
      </c>
      <c r="E277" s="582"/>
      <c r="F277" s="579"/>
      <c r="G277" s="579"/>
    </row>
    <row r="278" spans="2:7" s="12" customFormat="1" x14ac:dyDescent="0.25">
      <c r="B278" s="547">
        <f t="shared" si="14"/>
        <v>243</v>
      </c>
      <c r="C278" s="579" t="s">
        <v>4225</v>
      </c>
      <c r="D278" s="579" t="str">
        <f>DESPORC!D295</f>
        <v>Apoio ao Conselho Tutelar</v>
      </c>
      <c r="E278" s="582"/>
      <c r="F278" s="579"/>
      <c r="G278" s="579"/>
    </row>
    <row r="279" spans="2:7" s="12" customFormat="1" x14ac:dyDescent="0.25">
      <c r="B279" s="547">
        <f t="shared" si="14"/>
        <v>244</v>
      </c>
      <c r="C279" s="579"/>
      <c r="D279" s="579" t="str">
        <f>DESPORC!D296</f>
        <v>Conselho Tut.: Serviços de Tecnologia da Informação e Comunicação - PJ</v>
      </c>
      <c r="E279" s="582"/>
      <c r="F279" s="579"/>
      <c r="G279" s="579"/>
    </row>
    <row r="280" spans="2:7" x14ac:dyDescent="0.25">
      <c r="B280" s="547">
        <f t="shared" si="14"/>
        <v>245</v>
      </c>
      <c r="C280" s="546"/>
      <c r="D280" s="546" t="str">
        <f>DESPORC!D297</f>
        <v>Locação de Sistemas de Informática</v>
      </c>
      <c r="E280" s="584">
        <v>0.01</v>
      </c>
      <c r="F280" s="546"/>
      <c r="G280" s="546"/>
    </row>
    <row r="281" spans="2:7" x14ac:dyDescent="0.25">
      <c r="B281" s="547">
        <f t="shared" si="14"/>
        <v>246</v>
      </c>
      <c r="C281" s="546"/>
      <c r="D281" s="546" t="str">
        <f>DESPORC!D298</f>
        <v>Suporte de Infraestrutura de T.I.C.</v>
      </c>
      <c r="E281" s="584">
        <v>0.01</v>
      </c>
      <c r="F281" s="546"/>
      <c r="G281" s="546"/>
    </row>
    <row r="282" spans="2:7" x14ac:dyDescent="0.25">
      <c r="B282" s="547">
        <f t="shared" si="14"/>
        <v>247</v>
      </c>
      <c r="C282" s="546"/>
      <c r="D282" s="546" t="str">
        <f>DESPORC!D299</f>
        <v>Manutencao e Conservacao de Equipamentos de T.I.C.</v>
      </c>
      <c r="E282" s="584">
        <v>0.01</v>
      </c>
      <c r="F282" s="546"/>
      <c r="G282" s="546"/>
    </row>
    <row r="283" spans="2:7" x14ac:dyDescent="0.25">
      <c r="B283" s="547">
        <f t="shared" si="14"/>
        <v>248</v>
      </c>
      <c r="C283" s="546"/>
      <c r="D283" s="546" t="str">
        <f>DESPORC!D300</f>
        <v>Outros Serviços de T.I.C.</v>
      </c>
      <c r="E283" s="584">
        <f>'BASE TRIENAL DESPESAS'!H134</f>
        <v>1218.72</v>
      </c>
      <c r="F283" s="546"/>
      <c r="G283" s="546"/>
    </row>
    <row r="284" spans="2:7" s="12" customFormat="1" x14ac:dyDescent="0.25">
      <c r="B284" s="547">
        <f t="shared" si="14"/>
        <v>249</v>
      </c>
      <c r="C284" s="579" t="s">
        <v>4225</v>
      </c>
      <c r="D284" s="579" t="str">
        <f>DESPORC!D304</f>
        <v>Apoio ao Conselho Tutelar</v>
      </c>
      <c r="E284" s="582"/>
      <c r="F284" s="579"/>
      <c r="G284" s="579"/>
    </row>
    <row r="285" spans="2:7" ht="15.75" x14ac:dyDescent="0.25">
      <c r="B285" s="547">
        <f t="shared" si="14"/>
        <v>250</v>
      </c>
      <c r="D285" s="624" t="s">
        <v>5105</v>
      </c>
      <c r="E285" s="630">
        <v>0.01</v>
      </c>
    </row>
    <row r="286" spans="2:7" ht="15.75" x14ac:dyDescent="0.25">
      <c r="B286" s="547">
        <f t="shared" si="14"/>
        <v>251</v>
      </c>
      <c r="D286" s="624" t="s">
        <v>5106</v>
      </c>
      <c r="E286" s="630">
        <v>0.01</v>
      </c>
    </row>
    <row r="287" spans="2:7" ht="15.75" x14ac:dyDescent="0.25">
      <c r="B287" s="547">
        <f t="shared" si="14"/>
        <v>252</v>
      </c>
      <c r="D287" s="624" t="s">
        <v>5107</v>
      </c>
      <c r="E287" s="630">
        <v>0.01</v>
      </c>
    </row>
    <row r="288" spans="2:7" s="12" customFormat="1" x14ac:dyDescent="0.25">
      <c r="B288" s="547">
        <f t="shared" si="14"/>
        <v>253</v>
      </c>
      <c r="C288" s="579"/>
      <c r="D288" s="579" t="str">
        <f>DESPORC!D318</f>
        <v>GESTÃO E DESENV. DA PROT. E SEGURANÇA DA POPULACAO</v>
      </c>
      <c r="E288" s="582"/>
      <c r="F288" s="579"/>
      <c r="G288" s="579"/>
    </row>
    <row r="289" spans="2:7" s="12" customFormat="1" x14ac:dyDescent="0.25">
      <c r="B289" s="547">
        <f t="shared" si="14"/>
        <v>254</v>
      </c>
      <c r="C289" s="579"/>
      <c r="D289" s="579" t="str">
        <f>DESPORC!D309</f>
        <v>Tecnologia da Informação</v>
      </c>
      <c r="E289" s="582"/>
      <c r="F289" s="579"/>
      <c r="G289" s="579"/>
    </row>
    <row r="290" spans="2:7" s="12" customFormat="1" x14ac:dyDescent="0.25">
      <c r="B290" s="547">
        <f t="shared" si="14"/>
        <v>255</v>
      </c>
      <c r="C290" s="579" t="s">
        <v>4226</v>
      </c>
      <c r="D290" s="579" t="str">
        <f>DESPORC!D311</f>
        <v>APOIO A SEGURANÇA PÚBLICA</v>
      </c>
      <c r="E290" s="582"/>
      <c r="F290" s="579"/>
      <c r="G290" s="579"/>
    </row>
    <row r="291" spans="2:7" s="12" customFormat="1" x14ac:dyDescent="0.25">
      <c r="B291" s="547">
        <f t="shared" si="14"/>
        <v>256</v>
      </c>
      <c r="C291" s="579"/>
      <c r="D291" s="579" t="str">
        <f>DESPORC!D312</f>
        <v>Apoio a Brigada Militar: Serviços de Tecnologia da Informação e Comunicação - PJ</v>
      </c>
      <c r="E291" s="582"/>
      <c r="F291" s="579"/>
      <c r="G291" s="579"/>
    </row>
    <row r="292" spans="2:7" x14ac:dyDescent="0.25">
      <c r="B292" s="547">
        <f t="shared" si="14"/>
        <v>257</v>
      </c>
      <c r="C292" s="546"/>
      <c r="D292" s="546" t="str">
        <f>DESPORC!D313</f>
        <v>Suporte de Infraestrutura de T.I.C.</v>
      </c>
      <c r="E292" s="584">
        <v>0.01</v>
      </c>
      <c r="F292" s="546"/>
      <c r="G292" s="546"/>
    </row>
    <row r="293" spans="2:7" x14ac:dyDescent="0.25">
      <c r="B293" s="547">
        <f t="shared" si="14"/>
        <v>258</v>
      </c>
      <c r="C293" s="546"/>
      <c r="D293" s="546" t="str">
        <f>DESPORC!D314</f>
        <v>Manutencao e Conservacao de Equipamentos de T.I.C.</v>
      </c>
      <c r="E293" s="584">
        <f>'BASE TRIENAL DESPESAS'!H100</f>
        <v>1529.625</v>
      </c>
      <c r="F293" s="546"/>
      <c r="G293" s="546"/>
    </row>
    <row r="294" spans="2:7" x14ac:dyDescent="0.25">
      <c r="B294" s="547">
        <f t="shared" si="14"/>
        <v>259</v>
      </c>
      <c r="C294" s="546"/>
      <c r="D294" s="546" t="str">
        <f>DESPORC!D315</f>
        <v>Outros Serviços de T.I.C.</v>
      </c>
      <c r="E294" s="584">
        <v>0.01</v>
      </c>
      <c r="F294" s="546"/>
      <c r="G294" s="546"/>
    </row>
    <row r="295" spans="2:7" s="12" customFormat="1" x14ac:dyDescent="0.25">
      <c r="B295" s="547">
        <f t="shared" si="14"/>
        <v>260</v>
      </c>
      <c r="C295" s="579" t="s">
        <v>4226</v>
      </c>
      <c r="D295" s="579" t="str">
        <f>DESPORC!D319</f>
        <v>APOIO A SEGURANÇA PÚBLICA</v>
      </c>
      <c r="E295" s="582"/>
      <c r="F295" s="579"/>
      <c r="G295" s="579"/>
    </row>
    <row r="296" spans="2:7" s="12" customFormat="1" x14ac:dyDescent="0.25">
      <c r="B296" s="547">
        <f t="shared" si="14"/>
        <v>261</v>
      </c>
      <c r="C296" s="579"/>
      <c r="D296" s="579" t="str">
        <f>DESPORC!D320</f>
        <v>Apoio a Brigada Militar: Material De Consumo</v>
      </c>
      <c r="E296" s="582">
        <f>'BASE TRIENAL DESPESAS'!I97</f>
        <v>2628.4549999999999</v>
      </c>
      <c r="F296" s="579"/>
      <c r="G296" s="579"/>
    </row>
    <row r="297" spans="2:7" x14ac:dyDescent="0.25">
      <c r="B297" s="547">
        <f t="shared" si="14"/>
        <v>262</v>
      </c>
      <c r="C297" s="546"/>
      <c r="D297" s="546" t="str">
        <f>DESPORC!D321</f>
        <v>Material P/Manutencao de Bens Imoveis</v>
      </c>
      <c r="E297" s="584">
        <v>0</v>
      </c>
      <c r="F297" s="546"/>
      <c r="G297" s="546"/>
    </row>
    <row r="298" spans="2:7" x14ac:dyDescent="0.25">
      <c r="B298" s="547">
        <f t="shared" si="14"/>
        <v>263</v>
      </c>
      <c r="C298" s="546"/>
      <c r="D298" s="546" t="str">
        <f>DESPORC!D322</f>
        <v>Generos De Alimentacao</v>
      </c>
      <c r="E298" s="584">
        <v>0</v>
      </c>
      <c r="F298" s="546"/>
      <c r="G298" s="546"/>
    </row>
    <row r="299" spans="2:7" x14ac:dyDescent="0.25">
      <c r="B299" s="547">
        <f t="shared" si="14"/>
        <v>264</v>
      </c>
      <c r="C299" s="546"/>
      <c r="D299" s="546" t="str">
        <f>DESPORC!D323</f>
        <v>Material Eletrico</v>
      </c>
      <c r="E299" s="584">
        <v>0</v>
      </c>
      <c r="F299" s="546"/>
      <c r="G299" s="546"/>
    </row>
    <row r="300" spans="2:7" x14ac:dyDescent="0.25">
      <c r="B300" s="547">
        <f t="shared" si="14"/>
        <v>265</v>
      </c>
      <c r="C300" s="546"/>
      <c r="D300" s="546" t="str">
        <f>DESPORC!D324</f>
        <v>Material Diversos</v>
      </c>
      <c r="E300" s="584">
        <v>0</v>
      </c>
      <c r="F300" s="546"/>
      <c r="G300" s="546"/>
    </row>
    <row r="301" spans="2:7" x14ac:dyDescent="0.25">
      <c r="B301" s="547">
        <f t="shared" si="14"/>
        <v>266</v>
      </c>
      <c r="C301" s="546"/>
      <c r="D301" s="546" t="str">
        <f>DESPORC!D325</f>
        <v>Gas de Cozinha</v>
      </c>
      <c r="E301" s="584">
        <v>0</v>
      </c>
      <c r="F301" s="546"/>
      <c r="G301" s="546"/>
    </row>
    <row r="302" spans="2:7" x14ac:dyDescent="0.25">
      <c r="B302" s="547">
        <f t="shared" si="14"/>
        <v>267</v>
      </c>
      <c r="C302" s="546"/>
      <c r="D302" s="546" t="str">
        <f>DESPORC!D326</f>
        <v>Material e Peças P/Veiculo Brigada Militar</v>
      </c>
      <c r="E302" s="584">
        <v>0</v>
      </c>
      <c r="F302" s="546"/>
      <c r="G302" s="546"/>
    </row>
    <row r="303" spans="2:7" s="12" customFormat="1" x14ac:dyDescent="0.25">
      <c r="B303" s="547">
        <f t="shared" si="14"/>
        <v>268</v>
      </c>
      <c r="C303" s="579"/>
      <c r="D303" s="579" t="str">
        <f>DESPORC!D327</f>
        <v>Apoio a Brigada Militar: Servicos De - Pessoa Fisica</v>
      </c>
      <c r="E303" s="582">
        <f>'BASE TRIENAL DESPESAS'!I98</f>
        <v>12046.286666666667</v>
      </c>
      <c r="F303" s="579"/>
      <c r="G303" s="579"/>
    </row>
    <row r="304" spans="2:7" x14ac:dyDescent="0.25">
      <c r="B304" s="547">
        <f t="shared" si="14"/>
        <v>269</v>
      </c>
      <c r="C304" s="546"/>
      <c r="D304" s="546" t="str">
        <f>DESPORC!D328</f>
        <v>Locação de Imóveis</v>
      </c>
      <c r="E304" s="584">
        <v>0</v>
      </c>
      <c r="F304" s="546"/>
      <c r="G304" s="546"/>
    </row>
    <row r="305" spans="2:7" s="12" customFormat="1" x14ac:dyDescent="0.25">
      <c r="B305" s="547">
        <f t="shared" si="14"/>
        <v>270</v>
      </c>
      <c r="C305" s="579"/>
      <c r="D305" s="579" t="str">
        <f>DESPORC!D329</f>
        <v>Apoio a Brigada Militar: Servicos  Pessoa Jurídica</v>
      </c>
      <c r="E305" s="582">
        <f>'BASE TRIENAL DESPESAS'!H99</f>
        <v>5400</v>
      </c>
      <c r="F305" s="579"/>
      <c r="G305" s="579"/>
    </row>
    <row r="306" spans="2:7" x14ac:dyDescent="0.25">
      <c r="B306" s="547">
        <f t="shared" si="14"/>
        <v>271</v>
      </c>
      <c r="C306" s="546"/>
      <c r="D306" s="546" t="str">
        <f>DESPORC!D330</f>
        <v>Conta de Energia Eletrica Brigada Militar</v>
      </c>
      <c r="E306" s="584">
        <v>0</v>
      </c>
      <c r="F306" s="546"/>
      <c r="G306" s="546"/>
    </row>
    <row r="307" spans="2:7" x14ac:dyDescent="0.25">
      <c r="B307" s="547">
        <f t="shared" si="14"/>
        <v>272</v>
      </c>
      <c r="C307" s="546"/>
      <c r="D307" s="546" t="str">
        <f>DESPORC!D331</f>
        <v>Conta de Agua Brigada Militar</v>
      </c>
      <c r="E307" s="584">
        <v>0</v>
      </c>
      <c r="F307" s="546"/>
      <c r="G307" s="546"/>
    </row>
    <row r="308" spans="2:7" x14ac:dyDescent="0.25">
      <c r="B308" s="547">
        <f t="shared" si="14"/>
        <v>273</v>
      </c>
      <c r="C308" s="546"/>
      <c r="D308" s="546" t="str">
        <f>DESPORC!D332</f>
        <v>Manutenção Veiculo Brigada Militar</v>
      </c>
      <c r="E308" s="584">
        <v>0</v>
      </c>
      <c r="F308" s="546"/>
      <c r="G308" s="546"/>
    </row>
    <row r="309" spans="2:7" x14ac:dyDescent="0.25">
      <c r="B309" s="547">
        <f t="shared" si="14"/>
        <v>274</v>
      </c>
      <c r="C309" s="546"/>
      <c r="D309" s="546" t="str">
        <f>DESPORC!D333</f>
        <v>Serviços Tecnicos Profissionais Brigada Militar</v>
      </c>
      <c r="E309" s="584">
        <v>0</v>
      </c>
      <c r="F309" s="546"/>
      <c r="G309" s="546"/>
    </row>
    <row r="310" spans="2:7" x14ac:dyDescent="0.25">
      <c r="B310" s="547">
        <f t="shared" si="14"/>
        <v>275</v>
      </c>
      <c r="C310" s="546"/>
      <c r="D310" s="546" t="str">
        <f>DESPORC!D334</f>
        <v>Despesa com Fretes e Encomendas - Brigada Militar</v>
      </c>
      <c r="E310" s="584">
        <v>0</v>
      </c>
      <c r="F310" s="546"/>
      <c r="G310" s="546"/>
    </row>
    <row r="311" spans="2:7" s="12" customFormat="1" x14ac:dyDescent="0.25">
      <c r="B311" s="547">
        <f t="shared" si="14"/>
        <v>276</v>
      </c>
      <c r="C311" s="579"/>
      <c r="D311" s="579" t="str">
        <f>DESPORC!D335</f>
        <v>Apoio a Brigada Militar: Obrigacoes Tributarias e Contributivas</v>
      </c>
      <c r="E311" s="582">
        <f>'BASE TRIENAL DESPESAS'!I101+0.01</f>
        <v>0.01</v>
      </c>
      <c r="F311" s="579"/>
      <c r="G311" s="579"/>
    </row>
    <row r="312" spans="2:7" s="12" customFormat="1" x14ac:dyDescent="0.25">
      <c r="B312" s="547">
        <f t="shared" si="14"/>
        <v>277</v>
      </c>
      <c r="C312" s="579"/>
      <c r="D312" s="579" t="str">
        <f>DESPORC!D336</f>
        <v>Apoio a Brigada Militar: Obras E Instalacoes</v>
      </c>
      <c r="E312" s="582">
        <v>0.01</v>
      </c>
      <c r="F312" s="579"/>
      <c r="G312" s="579"/>
    </row>
    <row r="313" spans="2:7" s="12" customFormat="1" x14ac:dyDescent="0.25">
      <c r="B313" s="547">
        <f t="shared" si="14"/>
        <v>278</v>
      </c>
      <c r="C313" s="579"/>
      <c r="D313" s="579" t="str">
        <f>DESPORC!D337</f>
        <v>Apoio a Brigada Militar: Equipamentos e Material Permanente</v>
      </c>
      <c r="E313" s="582">
        <v>0.01</v>
      </c>
      <c r="F313" s="579"/>
      <c r="G313" s="579"/>
    </row>
    <row r="314" spans="2:7" x14ac:dyDescent="0.25">
      <c r="B314" s="547">
        <f t="shared" si="14"/>
        <v>279</v>
      </c>
      <c r="C314" s="546"/>
      <c r="D314" s="546" t="str">
        <f>DESPORC!D338</f>
        <v>Equipamentos de Informática</v>
      </c>
      <c r="E314" s="584">
        <v>0.01</v>
      </c>
      <c r="F314" s="546"/>
      <c r="G314" s="546"/>
    </row>
    <row r="315" spans="2:7" s="12" customFormat="1" x14ac:dyDescent="0.25">
      <c r="B315" s="547">
        <f t="shared" si="14"/>
        <v>280</v>
      </c>
      <c r="C315" s="579"/>
      <c r="D315" s="579" t="s">
        <v>2026</v>
      </c>
      <c r="E315" s="582"/>
      <c r="F315" s="579"/>
      <c r="G315" s="579"/>
    </row>
    <row r="316" spans="2:7" s="12" customFormat="1" x14ac:dyDescent="0.25">
      <c r="B316" s="547">
        <f t="shared" si="14"/>
        <v>281</v>
      </c>
      <c r="C316" s="579" t="s">
        <v>4227</v>
      </c>
      <c r="D316" s="579" t="str">
        <f>DESPORC!D342</f>
        <v>PROMOÇÃO DA DEFESA CIVIL</v>
      </c>
      <c r="E316" s="582"/>
      <c r="F316" s="579"/>
      <c r="G316" s="579"/>
    </row>
    <row r="317" spans="2:7" ht="15.75" x14ac:dyDescent="0.25">
      <c r="B317" s="547">
        <f t="shared" si="14"/>
        <v>282</v>
      </c>
      <c r="D317" s="624" t="s">
        <v>5105</v>
      </c>
      <c r="E317" s="630">
        <v>0.01</v>
      </c>
    </row>
    <row r="318" spans="2:7" ht="15.75" x14ac:dyDescent="0.25">
      <c r="B318" s="547">
        <f t="shared" si="14"/>
        <v>283</v>
      </c>
      <c r="D318" s="624" t="s">
        <v>5106</v>
      </c>
      <c r="E318" s="630">
        <v>0.01</v>
      </c>
    </row>
    <row r="319" spans="2:7" ht="15.75" x14ac:dyDescent="0.25">
      <c r="B319" s="547">
        <f t="shared" si="14"/>
        <v>284</v>
      </c>
      <c r="D319" s="624" t="s">
        <v>5107</v>
      </c>
      <c r="E319" s="630">
        <v>0.01</v>
      </c>
    </row>
    <row r="320" spans="2:7" s="12" customFormat="1" x14ac:dyDescent="0.25">
      <c r="B320" s="547">
        <f t="shared" si="14"/>
        <v>285</v>
      </c>
      <c r="C320" s="579" t="s">
        <v>4227</v>
      </c>
      <c r="D320" s="579" t="str">
        <f>DESPORC!D349</f>
        <v>PROMOÇÃO DA DEFESA CIVIL</v>
      </c>
      <c r="E320" s="582"/>
      <c r="F320" s="579"/>
      <c r="G320" s="579"/>
    </row>
    <row r="321" spans="2:7" s="12" customFormat="1" x14ac:dyDescent="0.25">
      <c r="B321" s="547">
        <f t="shared" si="14"/>
        <v>286</v>
      </c>
      <c r="C321" s="579"/>
      <c r="D321" s="579" t="str">
        <f>DESPORC!D350</f>
        <v>Gest. e Prom. Defesa Civil: Diárias</v>
      </c>
      <c r="E321" s="582">
        <v>0.01</v>
      </c>
      <c r="F321" s="579"/>
      <c r="G321" s="579"/>
    </row>
    <row r="322" spans="2:7" x14ac:dyDescent="0.25">
      <c r="B322" s="547">
        <f t="shared" si="14"/>
        <v>287</v>
      </c>
      <c r="C322" s="546"/>
      <c r="D322" s="546" t="str">
        <f>DESPORC!D351</f>
        <v>Diárias Serv. Efetivos</v>
      </c>
      <c r="E322" s="584">
        <v>0.01</v>
      </c>
      <c r="F322" s="546"/>
      <c r="G322" s="546"/>
    </row>
    <row r="323" spans="2:7" s="12" customFormat="1" x14ac:dyDescent="0.25">
      <c r="B323" s="547">
        <f t="shared" si="14"/>
        <v>288</v>
      </c>
      <c r="C323" s="579"/>
      <c r="D323" s="579" t="str">
        <f>DESPORC!D352</f>
        <v>Gest. e Prom. Defesa Civil: Material De Consumo</v>
      </c>
      <c r="E323" s="582">
        <v>0.01</v>
      </c>
      <c r="F323" s="579"/>
      <c r="G323" s="579"/>
    </row>
    <row r="324" spans="2:7" s="12" customFormat="1" x14ac:dyDescent="0.25">
      <c r="B324" s="547">
        <f t="shared" si="14"/>
        <v>289</v>
      </c>
      <c r="C324" s="579"/>
      <c r="D324" s="579" t="str">
        <f>DESPORC!D353</f>
        <v>Gest. e Prom. Defesa Civil: Material, Bem ou Serviço para Distribuição Gratuita</v>
      </c>
      <c r="E324" s="582">
        <v>0.01</v>
      </c>
      <c r="F324" s="579"/>
      <c r="G324" s="579"/>
    </row>
    <row r="325" spans="2:7" x14ac:dyDescent="0.25">
      <c r="B325" s="547">
        <f t="shared" si="14"/>
        <v>290</v>
      </c>
      <c r="C325" s="546"/>
      <c r="D325" s="546" t="str">
        <f>DESPORC!D354</f>
        <v>Material, Bem ou Serviço para Distribuição Gratuita Diversos</v>
      </c>
      <c r="E325" s="584">
        <v>0.01</v>
      </c>
      <c r="F325" s="546"/>
      <c r="G325" s="546"/>
    </row>
    <row r="326" spans="2:7" s="12" customFormat="1" x14ac:dyDescent="0.25">
      <c r="B326" s="547">
        <f t="shared" si="14"/>
        <v>291</v>
      </c>
      <c r="C326" s="579"/>
      <c r="D326" s="579" t="str">
        <f>DESPORC!D355</f>
        <v>Gest. e Prom. Defesa Civil: Passagens e Despesas com Locomocao</v>
      </c>
      <c r="E326" s="582">
        <v>0.01</v>
      </c>
      <c r="F326" s="579"/>
      <c r="G326" s="579"/>
    </row>
    <row r="327" spans="2:7" s="12" customFormat="1" x14ac:dyDescent="0.25">
      <c r="B327" s="547">
        <f t="shared" si="14"/>
        <v>292</v>
      </c>
      <c r="C327" s="579"/>
      <c r="D327" s="579" t="str">
        <f>DESPORC!D356</f>
        <v>Gest. e Prom. Defesa Civil: Outros Servicos - Pessoa Fisica</v>
      </c>
      <c r="E327" s="582">
        <v>0.01</v>
      </c>
      <c r="F327" s="579"/>
      <c r="G327" s="579"/>
    </row>
    <row r="328" spans="2:7" s="12" customFormat="1" x14ac:dyDescent="0.25">
      <c r="B328" s="547">
        <f t="shared" si="14"/>
        <v>293</v>
      </c>
      <c r="C328" s="579"/>
      <c r="D328" s="579" t="str">
        <f>DESPORC!D357</f>
        <v>Gest. e Prom. Defesa Civil: Outros Servicos - Pessoa Jurídica</v>
      </c>
      <c r="E328" s="582">
        <v>0.01</v>
      </c>
      <c r="F328" s="579"/>
      <c r="G328" s="579"/>
    </row>
    <row r="329" spans="2:7" s="12" customFormat="1" x14ac:dyDescent="0.25">
      <c r="B329" s="547">
        <f t="shared" si="14"/>
        <v>294</v>
      </c>
      <c r="C329" s="579"/>
      <c r="D329" s="579" t="str">
        <f>DESPORC!D358</f>
        <v>Gest. e Prom. Defesa Civil: Obrigacoes Tributarias e Contributivas</v>
      </c>
      <c r="E329" s="582">
        <v>0.01</v>
      </c>
      <c r="F329" s="579"/>
      <c r="G329" s="579"/>
    </row>
    <row r="330" spans="2:7" s="12" customFormat="1" x14ac:dyDescent="0.25">
      <c r="B330" s="547">
        <f t="shared" si="14"/>
        <v>295</v>
      </c>
      <c r="C330" s="579"/>
      <c r="D330" s="579" t="str">
        <f>DESPORC!D359</f>
        <v>Gest. e Prom. Defesa Civil: Ressarcimento de Despesas</v>
      </c>
      <c r="E330" s="582">
        <v>0.01</v>
      </c>
      <c r="F330" s="579"/>
      <c r="G330" s="579"/>
    </row>
    <row r="331" spans="2:7" s="12" customFormat="1" x14ac:dyDescent="0.25">
      <c r="B331" s="547">
        <f t="shared" si="14"/>
        <v>296</v>
      </c>
      <c r="C331" s="579"/>
      <c r="D331" s="579" t="str">
        <f>DESPORC!D360</f>
        <v>Gest. e Prom. Defesa Civil: Obras e Instalacoes</v>
      </c>
      <c r="E331" s="582">
        <v>0.01</v>
      </c>
      <c r="F331" s="579"/>
      <c r="G331" s="579"/>
    </row>
    <row r="332" spans="2:7" s="12" customFormat="1" x14ac:dyDescent="0.25">
      <c r="B332" s="547">
        <f t="shared" si="14"/>
        <v>297</v>
      </c>
      <c r="C332" s="579"/>
      <c r="D332" s="579" t="str">
        <f>DESPORC!D361</f>
        <v>Gest. e Prom. Defesa Civil: Equipamentos e Material Permanente</v>
      </c>
      <c r="E332" s="582">
        <v>0.01</v>
      </c>
      <c r="F332" s="579"/>
      <c r="G332" s="579"/>
    </row>
    <row r="333" spans="2:7" s="12" customFormat="1" ht="21" x14ac:dyDescent="0.35">
      <c r="B333" s="547">
        <f t="shared" si="14"/>
        <v>298</v>
      </c>
      <c r="C333" s="546"/>
      <c r="D333" s="706" t="s">
        <v>4228</v>
      </c>
      <c r="E333" s="546"/>
      <c r="F333" s="546"/>
      <c r="G333" s="546"/>
    </row>
    <row r="334" spans="2:7" x14ac:dyDescent="0.25">
      <c r="B334" s="547">
        <f t="shared" si="14"/>
        <v>299</v>
      </c>
      <c r="C334" s="579" t="s">
        <v>4206</v>
      </c>
      <c r="D334" s="579" t="str">
        <f>DESPORC!D375</f>
        <v>REALIZAÇÃO DE NOVOS INVEST. DO PODER EXECUTIVO</v>
      </c>
      <c r="E334" s="579"/>
      <c r="F334" s="581"/>
      <c r="G334" s="581"/>
    </row>
    <row r="335" spans="2:7" x14ac:dyDescent="0.25">
      <c r="B335" s="547">
        <f t="shared" si="14"/>
        <v>300</v>
      </c>
      <c r="C335" s="548"/>
      <c r="D335" s="548" t="str">
        <f>DESPORC!D376</f>
        <v>Custo de Aquis.: Obrigacoes Tributarias E Contributivas</v>
      </c>
      <c r="E335" s="551">
        <f>(SUM(E339,E341,E337)*(E$29))</f>
        <v>6.0000000000000001E-3</v>
      </c>
      <c r="F335" s="551">
        <f t="shared" ref="F335:G344" si="15">E335*(1+F$10)</f>
        <v>6.2927999999999994E-3</v>
      </c>
      <c r="G335" s="551">
        <f t="shared" si="15"/>
        <v>6.5684246399999998E-3</v>
      </c>
    </row>
    <row r="336" spans="2:7" x14ac:dyDescent="0.25">
      <c r="B336" s="547">
        <f t="shared" si="14"/>
        <v>301</v>
      </c>
      <c r="C336" s="548"/>
      <c r="D336" s="548" t="str">
        <f>DESPORC!D377</f>
        <v>Custo de Aquis.: Material De Consumo</v>
      </c>
      <c r="E336" s="551">
        <f>SUM(E337,E338)</f>
        <v>0.02</v>
      </c>
      <c r="F336" s="551">
        <f t="shared" si="15"/>
        <v>2.0975999999999998E-2</v>
      </c>
      <c r="G336" s="551">
        <f t="shared" si="15"/>
        <v>2.1894748799999999E-2</v>
      </c>
    </row>
    <row r="337" spans="2:7" x14ac:dyDescent="0.25">
      <c r="B337" s="547">
        <f t="shared" si="14"/>
        <v>302</v>
      </c>
      <c r="C337" s="546"/>
      <c r="D337" s="546" t="s">
        <v>3083</v>
      </c>
      <c r="E337" s="552">
        <v>0.01</v>
      </c>
      <c r="F337" s="602">
        <f t="shared" si="15"/>
        <v>1.0487999999999999E-2</v>
      </c>
      <c r="G337" s="602">
        <f t="shared" si="15"/>
        <v>1.0947374399999999E-2</v>
      </c>
    </row>
    <row r="338" spans="2:7" x14ac:dyDescent="0.25">
      <c r="B338" s="547">
        <f t="shared" ref="B338:B402" si="16">B337+1</f>
        <v>303</v>
      </c>
      <c r="C338" s="546"/>
      <c r="D338" s="546" t="s">
        <v>3085</v>
      </c>
      <c r="E338" s="552">
        <v>0.01</v>
      </c>
      <c r="F338" s="602">
        <f t="shared" si="15"/>
        <v>1.0487999999999999E-2</v>
      </c>
      <c r="G338" s="602">
        <f t="shared" si="15"/>
        <v>1.0947374399999999E-2</v>
      </c>
    </row>
    <row r="339" spans="2:7" x14ac:dyDescent="0.25">
      <c r="B339" s="547">
        <f t="shared" si="16"/>
        <v>304</v>
      </c>
      <c r="C339" s="548"/>
      <c r="D339" s="548" t="str">
        <f>DESPORC!D378</f>
        <v>Custo de Aquis.: Outros Serviços - Pessoa Física</v>
      </c>
      <c r="E339" s="551">
        <v>0.01</v>
      </c>
      <c r="F339" s="551">
        <f t="shared" si="15"/>
        <v>1.0487999999999999E-2</v>
      </c>
      <c r="G339" s="551">
        <f t="shared" si="15"/>
        <v>1.0947374399999999E-2</v>
      </c>
    </row>
    <row r="340" spans="2:7" x14ac:dyDescent="0.25">
      <c r="B340" s="547">
        <f t="shared" si="16"/>
        <v>305</v>
      </c>
      <c r="C340" s="548"/>
      <c r="D340" s="548" t="str">
        <f>DESPORC!D379</f>
        <v>Custo de Aquis.: Outros Serviços - Pessoa Jurídica</v>
      </c>
      <c r="E340" s="551">
        <f>SUM(E341,E342)</f>
        <v>0.02</v>
      </c>
      <c r="F340" s="551">
        <f t="shared" si="15"/>
        <v>2.0975999999999998E-2</v>
      </c>
      <c r="G340" s="551">
        <f t="shared" si="15"/>
        <v>2.1894748799999999E-2</v>
      </c>
    </row>
    <row r="341" spans="2:7" x14ac:dyDescent="0.25">
      <c r="B341" s="547">
        <f t="shared" si="16"/>
        <v>306</v>
      </c>
      <c r="C341" s="546"/>
      <c r="D341" s="546" t="s">
        <v>3081</v>
      </c>
      <c r="E341" s="552">
        <v>0.01</v>
      </c>
      <c r="F341" s="602">
        <f t="shared" si="15"/>
        <v>1.0487999999999999E-2</v>
      </c>
      <c r="G341" s="602">
        <f t="shared" si="15"/>
        <v>1.0947374399999999E-2</v>
      </c>
    </row>
    <row r="342" spans="2:7" x14ac:dyDescent="0.25">
      <c r="B342" s="547">
        <f t="shared" si="16"/>
        <v>307</v>
      </c>
      <c r="C342" s="546"/>
      <c r="D342" s="546" t="s">
        <v>3082</v>
      </c>
      <c r="E342" s="552">
        <v>0.01</v>
      </c>
      <c r="F342" s="602">
        <f t="shared" si="15"/>
        <v>1.0487999999999999E-2</v>
      </c>
      <c r="G342" s="602">
        <f t="shared" si="15"/>
        <v>1.0947374399999999E-2</v>
      </c>
    </row>
    <row r="343" spans="2:7" x14ac:dyDescent="0.25">
      <c r="B343" s="547">
        <f t="shared" si="16"/>
        <v>308</v>
      </c>
      <c r="C343" s="548"/>
      <c r="D343" s="548" t="str">
        <f>DESPORC!D380</f>
        <v>Custo de Aquis.: Obras E Instalacoes</v>
      </c>
      <c r="E343" s="551">
        <f>E344</f>
        <v>0.01</v>
      </c>
      <c r="F343" s="551">
        <f t="shared" si="15"/>
        <v>1.0487999999999999E-2</v>
      </c>
      <c r="G343" s="551">
        <f t="shared" si="15"/>
        <v>1.0947374399999999E-2</v>
      </c>
    </row>
    <row r="344" spans="2:7" x14ac:dyDescent="0.25">
      <c r="B344" s="547">
        <f t="shared" si="16"/>
        <v>309</v>
      </c>
      <c r="C344" s="546"/>
      <c r="D344" s="546" t="s">
        <v>3126</v>
      </c>
      <c r="E344" s="552">
        <v>0.01</v>
      </c>
      <c r="F344" s="602">
        <f t="shared" si="15"/>
        <v>1.0487999999999999E-2</v>
      </c>
      <c r="G344" s="602">
        <f t="shared" si="15"/>
        <v>1.0947374399999999E-2</v>
      </c>
    </row>
    <row r="345" spans="2:7" x14ac:dyDescent="0.25">
      <c r="B345" s="547">
        <f t="shared" si="16"/>
        <v>310</v>
      </c>
      <c r="C345" s="548"/>
      <c r="D345" s="548" t="str">
        <f>DESPORC!D381</f>
        <v>Custo de Aquis.: Equipamentos E Material Permanente</v>
      </c>
      <c r="E345" s="551">
        <f>SUM(E346,E347)</f>
        <v>0.02</v>
      </c>
      <c r="F345" s="551">
        <f>SUM(F346,F347)</f>
        <v>2.0975999999999998E-2</v>
      </c>
      <c r="G345" s="551">
        <f>SUM(G346,G347)</f>
        <v>2.1894748799999999E-2</v>
      </c>
    </row>
    <row r="346" spans="2:7" x14ac:dyDescent="0.25">
      <c r="B346" s="547">
        <f t="shared" si="16"/>
        <v>311</v>
      </c>
      <c r="C346" s="546"/>
      <c r="D346" s="546" t="s">
        <v>3401</v>
      </c>
      <c r="E346" s="552">
        <v>0.01</v>
      </c>
      <c r="F346" s="552">
        <f>E346*(1+F$10)</f>
        <v>1.0487999999999999E-2</v>
      </c>
      <c r="G346" s="552">
        <f>F346*(1+G$10)</f>
        <v>1.0947374399999999E-2</v>
      </c>
    </row>
    <row r="347" spans="2:7" x14ac:dyDescent="0.25">
      <c r="B347" s="547">
        <f t="shared" si="16"/>
        <v>312</v>
      </c>
      <c r="C347" s="546"/>
      <c r="D347" s="546" t="s">
        <v>3403</v>
      </c>
      <c r="E347" s="552">
        <v>0.01</v>
      </c>
      <c r="F347" s="552">
        <f>E347*(1+F$10)</f>
        <v>1.0487999999999999E-2</v>
      </c>
      <c r="G347" s="552">
        <f>F347*(1+G$10)</f>
        <v>1.0947374399999999E-2</v>
      </c>
    </row>
    <row r="348" spans="2:7" x14ac:dyDescent="0.25">
      <c r="B348" s="547">
        <f t="shared" si="16"/>
        <v>313</v>
      </c>
      <c r="C348" s="548"/>
      <c r="D348" s="548" t="str">
        <f>DESPORC!D384</f>
        <v>Custo de Aquis.: Aquisicao de Imoveis</v>
      </c>
      <c r="E348" s="551">
        <v>0.01</v>
      </c>
      <c r="F348" s="551">
        <f>SUM(F350,F351)</f>
        <v>0.10488</v>
      </c>
      <c r="G348" s="551">
        <f>SUM(G350,G351)</f>
        <v>0.10947374400000001</v>
      </c>
    </row>
    <row r="349" spans="2:7" x14ac:dyDescent="0.25">
      <c r="B349" s="547">
        <f t="shared" si="16"/>
        <v>314</v>
      </c>
      <c r="C349" s="579" t="s">
        <v>3074</v>
      </c>
      <c r="D349" s="579" t="str">
        <f>DESPORC!D388</f>
        <v>GESTÃO , APOIO E MANUT., COORDEN. E PLANEJAMENTO</v>
      </c>
      <c r="E349" s="579"/>
      <c r="F349" s="581"/>
      <c r="G349" s="581"/>
    </row>
    <row r="350" spans="2:7" s="12" customFormat="1" x14ac:dyDescent="0.25">
      <c r="B350" s="547">
        <f t="shared" si="16"/>
        <v>315</v>
      </c>
      <c r="C350" s="579"/>
      <c r="D350" s="579" t="str">
        <f>DESPORC!D389</f>
        <v>Gest. S.M.A. Folha Pgtoº: Servidor Contratado: Venc e Prev</v>
      </c>
      <c r="E350" s="583">
        <f>SUM(E351,E352,E353)</f>
        <v>0.14333333333333334</v>
      </c>
      <c r="F350" s="579"/>
      <c r="G350" s="579"/>
    </row>
    <row r="351" spans="2:7" s="12" customFormat="1" x14ac:dyDescent="0.25">
      <c r="B351" s="547">
        <f t="shared" si="16"/>
        <v>316</v>
      </c>
      <c r="C351" s="546"/>
      <c r="D351" s="546" t="s">
        <v>3075</v>
      </c>
      <c r="E351" s="552">
        <v>0.1</v>
      </c>
      <c r="F351" s="552">
        <f t="shared" ref="F351:G351" si="17">E351*(1+F$10)</f>
        <v>0.10488</v>
      </c>
      <c r="G351" s="552">
        <f t="shared" si="17"/>
        <v>0.10947374400000001</v>
      </c>
    </row>
    <row r="352" spans="2:7" x14ac:dyDescent="0.25">
      <c r="B352" s="547">
        <f t="shared" si="16"/>
        <v>317</v>
      </c>
      <c r="C352" s="546"/>
      <c r="D352" s="546" t="s">
        <v>3116</v>
      </c>
      <c r="E352" s="552">
        <f>E351/3</f>
        <v>3.3333333333333333E-2</v>
      </c>
      <c r="F352" s="552">
        <f t="shared" ref="F352:G352" si="18">E352*(1+F$10)</f>
        <v>3.4959999999999998E-2</v>
      </c>
      <c r="G352" s="552">
        <f t="shared" si="18"/>
        <v>3.6491247999999997E-2</v>
      </c>
    </row>
    <row r="353" spans="2:7" x14ac:dyDescent="0.25">
      <c r="B353" s="547">
        <f t="shared" si="16"/>
        <v>318</v>
      </c>
      <c r="C353" s="546"/>
      <c r="D353" s="546" t="s">
        <v>2991</v>
      </c>
      <c r="E353" s="552">
        <v>0.01</v>
      </c>
      <c r="F353" s="552">
        <f t="shared" ref="F353:G353" si="19">E353*(1+F$10)</f>
        <v>1.0487999999999999E-2</v>
      </c>
      <c r="G353" s="552">
        <f t="shared" si="19"/>
        <v>1.0947374399999999E-2</v>
      </c>
    </row>
    <row r="354" spans="2:7" s="12" customFormat="1" x14ac:dyDescent="0.25">
      <c r="B354" s="547">
        <f t="shared" si="16"/>
        <v>319</v>
      </c>
      <c r="C354" s="579"/>
      <c r="D354" s="579" t="str">
        <f>DESPORC!D392</f>
        <v>Gest. S.M.A. Folha Pgtoº: Serv Efet. C.C. e Ag. Polit</v>
      </c>
      <c r="E354" s="579"/>
      <c r="F354" s="579"/>
      <c r="G354" s="579"/>
    </row>
    <row r="355" spans="2:7" x14ac:dyDescent="0.25">
      <c r="B355" s="547">
        <f t="shared" si="16"/>
        <v>320</v>
      </c>
      <c r="C355" s="546"/>
      <c r="D355" s="546" t="str">
        <f>DESPORC!D393</f>
        <v>Adicional Noturno</v>
      </c>
      <c r="E355" s="584">
        <v>0.01</v>
      </c>
      <c r="F355" s="552">
        <f t="shared" ref="F355:G355" si="20">E355*(1+F$10)</f>
        <v>1.0487999999999999E-2</v>
      </c>
      <c r="G355" s="552">
        <f t="shared" si="20"/>
        <v>1.0947374399999999E-2</v>
      </c>
    </row>
    <row r="356" spans="2:7" x14ac:dyDescent="0.25">
      <c r="B356" s="547">
        <f t="shared" si="16"/>
        <v>321</v>
      </c>
      <c r="C356" s="546"/>
      <c r="D356" s="546" t="str">
        <f>DESPORC!D394</f>
        <v>Férias Servidores Efetivos</v>
      </c>
      <c r="E356" s="584">
        <f>'FOPAG EXEC.'!E243</f>
        <v>4536.5859080591526</v>
      </c>
      <c r="F356" s="552">
        <f t="shared" ref="F356:G356" si="21">E356*(1+F$10)</f>
        <v>4757.9713003724391</v>
      </c>
      <c r="G356" s="552">
        <f t="shared" si="21"/>
        <v>4966.3704433287521</v>
      </c>
    </row>
    <row r="357" spans="2:7" x14ac:dyDescent="0.25">
      <c r="B357" s="547"/>
      <c r="C357" s="546"/>
      <c r="D357" s="546" t="s">
        <v>2977</v>
      </c>
      <c r="E357" s="584">
        <f>'FOPAG EXEC.'!E239</f>
        <v>741.8011408006347</v>
      </c>
      <c r="F357" s="552">
        <f t="shared" ref="F357" si="22">E357*(1+F$10)</f>
        <v>778.00103647170567</v>
      </c>
      <c r="G357" s="552">
        <f t="shared" ref="G357" si="23">F357*(1+G$10)</f>
        <v>812.07748186916638</v>
      </c>
    </row>
    <row r="358" spans="2:7" x14ac:dyDescent="0.25">
      <c r="B358" s="547">
        <f>B356+1</f>
        <v>322</v>
      </c>
      <c r="C358" s="546"/>
      <c r="D358" s="546" t="str">
        <f>DESPORC!D395</f>
        <v>Vencimentos Servidores C.C.</v>
      </c>
      <c r="E358" s="584">
        <f>'FOPAG EXEC.'!E238*12</f>
        <v>26704.841068822851</v>
      </c>
      <c r="F358" s="552">
        <f t="shared" ref="F358:G358" si="24">E358*(1+F$10)</f>
        <v>28008.037312981403</v>
      </c>
      <c r="G358" s="552">
        <f t="shared" si="24"/>
        <v>29234.789347289992</v>
      </c>
    </row>
    <row r="359" spans="2:7" x14ac:dyDescent="0.25">
      <c r="B359" s="547">
        <f t="shared" si="16"/>
        <v>323</v>
      </c>
      <c r="C359" s="546"/>
      <c r="D359" s="546" t="str">
        <f>DESPORC!D396</f>
        <v>Função Gratificada</v>
      </c>
      <c r="E359" s="584">
        <f>'FOPAG EXEC.'!E248*12</f>
        <v>8345.279141789164</v>
      </c>
      <c r="F359" s="552">
        <f t="shared" ref="F359:G359" si="25">E359*(1+F$10)</f>
        <v>8752.5287639084745</v>
      </c>
      <c r="G359" s="552">
        <f t="shared" si="25"/>
        <v>9135.8895237676661</v>
      </c>
    </row>
    <row r="360" spans="2:7" x14ac:dyDescent="0.25">
      <c r="B360" s="547">
        <f t="shared" si="16"/>
        <v>324</v>
      </c>
      <c r="C360" s="546"/>
      <c r="D360" s="546" t="str">
        <f>DESPORC!D397</f>
        <v>Anuênio</v>
      </c>
      <c r="E360" s="584">
        <f>('FOPAG EXEC.'!E245*12)+('FOPAG EXEC.'!E246+'FOPAG EXEC.'!E247)</f>
        <v>22868.584960316875</v>
      </c>
      <c r="F360" s="552">
        <f t="shared" ref="F360:G360" si="26">E360*(1+F$10)</f>
        <v>23984.571906380337</v>
      </c>
      <c r="G360" s="552">
        <f t="shared" si="26"/>
        <v>25035.096155879797</v>
      </c>
    </row>
    <row r="361" spans="2:7" x14ac:dyDescent="0.25">
      <c r="B361" s="547">
        <f t="shared" si="16"/>
        <v>325</v>
      </c>
      <c r="C361" s="546"/>
      <c r="D361" s="546" t="str">
        <f>DESPORC!D398</f>
        <v>Vencimentos Servidores Efetivos</v>
      </c>
      <c r="E361" s="584">
        <f>'FOPAG EXEC.'!E242*12</f>
        <v>154971.81354834035</v>
      </c>
      <c r="F361" s="552">
        <f t="shared" ref="F361:G361" si="27">E361*(1+F$10)</f>
        <v>162534.43804949935</v>
      </c>
      <c r="G361" s="552">
        <f t="shared" si="27"/>
        <v>169653.44643606743</v>
      </c>
    </row>
    <row r="362" spans="2:7" x14ac:dyDescent="0.25">
      <c r="B362" s="547">
        <f t="shared" si="16"/>
        <v>326</v>
      </c>
      <c r="C362" s="546"/>
      <c r="D362" s="546" t="str">
        <f>DESPORC!D399</f>
        <v>Férias Sec. Mun. da Administração</v>
      </c>
      <c r="E362" s="584">
        <f>'FOPAG EXEC.'!E255</f>
        <v>1725.0340543459108</v>
      </c>
      <c r="F362" s="552">
        <f t="shared" ref="F362:G362" si="28">E362*(1+F$10)</f>
        <v>1809.2157161979912</v>
      </c>
      <c r="G362" s="552">
        <f t="shared" si="28"/>
        <v>1888.4593645674634</v>
      </c>
    </row>
    <row r="363" spans="2:7" x14ac:dyDescent="0.25">
      <c r="B363" s="547">
        <f t="shared" si="16"/>
        <v>327</v>
      </c>
      <c r="C363" s="546"/>
      <c r="D363" s="546" t="str">
        <f>DESPORC!D400</f>
        <v>13º Salario Sec. Mun. Administração</v>
      </c>
      <c r="E363" s="584">
        <f>'FOPAG EXEC.'!E256</f>
        <v>5175.1021630377327</v>
      </c>
      <c r="F363" s="552">
        <f t="shared" ref="F363:G363" si="29">E363*(1+F$10)</f>
        <v>5427.6471485939737</v>
      </c>
      <c r="G363" s="552">
        <f t="shared" si="29"/>
        <v>5665.3780937023903</v>
      </c>
    </row>
    <row r="364" spans="2:7" x14ac:dyDescent="0.25">
      <c r="B364" s="547">
        <f t="shared" si="16"/>
        <v>328</v>
      </c>
      <c r="C364" s="546"/>
      <c r="D364" s="546" t="str">
        <f>DESPORC!D401</f>
        <v>Subsidio Sec. Mun. Administração</v>
      </c>
      <c r="E364" s="584">
        <f>'FOPAG EXEC.'!E254*12</f>
        <v>62101.225956452792</v>
      </c>
      <c r="F364" s="552">
        <f t="shared" ref="F364:G364" si="30">E364*(1+F$10)</f>
        <v>65131.765783127688</v>
      </c>
      <c r="G364" s="552">
        <f t="shared" si="30"/>
        <v>67984.53712442868</v>
      </c>
    </row>
    <row r="365" spans="2:7" x14ac:dyDescent="0.25">
      <c r="B365" s="547">
        <f t="shared" si="16"/>
        <v>329</v>
      </c>
      <c r="C365" s="546"/>
      <c r="D365" s="546" t="str">
        <f>DESPORC!D402</f>
        <v>13 Salario Servidores Efetivos</v>
      </c>
      <c r="E365" s="584">
        <f>'FOPAG EXEC.'!E244</f>
        <v>12914.317795695028</v>
      </c>
      <c r="F365" s="552">
        <f t="shared" ref="F365:G365" si="31">E365*(1+F$10)</f>
        <v>13544.536504124944</v>
      </c>
      <c r="G365" s="552">
        <f t="shared" si="31"/>
        <v>14137.787203005617</v>
      </c>
    </row>
    <row r="366" spans="2:7" x14ac:dyDescent="0.25">
      <c r="B366" s="547">
        <f t="shared" si="16"/>
        <v>330</v>
      </c>
      <c r="C366" s="546"/>
      <c r="D366" s="546" t="str">
        <f>DESPORC!D403</f>
        <v>13º Salario Servidores C.C.</v>
      </c>
      <c r="E366" s="584">
        <f>'FOPAG EXEC.'!E240</f>
        <v>2225.4034224019042</v>
      </c>
      <c r="F366" s="552">
        <f t="shared" ref="F366:G366" si="32">E366*(1+F$10)</f>
        <v>2334.0031094151173</v>
      </c>
      <c r="G366" s="552">
        <f t="shared" si="32"/>
        <v>2436.2324456074994</v>
      </c>
    </row>
    <row r="367" spans="2:7" s="12" customFormat="1" x14ac:dyDescent="0.25">
      <c r="B367" s="547">
        <f t="shared" si="16"/>
        <v>331</v>
      </c>
      <c r="C367" s="579"/>
      <c r="D367" s="579" t="str">
        <f>DESPORC!D408</f>
        <v>Gest. S.M.A. Folha Pgtoº: Hora Extra</v>
      </c>
      <c r="E367" s="579"/>
      <c r="F367" s="579"/>
      <c r="G367" s="579"/>
    </row>
    <row r="368" spans="2:7" x14ac:dyDescent="0.25">
      <c r="B368" s="547">
        <f t="shared" si="16"/>
        <v>332</v>
      </c>
      <c r="C368" s="546"/>
      <c r="D368" s="546" t="s">
        <v>3431</v>
      </c>
      <c r="E368" s="584">
        <v>0.01</v>
      </c>
      <c r="F368" s="552">
        <f t="shared" ref="F368:G368" si="33">E368*(1+F$10)</f>
        <v>1.0487999999999999E-2</v>
      </c>
      <c r="G368" s="552">
        <f t="shared" si="33"/>
        <v>1.0947374399999999E-2</v>
      </c>
    </row>
    <row r="369" spans="2:7" x14ac:dyDescent="0.25">
      <c r="B369" s="547">
        <f t="shared" si="16"/>
        <v>333</v>
      </c>
      <c r="C369" s="546"/>
      <c r="D369" s="546" t="s">
        <v>3433</v>
      </c>
      <c r="E369" s="584">
        <v>0.01</v>
      </c>
      <c r="F369" s="552">
        <f t="shared" ref="F369:G369" si="34">E369*(1+F$10)</f>
        <v>1.0487999999999999E-2</v>
      </c>
      <c r="G369" s="552">
        <f t="shared" si="34"/>
        <v>1.0947374399999999E-2</v>
      </c>
    </row>
    <row r="370" spans="2:7" s="12" customFormat="1" x14ac:dyDescent="0.25">
      <c r="B370" s="547">
        <f t="shared" si="16"/>
        <v>334</v>
      </c>
      <c r="C370" s="579"/>
      <c r="D370" s="579" t="str">
        <f>DESPORC!D411</f>
        <v>Gest. S.M.A.: Substituição de Servidores P/Serviços Terceiros</v>
      </c>
      <c r="E370" s="579"/>
      <c r="F370" s="579"/>
      <c r="G370" s="579"/>
    </row>
    <row r="371" spans="2:7" x14ac:dyDescent="0.25">
      <c r="B371" s="547">
        <f t="shared" si="16"/>
        <v>335</v>
      </c>
      <c r="C371" s="546"/>
      <c r="D371" s="546" t="s">
        <v>4212</v>
      </c>
      <c r="E371" s="584">
        <v>0.01</v>
      </c>
      <c r="F371" s="546"/>
      <c r="G371" s="546"/>
    </row>
    <row r="372" spans="2:7" x14ac:dyDescent="0.25">
      <c r="B372" s="547">
        <f t="shared" si="16"/>
        <v>336</v>
      </c>
      <c r="C372" s="546"/>
      <c r="D372" s="546" t="s">
        <v>4213</v>
      </c>
      <c r="E372" s="584">
        <v>0.01</v>
      </c>
      <c r="F372" s="546"/>
      <c r="G372" s="546"/>
    </row>
    <row r="373" spans="2:7" s="12" customFormat="1" x14ac:dyDescent="0.25">
      <c r="B373" s="547">
        <f t="shared" si="16"/>
        <v>337</v>
      </c>
      <c r="C373" s="579"/>
      <c r="D373" s="579" t="str">
        <f>DESPORC!D412</f>
        <v>Gest. S.M.A. Folha Pgtoº: Indenizacoes Trabalhistas</v>
      </c>
      <c r="E373" s="583"/>
      <c r="F373" s="579"/>
      <c r="G373" s="579"/>
    </row>
    <row r="374" spans="2:7" x14ac:dyDescent="0.25">
      <c r="B374" s="547">
        <f t="shared" si="16"/>
        <v>338</v>
      </c>
      <c r="C374" s="546"/>
      <c r="D374" s="546" t="s">
        <v>4218</v>
      </c>
      <c r="E374" s="584">
        <v>0.01</v>
      </c>
      <c r="F374" s="546"/>
      <c r="G374" s="546"/>
    </row>
    <row r="375" spans="2:7" x14ac:dyDescent="0.25">
      <c r="B375" s="547">
        <f t="shared" si="16"/>
        <v>339</v>
      </c>
      <c r="C375" s="546"/>
      <c r="D375" s="546" t="s">
        <v>4219</v>
      </c>
      <c r="E375" s="584">
        <v>0.01</v>
      </c>
      <c r="F375" s="546"/>
      <c r="G375" s="546"/>
    </row>
    <row r="376" spans="2:7" x14ac:dyDescent="0.25">
      <c r="B376" s="547">
        <f t="shared" si="16"/>
        <v>340</v>
      </c>
      <c r="C376" s="546"/>
      <c r="D376" s="546" t="s">
        <v>4214</v>
      </c>
      <c r="E376" s="584">
        <v>0.01</v>
      </c>
      <c r="F376" s="546"/>
      <c r="G376" s="546"/>
    </row>
    <row r="377" spans="2:7" x14ac:dyDescent="0.25">
      <c r="B377" s="547">
        <f t="shared" si="16"/>
        <v>341</v>
      </c>
      <c r="C377" s="546"/>
      <c r="D377" s="546" t="s">
        <v>4215</v>
      </c>
      <c r="E377" s="584">
        <v>0.01</v>
      </c>
      <c r="F377" s="546"/>
      <c r="G377" s="546"/>
    </row>
    <row r="378" spans="2:7" x14ac:dyDescent="0.25">
      <c r="B378" s="547">
        <f t="shared" si="16"/>
        <v>342</v>
      </c>
      <c r="C378" s="546"/>
      <c r="D378" s="546" t="s">
        <v>4216</v>
      </c>
      <c r="E378" s="584">
        <v>0.01</v>
      </c>
      <c r="F378" s="546"/>
      <c r="G378" s="546"/>
    </row>
    <row r="379" spans="2:7" x14ac:dyDescent="0.25">
      <c r="B379" s="547">
        <f t="shared" si="16"/>
        <v>343</v>
      </c>
      <c r="C379" s="546"/>
      <c r="D379" s="546" t="s">
        <v>4217</v>
      </c>
      <c r="E379" s="584">
        <v>0.01</v>
      </c>
      <c r="F379" s="546"/>
      <c r="G379" s="546"/>
    </row>
    <row r="380" spans="2:7" s="12" customFormat="1" x14ac:dyDescent="0.25">
      <c r="B380" s="547">
        <f t="shared" si="16"/>
        <v>344</v>
      </c>
      <c r="C380" s="579"/>
      <c r="D380" s="579" t="str">
        <f>DESPORC!D417</f>
        <v>Gest. S.M.A.: Diarias</v>
      </c>
      <c r="E380" s="582"/>
      <c r="F380" s="579"/>
      <c r="G380" s="579"/>
    </row>
    <row r="381" spans="2:7" x14ac:dyDescent="0.25">
      <c r="B381" s="547">
        <f t="shared" si="16"/>
        <v>345</v>
      </c>
      <c r="C381" s="546"/>
      <c r="D381" s="546" t="str">
        <f>DESPORC!D418</f>
        <v>Diarias  Servidores Efetivos</v>
      </c>
      <c r="E381" s="584">
        <v>1500</v>
      </c>
      <c r="F381" s="546"/>
      <c r="G381" s="546"/>
    </row>
    <row r="382" spans="2:7" x14ac:dyDescent="0.25">
      <c r="B382" s="547">
        <f t="shared" si="16"/>
        <v>346</v>
      </c>
      <c r="C382" s="546"/>
      <c r="D382" s="546" t="str">
        <f>DESPORC!D419</f>
        <v>Diarias Sec. Mun. Administração</v>
      </c>
      <c r="E382" s="584">
        <v>1500</v>
      </c>
      <c r="F382" s="546"/>
      <c r="G382" s="546"/>
    </row>
    <row r="383" spans="2:7" x14ac:dyDescent="0.25">
      <c r="B383" s="547">
        <f t="shared" si="16"/>
        <v>347</v>
      </c>
      <c r="C383" s="546"/>
      <c r="D383" s="546" t="str">
        <f>DESPORC!D420</f>
        <v>Diarias Servidores Contratados</v>
      </c>
      <c r="E383" s="584">
        <v>1500</v>
      </c>
      <c r="F383" s="546"/>
      <c r="G383" s="546"/>
    </row>
    <row r="384" spans="2:7" x14ac:dyDescent="0.25">
      <c r="B384" s="547">
        <f t="shared" si="16"/>
        <v>348</v>
      </c>
      <c r="C384" s="546"/>
      <c r="D384" s="546" t="str">
        <f>DESPORC!D421</f>
        <v>Diarias  Servidores C.C.</v>
      </c>
      <c r="E384" s="584">
        <v>1500</v>
      </c>
      <c r="F384" s="546"/>
      <c r="G384" s="546"/>
    </row>
    <row r="385" spans="2:7" s="12" customFormat="1" x14ac:dyDescent="0.25">
      <c r="B385" s="547">
        <f t="shared" si="16"/>
        <v>349</v>
      </c>
      <c r="C385" s="579"/>
      <c r="D385" s="579" t="str">
        <f>DESPORC!D422</f>
        <v>Gest. S.M.A.: Material De Consumo</v>
      </c>
      <c r="E385" s="582">
        <f>50081.01/8*12</f>
        <v>75121.514999999999</v>
      </c>
      <c r="F385" s="579"/>
      <c r="G385" s="579"/>
    </row>
    <row r="386" spans="2:7" x14ac:dyDescent="0.25">
      <c r="B386" s="547">
        <f t="shared" si="16"/>
        <v>350</v>
      </c>
      <c r="C386" s="546"/>
      <c r="D386" s="546" t="str">
        <f>DESPORC!D423</f>
        <v>Combustiveis P/Veiculo Placas ITP 0262</v>
      </c>
      <c r="E386" s="584">
        <v>0</v>
      </c>
      <c r="F386" s="546"/>
      <c r="G386" s="546"/>
    </row>
    <row r="387" spans="2:7" x14ac:dyDescent="0.25">
      <c r="B387" s="547">
        <f t="shared" si="16"/>
        <v>351</v>
      </c>
      <c r="C387" s="546"/>
      <c r="D387" s="546" t="str">
        <f>DESPORC!D424</f>
        <v>Generos de Alimentacao - Aq. Imediata</v>
      </c>
      <c r="E387" s="584">
        <v>0</v>
      </c>
      <c r="F387" s="546"/>
      <c r="G387" s="546"/>
    </row>
    <row r="388" spans="2:7" x14ac:dyDescent="0.25">
      <c r="B388" s="547">
        <f t="shared" si="16"/>
        <v>352</v>
      </c>
      <c r="C388" s="546"/>
      <c r="D388" s="546" t="str">
        <f>DESPORC!D425</f>
        <v>Material de Copa e Cozinha - Aq. Imediata</v>
      </c>
      <c r="E388" s="584">
        <v>0</v>
      </c>
      <c r="F388" s="546"/>
      <c r="G388" s="546"/>
    </row>
    <row r="389" spans="2:7" x14ac:dyDescent="0.25">
      <c r="B389" s="547">
        <f t="shared" si="16"/>
        <v>353</v>
      </c>
      <c r="C389" s="546"/>
      <c r="D389" s="546" t="str">
        <f>DESPORC!D426</f>
        <v>Suprimentos de Informática - Aq. Imediata</v>
      </c>
      <c r="E389" s="584">
        <v>0</v>
      </c>
      <c r="F389" s="546"/>
      <c r="G389" s="546"/>
    </row>
    <row r="390" spans="2:7" x14ac:dyDescent="0.25">
      <c r="B390" s="547">
        <f t="shared" si="16"/>
        <v>354</v>
      </c>
      <c r="C390" s="546"/>
      <c r="D390" s="546" t="str">
        <f>DESPORC!D427</f>
        <v>Material Eletrico - Aq. Imediata</v>
      </c>
      <c r="E390" s="584">
        <v>0</v>
      </c>
      <c r="F390" s="546"/>
      <c r="G390" s="546"/>
    </row>
    <row r="391" spans="2:7" x14ac:dyDescent="0.25">
      <c r="B391" s="547">
        <f t="shared" si="16"/>
        <v>355</v>
      </c>
      <c r="C391" s="546"/>
      <c r="D391" s="546" t="str">
        <f>DESPORC!D428</f>
        <v>Materiais Diversos - Aq. Imediata</v>
      </c>
      <c r="E391" s="584">
        <v>0</v>
      </c>
      <c r="F391" s="546"/>
      <c r="G391" s="546"/>
    </row>
    <row r="392" spans="2:7" x14ac:dyDescent="0.25">
      <c r="B392" s="547">
        <f t="shared" si="16"/>
        <v>356</v>
      </c>
      <c r="C392" s="546"/>
      <c r="D392" s="546" t="str">
        <f>DESPORC!D429</f>
        <v>Material P/Manutencao de Imóveis - Aq. Imediata</v>
      </c>
      <c r="E392" s="584">
        <v>0</v>
      </c>
      <c r="F392" s="546"/>
      <c r="G392" s="546"/>
    </row>
    <row r="393" spans="2:7" x14ac:dyDescent="0.25">
      <c r="B393" s="547">
        <f t="shared" si="16"/>
        <v>357</v>
      </c>
      <c r="C393" s="546"/>
      <c r="D393" s="546" t="str">
        <f>DESPORC!D430</f>
        <v>Material Limpeza Prod. Higienização - Aq. Imediata</v>
      </c>
      <c r="E393" s="584">
        <v>0</v>
      </c>
      <c r="F393" s="546"/>
      <c r="G393" s="546"/>
    </row>
    <row r="394" spans="2:7" x14ac:dyDescent="0.25">
      <c r="B394" s="547">
        <f t="shared" si="16"/>
        <v>358</v>
      </c>
      <c r="C394" s="546"/>
      <c r="D394" s="546" t="str">
        <f>DESPORC!D431</f>
        <v>Material Limpeza Prod. Higienização - Almaxarifado</v>
      </c>
      <c r="E394" s="584">
        <v>0</v>
      </c>
      <c r="F394" s="546"/>
      <c r="G394" s="546"/>
    </row>
    <row r="395" spans="2:7" x14ac:dyDescent="0.25">
      <c r="B395" s="547">
        <f t="shared" si="16"/>
        <v>359</v>
      </c>
      <c r="C395" s="546"/>
      <c r="D395" s="546" t="str">
        <f>DESPORC!D432</f>
        <v>Material de Expediente - Almoxarifado</v>
      </c>
      <c r="E395" s="584">
        <v>0</v>
      </c>
      <c r="F395" s="546"/>
      <c r="G395" s="546"/>
    </row>
    <row r="396" spans="2:7" x14ac:dyDescent="0.25">
      <c r="B396" s="547">
        <f t="shared" si="16"/>
        <v>360</v>
      </c>
      <c r="C396" s="546"/>
      <c r="D396" s="546" t="str">
        <f>DESPORC!D433</f>
        <v>Material de Expediente - Aq. Imediata</v>
      </c>
      <c r="E396" s="584">
        <v>0</v>
      </c>
      <c r="F396" s="546"/>
      <c r="G396" s="546"/>
    </row>
    <row r="397" spans="2:7" x14ac:dyDescent="0.25">
      <c r="B397" s="547">
        <f t="shared" si="16"/>
        <v>361</v>
      </c>
      <c r="C397" s="546"/>
      <c r="D397" s="546" t="str">
        <f>DESPORC!D434</f>
        <v>Gas de  Cozinha - Aq. Imediata</v>
      </c>
      <c r="E397" s="584">
        <v>0</v>
      </c>
      <c r="F397" s="546"/>
      <c r="G397" s="546"/>
    </row>
    <row r="398" spans="2:7" x14ac:dyDescent="0.25">
      <c r="B398" s="547">
        <f t="shared" si="16"/>
        <v>362</v>
      </c>
      <c r="C398" s="546"/>
      <c r="D398" s="546" t="str">
        <f>DESPORC!D435</f>
        <v>Material de Copa e Cozinha - Almoxarifado</v>
      </c>
      <c r="E398" s="584">
        <v>0</v>
      </c>
      <c r="F398" s="546"/>
      <c r="G398" s="546"/>
    </row>
    <row r="399" spans="2:7" x14ac:dyDescent="0.25">
      <c r="B399" s="547">
        <f t="shared" si="16"/>
        <v>363</v>
      </c>
      <c r="C399" s="546"/>
      <c r="D399" s="546" t="str">
        <f>DESPORC!D436</f>
        <v>Generos de Alimentacao - Almoxarifado</v>
      </c>
      <c r="E399" s="584">
        <v>0</v>
      </c>
      <c r="F399" s="546"/>
      <c r="G399" s="546"/>
    </row>
    <row r="400" spans="2:7" s="12" customFormat="1" x14ac:dyDescent="0.25">
      <c r="B400" s="547">
        <f t="shared" si="16"/>
        <v>364</v>
      </c>
      <c r="C400" s="579"/>
      <c r="D400" s="579" t="str">
        <f>DESPORC!D437</f>
        <v>Gest. S.M.A.: Passagens e Despesas com Locomocao</v>
      </c>
      <c r="E400" s="582"/>
      <c r="F400" s="579"/>
      <c r="G400" s="579"/>
    </row>
    <row r="401" spans="2:7" x14ac:dyDescent="0.25">
      <c r="B401" s="547">
        <f t="shared" si="16"/>
        <v>365</v>
      </c>
      <c r="C401" s="546"/>
      <c r="D401" s="546" t="str">
        <f>DESPORC!D438</f>
        <v>Despesas C/Locomocao</v>
      </c>
      <c r="E401" s="584">
        <f>'BASE TRIENAL DESPESAS'!I166</f>
        <v>514.57499999999993</v>
      </c>
      <c r="F401" s="546"/>
      <c r="G401" s="546"/>
    </row>
    <row r="402" spans="2:7" s="12" customFormat="1" x14ac:dyDescent="0.25">
      <c r="B402" s="547">
        <f t="shared" si="16"/>
        <v>366</v>
      </c>
      <c r="C402" s="579"/>
      <c r="D402" s="579" t="str">
        <f>DESPORC!D439</f>
        <v>Gest. S.M.A.: Servicos de Consultoria</v>
      </c>
      <c r="E402" s="582"/>
      <c r="F402" s="579"/>
      <c r="G402" s="579"/>
    </row>
    <row r="403" spans="2:7" x14ac:dyDescent="0.25">
      <c r="B403" s="547">
        <f t="shared" ref="B403:B466" si="35">B402+1</f>
        <v>367</v>
      </c>
      <c r="C403" s="546"/>
      <c r="D403" s="546" t="str">
        <f>DESPORC!D440</f>
        <v>Servicos de Assessoria e  Consultoria DPM</v>
      </c>
      <c r="E403" s="584">
        <f>'BASE TRIENAL DESPESAS'!H168</f>
        <v>29796.06</v>
      </c>
      <c r="F403" s="546"/>
      <c r="G403" s="546"/>
    </row>
    <row r="404" spans="2:7" s="12" customFormat="1" x14ac:dyDescent="0.25">
      <c r="B404" s="547">
        <f t="shared" si="35"/>
        <v>368</v>
      </c>
      <c r="C404" s="579"/>
      <c r="D404" s="579" t="str">
        <f>DESPORC!D441</f>
        <v>Gest. S.M.A.: Servicos - Pessoa Fisica</v>
      </c>
      <c r="E404" s="582"/>
      <c r="F404" s="579"/>
      <c r="G404" s="579"/>
    </row>
    <row r="405" spans="2:7" x14ac:dyDescent="0.25">
      <c r="B405" s="547">
        <f t="shared" si="35"/>
        <v>369</v>
      </c>
      <c r="C405" s="546"/>
      <c r="D405" s="546" t="str">
        <f>DESPORC!D442</f>
        <v>Servicos Tecnicos Profissionais</v>
      </c>
      <c r="E405" s="584">
        <v>0.01</v>
      </c>
      <c r="F405" s="546"/>
      <c r="G405" s="546"/>
    </row>
    <row r="406" spans="2:7" x14ac:dyDescent="0.25">
      <c r="B406" s="547">
        <f t="shared" si="35"/>
        <v>370</v>
      </c>
      <c r="C406" s="546"/>
      <c r="D406" s="546" t="str">
        <f>DESPORC!D443</f>
        <v>Locação de Imóveis</v>
      </c>
      <c r="E406" s="584">
        <f>'BASE TRIENAL DESPESAS'!H169</f>
        <v>25308.300000000003</v>
      </c>
      <c r="F406" s="546"/>
      <c r="G406" s="546"/>
    </row>
    <row r="407" spans="2:7" s="12" customFormat="1" x14ac:dyDescent="0.25">
      <c r="B407" s="547">
        <f t="shared" si="35"/>
        <v>371</v>
      </c>
      <c r="C407" s="579"/>
      <c r="D407" s="579" t="str">
        <f>DESPORC!D444</f>
        <v>Gest. S.M.A.: Servicos - Pessoa Jurídica</v>
      </c>
      <c r="E407" s="582">
        <f>'BASE TRIENAL DESPESAS'!H171</f>
        <v>136888.56</v>
      </c>
      <c r="F407" s="579"/>
      <c r="G407" s="579"/>
    </row>
    <row r="408" spans="2:7" x14ac:dyDescent="0.25">
      <c r="B408" s="547">
        <f t="shared" si="35"/>
        <v>372</v>
      </c>
      <c r="C408" s="546"/>
      <c r="D408" s="546" t="str">
        <f>DESPORC!D445</f>
        <v>Servicos Diversos</v>
      </c>
      <c r="E408" s="584">
        <v>0</v>
      </c>
      <c r="F408" s="546"/>
      <c r="G408" s="546"/>
    </row>
    <row r="409" spans="2:7" x14ac:dyDescent="0.25">
      <c r="B409" s="547">
        <f t="shared" si="35"/>
        <v>373</v>
      </c>
      <c r="C409" s="546"/>
      <c r="D409" s="546" t="str">
        <f>DESPORC!D446</f>
        <v>Servico Treinamento: Serv. Efetivos</v>
      </c>
      <c r="E409" s="584">
        <v>0</v>
      </c>
      <c r="F409" s="546"/>
      <c r="G409" s="546"/>
    </row>
    <row r="410" spans="2:7" x14ac:dyDescent="0.25">
      <c r="B410" s="547">
        <f t="shared" si="35"/>
        <v>374</v>
      </c>
      <c r="C410" s="546"/>
      <c r="D410" s="546" t="str">
        <f>DESPORC!D447</f>
        <v>Serviço de Publicidade Legal</v>
      </c>
      <c r="E410" s="584">
        <v>0</v>
      </c>
      <c r="F410" s="546"/>
      <c r="G410" s="546"/>
    </row>
    <row r="411" spans="2:7" x14ac:dyDescent="0.25">
      <c r="B411" s="547">
        <f t="shared" si="35"/>
        <v>375</v>
      </c>
      <c r="C411" s="546"/>
      <c r="D411" s="546" t="str">
        <f>DESPORC!D448</f>
        <v>Conta Energia</v>
      </c>
      <c r="E411" s="584">
        <v>0</v>
      </c>
      <c r="F411" s="546"/>
      <c r="G411" s="546"/>
    </row>
    <row r="412" spans="2:7" x14ac:dyDescent="0.25">
      <c r="B412" s="547">
        <f t="shared" si="35"/>
        <v>376</v>
      </c>
      <c r="C412" s="546"/>
      <c r="D412" s="546" t="str">
        <f>DESPORC!D449</f>
        <v>Estagiarios</v>
      </c>
      <c r="E412" s="584">
        <v>0</v>
      </c>
      <c r="F412" s="546"/>
      <c r="G412" s="546"/>
    </row>
    <row r="413" spans="2:7" x14ac:dyDescent="0.25">
      <c r="B413" s="547">
        <f t="shared" si="35"/>
        <v>377</v>
      </c>
      <c r="C413" s="546"/>
      <c r="D413" s="546" t="str">
        <f>DESPORC!D450</f>
        <v>Conta de Agua Cod. Imóvel 20324200</v>
      </c>
      <c r="E413" s="584">
        <v>0</v>
      </c>
      <c r="F413" s="546"/>
      <c r="G413" s="546"/>
    </row>
    <row r="414" spans="2:7" x14ac:dyDescent="0.25">
      <c r="B414" s="547">
        <f t="shared" si="35"/>
        <v>378</v>
      </c>
      <c r="C414" s="546"/>
      <c r="D414" s="546" t="str">
        <f>DESPORC!D451</f>
        <v>Conta Telefone Fixo</v>
      </c>
      <c r="E414" s="584">
        <v>0</v>
      </c>
      <c r="F414" s="546"/>
      <c r="G414" s="546"/>
    </row>
    <row r="415" spans="2:7" x14ac:dyDescent="0.25">
      <c r="B415" s="547">
        <f t="shared" si="35"/>
        <v>379</v>
      </c>
      <c r="C415" s="546"/>
      <c r="D415" s="546" t="str">
        <f>DESPORC!D452</f>
        <v>Servicos Graficos</v>
      </c>
      <c r="E415" s="584">
        <v>0</v>
      </c>
      <c r="F415" s="546"/>
      <c r="G415" s="546"/>
    </row>
    <row r="416" spans="2:7" x14ac:dyDescent="0.25">
      <c r="B416" s="547">
        <f t="shared" si="35"/>
        <v>380</v>
      </c>
      <c r="C416" s="546"/>
      <c r="D416" s="546" t="str">
        <f>DESPORC!D453</f>
        <v>Serviço De Publicidade De Utilidade Pública</v>
      </c>
      <c r="E416" s="584">
        <v>0</v>
      </c>
      <c r="F416" s="546"/>
      <c r="G416" s="546"/>
    </row>
    <row r="417" spans="2:7" x14ac:dyDescent="0.25">
      <c r="B417" s="547">
        <f t="shared" si="35"/>
        <v>381</v>
      </c>
      <c r="C417" s="546"/>
      <c r="D417" s="546" t="str">
        <f>DESPORC!D454</f>
        <v>Conta Energia U.C. 24480878</v>
      </c>
      <c r="E417" s="584">
        <v>0</v>
      </c>
      <c r="F417" s="546"/>
      <c r="G417" s="546"/>
    </row>
    <row r="418" spans="2:7" x14ac:dyDescent="0.25">
      <c r="B418" s="547">
        <f t="shared" si="35"/>
        <v>382</v>
      </c>
      <c r="C418" s="546"/>
      <c r="D418" s="546" t="str">
        <f>DESPORC!D455</f>
        <v>Servico Treinamento: Serv. C.C.e Secret. Mun. Adm.</v>
      </c>
      <c r="E418" s="584">
        <v>0</v>
      </c>
      <c r="F418" s="546"/>
      <c r="G418" s="546"/>
    </row>
    <row r="419" spans="2:7" x14ac:dyDescent="0.25">
      <c r="B419" s="547">
        <f t="shared" si="35"/>
        <v>383</v>
      </c>
      <c r="C419" s="546"/>
      <c r="D419" s="546" t="s">
        <v>6823</v>
      </c>
      <c r="E419" s="584">
        <v>0</v>
      </c>
      <c r="F419" s="546"/>
      <c r="G419" s="546"/>
    </row>
    <row r="420" spans="2:7" x14ac:dyDescent="0.25">
      <c r="B420" s="547">
        <f t="shared" si="35"/>
        <v>384</v>
      </c>
      <c r="C420" s="546"/>
      <c r="D420" s="546" t="s">
        <v>6824</v>
      </c>
      <c r="E420" s="584">
        <v>0</v>
      </c>
      <c r="F420" s="546"/>
      <c r="G420" s="546"/>
    </row>
    <row r="421" spans="2:7" s="12" customFormat="1" x14ac:dyDescent="0.25">
      <c r="B421" s="547">
        <f t="shared" si="35"/>
        <v>385</v>
      </c>
      <c r="C421" s="579"/>
      <c r="D421" s="579" t="str">
        <f>DESPORC!D456</f>
        <v>Gest. S.M.A.: Auxilio - Alimentacao</v>
      </c>
      <c r="E421" s="582"/>
      <c r="F421" s="579"/>
      <c r="G421" s="579"/>
    </row>
    <row r="422" spans="2:7" x14ac:dyDescent="0.25">
      <c r="B422" s="547">
        <f t="shared" si="35"/>
        <v>386</v>
      </c>
      <c r="C422" s="546"/>
      <c r="D422" s="546" t="str">
        <f>DESPORC!D457</f>
        <v>Indenização Auxilio-Alimentacao</v>
      </c>
      <c r="E422" s="584">
        <f>'BASE TRIENAL DESPESAS'!H174</f>
        <v>29070</v>
      </c>
      <c r="F422" s="546"/>
      <c r="G422" s="546"/>
    </row>
    <row r="423" spans="2:7" s="12" customFormat="1" x14ac:dyDescent="0.25">
      <c r="B423" s="547">
        <f t="shared" si="35"/>
        <v>387</v>
      </c>
      <c r="C423" s="579"/>
      <c r="D423" s="579" t="str">
        <f>DESPORC!D458</f>
        <v>Gest. S.M.A.: Obrigacoes Tributarias E Contributivas</v>
      </c>
      <c r="E423" s="582"/>
      <c r="F423" s="579"/>
      <c r="G423" s="579"/>
    </row>
    <row r="424" spans="2:7" x14ac:dyDescent="0.25">
      <c r="B424" s="547">
        <f t="shared" si="35"/>
        <v>388</v>
      </c>
      <c r="C424" s="546"/>
      <c r="D424" s="546" t="str">
        <f>DESPORC!D459</f>
        <v>Obrig Trib.e Contrib.S/Serv. Tec. Profissionais</v>
      </c>
      <c r="E424" s="584">
        <v>0.01</v>
      </c>
      <c r="F424" s="546"/>
      <c r="G424" s="546"/>
    </row>
    <row r="425" spans="2:7" x14ac:dyDescent="0.25">
      <c r="B425" s="547">
        <f t="shared" si="35"/>
        <v>389</v>
      </c>
      <c r="C425" s="546"/>
      <c r="D425" s="546" t="str">
        <f>DESPORC!D460</f>
        <v>Contrib. Patron. Prev. S/Serv. P. Jurídica e M.E.I.</v>
      </c>
      <c r="E425" s="584">
        <f>'BASE TRIENAL DESPESAS'!H175</f>
        <v>513</v>
      </c>
      <c r="F425" s="546"/>
      <c r="G425" s="546"/>
    </row>
    <row r="426" spans="2:7" s="12" customFormat="1" x14ac:dyDescent="0.25">
      <c r="B426" s="547">
        <f t="shared" si="35"/>
        <v>390</v>
      </c>
      <c r="C426" s="579"/>
      <c r="D426" s="579" t="str">
        <f>DESPORC!D461</f>
        <v>Gest. S.M.A.: Auxilio-transporte</v>
      </c>
      <c r="E426" s="582"/>
      <c r="F426" s="579"/>
      <c r="G426" s="579"/>
    </row>
    <row r="427" spans="2:7" x14ac:dyDescent="0.25">
      <c r="B427" s="547">
        <f t="shared" si="35"/>
        <v>391</v>
      </c>
      <c r="C427" s="546"/>
      <c r="D427" s="546" t="str">
        <f>DESPORC!D462</f>
        <v>AuxilioTransporte Servidores Efetivos</v>
      </c>
      <c r="E427" s="584">
        <f>'FOPAG EXEC.'!E249*12</f>
        <v>5181.24</v>
      </c>
      <c r="F427" s="546"/>
      <c r="G427" s="546"/>
    </row>
    <row r="428" spans="2:7" x14ac:dyDescent="0.25">
      <c r="B428" s="547">
        <f t="shared" si="35"/>
        <v>392</v>
      </c>
      <c r="C428" s="546"/>
      <c r="D428" s="546" t="str">
        <f>DESPORC!D463</f>
        <v>Auxilio Transporte Servidores Contratados</v>
      </c>
      <c r="E428" s="584">
        <v>0.01</v>
      </c>
      <c r="F428" s="546"/>
      <c r="G428" s="546"/>
    </row>
    <row r="429" spans="2:7" s="12" customFormat="1" x14ac:dyDescent="0.25">
      <c r="B429" s="547">
        <f t="shared" si="35"/>
        <v>393</v>
      </c>
      <c r="C429" s="579"/>
      <c r="D429" s="579" t="str">
        <f>DESPORC!D464</f>
        <v>Gest. S.M.A.: Despesas de Exercicios Anteriores</v>
      </c>
      <c r="E429" s="582">
        <v>0.01</v>
      </c>
      <c r="F429" s="579"/>
      <c r="G429" s="579"/>
    </row>
    <row r="430" spans="2:7" x14ac:dyDescent="0.25">
      <c r="B430" s="547">
        <f t="shared" si="35"/>
        <v>394</v>
      </c>
      <c r="C430" s="546"/>
      <c r="D430" s="546" t="str">
        <f>DESPORC!D465</f>
        <v>Despesas de Exercicios Anteriores: Ressarcimento de Despesas</v>
      </c>
      <c r="E430" s="584">
        <v>0</v>
      </c>
      <c r="F430" s="546"/>
      <c r="G430" s="546"/>
    </row>
    <row r="431" spans="2:7" x14ac:dyDescent="0.25">
      <c r="B431" s="547">
        <f t="shared" si="35"/>
        <v>395</v>
      </c>
      <c r="C431" s="546"/>
      <c r="D431" s="546" t="str">
        <f>DESPORC!D466</f>
        <v>Manutenção Veículo IXE 9035</v>
      </c>
      <c r="E431" s="584">
        <v>0</v>
      </c>
      <c r="F431" s="546"/>
      <c r="G431" s="546"/>
    </row>
    <row r="432" spans="2:7" x14ac:dyDescent="0.25">
      <c r="B432" s="547">
        <f t="shared" si="35"/>
        <v>396</v>
      </c>
      <c r="C432" s="546"/>
      <c r="D432" s="546" t="str">
        <f>DESPORC!D467</f>
        <v>Serviços Tecnicos</v>
      </c>
      <c r="E432" s="584">
        <v>0</v>
      </c>
      <c r="F432" s="546"/>
      <c r="G432" s="546"/>
    </row>
    <row r="433" spans="2:7" x14ac:dyDescent="0.25">
      <c r="B433" s="547">
        <f t="shared" si="35"/>
        <v>397</v>
      </c>
      <c r="C433" s="546"/>
      <c r="D433" s="546" t="str">
        <f>DESPORC!D468</f>
        <v>Conta Telefone Fixo</v>
      </c>
      <c r="E433" s="584">
        <v>0</v>
      </c>
      <c r="F433" s="546"/>
      <c r="G433" s="546"/>
    </row>
    <row r="434" spans="2:7" s="12" customFormat="1" x14ac:dyDescent="0.25">
      <c r="B434" s="547">
        <f t="shared" si="35"/>
        <v>398</v>
      </c>
      <c r="C434" s="579"/>
      <c r="D434" s="579" t="str">
        <f>DESPORC!D469</f>
        <v>Gest. S.M.A.: Indenizacoes e Restituicoes</v>
      </c>
      <c r="E434" s="582"/>
      <c r="F434" s="579"/>
      <c r="G434" s="579"/>
    </row>
    <row r="435" spans="2:7" x14ac:dyDescent="0.25">
      <c r="B435" s="547">
        <f t="shared" si="35"/>
        <v>399</v>
      </c>
      <c r="C435" s="546"/>
      <c r="D435" s="546" t="str">
        <f>DESPORC!D470</f>
        <v>Ressarcimento de Despesas</v>
      </c>
      <c r="E435" s="584">
        <f>'BASE TRIENAL DESPESAS'!H179+0.01</f>
        <v>0.01</v>
      </c>
      <c r="F435" s="546"/>
      <c r="G435" s="546"/>
    </row>
    <row r="436" spans="2:7" s="12" customFormat="1" x14ac:dyDescent="0.25">
      <c r="B436" s="547">
        <f t="shared" si="35"/>
        <v>400</v>
      </c>
      <c r="C436" s="579"/>
      <c r="D436" s="579" t="str">
        <f>DESPORC!D471</f>
        <v>Gest. S.M.A.: Materiais Adquiridos Através de Consórcio</v>
      </c>
      <c r="E436" s="582">
        <v>0.01</v>
      </c>
      <c r="F436" s="579"/>
      <c r="G436" s="579"/>
    </row>
    <row r="437" spans="2:7" s="12" customFormat="1" x14ac:dyDescent="0.25">
      <c r="B437" s="547">
        <f t="shared" si="35"/>
        <v>401</v>
      </c>
      <c r="C437" s="579"/>
      <c r="D437" s="579" t="str">
        <f>DESPORC!D472</f>
        <v>Gest. S.M.A.: Obras e Instalacoes</v>
      </c>
      <c r="E437" s="582">
        <v>0.01</v>
      </c>
      <c r="F437" s="579"/>
      <c r="G437" s="579"/>
    </row>
    <row r="438" spans="2:7" s="12" customFormat="1" x14ac:dyDescent="0.25">
      <c r="B438" s="547">
        <f t="shared" si="35"/>
        <v>402</v>
      </c>
      <c r="C438" s="579"/>
      <c r="D438" s="579" t="str">
        <f>DESPORC!D473</f>
        <v>Gest. S.M.A.: Equipamentos e Material Permanente Substituição</v>
      </c>
      <c r="E438" s="582"/>
      <c r="F438" s="579"/>
      <c r="G438" s="579"/>
    </row>
    <row r="439" spans="2:7" x14ac:dyDescent="0.25">
      <c r="B439" s="547">
        <f t="shared" si="35"/>
        <v>403</v>
      </c>
      <c r="C439" s="546"/>
      <c r="D439" s="546" t="str">
        <f>DESPORC!D474</f>
        <v>Equipamentos Diversos</v>
      </c>
      <c r="E439" s="584">
        <v>0.01</v>
      </c>
      <c r="F439" s="546"/>
      <c r="G439" s="546"/>
    </row>
    <row r="440" spans="2:7" x14ac:dyDescent="0.25">
      <c r="B440" s="547">
        <f t="shared" si="35"/>
        <v>404</v>
      </c>
      <c r="C440" s="579"/>
      <c r="D440" s="579" t="str">
        <f>DESPORC!D475</f>
        <v>Gest. S.M.A.: Equip. e Mat. Perman. - Intra-Orcam.</v>
      </c>
      <c r="E440" s="582">
        <v>0.01</v>
      </c>
      <c r="F440" s="579"/>
      <c r="G440" s="579"/>
    </row>
    <row r="441" spans="2:7" s="12" customFormat="1" ht="15.75" x14ac:dyDescent="0.25">
      <c r="B441" s="547">
        <f t="shared" si="35"/>
        <v>405</v>
      </c>
      <c r="C441" s="546"/>
      <c r="D441" s="601" t="s">
        <v>3600</v>
      </c>
      <c r="E441" s="546"/>
      <c r="F441" s="546"/>
      <c r="G441" s="546"/>
    </row>
    <row r="442" spans="2:7" x14ac:dyDescent="0.25">
      <c r="B442" s="547">
        <f t="shared" si="35"/>
        <v>406</v>
      </c>
      <c r="C442" s="579"/>
      <c r="D442" s="579" t="str">
        <f>DESPORC!D479</f>
        <v>GESTÃO , APOIO E MANUT., COORDEN. E PLANEJAMENTO</v>
      </c>
      <c r="E442" s="579"/>
      <c r="F442" s="581"/>
      <c r="G442" s="581"/>
    </row>
    <row r="443" spans="2:7" s="12" customFormat="1" x14ac:dyDescent="0.25">
      <c r="B443" s="547">
        <f t="shared" si="35"/>
        <v>407</v>
      </c>
      <c r="C443" s="579"/>
      <c r="D443" s="579" t="str">
        <f>DESPORC!D480</f>
        <v>Gest. S.M.A.: SERVIÇOS DE TECNOL. DA INFORM. E COMUNIC. - PJ</v>
      </c>
      <c r="E443" s="582"/>
      <c r="F443" s="579"/>
      <c r="G443" s="579"/>
    </row>
    <row r="444" spans="2:7" ht="15.75" x14ac:dyDescent="0.25">
      <c r="B444" s="547">
        <f t="shared" si="35"/>
        <v>408</v>
      </c>
      <c r="C444" s="546"/>
      <c r="D444" s="688" t="s">
        <v>3044</v>
      </c>
      <c r="E444" s="584">
        <v>0.01</v>
      </c>
      <c r="F444" s="546"/>
      <c r="G444" s="546"/>
    </row>
    <row r="445" spans="2:7" ht="15.75" x14ac:dyDescent="0.25">
      <c r="B445" s="547">
        <f t="shared" si="35"/>
        <v>409</v>
      </c>
      <c r="C445" s="546"/>
      <c r="D445" s="688" t="s">
        <v>5924</v>
      </c>
      <c r="E445" s="584">
        <v>1000</v>
      </c>
      <c r="F445" s="546"/>
      <c r="G445" s="546"/>
    </row>
    <row r="446" spans="2:7" ht="15.75" x14ac:dyDescent="0.25">
      <c r="B446" s="547">
        <f t="shared" si="35"/>
        <v>410</v>
      </c>
      <c r="C446" s="546"/>
      <c r="D446" s="688" t="s">
        <v>5926</v>
      </c>
      <c r="E446" s="584">
        <v>1500</v>
      </c>
      <c r="F446" s="546"/>
      <c r="G446" s="546"/>
    </row>
    <row r="447" spans="2:7" x14ac:dyDescent="0.25">
      <c r="B447" s="547">
        <f t="shared" si="35"/>
        <v>411</v>
      </c>
      <c r="C447" s="546"/>
      <c r="D447" s="546" t="str">
        <f>DESPORC!D484</f>
        <v>Outros Serviços de T.I.C.</v>
      </c>
      <c r="E447" s="584">
        <v>1000</v>
      </c>
      <c r="F447" s="546"/>
      <c r="G447" s="546"/>
    </row>
    <row r="448" spans="2:7" s="12" customFormat="1" x14ac:dyDescent="0.25">
      <c r="B448" s="547">
        <f t="shared" si="35"/>
        <v>412</v>
      </c>
      <c r="C448" s="579"/>
      <c r="D448" s="579" t="str">
        <f>DESPORC!D488</f>
        <v>GESTÃO , APOIO E MANUT., COORDEN. E PLANEJAMENTO</v>
      </c>
      <c r="E448" s="582"/>
      <c r="F448" s="579"/>
      <c r="G448" s="579"/>
    </row>
    <row r="449" spans="2:7" ht="15.75" x14ac:dyDescent="0.25">
      <c r="B449" s="547">
        <f t="shared" si="35"/>
        <v>413</v>
      </c>
      <c r="C449" s="546"/>
      <c r="D449" s="688" t="s">
        <v>5774</v>
      </c>
      <c r="E449" s="630">
        <v>0.01</v>
      </c>
    </row>
    <row r="450" spans="2:7" ht="15.75" x14ac:dyDescent="0.25">
      <c r="B450" s="547">
        <f t="shared" si="35"/>
        <v>414</v>
      </c>
      <c r="C450" s="546"/>
      <c r="D450" s="688" t="s">
        <v>5776</v>
      </c>
      <c r="E450" s="630">
        <v>0.01</v>
      </c>
    </row>
    <row r="451" spans="2:7" ht="15.75" x14ac:dyDescent="0.25">
      <c r="B451" s="547">
        <f t="shared" si="35"/>
        <v>415</v>
      </c>
      <c r="C451" s="546"/>
      <c r="D451" s="688" t="s">
        <v>5777</v>
      </c>
      <c r="E451" s="630">
        <v>0.01</v>
      </c>
    </row>
    <row r="452" spans="2:7" ht="15.75" x14ac:dyDescent="0.25">
      <c r="B452" s="547">
        <f t="shared" si="35"/>
        <v>416</v>
      </c>
      <c r="C452" s="546"/>
      <c r="D452" s="688" t="s">
        <v>5775</v>
      </c>
      <c r="E452" s="630">
        <v>0.01</v>
      </c>
    </row>
    <row r="453" spans="2:7" ht="15.75" x14ac:dyDescent="0.25">
      <c r="B453" s="547">
        <f t="shared" si="35"/>
        <v>417</v>
      </c>
      <c r="C453" s="546"/>
      <c r="D453" s="688" t="s">
        <v>5778</v>
      </c>
      <c r="E453" s="630">
        <v>0.01</v>
      </c>
    </row>
    <row r="454" spans="2:7" s="12" customFormat="1" ht="18.75" x14ac:dyDescent="0.3">
      <c r="B454" s="547">
        <f t="shared" si="35"/>
        <v>418</v>
      </c>
      <c r="C454" s="546"/>
      <c r="D454" s="603" t="s">
        <v>4229</v>
      </c>
      <c r="E454" s="546"/>
      <c r="F454" s="546"/>
      <c r="G454" s="546"/>
    </row>
    <row r="455" spans="2:7" x14ac:dyDescent="0.25">
      <c r="B455" s="547">
        <f t="shared" si="35"/>
        <v>419</v>
      </c>
      <c r="C455" s="579"/>
      <c r="D455" s="579" t="str">
        <f>DESPORC!D506</f>
        <v>REALIZAÇÃO DE NOVOS INVEST. DO PODER EXECUTIVO</v>
      </c>
      <c r="E455" s="579"/>
      <c r="F455" s="581"/>
      <c r="G455" s="581"/>
    </row>
    <row r="456" spans="2:7" x14ac:dyDescent="0.25">
      <c r="B456" s="547">
        <f t="shared" si="35"/>
        <v>420</v>
      </c>
      <c r="C456" s="548"/>
      <c r="D456" s="548" t="str">
        <f>DESPORC!D507</f>
        <v>Custo de Aquis.: Obrigacoes Tributarias E Contributivas</v>
      </c>
      <c r="E456" s="551">
        <f>(SUM(E460,E462,E458)*(E$29))</f>
        <v>6.0000000000000001E-3</v>
      </c>
      <c r="F456" s="551">
        <f t="shared" ref="F456:G465" si="36">E456*(1+F$10)</f>
        <v>6.2927999999999994E-3</v>
      </c>
      <c r="G456" s="551">
        <f t="shared" si="36"/>
        <v>6.5684246399999998E-3</v>
      </c>
    </row>
    <row r="457" spans="2:7" x14ac:dyDescent="0.25">
      <c r="B457" s="547">
        <f t="shared" si="35"/>
        <v>421</v>
      </c>
      <c r="C457" s="548"/>
      <c r="D457" s="548" t="str">
        <f>DESPORC!D508</f>
        <v>Custo de Aquis.: Material De Consumo</v>
      </c>
      <c r="E457" s="551">
        <f>SUM(E458,E459)</f>
        <v>0.02</v>
      </c>
      <c r="F457" s="551">
        <f t="shared" si="36"/>
        <v>2.0975999999999998E-2</v>
      </c>
      <c r="G457" s="551">
        <f t="shared" si="36"/>
        <v>2.1894748799999999E-2</v>
      </c>
    </row>
    <row r="458" spans="2:7" x14ac:dyDescent="0.25">
      <c r="B458" s="547">
        <f t="shared" si="35"/>
        <v>422</v>
      </c>
      <c r="C458" s="546"/>
      <c r="D458" s="546" t="s">
        <v>3083</v>
      </c>
      <c r="E458" s="552">
        <v>0.01</v>
      </c>
      <c r="F458" s="602">
        <f t="shared" si="36"/>
        <v>1.0487999999999999E-2</v>
      </c>
      <c r="G458" s="602">
        <f t="shared" si="36"/>
        <v>1.0947374399999999E-2</v>
      </c>
    </row>
    <row r="459" spans="2:7" x14ac:dyDescent="0.25">
      <c r="B459" s="547">
        <f t="shared" si="35"/>
        <v>423</v>
      </c>
      <c r="C459" s="546"/>
      <c r="D459" s="546" t="s">
        <v>3085</v>
      </c>
      <c r="E459" s="552">
        <v>0.01</v>
      </c>
      <c r="F459" s="602">
        <f t="shared" si="36"/>
        <v>1.0487999999999999E-2</v>
      </c>
      <c r="G459" s="602">
        <f t="shared" si="36"/>
        <v>1.0947374399999999E-2</v>
      </c>
    </row>
    <row r="460" spans="2:7" x14ac:dyDescent="0.25">
      <c r="B460" s="547">
        <f t="shared" si="35"/>
        <v>424</v>
      </c>
      <c r="C460" s="548"/>
      <c r="D460" s="548" t="str">
        <f>DESPORC!D509</f>
        <v>Custo de Aquis.: Servicos - Pessoa Fisica</v>
      </c>
      <c r="E460" s="551">
        <v>0.01</v>
      </c>
      <c r="F460" s="551">
        <f t="shared" si="36"/>
        <v>1.0487999999999999E-2</v>
      </c>
      <c r="G460" s="551">
        <f t="shared" si="36"/>
        <v>1.0947374399999999E-2</v>
      </c>
    </row>
    <row r="461" spans="2:7" x14ac:dyDescent="0.25">
      <c r="B461" s="547">
        <f t="shared" si="35"/>
        <v>425</v>
      </c>
      <c r="C461" s="548"/>
      <c r="D461" s="548" t="str">
        <f>DESPORC!D510</f>
        <v>Custo de Aquis.: Servicos - Pessoa Jurídica</v>
      </c>
      <c r="E461" s="551">
        <v>0.01</v>
      </c>
      <c r="F461" s="551">
        <f t="shared" si="36"/>
        <v>1.0487999999999999E-2</v>
      </c>
      <c r="G461" s="551">
        <f t="shared" si="36"/>
        <v>1.0947374399999999E-2</v>
      </c>
    </row>
    <row r="462" spans="2:7" x14ac:dyDescent="0.25">
      <c r="B462" s="547">
        <f t="shared" si="35"/>
        <v>426</v>
      </c>
      <c r="C462" s="546"/>
      <c r="D462" s="546" t="s">
        <v>3081</v>
      </c>
      <c r="E462" s="552">
        <v>0.01</v>
      </c>
      <c r="F462" s="602">
        <f t="shared" si="36"/>
        <v>1.0487999999999999E-2</v>
      </c>
      <c r="G462" s="602">
        <f t="shared" si="36"/>
        <v>1.0947374399999999E-2</v>
      </c>
    </row>
    <row r="463" spans="2:7" x14ac:dyDescent="0.25">
      <c r="B463" s="547">
        <f t="shared" si="35"/>
        <v>427</v>
      </c>
      <c r="C463" s="546"/>
      <c r="D463" s="546" t="s">
        <v>3082</v>
      </c>
      <c r="E463" s="552">
        <v>0.01</v>
      </c>
      <c r="F463" s="602">
        <f t="shared" si="36"/>
        <v>1.0487999999999999E-2</v>
      </c>
      <c r="G463" s="602">
        <f t="shared" si="36"/>
        <v>1.0947374399999999E-2</v>
      </c>
    </row>
    <row r="464" spans="2:7" x14ac:dyDescent="0.25">
      <c r="B464" s="547">
        <f t="shared" si="35"/>
        <v>428</v>
      </c>
      <c r="C464" s="548"/>
      <c r="D464" s="548" t="str">
        <f>DESPORC!D512</f>
        <v>Custo de Aquis.: Obras e Instalacoes</v>
      </c>
      <c r="E464" s="551">
        <f>E465</f>
        <v>0.01</v>
      </c>
      <c r="F464" s="551">
        <f t="shared" si="36"/>
        <v>1.0487999999999999E-2</v>
      </c>
      <c r="G464" s="551">
        <f t="shared" si="36"/>
        <v>1.0947374399999999E-2</v>
      </c>
    </row>
    <row r="465" spans="2:7" x14ac:dyDescent="0.25">
      <c r="B465" s="547">
        <f t="shared" si="35"/>
        <v>429</v>
      </c>
      <c r="C465" s="546"/>
      <c r="D465" s="546" t="s">
        <v>3126</v>
      </c>
      <c r="E465" s="552">
        <v>0.01</v>
      </c>
      <c r="F465" s="602">
        <f t="shared" si="36"/>
        <v>1.0487999999999999E-2</v>
      </c>
      <c r="G465" s="602">
        <f t="shared" si="36"/>
        <v>1.0947374399999999E-2</v>
      </c>
    </row>
    <row r="466" spans="2:7" x14ac:dyDescent="0.25">
      <c r="B466" s="547">
        <f t="shared" si="35"/>
        <v>430</v>
      </c>
      <c r="C466" s="548"/>
      <c r="D466" s="548" t="str">
        <f>DESPORC!D513</f>
        <v>Custo de Aquis.: Equipamentos e Material Permanente</v>
      </c>
      <c r="E466" s="551">
        <f>SUM(E467,E468)</f>
        <v>0.02</v>
      </c>
      <c r="F466" s="551">
        <f>SUM(F467,F468)</f>
        <v>2.0975999999999998E-2</v>
      </c>
      <c r="G466" s="551">
        <f>SUM(G467,G468)</f>
        <v>2.1894748799999999E-2</v>
      </c>
    </row>
    <row r="467" spans="2:7" x14ac:dyDescent="0.25">
      <c r="B467" s="547">
        <f t="shared" ref="B467:B528" si="37">B466+1</f>
        <v>431</v>
      </c>
      <c r="C467" s="546"/>
      <c r="D467" s="546" t="s">
        <v>3401</v>
      </c>
      <c r="E467" s="552">
        <v>0.01</v>
      </c>
      <c r="F467" s="552">
        <f>E467*(1+F$10)</f>
        <v>1.0487999999999999E-2</v>
      </c>
      <c r="G467" s="552">
        <f>F467*(1+G$10)</f>
        <v>1.0947374399999999E-2</v>
      </c>
    </row>
    <row r="468" spans="2:7" x14ac:dyDescent="0.25">
      <c r="B468" s="547">
        <f t="shared" si="37"/>
        <v>432</v>
      </c>
      <c r="C468" s="546"/>
      <c r="D468" s="546" t="s">
        <v>3403</v>
      </c>
      <c r="E468" s="552">
        <v>0.01</v>
      </c>
      <c r="F468" s="552">
        <f>E468*(1+F$10)</f>
        <v>1.0487999999999999E-2</v>
      </c>
      <c r="G468" s="552">
        <f>F468*(1+G$10)</f>
        <v>1.0947374399999999E-2</v>
      </c>
    </row>
    <row r="469" spans="2:7" x14ac:dyDescent="0.25">
      <c r="B469" s="547">
        <f t="shared" si="37"/>
        <v>433</v>
      </c>
      <c r="C469" s="579"/>
      <c r="D469" s="579" t="str">
        <f>DESPORC!D519</f>
        <v>GESTÃO , APOIO E MANUT., COORDEN. E PLANEJAMENTO</v>
      </c>
      <c r="E469" s="579"/>
      <c r="F469" s="581"/>
      <c r="G469" s="581"/>
    </row>
    <row r="470" spans="2:7" s="12" customFormat="1" x14ac:dyDescent="0.25">
      <c r="B470" s="547">
        <f t="shared" si="37"/>
        <v>434</v>
      </c>
      <c r="C470" s="579"/>
      <c r="D470" s="579" t="str">
        <f>DESPORC!D520</f>
        <v>Gest. S.M.F. Folha Pgtoº: Servidor Contratado: Venc e Prev</v>
      </c>
      <c r="E470" s="583">
        <f>SUM(E471,E472,E473)</f>
        <v>0.23333333333333334</v>
      </c>
      <c r="F470" s="579"/>
      <c r="G470" s="579"/>
    </row>
    <row r="471" spans="2:7" s="12" customFormat="1" x14ac:dyDescent="0.25">
      <c r="B471" s="547">
        <f t="shared" si="37"/>
        <v>435</v>
      </c>
      <c r="C471" s="546"/>
      <c r="D471" s="546" t="s">
        <v>3075</v>
      </c>
      <c r="E471" s="552">
        <v>0.1</v>
      </c>
      <c r="F471" s="552">
        <f t="shared" ref="F471:G471" si="38">E471*(1+F$10)</f>
        <v>0.10488</v>
      </c>
      <c r="G471" s="552">
        <f t="shared" si="38"/>
        <v>0.10947374400000001</v>
      </c>
    </row>
    <row r="472" spans="2:7" x14ac:dyDescent="0.25">
      <c r="B472" s="547">
        <f t="shared" si="37"/>
        <v>436</v>
      </c>
      <c r="C472" s="546"/>
      <c r="D472" s="546" t="s">
        <v>3116</v>
      </c>
      <c r="E472" s="552">
        <f>E471/3</f>
        <v>3.3333333333333333E-2</v>
      </c>
      <c r="F472" s="552">
        <f t="shared" ref="F472:G472" si="39">E472*(1+F$10)</f>
        <v>3.4959999999999998E-2</v>
      </c>
      <c r="G472" s="552">
        <f t="shared" si="39"/>
        <v>3.6491247999999997E-2</v>
      </c>
    </row>
    <row r="473" spans="2:7" x14ac:dyDescent="0.25">
      <c r="B473" s="547">
        <f t="shared" si="37"/>
        <v>437</v>
      </c>
      <c r="C473" s="546"/>
      <c r="D473" s="546" t="s">
        <v>2991</v>
      </c>
      <c r="E473" s="552">
        <f>E471</f>
        <v>0.1</v>
      </c>
      <c r="F473" s="552">
        <f t="shared" ref="F473:G473" si="40">E473*(1+F$10)</f>
        <v>0.10488</v>
      </c>
      <c r="G473" s="552">
        <f t="shared" si="40"/>
        <v>0.10947374400000001</v>
      </c>
    </row>
    <row r="474" spans="2:7" s="12" customFormat="1" x14ac:dyDescent="0.25">
      <c r="B474" s="547">
        <f t="shared" si="37"/>
        <v>438</v>
      </c>
      <c r="C474" s="579"/>
      <c r="D474" s="579" t="str">
        <f>DESPORC!D523</f>
        <v>Gest. S.M.F. Folha Pgtoº: Serv Efet. C.C. e Ag. Polit</v>
      </c>
      <c r="E474" s="583">
        <f>SUM(E475:E488)</f>
        <v>124179.95415055477</v>
      </c>
      <c r="F474" s="579"/>
      <c r="G474" s="579"/>
    </row>
    <row r="475" spans="2:7" x14ac:dyDescent="0.25">
      <c r="B475" s="547">
        <f t="shared" si="37"/>
        <v>439</v>
      </c>
      <c r="C475" s="546"/>
      <c r="D475" s="546" t="str">
        <f>DESPORC!D524</f>
        <v>13º Salário Serv. C.C.</v>
      </c>
      <c r="E475" s="584">
        <f>'FOPAG EXEC.'!E269</f>
        <v>6954.3992848243033</v>
      </c>
      <c r="F475" s="552">
        <f t="shared" ref="F475:G475" si="41">E475*(1+F$10)</f>
        <v>7293.7739699237291</v>
      </c>
      <c r="G475" s="552">
        <f t="shared" si="41"/>
        <v>7613.241269806389</v>
      </c>
    </row>
    <row r="476" spans="2:7" x14ac:dyDescent="0.25">
      <c r="B476" s="547">
        <f t="shared" si="37"/>
        <v>440</v>
      </c>
      <c r="C476" s="546"/>
      <c r="D476" s="546" t="str">
        <f>DESPORC!D525</f>
        <v>Vencimentos Servidores Efetivos</v>
      </c>
      <c r="E476" s="584">
        <f>'FOPAG EXEC.'!E271-'FOPAG EXEC.'!N42-'FOPAG EXEC.'!N43-'FOPAG EXEC.'!N52-'FOPAG EXEC.'!N53-'FOPAG EXEC.'!N54</f>
        <v>25673.186592870577</v>
      </c>
      <c r="F476" s="552">
        <f t="shared" ref="F476:G476" si="42">E476*(1+F$10)</f>
        <v>26926.038098602661</v>
      </c>
      <c r="G476" s="552">
        <f t="shared" si="42"/>
        <v>28105.398567321459</v>
      </c>
    </row>
    <row r="477" spans="2:7" x14ac:dyDescent="0.25">
      <c r="B477" s="547">
        <f t="shared" si="37"/>
        <v>441</v>
      </c>
      <c r="C477" s="546"/>
      <c r="D477" s="546" t="str">
        <f>DESPORC!D526</f>
        <v>Vencimentos Servidores C.C.</v>
      </c>
      <c r="E477" s="584">
        <f>'FOPAG EXEC.'!E267</f>
        <v>6954.3992848243033</v>
      </c>
      <c r="F477" s="552">
        <f t="shared" ref="F477:G477" si="43">E477*(1+F$10)</f>
        <v>7293.7739699237291</v>
      </c>
      <c r="G477" s="552">
        <f t="shared" si="43"/>
        <v>7613.241269806389</v>
      </c>
    </row>
    <row r="478" spans="2:7" x14ac:dyDescent="0.25">
      <c r="B478" s="547">
        <f t="shared" si="37"/>
        <v>442</v>
      </c>
      <c r="C478" s="546"/>
      <c r="D478" s="546" t="str">
        <f>DESPORC!D527</f>
        <v>Adicional Noturno</v>
      </c>
      <c r="E478" s="584">
        <v>50</v>
      </c>
      <c r="F478" s="552">
        <f t="shared" ref="F478:G478" si="44">E478*(1+F$10)</f>
        <v>52.44</v>
      </c>
      <c r="G478" s="552">
        <f t="shared" si="44"/>
        <v>54.736871999999998</v>
      </c>
    </row>
    <row r="479" spans="2:7" x14ac:dyDescent="0.25">
      <c r="B479" s="547">
        <f t="shared" si="37"/>
        <v>443</v>
      </c>
      <c r="C479" s="546"/>
      <c r="D479" s="546" t="str">
        <f>DESPORC!D528</f>
        <v>Ferias Serv. Efetivos</v>
      </c>
      <c r="E479" s="584">
        <f>'FOPAG EXEC.'!E272</f>
        <v>13915.772968933428</v>
      </c>
      <c r="F479" s="552">
        <f t="shared" ref="F479:G479" si="45">E479*(1+F$10)</f>
        <v>14594.862689817379</v>
      </c>
      <c r="G479" s="552">
        <f t="shared" si="45"/>
        <v>15234.117675631382</v>
      </c>
    </row>
    <row r="480" spans="2:7" x14ac:dyDescent="0.25">
      <c r="B480" s="547"/>
      <c r="C480" s="546"/>
      <c r="D480" s="546" t="s">
        <v>4552</v>
      </c>
      <c r="E480" s="584">
        <f>'FOPAG EXEC.'!E268</f>
        <v>2318.1330949414346</v>
      </c>
      <c r="F480" s="552">
        <f t="shared" ref="F480" si="46">E480*(1+F$10)</f>
        <v>2431.2579899745765</v>
      </c>
      <c r="G480" s="552">
        <f t="shared" ref="G480" si="47">F480*(1+G$10)</f>
        <v>2537.747089935463</v>
      </c>
    </row>
    <row r="481" spans="2:7" x14ac:dyDescent="0.25">
      <c r="B481" s="547">
        <f>B479+1</f>
        <v>444</v>
      </c>
      <c r="C481" s="546"/>
      <c r="D481" s="546" t="str">
        <f>DESPORC!D529</f>
        <v>Premio Assiduidade</v>
      </c>
      <c r="E481" s="584">
        <v>2014.96</v>
      </c>
      <c r="F481" s="552">
        <f t="shared" ref="F481:G481" si="48">E481*(1+F$10)</f>
        <v>2113.2900479999998</v>
      </c>
      <c r="G481" s="552">
        <f t="shared" si="48"/>
        <v>2205.8521521023999</v>
      </c>
    </row>
    <row r="482" spans="2:7" x14ac:dyDescent="0.25">
      <c r="B482" s="547">
        <f t="shared" si="37"/>
        <v>445</v>
      </c>
      <c r="C482" s="546"/>
      <c r="D482" s="546" t="str">
        <f>DESPORC!D530</f>
        <v>Anuênio</v>
      </c>
      <c r="E482" s="584">
        <f>'FOPAG EXEC.'!E274+'FOPAG EXEC.'!E276+'FOPAG EXEC.'!E275</f>
        <v>6913.0262090795995</v>
      </c>
      <c r="F482" s="552">
        <f t="shared" ref="F482:G482" si="49">E482*(1+F$10)</f>
        <v>7250.3818880826839</v>
      </c>
      <c r="G482" s="552">
        <f t="shared" si="49"/>
        <v>7567.9486147807056</v>
      </c>
    </row>
    <row r="483" spans="2:7" x14ac:dyDescent="0.25">
      <c r="B483" s="547">
        <f t="shared" si="37"/>
        <v>446</v>
      </c>
      <c r="C483" s="546"/>
      <c r="D483" s="546" t="str">
        <f>DESPORC!D531</f>
        <v>Subsídio Sec. Mun. Fazenda</v>
      </c>
      <c r="E483" s="584">
        <f>'FOPAG EXEC.'!E285</f>
        <v>5175.1021630377327</v>
      </c>
      <c r="F483" s="552">
        <f t="shared" ref="F483:G483" si="50">E483*(1+F$10)</f>
        <v>5427.6471485939737</v>
      </c>
      <c r="G483" s="552">
        <f t="shared" si="50"/>
        <v>5665.3780937023903</v>
      </c>
    </row>
    <row r="484" spans="2:7" x14ac:dyDescent="0.25">
      <c r="B484" s="547">
        <f t="shared" si="37"/>
        <v>447</v>
      </c>
      <c r="C484" s="546"/>
      <c r="D484" s="546" t="str">
        <f>DESPORC!D532</f>
        <v>13º Salário Serv. Efetivos</v>
      </c>
      <c r="E484" s="584">
        <f>'FOPAG EXEC.'!E273</f>
        <v>38965.559192870576</v>
      </c>
      <c r="F484" s="552">
        <f t="shared" ref="F484:G486" si="51">E484*(1+F$10)</f>
        <v>40867.078481482662</v>
      </c>
      <c r="G484" s="552">
        <f t="shared" si="51"/>
        <v>42657.056518971607</v>
      </c>
    </row>
    <row r="485" spans="2:7" x14ac:dyDescent="0.25">
      <c r="B485" s="547">
        <f t="shared" si="37"/>
        <v>448</v>
      </c>
      <c r="C485" s="546"/>
      <c r="D485" s="546" t="str">
        <f>DESPORC!D533</f>
        <v>Ferias Sec. Mun. Fazenda</v>
      </c>
      <c r="E485" s="584">
        <f>'FOPAG EXEC.'!E286</f>
        <v>1725.0340543459108</v>
      </c>
      <c r="F485" s="552">
        <f t="shared" si="51"/>
        <v>1809.2157161979912</v>
      </c>
      <c r="G485" s="552">
        <f t="shared" si="51"/>
        <v>1888.4593645674634</v>
      </c>
    </row>
    <row r="486" spans="2:7" x14ac:dyDescent="0.25">
      <c r="B486" s="547">
        <f t="shared" si="37"/>
        <v>449</v>
      </c>
      <c r="C486" s="546"/>
      <c r="D486" s="546" t="s">
        <v>5803</v>
      </c>
      <c r="E486" s="584">
        <f>'FOPAG EXEC.'!E282</f>
        <v>5563.5194278594427</v>
      </c>
      <c r="F486" s="552">
        <f t="shared" si="51"/>
        <v>5835.0191759389836</v>
      </c>
      <c r="G486" s="552">
        <f t="shared" si="51"/>
        <v>6090.593015845111</v>
      </c>
    </row>
    <row r="487" spans="2:7" x14ac:dyDescent="0.25">
      <c r="B487" s="547"/>
      <c r="C487" s="546"/>
      <c r="D487" s="546" t="s">
        <v>2750</v>
      </c>
      <c r="E487" s="584">
        <f>'FOPAG EXEC.'!E281</f>
        <v>2781.7597139297213</v>
      </c>
      <c r="F487" s="552">
        <f t="shared" ref="F487" si="52">E487*(1+F$10)</f>
        <v>2917.5095879694918</v>
      </c>
      <c r="G487" s="552">
        <f t="shared" ref="G487" si="53">F487*(1+G$10)</f>
        <v>3045.2965079225555</v>
      </c>
    </row>
    <row r="488" spans="2:7" x14ac:dyDescent="0.25">
      <c r="B488" s="547"/>
      <c r="C488" s="546"/>
      <c r="D488" s="546" t="s">
        <v>7716</v>
      </c>
      <c r="E488" s="584">
        <f>'FOPAG EXEC.'!E287</f>
        <v>5175.1021630377327</v>
      </c>
      <c r="F488" s="552">
        <f t="shared" ref="F488" si="54">E488*(1+F$10)</f>
        <v>5427.6471485939737</v>
      </c>
      <c r="G488" s="552">
        <f t="shared" ref="G488" si="55">F488*(1+G$10)</f>
        <v>5665.3780937023903</v>
      </c>
    </row>
    <row r="489" spans="2:7" x14ac:dyDescent="0.25">
      <c r="B489" s="547"/>
      <c r="C489" s="546"/>
      <c r="D489" s="546" t="s">
        <v>2751</v>
      </c>
      <c r="E489" s="584">
        <f>'FOPAG EXEC.'!E283</f>
        <v>4798.4658787808039</v>
      </c>
      <c r="F489" s="552">
        <f t="shared" ref="F489" si="56">E489*(1+F$10)</f>
        <v>5032.6310136653074</v>
      </c>
      <c r="G489" s="552">
        <f t="shared" ref="G489" si="57">F489*(1+G$10)</f>
        <v>5253.0602520638486</v>
      </c>
    </row>
    <row r="490" spans="2:7" s="12" customFormat="1" x14ac:dyDescent="0.25">
      <c r="B490" s="547">
        <f>B486+1</f>
        <v>450</v>
      </c>
      <c r="C490" s="579"/>
      <c r="D490" s="579" t="str">
        <f>DESPORC!D541</f>
        <v>Gest. S.M.F. Folha Pgtoº: Hora Extra</v>
      </c>
      <c r="E490" s="579"/>
      <c r="F490" s="579"/>
      <c r="G490" s="579"/>
    </row>
    <row r="491" spans="2:7" x14ac:dyDescent="0.25">
      <c r="B491" s="547">
        <f t="shared" si="37"/>
        <v>451</v>
      </c>
      <c r="C491" s="546"/>
      <c r="D491" s="546" t="s">
        <v>3431</v>
      </c>
      <c r="E491" s="584">
        <v>0.01</v>
      </c>
      <c r="F491" s="552">
        <f t="shared" ref="F491:G491" si="58">E491*(1+F$10)</f>
        <v>1.0487999999999999E-2</v>
      </c>
      <c r="G491" s="552">
        <f t="shared" si="58"/>
        <v>1.0947374399999999E-2</v>
      </c>
    </row>
    <row r="492" spans="2:7" x14ac:dyDescent="0.25">
      <c r="B492" s="547">
        <f t="shared" si="37"/>
        <v>452</v>
      </c>
      <c r="C492" s="546"/>
      <c r="D492" s="546" t="s">
        <v>3433</v>
      </c>
      <c r="E492" s="584">
        <f>15948/8*12</f>
        <v>23922</v>
      </c>
      <c r="F492" s="552">
        <f t="shared" ref="F492:G492" si="59">E492*(1+F$10)</f>
        <v>25089.393599999999</v>
      </c>
      <c r="G492" s="552">
        <f t="shared" si="59"/>
        <v>26188.30903968</v>
      </c>
    </row>
    <row r="493" spans="2:7" s="12" customFormat="1" x14ac:dyDescent="0.25">
      <c r="B493" s="547">
        <f t="shared" si="37"/>
        <v>453</v>
      </c>
      <c r="C493" s="579"/>
      <c r="D493" s="579" t="str">
        <f>DESPORC!D543</f>
        <v>Gest. S.M.F.: Substituição de Servidores P/Serviços Terceiros</v>
      </c>
      <c r="E493" s="579"/>
      <c r="F493" s="579"/>
      <c r="G493" s="579"/>
    </row>
    <row r="494" spans="2:7" x14ac:dyDescent="0.25">
      <c r="B494" s="547">
        <f t="shared" si="37"/>
        <v>454</v>
      </c>
      <c r="C494" s="546"/>
      <c r="D494" s="546" t="s">
        <v>4212</v>
      </c>
      <c r="E494" s="584">
        <v>0.01</v>
      </c>
      <c r="F494" s="546"/>
      <c r="G494" s="546"/>
    </row>
    <row r="495" spans="2:7" x14ac:dyDescent="0.25">
      <c r="B495" s="547">
        <f t="shared" si="37"/>
        <v>455</v>
      </c>
      <c r="C495" s="546"/>
      <c r="D495" s="546" t="s">
        <v>4213</v>
      </c>
      <c r="E495" s="584">
        <v>0.01</v>
      </c>
      <c r="F495" s="546"/>
      <c r="G495" s="546"/>
    </row>
    <row r="496" spans="2:7" s="12" customFormat="1" x14ac:dyDescent="0.25">
      <c r="B496" s="547">
        <f t="shared" si="37"/>
        <v>456</v>
      </c>
      <c r="C496" s="579"/>
      <c r="D496" s="579" t="str">
        <f>DESPORC!D544</f>
        <v>Gest. S.M.F. Folha Pgtoº: Indenizacoes Trabalhistas</v>
      </c>
      <c r="E496" s="583"/>
      <c r="F496" s="579"/>
      <c r="G496" s="579"/>
    </row>
    <row r="497" spans="2:7" x14ac:dyDescent="0.25">
      <c r="B497" s="547">
        <f t="shared" si="37"/>
        <v>457</v>
      </c>
      <c r="C497" s="546"/>
      <c r="D497" s="546" t="str">
        <f>DESPORC!D545</f>
        <v>Férias Indenizacoes Trabalhistas Serv. C.C.</v>
      </c>
      <c r="E497" s="584">
        <v>0.01</v>
      </c>
      <c r="F497" s="546"/>
      <c r="G497" s="546"/>
    </row>
    <row r="498" spans="2:7" x14ac:dyDescent="0.25">
      <c r="B498" s="547">
        <f t="shared" si="37"/>
        <v>458</v>
      </c>
      <c r="C498" s="546"/>
      <c r="D498" s="546" t="str">
        <f>DESPORC!D546</f>
        <v>13º Salário Indenizacoes Trabalhistas Serv. Efetivos</v>
      </c>
      <c r="E498" s="584">
        <v>0.01</v>
      </c>
      <c r="F498" s="546"/>
      <c r="G498" s="546"/>
    </row>
    <row r="499" spans="2:7" x14ac:dyDescent="0.25">
      <c r="B499" s="547">
        <f t="shared" si="37"/>
        <v>459</v>
      </c>
      <c r="C499" s="546"/>
      <c r="D499" s="546" t="str">
        <f>DESPORC!D547</f>
        <v>13º Salário Indenizacoes Trabalhistas Serv. C.C.</v>
      </c>
      <c r="E499" s="584">
        <v>0.01</v>
      </c>
      <c r="F499" s="546"/>
      <c r="G499" s="546"/>
    </row>
    <row r="500" spans="2:7" x14ac:dyDescent="0.25">
      <c r="B500" s="547">
        <f t="shared" si="37"/>
        <v>460</v>
      </c>
      <c r="C500" s="546"/>
      <c r="D500" s="546" t="str">
        <f>DESPORC!D548</f>
        <v>Férias Indenizacoes Trabalhistas Serv. Efetivos</v>
      </c>
      <c r="E500" s="584">
        <v>0.01</v>
      </c>
      <c r="F500" s="546"/>
      <c r="G500" s="546"/>
    </row>
    <row r="501" spans="2:7" x14ac:dyDescent="0.25">
      <c r="B501" s="547">
        <f t="shared" si="37"/>
        <v>461</v>
      </c>
      <c r="C501" s="546"/>
      <c r="D501" s="546" t="str">
        <f>DESPORC!D549</f>
        <v>Férias Indenizacoes Trabalhistas Sec. Mun. Fazenda</v>
      </c>
      <c r="E501" s="584">
        <v>0.01</v>
      </c>
      <c r="F501" s="546"/>
      <c r="G501" s="546"/>
    </row>
    <row r="502" spans="2:7" x14ac:dyDescent="0.25">
      <c r="B502" s="547">
        <f t="shared" si="37"/>
        <v>462</v>
      </c>
      <c r="C502" s="546"/>
      <c r="D502" s="546" t="str">
        <f>DESPORC!D550</f>
        <v>13º Salário Indenizacoes Trabalhistas Sec. Mun. Fazenda</v>
      </c>
      <c r="E502" s="584">
        <v>0.01</v>
      </c>
      <c r="F502" s="546"/>
      <c r="G502" s="546"/>
    </row>
    <row r="503" spans="2:7" x14ac:dyDescent="0.25">
      <c r="B503" s="547">
        <f t="shared" si="37"/>
        <v>463</v>
      </c>
      <c r="C503" s="579"/>
      <c r="D503" s="579" t="str">
        <f>DESPORC!D551</f>
        <v>Gest. S.M.F.: Diárias</v>
      </c>
      <c r="E503" s="583"/>
      <c r="F503" s="579"/>
      <c r="G503" s="579"/>
    </row>
    <row r="504" spans="2:7" x14ac:dyDescent="0.25">
      <c r="B504" s="547">
        <f t="shared" si="37"/>
        <v>464</v>
      </c>
      <c r="C504" s="546"/>
      <c r="D504" s="546" t="str">
        <f>DESPORC!D552</f>
        <v>Diarias  Sec. Mun. Fazenda</v>
      </c>
      <c r="E504" s="584">
        <v>1000</v>
      </c>
      <c r="F504" s="546"/>
      <c r="G504" s="546"/>
    </row>
    <row r="505" spans="2:7" x14ac:dyDescent="0.25">
      <c r="B505" s="547">
        <f t="shared" si="37"/>
        <v>465</v>
      </c>
      <c r="C505" s="546"/>
      <c r="D505" s="546" t="str">
        <f>DESPORC!D553</f>
        <v>Diarias Servidores Efetivos</v>
      </c>
      <c r="E505" s="584">
        <f>2968/8*12</f>
        <v>4452</v>
      </c>
      <c r="F505" s="546"/>
      <c r="G505" s="546"/>
    </row>
    <row r="506" spans="2:7" x14ac:dyDescent="0.25">
      <c r="B506" s="547">
        <f t="shared" si="37"/>
        <v>466</v>
      </c>
      <c r="C506" s="546"/>
      <c r="D506" s="546" t="str">
        <f>DESPORC!D554</f>
        <v>Diarias Servidores C.C.</v>
      </c>
      <c r="E506" s="584">
        <f>512/8*12</f>
        <v>768</v>
      </c>
      <c r="F506" s="546"/>
      <c r="G506" s="546"/>
    </row>
    <row r="507" spans="2:7" x14ac:dyDescent="0.25">
      <c r="B507" s="547">
        <f t="shared" si="37"/>
        <v>467</v>
      </c>
      <c r="C507" s="546"/>
      <c r="D507" s="546" t="str">
        <f>DESPORC!D555</f>
        <v>Diarias Servidores Contratados</v>
      </c>
      <c r="E507" s="584">
        <v>500</v>
      </c>
      <c r="F507" s="546"/>
      <c r="G507" s="546"/>
    </row>
    <row r="508" spans="2:7" x14ac:dyDescent="0.25">
      <c r="B508" s="547">
        <f t="shared" si="37"/>
        <v>468</v>
      </c>
      <c r="C508" s="579"/>
      <c r="D508" s="579" t="str">
        <f>DESPORC!D556</f>
        <v>Gest. S.M.F.: Material de Consumo</v>
      </c>
      <c r="E508" s="583">
        <f>20091.36/8*12</f>
        <v>30137.040000000001</v>
      </c>
      <c r="F508" s="579"/>
      <c r="G508" s="579"/>
    </row>
    <row r="509" spans="2:7" x14ac:dyDescent="0.25">
      <c r="B509" s="547">
        <v>469</v>
      </c>
      <c r="C509" s="579"/>
      <c r="D509" s="579" t="str">
        <f>DESPORC!D564</f>
        <v>Gest. S.M.F.: Passagens e Despesas com Locomocao</v>
      </c>
      <c r="E509" s="583"/>
      <c r="F509" s="579"/>
      <c r="G509" s="579"/>
    </row>
    <row r="510" spans="2:7" x14ac:dyDescent="0.25">
      <c r="B510" s="547">
        <f t="shared" si="37"/>
        <v>470</v>
      </c>
      <c r="C510" s="546"/>
      <c r="D510" s="546" t="str">
        <f>DESPORC!D565</f>
        <v>Desp. com Locomoção</v>
      </c>
      <c r="E510" s="584">
        <f>3792.95/8*12</f>
        <v>5689.4249999999993</v>
      </c>
      <c r="F510" s="546"/>
      <c r="G510" s="546"/>
    </row>
    <row r="511" spans="2:7" x14ac:dyDescent="0.25">
      <c r="B511" s="547">
        <f t="shared" si="37"/>
        <v>471</v>
      </c>
      <c r="C511" s="579"/>
      <c r="D511" s="579" t="str">
        <f>DESPORC!D566</f>
        <v>Gest. S.M.F.: Servicos de Consultoria</v>
      </c>
      <c r="E511" s="583">
        <v>0.01</v>
      </c>
      <c r="F511" s="579"/>
      <c r="G511" s="579"/>
    </row>
    <row r="512" spans="2:7" x14ac:dyDescent="0.25">
      <c r="B512" s="547">
        <f t="shared" si="37"/>
        <v>472</v>
      </c>
      <c r="C512" s="579"/>
      <c r="D512" s="579" t="str">
        <f>DESPORC!D567</f>
        <v>Gest. S.M.F.: Servicos de - Pessoa Fisica</v>
      </c>
      <c r="E512" s="583">
        <v>0.01</v>
      </c>
      <c r="F512" s="579"/>
      <c r="G512" s="579"/>
    </row>
    <row r="513" spans="2:7" x14ac:dyDescent="0.25">
      <c r="B513" s="547">
        <f t="shared" si="37"/>
        <v>473</v>
      </c>
      <c r="C513" s="579"/>
      <c r="D513" s="579" t="str">
        <f>DESPORC!D568</f>
        <v>Gest. S.M.F.: Servicos - Pessoa Jurídica</v>
      </c>
      <c r="E513" s="583">
        <f>17981.7/8*12</f>
        <v>26972.550000000003</v>
      </c>
      <c r="F513" s="579"/>
      <c r="G513" s="579"/>
    </row>
    <row r="514" spans="2:7" x14ac:dyDescent="0.25">
      <c r="B514" s="547">
        <v>476</v>
      </c>
      <c r="C514" s="579"/>
      <c r="D514" s="579" t="str">
        <f>DESPORC!D578</f>
        <v>Gest. S.M.F.: Auxilio - Alimentacao</v>
      </c>
      <c r="E514" s="583">
        <f>47104/8*12</f>
        <v>70656</v>
      </c>
      <c r="F514" s="579"/>
      <c r="G514" s="579"/>
    </row>
    <row r="515" spans="2:7" x14ac:dyDescent="0.25">
      <c r="B515" s="547">
        <f t="shared" si="37"/>
        <v>477</v>
      </c>
      <c r="C515" s="579"/>
      <c r="D515" s="579" t="str">
        <f>DESPORC!D580</f>
        <v>Gest. S.M.F.: Obrigacoes Tributarias e Contributivas</v>
      </c>
      <c r="E515" s="583"/>
      <c r="F515" s="579"/>
      <c r="G515" s="579"/>
    </row>
    <row r="516" spans="2:7" x14ac:dyDescent="0.25">
      <c r="B516" s="547">
        <f t="shared" si="37"/>
        <v>478</v>
      </c>
      <c r="C516" s="546"/>
      <c r="D516" s="546" t="str">
        <f>DESPORC!D581</f>
        <v>Contribuição Patronal Prev. S/Serviços P. Juridica e MEI</v>
      </c>
      <c r="E516" s="584">
        <v>500</v>
      </c>
      <c r="F516" s="546"/>
      <c r="G516" s="546"/>
    </row>
    <row r="517" spans="2:7" x14ac:dyDescent="0.25">
      <c r="B517" s="547">
        <f t="shared" si="37"/>
        <v>479</v>
      </c>
      <c r="C517" s="579"/>
      <c r="D517" s="579" t="str">
        <f>DESPORC!D582</f>
        <v>Gest. S.M.F.: Auxilio-Transporte</v>
      </c>
      <c r="E517" s="583"/>
      <c r="F517" s="579"/>
      <c r="G517" s="579"/>
    </row>
    <row r="518" spans="2:7" x14ac:dyDescent="0.25">
      <c r="B518" s="547">
        <f t="shared" si="37"/>
        <v>480</v>
      </c>
      <c r="C518" s="546"/>
      <c r="D518" s="546" t="str">
        <f>DESPORC!D583</f>
        <v>Auxilio Transporte Servidores Efetivos</v>
      </c>
      <c r="E518" s="584">
        <f>'FOPAG EXEC.'!E293*12</f>
        <v>21536.457681807406</v>
      </c>
      <c r="F518" s="546"/>
      <c r="G518" s="546"/>
    </row>
    <row r="519" spans="2:7" x14ac:dyDescent="0.25">
      <c r="B519" s="547">
        <f t="shared" si="37"/>
        <v>481</v>
      </c>
      <c r="C519" s="579"/>
      <c r="D519" s="579" t="str">
        <f>DESPORC!D584</f>
        <v>Gest. S.M.F.: Despesas de Exercicios Anteriores</v>
      </c>
      <c r="E519" s="583">
        <v>0.01</v>
      </c>
      <c r="F519" s="579"/>
      <c r="G519" s="579"/>
    </row>
    <row r="520" spans="2:7" x14ac:dyDescent="0.25">
      <c r="B520" s="547">
        <f t="shared" si="37"/>
        <v>482</v>
      </c>
      <c r="C520" s="579"/>
      <c r="D520" s="579" t="str">
        <f>DESPORC!D585</f>
        <v>Gest. S.M.F.: Indenizacoes e Restituicoes</v>
      </c>
      <c r="E520" s="583"/>
      <c r="F520" s="579"/>
      <c r="G520" s="579"/>
    </row>
    <row r="521" spans="2:7" x14ac:dyDescent="0.25">
      <c r="B521" s="547">
        <f t="shared" si="37"/>
        <v>483</v>
      </c>
      <c r="C521" s="546"/>
      <c r="D521" s="546" t="str">
        <f>DESPORC!D586</f>
        <v>Ressarcimento de Despesas</v>
      </c>
      <c r="E521" s="584">
        <v>1000</v>
      </c>
      <c r="F521" s="546"/>
      <c r="G521" s="546"/>
    </row>
    <row r="522" spans="2:7" x14ac:dyDescent="0.25">
      <c r="B522" s="547">
        <f t="shared" si="37"/>
        <v>484</v>
      </c>
      <c r="C522" s="579"/>
      <c r="D522" s="579" t="str">
        <f>DESPORC!D587</f>
        <v>Gest. S.M.F.: Materiais Adquiridos Através de Consórcio</v>
      </c>
      <c r="E522" s="583">
        <v>0.01</v>
      </c>
      <c r="F522" s="579"/>
      <c r="G522" s="579"/>
    </row>
    <row r="523" spans="2:7" x14ac:dyDescent="0.25">
      <c r="B523" s="547">
        <f t="shared" si="37"/>
        <v>485</v>
      </c>
      <c r="C523" s="579"/>
      <c r="D523" s="579" t="str">
        <f>DESPORC!D588</f>
        <v>Gest. S.M.F.: Obras e Instalacoes</v>
      </c>
      <c r="E523" s="583">
        <v>0.01</v>
      </c>
      <c r="F523" s="579"/>
      <c r="G523" s="579"/>
    </row>
    <row r="524" spans="2:7" x14ac:dyDescent="0.25">
      <c r="B524" s="547">
        <f t="shared" si="37"/>
        <v>486</v>
      </c>
      <c r="C524" s="579"/>
      <c r="D524" s="579" t="str">
        <f>DESPORC!D589</f>
        <v>Gest. S.M.F.: Equipamentos e Material Permanente</v>
      </c>
      <c r="E524" s="583">
        <v>0.01</v>
      </c>
      <c r="F524" s="579"/>
      <c r="G524" s="579"/>
    </row>
    <row r="525" spans="2:7" x14ac:dyDescent="0.25">
      <c r="B525" s="547">
        <f t="shared" si="37"/>
        <v>487</v>
      </c>
      <c r="C525" s="546"/>
      <c r="D525" s="546" t="str">
        <f>DESPORC!D590</f>
        <v>Equipamentos de Informática - Estoque Almoxarifado</v>
      </c>
      <c r="E525" s="584">
        <v>0.01</v>
      </c>
      <c r="F525" s="546"/>
      <c r="G525" s="546"/>
    </row>
    <row r="526" spans="2:7" x14ac:dyDescent="0.25">
      <c r="B526" s="547">
        <f t="shared" si="37"/>
        <v>488</v>
      </c>
      <c r="C526" s="546"/>
      <c r="D526" s="546" t="str">
        <f>DESPORC!D591</f>
        <v>Equipamentos de Informática - Aq. Imediata</v>
      </c>
      <c r="E526" s="584">
        <v>0.01</v>
      </c>
      <c r="F526" s="546"/>
      <c r="G526" s="546"/>
    </row>
    <row r="527" spans="2:7" x14ac:dyDescent="0.25">
      <c r="B527" s="547">
        <f t="shared" si="37"/>
        <v>489</v>
      </c>
      <c r="C527" s="579"/>
      <c r="D527" s="579" t="s">
        <v>3600</v>
      </c>
      <c r="E527" s="583"/>
      <c r="F527" s="579"/>
      <c r="G527" s="579"/>
    </row>
    <row r="528" spans="2:7" x14ac:dyDescent="0.25">
      <c r="B528" s="547">
        <f t="shared" si="37"/>
        <v>490</v>
      </c>
      <c r="C528" s="579" t="s">
        <v>3074</v>
      </c>
      <c r="D528" s="579" t="str">
        <f>DESPORC!D595</f>
        <v>GESTÃO , APOIO E MANUT., COORDEN. E PLANEJAMENTO</v>
      </c>
      <c r="E528" s="579"/>
      <c r="F528" s="581"/>
      <c r="G528" s="581"/>
    </row>
    <row r="529" spans="2:7" s="12" customFormat="1" x14ac:dyDescent="0.25">
      <c r="B529" s="547">
        <f t="shared" ref="B529:B592" si="60">B528+1</f>
        <v>491</v>
      </c>
      <c r="C529" s="579"/>
      <c r="D529" s="579" t="str">
        <f>DESPORC!D596</f>
        <v>Gest. S.M.F.: SERVIÇOS DE TECN. DA INFORM. E COMUM. - PJ</v>
      </c>
      <c r="E529" s="583"/>
      <c r="F529" s="579"/>
      <c r="G529" s="579"/>
    </row>
    <row r="530" spans="2:7" x14ac:dyDescent="0.25">
      <c r="B530" s="547">
        <f t="shared" si="60"/>
        <v>492</v>
      </c>
      <c r="C530" s="546"/>
      <c r="D530" s="546" t="str">
        <f>DESPORC!D597</f>
        <v>Locação de Sistemas de Informática</v>
      </c>
      <c r="E530" s="584">
        <v>0.01</v>
      </c>
      <c r="F530" s="546"/>
      <c r="G530" s="546"/>
    </row>
    <row r="531" spans="2:7" x14ac:dyDescent="0.25">
      <c r="B531" s="547">
        <f t="shared" si="60"/>
        <v>493</v>
      </c>
      <c r="C531" s="546"/>
      <c r="D531" s="546" t="str">
        <f>DESPORC!D598</f>
        <v>Suporte de Infraestrutura de T.I.C.</v>
      </c>
      <c r="E531" s="584">
        <v>5000</v>
      </c>
      <c r="F531" s="546"/>
      <c r="G531" s="546"/>
    </row>
    <row r="532" spans="2:7" x14ac:dyDescent="0.25">
      <c r="B532" s="547">
        <f t="shared" si="60"/>
        <v>494</v>
      </c>
      <c r="C532" s="546"/>
      <c r="D532" s="546" t="str">
        <f>DESPORC!D599</f>
        <v>Manutencao e Conservacao de Equipamentos de T.I.C.</v>
      </c>
      <c r="E532" s="584">
        <v>3000</v>
      </c>
      <c r="F532" s="546"/>
      <c r="G532" s="546"/>
    </row>
    <row r="533" spans="2:7" x14ac:dyDescent="0.25">
      <c r="B533" s="547">
        <f t="shared" si="60"/>
        <v>495</v>
      </c>
      <c r="C533" s="546"/>
      <c r="D533" s="546" t="str">
        <f>DESPORC!D600</f>
        <v>Outros Serviços de T.I.C.</v>
      </c>
      <c r="E533" s="584">
        <v>3000</v>
      </c>
      <c r="F533" s="546"/>
      <c r="G533" s="546"/>
    </row>
    <row r="534" spans="2:7" s="12" customFormat="1" x14ac:dyDescent="0.25">
      <c r="B534" s="547">
        <f t="shared" si="60"/>
        <v>496</v>
      </c>
      <c r="C534" s="579" t="s">
        <v>3074</v>
      </c>
      <c r="D534" s="579" t="str">
        <f>DESPORC!D604</f>
        <v>GESTÃO , APOIO E MANUT., COORDEN. E PLANEJAMENTO</v>
      </c>
      <c r="E534" s="582"/>
      <c r="F534" s="579"/>
      <c r="G534" s="579"/>
    </row>
    <row r="535" spans="2:7" ht="15.75" x14ac:dyDescent="0.25">
      <c r="B535" s="547">
        <f t="shared" si="60"/>
        <v>497</v>
      </c>
      <c r="D535" s="688" t="s">
        <v>5808</v>
      </c>
      <c r="E535" s="630">
        <v>0.01</v>
      </c>
    </row>
    <row r="536" spans="2:7" ht="15.75" x14ac:dyDescent="0.25">
      <c r="B536" s="547">
        <f t="shared" si="60"/>
        <v>498</v>
      </c>
      <c r="D536" s="688" t="s">
        <v>5809</v>
      </c>
      <c r="E536" s="630">
        <v>0.01</v>
      </c>
    </row>
    <row r="537" spans="2:7" ht="15.75" x14ac:dyDescent="0.25">
      <c r="B537" s="547">
        <f t="shared" si="60"/>
        <v>499</v>
      </c>
      <c r="D537" s="688" t="s">
        <v>5810</v>
      </c>
      <c r="E537" s="630">
        <v>0.01</v>
      </c>
    </row>
    <row r="538" spans="2:7" ht="15.75" x14ac:dyDescent="0.25">
      <c r="B538" s="547">
        <f t="shared" si="60"/>
        <v>500</v>
      </c>
      <c r="D538" s="688" t="s">
        <v>5811</v>
      </c>
      <c r="E538" s="630">
        <v>0.01</v>
      </c>
    </row>
    <row r="539" spans="2:7" ht="15.75" x14ac:dyDescent="0.25">
      <c r="B539" s="547">
        <f t="shared" si="60"/>
        <v>501</v>
      </c>
      <c r="D539" s="688" t="s">
        <v>5812</v>
      </c>
      <c r="E539" s="630">
        <v>0.01</v>
      </c>
    </row>
    <row r="540" spans="2:7" x14ac:dyDescent="0.25">
      <c r="B540" s="547">
        <f t="shared" si="60"/>
        <v>502</v>
      </c>
      <c r="C540" s="579" t="s">
        <v>6965</v>
      </c>
      <c r="D540" s="579" t="str">
        <f>DESPORC!D613</f>
        <v>GESTÃO PROGRAMA EDUC. FISC. E INT. TRIBUTARIA</v>
      </c>
      <c r="E540" s="582"/>
      <c r="F540" s="579"/>
      <c r="G540" s="579"/>
    </row>
    <row r="541" spans="2:7" ht="15.75" x14ac:dyDescent="0.25">
      <c r="B541" s="547">
        <f t="shared" si="60"/>
        <v>503</v>
      </c>
      <c r="D541" s="632" t="s">
        <v>6960</v>
      </c>
      <c r="E541" s="630">
        <v>0.01</v>
      </c>
    </row>
    <row r="542" spans="2:7" ht="15.75" x14ac:dyDescent="0.25">
      <c r="B542" s="547">
        <f t="shared" si="60"/>
        <v>504</v>
      </c>
      <c r="D542" s="632" t="s">
        <v>6959</v>
      </c>
      <c r="E542" s="630">
        <v>0.01</v>
      </c>
    </row>
    <row r="543" spans="2:7" ht="15.75" x14ac:dyDescent="0.25">
      <c r="B543" s="547">
        <f t="shared" si="60"/>
        <v>505</v>
      </c>
      <c r="D543" s="632" t="s">
        <v>6958</v>
      </c>
      <c r="E543" s="630"/>
    </row>
    <row r="544" spans="2:7" ht="15.75" x14ac:dyDescent="0.25">
      <c r="B544" s="547">
        <f t="shared" si="60"/>
        <v>506</v>
      </c>
      <c r="D544" s="688" t="s">
        <v>3572</v>
      </c>
      <c r="E544" s="630">
        <v>15000</v>
      </c>
    </row>
    <row r="545" spans="2:7" ht="15.75" x14ac:dyDescent="0.25">
      <c r="B545" s="547">
        <f t="shared" si="60"/>
        <v>507</v>
      </c>
      <c r="D545" s="632" t="s">
        <v>6972</v>
      </c>
      <c r="E545" s="630">
        <v>0.01</v>
      </c>
    </row>
    <row r="546" spans="2:7" ht="15.75" x14ac:dyDescent="0.25">
      <c r="B546" s="547">
        <f t="shared" si="60"/>
        <v>508</v>
      </c>
      <c r="D546" s="632" t="s">
        <v>6961</v>
      </c>
      <c r="E546" s="630">
        <v>0.01</v>
      </c>
    </row>
    <row r="547" spans="2:7" ht="15.75" x14ac:dyDescent="0.25">
      <c r="B547" s="547">
        <f t="shared" si="60"/>
        <v>509</v>
      </c>
      <c r="D547" s="632" t="s">
        <v>6973</v>
      </c>
      <c r="E547" s="630">
        <v>0.01</v>
      </c>
    </row>
    <row r="548" spans="2:7" ht="15.75" x14ac:dyDescent="0.25">
      <c r="B548" s="547">
        <f t="shared" si="60"/>
        <v>510</v>
      </c>
      <c r="D548" s="632" t="s">
        <v>6962</v>
      </c>
      <c r="E548" s="630">
        <v>0.01</v>
      </c>
    </row>
    <row r="549" spans="2:7" ht="15.75" x14ac:dyDescent="0.25">
      <c r="B549" s="547">
        <f t="shared" si="60"/>
        <v>511</v>
      </c>
      <c r="D549" s="632" t="s">
        <v>6963</v>
      </c>
      <c r="E549" s="630">
        <v>0.01</v>
      </c>
    </row>
    <row r="550" spans="2:7" ht="15.75" x14ac:dyDescent="0.25">
      <c r="B550" s="547">
        <f t="shared" si="60"/>
        <v>512</v>
      </c>
      <c r="D550" s="632" t="s">
        <v>6964</v>
      </c>
      <c r="E550" s="630">
        <v>0.01</v>
      </c>
    </row>
    <row r="551" spans="2:7" ht="15.75" x14ac:dyDescent="0.25">
      <c r="B551" s="547">
        <f t="shared" si="60"/>
        <v>513</v>
      </c>
      <c r="D551" s="632" t="s">
        <v>6969</v>
      </c>
      <c r="E551" s="630">
        <v>0.01</v>
      </c>
    </row>
    <row r="552" spans="2:7" ht="15.75" x14ac:dyDescent="0.25">
      <c r="B552" s="547">
        <f t="shared" si="60"/>
        <v>514</v>
      </c>
      <c r="D552" s="632" t="s">
        <v>6970</v>
      </c>
      <c r="E552" s="630">
        <v>0.01</v>
      </c>
    </row>
    <row r="553" spans="2:7" ht="15.75" x14ac:dyDescent="0.25">
      <c r="B553" s="547">
        <f t="shared" si="60"/>
        <v>515</v>
      </c>
      <c r="D553" s="632" t="s">
        <v>6971</v>
      </c>
      <c r="E553" s="630">
        <v>0.01</v>
      </c>
    </row>
    <row r="554" spans="2:7" x14ac:dyDescent="0.25">
      <c r="B554" s="547">
        <f t="shared" si="60"/>
        <v>516</v>
      </c>
      <c r="C554" s="579" t="s">
        <v>6965</v>
      </c>
      <c r="D554" s="579" t="str">
        <f>DESPORC!D630</f>
        <v>GESTÃO PROGRAMA EDUC. FISC. E INT. TRIBUTARIA</v>
      </c>
      <c r="E554" s="582"/>
      <c r="F554" s="579"/>
      <c r="G554" s="579"/>
    </row>
    <row r="555" spans="2:7" ht="15.75" x14ac:dyDescent="0.25">
      <c r="B555" s="547">
        <f t="shared" si="60"/>
        <v>517</v>
      </c>
      <c r="D555" s="632" t="s">
        <v>6966</v>
      </c>
      <c r="E555" s="630">
        <v>0.01</v>
      </c>
    </row>
    <row r="556" spans="2:7" x14ac:dyDescent="0.25">
      <c r="B556" s="547">
        <f t="shared" si="60"/>
        <v>518</v>
      </c>
      <c r="C556" s="579" t="s">
        <v>6965</v>
      </c>
      <c r="D556" s="579" t="str">
        <f>DESPORC!D635</f>
        <v>GESTÃO PROGRAMA EDUC. FISC. E INT. TRIBUTARIA</v>
      </c>
      <c r="E556" s="582"/>
      <c r="F556" s="579"/>
      <c r="G556" s="579"/>
    </row>
    <row r="557" spans="2:7" ht="15.75" x14ac:dyDescent="0.25">
      <c r="B557" s="547">
        <f t="shared" si="60"/>
        <v>519</v>
      </c>
      <c r="D557" s="688" t="s">
        <v>6960</v>
      </c>
      <c r="E557" s="630">
        <v>0.01</v>
      </c>
    </row>
    <row r="558" spans="2:7" ht="15.75" x14ac:dyDescent="0.25">
      <c r="B558" s="547">
        <f t="shared" si="60"/>
        <v>520</v>
      </c>
      <c r="D558" s="688" t="s">
        <v>6961</v>
      </c>
      <c r="E558" s="630">
        <v>0.01</v>
      </c>
    </row>
    <row r="559" spans="2:7" ht="15.75" x14ac:dyDescent="0.25">
      <c r="B559" s="547">
        <f t="shared" si="60"/>
        <v>521</v>
      </c>
      <c r="D559" s="688" t="s">
        <v>6962</v>
      </c>
      <c r="E559" s="630">
        <v>0.01</v>
      </c>
    </row>
    <row r="560" spans="2:7" ht="15.75" x14ac:dyDescent="0.25">
      <c r="B560" s="547">
        <f t="shared" si="60"/>
        <v>522</v>
      </c>
      <c r="D560" s="688" t="s">
        <v>6963</v>
      </c>
      <c r="E560" s="630">
        <v>0.01</v>
      </c>
    </row>
    <row r="561" spans="2:7" ht="15.75" x14ac:dyDescent="0.25">
      <c r="B561" s="547">
        <f t="shared" si="60"/>
        <v>523</v>
      </c>
      <c r="D561" s="688" t="s">
        <v>6964</v>
      </c>
      <c r="E561" s="630">
        <v>0.01</v>
      </c>
    </row>
    <row r="562" spans="2:7" s="12" customFormat="1" ht="18.75" x14ac:dyDescent="0.3">
      <c r="B562" s="547">
        <f t="shared" si="60"/>
        <v>524</v>
      </c>
      <c r="C562" s="546"/>
      <c r="D562" s="603" t="s">
        <v>4237</v>
      </c>
      <c r="E562" s="546"/>
      <c r="F562" s="546"/>
      <c r="G562" s="546"/>
    </row>
    <row r="563" spans="2:7" ht="18.75" x14ac:dyDescent="0.3">
      <c r="B563" s="547">
        <f t="shared" si="60"/>
        <v>525</v>
      </c>
      <c r="C563" s="573"/>
      <c r="D563" s="606" t="str">
        <f>DESPORC!D652</f>
        <v>Infra-Estrutura-Urbana</v>
      </c>
      <c r="E563" s="573"/>
      <c r="F563" s="573"/>
      <c r="G563" s="573"/>
    </row>
    <row r="564" spans="2:7" x14ac:dyDescent="0.25">
      <c r="B564" s="547">
        <f t="shared" si="60"/>
        <v>526</v>
      </c>
      <c r="C564" s="579" t="s">
        <v>4238</v>
      </c>
      <c r="D564" s="579" t="str">
        <f>DESPORC!D654</f>
        <v>NOVOS INVESTIMENTOS EM INFRAESTRUTURA</v>
      </c>
      <c r="E564" s="579"/>
      <c r="F564" s="581"/>
      <c r="G564" s="581"/>
    </row>
    <row r="565" spans="2:7" x14ac:dyDescent="0.25">
      <c r="B565" s="547">
        <f t="shared" si="60"/>
        <v>527</v>
      </c>
      <c r="C565" s="548"/>
      <c r="D565" s="548" t="str">
        <f>DESPORC!D655</f>
        <v>Infraest. Urbana: Obrig. Trib. e Contributivas</v>
      </c>
      <c r="E565" s="551">
        <f>(SUM(E570,E572,E568)*(E$29))</f>
        <v>6.0000000000000001E-3</v>
      </c>
      <c r="F565" s="551">
        <f t="shared" ref="F565:G565" si="61">E565*(1+F$10)</f>
        <v>6.2927999999999994E-3</v>
      </c>
      <c r="G565" s="551">
        <f t="shared" si="61"/>
        <v>6.5684246399999998E-3</v>
      </c>
    </row>
    <row r="566" spans="2:7" x14ac:dyDescent="0.25">
      <c r="B566" s="547">
        <f t="shared" si="60"/>
        <v>528</v>
      </c>
      <c r="C566" s="548"/>
      <c r="D566" s="548" t="str">
        <f>DESPORC!D656</f>
        <v>Dev. Saldo Fin. Recurso 1032</v>
      </c>
      <c r="E566" s="551">
        <v>0.01</v>
      </c>
      <c r="F566" s="551">
        <f t="shared" ref="F566" si="62">E566*(1+F$10)</f>
        <v>1.0487999999999999E-2</v>
      </c>
      <c r="G566" s="551">
        <f t="shared" ref="G566" si="63">F566*(1+G$10)</f>
        <v>1.0947374399999999E-2</v>
      </c>
    </row>
    <row r="567" spans="2:7" x14ac:dyDescent="0.25">
      <c r="B567" s="547">
        <f t="shared" si="60"/>
        <v>529</v>
      </c>
      <c r="C567" s="548"/>
      <c r="D567" s="548" t="str">
        <f>DESPORC!D657</f>
        <v>Infraest. Urbana: Material de Consumo</v>
      </c>
      <c r="E567" s="551">
        <f>SUM(E568,E569)</f>
        <v>0.02</v>
      </c>
      <c r="F567" s="551">
        <f t="shared" ref="F567:G567" si="64">E567*(1+F$10)</f>
        <v>2.0975999999999998E-2</v>
      </c>
      <c r="G567" s="551">
        <f t="shared" si="64"/>
        <v>2.1894748799999999E-2</v>
      </c>
    </row>
    <row r="568" spans="2:7" x14ac:dyDescent="0.25">
      <c r="B568" s="547">
        <f t="shared" si="60"/>
        <v>530</v>
      </c>
      <c r="C568" s="546"/>
      <c r="D568" s="546" t="s">
        <v>3083</v>
      </c>
      <c r="E568" s="552">
        <v>0.01</v>
      </c>
      <c r="F568" s="602">
        <f t="shared" ref="F568:G568" si="65">E568*(1+F$10)</f>
        <v>1.0487999999999999E-2</v>
      </c>
      <c r="G568" s="602">
        <f t="shared" si="65"/>
        <v>1.0947374399999999E-2</v>
      </c>
    </row>
    <row r="569" spans="2:7" x14ac:dyDescent="0.25">
      <c r="B569" s="547">
        <f t="shared" si="60"/>
        <v>531</v>
      </c>
      <c r="C569" s="546"/>
      <c r="D569" s="546" t="s">
        <v>3085</v>
      </c>
      <c r="E569" s="552">
        <v>0.01</v>
      </c>
      <c r="F569" s="602">
        <f t="shared" ref="F569:G569" si="66">E569*(1+F$10)</f>
        <v>1.0487999999999999E-2</v>
      </c>
      <c r="G569" s="602">
        <f t="shared" si="66"/>
        <v>1.0947374399999999E-2</v>
      </c>
    </row>
    <row r="570" spans="2:7" x14ac:dyDescent="0.25">
      <c r="B570" s="547">
        <f t="shared" si="60"/>
        <v>532</v>
      </c>
      <c r="C570" s="548"/>
      <c r="D570" s="548" t="str">
        <f>DESPORC!D658</f>
        <v>Infraest. Urbana: Prest. de Serv. P. Física</v>
      </c>
      <c r="E570" s="551">
        <v>0.01</v>
      </c>
      <c r="F570" s="551">
        <f t="shared" ref="F570:G570" si="67">E570*(1+F$10)</f>
        <v>1.0487999999999999E-2</v>
      </c>
      <c r="G570" s="551">
        <f t="shared" si="67"/>
        <v>1.0947374399999999E-2</v>
      </c>
    </row>
    <row r="571" spans="2:7" x14ac:dyDescent="0.25">
      <c r="B571" s="547">
        <f t="shared" si="60"/>
        <v>533</v>
      </c>
      <c r="C571" s="548"/>
      <c r="D571" s="548" t="str">
        <f>DESPORC!D659</f>
        <v>Infraest. Urbana: Prest. de Serv. P. Jurídica</v>
      </c>
      <c r="E571" s="551">
        <f>SUM(E572,E573)</f>
        <v>0.02</v>
      </c>
      <c r="F571" s="551">
        <f t="shared" ref="F571:G571" si="68">E571*(1+F$10)</f>
        <v>2.0975999999999998E-2</v>
      </c>
      <c r="G571" s="551">
        <f t="shared" si="68"/>
        <v>2.1894748799999999E-2</v>
      </c>
    </row>
    <row r="572" spans="2:7" x14ac:dyDescent="0.25">
      <c r="B572" s="547">
        <f t="shared" si="60"/>
        <v>534</v>
      </c>
      <c r="C572" s="546"/>
      <c r="D572" s="546" t="s">
        <v>3081</v>
      </c>
      <c r="E572" s="552">
        <v>0.01</v>
      </c>
      <c r="F572" s="602">
        <f t="shared" ref="F572:G572" si="69">E572*(1+F$10)</f>
        <v>1.0487999999999999E-2</v>
      </c>
      <c r="G572" s="602">
        <f t="shared" si="69"/>
        <v>1.0947374399999999E-2</v>
      </c>
    </row>
    <row r="573" spans="2:7" x14ac:dyDescent="0.25">
      <c r="B573" s="547">
        <f t="shared" si="60"/>
        <v>535</v>
      </c>
      <c r="C573" s="546"/>
      <c r="D573" s="546" t="s">
        <v>3082</v>
      </c>
      <c r="E573" s="552">
        <v>0.01</v>
      </c>
      <c r="F573" s="602">
        <f t="shared" ref="F573:G574" si="70">E573*(1+F$10)</f>
        <v>1.0487999999999999E-2</v>
      </c>
      <c r="G573" s="602">
        <f t="shared" si="70"/>
        <v>1.0947374399999999E-2</v>
      </c>
    </row>
    <row r="574" spans="2:7" s="12" customFormat="1" x14ac:dyDescent="0.25">
      <c r="B574" s="547">
        <f t="shared" si="60"/>
        <v>536</v>
      </c>
      <c r="C574" s="548"/>
      <c r="D574" s="548" t="str">
        <f>DESPORC!D660</f>
        <v>Infraest. Urbana: Ex. Recurso 1032 Pavimentacao Ruas T e S</v>
      </c>
      <c r="E574" s="551">
        <v>0.01</v>
      </c>
      <c r="F574" s="551">
        <f t="shared" si="70"/>
        <v>1.0487999999999999E-2</v>
      </c>
      <c r="G574" s="551">
        <f t="shared" si="70"/>
        <v>1.0947374399999999E-2</v>
      </c>
    </row>
    <row r="575" spans="2:7" x14ac:dyDescent="0.25">
      <c r="B575" s="547">
        <f t="shared" si="60"/>
        <v>537</v>
      </c>
      <c r="C575" s="548"/>
      <c r="D575" s="548" t="str">
        <f>DESPORC!D661</f>
        <v>Infraest. Urbana: Obras e Instalacoes</v>
      </c>
      <c r="E575" s="551">
        <f>E576</f>
        <v>0.01</v>
      </c>
      <c r="F575" s="551">
        <f t="shared" ref="F575:G575" si="71">E575*(1+F$10)</f>
        <v>1.0487999999999999E-2</v>
      </c>
      <c r="G575" s="551">
        <f t="shared" si="71"/>
        <v>1.0947374399999999E-2</v>
      </c>
    </row>
    <row r="576" spans="2:7" x14ac:dyDescent="0.25">
      <c r="B576" s="547">
        <f t="shared" si="60"/>
        <v>538</v>
      </c>
      <c r="C576" s="546"/>
      <c r="D576" s="546" t="s">
        <v>3126</v>
      </c>
      <c r="E576" s="552">
        <v>0.01</v>
      </c>
      <c r="F576" s="602">
        <f t="shared" ref="F576:G577" si="72">E576*(1+F$10)</f>
        <v>1.0487999999999999E-2</v>
      </c>
      <c r="G576" s="602">
        <f t="shared" si="72"/>
        <v>1.0947374399999999E-2</v>
      </c>
    </row>
    <row r="577" spans="2:8" x14ac:dyDescent="0.25">
      <c r="B577" s="547">
        <f t="shared" si="60"/>
        <v>539</v>
      </c>
      <c r="C577" s="546"/>
      <c r="D577" s="546" t="str">
        <f>DESPORC!D662</f>
        <v>Infraest. Urbana: Ex. Cont. Part. Recurso 1032 Pavimentacao Ruas T e S</v>
      </c>
      <c r="E577" s="552">
        <v>0.01</v>
      </c>
      <c r="F577" s="602">
        <f t="shared" si="72"/>
        <v>1.0487999999999999E-2</v>
      </c>
      <c r="G577" s="602">
        <f t="shared" si="72"/>
        <v>1.0947374399999999E-2</v>
      </c>
    </row>
    <row r="578" spans="2:8" x14ac:dyDescent="0.25">
      <c r="B578" s="547">
        <f t="shared" si="60"/>
        <v>540</v>
      </c>
      <c r="C578" s="546"/>
      <c r="D578" s="546" t="str">
        <f>DESPORC!D663</f>
        <v>Infraest. Urbana: Ex. Recurso 1032 Pavimentacao Ruas T e S</v>
      </c>
      <c r="E578" s="552">
        <f>ER!E536+ER!E586-E577-E566-E574</f>
        <v>248698.88999999998</v>
      </c>
      <c r="F578" s="602">
        <f t="shared" ref="F578" si="73">E578*(1+F$10)</f>
        <v>260835.39583199998</v>
      </c>
      <c r="G578" s="602">
        <f t="shared" ref="G578" si="74">F578*(1+G$10)</f>
        <v>272259.9861694416</v>
      </c>
    </row>
    <row r="579" spans="2:8" x14ac:dyDescent="0.25">
      <c r="B579" s="547">
        <f t="shared" si="60"/>
        <v>541</v>
      </c>
      <c r="C579" s="548"/>
      <c r="D579" s="548" t="str">
        <f>DESPORC!D664</f>
        <v>Infraest. Urbana: Equipamentos e Material Permanente</v>
      </c>
      <c r="E579" s="551">
        <f>SUM(E580,E581)</f>
        <v>0.02</v>
      </c>
      <c r="F579" s="551">
        <f>SUM(F580,F581)</f>
        <v>2.0975999999999998E-2</v>
      </c>
      <c r="G579" s="551">
        <f>SUM(G580,G581)</f>
        <v>2.1894748799999999E-2</v>
      </c>
    </row>
    <row r="580" spans="2:8" x14ac:dyDescent="0.25">
      <c r="B580" s="547">
        <f t="shared" si="60"/>
        <v>542</v>
      </c>
      <c r="C580" s="546"/>
      <c r="D580" s="546" t="s">
        <v>3401</v>
      </c>
      <c r="E580" s="552">
        <v>0.01</v>
      </c>
      <c r="F580" s="552">
        <f>E580*(1+F$10)</f>
        <v>1.0487999999999999E-2</v>
      </c>
      <c r="G580" s="552">
        <f>F580*(1+G$10)</f>
        <v>1.0947374399999999E-2</v>
      </c>
    </row>
    <row r="581" spans="2:8" x14ac:dyDescent="0.25">
      <c r="B581" s="547">
        <f t="shared" si="60"/>
        <v>543</v>
      </c>
      <c r="C581" s="546"/>
      <c r="D581" s="546" t="s">
        <v>3403</v>
      </c>
      <c r="E581" s="552">
        <v>0.01</v>
      </c>
      <c r="F581" s="552">
        <f>E581*(1+F$10)</f>
        <v>1.0487999999999999E-2</v>
      </c>
      <c r="G581" s="552">
        <f>F581*(1+G$10)</f>
        <v>1.0947374399999999E-2</v>
      </c>
    </row>
    <row r="582" spans="2:8" ht="18.75" x14ac:dyDescent="0.3">
      <c r="B582" s="547">
        <f t="shared" si="60"/>
        <v>544</v>
      </c>
      <c r="C582" s="573"/>
      <c r="D582" s="606" t="s">
        <v>4245</v>
      </c>
      <c r="E582" s="573"/>
      <c r="F582" s="573"/>
      <c r="G582" s="573"/>
    </row>
    <row r="583" spans="2:8" x14ac:dyDescent="0.25">
      <c r="B583" s="547">
        <f t="shared" si="60"/>
        <v>545</v>
      </c>
      <c r="C583" s="579" t="s">
        <v>4238</v>
      </c>
      <c r="D583" s="579" t="str">
        <f>DESPORC!D668</f>
        <v>NOVOS INVESTIMENTOS EM INFRAESTRUTURA</v>
      </c>
      <c r="E583" s="579"/>
      <c r="F583" s="581"/>
      <c r="G583" s="581"/>
    </row>
    <row r="584" spans="2:8" x14ac:dyDescent="0.25">
      <c r="B584" s="547">
        <f t="shared" si="60"/>
        <v>546</v>
      </c>
      <c r="C584" s="548"/>
      <c r="D584" s="548" t="str">
        <f>DESPORC!D669</f>
        <v>Coleta e Distrib. de Lixo: Obrig. Trib. e Contributivas</v>
      </c>
      <c r="E584" s="551">
        <v>0.01</v>
      </c>
      <c r="F584" s="551">
        <f t="shared" ref="F584:F596" si="75">E584*(1+F$10)</f>
        <v>1.0487999999999999E-2</v>
      </c>
      <c r="G584" s="551">
        <f t="shared" ref="G584:G596" si="76">F584*(1+G$10)</f>
        <v>1.0947374399999999E-2</v>
      </c>
    </row>
    <row r="585" spans="2:8" x14ac:dyDescent="0.25">
      <c r="B585" s="547">
        <f t="shared" si="60"/>
        <v>547</v>
      </c>
      <c r="C585" s="548"/>
      <c r="D585" s="548" t="e">
        <f>DESPORC!#REF!</f>
        <v>#REF!</v>
      </c>
      <c r="E585" s="551">
        <v>0.01</v>
      </c>
      <c r="F585" s="551">
        <f t="shared" si="75"/>
        <v>1.0487999999999999E-2</v>
      </c>
      <c r="G585" s="551">
        <f t="shared" si="76"/>
        <v>1.0947374399999999E-2</v>
      </c>
    </row>
    <row r="586" spans="2:8" x14ac:dyDescent="0.25">
      <c r="B586" s="547">
        <f t="shared" si="60"/>
        <v>548</v>
      </c>
      <c r="C586" s="548"/>
      <c r="D586" s="548" t="str">
        <f>DESPORC!D670</f>
        <v>Coleta e Distrib. de Lixo: Material de Consumo</v>
      </c>
      <c r="E586" s="551">
        <f>SUM(E587,E588)</f>
        <v>0.02</v>
      </c>
      <c r="F586" s="551">
        <f t="shared" si="75"/>
        <v>2.0975999999999998E-2</v>
      </c>
      <c r="G586" s="551">
        <f t="shared" si="76"/>
        <v>2.1894748799999999E-2</v>
      </c>
    </row>
    <row r="587" spans="2:8" x14ac:dyDescent="0.25">
      <c r="B587" s="547">
        <f t="shared" si="60"/>
        <v>549</v>
      </c>
      <c r="C587" s="546"/>
      <c r="D587" s="546" t="s">
        <v>3083</v>
      </c>
      <c r="E587" s="552">
        <v>0.01</v>
      </c>
      <c r="F587" s="602">
        <f t="shared" si="75"/>
        <v>1.0487999999999999E-2</v>
      </c>
      <c r="G587" s="602">
        <f t="shared" si="76"/>
        <v>1.0947374399999999E-2</v>
      </c>
    </row>
    <row r="588" spans="2:8" x14ac:dyDescent="0.25">
      <c r="B588" s="547">
        <f t="shared" si="60"/>
        <v>550</v>
      </c>
      <c r="C588" s="546"/>
      <c r="D588" s="546" t="s">
        <v>3085</v>
      </c>
      <c r="E588" s="552">
        <v>0.01</v>
      </c>
      <c r="F588" s="602">
        <f t="shared" si="75"/>
        <v>1.0487999999999999E-2</v>
      </c>
      <c r="G588" s="602">
        <f t="shared" si="76"/>
        <v>1.0947374399999999E-2</v>
      </c>
    </row>
    <row r="589" spans="2:8" x14ac:dyDescent="0.25">
      <c r="B589" s="547">
        <f t="shared" si="60"/>
        <v>551</v>
      </c>
      <c r="C589" s="546"/>
      <c r="D589" s="548" t="str">
        <f>DESPORC!D671</f>
        <v>Coleta e Distrib. de Lixo: Prest. de Serv. P. Física</v>
      </c>
      <c r="E589" s="551">
        <v>0.01</v>
      </c>
      <c r="F589" s="551">
        <f t="shared" si="75"/>
        <v>1.0487999999999999E-2</v>
      </c>
      <c r="G589" s="551">
        <f t="shared" si="76"/>
        <v>1.0947374399999999E-2</v>
      </c>
      <c r="H589" s="12"/>
    </row>
    <row r="590" spans="2:8" x14ac:dyDescent="0.25">
      <c r="B590" s="547">
        <f t="shared" si="60"/>
        <v>552</v>
      </c>
      <c r="C590" s="548"/>
      <c r="D590" s="548" t="str">
        <f>DESPORC!D672</f>
        <v>Coleta e Distrib. de Lixo: Prest. de Serv. P. Jurídica</v>
      </c>
      <c r="E590" s="551">
        <f>SUM(E591,E592,E593)</f>
        <v>0.03</v>
      </c>
      <c r="F590" s="551">
        <f t="shared" si="75"/>
        <v>3.1463999999999999E-2</v>
      </c>
      <c r="G590" s="551">
        <f t="shared" si="76"/>
        <v>3.2842123200000004E-2</v>
      </c>
    </row>
    <row r="591" spans="2:8" x14ac:dyDescent="0.25">
      <c r="B591" s="547">
        <f t="shared" si="60"/>
        <v>553</v>
      </c>
      <c r="C591" s="546"/>
      <c r="D591" s="546" t="s">
        <v>3081</v>
      </c>
      <c r="E591" s="552">
        <v>0.01</v>
      </c>
      <c r="F591" s="602">
        <f t="shared" ref="F591:G593" si="77">E591*(1+F$10)</f>
        <v>1.0487999999999999E-2</v>
      </c>
      <c r="G591" s="602">
        <f t="shared" si="77"/>
        <v>1.0947374399999999E-2</v>
      </c>
    </row>
    <row r="592" spans="2:8" x14ac:dyDescent="0.25">
      <c r="B592" s="547">
        <f t="shared" si="60"/>
        <v>554</v>
      </c>
      <c r="C592" s="546"/>
      <c r="D592" s="546" t="s">
        <v>3082</v>
      </c>
      <c r="E592" s="552">
        <v>0.01</v>
      </c>
      <c r="F592" s="602">
        <f t="shared" si="77"/>
        <v>1.0487999999999999E-2</v>
      </c>
      <c r="G592" s="602">
        <f t="shared" si="77"/>
        <v>1.0947374399999999E-2</v>
      </c>
    </row>
    <row r="593" spans="2:9" x14ac:dyDescent="0.25">
      <c r="B593" s="547">
        <f t="shared" ref="B593:B656" si="78">B592+1</f>
        <v>555</v>
      </c>
      <c r="C593" s="546"/>
      <c r="D593" s="546" t="s">
        <v>4246</v>
      </c>
      <c r="E593" s="552">
        <v>0.01</v>
      </c>
      <c r="F593" s="602">
        <f t="shared" si="77"/>
        <v>1.0487999999999999E-2</v>
      </c>
      <c r="G593" s="602">
        <f t="shared" si="77"/>
        <v>1.0947374399999999E-2</v>
      </c>
    </row>
    <row r="594" spans="2:9" x14ac:dyDescent="0.25">
      <c r="B594" s="547">
        <f t="shared" si="78"/>
        <v>556</v>
      </c>
      <c r="C594" s="548"/>
      <c r="D594" s="548" t="str">
        <f>DESPORC!D673</f>
        <v>Exec. Recurso 1032: Serviços P. Juridica e MEI</v>
      </c>
      <c r="E594" s="551">
        <v>0.01</v>
      </c>
      <c r="F594" s="551">
        <f t="shared" si="75"/>
        <v>1.0487999999999999E-2</v>
      </c>
      <c r="G594" s="551">
        <f t="shared" si="76"/>
        <v>1.0947374399999999E-2</v>
      </c>
    </row>
    <row r="595" spans="2:9" x14ac:dyDescent="0.25">
      <c r="B595" s="547">
        <f t="shared" si="78"/>
        <v>557</v>
      </c>
      <c r="C595" s="548"/>
      <c r="D595" s="548" t="str">
        <f>DESPORC!D674</f>
        <v>Coleta e Distrib. de Lixo: Obras e Instalações</v>
      </c>
      <c r="E595" s="551">
        <f>E596</f>
        <v>0.01</v>
      </c>
      <c r="F595" s="551">
        <f t="shared" si="75"/>
        <v>1.0487999999999999E-2</v>
      </c>
      <c r="G595" s="551">
        <f t="shared" si="76"/>
        <v>1.0947374399999999E-2</v>
      </c>
    </row>
    <row r="596" spans="2:9" x14ac:dyDescent="0.25">
      <c r="B596" s="547">
        <f t="shared" si="78"/>
        <v>558</v>
      </c>
      <c r="C596" s="546"/>
      <c r="D596" s="546" t="s">
        <v>3126</v>
      </c>
      <c r="E596" s="552">
        <v>0.01</v>
      </c>
      <c r="F596" s="602">
        <f t="shared" si="75"/>
        <v>1.0487999999999999E-2</v>
      </c>
      <c r="G596" s="602">
        <f t="shared" si="76"/>
        <v>1.0947374399999999E-2</v>
      </c>
    </row>
    <row r="597" spans="2:9" x14ac:dyDescent="0.25">
      <c r="B597" s="547">
        <f t="shared" si="78"/>
        <v>559</v>
      </c>
      <c r="C597" s="548"/>
      <c r="D597" s="548" t="str">
        <f>DESPORC!D675</f>
        <v>Coleta e Distrib. de Lixo: Equip.e Material Permanente</v>
      </c>
      <c r="E597" s="551">
        <f>SUM(E598,E599)</f>
        <v>0.02</v>
      </c>
      <c r="F597" s="551">
        <f>SUM(F598,F599)</f>
        <v>2.0975999999999998E-2</v>
      </c>
      <c r="G597" s="551">
        <f>SUM(G598,G599)</f>
        <v>2.1894748799999999E-2</v>
      </c>
    </row>
    <row r="598" spans="2:9" x14ac:dyDescent="0.25">
      <c r="B598" s="547">
        <f t="shared" si="78"/>
        <v>560</v>
      </c>
      <c r="C598" s="546"/>
      <c r="D598" s="546" t="s">
        <v>3401</v>
      </c>
      <c r="E598" s="552">
        <v>0.01</v>
      </c>
      <c r="F598" s="552">
        <f>E598*(1+F$10)</f>
        <v>1.0487999999999999E-2</v>
      </c>
      <c r="G598" s="552">
        <f>F598*(1+G$10)</f>
        <v>1.0947374399999999E-2</v>
      </c>
    </row>
    <row r="599" spans="2:9" x14ac:dyDescent="0.25">
      <c r="B599" s="547">
        <f t="shared" si="78"/>
        <v>561</v>
      </c>
      <c r="C599" s="546"/>
      <c r="D599" s="546" t="s">
        <v>3403</v>
      </c>
      <c r="E599" s="552">
        <v>0.01</v>
      </c>
      <c r="F599" s="552">
        <f>E599*(1+F$10)</f>
        <v>1.0487999999999999E-2</v>
      </c>
      <c r="G599" s="552">
        <f>F599*(1+G$10)</f>
        <v>1.0947374399999999E-2</v>
      </c>
    </row>
    <row r="600" spans="2:9" x14ac:dyDescent="0.25">
      <c r="B600" s="547">
        <f t="shared" si="78"/>
        <v>562</v>
      </c>
      <c r="C600" s="548"/>
      <c r="D600" s="548" t="str">
        <f>DESPORC!D676</f>
        <v>Exec. Recurso 1032:Equipamentos e Material Permanente</v>
      </c>
      <c r="E600" s="551">
        <f>ER!E532+ER!E582-E585-E594</f>
        <v>308694.13</v>
      </c>
      <c r="F600" s="551">
        <f>SUM(F601,F620)</f>
        <v>0</v>
      </c>
      <c r="G600" s="551">
        <f>SUM(G601,G620)</f>
        <v>0</v>
      </c>
      <c r="I600" s="612"/>
    </row>
    <row r="601" spans="2:9" x14ac:dyDescent="0.25">
      <c r="B601" s="547">
        <f t="shared" si="78"/>
        <v>563</v>
      </c>
      <c r="C601" s="548"/>
      <c r="D601" s="548" t="str">
        <f>DESPORC!D677</f>
        <v>Exec. Contra Partida Recurso 1032:Equipamentos e Material Permanente</v>
      </c>
      <c r="E601" s="551">
        <v>0.01</v>
      </c>
      <c r="F601" s="551">
        <f>SUM(F620,F621)</f>
        <v>0</v>
      </c>
      <c r="G601" s="551">
        <f>SUM(G620,G621)</f>
        <v>0</v>
      </c>
    </row>
    <row r="602" spans="2:9" x14ac:dyDescent="0.25">
      <c r="B602" s="547">
        <f t="shared" si="78"/>
        <v>564</v>
      </c>
      <c r="C602" s="548"/>
      <c r="D602" s="548" t="s">
        <v>4250</v>
      </c>
      <c r="E602" s="551"/>
      <c r="F602" s="551"/>
      <c r="G602" s="551"/>
    </row>
    <row r="603" spans="2:9" x14ac:dyDescent="0.25">
      <c r="B603" s="547">
        <f t="shared" si="78"/>
        <v>565</v>
      </c>
      <c r="C603" s="579" t="s">
        <v>4206</v>
      </c>
      <c r="D603" s="579" t="str">
        <f>DESPORC!D681</f>
        <v>REALIZAÇÃO DE NOVOS INVEST. DO PODER EXECUTIVO</v>
      </c>
      <c r="E603" s="579"/>
      <c r="F603" s="581"/>
      <c r="G603" s="581"/>
    </row>
    <row r="604" spans="2:9" x14ac:dyDescent="0.25">
      <c r="B604" s="547">
        <f t="shared" si="78"/>
        <v>566</v>
      </c>
      <c r="C604" s="548"/>
      <c r="D604" s="548" t="str">
        <f>DESPORC!D682</f>
        <v>Custo de Aquis.: Obrigacoes Tributarias E Contributivas</v>
      </c>
      <c r="E604" s="551">
        <f>(SUM(E608,E610,E606)*(E$29))</f>
        <v>6.0000000000000001E-3</v>
      </c>
      <c r="F604" s="551">
        <f t="shared" ref="F604:G613" si="79">E604*(1+F$10)</f>
        <v>6.2927999999999994E-3</v>
      </c>
      <c r="G604" s="551">
        <f t="shared" si="79"/>
        <v>6.5684246399999998E-3</v>
      </c>
    </row>
    <row r="605" spans="2:9" x14ac:dyDescent="0.25">
      <c r="B605" s="547">
        <f t="shared" si="78"/>
        <v>567</v>
      </c>
      <c r="C605" s="548"/>
      <c r="D605" s="548" t="str">
        <f>DESPORC!D683</f>
        <v>Custo de Aquis.: Material de Consumo</v>
      </c>
      <c r="E605" s="551">
        <f>SUM(E606,E607)</f>
        <v>0.02</v>
      </c>
      <c r="F605" s="551">
        <f t="shared" si="79"/>
        <v>2.0975999999999998E-2</v>
      </c>
      <c r="G605" s="551">
        <f t="shared" si="79"/>
        <v>2.1894748799999999E-2</v>
      </c>
    </row>
    <row r="606" spans="2:9" x14ac:dyDescent="0.25">
      <c r="B606" s="547">
        <f t="shared" si="78"/>
        <v>568</v>
      </c>
      <c r="C606" s="546"/>
      <c r="D606" s="546" t="s">
        <v>3083</v>
      </c>
      <c r="E606" s="552">
        <v>0.01</v>
      </c>
      <c r="F606" s="602">
        <f t="shared" si="79"/>
        <v>1.0487999999999999E-2</v>
      </c>
      <c r="G606" s="602">
        <f t="shared" si="79"/>
        <v>1.0947374399999999E-2</v>
      </c>
    </row>
    <row r="607" spans="2:9" x14ac:dyDescent="0.25">
      <c r="B607" s="547">
        <f t="shared" si="78"/>
        <v>569</v>
      </c>
      <c r="C607" s="546"/>
      <c r="D607" s="546" t="s">
        <v>3085</v>
      </c>
      <c r="E607" s="552">
        <v>0.01</v>
      </c>
      <c r="F607" s="602">
        <f t="shared" si="79"/>
        <v>1.0487999999999999E-2</v>
      </c>
      <c r="G607" s="602">
        <f t="shared" si="79"/>
        <v>1.0947374399999999E-2</v>
      </c>
    </row>
    <row r="608" spans="2:9" x14ac:dyDescent="0.25">
      <c r="B608" s="547">
        <f t="shared" si="78"/>
        <v>570</v>
      </c>
      <c r="C608" s="548"/>
      <c r="D608" s="548" t="str">
        <f>DESPORC!D685</f>
        <v>Custo de Aquis.: Outros Servicos - Pessoa Fisica</v>
      </c>
      <c r="E608" s="551">
        <v>0.01</v>
      </c>
      <c r="F608" s="551">
        <f t="shared" si="79"/>
        <v>1.0487999999999999E-2</v>
      </c>
      <c r="G608" s="551">
        <f t="shared" si="79"/>
        <v>1.0947374399999999E-2</v>
      </c>
    </row>
    <row r="609" spans="2:7" x14ac:dyDescent="0.25">
      <c r="B609" s="547">
        <f t="shared" si="78"/>
        <v>571</v>
      </c>
      <c r="C609" s="548"/>
      <c r="D609" s="548" t="str">
        <f>DESPORC!D686</f>
        <v>Custo de Aquis.: Outros Servicos - Pessoa Jurídica</v>
      </c>
      <c r="E609" s="551">
        <f>SUM(E610,E611)</f>
        <v>0.02</v>
      </c>
      <c r="F609" s="551">
        <f t="shared" si="79"/>
        <v>2.0975999999999998E-2</v>
      </c>
      <c r="G609" s="551">
        <f t="shared" si="79"/>
        <v>2.1894748799999999E-2</v>
      </c>
    </row>
    <row r="610" spans="2:7" x14ac:dyDescent="0.25">
      <c r="B610" s="547">
        <f t="shared" si="78"/>
        <v>572</v>
      </c>
      <c r="C610" s="546"/>
      <c r="D610" s="546" t="s">
        <v>3081</v>
      </c>
      <c r="E610" s="552">
        <v>0.01</v>
      </c>
      <c r="F610" s="602">
        <f t="shared" si="79"/>
        <v>1.0487999999999999E-2</v>
      </c>
      <c r="G610" s="602">
        <f t="shared" si="79"/>
        <v>1.0947374399999999E-2</v>
      </c>
    </row>
    <row r="611" spans="2:7" x14ac:dyDescent="0.25">
      <c r="B611" s="547">
        <f t="shared" si="78"/>
        <v>573</v>
      </c>
      <c r="C611" s="546"/>
      <c r="D611" s="546" t="s">
        <v>3082</v>
      </c>
      <c r="E611" s="552">
        <v>0.01</v>
      </c>
      <c r="F611" s="602">
        <f t="shared" si="79"/>
        <v>1.0487999999999999E-2</v>
      </c>
      <c r="G611" s="602">
        <f t="shared" si="79"/>
        <v>1.0947374399999999E-2</v>
      </c>
    </row>
    <row r="612" spans="2:7" x14ac:dyDescent="0.25">
      <c r="B612" s="547">
        <f t="shared" si="78"/>
        <v>574</v>
      </c>
      <c r="C612" s="548"/>
      <c r="D612" s="548" t="str">
        <f>DESPORC!D688</f>
        <v>Custo de Aquis.: Obras e Instalação</v>
      </c>
      <c r="E612" s="551">
        <f>E613</f>
        <v>0.01</v>
      </c>
      <c r="F612" s="551">
        <f t="shared" si="79"/>
        <v>1.0487999999999999E-2</v>
      </c>
      <c r="G612" s="551">
        <f t="shared" si="79"/>
        <v>1.0947374399999999E-2</v>
      </c>
    </row>
    <row r="613" spans="2:7" x14ac:dyDescent="0.25">
      <c r="B613" s="547">
        <f t="shared" si="78"/>
        <v>575</v>
      </c>
      <c r="C613" s="546"/>
      <c r="D613" s="546" t="s">
        <v>3126</v>
      </c>
      <c r="E613" s="552">
        <v>0.01</v>
      </c>
      <c r="F613" s="602">
        <f t="shared" si="79"/>
        <v>1.0487999999999999E-2</v>
      </c>
      <c r="G613" s="602">
        <f t="shared" si="79"/>
        <v>1.0947374399999999E-2</v>
      </c>
    </row>
    <row r="614" spans="2:7" x14ac:dyDescent="0.25">
      <c r="B614" s="547">
        <f t="shared" si="78"/>
        <v>576</v>
      </c>
      <c r="C614" s="548"/>
      <c r="D614" s="548" t="str">
        <f>DESPORC!D689</f>
        <v>Custo de Aquis.: Equip. e Mat Perm.</v>
      </c>
      <c r="E614" s="551"/>
      <c r="F614" s="551"/>
      <c r="G614" s="551"/>
    </row>
    <row r="615" spans="2:7" s="12" customFormat="1" x14ac:dyDescent="0.25">
      <c r="B615" s="547">
        <f t="shared" si="78"/>
        <v>577</v>
      </c>
      <c r="C615" s="546"/>
      <c r="D615" s="546" t="s">
        <v>3612</v>
      </c>
      <c r="E615" s="602">
        <v>0.01</v>
      </c>
      <c r="F615" s="602">
        <f t="shared" ref="F615:G619" si="80">E615*(1+F$10)</f>
        <v>1.0487999999999999E-2</v>
      </c>
      <c r="G615" s="602">
        <f t="shared" si="80"/>
        <v>1.0947374399999999E-2</v>
      </c>
    </row>
    <row r="616" spans="2:7" s="12" customFormat="1" x14ac:dyDescent="0.25">
      <c r="B616" s="547">
        <f t="shared" si="78"/>
        <v>578</v>
      </c>
      <c r="C616" s="546"/>
      <c r="D616" s="546" t="s">
        <v>3401</v>
      </c>
      <c r="E616" s="602">
        <v>0.01</v>
      </c>
      <c r="F616" s="602">
        <f t="shared" si="80"/>
        <v>1.0487999999999999E-2</v>
      </c>
      <c r="G616" s="602">
        <f t="shared" si="80"/>
        <v>1.0947374399999999E-2</v>
      </c>
    </row>
    <row r="617" spans="2:7" s="12" customFormat="1" x14ac:dyDescent="0.25">
      <c r="B617" s="547">
        <f t="shared" si="78"/>
        <v>579</v>
      </c>
      <c r="C617" s="546"/>
      <c r="D617" s="546" t="s">
        <v>4239</v>
      </c>
      <c r="E617" s="602">
        <v>0.01</v>
      </c>
      <c r="F617" s="602">
        <f t="shared" si="80"/>
        <v>1.0487999999999999E-2</v>
      </c>
      <c r="G617" s="602">
        <f t="shared" si="80"/>
        <v>1.0947374399999999E-2</v>
      </c>
    </row>
    <row r="618" spans="2:7" x14ac:dyDescent="0.25">
      <c r="B618" s="547">
        <f t="shared" si="78"/>
        <v>580</v>
      </c>
      <c r="C618" s="546"/>
      <c r="D618" s="546" t="s">
        <v>3621</v>
      </c>
      <c r="E618" s="552">
        <v>0.01</v>
      </c>
      <c r="F618" s="602">
        <f t="shared" si="80"/>
        <v>1.0487999999999999E-2</v>
      </c>
      <c r="G618" s="602">
        <f t="shared" si="80"/>
        <v>1.0947374399999999E-2</v>
      </c>
    </row>
    <row r="619" spans="2:7" x14ac:dyDescent="0.25">
      <c r="B619" s="547">
        <f t="shared" si="78"/>
        <v>581</v>
      </c>
      <c r="C619" s="548"/>
      <c r="D619" s="548" t="s">
        <v>4767</v>
      </c>
      <c r="E619" s="551">
        <v>0.01</v>
      </c>
      <c r="F619" s="551">
        <f t="shared" si="80"/>
        <v>1.0487999999999999E-2</v>
      </c>
      <c r="G619" s="551">
        <f t="shared" si="80"/>
        <v>1.0947374399999999E-2</v>
      </c>
    </row>
    <row r="620" spans="2:7" ht="18.75" x14ac:dyDescent="0.3">
      <c r="B620" s="547">
        <f t="shared" si="78"/>
        <v>582</v>
      </c>
      <c r="C620" s="573"/>
      <c r="D620" s="606" t="s">
        <v>4249</v>
      </c>
      <c r="E620" s="573"/>
      <c r="F620" s="573"/>
      <c r="G620" s="573"/>
    </row>
    <row r="621" spans="2:7" x14ac:dyDescent="0.25">
      <c r="B621" s="547">
        <f t="shared" si="78"/>
        <v>583</v>
      </c>
      <c r="C621" s="579" t="s">
        <v>4238</v>
      </c>
      <c r="D621" s="579" t="str">
        <f>DESPORC!D702</f>
        <v>Exec. Recurso 1166: Serviços P. Juridica e MEI</v>
      </c>
      <c r="E621" s="579"/>
      <c r="F621" s="581"/>
      <c r="G621" s="581"/>
    </row>
    <row r="622" spans="2:7" x14ac:dyDescent="0.25">
      <c r="B622" s="547">
        <f t="shared" si="78"/>
        <v>584</v>
      </c>
      <c r="C622" s="548"/>
      <c r="D622" s="548" t="str">
        <f>DESPORC!D696</f>
        <v>Infraest. Viária:  Obrig Trib. e Contrib.</v>
      </c>
      <c r="E622" s="551">
        <v>0.01</v>
      </c>
      <c r="F622" s="551">
        <f t="shared" ref="F622:F629" si="81">E622*(1+F$10)</f>
        <v>1.0487999999999999E-2</v>
      </c>
      <c r="G622" s="551">
        <f t="shared" ref="G622:G629" si="82">F622*(1+G$10)</f>
        <v>1.0947374399999999E-2</v>
      </c>
    </row>
    <row r="623" spans="2:7" x14ac:dyDescent="0.25">
      <c r="B623" s="547">
        <f t="shared" si="78"/>
        <v>585</v>
      </c>
      <c r="C623" s="548"/>
      <c r="D623" s="548" t="str">
        <f>DESPORC!D697</f>
        <v>Dev. Saldo Fin. Recurso 1166</v>
      </c>
      <c r="E623" s="551">
        <v>0.01</v>
      </c>
      <c r="F623" s="551">
        <f t="shared" si="81"/>
        <v>1.0487999999999999E-2</v>
      </c>
      <c r="G623" s="551">
        <f t="shared" si="82"/>
        <v>1.0947374399999999E-2</v>
      </c>
    </row>
    <row r="624" spans="2:7" x14ac:dyDescent="0.25">
      <c r="B624" s="547">
        <f t="shared" si="78"/>
        <v>586</v>
      </c>
      <c r="C624" s="548"/>
      <c r="D624" s="548" t="str">
        <f>DESPORC!D698</f>
        <v>Dev. Saldo Fin. Recurso 1032</v>
      </c>
      <c r="E624" s="551">
        <v>0.01</v>
      </c>
      <c r="F624" s="551">
        <f t="shared" ref="F624" si="83">E624*(1+F$10)</f>
        <v>1.0487999999999999E-2</v>
      </c>
      <c r="G624" s="551">
        <f t="shared" ref="G624" si="84">F624*(1+G$10)</f>
        <v>1.0947374399999999E-2</v>
      </c>
    </row>
    <row r="625" spans="2:8" x14ac:dyDescent="0.25">
      <c r="B625" s="547">
        <f t="shared" si="78"/>
        <v>587</v>
      </c>
      <c r="C625" s="548"/>
      <c r="D625" s="548" t="str">
        <f>DESPORC!D699</f>
        <v>Infraest. Viária: Material de Consumo</v>
      </c>
      <c r="E625" s="551">
        <f>SUM(E626,E627)</f>
        <v>0.02</v>
      </c>
      <c r="F625" s="551">
        <f t="shared" si="81"/>
        <v>2.0975999999999998E-2</v>
      </c>
      <c r="G625" s="551">
        <f t="shared" si="82"/>
        <v>2.1894748799999999E-2</v>
      </c>
    </row>
    <row r="626" spans="2:8" x14ac:dyDescent="0.25">
      <c r="B626" s="547">
        <f t="shared" si="78"/>
        <v>588</v>
      </c>
      <c r="C626" s="546"/>
      <c r="D626" s="546" t="s">
        <v>3083</v>
      </c>
      <c r="E626" s="552">
        <v>0.01</v>
      </c>
      <c r="F626" s="602">
        <f t="shared" si="81"/>
        <v>1.0487999999999999E-2</v>
      </c>
      <c r="G626" s="602">
        <f t="shared" si="82"/>
        <v>1.0947374399999999E-2</v>
      </c>
    </row>
    <row r="627" spans="2:8" x14ac:dyDescent="0.25">
      <c r="B627" s="547">
        <f t="shared" si="78"/>
        <v>589</v>
      </c>
      <c r="C627" s="546"/>
      <c r="D627" s="546" t="s">
        <v>3085</v>
      </c>
      <c r="E627" s="552">
        <v>0.01</v>
      </c>
      <c r="F627" s="602">
        <f t="shared" si="81"/>
        <v>1.0487999999999999E-2</v>
      </c>
      <c r="G627" s="602">
        <f t="shared" si="82"/>
        <v>1.0947374399999999E-2</v>
      </c>
    </row>
    <row r="628" spans="2:8" x14ac:dyDescent="0.25">
      <c r="B628" s="547">
        <f t="shared" si="78"/>
        <v>590</v>
      </c>
      <c r="C628" s="546"/>
      <c r="D628" s="548" t="str">
        <f>DESPORC!D700</f>
        <v>Infraest. Viária: Prest. de Serv. P. Física</v>
      </c>
      <c r="E628" s="551">
        <v>0.01</v>
      </c>
      <c r="F628" s="551">
        <f t="shared" si="81"/>
        <v>1.0487999999999999E-2</v>
      </c>
      <c r="G628" s="551">
        <f t="shared" si="82"/>
        <v>1.0947374399999999E-2</v>
      </c>
      <c r="H628" s="12"/>
    </row>
    <row r="629" spans="2:8" x14ac:dyDescent="0.25">
      <c r="B629" s="547">
        <f t="shared" si="78"/>
        <v>591</v>
      </c>
      <c r="C629" s="548"/>
      <c r="D629" s="548" t="str">
        <f>DESPORC!D701</f>
        <v>Infraest. Viária: Prest. de Serv. P. Jurídica</v>
      </c>
      <c r="E629" s="551">
        <f>SUM(E630,E631,E632)</f>
        <v>0.03</v>
      </c>
      <c r="F629" s="551">
        <f t="shared" si="81"/>
        <v>3.1463999999999999E-2</v>
      </c>
      <c r="G629" s="551">
        <f t="shared" si="82"/>
        <v>3.2842123200000004E-2</v>
      </c>
    </row>
    <row r="630" spans="2:8" x14ac:dyDescent="0.25">
      <c r="B630" s="547">
        <f t="shared" si="78"/>
        <v>592</v>
      </c>
      <c r="C630" s="546"/>
      <c r="D630" s="546" t="s">
        <v>3081</v>
      </c>
      <c r="E630" s="552">
        <v>0.01</v>
      </c>
      <c r="F630" s="602">
        <f t="shared" ref="F630:G632" si="85">E630*(1+F$10)</f>
        <v>1.0487999999999999E-2</v>
      </c>
      <c r="G630" s="602">
        <f t="shared" si="85"/>
        <v>1.0947374399999999E-2</v>
      </c>
    </row>
    <row r="631" spans="2:8" x14ac:dyDescent="0.25">
      <c r="B631" s="547">
        <f t="shared" si="78"/>
        <v>593</v>
      </c>
      <c r="C631" s="546"/>
      <c r="D631" s="546" t="s">
        <v>3082</v>
      </c>
      <c r="E631" s="552">
        <v>0.01</v>
      </c>
      <c r="F631" s="602">
        <f t="shared" si="85"/>
        <v>1.0487999999999999E-2</v>
      </c>
      <c r="G631" s="602">
        <f t="shared" si="85"/>
        <v>1.0947374399999999E-2</v>
      </c>
    </row>
    <row r="632" spans="2:8" x14ac:dyDescent="0.25">
      <c r="B632" s="547">
        <f t="shared" si="78"/>
        <v>594</v>
      </c>
      <c r="C632" s="546"/>
      <c r="D632" s="546" t="s">
        <v>4246</v>
      </c>
      <c r="E632" s="552">
        <v>0.01</v>
      </c>
      <c r="F632" s="602">
        <f t="shared" si="85"/>
        <v>1.0487999999999999E-2</v>
      </c>
      <c r="G632" s="602">
        <f t="shared" si="85"/>
        <v>1.0947374399999999E-2</v>
      </c>
    </row>
    <row r="633" spans="2:8" x14ac:dyDescent="0.25">
      <c r="B633" s="547">
        <f t="shared" si="78"/>
        <v>595</v>
      </c>
      <c r="C633" s="548"/>
      <c r="D633" s="548" t="str">
        <f>DESPORC!D702</f>
        <v>Exec. Recurso 1166: Serviços P. Juridica e MEI</v>
      </c>
      <c r="E633" s="551">
        <v>0.01</v>
      </c>
      <c r="F633" s="551">
        <f t="shared" ref="F633:F636" si="86">E633*(1+F$10)</f>
        <v>1.0487999999999999E-2</v>
      </c>
      <c r="G633" s="551">
        <f t="shared" ref="G633:G636" si="87">F633*(1+G$10)</f>
        <v>1.0947374399999999E-2</v>
      </c>
    </row>
    <row r="634" spans="2:8" x14ac:dyDescent="0.25">
      <c r="B634" s="547">
        <f t="shared" si="78"/>
        <v>596</v>
      </c>
      <c r="C634" s="548"/>
      <c r="D634" s="548" t="str">
        <f>DESPORC!D703</f>
        <v>Exec. Recurso 1032: Serviços P. Juridica e MEI</v>
      </c>
      <c r="E634" s="551">
        <v>0.01</v>
      </c>
      <c r="F634" s="551">
        <f t="shared" ref="F634" si="88">E634*(1+F$10)</f>
        <v>1.0487999999999999E-2</v>
      </c>
      <c r="G634" s="551">
        <f t="shared" ref="G634" si="89">F634*(1+G$10)</f>
        <v>1.0947374399999999E-2</v>
      </c>
    </row>
    <row r="635" spans="2:8" x14ac:dyDescent="0.25">
      <c r="B635" s="547">
        <f t="shared" si="78"/>
        <v>597</v>
      </c>
      <c r="C635" s="548"/>
      <c r="D635" s="548" t="str">
        <f>DESPORC!D704</f>
        <v>Infraest. Viária: Obras e Instalacoes</v>
      </c>
      <c r="E635" s="551">
        <f>E636</f>
        <v>0.01</v>
      </c>
      <c r="F635" s="551">
        <f t="shared" si="86"/>
        <v>1.0487999999999999E-2</v>
      </c>
      <c r="G635" s="551">
        <f t="shared" si="87"/>
        <v>1.0947374399999999E-2</v>
      </c>
    </row>
    <row r="636" spans="2:8" x14ac:dyDescent="0.25">
      <c r="B636" s="547">
        <f t="shared" si="78"/>
        <v>598</v>
      </c>
      <c r="C636" s="546"/>
      <c r="D636" s="546" t="s">
        <v>3126</v>
      </c>
      <c r="E636" s="552">
        <v>0.01</v>
      </c>
      <c r="F636" s="602">
        <f t="shared" si="86"/>
        <v>1.0487999999999999E-2</v>
      </c>
      <c r="G636" s="602">
        <f t="shared" si="87"/>
        <v>1.0947374399999999E-2</v>
      </c>
    </row>
    <row r="637" spans="2:8" x14ac:dyDescent="0.25">
      <c r="B637" s="547">
        <f t="shared" si="78"/>
        <v>599</v>
      </c>
      <c r="C637" s="548"/>
      <c r="D637" s="548" t="str">
        <f>DESPORC!D707</f>
        <v>Infraest. Viária: Equipamentos e Material Permanente</v>
      </c>
      <c r="E637" s="551">
        <f>SUM(E638,E639)</f>
        <v>0.02</v>
      </c>
      <c r="F637" s="551">
        <f>SUM(F638,F639)</f>
        <v>2.0975999999999998E-2</v>
      </c>
      <c r="G637" s="551">
        <f>SUM(G638,G639)</f>
        <v>2.1894748799999999E-2</v>
      </c>
    </row>
    <row r="638" spans="2:8" x14ac:dyDescent="0.25">
      <c r="B638" s="547">
        <f t="shared" si="78"/>
        <v>600</v>
      </c>
      <c r="C638" s="546"/>
      <c r="D638" s="546" t="s">
        <v>3401</v>
      </c>
      <c r="E638" s="552">
        <v>0.01</v>
      </c>
      <c r="F638" s="552">
        <f>E638*(1+F$10)</f>
        <v>1.0487999999999999E-2</v>
      </c>
      <c r="G638" s="552">
        <f>F638*(1+G$10)</f>
        <v>1.0947374399999999E-2</v>
      </c>
    </row>
    <row r="639" spans="2:8" x14ac:dyDescent="0.25">
      <c r="B639" s="547">
        <f t="shared" si="78"/>
        <v>601</v>
      </c>
      <c r="C639" s="546"/>
      <c r="D639" s="546" t="s">
        <v>3403</v>
      </c>
      <c r="E639" s="552">
        <v>0.01</v>
      </c>
      <c r="F639" s="552">
        <f>E639*(1+F$10)</f>
        <v>1.0487999999999999E-2</v>
      </c>
      <c r="G639" s="552">
        <f>F639*(1+G$10)</f>
        <v>1.0947374399999999E-2</v>
      </c>
    </row>
    <row r="640" spans="2:8" x14ac:dyDescent="0.25">
      <c r="B640" s="547">
        <f t="shared" si="78"/>
        <v>602</v>
      </c>
      <c r="C640" s="548"/>
      <c r="D640" s="548" t="str">
        <f>DESPORC!D708</f>
        <v>Infr. Viária: Ex. Cont. Part. Prop. nº 047637/17 P/Retr. e Rolo Comp.</v>
      </c>
      <c r="E640" s="551">
        <v>0.01</v>
      </c>
      <c r="F640" s="551">
        <v>1</v>
      </c>
      <c r="G640" s="551">
        <v>1</v>
      </c>
    </row>
    <row r="641" spans="2:7" x14ac:dyDescent="0.25">
      <c r="B641" s="547">
        <f t="shared" si="78"/>
        <v>603</v>
      </c>
      <c r="C641" s="548"/>
      <c r="D641" s="548" t="str">
        <f>DESPORC!D709</f>
        <v>Infraest. Viária: Ex. Prop. nº 047637/17 P/Retroesc. e Rolo Compressor</v>
      </c>
      <c r="E641" s="551">
        <f>ER!E572-E623-E633</f>
        <v>0.98</v>
      </c>
      <c r="F641" s="551">
        <v>1</v>
      </c>
      <c r="G641" s="551">
        <v>1</v>
      </c>
    </row>
    <row r="642" spans="2:7" x14ac:dyDescent="0.25">
      <c r="B642" s="547">
        <f t="shared" si="78"/>
        <v>604</v>
      </c>
      <c r="C642" s="548"/>
      <c r="D642" s="548" t="str">
        <f>DESPORC!D710</f>
        <v>Infraest. Viária: Exec. Cont. Part.  Prop. nº 031587/2019 P/Escav. Hid. e Cam. Prancha</v>
      </c>
      <c r="E642" s="551">
        <v>0.01</v>
      </c>
      <c r="F642" s="551">
        <v>1</v>
      </c>
      <c r="G642" s="551">
        <v>1</v>
      </c>
    </row>
    <row r="643" spans="2:7" x14ac:dyDescent="0.25">
      <c r="B643" s="547">
        <f t="shared" si="78"/>
        <v>605</v>
      </c>
      <c r="C643" s="548"/>
      <c r="D643" s="548" t="str">
        <f>DESPORC!D711</f>
        <v>Infraest. Viária: Exec. Prop. nº 031587/2019 P/Escav. Hid. e Cam. Prancha</v>
      </c>
      <c r="E643" s="551">
        <f>ER!E535+ER!E585-E624-E634</f>
        <v>925000.98</v>
      </c>
      <c r="F643" s="551">
        <v>1</v>
      </c>
      <c r="G643" s="551">
        <v>1</v>
      </c>
    </row>
    <row r="644" spans="2:7" ht="15.75" x14ac:dyDescent="0.25">
      <c r="B644" s="547">
        <f t="shared" si="78"/>
        <v>606</v>
      </c>
      <c r="C644" s="548"/>
      <c r="D644" s="607" t="s">
        <v>4096</v>
      </c>
      <c r="E644" s="551"/>
      <c r="F644" s="551"/>
      <c r="G644" s="551"/>
    </row>
    <row r="645" spans="2:7" x14ac:dyDescent="0.25">
      <c r="B645" s="547">
        <f t="shared" si="78"/>
        <v>607</v>
      </c>
      <c r="C645" s="579" t="s">
        <v>4251</v>
      </c>
      <c r="D645" s="579" t="str">
        <f>DESPORC!D715</f>
        <v>APOIO A MANUTENÇÃO EM INFRAESTRUTURA</v>
      </c>
      <c r="E645" s="579"/>
      <c r="F645" s="581"/>
      <c r="G645" s="581"/>
    </row>
    <row r="646" spans="2:7" x14ac:dyDescent="0.25">
      <c r="B646" s="547">
        <f t="shared" si="78"/>
        <v>608</v>
      </c>
      <c r="C646" s="579"/>
      <c r="D646" s="579" t="s">
        <v>3745</v>
      </c>
      <c r="E646" s="583">
        <f>SUM(E647,E648,E649)</f>
        <v>0.11666666666666667</v>
      </c>
      <c r="F646" s="579"/>
      <c r="G646" s="579"/>
    </row>
    <row r="647" spans="2:7" x14ac:dyDescent="0.25">
      <c r="B647" s="547">
        <f t="shared" si="78"/>
        <v>609</v>
      </c>
      <c r="C647" s="546"/>
      <c r="D647" s="546" t="s">
        <v>3075</v>
      </c>
      <c r="E647" s="552">
        <v>0.05</v>
      </c>
      <c r="F647" s="552">
        <f t="shared" ref="F647:F649" si="90">E647*(1+F$10)</f>
        <v>5.2440000000000001E-2</v>
      </c>
      <c r="G647" s="552">
        <f t="shared" ref="G647:G649" si="91">F647*(1+G$10)</f>
        <v>5.4736872000000006E-2</v>
      </c>
    </row>
    <row r="648" spans="2:7" x14ac:dyDescent="0.25">
      <c r="B648" s="547">
        <f t="shared" si="78"/>
        <v>610</v>
      </c>
      <c r="C648" s="546"/>
      <c r="D648" s="546" t="s">
        <v>3116</v>
      </c>
      <c r="E648" s="552">
        <f>E647/3</f>
        <v>1.6666666666666666E-2</v>
      </c>
      <c r="F648" s="552">
        <f t="shared" si="90"/>
        <v>1.7479999999999999E-2</v>
      </c>
      <c r="G648" s="552">
        <f t="shared" si="91"/>
        <v>1.8245623999999998E-2</v>
      </c>
    </row>
    <row r="649" spans="2:7" x14ac:dyDescent="0.25">
      <c r="B649" s="547">
        <f t="shared" si="78"/>
        <v>611</v>
      </c>
      <c r="C649" s="546"/>
      <c r="D649" s="546" t="s">
        <v>2991</v>
      </c>
      <c r="E649" s="552">
        <v>0.05</v>
      </c>
      <c r="F649" s="552">
        <f t="shared" si="90"/>
        <v>5.2440000000000001E-2</v>
      </c>
      <c r="G649" s="552">
        <f t="shared" si="91"/>
        <v>5.4736872000000006E-2</v>
      </c>
    </row>
    <row r="650" spans="2:7" x14ac:dyDescent="0.25">
      <c r="B650" s="547">
        <f t="shared" si="78"/>
        <v>612</v>
      </c>
      <c r="C650" s="579"/>
      <c r="D650" s="579" t="s">
        <v>3752</v>
      </c>
      <c r="E650" s="583">
        <v>0.01</v>
      </c>
      <c r="F650" s="579"/>
      <c r="G650" s="579"/>
    </row>
    <row r="651" spans="2:7" x14ac:dyDescent="0.25">
      <c r="B651" s="547">
        <f t="shared" si="78"/>
        <v>613</v>
      </c>
      <c r="C651" s="579"/>
      <c r="D651" s="579" t="s">
        <v>3765</v>
      </c>
      <c r="E651" s="583">
        <v>0.01</v>
      </c>
      <c r="F651" s="579"/>
      <c r="G651" s="579"/>
    </row>
    <row r="652" spans="2:7" x14ac:dyDescent="0.25">
      <c r="B652" s="547">
        <f t="shared" si="78"/>
        <v>614</v>
      </c>
      <c r="C652" s="579"/>
      <c r="D652" s="579" t="s">
        <v>3770</v>
      </c>
      <c r="E652" s="583">
        <v>0.01</v>
      </c>
      <c r="F652" s="579"/>
      <c r="G652" s="579"/>
    </row>
    <row r="653" spans="2:7" x14ac:dyDescent="0.25">
      <c r="B653" s="547">
        <f t="shared" si="78"/>
        <v>615</v>
      </c>
      <c r="C653" s="579"/>
      <c r="D653" s="579" t="s">
        <v>2988</v>
      </c>
      <c r="E653" s="583">
        <v>0.01</v>
      </c>
      <c r="F653" s="579"/>
      <c r="G653" s="579"/>
    </row>
    <row r="654" spans="2:7" x14ac:dyDescent="0.25">
      <c r="B654" s="547">
        <f t="shared" si="78"/>
        <v>616</v>
      </c>
      <c r="C654" s="579"/>
      <c r="D654" s="579" t="s">
        <v>3776</v>
      </c>
      <c r="E654" s="583">
        <v>0.01</v>
      </c>
      <c r="F654" s="579"/>
      <c r="G654" s="579"/>
    </row>
    <row r="655" spans="2:7" x14ac:dyDescent="0.25">
      <c r="B655" s="547">
        <f t="shared" si="78"/>
        <v>617</v>
      </c>
      <c r="C655" s="579"/>
      <c r="D655" s="579" t="s">
        <v>3783</v>
      </c>
      <c r="E655" s="583">
        <v>0.01</v>
      </c>
      <c r="F655" s="579"/>
      <c r="G655" s="579"/>
    </row>
    <row r="656" spans="2:7" x14ac:dyDescent="0.25">
      <c r="B656" s="547">
        <f t="shared" si="78"/>
        <v>618</v>
      </c>
      <c r="C656" s="579"/>
      <c r="D656" s="579" t="s">
        <v>3792</v>
      </c>
      <c r="E656" s="583"/>
      <c r="F656" s="579"/>
      <c r="G656" s="579"/>
    </row>
    <row r="657" spans="2:7" x14ac:dyDescent="0.25">
      <c r="B657" s="547">
        <f t="shared" ref="B657:B720" si="92">B656+1</f>
        <v>619</v>
      </c>
      <c r="C657" s="546"/>
      <c r="D657" s="608" t="s">
        <v>3794</v>
      </c>
      <c r="E657" s="552">
        <v>5000</v>
      </c>
      <c r="F657" s="552">
        <f t="shared" ref="F657:F660" si="93">E657*(1+F$10)</f>
        <v>5244</v>
      </c>
      <c r="G657" s="552">
        <f t="shared" ref="G657:G660" si="94">F657*(1+G$10)</f>
        <v>5473.6872000000003</v>
      </c>
    </row>
    <row r="658" spans="2:7" x14ac:dyDescent="0.25">
      <c r="B658" s="547">
        <f t="shared" si="92"/>
        <v>620</v>
      </c>
      <c r="C658" s="546"/>
      <c r="D658" s="608" t="s">
        <v>3796</v>
      </c>
      <c r="E658" s="552">
        <v>3000</v>
      </c>
      <c r="F658" s="552">
        <f t="shared" si="93"/>
        <v>3146.3999999999996</v>
      </c>
      <c r="G658" s="552">
        <f t="shared" si="94"/>
        <v>3284.2123199999996</v>
      </c>
    </row>
    <row r="659" spans="2:7" x14ac:dyDescent="0.25">
      <c r="B659" s="547">
        <f t="shared" si="92"/>
        <v>621</v>
      </c>
      <c r="C659" s="546"/>
      <c r="D659" s="608" t="s">
        <v>3798</v>
      </c>
      <c r="E659" s="552">
        <f t="shared" ref="E659" si="95">E657</f>
        <v>5000</v>
      </c>
      <c r="F659" s="552">
        <f t="shared" si="93"/>
        <v>5244</v>
      </c>
      <c r="G659" s="552">
        <f t="shared" si="94"/>
        <v>5473.6872000000003</v>
      </c>
    </row>
    <row r="660" spans="2:7" x14ac:dyDescent="0.25">
      <c r="B660" s="547">
        <f t="shared" si="92"/>
        <v>622</v>
      </c>
      <c r="C660" s="546"/>
      <c r="D660" s="608" t="s">
        <v>3800</v>
      </c>
      <c r="E660" s="552">
        <v>5000</v>
      </c>
      <c r="F660" s="552">
        <f t="shared" si="93"/>
        <v>5244</v>
      </c>
      <c r="G660" s="552">
        <f t="shared" si="94"/>
        <v>5473.6872000000003</v>
      </c>
    </row>
    <row r="661" spans="2:7" x14ac:dyDescent="0.25">
      <c r="B661" s="547">
        <f t="shared" si="92"/>
        <v>623</v>
      </c>
      <c r="C661" s="579"/>
      <c r="D661" s="609" t="s">
        <v>3945</v>
      </c>
      <c r="E661" s="583">
        <v>0.01</v>
      </c>
      <c r="F661" s="580"/>
      <c r="G661" s="580"/>
    </row>
    <row r="662" spans="2:7" x14ac:dyDescent="0.25">
      <c r="B662" s="547">
        <f t="shared" si="92"/>
        <v>624</v>
      </c>
      <c r="C662" s="579"/>
      <c r="D662" s="609" t="s">
        <v>3948</v>
      </c>
      <c r="E662" s="583">
        <v>0.01</v>
      </c>
      <c r="F662" s="580"/>
      <c r="G662" s="580"/>
    </row>
    <row r="663" spans="2:7" x14ac:dyDescent="0.25">
      <c r="B663" s="547">
        <f t="shared" si="92"/>
        <v>625</v>
      </c>
      <c r="C663" s="579"/>
      <c r="D663" s="609" t="s">
        <v>3951</v>
      </c>
      <c r="E663" s="583">
        <v>0.01</v>
      </c>
      <c r="F663" s="580"/>
      <c r="G663" s="580"/>
    </row>
    <row r="664" spans="2:7" x14ac:dyDescent="0.25">
      <c r="B664" s="547">
        <f t="shared" si="92"/>
        <v>626</v>
      </c>
      <c r="C664" s="579"/>
      <c r="D664" s="609" t="s">
        <v>3953</v>
      </c>
      <c r="E664" s="583"/>
      <c r="F664" s="580"/>
      <c r="G664" s="580"/>
    </row>
    <row r="665" spans="2:7" x14ac:dyDescent="0.25">
      <c r="B665" s="547">
        <f t="shared" si="92"/>
        <v>627</v>
      </c>
      <c r="C665" s="546"/>
      <c r="D665" s="608" t="s">
        <v>3955</v>
      </c>
      <c r="E665" s="552">
        <v>3000</v>
      </c>
      <c r="F665" s="552">
        <f t="shared" ref="F665:F670" si="96">E665*(1+F$10)</f>
        <v>3146.3999999999996</v>
      </c>
      <c r="G665" s="552">
        <f t="shared" ref="G665:G670" si="97">F665*(1+G$10)</f>
        <v>3284.2123199999996</v>
      </c>
    </row>
    <row r="666" spans="2:7" x14ac:dyDescent="0.25">
      <c r="B666" s="547">
        <f t="shared" si="92"/>
        <v>628</v>
      </c>
      <c r="C666" s="546"/>
      <c r="D666" s="611" t="s">
        <v>3957</v>
      </c>
      <c r="E666" s="552">
        <v>1000</v>
      </c>
      <c r="F666" s="552">
        <f t="shared" si="96"/>
        <v>1048.8</v>
      </c>
      <c r="G666" s="552">
        <f t="shared" si="97"/>
        <v>1094.7374400000001</v>
      </c>
    </row>
    <row r="667" spans="2:7" x14ac:dyDescent="0.25">
      <c r="B667" s="547">
        <f t="shared" si="92"/>
        <v>629</v>
      </c>
      <c r="C667" s="546"/>
      <c r="D667" s="608" t="s">
        <v>3959</v>
      </c>
      <c r="E667" s="552">
        <v>15000</v>
      </c>
      <c r="F667" s="552">
        <f t="shared" si="96"/>
        <v>15732</v>
      </c>
      <c r="G667" s="552">
        <f t="shared" si="97"/>
        <v>16421.061600000001</v>
      </c>
    </row>
    <row r="668" spans="2:7" x14ac:dyDescent="0.25">
      <c r="B668" s="547">
        <f t="shared" si="92"/>
        <v>630</v>
      </c>
      <c r="C668" s="546"/>
      <c r="D668" s="608" t="s">
        <v>3961</v>
      </c>
      <c r="E668" s="552">
        <f>1638.36/8*12</f>
        <v>2457.54</v>
      </c>
      <c r="F668" s="552">
        <f t="shared" si="96"/>
        <v>2577.467952</v>
      </c>
      <c r="G668" s="552">
        <f t="shared" si="97"/>
        <v>2690.3610482976001</v>
      </c>
    </row>
    <row r="669" spans="2:7" x14ac:dyDescent="0.25">
      <c r="B669" s="547">
        <f t="shared" si="92"/>
        <v>631</v>
      </c>
      <c r="C669" s="546"/>
      <c r="D669" s="608" t="s">
        <v>3963</v>
      </c>
      <c r="E669" s="552">
        <f>1200/8*12</f>
        <v>1800</v>
      </c>
      <c r="F669" s="552">
        <f t="shared" si="96"/>
        <v>1887.84</v>
      </c>
      <c r="G669" s="552">
        <f t="shared" si="97"/>
        <v>1970.527392</v>
      </c>
    </row>
    <row r="670" spans="2:7" x14ac:dyDescent="0.25">
      <c r="B670" s="547">
        <f t="shared" si="92"/>
        <v>632</v>
      </c>
      <c r="C670" s="546"/>
      <c r="D670" s="608" t="s">
        <v>3965</v>
      </c>
      <c r="E670" s="552">
        <f>44132.48/8*12</f>
        <v>66198.720000000001</v>
      </c>
      <c r="F670" s="552">
        <f t="shared" si="96"/>
        <v>69429.217535999996</v>
      </c>
      <c r="G670" s="552">
        <f t="shared" si="97"/>
        <v>72470.217264076797</v>
      </c>
    </row>
    <row r="671" spans="2:7" x14ac:dyDescent="0.25">
      <c r="B671" s="547">
        <f t="shared" si="92"/>
        <v>633</v>
      </c>
      <c r="C671" s="579"/>
      <c r="D671" s="609" t="s">
        <v>4036</v>
      </c>
      <c r="E671" s="583">
        <v>0.01</v>
      </c>
      <c r="F671" s="580"/>
      <c r="G671" s="580"/>
    </row>
    <row r="672" spans="2:7" x14ac:dyDescent="0.25">
      <c r="B672" s="547">
        <f t="shared" si="92"/>
        <v>634</v>
      </c>
      <c r="C672" s="579"/>
      <c r="D672" s="609" t="s">
        <v>4039</v>
      </c>
      <c r="E672" s="583">
        <v>0.01</v>
      </c>
      <c r="F672" s="580"/>
      <c r="G672" s="580"/>
    </row>
    <row r="673" spans="2:7" x14ac:dyDescent="0.25">
      <c r="B673" s="547">
        <f t="shared" si="92"/>
        <v>635</v>
      </c>
      <c r="C673" s="579"/>
      <c r="D673" s="609" t="s">
        <v>4071</v>
      </c>
      <c r="E673" s="583">
        <v>0.01</v>
      </c>
      <c r="F673" s="580"/>
      <c r="G673" s="580"/>
    </row>
    <row r="674" spans="2:7" x14ac:dyDescent="0.25">
      <c r="B674" s="547">
        <f t="shared" si="92"/>
        <v>636</v>
      </c>
      <c r="C674" s="579"/>
      <c r="D674" s="609" t="s">
        <v>4076</v>
      </c>
      <c r="E674" s="583">
        <v>0.01</v>
      </c>
      <c r="F674" s="580"/>
      <c r="G674" s="580"/>
    </row>
    <row r="675" spans="2:7" x14ac:dyDescent="0.25">
      <c r="B675" s="547">
        <f t="shared" si="92"/>
        <v>637</v>
      </c>
      <c r="C675" s="579"/>
      <c r="D675" s="609" t="s">
        <v>4083</v>
      </c>
      <c r="E675" s="583">
        <v>0.01</v>
      </c>
      <c r="F675" s="580"/>
      <c r="G675" s="580"/>
    </row>
    <row r="676" spans="2:7" x14ac:dyDescent="0.25">
      <c r="B676" s="547">
        <f t="shared" si="92"/>
        <v>638</v>
      </c>
      <c r="C676" s="579"/>
      <c r="D676" s="609" t="s">
        <v>4087</v>
      </c>
      <c r="E676" s="583">
        <v>0.01</v>
      </c>
      <c r="F676" s="580"/>
      <c r="G676" s="580"/>
    </row>
    <row r="677" spans="2:7" x14ac:dyDescent="0.25">
      <c r="B677" s="547">
        <f t="shared" si="92"/>
        <v>639</v>
      </c>
      <c r="C677" s="579"/>
      <c r="D677" s="609" t="s">
        <v>4089</v>
      </c>
      <c r="E677" s="583">
        <v>0.01</v>
      </c>
      <c r="F677" s="580"/>
      <c r="G677" s="580"/>
    </row>
    <row r="678" spans="2:7" x14ac:dyDescent="0.25">
      <c r="B678" s="547">
        <f t="shared" si="92"/>
        <v>640</v>
      </c>
      <c r="C678" s="579"/>
      <c r="D678" s="609" t="s">
        <v>4091</v>
      </c>
      <c r="E678" s="583">
        <v>0.01</v>
      </c>
      <c r="F678" s="580"/>
      <c r="G678" s="580"/>
    </row>
    <row r="679" spans="2:7" x14ac:dyDescent="0.25">
      <c r="B679" s="547">
        <f t="shared" si="92"/>
        <v>641</v>
      </c>
      <c r="D679" s="12" t="s">
        <v>4245</v>
      </c>
    </row>
    <row r="680" spans="2:7" x14ac:dyDescent="0.25">
      <c r="B680" s="547">
        <f t="shared" si="92"/>
        <v>642</v>
      </c>
      <c r="C680" s="579" t="s">
        <v>3074</v>
      </c>
      <c r="D680" s="579" t="str">
        <f>DESPORC!D786</f>
        <v>GESTÃO , APOIO E MANUT., COORDEN. E PLANEJAMENTO</v>
      </c>
      <c r="E680" s="580"/>
      <c r="F680" s="582"/>
      <c r="G680" s="582"/>
    </row>
    <row r="681" spans="2:7" x14ac:dyDescent="0.25">
      <c r="B681" s="547">
        <f t="shared" si="92"/>
        <v>643</v>
      </c>
      <c r="C681" s="579"/>
      <c r="D681" s="609" t="s">
        <v>3746</v>
      </c>
      <c r="E681" s="582">
        <v>0.01</v>
      </c>
      <c r="F681" s="582"/>
      <c r="G681" s="582"/>
    </row>
    <row r="682" spans="2:7" x14ac:dyDescent="0.25">
      <c r="B682" s="547">
        <f t="shared" si="92"/>
        <v>644</v>
      </c>
      <c r="C682" s="579"/>
      <c r="D682" s="609" t="s">
        <v>3753</v>
      </c>
      <c r="E682" s="582">
        <v>0.01</v>
      </c>
      <c r="F682" s="582"/>
      <c r="G682" s="582"/>
    </row>
    <row r="683" spans="2:7" x14ac:dyDescent="0.25">
      <c r="B683" s="547">
        <f t="shared" si="92"/>
        <v>645</v>
      </c>
      <c r="C683" s="579"/>
      <c r="D683" s="609" t="s">
        <v>3766</v>
      </c>
      <c r="E683" s="582">
        <v>0.01</v>
      </c>
      <c r="F683" s="582"/>
      <c r="G683" s="582"/>
    </row>
    <row r="684" spans="2:7" x14ac:dyDescent="0.25">
      <c r="B684" s="547">
        <f t="shared" si="92"/>
        <v>646</v>
      </c>
      <c r="C684" s="579"/>
      <c r="D684" s="609" t="s">
        <v>3771</v>
      </c>
      <c r="E684" s="582">
        <v>0.01</v>
      </c>
      <c r="F684" s="582"/>
      <c r="G684" s="582"/>
    </row>
    <row r="685" spans="2:7" x14ac:dyDescent="0.25">
      <c r="B685" s="547">
        <f t="shared" si="92"/>
        <v>647</v>
      </c>
      <c r="C685" s="579"/>
      <c r="D685" s="609" t="s">
        <v>2988</v>
      </c>
      <c r="E685" s="582">
        <v>0.01</v>
      </c>
      <c r="F685" s="582"/>
      <c r="G685" s="582"/>
    </row>
    <row r="686" spans="2:7" x14ac:dyDescent="0.25">
      <c r="B686" s="547">
        <f t="shared" si="92"/>
        <v>648</v>
      </c>
      <c r="C686" s="579"/>
      <c r="D686" s="609" t="s">
        <v>3777</v>
      </c>
      <c r="E686" s="582">
        <v>0.01</v>
      </c>
      <c r="F686" s="582"/>
      <c r="G686" s="582"/>
    </row>
    <row r="687" spans="2:7" x14ac:dyDescent="0.25">
      <c r="B687" s="547">
        <f t="shared" si="92"/>
        <v>649</v>
      </c>
      <c r="C687" s="579"/>
      <c r="D687" s="609" t="s">
        <v>3784</v>
      </c>
      <c r="E687" s="582"/>
      <c r="F687" s="582"/>
      <c r="G687" s="582"/>
    </row>
    <row r="688" spans="2:7" x14ac:dyDescent="0.25">
      <c r="B688" s="547">
        <f t="shared" si="92"/>
        <v>650</v>
      </c>
      <c r="C688" s="811"/>
      <c r="D688" s="604" t="s">
        <v>3288</v>
      </c>
      <c r="E688" s="26">
        <f>6540/8*12</f>
        <v>9810</v>
      </c>
      <c r="F688" s="26"/>
      <c r="G688" s="26"/>
    </row>
    <row r="689" spans="2:7" x14ac:dyDescent="0.25">
      <c r="B689" s="547">
        <f t="shared" si="92"/>
        <v>651</v>
      </c>
      <c r="C689" s="811"/>
      <c r="D689" s="604" t="s">
        <v>3290</v>
      </c>
      <c r="E689" s="26">
        <f>462/8*12</f>
        <v>693</v>
      </c>
      <c r="F689" s="26"/>
      <c r="G689" s="26"/>
    </row>
    <row r="690" spans="2:7" x14ac:dyDescent="0.25">
      <c r="B690" s="547">
        <f t="shared" si="92"/>
        <v>652</v>
      </c>
      <c r="C690" s="579"/>
      <c r="D690" s="609" t="s">
        <v>3628</v>
      </c>
      <c r="E690" s="582"/>
      <c r="F690" s="582"/>
      <c r="G690" s="582"/>
    </row>
    <row r="691" spans="2:7" x14ac:dyDescent="0.25">
      <c r="B691" s="547">
        <f t="shared" si="92"/>
        <v>653</v>
      </c>
      <c r="C691" s="811"/>
      <c r="D691" s="604" t="s">
        <v>3802</v>
      </c>
      <c r="E691" s="26">
        <f>7961.11/8*12</f>
        <v>11941.664999999999</v>
      </c>
      <c r="F691" s="26"/>
      <c r="G691" s="26"/>
    </row>
    <row r="692" spans="2:7" x14ac:dyDescent="0.25">
      <c r="B692" s="547">
        <f t="shared" si="92"/>
        <v>654</v>
      </c>
      <c r="C692" s="811"/>
      <c r="D692" s="604" t="s">
        <v>3804</v>
      </c>
      <c r="E692" s="26">
        <f>7961.11/8*12</f>
        <v>11941.664999999999</v>
      </c>
      <c r="F692" s="26"/>
      <c r="G692" s="26"/>
    </row>
    <row r="693" spans="2:7" x14ac:dyDescent="0.25">
      <c r="B693" s="547">
        <f t="shared" si="92"/>
        <v>655</v>
      </c>
      <c r="C693" s="811"/>
      <c r="D693" s="604" t="s">
        <v>3806</v>
      </c>
      <c r="E693" s="26">
        <v>12000</v>
      </c>
      <c r="F693" s="26"/>
      <c r="G693" s="26"/>
    </row>
    <row r="694" spans="2:7" x14ac:dyDescent="0.25">
      <c r="B694" s="547">
        <f t="shared" si="92"/>
        <v>656</v>
      </c>
      <c r="C694" s="579"/>
      <c r="D694" s="609" t="s">
        <v>3946</v>
      </c>
      <c r="E694" s="582">
        <v>0.01</v>
      </c>
      <c r="F694" s="582"/>
      <c r="G694" s="582"/>
    </row>
    <row r="695" spans="2:7" x14ac:dyDescent="0.25">
      <c r="B695" s="547">
        <f t="shared" si="92"/>
        <v>657</v>
      </c>
      <c r="C695" s="811"/>
      <c r="D695" s="609" t="s">
        <v>3949</v>
      </c>
      <c r="E695" s="582">
        <v>0.01</v>
      </c>
      <c r="F695" s="582"/>
      <c r="G695" s="582"/>
    </row>
    <row r="696" spans="2:7" x14ac:dyDescent="0.25">
      <c r="B696" s="547">
        <f t="shared" si="92"/>
        <v>658</v>
      </c>
      <c r="C696" s="811"/>
      <c r="D696" s="609" t="s">
        <v>3631</v>
      </c>
      <c r="E696" s="582">
        <v>0.01</v>
      </c>
      <c r="F696" s="582"/>
      <c r="G696" s="582"/>
    </row>
    <row r="697" spans="2:7" x14ac:dyDescent="0.25">
      <c r="B697" s="547">
        <f t="shared" si="92"/>
        <v>659</v>
      </c>
      <c r="C697" s="811"/>
      <c r="D697" s="609" t="s">
        <v>3634</v>
      </c>
      <c r="E697" s="582">
        <v>1</v>
      </c>
      <c r="F697" s="582"/>
      <c r="G697" s="582"/>
    </row>
    <row r="698" spans="2:7" x14ac:dyDescent="0.25">
      <c r="B698" s="547">
        <f t="shared" si="92"/>
        <v>660</v>
      </c>
      <c r="C698" s="811"/>
      <c r="D698" s="604" t="s">
        <v>3967</v>
      </c>
      <c r="E698" s="26">
        <v>200</v>
      </c>
      <c r="F698" s="26"/>
      <c r="G698" s="26"/>
    </row>
    <row r="699" spans="2:7" x14ac:dyDescent="0.25">
      <c r="B699" s="547">
        <f t="shared" si="92"/>
        <v>661</v>
      </c>
      <c r="C699" s="811"/>
      <c r="D699" s="604" t="s">
        <v>3969</v>
      </c>
      <c r="E699" s="26">
        <f>9694.58/8*12</f>
        <v>14541.869999999999</v>
      </c>
      <c r="F699" s="26"/>
      <c r="G699" s="26"/>
    </row>
    <row r="700" spans="2:7" x14ac:dyDescent="0.25">
      <c r="B700" s="547">
        <f t="shared" si="92"/>
        <v>662</v>
      </c>
      <c r="C700" s="811"/>
      <c r="D700" s="604" t="s">
        <v>3971</v>
      </c>
      <c r="E700" s="26">
        <f>7126.04/8*12</f>
        <v>10689.06</v>
      </c>
      <c r="F700" s="26"/>
      <c r="G700" s="26"/>
    </row>
    <row r="701" spans="2:7" x14ac:dyDescent="0.25">
      <c r="B701" s="547">
        <f t="shared" si="92"/>
        <v>663</v>
      </c>
      <c r="C701" s="579"/>
      <c r="D701" s="609" t="s">
        <v>4037</v>
      </c>
      <c r="E701" s="582">
        <v>0.01</v>
      </c>
      <c r="F701" s="582"/>
      <c r="G701" s="582"/>
    </row>
    <row r="702" spans="2:7" x14ac:dyDescent="0.25">
      <c r="B702" s="547">
        <f t="shared" si="92"/>
        <v>664</v>
      </c>
      <c r="C702" s="579"/>
      <c r="D702" s="609" t="s">
        <v>4040</v>
      </c>
      <c r="E702" s="582">
        <v>0.01</v>
      </c>
      <c r="F702" s="582"/>
      <c r="G702" s="582"/>
    </row>
    <row r="703" spans="2:7" x14ac:dyDescent="0.25">
      <c r="B703" s="547">
        <f t="shared" si="92"/>
        <v>665</v>
      </c>
      <c r="C703" s="579"/>
      <c r="D703" s="609" t="s">
        <v>4072</v>
      </c>
      <c r="E703" s="582">
        <v>0.01</v>
      </c>
      <c r="F703" s="582"/>
      <c r="G703" s="582"/>
    </row>
    <row r="704" spans="2:7" x14ac:dyDescent="0.25">
      <c r="B704" s="547">
        <f t="shared" si="92"/>
        <v>666</v>
      </c>
      <c r="C704" s="579"/>
      <c r="D704" s="609" t="s">
        <v>4077</v>
      </c>
      <c r="E704" s="582"/>
      <c r="F704" s="582"/>
      <c r="G704" s="582"/>
    </row>
    <row r="705" spans="2:7" x14ac:dyDescent="0.25">
      <c r="B705" s="547">
        <f t="shared" si="92"/>
        <v>667</v>
      </c>
      <c r="C705" s="581"/>
      <c r="D705" s="610" t="s">
        <v>4079</v>
      </c>
      <c r="E705" s="582">
        <v>0.01</v>
      </c>
      <c r="F705" s="582"/>
      <c r="G705" s="582"/>
    </row>
    <row r="706" spans="2:7" x14ac:dyDescent="0.25">
      <c r="B706" s="547">
        <f t="shared" si="92"/>
        <v>668</v>
      </c>
      <c r="C706" s="579"/>
      <c r="D706" s="609" t="s">
        <v>4084</v>
      </c>
      <c r="E706" s="582">
        <v>500</v>
      </c>
      <c r="F706" s="582"/>
      <c r="G706" s="582"/>
    </row>
    <row r="707" spans="2:7" x14ac:dyDescent="0.25">
      <c r="B707" s="547">
        <f t="shared" si="92"/>
        <v>669</v>
      </c>
      <c r="C707" s="579"/>
      <c r="D707" s="609" t="s">
        <v>4088</v>
      </c>
      <c r="E707" s="582">
        <v>0.01</v>
      </c>
      <c r="F707" s="582"/>
      <c r="G707" s="582"/>
    </row>
    <row r="708" spans="2:7" x14ac:dyDescent="0.25">
      <c r="B708" s="547">
        <f t="shared" si="92"/>
        <v>670</v>
      </c>
      <c r="C708" s="579"/>
      <c r="D708" s="609" t="s">
        <v>3637</v>
      </c>
      <c r="E708" s="582">
        <v>0.01</v>
      </c>
      <c r="F708" s="582"/>
      <c r="G708" s="582"/>
    </row>
    <row r="709" spans="2:7" x14ac:dyDescent="0.25">
      <c r="B709" s="547">
        <f t="shared" si="92"/>
        <v>671</v>
      </c>
      <c r="C709" s="579"/>
      <c r="D709" s="609" t="s">
        <v>3644</v>
      </c>
      <c r="E709" s="582">
        <v>0.01</v>
      </c>
      <c r="F709" s="582"/>
      <c r="G709" s="582"/>
    </row>
    <row r="710" spans="2:7" x14ac:dyDescent="0.25">
      <c r="B710" s="547">
        <f t="shared" si="92"/>
        <v>672</v>
      </c>
      <c r="D710" s="12" t="s">
        <v>3145</v>
      </c>
    </row>
    <row r="711" spans="2:7" x14ac:dyDescent="0.25">
      <c r="B711" s="547">
        <f t="shared" si="92"/>
        <v>673</v>
      </c>
      <c r="C711" s="579" t="s">
        <v>3074</v>
      </c>
      <c r="D711" s="579" t="str">
        <f>DESPORC!D786</f>
        <v>GESTÃO , APOIO E MANUT., COORDEN. E PLANEJAMENTO</v>
      </c>
      <c r="E711" s="580"/>
      <c r="F711" s="582"/>
      <c r="G711" s="582"/>
    </row>
    <row r="712" spans="2:7" x14ac:dyDescent="0.25">
      <c r="B712" s="547">
        <f t="shared" si="92"/>
        <v>674</v>
      </c>
      <c r="C712" s="579"/>
      <c r="D712" s="609" t="s">
        <v>3648</v>
      </c>
      <c r="E712" s="582"/>
      <c r="F712" s="582"/>
      <c r="G712" s="582"/>
    </row>
    <row r="713" spans="2:7" x14ac:dyDescent="0.25">
      <c r="B713" s="547">
        <f t="shared" si="92"/>
        <v>675</v>
      </c>
      <c r="C713" s="811"/>
      <c r="D713" s="604" t="s">
        <v>3075</v>
      </c>
      <c r="E713" s="26">
        <v>0.01</v>
      </c>
      <c r="F713" s="26"/>
      <c r="G713" s="26"/>
    </row>
    <row r="714" spans="2:7" x14ac:dyDescent="0.25">
      <c r="B714" s="547">
        <f t="shared" si="92"/>
        <v>676</v>
      </c>
      <c r="C714" s="811"/>
      <c r="D714" s="604" t="s">
        <v>3116</v>
      </c>
      <c r="E714" s="26">
        <v>0.01</v>
      </c>
      <c r="F714" s="26"/>
      <c r="G714" s="26"/>
    </row>
    <row r="715" spans="2:7" x14ac:dyDescent="0.25">
      <c r="B715" s="547">
        <f t="shared" si="92"/>
        <v>677</v>
      </c>
      <c r="C715" s="811"/>
      <c r="D715" s="604" t="s">
        <v>2991</v>
      </c>
      <c r="E715" s="26">
        <v>0.01</v>
      </c>
      <c r="F715" s="26"/>
      <c r="G715" s="26"/>
    </row>
    <row r="716" spans="2:7" x14ac:dyDescent="0.25">
      <c r="B716" s="547">
        <f t="shared" si="92"/>
        <v>678</v>
      </c>
      <c r="C716" s="579"/>
      <c r="D716" s="609" t="s">
        <v>3649</v>
      </c>
      <c r="E716" s="582"/>
      <c r="F716" s="582"/>
      <c r="G716" s="582"/>
    </row>
    <row r="717" spans="2:7" x14ac:dyDescent="0.25">
      <c r="B717" s="547">
        <f t="shared" si="92"/>
        <v>679</v>
      </c>
      <c r="C717" s="811"/>
      <c r="D717" s="604" t="s">
        <v>3413</v>
      </c>
      <c r="E717" s="26">
        <f>'FOPAG EXEC.'!E303*12</f>
        <v>16273.294326488867</v>
      </c>
      <c r="F717" s="26"/>
      <c r="G717" s="26"/>
    </row>
    <row r="718" spans="2:7" x14ac:dyDescent="0.25">
      <c r="B718" s="547">
        <f t="shared" si="92"/>
        <v>680</v>
      </c>
      <c r="C718" s="811"/>
      <c r="D718" s="604" t="s">
        <v>3411</v>
      </c>
      <c r="E718" s="26">
        <f>('FOPAG EXEC.'!E306*12)+'FOPAG EXEC.'!E307+'FOPAG EXEC.'!E308</f>
        <v>3254.6588652977739</v>
      </c>
      <c r="F718" s="26"/>
      <c r="G718" s="26"/>
    </row>
    <row r="719" spans="2:7" x14ac:dyDescent="0.25">
      <c r="B719" s="547">
        <f t="shared" si="92"/>
        <v>681</v>
      </c>
      <c r="C719" s="811"/>
      <c r="D719" s="604" t="s">
        <v>3653</v>
      </c>
      <c r="E719" s="26">
        <f>'FOPAG EXEC.'!E317*12</f>
        <v>62101.338569622778</v>
      </c>
      <c r="F719" s="26"/>
      <c r="G719" s="26"/>
    </row>
    <row r="720" spans="2:7" x14ac:dyDescent="0.25">
      <c r="B720" s="547">
        <f t="shared" si="92"/>
        <v>682</v>
      </c>
      <c r="C720" s="811"/>
      <c r="D720" s="604" t="s">
        <v>2761</v>
      </c>
      <c r="E720" s="26">
        <f>'FOPAG EXEC.'!E312+0.01</f>
        <v>0.01</v>
      </c>
      <c r="F720" s="26"/>
      <c r="G720" s="26"/>
    </row>
    <row r="721" spans="2:7" x14ac:dyDescent="0.25">
      <c r="B721" s="547">
        <f t="shared" ref="B721:B784" si="98">B720+1</f>
        <v>683</v>
      </c>
      <c r="C721" s="811"/>
      <c r="D721" s="604" t="s">
        <v>3656</v>
      </c>
      <c r="E721" s="26">
        <f>'FOPAG EXEC.'!E315</f>
        <v>2225.4177711437774</v>
      </c>
      <c r="F721" s="26"/>
      <c r="G721" s="26"/>
    </row>
    <row r="722" spans="2:7" x14ac:dyDescent="0.25">
      <c r="B722" s="547">
        <f t="shared" si="98"/>
        <v>684</v>
      </c>
      <c r="C722" s="811"/>
      <c r="D722" s="604" t="s">
        <v>2977</v>
      </c>
      <c r="E722" s="26">
        <f>'FOPAG EXEC.'!E314</f>
        <v>741.8059237145925</v>
      </c>
      <c r="F722" s="26"/>
      <c r="G722" s="26"/>
    </row>
    <row r="723" spans="2:7" x14ac:dyDescent="0.25">
      <c r="B723" s="547">
        <f t="shared" si="98"/>
        <v>685</v>
      </c>
      <c r="C723" s="811"/>
      <c r="D723" s="604" t="s">
        <v>3659</v>
      </c>
      <c r="E723" s="26">
        <f>'FOPAG EXEC.'!E304</f>
        <v>452.03595351357967</v>
      </c>
      <c r="F723" s="26"/>
      <c r="G723" s="26"/>
    </row>
    <row r="724" spans="2:7" x14ac:dyDescent="0.25">
      <c r="B724" s="547">
        <f t="shared" si="98"/>
        <v>686</v>
      </c>
      <c r="C724" s="811"/>
      <c r="D724" s="604" t="s">
        <v>3661</v>
      </c>
      <c r="E724" s="26">
        <f>'FOPAG EXEC.'!E311+0.01</f>
        <v>0.01</v>
      </c>
      <c r="F724" s="26"/>
      <c r="G724" s="26"/>
    </row>
    <row r="725" spans="2:7" x14ac:dyDescent="0.25">
      <c r="B725" s="547">
        <f t="shared" si="98"/>
        <v>687</v>
      </c>
      <c r="C725" s="811"/>
      <c r="D725" s="604" t="s">
        <v>2973</v>
      </c>
      <c r="E725" s="26">
        <f>'FOPAG EXEC.'!E313*12</f>
        <v>26705.01325372533</v>
      </c>
      <c r="F725" s="26"/>
      <c r="G725" s="26"/>
    </row>
    <row r="726" spans="2:7" x14ac:dyDescent="0.25">
      <c r="B726" s="547">
        <f t="shared" si="98"/>
        <v>688</v>
      </c>
      <c r="C726" s="811"/>
      <c r="D726" s="604" t="s">
        <v>3664</v>
      </c>
      <c r="E726" s="26">
        <f>'FOPAG EXEC.'!E319</f>
        <v>5175.1115474685648</v>
      </c>
      <c r="F726" s="26"/>
      <c r="G726" s="26"/>
    </row>
    <row r="727" spans="2:7" x14ac:dyDescent="0.25">
      <c r="B727" s="547">
        <f t="shared" si="98"/>
        <v>689</v>
      </c>
      <c r="C727" s="811"/>
      <c r="D727" s="604" t="s">
        <v>3421</v>
      </c>
      <c r="E727" s="26">
        <f>'FOPAG EXEC.'!E305</f>
        <v>1356.107860540739</v>
      </c>
      <c r="F727" s="26"/>
      <c r="G727" s="26"/>
    </row>
    <row r="728" spans="2:7" x14ac:dyDescent="0.25">
      <c r="B728" s="547">
        <f t="shared" si="98"/>
        <v>690</v>
      </c>
      <c r="C728" s="579"/>
      <c r="D728" s="609" t="s">
        <v>3666</v>
      </c>
      <c r="E728" s="582"/>
      <c r="F728" s="582"/>
      <c r="G728" s="582"/>
    </row>
    <row r="729" spans="2:7" x14ac:dyDescent="0.25">
      <c r="B729" s="547">
        <f t="shared" si="98"/>
        <v>691</v>
      </c>
      <c r="C729" s="811"/>
      <c r="D729" s="604" t="s">
        <v>3668</v>
      </c>
      <c r="E729" s="26">
        <v>0</v>
      </c>
      <c r="F729" s="26"/>
      <c r="G729" s="26"/>
    </row>
    <row r="730" spans="2:7" x14ac:dyDescent="0.25">
      <c r="B730" s="547">
        <f t="shared" si="98"/>
        <v>692</v>
      </c>
      <c r="C730" s="811"/>
      <c r="D730" s="604" t="s">
        <v>3670</v>
      </c>
      <c r="E730" s="26">
        <v>0</v>
      </c>
      <c r="F730" s="26"/>
      <c r="G730" s="26"/>
    </row>
    <row r="731" spans="2:7" x14ac:dyDescent="0.25">
      <c r="B731" s="547">
        <f t="shared" si="98"/>
        <v>693</v>
      </c>
      <c r="C731" s="811"/>
      <c r="D731" s="604" t="s">
        <v>3672</v>
      </c>
      <c r="E731" s="26">
        <v>0</v>
      </c>
      <c r="F731" s="26"/>
      <c r="G731" s="26"/>
    </row>
    <row r="732" spans="2:7" x14ac:dyDescent="0.25">
      <c r="B732" s="547">
        <f t="shared" si="98"/>
        <v>694</v>
      </c>
      <c r="C732" s="811"/>
      <c r="D732" s="604" t="s">
        <v>3674</v>
      </c>
      <c r="E732" s="26">
        <v>0</v>
      </c>
      <c r="F732" s="26"/>
      <c r="G732" s="26"/>
    </row>
    <row r="733" spans="2:7" x14ac:dyDescent="0.25">
      <c r="B733" s="547">
        <f t="shared" si="98"/>
        <v>695</v>
      </c>
      <c r="C733" s="579"/>
      <c r="D733" s="609" t="s">
        <v>3675</v>
      </c>
      <c r="E733" s="582"/>
      <c r="F733" s="582"/>
      <c r="G733" s="582"/>
    </row>
    <row r="734" spans="2:7" x14ac:dyDescent="0.25">
      <c r="B734" s="547">
        <f t="shared" si="98"/>
        <v>696</v>
      </c>
      <c r="C734" s="811"/>
      <c r="D734" s="604" t="s">
        <v>3433</v>
      </c>
      <c r="E734" s="26">
        <v>1500</v>
      </c>
      <c r="F734" s="26"/>
      <c r="G734" s="26"/>
    </row>
    <row r="735" spans="2:7" x14ac:dyDescent="0.25">
      <c r="B735" s="547">
        <f t="shared" si="98"/>
        <v>697</v>
      </c>
      <c r="C735" s="811"/>
      <c r="D735" s="604" t="s">
        <v>3431</v>
      </c>
      <c r="E735" s="26">
        <v>1500</v>
      </c>
      <c r="F735" s="26"/>
      <c r="G735" s="26"/>
    </row>
    <row r="736" spans="2:7" x14ac:dyDescent="0.25">
      <c r="B736" s="547">
        <f t="shared" si="98"/>
        <v>698</v>
      </c>
      <c r="C736" s="579"/>
      <c r="D736" s="609" t="s">
        <v>2988</v>
      </c>
      <c r="E736" s="582"/>
      <c r="F736" s="582"/>
      <c r="G736" s="582"/>
    </row>
    <row r="737" spans="2:7" x14ac:dyDescent="0.25">
      <c r="B737" s="547">
        <f t="shared" si="98"/>
        <v>699</v>
      </c>
      <c r="C737" s="811"/>
      <c r="D737" s="604" t="s">
        <v>2988</v>
      </c>
      <c r="E737" s="26">
        <v>5000</v>
      </c>
      <c r="F737" s="26"/>
      <c r="G737" s="26"/>
    </row>
    <row r="738" spans="2:7" x14ac:dyDescent="0.25">
      <c r="B738" s="547">
        <f t="shared" si="98"/>
        <v>700</v>
      </c>
      <c r="C738" s="579"/>
      <c r="D738" s="609" t="s">
        <v>3679</v>
      </c>
      <c r="E738" s="582"/>
      <c r="F738" s="582"/>
      <c r="G738" s="582"/>
    </row>
    <row r="739" spans="2:7" x14ac:dyDescent="0.25">
      <c r="B739" s="547">
        <f t="shared" si="98"/>
        <v>701</v>
      </c>
      <c r="C739" s="811"/>
      <c r="D739" s="604" t="s">
        <v>3681</v>
      </c>
      <c r="E739" s="26">
        <v>0.01</v>
      </c>
      <c r="F739" s="26"/>
      <c r="G739" s="26"/>
    </row>
    <row r="740" spans="2:7" x14ac:dyDescent="0.25">
      <c r="B740" s="547">
        <f t="shared" si="98"/>
        <v>702</v>
      </c>
      <c r="C740" s="811"/>
      <c r="D740" s="604" t="s">
        <v>3683</v>
      </c>
      <c r="E740" s="26">
        <v>0.01</v>
      </c>
      <c r="F740" s="26"/>
      <c r="G740" s="26"/>
    </row>
    <row r="741" spans="2:7" x14ac:dyDescent="0.25">
      <c r="B741" s="547">
        <f t="shared" si="98"/>
        <v>703</v>
      </c>
      <c r="C741" s="811"/>
      <c r="D741" s="604" t="s">
        <v>3685</v>
      </c>
      <c r="E741" s="26">
        <v>0.01</v>
      </c>
      <c r="F741" s="26"/>
      <c r="G741" s="26"/>
    </row>
    <row r="742" spans="2:7" x14ac:dyDescent="0.25">
      <c r="B742" s="547">
        <f t="shared" si="98"/>
        <v>704</v>
      </c>
      <c r="C742" s="811"/>
      <c r="D742" s="604" t="s">
        <v>3687</v>
      </c>
      <c r="E742" s="26">
        <v>0.01</v>
      </c>
      <c r="F742" s="26"/>
      <c r="G742" s="26"/>
    </row>
    <row r="743" spans="2:7" x14ac:dyDescent="0.25">
      <c r="B743" s="547">
        <f t="shared" si="98"/>
        <v>705</v>
      </c>
      <c r="C743" s="811"/>
      <c r="D743" s="604" t="s">
        <v>3689</v>
      </c>
      <c r="E743" s="26">
        <v>0.01</v>
      </c>
      <c r="F743" s="26"/>
      <c r="G743" s="26"/>
    </row>
    <row r="744" spans="2:7" x14ac:dyDescent="0.25">
      <c r="B744" s="547">
        <f t="shared" si="98"/>
        <v>706</v>
      </c>
      <c r="C744" s="811"/>
      <c r="D744" s="604" t="s">
        <v>3691</v>
      </c>
      <c r="E744" s="26">
        <v>0.01</v>
      </c>
      <c r="F744" s="26"/>
      <c r="G744" s="26"/>
    </row>
    <row r="745" spans="2:7" x14ac:dyDescent="0.25">
      <c r="B745" s="547">
        <f t="shared" si="98"/>
        <v>707</v>
      </c>
      <c r="C745" s="581"/>
      <c r="D745" s="609" t="s">
        <v>3174</v>
      </c>
      <c r="E745" s="582"/>
      <c r="F745" s="582"/>
      <c r="G745" s="582"/>
    </row>
    <row r="746" spans="2:7" x14ac:dyDescent="0.25">
      <c r="B746" s="547">
        <f t="shared" si="98"/>
        <v>708</v>
      </c>
      <c r="C746" s="811"/>
      <c r="D746" s="604" t="s">
        <v>3286</v>
      </c>
      <c r="E746" s="26">
        <v>800</v>
      </c>
      <c r="F746" s="26"/>
      <c r="G746" s="26"/>
    </row>
    <row r="747" spans="2:7" x14ac:dyDescent="0.25">
      <c r="B747" s="547">
        <f t="shared" si="98"/>
        <v>709</v>
      </c>
      <c r="C747" s="811"/>
      <c r="D747" s="604" t="s">
        <v>3290</v>
      </c>
      <c r="E747" s="26">
        <v>500</v>
      </c>
      <c r="F747" s="26"/>
      <c r="G747" s="26"/>
    </row>
    <row r="748" spans="2:7" x14ac:dyDescent="0.25">
      <c r="B748" s="547">
        <f t="shared" si="98"/>
        <v>710</v>
      </c>
      <c r="C748" s="811"/>
      <c r="D748" s="604" t="s">
        <v>3695</v>
      </c>
      <c r="E748" s="26">
        <v>500</v>
      </c>
      <c r="F748" s="26"/>
      <c r="G748" s="26"/>
    </row>
    <row r="749" spans="2:7" x14ac:dyDescent="0.25">
      <c r="B749" s="547">
        <f t="shared" si="98"/>
        <v>711</v>
      </c>
      <c r="C749" s="811"/>
      <c r="D749" s="604" t="s">
        <v>3288</v>
      </c>
      <c r="E749" s="26">
        <v>500</v>
      </c>
      <c r="F749" s="26"/>
      <c r="G749" s="26"/>
    </row>
    <row r="750" spans="2:7" x14ac:dyDescent="0.25">
      <c r="B750" s="547">
        <f t="shared" si="98"/>
        <v>712</v>
      </c>
      <c r="C750" s="811"/>
      <c r="D750" s="604" t="s">
        <v>3698</v>
      </c>
      <c r="E750" s="26">
        <v>500</v>
      </c>
      <c r="F750" s="26"/>
      <c r="G750" s="26"/>
    </row>
    <row r="751" spans="2:7" x14ac:dyDescent="0.25">
      <c r="B751" s="547">
        <f t="shared" si="98"/>
        <v>713</v>
      </c>
      <c r="C751" s="811"/>
      <c r="D751" s="604" t="s">
        <v>3700</v>
      </c>
      <c r="E751" s="26">
        <v>0.01</v>
      </c>
      <c r="F751" s="26"/>
      <c r="G751" s="26"/>
    </row>
    <row r="752" spans="2:7" x14ac:dyDescent="0.25">
      <c r="B752" s="547">
        <f t="shared" si="98"/>
        <v>714</v>
      </c>
      <c r="C752" s="581"/>
      <c r="D752" s="609" t="s">
        <v>3562</v>
      </c>
      <c r="E752" s="582">
        <f>10565.54/8*12</f>
        <v>15848.310000000001</v>
      </c>
      <c r="F752" s="582"/>
      <c r="G752" s="582"/>
    </row>
    <row r="753" spans="2:7" x14ac:dyDescent="0.25">
      <c r="B753" s="547">
        <f t="shared" si="98"/>
        <v>715</v>
      </c>
      <c r="C753" s="811"/>
      <c r="D753" s="604" t="s">
        <v>3007</v>
      </c>
      <c r="E753" s="26">
        <v>0</v>
      </c>
      <c r="F753" s="26"/>
      <c r="G753" s="26"/>
    </row>
    <row r="754" spans="2:7" x14ac:dyDescent="0.25">
      <c r="B754" s="547">
        <f t="shared" si="98"/>
        <v>716</v>
      </c>
      <c r="C754" s="811"/>
      <c r="D754" s="604" t="s">
        <v>3703</v>
      </c>
      <c r="E754" s="26">
        <v>0</v>
      </c>
      <c r="F754" s="26"/>
      <c r="G754" s="26"/>
    </row>
    <row r="755" spans="2:7" x14ac:dyDescent="0.25">
      <c r="B755" s="547">
        <f t="shared" si="98"/>
        <v>717</v>
      </c>
      <c r="C755" s="811"/>
      <c r="D755" s="604" t="s">
        <v>3455</v>
      </c>
      <c r="E755" s="26">
        <v>0</v>
      </c>
      <c r="F755" s="26"/>
      <c r="G755" s="26"/>
    </row>
    <row r="756" spans="2:7" x14ac:dyDescent="0.25">
      <c r="B756" s="547">
        <f t="shared" si="98"/>
        <v>718</v>
      </c>
      <c r="C756" s="811"/>
      <c r="D756" s="604" t="s">
        <v>3565</v>
      </c>
      <c r="E756" s="26">
        <v>0</v>
      </c>
      <c r="F756" s="26"/>
      <c r="G756" s="26"/>
    </row>
    <row r="757" spans="2:7" x14ac:dyDescent="0.25">
      <c r="B757" s="547">
        <f t="shared" si="98"/>
        <v>719</v>
      </c>
      <c r="C757" s="811"/>
      <c r="D757" s="604" t="s">
        <v>3295</v>
      </c>
      <c r="E757" s="26">
        <v>0</v>
      </c>
      <c r="F757" s="26"/>
      <c r="G757" s="26"/>
    </row>
    <row r="758" spans="2:7" x14ac:dyDescent="0.25">
      <c r="B758" s="547">
        <f t="shared" si="98"/>
        <v>720</v>
      </c>
      <c r="C758" s="811"/>
      <c r="D758" s="604" t="s">
        <v>3708</v>
      </c>
      <c r="E758" s="26">
        <v>0</v>
      </c>
      <c r="F758" s="26"/>
      <c r="G758" s="26"/>
    </row>
    <row r="759" spans="2:7" x14ac:dyDescent="0.25">
      <c r="B759" s="547">
        <f t="shared" si="98"/>
        <v>721</v>
      </c>
      <c r="C759" s="811"/>
      <c r="D759" s="604" t="s">
        <v>3710</v>
      </c>
      <c r="E759" s="26">
        <v>0</v>
      </c>
      <c r="F759" s="26"/>
      <c r="G759" s="26"/>
    </row>
    <row r="760" spans="2:7" x14ac:dyDescent="0.25">
      <c r="B760" s="547">
        <f t="shared" si="98"/>
        <v>722</v>
      </c>
      <c r="C760" s="811"/>
      <c r="D760" s="604" t="s">
        <v>3712</v>
      </c>
      <c r="E760" s="26">
        <v>0</v>
      </c>
      <c r="F760" s="26"/>
      <c r="G760" s="26"/>
    </row>
    <row r="761" spans="2:7" x14ac:dyDescent="0.25">
      <c r="B761" s="547">
        <f t="shared" si="98"/>
        <v>723</v>
      </c>
      <c r="C761" s="811"/>
      <c r="D761" s="604" t="s">
        <v>3714</v>
      </c>
      <c r="E761" s="26">
        <v>0</v>
      </c>
      <c r="F761" s="26"/>
      <c r="G761" s="26"/>
    </row>
    <row r="762" spans="2:7" x14ac:dyDescent="0.25">
      <c r="B762" s="547">
        <f t="shared" si="98"/>
        <v>724</v>
      </c>
      <c r="C762" s="811"/>
      <c r="D762" s="604" t="s">
        <v>3186</v>
      </c>
      <c r="E762" s="26">
        <v>0</v>
      </c>
      <c r="F762" s="26"/>
      <c r="G762" s="26"/>
    </row>
    <row r="763" spans="2:7" x14ac:dyDescent="0.25">
      <c r="B763" s="547">
        <f t="shared" si="98"/>
        <v>725</v>
      </c>
      <c r="C763" s="811"/>
      <c r="D763" s="604" t="s">
        <v>3717</v>
      </c>
      <c r="E763" s="26">
        <v>0</v>
      </c>
      <c r="F763" s="26"/>
      <c r="G763" s="26"/>
    </row>
    <row r="764" spans="2:7" x14ac:dyDescent="0.25">
      <c r="B764" s="547">
        <f t="shared" si="98"/>
        <v>726</v>
      </c>
      <c r="C764" s="581"/>
      <c r="D764" s="609" t="s">
        <v>3718</v>
      </c>
      <c r="E764" s="582"/>
      <c r="F764" s="582"/>
      <c r="G764" s="582"/>
    </row>
    <row r="765" spans="2:7" x14ac:dyDescent="0.25">
      <c r="B765" s="547">
        <f t="shared" si="98"/>
        <v>727</v>
      </c>
      <c r="C765" s="811"/>
      <c r="D765" s="604" t="s">
        <v>3472</v>
      </c>
      <c r="E765" s="26">
        <v>0.01</v>
      </c>
      <c r="F765" s="26"/>
      <c r="G765" s="26"/>
    </row>
    <row r="766" spans="2:7" x14ac:dyDescent="0.25">
      <c r="B766" s="547">
        <f t="shared" si="98"/>
        <v>728</v>
      </c>
      <c r="C766" s="581"/>
      <c r="D766" s="609" t="s">
        <v>3720</v>
      </c>
      <c r="E766" s="582">
        <v>0.01</v>
      </c>
      <c r="F766" s="582"/>
      <c r="G766" s="582"/>
    </row>
    <row r="767" spans="2:7" x14ac:dyDescent="0.25">
      <c r="B767" s="547">
        <f t="shared" si="98"/>
        <v>729</v>
      </c>
      <c r="C767" s="581"/>
      <c r="D767" s="609" t="s">
        <v>3721</v>
      </c>
      <c r="E767" s="582"/>
      <c r="F767" s="582"/>
      <c r="G767" s="582"/>
    </row>
    <row r="768" spans="2:7" x14ac:dyDescent="0.25">
      <c r="B768" s="547">
        <f t="shared" si="98"/>
        <v>730</v>
      </c>
      <c r="D768" s="604" t="s">
        <v>3246</v>
      </c>
      <c r="E768" s="26">
        <f>12606.6/8*12</f>
        <v>18909.900000000001</v>
      </c>
      <c r="F768" s="26"/>
      <c r="G768" s="26"/>
    </row>
    <row r="769" spans="2:7" x14ac:dyDescent="0.25">
      <c r="B769" s="547">
        <f t="shared" si="98"/>
        <v>731</v>
      </c>
      <c r="D769" s="604" t="s">
        <v>3022</v>
      </c>
      <c r="E769" s="26">
        <f>9003.22/8*12</f>
        <v>13504.829999999998</v>
      </c>
      <c r="F769" s="26"/>
      <c r="G769" s="26"/>
    </row>
    <row r="770" spans="2:7" x14ac:dyDescent="0.25">
      <c r="B770" s="547">
        <f t="shared" si="98"/>
        <v>732</v>
      </c>
      <c r="C770" s="581"/>
      <c r="D770" s="609" t="s">
        <v>3724</v>
      </c>
      <c r="E770" s="582">
        <f>18815/8*12</f>
        <v>28222.5</v>
      </c>
      <c r="F770" s="582"/>
      <c r="G770" s="582"/>
    </row>
    <row r="771" spans="2:7" x14ac:dyDescent="0.25">
      <c r="B771" s="547">
        <f t="shared" si="98"/>
        <v>733</v>
      </c>
      <c r="D771" s="604" t="s">
        <v>3321</v>
      </c>
      <c r="E771" s="26">
        <v>0</v>
      </c>
      <c r="F771" s="26"/>
      <c r="G771" s="26"/>
    </row>
    <row r="772" spans="2:7" x14ac:dyDescent="0.25">
      <c r="B772" s="547">
        <f t="shared" si="98"/>
        <v>734</v>
      </c>
      <c r="D772" s="604" t="s">
        <v>3727</v>
      </c>
      <c r="E772" s="26">
        <v>0</v>
      </c>
      <c r="F772" s="26"/>
      <c r="G772" s="26"/>
    </row>
    <row r="773" spans="2:7" x14ac:dyDescent="0.25">
      <c r="B773" s="547">
        <f t="shared" si="98"/>
        <v>735</v>
      </c>
      <c r="D773" s="604" t="s">
        <v>3485</v>
      </c>
      <c r="E773" s="26">
        <v>0</v>
      </c>
      <c r="F773" s="26"/>
      <c r="G773" s="26"/>
    </row>
    <row r="774" spans="2:7" x14ac:dyDescent="0.25">
      <c r="B774" s="547">
        <f t="shared" si="98"/>
        <v>736</v>
      </c>
      <c r="D774" s="604" t="s">
        <v>3324</v>
      </c>
      <c r="E774" s="26">
        <v>0</v>
      </c>
      <c r="F774" s="26"/>
      <c r="G774" s="26"/>
    </row>
    <row r="775" spans="2:7" x14ac:dyDescent="0.25">
      <c r="B775" s="547">
        <f t="shared" si="98"/>
        <v>737</v>
      </c>
      <c r="D775" s="604" t="s">
        <v>3586</v>
      </c>
      <c r="E775" s="26">
        <v>0</v>
      </c>
      <c r="F775" s="26"/>
      <c r="G775" s="26"/>
    </row>
    <row r="776" spans="2:7" x14ac:dyDescent="0.25">
      <c r="B776" s="547">
        <f t="shared" si="98"/>
        <v>738</v>
      </c>
      <c r="D776" s="604" t="s">
        <v>3487</v>
      </c>
      <c r="E776" s="26">
        <v>0</v>
      </c>
      <c r="F776" s="26"/>
      <c r="G776" s="26"/>
    </row>
    <row r="777" spans="2:7" x14ac:dyDescent="0.25">
      <c r="B777" s="547">
        <f t="shared" si="98"/>
        <v>739</v>
      </c>
      <c r="D777" s="604" t="s">
        <v>3733</v>
      </c>
      <c r="E777" s="26">
        <v>0</v>
      </c>
      <c r="F777" s="26"/>
      <c r="G777" s="26"/>
    </row>
    <row r="778" spans="2:7" x14ac:dyDescent="0.25">
      <c r="B778" s="547">
        <f t="shared" si="98"/>
        <v>740</v>
      </c>
      <c r="D778" s="604" t="s">
        <v>3036</v>
      </c>
      <c r="E778" s="26">
        <v>0</v>
      </c>
      <c r="F778" s="26"/>
      <c r="G778" s="26"/>
    </row>
    <row r="779" spans="2:7" x14ac:dyDescent="0.25">
      <c r="B779" s="547">
        <f t="shared" si="98"/>
        <v>741</v>
      </c>
      <c r="C779" s="581"/>
      <c r="D779" s="609" t="s">
        <v>3735</v>
      </c>
      <c r="E779" s="582">
        <f>11056.82/8*12</f>
        <v>16585.23</v>
      </c>
      <c r="F779" s="582"/>
      <c r="G779" s="582"/>
    </row>
    <row r="780" spans="2:7" x14ac:dyDescent="0.25">
      <c r="B780" s="547">
        <f t="shared" si="98"/>
        <v>742</v>
      </c>
      <c r="C780" s="581"/>
      <c r="D780" s="609" t="s">
        <v>3736</v>
      </c>
      <c r="E780" s="582"/>
      <c r="F780" s="582"/>
      <c r="G780" s="582"/>
    </row>
    <row r="781" spans="2:7" x14ac:dyDescent="0.25">
      <c r="B781" s="547">
        <f t="shared" si="98"/>
        <v>743</v>
      </c>
      <c r="D781" s="604" t="s">
        <v>3500</v>
      </c>
      <c r="E781" s="26">
        <f>1145.47/8*12</f>
        <v>1718.2049999999999</v>
      </c>
      <c r="F781" s="26"/>
      <c r="G781" s="26"/>
    </row>
    <row r="782" spans="2:7" x14ac:dyDescent="0.25">
      <c r="B782" s="547">
        <f t="shared" si="98"/>
        <v>744</v>
      </c>
      <c r="C782" s="581"/>
      <c r="D782" s="609" t="s">
        <v>3229</v>
      </c>
      <c r="E782" s="582"/>
      <c r="F782" s="582"/>
      <c r="G782" s="582"/>
    </row>
    <row r="783" spans="2:7" x14ac:dyDescent="0.25">
      <c r="B783" s="547">
        <f t="shared" si="98"/>
        <v>745</v>
      </c>
      <c r="D783" s="604" t="s">
        <v>3739</v>
      </c>
      <c r="E783" s="26">
        <f>'FOPAG EXEC.'!E302+0.01</f>
        <v>0.01</v>
      </c>
      <c r="F783" s="26"/>
      <c r="G783" s="26"/>
    </row>
    <row r="784" spans="2:7" x14ac:dyDescent="0.25">
      <c r="B784" s="547">
        <f t="shared" si="98"/>
        <v>746</v>
      </c>
      <c r="D784" s="604" t="s">
        <v>3741</v>
      </c>
      <c r="E784" s="26">
        <f>'FOPAG EXEC.'!E309*12</f>
        <v>1535.2799999999997</v>
      </c>
      <c r="F784" s="26"/>
      <c r="G784" s="26"/>
    </row>
    <row r="785" spans="2:7" x14ac:dyDescent="0.25">
      <c r="B785" s="547">
        <f t="shared" ref="B785:B848" si="99">B784+1</f>
        <v>747</v>
      </c>
      <c r="C785" s="581"/>
      <c r="D785" s="609" t="s">
        <v>3742</v>
      </c>
      <c r="E785" s="582">
        <v>0.01</v>
      </c>
      <c r="F785" s="582"/>
      <c r="G785" s="582"/>
    </row>
    <row r="786" spans="2:7" x14ac:dyDescent="0.25">
      <c r="B786" s="547">
        <f t="shared" si="99"/>
        <v>748</v>
      </c>
      <c r="C786" s="581"/>
      <c r="D786" s="609" t="s">
        <v>3060</v>
      </c>
      <c r="E786" s="582"/>
      <c r="F786" s="582"/>
      <c r="G786" s="582"/>
    </row>
    <row r="787" spans="2:7" x14ac:dyDescent="0.25">
      <c r="B787" s="547">
        <f t="shared" si="99"/>
        <v>749</v>
      </c>
      <c r="D787" s="604" t="s">
        <v>3060</v>
      </c>
      <c r="E787" s="26">
        <f>300</f>
        <v>300</v>
      </c>
      <c r="F787" s="26"/>
      <c r="G787" s="26"/>
    </row>
    <row r="788" spans="2:7" x14ac:dyDescent="0.25">
      <c r="B788" s="547">
        <f t="shared" si="99"/>
        <v>750</v>
      </c>
      <c r="C788" s="581"/>
      <c r="D788" s="609" t="s">
        <v>3514</v>
      </c>
      <c r="E788" s="582">
        <v>0.01</v>
      </c>
      <c r="F788" s="582"/>
      <c r="G788" s="582"/>
    </row>
    <row r="789" spans="2:7" x14ac:dyDescent="0.25">
      <c r="B789" s="547">
        <f t="shared" si="99"/>
        <v>751</v>
      </c>
      <c r="C789" s="581"/>
      <c r="D789" s="609" t="s">
        <v>3063</v>
      </c>
      <c r="E789" s="582">
        <v>0.01</v>
      </c>
      <c r="F789" s="582"/>
      <c r="G789" s="582"/>
    </row>
    <row r="790" spans="2:7" x14ac:dyDescent="0.25">
      <c r="B790" s="547">
        <f t="shared" si="99"/>
        <v>752</v>
      </c>
      <c r="C790" s="581"/>
      <c r="D790" s="609" t="s">
        <v>3152</v>
      </c>
      <c r="E790" s="582">
        <v>0.01</v>
      </c>
      <c r="F790" s="582"/>
      <c r="G790" s="582"/>
    </row>
    <row r="791" spans="2:7" ht="18.75" x14ac:dyDescent="0.3">
      <c r="B791" s="547">
        <f t="shared" si="99"/>
        <v>753</v>
      </c>
      <c r="D791" s="705" t="s">
        <v>3600</v>
      </c>
    </row>
    <row r="792" spans="2:7" x14ac:dyDescent="0.25">
      <c r="B792" s="547">
        <f t="shared" si="99"/>
        <v>754</v>
      </c>
      <c r="C792" s="579" t="s">
        <v>3074</v>
      </c>
      <c r="D792" s="579" t="str">
        <f>DESPORC!D869</f>
        <v>GESTÃO , APOIO E MANUT., COORDEN. E PLANEJAMENTO</v>
      </c>
      <c r="E792" s="580"/>
      <c r="F792" s="582"/>
      <c r="G792" s="582"/>
    </row>
    <row r="793" spans="2:7" x14ac:dyDescent="0.25">
      <c r="B793" s="547">
        <f t="shared" si="99"/>
        <v>755</v>
      </c>
      <c r="D793" s="564" t="s">
        <v>3076</v>
      </c>
    </row>
    <row r="794" spans="2:7" x14ac:dyDescent="0.25">
      <c r="B794" s="547">
        <f t="shared" si="99"/>
        <v>756</v>
      </c>
      <c r="D794" s="604" t="s">
        <v>3044</v>
      </c>
      <c r="E794" s="566">
        <v>0.01</v>
      </c>
    </row>
    <row r="795" spans="2:7" x14ac:dyDescent="0.25">
      <c r="B795" s="547">
        <f t="shared" si="99"/>
        <v>757</v>
      </c>
      <c r="D795" s="604" t="s">
        <v>3355</v>
      </c>
      <c r="E795" s="566">
        <v>0.01</v>
      </c>
    </row>
    <row r="796" spans="2:7" x14ac:dyDescent="0.25">
      <c r="B796" s="547">
        <f t="shared" si="99"/>
        <v>758</v>
      </c>
      <c r="D796" s="604" t="s">
        <v>3356</v>
      </c>
      <c r="E796" s="566">
        <v>0.01</v>
      </c>
    </row>
    <row r="797" spans="2:7" x14ac:dyDescent="0.25">
      <c r="B797" s="547">
        <f t="shared" si="99"/>
        <v>759</v>
      </c>
      <c r="D797" s="604" t="s">
        <v>3357</v>
      </c>
      <c r="E797" s="566">
        <v>1500</v>
      </c>
    </row>
    <row r="798" spans="2:7" s="12" customFormat="1" x14ac:dyDescent="0.25">
      <c r="B798" s="547">
        <f t="shared" si="99"/>
        <v>760</v>
      </c>
      <c r="C798" s="579" t="s">
        <v>3074</v>
      </c>
      <c r="D798" s="579" t="str">
        <f>DESPORC!D878</f>
        <v>GESTÃO , APOIO E MANUT., COORDEN. E PLANEJAMENTO</v>
      </c>
      <c r="E798" s="582"/>
      <c r="F798" s="579"/>
      <c r="G798" s="579"/>
    </row>
    <row r="799" spans="2:7" ht="15.75" x14ac:dyDescent="0.25">
      <c r="B799" s="547">
        <f t="shared" si="99"/>
        <v>761</v>
      </c>
      <c r="D799" s="688" t="s">
        <v>5834</v>
      </c>
      <c r="E799" s="630">
        <v>0.01</v>
      </c>
    </row>
    <row r="800" spans="2:7" ht="31.5" x14ac:dyDescent="0.25">
      <c r="B800" s="547">
        <f t="shared" si="99"/>
        <v>762</v>
      </c>
      <c r="D800" s="688" t="s">
        <v>5835</v>
      </c>
      <c r="E800" s="630">
        <v>0.01</v>
      </c>
    </row>
    <row r="801" spans="2:7" ht="15.75" x14ac:dyDescent="0.25">
      <c r="B801" s="547">
        <f t="shared" si="99"/>
        <v>763</v>
      </c>
      <c r="D801" s="688" t="s">
        <v>5841</v>
      </c>
      <c r="E801" s="630">
        <v>0.01</v>
      </c>
    </row>
    <row r="802" spans="2:7" ht="15.75" x14ac:dyDescent="0.25">
      <c r="B802" s="547">
        <f t="shared" si="99"/>
        <v>764</v>
      </c>
      <c r="D802" s="688" t="s">
        <v>5836</v>
      </c>
      <c r="E802" s="630">
        <v>0.01</v>
      </c>
    </row>
    <row r="803" spans="2:7" ht="15.75" x14ac:dyDescent="0.25">
      <c r="B803" s="547">
        <f t="shared" si="99"/>
        <v>765</v>
      </c>
      <c r="D803" s="688" t="s">
        <v>5842</v>
      </c>
      <c r="E803" s="630">
        <v>0.01</v>
      </c>
    </row>
    <row r="804" spans="2:7" x14ac:dyDescent="0.25">
      <c r="B804" s="547">
        <f t="shared" si="99"/>
        <v>766</v>
      </c>
      <c r="D804" s="12" t="s">
        <v>4253</v>
      </c>
    </row>
    <row r="805" spans="2:7" x14ac:dyDescent="0.25">
      <c r="B805" s="547">
        <f t="shared" si="99"/>
        <v>767</v>
      </c>
      <c r="C805" s="579" t="s">
        <v>4251</v>
      </c>
      <c r="D805" s="579" t="str">
        <f>DESPORC!D887</f>
        <v>APOIO A MANUTENÇÃO EM INFRAESTRUTURA</v>
      </c>
      <c r="E805" s="580"/>
      <c r="F805" s="582"/>
      <c r="G805" s="582"/>
    </row>
    <row r="806" spans="2:7" x14ac:dyDescent="0.25">
      <c r="B806" s="547">
        <f t="shared" si="99"/>
        <v>768</v>
      </c>
      <c r="D806" s="605" t="s">
        <v>4110</v>
      </c>
      <c r="E806" s="26">
        <v>0.01</v>
      </c>
    </row>
    <row r="807" spans="2:7" x14ac:dyDescent="0.25">
      <c r="B807" s="547">
        <f t="shared" si="99"/>
        <v>769</v>
      </c>
      <c r="D807" s="605" t="s">
        <v>4111</v>
      </c>
      <c r="E807" s="26">
        <v>0.01</v>
      </c>
    </row>
    <row r="808" spans="2:7" ht="30" x14ac:dyDescent="0.25">
      <c r="B808" s="547">
        <f t="shared" si="99"/>
        <v>770</v>
      </c>
      <c r="D808" s="605" t="s">
        <v>4112</v>
      </c>
      <c r="E808" s="26">
        <v>0.01</v>
      </c>
    </row>
    <row r="809" spans="2:7" x14ac:dyDescent="0.25">
      <c r="B809" s="547">
        <f t="shared" si="99"/>
        <v>771</v>
      </c>
      <c r="D809" s="605" t="s">
        <v>4113</v>
      </c>
      <c r="E809" s="26">
        <v>1500</v>
      </c>
    </row>
    <row r="810" spans="2:7" s="12" customFormat="1" x14ac:dyDescent="0.25">
      <c r="B810" s="547">
        <f t="shared" si="99"/>
        <v>772</v>
      </c>
      <c r="C810" s="579" t="s">
        <v>4251</v>
      </c>
      <c r="D810" s="579" t="str">
        <f>DESPORC!D896</f>
        <v>APOIO A MANUTENÇÃO EM INFRAESTRUTURA</v>
      </c>
      <c r="E810" s="582"/>
      <c r="F810" s="579"/>
      <c r="G810" s="579"/>
    </row>
    <row r="811" spans="2:7" ht="15.75" x14ac:dyDescent="0.25">
      <c r="B811" s="547">
        <f t="shared" si="99"/>
        <v>773</v>
      </c>
      <c r="D811" s="688" t="s">
        <v>5838</v>
      </c>
      <c r="E811" s="630">
        <v>0.01</v>
      </c>
    </row>
    <row r="812" spans="2:7" ht="31.5" x14ac:dyDescent="0.25">
      <c r="B812" s="547">
        <f t="shared" si="99"/>
        <v>774</v>
      </c>
      <c r="D812" s="688" t="s">
        <v>5839</v>
      </c>
      <c r="E812" s="630">
        <v>0.01</v>
      </c>
    </row>
    <row r="813" spans="2:7" ht="31.5" x14ac:dyDescent="0.25">
      <c r="B813" s="547">
        <f t="shared" si="99"/>
        <v>775</v>
      </c>
      <c r="D813" s="688" t="s">
        <v>5844</v>
      </c>
      <c r="E813" s="630">
        <v>0.01</v>
      </c>
    </row>
    <row r="814" spans="2:7" ht="31.5" x14ac:dyDescent="0.25">
      <c r="B814" s="547">
        <f t="shared" si="99"/>
        <v>776</v>
      </c>
      <c r="D814" s="688" t="s">
        <v>5840</v>
      </c>
      <c r="E814" s="630">
        <v>0.01</v>
      </c>
    </row>
    <row r="815" spans="2:7" ht="31.5" x14ac:dyDescent="0.25">
      <c r="B815" s="547">
        <f t="shared" si="99"/>
        <v>777</v>
      </c>
      <c r="D815" s="688" t="s">
        <v>5845</v>
      </c>
      <c r="E815" s="630">
        <v>0.01</v>
      </c>
    </row>
    <row r="816" spans="2:7" x14ac:dyDescent="0.25">
      <c r="B816" s="547">
        <f t="shared" si="99"/>
        <v>778</v>
      </c>
      <c r="C816" s="579" t="s">
        <v>4251</v>
      </c>
      <c r="D816" s="579" t="str">
        <f>DESPORC!D905</f>
        <v>APOIO A MANUTENÇÃO EM INFRAESTRUTURA</v>
      </c>
      <c r="E816" s="580"/>
      <c r="F816" s="582"/>
      <c r="G816" s="582"/>
    </row>
    <row r="817" spans="2:5" x14ac:dyDescent="0.25">
      <c r="B817" s="547">
        <f t="shared" si="99"/>
        <v>779</v>
      </c>
      <c r="D817" s="564" t="s">
        <v>3747</v>
      </c>
    </row>
    <row r="818" spans="2:5" x14ac:dyDescent="0.25">
      <c r="B818" s="547">
        <f t="shared" si="99"/>
        <v>780</v>
      </c>
      <c r="D818" s="604" t="s">
        <v>3075</v>
      </c>
      <c r="E818" s="612">
        <f>'FOPAG EXEC.'!E322*12</f>
        <v>79280.631846997057</v>
      </c>
    </row>
    <row r="819" spans="2:5" x14ac:dyDescent="0.25">
      <c r="B819" s="547">
        <f t="shared" si="99"/>
        <v>781</v>
      </c>
      <c r="D819" s="604" t="s">
        <v>2761</v>
      </c>
      <c r="E819" s="612">
        <f>'FOPAG EXEC.'!E328+0.01</f>
        <v>0.01</v>
      </c>
    </row>
    <row r="820" spans="2:5" x14ac:dyDescent="0.25">
      <c r="B820" s="547">
        <f t="shared" si="99"/>
        <v>782</v>
      </c>
      <c r="D820" s="604" t="s">
        <v>3116</v>
      </c>
      <c r="E820" s="612">
        <f>'FOPAG EXEC.'!E323</f>
        <v>2202.2397735276959</v>
      </c>
    </row>
    <row r="821" spans="2:5" x14ac:dyDescent="0.25">
      <c r="B821" s="547">
        <f t="shared" si="99"/>
        <v>783</v>
      </c>
      <c r="D821" s="604" t="s">
        <v>4254</v>
      </c>
      <c r="E821" s="612">
        <f>'FOPAG EXEC.'!E324</f>
        <v>6606.7193205830881</v>
      </c>
    </row>
    <row r="822" spans="2:5" x14ac:dyDescent="0.25">
      <c r="B822" s="547">
        <f t="shared" si="99"/>
        <v>784</v>
      </c>
      <c r="D822" s="564" t="s">
        <v>3754</v>
      </c>
    </row>
    <row r="823" spans="2:5" x14ac:dyDescent="0.25">
      <c r="B823" s="547">
        <f t="shared" si="99"/>
        <v>785</v>
      </c>
      <c r="D823" s="604" t="s">
        <v>3411</v>
      </c>
      <c r="E823" s="612">
        <f>('FOPAG EXEC.'!E332*12)+'FOPAG EXEC.'!E333+'FOPAG EXEC.'!E334</f>
        <v>19419.464562943383</v>
      </c>
    </row>
    <row r="824" spans="2:5" x14ac:dyDescent="0.25">
      <c r="B824" s="547">
        <f t="shared" si="99"/>
        <v>786</v>
      </c>
      <c r="D824" s="604" t="s">
        <v>3407</v>
      </c>
      <c r="E824" s="612">
        <f>'FOPAG EXEC.'!E330</f>
        <v>6043.3729785123196</v>
      </c>
    </row>
    <row r="825" spans="2:5" x14ac:dyDescent="0.25">
      <c r="B825" s="547">
        <f t="shared" si="99"/>
        <v>787</v>
      </c>
      <c r="D825" s="604" t="s">
        <v>3413</v>
      </c>
      <c r="E825" s="612">
        <f>'FOPAG EXEC.'!E329*12</f>
        <v>192525.58980107601</v>
      </c>
    </row>
    <row r="826" spans="2:5" x14ac:dyDescent="0.25">
      <c r="B826" s="547">
        <f t="shared" si="99"/>
        <v>788</v>
      </c>
      <c r="D826" s="604" t="s">
        <v>3532</v>
      </c>
      <c r="E826" s="26">
        <v>2968</v>
      </c>
    </row>
    <row r="827" spans="2:5" x14ac:dyDescent="0.25">
      <c r="B827" s="547">
        <f t="shared" si="99"/>
        <v>789</v>
      </c>
      <c r="D827" s="604" t="s">
        <v>2973</v>
      </c>
      <c r="E827" s="612">
        <f>'FOPAG EXEC.'!E340*12</f>
        <v>95136.542216396483</v>
      </c>
    </row>
    <row r="828" spans="2:5" x14ac:dyDescent="0.25">
      <c r="B828" s="547">
        <f t="shared" si="99"/>
        <v>790</v>
      </c>
      <c r="D828" s="604" t="s">
        <v>2740</v>
      </c>
      <c r="E828" s="612">
        <f>'FOPAG EXEC.'!E338*12</f>
        <v>25035.837425367492</v>
      </c>
    </row>
    <row r="829" spans="2:5" x14ac:dyDescent="0.25">
      <c r="B829" s="547">
        <f t="shared" si="99"/>
        <v>791</v>
      </c>
      <c r="D829" s="604" t="s">
        <v>2761</v>
      </c>
      <c r="E829" s="26">
        <f>'FOPAG EXEC.'!E337*12</f>
        <v>2070.10407354688</v>
      </c>
    </row>
    <row r="830" spans="2:5" x14ac:dyDescent="0.25">
      <c r="B830" s="547">
        <f t="shared" si="99"/>
        <v>792</v>
      </c>
      <c r="D830" s="604" t="s">
        <v>3763</v>
      </c>
      <c r="E830" s="612">
        <f>'FOPAG EXEC.'!E331</f>
        <v>16043.799150089668</v>
      </c>
    </row>
    <row r="831" spans="2:5" x14ac:dyDescent="0.25">
      <c r="B831" s="547">
        <f t="shared" si="99"/>
        <v>793</v>
      </c>
      <c r="D831" s="604" t="s">
        <v>2977</v>
      </c>
      <c r="E831" s="612">
        <f>'FOPAG EXEC.'!E341</f>
        <v>1900.8758045186432</v>
      </c>
    </row>
    <row r="832" spans="2:5" x14ac:dyDescent="0.25">
      <c r="B832" s="547">
        <f t="shared" si="99"/>
        <v>794</v>
      </c>
      <c r="D832" s="564" t="s">
        <v>3767</v>
      </c>
    </row>
    <row r="833" spans="2:5" x14ac:dyDescent="0.25">
      <c r="B833" s="547">
        <f t="shared" si="99"/>
        <v>795</v>
      </c>
      <c r="D833" s="604" t="s">
        <v>3674</v>
      </c>
      <c r="E833" s="26">
        <v>0</v>
      </c>
    </row>
    <row r="834" spans="2:5" x14ac:dyDescent="0.25">
      <c r="B834" s="547">
        <f t="shared" si="99"/>
        <v>796</v>
      </c>
      <c r="D834" s="604" t="s">
        <v>3672</v>
      </c>
      <c r="E834" s="612">
        <v>0</v>
      </c>
    </row>
    <row r="835" spans="2:5" x14ac:dyDescent="0.25">
      <c r="B835" s="547">
        <f t="shared" si="99"/>
        <v>797</v>
      </c>
      <c r="D835" s="564" t="s">
        <v>3772</v>
      </c>
    </row>
    <row r="836" spans="2:5" x14ac:dyDescent="0.25">
      <c r="B836" s="547">
        <f t="shared" si="99"/>
        <v>798</v>
      </c>
      <c r="D836" s="604" t="s">
        <v>3433</v>
      </c>
      <c r="E836" s="26">
        <f>15176.4/8*12</f>
        <v>22764.6</v>
      </c>
    </row>
    <row r="837" spans="2:5" x14ac:dyDescent="0.25">
      <c r="B837" s="547">
        <f t="shared" si="99"/>
        <v>799</v>
      </c>
      <c r="D837" s="604" t="s">
        <v>3431</v>
      </c>
      <c r="E837" s="26">
        <f>22003.56/8*12</f>
        <v>33005.340000000004</v>
      </c>
    </row>
    <row r="838" spans="2:5" x14ac:dyDescent="0.25">
      <c r="B838" s="547">
        <f t="shared" si="99"/>
        <v>800</v>
      </c>
      <c r="D838" s="564" t="s">
        <v>3775</v>
      </c>
      <c r="E838" s="26">
        <v>0.01</v>
      </c>
    </row>
    <row r="839" spans="2:5" x14ac:dyDescent="0.25">
      <c r="B839" s="547">
        <f t="shared" si="99"/>
        <v>801</v>
      </c>
      <c r="D839" s="564" t="s">
        <v>3778</v>
      </c>
      <c r="E839" s="26"/>
    </row>
    <row r="840" spans="2:5" x14ac:dyDescent="0.25">
      <c r="B840" s="547">
        <f t="shared" si="99"/>
        <v>802</v>
      </c>
      <c r="D840" s="604" t="s">
        <v>3780</v>
      </c>
      <c r="E840" s="26">
        <v>0.01</v>
      </c>
    </row>
    <row r="841" spans="2:5" x14ac:dyDescent="0.25">
      <c r="B841" s="547">
        <f t="shared" si="99"/>
        <v>803</v>
      </c>
      <c r="D841" s="604" t="s">
        <v>3782</v>
      </c>
      <c r="E841" s="26">
        <v>0.01</v>
      </c>
    </row>
    <row r="842" spans="2:5" x14ac:dyDescent="0.25">
      <c r="B842" s="547">
        <f t="shared" si="99"/>
        <v>804</v>
      </c>
      <c r="D842" s="564" t="s">
        <v>3787</v>
      </c>
      <c r="E842" s="26">
        <f>1592.82/8*12</f>
        <v>2389.23</v>
      </c>
    </row>
    <row r="843" spans="2:5" x14ac:dyDescent="0.25">
      <c r="B843" s="547">
        <f t="shared" si="99"/>
        <v>805</v>
      </c>
      <c r="D843" s="604" t="s">
        <v>3789</v>
      </c>
      <c r="E843" s="26">
        <v>0</v>
      </c>
    </row>
    <row r="844" spans="2:5" x14ac:dyDescent="0.25">
      <c r="B844" s="547">
        <f t="shared" si="99"/>
        <v>806</v>
      </c>
      <c r="D844" s="604" t="s">
        <v>3791</v>
      </c>
      <c r="E844" s="26">
        <v>0</v>
      </c>
    </row>
    <row r="845" spans="2:5" x14ac:dyDescent="0.25">
      <c r="B845" s="547">
        <f t="shared" si="99"/>
        <v>807</v>
      </c>
      <c r="D845" s="605" t="s">
        <v>3286</v>
      </c>
      <c r="E845" s="26">
        <v>0</v>
      </c>
    </row>
    <row r="846" spans="2:5" x14ac:dyDescent="0.25">
      <c r="B846" s="547">
        <f t="shared" si="99"/>
        <v>808</v>
      </c>
      <c r="D846" s="605" t="s">
        <v>3290</v>
      </c>
      <c r="E846" s="26">
        <v>0</v>
      </c>
    </row>
    <row r="847" spans="2:5" x14ac:dyDescent="0.25">
      <c r="B847" s="547">
        <f t="shared" si="99"/>
        <v>809</v>
      </c>
      <c r="D847" s="605" t="s">
        <v>3288</v>
      </c>
      <c r="E847" s="26">
        <v>0</v>
      </c>
    </row>
    <row r="848" spans="2:5" x14ac:dyDescent="0.25">
      <c r="B848" s="547">
        <f t="shared" si="99"/>
        <v>810</v>
      </c>
      <c r="D848" s="564" t="s">
        <v>3807</v>
      </c>
      <c r="E848" s="26">
        <f>472690.71/8*12</f>
        <v>709036.06500000006</v>
      </c>
    </row>
    <row r="849" spans="2:5" x14ac:dyDescent="0.25">
      <c r="B849" s="547">
        <f t="shared" ref="B849:B912" si="100">B848+1</f>
        <v>811</v>
      </c>
      <c r="D849" s="604" t="s">
        <v>3809</v>
      </c>
      <c r="E849" s="26">
        <v>0</v>
      </c>
    </row>
    <row r="850" spans="2:5" x14ac:dyDescent="0.25">
      <c r="B850" s="547">
        <f t="shared" si="100"/>
        <v>812</v>
      </c>
      <c r="D850" s="604" t="s">
        <v>3811</v>
      </c>
      <c r="E850" s="26">
        <v>0</v>
      </c>
    </row>
    <row r="851" spans="2:5" x14ac:dyDescent="0.25">
      <c r="B851" s="547">
        <f t="shared" si="100"/>
        <v>813</v>
      </c>
      <c r="D851" s="604" t="s">
        <v>3813</v>
      </c>
      <c r="E851" s="26">
        <v>0</v>
      </c>
    </row>
    <row r="852" spans="2:5" x14ac:dyDescent="0.25">
      <c r="B852" s="547">
        <f t="shared" si="100"/>
        <v>814</v>
      </c>
      <c r="D852" s="604" t="s">
        <v>3815</v>
      </c>
      <c r="E852" s="26">
        <v>0</v>
      </c>
    </row>
    <row r="853" spans="2:5" x14ac:dyDescent="0.25">
      <c r="B853" s="547">
        <f t="shared" si="100"/>
        <v>815</v>
      </c>
      <c r="D853" s="604" t="s">
        <v>3817</v>
      </c>
      <c r="E853" s="26">
        <v>0</v>
      </c>
    </row>
    <row r="854" spans="2:5" x14ac:dyDescent="0.25">
      <c r="B854" s="547">
        <f t="shared" si="100"/>
        <v>816</v>
      </c>
      <c r="D854" s="604" t="s">
        <v>3819</v>
      </c>
      <c r="E854" s="26">
        <v>0</v>
      </c>
    </row>
    <row r="855" spans="2:5" x14ac:dyDescent="0.25">
      <c r="B855" s="547">
        <f t="shared" si="100"/>
        <v>817</v>
      </c>
      <c r="D855" s="604" t="s">
        <v>3821</v>
      </c>
      <c r="E855" s="26">
        <v>0</v>
      </c>
    </row>
    <row r="856" spans="2:5" x14ac:dyDescent="0.25">
      <c r="B856" s="547">
        <f t="shared" si="100"/>
        <v>818</v>
      </c>
      <c r="D856" s="604" t="s">
        <v>3823</v>
      </c>
      <c r="E856" s="26">
        <v>0</v>
      </c>
    </row>
    <row r="857" spans="2:5" x14ac:dyDescent="0.25">
      <c r="B857" s="547">
        <f t="shared" si="100"/>
        <v>819</v>
      </c>
      <c r="D857" s="604" t="s">
        <v>3825</v>
      </c>
      <c r="E857" s="26">
        <v>0</v>
      </c>
    </row>
    <row r="858" spans="2:5" x14ac:dyDescent="0.25">
      <c r="B858" s="547">
        <f t="shared" si="100"/>
        <v>820</v>
      </c>
      <c r="D858" s="604" t="s">
        <v>3827</v>
      </c>
      <c r="E858" s="26">
        <v>0</v>
      </c>
    </row>
    <row r="859" spans="2:5" x14ac:dyDescent="0.25">
      <c r="B859" s="547">
        <f t="shared" si="100"/>
        <v>821</v>
      </c>
      <c r="D859" s="604" t="s">
        <v>3829</v>
      </c>
      <c r="E859" s="26">
        <v>0</v>
      </c>
    </row>
    <row r="860" spans="2:5" x14ac:dyDescent="0.25">
      <c r="B860" s="547">
        <f t="shared" si="100"/>
        <v>822</v>
      </c>
      <c r="D860" s="604" t="s">
        <v>3831</v>
      </c>
      <c r="E860" s="26">
        <v>0</v>
      </c>
    </row>
    <row r="861" spans="2:5" x14ac:dyDescent="0.25">
      <c r="B861" s="547">
        <f t="shared" si="100"/>
        <v>823</v>
      </c>
      <c r="D861" s="604" t="s">
        <v>3833</v>
      </c>
      <c r="E861" s="26">
        <v>0</v>
      </c>
    </row>
    <row r="862" spans="2:5" x14ac:dyDescent="0.25">
      <c r="B862" s="547">
        <f t="shared" si="100"/>
        <v>824</v>
      </c>
      <c r="D862" s="565" t="s">
        <v>3835</v>
      </c>
      <c r="E862" s="26">
        <v>0</v>
      </c>
    </row>
    <row r="863" spans="2:5" x14ac:dyDescent="0.25">
      <c r="B863" s="547">
        <f t="shared" si="100"/>
        <v>825</v>
      </c>
      <c r="D863" s="604" t="s">
        <v>3837</v>
      </c>
      <c r="E863" s="26">
        <v>0</v>
      </c>
    </row>
    <row r="864" spans="2:5" x14ac:dyDescent="0.25">
      <c r="B864" s="547">
        <f t="shared" si="100"/>
        <v>826</v>
      </c>
      <c r="D864" s="604" t="s">
        <v>3839</v>
      </c>
      <c r="E864" s="26">
        <v>0</v>
      </c>
    </row>
    <row r="865" spans="2:5" x14ac:dyDescent="0.25">
      <c r="B865" s="547">
        <f t="shared" si="100"/>
        <v>827</v>
      </c>
      <c r="D865" s="604" t="s">
        <v>3841</v>
      </c>
      <c r="E865" s="26">
        <v>0</v>
      </c>
    </row>
    <row r="866" spans="2:5" x14ac:dyDescent="0.25">
      <c r="B866" s="547">
        <f t="shared" si="100"/>
        <v>828</v>
      </c>
      <c r="D866" s="604" t="s">
        <v>3843</v>
      </c>
      <c r="E866" s="26">
        <v>0</v>
      </c>
    </row>
    <row r="867" spans="2:5" x14ac:dyDescent="0.25">
      <c r="B867" s="547">
        <f t="shared" si="100"/>
        <v>829</v>
      </c>
      <c r="D867" s="604" t="s">
        <v>3845</v>
      </c>
      <c r="E867" s="26">
        <v>0</v>
      </c>
    </row>
    <row r="868" spans="2:5" x14ac:dyDescent="0.25">
      <c r="B868" s="547">
        <f t="shared" si="100"/>
        <v>830</v>
      </c>
      <c r="D868" s="604" t="s">
        <v>3847</v>
      </c>
      <c r="E868" s="26">
        <v>0</v>
      </c>
    </row>
    <row r="869" spans="2:5" x14ac:dyDescent="0.25">
      <c r="B869" s="547">
        <f t="shared" si="100"/>
        <v>831</v>
      </c>
      <c r="D869" s="604" t="s">
        <v>3849</v>
      </c>
      <c r="E869" s="26">
        <v>0</v>
      </c>
    </row>
    <row r="870" spans="2:5" x14ac:dyDescent="0.25">
      <c r="B870" s="547">
        <f t="shared" si="100"/>
        <v>832</v>
      </c>
      <c r="D870" s="604" t="s">
        <v>3851</v>
      </c>
      <c r="E870" s="26">
        <v>0</v>
      </c>
    </row>
    <row r="871" spans="2:5" x14ac:dyDescent="0.25">
      <c r="B871" s="547">
        <f t="shared" si="100"/>
        <v>833</v>
      </c>
      <c r="D871" s="604" t="s">
        <v>3853</v>
      </c>
      <c r="E871" s="26">
        <v>0</v>
      </c>
    </row>
    <row r="872" spans="2:5" x14ac:dyDescent="0.25">
      <c r="B872" s="547">
        <f t="shared" si="100"/>
        <v>834</v>
      </c>
      <c r="D872" s="604" t="s">
        <v>3855</v>
      </c>
      <c r="E872" s="26">
        <v>0</v>
      </c>
    </row>
    <row r="873" spans="2:5" x14ac:dyDescent="0.25">
      <c r="B873" s="547">
        <f t="shared" si="100"/>
        <v>835</v>
      </c>
      <c r="D873" s="604" t="s">
        <v>3857</v>
      </c>
      <c r="E873" s="26">
        <v>0</v>
      </c>
    </row>
    <row r="874" spans="2:5" x14ac:dyDescent="0.25">
      <c r="B874" s="547">
        <f t="shared" si="100"/>
        <v>836</v>
      </c>
      <c r="D874" s="604" t="s">
        <v>3859</v>
      </c>
      <c r="E874" s="26">
        <v>0</v>
      </c>
    </row>
    <row r="875" spans="2:5" x14ac:dyDescent="0.25">
      <c r="B875" s="547">
        <f t="shared" si="100"/>
        <v>837</v>
      </c>
      <c r="D875" s="604" t="s">
        <v>3861</v>
      </c>
      <c r="E875" s="26">
        <v>0</v>
      </c>
    </row>
    <row r="876" spans="2:5" x14ac:dyDescent="0.25">
      <c r="B876" s="547">
        <f t="shared" si="100"/>
        <v>838</v>
      </c>
      <c r="D876" s="604" t="s">
        <v>3863</v>
      </c>
      <c r="E876" s="26">
        <v>0</v>
      </c>
    </row>
    <row r="877" spans="2:5" x14ac:dyDescent="0.25">
      <c r="B877" s="547">
        <f t="shared" si="100"/>
        <v>839</v>
      </c>
      <c r="D877" s="604" t="s">
        <v>3865</v>
      </c>
      <c r="E877" s="26">
        <v>0</v>
      </c>
    </row>
    <row r="878" spans="2:5" x14ac:dyDescent="0.25">
      <c r="B878" s="547">
        <f t="shared" si="100"/>
        <v>840</v>
      </c>
      <c r="D878" s="604" t="s">
        <v>3867</v>
      </c>
      <c r="E878" s="26">
        <v>0</v>
      </c>
    </row>
    <row r="879" spans="2:5" x14ac:dyDescent="0.25">
      <c r="B879" s="547">
        <f t="shared" si="100"/>
        <v>841</v>
      </c>
      <c r="D879" s="604" t="s">
        <v>3869</v>
      </c>
      <c r="E879" s="26">
        <v>0</v>
      </c>
    </row>
    <row r="880" spans="2:5" x14ac:dyDescent="0.25">
      <c r="B880" s="547">
        <f t="shared" si="100"/>
        <v>842</v>
      </c>
      <c r="D880" s="604" t="s">
        <v>3871</v>
      </c>
      <c r="E880" s="26">
        <v>0</v>
      </c>
    </row>
    <row r="881" spans="2:5" x14ac:dyDescent="0.25">
      <c r="B881" s="547">
        <f t="shared" si="100"/>
        <v>843</v>
      </c>
      <c r="D881" s="604" t="s">
        <v>3873</v>
      </c>
      <c r="E881" s="26">
        <v>0</v>
      </c>
    </row>
    <row r="882" spans="2:5" x14ac:dyDescent="0.25">
      <c r="B882" s="547">
        <f t="shared" si="100"/>
        <v>844</v>
      </c>
      <c r="D882" s="604" t="s">
        <v>3875</v>
      </c>
      <c r="E882" s="26">
        <v>0</v>
      </c>
    </row>
    <row r="883" spans="2:5" x14ac:dyDescent="0.25">
      <c r="B883" s="547">
        <f t="shared" si="100"/>
        <v>845</v>
      </c>
      <c r="D883" s="604" t="s">
        <v>3877</v>
      </c>
      <c r="E883" s="26">
        <v>0</v>
      </c>
    </row>
    <row r="884" spans="2:5" x14ac:dyDescent="0.25">
      <c r="B884" s="547">
        <f t="shared" si="100"/>
        <v>846</v>
      </c>
      <c r="D884" s="604" t="s">
        <v>3879</v>
      </c>
      <c r="E884" s="26">
        <v>0</v>
      </c>
    </row>
    <row r="885" spans="2:5" x14ac:dyDescent="0.25">
      <c r="B885" s="547">
        <f t="shared" si="100"/>
        <v>847</v>
      </c>
      <c r="D885" s="604" t="s">
        <v>3881</v>
      </c>
      <c r="E885" s="26">
        <v>0</v>
      </c>
    </row>
    <row r="886" spans="2:5" x14ac:dyDescent="0.25">
      <c r="B886" s="547">
        <f t="shared" si="100"/>
        <v>848</v>
      </c>
      <c r="D886" s="604" t="s">
        <v>3883</v>
      </c>
      <c r="E886" s="26">
        <v>0</v>
      </c>
    </row>
    <row r="887" spans="2:5" x14ac:dyDescent="0.25">
      <c r="B887" s="547">
        <f t="shared" si="100"/>
        <v>849</v>
      </c>
      <c r="D887" s="604" t="s">
        <v>3885</v>
      </c>
      <c r="E887" s="26">
        <v>0</v>
      </c>
    </row>
    <row r="888" spans="2:5" x14ac:dyDescent="0.25">
      <c r="B888" s="547">
        <f t="shared" si="100"/>
        <v>850</v>
      </c>
      <c r="D888" s="604" t="s">
        <v>3887</v>
      </c>
      <c r="E888" s="26">
        <v>0</v>
      </c>
    </row>
    <row r="889" spans="2:5" x14ac:dyDescent="0.25">
      <c r="B889" s="547">
        <f t="shared" si="100"/>
        <v>851</v>
      </c>
      <c r="D889" s="604" t="s">
        <v>3889</v>
      </c>
      <c r="E889" s="26">
        <v>0</v>
      </c>
    </row>
    <row r="890" spans="2:5" x14ac:dyDescent="0.25">
      <c r="B890" s="547">
        <f t="shared" si="100"/>
        <v>852</v>
      </c>
      <c r="D890" s="604" t="s">
        <v>3891</v>
      </c>
      <c r="E890" s="26">
        <v>0</v>
      </c>
    </row>
    <row r="891" spans="2:5" x14ac:dyDescent="0.25">
      <c r="B891" s="547">
        <f t="shared" si="100"/>
        <v>853</v>
      </c>
      <c r="D891" s="604" t="s">
        <v>3893</v>
      </c>
      <c r="E891" s="26">
        <v>0</v>
      </c>
    </row>
    <row r="892" spans="2:5" x14ac:dyDescent="0.25">
      <c r="B892" s="547">
        <f t="shared" si="100"/>
        <v>854</v>
      </c>
      <c r="D892" s="604" t="s">
        <v>3895</v>
      </c>
      <c r="E892" s="26">
        <v>0</v>
      </c>
    </row>
    <row r="893" spans="2:5" x14ac:dyDescent="0.25">
      <c r="B893" s="547">
        <f t="shared" si="100"/>
        <v>855</v>
      </c>
      <c r="D893" s="604" t="s">
        <v>3897</v>
      </c>
      <c r="E893" s="26">
        <v>0</v>
      </c>
    </row>
    <row r="894" spans="2:5" x14ac:dyDescent="0.25">
      <c r="B894" s="547">
        <f t="shared" si="100"/>
        <v>856</v>
      </c>
      <c r="D894" s="604" t="s">
        <v>3899</v>
      </c>
      <c r="E894" s="26">
        <v>0</v>
      </c>
    </row>
    <row r="895" spans="2:5" x14ac:dyDescent="0.25">
      <c r="B895" s="547">
        <f t="shared" si="100"/>
        <v>857</v>
      </c>
      <c r="D895" s="604" t="s">
        <v>3901</v>
      </c>
      <c r="E895" s="26">
        <v>0</v>
      </c>
    </row>
    <row r="896" spans="2:5" x14ac:dyDescent="0.25">
      <c r="B896" s="547">
        <f t="shared" si="100"/>
        <v>858</v>
      </c>
      <c r="D896" s="604" t="s">
        <v>3903</v>
      </c>
      <c r="E896" s="26">
        <v>0</v>
      </c>
    </row>
    <row r="897" spans="2:5" x14ac:dyDescent="0.25">
      <c r="B897" s="547">
        <f t="shared" si="100"/>
        <v>859</v>
      </c>
      <c r="D897" s="604" t="s">
        <v>3905</v>
      </c>
      <c r="E897" s="26">
        <v>0</v>
      </c>
    </row>
    <row r="898" spans="2:5" x14ac:dyDescent="0.25">
      <c r="B898" s="547">
        <f t="shared" si="100"/>
        <v>860</v>
      </c>
      <c r="D898" s="604" t="s">
        <v>3907</v>
      </c>
      <c r="E898" s="26">
        <v>0</v>
      </c>
    </row>
    <row r="899" spans="2:5" x14ac:dyDescent="0.25">
      <c r="B899" s="547">
        <f t="shared" si="100"/>
        <v>861</v>
      </c>
      <c r="D899" s="604" t="s">
        <v>3909</v>
      </c>
      <c r="E899" s="26">
        <v>0</v>
      </c>
    </row>
    <row r="900" spans="2:5" x14ac:dyDescent="0.25">
      <c r="B900" s="547">
        <f t="shared" si="100"/>
        <v>862</v>
      </c>
      <c r="D900" s="604" t="s">
        <v>3911</v>
      </c>
      <c r="E900" s="26">
        <v>0</v>
      </c>
    </row>
    <row r="901" spans="2:5" x14ac:dyDescent="0.25">
      <c r="B901" s="547">
        <f t="shared" si="100"/>
        <v>863</v>
      </c>
      <c r="D901" s="604" t="s">
        <v>3913</v>
      </c>
      <c r="E901" s="26">
        <v>0</v>
      </c>
    </row>
    <row r="902" spans="2:5" x14ac:dyDescent="0.25">
      <c r="B902" s="547">
        <f t="shared" si="100"/>
        <v>864</v>
      </c>
      <c r="D902" s="604" t="s">
        <v>3915</v>
      </c>
      <c r="E902" s="26">
        <v>0</v>
      </c>
    </row>
    <row r="903" spans="2:5" x14ac:dyDescent="0.25">
      <c r="B903" s="547">
        <f t="shared" si="100"/>
        <v>865</v>
      </c>
      <c r="D903" s="564" t="s">
        <v>3916</v>
      </c>
      <c r="E903" s="612">
        <f>ER!E661-E958-E976</f>
        <v>8417.0397910639604</v>
      </c>
    </row>
    <row r="904" spans="2:5" x14ac:dyDescent="0.25">
      <c r="B904" s="547">
        <f t="shared" si="100"/>
        <v>866</v>
      </c>
      <c r="D904" s="604" t="s">
        <v>3918</v>
      </c>
      <c r="E904" s="26">
        <v>0</v>
      </c>
    </row>
    <row r="905" spans="2:5" x14ac:dyDescent="0.25">
      <c r="B905" s="547">
        <f t="shared" si="100"/>
        <v>867</v>
      </c>
      <c r="D905" s="604" t="s">
        <v>3915</v>
      </c>
      <c r="E905" s="26">
        <v>0</v>
      </c>
    </row>
    <row r="906" spans="2:5" x14ac:dyDescent="0.25">
      <c r="B906" s="547">
        <f t="shared" si="100"/>
        <v>868</v>
      </c>
      <c r="D906" s="604" t="s">
        <v>3921</v>
      </c>
      <c r="E906" s="26">
        <v>0</v>
      </c>
    </row>
    <row r="907" spans="2:5" x14ac:dyDescent="0.25">
      <c r="B907" s="547">
        <f t="shared" si="100"/>
        <v>869</v>
      </c>
      <c r="D907" s="604" t="s">
        <v>3903</v>
      </c>
      <c r="E907" s="26">
        <v>0</v>
      </c>
    </row>
    <row r="908" spans="2:5" x14ac:dyDescent="0.25">
      <c r="B908" s="547">
        <f t="shared" si="100"/>
        <v>870</v>
      </c>
      <c r="D908" s="604" t="s">
        <v>3924</v>
      </c>
      <c r="E908" s="26">
        <v>0</v>
      </c>
    </row>
    <row r="909" spans="2:5" x14ac:dyDescent="0.25">
      <c r="B909" s="547">
        <f t="shared" si="100"/>
        <v>871</v>
      </c>
      <c r="D909" s="604" t="s">
        <v>3926</v>
      </c>
      <c r="E909" s="26">
        <v>0</v>
      </c>
    </row>
    <row r="910" spans="2:5" x14ac:dyDescent="0.25">
      <c r="B910" s="547">
        <f t="shared" si="100"/>
        <v>872</v>
      </c>
      <c r="D910" s="604" t="s">
        <v>3873</v>
      </c>
      <c r="E910" s="26">
        <v>0</v>
      </c>
    </row>
    <row r="911" spans="2:5" x14ac:dyDescent="0.25">
      <c r="B911" s="547">
        <f t="shared" si="100"/>
        <v>873</v>
      </c>
      <c r="D911" s="604" t="s">
        <v>3861</v>
      </c>
      <c r="E911" s="26">
        <v>0</v>
      </c>
    </row>
    <row r="912" spans="2:5" x14ac:dyDescent="0.25">
      <c r="B912" s="547">
        <f t="shared" si="100"/>
        <v>874</v>
      </c>
      <c r="D912" s="604" t="s">
        <v>3855</v>
      </c>
      <c r="E912" s="26">
        <v>0</v>
      </c>
    </row>
    <row r="913" spans="2:5" x14ac:dyDescent="0.25">
      <c r="B913" s="547">
        <f t="shared" ref="B913:B976" si="101">B912+1</f>
        <v>875</v>
      </c>
      <c r="D913" s="604" t="s">
        <v>3859</v>
      </c>
      <c r="E913" s="26">
        <v>0</v>
      </c>
    </row>
    <row r="914" spans="2:5" x14ac:dyDescent="0.25">
      <c r="B914" s="547">
        <f t="shared" si="101"/>
        <v>876</v>
      </c>
      <c r="D914" s="604" t="s">
        <v>3932</v>
      </c>
      <c r="E914" s="26">
        <v>0</v>
      </c>
    </row>
    <row r="915" spans="2:5" x14ac:dyDescent="0.25">
      <c r="B915" s="547">
        <f t="shared" si="101"/>
        <v>877</v>
      </c>
      <c r="D915" s="604" t="s">
        <v>3909</v>
      </c>
      <c r="E915" s="26">
        <v>0</v>
      </c>
    </row>
    <row r="916" spans="2:5" x14ac:dyDescent="0.25">
      <c r="B916" s="547">
        <f t="shared" si="101"/>
        <v>878</v>
      </c>
      <c r="D916" s="604" t="s">
        <v>3935</v>
      </c>
      <c r="E916" s="26">
        <v>0</v>
      </c>
    </row>
    <row r="917" spans="2:5" x14ac:dyDescent="0.25">
      <c r="B917" s="547">
        <f t="shared" si="101"/>
        <v>879</v>
      </c>
      <c r="D917" s="604" t="s">
        <v>3937</v>
      </c>
      <c r="E917" s="26">
        <v>0</v>
      </c>
    </row>
    <row r="918" spans="2:5" x14ac:dyDescent="0.25">
      <c r="B918" s="547">
        <f t="shared" si="101"/>
        <v>880</v>
      </c>
      <c r="D918" s="604" t="s">
        <v>3827</v>
      </c>
      <c r="E918" s="26">
        <v>0</v>
      </c>
    </row>
    <row r="919" spans="2:5" x14ac:dyDescent="0.25">
      <c r="B919" s="547">
        <f t="shared" si="101"/>
        <v>881</v>
      </c>
      <c r="D919" s="604" t="s">
        <v>3940</v>
      </c>
      <c r="E919" s="26">
        <v>0</v>
      </c>
    </row>
    <row r="920" spans="2:5" x14ac:dyDescent="0.25">
      <c r="B920" s="547">
        <f t="shared" si="101"/>
        <v>882</v>
      </c>
      <c r="D920" s="604" t="s">
        <v>3942</v>
      </c>
      <c r="E920" s="26">
        <v>0</v>
      </c>
    </row>
    <row r="921" spans="2:5" x14ac:dyDescent="0.25">
      <c r="B921" s="547">
        <f t="shared" si="101"/>
        <v>883</v>
      </c>
      <c r="D921" s="604" t="s">
        <v>3944</v>
      </c>
      <c r="E921" s="26">
        <v>0</v>
      </c>
    </row>
    <row r="922" spans="2:5" x14ac:dyDescent="0.25">
      <c r="B922" s="547">
        <f t="shared" si="101"/>
        <v>884</v>
      </c>
      <c r="D922" s="564" t="s">
        <v>3947</v>
      </c>
      <c r="E922" s="26">
        <v>0.01</v>
      </c>
    </row>
    <row r="923" spans="2:5" x14ac:dyDescent="0.25">
      <c r="B923" s="547">
        <f t="shared" si="101"/>
        <v>885</v>
      </c>
      <c r="D923" s="564" t="s">
        <v>3950</v>
      </c>
      <c r="E923" s="26">
        <v>0.01</v>
      </c>
    </row>
    <row r="924" spans="2:5" x14ac:dyDescent="0.25">
      <c r="B924" s="547">
        <f t="shared" si="101"/>
        <v>886</v>
      </c>
      <c r="D924" s="564" t="s">
        <v>3952</v>
      </c>
      <c r="E924" s="26">
        <v>0.01</v>
      </c>
    </row>
    <row r="925" spans="2:5" x14ac:dyDescent="0.25">
      <c r="B925" s="547">
        <f t="shared" si="101"/>
        <v>887</v>
      </c>
      <c r="D925" s="564" t="s">
        <v>3972</v>
      </c>
      <c r="E925" s="26">
        <f>136053.5/8*12</f>
        <v>204080.25</v>
      </c>
    </row>
    <row r="926" spans="2:5" x14ac:dyDescent="0.25">
      <c r="B926" s="547">
        <f t="shared" si="101"/>
        <v>888</v>
      </c>
      <c r="D926" s="604" t="s">
        <v>3974</v>
      </c>
      <c r="E926" s="26">
        <v>0</v>
      </c>
    </row>
    <row r="927" spans="2:5" x14ac:dyDescent="0.25">
      <c r="B927" s="547">
        <f t="shared" si="101"/>
        <v>889</v>
      </c>
      <c r="D927" s="604" t="s">
        <v>3976</v>
      </c>
      <c r="E927" s="26">
        <v>0</v>
      </c>
    </row>
    <row r="928" spans="2:5" x14ac:dyDescent="0.25">
      <c r="B928" s="547">
        <f t="shared" si="101"/>
        <v>890</v>
      </c>
      <c r="D928" s="604" t="s">
        <v>3978</v>
      </c>
      <c r="E928" s="26">
        <v>0</v>
      </c>
    </row>
    <row r="929" spans="2:5" x14ac:dyDescent="0.25">
      <c r="B929" s="547">
        <f t="shared" si="101"/>
        <v>891</v>
      </c>
      <c r="D929" s="604" t="s">
        <v>3980</v>
      </c>
      <c r="E929" s="26">
        <v>0</v>
      </c>
    </row>
    <row r="930" spans="2:5" x14ac:dyDescent="0.25">
      <c r="B930" s="547">
        <f t="shared" si="101"/>
        <v>892</v>
      </c>
      <c r="D930" s="604" t="s">
        <v>3982</v>
      </c>
      <c r="E930" s="26">
        <v>0</v>
      </c>
    </row>
    <row r="931" spans="2:5" x14ac:dyDescent="0.25">
      <c r="B931" s="547">
        <f t="shared" si="101"/>
        <v>893</v>
      </c>
      <c r="D931" s="604" t="s">
        <v>3984</v>
      </c>
      <c r="E931" s="26">
        <v>0</v>
      </c>
    </row>
    <row r="932" spans="2:5" x14ac:dyDescent="0.25">
      <c r="B932" s="547">
        <f t="shared" si="101"/>
        <v>894</v>
      </c>
      <c r="D932" s="604" t="s">
        <v>3986</v>
      </c>
      <c r="E932" s="26">
        <v>0</v>
      </c>
    </row>
    <row r="933" spans="2:5" x14ac:dyDescent="0.25">
      <c r="B933" s="547">
        <f t="shared" si="101"/>
        <v>895</v>
      </c>
      <c r="D933" s="604" t="s">
        <v>3988</v>
      </c>
      <c r="E933" s="26">
        <v>0</v>
      </c>
    </row>
    <row r="934" spans="2:5" x14ac:dyDescent="0.25">
      <c r="B934" s="547">
        <f t="shared" si="101"/>
        <v>896</v>
      </c>
      <c r="D934" s="604" t="s">
        <v>3990</v>
      </c>
      <c r="E934" s="26">
        <v>0</v>
      </c>
    </row>
    <row r="935" spans="2:5" x14ac:dyDescent="0.25">
      <c r="B935" s="547">
        <f t="shared" si="101"/>
        <v>897</v>
      </c>
      <c r="D935" s="604" t="s">
        <v>3992</v>
      </c>
      <c r="E935" s="26">
        <v>0</v>
      </c>
    </row>
    <row r="936" spans="2:5" x14ac:dyDescent="0.25">
      <c r="B936" s="547">
        <f t="shared" si="101"/>
        <v>898</v>
      </c>
      <c r="D936" s="604" t="s">
        <v>3994</v>
      </c>
      <c r="E936" s="26">
        <v>0</v>
      </c>
    </row>
    <row r="937" spans="2:5" x14ac:dyDescent="0.25">
      <c r="B937" s="547">
        <f t="shared" si="101"/>
        <v>899</v>
      </c>
      <c r="D937" s="604" t="s">
        <v>3996</v>
      </c>
      <c r="E937" s="26">
        <v>0</v>
      </c>
    </row>
    <row r="938" spans="2:5" x14ac:dyDescent="0.25">
      <c r="B938" s="547">
        <f t="shared" si="101"/>
        <v>900</v>
      </c>
      <c r="D938" s="604" t="s">
        <v>3998</v>
      </c>
      <c r="E938" s="26">
        <v>0</v>
      </c>
    </row>
    <row r="939" spans="2:5" x14ac:dyDescent="0.25">
      <c r="B939" s="547">
        <f t="shared" si="101"/>
        <v>901</v>
      </c>
      <c r="D939" s="604" t="s">
        <v>4000</v>
      </c>
      <c r="E939" s="26">
        <v>0</v>
      </c>
    </row>
    <row r="940" spans="2:5" x14ac:dyDescent="0.25">
      <c r="B940" s="547">
        <f t="shared" si="101"/>
        <v>902</v>
      </c>
      <c r="D940" s="604" t="s">
        <v>4002</v>
      </c>
      <c r="E940" s="26">
        <v>0</v>
      </c>
    </row>
    <row r="941" spans="2:5" x14ac:dyDescent="0.25">
      <c r="B941" s="547">
        <f t="shared" si="101"/>
        <v>903</v>
      </c>
      <c r="D941" s="604" t="s">
        <v>4004</v>
      </c>
      <c r="E941" s="26">
        <v>0</v>
      </c>
    </row>
    <row r="942" spans="2:5" x14ac:dyDescent="0.25">
      <c r="B942" s="547">
        <f t="shared" si="101"/>
        <v>904</v>
      </c>
      <c r="D942" s="604" t="s">
        <v>4006</v>
      </c>
      <c r="E942" s="26">
        <v>0</v>
      </c>
    </row>
    <row r="943" spans="2:5" x14ac:dyDescent="0.25">
      <c r="B943" s="547">
        <f t="shared" si="101"/>
        <v>905</v>
      </c>
      <c r="D943" s="604" t="s">
        <v>4008</v>
      </c>
      <c r="E943" s="26">
        <v>0</v>
      </c>
    </row>
    <row r="944" spans="2:5" x14ac:dyDescent="0.25">
      <c r="B944" s="547">
        <f t="shared" si="101"/>
        <v>906</v>
      </c>
      <c r="D944" s="604" t="s">
        <v>4010</v>
      </c>
      <c r="E944" s="26">
        <v>0</v>
      </c>
    </row>
    <row r="945" spans="2:5" x14ac:dyDescent="0.25">
      <c r="B945" s="547">
        <f t="shared" si="101"/>
        <v>907</v>
      </c>
      <c r="D945" s="604" t="s">
        <v>4012</v>
      </c>
      <c r="E945" s="26">
        <v>0</v>
      </c>
    </row>
    <row r="946" spans="2:5" x14ac:dyDescent="0.25">
      <c r="B946" s="547">
        <f t="shared" si="101"/>
        <v>908</v>
      </c>
      <c r="D946" s="604" t="s">
        <v>3022</v>
      </c>
      <c r="E946" s="26">
        <v>0</v>
      </c>
    </row>
    <row r="947" spans="2:5" x14ac:dyDescent="0.25">
      <c r="B947" s="547">
        <f t="shared" si="101"/>
        <v>909</v>
      </c>
      <c r="D947" s="604" t="s">
        <v>4015</v>
      </c>
      <c r="E947" s="26">
        <v>0</v>
      </c>
    </row>
    <row r="948" spans="2:5" x14ac:dyDescent="0.25">
      <c r="B948" s="547">
        <f t="shared" si="101"/>
        <v>910</v>
      </c>
      <c r="D948" s="604" t="s">
        <v>4017</v>
      </c>
      <c r="E948" s="26">
        <v>0</v>
      </c>
    </row>
    <row r="949" spans="2:5" x14ac:dyDescent="0.25">
      <c r="B949" s="547">
        <f t="shared" si="101"/>
        <v>911</v>
      </c>
      <c r="D949" s="604" t="s">
        <v>4019</v>
      </c>
      <c r="E949" s="26">
        <v>0</v>
      </c>
    </row>
    <row r="950" spans="2:5" x14ac:dyDescent="0.25">
      <c r="B950" s="547">
        <f t="shared" si="101"/>
        <v>912</v>
      </c>
      <c r="D950" s="604" t="s">
        <v>4021</v>
      </c>
      <c r="E950" s="26">
        <v>0</v>
      </c>
    </row>
    <row r="951" spans="2:5" x14ac:dyDescent="0.25">
      <c r="B951" s="547">
        <f t="shared" si="101"/>
        <v>913</v>
      </c>
      <c r="D951" s="604" t="s">
        <v>4023</v>
      </c>
      <c r="E951" s="26">
        <v>0</v>
      </c>
    </row>
    <row r="952" spans="2:5" x14ac:dyDescent="0.25">
      <c r="B952" s="547">
        <f t="shared" si="101"/>
        <v>914</v>
      </c>
      <c r="D952" s="604" t="s">
        <v>4025</v>
      </c>
      <c r="E952" s="26">
        <v>0</v>
      </c>
    </row>
    <row r="953" spans="2:5" x14ac:dyDescent="0.25">
      <c r="B953" s="547">
        <f t="shared" si="101"/>
        <v>915</v>
      </c>
      <c r="D953" s="604" t="s">
        <v>4027</v>
      </c>
      <c r="E953" s="26">
        <v>0</v>
      </c>
    </row>
    <row r="954" spans="2:5" x14ac:dyDescent="0.25">
      <c r="B954" s="547">
        <f t="shared" si="101"/>
        <v>916</v>
      </c>
      <c r="D954" s="604" t="s">
        <v>4029</v>
      </c>
      <c r="E954" s="26">
        <v>0</v>
      </c>
    </row>
    <row r="955" spans="2:5" x14ac:dyDescent="0.25">
      <c r="B955" s="547">
        <f t="shared" si="101"/>
        <v>917</v>
      </c>
      <c r="D955" s="604" t="s">
        <v>4031</v>
      </c>
      <c r="E955" s="26">
        <v>0</v>
      </c>
    </row>
    <row r="956" spans="2:5" x14ac:dyDescent="0.25">
      <c r="B956" s="547">
        <f t="shared" si="101"/>
        <v>918</v>
      </c>
      <c r="D956" s="604" t="s">
        <v>4033</v>
      </c>
      <c r="E956" s="26">
        <v>0</v>
      </c>
    </row>
    <row r="957" spans="2:5" x14ac:dyDescent="0.25">
      <c r="B957" s="547">
        <f t="shared" si="101"/>
        <v>919</v>
      </c>
      <c r="D957" s="604" t="s">
        <v>4035</v>
      </c>
      <c r="E957" s="26">
        <v>0</v>
      </c>
    </row>
    <row r="958" spans="2:5" x14ac:dyDescent="0.25">
      <c r="B958" s="547">
        <f t="shared" si="101"/>
        <v>920</v>
      </c>
      <c r="D958" s="564" t="s">
        <v>4256</v>
      </c>
      <c r="E958" s="25">
        <v>0.01</v>
      </c>
    </row>
    <row r="959" spans="2:5" x14ac:dyDescent="0.25">
      <c r="B959" s="547">
        <f t="shared" si="101"/>
        <v>921</v>
      </c>
      <c r="D959" s="564" t="s">
        <v>4038</v>
      </c>
      <c r="E959" s="26"/>
    </row>
    <row r="960" spans="2:5" x14ac:dyDescent="0.25">
      <c r="B960" s="547">
        <f t="shared" si="101"/>
        <v>922</v>
      </c>
      <c r="D960" s="604" t="s">
        <v>3359</v>
      </c>
      <c r="E960" s="26">
        <f>(17535.71+11056.82)/8*12</f>
        <v>42888.794999999998</v>
      </c>
    </row>
    <row r="961" spans="2:5" x14ac:dyDescent="0.25">
      <c r="B961" s="547">
        <f t="shared" si="101"/>
        <v>923</v>
      </c>
      <c r="D961" s="564" t="s">
        <v>4041</v>
      </c>
      <c r="E961" s="26">
        <f>2729/8*12</f>
        <v>4093.5</v>
      </c>
    </row>
    <row r="962" spans="2:5" x14ac:dyDescent="0.25">
      <c r="B962" s="547">
        <f t="shared" si="101"/>
        <v>924</v>
      </c>
      <c r="D962" s="604" t="s">
        <v>4043</v>
      </c>
      <c r="E962" s="26">
        <v>0</v>
      </c>
    </row>
    <row r="963" spans="2:5" x14ac:dyDescent="0.25">
      <c r="B963" s="547">
        <f t="shared" si="101"/>
        <v>925</v>
      </c>
      <c r="D963" s="604" t="s">
        <v>4045</v>
      </c>
      <c r="E963" s="26">
        <v>0</v>
      </c>
    </row>
    <row r="964" spans="2:5" x14ac:dyDescent="0.25">
      <c r="B964" s="547">
        <f t="shared" si="101"/>
        <v>926</v>
      </c>
      <c r="D964" s="604" t="s">
        <v>4047</v>
      </c>
      <c r="E964" s="26">
        <v>0</v>
      </c>
    </row>
    <row r="965" spans="2:5" x14ac:dyDescent="0.25">
      <c r="B965" s="547">
        <f t="shared" si="101"/>
        <v>927</v>
      </c>
      <c r="D965" s="604" t="s">
        <v>4049</v>
      </c>
      <c r="E965" s="26">
        <v>0</v>
      </c>
    </row>
    <row r="966" spans="2:5" x14ac:dyDescent="0.25">
      <c r="B966" s="547">
        <f t="shared" si="101"/>
        <v>928</v>
      </c>
      <c r="D966" s="604" t="s">
        <v>4051</v>
      </c>
      <c r="E966" s="26">
        <v>0</v>
      </c>
    </row>
    <row r="967" spans="2:5" x14ac:dyDescent="0.25">
      <c r="B967" s="547">
        <f t="shared" si="101"/>
        <v>929</v>
      </c>
      <c r="D967" s="604" t="s">
        <v>4053</v>
      </c>
      <c r="E967" s="26">
        <v>0</v>
      </c>
    </row>
    <row r="968" spans="2:5" x14ac:dyDescent="0.25">
      <c r="B968" s="547">
        <f t="shared" si="101"/>
        <v>930</v>
      </c>
      <c r="D968" s="604" t="s">
        <v>4055</v>
      </c>
      <c r="E968" s="26">
        <v>0</v>
      </c>
    </row>
    <row r="969" spans="2:5" x14ac:dyDescent="0.25">
      <c r="B969" s="547">
        <f t="shared" si="101"/>
        <v>931</v>
      </c>
      <c r="D969" s="604" t="s">
        <v>4057</v>
      </c>
      <c r="E969" s="26">
        <v>0</v>
      </c>
    </row>
    <row r="970" spans="2:5" x14ac:dyDescent="0.25">
      <c r="B970" s="547">
        <f t="shared" si="101"/>
        <v>932</v>
      </c>
      <c r="D970" s="604" t="s">
        <v>4059</v>
      </c>
      <c r="E970" s="26">
        <v>0</v>
      </c>
    </row>
    <row r="971" spans="2:5" x14ac:dyDescent="0.25">
      <c r="B971" s="547">
        <f t="shared" si="101"/>
        <v>933</v>
      </c>
      <c r="D971" s="604" t="s">
        <v>4061</v>
      </c>
      <c r="E971" s="26">
        <v>0</v>
      </c>
    </row>
    <row r="972" spans="2:5" x14ac:dyDescent="0.25">
      <c r="B972" s="547">
        <f t="shared" si="101"/>
        <v>934</v>
      </c>
      <c r="D972" s="604" t="s">
        <v>4063</v>
      </c>
      <c r="E972" s="26">
        <v>0</v>
      </c>
    </row>
    <row r="973" spans="2:5" x14ac:dyDescent="0.25">
      <c r="B973" s="547">
        <f t="shared" si="101"/>
        <v>935</v>
      </c>
      <c r="D973" s="604" t="s">
        <v>4065</v>
      </c>
      <c r="E973" s="26">
        <v>0</v>
      </c>
    </row>
    <row r="974" spans="2:5" x14ac:dyDescent="0.25">
      <c r="B974" s="547">
        <f t="shared" si="101"/>
        <v>936</v>
      </c>
      <c r="D974" s="604" t="s">
        <v>4067</v>
      </c>
      <c r="E974" s="26">
        <v>0</v>
      </c>
    </row>
    <row r="975" spans="2:5" x14ac:dyDescent="0.25">
      <c r="B975" s="547">
        <f t="shared" si="101"/>
        <v>937</v>
      </c>
      <c r="D975" s="564" t="s">
        <v>4068</v>
      </c>
      <c r="E975" s="26"/>
    </row>
    <row r="976" spans="2:5" x14ac:dyDescent="0.25">
      <c r="B976" s="547">
        <f t="shared" si="101"/>
        <v>938</v>
      </c>
      <c r="D976" s="604" t="s">
        <v>4070</v>
      </c>
      <c r="E976" s="26">
        <f>PASEP!E62</f>
        <v>82.299483679533338</v>
      </c>
    </row>
    <row r="977" spans="2:7" x14ac:dyDescent="0.25">
      <c r="B977" s="547">
        <f t="shared" ref="B977:B1040" si="102">B976+1</f>
        <v>939</v>
      </c>
      <c r="D977" s="564" t="s">
        <v>4073</v>
      </c>
      <c r="E977" s="26"/>
    </row>
    <row r="978" spans="2:7" x14ac:dyDescent="0.25">
      <c r="B978" s="547">
        <f t="shared" si="102"/>
        <v>940</v>
      </c>
      <c r="D978" s="604" t="s">
        <v>3594</v>
      </c>
      <c r="E978" s="26">
        <f>'FOPAG EXEC.'!E336*12</f>
        <v>9211.44</v>
      </c>
    </row>
    <row r="979" spans="2:7" x14ac:dyDescent="0.25">
      <c r="B979" s="547">
        <f t="shared" si="102"/>
        <v>941</v>
      </c>
      <c r="D979" s="604" t="s">
        <v>3506</v>
      </c>
      <c r="E979" s="26">
        <f>'FOPAG EXEC.'!E326*12</f>
        <v>3684.4800000000005</v>
      </c>
    </row>
    <row r="980" spans="2:7" x14ac:dyDescent="0.25">
      <c r="B980" s="547">
        <f t="shared" si="102"/>
        <v>942</v>
      </c>
      <c r="D980" s="564" t="s">
        <v>4080</v>
      </c>
      <c r="E980" s="26">
        <v>0.01</v>
      </c>
    </row>
    <row r="981" spans="2:7" x14ac:dyDescent="0.25">
      <c r="B981" s="547">
        <f t="shared" si="102"/>
        <v>943</v>
      </c>
      <c r="D981" s="604" t="s">
        <v>4082</v>
      </c>
      <c r="E981" s="26">
        <v>0</v>
      </c>
    </row>
    <row r="982" spans="2:7" x14ac:dyDescent="0.25">
      <c r="B982" s="547">
        <f t="shared" si="102"/>
        <v>944</v>
      </c>
      <c r="D982" s="564" t="s">
        <v>4085</v>
      </c>
      <c r="E982" s="26">
        <v>0.01</v>
      </c>
    </row>
    <row r="983" spans="2:7" x14ac:dyDescent="0.25">
      <c r="B983" s="547">
        <f t="shared" si="102"/>
        <v>945</v>
      </c>
      <c r="D983" s="564" t="s">
        <v>4086</v>
      </c>
      <c r="E983" s="26">
        <v>0.01</v>
      </c>
    </row>
    <row r="984" spans="2:7" x14ac:dyDescent="0.25">
      <c r="B984" s="547">
        <f t="shared" si="102"/>
        <v>946</v>
      </c>
      <c r="D984" s="564" t="s">
        <v>4090</v>
      </c>
      <c r="E984" s="26">
        <v>0.01</v>
      </c>
    </row>
    <row r="985" spans="2:7" x14ac:dyDescent="0.25">
      <c r="B985" s="547">
        <f t="shared" si="102"/>
        <v>947</v>
      </c>
      <c r="D985" s="572" t="s">
        <v>4092</v>
      </c>
      <c r="E985" s="26"/>
    </row>
    <row r="986" spans="2:7" x14ac:dyDescent="0.25">
      <c r="B986" s="547">
        <f t="shared" si="102"/>
        <v>948</v>
      </c>
      <c r="D986" s="604" t="s">
        <v>3403</v>
      </c>
      <c r="E986" s="26">
        <v>0.01</v>
      </c>
    </row>
    <row r="987" spans="2:7" x14ac:dyDescent="0.25">
      <c r="B987" s="547">
        <f t="shared" si="102"/>
        <v>949</v>
      </c>
      <c r="D987" s="604" t="s">
        <v>3258</v>
      </c>
      <c r="E987" s="26">
        <v>0.01</v>
      </c>
    </row>
    <row r="988" spans="2:7" x14ac:dyDescent="0.25">
      <c r="B988" s="547">
        <f t="shared" si="102"/>
        <v>950</v>
      </c>
      <c r="C988" s="579" t="s">
        <v>5914</v>
      </c>
      <c r="D988" s="579" t="str">
        <f>DESPORC!D1081</f>
        <v>PROMOÇÃO DE ACESSO A RESIDENCIAS E PROPRIEDADES</v>
      </c>
      <c r="E988" s="580"/>
      <c r="F988" s="582"/>
      <c r="G988" s="582"/>
    </row>
    <row r="989" spans="2:7" ht="15.75" x14ac:dyDescent="0.25">
      <c r="B989" s="547">
        <f t="shared" si="102"/>
        <v>951</v>
      </c>
      <c r="D989" s="626" t="s">
        <v>5907</v>
      </c>
      <c r="E989" s="26">
        <v>0.01</v>
      </c>
    </row>
    <row r="990" spans="2:7" ht="15.75" x14ac:dyDescent="0.25">
      <c r="B990" s="547">
        <f t="shared" si="102"/>
        <v>952</v>
      </c>
      <c r="D990" s="626" t="s">
        <v>5913</v>
      </c>
      <c r="E990" s="26">
        <v>0.01</v>
      </c>
    </row>
    <row r="991" spans="2:7" ht="15.75" x14ac:dyDescent="0.25">
      <c r="B991" s="547">
        <f t="shared" si="102"/>
        <v>953</v>
      </c>
      <c r="D991" s="626" t="s">
        <v>5912</v>
      </c>
      <c r="E991" s="26">
        <v>0.01</v>
      </c>
    </row>
    <row r="992" spans="2:7" ht="15.75" x14ac:dyDescent="0.25">
      <c r="B992" s="547">
        <f t="shared" si="102"/>
        <v>954</v>
      </c>
      <c r="D992" s="626" t="s">
        <v>5911</v>
      </c>
      <c r="E992" s="26">
        <v>0.01</v>
      </c>
    </row>
    <row r="993" spans="2:7" ht="15.75" x14ac:dyDescent="0.25">
      <c r="B993" s="547">
        <f t="shared" si="102"/>
        <v>955</v>
      </c>
      <c r="D993" s="626" t="s">
        <v>5910</v>
      </c>
      <c r="E993" s="26">
        <v>0.01</v>
      </c>
    </row>
    <row r="994" spans="2:7" ht="15.75" x14ac:dyDescent="0.25">
      <c r="B994" s="547">
        <f t="shared" si="102"/>
        <v>956</v>
      </c>
      <c r="D994" s="626" t="s">
        <v>5908</v>
      </c>
      <c r="E994" s="26">
        <v>0.01</v>
      </c>
    </row>
    <row r="995" spans="2:7" ht="15.75" x14ac:dyDescent="0.25">
      <c r="B995" s="547">
        <f t="shared" si="102"/>
        <v>957</v>
      </c>
      <c r="D995" s="703" t="s">
        <v>5909</v>
      </c>
      <c r="E995" s="26">
        <v>0.01</v>
      </c>
    </row>
    <row r="996" spans="2:7" x14ac:dyDescent="0.25">
      <c r="B996" s="547">
        <f t="shared" si="102"/>
        <v>958</v>
      </c>
      <c r="C996" s="579" t="s">
        <v>7002</v>
      </c>
      <c r="D996" s="579" t="str">
        <f>DESPORC!D1092</f>
        <v>Gestao e Apoio Departamento de Engenharia</v>
      </c>
      <c r="E996" s="582"/>
      <c r="F996" s="579"/>
      <c r="G996" s="579"/>
    </row>
    <row r="997" spans="2:7" ht="15.75" x14ac:dyDescent="0.25">
      <c r="B997" s="547">
        <f t="shared" si="102"/>
        <v>959</v>
      </c>
      <c r="D997" s="688" t="s">
        <v>7004</v>
      </c>
      <c r="E997" s="630">
        <v>1500</v>
      </c>
    </row>
    <row r="998" spans="2:7" x14ac:dyDescent="0.25">
      <c r="B998" s="547">
        <f t="shared" si="102"/>
        <v>960</v>
      </c>
      <c r="C998" s="579" t="s">
        <v>7002</v>
      </c>
      <c r="D998" s="579" t="str">
        <f>DESPORC!D1097</f>
        <v>Gestao e Apoio Departamento de Engenharia</v>
      </c>
      <c r="E998" s="582"/>
      <c r="F998" s="579"/>
      <c r="G998" s="579"/>
    </row>
    <row r="999" spans="2:7" ht="15.75" x14ac:dyDescent="0.25">
      <c r="B999" s="547">
        <f t="shared" si="102"/>
        <v>961</v>
      </c>
      <c r="D999" s="688" t="s">
        <v>6987</v>
      </c>
      <c r="E999" s="630">
        <v>1000</v>
      </c>
    </row>
    <row r="1000" spans="2:7" ht="15.75" x14ac:dyDescent="0.25">
      <c r="B1000" s="547">
        <f t="shared" si="102"/>
        <v>962</v>
      </c>
      <c r="D1000" s="688" t="s">
        <v>6988</v>
      </c>
      <c r="E1000" s="630">
        <v>300</v>
      </c>
    </row>
    <row r="1001" spans="2:7" ht="15.75" x14ac:dyDescent="0.25">
      <c r="B1001" s="547">
        <f t="shared" si="102"/>
        <v>963</v>
      </c>
      <c r="D1001" s="688" t="s">
        <v>6990</v>
      </c>
      <c r="E1001" s="630">
        <v>0.01</v>
      </c>
    </row>
    <row r="1002" spans="2:7" ht="15.75" x14ac:dyDescent="0.25">
      <c r="B1002" s="547">
        <f t="shared" si="102"/>
        <v>964</v>
      </c>
      <c r="D1002" s="688" t="s">
        <v>6997</v>
      </c>
      <c r="E1002" s="630">
        <v>1000</v>
      </c>
    </row>
    <row r="1003" spans="2:7" ht="15.75" x14ac:dyDescent="0.25">
      <c r="B1003" s="547">
        <f t="shared" si="102"/>
        <v>965</v>
      </c>
      <c r="D1003" s="688" t="s">
        <v>6989</v>
      </c>
      <c r="E1003" s="630">
        <v>0.01</v>
      </c>
    </row>
    <row r="1004" spans="2:7" x14ac:dyDescent="0.25">
      <c r="B1004" s="547">
        <f t="shared" si="102"/>
        <v>966</v>
      </c>
      <c r="C1004" s="579" t="s">
        <v>7002</v>
      </c>
      <c r="D1004" s="579" t="str">
        <f>DESPORC!D1106</f>
        <v>Gestao e Apoio Departamento de Engenharia</v>
      </c>
      <c r="E1004" s="582"/>
      <c r="F1004" s="579"/>
      <c r="G1004" s="579"/>
    </row>
    <row r="1005" spans="2:7" ht="15.75" x14ac:dyDescent="0.25">
      <c r="B1005" s="547">
        <f t="shared" si="102"/>
        <v>967</v>
      </c>
      <c r="D1005" s="632" t="s">
        <v>6991</v>
      </c>
      <c r="E1005" s="630"/>
    </row>
    <row r="1006" spans="2:7" x14ac:dyDescent="0.25">
      <c r="B1006" s="547">
        <f t="shared" si="102"/>
        <v>968</v>
      </c>
      <c r="D1006" s="847" t="s">
        <v>3075</v>
      </c>
      <c r="E1006" s="26">
        <f>'FOPAG EXEC.'!E345*12</f>
        <v>66762.353134313307</v>
      </c>
    </row>
    <row r="1007" spans="2:7" x14ac:dyDescent="0.25">
      <c r="B1007" s="547">
        <f t="shared" si="102"/>
        <v>969</v>
      </c>
      <c r="D1007" s="847" t="s">
        <v>3116</v>
      </c>
      <c r="E1007" s="26">
        <f>'FOPAG EXEC.'!E346</f>
        <v>1854.509809286481</v>
      </c>
    </row>
    <row r="1008" spans="2:7" x14ac:dyDescent="0.25">
      <c r="B1008" s="547">
        <f t="shared" si="102"/>
        <v>970</v>
      </c>
      <c r="D1008" s="847" t="s">
        <v>2991</v>
      </c>
      <c r="E1008" s="26">
        <f>'FOPAG EXEC.'!E347</f>
        <v>5563.5294278594429</v>
      </c>
    </row>
    <row r="1009" spans="2:5" ht="15.75" x14ac:dyDescent="0.25">
      <c r="B1009" s="547">
        <f t="shared" si="102"/>
        <v>971</v>
      </c>
      <c r="D1009" s="632" t="s">
        <v>6992</v>
      </c>
      <c r="E1009" s="630"/>
    </row>
    <row r="1010" spans="2:5" x14ac:dyDescent="0.25">
      <c r="B1010" s="547">
        <f t="shared" si="102"/>
        <v>972</v>
      </c>
      <c r="D1010" s="847" t="s">
        <v>3413</v>
      </c>
      <c r="E1010" s="26">
        <f>'FOPAG EXEC.'!E349*12-('FOPAG EXEC.'!N170*12)</f>
        <v>76776.688104460307</v>
      </c>
    </row>
    <row r="1011" spans="2:5" x14ac:dyDescent="0.25">
      <c r="B1011" s="547">
        <f t="shared" si="102"/>
        <v>973</v>
      </c>
      <c r="D1011" s="847" t="s">
        <v>3411</v>
      </c>
      <c r="E1011" s="26">
        <f>('FOPAG EXEC.'!E352*12)+'FOPAG EXEC.'!E353+'FOPAG EXEC.'!E354</f>
        <v>15355.33762089206</v>
      </c>
    </row>
    <row r="1012" spans="2:5" ht="15.75" x14ac:dyDescent="0.25">
      <c r="B1012" s="547">
        <f t="shared" si="102"/>
        <v>974</v>
      </c>
      <c r="D1012" s="688" t="s">
        <v>2740</v>
      </c>
      <c r="E1012" s="26">
        <f>'FOPAG EXEC.'!E358+0.01</f>
        <v>0.01</v>
      </c>
    </row>
    <row r="1013" spans="2:5" ht="15.75" x14ac:dyDescent="0.25">
      <c r="B1013" s="547">
        <f t="shared" si="102"/>
        <v>975</v>
      </c>
      <c r="D1013" s="688" t="s">
        <v>4519</v>
      </c>
      <c r="E1013" s="26">
        <f>'FOPAG EXEC.'!E350</f>
        <v>3987.1955899659338</v>
      </c>
    </row>
    <row r="1014" spans="2:5" ht="15.75" x14ac:dyDescent="0.25">
      <c r="B1014" s="547">
        <f t="shared" si="102"/>
        <v>976</v>
      </c>
      <c r="D1014" s="688" t="s">
        <v>2736</v>
      </c>
      <c r="E1014" s="26">
        <f>'FOPAG EXEC.'!E351</f>
        <v>11961.586769897802</v>
      </c>
    </row>
    <row r="1015" spans="2:5" ht="15.75" x14ac:dyDescent="0.25">
      <c r="B1015" s="547">
        <f t="shared" si="102"/>
        <v>977</v>
      </c>
      <c r="D1015" s="688" t="s">
        <v>7733</v>
      </c>
      <c r="E1015" s="26">
        <f>'FOPAG EXEC.'!E359*12</f>
        <v>7708.08</v>
      </c>
    </row>
    <row r="1016" spans="2:5" ht="15.75" x14ac:dyDescent="0.25">
      <c r="B1016" s="547">
        <f t="shared" si="102"/>
        <v>978</v>
      </c>
      <c r="D1016" s="632" t="s">
        <v>6993</v>
      </c>
      <c r="E1016" s="1">
        <v>0</v>
      </c>
    </row>
    <row r="1017" spans="2:5" ht="15.75" x14ac:dyDescent="0.25">
      <c r="B1017" s="547">
        <f t="shared" si="102"/>
        <v>979</v>
      </c>
      <c r="D1017" s="688" t="s">
        <v>6994</v>
      </c>
      <c r="E1017" s="630">
        <v>600</v>
      </c>
    </row>
    <row r="1018" spans="2:5" ht="15.75" x14ac:dyDescent="0.25">
      <c r="B1018" s="547">
        <f t="shared" si="102"/>
        <v>980</v>
      </c>
      <c r="D1018" s="688" t="s">
        <v>6996</v>
      </c>
      <c r="E1018" s="630">
        <v>1</v>
      </c>
    </row>
    <row r="1019" spans="2:5" ht="15.75" x14ac:dyDescent="0.25">
      <c r="B1019" s="547">
        <f t="shared" si="102"/>
        <v>981</v>
      </c>
      <c r="D1019" s="688" t="s">
        <v>6998</v>
      </c>
      <c r="E1019" s="630">
        <v>1500</v>
      </c>
    </row>
    <row r="1020" spans="2:5" ht="15.75" x14ac:dyDescent="0.25">
      <c r="B1020" s="547">
        <f t="shared" si="102"/>
        <v>982</v>
      </c>
      <c r="D1020" s="688" t="s">
        <v>6981</v>
      </c>
      <c r="E1020" s="630">
        <v>1000</v>
      </c>
    </row>
    <row r="1021" spans="2:5" ht="15.75" x14ac:dyDescent="0.25">
      <c r="B1021" s="547">
        <f t="shared" si="102"/>
        <v>983</v>
      </c>
      <c r="D1021" s="688" t="s">
        <v>6999</v>
      </c>
      <c r="E1021" s="630">
        <v>300</v>
      </c>
    </row>
    <row r="1022" spans="2:5" ht="15.75" x14ac:dyDescent="0.25">
      <c r="B1022" s="547">
        <f t="shared" si="102"/>
        <v>984</v>
      </c>
      <c r="D1022" s="688" t="s">
        <v>6982</v>
      </c>
      <c r="E1022" s="630">
        <v>0.01</v>
      </c>
    </row>
    <row r="1023" spans="2:5" ht="15.75" x14ac:dyDescent="0.25">
      <c r="B1023" s="547">
        <f t="shared" si="102"/>
        <v>985</v>
      </c>
      <c r="D1023" s="688" t="s">
        <v>6983</v>
      </c>
      <c r="E1023" s="630">
        <v>2000</v>
      </c>
    </row>
    <row r="1024" spans="2:5" ht="15.75" x14ac:dyDescent="0.25">
      <c r="B1024" s="547">
        <f t="shared" si="102"/>
        <v>986</v>
      </c>
      <c r="D1024" s="688" t="s">
        <v>7000</v>
      </c>
      <c r="E1024" s="630">
        <f>3008/8*12</f>
        <v>4512</v>
      </c>
    </row>
    <row r="1025" spans="2:7" ht="15.75" x14ac:dyDescent="0.25">
      <c r="B1025" s="547">
        <f t="shared" si="102"/>
        <v>987</v>
      </c>
      <c r="D1025" s="688" t="s">
        <v>6984</v>
      </c>
      <c r="E1025" s="630">
        <v>0.01</v>
      </c>
    </row>
    <row r="1026" spans="2:7" ht="15.75" x14ac:dyDescent="0.25">
      <c r="B1026" s="547">
        <f t="shared" si="102"/>
        <v>988</v>
      </c>
      <c r="D1026" s="688" t="s">
        <v>7001</v>
      </c>
      <c r="E1026" s="630">
        <f>'FOPAG EXEC.'!E356*12</f>
        <v>1189.5600000000002</v>
      </c>
    </row>
    <row r="1027" spans="2:7" ht="15.75" x14ac:dyDescent="0.25">
      <c r="B1027" s="547">
        <f t="shared" si="102"/>
        <v>989</v>
      </c>
      <c r="D1027" s="688" t="s">
        <v>6985</v>
      </c>
      <c r="E1027" s="630">
        <v>0.01</v>
      </c>
    </row>
    <row r="1028" spans="2:7" ht="15.75" x14ac:dyDescent="0.25">
      <c r="B1028" s="547">
        <f t="shared" si="102"/>
        <v>990</v>
      </c>
      <c r="D1028" s="704" t="s">
        <v>6986</v>
      </c>
      <c r="E1028" s="630">
        <v>0.01</v>
      </c>
    </row>
    <row r="1029" spans="2:7" ht="15.75" x14ac:dyDescent="0.25">
      <c r="B1029" s="547">
        <f t="shared" si="102"/>
        <v>991</v>
      </c>
      <c r="D1029" s="704" t="s">
        <v>7005</v>
      </c>
      <c r="E1029" s="630">
        <v>0</v>
      </c>
    </row>
    <row r="1030" spans="2:7" ht="18.75" x14ac:dyDescent="0.3">
      <c r="B1030" s="547">
        <f t="shared" si="102"/>
        <v>992</v>
      </c>
      <c r="D1030" s="1363" t="s">
        <v>4265</v>
      </c>
    </row>
    <row r="1031" spans="2:7" x14ac:dyDescent="0.25">
      <c r="B1031" s="547">
        <f t="shared" si="102"/>
        <v>993</v>
      </c>
      <c r="C1031" s="579" t="s">
        <v>4238</v>
      </c>
      <c r="D1031" s="579" t="str">
        <f>DESPORC!D1139</f>
        <v>REALIZAÇÃO DE NOVOS INVEST. DO PODER EXECUTIVO</v>
      </c>
      <c r="E1031" s="580"/>
      <c r="F1031" s="582"/>
      <c r="G1031" s="582"/>
    </row>
    <row r="1032" spans="2:7" x14ac:dyDescent="0.25">
      <c r="B1032" s="547">
        <f t="shared" si="102"/>
        <v>994</v>
      </c>
      <c r="D1032" s="564" t="s">
        <v>4117</v>
      </c>
      <c r="E1032" s="26">
        <v>0.01</v>
      </c>
    </row>
    <row r="1033" spans="2:7" x14ac:dyDescent="0.25">
      <c r="B1033" s="547">
        <f t="shared" si="102"/>
        <v>995</v>
      </c>
      <c r="D1033" s="564" t="s">
        <v>3610</v>
      </c>
      <c r="E1033" s="26">
        <v>0.01</v>
      </c>
    </row>
    <row r="1034" spans="2:7" x14ac:dyDescent="0.25">
      <c r="B1034" s="547">
        <f t="shared" si="102"/>
        <v>996</v>
      </c>
      <c r="D1034" s="564" t="s">
        <v>3613</v>
      </c>
      <c r="E1034" s="26">
        <v>0.01</v>
      </c>
    </row>
    <row r="1035" spans="2:7" x14ac:dyDescent="0.25">
      <c r="B1035" s="547">
        <f t="shared" si="102"/>
        <v>997</v>
      </c>
      <c r="D1035" s="564" t="s">
        <v>3614</v>
      </c>
      <c r="E1035" s="26">
        <v>0.01</v>
      </c>
    </row>
    <row r="1036" spans="2:7" x14ac:dyDescent="0.25">
      <c r="B1036" s="547">
        <f t="shared" si="102"/>
        <v>998</v>
      </c>
      <c r="D1036" s="564" t="s">
        <v>4118</v>
      </c>
      <c r="E1036" s="26">
        <v>0.01</v>
      </c>
    </row>
    <row r="1037" spans="2:7" x14ac:dyDescent="0.25">
      <c r="B1037" s="547">
        <f t="shared" si="102"/>
        <v>999</v>
      </c>
      <c r="D1037" s="564" t="s">
        <v>3618</v>
      </c>
      <c r="E1037" s="26">
        <v>0.01</v>
      </c>
    </row>
    <row r="1038" spans="2:7" x14ac:dyDescent="0.25">
      <c r="B1038" s="547">
        <f t="shared" si="102"/>
        <v>1000</v>
      </c>
      <c r="D1038" s="605" t="s">
        <v>4119</v>
      </c>
      <c r="E1038" s="26">
        <v>0.01</v>
      </c>
    </row>
    <row r="1039" spans="2:7" x14ac:dyDescent="0.25">
      <c r="B1039" s="547">
        <f t="shared" si="102"/>
        <v>1001</v>
      </c>
      <c r="D1039" s="605" t="s">
        <v>4122</v>
      </c>
      <c r="E1039" s="26">
        <v>0.01</v>
      </c>
    </row>
    <row r="1040" spans="2:7" x14ac:dyDescent="0.25">
      <c r="B1040" s="547">
        <f t="shared" si="102"/>
        <v>1002</v>
      </c>
      <c r="C1040" s="579" t="s">
        <v>4251</v>
      </c>
      <c r="D1040" s="579" t="str">
        <f>DESPORC!D1151</f>
        <v>GESTÃO , APOIO E MANUT., COORDEN. E PLANEJAMENTO</v>
      </c>
      <c r="E1040" s="580"/>
      <c r="F1040" s="582"/>
      <c r="G1040" s="582"/>
    </row>
    <row r="1041" spans="2:5" x14ac:dyDescent="0.25">
      <c r="B1041" s="547">
        <f t="shared" ref="B1041:B1104" si="103">B1040+1</f>
        <v>1003</v>
      </c>
      <c r="D1041" s="299" t="s">
        <v>3648</v>
      </c>
      <c r="E1041" s="25">
        <v>0.01</v>
      </c>
    </row>
    <row r="1042" spans="2:5" x14ac:dyDescent="0.25">
      <c r="B1042" s="547">
        <f t="shared" si="103"/>
        <v>1004</v>
      </c>
      <c r="D1042" s="564" t="s">
        <v>4261</v>
      </c>
      <c r="E1042" s="26"/>
    </row>
    <row r="1043" spans="2:5" x14ac:dyDescent="0.25">
      <c r="B1043" s="547">
        <f t="shared" si="103"/>
        <v>1005</v>
      </c>
      <c r="D1043" s="605" t="s">
        <v>4234</v>
      </c>
      <c r="E1043" s="613">
        <v>0.01</v>
      </c>
    </row>
    <row r="1044" spans="2:5" x14ac:dyDescent="0.25">
      <c r="B1044" s="547">
        <f t="shared" si="103"/>
        <v>1006</v>
      </c>
      <c r="D1044" s="299" t="s">
        <v>3649</v>
      </c>
      <c r="E1044" s="26"/>
    </row>
    <row r="1045" spans="2:5" x14ac:dyDescent="0.25">
      <c r="B1045" s="547">
        <f t="shared" si="103"/>
        <v>1007</v>
      </c>
      <c r="D1045" s="294" t="s">
        <v>4554</v>
      </c>
      <c r="E1045" s="613">
        <f>'FOPAG EXEC.'!E366*12</f>
        <v>16273.294326488867</v>
      </c>
    </row>
    <row r="1046" spans="2:5" x14ac:dyDescent="0.25">
      <c r="B1046" s="547">
        <f t="shared" si="103"/>
        <v>1008</v>
      </c>
      <c r="D1046" s="294" t="s">
        <v>4549</v>
      </c>
      <c r="E1046" s="26">
        <f>'FOPAG EXEC.'!E374*12</f>
        <v>26704.893253725328</v>
      </c>
    </row>
    <row r="1047" spans="2:5" x14ac:dyDescent="0.25">
      <c r="B1047" s="547">
        <f t="shared" si="103"/>
        <v>1009</v>
      </c>
      <c r="D1047" s="294" t="s">
        <v>3411</v>
      </c>
      <c r="E1047" s="26">
        <f>('FOPAG EXEC.'!E367*12)+'FOPAG EXEC.'!E368+'FOPAG EXEC.'!E369</f>
        <v>3073.8444838923419</v>
      </c>
    </row>
    <row r="1048" spans="2:5" x14ac:dyDescent="0.25">
      <c r="B1048" s="547">
        <f t="shared" si="103"/>
        <v>1010</v>
      </c>
      <c r="D1048" s="294" t="s">
        <v>4593</v>
      </c>
      <c r="E1048" s="26">
        <f>'FOPAG EXEC.'!E370</f>
        <v>452.03595351357967</v>
      </c>
    </row>
    <row r="1049" spans="2:5" x14ac:dyDescent="0.25">
      <c r="B1049" s="547">
        <f t="shared" si="103"/>
        <v>1011</v>
      </c>
      <c r="D1049" s="294" t="s">
        <v>4552</v>
      </c>
      <c r="E1049" s="613">
        <f>'FOPAG EXEC.'!E375</f>
        <v>741.80259038125905</v>
      </c>
    </row>
    <row r="1050" spans="2:5" x14ac:dyDescent="0.25">
      <c r="B1050" s="547">
        <f t="shared" si="103"/>
        <v>1012</v>
      </c>
      <c r="D1050" s="294" t="s">
        <v>3537</v>
      </c>
      <c r="E1050" s="613">
        <f>'FOPAG EXEC.'!E371</f>
        <v>1356.107860540739</v>
      </c>
    </row>
    <row r="1051" spans="2:5" x14ac:dyDescent="0.25">
      <c r="B1051" s="547">
        <f t="shared" si="103"/>
        <v>1013</v>
      </c>
      <c r="D1051" s="294" t="s">
        <v>3525</v>
      </c>
      <c r="E1051" s="613">
        <f>'FOPAG EXEC.'!E376</f>
        <v>2225.4077711437772</v>
      </c>
    </row>
    <row r="1052" spans="2:5" x14ac:dyDescent="0.25">
      <c r="B1052" s="547">
        <f t="shared" si="103"/>
        <v>1014</v>
      </c>
      <c r="D1052" s="294" t="s">
        <v>4124</v>
      </c>
      <c r="E1052" s="26">
        <f>'FOPAG EXEC.'!E378*12</f>
        <v>62101.338569622778</v>
      </c>
    </row>
    <row r="1053" spans="2:5" x14ac:dyDescent="0.25">
      <c r="B1053" s="547">
        <f t="shared" si="103"/>
        <v>1015</v>
      </c>
      <c r="D1053" s="294" t="s">
        <v>4126</v>
      </c>
      <c r="E1053" s="26">
        <f>'FOPAG EXEC.'!E380</f>
        <v>5175.1115474685648</v>
      </c>
    </row>
    <row r="1054" spans="2:5" x14ac:dyDescent="0.25">
      <c r="B1054" s="547">
        <f t="shared" si="103"/>
        <v>1016</v>
      </c>
      <c r="D1054" s="294" t="s">
        <v>4267</v>
      </c>
      <c r="E1054" s="26">
        <f>'FOPAG EXEC.'!E379</f>
        <v>1725.0371824895217</v>
      </c>
    </row>
    <row r="1055" spans="2:5" x14ac:dyDescent="0.25">
      <c r="B1055" s="547">
        <f t="shared" si="103"/>
        <v>1017</v>
      </c>
      <c r="D1055" s="299" t="s">
        <v>3666</v>
      </c>
      <c r="E1055" s="26"/>
    </row>
    <row r="1056" spans="2:5" x14ac:dyDescent="0.25">
      <c r="B1056" s="547">
        <f t="shared" si="103"/>
        <v>1018</v>
      </c>
      <c r="D1056" s="294" t="s">
        <v>4128</v>
      </c>
      <c r="E1056" s="26">
        <v>0</v>
      </c>
    </row>
    <row r="1057" spans="2:5" x14ac:dyDescent="0.25">
      <c r="B1057" s="547">
        <f t="shared" si="103"/>
        <v>1019</v>
      </c>
      <c r="D1057" s="299" t="s">
        <v>3675</v>
      </c>
      <c r="E1057" s="26">
        <f>200*12</f>
        <v>2400</v>
      </c>
    </row>
    <row r="1058" spans="2:5" x14ac:dyDescent="0.25">
      <c r="B1058" s="547">
        <f t="shared" si="103"/>
        <v>1020</v>
      </c>
      <c r="D1058" s="299" t="s">
        <v>2988</v>
      </c>
      <c r="E1058" s="26">
        <v>0.01</v>
      </c>
    </row>
    <row r="1059" spans="2:5" x14ac:dyDescent="0.25">
      <c r="B1059" s="547">
        <f t="shared" si="103"/>
        <v>1021</v>
      </c>
      <c r="D1059" s="299" t="s">
        <v>3679</v>
      </c>
      <c r="E1059" s="26">
        <v>0.01</v>
      </c>
    </row>
    <row r="1060" spans="2:5" x14ac:dyDescent="0.25">
      <c r="B1060" s="547">
        <f t="shared" si="103"/>
        <v>1022</v>
      </c>
      <c r="D1060" s="299" t="s">
        <v>2994</v>
      </c>
      <c r="E1060" s="26"/>
    </row>
    <row r="1061" spans="2:5" x14ac:dyDescent="0.25">
      <c r="B1061" s="547">
        <f t="shared" si="103"/>
        <v>1023</v>
      </c>
      <c r="D1061" s="294" t="s">
        <v>4130</v>
      </c>
      <c r="E1061" s="26">
        <v>1500</v>
      </c>
    </row>
    <row r="1062" spans="2:5" x14ac:dyDescent="0.25">
      <c r="B1062" s="547">
        <f t="shared" si="103"/>
        <v>1024</v>
      </c>
      <c r="D1062" s="299" t="s">
        <v>4131</v>
      </c>
      <c r="E1062" s="26">
        <f>8757.35/8*12</f>
        <v>13136.025000000001</v>
      </c>
    </row>
    <row r="1063" spans="2:5" x14ac:dyDescent="0.25">
      <c r="B1063" s="547">
        <f t="shared" si="103"/>
        <v>1025</v>
      </c>
      <c r="D1063" s="294" t="s">
        <v>4133</v>
      </c>
      <c r="E1063" s="26">
        <v>0</v>
      </c>
    </row>
    <row r="1064" spans="2:5" x14ac:dyDescent="0.25">
      <c r="B1064" s="547">
        <f t="shared" si="103"/>
        <v>1026</v>
      </c>
      <c r="D1064" s="294" t="s">
        <v>4136</v>
      </c>
      <c r="E1064" s="26">
        <v>0</v>
      </c>
    </row>
    <row r="1065" spans="2:5" x14ac:dyDescent="0.25">
      <c r="B1065" s="547">
        <f t="shared" si="103"/>
        <v>1027</v>
      </c>
      <c r="D1065" s="605" t="s">
        <v>4140</v>
      </c>
      <c r="E1065" s="26">
        <v>0</v>
      </c>
    </row>
    <row r="1066" spans="2:5" x14ac:dyDescent="0.25">
      <c r="B1066" s="547">
        <f t="shared" si="103"/>
        <v>1028</v>
      </c>
      <c r="D1066" s="605" t="s">
        <v>4139</v>
      </c>
      <c r="E1066" s="26">
        <v>0</v>
      </c>
    </row>
    <row r="1067" spans="2:5" x14ac:dyDescent="0.25">
      <c r="B1067" s="547">
        <f t="shared" si="103"/>
        <v>1029</v>
      </c>
      <c r="D1067" s="605" t="s">
        <v>4142</v>
      </c>
      <c r="E1067" s="26">
        <v>0</v>
      </c>
    </row>
    <row r="1068" spans="2:5" x14ac:dyDescent="0.25">
      <c r="B1068" s="547">
        <f t="shared" si="103"/>
        <v>1030</v>
      </c>
      <c r="D1068" s="605" t="s">
        <v>4144</v>
      </c>
      <c r="E1068" s="26">
        <v>0</v>
      </c>
    </row>
    <row r="1069" spans="2:5" x14ac:dyDescent="0.25">
      <c r="B1069" s="547">
        <f t="shared" si="103"/>
        <v>1031</v>
      </c>
      <c r="D1069" s="605" t="s">
        <v>4145</v>
      </c>
      <c r="E1069" s="26">
        <v>0</v>
      </c>
    </row>
    <row r="1070" spans="2:5" x14ac:dyDescent="0.25">
      <c r="B1070" s="547">
        <f t="shared" si="103"/>
        <v>1032</v>
      </c>
      <c r="D1070" s="605" t="s">
        <v>4146</v>
      </c>
      <c r="E1070" s="26">
        <v>0</v>
      </c>
    </row>
    <row r="1071" spans="2:5" x14ac:dyDescent="0.25">
      <c r="B1071" s="547">
        <f t="shared" si="103"/>
        <v>1033</v>
      </c>
      <c r="D1071" s="605" t="s">
        <v>4148</v>
      </c>
      <c r="E1071" s="26">
        <v>0</v>
      </c>
    </row>
    <row r="1072" spans="2:5" x14ac:dyDescent="0.25">
      <c r="B1072" s="547">
        <f t="shared" si="103"/>
        <v>1034</v>
      </c>
      <c r="D1072" s="605" t="s">
        <v>4150</v>
      </c>
      <c r="E1072" s="26">
        <v>0</v>
      </c>
    </row>
    <row r="1073" spans="2:5" x14ac:dyDescent="0.25">
      <c r="B1073" s="547">
        <f t="shared" si="103"/>
        <v>1035</v>
      </c>
      <c r="D1073" s="605" t="s">
        <v>3007</v>
      </c>
      <c r="E1073" s="26">
        <v>0</v>
      </c>
    </row>
    <row r="1074" spans="2:5" x14ac:dyDescent="0.25">
      <c r="B1074" s="547">
        <f t="shared" si="103"/>
        <v>1036</v>
      </c>
      <c r="D1074" s="605" t="s">
        <v>4153</v>
      </c>
      <c r="E1074" s="26">
        <v>0</v>
      </c>
    </row>
    <row r="1075" spans="2:5" x14ac:dyDescent="0.25">
      <c r="B1075" s="547">
        <f t="shared" si="103"/>
        <v>1037</v>
      </c>
      <c r="D1075" s="605" t="s">
        <v>3203</v>
      </c>
      <c r="E1075" s="26">
        <v>0</v>
      </c>
    </row>
    <row r="1076" spans="2:5" x14ac:dyDescent="0.25">
      <c r="B1076" s="547">
        <f t="shared" si="103"/>
        <v>1038</v>
      </c>
      <c r="D1076" s="605" t="s">
        <v>4156</v>
      </c>
      <c r="E1076" s="26">
        <v>0</v>
      </c>
    </row>
    <row r="1077" spans="2:5" x14ac:dyDescent="0.25">
      <c r="B1077" s="547">
        <f t="shared" si="103"/>
        <v>1039</v>
      </c>
      <c r="D1077" s="605" t="s">
        <v>4158</v>
      </c>
      <c r="E1077" s="26">
        <v>0</v>
      </c>
    </row>
    <row r="1078" spans="2:5" x14ac:dyDescent="0.25">
      <c r="B1078" s="547">
        <f t="shared" si="103"/>
        <v>1040</v>
      </c>
      <c r="D1078" s="605" t="s">
        <v>3865</v>
      </c>
      <c r="E1078" s="26">
        <v>0</v>
      </c>
    </row>
    <row r="1079" spans="2:5" x14ac:dyDescent="0.25">
      <c r="B1079" s="547">
        <f t="shared" si="103"/>
        <v>1041</v>
      </c>
      <c r="D1079" s="299" t="s">
        <v>3718</v>
      </c>
      <c r="E1079" s="26">
        <v>0</v>
      </c>
    </row>
    <row r="1080" spans="2:5" x14ac:dyDescent="0.25">
      <c r="B1080" s="547">
        <f t="shared" si="103"/>
        <v>1042</v>
      </c>
      <c r="D1080" s="605" t="s">
        <v>3472</v>
      </c>
      <c r="E1080" s="26">
        <v>300</v>
      </c>
    </row>
    <row r="1081" spans="2:5" x14ac:dyDescent="0.25">
      <c r="B1081" s="547">
        <f t="shared" si="103"/>
        <v>1043</v>
      </c>
      <c r="D1081" s="299" t="s">
        <v>3473</v>
      </c>
      <c r="E1081" s="26">
        <v>0.01</v>
      </c>
    </row>
    <row r="1082" spans="2:5" x14ac:dyDescent="0.25">
      <c r="B1082" s="547">
        <f t="shared" si="103"/>
        <v>1044</v>
      </c>
      <c r="D1082" s="299" t="s">
        <v>4161</v>
      </c>
      <c r="E1082" s="26"/>
    </row>
    <row r="1083" spans="2:5" x14ac:dyDescent="0.25">
      <c r="B1083" s="547">
        <f t="shared" si="103"/>
        <v>1045</v>
      </c>
      <c r="D1083" s="605" t="s">
        <v>4163</v>
      </c>
      <c r="E1083" s="26">
        <v>0.01</v>
      </c>
    </row>
    <row r="1084" spans="2:5" x14ac:dyDescent="0.25">
      <c r="B1084" s="547">
        <f t="shared" si="103"/>
        <v>1046</v>
      </c>
      <c r="D1084" s="605" t="s">
        <v>3246</v>
      </c>
      <c r="E1084" s="26">
        <f>9170.7/8*12</f>
        <v>13756.050000000001</v>
      </c>
    </row>
    <row r="1085" spans="2:5" x14ac:dyDescent="0.25">
      <c r="B1085" s="547">
        <f t="shared" si="103"/>
        <v>1047</v>
      </c>
      <c r="D1085" s="299" t="s">
        <v>4165</v>
      </c>
      <c r="E1085" s="26">
        <f>18483.97/8*12</f>
        <v>27725.955000000002</v>
      </c>
    </row>
    <row r="1086" spans="2:5" x14ac:dyDescent="0.25">
      <c r="B1086" s="547">
        <f t="shared" si="103"/>
        <v>1048</v>
      </c>
      <c r="D1086" s="605" t="s">
        <v>4167</v>
      </c>
      <c r="E1086" s="26">
        <v>0</v>
      </c>
    </row>
    <row r="1087" spans="2:5" x14ac:dyDescent="0.25">
      <c r="B1087" s="547">
        <f t="shared" si="103"/>
        <v>1049</v>
      </c>
      <c r="D1087" s="605" t="s">
        <v>4169</v>
      </c>
      <c r="E1087" s="26">
        <v>0</v>
      </c>
    </row>
    <row r="1088" spans="2:5" x14ac:dyDescent="0.25">
      <c r="B1088" s="547">
        <f t="shared" si="103"/>
        <v>1050</v>
      </c>
      <c r="D1088" s="605" t="s">
        <v>4171</v>
      </c>
      <c r="E1088" s="26">
        <v>0</v>
      </c>
    </row>
    <row r="1089" spans="2:5" x14ac:dyDescent="0.25">
      <c r="B1089" s="547">
        <f t="shared" si="103"/>
        <v>1051</v>
      </c>
      <c r="D1089" s="605" t="s">
        <v>4173</v>
      </c>
      <c r="E1089" s="26">
        <v>0</v>
      </c>
    </row>
    <row r="1090" spans="2:5" x14ac:dyDescent="0.25">
      <c r="B1090" s="547">
        <f t="shared" si="103"/>
        <v>1052</v>
      </c>
      <c r="D1090" s="605" t="s">
        <v>3485</v>
      </c>
      <c r="E1090" s="26">
        <v>0</v>
      </c>
    </row>
    <row r="1091" spans="2:5" x14ac:dyDescent="0.25">
      <c r="B1091" s="547">
        <f t="shared" si="103"/>
        <v>1053</v>
      </c>
      <c r="D1091" s="605" t="s">
        <v>4176</v>
      </c>
      <c r="E1091" s="26">
        <v>0</v>
      </c>
    </row>
    <row r="1092" spans="2:5" x14ac:dyDescent="0.25">
      <c r="B1092" s="547">
        <f t="shared" si="103"/>
        <v>1054</v>
      </c>
      <c r="D1092" s="605" t="s">
        <v>3036</v>
      </c>
      <c r="E1092" s="26">
        <v>0</v>
      </c>
    </row>
    <row r="1093" spans="2:5" x14ac:dyDescent="0.25">
      <c r="B1093" s="547">
        <f t="shared" si="103"/>
        <v>1055</v>
      </c>
      <c r="D1093" s="605" t="s">
        <v>4179</v>
      </c>
      <c r="E1093" s="26">
        <v>0</v>
      </c>
    </row>
    <row r="1094" spans="2:5" x14ac:dyDescent="0.25">
      <c r="B1094" s="547">
        <f t="shared" si="103"/>
        <v>1056</v>
      </c>
      <c r="D1094" s="605" t="s">
        <v>4181</v>
      </c>
      <c r="E1094" s="26">
        <v>0</v>
      </c>
    </row>
    <row r="1095" spans="2:5" x14ac:dyDescent="0.25">
      <c r="B1095" s="547">
        <f t="shared" si="103"/>
        <v>1057</v>
      </c>
      <c r="D1095" s="605" t="s">
        <v>3986</v>
      </c>
      <c r="E1095" s="26">
        <v>0</v>
      </c>
    </row>
    <row r="1096" spans="2:5" x14ac:dyDescent="0.25">
      <c r="B1096" s="547">
        <f t="shared" si="103"/>
        <v>1058</v>
      </c>
      <c r="D1096" s="605" t="s">
        <v>4184</v>
      </c>
      <c r="E1096" s="26">
        <v>0</v>
      </c>
    </row>
    <row r="1097" spans="2:5" x14ac:dyDescent="0.25">
      <c r="B1097" s="547">
        <f t="shared" si="103"/>
        <v>1059</v>
      </c>
      <c r="D1097" s="605" t="s">
        <v>3224</v>
      </c>
      <c r="E1097" s="26">
        <v>0</v>
      </c>
    </row>
    <row r="1098" spans="2:5" x14ac:dyDescent="0.25">
      <c r="B1098" s="547">
        <f t="shared" si="103"/>
        <v>1060</v>
      </c>
      <c r="D1098" s="605" t="s">
        <v>3321</v>
      </c>
      <c r="E1098" s="26">
        <v>0</v>
      </c>
    </row>
    <row r="1099" spans="2:5" x14ac:dyDescent="0.25">
      <c r="B1099" s="547">
        <f t="shared" si="103"/>
        <v>1061</v>
      </c>
      <c r="D1099" s="564" t="s">
        <v>4188</v>
      </c>
      <c r="E1099" s="26"/>
    </row>
    <row r="1100" spans="2:5" x14ac:dyDescent="0.25">
      <c r="B1100" s="547">
        <f t="shared" si="103"/>
        <v>1062</v>
      </c>
      <c r="D1100" s="605" t="s">
        <v>3359</v>
      </c>
      <c r="E1100" s="26">
        <v>8000</v>
      </c>
    </row>
    <row r="1101" spans="2:5" x14ac:dyDescent="0.25">
      <c r="B1101" s="547">
        <f t="shared" si="103"/>
        <v>1063</v>
      </c>
      <c r="D1101" s="564" t="s">
        <v>3736</v>
      </c>
      <c r="E1101" s="26"/>
    </row>
    <row r="1102" spans="2:5" x14ac:dyDescent="0.25">
      <c r="B1102" s="547">
        <f t="shared" si="103"/>
        <v>1064</v>
      </c>
      <c r="D1102" s="294" t="s">
        <v>4190</v>
      </c>
      <c r="E1102" s="26">
        <v>100</v>
      </c>
    </row>
    <row r="1103" spans="2:5" x14ac:dyDescent="0.25">
      <c r="B1103" s="547">
        <f t="shared" si="103"/>
        <v>1065</v>
      </c>
      <c r="D1103" s="294" t="s">
        <v>4192</v>
      </c>
      <c r="E1103" s="26">
        <v>200</v>
      </c>
    </row>
    <row r="1104" spans="2:5" x14ac:dyDescent="0.25">
      <c r="B1104" s="547">
        <f t="shared" si="103"/>
        <v>1066</v>
      </c>
      <c r="D1104" s="294" t="s">
        <v>4194</v>
      </c>
      <c r="E1104" s="26">
        <v>200</v>
      </c>
    </row>
    <row r="1105" spans="2:7" x14ac:dyDescent="0.25">
      <c r="B1105" s="547">
        <f t="shared" ref="B1105:B1168" si="104">B1104+1</f>
        <v>1067</v>
      </c>
      <c r="D1105" s="564" t="s">
        <v>3592</v>
      </c>
      <c r="E1105" s="26">
        <f>'FOPAG EXEC.'!E372*12</f>
        <v>1438.32</v>
      </c>
    </row>
    <row r="1106" spans="2:7" x14ac:dyDescent="0.25">
      <c r="B1106" s="547">
        <f t="shared" si="104"/>
        <v>1068</v>
      </c>
      <c r="D1106" s="564" t="s">
        <v>3742</v>
      </c>
      <c r="E1106" s="26">
        <v>0.01</v>
      </c>
    </row>
    <row r="1107" spans="2:7" x14ac:dyDescent="0.25">
      <c r="B1107" s="547">
        <f t="shared" si="104"/>
        <v>1069</v>
      </c>
      <c r="D1107" s="564" t="s">
        <v>3060</v>
      </c>
      <c r="E1107" s="26"/>
    </row>
    <row r="1108" spans="2:7" x14ac:dyDescent="0.25">
      <c r="B1108" s="547">
        <f t="shared" si="104"/>
        <v>1070</v>
      </c>
      <c r="D1108" s="294" t="s">
        <v>4196</v>
      </c>
      <c r="E1108" s="26">
        <v>500</v>
      </c>
    </row>
    <row r="1109" spans="2:7" x14ac:dyDescent="0.25">
      <c r="B1109" s="547">
        <f t="shared" si="104"/>
        <v>1071</v>
      </c>
      <c r="D1109" s="564" t="s">
        <v>4197</v>
      </c>
      <c r="E1109" s="26">
        <v>0.01</v>
      </c>
    </row>
    <row r="1110" spans="2:7" x14ac:dyDescent="0.25">
      <c r="B1110" s="547">
        <f t="shared" si="104"/>
        <v>1072</v>
      </c>
      <c r="D1110" s="564" t="s">
        <v>3130</v>
      </c>
      <c r="E1110" s="26">
        <v>0.01</v>
      </c>
    </row>
    <row r="1111" spans="2:7" x14ac:dyDescent="0.25">
      <c r="B1111" s="547">
        <f t="shared" si="104"/>
        <v>1073</v>
      </c>
      <c r="D1111" s="564" t="s">
        <v>3152</v>
      </c>
      <c r="E1111" s="26">
        <v>0.01</v>
      </c>
    </row>
    <row r="1112" spans="2:7" x14ac:dyDescent="0.25">
      <c r="B1112" s="547">
        <f t="shared" si="104"/>
        <v>1074</v>
      </c>
      <c r="D1112" s="12" t="s">
        <v>3600</v>
      </c>
    </row>
    <row r="1113" spans="2:7" x14ac:dyDescent="0.25">
      <c r="B1113" s="547">
        <f t="shared" si="104"/>
        <v>1075</v>
      </c>
      <c r="C1113" s="579" t="s">
        <v>4251</v>
      </c>
      <c r="D1113" s="579" t="str">
        <f>DESPORC!D1226</f>
        <v>GESTÃO , APOIO E MANUT., COORDEN. E PLANEJAMENTO</v>
      </c>
      <c r="E1113" s="580"/>
      <c r="F1113" s="582"/>
      <c r="G1113" s="582"/>
    </row>
    <row r="1114" spans="2:7" x14ac:dyDescent="0.25">
      <c r="B1114" s="547">
        <f t="shared" si="104"/>
        <v>1076</v>
      </c>
      <c r="D1114" s="605" t="s">
        <v>3044</v>
      </c>
      <c r="E1114" s="26">
        <v>0.01</v>
      </c>
    </row>
    <row r="1115" spans="2:7" x14ac:dyDescent="0.25">
      <c r="B1115" s="547">
        <f t="shared" si="104"/>
        <v>1077</v>
      </c>
      <c r="D1115" s="605" t="s">
        <v>3355</v>
      </c>
      <c r="E1115" s="26">
        <v>0.01</v>
      </c>
    </row>
    <row r="1116" spans="2:7" x14ac:dyDescent="0.25">
      <c r="B1116" s="547">
        <f t="shared" si="104"/>
        <v>1078</v>
      </c>
      <c r="D1116" s="605" t="s">
        <v>3356</v>
      </c>
      <c r="E1116" s="26">
        <v>0.01</v>
      </c>
    </row>
    <row r="1117" spans="2:7" x14ac:dyDescent="0.25">
      <c r="B1117" s="547">
        <f t="shared" si="104"/>
        <v>1079</v>
      </c>
      <c r="D1117" s="605" t="s">
        <v>3357</v>
      </c>
      <c r="E1117" s="26">
        <v>1500</v>
      </c>
    </row>
    <row r="1118" spans="2:7" s="12" customFormat="1" x14ac:dyDescent="0.25">
      <c r="B1118" s="547">
        <f t="shared" si="104"/>
        <v>1080</v>
      </c>
      <c r="C1118" s="579" t="s">
        <v>4251</v>
      </c>
      <c r="D1118" s="579" t="str">
        <f>DESPORC!D1235</f>
        <v>GESTÃO , APOIO E MANUT., COORDEN. E PLANEJAMENTO</v>
      </c>
      <c r="E1118" s="582"/>
      <c r="F1118" s="579"/>
      <c r="G1118" s="579"/>
    </row>
    <row r="1119" spans="2:7" ht="15.75" x14ac:dyDescent="0.25">
      <c r="B1119" s="547">
        <f t="shared" si="104"/>
        <v>1081</v>
      </c>
      <c r="D1119" s="624" t="s">
        <v>5105</v>
      </c>
      <c r="E1119" s="630">
        <v>0.01</v>
      </c>
    </row>
    <row r="1120" spans="2:7" ht="15.75" x14ac:dyDescent="0.25">
      <c r="B1120" s="547">
        <f t="shared" si="104"/>
        <v>1082</v>
      </c>
      <c r="D1120" s="624" t="s">
        <v>5106</v>
      </c>
      <c r="E1120" s="630">
        <v>0.01</v>
      </c>
    </row>
    <row r="1121" spans="2:7" ht="15.75" x14ac:dyDescent="0.25">
      <c r="B1121" s="547">
        <f t="shared" si="104"/>
        <v>1083</v>
      </c>
      <c r="D1121" s="688" t="s">
        <v>5870</v>
      </c>
      <c r="E1121" s="630">
        <v>0.01</v>
      </c>
    </row>
    <row r="1122" spans="2:7" ht="15.75" x14ac:dyDescent="0.25">
      <c r="B1122" s="547">
        <f t="shared" si="104"/>
        <v>1084</v>
      </c>
      <c r="D1122" s="624" t="s">
        <v>5107</v>
      </c>
      <c r="E1122" s="630">
        <v>0.01</v>
      </c>
    </row>
    <row r="1123" spans="2:7" ht="15.75" x14ac:dyDescent="0.25">
      <c r="B1123" s="547">
        <f t="shared" si="104"/>
        <v>1085</v>
      </c>
      <c r="D1123" s="688" t="s">
        <v>5871</v>
      </c>
      <c r="E1123" s="630">
        <v>0.01</v>
      </c>
    </row>
    <row r="1124" spans="2:7" ht="18.75" x14ac:dyDescent="0.3">
      <c r="B1124" s="547">
        <f t="shared" si="104"/>
        <v>1086</v>
      </c>
      <c r="D1124" s="1366" t="s">
        <v>4502</v>
      </c>
      <c r="E1124" s="630"/>
    </row>
    <row r="1125" spans="2:7" x14ac:dyDescent="0.25">
      <c r="B1125" s="547">
        <f t="shared" si="104"/>
        <v>1087</v>
      </c>
      <c r="D1125" s="616" t="s">
        <v>4496</v>
      </c>
    </row>
    <row r="1126" spans="2:7" x14ac:dyDescent="0.25">
      <c r="B1126" s="547">
        <f t="shared" si="104"/>
        <v>1088</v>
      </c>
      <c r="C1126" s="579" t="s">
        <v>4238</v>
      </c>
      <c r="D1126" s="579" t="str">
        <f>DESPORC!D1254</f>
        <v>NOVOS INVESTIMENTOS EM INFRAESTRUTURA</v>
      </c>
      <c r="E1126" s="580"/>
      <c r="F1126" s="582"/>
      <c r="G1126" s="582"/>
    </row>
    <row r="1127" spans="2:7" x14ac:dyDescent="0.25">
      <c r="B1127" s="547">
        <f t="shared" si="104"/>
        <v>1089</v>
      </c>
      <c r="D1127" s="564" t="s">
        <v>4269</v>
      </c>
      <c r="E1127" s="26">
        <v>0.01</v>
      </c>
    </row>
    <row r="1128" spans="2:7" x14ac:dyDescent="0.25">
      <c r="B1128" s="547">
        <f t="shared" si="104"/>
        <v>1090</v>
      </c>
      <c r="D1128" s="564" t="s">
        <v>4270</v>
      </c>
      <c r="E1128" s="26">
        <v>0.01</v>
      </c>
    </row>
    <row r="1129" spans="2:7" x14ac:dyDescent="0.25">
      <c r="B1129" s="547">
        <f t="shared" si="104"/>
        <v>1091</v>
      </c>
      <c r="D1129" s="564" t="s">
        <v>4271</v>
      </c>
      <c r="E1129" s="26">
        <v>0.01</v>
      </c>
    </row>
    <row r="1130" spans="2:7" x14ac:dyDescent="0.25">
      <c r="B1130" s="547">
        <f t="shared" si="104"/>
        <v>1092</v>
      </c>
      <c r="D1130" s="564" t="s">
        <v>4272</v>
      </c>
      <c r="E1130" s="26">
        <v>0.01</v>
      </c>
    </row>
    <row r="1131" spans="2:7" x14ac:dyDescent="0.25">
      <c r="B1131" s="547">
        <f t="shared" si="104"/>
        <v>1093</v>
      </c>
      <c r="D1131" s="564" t="s">
        <v>4273</v>
      </c>
      <c r="E1131" s="26">
        <v>0.01</v>
      </c>
    </row>
    <row r="1132" spans="2:7" x14ac:dyDescent="0.25">
      <c r="B1132" s="547">
        <f t="shared" si="104"/>
        <v>1094</v>
      </c>
      <c r="D1132" s="564" t="s">
        <v>4274</v>
      </c>
      <c r="E1132" s="26">
        <v>0.01</v>
      </c>
    </row>
    <row r="1133" spans="2:7" x14ac:dyDescent="0.25">
      <c r="B1133" s="547">
        <f t="shared" si="104"/>
        <v>1095</v>
      </c>
      <c r="C1133" s="579" t="s">
        <v>4506</v>
      </c>
      <c r="D1133" s="579" t="str">
        <f>DESPORC!D1264</f>
        <v>NOVOS INVEST. PARA DESENV. AG. FAM. E AGRONEGOCIO</v>
      </c>
      <c r="E1133" s="580"/>
      <c r="F1133" s="582"/>
      <c r="G1133" s="582"/>
    </row>
    <row r="1134" spans="2:7" x14ac:dyDescent="0.25">
      <c r="B1134" s="547">
        <f t="shared" si="104"/>
        <v>1096</v>
      </c>
      <c r="D1134" s="564" t="s">
        <v>4277</v>
      </c>
      <c r="E1134" s="26">
        <v>1</v>
      </c>
    </row>
    <row r="1135" spans="2:7" x14ac:dyDescent="0.25">
      <c r="B1135" s="547">
        <f t="shared" si="104"/>
        <v>1097</v>
      </c>
      <c r="D1135" s="564" t="s">
        <v>4504</v>
      </c>
      <c r="E1135" s="612">
        <f>E1136</f>
        <v>1.98</v>
      </c>
    </row>
    <row r="1136" spans="2:7" x14ac:dyDescent="0.25">
      <c r="B1136" s="547">
        <f t="shared" si="104"/>
        <v>1098</v>
      </c>
      <c r="D1136" s="565" t="s">
        <v>4504</v>
      </c>
      <c r="E1136" s="1368">
        <f>ER!E565+ER!E566-E1153-E1144</f>
        <v>1.98</v>
      </c>
    </row>
    <row r="1137" spans="2:5" x14ac:dyDescent="0.25">
      <c r="B1137" s="547">
        <f t="shared" si="104"/>
        <v>1099</v>
      </c>
      <c r="D1137" s="564" t="s">
        <v>4240</v>
      </c>
      <c r="E1137" s="612">
        <v>0.01</v>
      </c>
    </row>
    <row r="1138" spans="2:5" x14ac:dyDescent="0.25">
      <c r="B1138" s="547">
        <f t="shared" si="104"/>
        <v>1100</v>
      </c>
      <c r="D1138" s="564" t="s">
        <v>4279</v>
      </c>
      <c r="E1138" s="612">
        <v>0.01</v>
      </c>
    </row>
    <row r="1139" spans="2:5" x14ac:dyDescent="0.25">
      <c r="B1139" s="547">
        <f t="shared" si="104"/>
        <v>1101</v>
      </c>
      <c r="D1139" s="564" t="s">
        <v>4280</v>
      </c>
      <c r="E1139" s="612">
        <f>SUM(ER!E570,ER!E571)-E1146</f>
        <v>1.99</v>
      </c>
    </row>
    <row r="1140" spans="2:5" x14ac:dyDescent="0.25">
      <c r="B1140" s="547">
        <f t="shared" si="104"/>
        <v>1102</v>
      </c>
      <c r="D1140" s="564" t="s">
        <v>4281</v>
      </c>
      <c r="E1140" s="612">
        <v>0.01</v>
      </c>
    </row>
    <row r="1141" spans="2:5" x14ac:dyDescent="0.25">
      <c r="B1141" s="547">
        <f t="shared" si="104"/>
        <v>1103</v>
      </c>
      <c r="D1141" s="564" t="s">
        <v>3562</v>
      </c>
      <c r="E1141" s="26">
        <v>0.01</v>
      </c>
    </row>
    <row r="1142" spans="2:5" x14ac:dyDescent="0.25">
      <c r="B1142" s="547">
        <f t="shared" si="104"/>
        <v>1104</v>
      </c>
      <c r="D1142" s="564" t="s">
        <v>4161</v>
      </c>
      <c r="E1142" s="26">
        <v>0.01</v>
      </c>
    </row>
    <row r="1143" spans="2:5" x14ac:dyDescent="0.25">
      <c r="B1143" s="547">
        <f t="shared" si="104"/>
        <v>1105</v>
      </c>
      <c r="D1143" s="564" t="s">
        <v>4165</v>
      </c>
      <c r="E1143" s="26">
        <v>0.01</v>
      </c>
    </row>
    <row r="1144" spans="2:5" x14ac:dyDescent="0.25">
      <c r="B1144" s="547">
        <f t="shared" si="104"/>
        <v>1106</v>
      </c>
      <c r="D1144" s="564" t="s">
        <v>4282</v>
      </c>
      <c r="E1144" s="612">
        <v>0.01</v>
      </c>
    </row>
    <row r="1145" spans="2:5" x14ac:dyDescent="0.25">
      <c r="B1145" s="547">
        <f t="shared" si="104"/>
        <v>1107</v>
      </c>
      <c r="D1145" s="564" t="s">
        <v>4283</v>
      </c>
      <c r="E1145" s="26">
        <v>0.01</v>
      </c>
    </row>
    <row r="1146" spans="2:5" x14ac:dyDescent="0.25">
      <c r="B1146" s="547">
        <f t="shared" si="104"/>
        <v>1108</v>
      </c>
      <c r="D1146" s="564" t="s">
        <v>4284</v>
      </c>
      <c r="E1146" s="612">
        <v>0.01</v>
      </c>
    </row>
    <row r="1147" spans="2:5" x14ac:dyDescent="0.25">
      <c r="B1147" s="547">
        <f t="shared" si="104"/>
        <v>1109</v>
      </c>
      <c r="D1147" s="564" t="s">
        <v>4285</v>
      </c>
      <c r="E1147" s="612">
        <f>ER!E550-E1140</f>
        <v>29999.99</v>
      </c>
    </row>
    <row r="1148" spans="2:5" x14ac:dyDescent="0.25">
      <c r="B1148" s="547">
        <f t="shared" si="104"/>
        <v>1110</v>
      </c>
      <c r="D1148" s="564" t="s">
        <v>4505</v>
      </c>
      <c r="E1148" s="612">
        <f>ER!E528+ER!E533+ER!E578-E1137</f>
        <v>500000.99</v>
      </c>
    </row>
    <row r="1149" spans="2:5" x14ac:dyDescent="0.25">
      <c r="B1149" s="547">
        <f t="shared" si="104"/>
        <v>1111</v>
      </c>
      <c r="D1149" s="564" t="s">
        <v>4286</v>
      </c>
      <c r="E1149" s="26"/>
    </row>
    <row r="1150" spans="2:5" x14ac:dyDescent="0.25">
      <c r="B1150" s="547">
        <f t="shared" si="104"/>
        <v>1112</v>
      </c>
      <c r="D1150" s="565" t="s">
        <v>4512</v>
      </c>
      <c r="E1150" s="26">
        <v>0.01</v>
      </c>
    </row>
    <row r="1151" spans="2:5" x14ac:dyDescent="0.25">
      <c r="B1151" s="547">
        <f t="shared" si="104"/>
        <v>1113</v>
      </c>
      <c r="D1151" s="565" t="s">
        <v>4288</v>
      </c>
      <c r="E1151" s="26">
        <v>0.01</v>
      </c>
    </row>
    <row r="1152" spans="2:5" x14ac:dyDescent="0.25">
      <c r="B1152" s="547">
        <f t="shared" si="104"/>
        <v>1114</v>
      </c>
      <c r="D1152" s="564" t="s">
        <v>4503</v>
      </c>
      <c r="E1152" s="26">
        <f>SUM(ER!E529,ER!E530,ER!E531)</f>
        <v>554000</v>
      </c>
    </row>
    <row r="1153" spans="2:7" x14ac:dyDescent="0.25">
      <c r="B1153" s="547">
        <f t="shared" si="104"/>
        <v>1115</v>
      </c>
      <c r="D1153" s="564" t="s">
        <v>4291</v>
      </c>
      <c r="E1153" s="26">
        <f>E1154</f>
        <v>0.01</v>
      </c>
    </row>
    <row r="1154" spans="2:7" x14ac:dyDescent="0.25">
      <c r="B1154" s="547">
        <f t="shared" si="104"/>
        <v>1116</v>
      </c>
      <c r="D1154" s="565" t="s">
        <v>4292</v>
      </c>
      <c r="E1154" s="26">
        <v>0.01</v>
      </c>
    </row>
    <row r="1155" spans="2:7" x14ac:dyDescent="0.25">
      <c r="B1155" s="547">
        <f t="shared" si="104"/>
        <v>1117</v>
      </c>
      <c r="D1155" s="564" t="s">
        <v>4293</v>
      </c>
      <c r="E1155" s="26">
        <f>ER!E525+ER!E567-E1138-E1145</f>
        <v>100000.98000000001</v>
      </c>
    </row>
    <row r="1156" spans="2:7" x14ac:dyDescent="0.25">
      <c r="B1156" s="547">
        <f t="shared" si="104"/>
        <v>1118</v>
      </c>
      <c r="D1156" s="564" t="s">
        <v>4294</v>
      </c>
      <c r="E1156" s="26">
        <f>ER!E570+ER!E571</f>
        <v>2</v>
      </c>
    </row>
    <row r="1157" spans="2:7" x14ac:dyDescent="0.25">
      <c r="B1157" s="547">
        <f t="shared" si="104"/>
        <v>1119</v>
      </c>
      <c r="D1157" s="564" t="s">
        <v>4514</v>
      </c>
      <c r="E1157" s="26">
        <f>ER!E550+ER!E577-E1140-E1147</f>
        <v>1</v>
      </c>
    </row>
    <row r="1158" spans="2:7" x14ac:dyDescent="0.25">
      <c r="B1158" s="547">
        <f t="shared" si="104"/>
        <v>1120</v>
      </c>
      <c r="D1158" s="564" t="s">
        <v>4295</v>
      </c>
      <c r="E1158" s="26"/>
    </row>
    <row r="1159" spans="2:7" x14ac:dyDescent="0.25">
      <c r="B1159" s="547">
        <f t="shared" si="104"/>
        <v>1121</v>
      </c>
      <c r="D1159" s="565" t="s">
        <v>4507</v>
      </c>
      <c r="E1159" s="623">
        <v>0.01</v>
      </c>
    </row>
    <row r="1160" spans="2:7" x14ac:dyDescent="0.25">
      <c r="B1160" s="547">
        <f t="shared" si="104"/>
        <v>1122</v>
      </c>
      <c r="D1160" s="565" t="s">
        <v>4508</v>
      </c>
      <c r="E1160" s="623">
        <v>0.01</v>
      </c>
    </row>
    <row r="1161" spans="2:7" x14ac:dyDescent="0.25">
      <c r="B1161" s="547">
        <f t="shared" si="104"/>
        <v>1123</v>
      </c>
      <c r="D1161" s="565" t="s">
        <v>4509</v>
      </c>
      <c r="E1161" s="623">
        <v>0.01</v>
      </c>
    </row>
    <row r="1162" spans="2:7" x14ac:dyDescent="0.25">
      <c r="B1162" s="547">
        <f t="shared" si="104"/>
        <v>1124</v>
      </c>
      <c r="D1162" s="565" t="s">
        <v>4511</v>
      </c>
      <c r="E1162" s="623">
        <v>0.01</v>
      </c>
    </row>
    <row r="1163" spans="2:7" x14ac:dyDescent="0.25">
      <c r="B1163" s="547">
        <f t="shared" si="104"/>
        <v>1125</v>
      </c>
      <c r="D1163" s="565" t="s">
        <v>4510</v>
      </c>
      <c r="E1163" s="623">
        <v>0.01</v>
      </c>
    </row>
    <row r="1164" spans="2:7" x14ac:dyDescent="0.25">
      <c r="B1164" s="547">
        <f t="shared" si="104"/>
        <v>1126</v>
      </c>
      <c r="D1164" s="565" t="s">
        <v>4513</v>
      </c>
      <c r="E1164" s="623">
        <v>0.01</v>
      </c>
    </row>
    <row r="1165" spans="2:7" x14ac:dyDescent="0.25">
      <c r="B1165" s="547">
        <f t="shared" si="104"/>
        <v>1127</v>
      </c>
      <c r="D1165" s="564" t="s">
        <v>4498</v>
      </c>
      <c r="E1165" s="26"/>
    </row>
    <row r="1166" spans="2:7" x14ac:dyDescent="0.25">
      <c r="B1166" s="547">
        <f t="shared" si="104"/>
        <v>1128</v>
      </c>
      <c r="C1166" s="579" t="s">
        <v>4518</v>
      </c>
      <c r="D1166" s="579" t="str">
        <f>DESPORC!D1299</f>
        <v>PROMOÇÃO E APOIO A AGIC. FAM. E DO AGRONEGÓCIO</v>
      </c>
      <c r="E1166" s="580"/>
      <c r="F1166" s="582"/>
      <c r="G1166" s="582"/>
    </row>
    <row r="1167" spans="2:7" x14ac:dyDescent="0.25">
      <c r="B1167" s="547">
        <f t="shared" si="104"/>
        <v>1129</v>
      </c>
      <c r="D1167" s="564" t="s">
        <v>4202</v>
      </c>
    </row>
    <row r="1168" spans="2:7" x14ac:dyDescent="0.25">
      <c r="B1168" s="547">
        <f t="shared" si="104"/>
        <v>1130</v>
      </c>
      <c r="D1168" s="614" t="s">
        <v>4110</v>
      </c>
      <c r="E1168" s="26">
        <v>0.01</v>
      </c>
    </row>
    <row r="1169" spans="2:7" x14ac:dyDescent="0.25">
      <c r="B1169" s="547">
        <f t="shared" ref="B1169:B1232" si="105">B1168+1</f>
        <v>1131</v>
      </c>
      <c r="D1169" s="614" t="s">
        <v>4111</v>
      </c>
      <c r="E1169" s="26">
        <v>1</v>
      </c>
    </row>
    <row r="1170" spans="2:7" ht="30" x14ac:dyDescent="0.25">
      <c r="B1170" s="547">
        <f t="shared" si="105"/>
        <v>1132</v>
      </c>
      <c r="D1170" s="614" t="s">
        <v>4112</v>
      </c>
      <c r="E1170" s="26">
        <v>1</v>
      </c>
    </row>
    <row r="1171" spans="2:7" x14ac:dyDescent="0.25">
      <c r="B1171" s="547">
        <f t="shared" si="105"/>
        <v>1133</v>
      </c>
      <c r="D1171" s="614" t="s">
        <v>4113</v>
      </c>
      <c r="E1171" s="26">
        <v>1000</v>
      </c>
    </row>
    <row r="1172" spans="2:7" s="12" customFormat="1" x14ac:dyDescent="0.25">
      <c r="B1172" s="547">
        <f t="shared" si="105"/>
        <v>1134</v>
      </c>
      <c r="C1172" s="579" t="s">
        <v>4518</v>
      </c>
      <c r="D1172" s="579" t="str">
        <f>DESPORC!D1308</f>
        <v>PROMOÇÃO E APOIO A AGIC. FAM. E DO AGRONEGÓCIO</v>
      </c>
      <c r="E1172" s="582"/>
      <c r="F1172" s="579"/>
      <c r="G1172" s="579"/>
    </row>
    <row r="1173" spans="2:7" ht="15.75" x14ac:dyDescent="0.25">
      <c r="B1173" s="547">
        <f t="shared" si="105"/>
        <v>1135</v>
      </c>
      <c r="D1173" s="624" t="s">
        <v>5105</v>
      </c>
      <c r="E1173" s="630">
        <v>0.01</v>
      </c>
    </row>
    <row r="1174" spans="2:7" ht="15.75" x14ac:dyDescent="0.25">
      <c r="B1174" s="547">
        <f t="shared" si="105"/>
        <v>1136</v>
      </c>
      <c r="D1174" s="624" t="s">
        <v>5106</v>
      </c>
      <c r="E1174" s="630">
        <v>0.01</v>
      </c>
    </row>
    <row r="1175" spans="2:7" ht="31.5" x14ac:dyDescent="0.25">
      <c r="B1175" s="547">
        <f t="shared" si="105"/>
        <v>1137</v>
      </c>
      <c r="D1175" s="688" t="s">
        <v>5879</v>
      </c>
      <c r="E1175" s="630">
        <v>0.01</v>
      </c>
    </row>
    <row r="1176" spans="2:7" ht="15.75" x14ac:dyDescent="0.25">
      <c r="B1176" s="547">
        <f t="shared" si="105"/>
        <v>1138</v>
      </c>
      <c r="D1176" s="624" t="s">
        <v>5107</v>
      </c>
      <c r="E1176" s="630">
        <v>0.01</v>
      </c>
    </row>
    <row r="1177" spans="2:7" ht="31.5" x14ac:dyDescent="0.25">
      <c r="B1177" s="547">
        <f t="shared" si="105"/>
        <v>1139</v>
      </c>
      <c r="D1177" s="688" t="s">
        <v>5881</v>
      </c>
      <c r="E1177" s="630">
        <v>0.01</v>
      </c>
    </row>
    <row r="1178" spans="2:7" x14ac:dyDescent="0.25">
      <c r="B1178" s="547">
        <f t="shared" si="105"/>
        <v>1140</v>
      </c>
      <c r="C1178" s="579" t="s">
        <v>4518</v>
      </c>
      <c r="D1178" s="579" t="str">
        <f>DESPORC!D1317</f>
        <v>PROMOÇÃO E APOIO A AGIC. FAM. E DO AGRONEGÓCIO</v>
      </c>
      <c r="E1178" s="580"/>
      <c r="F1178" s="582"/>
      <c r="G1178" s="582"/>
    </row>
    <row r="1179" spans="2:7" x14ac:dyDescent="0.25">
      <c r="B1179" s="547">
        <f t="shared" si="105"/>
        <v>1141</v>
      </c>
      <c r="D1179" s="564" t="s">
        <v>3648</v>
      </c>
    </row>
    <row r="1180" spans="2:7" x14ac:dyDescent="0.25">
      <c r="B1180" s="547">
        <f t="shared" si="105"/>
        <v>1142</v>
      </c>
      <c r="D1180" s="614" t="s">
        <v>4307</v>
      </c>
      <c r="E1180" s="26">
        <f>SUM(E1181,E1182,E1183)*E$92</f>
        <v>6368.4089992524141</v>
      </c>
    </row>
    <row r="1181" spans="2:7" x14ac:dyDescent="0.25">
      <c r="B1181" s="547">
        <f t="shared" si="105"/>
        <v>1143</v>
      </c>
      <c r="D1181" s="614" t="s">
        <v>4309</v>
      </c>
      <c r="E1181" s="612">
        <f>'FOPAG EXEC.'!E384*12</f>
        <v>23371.317854472909</v>
      </c>
    </row>
    <row r="1182" spans="2:7" x14ac:dyDescent="0.25">
      <c r="B1182" s="547">
        <f t="shared" si="105"/>
        <v>1144</v>
      </c>
      <c r="D1182" s="614" t="s">
        <v>4519</v>
      </c>
      <c r="E1182" s="612">
        <f>'FOPAG EXEC.'!E385</f>
        <v>1738.609821206076</v>
      </c>
    </row>
    <row r="1183" spans="2:7" x14ac:dyDescent="0.25">
      <c r="B1183" s="547">
        <f t="shared" si="105"/>
        <v>1145</v>
      </c>
      <c r="D1183" s="614" t="s">
        <v>2736</v>
      </c>
      <c r="E1183" s="612">
        <f>'FOPAG EXEC.'!E386</f>
        <v>5215.8294636182272</v>
      </c>
    </row>
    <row r="1184" spans="2:7" x14ac:dyDescent="0.25">
      <c r="B1184" s="547">
        <f t="shared" si="105"/>
        <v>1146</v>
      </c>
      <c r="D1184" s="564" t="s">
        <v>4501</v>
      </c>
    </row>
    <row r="1185" spans="2:5" x14ac:dyDescent="0.25">
      <c r="B1185" s="547">
        <f t="shared" si="105"/>
        <v>1147</v>
      </c>
      <c r="D1185" s="614" t="s">
        <v>4234</v>
      </c>
      <c r="E1185" s="1">
        <v>0</v>
      </c>
    </row>
    <row r="1186" spans="2:5" x14ac:dyDescent="0.25">
      <c r="B1186" s="547">
        <f t="shared" si="105"/>
        <v>1148</v>
      </c>
      <c r="D1186" s="564" t="s">
        <v>4310</v>
      </c>
    </row>
    <row r="1187" spans="2:5" x14ac:dyDescent="0.25">
      <c r="B1187" s="547">
        <f t="shared" si="105"/>
        <v>1149</v>
      </c>
      <c r="D1187" s="614" t="s">
        <v>4312</v>
      </c>
      <c r="E1187" s="612">
        <f>'FOPAG EXEC.'!E395</f>
        <v>1822.0526126239674</v>
      </c>
    </row>
    <row r="1188" spans="2:5" x14ac:dyDescent="0.25">
      <c r="B1188" s="547">
        <f t="shared" si="105"/>
        <v>1150</v>
      </c>
      <c r="D1188" s="614" t="s">
        <v>4314</v>
      </c>
      <c r="E1188" s="612">
        <f>'FOPAG EXEC.'!E414</f>
        <v>1295.8364000722618</v>
      </c>
    </row>
    <row r="1189" spans="2:5" x14ac:dyDescent="0.25">
      <c r="B1189" s="547">
        <f t="shared" si="105"/>
        <v>1151</v>
      </c>
      <c r="D1189" s="614" t="s">
        <v>4316</v>
      </c>
      <c r="E1189" s="612">
        <f>'FOPAG EXEC.'!E390*12</f>
        <v>21864.631351487609</v>
      </c>
    </row>
    <row r="1190" spans="2:5" x14ac:dyDescent="0.25">
      <c r="B1190" s="547">
        <f t="shared" si="105"/>
        <v>1152</v>
      </c>
      <c r="D1190" s="614" t="s">
        <v>4318</v>
      </c>
      <c r="E1190" s="612">
        <f>('FOPAG EXEC.'!E391*12)+'FOPAG EXEC.'!E392+'FOPAG EXEC.'!E393</f>
        <v>1214.7017417493116</v>
      </c>
    </row>
    <row r="1191" spans="2:5" x14ac:dyDescent="0.25">
      <c r="B1191" s="547">
        <f t="shared" si="105"/>
        <v>1153</v>
      </c>
      <c r="D1191" s="614" t="s">
        <v>4320</v>
      </c>
      <c r="E1191" s="612">
        <f>'FOPAG EXEC.'!E410*12</f>
        <v>46650.110402601422</v>
      </c>
    </row>
    <row r="1192" spans="2:5" x14ac:dyDescent="0.25">
      <c r="B1192" s="547">
        <f t="shared" si="105"/>
        <v>1154</v>
      </c>
      <c r="D1192" s="614" t="s">
        <v>4322</v>
      </c>
      <c r="E1192" s="612">
        <f>('FOPAG EXEC.'!E411*12)+'FOPAG EXEC.'!E412+'FOPAG EXEC.'!E413</f>
        <v>2591.6728001445231</v>
      </c>
    </row>
    <row r="1193" spans="2:5" x14ac:dyDescent="0.25">
      <c r="B1193" s="547">
        <f t="shared" si="105"/>
        <v>1155</v>
      </c>
      <c r="D1193" s="614" t="s">
        <v>4324</v>
      </c>
      <c r="E1193" s="612">
        <f>'FOPAG EXEC.'!E394</f>
        <v>607.35087087465581</v>
      </c>
    </row>
    <row r="1194" spans="2:5" x14ac:dyDescent="0.25">
      <c r="B1194" s="547">
        <f t="shared" si="105"/>
        <v>1156</v>
      </c>
      <c r="D1194" s="614" t="s">
        <v>4326</v>
      </c>
      <c r="E1194" s="612">
        <f>'FOPAG EXEC.'!E415</f>
        <v>3887.5092002167853</v>
      </c>
    </row>
    <row r="1195" spans="2:5" x14ac:dyDescent="0.25">
      <c r="B1195" s="547">
        <f t="shared" si="105"/>
        <v>1157</v>
      </c>
      <c r="D1195" s="614" t="s">
        <v>4521</v>
      </c>
      <c r="E1195" s="612">
        <v>0</v>
      </c>
    </row>
    <row r="1196" spans="2:5" x14ac:dyDescent="0.25">
      <c r="B1196" s="547">
        <f t="shared" si="105"/>
        <v>1158</v>
      </c>
      <c r="D1196" s="614" t="s">
        <v>4524</v>
      </c>
      <c r="E1196" s="612">
        <v>0</v>
      </c>
    </row>
    <row r="1197" spans="2:5" x14ac:dyDescent="0.25">
      <c r="B1197" s="547">
        <f t="shared" si="105"/>
        <v>1159</v>
      </c>
      <c r="D1197" s="614" t="s">
        <v>4525</v>
      </c>
      <c r="E1197" s="612">
        <v>0</v>
      </c>
    </row>
    <row r="1198" spans="2:5" x14ac:dyDescent="0.25">
      <c r="B1198" s="547">
        <f t="shared" si="105"/>
        <v>1160</v>
      </c>
      <c r="D1198" s="1389" t="s">
        <v>3532</v>
      </c>
      <c r="E1198" s="612">
        <v>6038.49</v>
      </c>
    </row>
    <row r="1199" spans="2:5" x14ac:dyDescent="0.25">
      <c r="B1199" s="547">
        <f t="shared" si="105"/>
        <v>1161</v>
      </c>
      <c r="D1199" s="564" t="s">
        <v>3666</v>
      </c>
      <c r="E1199" s="26"/>
    </row>
    <row r="1200" spans="2:5" x14ac:dyDescent="0.25">
      <c r="B1200" s="547">
        <f t="shared" si="105"/>
        <v>1162</v>
      </c>
      <c r="D1200" s="614" t="s">
        <v>4328</v>
      </c>
      <c r="E1200" s="26">
        <v>0</v>
      </c>
    </row>
    <row r="1201" spans="2:5" x14ac:dyDescent="0.25">
      <c r="B1201" s="547">
        <f t="shared" si="105"/>
        <v>1163</v>
      </c>
      <c r="D1201" s="614" t="s">
        <v>4330</v>
      </c>
      <c r="E1201" s="26">
        <v>0</v>
      </c>
    </row>
    <row r="1202" spans="2:5" x14ac:dyDescent="0.25">
      <c r="B1202" s="547">
        <f t="shared" si="105"/>
        <v>1164</v>
      </c>
      <c r="D1202" s="564" t="s">
        <v>3675</v>
      </c>
      <c r="E1202" s="26"/>
    </row>
    <row r="1203" spans="2:5" x14ac:dyDescent="0.25">
      <c r="B1203" s="547">
        <f t="shared" si="105"/>
        <v>1165</v>
      </c>
      <c r="D1203" s="614" t="s">
        <v>4332</v>
      </c>
      <c r="E1203" s="26">
        <v>3000</v>
      </c>
    </row>
    <row r="1204" spans="2:5" x14ac:dyDescent="0.25">
      <c r="B1204" s="547">
        <f t="shared" si="105"/>
        <v>1166</v>
      </c>
      <c r="D1204" s="614" t="s">
        <v>4334</v>
      </c>
      <c r="E1204" s="26">
        <f>10284.82/9*12</f>
        <v>13713.093333333334</v>
      </c>
    </row>
    <row r="1205" spans="2:5" x14ac:dyDescent="0.25">
      <c r="B1205" s="547">
        <f t="shared" si="105"/>
        <v>1167</v>
      </c>
      <c r="D1205" s="614" t="s">
        <v>4336</v>
      </c>
      <c r="E1205" s="26">
        <f>5651.31/9*12</f>
        <v>7535.0800000000008</v>
      </c>
    </row>
    <row r="1206" spans="2:5" x14ac:dyDescent="0.25">
      <c r="B1206" s="547">
        <f t="shared" si="105"/>
        <v>1168</v>
      </c>
      <c r="D1206" s="564" t="s">
        <v>2988</v>
      </c>
      <c r="E1206" s="26">
        <v>10000</v>
      </c>
    </row>
    <row r="1207" spans="2:5" x14ac:dyDescent="0.25">
      <c r="B1207" s="547">
        <f t="shared" si="105"/>
        <v>1169</v>
      </c>
      <c r="D1207" s="564" t="s">
        <v>3679</v>
      </c>
      <c r="E1207" s="26"/>
    </row>
    <row r="1208" spans="2:5" x14ac:dyDescent="0.25">
      <c r="B1208" s="547">
        <f t="shared" si="105"/>
        <v>1170</v>
      </c>
      <c r="D1208" s="614" t="s">
        <v>4338</v>
      </c>
      <c r="E1208" s="26">
        <f>E1183</f>
        <v>5215.8294636182272</v>
      </c>
    </row>
    <row r="1209" spans="2:5" x14ac:dyDescent="0.25">
      <c r="B1209" s="547">
        <f t="shared" si="105"/>
        <v>1171</v>
      </c>
      <c r="D1209" s="614" t="s">
        <v>4340</v>
      </c>
      <c r="E1209" s="26">
        <f>E1182</f>
        <v>1738.609821206076</v>
      </c>
    </row>
    <row r="1210" spans="2:5" x14ac:dyDescent="0.25">
      <c r="B1210" s="547">
        <f t="shared" si="105"/>
        <v>1172</v>
      </c>
      <c r="D1210" s="564" t="s">
        <v>4341</v>
      </c>
      <c r="E1210" s="26"/>
    </row>
    <row r="1211" spans="2:5" x14ac:dyDescent="0.25">
      <c r="B1211" s="547">
        <f t="shared" si="105"/>
        <v>1173</v>
      </c>
      <c r="D1211" s="614" t="s">
        <v>4341</v>
      </c>
      <c r="E1211" s="26">
        <f>ER!E453+ER!E460+ER!E466+ER!E472</f>
        <v>74578.07166666667</v>
      </c>
    </row>
    <row r="1212" spans="2:5" x14ac:dyDescent="0.25">
      <c r="B1212" s="547">
        <f t="shared" si="105"/>
        <v>1174</v>
      </c>
      <c r="D1212" s="564" t="s">
        <v>2994</v>
      </c>
      <c r="E1212" s="26"/>
    </row>
    <row r="1213" spans="2:5" x14ac:dyDescent="0.25">
      <c r="B1213" s="547">
        <f t="shared" si="105"/>
        <v>1175</v>
      </c>
      <c r="D1213" s="614" t="s">
        <v>4344</v>
      </c>
      <c r="E1213" s="26">
        <v>960</v>
      </c>
    </row>
    <row r="1214" spans="2:5" x14ac:dyDescent="0.25">
      <c r="B1214" s="547">
        <f t="shared" si="105"/>
        <v>1176</v>
      </c>
      <c r="D1214" s="614" t="s">
        <v>4526</v>
      </c>
      <c r="E1214" s="26">
        <v>1200</v>
      </c>
    </row>
    <row r="1215" spans="2:5" x14ac:dyDescent="0.25">
      <c r="B1215" s="547">
        <f t="shared" si="105"/>
        <v>1177</v>
      </c>
      <c r="D1215" s="614" t="s">
        <v>4348</v>
      </c>
      <c r="E1215" s="26">
        <f>SUM('FOPAG EXEC.'!E417+'FOPAG EXEC.'!E407+'FOPAG EXEC.'!E397+'FOPAG EXEC.'!E387)*12</f>
        <v>13125.960000000003</v>
      </c>
    </row>
    <row r="1216" spans="2:5" x14ac:dyDescent="0.25">
      <c r="B1216" s="547">
        <f t="shared" si="105"/>
        <v>1178</v>
      </c>
      <c r="D1216" s="564" t="s">
        <v>4131</v>
      </c>
      <c r="E1216" s="26">
        <f>196211.08/8*12</f>
        <v>294316.62</v>
      </c>
    </row>
    <row r="1217" spans="2:5" x14ac:dyDescent="0.25">
      <c r="B1217" s="547">
        <f t="shared" si="105"/>
        <v>1179</v>
      </c>
      <c r="D1217" s="614" t="s">
        <v>4350</v>
      </c>
      <c r="E1217" s="26">
        <v>0</v>
      </c>
    </row>
    <row r="1218" spans="2:5" x14ac:dyDescent="0.25">
      <c r="B1218" s="547">
        <f t="shared" si="105"/>
        <v>1180</v>
      </c>
      <c r="D1218" s="614" t="s">
        <v>4352</v>
      </c>
      <c r="E1218" s="26">
        <v>0</v>
      </c>
    </row>
    <row r="1219" spans="2:5" x14ac:dyDescent="0.25">
      <c r="B1219" s="547">
        <f t="shared" si="105"/>
        <v>1181</v>
      </c>
      <c r="D1219" s="614" t="s">
        <v>4354</v>
      </c>
      <c r="E1219" s="26">
        <v>0</v>
      </c>
    </row>
    <row r="1220" spans="2:5" x14ac:dyDescent="0.25">
      <c r="B1220" s="547">
        <f t="shared" si="105"/>
        <v>1182</v>
      </c>
      <c r="D1220" s="614" t="s">
        <v>4356</v>
      </c>
      <c r="E1220" s="26">
        <v>0</v>
      </c>
    </row>
    <row r="1221" spans="2:5" x14ac:dyDescent="0.25">
      <c r="B1221" s="547">
        <f t="shared" si="105"/>
        <v>1183</v>
      </c>
      <c r="D1221" s="614" t="s">
        <v>4358</v>
      </c>
      <c r="E1221" s="26">
        <v>0</v>
      </c>
    </row>
    <row r="1222" spans="2:5" x14ac:dyDescent="0.25">
      <c r="B1222" s="547">
        <f t="shared" si="105"/>
        <v>1184</v>
      </c>
      <c r="D1222" s="614" t="s">
        <v>4360</v>
      </c>
      <c r="E1222" s="26">
        <v>0</v>
      </c>
    </row>
    <row r="1223" spans="2:5" x14ac:dyDescent="0.25">
      <c r="B1223" s="547">
        <f t="shared" si="105"/>
        <v>1185</v>
      </c>
      <c r="D1223" s="614" t="s">
        <v>4362</v>
      </c>
      <c r="E1223" s="26">
        <v>0</v>
      </c>
    </row>
    <row r="1224" spans="2:5" x14ac:dyDescent="0.25">
      <c r="B1224" s="547">
        <f t="shared" si="105"/>
        <v>1186</v>
      </c>
      <c r="D1224" s="614" t="s">
        <v>4364</v>
      </c>
      <c r="E1224" s="26">
        <v>0</v>
      </c>
    </row>
    <row r="1225" spans="2:5" x14ac:dyDescent="0.25">
      <c r="B1225" s="547">
        <f t="shared" si="105"/>
        <v>1187</v>
      </c>
      <c r="D1225" s="614" t="s">
        <v>4366</v>
      </c>
      <c r="E1225" s="26">
        <v>0</v>
      </c>
    </row>
    <row r="1226" spans="2:5" x14ac:dyDescent="0.25">
      <c r="B1226" s="547">
        <f t="shared" si="105"/>
        <v>1188</v>
      </c>
      <c r="D1226" s="614" t="s">
        <v>4368</v>
      </c>
      <c r="E1226" s="26">
        <v>0</v>
      </c>
    </row>
    <row r="1227" spans="2:5" x14ac:dyDescent="0.25">
      <c r="B1227" s="547">
        <f t="shared" si="105"/>
        <v>1189</v>
      </c>
      <c r="D1227" s="614" t="s">
        <v>4370</v>
      </c>
      <c r="E1227" s="26">
        <v>0</v>
      </c>
    </row>
    <row r="1228" spans="2:5" x14ac:dyDescent="0.25">
      <c r="B1228" s="547">
        <f t="shared" si="105"/>
        <v>1190</v>
      </c>
      <c r="D1228" s="614" t="s">
        <v>4372</v>
      </c>
      <c r="E1228" s="26">
        <v>0</v>
      </c>
    </row>
    <row r="1229" spans="2:5" x14ac:dyDescent="0.25">
      <c r="B1229" s="547">
        <f t="shared" si="105"/>
        <v>1191</v>
      </c>
      <c r="D1229" s="614" t="s">
        <v>4374</v>
      </c>
      <c r="E1229" s="26">
        <v>0</v>
      </c>
    </row>
    <row r="1230" spans="2:5" x14ac:dyDescent="0.25">
      <c r="B1230" s="547">
        <f t="shared" si="105"/>
        <v>1192</v>
      </c>
      <c r="D1230" s="614" t="s">
        <v>4376</v>
      </c>
      <c r="E1230" s="26">
        <v>0</v>
      </c>
    </row>
    <row r="1231" spans="2:5" x14ac:dyDescent="0.25">
      <c r="B1231" s="547">
        <f t="shared" si="105"/>
        <v>1193</v>
      </c>
      <c r="D1231" s="614" t="s">
        <v>4378</v>
      </c>
      <c r="E1231" s="26">
        <v>0</v>
      </c>
    </row>
    <row r="1232" spans="2:5" x14ac:dyDescent="0.25">
      <c r="B1232" s="547">
        <f t="shared" si="105"/>
        <v>1194</v>
      </c>
      <c r="D1232" s="614" t="s">
        <v>4380</v>
      </c>
      <c r="E1232" s="26">
        <v>0</v>
      </c>
    </row>
    <row r="1233" spans="2:5" x14ac:dyDescent="0.25">
      <c r="B1233" s="547">
        <f t="shared" ref="B1233:B1296" si="106">B1232+1</f>
        <v>1195</v>
      </c>
      <c r="D1233" s="614" t="s">
        <v>4382</v>
      </c>
      <c r="E1233" s="26">
        <v>0</v>
      </c>
    </row>
    <row r="1234" spans="2:5" x14ac:dyDescent="0.25">
      <c r="B1234" s="547">
        <f t="shared" si="106"/>
        <v>1196</v>
      </c>
      <c r="D1234" s="614" t="s">
        <v>4384</v>
      </c>
      <c r="E1234" s="26">
        <v>0</v>
      </c>
    </row>
    <row r="1235" spans="2:5" x14ac:dyDescent="0.25">
      <c r="B1235" s="547">
        <f t="shared" si="106"/>
        <v>1197</v>
      </c>
      <c r="D1235" s="614" t="s">
        <v>4386</v>
      </c>
      <c r="E1235" s="26">
        <v>0</v>
      </c>
    </row>
    <row r="1236" spans="2:5" x14ac:dyDescent="0.25">
      <c r="B1236" s="547">
        <f t="shared" si="106"/>
        <v>1198</v>
      </c>
      <c r="D1236" s="614" t="s">
        <v>4388</v>
      </c>
      <c r="E1236" s="26">
        <v>0</v>
      </c>
    </row>
    <row r="1237" spans="2:5" x14ac:dyDescent="0.25">
      <c r="B1237" s="547">
        <f t="shared" si="106"/>
        <v>1199</v>
      </c>
      <c r="D1237" s="614" t="s">
        <v>4390</v>
      </c>
      <c r="E1237" s="26">
        <v>0</v>
      </c>
    </row>
    <row r="1238" spans="2:5" x14ac:dyDescent="0.25">
      <c r="B1238" s="547">
        <f t="shared" si="106"/>
        <v>1200</v>
      </c>
      <c r="D1238" s="614" t="s">
        <v>4392</v>
      </c>
      <c r="E1238" s="26">
        <v>0</v>
      </c>
    </row>
    <row r="1239" spans="2:5" x14ac:dyDescent="0.25">
      <c r="B1239" s="547">
        <f t="shared" si="106"/>
        <v>1201</v>
      </c>
      <c r="D1239" s="614" t="s">
        <v>4394</v>
      </c>
      <c r="E1239" s="26">
        <v>0</v>
      </c>
    </row>
    <row r="1240" spans="2:5" x14ac:dyDescent="0.25">
      <c r="B1240" s="547">
        <f t="shared" si="106"/>
        <v>1202</v>
      </c>
      <c r="D1240" s="614" t="s">
        <v>4396</v>
      </c>
      <c r="E1240" s="26">
        <v>0</v>
      </c>
    </row>
    <row r="1241" spans="2:5" x14ac:dyDescent="0.25">
      <c r="B1241" s="547">
        <f t="shared" si="106"/>
        <v>1203</v>
      </c>
      <c r="D1241" s="614" t="s">
        <v>4398</v>
      </c>
      <c r="E1241" s="26">
        <v>0</v>
      </c>
    </row>
    <row r="1242" spans="2:5" x14ac:dyDescent="0.25">
      <c r="B1242" s="547">
        <f t="shared" si="106"/>
        <v>1204</v>
      </c>
      <c r="D1242" s="614" t="s">
        <v>4400</v>
      </c>
      <c r="E1242" s="26">
        <v>0</v>
      </c>
    </row>
    <row r="1243" spans="2:5" x14ac:dyDescent="0.25">
      <c r="B1243" s="547">
        <f t="shared" si="106"/>
        <v>1205</v>
      </c>
      <c r="D1243" s="614" t="s">
        <v>3935</v>
      </c>
      <c r="E1243" s="26">
        <v>0</v>
      </c>
    </row>
    <row r="1244" spans="2:5" x14ac:dyDescent="0.25">
      <c r="B1244" s="547">
        <f t="shared" si="106"/>
        <v>1206</v>
      </c>
      <c r="D1244" s="614" t="s">
        <v>4403</v>
      </c>
      <c r="E1244" s="26">
        <v>0</v>
      </c>
    </row>
    <row r="1245" spans="2:5" x14ac:dyDescent="0.25">
      <c r="B1245" s="547">
        <f t="shared" si="106"/>
        <v>1207</v>
      </c>
      <c r="D1245" s="614" t="s">
        <v>4405</v>
      </c>
      <c r="E1245" s="26">
        <v>0</v>
      </c>
    </row>
    <row r="1246" spans="2:5" x14ac:dyDescent="0.25">
      <c r="B1246" s="547">
        <f t="shared" si="106"/>
        <v>1208</v>
      </c>
      <c r="D1246" s="614" t="s">
        <v>4407</v>
      </c>
      <c r="E1246" s="26">
        <v>0</v>
      </c>
    </row>
    <row r="1247" spans="2:5" x14ac:dyDescent="0.25">
      <c r="B1247" s="547">
        <f t="shared" si="106"/>
        <v>1209</v>
      </c>
      <c r="D1247" s="614" t="s">
        <v>4409</v>
      </c>
      <c r="E1247" s="26">
        <v>0</v>
      </c>
    </row>
    <row r="1248" spans="2:5" x14ac:dyDescent="0.25">
      <c r="B1248" s="547">
        <f t="shared" si="106"/>
        <v>1210</v>
      </c>
      <c r="D1248" s="614" t="s">
        <v>4411</v>
      </c>
      <c r="E1248" s="26">
        <v>0</v>
      </c>
    </row>
    <row r="1249" spans="2:5" x14ac:dyDescent="0.25">
      <c r="B1249" s="547">
        <f t="shared" si="106"/>
        <v>1211</v>
      </c>
      <c r="D1249" s="614" t="s">
        <v>4413</v>
      </c>
      <c r="E1249" s="26">
        <v>0</v>
      </c>
    </row>
    <row r="1250" spans="2:5" x14ac:dyDescent="0.25">
      <c r="B1250" s="547">
        <f t="shared" si="106"/>
        <v>1212</v>
      </c>
      <c r="D1250" s="564" t="s">
        <v>4414</v>
      </c>
      <c r="E1250" s="26"/>
    </row>
    <row r="1251" spans="2:5" x14ac:dyDescent="0.25">
      <c r="B1251" s="547">
        <f t="shared" si="106"/>
        <v>1213</v>
      </c>
      <c r="D1251" s="614" t="s">
        <v>4416</v>
      </c>
      <c r="E1251" s="26">
        <v>6000</v>
      </c>
    </row>
    <row r="1252" spans="2:5" x14ac:dyDescent="0.25">
      <c r="B1252" s="547">
        <f t="shared" si="106"/>
        <v>1214</v>
      </c>
      <c r="D1252" s="614" t="s">
        <v>4418</v>
      </c>
      <c r="E1252" s="26">
        <v>25000</v>
      </c>
    </row>
    <row r="1253" spans="2:5" x14ac:dyDescent="0.25">
      <c r="B1253" s="547">
        <f t="shared" si="106"/>
        <v>1215</v>
      </c>
      <c r="D1253" s="614" t="s">
        <v>4420</v>
      </c>
      <c r="E1253" s="26">
        <v>33000</v>
      </c>
    </row>
    <row r="1254" spans="2:5" ht="15.75" x14ac:dyDescent="0.25">
      <c r="B1254" s="547">
        <f t="shared" si="106"/>
        <v>1216</v>
      </c>
      <c r="D1254" s="632" t="s">
        <v>6890</v>
      </c>
      <c r="E1254" s="26">
        <f>ER!E225+ER!E551+ER!E587</f>
        <v>29113.171151522936</v>
      </c>
    </row>
    <row r="1255" spans="2:5" x14ac:dyDescent="0.25">
      <c r="B1255" s="547">
        <f t="shared" si="106"/>
        <v>1217</v>
      </c>
      <c r="D1255" s="564" t="s">
        <v>3718</v>
      </c>
      <c r="E1255" s="26">
        <v>300</v>
      </c>
    </row>
    <row r="1256" spans="2:5" x14ac:dyDescent="0.25">
      <c r="B1256" s="547">
        <f t="shared" si="106"/>
        <v>1218</v>
      </c>
      <c r="D1256" s="564" t="s">
        <v>3473</v>
      </c>
      <c r="E1256" s="26">
        <v>0.01</v>
      </c>
    </row>
    <row r="1257" spans="2:5" x14ac:dyDescent="0.25">
      <c r="B1257" s="547">
        <f t="shared" si="106"/>
        <v>1219</v>
      </c>
      <c r="D1257" s="564" t="s">
        <v>3476</v>
      </c>
      <c r="E1257" s="26">
        <v>0.01</v>
      </c>
    </row>
    <row r="1258" spans="2:5" x14ac:dyDescent="0.25">
      <c r="B1258" s="547">
        <f t="shared" si="106"/>
        <v>1220</v>
      </c>
      <c r="D1258" s="564" t="s">
        <v>4421</v>
      </c>
      <c r="E1258" s="25">
        <f>103509.61/8*12</f>
        <v>155264.41500000001</v>
      </c>
    </row>
    <row r="1259" spans="2:5" x14ac:dyDescent="0.25">
      <c r="B1259" s="547">
        <f t="shared" si="106"/>
        <v>1221</v>
      </c>
      <c r="D1259" s="614" t="s">
        <v>4423</v>
      </c>
      <c r="E1259" s="26">
        <v>0</v>
      </c>
    </row>
    <row r="1260" spans="2:5" x14ac:dyDescent="0.25">
      <c r="B1260" s="547">
        <f t="shared" si="106"/>
        <v>1222</v>
      </c>
      <c r="D1260" s="614" t="s">
        <v>4425</v>
      </c>
      <c r="E1260" s="26">
        <v>0</v>
      </c>
    </row>
    <row r="1261" spans="2:5" x14ac:dyDescent="0.25">
      <c r="B1261" s="547">
        <f t="shared" si="106"/>
        <v>1223</v>
      </c>
      <c r="D1261" s="614" t="s">
        <v>4427</v>
      </c>
      <c r="E1261" s="26">
        <v>0</v>
      </c>
    </row>
    <row r="1262" spans="2:5" x14ac:dyDescent="0.25">
      <c r="B1262" s="547">
        <f t="shared" si="106"/>
        <v>1224</v>
      </c>
      <c r="D1262" s="614" t="s">
        <v>4429</v>
      </c>
      <c r="E1262" s="26">
        <v>0</v>
      </c>
    </row>
    <row r="1263" spans="2:5" x14ac:dyDescent="0.25">
      <c r="B1263" s="547">
        <f t="shared" si="106"/>
        <v>1225</v>
      </c>
      <c r="D1263" s="614" t="s">
        <v>4431</v>
      </c>
      <c r="E1263" s="26">
        <v>0</v>
      </c>
    </row>
    <row r="1264" spans="2:5" x14ac:dyDescent="0.25">
      <c r="B1264" s="547">
        <f t="shared" si="106"/>
        <v>1226</v>
      </c>
      <c r="D1264" s="614" t="s">
        <v>3986</v>
      </c>
      <c r="E1264" s="26">
        <v>0</v>
      </c>
    </row>
    <row r="1265" spans="2:5" x14ac:dyDescent="0.25">
      <c r="B1265" s="547">
        <f t="shared" si="106"/>
        <v>1227</v>
      </c>
      <c r="D1265" s="614" t="s">
        <v>4435</v>
      </c>
      <c r="E1265" s="26">
        <v>0</v>
      </c>
    </row>
    <row r="1266" spans="2:5" x14ac:dyDescent="0.25">
      <c r="B1266" s="547">
        <f t="shared" si="106"/>
        <v>1228</v>
      </c>
      <c r="D1266" s="614" t="s">
        <v>4437</v>
      </c>
      <c r="E1266" s="26">
        <v>0</v>
      </c>
    </row>
    <row r="1267" spans="2:5" x14ac:dyDescent="0.25">
      <c r="B1267" s="547">
        <f t="shared" si="106"/>
        <v>1229</v>
      </c>
      <c r="D1267" s="614" t="s">
        <v>4439</v>
      </c>
      <c r="E1267" s="26">
        <v>0</v>
      </c>
    </row>
    <row r="1268" spans="2:5" x14ac:dyDescent="0.25">
      <c r="B1268" s="547">
        <f t="shared" si="106"/>
        <v>1230</v>
      </c>
      <c r="D1268" s="614" t="s">
        <v>4441</v>
      </c>
      <c r="E1268" s="26">
        <v>0</v>
      </c>
    </row>
    <row r="1269" spans="2:5" x14ac:dyDescent="0.25">
      <c r="B1269" s="547">
        <f t="shared" si="106"/>
        <v>1231</v>
      </c>
      <c r="D1269" s="614" t="s">
        <v>4443</v>
      </c>
      <c r="E1269" s="26">
        <v>0</v>
      </c>
    </row>
    <row r="1270" spans="2:5" x14ac:dyDescent="0.25">
      <c r="B1270" s="547">
        <f t="shared" si="106"/>
        <v>1232</v>
      </c>
      <c r="D1270" s="614" t="s">
        <v>4445</v>
      </c>
      <c r="E1270" s="26">
        <v>0</v>
      </c>
    </row>
    <row r="1271" spans="2:5" x14ac:dyDescent="0.25">
      <c r="B1271" s="547">
        <f t="shared" si="106"/>
        <v>1233</v>
      </c>
      <c r="D1271" s="614" t="s">
        <v>4447</v>
      </c>
      <c r="E1271" s="26">
        <v>0</v>
      </c>
    </row>
    <row r="1272" spans="2:5" x14ac:dyDescent="0.25">
      <c r="B1272" s="547">
        <f t="shared" si="106"/>
        <v>1234</v>
      </c>
      <c r="D1272" s="614" t="s">
        <v>4449</v>
      </c>
      <c r="E1272" s="26">
        <v>0</v>
      </c>
    </row>
    <row r="1273" spans="2:5" x14ac:dyDescent="0.25">
      <c r="B1273" s="547">
        <f t="shared" si="106"/>
        <v>1235</v>
      </c>
      <c r="D1273" s="614" t="s">
        <v>4451</v>
      </c>
      <c r="E1273" s="26">
        <v>0</v>
      </c>
    </row>
    <row r="1274" spans="2:5" x14ac:dyDescent="0.25">
      <c r="B1274" s="547">
        <f t="shared" si="106"/>
        <v>1236</v>
      </c>
      <c r="D1274" s="614" t="s">
        <v>4453</v>
      </c>
      <c r="E1274" s="26">
        <v>0</v>
      </c>
    </row>
    <row r="1275" spans="2:5" x14ac:dyDescent="0.25">
      <c r="B1275" s="547">
        <f t="shared" si="106"/>
        <v>1237</v>
      </c>
      <c r="D1275" s="614" t="s">
        <v>4455</v>
      </c>
      <c r="E1275" s="26">
        <v>0</v>
      </c>
    </row>
    <row r="1276" spans="2:5" x14ac:dyDescent="0.25">
      <c r="B1276" s="547">
        <f t="shared" si="106"/>
        <v>1238</v>
      </c>
      <c r="D1276" s="614" t="s">
        <v>4457</v>
      </c>
      <c r="E1276" s="26">
        <v>0</v>
      </c>
    </row>
    <row r="1277" spans="2:5" x14ac:dyDescent="0.25">
      <c r="B1277" s="547">
        <f t="shared" si="106"/>
        <v>1239</v>
      </c>
      <c r="D1277" s="614" t="s">
        <v>4433</v>
      </c>
      <c r="E1277" s="26">
        <v>0</v>
      </c>
    </row>
    <row r="1278" spans="2:5" x14ac:dyDescent="0.25">
      <c r="B1278" s="547">
        <f t="shared" si="106"/>
        <v>1240</v>
      </c>
      <c r="D1278" s="614" t="s">
        <v>4460</v>
      </c>
      <c r="E1278" s="26">
        <v>0</v>
      </c>
    </row>
    <row r="1279" spans="2:5" x14ac:dyDescent="0.25">
      <c r="B1279" s="547">
        <f t="shared" si="106"/>
        <v>1241</v>
      </c>
      <c r="D1279" s="614" t="s">
        <v>3321</v>
      </c>
      <c r="E1279" s="26">
        <v>0</v>
      </c>
    </row>
    <row r="1280" spans="2:5" x14ac:dyDescent="0.25">
      <c r="B1280" s="547">
        <f t="shared" si="106"/>
        <v>1242</v>
      </c>
      <c r="D1280" s="615" t="s">
        <v>4188</v>
      </c>
      <c r="E1280" s="26"/>
    </row>
    <row r="1281" spans="2:5" x14ac:dyDescent="0.25">
      <c r="B1281" s="547">
        <f t="shared" si="106"/>
        <v>1243</v>
      </c>
      <c r="D1281" s="293" t="s">
        <v>3359</v>
      </c>
      <c r="E1281" s="26">
        <f>(10306.36+3162.25)/8*12</f>
        <v>20202.915000000001</v>
      </c>
    </row>
    <row r="1282" spans="2:5" x14ac:dyDescent="0.25">
      <c r="B1282" s="547">
        <f t="shared" si="106"/>
        <v>1244</v>
      </c>
      <c r="D1282" s="564" t="s">
        <v>4462</v>
      </c>
      <c r="E1282" s="26"/>
    </row>
    <row r="1283" spans="2:5" x14ac:dyDescent="0.25">
      <c r="B1283" s="547">
        <f t="shared" si="106"/>
        <v>1245</v>
      </c>
      <c r="D1283" s="614" t="s">
        <v>4464</v>
      </c>
      <c r="E1283" s="26">
        <v>100</v>
      </c>
    </row>
    <row r="1284" spans="2:5" x14ac:dyDescent="0.25">
      <c r="B1284" s="547">
        <f t="shared" si="106"/>
        <v>1246</v>
      </c>
      <c r="D1284" s="614" t="s">
        <v>4466</v>
      </c>
      <c r="E1284" s="26">
        <v>100</v>
      </c>
    </row>
    <row r="1285" spans="2:5" x14ac:dyDescent="0.25">
      <c r="B1285" s="547">
        <f t="shared" si="106"/>
        <v>1247</v>
      </c>
      <c r="D1285" s="614" t="s">
        <v>4468</v>
      </c>
      <c r="E1285" s="26">
        <v>100</v>
      </c>
    </row>
    <row r="1286" spans="2:5" x14ac:dyDescent="0.25">
      <c r="B1286" s="547">
        <f t="shared" si="106"/>
        <v>1248</v>
      </c>
      <c r="D1286" s="614" t="s">
        <v>4470</v>
      </c>
      <c r="E1286" s="26">
        <v>100</v>
      </c>
    </row>
    <row r="1287" spans="2:5" x14ac:dyDescent="0.25">
      <c r="B1287" s="547">
        <f t="shared" si="106"/>
        <v>1249</v>
      </c>
      <c r="D1287" s="614" t="s">
        <v>4472</v>
      </c>
      <c r="E1287" s="26">
        <v>100</v>
      </c>
    </row>
    <row r="1288" spans="2:5" x14ac:dyDescent="0.25">
      <c r="B1288" s="547">
        <f t="shared" si="106"/>
        <v>1250</v>
      </c>
      <c r="D1288" s="614" t="s">
        <v>4474</v>
      </c>
      <c r="E1288" s="26">
        <v>100</v>
      </c>
    </row>
    <row r="1289" spans="2:5" x14ac:dyDescent="0.25">
      <c r="B1289" s="547">
        <f t="shared" si="106"/>
        <v>1251</v>
      </c>
      <c r="D1289" s="614" t="s">
        <v>4476</v>
      </c>
      <c r="E1289" s="26">
        <v>100</v>
      </c>
    </row>
    <row r="1290" spans="2:5" x14ac:dyDescent="0.25">
      <c r="B1290" s="547">
        <f t="shared" si="106"/>
        <v>1252</v>
      </c>
      <c r="D1290" s="614" t="s">
        <v>4478</v>
      </c>
      <c r="E1290" s="26">
        <v>100</v>
      </c>
    </row>
    <row r="1291" spans="2:5" x14ac:dyDescent="0.25">
      <c r="B1291" s="547">
        <f t="shared" si="106"/>
        <v>1253</v>
      </c>
      <c r="D1291" s="614" t="s">
        <v>4480</v>
      </c>
      <c r="E1291" s="26">
        <v>100</v>
      </c>
    </row>
    <row r="1292" spans="2:5" x14ac:dyDescent="0.25">
      <c r="B1292" s="547">
        <f t="shared" si="106"/>
        <v>1254</v>
      </c>
      <c r="D1292" s="614" t="s">
        <v>4482</v>
      </c>
      <c r="E1292" s="26">
        <v>100</v>
      </c>
    </row>
    <row r="1293" spans="2:5" x14ac:dyDescent="0.25">
      <c r="B1293" s="547">
        <f t="shared" si="106"/>
        <v>1255</v>
      </c>
      <c r="D1293" s="564" t="s">
        <v>4483</v>
      </c>
      <c r="E1293" s="26"/>
    </row>
    <row r="1294" spans="2:5" x14ac:dyDescent="0.25">
      <c r="B1294" s="547">
        <f t="shared" si="106"/>
        <v>1256</v>
      </c>
      <c r="D1294" s="614" t="s">
        <v>4485</v>
      </c>
      <c r="E1294" s="26">
        <f>'FOPAG EXEC.'!E388*12</f>
        <v>2763.3600000000006</v>
      </c>
    </row>
    <row r="1295" spans="2:5" x14ac:dyDescent="0.25">
      <c r="B1295" s="547">
        <f t="shared" si="106"/>
        <v>1257</v>
      </c>
      <c r="D1295" s="614" t="s">
        <v>4487</v>
      </c>
      <c r="E1295" s="26">
        <f>'FOPAG EXEC.'!E416*12</f>
        <v>614.16</v>
      </c>
    </row>
    <row r="1296" spans="2:5" x14ac:dyDescent="0.25">
      <c r="B1296" s="547">
        <f t="shared" si="106"/>
        <v>1258</v>
      </c>
      <c r="D1296" s="614" t="s">
        <v>4489</v>
      </c>
      <c r="E1296" s="26">
        <f>'FOPAG EXEC.'!E396*12</f>
        <v>862.92</v>
      </c>
    </row>
    <row r="1297" spans="2:7" x14ac:dyDescent="0.25">
      <c r="B1297" s="547">
        <f t="shared" ref="B1297:B1360" si="107">B1296+1</f>
        <v>1259</v>
      </c>
      <c r="D1297" s="564" t="s">
        <v>3742</v>
      </c>
      <c r="E1297" s="26"/>
    </row>
    <row r="1298" spans="2:7" x14ac:dyDescent="0.25">
      <c r="B1298" s="547">
        <f t="shared" si="107"/>
        <v>1260</v>
      </c>
      <c r="D1298" s="614" t="s">
        <v>4491</v>
      </c>
      <c r="E1298" s="26">
        <v>0.01</v>
      </c>
    </row>
    <row r="1299" spans="2:7" x14ac:dyDescent="0.25">
      <c r="B1299" s="547">
        <f t="shared" si="107"/>
        <v>1261</v>
      </c>
      <c r="D1299" s="564" t="s">
        <v>3060</v>
      </c>
      <c r="E1299" s="26"/>
    </row>
    <row r="1300" spans="2:7" x14ac:dyDescent="0.25">
      <c r="B1300" s="547">
        <f t="shared" si="107"/>
        <v>1262</v>
      </c>
      <c r="D1300" s="614" t="s">
        <v>4493</v>
      </c>
      <c r="E1300" s="26">
        <v>0.01</v>
      </c>
    </row>
    <row r="1301" spans="2:7" x14ac:dyDescent="0.25">
      <c r="B1301" s="547">
        <f t="shared" si="107"/>
        <v>1263</v>
      </c>
      <c r="D1301" s="564" t="s">
        <v>3514</v>
      </c>
      <c r="E1301" s="26">
        <v>0.01</v>
      </c>
    </row>
    <row r="1302" spans="2:7" x14ac:dyDescent="0.25">
      <c r="B1302" s="547">
        <f t="shared" si="107"/>
        <v>1264</v>
      </c>
      <c r="D1302" s="564" t="s">
        <v>4494</v>
      </c>
      <c r="E1302" s="26">
        <v>0.01</v>
      </c>
    </row>
    <row r="1303" spans="2:7" x14ac:dyDescent="0.25">
      <c r="B1303" s="547">
        <f t="shared" si="107"/>
        <v>1265</v>
      </c>
      <c r="D1303" s="564" t="s">
        <v>3064</v>
      </c>
      <c r="E1303" s="26">
        <v>0.01</v>
      </c>
    </row>
    <row r="1304" spans="2:7" x14ac:dyDescent="0.25">
      <c r="B1304" s="547">
        <f t="shared" si="107"/>
        <v>1266</v>
      </c>
      <c r="D1304" s="564" t="s">
        <v>3600</v>
      </c>
    </row>
    <row r="1305" spans="2:7" ht="18.75" x14ac:dyDescent="0.3">
      <c r="B1305" s="547">
        <f t="shared" si="107"/>
        <v>1267</v>
      </c>
      <c r="D1305" s="1363" t="s">
        <v>4590</v>
      </c>
    </row>
    <row r="1306" spans="2:7" x14ac:dyDescent="0.25">
      <c r="B1306" s="547">
        <f t="shared" si="107"/>
        <v>1268</v>
      </c>
      <c r="C1306" s="579" t="s">
        <v>4592</v>
      </c>
      <c r="D1306" s="579" t="str">
        <f>DESPORC!D1459</f>
        <v>NOVOS INVESTIMENTOS EM MEIO AMBIENTE</v>
      </c>
      <c r="E1306" s="580"/>
      <c r="F1306" s="582"/>
      <c r="G1306" s="582"/>
    </row>
    <row r="1307" spans="2:7" ht="15.75" x14ac:dyDescent="0.25">
      <c r="B1307" s="547">
        <f t="shared" si="107"/>
        <v>1269</v>
      </c>
      <c r="D1307" s="625" t="s">
        <v>4535</v>
      </c>
      <c r="E1307" s="26">
        <v>0.01</v>
      </c>
    </row>
    <row r="1308" spans="2:7" ht="31.5" x14ac:dyDescent="0.25">
      <c r="B1308" s="547">
        <f t="shared" si="107"/>
        <v>1270</v>
      </c>
      <c r="D1308" s="625" t="s">
        <v>7744</v>
      </c>
      <c r="E1308" s="26">
        <v>0.01</v>
      </c>
    </row>
    <row r="1309" spans="2:7" ht="15.75" x14ac:dyDescent="0.25">
      <c r="B1309" s="547">
        <f t="shared" si="107"/>
        <v>1271</v>
      </c>
      <c r="D1309" s="625" t="s">
        <v>3562</v>
      </c>
      <c r="E1309" s="26">
        <v>0.01</v>
      </c>
    </row>
    <row r="1310" spans="2:7" ht="15.75" x14ac:dyDescent="0.25">
      <c r="B1310" s="547">
        <f t="shared" si="107"/>
        <v>1272</v>
      </c>
      <c r="D1310" s="625" t="s">
        <v>4161</v>
      </c>
      <c r="E1310" s="26">
        <v>0.01</v>
      </c>
    </row>
    <row r="1311" spans="2:7" ht="31.5" x14ac:dyDescent="0.25">
      <c r="B1311" s="547">
        <f t="shared" si="107"/>
        <v>1273</v>
      </c>
      <c r="D1311" s="625" t="s">
        <v>4536</v>
      </c>
    </row>
    <row r="1312" spans="2:7" ht="15.75" x14ac:dyDescent="0.25">
      <c r="B1312" s="547">
        <f t="shared" si="107"/>
        <v>1274</v>
      </c>
      <c r="D1312" s="626" t="s">
        <v>4538</v>
      </c>
      <c r="E1312" s="26">
        <v>0.01</v>
      </c>
    </row>
    <row r="1313" spans="2:7" ht="15.75" x14ac:dyDescent="0.25">
      <c r="B1313" s="547">
        <f t="shared" si="107"/>
        <v>1275</v>
      </c>
      <c r="D1313" s="625" t="s">
        <v>4539</v>
      </c>
      <c r="E1313" s="612">
        <v>0.01</v>
      </c>
    </row>
    <row r="1314" spans="2:7" ht="31.5" x14ac:dyDescent="0.25">
      <c r="B1314" s="547">
        <f t="shared" si="107"/>
        <v>1276</v>
      </c>
      <c r="D1314" s="625" t="s">
        <v>4589</v>
      </c>
      <c r="E1314" s="612"/>
    </row>
    <row r="1315" spans="2:7" ht="15.75" x14ac:dyDescent="0.25">
      <c r="B1315" s="547">
        <f t="shared" si="107"/>
        <v>1277</v>
      </c>
      <c r="D1315" s="626" t="s">
        <v>4541</v>
      </c>
      <c r="E1315" s="612">
        <v>0.01</v>
      </c>
    </row>
    <row r="1316" spans="2:7" ht="15.75" x14ac:dyDescent="0.25">
      <c r="B1316" s="547">
        <f t="shared" si="107"/>
        <v>1278</v>
      </c>
      <c r="D1316" s="625" t="s">
        <v>4542</v>
      </c>
      <c r="E1316" s="612">
        <f>ER!E546+ER!E569-E1308-E1313</f>
        <v>346800.98</v>
      </c>
    </row>
    <row r="1317" spans="2:7" ht="18.75" x14ac:dyDescent="0.25">
      <c r="B1317" s="547">
        <f t="shared" si="107"/>
        <v>1279</v>
      </c>
      <c r="D1317" s="628" t="s">
        <v>3600</v>
      </c>
    </row>
    <row r="1318" spans="2:7" x14ac:dyDescent="0.25">
      <c r="B1318" s="547">
        <f t="shared" si="107"/>
        <v>1280</v>
      </c>
      <c r="C1318" s="579" t="s">
        <v>4591</v>
      </c>
      <c r="D1318" s="579" t="str">
        <f>DESPORC!D1473</f>
        <v>GESTÃO E PROMOÇÃO DO MEIO AMBIENTE</v>
      </c>
      <c r="E1318" s="580"/>
      <c r="F1318" s="582"/>
      <c r="G1318" s="582"/>
    </row>
    <row r="1319" spans="2:7" ht="15.75" x14ac:dyDescent="0.25">
      <c r="B1319" s="547">
        <f t="shared" si="107"/>
        <v>1281</v>
      </c>
      <c r="D1319" s="625" t="s">
        <v>4202</v>
      </c>
    </row>
    <row r="1320" spans="2:7" ht="15.75" x14ac:dyDescent="0.25">
      <c r="B1320" s="547">
        <f t="shared" si="107"/>
        <v>1282</v>
      </c>
      <c r="D1320" s="626" t="s">
        <v>3044</v>
      </c>
      <c r="E1320" s="26">
        <v>1500</v>
      </c>
    </row>
    <row r="1321" spans="2:7" ht="15.75" x14ac:dyDescent="0.25">
      <c r="B1321" s="547">
        <f t="shared" si="107"/>
        <v>1283</v>
      </c>
      <c r="D1321" s="626" t="s">
        <v>3355</v>
      </c>
      <c r="E1321" s="26">
        <v>0.01</v>
      </c>
    </row>
    <row r="1322" spans="2:7" ht="15.75" x14ac:dyDescent="0.25">
      <c r="B1322" s="547">
        <f t="shared" si="107"/>
        <v>1284</v>
      </c>
      <c r="D1322" s="626" t="s">
        <v>3356</v>
      </c>
      <c r="E1322" s="26">
        <v>0.01</v>
      </c>
    </row>
    <row r="1323" spans="2:7" ht="15.75" x14ac:dyDescent="0.25">
      <c r="B1323" s="547">
        <f t="shared" si="107"/>
        <v>1285</v>
      </c>
      <c r="D1323" s="626" t="s">
        <v>3357</v>
      </c>
      <c r="E1323" s="26">
        <v>0.01</v>
      </c>
    </row>
    <row r="1324" spans="2:7" ht="15.75" x14ac:dyDescent="0.25">
      <c r="B1324" s="547">
        <f t="shared" si="107"/>
        <v>1286</v>
      </c>
      <c r="D1324" s="626" t="s">
        <v>5109</v>
      </c>
    </row>
    <row r="1325" spans="2:7" s="12" customFormat="1" x14ac:dyDescent="0.25">
      <c r="B1325" s="547">
        <f t="shared" si="107"/>
        <v>1287</v>
      </c>
      <c r="C1325" s="579" t="s">
        <v>4227</v>
      </c>
      <c r="D1325" s="579" t="str">
        <f>DESPORC!D1482</f>
        <v>GESTÃO E PROMOÇÃO DO MEIO AMBIENTE</v>
      </c>
      <c r="E1325" s="582"/>
      <c r="F1325" s="579"/>
      <c r="G1325" s="579"/>
    </row>
    <row r="1326" spans="2:7" ht="15.75" x14ac:dyDescent="0.25">
      <c r="B1326" s="547">
        <f t="shared" si="107"/>
        <v>1288</v>
      </c>
      <c r="D1326" s="688" t="s">
        <v>5932</v>
      </c>
      <c r="E1326" s="630">
        <v>0.01</v>
      </c>
    </row>
    <row r="1327" spans="2:7" ht="31.5" x14ac:dyDescent="0.25">
      <c r="B1327" s="547">
        <f t="shared" si="107"/>
        <v>1289</v>
      </c>
      <c r="D1327" s="688" t="s">
        <v>5933</v>
      </c>
      <c r="E1327" s="630">
        <v>0.01</v>
      </c>
    </row>
    <row r="1328" spans="2:7" ht="31.5" x14ac:dyDescent="0.25">
      <c r="B1328" s="547">
        <f t="shared" si="107"/>
        <v>1290</v>
      </c>
      <c r="D1328" s="688" t="s">
        <v>5934</v>
      </c>
      <c r="E1328" s="630">
        <v>0.01</v>
      </c>
    </row>
    <row r="1329" spans="2:7" ht="31.5" x14ac:dyDescent="0.25">
      <c r="B1329" s="547">
        <f t="shared" si="107"/>
        <v>1291</v>
      </c>
      <c r="D1329" s="688" t="s">
        <v>5931</v>
      </c>
      <c r="E1329" s="630">
        <v>0.01</v>
      </c>
    </row>
    <row r="1330" spans="2:7" ht="31.5" x14ac:dyDescent="0.25">
      <c r="B1330" s="547">
        <f t="shared" si="107"/>
        <v>1292</v>
      </c>
      <c r="D1330" s="688" t="s">
        <v>5930</v>
      </c>
      <c r="E1330" s="630">
        <v>0.01</v>
      </c>
    </row>
    <row r="1331" spans="2:7" ht="18.75" x14ac:dyDescent="0.25">
      <c r="B1331" s="547">
        <f t="shared" si="107"/>
        <v>1293</v>
      </c>
      <c r="D1331" s="628" t="s">
        <v>4544</v>
      </c>
    </row>
    <row r="1332" spans="2:7" x14ac:dyDescent="0.25">
      <c r="B1332" s="547">
        <f t="shared" si="107"/>
        <v>1294</v>
      </c>
      <c r="C1332" s="579" t="s">
        <v>4591</v>
      </c>
      <c r="D1332" s="579" t="str">
        <f>DESPORC!D1489</f>
        <v>Preservação e Conservação Ambiental</v>
      </c>
      <c r="E1332" s="580"/>
      <c r="F1332" s="582"/>
      <c r="G1332" s="582"/>
    </row>
    <row r="1333" spans="2:7" x14ac:dyDescent="0.25">
      <c r="B1333" s="547">
        <f t="shared" si="107"/>
        <v>1295</v>
      </c>
      <c r="D1333" s="570" t="s">
        <v>3648</v>
      </c>
      <c r="E1333" s="26">
        <v>0.01</v>
      </c>
    </row>
    <row r="1334" spans="2:7" x14ac:dyDescent="0.25">
      <c r="B1334" s="547">
        <f t="shared" si="107"/>
        <v>1296</v>
      </c>
      <c r="D1334" s="570" t="s">
        <v>4310</v>
      </c>
      <c r="E1334" s="26"/>
    </row>
    <row r="1335" spans="2:7" x14ac:dyDescent="0.25">
      <c r="B1335" s="547">
        <f t="shared" si="107"/>
        <v>1297</v>
      </c>
      <c r="D1335" s="624" t="s">
        <v>4547</v>
      </c>
      <c r="E1335" s="26">
        <f>'FOPAG EXEC.'!E436</f>
        <v>2920.8476996262075</v>
      </c>
    </row>
    <row r="1336" spans="2:7" x14ac:dyDescent="0.25">
      <c r="B1336" s="547">
        <f t="shared" si="107"/>
        <v>1298</v>
      </c>
      <c r="D1336" s="624" t="s">
        <v>4549</v>
      </c>
      <c r="E1336" s="26">
        <f>'FOPAG EXEC.'!E440*12</f>
        <v>68431.28896267114</v>
      </c>
    </row>
    <row r="1337" spans="2:7" x14ac:dyDescent="0.25">
      <c r="B1337" s="547">
        <f t="shared" si="107"/>
        <v>1299</v>
      </c>
      <c r="D1337" s="624" t="s">
        <v>3411</v>
      </c>
      <c r="E1337" s="26">
        <f>('FOPAG EXEC.'!E432*12)+'FOPAG EXEC.'!E433+'FOPAG EXEC.'!E434</f>
        <v>1947.2317997508051</v>
      </c>
    </row>
    <row r="1338" spans="2:7" x14ac:dyDescent="0.25">
      <c r="B1338" s="547">
        <f t="shared" si="107"/>
        <v>1300</v>
      </c>
      <c r="D1338" s="624" t="s">
        <v>4552</v>
      </c>
      <c r="E1338" s="26">
        <f>'FOPAG EXEC.'!E441</f>
        <v>1900.8691378519763</v>
      </c>
    </row>
    <row r="1339" spans="2:7" x14ac:dyDescent="0.25">
      <c r="B1339" s="547">
        <f t="shared" si="107"/>
        <v>1301</v>
      </c>
      <c r="D1339" s="624" t="s">
        <v>4554</v>
      </c>
      <c r="E1339" s="26">
        <f>'FOPAG EXEC.'!E431*12</f>
        <v>35050.172395514492</v>
      </c>
    </row>
    <row r="1340" spans="2:7" x14ac:dyDescent="0.25">
      <c r="B1340" s="547">
        <f t="shared" si="107"/>
        <v>1302</v>
      </c>
      <c r="D1340" s="624" t="s">
        <v>4556</v>
      </c>
      <c r="E1340" s="26">
        <f>'FOPAG EXEC.'!E442</f>
        <v>5702.6074135559284</v>
      </c>
    </row>
    <row r="1341" spans="2:7" x14ac:dyDescent="0.25">
      <c r="B1341" s="547">
        <f t="shared" si="107"/>
        <v>1303</v>
      </c>
      <c r="D1341" s="624" t="s">
        <v>4593</v>
      </c>
      <c r="E1341" s="26">
        <f>'FOPAG EXEC.'!E435</f>
        <v>973.61589987540253</v>
      </c>
    </row>
    <row r="1342" spans="2:7" x14ac:dyDescent="0.25">
      <c r="B1342" s="547">
        <f t="shared" si="107"/>
        <v>1304</v>
      </c>
      <c r="D1342" s="570" t="s">
        <v>3666</v>
      </c>
      <c r="E1342" s="26"/>
    </row>
    <row r="1343" spans="2:7" x14ac:dyDescent="0.25">
      <c r="B1343" s="547">
        <f t="shared" si="107"/>
        <v>1305</v>
      </c>
      <c r="D1343" s="624" t="s">
        <v>3672</v>
      </c>
      <c r="E1343" s="26">
        <v>0.01</v>
      </c>
    </row>
    <row r="1344" spans="2:7" x14ac:dyDescent="0.25">
      <c r="B1344" s="547">
        <f t="shared" si="107"/>
        <v>1306</v>
      </c>
      <c r="D1344" s="624" t="s">
        <v>3674</v>
      </c>
      <c r="E1344" s="26">
        <v>0.01</v>
      </c>
    </row>
    <row r="1345" spans="2:5" x14ac:dyDescent="0.25">
      <c r="B1345" s="547">
        <f t="shared" si="107"/>
        <v>1307</v>
      </c>
      <c r="D1345" s="570" t="s">
        <v>3675</v>
      </c>
      <c r="E1345" s="26">
        <v>0.01</v>
      </c>
    </row>
    <row r="1346" spans="2:5" x14ac:dyDescent="0.25">
      <c r="B1346" s="547">
        <f t="shared" si="107"/>
        <v>1308</v>
      </c>
      <c r="D1346" s="570" t="s">
        <v>2988</v>
      </c>
      <c r="E1346" s="26">
        <v>0.01</v>
      </c>
    </row>
    <row r="1347" spans="2:5" x14ac:dyDescent="0.25">
      <c r="B1347" s="547">
        <f t="shared" si="107"/>
        <v>1309</v>
      </c>
      <c r="D1347" s="570" t="s">
        <v>3679</v>
      </c>
      <c r="E1347" s="26">
        <v>0.01</v>
      </c>
    </row>
    <row r="1348" spans="2:5" x14ac:dyDescent="0.25">
      <c r="B1348" s="547">
        <f t="shared" si="107"/>
        <v>1310</v>
      </c>
      <c r="D1348" s="570" t="s">
        <v>2994</v>
      </c>
      <c r="E1348" s="26"/>
    </row>
    <row r="1349" spans="2:5" x14ac:dyDescent="0.25">
      <c r="B1349" s="547">
        <f t="shared" si="107"/>
        <v>1311</v>
      </c>
      <c r="D1349" s="624" t="s">
        <v>4560</v>
      </c>
      <c r="E1349" s="26">
        <v>1000</v>
      </c>
    </row>
    <row r="1350" spans="2:5" x14ac:dyDescent="0.25">
      <c r="B1350" s="547">
        <f t="shared" si="107"/>
        <v>1312</v>
      </c>
      <c r="D1350" s="624" t="s">
        <v>3000</v>
      </c>
      <c r="E1350" s="26">
        <v>1000</v>
      </c>
    </row>
    <row r="1351" spans="2:5" x14ac:dyDescent="0.25">
      <c r="B1351" s="547">
        <f t="shared" si="107"/>
        <v>1313</v>
      </c>
      <c r="D1351" s="570" t="s">
        <v>4131</v>
      </c>
      <c r="E1351" s="26">
        <v>1500</v>
      </c>
    </row>
    <row r="1352" spans="2:5" x14ac:dyDescent="0.25">
      <c r="B1352" s="547">
        <f t="shared" si="107"/>
        <v>1314</v>
      </c>
      <c r="D1352" s="570" t="s">
        <v>4414</v>
      </c>
      <c r="E1352" s="26">
        <v>2000</v>
      </c>
    </row>
    <row r="1353" spans="2:5" x14ac:dyDescent="0.25">
      <c r="B1353" s="547">
        <f t="shared" si="107"/>
        <v>1315</v>
      </c>
      <c r="D1353" s="570" t="s">
        <v>3718</v>
      </c>
      <c r="E1353" s="26"/>
    </row>
    <row r="1354" spans="2:5" x14ac:dyDescent="0.25">
      <c r="B1354" s="547">
        <f t="shared" si="107"/>
        <v>1316</v>
      </c>
      <c r="D1354" s="624" t="s">
        <v>4563</v>
      </c>
      <c r="E1354" s="26">
        <v>300</v>
      </c>
    </row>
    <row r="1355" spans="2:5" x14ac:dyDescent="0.25">
      <c r="B1355" s="547">
        <f t="shared" si="107"/>
        <v>1317</v>
      </c>
      <c r="D1355" s="570" t="s">
        <v>4564</v>
      </c>
      <c r="E1355" s="26">
        <v>0.01</v>
      </c>
    </row>
    <row r="1356" spans="2:5" x14ac:dyDescent="0.25">
      <c r="B1356" s="547">
        <f t="shared" si="107"/>
        <v>1318</v>
      </c>
      <c r="D1356" s="570" t="s">
        <v>4565</v>
      </c>
      <c r="E1356" s="26"/>
    </row>
    <row r="1357" spans="2:5" x14ac:dyDescent="0.25">
      <c r="B1357" s="547">
        <f t="shared" si="107"/>
        <v>1319</v>
      </c>
      <c r="D1357" s="624" t="s">
        <v>3211</v>
      </c>
      <c r="E1357" s="26">
        <v>6000</v>
      </c>
    </row>
    <row r="1358" spans="2:5" x14ac:dyDescent="0.25">
      <c r="B1358" s="547">
        <f t="shared" si="107"/>
        <v>1320</v>
      </c>
      <c r="D1358" s="624" t="s">
        <v>4568</v>
      </c>
      <c r="E1358" s="26">
        <v>1000</v>
      </c>
    </row>
    <row r="1359" spans="2:5" x14ac:dyDescent="0.25">
      <c r="B1359" s="547">
        <f t="shared" si="107"/>
        <v>1321</v>
      </c>
      <c r="D1359" s="570" t="s">
        <v>3049</v>
      </c>
      <c r="E1359" s="26">
        <f>7000</f>
        <v>7000</v>
      </c>
    </row>
    <row r="1360" spans="2:5" x14ac:dyDescent="0.25">
      <c r="B1360" s="547">
        <f t="shared" si="107"/>
        <v>1322</v>
      </c>
      <c r="D1360" s="570" t="s">
        <v>4535</v>
      </c>
      <c r="E1360" s="26">
        <v>2000</v>
      </c>
    </row>
    <row r="1361" spans="2:7" x14ac:dyDescent="0.25">
      <c r="B1361" s="547">
        <f t="shared" ref="B1361:B1424" si="108">B1360+1</f>
        <v>1323</v>
      </c>
      <c r="D1361" s="570" t="s">
        <v>4483</v>
      </c>
      <c r="E1361" s="26"/>
    </row>
    <row r="1362" spans="2:7" x14ac:dyDescent="0.25">
      <c r="B1362" s="547">
        <f t="shared" si="108"/>
        <v>1324</v>
      </c>
      <c r="D1362" s="624" t="s">
        <v>3741</v>
      </c>
      <c r="E1362" s="26">
        <f>'FOPAG EXEC.'!E437*12</f>
        <v>614.16</v>
      </c>
    </row>
    <row r="1363" spans="2:7" x14ac:dyDescent="0.25">
      <c r="B1363" s="547">
        <f t="shared" si="108"/>
        <v>1325</v>
      </c>
      <c r="D1363" s="570" t="s">
        <v>3742</v>
      </c>
      <c r="E1363" s="26">
        <v>0.01</v>
      </c>
    </row>
    <row r="1364" spans="2:7" x14ac:dyDescent="0.25">
      <c r="B1364" s="547">
        <f t="shared" si="108"/>
        <v>1326</v>
      </c>
      <c r="D1364" s="570" t="s">
        <v>3060</v>
      </c>
      <c r="E1364" s="26">
        <v>300</v>
      </c>
    </row>
    <row r="1365" spans="2:7" x14ac:dyDescent="0.25">
      <c r="B1365" s="547">
        <f t="shared" si="108"/>
        <v>1327</v>
      </c>
      <c r="D1365" s="570" t="s">
        <v>3514</v>
      </c>
      <c r="E1365" s="26">
        <v>0.01</v>
      </c>
    </row>
    <row r="1366" spans="2:7" x14ac:dyDescent="0.25">
      <c r="B1366" s="547">
        <f t="shared" si="108"/>
        <v>1328</v>
      </c>
      <c r="D1366" s="570" t="s">
        <v>4494</v>
      </c>
      <c r="E1366" s="26">
        <v>0.01</v>
      </c>
    </row>
    <row r="1367" spans="2:7" x14ac:dyDescent="0.25">
      <c r="B1367" s="547">
        <f t="shared" si="108"/>
        <v>1329</v>
      </c>
      <c r="D1367" s="570" t="s">
        <v>3152</v>
      </c>
      <c r="E1367" s="26">
        <v>1.0999999999999999E-2</v>
      </c>
    </row>
    <row r="1368" spans="2:7" x14ac:dyDescent="0.25">
      <c r="B1368" s="547">
        <f t="shared" si="108"/>
        <v>1330</v>
      </c>
      <c r="D1368" s="570" t="s">
        <v>3600</v>
      </c>
    </row>
    <row r="1369" spans="2:7" x14ac:dyDescent="0.25">
      <c r="B1369" s="547">
        <f t="shared" si="108"/>
        <v>1331</v>
      </c>
      <c r="C1369" s="579" t="s">
        <v>4595</v>
      </c>
      <c r="D1369" s="579" t="str">
        <f>DESPORC!D1533</f>
        <v>GESTÃO E PROMOÇÃO DO SANEAMENTO BÁSICO</v>
      </c>
      <c r="E1369" s="580"/>
      <c r="F1369" s="582"/>
      <c r="G1369" s="582"/>
    </row>
    <row r="1370" spans="2:7" ht="15.75" x14ac:dyDescent="0.25">
      <c r="B1370" s="547">
        <f t="shared" si="108"/>
        <v>1332</v>
      </c>
      <c r="D1370" s="625" t="s">
        <v>4202</v>
      </c>
      <c r="E1370" s="26"/>
    </row>
    <row r="1371" spans="2:7" ht="15.75" x14ac:dyDescent="0.25">
      <c r="B1371" s="547">
        <f t="shared" si="108"/>
        <v>1333</v>
      </c>
      <c r="D1371" s="626" t="s">
        <v>3044</v>
      </c>
      <c r="E1371" s="26">
        <v>0.01</v>
      </c>
    </row>
    <row r="1372" spans="2:7" ht="15.75" x14ac:dyDescent="0.25">
      <c r="B1372" s="547">
        <f t="shared" si="108"/>
        <v>1334</v>
      </c>
      <c r="D1372" s="626" t="s">
        <v>3355</v>
      </c>
      <c r="E1372" s="26">
        <v>0.01</v>
      </c>
    </row>
    <row r="1373" spans="2:7" ht="15.75" x14ac:dyDescent="0.25">
      <c r="B1373" s="547">
        <f t="shared" si="108"/>
        <v>1335</v>
      </c>
      <c r="D1373" s="626" t="s">
        <v>3356</v>
      </c>
      <c r="E1373" s="26">
        <v>0.01</v>
      </c>
    </row>
    <row r="1374" spans="2:7" ht="15.75" x14ac:dyDescent="0.25">
      <c r="B1374" s="547">
        <f t="shared" si="108"/>
        <v>1336</v>
      </c>
      <c r="D1374" s="626" t="s">
        <v>3357</v>
      </c>
      <c r="E1374" s="26">
        <v>0.01</v>
      </c>
    </row>
    <row r="1375" spans="2:7" ht="15.75" x14ac:dyDescent="0.25">
      <c r="B1375" s="547">
        <f t="shared" si="108"/>
        <v>1337</v>
      </c>
      <c r="D1375" s="625" t="s">
        <v>4596</v>
      </c>
      <c r="E1375" s="26"/>
    </row>
    <row r="1376" spans="2:7" x14ac:dyDescent="0.25">
      <c r="B1376" s="547">
        <f t="shared" si="108"/>
        <v>1338</v>
      </c>
      <c r="C1376" s="579" t="s">
        <v>4595</v>
      </c>
      <c r="D1376" s="579" t="str">
        <f>DESPORC!D1542</f>
        <v>GESTÃO E PROMOÇÃO DO SANEAMENTO BÁSICO</v>
      </c>
      <c r="E1376" s="580"/>
      <c r="F1376" s="582"/>
      <c r="G1376" s="582"/>
    </row>
    <row r="1377" spans="2:7" x14ac:dyDescent="0.25">
      <c r="B1377" s="547">
        <f t="shared" si="108"/>
        <v>1339</v>
      </c>
      <c r="D1377" s="570" t="s">
        <v>4131</v>
      </c>
      <c r="E1377" s="26"/>
    </row>
    <row r="1378" spans="2:7" x14ac:dyDescent="0.25">
      <c r="B1378" s="547">
        <f t="shared" si="108"/>
        <v>1340</v>
      </c>
      <c r="D1378" s="624" t="s">
        <v>4576</v>
      </c>
      <c r="E1378" s="26">
        <v>1500</v>
      </c>
    </row>
    <row r="1379" spans="2:7" x14ac:dyDescent="0.25">
      <c r="B1379" s="547">
        <f t="shared" si="108"/>
        <v>1341</v>
      </c>
      <c r="D1379" s="570" t="s">
        <v>3476</v>
      </c>
      <c r="E1379" s="26">
        <v>0.01</v>
      </c>
    </row>
    <row r="1380" spans="2:7" x14ac:dyDescent="0.25">
      <c r="B1380" s="547">
        <f t="shared" si="108"/>
        <v>1342</v>
      </c>
      <c r="D1380" s="570" t="s">
        <v>4421</v>
      </c>
      <c r="E1380" s="26"/>
    </row>
    <row r="1381" spans="2:7" x14ac:dyDescent="0.25">
      <c r="B1381" s="547">
        <f t="shared" si="108"/>
        <v>1343</v>
      </c>
      <c r="D1381" s="624" t="s">
        <v>3321</v>
      </c>
      <c r="E1381" s="26">
        <v>3000</v>
      </c>
    </row>
    <row r="1382" spans="2:7" x14ac:dyDescent="0.25">
      <c r="B1382" s="547">
        <f t="shared" si="108"/>
        <v>1344</v>
      </c>
      <c r="D1382" s="624" t="s">
        <v>4579</v>
      </c>
      <c r="E1382" s="26">
        <v>1500</v>
      </c>
    </row>
    <row r="1383" spans="2:7" x14ac:dyDescent="0.25">
      <c r="B1383" s="547">
        <f t="shared" si="108"/>
        <v>1345</v>
      </c>
      <c r="D1383" s="624" t="s">
        <v>4581</v>
      </c>
      <c r="E1383" s="26">
        <v>3000</v>
      </c>
    </row>
    <row r="1384" spans="2:7" x14ac:dyDescent="0.25">
      <c r="B1384" s="547">
        <f t="shared" si="108"/>
        <v>1346</v>
      </c>
      <c r="D1384" s="570" t="s">
        <v>3057</v>
      </c>
      <c r="E1384" s="26">
        <v>0.01</v>
      </c>
    </row>
    <row r="1385" spans="2:7" x14ac:dyDescent="0.25">
      <c r="B1385" s="547">
        <f t="shared" si="108"/>
        <v>1347</v>
      </c>
      <c r="D1385" s="570" t="s">
        <v>3130</v>
      </c>
      <c r="E1385" s="26"/>
    </row>
    <row r="1386" spans="2:7" x14ac:dyDescent="0.25">
      <c r="B1386" s="547">
        <f t="shared" si="108"/>
        <v>1348</v>
      </c>
      <c r="D1386" s="624" t="s">
        <v>4583</v>
      </c>
      <c r="E1386" s="26">
        <v>0.01</v>
      </c>
    </row>
    <row r="1387" spans="2:7" x14ac:dyDescent="0.25">
      <c r="B1387" s="547">
        <f t="shared" si="108"/>
        <v>1349</v>
      </c>
      <c r="D1387" s="570" t="s">
        <v>3152</v>
      </c>
      <c r="E1387" s="26">
        <v>0.01</v>
      </c>
    </row>
    <row r="1388" spans="2:7" x14ac:dyDescent="0.25">
      <c r="B1388" s="547">
        <f t="shared" si="108"/>
        <v>1350</v>
      </c>
      <c r="C1388" s="579" t="s">
        <v>4595</v>
      </c>
      <c r="D1388" s="579" t="str">
        <f>DESPORC!D1557</f>
        <v>GESTÃO E PROMOÇÃO DO SANEAMENTO BÁSICO</v>
      </c>
      <c r="E1388" s="580"/>
      <c r="F1388" s="582"/>
      <c r="G1388" s="582"/>
    </row>
    <row r="1389" spans="2:7" x14ac:dyDescent="0.25">
      <c r="B1389" s="547">
        <f t="shared" si="108"/>
        <v>1351</v>
      </c>
      <c r="D1389" s="634" t="s">
        <v>4752</v>
      </c>
      <c r="E1389" s="26">
        <v>0.01</v>
      </c>
    </row>
    <row r="1390" spans="2:7" x14ac:dyDescent="0.25">
      <c r="B1390" s="547">
        <f t="shared" si="108"/>
        <v>1352</v>
      </c>
      <c r="D1390" s="634" t="s">
        <v>4745</v>
      </c>
      <c r="E1390" s="26">
        <v>0.01</v>
      </c>
    </row>
    <row r="1391" spans="2:7" x14ac:dyDescent="0.25">
      <c r="B1391" s="547">
        <f t="shared" si="108"/>
        <v>1353</v>
      </c>
      <c r="D1391" s="634" t="s">
        <v>4746</v>
      </c>
      <c r="E1391" s="26">
        <v>0.01</v>
      </c>
    </row>
    <row r="1392" spans="2:7" x14ac:dyDescent="0.25">
      <c r="B1392" s="547">
        <f t="shared" si="108"/>
        <v>1354</v>
      </c>
      <c r="D1392" s="634" t="s">
        <v>4747</v>
      </c>
      <c r="E1392" s="26">
        <v>0.01</v>
      </c>
    </row>
    <row r="1393" spans="2:7" x14ac:dyDescent="0.25">
      <c r="B1393" s="547">
        <f t="shared" si="108"/>
        <v>1355</v>
      </c>
      <c r="D1393" s="634" t="s">
        <v>4748</v>
      </c>
      <c r="E1393" s="26">
        <v>0.01</v>
      </c>
    </row>
    <row r="1394" spans="2:7" x14ac:dyDescent="0.25">
      <c r="B1394" s="547">
        <f t="shared" si="108"/>
        <v>1356</v>
      </c>
      <c r="D1394" s="634" t="s">
        <v>4749</v>
      </c>
      <c r="E1394" s="26">
        <f>ER!E589-E1389-E1390-E1391-E1392-E1393</f>
        <v>0.95</v>
      </c>
    </row>
    <row r="1395" spans="2:7" x14ac:dyDescent="0.25">
      <c r="B1395" s="547">
        <f t="shared" si="108"/>
        <v>1357</v>
      </c>
      <c r="D1395" s="634" t="s">
        <v>4750</v>
      </c>
      <c r="E1395" s="26">
        <v>0.01</v>
      </c>
    </row>
    <row r="1396" spans="2:7" x14ac:dyDescent="0.25">
      <c r="B1396" s="547">
        <f t="shared" si="108"/>
        <v>1358</v>
      </c>
      <c r="C1396" s="579" t="s">
        <v>4595</v>
      </c>
      <c r="D1396" s="579" t="str">
        <f>DESPORC!D1568</f>
        <v>GESTÃO E PROMOÇÃO DO SANEAMENTO BÁSICO</v>
      </c>
      <c r="E1396" s="580"/>
      <c r="F1396" s="582"/>
      <c r="G1396" s="582"/>
    </row>
    <row r="1397" spans="2:7" ht="15.75" x14ac:dyDescent="0.25">
      <c r="B1397" s="547">
        <f t="shared" si="108"/>
        <v>1359</v>
      </c>
      <c r="D1397" s="626" t="s">
        <v>5960</v>
      </c>
      <c r="E1397" s="613">
        <v>0.01</v>
      </c>
    </row>
    <row r="1398" spans="2:7" ht="15.75" x14ac:dyDescent="0.25">
      <c r="B1398" s="547">
        <f t="shared" si="108"/>
        <v>1360</v>
      </c>
      <c r="D1398" s="626" t="s">
        <v>5955</v>
      </c>
      <c r="E1398" s="613">
        <v>0.01</v>
      </c>
    </row>
    <row r="1399" spans="2:7" ht="15.75" x14ac:dyDescent="0.25">
      <c r="B1399" s="547">
        <f t="shared" si="108"/>
        <v>1361</v>
      </c>
      <c r="D1399" s="626" t="s">
        <v>5956</v>
      </c>
      <c r="E1399" s="613">
        <v>0.01</v>
      </c>
    </row>
    <row r="1400" spans="2:7" ht="15.75" x14ac:dyDescent="0.25">
      <c r="B1400" s="547">
        <f t="shared" si="108"/>
        <v>1362</v>
      </c>
      <c r="D1400" s="626" t="s">
        <v>5957</v>
      </c>
      <c r="E1400" s="613">
        <v>0.01</v>
      </c>
    </row>
    <row r="1401" spans="2:7" ht="15.75" x14ac:dyDescent="0.25">
      <c r="B1401" s="547">
        <f t="shared" si="108"/>
        <v>1363</v>
      </c>
      <c r="D1401" s="626" t="s">
        <v>5958</v>
      </c>
      <c r="E1401" s="613">
        <v>0.01</v>
      </c>
    </row>
    <row r="1402" spans="2:7" ht="15.75" x14ac:dyDescent="0.25">
      <c r="B1402" s="547">
        <f t="shared" si="108"/>
        <v>1364</v>
      </c>
      <c r="D1402" s="626" t="s">
        <v>5959</v>
      </c>
      <c r="E1402" s="613">
        <v>0.01</v>
      </c>
    </row>
    <row r="1403" spans="2:7" x14ac:dyDescent="0.25">
      <c r="B1403" s="547">
        <f t="shared" si="108"/>
        <v>1365</v>
      </c>
      <c r="D1403" s="12" t="s">
        <v>4604</v>
      </c>
    </row>
    <row r="1404" spans="2:7" x14ac:dyDescent="0.25">
      <c r="B1404" s="547">
        <f t="shared" si="108"/>
        <v>1366</v>
      </c>
      <c r="C1404" s="579" t="s">
        <v>4605</v>
      </c>
      <c r="D1404" s="579" t="str">
        <f>DESPORC!D1588</f>
        <v>PROMOÇÃO DO ACESSO A MORADIA</v>
      </c>
      <c r="E1404" s="580"/>
      <c r="F1404" s="582"/>
      <c r="G1404" s="582"/>
    </row>
    <row r="1405" spans="2:7" x14ac:dyDescent="0.25">
      <c r="B1405" s="547">
        <f t="shared" si="108"/>
        <v>1367</v>
      </c>
      <c r="D1405" s="624" t="s">
        <v>4131</v>
      </c>
      <c r="E1405" s="26">
        <v>0.01</v>
      </c>
    </row>
    <row r="1406" spans="2:7" x14ac:dyDescent="0.25">
      <c r="B1406" s="547">
        <f t="shared" si="108"/>
        <v>1368</v>
      </c>
      <c r="D1406" s="624" t="s">
        <v>4161</v>
      </c>
      <c r="E1406" s="26">
        <v>0.01</v>
      </c>
    </row>
    <row r="1407" spans="2:7" x14ac:dyDescent="0.25">
      <c r="B1407" s="547">
        <f t="shared" si="108"/>
        <v>1369</v>
      </c>
      <c r="D1407" s="624" t="s">
        <v>4165</v>
      </c>
      <c r="E1407" s="26">
        <v>0.01</v>
      </c>
    </row>
    <row r="1408" spans="2:7" x14ac:dyDescent="0.25">
      <c r="B1408" s="547">
        <f t="shared" si="108"/>
        <v>1370</v>
      </c>
      <c r="D1408" s="624" t="s">
        <v>4601</v>
      </c>
      <c r="E1408" s="26">
        <v>0.01</v>
      </c>
    </row>
    <row r="1409" spans="2:7" x14ac:dyDescent="0.25">
      <c r="B1409" s="547">
        <f t="shared" si="108"/>
        <v>1371</v>
      </c>
      <c r="D1409" s="624" t="s">
        <v>4602</v>
      </c>
      <c r="E1409" s="26">
        <f>ER!E561</f>
        <v>1</v>
      </c>
    </row>
    <row r="1410" spans="2:7" x14ac:dyDescent="0.25">
      <c r="B1410" s="547">
        <f t="shared" si="108"/>
        <v>1372</v>
      </c>
      <c r="D1410" s="624" t="s">
        <v>4494</v>
      </c>
      <c r="E1410" s="26">
        <v>0.01</v>
      </c>
    </row>
    <row r="1411" spans="2:7" x14ac:dyDescent="0.25">
      <c r="B1411" s="547">
        <f t="shared" si="108"/>
        <v>1373</v>
      </c>
      <c r="D1411" s="624" t="s">
        <v>3152</v>
      </c>
      <c r="E1411" s="26">
        <v>0.01</v>
      </c>
    </row>
    <row r="1412" spans="2:7" x14ac:dyDescent="0.25">
      <c r="B1412" s="547">
        <f t="shared" si="108"/>
        <v>1374</v>
      </c>
      <c r="D1412" s="570" t="s">
        <v>2597</v>
      </c>
    </row>
    <row r="1413" spans="2:7" x14ac:dyDescent="0.25">
      <c r="B1413" s="547">
        <f t="shared" si="108"/>
        <v>1375</v>
      </c>
      <c r="C1413" s="579" t="s">
        <v>3074</v>
      </c>
      <c r="D1413" s="579" t="str">
        <f>DESPORC!D1609</f>
        <v xml:space="preserve">GESTÃO , APOIO E MANUT., COORDEN. E PLANEJAMENTO </v>
      </c>
      <c r="E1413" s="580"/>
      <c r="F1413" s="582"/>
      <c r="G1413" s="582"/>
    </row>
    <row r="1414" spans="2:7" ht="15.75" x14ac:dyDescent="0.25">
      <c r="B1414" s="547">
        <f t="shared" si="108"/>
        <v>1376</v>
      </c>
      <c r="D1414" s="625" t="s">
        <v>3174</v>
      </c>
      <c r="E1414" s="25">
        <v>0.01</v>
      </c>
    </row>
    <row r="1415" spans="2:7" ht="15.75" x14ac:dyDescent="0.25">
      <c r="B1415" s="547">
        <f t="shared" si="108"/>
        <v>1377</v>
      </c>
      <c r="D1415" s="625" t="s">
        <v>4131</v>
      </c>
      <c r="E1415" s="25">
        <v>0.01</v>
      </c>
    </row>
    <row r="1416" spans="2:7" ht="15.75" x14ac:dyDescent="0.25">
      <c r="B1416" s="547">
        <f t="shared" si="108"/>
        <v>1378</v>
      </c>
      <c r="D1416" s="625" t="s">
        <v>4161</v>
      </c>
      <c r="E1416" s="25">
        <v>0.01</v>
      </c>
    </row>
    <row r="1417" spans="2:7" ht="15.75" x14ac:dyDescent="0.25">
      <c r="B1417" s="547">
        <f t="shared" si="108"/>
        <v>1379</v>
      </c>
      <c r="D1417" s="625" t="s">
        <v>4165</v>
      </c>
      <c r="E1417" s="25">
        <v>0.01</v>
      </c>
    </row>
    <row r="1418" spans="2:7" ht="15.75" x14ac:dyDescent="0.25">
      <c r="B1418" s="547">
        <f t="shared" si="108"/>
        <v>1380</v>
      </c>
      <c r="D1418" s="625" t="s">
        <v>4601</v>
      </c>
      <c r="E1418" s="25">
        <v>0.01</v>
      </c>
    </row>
    <row r="1419" spans="2:7" ht="15.75" x14ac:dyDescent="0.25">
      <c r="B1419" s="547">
        <f t="shared" si="108"/>
        <v>1381</v>
      </c>
      <c r="D1419" s="625" t="s">
        <v>4494</v>
      </c>
      <c r="E1419" s="25">
        <v>0.01</v>
      </c>
    </row>
    <row r="1420" spans="2:7" ht="15.75" x14ac:dyDescent="0.25">
      <c r="B1420" s="547">
        <f t="shared" si="108"/>
        <v>1382</v>
      </c>
      <c r="D1420" s="625" t="s">
        <v>3152</v>
      </c>
      <c r="E1420" s="25">
        <v>0.01</v>
      </c>
    </row>
    <row r="1421" spans="2:7" ht="18.75" x14ac:dyDescent="0.3">
      <c r="B1421" s="547">
        <f t="shared" si="108"/>
        <v>1383</v>
      </c>
      <c r="D1421" s="1363" t="s">
        <v>4614</v>
      </c>
    </row>
    <row r="1422" spans="2:7" x14ac:dyDescent="0.25">
      <c r="B1422" s="547">
        <f t="shared" si="108"/>
        <v>1384</v>
      </c>
      <c r="C1422" s="579" t="s">
        <v>4649</v>
      </c>
      <c r="D1422" s="579" t="str">
        <f>DESPORC!D1630</f>
        <v>ENCARGOS ESPECIAIS</v>
      </c>
      <c r="E1422" s="580"/>
      <c r="F1422" s="582"/>
      <c r="G1422" s="582"/>
    </row>
    <row r="1423" spans="2:7" x14ac:dyDescent="0.25">
      <c r="B1423" s="547">
        <f t="shared" si="108"/>
        <v>1385</v>
      </c>
      <c r="D1423" s="570" t="s">
        <v>4617</v>
      </c>
      <c r="E1423" s="25">
        <v>0.01</v>
      </c>
    </row>
    <row r="1424" spans="2:7" x14ac:dyDescent="0.25">
      <c r="B1424" s="547">
        <f t="shared" si="108"/>
        <v>1386</v>
      </c>
      <c r="D1424" s="570" t="s">
        <v>4618</v>
      </c>
      <c r="E1424" s="25">
        <v>0.01</v>
      </c>
    </row>
    <row r="1425" spans="2:5" x14ac:dyDescent="0.25">
      <c r="B1425" s="547">
        <f t="shared" ref="B1425:B1488" si="109">B1424+1</f>
        <v>1387</v>
      </c>
      <c r="D1425" s="570" t="s">
        <v>7774</v>
      </c>
      <c r="E1425" s="25">
        <f>E1426</f>
        <v>9546.56</v>
      </c>
    </row>
    <row r="1426" spans="2:5" x14ac:dyDescent="0.25">
      <c r="B1426" s="547">
        <f t="shared" si="109"/>
        <v>1388</v>
      </c>
      <c r="D1426" s="634" t="s">
        <v>7773</v>
      </c>
      <c r="E1426" s="613">
        <v>9546.56</v>
      </c>
    </row>
    <row r="1427" spans="2:5" x14ac:dyDescent="0.25">
      <c r="B1427" s="547">
        <f t="shared" si="109"/>
        <v>1389</v>
      </c>
      <c r="D1427" s="570" t="s">
        <v>7775</v>
      </c>
      <c r="E1427" s="25">
        <f>SUM(E1428:E1429)</f>
        <v>48199.350000000006</v>
      </c>
    </row>
    <row r="1428" spans="2:5" x14ac:dyDescent="0.25">
      <c r="B1428" s="547">
        <f t="shared" si="109"/>
        <v>1390</v>
      </c>
      <c r="D1428" s="634" t="s">
        <v>7776</v>
      </c>
      <c r="E1428" s="613">
        <v>21097.13</v>
      </c>
    </row>
    <row r="1429" spans="2:5" x14ac:dyDescent="0.25">
      <c r="B1429" s="547">
        <f t="shared" si="109"/>
        <v>1391</v>
      </c>
      <c r="D1429" s="634" t="s">
        <v>7777</v>
      </c>
      <c r="E1429" s="613">
        <v>27102.22</v>
      </c>
    </row>
    <row r="1430" spans="2:5" x14ac:dyDescent="0.25">
      <c r="B1430" s="547">
        <f t="shared" si="109"/>
        <v>1392</v>
      </c>
      <c r="D1430" s="570" t="s">
        <v>7778</v>
      </c>
      <c r="E1430" s="25">
        <f>SUM(E1431:E1441)</f>
        <v>268428.14</v>
      </c>
    </row>
    <row r="1431" spans="2:5" x14ac:dyDescent="0.25">
      <c r="B1431" s="547">
        <f t="shared" si="109"/>
        <v>1393</v>
      </c>
      <c r="D1431" s="634" t="s">
        <v>7779</v>
      </c>
      <c r="E1431" s="613">
        <v>17472.349999999999</v>
      </c>
    </row>
    <row r="1432" spans="2:5" x14ac:dyDescent="0.25">
      <c r="B1432" s="547">
        <f t="shared" si="109"/>
        <v>1394</v>
      </c>
      <c r="D1432" s="634" t="s">
        <v>7780</v>
      </c>
      <c r="E1432" s="613">
        <v>24413.21</v>
      </c>
    </row>
    <row r="1433" spans="2:5" x14ac:dyDescent="0.25">
      <c r="B1433" s="547">
        <f t="shared" si="109"/>
        <v>1395</v>
      </c>
      <c r="D1433" s="634" t="s">
        <v>7781</v>
      </c>
      <c r="E1433" s="613">
        <v>16585.79</v>
      </c>
    </row>
    <row r="1434" spans="2:5" x14ac:dyDescent="0.25">
      <c r="B1434" s="547">
        <f t="shared" si="109"/>
        <v>1396</v>
      </c>
      <c r="D1434" s="634" t="s">
        <v>7782</v>
      </c>
      <c r="E1434" s="613">
        <v>17147.71</v>
      </c>
    </row>
    <row r="1435" spans="2:5" x14ac:dyDescent="0.25">
      <c r="B1435" s="547">
        <f t="shared" si="109"/>
        <v>1397</v>
      </c>
      <c r="D1435" s="634" t="s">
        <v>7783</v>
      </c>
      <c r="E1435" s="613">
        <v>22006.81</v>
      </c>
    </row>
    <row r="1436" spans="2:5" x14ac:dyDescent="0.25">
      <c r="B1436" s="547">
        <f t="shared" si="109"/>
        <v>1398</v>
      </c>
      <c r="D1436" s="634" t="s">
        <v>7784</v>
      </c>
      <c r="E1436" s="613">
        <v>20352.21</v>
      </c>
    </row>
    <row r="1437" spans="2:5" x14ac:dyDescent="0.25">
      <c r="B1437" s="547">
        <f t="shared" si="109"/>
        <v>1399</v>
      </c>
      <c r="D1437" s="634" t="s">
        <v>7785</v>
      </c>
      <c r="E1437" s="613">
        <v>52439.97</v>
      </c>
    </row>
    <row r="1438" spans="2:5" x14ac:dyDescent="0.25">
      <c r="B1438" s="547">
        <f t="shared" si="109"/>
        <v>1400</v>
      </c>
      <c r="D1438" s="634" t="s">
        <v>7786</v>
      </c>
      <c r="E1438" s="613">
        <v>33914.33</v>
      </c>
    </row>
    <row r="1439" spans="2:5" x14ac:dyDescent="0.25">
      <c r="B1439" s="547">
        <f t="shared" si="109"/>
        <v>1401</v>
      </c>
      <c r="D1439" s="634" t="s">
        <v>7787</v>
      </c>
      <c r="E1439" s="613">
        <v>17593.14</v>
      </c>
    </row>
    <row r="1440" spans="2:5" x14ac:dyDescent="0.25">
      <c r="B1440" s="547">
        <f t="shared" si="109"/>
        <v>1402</v>
      </c>
      <c r="D1440" s="634" t="s">
        <v>7788</v>
      </c>
      <c r="E1440" s="613">
        <v>25769.47</v>
      </c>
    </row>
    <row r="1441" spans="2:5" x14ac:dyDescent="0.25">
      <c r="B1441" s="547">
        <f t="shared" si="109"/>
        <v>1403</v>
      </c>
      <c r="D1441" s="634" t="s">
        <v>7789</v>
      </c>
      <c r="E1441" s="613">
        <v>20733.150000000001</v>
      </c>
    </row>
    <row r="1442" spans="2:5" x14ac:dyDescent="0.25">
      <c r="B1442" s="547">
        <f t="shared" si="109"/>
        <v>1404</v>
      </c>
      <c r="D1442" s="634"/>
      <c r="E1442" s="613"/>
    </row>
    <row r="1443" spans="2:5" x14ac:dyDescent="0.25">
      <c r="B1443" s="547">
        <f t="shared" si="109"/>
        <v>1405</v>
      </c>
      <c r="D1443" s="634"/>
      <c r="E1443" s="613"/>
    </row>
    <row r="1444" spans="2:5" x14ac:dyDescent="0.25">
      <c r="B1444" s="547">
        <f t="shared" si="109"/>
        <v>1406</v>
      </c>
      <c r="D1444" s="570" t="s">
        <v>3057</v>
      </c>
      <c r="E1444" s="25">
        <v>0.01</v>
      </c>
    </row>
    <row r="1445" spans="2:5" x14ac:dyDescent="0.25">
      <c r="B1445" s="547">
        <f t="shared" si="109"/>
        <v>1407</v>
      </c>
      <c r="D1445" s="624" t="s">
        <v>4619</v>
      </c>
      <c r="E1445" s="25">
        <v>0</v>
      </c>
    </row>
    <row r="1446" spans="2:5" x14ac:dyDescent="0.25">
      <c r="B1446" s="547">
        <f t="shared" si="109"/>
        <v>1408</v>
      </c>
      <c r="D1446" s="570" t="s">
        <v>4620</v>
      </c>
      <c r="E1446" s="25">
        <v>0.01</v>
      </c>
    </row>
    <row r="1447" spans="2:5" x14ac:dyDescent="0.25">
      <c r="B1447" s="547">
        <f t="shared" si="109"/>
        <v>1409</v>
      </c>
      <c r="D1447" s="570" t="s">
        <v>7831</v>
      </c>
      <c r="E1447" s="25">
        <v>15000</v>
      </c>
    </row>
    <row r="1448" spans="2:5" x14ac:dyDescent="0.25">
      <c r="B1448" s="547">
        <f t="shared" si="109"/>
        <v>1410</v>
      </c>
      <c r="D1448" s="963" t="s">
        <v>7832</v>
      </c>
      <c r="E1448" s="25">
        <v>20000</v>
      </c>
    </row>
    <row r="1449" spans="2:5" x14ac:dyDescent="0.25">
      <c r="B1449" s="547">
        <f t="shared" si="109"/>
        <v>1411</v>
      </c>
      <c r="D1449" s="570" t="s">
        <v>4621</v>
      </c>
      <c r="E1449" s="25">
        <v>0.01</v>
      </c>
    </row>
    <row r="1450" spans="2:5" x14ac:dyDescent="0.25">
      <c r="B1450" s="547">
        <f t="shared" si="109"/>
        <v>1412</v>
      </c>
      <c r="D1450" s="570" t="s">
        <v>4622</v>
      </c>
      <c r="E1450" s="26">
        <f>43185.71/8*12</f>
        <v>64778.565000000002</v>
      </c>
    </row>
    <row r="1451" spans="2:5" x14ac:dyDescent="0.25">
      <c r="B1451" s="547">
        <f t="shared" si="109"/>
        <v>1413</v>
      </c>
      <c r="D1451" s="570" t="s">
        <v>4638</v>
      </c>
      <c r="E1451" s="26"/>
    </row>
    <row r="1452" spans="2:5" x14ac:dyDescent="0.25">
      <c r="B1452" s="547">
        <f t="shared" si="109"/>
        <v>1414</v>
      </c>
      <c r="D1452" s="624" t="s">
        <v>4640</v>
      </c>
      <c r="E1452" s="26">
        <v>3000</v>
      </c>
    </row>
    <row r="1453" spans="2:5" x14ac:dyDescent="0.25">
      <c r="B1453" s="547">
        <f t="shared" si="109"/>
        <v>1415</v>
      </c>
      <c r="D1453" s="624" t="s">
        <v>4642</v>
      </c>
      <c r="E1453" s="26">
        <f>PASEP!E66</f>
        <v>142858.76768476577</v>
      </c>
    </row>
    <row r="1454" spans="2:5" x14ac:dyDescent="0.25">
      <c r="B1454" s="547">
        <f t="shared" si="109"/>
        <v>1416</v>
      </c>
      <c r="D1454" s="624" t="s">
        <v>4644</v>
      </c>
      <c r="E1454" s="26">
        <v>1.0999999999999999E-2</v>
      </c>
    </row>
    <row r="1455" spans="2:5" x14ac:dyDescent="0.25">
      <c r="B1455" s="547">
        <f t="shared" si="109"/>
        <v>1417</v>
      </c>
      <c r="D1455" s="570" t="s">
        <v>7750</v>
      </c>
      <c r="E1455" s="26"/>
    </row>
    <row r="1456" spans="2:5" x14ac:dyDescent="0.25">
      <c r="B1456" s="547">
        <f t="shared" si="109"/>
        <v>1418</v>
      </c>
      <c r="D1456" s="634" t="s">
        <v>3044</v>
      </c>
      <c r="E1456" s="613">
        <f>9440*12</f>
        <v>113280</v>
      </c>
    </row>
    <row r="1457" spans="2:7" x14ac:dyDescent="0.25">
      <c r="B1457" s="547">
        <f t="shared" si="109"/>
        <v>1419</v>
      </c>
      <c r="D1457" s="634" t="s">
        <v>4627</v>
      </c>
      <c r="E1457" s="613">
        <f>(915.63+80)*12</f>
        <v>11947.56</v>
      </c>
    </row>
    <row r="1458" spans="2:7" x14ac:dyDescent="0.25">
      <c r="B1458" s="547">
        <f t="shared" si="109"/>
        <v>1420</v>
      </c>
      <c r="D1458" s="570" t="s">
        <v>4618</v>
      </c>
      <c r="E1458" s="26">
        <v>0.01</v>
      </c>
    </row>
    <row r="1459" spans="2:7" x14ac:dyDescent="0.25">
      <c r="B1459" s="547">
        <f t="shared" si="109"/>
        <v>1421</v>
      </c>
      <c r="D1459" s="570" t="s">
        <v>3742</v>
      </c>
      <c r="E1459" s="26">
        <v>0.01</v>
      </c>
    </row>
    <row r="1460" spans="2:7" x14ac:dyDescent="0.25">
      <c r="B1460" s="547">
        <f t="shared" si="109"/>
        <v>1422</v>
      </c>
      <c r="D1460" s="570" t="s">
        <v>4645</v>
      </c>
      <c r="E1460" s="26">
        <v>0.01</v>
      </c>
    </row>
    <row r="1461" spans="2:7" x14ac:dyDescent="0.25">
      <c r="B1461" s="547">
        <f t="shared" si="109"/>
        <v>1423</v>
      </c>
      <c r="D1461" s="570" t="s">
        <v>4646</v>
      </c>
      <c r="E1461" s="26">
        <v>0.01</v>
      </c>
    </row>
    <row r="1462" spans="2:7" x14ac:dyDescent="0.25">
      <c r="B1462" s="547">
        <f t="shared" si="109"/>
        <v>1424</v>
      </c>
      <c r="D1462" s="570" t="s">
        <v>4647</v>
      </c>
      <c r="E1462" s="26">
        <v>0.01</v>
      </c>
    </row>
    <row r="1463" spans="2:7" x14ac:dyDescent="0.25">
      <c r="B1463" s="547">
        <f t="shared" si="109"/>
        <v>1425</v>
      </c>
      <c r="D1463" s="570" t="s">
        <v>3742</v>
      </c>
      <c r="E1463" s="26">
        <v>0.01</v>
      </c>
    </row>
    <row r="1464" spans="2:7" x14ac:dyDescent="0.25">
      <c r="B1464" s="547">
        <f t="shared" si="109"/>
        <v>1426</v>
      </c>
      <c r="D1464" s="570" t="s">
        <v>4648</v>
      </c>
      <c r="E1464" s="26">
        <v>0.01</v>
      </c>
    </row>
    <row r="1465" spans="2:7" x14ac:dyDescent="0.25">
      <c r="B1465" s="547">
        <f t="shared" si="109"/>
        <v>1427</v>
      </c>
      <c r="D1465" s="570" t="s">
        <v>70</v>
      </c>
    </row>
    <row r="1466" spans="2:7" x14ac:dyDescent="0.25">
      <c r="B1466" s="547">
        <f t="shared" si="109"/>
        <v>1428</v>
      </c>
      <c r="C1466" s="579" t="s">
        <v>4655</v>
      </c>
      <c r="D1466" s="579" t="str">
        <f>DESPORC!D1673</f>
        <v>RESERVA DE CONTINGENCIA</v>
      </c>
      <c r="E1466" s="580"/>
      <c r="F1466" s="582"/>
      <c r="G1466" s="582"/>
    </row>
    <row r="1467" spans="2:7" ht="14.25" customHeight="1" x14ac:dyDescent="0.25">
      <c r="B1467" s="547">
        <f t="shared" si="109"/>
        <v>1429</v>
      </c>
      <c r="D1467" s="632" t="s">
        <v>6916</v>
      </c>
      <c r="E1467" s="26">
        <f>ER!E647*3%</f>
        <v>832109.9999293976</v>
      </c>
    </row>
    <row r="1468" spans="2:7" ht="15.75" x14ac:dyDescent="0.25">
      <c r="B1468" s="547">
        <f t="shared" si="109"/>
        <v>1430</v>
      </c>
      <c r="D1468" s="632" t="s">
        <v>6917</v>
      </c>
      <c r="E1468" s="612">
        <f>'EC 86-2015'!I10</f>
        <v>189405.15583999996</v>
      </c>
    </row>
    <row r="1469" spans="2:7" ht="15.75" x14ac:dyDescent="0.25">
      <c r="B1469" s="547">
        <f t="shared" si="109"/>
        <v>1431</v>
      </c>
      <c r="D1469" s="632" t="s">
        <v>6913</v>
      </c>
      <c r="E1469" s="612">
        <v>0.01</v>
      </c>
    </row>
    <row r="1470" spans="2:7" ht="31.5" x14ac:dyDescent="0.25">
      <c r="B1470" s="547">
        <f t="shared" si="109"/>
        <v>1432</v>
      </c>
      <c r="D1470" s="632" t="s">
        <v>6914</v>
      </c>
      <c r="E1470" s="612">
        <f>86000+2580+10000+300000</f>
        <v>398580</v>
      </c>
    </row>
    <row r="1471" spans="2:7" ht="31.5" x14ac:dyDescent="0.25">
      <c r="B1471" s="547">
        <f t="shared" si="109"/>
        <v>1433</v>
      </c>
      <c r="D1471" s="632" t="s">
        <v>6915</v>
      </c>
      <c r="E1471" s="612">
        <v>250000</v>
      </c>
    </row>
    <row r="1472" spans="2:7" x14ac:dyDescent="0.25">
      <c r="B1472" s="547">
        <f t="shared" si="109"/>
        <v>1434</v>
      </c>
      <c r="D1472" s="570"/>
      <c r="E1472" s="612"/>
    </row>
    <row r="1473" spans="2:7" x14ac:dyDescent="0.25">
      <c r="B1473" s="547">
        <f t="shared" si="109"/>
        <v>1435</v>
      </c>
      <c r="D1473" s="12" t="s">
        <v>4660</v>
      </c>
    </row>
    <row r="1474" spans="2:7" x14ac:dyDescent="0.25">
      <c r="B1474" s="547">
        <f t="shared" si="109"/>
        <v>1436</v>
      </c>
      <c r="C1474" s="579" t="s">
        <v>4595</v>
      </c>
      <c r="D1474" s="579" t="str">
        <f>DESPORC!D1692</f>
        <v>GESTÃO E PROMOÇÃO DO SANEAMENTO BÁSICO</v>
      </c>
      <c r="E1474" s="580"/>
      <c r="F1474" s="582"/>
      <c r="G1474" s="582"/>
    </row>
    <row r="1475" spans="2:7" x14ac:dyDescent="0.25">
      <c r="B1475" s="547">
        <f t="shared" si="109"/>
        <v>1437</v>
      </c>
      <c r="D1475" s="624" t="s">
        <v>4658</v>
      </c>
      <c r="E1475" s="612">
        <v>1</v>
      </c>
    </row>
    <row r="1476" spans="2:7" x14ac:dyDescent="0.25">
      <c r="B1476" s="547">
        <f t="shared" si="109"/>
        <v>1438</v>
      </c>
      <c r="D1476" s="634" t="s">
        <v>4744</v>
      </c>
      <c r="E1476" s="26">
        <v>1</v>
      </c>
    </row>
    <row r="1477" spans="2:7" x14ac:dyDescent="0.25">
      <c r="B1477" s="547">
        <f t="shared" si="109"/>
        <v>1439</v>
      </c>
      <c r="D1477" s="12" t="s">
        <v>4662</v>
      </c>
    </row>
    <row r="1478" spans="2:7" x14ac:dyDescent="0.25">
      <c r="B1478" s="547">
        <f t="shared" si="109"/>
        <v>1440</v>
      </c>
      <c r="C1478" s="579" t="s">
        <v>4206</v>
      </c>
      <c r="D1478" s="579" t="str">
        <f>DESPORC!D1707</f>
        <v>REALIZAÇÃO DE NOVOS INVEST. DO PODER EXECUTIVO</v>
      </c>
      <c r="E1478" s="580"/>
      <c r="F1478" s="582"/>
      <c r="G1478" s="582"/>
    </row>
    <row r="1479" spans="2:7" x14ac:dyDescent="0.25">
      <c r="B1479" s="547">
        <f t="shared" si="109"/>
        <v>1441</v>
      </c>
      <c r="D1479" s="570" t="s">
        <v>4663</v>
      </c>
      <c r="E1479" s="25">
        <v>0.01</v>
      </c>
    </row>
    <row r="1480" spans="2:7" x14ac:dyDescent="0.25">
      <c r="B1480" s="547">
        <f t="shared" si="109"/>
        <v>1442</v>
      </c>
      <c r="D1480" s="570" t="s">
        <v>4664</v>
      </c>
      <c r="E1480" s="25">
        <v>0.01</v>
      </c>
    </row>
    <row r="1481" spans="2:7" x14ac:dyDescent="0.25">
      <c r="B1481" s="547">
        <f t="shared" si="109"/>
        <v>1443</v>
      </c>
      <c r="D1481" s="570" t="s">
        <v>4665</v>
      </c>
      <c r="E1481" s="25">
        <v>0.01</v>
      </c>
    </row>
    <row r="1482" spans="2:7" x14ac:dyDescent="0.25">
      <c r="B1482" s="547">
        <f t="shared" si="109"/>
        <v>1444</v>
      </c>
      <c r="D1482" s="570" t="s">
        <v>4666</v>
      </c>
      <c r="E1482" s="25">
        <v>0.01</v>
      </c>
    </row>
    <row r="1483" spans="2:7" x14ac:dyDescent="0.25">
      <c r="B1483" s="547">
        <f t="shared" si="109"/>
        <v>1445</v>
      </c>
      <c r="D1483" s="570" t="s">
        <v>4667</v>
      </c>
      <c r="E1483" s="25">
        <v>0.01</v>
      </c>
    </row>
    <row r="1484" spans="2:7" x14ac:dyDescent="0.25">
      <c r="B1484" s="547">
        <f t="shared" si="109"/>
        <v>1446</v>
      </c>
      <c r="D1484" s="570" t="s">
        <v>4668</v>
      </c>
      <c r="E1484" s="25">
        <v>0.01</v>
      </c>
    </row>
    <row r="1485" spans="2:7" x14ac:dyDescent="0.25">
      <c r="B1485" s="547">
        <f t="shared" si="109"/>
        <v>1447</v>
      </c>
      <c r="C1485" s="579" t="s">
        <v>3074</v>
      </c>
      <c r="D1485" s="579" t="str">
        <f>DESPORC!D1717</f>
        <v xml:space="preserve">GESTÃO , APOIO E MANUT., COORDEN. E PLANEJAMENTO </v>
      </c>
      <c r="E1485" s="580"/>
      <c r="F1485" s="582"/>
      <c r="G1485" s="582"/>
    </row>
    <row r="1486" spans="2:7" x14ac:dyDescent="0.25">
      <c r="B1486" s="547">
        <f t="shared" si="109"/>
        <v>1448</v>
      </c>
      <c r="D1486" s="570" t="s">
        <v>3648</v>
      </c>
      <c r="E1486" s="25">
        <v>0.01</v>
      </c>
    </row>
    <row r="1487" spans="2:7" ht="15.75" x14ac:dyDescent="0.25">
      <c r="B1487" s="547">
        <f t="shared" si="109"/>
        <v>1449</v>
      </c>
      <c r="D1487" s="625" t="s">
        <v>4501</v>
      </c>
      <c r="E1487" s="25">
        <v>0.01</v>
      </c>
    </row>
    <row r="1488" spans="2:7" x14ac:dyDescent="0.25">
      <c r="B1488" s="547">
        <f t="shared" si="109"/>
        <v>1450</v>
      </c>
      <c r="D1488" s="570" t="s">
        <v>4669</v>
      </c>
      <c r="E1488" s="26"/>
    </row>
    <row r="1489" spans="2:5" x14ac:dyDescent="0.25">
      <c r="B1489" s="547">
        <f t="shared" ref="B1489:B1552" si="110">B1488+1</f>
        <v>1451</v>
      </c>
      <c r="D1489" s="624" t="s">
        <v>4673</v>
      </c>
      <c r="E1489" s="26">
        <f>'FOPAG EXEC.'!E446*12</f>
        <v>65624.221268977533</v>
      </c>
    </row>
    <row r="1490" spans="2:5" x14ac:dyDescent="0.25">
      <c r="B1490" s="547">
        <f t="shared" si="110"/>
        <v>1452</v>
      </c>
      <c r="D1490" s="634" t="s">
        <v>7791</v>
      </c>
      <c r="E1490" s="613">
        <f>'FOPAG EXEC.'!E441</f>
        <v>1900.8691378519763</v>
      </c>
    </row>
    <row r="1491" spans="2:5" x14ac:dyDescent="0.25">
      <c r="B1491" s="547">
        <f t="shared" si="110"/>
        <v>1453</v>
      </c>
      <c r="D1491" s="624" t="s">
        <v>4671</v>
      </c>
      <c r="E1491" s="26">
        <f>'FOPAG EXEC.'!E442</f>
        <v>5702.6074135559284</v>
      </c>
    </row>
    <row r="1492" spans="2:5" x14ac:dyDescent="0.25">
      <c r="B1492" s="547">
        <f t="shared" si="110"/>
        <v>1454</v>
      </c>
      <c r="D1492" s="570" t="s">
        <v>3666</v>
      </c>
      <c r="E1492" s="26"/>
    </row>
    <row r="1493" spans="2:5" x14ac:dyDescent="0.25">
      <c r="B1493" s="547">
        <f t="shared" si="110"/>
        <v>1455</v>
      </c>
      <c r="D1493" s="624" t="s">
        <v>4675</v>
      </c>
      <c r="E1493" s="26">
        <v>0</v>
      </c>
    </row>
    <row r="1494" spans="2:5" x14ac:dyDescent="0.25">
      <c r="B1494" s="547">
        <f t="shared" si="110"/>
        <v>1456</v>
      </c>
      <c r="D1494" s="570" t="s">
        <v>3675</v>
      </c>
      <c r="E1494" s="25">
        <v>0.01</v>
      </c>
    </row>
    <row r="1495" spans="2:5" x14ac:dyDescent="0.25">
      <c r="B1495" s="547">
        <f t="shared" si="110"/>
        <v>1457</v>
      </c>
      <c r="D1495" s="570" t="s">
        <v>2988</v>
      </c>
      <c r="E1495" s="25">
        <v>0.01</v>
      </c>
    </row>
    <row r="1496" spans="2:5" x14ac:dyDescent="0.25">
      <c r="B1496" s="547">
        <f t="shared" si="110"/>
        <v>1458</v>
      </c>
      <c r="D1496" s="570" t="s">
        <v>3679</v>
      </c>
      <c r="E1496" s="25">
        <v>0.01</v>
      </c>
    </row>
    <row r="1497" spans="2:5" x14ac:dyDescent="0.25">
      <c r="B1497" s="547">
        <f t="shared" si="110"/>
        <v>1459</v>
      </c>
      <c r="D1497" s="570" t="s">
        <v>2994</v>
      </c>
      <c r="E1497" s="26"/>
    </row>
    <row r="1498" spans="2:5" x14ac:dyDescent="0.25">
      <c r="B1498" s="547">
        <f t="shared" si="110"/>
        <v>1460</v>
      </c>
      <c r="D1498" s="624" t="s">
        <v>3290</v>
      </c>
      <c r="E1498" s="26">
        <v>1500</v>
      </c>
    </row>
    <row r="1499" spans="2:5" x14ac:dyDescent="0.25">
      <c r="B1499" s="547">
        <f t="shared" si="110"/>
        <v>1461</v>
      </c>
      <c r="D1499" s="624" t="s">
        <v>4678</v>
      </c>
      <c r="E1499" s="26">
        <v>8000</v>
      </c>
    </row>
    <row r="1500" spans="2:5" x14ac:dyDescent="0.25">
      <c r="B1500" s="547">
        <f t="shared" si="110"/>
        <v>1462</v>
      </c>
      <c r="D1500" s="570" t="s">
        <v>4131</v>
      </c>
      <c r="E1500" s="25">
        <v>1000</v>
      </c>
    </row>
    <row r="1501" spans="2:5" x14ac:dyDescent="0.25">
      <c r="B1501" s="547">
        <f t="shared" si="110"/>
        <v>1463</v>
      </c>
      <c r="D1501" s="570" t="s">
        <v>3718</v>
      </c>
      <c r="E1501" s="26"/>
    </row>
    <row r="1502" spans="2:5" x14ac:dyDescent="0.25">
      <c r="B1502" s="547">
        <f t="shared" si="110"/>
        <v>1464</v>
      </c>
      <c r="D1502" s="624" t="s">
        <v>3718</v>
      </c>
      <c r="E1502" s="26">
        <v>10000</v>
      </c>
    </row>
    <row r="1503" spans="2:5" x14ac:dyDescent="0.25">
      <c r="B1503" s="547">
        <f t="shared" si="110"/>
        <v>1465</v>
      </c>
      <c r="D1503" s="570" t="s">
        <v>3473</v>
      </c>
      <c r="E1503" s="25">
        <v>0.01</v>
      </c>
    </row>
    <row r="1504" spans="2:5" x14ac:dyDescent="0.25">
      <c r="B1504" s="547">
        <f t="shared" si="110"/>
        <v>1466</v>
      </c>
      <c r="D1504" s="570" t="s">
        <v>4161</v>
      </c>
      <c r="E1504" s="25">
        <v>0.01</v>
      </c>
    </row>
    <row r="1505" spans="2:7" x14ac:dyDescent="0.25">
      <c r="B1505" s="547">
        <f t="shared" si="110"/>
        <v>1467</v>
      </c>
      <c r="D1505" s="570" t="s">
        <v>4165</v>
      </c>
      <c r="E1505" s="26"/>
    </row>
    <row r="1506" spans="2:7" x14ac:dyDescent="0.25">
      <c r="B1506" s="547">
        <f t="shared" si="110"/>
        <v>1468</v>
      </c>
      <c r="D1506" s="624" t="s">
        <v>4681</v>
      </c>
      <c r="E1506" s="26">
        <v>0.01</v>
      </c>
    </row>
    <row r="1507" spans="2:7" x14ac:dyDescent="0.25">
      <c r="B1507" s="547">
        <f t="shared" si="110"/>
        <v>1469</v>
      </c>
      <c r="D1507" s="570" t="s">
        <v>3049</v>
      </c>
      <c r="E1507" s="25">
        <v>0.01</v>
      </c>
    </row>
    <row r="1508" spans="2:7" x14ac:dyDescent="0.25">
      <c r="B1508" s="547">
        <f t="shared" si="110"/>
        <v>1470</v>
      </c>
      <c r="D1508" s="570" t="s">
        <v>4535</v>
      </c>
      <c r="E1508" s="25">
        <v>0.01</v>
      </c>
    </row>
    <row r="1509" spans="2:7" x14ac:dyDescent="0.25">
      <c r="B1509" s="547">
        <f t="shared" si="110"/>
        <v>1471</v>
      </c>
      <c r="D1509" s="570" t="s">
        <v>3592</v>
      </c>
      <c r="E1509" s="25">
        <v>0.01</v>
      </c>
    </row>
    <row r="1510" spans="2:7" x14ac:dyDescent="0.25">
      <c r="B1510" s="547">
        <f t="shared" si="110"/>
        <v>1472</v>
      </c>
      <c r="D1510" s="570" t="s">
        <v>3742</v>
      </c>
      <c r="E1510" s="25">
        <v>0.01</v>
      </c>
    </row>
    <row r="1511" spans="2:7" x14ac:dyDescent="0.25">
      <c r="B1511" s="547">
        <f t="shared" si="110"/>
        <v>1473</v>
      </c>
      <c r="D1511" s="570" t="s">
        <v>3060</v>
      </c>
      <c r="E1511" s="25">
        <v>300</v>
      </c>
    </row>
    <row r="1512" spans="2:7" x14ac:dyDescent="0.25">
      <c r="B1512" s="547">
        <f t="shared" si="110"/>
        <v>1474</v>
      </c>
      <c r="D1512" s="570" t="s">
        <v>3514</v>
      </c>
      <c r="E1512" s="25">
        <v>0.01</v>
      </c>
    </row>
    <row r="1513" spans="2:7" x14ac:dyDescent="0.25">
      <c r="B1513" s="547">
        <f t="shared" si="110"/>
        <v>1475</v>
      </c>
      <c r="D1513" s="570" t="s">
        <v>4494</v>
      </c>
      <c r="E1513" s="25">
        <v>0.01</v>
      </c>
    </row>
    <row r="1514" spans="2:7" x14ac:dyDescent="0.25">
      <c r="B1514" s="547">
        <f t="shared" si="110"/>
        <v>1476</v>
      </c>
      <c r="D1514" s="570" t="s">
        <v>3152</v>
      </c>
      <c r="E1514" s="25">
        <v>0.01</v>
      </c>
    </row>
    <row r="1515" spans="2:7" x14ac:dyDescent="0.25">
      <c r="B1515" s="547">
        <f t="shared" si="110"/>
        <v>1477</v>
      </c>
      <c r="C1515" s="579" t="s">
        <v>3074</v>
      </c>
      <c r="D1515" s="579" t="str">
        <f>DESPORC!D1750</f>
        <v xml:space="preserve">GESTÃO , APOIO E MANUT., COORDEN. E PLANEJAMENTO </v>
      </c>
      <c r="E1515" s="580"/>
      <c r="F1515" s="582"/>
      <c r="G1515" s="582"/>
    </row>
    <row r="1516" spans="2:7" ht="15.75" x14ac:dyDescent="0.25">
      <c r="B1516" s="547">
        <f t="shared" si="110"/>
        <v>1478</v>
      </c>
      <c r="D1516" s="626" t="s">
        <v>3044</v>
      </c>
      <c r="E1516" s="613">
        <v>0.01</v>
      </c>
    </row>
    <row r="1517" spans="2:7" ht="15.75" x14ac:dyDescent="0.25">
      <c r="B1517" s="547">
        <f t="shared" si="110"/>
        <v>1479</v>
      </c>
      <c r="D1517" s="626" t="s">
        <v>3355</v>
      </c>
      <c r="E1517" s="613">
        <v>0.01</v>
      </c>
    </row>
    <row r="1518" spans="2:7" ht="15.75" x14ac:dyDescent="0.25">
      <c r="B1518" s="547">
        <f t="shared" si="110"/>
        <v>1480</v>
      </c>
      <c r="D1518" s="626" t="s">
        <v>3356</v>
      </c>
      <c r="E1518" s="613">
        <v>0.01</v>
      </c>
    </row>
    <row r="1519" spans="2:7" ht="15.75" x14ac:dyDescent="0.25">
      <c r="B1519" s="547">
        <f t="shared" si="110"/>
        <v>1481</v>
      </c>
      <c r="D1519" s="626" t="s">
        <v>3357</v>
      </c>
      <c r="E1519" s="613">
        <v>0.01</v>
      </c>
    </row>
    <row r="1520" spans="2:7" x14ac:dyDescent="0.25">
      <c r="B1520" s="547">
        <f t="shared" si="110"/>
        <v>1482</v>
      </c>
      <c r="C1520" s="579" t="s">
        <v>3074</v>
      </c>
      <c r="D1520" s="579" t="str">
        <f>DESPORC!D1759</f>
        <v xml:space="preserve">GESTÃO , APOIO E MANUT., COORDEN. E PLANEJAMENTO </v>
      </c>
      <c r="E1520" s="580"/>
      <c r="F1520" s="582"/>
      <c r="G1520" s="582"/>
    </row>
    <row r="1521" spans="2:7" ht="15.75" x14ac:dyDescent="0.25">
      <c r="B1521" s="547">
        <f t="shared" si="110"/>
        <v>1483</v>
      </c>
      <c r="D1521" s="688" t="s">
        <v>6000</v>
      </c>
      <c r="E1521" s="630">
        <v>0.01</v>
      </c>
    </row>
    <row r="1522" spans="2:7" ht="31.5" x14ac:dyDescent="0.25">
      <c r="B1522" s="547">
        <f t="shared" si="110"/>
        <v>1484</v>
      </c>
      <c r="D1522" s="688" t="s">
        <v>6001</v>
      </c>
      <c r="E1522" s="630">
        <v>0.01</v>
      </c>
    </row>
    <row r="1523" spans="2:7" ht="15.75" x14ac:dyDescent="0.25">
      <c r="B1523" s="547">
        <f t="shared" si="110"/>
        <v>1485</v>
      </c>
      <c r="D1523" s="688" t="s">
        <v>6003</v>
      </c>
      <c r="E1523" s="630">
        <v>0.01</v>
      </c>
    </row>
    <row r="1524" spans="2:7" ht="15.75" x14ac:dyDescent="0.25">
      <c r="B1524" s="547">
        <f t="shared" si="110"/>
        <v>1486</v>
      </c>
      <c r="D1524" s="688" t="s">
        <v>6002</v>
      </c>
      <c r="E1524" s="630">
        <v>0.01</v>
      </c>
    </row>
    <row r="1525" spans="2:7" ht="15.75" x14ac:dyDescent="0.25">
      <c r="B1525" s="547">
        <f t="shared" si="110"/>
        <v>1487</v>
      </c>
      <c r="D1525" s="688" t="s">
        <v>6004</v>
      </c>
      <c r="E1525" s="630">
        <v>0.01</v>
      </c>
    </row>
    <row r="1526" spans="2:7" ht="18.75" x14ac:dyDescent="0.25">
      <c r="B1526" s="547">
        <f t="shared" si="110"/>
        <v>1488</v>
      </c>
      <c r="D1526" s="1404" t="s">
        <v>4736</v>
      </c>
    </row>
    <row r="1527" spans="2:7" x14ac:dyDescent="0.25">
      <c r="B1527" s="547">
        <f t="shared" si="110"/>
        <v>1489</v>
      </c>
      <c r="C1527" s="579" t="s">
        <v>4764</v>
      </c>
      <c r="D1527" s="579" t="str">
        <f>DESPORC!D1865</f>
        <v>NOVOS INVESTIMENTOS EM EDUCAÇÃO</v>
      </c>
      <c r="E1527" s="580"/>
      <c r="F1527" s="582"/>
      <c r="G1527" s="582"/>
    </row>
    <row r="1528" spans="2:7" x14ac:dyDescent="0.25">
      <c r="B1528" s="547">
        <f t="shared" si="110"/>
        <v>1490</v>
      </c>
      <c r="D1528" s="570" t="s">
        <v>4663</v>
      </c>
      <c r="E1528" s="642">
        <v>0.01</v>
      </c>
    </row>
    <row r="1529" spans="2:7" x14ac:dyDescent="0.25">
      <c r="B1529" s="547">
        <f t="shared" si="110"/>
        <v>1491</v>
      </c>
      <c r="D1529" s="570" t="s">
        <v>4664</v>
      </c>
      <c r="E1529" s="642">
        <v>0.01</v>
      </c>
    </row>
    <row r="1530" spans="2:7" x14ac:dyDescent="0.25">
      <c r="B1530" s="547">
        <f t="shared" si="110"/>
        <v>1492</v>
      </c>
      <c r="D1530" s="570" t="s">
        <v>4665</v>
      </c>
      <c r="E1530" s="642">
        <v>0.01</v>
      </c>
    </row>
    <row r="1531" spans="2:7" x14ac:dyDescent="0.25">
      <c r="B1531" s="547">
        <f t="shared" si="110"/>
        <v>1493</v>
      </c>
      <c r="D1531" s="570" t="s">
        <v>4666</v>
      </c>
      <c r="E1531" s="642">
        <v>0.01</v>
      </c>
    </row>
    <row r="1532" spans="2:7" x14ac:dyDescent="0.25">
      <c r="B1532" s="547">
        <f t="shared" si="110"/>
        <v>1494</v>
      </c>
      <c r="D1532" s="570" t="s">
        <v>4667</v>
      </c>
      <c r="E1532" s="642">
        <v>0.01</v>
      </c>
    </row>
    <row r="1533" spans="2:7" x14ac:dyDescent="0.25">
      <c r="B1533" s="547">
        <f t="shared" si="110"/>
        <v>1495</v>
      </c>
      <c r="D1533" s="570" t="s">
        <v>4689</v>
      </c>
      <c r="E1533" s="642">
        <f>E1534</f>
        <v>0.01</v>
      </c>
    </row>
    <row r="1534" spans="2:7" x14ac:dyDescent="0.25">
      <c r="B1534" s="547">
        <f t="shared" si="110"/>
        <v>1496</v>
      </c>
      <c r="D1534" s="624" t="s">
        <v>4690</v>
      </c>
      <c r="E1534" s="643">
        <v>0.01</v>
      </c>
    </row>
    <row r="1535" spans="2:7" x14ac:dyDescent="0.25">
      <c r="B1535" s="547">
        <f t="shared" si="110"/>
        <v>1497</v>
      </c>
      <c r="C1535" s="579" t="s">
        <v>4763</v>
      </c>
      <c r="D1535" s="579" t="str">
        <f>DESPORC!D2831</f>
        <v>NOVOS INVESTIMENTOS EM EDUCAÇÃO</v>
      </c>
      <c r="E1535" s="580"/>
      <c r="F1535" s="582"/>
      <c r="G1535" s="582"/>
    </row>
    <row r="1536" spans="2:7" x14ac:dyDescent="0.25">
      <c r="B1536" s="547">
        <f t="shared" si="110"/>
        <v>1498</v>
      </c>
      <c r="D1536" s="570" t="s">
        <v>4663</v>
      </c>
      <c r="E1536" s="642">
        <v>0.01</v>
      </c>
    </row>
    <row r="1537" spans="2:7" x14ac:dyDescent="0.25">
      <c r="B1537" s="547">
        <f t="shared" si="110"/>
        <v>1499</v>
      </c>
      <c r="D1537" s="570" t="s">
        <v>4664</v>
      </c>
      <c r="E1537" s="642">
        <v>0.01</v>
      </c>
    </row>
    <row r="1538" spans="2:7" x14ac:dyDescent="0.25">
      <c r="B1538" s="547">
        <f t="shared" si="110"/>
        <v>1500</v>
      </c>
      <c r="D1538" s="570" t="s">
        <v>4665</v>
      </c>
      <c r="E1538" s="642">
        <v>0.01</v>
      </c>
    </row>
    <row r="1539" spans="2:7" x14ac:dyDescent="0.25">
      <c r="B1539" s="547">
        <f t="shared" si="110"/>
        <v>1501</v>
      </c>
      <c r="D1539" s="570" t="s">
        <v>4666</v>
      </c>
      <c r="E1539" s="642">
        <v>0.01</v>
      </c>
    </row>
    <row r="1540" spans="2:7" x14ac:dyDescent="0.25">
      <c r="B1540" s="547">
        <f t="shared" si="110"/>
        <v>1502</v>
      </c>
      <c r="D1540" s="570" t="s">
        <v>4667</v>
      </c>
      <c r="E1540" s="642">
        <v>0.01</v>
      </c>
    </row>
    <row r="1541" spans="2:7" x14ac:dyDescent="0.25">
      <c r="B1541" s="547">
        <f t="shared" si="110"/>
        <v>1503</v>
      </c>
      <c r="D1541" s="570" t="s">
        <v>4689</v>
      </c>
      <c r="E1541" s="642">
        <v>0.01</v>
      </c>
    </row>
    <row r="1542" spans="2:7" x14ac:dyDescent="0.25">
      <c r="B1542" s="547">
        <f t="shared" si="110"/>
        <v>1504</v>
      </c>
      <c r="D1542" s="570" t="s">
        <v>6895</v>
      </c>
      <c r="E1542" s="642">
        <f>ER!E659</f>
        <v>2</v>
      </c>
    </row>
    <row r="1543" spans="2:7" x14ac:dyDescent="0.25">
      <c r="B1543" s="547">
        <f t="shared" si="110"/>
        <v>1505</v>
      </c>
      <c r="C1543" s="579" t="s">
        <v>4737</v>
      </c>
      <c r="D1543" s="579" t="str">
        <f>DESPORC!D1886</f>
        <v>GESTÃO, COORDENAÇÃO, E PLANEJAMENTO EDUCACIONAL</v>
      </c>
      <c r="E1543" s="580"/>
      <c r="F1543" s="582"/>
      <c r="G1543" s="582"/>
    </row>
    <row r="1544" spans="2:7" x14ac:dyDescent="0.25">
      <c r="B1544" s="547">
        <f t="shared" si="110"/>
        <v>1506</v>
      </c>
      <c r="D1544" s="570" t="s">
        <v>3648</v>
      </c>
      <c r="E1544" s="33">
        <f>'FOPAG ED.'!E226+0.01</f>
        <v>0.01</v>
      </c>
    </row>
    <row r="1545" spans="2:7" ht="15.75" x14ac:dyDescent="0.25">
      <c r="B1545" s="547">
        <f t="shared" si="110"/>
        <v>1507</v>
      </c>
      <c r="D1545" s="625" t="s">
        <v>4501</v>
      </c>
      <c r="E1545" s="26">
        <f>((('FOPAG ED.'!E231+'FOPAG ED.'!E232+'FOPAG ED.'!E235+'FOPAG ED.'!E236+'FOPAG ED.'!E247+'FOPAG ED.'!E248)*12)+('FOPAG ED.'!E233+'FOPAG ED.'!E234+'FOPAG ED.'!E237+'FOPAG ED.'!E238+'FOPAG ED.'!E249+'FOPAG ED.'!E250+'FOPAG ED.'!E251+'FOPAG ED.'!E252)+'FOPAG ED.'!E240)*E$94</f>
        <v>27881.60403543233</v>
      </c>
    </row>
    <row r="1546" spans="2:7" x14ac:dyDescent="0.25">
      <c r="B1546" s="547">
        <f t="shared" si="110"/>
        <v>1508</v>
      </c>
      <c r="D1546" s="570" t="s">
        <v>4693</v>
      </c>
      <c r="E1546" s="26">
        <f>('FOPAG ED.'!E231+'FOPAG ED.'!E232+'FOPAG ED.'!E235+'FOPAG ED.'!E236+'FOPAG ED.'!E242+'FOPAG ED.'!E247+'FOPAG ED.'!E248+'FOPAG ED.'!E256+'FOPAG ED.'!E257)*12+('FOPAG ED.'!E233+'FOPAG ED.'!E234+'FOPAG ED.'!E237+'FOPAG ED.'!E238+'FOPAG ED.'!E243+'FOPAG ED.'!E244+'FOPAG ED.'!E249+'FOPAG ED.'!E250+'FOPAG ED.'!E251+'FOPAG ED.'!E252+'FOPAG ED.'!E258+'FOPAG ED.'!E259+'FOPAG ED.'!E260+'FOPAG ED.'!E261)+'FOPAG ED.'!E240</f>
        <v>444284.83188013866</v>
      </c>
    </row>
    <row r="1547" spans="2:7" x14ac:dyDescent="0.25">
      <c r="B1547" s="547">
        <f t="shared" si="110"/>
        <v>1509</v>
      </c>
      <c r="D1547" s="570" t="s">
        <v>3666</v>
      </c>
      <c r="E1547" s="26"/>
    </row>
    <row r="1548" spans="2:7" x14ac:dyDescent="0.25">
      <c r="B1548" s="547">
        <f t="shared" si="110"/>
        <v>1510</v>
      </c>
      <c r="D1548" s="570" t="s">
        <v>3675</v>
      </c>
      <c r="E1548" s="26">
        <f>1867.15/8*12</f>
        <v>2800.7250000000004</v>
      </c>
    </row>
    <row r="1549" spans="2:7" x14ac:dyDescent="0.25">
      <c r="B1549" s="547">
        <f t="shared" si="110"/>
        <v>1511</v>
      </c>
      <c r="D1549" s="570" t="s">
        <v>2988</v>
      </c>
      <c r="E1549" s="26">
        <v>0.01</v>
      </c>
    </row>
    <row r="1550" spans="2:7" x14ac:dyDescent="0.25">
      <c r="B1550" s="547">
        <f t="shared" si="110"/>
        <v>1512</v>
      </c>
      <c r="D1550" s="570" t="s">
        <v>3679</v>
      </c>
      <c r="E1550" s="26">
        <v>0.01</v>
      </c>
    </row>
    <row r="1551" spans="2:7" x14ac:dyDescent="0.25">
      <c r="B1551" s="547">
        <f t="shared" si="110"/>
        <v>1513</v>
      </c>
      <c r="D1551" s="570" t="s">
        <v>2994</v>
      </c>
      <c r="E1551" s="26">
        <f>5716/8*12</f>
        <v>8574</v>
      </c>
    </row>
    <row r="1552" spans="2:7" x14ac:dyDescent="0.25">
      <c r="B1552" s="547">
        <f t="shared" si="110"/>
        <v>1514</v>
      </c>
      <c r="D1552" s="570" t="s">
        <v>4131</v>
      </c>
      <c r="E1552" s="26">
        <v>5000</v>
      </c>
    </row>
    <row r="1553" spans="2:5" x14ac:dyDescent="0.25">
      <c r="B1553" s="547">
        <f t="shared" ref="B1553:B1616" si="111">B1552+1</f>
        <v>1515</v>
      </c>
      <c r="D1553" s="570" t="s">
        <v>3718</v>
      </c>
      <c r="E1553" s="26">
        <v>1500</v>
      </c>
    </row>
    <row r="1554" spans="2:5" x14ac:dyDescent="0.25">
      <c r="B1554" s="547">
        <f t="shared" si="111"/>
        <v>1516</v>
      </c>
      <c r="D1554" s="570" t="s">
        <v>3473</v>
      </c>
      <c r="E1554" s="26">
        <v>0.01</v>
      </c>
    </row>
    <row r="1555" spans="2:5" x14ac:dyDescent="0.25">
      <c r="B1555" s="547">
        <f t="shared" si="111"/>
        <v>1517</v>
      </c>
      <c r="D1555" s="570" t="s">
        <v>4710</v>
      </c>
      <c r="E1555" s="25">
        <f>E1556+E1557</f>
        <v>49687.57</v>
      </c>
    </row>
    <row r="1556" spans="2:5" x14ac:dyDescent="0.25">
      <c r="B1556" s="547">
        <f t="shared" si="111"/>
        <v>1518</v>
      </c>
      <c r="D1556" s="634" t="s">
        <v>3246</v>
      </c>
      <c r="E1556" s="613">
        <f>33125.04/8*12</f>
        <v>49687.56</v>
      </c>
    </row>
    <row r="1557" spans="2:5" x14ac:dyDescent="0.25">
      <c r="B1557" s="547">
        <f t="shared" si="111"/>
        <v>1519</v>
      </c>
      <c r="D1557" s="634" t="s">
        <v>5665</v>
      </c>
      <c r="E1557" s="613">
        <v>0.01</v>
      </c>
    </row>
    <row r="1558" spans="2:5" x14ac:dyDescent="0.25">
      <c r="B1558" s="547">
        <f t="shared" si="111"/>
        <v>1520</v>
      </c>
      <c r="D1558" s="570" t="s">
        <v>4165</v>
      </c>
      <c r="E1558" s="26">
        <f>41203.19/8*12</f>
        <v>61804.785000000003</v>
      </c>
    </row>
    <row r="1559" spans="2:5" ht="15.75" x14ac:dyDescent="0.25">
      <c r="B1559" s="547">
        <f t="shared" si="111"/>
        <v>1521</v>
      </c>
      <c r="D1559" s="631" t="s">
        <v>4188</v>
      </c>
      <c r="E1559" s="26">
        <f>19386.74/8*12</f>
        <v>29080.11</v>
      </c>
    </row>
    <row r="1560" spans="2:5" x14ac:dyDescent="0.25">
      <c r="B1560" s="547">
        <f t="shared" si="111"/>
        <v>1522</v>
      </c>
      <c r="D1560" s="570" t="s">
        <v>3736</v>
      </c>
      <c r="E1560" s="26">
        <v>0.01</v>
      </c>
    </row>
    <row r="1561" spans="2:5" x14ac:dyDescent="0.25">
      <c r="B1561" s="547">
        <f t="shared" si="111"/>
        <v>1523</v>
      </c>
      <c r="D1561" s="570" t="s">
        <v>4711</v>
      </c>
      <c r="E1561" s="26">
        <f>6453.14/8*12</f>
        <v>9679.7100000000009</v>
      </c>
    </row>
    <row r="1562" spans="2:5" x14ac:dyDescent="0.25">
      <c r="B1562" s="547">
        <f t="shared" si="111"/>
        <v>1524</v>
      </c>
      <c r="D1562" s="570" t="s">
        <v>3742</v>
      </c>
      <c r="E1562" s="26">
        <v>0.01</v>
      </c>
    </row>
    <row r="1563" spans="2:5" x14ac:dyDescent="0.25">
      <c r="B1563" s="547">
        <f t="shared" si="111"/>
        <v>1525</v>
      </c>
      <c r="D1563" s="570" t="s">
        <v>3060</v>
      </c>
      <c r="E1563" s="26">
        <v>300</v>
      </c>
    </row>
    <row r="1564" spans="2:5" x14ac:dyDescent="0.25">
      <c r="B1564" s="547">
        <f t="shared" si="111"/>
        <v>1526</v>
      </c>
      <c r="D1564" s="570" t="s">
        <v>3514</v>
      </c>
      <c r="E1564" s="26">
        <v>0.01</v>
      </c>
    </row>
    <row r="1565" spans="2:5" x14ac:dyDescent="0.25">
      <c r="B1565" s="547">
        <f t="shared" si="111"/>
        <v>1527</v>
      </c>
      <c r="D1565" s="570" t="s">
        <v>4494</v>
      </c>
      <c r="E1565" s="26">
        <v>0.01</v>
      </c>
    </row>
    <row r="1566" spans="2:5" x14ac:dyDescent="0.25">
      <c r="B1566" s="547">
        <f t="shared" si="111"/>
        <v>1528</v>
      </c>
      <c r="D1566" s="570" t="s">
        <v>3152</v>
      </c>
      <c r="E1566" s="26">
        <v>0.01</v>
      </c>
    </row>
    <row r="1567" spans="2:5" x14ac:dyDescent="0.25">
      <c r="B1567" s="547">
        <f t="shared" si="111"/>
        <v>1529</v>
      </c>
      <c r="D1567" s="570" t="s">
        <v>4755</v>
      </c>
      <c r="E1567" s="26">
        <v>0.01</v>
      </c>
    </row>
    <row r="1568" spans="2:5" x14ac:dyDescent="0.25">
      <c r="B1568" s="547">
        <f t="shared" si="111"/>
        <v>1530</v>
      </c>
      <c r="D1568" s="570" t="s">
        <v>4756</v>
      </c>
      <c r="E1568" s="26">
        <v>0.01</v>
      </c>
    </row>
    <row r="1569" spans="2:7" x14ac:dyDescent="0.25">
      <c r="B1569" s="547">
        <f t="shared" si="111"/>
        <v>1531</v>
      </c>
      <c r="D1569" s="570" t="s">
        <v>3401</v>
      </c>
      <c r="E1569" s="26">
        <v>0.01</v>
      </c>
    </row>
    <row r="1570" spans="2:7" x14ac:dyDescent="0.25">
      <c r="B1570" s="547">
        <f t="shared" si="111"/>
        <v>1532</v>
      </c>
      <c r="D1570" s="570" t="s">
        <v>3600</v>
      </c>
    </row>
    <row r="1571" spans="2:7" x14ac:dyDescent="0.25">
      <c r="B1571" s="547">
        <f t="shared" si="111"/>
        <v>1533</v>
      </c>
      <c r="C1571" s="579" t="s">
        <v>4737</v>
      </c>
      <c r="D1571" s="579" t="str">
        <f>DESPORC!D1912</f>
        <v>GESTÃO, COORDENAÇÃO, E PLANEJAMENTO EDUCACIONAL</v>
      </c>
      <c r="E1571" s="580"/>
      <c r="F1571" s="582"/>
      <c r="G1571" s="582"/>
    </row>
    <row r="1572" spans="2:7" ht="15.75" x14ac:dyDescent="0.25">
      <c r="B1572" s="547">
        <f t="shared" si="111"/>
        <v>1534</v>
      </c>
      <c r="D1572" s="625" t="s">
        <v>4202</v>
      </c>
      <c r="E1572" s="26">
        <v>10000</v>
      </c>
    </row>
    <row r="1573" spans="2:7" s="12" customFormat="1" x14ac:dyDescent="0.25">
      <c r="B1573" s="547">
        <f t="shared" si="111"/>
        <v>1535</v>
      </c>
      <c r="C1573" s="579" t="s">
        <v>4737</v>
      </c>
      <c r="D1573" s="579" t="str">
        <f>DESPORC!D1921</f>
        <v>GESTÃO, COORDENAÇÃO, E PLANEJAMENTO EDUCACIONAL</v>
      </c>
      <c r="E1573" s="582"/>
      <c r="F1573" s="579"/>
      <c r="G1573" s="579"/>
    </row>
    <row r="1574" spans="2:7" ht="15.75" x14ac:dyDescent="0.25">
      <c r="B1574" s="547">
        <f t="shared" si="111"/>
        <v>1536</v>
      </c>
      <c r="D1574" s="688" t="s">
        <v>6037</v>
      </c>
      <c r="E1574" s="630">
        <v>0.01</v>
      </c>
    </row>
    <row r="1575" spans="2:7" ht="31.5" x14ac:dyDescent="0.25">
      <c r="B1575" s="547">
        <f t="shared" si="111"/>
        <v>1537</v>
      </c>
      <c r="D1575" s="688" t="s">
        <v>6038</v>
      </c>
      <c r="E1575" s="630">
        <v>0.01</v>
      </c>
    </row>
    <row r="1576" spans="2:7" ht="15.75" x14ac:dyDescent="0.25">
      <c r="B1576" s="547">
        <f t="shared" si="111"/>
        <v>1538</v>
      </c>
      <c r="D1576" s="688" t="s">
        <v>6039</v>
      </c>
      <c r="E1576" s="630">
        <v>0.01</v>
      </c>
    </row>
    <row r="1577" spans="2:7" ht="15.75" x14ac:dyDescent="0.25">
      <c r="B1577" s="547">
        <f t="shared" si="111"/>
        <v>1539</v>
      </c>
      <c r="D1577" s="688" t="s">
        <v>6040</v>
      </c>
      <c r="E1577" s="630">
        <v>0.01</v>
      </c>
    </row>
    <row r="1578" spans="2:7" ht="31.5" x14ac:dyDescent="0.25">
      <c r="B1578" s="547">
        <f t="shared" si="111"/>
        <v>1540</v>
      </c>
      <c r="D1578" s="688" t="s">
        <v>6041</v>
      </c>
      <c r="E1578" s="630">
        <v>0.01</v>
      </c>
    </row>
    <row r="1579" spans="2:7" ht="18.75" x14ac:dyDescent="0.25">
      <c r="B1579" s="547">
        <f t="shared" si="111"/>
        <v>1541</v>
      </c>
      <c r="D1579" s="1413" t="s">
        <v>4757</v>
      </c>
    </row>
    <row r="1580" spans="2:7" x14ac:dyDescent="0.25">
      <c r="B1580" s="547">
        <f t="shared" si="111"/>
        <v>1542</v>
      </c>
      <c r="C1580" s="579" t="s">
        <v>4765</v>
      </c>
      <c r="D1580" s="579" t="str">
        <f>DESPORC!D1930</f>
        <v>GESTAO E COORDENAÇÃO ESCOLAS MUNICIPAIS</v>
      </c>
      <c r="E1580" s="580"/>
      <c r="F1580" s="582"/>
      <c r="G1580" s="582"/>
    </row>
    <row r="1581" spans="2:7" x14ac:dyDescent="0.25">
      <c r="B1581" s="547">
        <f t="shared" si="111"/>
        <v>1543</v>
      </c>
      <c r="D1581" s="570" t="s">
        <v>3648</v>
      </c>
      <c r="E1581" s="25">
        <v>1</v>
      </c>
    </row>
    <row r="1582" spans="2:7" x14ac:dyDescent="0.25">
      <c r="B1582" s="547">
        <f t="shared" si="111"/>
        <v>1544</v>
      </c>
      <c r="D1582" s="624" t="s">
        <v>7804</v>
      </c>
      <c r="E1582" s="613">
        <f>('FOPAG ED.'!I224*12)+'FOPAG ED.'!I225+'FOPAG ED.'!I226</f>
        <v>77425.645371043909</v>
      </c>
    </row>
    <row r="1583" spans="2:7" x14ac:dyDescent="0.25">
      <c r="B1583" s="547">
        <f t="shared" si="111"/>
        <v>1545</v>
      </c>
      <c r="D1583" s="624" t="s">
        <v>7805</v>
      </c>
      <c r="E1583" s="613">
        <f>SUM(E1582)*E92</f>
        <v>16259.385527919221</v>
      </c>
    </row>
    <row r="1584" spans="2:7" ht="15.75" x14ac:dyDescent="0.25">
      <c r="B1584" s="547">
        <f t="shared" si="111"/>
        <v>1546</v>
      </c>
      <c r="D1584" s="625" t="s">
        <v>4501</v>
      </c>
      <c r="E1584" s="25">
        <f>E1585</f>
        <v>58262.590920348775</v>
      </c>
    </row>
    <row r="1585" spans="2:5" ht="15.75" x14ac:dyDescent="0.25">
      <c r="B1585" s="547">
        <f t="shared" si="111"/>
        <v>1547</v>
      </c>
      <c r="D1585" s="626" t="s">
        <v>4234</v>
      </c>
      <c r="E1585" s="613">
        <f>(E1586+E1597+E1600)*E94</f>
        <v>58262.590920348775</v>
      </c>
    </row>
    <row r="1586" spans="2:5" x14ac:dyDescent="0.25">
      <c r="B1586" s="547">
        <f t="shared" si="111"/>
        <v>1548</v>
      </c>
      <c r="D1586" s="570" t="s">
        <v>4714</v>
      </c>
      <c r="E1586" s="25">
        <f>SUM(E1587:E1594)</f>
        <v>494742.13795796165</v>
      </c>
    </row>
    <row r="1587" spans="2:5" x14ac:dyDescent="0.25">
      <c r="B1587" s="547">
        <f t="shared" si="111"/>
        <v>1549</v>
      </c>
      <c r="D1587" s="624" t="s">
        <v>3075</v>
      </c>
      <c r="E1587" s="613">
        <f>('FOPAG ED.'!I231)*12</f>
        <v>412570.67918353586</v>
      </c>
    </row>
    <row r="1588" spans="2:5" x14ac:dyDescent="0.25">
      <c r="B1588" s="547">
        <f t="shared" si="111"/>
        <v>1550</v>
      </c>
      <c r="D1588" s="624" t="s">
        <v>3411</v>
      </c>
      <c r="E1588" s="613">
        <f>('FOPAG ED.'!I232*12)</f>
        <v>28310.176978629621</v>
      </c>
    </row>
    <row r="1589" spans="2:5" x14ac:dyDescent="0.25">
      <c r="B1589" s="547">
        <f t="shared" si="111"/>
        <v>1551</v>
      </c>
      <c r="D1589" s="624" t="s">
        <v>4847</v>
      </c>
      <c r="E1589" s="613">
        <f>'FOPAG ED.'!I233</f>
        <v>786.39380496193405</v>
      </c>
    </row>
    <row r="1590" spans="2:5" x14ac:dyDescent="0.25">
      <c r="B1590" s="547">
        <f t="shared" si="111"/>
        <v>1552</v>
      </c>
      <c r="D1590" s="624" t="s">
        <v>5298</v>
      </c>
      <c r="E1590" s="613">
        <f>'FOPAG ED.'!I234</f>
        <v>2359.1814148858016</v>
      </c>
    </row>
    <row r="1591" spans="2:5" x14ac:dyDescent="0.25">
      <c r="B1591" s="547">
        <f t="shared" si="111"/>
        <v>1553</v>
      </c>
      <c r="D1591" s="624" t="s">
        <v>2740</v>
      </c>
      <c r="E1591" s="613">
        <f>'FOPAG ED.'!I235</f>
        <v>0</v>
      </c>
    </row>
    <row r="1592" spans="2:5" x14ac:dyDescent="0.25">
      <c r="B1592" s="547">
        <f t="shared" si="111"/>
        <v>1554</v>
      </c>
      <c r="D1592" s="624" t="s">
        <v>2761</v>
      </c>
      <c r="E1592" s="613">
        <f>'FOPAG ED.'!I236*12</f>
        <v>4874.5199999999986</v>
      </c>
    </row>
    <row r="1593" spans="2:5" x14ac:dyDescent="0.25">
      <c r="B1593" s="547">
        <f t="shared" si="111"/>
        <v>1555</v>
      </c>
      <c r="D1593" s="624" t="s">
        <v>4519</v>
      </c>
      <c r="E1593" s="613">
        <f>'FOPAG ED.'!I237</f>
        <v>11460.296643987107</v>
      </c>
    </row>
    <row r="1594" spans="2:5" x14ac:dyDescent="0.25">
      <c r="B1594" s="547">
        <f t="shared" si="111"/>
        <v>1556</v>
      </c>
      <c r="D1594" s="624" t="s">
        <v>2736</v>
      </c>
      <c r="E1594" s="613">
        <f>'FOPAG ED.'!I238</f>
        <v>34380.889931961319</v>
      </c>
    </row>
    <row r="1595" spans="2:5" x14ac:dyDescent="0.25">
      <c r="B1595" s="547">
        <f t="shared" si="111"/>
        <v>1557</v>
      </c>
      <c r="D1595" s="570" t="s">
        <v>3666</v>
      </c>
      <c r="E1595" s="25">
        <f>E1596</f>
        <v>105603.77897117194</v>
      </c>
    </row>
    <row r="1596" spans="2:5" x14ac:dyDescent="0.25">
      <c r="B1596" s="547">
        <f t="shared" si="111"/>
        <v>1558</v>
      </c>
      <c r="D1596" s="652" t="s">
        <v>5666</v>
      </c>
      <c r="E1596" s="613">
        <f>(E1586+E1600)*E92</f>
        <v>105603.77897117194</v>
      </c>
    </row>
    <row r="1597" spans="2:5" x14ac:dyDescent="0.25">
      <c r="B1597" s="547">
        <f t="shared" si="111"/>
        <v>1559</v>
      </c>
      <c r="D1597" s="570" t="s">
        <v>3675</v>
      </c>
      <c r="E1597" s="25">
        <f>SUM(E1598:E1599)</f>
        <v>2000</v>
      </c>
    </row>
    <row r="1598" spans="2:5" x14ac:dyDescent="0.25">
      <c r="B1598" s="547">
        <f t="shared" si="111"/>
        <v>1560</v>
      </c>
      <c r="D1598" s="624" t="s">
        <v>4699</v>
      </c>
      <c r="E1598" s="613">
        <v>1000</v>
      </c>
    </row>
    <row r="1599" spans="2:5" x14ac:dyDescent="0.25">
      <c r="B1599" s="547">
        <f t="shared" si="111"/>
        <v>1561</v>
      </c>
      <c r="D1599" s="624" t="s">
        <v>4700</v>
      </c>
      <c r="E1599" s="613">
        <v>1000</v>
      </c>
    </row>
    <row r="1600" spans="2:5" x14ac:dyDescent="0.25">
      <c r="B1600" s="547">
        <f t="shared" si="111"/>
        <v>1562</v>
      </c>
      <c r="D1600" s="570" t="s">
        <v>2988</v>
      </c>
      <c r="E1600" s="25">
        <f>E1601</f>
        <v>8133</v>
      </c>
    </row>
    <row r="1601" spans="2:5" x14ac:dyDescent="0.25">
      <c r="B1601" s="547">
        <f t="shared" si="111"/>
        <v>1563</v>
      </c>
      <c r="D1601" s="624" t="s">
        <v>2988</v>
      </c>
      <c r="E1601" s="613">
        <f>5422/8*12</f>
        <v>8133</v>
      </c>
    </row>
    <row r="1602" spans="2:5" x14ac:dyDescent="0.25">
      <c r="B1602" s="547">
        <f t="shared" si="111"/>
        <v>1564</v>
      </c>
      <c r="D1602" s="570" t="s">
        <v>3679</v>
      </c>
      <c r="E1602" s="25">
        <f>SUM(E1603:E1604)</f>
        <v>0.02</v>
      </c>
    </row>
    <row r="1603" spans="2:5" ht="30" x14ac:dyDescent="0.25">
      <c r="B1603" s="547">
        <f t="shared" si="111"/>
        <v>1565</v>
      </c>
      <c r="D1603" s="634" t="s">
        <v>7806</v>
      </c>
      <c r="E1603" s="26">
        <v>0.01</v>
      </c>
    </row>
    <row r="1604" spans="2:5" x14ac:dyDescent="0.25">
      <c r="B1604" s="547">
        <f t="shared" si="111"/>
        <v>1566</v>
      </c>
      <c r="D1604" s="634" t="s">
        <v>7807</v>
      </c>
      <c r="E1604" s="26">
        <v>0.01</v>
      </c>
    </row>
    <row r="1605" spans="2:5" x14ac:dyDescent="0.25">
      <c r="B1605" s="547">
        <f t="shared" si="111"/>
        <v>1567</v>
      </c>
      <c r="D1605" s="570" t="s">
        <v>2994</v>
      </c>
      <c r="E1605" s="25">
        <f>E1606+E1607</f>
        <v>2000</v>
      </c>
    </row>
    <row r="1606" spans="2:5" x14ac:dyDescent="0.25">
      <c r="B1606" s="547">
        <f t="shared" si="111"/>
        <v>1568</v>
      </c>
      <c r="D1606" s="624" t="s">
        <v>3290</v>
      </c>
      <c r="E1606" s="25">
        <v>1000</v>
      </c>
    </row>
    <row r="1607" spans="2:5" x14ac:dyDescent="0.25">
      <c r="B1607" s="547">
        <f t="shared" si="111"/>
        <v>1569</v>
      </c>
      <c r="D1607" s="624" t="s">
        <v>3288</v>
      </c>
      <c r="E1607" s="25">
        <v>1000</v>
      </c>
    </row>
    <row r="1608" spans="2:5" x14ac:dyDescent="0.25">
      <c r="B1608" s="547">
        <f t="shared" si="111"/>
        <v>1570</v>
      </c>
      <c r="D1608" s="570" t="s">
        <v>4131</v>
      </c>
      <c r="E1608" s="25">
        <f>26122.69/8*12</f>
        <v>39184.034999999996</v>
      </c>
    </row>
    <row r="1609" spans="2:5" x14ac:dyDescent="0.25">
      <c r="B1609" s="547">
        <f t="shared" si="111"/>
        <v>1571</v>
      </c>
      <c r="D1609" s="570" t="s">
        <v>4715</v>
      </c>
      <c r="E1609" s="25">
        <v>0.01</v>
      </c>
    </row>
    <row r="1610" spans="2:5" x14ac:dyDescent="0.25">
      <c r="B1610" s="547">
        <f t="shared" si="111"/>
        <v>1572</v>
      </c>
      <c r="D1610" s="570" t="s">
        <v>4716</v>
      </c>
      <c r="E1610" s="25">
        <v>0.01</v>
      </c>
    </row>
    <row r="1611" spans="2:5" x14ac:dyDescent="0.25">
      <c r="B1611" s="547">
        <f t="shared" si="111"/>
        <v>1573</v>
      </c>
      <c r="D1611" s="570" t="s">
        <v>3473</v>
      </c>
      <c r="E1611" s="25">
        <v>0.01</v>
      </c>
    </row>
    <row r="1612" spans="2:5" x14ac:dyDescent="0.25">
      <c r="B1612" s="547">
        <f t="shared" si="111"/>
        <v>1574</v>
      </c>
      <c r="D1612" s="570" t="s">
        <v>4161</v>
      </c>
      <c r="E1612" s="25">
        <f>3164/8*12</f>
        <v>4746</v>
      </c>
    </row>
    <row r="1613" spans="2:5" x14ac:dyDescent="0.25">
      <c r="B1613" s="547">
        <f t="shared" si="111"/>
        <v>1575</v>
      </c>
      <c r="D1613" s="570" t="s">
        <v>4165</v>
      </c>
      <c r="E1613" s="25">
        <f>76843.8/8*12</f>
        <v>115265.70000000001</v>
      </c>
    </row>
    <row r="1614" spans="2:5" ht="15.75" x14ac:dyDescent="0.25">
      <c r="B1614" s="547">
        <f t="shared" si="111"/>
        <v>1576</v>
      </c>
      <c r="D1614" s="633" t="s">
        <v>4188</v>
      </c>
      <c r="E1614" s="25">
        <f>(43260.56/8*12)*(1+E10)*(1+E16)</f>
        <v>71207.333832851989</v>
      </c>
    </row>
    <row r="1615" spans="2:5" x14ac:dyDescent="0.25">
      <c r="B1615" s="547">
        <f t="shared" si="111"/>
        <v>1577</v>
      </c>
      <c r="D1615" s="570" t="s">
        <v>3149</v>
      </c>
      <c r="E1615" s="25">
        <v>1500</v>
      </c>
    </row>
    <row r="1616" spans="2:5" x14ac:dyDescent="0.25">
      <c r="B1616" s="547">
        <f t="shared" si="111"/>
        <v>1578</v>
      </c>
      <c r="D1616" s="570" t="s">
        <v>3592</v>
      </c>
      <c r="E1616" s="25">
        <f>E1617</f>
        <v>71654.040000000008</v>
      </c>
    </row>
    <row r="1617" spans="2:7" x14ac:dyDescent="0.25">
      <c r="B1617" s="547">
        <f t="shared" ref="B1617:B1680" si="112">B1616+1</f>
        <v>1579</v>
      </c>
      <c r="D1617" s="624" t="s">
        <v>3741</v>
      </c>
      <c r="E1617" s="613">
        <f>('FOPAG ED.'!I227+'FOPAG ED.'!I239)*12</f>
        <v>71654.040000000008</v>
      </c>
    </row>
    <row r="1618" spans="2:7" x14ac:dyDescent="0.25">
      <c r="B1618" s="547">
        <f t="shared" si="112"/>
        <v>1580</v>
      </c>
      <c r="D1618" s="570" t="s">
        <v>3057</v>
      </c>
      <c r="E1618" s="25">
        <v>0.01</v>
      </c>
    </row>
    <row r="1619" spans="2:7" x14ac:dyDescent="0.25">
      <c r="B1619" s="547">
        <f t="shared" si="112"/>
        <v>1581</v>
      </c>
      <c r="D1619" s="570" t="s">
        <v>3060</v>
      </c>
      <c r="E1619" s="25">
        <v>0.01</v>
      </c>
    </row>
    <row r="1620" spans="2:7" x14ac:dyDescent="0.25">
      <c r="B1620" s="547">
        <f t="shared" si="112"/>
        <v>1582</v>
      </c>
      <c r="D1620" s="570" t="s">
        <v>3514</v>
      </c>
      <c r="E1620" s="25">
        <v>0.01</v>
      </c>
    </row>
    <row r="1621" spans="2:7" x14ac:dyDescent="0.25">
      <c r="B1621" s="547">
        <f t="shared" si="112"/>
        <v>1583</v>
      </c>
      <c r="D1621" s="570" t="s">
        <v>4494</v>
      </c>
      <c r="E1621" s="25">
        <v>0.01</v>
      </c>
    </row>
    <row r="1622" spans="2:7" x14ac:dyDescent="0.25">
      <c r="B1622" s="547">
        <f t="shared" si="112"/>
        <v>1584</v>
      </c>
      <c r="D1622" s="570" t="s">
        <v>3152</v>
      </c>
      <c r="E1622" s="25">
        <f>E1623+E1624</f>
        <v>0.02</v>
      </c>
    </row>
    <row r="1623" spans="2:7" x14ac:dyDescent="0.25">
      <c r="B1623" s="547">
        <f t="shared" si="112"/>
        <v>1585</v>
      </c>
      <c r="D1623" s="652" t="s">
        <v>4712</v>
      </c>
      <c r="E1623" s="25">
        <v>0.01</v>
      </c>
    </row>
    <row r="1624" spans="2:7" x14ac:dyDescent="0.25">
      <c r="B1624" s="547">
        <f t="shared" si="112"/>
        <v>1586</v>
      </c>
      <c r="D1624" s="634" t="s">
        <v>4767</v>
      </c>
      <c r="E1624" s="25">
        <v>0.01</v>
      </c>
    </row>
    <row r="1625" spans="2:7" x14ac:dyDescent="0.25">
      <c r="B1625" s="547">
        <f t="shared" si="112"/>
        <v>1587</v>
      </c>
      <c r="D1625" s="570" t="s">
        <v>3600</v>
      </c>
      <c r="E1625" s="25"/>
    </row>
    <row r="1626" spans="2:7" x14ac:dyDescent="0.25">
      <c r="B1626" s="547">
        <f t="shared" si="112"/>
        <v>1588</v>
      </c>
      <c r="C1626" s="579" t="s">
        <v>4765</v>
      </c>
      <c r="D1626" s="1414" t="str">
        <f>DESPORC!D1957</f>
        <v>GESTAO E COORDENAÇÃO ESCOLAS MUNICIPAIS</v>
      </c>
      <c r="E1626" s="580"/>
      <c r="F1626" s="582"/>
      <c r="G1626" s="582"/>
    </row>
    <row r="1627" spans="2:7" ht="15.75" x14ac:dyDescent="0.25">
      <c r="B1627" s="547">
        <f t="shared" si="112"/>
        <v>1589</v>
      </c>
      <c r="D1627" s="625" t="s">
        <v>4202</v>
      </c>
      <c r="E1627" s="26"/>
    </row>
    <row r="1628" spans="2:7" ht="15.75" x14ac:dyDescent="0.25">
      <c r="B1628" s="547">
        <f t="shared" si="112"/>
        <v>1590</v>
      </c>
      <c r="D1628" s="626" t="s">
        <v>3044</v>
      </c>
      <c r="E1628" s="26">
        <f>11596.89/8*12</f>
        <v>17395.334999999999</v>
      </c>
    </row>
    <row r="1629" spans="2:7" ht="15.75" x14ac:dyDescent="0.25">
      <c r="B1629" s="547">
        <f t="shared" si="112"/>
        <v>1591</v>
      </c>
      <c r="D1629" s="626" t="s">
        <v>4762</v>
      </c>
      <c r="E1629" s="26">
        <v>0.01</v>
      </c>
    </row>
    <row r="1630" spans="2:7" ht="15.75" x14ac:dyDescent="0.25">
      <c r="B1630" s="547">
        <f t="shared" si="112"/>
        <v>1592</v>
      </c>
      <c r="D1630" s="626" t="s">
        <v>3355</v>
      </c>
      <c r="E1630" s="26">
        <v>1000</v>
      </c>
    </row>
    <row r="1631" spans="2:7" ht="15.75" x14ac:dyDescent="0.25">
      <c r="B1631" s="547">
        <f t="shared" si="112"/>
        <v>1593</v>
      </c>
      <c r="D1631" s="626" t="s">
        <v>3356</v>
      </c>
      <c r="E1631" s="26">
        <v>1000</v>
      </c>
    </row>
    <row r="1632" spans="2:7" ht="15.75" x14ac:dyDescent="0.25">
      <c r="B1632" s="547">
        <f t="shared" si="112"/>
        <v>1594</v>
      </c>
      <c r="D1632" s="626" t="s">
        <v>3357</v>
      </c>
      <c r="E1632" s="26">
        <v>3000</v>
      </c>
    </row>
    <row r="1633" spans="2:7" x14ac:dyDescent="0.25">
      <c r="B1633" s="547">
        <f t="shared" si="112"/>
        <v>1595</v>
      </c>
      <c r="C1633" s="579" t="s">
        <v>4765</v>
      </c>
      <c r="D1633" s="579" t="str">
        <f>DESPORC!D1962</f>
        <v>GESTAO E COORDENAÇÃO ESCOLAS MUNICIPAIS</v>
      </c>
      <c r="E1633" s="580"/>
      <c r="F1633" s="582"/>
      <c r="G1633" s="582"/>
    </row>
    <row r="1634" spans="2:7" ht="24.95" customHeight="1" x14ac:dyDescent="0.25">
      <c r="B1634" s="547">
        <f t="shared" si="112"/>
        <v>1596</v>
      </c>
      <c r="D1634" s="624" t="s">
        <v>5105</v>
      </c>
      <c r="E1634" s="630">
        <v>0.01</v>
      </c>
    </row>
    <row r="1635" spans="2:7" ht="24.95" customHeight="1" x14ac:dyDescent="0.25">
      <c r="B1635" s="547">
        <f t="shared" si="112"/>
        <v>1597</v>
      </c>
      <c r="D1635" s="624" t="s">
        <v>5106</v>
      </c>
      <c r="E1635" s="630">
        <v>0.01</v>
      </c>
    </row>
    <row r="1636" spans="2:7" ht="24.95" customHeight="1" x14ac:dyDescent="0.25">
      <c r="B1636" s="547">
        <f t="shared" si="112"/>
        <v>1598</v>
      </c>
      <c r="D1636" s="688" t="s">
        <v>6068</v>
      </c>
      <c r="E1636" s="630">
        <v>0.01</v>
      </c>
    </row>
    <row r="1637" spans="2:7" ht="24.95" customHeight="1" x14ac:dyDescent="0.25">
      <c r="B1637" s="547">
        <f t="shared" si="112"/>
        <v>1599</v>
      </c>
      <c r="D1637" s="624" t="s">
        <v>5107</v>
      </c>
      <c r="E1637" s="630">
        <v>1.0999999999999999E-2</v>
      </c>
    </row>
    <row r="1638" spans="2:7" ht="24.95" customHeight="1" x14ac:dyDescent="0.25">
      <c r="B1638" s="547">
        <f t="shared" si="112"/>
        <v>1600</v>
      </c>
      <c r="D1638" s="688" t="s">
        <v>6070</v>
      </c>
      <c r="E1638" s="630">
        <v>0.01</v>
      </c>
    </row>
    <row r="1639" spans="2:7" ht="15.75" x14ac:dyDescent="0.25">
      <c r="B1639" s="547">
        <f t="shared" si="112"/>
        <v>1601</v>
      </c>
      <c r="D1639" s="655" t="s">
        <v>4768</v>
      </c>
      <c r="E1639" s="26"/>
    </row>
    <row r="1640" spans="2:7" x14ac:dyDescent="0.25">
      <c r="B1640" s="547">
        <f t="shared" si="112"/>
        <v>1602</v>
      </c>
      <c r="C1640" s="579" t="s">
        <v>4769</v>
      </c>
      <c r="D1640" s="579" t="str">
        <f>DESPORC!D1985</f>
        <v>PROMOÇÃO E DESENVOLVIMENTO DO ENSINO FUNDAMENTAL</v>
      </c>
      <c r="E1640" s="580"/>
      <c r="F1640" s="582"/>
      <c r="G1640" s="582"/>
    </row>
    <row r="1641" spans="2:7" x14ac:dyDescent="0.25">
      <c r="B1641" s="547">
        <f t="shared" si="112"/>
        <v>1603</v>
      </c>
      <c r="D1641" s="570" t="s">
        <v>3648</v>
      </c>
      <c r="E1641" s="25">
        <v>0.01</v>
      </c>
    </row>
    <row r="1642" spans="2:7" ht="15.75" x14ac:dyDescent="0.25">
      <c r="B1642" s="547">
        <f t="shared" si="112"/>
        <v>1604</v>
      </c>
      <c r="D1642" s="625" t="s">
        <v>4501</v>
      </c>
      <c r="E1642" s="25"/>
    </row>
    <row r="1643" spans="2:7" ht="15.75" x14ac:dyDescent="0.25">
      <c r="B1643" s="547">
        <f t="shared" si="112"/>
        <v>1605</v>
      </c>
      <c r="D1643" s="626" t="s">
        <v>4234</v>
      </c>
      <c r="E1643" s="25">
        <v>0.01</v>
      </c>
    </row>
    <row r="1644" spans="2:7" x14ac:dyDescent="0.25">
      <c r="B1644" s="547">
        <f t="shared" si="112"/>
        <v>1606</v>
      </c>
      <c r="D1644" s="570" t="s">
        <v>4714</v>
      </c>
      <c r="E1644" s="25">
        <v>0.01</v>
      </c>
    </row>
    <row r="1645" spans="2:7" x14ac:dyDescent="0.25">
      <c r="B1645" s="547">
        <f t="shared" si="112"/>
        <v>1607</v>
      </c>
      <c r="D1645" s="570" t="s">
        <v>3666</v>
      </c>
      <c r="E1645" s="25">
        <v>0.01</v>
      </c>
    </row>
    <row r="1646" spans="2:7" x14ac:dyDescent="0.25">
      <c r="B1646" s="547">
        <f t="shared" si="112"/>
        <v>1608</v>
      </c>
      <c r="D1646" s="570" t="s">
        <v>3675</v>
      </c>
      <c r="E1646" s="25">
        <v>0.01</v>
      </c>
    </row>
    <row r="1647" spans="2:7" x14ac:dyDescent="0.25">
      <c r="B1647" s="547">
        <f t="shared" si="112"/>
        <v>1609</v>
      </c>
      <c r="D1647" s="570" t="s">
        <v>2988</v>
      </c>
      <c r="E1647" s="25">
        <v>0.01</v>
      </c>
    </row>
    <row r="1648" spans="2:7" x14ac:dyDescent="0.25">
      <c r="B1648" s="547">
        <f t="shared" si="112"/>
        <v>1610</v>
      </c>
      <c r="D1648" s="570" t="s">
        <v>3679</v>
      </c>
      <c r="E1648" s="25">
        <v>0.01</v>
      </c>
    </row>
    <row r="1649" spans="2:5" x14ac:dyDescent="0.25">
      <c r="B1649" s="547">
        <f t="shared" si="112"/>
        <v>1611</v>
      </c>
      <c r="D1649" s="570" t="s">
        <v>2994</v>
      </c>
      <c r="E1649" s="25">
        <v>0.01</v>
      </c>
    </row>
    <row r="1650" spans="2:5" x14ac:dyDescent="0.25">
      <c r="B1650" s="547">
        <f t="shared" si="112"/>
        <v>1612</v>
      </c>
      <c r="D1650" s="570" t="s">
        <v>4131</v>
      </c>
      <c r="E1650" s="25">
        <v>0.01</v>
      </c>
    </row>
    <row r="1651" spans="2:5" x14ac:dyDescent="0.25">
      <c r="B1651" s="547">
        <f t="shared" si="112"/>
        <v>1613</v>
      </c>
      <c r="D1651" s="570" t="s">
        <v>4715</v>
      </c>
      <c r="E1651" s="25">
        <v>0.01</v>
      </c>
    </row>
    <row r="1652" spans="2:5" x14ac:dyDescent="0.25">
      <c r="B1652" s="547">
        <f t="shared" si="112"/>
        <v>1614</v>
      </c>
      <c r="D1652" s="570" t="s">
        <v>4716</v>
      </c>
      <c r="E1652" s="25">
        <v>0.01</v>
      </c>
    </row>
    <row r="1653" spans="2:5" x14ac:dyDescent="0.25">
      <c r="B1653" s="547">
        <f t="shared" si="112"/>
        <v>1615</v>
      </c>
      <c r="D1653" s="570" t="s">
        <v>3473</v>
      </c>
      <c r="E1653" s="25">
        <v>0.01</v>
      </c>
    </row>
    <row r="1654" spans="2:5" x14ac:dyDescent="0.25">
      <c r="B1654" s="547">
        <f t="shared" si="112"/>
        <v>1616</v>
      </c>
      <c r="D1654" s="570" t="s">
        <v>4161</v>
      </c>
      <c r="E1654" s="25">
        <v>0.01</v>
      </c>
    </row>
    <row r="1655" spans="2:5" x14ac:dyDescent="0.25">
      <c r="B1655" s="547">
        <f t="shared" si="112"/>
        <v>1617</v>
      </c>
      <c r="D1655" s="570" t="s">
        <v>4165</v>
      </c>
      <c r="E1655" s="25">
        <v>0.01</v>
      </c>
    </row>
    <row r="1656" spans="2:5" x14ac:dyDescent="0.25">
      <c r="B1656" s="547">
        <f t="shared" si="112"/>
        <v>1618</v>
      </c>
      <c r="D1656" s="624" t="s">
        <v>4717</v>
      </c>
      <c r="E1656" s="25">
        <v>0.01</v>
      </c>
    </row>
    <row r="1657" spans="2:5" x14ac:dyDescent="0.25">
      <c r="B1657" s="547">
        <f t="shared" si="112"/>
        <v>1619</v>
      </c>
      <c r="D1657" s="624" t="s">
        <v>4718</v>
      </c>
      <c r="E1657" s="25">
        <v>0.01</v>
      </c>
    </row>
    <row r="1658" spans="2:5" ht="15.75" x14ac:dyDescent="0.25">
      <c r="B1658" s="547">
        <f t="shared" si="112"/>
        <v>1620</v>
      </c>
      <c r="D1658" s="633" t="s">
        <v>4188</v>
      </c>
      <c r="E1658" s="25">
        <v>0.01</v>
      </c>
    </row>
    <row r="1659" spans="2:5" ht="15.75" x14ac:dyDescent="0.25">
      <c r="B1659" s="547">
        <f t="shared" si="112"/>
        <v>1621</v>
      </c>
      <c r="D1659" s="627" t="s">
        <v>3359</v>
      </c>
      <c r="E1659" s="25">
        <v>0.01</v>
      </c>
    </row>
    <row r="1660" spans="2:5" x14ac:dyDescent="0.25">
      <c r="B1660" s="547">
        <f t="shared" si="112"/>
        <v>1622</v>
      </c>
      <c r="D1660" s="570" t="s">
        <v>3149</v>
      </c>
      <c r="E1660" s="25">
        <v>0.01</v>
      </c>
    </row>
    <row r="1661" spans="2:5" x14ac:dyDescent="0.25">
      <c r="B1661" s="547">
        <f t="shared" si="112"/>
        <v>1623</v>
      </c>
      <c r="D1661" s="570" t="s">
        <v>3592</v>
      </c>
      <c r="E1661" s="25">
        <v>0.01</v>
      </c>
    </row>
    <row r="1662" spans="2:5" x14ac:dyDescent="0.25">
      <c r="B1662" s="547">
        <f t="shared" si="112"/>
        <v>1624</v>
      </c>
      <c r="D1662" s="570" t="s">
        <v>3057</v>
      </c>
      <c r="E1662" s="25">
        <v>0.01</v>
      </c>
    </row>
    <row r="1663" spans="2:5" x14ac:dyDescent="0.25">
      <c r="B1663" s="547">
        <f t="shared" si="112"/>
        <v>1625</v>
      </c>
      <c r="D1663" s="570" t="s">
        <v>3060</v>
      </c>
      <c r="E1663" s="25">
        <v>0.01</v>
      </c>
    </row>
    <row r="1664" spans="2:5" x14ac:dyDescent="0.25">
      <c r="B1664" s="547">
        <f t="shared" si="112"/>
        <v>1626</v>
      </c>
      <c r="D1664" s="570" t="s">
        <v>3514</v>
      </c>
      <c r="E1664" s="25">
        <v>0.01</v>
      </c>
    </row>
    <row r="1665" spans="2:7" x14ac:dyDescent="0.25">
      <c r="B1665" s="547">
        <f t="shared" si="112"/>
        <v>1627</v>
      </c>
      <c r="D1665" s="570" t="s">
        <v>4494</v>
      </c>
      <c r="E1665" s="25">
        <v>0.01</v>
      </c>
    </row>
    <row r="1666" spans="2:7" x14ac:dyDescent="0.25">
      <c r="B1666" s="547">
        <f t="shared" si="112"/>
        <v>1628</v>
      </c>
      <c r="D1666" s="570" t="s">
        <v>3152</v>
      </c>
      <c r="E1666" s="25">
        <v>0.01</v>
      </c>
    </row>
    <row r="1667" spans="2:7" x14ac:dyDescent="0.25">
      <c r="B1667" s="547">
        <f t="shared" si="112"/>
        <v>1629</v>
      </c>
      <c r="D1667" s="570" t="s">
        <v>3600</v>
      </c>
    </row>
    <row r="1668" spans="2:7" x14ac:dyDescent="0.25">
      <c r="B1668" s="547">
        <f t="shared" si="112"/>
        <v>1630</v>
      </c>
      <c r="C1668" s="579" t="s">
        <v>4769</v>
      </c>
      <c r="D1668" s="579" t="str">
        <f>DESPORC!D2012</f>
        <v>PROMOÇÃO E DESENVOLVIMENTO DA EDUCAÇÃO INFANTIL</v>
      </c>
      <c r="E1668" s="580"/>
      <c r="F1668" s="582"/>
      <c r="G1668" s="582"/>
    </row>
    <row r="1669" spans="2:7" ht="15.75" x14ac:dyDescent="0.25">
      <c r="B1669" s="547">
        <f t="shared" si="112"/>
        <v>1631</v>
      </c>
      <c r="D1669" s="625" t="s">
        <v>4202</v>
      </c>
      <c r="E1669" s="26"/>
    </row>
    <row r="1670" spans="2:7" ht="15.75" x14ac:dyDescent="0.25">
      <c r="B1670" s="547">
        <f t="shared" si="112"/>
        <v>1632</v>
      </c>
      <c r="D1670" s="626" t="s">
        <v>3044</v>
      </c>
      <c r="E1670" s="26">
        <v>0.01</v>
      </c>
    </row>
    <row r="1671" spans="2:7" ht="15.75" x14ac:dyDescent="0.25">
      <c r="B1671" s="547">
        <f t="shared" si="112"/>
        <v>1633</v>
      </c>
      <c r="D1671" s="626" t="s">
        <v>4762</v>
      </c>
      <c r="E1671" s="26">
        <v>0.01</v>
      </c>
    </row>
    <row r="1672" spans="2:7" ht="15.75" x14ac:dyDescent="0.25">
      <c r="B1672" s="547">
        <f t="shared" si="112"/>
        <v>1634</v>
      </c>
      <c r="D1672" s="626" t="s">
        <v>3355</v>
      </c>
      <c r="E1672" s="26">
        <v>0.01</v>
      </c>
    </row>
    <row r="1673" spans="2:7" ht="15.75" x14ac:dyDescent="0.25">
      <c r="B1673" s="547">
        <f t="shared" si="112"/>
        <v>1635</v>
      </c>
      <c r="D1673" s="626" t="s">
        <v>3356</v>
      </c>
      <c r="E1673" s="26">
        <v>0.01</v>
      </c>
    </row>
    <row r="1674" spans="2:7" ht="15.75" x14ac:dyDescent="0.25">
      <c r="B1674" s="547">
        <f t="shared" si="112"/>
        <v>1636</v>
      </c>
      <c r="D1674" s="626" t="s">
        <v>3357</v>
      </c>
      <c r="E1674" s="26">
        <v>0.01</v>
      </c>
    </row>
    <row r="1675" spans="2:7" s="12" customFormat="1" ht="24.95" customHeight="1" x14ac:dyDescent="0.25">
      <c r="B1675" s="547">
        <f t="shared" si="112"/>
        <v>1637</v>
      </c>
      <c r="C1675" s="579" t="s">
        <v>4771</v>
      </c>
      <c r="D1675" s="579" t="str">
        <f>DESPORC!D2017</f>
        <v>PROMOÇÃO E DESENVOLVIMENTO DA EDUCAÇÃO INFANTIL</v>
      </c>
      <c r="E1675" s="582"/>
      <c r="F1675" s="579"/>
      <c r="G1675" s="579"/>
    </row>
    <row r="1676" spans="2:7" ht="24.95" customHeight="1" x14ac:dyDescent="0.25">
      <c r="B1676" s="547">
        <f t="shared" si="112"/>
        <v>1638</v>
      </c>
      <c r="D1676" s="624" t="s">
        <v>5105</v>
      </c>
      <c r="E1676" s="630">
        <v>0.01</v>
      </c>
    </row>
    <row r="1677" spans="2:7" ht="24.95" customHeight="1" x14ac:dyDescent="0.25">
      <c r="B1677" s="547">
        <f t="shared" si="112"/>
        <v>1639</v>
      </c>
      <c r="D1677" s="624" t="s">
        <v>5106</v>
      </c>
      <c r="E1677" s="630">
        <v>0.01</v>
      </c>
    </row>
    <row r="1678" spans="2:7" ht="24.95" customHeight="1" x14ac:dyDescent="0.25">
      <c r="B1678" s="547">
        <f t="shared" si="112"/>
        <v>1640</v>
      </c>
      <c r="D1678" s="688" t="s">
        <v>6097</v>
      </c>
      <c r="E1678" s="630">
        <v>0.01</v>
      </c>
    </row>
    <row r="1679" spans="2:7" ht="24.95" customHeight="1" x14ac:dyDescent="0.25">
      <c r="B1679" s="547">
        <f t="shared" si="112"/>
        <v>1641</v>
      </c>
      <c r="D1679" s="624" t="s">
        <v>5107</v>
      </c>
      <c r="E1679" s="630">
        <v>0.01</v>
      </c>
    </row>
    <row r="1680" spans="2:7" ht="24.95" customHeight="1" x14ac:dyDescent="0.25">
      <c r="B1680" s="547">
        <f t="shared" si="112"/>
        <v>1642</v>
      </c>
      <c r="D1680" s="688" t="s">
        <v>6099</v>
      </c>
      <c r="E1680" s="630">
        <v>0.01</v>
      </c>
    </row>
    <row r="1681" spans="2:7" ht="15.75" x14ac:dyDescent="0.25">
      <c r="B1681" s="547">
        <f t="shared" ref="B1681:B1744" si="113">B1680+1</f>
        <v>1643</v>
      </c>
      <c r="D1681" s="625" t="s">
        <v>4770</v>
      </c>
    </row>
    <row r="1682" spans="2:7" x14ac:dyDescent="0.25">
      <c r="B1682" s="547">
        <f t="shared" si="113"/>
        <v>1644</v>
      </c>
      <c r="C1682" s="579" t="s">
        <v>4771</v>
      </c>
      <c r="D1682" s="579" t="str">
        <f>DESPORC!D2026</f>
        <v>PROMOÇÃO E DESENVOLVIMENTO DA EDUCAÇÃO INFANTIL</v>
      </c>
      <c r="E1682" s="580"/>
      <c r="F1682" s="582"/>
      <c r="G1682" s="582"/>
    </row>
    <row r="1683" spans="2:7" x14ac:dyDescent="0.25">
      <c r="B1683" s="547">
        <f t="shared" si="113"/>
        <v>1645</v>
      </c>
      <c r="D1683" s="570" t="s">
        <v>4722</v>
      </c>
      <c r="E1683" s="26">
        <v>0.01</v>
      </c>
    </row>
    <row r="1684" spans="2:7" ht="15.75" x14ac:dyDescent="0.25">
      <c r="B1684" s="547">
        <f t="shared" si="113"/>
        <v>1646</v>
      </c>
      <c r="D1684" s="625" t="s">
        <v>4501</v>
      </c>
      <c r="E1684" s="26">
        <v>0.01</v>
      </c>
    </row>
    <row r="1685" spans="2:7" ht="15.75" x14ac:dyDescent="0.25">
      <c r="B1685" s="547">
        <f t="shared" si="113"/>
        <v>1647</v>
      </c>
      <c r="D1685" s="626" t="s">
        <v>4234</v>
      </c>
      <c r="E1685" s="26">
        <v>0</v>
      </c>
    </row>
    <row r="1686" spans="2:7" x14ac:dyDescent="0.25">
      <c r="B1686" s="547">
        <f t="shared" si="113"/>
        <v>1648</v>
      </c>
      <c r="D1686" s="570" t="s">
        <v>4720</v>
      </c>
      <c r="E1686" s="26">
        <v>0.01</v>
      </c>
    </row>
    <row r="1687" spans="2:7" x14ac:dyDescent="0.25">
      <c r="B1687" s="547">
        <f t="shared" si="113"/>
        <v>1649</v>
      </c>
      <c r="D1687" s="570" t="s">
        <v>3666</v>
      </c>
      <c r="E1687" s="26">
        <v>0.01</v>
      </c>
    </row>
    <row r="1688" spans="2:7" x14ac:dyDescent="0.25">
      <c r="B1688" s="547">
        <f t="shared" si="113"/>
        <v>1650</v>
      </c>
      <c r="D1688" s="570" t="s">
        <v>3675</v>
      </c>
      <c r="E1688" s="26">
        <v>0.01</v>
      </c>
    </row>
    <row r="1689" spans="2:7" x14ac:dyDescent="0.25">
      <c r="B1689" s="547">
        <f t="shared" si="113"/>
        <v>1651</v>
      </c>
      <c r="D1689" s="570" t="s">
        <v>2988</v>
      </c>
      <c r="E1689" s="26">
        <v>0.01</v>
      </c>
    </row>
    <row r="1690" spans="2:7" x14ac:dyDescent="0.25">
      <c r="B1690" s="547">
        <f t="shared" si="113"/>
        <v>1652</v>
      </c>
      <c r="D1690" s="570" t="s">
        <v>3679</v>
      </c>
      <c r="E1690" s="26">
        <v>0.01</v>
      </c>
    </row>
    <row r="1691" spans="2:7" x14ac:dyDescent="0.25">
      <c r="B1691" s="547">
        <f t="shared" si="113"/>
        <v>1653</v>
      </c>
      <c r="D1691" s="570" t="s">
        <v>2994</v>
      </c>
      <c r="E1691" s="26">
        <v>0.01</v>
      </c>
    </row>
    <row r="1692" spans="2:7" x14ac:dyDescent="0.25">
      <c r="B1692" s="547">
        <f t="shared" si="113"/>
        <v>1654</v>
      </c>
      <c r="D1692" s="570" t="s">
        <v>4131</v>
      </c>
      <c r="E1692" s="26">
        <v>0.01</v>
      </c>
    </row>
    <row r="1693" spans="2:7" x14ac:dyDescent="0.25">
      <c r="B1693" s="547">
        <f t="shared" si="113"/>
        <v>1655</v>
      </c>
      <c r="D1693" s="570" t="s">
        <v>4723</v>
      </c>
      <c r="E1693" s="26">
        <v>0.01</v>
      </c>
    </row>
    <row r="1694" spans="2:7" x14ac:dyDescent="0.25">
      <c r="B1694" s="547">
        <f t="shared" si="113"/>
        <v>1656</v>
      </c>
      <c r="D1694" s="570" t="s">
        <v>4724</v>
      </c>
      <c r="E1694" s="26">
        <v>0.01</v>
      </c>
    </row>
    <row r="1695" spans="2:7" x14ac:dyDescent="0.25">
      <c r="B1695" s="547">
        <f t="shared" si="113"/>
        <v>1657</v>
      </c>
      <c r="D1695" s="570" t="s">
        <v>3720</v>
      </c>
      <c r="E1695" s="26">
        <v>0.01</v>
      </c>
    </row>
    <row r="1696" spans="2:7" x14ac:dyDescent="0.25">
      <c r="B1696" s="547">
        <f t="shared" si="113"/>
        <v>1658</v>
      </c>
      <c r="D1696" s="570" t="s">
        <v>4725</v>
      </c>
      <c r="E1696" s="26">
        <v>0.01</v>
      </c>
    </row>
    <row r="1697" spans="2:5" x14ac:dyDescent="0.25">
      <c r="B1697" s="547">
        <f t="shared" si="113"/>
        <v>1659</v>
      </c>
      <c r="D1697" s="570" t="s">
        <v>4726</v>
      </c>
      <c r="E1697" s="26">
        <v>0.01</v>
      </c>
    </row>
    <row r="1698" spans="2:5" x14ac:dyDescent="0.25">
      <c r="B1698" s="547">
        <f t="shared" si="113"/>
        <v>1660</v>
      </c>
      <c r="D1698" s="570" t="s">
        <v>4727</v>
      </c>
      <c r="E1698" s="26">
        <v>0.01</v>
      </c>
    </row>
    <row r="1699" spans="2:5" x14ac:dyDescent="0.25">
      <c r="B1699" s="547">
        <f t="shared" si="113"/>
        <v>1661</v>
      </c>
      <c r="D1699" s="570" t="s">
        <v>3149</v>
      </c>
      <c r="E1699" s="26">
        <v>0.01</v>
      </c>
    </row>
    <row r="1700" spans="2:5" x14ac:dyDescent="0.25">
      <c r="B1700" s="547">
        <f t="shared" si="113"/>
        <v>1662</v>
      </c>
      <c r="D1700" s="570" t="s">
        <v>3592</v>
      </c>
      <c r="E1700" s="26">
        <v>0.01</v>
      </c>
    </row>
    <row r="1701" spans="2:5" x14ac:dyDescent="0.25">
      <c r="B1701" s="547">
        <f t="shared" si="113"/>
        <v>1663</v>
      </c>
      <c r="D1701" s="570" t="s">
        <v>3057</v>
      </c>
      <c r="E1701" s="26">
        <v>0.01</v>
      </c>
    </row>
    <row r="1702" spans="2:5" x14ac:dyDescent="0.25">
      <c r="B1702" s="547">
        <f t="shared" si="113"/>
        <v>1664</v>
      </c>
      <c r="D1702" s="570" t="s">
        <v>3060</v>
      </c>
      <c r="E1702" s="26">
        <v>0.01</v>
      </c>
    </row>
    <row r="1703" spans="2:5" x14ac:dyDescent="0.25">
      <c r="B1703" s="547">
        <f t="shared" si="113"/>
        <v>1665</v>
      </c>
      <c r="D1703" s="570" t="s">
        <v>3514</v>
      </c>
      <c r="E1703" s="26">
        <v>0.01</v>
      </c>
    </row>
    <row r="1704" spans="2:5" x14ac:dyDescent="0.25">
      <c r="B1704" s="547">
        <f t="shared" si="113"/>
        <v>1666</v>
      </c>
      <c r="D1704" s="570" t="s">
        <v>4494</v>
      </c>
      <c r="E1704" s="26">
        <v>0.01</v>
      </c>
    </row>
    <row r="1705" spans="2:5" x14ac:dyDescent="0.25">
      <c r="B1705" s="547">
        <f t="shared" si="113"/>
        <v>1667</v>
      </c>
      <c r="D1705" s="570" t="s">
        <v>3152</v>
      </c>
      <c r="E1705" s="26">
        <v>0.01</v>
      </c>
    </row>
    <row r="1706" spans="2:5" x14ac:dyDescent="0.25">
      <c r="B1706" s="547">
        <f t="shared" si="113"/>
        <v>1668</v>
      </c>
      <c r="D1706" s="570" t="s">
        <v>4725</v>
      </c>
      <c r="E1706" s="26">
        <v>0.01</v>
      </c>
    </row>
    <row r="1707" spans="2:5" x14ac:dyDescent="0.25">
      <c r="B1707" s="547">
        <f t="shared" si="113"/>
        <v>1669</v>
      </c>
      <c r="D1707" s="570" t="s">
        <v>4726</v>
      </c>
      <c r="E1707" s="26">
        <v>0.01</v>
      </c>
    </row>
    <row r="1708" spans="2:5" ht="15.75" x14ac:dyDescent="0.25">
      <c r="B1708" s="547">
        <f t="shared" si="113"/>
        <v>1670</v>
      </c>
      <c r="D1708" s="633" t="s">
        <v>4188</v>
      </c>
      <c r="E1708" s="26">
        <v>0.01</v>
      </c>
    </row>
    <row r="1709" spans="2:5" ht="15.75" x14ac:dyDescent="0.25">
      <c r="B1709" s="547">
        <f t="shared" si="113"/>
        <v>1671</v>
      </c>
      <c r="D1709" s="627" t="s">
        <v>3359</v>
      </c>
      <c r="E1709" s="26">
        <v>0</v>
      </c>
    </row>
    <row r="1710" spans="2:5" x14ac:dyDescent="0.25">
      <c r="B1710" s="547">
        <f t="shared" si="113"/>
        <v>1672</v>
      </c>
      <c r="D1710" s="570" t="s">
        <v>3149</v>
      </c>
      <c r="E1710" s="26">
        <v>0.01</v>
      </c>
    </row>
    <row r="1711" spans="2:5" x14ac:dyDescent="0.25">
      <c r="B1711" s="547">
        <f t="shared" si="113"/>
        <v>1673</v>
      </c>
      <c r="D1711" s="570" t="s">
        <v>3592</v>
      </c>
      <c r="E1711" s="26">
        <v>0.01</v>
      </c>
    </row>
    <row r="1712" spans="2:5" x14ac:dyDescent="0.25">
      <c r="B1712" s="547">
        <f t="shared" si="113"/>
        <v>1674</v>
      </c>
      <c r="D1712" s="570" t="s">
        <v>3057</v>
      </c>
      <c r="E1712" s="26">
        <v>0.01</v>
      </c>
    </row>
    <row r="1713" spans="2:7" x14ac:dyDescent="0.25">
      <c r="B1713" s="547">
        <f t="shared" si="113"/>
        <v>1675</v>
      </c>
      <c r="D1713" s="570" t="s">
        <v>3060</v>
      </c>
      <c r="E1713" s="26">
        <v>0.01</v>
      </c>
    </row>
    <row r="1714" spans="2:7" x14ac:dyDescent="0.25">
      <c r="B1714" s="547">
        <f t="shared" si="113"/>
        <v>1676</v>
      </c>
      <c r="D1714" s="570" t="s">
        <v>3514</v>
      </c>
      <c r="E1714" s="26">
        <v>0.01</v>
      </c>
    </row>
    <row r="1715" spans="2:7" x14ac:dyDescent="0.25">
      <c r="B1715" s="547">
        <f t="shared" si="113"/>
        <v>1677</v>
      </c>
      <c r="D1715" s="570" t="s">
        <v>4494</v>
      </c>
      <c r="E1715" s="26">
        <v>0.01</v>
      </c>
    </row>
    <row r="1716" spans="2:7" x14ac:dyDescent="0.25">
      <c r="B1716" s="547">
        <f t="shared" si="113"/>
        <v>1678</v>
      </c>
      <c r="D1716" s="570" t="s">
        <v>3152</v>
      </c>
      <c r="E1716" s="26">
        <v>0.01</v>
      </c>
    </row>
    <row r="1717" spans="2:7" x14ac:dyDescent="0.25">
      <c r="B1717" s="547">
        <f t="shared" si="113"/>
        <v>1679</v>
      </c>
      <c r="C1717" s="579" t="s">
        <v>6937</v>
      </c>
      <c r="D1717" s="579" t="str">
        <f>DESPORC!D2053</f>
        <v>GESTAO E  APOIO AO COSELHO MUNICIPAL DE EDUCACAO</v>
      </c>
      <c r="E1717" s="580"/>
      <c r="F1717" s="582"/>
      <c r="G1717" s="582"/>
    </row>
    <row r="1718" spans="2:7" ht="15.75" x14ac:dyDescent="0.25">
      <c r="B1718" s="547">
        <f t="shared" si="113"/>
        <v>1680</v>
      </c>
      <c r="D1718" s="688" t="s">
        <v>6929</v>
      </c>
      <c r="E1718" s="26">
        <v>0.01</v>
      </c>
    </row>
    <row r="1719" spans="2:7" ht="15.75" x14ac:dyDescent="0.25">
      <c r="B1719" s="547">
        <f t="shared" si="113"/>
        <v>1681</v>
      </c>
      <c r="D1719" s="688" t="s">
        <v>6930</v>
      </c>
      <c r="E1719" s="26">
        <v>0.01</v>
      </c>
    </row>
    <row r="1720" spans="2:7" ht="15.75" x14ac:dyDescent="0.25">
      <c r="B1720" s="547">
        <f t="shared" si="113"/>
        <v>1682</v>
      </c>
      <c r="D1720" s="688" t="s">
        <v>6931</v>
      </c>
      <c r="E1720" s="26">
        <v>0.01</v>
      </c>
    </row>
    <row r="1721" spans="2:7" ht="15.75" x14ac:dyDescent="0.25">
      <c r="B1721" s="547">
        <f t="shared" si="113"/>
        <v>1683</v>
      </c>
      <c r="D1721" s="688" t="s">
        <v>6932</v>
      </c>
      <c r="E1721" s="26">
        <v>0.01</v>
      </c>
    </row>
    <row r="1722" spans="2:7" ht="15.75" x14ac:dyDescent="0.25">
      <c r="B1722" s="547">
        <f t="shared" si="113"/>
        <v>1684</v>
      </c>
      <c r="D1722" s="688" t="s">
        <v>6933</v>
      </c>
      <c r="E1722" s="26">
        <v>0.01</v>
      </c>
    </row>
    <row r="1723" spans="2:7" ht="15.75" x14ac:dyDescent="0.25">
      <c r="B1723" s="547">
        <f t="shared" si="113"/>
        <v>1685</v>
      </c>
      <c r="D1723" s="688" t="s">
        <v>6934</v>
      </c>
      <c r="E1723" s="26">
        <v>0.01</v>
      </c>
    </row>
    <row r="1724" spans="2:7" ht="15.75" x14ac:dyDescent="0.25">
      <c r="B1724" s="547">
        <f t="shared" si="113"/>
        <v>1686</v>
      </c>
      <c r="D1724" s="688" t="s">
        <v>6935</v>
      </c>
      <c r="E1724" s="26">
        <v>0.01</v>
      </c>
    </row>
    <row r="1725" spans="2:7" ht="15.75" x14ac:dyDescent="0.25">
      <c r="B1725" s="547">
        <f t="shared" si="113"/>
        <v>1687</v>
      </c>
      <c r="D1725" s="688" t="s">
        <v>6936</v>
      </c>
      <c r="E1725" s="26">
        <v>0.01</v>
      </c>
    </row>
    <row r="1726" spans="2:7" s="12" customFormat="1" ht="21" x14ac:dyDescent="0.35">
      <c r="B1726" s="547">
        <f t="shared" si="113"/>
        <v>1688</v>
      </c>
      <c r="D1726" s="1416" t="s">
        <v>4820</v>
      </c>
    </row>
    <row r="1727" spans="2:7" x14ac:dyDescent="0.25">
      <c r="B1727" s="547">
        <f t="shared" si="113"/>
        <v>1689</v>
      </c>
      <c r="D1727" s="12" t="s">
        <v>4824</v>
      </c>
    </row>
    <row r="1728" spans="2:7" x14ac:dyDescent="0.25">
      <c r="B1728" s="547">
        <f t="shared" si="113"/>
        <v>1690</v>
      </c>
      <c r="C1728" s="579" t="s">
        <v>4764</v>
      </c>
      <c r="D1728" s="579" t="str">
        <f>DESPORC!D1865</f>
        <v>NOVOS INVESTIMENTOS EM EDUCAÇÃO</v>
      </c>
      <c r="E1728" s="580"/>
      <c r="F1728" s="582"/>
      <c r="G1728" s="582"/>
    </row>
    <row r="1729" spans="2:7" x14ac:dyDescent="0.25">
      <c r="B1729" s="547">
        <f t="shared" si="113"/>
        <v>1691</v>
      </c>
      <c r="D1729" s="570" t="s">
        <v>4813</v>
      </c>
      <c r="E1729" s="26">
        <v>0.01</v>
      </c>
    </row>
    <row r="1730" spans="2:7" x14ac:dyDescent="0.25">
      <c r="B1730" s="547">
        <f t="shared" si="113"/>
        <v>1692</v>
      </c>
      <c r="D1730" s="570" t="s">
        <v>4814</v>
      </c>
      <c r="E1730" s="26">
        <v>0.01</v>
      </c>
    </row>
    <row r="1731" spans="2:7" x14ac:dyDescent="0.25">
      <c r="B1731" s="547">
        <f t="shared" si="113"/>
        <v>1693</v>
      </c>
      <c r="D1731" s="570" t="s">
        <v>4815</v>
      </c>
      <c r="E1731" s="26">
        <v>0.01</v>
      </c>
    </row>
    <row r="1732" spans="2:7" x14ac:dyDescent="0.25">
      <c r="B1732" s="547">
        <f t="shared" si="113"/>
        <v>1694</v>
      </c>
      <c r="D1732" s="570" t="s">
        <v>4816</v>
      </c>
      <c r="E1732" s="26">
        <v>0.01</v>
      </c>
    </row>
    <row r="1733" spans="2:7" x14ac:dyDescent="0.25">
      <c r="B1733" s="547">
        <f t="shared" si="113"/>
        <v>1695</v>
      </c>
      <c r="D1733" s="570" t="s">
        <v>4813</v>
      </c>
      <c r="E1733" s="26">
        <v>0.01</v>
      </c>
    </row>
    <row r="1734" spans="2:7" x14ac:dyDescent="0.25">
      <c r="B1734" s="547">
        <f t="shared" si="113"/>
        <v>1696</v>
      </c>
      <c r="D1734" s="570" t="s">
        <v>4814</v>
      </c>
      <c r="E1734" s="26">
        <v>0.01</v>
      </c>
    </row>
    <row r="1735" spans="2:7" x14ac:dyDescent="0.25">
      <c r="B1735" s="547">
        <f t="shared" si="113"/>
        <v>1697</v>
      </c>
      <c r="D1735" s="570" t="s">
        <v>4815</v>
      </c>
      <c r="E1735" s="26">
        <v>0.01</v>
      </c>
    </row>
    <row r="1736" spans="2:7" x14ac:dyDescent="0.25">
      <c r="B1736" s="547">
        <f t="shared" si="113"/>
        <v>1698</v>
      </c>
      <c r="D1736" s="570" t="s">
        <v>4816</v>
      </c>
      <c r="E1736" s="26">
        <v>0.01</v>
      </c>
    </row>
    <row r="1737" spans="2:7" x14ac:dyDescent="0.25">
      <c r="B1737" s="547">
        <f t="shared" si="113"/>
        <v>1699</v>
      </c>
      <c r="D1737" s="570" t="s">
        <v>4817</v>
      </c>
      <c r="E1737" s="26">
        <v>0.01</v>
      </c>
    </row>
    <row r="1738" spans="2:7" x14ac:dyDescent="0.25">
      <c r="B1738" s="547">
        <f t="shared" si="113"/>
        <v>1700</v>
      </c>
      <c r="D1738" s="570" t="s">
        <v>4818</v>
      </c>
      <c r="E1738" s="26">
        <v>0.01</v>
      </c>
    </row>
    <row r="1739" spans="2:7" x14ac:dyDescent="0.25">
      <c r="B1739" s="547">
        <f t="shared" si="113"/>
        <v>1701</v>
      </c>
      <c r="C1739" s="579" t="s">
        <v>4764</v>
      </c>
      <c r="D1739" s="579" t="str">
        <f>DESPORC!D2085</f>
        <v>NOVOS INVESTIMENTOS EM EDUCAÇÃO</v>
      </c>
      <c r="E1739" s="580"/>
      <c r="F1739" s="582"/>
      <c r="G1739" s="582"/>
    </row>
    <row r="1740" spans="2:7" x14ac:dyDescent="0.25">
      <c r="B1740" s="547">
        <f t="shared" si="113"/>
        <v>1702</v>
      </c>
      <c r="D1740" s="570" t="s">
        <v>4165</v>
      </c>
      <c r="E1740" s="26">
        <v>0.01</v>
      </c>
    </row>
    <row r="1741" spans="2:7" x14ac:dyDescent="0.25">
      <c r="B1741" s="547">
        <f t="shared" si="113"/>
        <v>1703</v>
      </c>
      <c r="D1741" s="570" t="s">
        <v>4790</v>
      </c>
      <c r="E1741" s="26">
        <v>0.01</v>
      </c>
    </row>
    <row r="1742" spans="2:7" x14ac:dyDescent="0.25">
      <c r="B1742" s="547">
        <f t="shared" si="113"/>
        <v>1704</v>
      </c>
      <c r="C1742" s="579" t="s">
        <v>4764</v>
      </c>
      <c r="D1742" s="579" t="str">
        <f>DESPORC!D2092</f>
        <v>NOVOS INVESTIMENTOS EM EDUCAÇÃO</v>
      </c>
      <c r="E1742" s="580"/>
      <c r="F1742" s="582"/>
      <c r="G1742" s="582"/>
    </row>
    <row r="1743" spans="2:7" x14ac:dyDescent="0.25">
      <c r="B1743" s="547">
        <f t="shared" si="113"/>
        <v>1705</v>
      </c>
      <c r="D1743" s="570" t="s">
        <v>4779</v>
      </c>
      <c r="E1743" s="26">
        <v>0.01</v>
      </c>
    </row>
    <row r="1744" spans="2:7" x14ac:dyDescent="0.25">
      <c r="B1744" s="547">
        <f t="shared" si="113"/>
        <v>1706</v>
      </c>
      <c r="D1744" s="570" t="s">
        <v>4781</v>
      </c>
      <c r="E1744" s="26">
        <v>0.01</v>
      </c>
    </row>
    <row r="1745" spans="2:7" x14ac:dyDescent="0.25">
      <c r="B1745" s="547">
        <f t="shared" ref="B1745:B1808" si="114">B1744+1</f>
        <v>1707</v>
      </c>
      <c r="D1745" s="570" t="s">
        <v>4782</v>
      </c>
      <c r="E1745" s="26">
        <v>0.01</v>
      </c>
    </row>
    <row r="1746" spans="2:7" x14ac:dyDescent="0.25">
      <c r="B1746" s="547">
        <f t="shared" si="114"/>
        <v>1708</v>
      </c>
      <c r="D1746" s="570" t="s">
        <v>4784</v>
      </c>
      <c r="E1746" s="26">
        <v>0.01</v>
      </c>
    </row>
    <row r="1747" spans="2:7" x14ac:dyDescent="0.25">
      <c r="B1747" s="547">
        <f t="shared" si="114"/>
        <v>1709</v>
      </c>
      <c r="D1747" s="570" t="s">
        <v>4786</v>
      </c>
      <c r="E1747" s="26">
        <v>0.01</v>
      </c>
    </row>
    <row r="1748" spans="2:7" x14ac:dyDescent="0.25">
      <c r="B1748" s="547">
        <f t="shared" si="114"/>
        <v>1710</v>
      </c>
      <c r="D1748" s="570" t="s">
        <v>4788</v>
      </c>
      <c r="E1748" s="26">
        <v>0.01</v>
      </c>
    </row>
    <row r="1749" spans="2:7" x14ac:dyDescent="0.25">
      <c r="B1749" s="547">
        <f t="shared" si="114"/>
        <v>1711</v>
      </c>
      <c r="C1749" s="579" t="s">
        <v>4764</v>
      </c>
      <c r="D1749" s="579" t="str">
        <f>DESPORC!D2102</f>
        <v>NOVOS INVESTIMENTOS EM EDUCAÇÃO</v>
      </c>
      <c r="E1749" s="580"/>
      <c r="F1749" s="582"/>
      <c r="G1749" s="582"/>
    </row>
    <row r="1750" spans="2:7" x14ac:dyDescent="0.25">
      <c r="B1750" s="547">
        <f t="shared" si="114"/>
        <v>1712</v>
      </c>
      <c r="D1750" s="570" t="s">
        <v>4780</v>
      </c>
      <c r="E1750" s="26">
        <v>0.01</v>
      </c>
    </row>
    <row r="1751" spans="2:7" x14ac:dyDescent="0.25">
      <c r="B1751" s="547">
        <f t="shared" si="114"/>
        <v>1713</v>
      </c>
      <c r="D1751" s="570" t="s">
        <v>4780</v>
      </c>
      <c r="E1751" s="26">
        <v>0.01</v>
      </c>
    </row>
    <row r="1752" spans="2:7" x14ac:dyDescent="0.25">
      <c r="B1752" s="547">
        <f t="shared" si="114"/>
        <v>1714</v>
      </c>
      <c r="D1752" s="570" t="s">
        <v>4783</v>
      </c>
      <c r="E1752" s="26">
        <v>0.01</v>
      </c>
    </row>
    <row r="1753" spans="2:7" x14ac:dyDescent="0.25">
      <c r="B1753" s="547">
        <f t="shared" si="114"/>
        <v>1715</v>
      </c>
      <c r="D1753" s="570" t="s">
        <v>4785</v>
      </c>
      <c r="E1753" s="26">
        <v>0.01</v>
      </c>
    </row>
    <row r="1754" spans="2:7" x14ac:dyDescent="0.25">
      <c r="B1754" s="547">
        <f t="shared" si="114"/>
        <v>1716</v>
      </c>
      <c r="D1754" s="570" t="s">
        <v>4787</v>
      </c>
      <c r="E1754" s="26">
        <v>0.01</v>
      </c>
    </row>
    <row r="1755" spans="2:7" x14ac:dyDescent="0.25">
      <c r="B1755" s="547">
        <f t="shared" si="114"/>
        <v>1717</v>
      </c>
      <c r="D1755" s="570" t="s">
        <v>4789</v>
      </c>
      <c r="E1755" s="26">
        <v>0.01</v>
      </c>
    </row>
    <row r="1756" spans="2:7" ht="15.75" x14ac:dyDescent="0.25">
      <c r="B1756" s="547">
        <f t="shared" si="114"/>
        <v>1718</v>
      </c>
      <c r="D1756" s="1415" t="s">
        <v>4757</v>
      </c>
    </row>
    <row r="1757" spans="2:7" x14ac:dyDescent="0.25">
      <c r="B1757" s="547">
        <f t="shared" si="114"/>
        <v>1719</v>
      </c>
      <c r="C1757" s="579" t="s">
        <v>4765</v>
      </c>
      <c r="D1757" s="579" t="str">
        <f>DESPORC!D2112</f>
        <v>GESTAO E COORDENAÇÃO ESCOLAS MUNICIPAIS</v>
      </c>
      <c r="E1757" s="580"/>
      <c r="F1757" s="582"/>
      <c r="G1757" s="582"/>
    </row>
    <row r="1758" spans="2:7" x14ac:dyDescent="0.25">
      <c r="B1758" s="547">
        <f t="shared" si="114"/>
        <v>1720</v>
      </c>
      <c r="D1758" s="570" t="s">
        <v>3648</v>
      </c>
      <c r="E1758" s="26">
        <v>0.01</v>
      </c>
    </row>
    <row r="1759" spans="2:7" x14ac:dyDescent="0.25">
      <c r="B1759" s="547">
        <f t="shared" si="114"/>
        <v>1721</v>
      </c>
      <c r="D1759" s="624" t="s">
        <v>3075</v>
      </c>
      <c r="E1759" s="26">
        <v>0</v>
      </c>
    </row>
    <row r="1760" spans="2:7" x14ac:dyDescent="0.25">
      <c r="B1760" s="547">
        <f t="shared" si="114"/>
        <v>1722</v>
      </c>
      <c r="D1760" s="624" t="s">
        <v>4843</v>
      </c>
      <c r="E1760" s="26">
        <v>0</v>
      </c>
    </row>
    <row r="1761" spans="2:5" ht="15.75" x14ac:dyDescent="0.25">
      <c r="B1761" s="547">
        <f t="shared" si="114"/>
        <v>1723</v>
      </c>
      <c r="D1761" s="625" t="s">
        <v>4501</v>
      </c>
      <c r="E1761" s="26">
        <v>0.01</v>
      </c>
    </row>
    <row r="1762" spans="2:5" ht="15.75" x14ac:dyDescent="0.25">
      <c r="B1762" s="547">
        <f t="shared" si="114"/>
        <v>1724</v>
      </c>
      <c r="D1762" s="626" t="s">
        <v>4234</v>
      </c>
      <c r="E1762" s="26">
        <v>0</v>
      </c>
    </row>
    <row r="1763" spans="2:5" x14ac:dyDescent="0.25">
      <c r="B1763" s="547">
        <f t="shared" si="114"/>
        <v>1725</v>
      </c>
      <c r="D1763" s="570" t="s">
        <v>4714</v>
      </c>
      <c r="E1763" s="612">
        <v>0.01</v>
      </c>
    </row>
    <row r="1764" spans="2:5" x14ac:dyDescent="0.25">
      <c r="B1764" s="547">
        <f t="shared" si="114"/>
        <v>1726</v>
      </c>
      <c r="D1764" s="624" t="s">
        <v>3075</v>
      </c>
      <c r="E1764" s="26">
        <v>0</v>
      </c>
    </row>
    <row r="1765" spans="2:5" x14ac:dyDescent="0.25">
      <c r="B1765" s="547">
        <f t="shared" si="114"/>
        <v>1727</v>
      </c>
      <c r="D1765" s="624" t="s">
        <v>2740</v>
      </c>
      <c r="E1765" s="26">
        <v>0</v>
      </c>
    </row>
    <row r="1766" spans="2:5" x14ac:dyDescent="0.25">
      <c r="B1766" s="547">
        <f t="shared" si="114"/>
        <v>1728</v>
      </c>
      <c r="D1766" s="624" t="s">
        <v>2814</v>
      </c>
      <c r="E1766" s="26">
        <v>0</v>
      </c>
    </row>
    <row r="1767" spans="2:5" x14ac:dyDescent="0.25">
      <c r="B1767" s="547">
        <f t="shared" si="114"/>
        <v>1729</v>
      </c>
      <c r="D1767" s="624" t="s">
        <v>2783</v>
      </c>
      <c r="E1767" s="26">
        <v>0</v>
      </c>
    </row>
    <row r="1768" spans="2:5" x14ac:dyDescent="0.25">
      <c r="B1768" s="547">
        <f t="shared" si="114"/>
        <v>1730</v>
      </c>
      <c r="D1768" s="624" t="s">
        <v>4845</v>
      </c>
      <c r="E1768" s="26">
        <v>0</v>
      </c>
    </row>
    <row r="1769" spans="2:5" x14ac:dyDescent="0.25">
      <c r="B1769" s="547">
        <f t="shared" si="114"/>
        <v>1731</v>
      </c>
      <c r="D1769" s="624" t="s">
        <v>2761</v>
      </c>
      <c r="E1769" s="26">
        <v>0</v>
      </c>
    </row>
    <row r="1770" spans="2:5" x14ac:dyDescent="0.25">
      <c r="B1770" s="547">
        <f t="shared" si="114"/>
        <v>1732</v>
      </c>
      <c r="D1770" s="624" t="s">
        <v>4846</v>
      </c>
      <c r="E1770" s="26">
        <v>0</v>
      </c>
    </row>
    <row r="1771" spans="2:5" x14ac:dyDescent="0.25">
      <c r="B1771" s="547">
        <f t="shared" si="114"/>
        <v>1733</v>
      </c>
      <c r="D1771" s="624" t="s">
        <v>4847</v>
      </c>
      <c r="E1771" s="26">
        <v>0</v>
      </c>
    </row>
    <row r="1772" spans="2:5" x14ac:dyDescent="0.25">
      <c r="B1772" s="547">
        <f t="shared" si="114"/>
        <v>1734</v>
      </c>
      <c r="D1772" s="624" t="s">
        <v>4848</v>
      </c>
      <c r="E1772" s="26">
        <v>0</v>
      </c>
    </row>
    <row r="1773" spans="2:5" x14ac:dyDescent="0.25">
      <c r="B1773" s="547">
        <f t="shared" si="114"/>
        <v>1735</v>
      </c>
      <c r="D1773" s="624" t="s">
        <v>4849</v>
      </c>
      <c r="E1773" s="26">
        <v>0</v>
      </c>
    </row>
    <row r="1774" spans="2:5" x14ac:dyDescent="0.25">
      <c r="B1774" s="547">
        <f t="shared" si="114"/>
        <v>1736</v>
      </c>
      <c r="D1774" s="624" t="s">
        <v>4844</v>
      </c>
      <c r="E1774" s="26">
        <v>0</v>
      </c>
    </row>
    <row r="1775" spans="2:5" x14ac:dyDescent="0.25">
      <c r="B1775" s="547">
        <f t="shared" si="114"/>
        <v>1737</v>
      </c>
      <c r="D1775" s="570" t="s">
        <v>3666</v>
      </c>
      <c r="E1775" s="26">
        <v>0.01</v>
      </c>
    </row>
    <row r="1776" spans="2:5" x14ac:dyDescent="0.25">
      <c r="B1776" s="547">
        <f t="shared" si="114"/>
        <v>1738</v>
      </c>
      <c r="D1776" s="652" t="s">
        <v>4694</v>
      </c>
      <c r="E1776" s="26">
        <v>0</v>
      </c>
    </row>
    <row r="1777" spans="2:5" x14ac:dyDescent="0.25">
      <c r="B1777" s="547">
        <f t="shared" si="114"/>
        <v>1739</v>
      </c>
      <c r="D1777" s="652" t="s">
        <v>4695</v>
      </c>
      <c r="E1777" s="26">
        <v>0</v>
      </c>
    </row>
    <row r="1778" spans="2:5" x14ac:dyDescent="0.25">
      <c r="B1778" s="547">
        <f t="shared" si="114"/>
        <v>1740</v>
      </c>
      <c r="D1778" s="652" t="s">
        <v>4696</v>
      </c>
      <c r="E1778" s="26">
        <v>0</v>
      </c>
    </row>
    <row r="1779" spans="2:5" x14ac:dyDescent="0.25">
      <c r="B1779" s="547">
        <f t="shared" si="114"/>
        <v>1741</v>
      </c>
      <c r="D1779" s="652" t="s">
        <v>4697</v>
      </c>
      <c r="E1779" s="26">
        <v>0</v>
      </c>
    </row>
    <row r="1780" spans="2:5" x14ac:dyDescent="0.25">
      <c r="B1780" s="547">
        <f t="shared" si="114"/>
        <v>1742</v>
      </c>
      <c r="D1780" s="652" t="s">
        <v>4698</v>
      </c>
      <c r="E1780" s="26">
        <v>0</v>
      </c>
    </row>
    <row r="1781" spans="2:5" x14ac:dyDescent="0.25">
      <c r="B1781" s="547">
        <f t="shared" si="114"/>
        <v>1743</v>
      </c>
      <c r="D1781" s="570" t="s">
        <v>3675</v>
      </c>
      <c r="E1781" s="26">
        <v>0.01</v>
      </c>
    </row>
    <row r="1782" spans="2:5" x14ac:dyDescent="0.25">
      <c r="B1782" s="547">
        <f t="shared" si="114"/>
        <v>1744</v>
      </c>
      <c r="D1782" s="624" t="s">
        <v>4699</v>
      </c>
      <c r="E1782" s="26">
        <v>0</v>
      </c>
    </row>
    <row r="1783" spans="2:5" x14ac:dyDescent="0.25">
      <c r="B1783" s="547">
        <f t="shared" si="114"/>
        <v>1745</v>
      </c>
      <c r="D1783" s="624" t="s">
        <v>4700</v>
      </c>
      <c r="E1783" s="26">
        <v>0</v>
      </c>
    </row>
    <row r="1784" spans="2:5" x14ac:dyDescent="0.25">
      <c r="B1784" s="547">
        <f t="shared" si="114"/>
        <v>1746</v>
      </c>
      <c r="D1784" s="570" t="s">
        <v>2988</v>
      </c>
      <c r="E1784" s="26">
        <v>0.01</v>
      </c>
    </row>
    <row r="1785" spans="2:5" x14ac:dyDescent="0.25">
      <c r="B1785" s="547">
        <f t="shared" si="114"/>
        <v>1747</v>
      </c>
      <c r="D1785" s="624" t="s">
        <v>2988</v>
      </c>
      <c r="E1785" s="26">
        <v>0</v>
      </c>
    </row>
    <row r="1786" spans="2:5" x14ac:dyDescent="0.25">
      <c r="B1786" s="547">
        <f t="shared" si="114"/>
        <v>1748</v>
      </c>
      <c r="D1786" s="570" t="s">
        <v>3679</v>
      </c>
    </row>
    <row r="1787" spans="2:5" x14ac:dyDescent="0.25">
      <c r="B1787" s="547">
        <f t="shared" si="114"/>
        <v>1749</v>
      </c>
      <c r="D1787" s="624" t="s">
        <v>4758</v>
      </c>
      <c r="E1787" s="26">
        <v>0</v>
      </c>
    </row>
    <row r="1788" spans="2:5" x14ac:dyDescent="0.25">
      <c r="B1788" s="547">
        <f t="shared" si="114"/>
        <v>1750</v>
      </c>
      <c r="D1788" s="624" t="s">
        <v>4759</v>
      </c>
      <c r="E1788" s="26">
        <v>0</v>
      </c>
    </row>
    <row r="1789" spans="2:5" x14ac:dyDescent="0.25">
      <c r="B1789" s="547">
        <f t="shared" si="114"/>
        <v>1751</v>
      </c>
      <c r="D1789" s="624" t="s">
        <v>4760</v>
      </c>
      <c r="E1789" s="26">
        <v>0</v>
      </c>
    </row>
    <row r="1790" spans="2:5" x14ac:dyDescent="0.25">
      <c r="B1790" s="547">
        <f t="shared" si="114"/>
        <v>1752</v>
      </c>
      <c r="D1790" s="624" t="s">
        <v>4761</v>
      </c>
      <c r="E1790" s="26">
        <v>0</v>
      </c>
    </row>
    <row r="1791" spans="2:5" x14ac:dyDescent="0.25">
      <c r="B1791" s="547">
        <f t="shared" si="114"/>
        <v>1753</v>
      </c>
      <c r="D1791" s="570" t="s">
        <v>2994</v>
      </c>
      <c r="E1791" s="26">
        <v>0.01</v>
      </c>
    </row>
    <row r="1792" spans="2:5" x14ac:dyDescent="0.25">
      <c r="B1792" s="547">
        <f t="shared" si="114"/>
        <v>1754</v>
      </c>
      <c r="D1792" s="624" t="s">
        <v>3290</v>
      </c>
      <c r="E1792" s="26">
        <v>0</v>
      </c>
    </row>
    <row r="1793" spans="2:5" x14ac:dyDescent="0.25">
      <c r="B1793" s="547">
        <f t="shared" si="114"/>
        <v>1755</v>
      </c>
      <c r="D1793" s="624" t="s">
        <v>3288</v>
      </c>
      <c r="E1793" s="26">
        <v>0</v>
      </c>
    </row>
    <row r="1794" spans="2:5" x14ac:dyDescent="0.25">
      <c r="B1794" s="547">
        <f t="shared" si="114"/>
        <v>1756</v>
      </c>
      <c r="D1794" s="570" t="s">
        <v>4131</v>
      </c>
      <c r="E1794" s="612">
        <f>99999.99+0.01</f>
        <v>100000</v>
      </c>
    </row>
    <row r="1795" spans="2:5" x14ac:dyDescent="0.25">
      <c r="B1795" s="547">
        <f t="shared" si="114"/>
        <v>1757</v>
      </c>
      <c r="D1795" s="624" t="s">
        <v>4701</v>
      </c>
      <c r="E1795" s="26">
        <v>0</v>
      </c>
    </row>
    <row r="1796" spans="2:5" x14ac:dyDescent="0.25">
      <c r="B1796" s="547">
        <f t="shared" si="114"/>
        <v>1758</v>
      </c>
      <c r="D1796" s="624" t="s">
        <v>4702</v>
      </c>
      <c r="E1796" s="26">
        <v>0</v>
      </c>
    </row>
    <row r="1797" spans="2:5" x14ac:dyDescent="0.25">
      <c r="B1797" s="547">
        <f t="shared" si="114"/>
        <v>1759</v>
      </c>
      <c r="D1797" s="624" t="s">
        <v>4703</v>
      </c>
      <c r="E1797" s="26">
        <v>0</v>
      </c>
    </row>
    <row r="1798" spans="2:5" x14ac:dyDescent="0.25">
      <c r="B1798" s="547">
        <f t="shared" si="114"/>
        <v>1760</v>
      </c>
      <c r="D1798" s="624" t="s">
        <v>4704</v>
      </c>
      <c r="E1798" s="26">
        <v>0</v>
      </c>
    </row>
    <row r="1799" spans="2:5" x14ac:dyDescent="0.25">
      <c r="B1799" s="547">
        <f t="shared" si="114"/>
        <v>1761</v>
      </c>
      <c r="D1799" s="624" t="s">
        <v>4705</v>
      </c>
      <c r="E1799" s="26">
        <v>0</v>
      </c>
    </row>
    <row r="1800" spans="2:5" x14ac:dyDescent="0.25">
      <c r="B1800" s="547">
        <f t="shared" si="114"/>
        <v>1762</v>
      </c>
      <c r="D1800" s="624" t="s">
        <v>4706</v>
      </c>
      <c r="E1800" s="26">
        <v>0</v>
      </c>
    </row>
    <row r="1801" spans="2:5" x14ac:dyDescent="0.25">
      <c r="B1801" s="547">
        <f t="shared" si="114"/>
        <v>1763</v>
      </c>
      <c r="D1801" s="624" t="s">
        <v>4576</v>
      </c>
      <c r="E1801" s="26">
        <v>0</v>
      </c>
    </row>
    <row r="1802" spans="2:5" x14ac:dyDescent="0.25">
      <c r="B1802" s="547">
        <f t="shared" si="114"/>
        <v>1764</v>
      </c>
      <c r="D1802" s="624" t="s">
        <v>4707</v>
      </c>
      <c r="E1802" s="26">
        <v>0</v>
      </c>
    </row>
    <row r="1803" spans="2:5" x14ac:dyDescent="0.25">
      <c r="B1803" s="547">
        <f t="shared" si="114"/>
        <v>1765</v>
      </c>
      <c r="D1803" s="624" t="s">
        <v>3457</v>
      </c>
      <c r="E1803" s="26">
        <v>0</v>
      </c>
    </row>
    <row r="1804" spans="2:5" x14ac:dyDescent="0.25">
      <c r="B1804" s="547">
        <f t="shared" si="114"/>
        <v>1766</v>
      </c>
      <c r="D1804" s="624" t="s">
        <v>4708</v>
      </c>
      <c r="E1804" s="26">
        <v>0</v>
      </c>
    </row>
    <row r="1805" spans="2:5" x14ac:dyDescent="0.25">
      <c r="B1805" s="547">
        <f t="shared" si="114"/>
        <v>1767</v>
      </c>
      <c r="D1805" s="624" t="s">
        <v>4709</v>
      </c>
      <c r="E1805" s="26">
        <v>0</v>
      </c>
    </row>
    <row r="1806" spans="2:5" x14ac:dyDescent="0.25">
      <c r="B1806" s="547">
        <f t="shared" si="114"/>
        <v>1768</v>
      </c>
      <c r="D1806" s="570" t="s">
        <v>4715</v>
      </c>
      <c r="E1806" s="26">
        <v>0.01</v>
      </c>
    </row>
    <row r="1807" spans="2:5" x14ac:dyDescent="0.25">
      <c r="B1807" s="547">
        <f t="shared" si="114"/>
        <v>1769</v>
      </c>
      <c r="D1807" s="570" t="s">
        <v>4716</v>
      </c>
      <c r="E1807" s="26">
        <v>0.01</v>
      </c>
    </row>
    <row r="1808" spans="2:5" x14ac:dyDescent="0.25">
      <c r="B1808" s="547">
        <f t="shared" si="114"/>
        <v>1770</v>
      </c>
      <c r="D1808" s="570" t="s">
        <v>3473</v>
      </c>
      <c r="E1808" s="26">
        <v>0.01</v>
      </c>
    </row>
    <row r="1809" spans="2:5" x14ac:dyDescent="0.25">
      <c r="B1809" s="547">
        <f t="shared" ref="B1809:B1872" si="115">B1808+1</f>
        <v>1771</v>
      </c>
      <c r="D1809" s="570" t="s">
        <v>4161</v>
      </c>
      <c r="E1809" s="26">
        <v>0.01</v>
      </c>
    </row>
    <row r="1810" spans="2:5" x14ac:dyDescent="0.25">
      <c r="B1810" s="547">
        <f t="shared" si="115"/>
        <v>1772</v>
      </c>
      <c r="D1810" s="570" t="s">
        <v>4165</v>
      </c>
      <c r="E1810" s="26">
        <f>89423.03+0.01</f>
        <v>89423.039999999994</v>
      </c>
    </row>
    <row r="1811" spans="2:5" x14ac:dyDescent="0.25">
      <c r="B1811" s="547">
        <f t="shared" si="115"/>
        <v>1773</v>
      </c>
      <c r="D1811" s="624" t="s">
        <v>4717</v>
      </c>
      <c r="E1811" s="26">
        <v>0</v>
      </c>
    </row>
    <row r="1812" spans="2:5" x14ac:dyDescent="0.25">
      <c r="B1812" s="547">
        <f t="shared" si="115"/>
        <v>1774</v>
      </c>
      <c r="D1812" s="624" t="s">
        <v>4718</v>
      </c>
      <c r="E1812" s="26">
        <v>0</v>
      </c>
    </row>
    <row r="1813" spans="2:5" x14ac:dyDescent="0.25">
      <c r="B1813" s="547">
        <f t="shared" si="115"/>
        <v>1775</v>
      </c>
      <c r="D1813" s="624" t="s">
        <v>4766</v>
      </c>
      <c r="E1813" s="26">
        <v>0</v>
      </c>
    </row>
    <row r="1814" spans="2:5" ht="15.75" x14ac:dyDescent="0.25">
      <c r="B1814" s="547">
        <f t="shared" si="115"/>
        <v>1776</v>
      </c>
      <c r="D1814" s="646" t="s">
        <v>4188</v>
      </c>
      <c r="E1814" s="26">
        <v>0.01</v>
      </c>
    </row>
    <row r="1815" spans="2:5" ht="15.75" x14ac:dyDescent="0.25">
      <c r="B1815" s="547">
        <f t="shared" si="115"/>
        <v>1777</v>
      </c>
      <c r="D1815" s="627" t="s">
        <v>3359</v>
      </c>
      <c r="E1815" s="26">
        <v>0.01</v>
      </c>
    </row>
    <row r="1816" spans="2:5" x14ac:dyDescent="0.25">
      <c r="B1816" s="547">
        <f t="shared" si="115"/>
        <v>1778</v>
      </c>
      <c r="D1816" s="570" t="s">
        <v>3149</v>
      </c>
      <c r="E1816" s="26">
        <v>0.01</v>
      </c>
    </row>
    <row r="1817" spans="2:5" x14ac:dyDescent="0.25">
      <c r="B1817" s="547">
        <f t="shared" si="115"/>
        <v>1779</v>
      </c>
      <c r="D1817" s="570" t="s">
        <v>3592</v>
      </c>
      <c r="E1817" s="26">
        <v>0.01</v>
      </c>
    </row>
    <row r="1818" spans="2:5" x14ac:dyDescent="0.25">
      <c r="B1818" s="547">
        <f t="shared" si="115"/>
        <v>1780</v>
      </c>
      <c r="D1818" s="624" t="s">
        <v>4850</v>
      </c>
      <c r="E1818" s="26">
        <v>0</v>
      </c>
    </row>
    <row r="1819" spans="2:5" x14ac:dyDescent="0.25">
      <c r="B1819" s="547">
        <f t="shared" si="115"/>
        <v>1781</v>
      </c>
      <c r="D1819" s="652" t="s">
        <v>3739</v>
      </c>
      <c r="E1819" s="26">
        <v>0</v>
      </c>
    </row>
    <row r="1820" spans="2:5" x14ac:dyDescent="0.25">
      <c r="B1820" s="547">
        <f t="shared" si="115"/>
        <v>1782</v>
      </c>
      <c r="D1820" s="570" t="s">
        <v>3057</v>
      </c>
      <c r="E1820" s="26">
        <v>0.01</v>
      </c>
    </row>
    <row r="1821" spans="2:5" x14ac:dyDescent="0.25">
      <c r="B1821" s="547">
        <f t="shared" si="115"/>
        <v>1783</v>
      </c>
      <c r="D1821" s="570" t="s">
        <v>3060</v>
      </c>
      <c r="E1821" s="26">
        <v>0.01</v>
      </c>
    </row>
    <row r="1822" spans="2:5" x14ac:dyDescent="0.25">
      <c r="B1822" s="547">
        <f t="shared" si="115"/>
        <v>1784</v>
      </c>
      <c r="D1822" s="570" t="s">
        <v>3514</v>
      </c>
      <c r="E1822" s="26">
        <v>0.01</v>
      </c>
    </row>
    <row r="1823" spans="2:5" x14ac:dyDescent="0.25">
      <c r="B1823" s="547">
        <f t="shared" si="115"/>
        <v>1785</v>
      </c>
      <c r="D1823" s="570" t="s">
        <v>4494</v>
      </c>
      <c r="E1823" s="26">
        <v>0.01</v>
      </c>
    </row>
    <row r="1824" spans="2:5" x14ac:dyDescent="0.25">
      <c r="B1824" s="547">
        <f t="shared" si="115"/>
        <v>1786</v>
      </c>
      <c r="D1824" s="570" t="s">
        <v>3152</v>
      </c>
      <c r="E1824" s="26">
        <v>0.01</v>
      </c>
    </row>
    <row r="1825" spans="2:7" x14ac:dyDescent="0.25">
      <c r="B1825" s="547">
        <f t="shared" si="115"/>
        <v>1787</v>
      </c>
      <c r="D1825" s="652" t="s">
        <v>4712</v>
      </c>
      <c r="E1825" s="26">
        <v>0</v>
      </c>
    </row>
    <row r="1826" spans="2:7" x14ac:dyDescent="0.25">
      <c r="B1826" s="547">
        <f t="shared" si="115"/>
        <v>1788</v>
      </c>
      <c r="D1826" s="634" t="s">
        <v>4767</v>
      </c>
      <c r="E1826" s="26">
        <v>0</v>
      </c>
    </row>
    <row r="1827" spans="2:7" x14ac:dyDescent="0.25">
      <c r="B1827" s="547">
        <f t="shared" si="115"/>
        <v>1789</v>
      </c>
      <c r="D1827" s="570" t="s">
        <v>3600</v>
      </c>
    </row>
    <row r="1828" spans="2:7" x14ac:dyDescent="0.25">
      <c r="B1828" s="547">
        <f t="shared" si="115"/>
        <v>1790</v>
      </c>
      <c r="C1828" s="579" t="s">
        <v>4765</v>
      </c>
      <c r="D1828" s="579" t="str">
        <f>DESPORC!D2112</f>
        <v>GESTAO E COORDENAÇÃO ESCOLAS MUNICIPAIS</v>
      </c>
      <c r="E1828" s="580"/>
      <c r="F1828" s="582"/>
      <c r="G1828" s="582"/>
    </row>
    <row r="1829" spans="2:7" ht="15.75" x14ac:dyDescent="0.25">
      <c r="B1829" s="547">
        <f t="shared" si="115"/>
        <v>1791</v>
      </c>
      <c r="D1829" s="625" t="s">
        <v>4202</v>
      </c>
      <c r="E1829" s="612">
        <f>SUM(E1830:E1834)</f>
        <v>8001</v>
      </c>
    </row>
    <row r="1830" spans="2:7" ht="15.75" x14ac:dyDescent="0.25">
      <c r="B1830" s="547">
        <f t="shared" si="115"/>
        <v>1792</v>
      </c>
      <c r="D1830" s="626" t="s">
        <v>3044</v>
      </c>
      <c r="E1830" s="26">
        <v>5000</v>
      </c>
    </row>
    <row r="1831" spans="2:7" ht="15.75" x14ac:dyDescent="0.25">
      <c r="B1831" s="547">
        <f t="shared" si="115"/>
        <v>1793</v>
      </c>
      <c r="D1831" s="626" t="s">
        <v>4762</v>
      </c>
      <c r="E1831" s="26">
        <v>1</v>
      </c>
    </row>
    <row r="1832" spans="2:7" ht="15.75" x14ac:dyDescent="0.25">
      <c r="B1832" s="547">
        <f t="shared" si="115"/>
        <v>1794</v>
      </c>
      <c r="D1832" s="626" t="s">
        <v>3355</v>
      </c>
      <c r="E1832" s="26">
        <v>1000</v>
      </c>
    </row>
    <row r="1833" spans="2:7" ht="15.75" x14ac:dyDescent="0.25">
      <c r="B1833" s="547">
        <f t="shared" si="115"/>
        <v>1795</v>
      </c>
      <c r="D1833" s="626" t="s">
        <v>3356</v>
      </c>
      <c r="E1833" s="26">
        <v>1000</v>
      </c>
    </row>
    <row r="1834" spans="2:7" ht="15.75" x14ac:dyDescent="0.25">
      <c r="B1834" s="547">
        <f t="shared" si="115"/>
        <v>1796</v>
      </c>
      <c r="D1834" s="626" t="s">
        <v>3357</v>
      </c>
      <c r="E1834" s="26">
        <v>1000</v>
      </c>
    </row>
    <row r="1835" spans="2:7" s="12" customFormat="1" ht="24.95" customHeight="1" x14ac:dyDescent="0.25">
      <c r="B1835" s="547">
        <f t="shared" si="115"/>
        <v>1797</v>
      </c>
      <c r="C1835" s="579" t="s">
        <v>4765</v>
      </c>
      <c r="D1835" s="579" t="str">
        <f>DESPORC!D2146</f>
        <v>GESTAO E COORDENAÇÃO ESCOLAS MUNICIPAIS</v>
      </c>
      <c r="E1835" s="582"/>
      <c r="F1835" s="579"/>
      <c r="G1835" s="579"/>
    </row>
    <row r="1836" spans="2:7" ht="24.95" customHeight="1" x14ac:dyDescent="0.25">
      <c r="B1836" s="547">
        <f t="shared" si="115"/>
        <v>1798</v>
      </c>
      <c r="D1836" s="624" t="s">
        <v>5105</v>
      </c>
      <c r="E1836" s="630">
        <v>0.01</v>
      </c>
    </row>
    <row r="1837" spans="2:7" ht="24.95" customHeight="1" x14ac:dyDescent="0.25">
      <c r="B1837" s="547">
        <f t="shared" si="115"/>
        <v>1799</v>
      </c>
      <c r="D1837" s="624" t="s">
        <v>5106</v>
      </c>
      <c r="E1837" s="630">
        <v>0.01</v>
      </c>
    </row>
    <row r="1838" spans="2:7" ht="24.95" customHeight="1" x14ac:dyDescent="0.25">
      <c r="B1838" s="547">
        <f t="shared" si="115"/>
        <v>1800</v>
      </c>
      <c r="D1838" s="688" t="s">
        <v>6150</v>
      </c>
      <c r="E1838" s="630">
        <v>0.01</v>
      </c>
    </row>
    <row r="1839" spans="2:7" ht="24.95" customHeight="1" x14ac:dyDescent="0.25">
      <c r="B1839" s="547">
        <f t="shared" si="115"/>
        <v>1801</v>
      </c>
      <c r="D1839" s="624" t="s">
        <v>5107</v>
      </c>
      <c r="E1839" s="630">
        <v>0.01</v>
      </c>
    </row>
    <row r="1840" spans="2:7" ht="24.95" customHeight="1" x14ac:dyDescent="0.25">
      <c r="B1840" s="547">
        <f t="shared" si="115"/>
        <v>1802</v>
      </c>
      <c r="D1840" s="688" t="s">
        <v>6151</v>
      </c>
      <c r="E1840" s="630">
        <v>0.01</v>
      </c>
    </row>
    <row r="1841" spans="2:7" ht="37.5" x14ac:dyDescent="0.25">
      <c r="B1841" s="547">
        <f t="shared" si="115"/>
        <v>1803</v>
      </c>
      <c r="D1841" s="1413" t="s">
        <v>4852</v>
      </c>
      <c r="E1841" s="26"/>
    </row>
    <row r="1842" spans="2:7" ht="18.75" x14ac:dyDescent="0.25">
      <c r="B1842" s="547">
        <f t="shared" si="115"/>
        <v>1804</v>
      </c>
      <c r="D1842" s="1413" t="s">
        <v>3600</v>
      </c>
      <c r="E1842" s="26"/>
    </row>
    <row r="1843" spans="2:7" x14ac:dyDescent="0.25">
      <c r="B1843" s="547">
        <f t="shared" si="115"/>
        <v>1805</v>
      </c>
      <c r="C1843" s="579" t="s">
        <v>4769</v>
      </c>
      <c r="D1843" s="579" t="str">
        <f>D1853</f>
        <v>PROMOÇÃO E DESENVOLVIMENTO DO ENSINO FUNDAMENTAL</v>
      </c>
      <c r="E1843" s="580"/>
      <c r="F1843" s="582"/>
      <c r="G1843" s="582"/>
    </row>
    <row r="1844" spans="2:7" ht="15.75" x14ac:dyDescent="0.25">
      <c r="B1844" s="547">
        <f t="shared" si="115"/>
        <v>1806</v>
      </c>
      <c r="D1844" s="626" t="s">
        <v>3044</v>
      </c>
      <c r="E1844" s="26">
        <v>5000</v>
      </c>
    </row>
    <row r="1845" spans="2:7" ht="15.75" x14ac:dyDescent="0.25">
      <c r="B1845" s="547">
        <f t="shared" si="115"/>
        <v>1807</v>
      </c>
      <c r="D1845" s="626" t="s">
        <v>3355</v>
      </c>
      <c r="E1845" s="26">
        <v>1000</v>
      </c>
    </row>
    <row r="1846" spans="2:7" ht="15.75" x14ac:dyDescent="0.25">
      <c r="B1846" s="547">
        <f t="shared" si="115"/>
        <v>1808</v>
      </c>
      <c r="D1846" s="626" t="s">
        <v>3356</v>
      </c>
      <c r="E1846" s="26">
        <v>1000</v>
      </c>
    </row>
    <row r="1847" spans="2:7" ht="15.75" x14ac:dyDescent="0.25">
      <c r="B1847" s="547">
        <f t="shared" si="115"/>
        <v>1809</v>
      </c>
      <c r="D1847" s="626" t="s">
        <v>3357</v>
      </c>
      <c r="E1847" s="26">
        <v>1000</v>
      </c>
    </row>
    <row r="1848" spans="2:7" s="12" customFormat="1" ht="24.95" customHeight="1" x14ac:dyDescent="0.25">
      <c r="B1848" s="547">
        <f t="shared" si="115"/>
        <v>1810</v>
      </c>
      <c r="C1848" s="579" t="s">
        <v>4769</v>
      </c>
      <c r="D1848" s="579" t="str">
        <f>DESPORC!D2160</f>
        <v>PROMOÇÃO E DESENVOLVIMENTO DO ENSINO FUNDAMENTAL</v>
      </c>
      <c r="E1848" s="582"/>
      <c r="F1848" s="579"/>
      <c r="G1848" s="579"/>
    </row>
    <row r="1849" spans="2:7" ht="24.95" customHeight="1" x14ac:dyDescent="0.25">
      <c r="B1849" s="547">
        <f t="shared" si="115"/>
        <v>1811</v>
      </c>
      <c r="D1849" s="624" t="s">
        <v>5105</v>
      </c>
      <c r="E1849" s="630">
        <v>0.01</v>
      </c>
    </row>
    <row r="1850" spans="2:7" ht="24.95" customHeight="1" x14ac:dyDescent="0.25">
      <c r="B1850" s="547">
        <f t="shared" si="115"/>
        <v>1812</v>
      </c>
      <c r="D1850" s="624" t="s">
        <v>5106</v>
      </c>
      <c r="E1850" s="630">
        <v>0.01</v>
      </c>
    </row>
    <row r="1851" spans="2:7" ht="24.95" customHeight="1" x14ac:dyDescent="0.25">
      <c r="B1851" s="547">
        <f t="shared" si="115"/>
        <v>1813</v>
      </c>
      <c r="D1851" s="624" t="s">
        <v>5107</v>
      </c>
      <c r="E1851" s="630">
        <v>0.01</v>
      </c>
    </row>
    <row r="1852" spans="2:7" ht="24.95" customHeight="1" x14ac:dyDescent="0.25">
      <c r="B1852" s="547">
        <f t="shared" si="115"/>
        <v>1814</v>
      </c>
      <c r="D1852" s="688" t="s">
        <v>6157</v>
      </c>
      <c r="E1852" s="630">
        <v>0.01</v>
      </c>
    </row>
    <row r="1853" spans="2:7" x14ac:dyDescent="0.25">
      <c r="B1853" s="547">
        <f t="shared" si="115"/>
        <v>1815</v>
      </c>
      <c r="C1853" s="579" t="s">
        <v>4769</v>
      </c>
      <c r="D1853" s="579" t="str">
        <f>DESPORC!D2169</f>
        <v>PROMOÇÃO E DESENVOLVIMENTO DO ENSINO FUNDAMENTAL</v>
      </c>
      <c r="E1853" s="580"/>
      <c r="F1853" s="582"/>
      <c r="G1853" s="582"/>
    </row>
    <row r="1854" spans="2:7" x14ac:dyDescent="0.25">
      <c r="B1854" s="547">
        <f t="shared" si="115"/>
        <v>1816</v>
      </c>
      <c r="D1854" s="570" t="s">
        <v>4791</v>
      </c>
      <c r="E1854" s="26"/>
    </row>
    <row r="1855" spans="2:7" x14ac:dyDescent="0.25">
      <c r="B1855" s="547">
        <f t="shared" si="115"/>
        <v>1817</v>
      </c>
      <c r="D1855" s="624" t="s">
        <v>4877</v>
      </c>
      <c r="E1855" s="26">
        <f>('FOPAG FUNDEB'!E280+'FOPAG FUNDEB'!E281+'FOPAG FUNDEB'!E282)*12+('FOPAG FUNDEB'!E283+'FOPAG FUNDEB'!E284)</f>
        <v>124168.79014383216</v>
      </c>
    </row>
    <row r="1856" spans="2:7" x14ac:dyDescent="0.25">
      <c r="B1856" s="547">
        <f t="shared" si="115"/>
        <v>1818</v>
      </c>
      <c r="D1856" s="624" t="s">
        <v>4853</v>
      </c>
      <c r="E1856" s="26">
        <f>SUM(E1855)*PUCFD!E$92</f>
        <v>26075.445930204751</v>
      </c>
    </row>
    <row r="1857" spans="2:5" x14ac:dyDescent="0.25">
      <c r="B1857" s="547">
        <f t="shared" si="115"/>
        <v>1819</v>
      </c>
      <c r="D1857" s="570" t="s">
        <v>4792</v>
      </c>
      <c r="E1857" s="25">
        <f>SUM(E1858:E1868)</f>
        <v>1584290.1290823012</v>
      </c>
    </row>
    <row r="1858" spans="2:5" x14ac:dyDescent="0.25">
      <c r="B1858" s="547">
        <f t="shared" si="115"/>
        <v>1820</v>
      </c>
      <c r="D1858" s="624" t="s">
        <v>4854</v>
      </c>
      <c r="E1858" s="26">
        <f>'FOPAG FUNDEB'!E288*12</f>
        <v>757167.17653453117</v>
      </c>
    </row>
    <row r="1859" spans="2:5" x14ac:dyDescent="0.25">
      <c r="B1859" s="547">
        <f t="shared" si="115"/>
        <v>1821</v>
      </c>
      <c r="D1859" s="624" t="s">
        <v>4863</v>
      </c>
      <c r="E1859" s="26">
        <f>'FOPAG FUNDEB'!E289*12</f>
        <v>117411.62545767409</v>
      </c>
    </row>
    <row r="1860" spans="2:5" x14ac:dyDescent="0.25">
      <c r="B1860" s="547">
        <f t="shared" si="115"/>
        <v>1822</v>
      </c>
      <c r="D1860" s="624" t="s">
        <v>4859</v>
      </c>
      <c r="E1860" s="26">
        <f>'FOPAG FUNDEB'!E290*12</f>
        <v>261449.58215527251</v>
      </c>
    </row>
    <row r="1861" spans="2:5" x14ac:dyDescent="0.25">
      <c r="B1861" s="547">
        <f t="shared" si="115"/>
        <v>1823</v>
      </c>
      <c r="D1861" s="624" t="s">
        <v>4855</v>
      </c>
      <c r="E1861" s="26">
        <f>'FOPAG FUNDEB'!E291*12</f>
        <v>110868.23141034899</v>
      </c>
    </row>
    <row r="1862" spans="2:5" x14ac:dyDescent="0.25">
      <c r="B1862" s="547">
        <f t="shared" si="115"/>
        <v>1824</v>
      </c>
      <c r="D1862" s="624" t="s">
        <v>4856</v>
      </c>
      <c r="E1862" s="26">
        <f>'FOPAG FUNDEB'!E292</f>
        <v>4491.6821183572301</v>
      </c>
    </row>
    <row r="1863" spans="2:5" x14ac:dyDescent="0.25">
      <c r="B1863" s="547">
        <f t="shared" si="115"/>
        <v>1825</v>
      </c>
      <c r="D1863" s="624" t="s">
        <v>4858</v>
      </c>
      <c r="E1863" s="26">
        <f>'FOPAG FUNDEB'!E293</f>
        <v>13475.046355071687</v>
      </c>
    </row>
    <row r="1864" spans="2:5" x14ac:dyDescent="0.25">
      <c r="B1864" s="547">
        <f t="shared" si="115"/>
        <v>1826</v>
      </c>
      <c r="D1864" s="624" t="s">
        <v>4857</v>
      </c>
      <c r="E1864" s="26">
        <f>'FOPAG FUNDEB'!E294*12</f>
        <v>32546.82865297774</v>
      </c>
    </row>
    <row r="1865" spans="2:5" x14ac:dyDescent="0.25">
      <c r="B1865" s="547">
        <f t="shared" si="115"/>
        <v>1827</v>
      </c>
      <c r="D1865" s="624" t="s">
        <v>4860</v>
      </c>
      <c r="E1865" s="26">
        <f>'FOPAG FUNDEB'!E298</f>
        <v>36386.37922996308</v>
      </c>
    </row>
    <row r="1866" spans="2:5" x14ac:dyDescent="0.25">
      <c r="B1866" s="547">
        <f t="shared" si="115"/>
        <v>1828</v>
      </c>
      <c r="D1866" s="624" t="s">
        <v>4861</v>
      </c>
      <c r="E1866" s="26">
        <f>'FOPAG FUNDEB'!E299</f>
        <v>109159.13768988922</v>
      </c>
    </row>
    <row r="1867" spans="2:5" x14ac:dyDescent="0.25">
      <c r="B1867" s="547">
        <f t="shared" si="115"/>
        <v>1829</v>
      </c>
      <c r="D1867" s="624" t="s">
        <v>4862</v>
      </c>
      <c r="E1867" s="26">
        <f>'FOPAG FUNDEB'!E295*12</f>
        <v>139946.9994782157</v>
      </c>
    </row>
    <row r="1868" spans="2:5" x14ac:dyDescent="0.25">
      <c r="B1868" s="547">
        <f t="shared" si="115"/>
        <v>1830</v>
      </c>
      <c r="D1868" s="624" t="s">
        <v>2783</v>
      </c>
      <c r="E1868" s="26">
        <f>'FOPAG FUNDEB'!E300*12</f>
        <v>1387.44</v>
      </c>
    </row>
    <row r="1869" spans="2:5" x14ac:dyDescent="0.25">
      <c r="B1869" s="547">
        <f t="shared" si="115"/>
        <v>1831</v>
      </c>
      <c r="D1869" s="570" t="s">
        <v>3666</v>
      </c>
      <c r="E1869" s="26">
        <v>0</v>
      </c>
    </row>
    <row r="1870" spans="2:5" x14ac:dyDescent="0.25">
      <c r="B1870" s="547">
        <f t="shared" si="115"/>
        <v>1832</v>
      </c>
      <c r="D1870" s="624" t="s">
        <v>4793</v>
      </c>
      <c r="E1870" s="26">
        <v>0</v>
      </c>
    </row>
    <row r="1871" spans="2:5" x14ac:dyDescent="0.25">
      <c r="B1871" s="547">
        <f t="shared" si="115"/>
        <v>1833</v>
      </c>
      <c r="D1871" s="624" t="s">
        <v>4794</v>
      </c>
      <c r="E1871" s="26">
        <v>0</v>
      </c>
    </row>
    <row r="1872" spans="2:5" x14ac:dyDescent="0.25">
      <c r="B1872" s="547">
        <f t="shared" si="115"/>
        <v>1834</v>
      </c>
      <c r="D1872" s="570" t="s">
        <v>3675</v>
      </c>
      <c r="E1872" s="26">
        <v>0.01</v>
      </c>
    </row>
    <row r="1873" spans="2:5" x14ac:dyDescent="0.25">
      <c r="B1873" s="547">
        <f t="shared" ref="B1873:B1936" si="116">B1872+1</f>
        <v>1835</v>
      </c>
      <c r="D1873" s="570" t="s">
        <v>2988</v>
      </c>
      <c r="E1873" s="26">
        <v>0.01</v>
      </c>
    </row>
    <row r="1874" spans="2:5" x14ac:dyDescent="0.25">
      <c r="B1874" s="547">
        <f t="shared" si="116"/>
        <v>1836</v>
      </c>
      <c r="D1874" s="570" t="s">
        <v>3679</v>
      </c>
      <c r="E1874" s="26"/>
    </row>
    <row r="1875" spans="2:5" x14ac:dyDescent="0.25">
      <c r="B1875" s="547">
        <f t="shared" si="116"/>
        <v>1837</v>
      </c>
      <c r="D1875" s="624" t="s">
        <v>4866</v>
      </c>
      <c r="E1875" s="26">
        <v>0.01</v>
      </c>
    </row>
    <row r="1876" spans="2:5" x14ac:dyDescent="0.25">
      <c r="B1876" s="547">
        <f t="shared" si="116"/>
        <v>1838</v>
      </c>
      <c r="D1876" s="624" t="s">
        <v>4864</v>
      </c>
      <c r="E1876" s="612">
        <v>0.01</v>
      </c>
    </row>
    <row r="1877" spans="2:5" x14ac:dyDescent="0.25">
      <c r="B1877" s="547">
        <f t="shared" si="116"/>
        <v>1839</v>
      </c>
      <c r="D1877" s="624" t="s">
        <v>4867</v>
      </c>
      <c r="E1877" s="26">
        <v>0.01</v>
      </c>
    </row>
    <row r="1878" spans="2:5" x14ac:dyDescent="0.25">
      <c r="B1878" s="547">
        <f t="shared" si="116"/>
        <v>1840</v>
      </c>
      <c r="D1878" s="624" t="s">
        <v>4865</v>
      </c>
      <c r="E1878" s="26">
        <v>0.01</v>
      </c>
    </row>
    <row r="1879" spans="2:5" x14ac:dyDescent="0.25">
      <c r="B1879" s="547">
        <f t="shared" si="116"/>
        <v>1841</v>
      </c>
      <c r="D1879" s="570" t="s">
        <v>2994</v>
      </c>
      <c r="E1879" s="26"/>
    </row>
    <row r="1880" spans="2:5" x14ac:dyDescent="0.25">
      <c r="B1880" s="547">
        <f t="shared" si="116"/>
        <v>1842</v>
      </c>
      <c r="D1880" s="624" t="s">
        <v>4795</v>
      </c>
      <c r="E1880" s="26">
        <v>1500</v>
      </c>
    </row>
    <row r="1881" spans="2:5" x14ac:dyDescent="0.25">
      <c r="B1881" s="547">
        <f t="shared" si="116"/>
        <v>1843</v>
      </c>
      <c r="D1881" s="570" t="s">
        <v>4131</v>
      </c>
      <c r="E1881" s="26">
        <v>10000</v>
      </c>
    </row>
    <row r="1882" spans="2:5" x14ac:dyDescent="0.25">
      <c r="B1882" s="547">
        <f t="shared" si="116"/>
        <v>1844</v>
      </c>
      <c r="D1882" s="570" t="s">
        <v>4796</v>
      </c>
      <c r="E1882" s="26">
        <f>7508.57/8*12</f>
        <v>11262.855</v>
      </c>
    </row>
    <row r="1883" spans="2:5" x14ac:dyDescent="0.25">
      <c r="B1883" s="547">
        <f t="shared" si="116"/>
        <v>1845</v>
      </c>
      <c r="D1883" s="624" t="s">
        <v>4797</v>
      </c>
      <c r="E1883" s="26">
        <v>0</v>
      </c>
    </row>
    <row r="1884" spans="2:5" x14ac:dyDescent="0.25">
      <c r="B1884" s="547">
        <f t="shared" si="116"/>
        <v>1846</v>
      </c>
      <c r="D1884" s="624" t="s">
        <v>4798</v>
      </c>
      <c r="E1884" s="26">
        <v>0</v>
      </c>
    </row>
    <row r="1885" spans="2:5" x14ac:dyDescent="0.25">
      <c r="B1885" s="547">
        <f t="shared" si="116"/>
        <v>1847</v>
      </c>
      <c r="D1885" s="570" t="s">
        <v>3718</v>
      </c>
      <c r="E1885" s="26">
        <v>0.02</v>
      </c>
    </row>
    <row r="1886" spans="2:5" x14ac:dyDescent="0.25">
      <c r="B1886" s="547">
        <f t="shared" si="116"/>
        <v>1848</v>
      </c>
      <c r="D1886" s="624" t="s">
        <v>4799</v>
      </c>
      <c r="E1886" s="26">
        <v>0.01</v>
      </c>
    </row>
    <row r="1887" spans="2:5" x14ac:dyDescent="0.25">
      <c r="B1887" s="547">
        <f t="shared" si="116"/>
        <v>1849</v>
      </c>
      <c r="D1887" s="624" t="s">
        <v>4800</v>
      </c>
      <c r="E1887" s="26">
        <v>0.01</v>
      </c>
    </row>
    <row r="1888" spans="2:5" x14ac:dyDescent="0.25">
      <c r="B1888" s="547">
        <f t="shared" si="116"/>
        <v>1850</v>
      </c>
      <c r="D1888" s="570" t="s">
        <v>3473</v>
      </c>
      <c r="E1888" s="26">
        <v>0.01</v>
      </c>
    </row>
    <row r="1889" spans="2:5" x14ac:dyDescent="0.25">
      <c r="B1889" s="547">
        <f t="shared" si="116"/>
        <v>1851</v>
      </c>
      <c r="D1889" s="570" t="s">
        <v>4161</v>
      </c>
      <c r="E1889" s="26">
        <v>0.01</v>
      </c>
    </row>
    <row r="1890" spans="2:5" x14ac:dyDescent="0.25">
      <c r="B1890" s="547">
        <f t="shared" si="116"/>
        <v>1852</v>
      </c>
      <c r="D1890" s="624" t="s">
        <v>3022</v>
      </c>
      <c r="E1890" s="26">
        <v>0.01</v>
      </c>
    </row>
    <row r="1891" spans="2:5" x14ac:dyDescent="0.25">
      <c r="B1891" s="547">
        <f t="shared" si="116"/>
        <v>1853</v>
      </c>
      <c r="D1891" s="570" t="s">
        <v>4165</v>
      </c>
      <c r="E1891" s="26">
        <v>5000</v>
      </c>
    </row>
    <row r="1892" spans="2:5" x14ac:dyDescent="0.25">
      <c r="B1892" s="547">
        <f t="shared" si="116"/>
        <v>1854</v>
      </c>
      <c r="D1892" s="570" t="s">
        <v>4188</v>
      </c>
      <c r="E1892" s="26">
        <f>82042.39/8*12</f>
        <v>123063.58499999999</v>
      </c>
    </row>
    <row r="1893" spans="2:5" x14ac:dyDescent="0.25">
      <c r="B1893" s="547">
        <f t="shared" si="116"/>
        <v>1855</v>
      </c>
      <c r="D1893" s="570" t="s">
        <v>4801</v>
      </c>
      <c r="E1893" s="26">
        <v>3</v>
      </c>
    </row>
    <row r="1894" spans="2:5" x14ac:dyDescent="0.25">
      <c r="B1894" s="547">
        <f t="shared" si="116"/>
        <v>1856</v>
      </c>
      <c r="D1894" s="624" t="s">
        <v>4802</v>
      </c>
      <c r="E1894" s="26">
        <v>1</v>
      </c>
    </row>
    <row r="1895" spans="2:5" x14ac:dyDescent="0.25">
      <c r="B1895" s="547">
        <f t="shared" si="116"/>
        <v>1857</v>
      </c>
      <c r="D1895" s="624" t="s">
        <v>4803</v>
      </c>
      <c r="E1895" s="26">
        <v>1</v>
      </c>
    </row>
    <row r="1896" spans="2:5" x14ac:dyDescent="0.25">
      <c r="B1896" s="547">
        <f t="shared" si="116"/>
        <v>1858</v>
      </c>
      <c r="D1896" s="624" t="s">
        <v>4804</v>
      </c>
      <c r="E1896" s="26">
        <v>1</v>
      </c>
    </row>
    <row r="1897" spans="2:5" x14ac:dyDescent="0.25">
      <c r="B1897" s="547">
        <f t="shared" si="116"/>
        <v>1859</v>
      </c>
      <c r="D1897" s="570" t="s">
        <v>3592</v>
      </c>
      <c r="E1897" s="26">
        <f>('FOPAG FUNDEB'!E297+'FOPAG FUNDEB'!E285)*12</f>
        <v>146374.51068355818</v>
      </c>
    </row>
    <row r="1898" spans="2:5" x14ac:dyDescent="0.25">
      <c r="B1898" s="547">
        <f t="shared" si="116"/>
        <v>1860</v>
      </c>
      <c r="D1898" s="624" t="s">
        <v>4868</v>
      </c>
      <c r="E1898" s="26">
        <v>0</v>
      </c>
    </row>
    <row r="1899" spans="2:5" x14ac:dyDescent="0.25">
      <c r="B1899" s="547">
        <f t="shared" si="116"/>
        <v>1861</v>
      </c>
      <c r="D1899" s="624" t="s">
        <v>4869</v>
      </c>
      <c r="E1899" s="26">
        <v>0</v>
      </c>
    </row>
    <row r="1900" spans="2:5" x14ac:dyDescent="0.25">
      <c r="B1900" s="547">
        <f t="shared" si="116"/>
        <v>1862</v>
      </c>
      <c r="D1900" s="570" t="s">
        <v>3742</v>
      </c>
      <c r="E1900" s="26">
        <v>0.01</v>
      </c>
    </row>
    <row r="1901" spans="2:5" x14ac:dyDescent="0.25">
      <c r="B1901" s="547">
        <f t="shared" si="116"/>
        <v>1863</v>
      </c>
      <c r="D1901" s="570" t="s">
        <v>3060</v>
      </c>
      <c r="E1901" s="26">
        <v>0.01</v>
      </c>
    </row>
    <row r="1902" spans="2:5" x14ac:dyDescent="0.25">
      <c r="B1902" s="547">
        <f t="shared" si="116"/>
        <v>1864</v>
      </c>
      <c r="D1902" s="570" t="s">
        <v>3514</v>
      </c>
      <c r="E1902" s="26">
        <v>0.01</v>
      </c>
    </row>
    <row r="1903" spans="2:5" x14ac:dyDescent="0.25">
      <c r="B1903" s="547">
        <f t="shared" si="116"/>
        <v>1865</v>
      </c>
      <c r="D1903" s="570" t="s">
        <v>4805</v>
      </c>
      <c r="E1903" s="26">
        <v>0.01</v>
      </c>
    </row>
    <row r="1904" spans="2:5" x14ac:dyDescent="0.25">
      <c r="B1904" s="547">
        <f t="shared" si="116"/>
        <v>1866</v>
      </c>
      <c r="D1904" s="570" t="s">
        <v>4494</v>
      </c>
      <c r="E1904" s="26">
        <v>0.01</v>
      </c>
    </row>
    <row r="1905" spans="2:7" x14ac:dyDescent="0.25">
      <c r="B1905" s="547">
        <f t="shared" si="116"/>
        <v>1867</v>
      </c>
      <c r="D1905" s="570" t="s">
        <v>3152</v>
      </c>
      <c r="E1905" s="26">
        <v>0.01</v>
      </c>
    </row>
    <row r="1906" spans="2:7" ht="37.5" x14ac:dyDescent="0.25">
      <c r="B1906" s="547">
        <f t="shared" si="116"/>
        <v>1868</v>
      </c>
      <c r="D1906" s="628" t="s">
        <v>4870</v>
      </c>
    </row>
    <row r="1907" spans="2:7" ht="18.75" x14ac:dyDescent="0.25">
      <c r="B1907" s="547">
        <f t="shared" si="116"/>
        <v>1869</v>
      </c>
      <c r="D1907" s="628" t="s">
        <v>3600</v>
      </c>
    </row>
    <row r="1908" spans="2:7" x14ac:dyDescent="0.25">
      <c r="B1908" s="547">
        <f t="shared" si="116"/>
        <v>1870</v>
      </c>
      <c r="C1908" s="579" t="s">
        <v>4771</v>
      </c>
      <c r="D1908" s="579" t="str">
        <f>DESPORC!D2198</f>
        <v>PROMOÇÃO E DESENVOLVIMENTO DA EDUCAÇÃO INFANTIL</v>
      </c>
      <c r="E1908" s="580"/>
      <c r="F1908" s="582"/>
      <c r="G1908" s="582"/>
    </row>
    <row r="1909" spans="2:7" ht="15.75" x14ac:dyDescent="0.25">
      <c r="B1909" s="547">
        <f t="shared" si="116"/>
        <v>1871</v>
      </c>
      <c r="D1909" s="626" t="s">
        <v>3044</v>
      </c>
      <c r="E1909" s="26">
        <v>0.01</v>
      </c>
    </row>
    <row r="1910" spans="2:7" ht="15.75" x14ac:dyDescent="0.25">
      <c r="B1910" s="547">
        <f t="shared" si="116"/>
        <v>1872</v>
      </c>
      <c r="D1910" s="626" t="s">
        <v>3355</v>
      </c>
      <c r="E1910" s="26">
        <v>0.01</v>
      </c>
    </row>
    <row r="1911" spans="2:7" ht="15.75" x14ac:dyDescent="0.25">
      <c r="B1911" s="547">
        <f t="shared" si="116"/>
        <v>1873</v>
      </c>
      <c r="D1911" s="626" t="s">
        <v>3356</v>
      </c>
      <c r="E1911" s="26">
        <v>0.01</v>
      </c>
    </row>
    <row r="1912" spans="2:7" ht="15.75" x14ac:dyDescent="0.25">
      <c r="B1912" s="547">
        <f t="shared" si="116"/>
        <v>1874</v>
      </c>
      <c r="D1912" s="626" t="s">
        <v>3357</v>
      </c>
      <c r="E1912" s="26">
        <v>0.01</v>
      </c>
    </row>
    <row r="1913" spans="2:7" ht="15.75" x14ac:dyDescent="0.25">
      <c r="B1913" s="547">
        <f t="shared" si="116"/>
        <v>1875</v>
      </c>
      <c r="D1913" s="625" t="s">
        <v>4825</v>
      </c>
    </row>
    <row r="1914" spans="2:7" x14ac:dyDescent="0.25">
      <c r="B1914" s="547">
        <f t="shared" si="116"/>
        <v>1876</v>
      </c>
      <c r="C1914" s="579" t="s">
        <v>4771</v>
      </c>
      <c r="D1914" s="579" t="str">
        <f>DESPORC!D2203</f>
        <v>PROMOÇÃO E DESENVOLVIMENTO DA EDUCAÇÃO INFANTIL</v>
      </c>
      <c r="E1914" s="580"/>
      <c r="F1914" s="582"/>
      <c r="G1914" s="582"/>
    </row>
    <row r="1915" spans="2:7" ht="24.95" customHeight="1" x14ac:dyDescent="0.25">
      <c r="B1915" s="547">
        <f t="shared" si="116"/>
        <v>1877</v>
      </c>
      <c r="D1915" s="624" t="s">
        <v>5105</v>
      </c>
      <c r="E1915" s="630">
        <v>0.01</v>
      </c>
    </row>
    <row r="1916" spans="2:7" ht="24.95" customHeight="1" x14ac:dyDescent="0.25">
      <c r="B1916" s="547">
        <f t="shared" si="116"/>
        <v>1878</v>
      </c>
      <c r="D1916" s="624" t="s">
        <v>5106</v>
      </c>
      <c r="E1916" s="630">
        <v>1.0999999999999999E-2</v>
      </c>
    </row>
    <row r="1917" spans="2:7" ht="24.95" customHeight="1" x14ac:dyDescent="0.25">
      <c r="B1917" s="547">
        <f t="shared" si="116"/>
        <v>1879</v>
      </c>
      <c r="D1917" s="688" t="s">
        <v>6185</v>
      </c>
      <c r="E1917" s="630">
        <v>0.01</v>
      </c>
    </row>
    <row r="1918" spans="2:7" ht="24.95" customHeight="1" x14ac:dyDescent="0.25">
      <c r="B1918" s="547">
        <f t="shared" si="116"/>
        <v>1880</v>
      </c>
      <c r="D1918" s="624" t="s">
        <v>5107</v>
      </c>
      <c r="E1918" s="630">
        <v>0.01</v>
      </c>
    </row>
    <row r="1919" spans="2:7" ht="24.95" customHeight="1" x14ac:dyDescent="0.25">
      <c r="B1919" s="547">
        <f t="shared" si="116"/>
        <v>1881</v>
      </c>
      <c r="D1919" s="688" t="s">
        <v>6187</v>
      </c>
      <c r="E1919" s="630">
        <v>0.01</v>
      </c>
    </row>
    <row r="1920" spans="2:7" x14ac:dyDescent="0.25">
      <c r="B1920" s="547">
        <f t="shared" si="116"/>
        <v>1882</v>
      </c>
      <c r="C1920" s="579" t="s">
        <v>4771</v>
      </c>
      <c r="D1920" s="579" t="str">
        <f>DESPORC!D2212</f>
        <v>PROMOÇÃO E DESENVOLVIMENTO DA EDUCAÇÃO INFANTIL</v>
      </c>
      <c r="E1920" s="580"/>
      <c r="F1920" s="582"/>
      <c r="G1920" s="582"/>
    </row>
    <row r="1921" spans="2:5" x14ac:dyDescent="0.25">
      <c r="B1921" s="547">
        <f t="shared" si="116"/>
        <v>1883</v>
      </c>
      <c r="D1921" s="570" t="s">
        <v>4791</v>
      </c>
    </row>
    <row r="1922" spans="2:5" x14ac:dyDescent="0.25">
      <c r="B1922" s="547">
        <f t="shared" si="116"/>
        <v>1884</v>
      </c>
      <c r="D1922" s="624" t="s">
        <v>4877</v>
      </c>
      <c r="E1922" s="26">
        <f>('FOPAG FUNDEB'!I280)*12+0.01</f>
        <v>0.01</v>
      </c>
    </row>
    <row r="1923" spans="2:5" x14ac:dyDescent="0.25">
      <c r="B1923" s="547">
        <f t="shared" si="116"/>
        <v>1885</v>
      </c>
      <c r="D1923" s="624" t="s">
        <v>4871</v>
      </c>
      <c r="E1923" s="26">
        <v>0.01</v>
      </c>
    </row>
    <row r="1924" spans="2:5" x14ac:dyDescent="0.25">
      <c r="B1924" s="547">
        <f t="shared" si="116"/>
        <v>1886</v>
      </c>
      <c r="D1924" s="570" t="s">
        <v>4792</v>
      </c>
      <c r="E1924" s="26"/>
    </row>
    <row r="1925" spans="2:5" x14ac:dyDescent="0.25">
      <c r="B1925" s="547">
        <f t="shared" si="116"/>
        <v>1887</v>
      </c>
      <c r="D1925" s="624" t="s">
        <v>4854</v>
      </c>
      <c r="E1925" s="26">
        <f>'FOPAG FUNDEB'!I288*12</f>
        <v>87041.261448860969</v>
      </c>
    </row>
    <row r="1926" spans="2:5" x14ac:dyDescent="0.25">
      <c r="B1926" s="547">
        <f t="shared" si="116"/>
        <v>1888</v>
      </c>
      <c r="D1926" s="624" t="s">
        <v>4863</v>
      </c>
      <c r="E1926" s="26">
        <f>'FOPAG FUNDEB'!I289*12</f>
        <v>28058.915051139022</v>
      </c>
    </row>
    <row r="1927" spans="2:5" x14ac:dyDescent="0.25">
      <c r="B1927" s="547">
        <f t="shared" si="116"/>
        <v>1889</v>
      </c>
      <c r="D1927" s="624" t="s">
        <v>4859</v>
      </c>
      <c r="E1927" s="26">
        <f>'FOPAG FUNDEB'!I290*12</f>
        <v>24933.607499222173</v>
      </c>
    </row>
    <row r="1928" spans="2:5" x14ac:dyDescent="0.25">
      <c r="B1928" s="547">
        <f t="shared" si="116"/>
        <v>1890</v>
      </c>
      <c r="D1928" s="624" t="s">
        <v>4855</v>
      </c>
      <c r="E1928" s="26">
        <f>'FOPAG FUNDEB'!I291*12</f>
        <v>8462.241709730999</v>
      </c>
    </row>
    <row r="1929" spans="2:5" x14ac:dyDescent="0.25">
      <c r="B1929" s="547">
        <f t="shared" si="116"/>
        <v>1891</v>
      </c>
      <c r="D1929" s="624" t="s">
        <v>4856</v>
      </c>
      <c r="E1929" s="26">
        <f>'FOPAG FUNDEB'!I292</f>
        <v>308.67796665621154</v>
      </c>
    </row>
    <row r="1930" spans="2:5" x14ac:dyDescent="0.25">
      <c r="B1930" s="547">
        <f t="shared" si="116"/>
        <v>1892</v>
      </c>
      <c r="D1930" s="624" t="s">
        <v>4858</v>
      </c>
      <c r="E1930" s="26">
        <f>'FOPAG FUNDEB'!I293</f>
        <v>926.03389996863461</v>
      </c>
    </row>
    <row r="1931" spans="2:5" x14ac:dyDescent="0.25">
      <c r="B1931" s="547">
        <f t="shared" si="116"/>
        <v>1893</v>
      </c>
      <c r="D1931" s="624" t="s">
        <v>4857</v>
      </c>
      <c r="E1931" s="26">
        <f>'FOPAG FUNDEB'!I294</f>
        <v>0</v>
      </c>
    </row>
    <row r="1932" spans="2:5" x14ac:dyDescent="0.25">
      <c r="B1932" s="547">
        <f t="shared" si="116"/>
        <v>1894</v>
      </c>
      <c r="D1932" s="624" t="s">
        <v>4860</v>
      </c>
      <c r="E1932" s="26">
        <f>'FOPAG FUNDEB'!I298</f>
        <v>4284.8372126897466</v>
      </c>
    </row>
    <row r="1933" spans="2:5" x14ac:dyDescent="0.25">
      <c r="B1933" s="547">
        <f t="shared" si="116"/>
        <v>1895</v>
      </c>
      <c r="D1933" s="624" t="s">
        <v>4861</v>
      </c>
      <c r="E1933" s="26">
        <f>'FOPAG FUNDEB'!I299</f>
        <v>12854.511638069242</v>
      </c>
    </row>
    <row r="1934" spans="2:5" x14ac:dyDescent="0.25">
      <c r="B1934" s="547">
        <f t="shared" si="116"/>
        <v>1896</v>
      </c>
      <c r="D1934" s="624" t="s">
        <v>4862</v>
      </c>
      <c r="E1934" s="26">
        <f>'FOPAG FUNDEB'!I295*12</f>
        <v>14220.355657608736</v>
      </c>
    </row>
    <row r="1935" spans="2:5" x14ac:dyDescent="0.25">
      <c r="B1935" s="547">
        <f t="shared" si="116"/>
        <v>1897</v>
      </c>
      <c r="D1935" s="624" t="s">
        <v>2783</v>
      </c>
      <c r="E1935" s="26">
        <f>'FOPAG FUNDEB'!I300</f>
        <v>0</v>
      </c>
    </row>
    <row r="1936" spans="2:5" x14ac:dyDescent="0.25">
      <c r="B1936" s="547">
        <f t="shared" si="116"/>
        <v>1898</v>
      </c>
      <c r="D1936" s="570" t="s">
        <v>3666</v>
      </c>
      <c r="E1936" s="26"/>
    </row>
    <row r="1937" spans="2:5" x14ac:dyDescent="0.25">
      <c r="B1937" s="547">
        <f t="shared" ref="B1937:B2000" si="117">B1936+1</f>
        <v>1899</v>
      </c>
      <c r="D1937" s="570" t="s">
        <v>3675</v>
      </c>
      <c r="E1937" s="26">
        <v>0.01</v>
      </c>
    </row>
    <row r="1938" spans="2:5" x14ac:dyDescent="0.25">
      <c r="B1938" s="547">
        <f t="shared" si="117"/>
        <v>1900</v>
      </c>
      <c r="D1938" s="570" t="s">
        <v>2988</v>
      </c>
      <c r="E1938" s="26">
        <v>0.01</v>
      </c>
    </row>
    <row r="1939" spans="2:5" x14ac:dyDescent="0.25">
      <c r="B1939" s="547">
        <f t="shared" si="117"/>
        <v>1901</v>
      </c>
      <c r="D1939" s="570" t="s">
        <v>3679</v>
      </c>
      <c r="E1939" s="26">
        <v>0.01</v>
      </c>
    </row>
    <row r="1940" spans="2:5" x14ac:dyDescent="0.25">
      <c r="B1940" s="547">
        <f t="shared" si="117"/>
        <v>1902</v>
      </c>
      <c r="D1940" s="570" t="s">
        <v>2994</v>
      </c>
      <c r="E1940" s="26">
        <v>0.01</v>
      </c>
    </row>
    <row r="1941" spans="2:5" x14ac:dyDescent="0.25">
      <c r="B1941" s="547">
        <f t="shared" si="117"/>
        <v>1903</v>
      </c>
      <c r="D1941" s="570" t="s">
        <v>4131</v>
      </c>
      <c r="E1941" s="26"/>
    </row>
    <row r="1942" spans="2:5" x14ac:dyDescent="0.25">
      <c r="B1942" s="547">
        <f t="shared" si="117"/>
        <v>1904</v>
      </c>
      <c r="D1942" s="624" t="s">
        <v>4807</v>
      </c>
      <c r="E1942" s="26">
        <v>0.01</v>
      </c>
    </row>
    <row r="1943" spans="2:5" x14ac:dyDescent="0.25">
      <c r="B1943" s="547">
        <f t="shared" si="117"/>
        <v>1905</v>
      </c>
      <c r="D1943" s="570" t="s">
        <v>4808</v>
      </c>
      <c r="E1943" s="26"/>
    </row>
    <row r="1944" spans="2:5" x14ac:dyDescent="0.25">
      <c r="B1944" s="547">
        <f t="shared" si="117"/>
        <v>1906</v>
      </c>
      <c r="D1944" s="624" t="s">
        <v>4809</v>
      </c>
      <c r="E1944" s="26">
        <v>0.01</v>
      </c>
    </row>
    <row r="1945" spans="2:5" x14ac:dyDescent="0.25">
      <c r="B1945" s="547">
        <f t="shared" si="117"/>
        <v>1907</v>
      </c>
      <c r="D1945" s="624" t="s">
        <v>4810</v>
      </c>
      <c r="E1945" s="26">
        <v>0.01</v>
      </c>
    </row>
    <row r="1946" spans="2:5" x14ac:dyDescent="0.25">
      <c r="B1946" s="547">
        <f t="shared" si="117"/>
        <v>1908</v>
      </c>
      <c r="D1946" s="570" t="s">
        <v>3718</v>
      </c>
      <c r="E1946" s="26">
        <v>0.01</v>
      </c>
    </row>
    <row r="1947" spans="2:5" x14ac:dyDescent="0.25">
      <c r="B1947" s="547">
        <f t="shared" si="117"/>
        <v>1909</v>
      </c>
      <c r="D1947" s="570" t="s">
        <v>3473</v>
      </c>
      <c r="E1947" s="26">
        <v>0.01</v>
      </c>
    </row>
    <row r="1948" spans="2:5" x14ac:dyDescent="0.25">
      <c r="B1948" s="547">
        <f t="shared" si="117"/>
        <v>1910</v>
      </c>
      <c r="D1948" s="570" t="s">
        <v>4161</v>
      </c>
      <c r="E1948" s="26">
        <v>1.0999999999999999E-2</v>
      </c>
    </row>
    <row r="1949" spans="2:5" x14ac:dyDescent="0.25">
      <c r="B1949" s="547">
        <f t="shared" si="117"/>
        <v>1911</v>
      </c>
      <c r="D1949" s="570" t="s">
        <v>4165</v>
      </c>
      <c r="E1949" s="26">
        <v>0.1</v>
      </c>
    </row>
    <row r="1950" spans="2:5" x14ac:dyDescent="0.25">
      <c r="B1950" s="547">
        <f t="shared" si="117"/>
        <v>1912</v>
      </c>
      <c r="D1950" s="570" t="s">
        <v>4188</v>
      </c>
      <c r="E1950" s="26">
        <f>11572.24/8*12</f>
        <v>17358.36</v>
      </c>
    </row>
    <row r="1951" spans="2:5" x14ac:dyDescent="0.25">
      <c r="B1951" s="547">
        <f t="shared" si="117"/>
        <v>1913</v>
      </c>
      <c r="D1951" s="570" t="s">
        <v>3736</v>
      </c>
      <c r="E1951" s="26">
        <v>0.01</v>
      </c>
    </row>
    <row r="1952" spans="2:5" x14ac:dyDescent="0.25">
      <c r="B1952" s="547">
        <f t="shared" si="117"/>
        <v>1914</v>
      </c>
      <c r="D1952" s="570" t="s">
        <v>4811</v>
      </c>
      <c r="E1952" s="26">
        <f>'FOPAG FUNDEB'!I297*12</f>
        <v>9949.7179451482552</v>
      </c>
    </row>
    <row r="1953" spans="2:7" x14ac:dyDescent="0.25">
      <c r="B1953" s="547">
        <f t="shared" si="117"/>
        <v>1915</v>
      </c>
      <c r="D1953" s="624" t="s">
        <v>4872</v>
      </c>
      <c r="E1953" s="26">
        <v>0</v>
      </c>
    </row>
    <row r="1954" spans="2:7" x14ac:dyDescent="0.25">
      <c r="B1954" s="547">
        <f t="shared" si="117"/>
        <v>1916</v>
      </c>
      <c r="D1954" s="624" t="s">
        <v>4873</v>
      </c>
      <c r="E1954" s="26">
        <v>0</v>
      </c>
    </row>
    <row r="1955" spans="2:7" x14ac:dyDescent="0.25">
      <c r="B1955" s="547">
        <f t="shared" si="117"/>
        <v>1917</v>
      </c>
      <c r="D1955" s="624" t="s">
        <v>4875</v>
      </c>
      <c r="E1955" s="26">
        <v>0</v>
      </c>
    </row>
    <row r="1956" spans="2:7" x14ac:dyDescent="0.25">
      <c r="B1956" s="547">
        <f t="shared" si="117"/>
        <v>1918</v>
      </c>
      <c r="D1956" s="624" t="s">
        <v>4874</v>
      </c>
      <c r="E1956" s="26">
        <v>0</v>
      </c>
    </row>
    <row r="1957" spans="2:7" x14ac:dyDescent="0.25">
      <c r="B1957" s="547">
        <f t="shared" si="117"/>
        <v>1919</v>
      </c>
      <c r="D1957" s="570" t="s">
        <v>3742</v>
      </c>
      <c r="E1957" s="26">
        <v>0.01</v>
      </c>
    </row>
    <row r="1958" spans="2:7" x14ac:dyDescent="0.25">
      <c r="B1958" s="547">
        <f t="shared" si="117"/>
        <v>1920</v>
      </c>
      <c r="D1958" s="570" t="s">
        <v>3060</v>
      </c>
      <c r="E1958" s="26">
        <v>0.01</v>
      </c>
    </row>
    <row r="1959" spans="2:7" x14ac:dyDescent="0.25">
      <c r="B1959" s="547">
        <f t="shared" si="117"/>
        <v>1921</v>
      </c>
      <c r="D1959" s="570" t="s">
        <v>3514</v>
      </c>
      <c r="E1959" s="26">
        <v>0.01</v>
      </c>
    </row>
    <row r="1960" spans="2:7" x14ac:dyDescent="0.25">
      <c r="B1960" s="547">
        <f t="shared" si="117"/>
        <v>1922</v>
      </c>
      <c r="D1960" s="570" t="s">
        <v>4494</v>
      </c>
      <c r="E1960" s="26">
        <v>0.01</v>
      </c>
    </row>
    <row r="1961" spans="2:7" x14ac:dyDescent="0.25">
      <c r="B1961" s="547">
        <f t="shared" si="117"/>
        <v>1923</v>
      </c>
      <c r="D1961" s="570" t="s">
        <v>3152</v>
      </c>
      <c r="E1961" s="26">
        <v>0.01</v>
      </c>
    </row>
    <row r="1962" spans="2:7" ht="37.5" x14ac:dyDescent="0.25">
      <c r="B1962" s="547">
        <f t="shared" si="117"/>
        <v>1924</v>
      </c>
      <c r="D1962" s="1413" t="s">
        <v>4870</v>
      </c>
      <c r="E1962" s="26"/>
    </row>
    <row r="1963" spans="2:7" ht="18.75" x14ac:dyDescent="0.25">
      <c r="B1963" s="547">
        <f t="shared" si="117"/>
        <v>1925</v>
      </c>
      <c r="D1963" s="628" t="s">
        <v>3600</v>
      </c>
    </row>
    <row r="1964" spans="2:7" x14ac:dyDescent="0.25">
      <c r="B1964" s="547">
        <f t="shared" si="117"/>
        <v>1926</v>
      </c>
      <c r="C1964" s="579" t="s">
        <v>5111</v>
      </c>
      <c r="D1964" s="579" t="str">
        <f>DESPORC!D2240</f>
        <v>PROMOÇÃO E DESENV. DA EDUCAÇÃO JOVENS E ADULTOS</v>
      </c>
      <c r="E1964" s="580"/>
      <c r="F1964" s="582"/>
      <c r="G1964" s="582"/>
    </row>
    <row r="1965" spans="2:7" ht="15.75" x14ac:dyDescent="0.25">
      <c r="B1965" s="547">
        <f t="shared" si="117"/>
        <v>1927</v>
      </c>
      <c r="D1965" s="660" t="s">
        <v>4202</v>
      </c>
      <c r="E1965" s="26">
        <v>0.01</v>
      </c>
    </row>
    <row r="1966" spans="2:7" ht="15.75" x14ac:dyDescent="0.25">
      <c r="B1966" s="547">
        <f t="shared" si="117"/>
        <v>1928</v>
      </c>
      <c r="D1966" s="655" t="s">
        <v>7816</v>
      </c>
      <c r="E1966" s="26"/>
    </row>
    <row r="1967" spans="2:7" s="12" customFormat="1" ht="24.95" customHeight="1" x14ac:dyDescent="0.25">
      <c r="B1967" s="547">
        <f t="shared" si="117"/>
        <v>1929</v>
      </c>
      <c r="C1967" s="579" t="s">
        <v>5111</v>
      </c>
      <c r="D1967" s="579" t="str">
        <f>DESPORC!D2245</f>
        <v>PROMOÇÃO E DESENV. DA EDUCAÇÃO JOVENS E ADULTOS</v>
      </c>
      <c r="E1967" s="582"/>
      <c r="F1967" s="579"/>
      <c r="G1967" s="579"/>
    </row>
    <row r="1968" spans="2:7" ht="24.95" customHeight="1" x14ac:dyDescent="0.25">
      <c r="B1968" s="547">
        <f t="shared" si="117"/>
        <v>1930</v>
      </c>
      <c r="D1968" s="624" t="s">
        <v>5105</v>
      </c>
      <c r="E1968" s="630">
        <v>0.01</v>
      </c>
    </row>
    <row r="1969" spans="2:7" ht="24.95" customHeight="1" x14ac:dyDescent="0.25">
      <c r="B1969" s="547">
        <f t="shared" si="117"/>
        <v>1931</v>
      </c>
      <c r="D1969" s="624" t="s">
        <v>5106</v>
      </c>
      <c r="E1969" s="630">
        <v>0.01</v>
      </c>
    </row>
    <row r="1970" spans="2:7" ht="24.95" customHeight="1" x14ac:dyDescent="0.25">
      <c r="B1970" s="547">
        <f t="shared" si="117"/>
        <v>1932</v>
      </c>
      <c r="D1970" s="688" t="s">
        <v>6213</v>
      </c>
      <c r="E1970" s="630">
        <v>0.01</v>
      </c>
    </row>
    <row r="1971" spans="2:7" ht="24.95" customHeight="1" x14ac:dyDescent="0.25">
      <c r="B1971" s="547">
        <f t="shared" si="117"/>
        <v>1933</v>
      </c>
      <c r="D1971" s="624" t="s">
        <v>5107</v>
      </c>
      <c r="E1971" s="630">
        <v>0.01</v>
      </c>
    </row>
    <row r="1972" spans="2:7" ht="24.95" customHeight="1" x14ac:dyDescent="0.25">
      <c r="B1972" s="547">
        <f t="shared" si="117"/>
        <v>1934</v>
      </c>
      <c r="D1972" s="688" t="s">
        <v>6215</v>
      </c>
      <c r="E1972" s="630">
        <v>0.01</v>
      </c>
    </row>
    <row r="1973" spans="2:7" x14ac:dyDescent="0.25">
      <c r="B1973" s="547">
        <f t="shared" si="117"/>
        <v>1935</v>
      </c>
      <c r="C1973" s="579" t="s">
        <v>5111</v>
      </c>
      <c r="D1973" s="579" t="str">
        <f>DESPORC!D2254</f>
        <v>PROMOÇÃO E DESENV. DA EDUCAÇÃO JOVENS E ADULTOS</v>
      </c>
      <c r="E1973" s="580"/>
      <c r="F1973" s="582"/>
      <c r="G1973" s="582"/>
    </row>
    <row r="1974" spans="2:7" x14ac:dyDescent="0.25">
      <c r="B1974" s="547">
        <f t="shared" si="117"/>
        <v>1936</v>
      </c>
      <c r="D1974" s="570" t="s">
        <v>4791</v>
      </c>
      <c r="E1974" s="26"/>
    </row>
    <row r="1975" spans="2:7" x14ac:dyDescent="0.25">
      <c r="B1975" s="547">
        <f t="shared" si="117"/>
        <v>1937</v>
      </c>
      <c r="D1975" s="624" t="s">
        <v>4877</v>
      </c>
      <c r="E1975" s="26">
        <v>0.01</v>
      </c>
    </row>
    <row r="1976" spans="2:7" x14ac:dyDescent="0.25">
      <c r="B1976" s="547">
        <f t="shared" si="117"/>
        <v>1938</v>
      </c>
      <c r="D1976" s="624" t="s">
        <v>4876</v>
      </c>
      <c r="E1976" s="26">
        <v>0.01</v>
      </c>
    </row>
    <row r="1977" spans="2:7" x14ac:dyDescent="0.25">
      <c r="B1977" s="547">
        <f t="shared" si="117"/>
        <v>1939</v>
      </c>
      <c r="D1977" s="570" t="s">
        <v>4792</v>
      </c>
      <c r="E1977" s="26"/>
    </row>
    <row r="1978" spans="2:7" x14ac:dyDescent="0.25">
      <c r="B1978" s="547">
        <f t="shared" si="117"/>
        <v>1940</v>
      </c>
      <c r="D1978" s="624" t="s">
        <v>4854</v>
      </c>
      <c r="E1978" s="26">
        <f>'FOPAG FUNDEB'!E313*12</f>
        <v>72270.117367894156</v>
      </c>
    </row>
    <row r="1979" spans="2:7" x14ac:dyDescent="0.25">
      <c r="B1979" s="547">
        <f t="shared" si="117"/>
        <v>1941</v>
      </c>
      <c r="D1979" s="624" t="s">
        <v>4863</v>
      </c>
      <c r="E1979" s="26">
        <f>'FOPAG FUNDEB'!E314*12</f>
        <v>15973.351282105838</v>
      </c>
    </row>
    <row r="1980" spans="2:7" x14ac:dyDescent="0.25">
      <c r="B1980" s="547">
        <f t="shared" si="117"/>
        <v>1942</v>
      </c>
      <c r="D1980" s="624" t="s">
        <v>4859</v>
      </c>
      <c r="E1980" s="26">
        <f>'FOPAG FUNDEB'!E315*12</f>
        <v>23249.460684303231</v>
      </c>
    </row>
    <row r="1981" spans="2:7" x14ac:dyDescent="0.25">
      <c r="B1981" s="547">
        <f t="shared" si="117"/>
        <v>1943</v>
      </c>
      <c r="D1981" s="624" t="s">
        <v>4855</v>
      </c>
      <c r="E1981" s="26">
        <f>'FOPAG FUNDEB'!E316*12</f>
        <v>88243.468649999995</v>
      </c>
    </row>
    <row r="1982" spans="2:7" x14ac:dyDescent="0.25">
      <c r="B1982" s="547">
        <f t="shared" si="117"/>
        <v>1944</v>
      </c>
      <c r="D1982" s="624" t="s">
        <v>4856</v>
      </c>
      <c r="E1982" s="26">
        <f>'FOPAG FUNDEB'!E317</f>
        <v>502.64079897615125</v>
      </c>
    </row>
    <row r="1983" spans="2:7" x14ac:dyDescent="0.25">
      <c r="B1983" s="547">
        <f t="shared" si="117"/>
        <v>1945</v>
      </c>
      <c r="D1983" s="624" t="s">
        <v>4858</v>
      </c>
      <c r="E1983" s="26">
        <f>'FOPAG FUNDEB'!E318</f>
        <v>1507.9223969284535</v>
      </c>
    </row>
    <row r="1984" spans="2:7" x14ac:dyDescent="0.25">
      <c r="B1984" s="547">
        <f t="shared" si="117"/>
        <v>1946</v>
      </c>
      <c r="D1984" s="624" t="s">
        <v>4857</v>
      </c>
      <c r="E1984" s="26">
        <f>'FOPAG FUNDEB'!E319</f>
        <v>0</v>
      </c>
    </row>
    <row r="1985" spans="2:5" x14ac:dyDescent="0.25">
      <c r="B1985" s="547">
        <f t="shared" si="117"/>
        <v>1947</v>
      </c>
      <c r="D1985" s="624" t="s">
        <v>4860</v>
      </c>
      <c r="E1985" s="26">
        <f>'FOPAG FUNDEB'!E323</f>
        <v>3097.0258148417561</v>
      </c>
    </row>
    <row r="1986" spans="2:5" x14ac:dyDescent="0.25">
      <c r="B1986" s="547">
        <f t="shared" si="117"/>
        <v>1948</v>
      </c>
      <c r="D1986" s="624" t="s">
        <v>4861</v>
      </c>
      <c r="E1986" s="26">
        <f>'FOPAG FUNDEB'!E324</f>
        <v>9291.0774445252682</v>
      </c>
    </row>
    <row r="1987" spans="2:5" x14ac:dyDescent="0.25">
      <c r="B1987" s="547">
        <f t="shared" si="117"/>
        <v>1949</v>
      </c>
      <c r="D1987" s="624" t="s">
        <v>4862</v>
      </c>
      <c r="E1987" s="26">
        <f>'FOPAG FUNDEB'!E320</f>
        <v>0</v>
      </c>
    </row>
    <row r="1988" spans="2:5" x14ac:dyDescent="0.25">
      <c r="B1988" s="547">
        <f t="shared" si="117"/>
        <v>1950</v>
      </c>
      <c r="D1988" s="624" t="s">
        <v>2783</v>
      </c>
      <c r="E1988" s="26">
        <f>'FOPAG FUNDEB'!E325*12</f>
        <v>241.07999999999998</v>
      </c>
    </row>
    <row r="1989" spans="2:5" x14ac:dyDescent="0.25">
      <c r="B1989" s="547">
        <f t="shared" si="117"/>
        <v>1951</v>
      </c>
      <c r="D1989" s="570" t="s">
        <v>3666</v>
      </c>
      <c r="E1989" s="26"/>
    </row>
    <row r="1990" spans="2:5" x14ac:dyDescent="0.25">
      <c r="B1990" s="547">
        <f t="shared" si="117"/>
        <v>1952</v>
      </c>
      <c r="D1990" s="624" t="s">
        <v>4878</v>
      </c>
      <c r="E1990" s="26">
        <v>0</v>
      </c>
    </row>
    <row r="1991" spans="2:5" x14ac:dyDescent="0.25">
      <c r="B1991" s="547">
        <f t="shared" si="117"/>
        <v>1953</v>
      </c>
      <c r="D1991" s="570" t="s">
        <v>3675</v>
      </c>
      <c r="E1991" s="26">
        <v>0.01</v>
      </c>
    </row>
    <row r="1992" spans="2:5" x14ac:dyDescent="0.25">
      <c r="B1992" s="547">
        <f t="shared" si="117"/>
        <v>1954</v>
      </c>
      <c r="D1992" s="570" t="s">
        <v>2988</v>
      </c>
      <c r="E1992" s="26">
        <v>0.01</v>
      </c>
    </row>
    <row r="1993" spans="2:5" x14ac:dyDescent="0.25">
      <c r="B1993" s="547">
        <f t="shared" si="117"/>
        <v>1955</v>
      </c>
      <c r="D1993" s="570" t="s">
        <v>3679</v>
      </c>
      <c r="E1993" s="26">
        <v>0.01</v>
      </c>
    </row>
    <row r="1994" spans="2:5" x14ac:dyDescent="0.25">
      <c r="B1994" s="547">
        <f t="shared" si="117"/>
        <v>1956</v>
      </c>
      <c r="D1994" s="570" t="s">
        <v>2994</v>
      </c>
      <c r="E1994" s="26">
        <v>0.01</v>
      </c>
    </row>
    <row r="1995" spans="2:5" x14ac:dyDescent="0.25">
      <c r="B1995" s="547">
        <f t="shared" si="117"/>
        <v>1957</v>
      </c>
      <c r="D1995" s="570" t="s">
        <v>4131</v>
      </c>
      <c r="E1995" s="26">
        <v>1.0999999999999999E-2</v>
      </c>
    </row>
    <row r="1996" spans="2:5" x14ac:dyDescent="0.25">
      <c r="B1996" s="547">
        <f t="shared" si="117"/>
        <v>1958</v>
      </c>
      <c r="D1996" s="570" t="s">
        <v>4808</v>
      </c>
      <c r="E1996" s="26"/>
    </row>
    <row r="1997" spans="2:5" x14ac:dyDescent="0.25">
      <c r="B1997" s="547">
        <f t="shared" si="117"/>
        <v>1959</v>
      </c>
      <c r="D1997" s="624" t="s">
        <v>4879</v>
      </c>
      <c r="E1997" s="26">
        <v>0.01</v>
      </c>
    </row>
    <row r="1998" spans="2:5" x14ac:dyDescent="0.25">
      <c r="B1998" s="547">
        <f t="shared" si="117"/>
        <v>1960</v>
      </c>
      <c r="D1998" s="570" t="s">
        <v>3718</v>
      </c>
      <c r="E1998" s="26">
        <v>0.01</v>
      </c>
    </row>
    <row r="1999" spans="2:5" x14ac:dyDescent="0.25">
      <c r="B1999" s="547">
        <f t="shared" si="117"/>
        <v>1961</v>
      </c>
      <c r="D1999" s="570" t="s">
        <v>3473</v>
      </c>
      <c r="E1999" s="26">
        <v>0.01</v>
      </c>
    </row>
    <row r="2000" spans="2:5" x14ac:dyDescent="0.25">
      <c r="B2000" s="547">
        <f t="shared" si="117"/>
        <v>1962</v>
      </c>
      <c r="D2000" s="570" t="s">
        <v>4161</v>
      </c>
      <c r="E2000" s="26">
        <v>0.01</v>
      </c>
    </row>
    <row r="2001" spans="2:7" x14ac:dyDescent="0.25">
      <c r="B2001" s="547">
        <f t="shared" ref="B2001:B2064" si="118">B2000+1</f>
        <v>1963</v>
      </c>
      <c r="D2001" s="570" t="s">
        <v>4165</v>
      </c>
      <c r="E2001" s="26">
        <v>0.01</v>
      </c>
    </row>
    <row r="2002" spans="2:7" x14ac:dyDescent="0.25">
      <c r="B2002" s="547">
        <f t="shared" si="118"/>
        <v>1964</v>
      </c>
      <c r="D2002" s="570" t="s">
        <v>3049</v>
      </c>
      <c r="E2002" s="26">
        <f>4045.28/8*12</f>
        <v>6067.92</v>
      </c>
    </row>
    <row r="2003" spans="2:7" x14ac:dyDescent="0.25">
      <c r="B2003" s="547">
        <f t="shared" si="118"/>
        <v>1965</v>
      </c>
      <c r="D2003" s="570" t="s">
        <v>4828</v>
      </c>
      <c r="E2003" s="26">
        <v>0.01</v>
      </c>
    </row>
    <row r="2004" spans="2:7" x14ac:dyDescent="0.25">
      <c r="B2004" s="547">
        <f t="shared" si="118"/>
        <v>1966</v>
      </c>
      <c r="D2004" s="570" t="s">
        <v>4483</v>
      </c>
      <c r="E2004" s="26"/>
    </row>
    <row r="2005" spans="2:7" x14ac:dyDescent="0.25">
      <c r="B2005" s="547">
        <f t="shared" si="118"/>
        <v>1967</v>
      </c>
      <c r="D2005" s="624" t="s">
        <v>4880</v>
      </c>
      <c r="E2005" s="26">
        <f>'FOPAG FUNDEB'!E322*12</f>
        <v>4605.6000000000004</v>
      </c>
    </row>
    <row r="2006" spans="2:7" x14ac:dyDescent="0.25">
      <c r="B2006" s="547">
        <f t="shared" si="118"/>
        <v>1968</v>
      </c>
      <c r="D2006" s="624" t="s">
        <v>4881</v>
      </c>
      <c r="E2006" s="26">
        <v>0</v>
      </c>
    </row>
    <row r="2007" spans="2:7" x14ac:dyDescent="0.25">
      <c r="B2007" s="547">
        <f t="shared" si="118"/>
        <v>1969</v>
      </c>
      <c r="D2007" s="570" t="s">
        <v>3742</v>
      </c>
      <c r="E2007" s="26">
        <v>0.01</v>
      </c>
    </row>
    <row r="2008" spans="2:7" x14ac:dyDescent="0.25">
      <c r="B2008" s="547">
        <f t="shared" si="118"/>
        <v>1970</v>
      </c>
      <c r="D2008" s="570" t="s">
        <v>3060</v>
      </c>
      <c r="E2008" s="26">
        <v>0.01</v>
      </c>
    </row>
    <row r="2009" spans="2:7" x14ac:dyDescent="0.25">
      <c r="B2009" s="547">
        <f t="shared" si="118"/>
        <v>1971</v>
      </c>
      <c r="D2009" s="570" t="s">
        <v>3514</v>
      </c>
      <c r="E2009" s="26">
        <v>0.01</v>
      </c>
    </row>
    <row r="2010" spans="2:7" x14ac:dyDescent="0.25">
      <c r="B2010" s="547">
        <f t="shared" si="118"/>
        <v>1972</v>
      </c>
      <c r="D2010" s="570" t="s">
        <v>4494</v>
      </c>
      <c r="E2010" s="26">
        <v>0.01</v>
      </c>
    </row>
    <row r="2011" spans="2:7" x14ac:dyDescent="0.25">
      <c r="B2011" s="547">
        <f t="shared" si="118"/>
        <v>1973</v>
      </c>
      <c r="D2011" s="570" t="s">
        <v>3152</v>
      </c>
      <c r="E2011" s="26">
        <v>0.01</v>
      </c>
    </row>
    <row r="2012" spans="2:7" ht="37.5" x14ac:dyDescent="0.25">
      <c r="B2012" s="547">
        <f t="shared" si="118"/>
        <v>1974</v>
      </c>
      <c r="D2012" s="1413" t="s">
        <v>4882</v>
      </c>
      <c r="E2012" s="26"/>
    </row>
    <row r="2013" spans="2:7" ht="18.75" x14ac:dyDescent="0.25">
      <c r="B2013" s="547">
        <f t="shared" si="118"/>
        <v>1975</v>
      </c>
      <c r="D2013" s="628" t="s">
        <v>3600</v>
      </c>
    </row>
    <row r="2014" spans="2:7" x14ac:dyDescent="0.25">
      <c r="B2014" s="547">
        <f t="shared" si="118"/>
        <v>1976</v>
      </c>
      <c r="C2014" s="579" t="s">
        <v>5110</v>
      </c>
      <c r="D2014" s="579" t="str">
        <f>DESPORC!D2282</f>
        <v>PROMOÇÃO E DESENVOLVIMENTO DA EDUCAÇÃO ESPECIAL</v>
      </c>
      <c r="E2014" s="580"/>
      <c r="F2014" s="582"/>
      <c r="G2014" s="582"/>
    </row>
    <row r="2015" spans="2:7" ht="15.75" x14ac:dyDescent="0.25">
      <c r="B2015" s="547">
        <f t="shared" si="118"/>
        <v>1977</v>
      </c>
      <c r="D2015" s="625" t="s">
        <v>4202</v>
      </c>
      <c r="E2015" s="26">
        <v>0.01</v>
      </c>
    </row>
    <row r="2016" spans="2:7" s="12" customFormat="1" ht="24.95" customHeight="1" x14ac:dyDescent="0.25">
      <c r="B2016" s="547">
        <f t="shared" si="118"/>
        <v>1978</v>
      </c>
      <c r="C2016" s="579" t="s">
        <v>5110</v>
      </c>
      <c r="D2016" s="579" t="str">
        <f>DESPORC!D2287</f>
        <v>PROMOÇÃO E DESENVOLVIMENTO DA EDUCAÇÃO ESPECIAL</v>
      </c>
      <c r="E2016" s="582"/>
      <c r="F2016" s="579"/>
      <c r="G2016" s="579"/>
    </row>
    <row r="2017" spans="2:7" ht="24.95" customHeight="1" x14ac:dyDescent="0.25">
      <c r="B2017" s="547">
        <f t="shared" si="118"/>
        <v>1979</v>
      </c>
      <c r="D2017" s="624" t="s">
        <v>5105</v>
      </c>
      <c r="E2017" s="630">
        <v>0.01</v>
      </c>
    </row>
    <row r="2018" spans="2:7" ht="24.95" customHeight="1" x14ac:dyDescent="0.25">
      <c r="B2018" s="547">
        <f t="shared" si="118"/>
        <v>1980</v>
      </c>
      <c r="D2018" s="624" t="s">
        <v>5106</v>
      </c>
      <c r="E2018" s="630">
        <v>0.01</v>
      </c>
    </row>
    <row r="2019" spans="2:7" ht="24.95" customHeight="1" x14ac:dyDescent="0.25">
      <c r="B2019" s="547">
        <f t="shared" si="118"/>
        <v>1981</v>
      </c>
      <c r="D2019" s="688" t="s">
        <v>6244</v>
      </c>
      <c r="E2019" s="630">
        <v>0.01</v>
      </c>
    </row>
    <row r="2020" spans="2:7" ht="24.95" customHeight="1" x14ac:dyDescent="0.25">
      <c r="B2020" s="547">
        <f t="shared" si="118"/>
        <v>1982</v>
      </c>
      <c r="D2020" s="624" t="s">
        <v>5107</v>
      </c>
      <c r="E2020" s="630">
        <v>0.01</v>
      </c>
    </row>
    <row r="2021" spans="2:7" ht="24.95" customHeight="1" x14ac:dyDescent="0.25">
      <c r="B2021" s="547">
        <f t="shared" si="118"/>
        <v>1983</v>
      </c>
      <c r="D2021" s="688" t="s">
        <v>6243</v>
      </c>
      <c r="E2021" s="630">
        <v>0.01</v>
      </c>
    </row>
    <row r="2022" spans="2:7" x14ac:dyDescent="0.25">
      <c r="B2022" s="547">
        <f t="shared" si="118"/>
        <v>1984</v>
      </c>
      <c r="C2022" s="579" t="s">
        <v>4826</v>
      </c>
      <c r="D2022" s="579" t="str">
        <f>DESPORC!D2296</f>
        <v>PROMOÇÃO E DESENVOLVIMENTO DA EDUCAÇÃO ESPECIAL</v>
      </c>
      <c r="E2022" s="580"/>
      <c r="F2022" s="582"/>
      <c r="G2022" s="582"/>
    </row>
    <row r="2023" spans="2:7" x14ac:dyDescent="0.25">
      <c r="B2023" s="547">
        <f t="shared" si="118"/>
        <v>1985</v>
      </c>
      <c r="D2023" s="570" t="s">
        <v>4791</v>
      </c>
      <c r="E2023" s="26"/>
    </row>
    <row r="2024" spans="2:7" x14ac:dyDescent="0.25">
      <c r="B2024" s="547">
        <f t="shared" si="118"/>
        <v>1986</v>
      </c>
      <c r="D2024" s="624" t="s">
        <v>4877</v>
      </c>
      <c r="E2024" s="26">
        <v>0.01</v>
      </c>
    </row>
    <row r="2025" spans="2:7" x14ac:dyDescent="0.25">
      <c r="B2025" s="547">
        <f t="shared" si="118"/>
        <v>1987</v>
      </c>
      <c r="D2025" s="624" t="s">
        <v>4876</v>
      </c>
      <c r="E2025" s="26">
        <v>0.01</v>
      </c>
    </row>
    <row r="2026" spans="2:7" x14ac:dyDescent="0.25">
      <c r="B2026" s="547">
        <f t="shared" si="118"/>
        <v>1988</v>
      </c>
      <c r="D2026" s="570" t="s">
        <v>4792</v>
      </c>
      <c r="E2026" s="26"/>
    </row>
    <row r="2027" spans="2:7" x14ac:dyDescent="0.25">
      <c r="B2027" s="547">
        <f t="shared" si="118"/>
        <v>1989</v>
      </c>
      <c r="D2027" s="624" t="s">
        <v>4854</v>
      </c>
      <c r="E2027" s="26">
        <f>'FOPAG FUNDEB'!E339*12</f>
        <v>30293.36328469466</v>
      </c>
    </row>
    <row r="2028" spans="2:7" x14ac:dyDescent="0.25">
      <c r="B2028" s="547">
        <f t="shared" si="118"/>
        <v>1990</v>
      </c>
      <c r="D2028" s="624" t="s">
        <v>4863</v>
      </c>
      <c r="E2028" s="26">
        <f>'FOPAG FUNDEB'!E340*12</f>
        <v>8073.3622153053357</v>
      </c>
    </row>
    <row r="2029" spans="2:7" x14ac:dyDescent="0.25">
      <c r="B2029" s="547">
        <f t="shared" si="118"/>
        <v>1991</v>
      </c>
      <c r="D2029" s="624" t="s">
        <v>4859</v>
      </c>
      <c r="E2029" s="26">
        <f>'FOPAG FUNDEB'!E341*12</f>
        <v>6614.3290742435938</v>
      </c>
    </row>
    <row r="2030" spans="2:7" x14ac:dyDescent="0.25">
      <c r="B2030" s="547">
        <f t="shared" si="118"/>
        <v>1992</v>
      </c>
      <c r="D2030" s="624" t="s">
        <v>4855</v>
      </c>
      <c r="E2030" s="26">
        <f>'FOPAG FUNDEB'!E342*12</f>
        <v>38366.7255</v>
      </c>
    </row>
    <row r="2031" spans="2:7" x14ac:dyDescent="0.25">
      <c r="B2031" s="547">
        <f t="shared" si="118"/>
        <v>1993</v>
      </c>
      <c r="D2031" s="624" t="s">
        <v>4856</v>
      </c>
      <c r="E2031" s="26">
        <f>'FOPAG FUNDEB'!E343</f>
        <v>62.473686908671652</v>
      </c>
    </row>
    <row r="2032" spans="2:7" x14ac:dyDescent="0.25">
      <c r="B2032" s="547">
        <f t="shared" si="118"/>
        <v>1994</v>
      </c>
      <c r="D2032" s="624" t="s">
        <v>4858</v>
      </c>
      <c r="E2032" s="26">
        <f>'FOPAG FUNDEB'!E344</f>
        <v>187.42106072601499</v>
      </c>
    </row>
    <row r="2033" spans="2:5" x14ac:dyDescent="0.25">
      <c r="B2033" s="547">
        <f t="shared" si="118"/>
        <v>1995</v>
      </c>
      <c r="D2033" s="624" t="s">
        <v>4857</v>
      </c>
      <c r="E2033" s="26">
        <f>'FOPAG FUNDEB'!E345</f>
        <v>0</v>
      </c>
    </row>
    <row r="2034" spans="2:5" x14ac:dyDescent="0.25">
      <c r="B2034" s="547">
        <f t="shared" si="118"/>
        <v>1996</v>
      </c>
      <c r="D2034" s="624" t="s">
        <v>4860</v>
      </c>
      <c r="E2034" s="26">
        <f>'FOPAG FUNDEB'!E349</f>
        <v>1249.473738173433</v>
      </c>
    </row>
    <row r="2035" spans="2:5" x14ac:dyDescent="0.25">
      <c r="B2035" s="547">
        <f t="shared" si="118"/>
        <v>1997</v>
      </c>
      <c r="D2035" s="624" t="s">
        <v>4861</v>
      </c>
      <c r="E2035" s="26">
        <f>'FOPAG FUNDEB'!E350</f>
        <v>3748.4212145202991</v>
      </c>
    </row>
    <row r="2036" spans="2:5" x14ac:dyDescent="0.25">
      <c r="B2036" s="547">
        <f t="shared" si="118"/>
        <v>1998</v>
      </c>
      <c r="D2036" s="624" t="s">
        <v>4862</v>
      </c>
      <c r="E2036" s="26">
        <f>'FOPAG FUNDEB'!E346</f>
        <v>0</v>
      </c>
    </row>
    <row r="2037" spans="2:5" x14ac:dyDescent="0.25">
      <c r="B2037" s="547">
        <f t="shared" si="118"/>
        <v>1999</v>
      </c>
      <c r="D2037" s="624" t="s">
        <v>2783</v>
      </c>
      <c r="E2037" s="26">
        <f>'FOPAG FUNDEB'!E351</f>
        <v>0</v>
      </c>
    </row>
    <row r="2038" spans="2:5" x14ac:dyDescent="0.25">
      <c r="B2038" s="547">
        <f t="shared" si="118"/>
        <v>2000</v>
      </c>
      <c r="D2038" s="570" t="s">
        <v>3666</v>
      </c>
      <c r="E2038" s="26"/>
    </row>
    <row r="2039" spans="2:5" x14ac:dyDescent="0.25">
      <c r="B2039" s="547">
        <f t="shared" si="118"/>
        <v>2001</v>
      </c>
      <c r="D2039" s="624" t="s">
        <v>4883</v>
      </c>
      <c r="E2039" s="26">
        <v>0</v>
      </c>
    </row>
    <row r="2040" spans="2:5" x14ac:dyDescent="0.25">
      <c r="B2040" s="547">
        <f t="shared" si="118"/>
        <v>2002</v>
      </c>
      <c r="D2040" s="624" t="s">
        <v>4883</v>
      </c>
      <c r="E2040" s="26">
        <v>0</v>
      </c>
    </row>
    <row r="2041" spans="2:5" x14ac:dyDescent="0.25">
      <c r="B2041" s="547">
        <f t="shared" si="118"/>
        <v>2003</v>
      </c>
      <c r="D2041" s="570" t="s">
        <v>3675</v>
      </c>
      <c r="E2041" s="26">
        <v>0.01</v>
      </c>
    </row>
    <row r="2042" spans="2:5" x14ac:dyDescent="0.25">
      <c r="B2042" s="547">
        <f t="shared" si="118"/>
        <v>2004</v>
      </c>
      <c r="D2042" s="570" t="s">
        <v>2988</v>
      </c>
      <c r="E2042" s="26">
        <v>0.01</v>
      </c>
    </row>
    <row r="2043" spans="2:5" x14ac:dyDescent="0.25">
      <c r="B2043" s="547">
        <f t="shared" si="118"/>
        <v>2005</v>
      </c>
      <c r="D2043" s="570" t="s">
        <v>3679</v>
      </c>
      <c r="E2043" s="26"/>
    </row>
    <row r="2044" spans="2:5" x14ac:dyDescent="0.25">
      <c r="B2044" s="547">
        <f t="shared" si="118"/>
        <v>2006</v>
      </c>
      <c r="D2044" s="624" t="s">
        <v>4884</v>
      </c>
      <c r="E2044" s="26">
        <v>0.01</v>
      </c>
    </row>
    <row r="2045" spans="2:5" x14ac:dyDescent="0.25">
      <c r="B2045" s="547">
        <f t="shared" si="118"/>
        <v>2007</v>
      </c>
      <c r="D2045" s="624" t="s">
        <v>4885</v>
      </c>
      <c r="E2045" s="26">
        <v>0.01</v>
      </c>
    </row>
    <row r="2046" spans="2:5" x14ac:dyDescent="0.25">
      <c r="B2046" s="547">
        <f t="shared" si="118"/>
        <v>2008</v>
      </c>
      <c r="D2046" s="570" t="s">
        <v>2994</v>
      </c>
      <c r="E2046" s="26">
        <v>0.01</v>
      </c>
    </row>
    <row r="2047" spans="2:5" x14ac:dyDescent="0.25">
      <c r="B2047" s="547">
        <f t="shared" si="118"/>
        <v>2009</v>
      </c>
      <c r="D2047" s="570" t="s">
        <v>4131</v>
      </c>
      <c r="E2047" s="26">
        <v>0.01</v>
      </c>
    </row>
    <row r="2048" spans="2:5" x14ac:dyDescent="0.25">
      <c r="B2048" s="547">
        <f t="shared" si="118"/>
        <v>2010</v>
      </c>
      <c r="D2048" s="570" t="s">
        <v>4808</v>
      </c>
      <c r="E2048" s="26">
        <v>0.01</v>
      </c>
    </row>
    <row r="2049" spans="2:5" x14ac:dyDescent="0.25">
      <c r="B2049" s="547">
        <f t="shared" si="118"/>
        <v>2011</v>
      </c>
      <c r="D2049" s="570" t="s">
        <v>3718</v>
      </c>
      <c r="E2049" s="26">
        <v>0.01</v>
      </c>
    </row>
    <row r="2050" spans="2:5" x14ac:dyDescent="0.25">
      <c r="B2050" s="547">
        <f t="shared" si="118"/>
        <v>2012</v>
      </c>
      <c r="D2050" s="570" t="s">
        <v>3473</v>
      </c>
      <c r="E2050" s="26">
        <v>0.01</v>
      </c>
    </row>
    <row r="2051" spans="2:5" x14ac:dyDescent="0.25">
      <c r="B2051" s="547">
        <f t="shared" si="118"/>
        <v>2013</v>
      </c>
      <c r="D2051" s="570" t="s">
        <v>4161</v>
      </c>
      <c r="E2051" s="26">
        <v>0.01</v>
      </c>
    </row>
    <row r="2052" spans="2:5" x14ac:dyDescent="0.25">
      <c r="B2052" s="547">
        <f t="shared" si="118"/>
        <v>2014</v>
      </c>
      <c r="D2052" s="570" t="s">
        <v>4165</v>
      </c>
      <c r="E2052" s="26">
        <v>0.01</v>
      </c>
    </row>
    <row r="2053" spans="2:5" x14ac:dyDescent="0.25">
      <c r="B2053" s="547">
        <f t="shared" si="118"/>
        <v>2015</v>
      </c>
      <c r="D2053" s="570" t="s">
        <v>3049</v>
      </c>
      <c r="E2053" s="26">
        <f>3387.55/8*12</f>
        <v>5081.3250000000007</v>
      </c>
    </row>
    <row r="2054" spans="2:5" x14ac:dyDescent="0.25">
      <c r="B2054" s="547">
        <f t="shared" si="118"/>
        <v>2016</v>
      </c>
      <c r="D2054" s="570" t="s">
        <v>4806</v>
      </c>
      <c r="E2054" s="26">
        <v>0.01</v>
      </c>
    </row>
    <row r="2055" spans="2:5" x14ac:dyDescent="0.25">
      <c r="B2055" s="547">
        <f t="shared" si="118"/>
        <v>2017</v>
      </c>
      <c r="D2055" s="570" t="s">
        <v>4483</v>
      </c>
      <c r="E2055" s="25">
        <f>'FOPAG FUNDEB'!E348*12</f>
        <v>6582.358552536246</v>
      </c>
    </row>
    <row r="2056" spans="2:5" x14ac:dyDescent="0.25">
      <c r="B2056" s="547">
        <f t="shared" si="118"/>
        <v>2018</v>
      </c>
      <c r="D2056" s="624" t="s">
        <v>4886</v>
      </c>
      <c r="E2056" s="26">
        <v>0</v>
      </c>
    </row>
    <row r="2057" spans="2:5" x14ac:dyDescent="0.25">
      <c r="B2057" s="547">
        <f t="shared" si="118"/>
        <v>2019</v>
      </c>
      <c r="D2057" s="624" t="s">
        <v>4880</v>
      </c>
      <c r="E2057" s="26">
        <v>0</v>
      </c>
    </row>
    <row r="2058" spans="2:5" x14ac:dyDescent="0.25">
      <c r="B2058" s="547">
        <f t="shared" si="118"/>
        <v>2020</v>
      </c>
      <c r="D2058" s="624" t="s">
        <v>4887</v>
      </c>
      <c r="E2058" s="26">
        <v>0</v>
      </c>
    </row>
    <row r="2059" spans="2:5" x14ac:dyDescent="0.25">
      <c r="B2059" s="547">
        <f t="shared" si="118"/>
        <v>2021</v>
      </c>
      <c r="D2059" s="624" t="s">
        <v>4881</v>
      </c>
      <c r="E2059" s="26">
        <v>0</v>
      </c>
    </row>
    <row r="2060" spans="2:5" x14ac:dyDescent="0.25">
      <c r="B2060" s="547">
        <f t="shared" si="118"/>
        <v>2022</v>
      </c>
      <c r="D2060" s="570" t="s">
        <v>3742</v>
      </c>
      <c r="E2060" s="26">
        <v>0.01</v>
      </c>
    </row>
    <row r="2061" spans="2:5" x14ac:dyDescent="0.25">
      <c r="B2061" s="547">
        <f t="shared" si="118"/>
        <v>2023</v>
      </c>
      <c r="D2061" s="570" t="s">
        <v>3060</v>
      </c>
      <c r="E2061" s="26">
        <v>0.01</v>
      </c>
    </row>
    <row r="2062" spans="2:5" x14ac:dyDescent="0.25">
      <c r="B2062" s="547">
        <f t="shared" si="118"/>
        <v>2024</v>
      </c>
      <c r="D2062" s="570" t="s">
        <v>3514</v>
      </c>
      <c r="E2062" s="26">
        <v>0.01</v>
      </c>
    </row>
    <row r="2063" spans="2:5" x14ac:dyDescent="0.25">
      <c r="B2063" s="547">
        <f t="shared" si="118"/>
        <v>2025</v>
      </c>
      <c r="D2063" s="570" t="s">
        <v>4494</v>
      </c>
      <c r="E2063" s="26">
        <v>0.01</v>
      </c>
    </row>
    <row r="2064" spans="2:5" x14ac:dyDescent="0.25">
      <c r="B2064" s="547">
        <f t="shared" si="118"/>
        <v>2026</v>
      </c>
      <c r="D2064" s="570" t="s">
        <v>3152</v>
      </c>
      <c r="E2064" s="26">
        <v>0.01</v>
      </c>
    </row>
    <row r="2065" spans="2:7" x14ac:dyDescent="0.25">
      <c r="B2065" s="547">
        <f t="shared" ref="B2065:B2128" si="119">B2064+1</f>
        <v>2027</v>
      </c>
      <c r="D2065" s="570" t="s">
        <v>4906</v>
      </c>
      <c r="E2065" s="26"/>
    </row>
    <row r="2066" spans="2:7" x14ac:dyDescent="0.25">
      <c r="B2066" s="547">
        <f t="shared" si="119"/>
        <v>2028</v>
      </c>
      <c r="D2066" s="570" t="s">
        <v>4908</v>
      </c>
      <c r="E2066" s="26"/>
    </row>
    <row r="2067" spans="2:7" x14ac:dyDescent="0.25">
      <c r="B2067" s="547">
        <f t="shared" si="119"/>
        <v>2029</v>
      </c>
      <c r="C2067" s="579" t="s">
        <v>4764</v>
      </c>
      <c r="D2067" s="579" t="str">
        <f>DESPORC!D2347</f>
        <v>NOVOS INVESTIMENTOS EM EDUCAÇÃO</v>
      </c>
      <c r="E2067" s="580"/>
      <c r="F2067" s="582"/>
      <c r="G2067" s="582"/>
    </row>
    <row r="2068" spans="2:7" x14ac:dyDescent="0.25">
      <c r="B2068" s="547">
        <f t="shared" si="119"/>
        <v>2030</v>
      </c>
      <c r="D2068" s="634" t="s">
        <v>4911</v>
      </c>
      <c r="E2068" s="26">
        <v>0.01</v>
      </c>
    </row>
    <row r="2069" spans="2:7" x14ac:dyDescent="0.25">
      <c r="B2069" s="547">
        <f t="shared" si="119"/>
        <v>2031</v>
      </c>
      <c r="D2069" s="634" t="s">
        <v>4840</v>
      </c>
      <c r="E2069" s="26">
        <v>0.01</v>
      </c>
      <c r="F2069" s="612"/>
    </row>
    <row r="2070" spans="2:7" x14ac:dyDescent="0.25">
      <c r="B2070" s="547">
        <f t="shared" si="119"/>
        <v>2032</v>
      </c>
      <c r="D2070" s="634" t="s">
        <v>4912</v>
      </c>
      <c r="E2070" s="26">
        <v>0.01</v>
      </c>
    </row>
    <row r="2071" spans="2:7" x14ac:dyDescent="0.25">
      <c r="B2071" s="547">
        <f t="shared" si="119"/>
        <v>2033</v>
      </c>
      <c r="D2071" s="634" t="s">
        <v>4913</v>
      </c>
      <c r="E2071" s="26">
        <v>0.01</v>
      </c>
    </row>
    <row r="2072" spans="2:7" x14ac:dyDescent="0.25">
      <c r="B2072" s="547">
        <f t="shared" si="119"/>
        <v>2034</v>
      </c>
      <c r="D2072" s="634" t="s">
        <v>4914</v>
      </c>
      <c r="E2072" s="26">
        <v>0.01</v>
      </c>
    </row>
    <row r="2073" spans="2:7" x14ac:dyDescent="0.25">
      <c r="B2073" s="547">
        <f t="shared" si="119"/>
        <v>2035</v>
      </c>
      <c r="D2073" s="634" t="s">
        <v>4841</v>
      </c>
      <c r="E2073" s="26">
        <v>0.01</v>
      </c>
    </row>
    <row r="2074" spans="2:7" x14ac:dyDescent="0.25">
      <c r="B2074" s="547">
        <f t="shared" si="119"/>
        <v>2036</v>
      </c>
      <c r="D2074" s="634" t="s">
        <v>4915</v>
      </c>
      <c r="E2074" s="26">
        <f>ER!E664-E2068-E2069-E2070-E2071-E2072</f>
        <v>0.95</v>
      </c>
    </row>
    <row r="2075" spans="2:7" x14ac:dyDescent="0.25">
      <c r="B2075" s="547">
        <f t="shared" si="119"/>
        <v>2037</v>
      </c>
      <c r="D2075" s="570" t="s">
        <v>4919</v>
      </c>
      <c r="E2075" s="26"/>
    </row>
    <row r="2076" spans="2:7" x14ac:dyDescent="0.25">
      <c r="B2076" s="547">
        <f t="shared" si="119"/>
        <v>2038</v>
      </c>
      <c r="C2076" s="579" t="s">
        <v>4737</v>
      </c>
      <c r="D2076" s="579" t="str">
        <f>DESPORC!D2368</f>
        <v>GESTÃO, COORDENAÇÃO, E PLANEJAMENTO EDUCACIONAL</v>
      </c>
      <c r="E2076" s="580"/>
      <c r="F2076" s="582"/>
      <c r="G2076" s="582"/>
    </row>
    <row r="2077" spans="2:7" s="12" customFormat="1" x14ac:dyDescent="0.25">
      <c r="B2077" s="547">
        <f t="shared" si="119"/>
        <v>2039</v>
      </c>
      <c r="D2077" s="570" t="s">
        <v>3648</v>
      </c>
      <c r="E2077" s="25">
        <v>0.01</v>
      </c>
    </row>
    <row r="2078" spans="2:7" s="12" customFormat="1" ht="15.75" x14ac:dyDescent="0.25">
      <c r="B2078" s="547">
        <f t="shared" si="119"/>
        <v>2040</v>
      </c>
      <c r="D2078" s="655" t="s">
        <v>4501</v>
      </c>
      <c r="E2078" s="25"/>
    </row>
    <row r="2079" spans="2:7" s="12" customFormat="1" x14ac:dyDescent="0.25">
      <c r="B2079" s="547">
        <f t="shared" si="119"/>
        <v>2041</v>
      </c>
      <c r="D2079" s="570" t="s">
        <v>4720</v>
      </c>
      <c r="E2079" s="25"/>
    </row>
    <row r="2080" spans="2:7" x14ac:dyDescent="0.25">
      <c r="B2080" s="547">
        <f t="shared" si="119"/>
        <v>2042</v>
      </c>
      <c r="D2080" s="624" t="s">
        <v>4854</v>
      </c>
      <c r="E2080" s="26">
        <f>'FOPAG ED.'!E271*12</f>
        <v>43562.357120139437</v>
      </c>
    </row>
    <row r="2081" spans="2:5" x14ac:dyDescent="0.25">
      <c r="B2081" s="547">
        <f t="shared" si="119"/>
        <v>2043</v>
      </c>
      <c r="D2081" s="624" t="s">
        <v>4863</v>
      </c>
      <c r="E2081" s="26">
        <f>'FOPAG ED.'!F272</f>
        <v>0</v>
      </c>
    </row>
    <row r="2082" spans="2:5" x14ac:dyDescent="0.25">
      <c r="B2082" s="547">
        <f t="shared" si="119"/>
        <v>2044</v>
      </c>
      <c r="D2082" s="624" t="s">
        <v>4859</v>
      </c>
      <c r="E2082" s="26">
        <v>0</v>
      </c>
    </row>
    <row r="2083" spans="2:5" x14ac:dyDescent="0.25">
      <c r="B2083" s="547">
        <f t="shared" si="119"/>
        <v>2045</v>
      </c>
      <c r="D2083" s="624" t="s">
        <v>4855</v>
      </c>
      <c r="E2083" s="26">
        <f>'FOPAG ED.'!E272*12</f>
        <v>6212.2257931478543</v>
      </c>
    </row>
    <row r="2084" spans="2:5" x14ac:dyDescent="0.25">
      <c r="B2084" s="547">
        <f t="shared" si="119"/>
        <v>2046</v>
      </c>
      <c r="D2084" s="624" t="s">
        <v>4856</v>
      </c>
      <c r="E2084" s="26">
        <f>'FOPAG ED.'!E273</f>
        <v>172.56182758744038</v>
      </c>
    </row>
    <row r="2085" spans="2:5" x14ac:dyDescent="0.25">
      <c r="B2085" s="547">
        <f t="shared" si="119"/>
        <v>2047</v>
      </c>
      <c r="D2085" s="624" t="s">
        <v>4858</v>
      </c>
      <c r="E2085" s="26">
        <f>'FOPAG ED.'!E274</f>
        <v>517.68548276232116</v>
      </c>
    </row>
    <row r="2086" spans="2:5" x14ac:dyDescent="0.25">
      <c r="B2086" s="547">
        <f t="shared" si="119"/>
        <v>2048</v>
      </c>
      <c r="D2086" s="624" t="s">
        <v>4857</v>
      </c>
      <c r="E2086" s="26">
        <f>'FOPAG ED.'!E275</f>
        <v>0</v>
      </c>
    </row>
    <row r="2087" spans="2:5" x14ac:dyDescent="0.25">
      <c r="B2087" s="547">
        <f t="shared" si="119"/>
        <v>2049</v>
      </c>
      <c r="D2087" s="624" t="s">
        <v>4860</v>
      </c>
      <c r="E2087" s="26">
        <f>'FOPAG ED.'!E277</f>
        <v>1210.0654755594287</v>
      </c>
    </row>
    <row r="2088" spans="2:5" x14ac:dyDescent="0.25">
      <c r="B2088" s="547">
        <f t="shared" si="119"/>
        <v>2050</v>
      </c>
      <c r="D2088" s="624" t="s">
        <v>4861</v>
      </c>
      <c r="E2088" s="26">
        <f>'FOPAG ED.'!E278</f>
        <v>3630.1964266782861</v>
      </c>
    </row>
    <row r="2089" spans="2:5" x14ac:dyDescent="0.25">
      <c r="B2089" s="547">
        <f t="shared" si="119"/>
        <v>2051</v>
      </c>
      <c r="D2089" s="624" t="s">
        <v>4862</v>
      </c>
      <c r="E2089" s="26">
        <f>'FOPAG ED.'!E281</f>
        <v>0</v>
      </c>
    </row>
    <row r="2090" spans="2:5" x14ac:dyDescent="0.25">
      <c r="B2090" s="547">
        <f t="shared" si="119"/>
        <v>2052</v>
      </c>
      <c r="D2090" s="624" t="s">
        <v>2783</v>
      </c>
      <c r="E2090" s="26">
        <f>'FOPAG ED.'!E282</f>
        <v>0</v>
      </c>
    </row>
    <row r="2091" spans="2:5" x14ac:dyDescent="0.25">
      <c r="B2091" s="547">
        <f t="shared" si="119"/>
        <v>2053</v>
      </c>
      <c r="D2091" s="570" t="s">
        <v>3666</v>
      </c>
      <c r="E2091" s="26">
        <v>0</v>
      </c>
    </row>
    <row r="2092" spans="2:5" x14ac:dyDescent="0.25">
      <c r="B2092" s="547">
        <f t="shared" si="119"/>
        <v>2054</v>
      </c>
      <c r="D2092" s="570" t="s">
        <v>3675</v>
      </c>
      <c r="E2092" s="26">
        <v>0.01</v>
      </c>
    </row>
    <row r="2093" spans="2:5" x14ac:dyDescent="0.25">
      <c r="B2093" s="547">
        <f t="shared" si="119"/>
        <v>2055</v>
      </c>
      <c r="D2093" s="570" t="s">
        <v>2988</v>
      </c>
      <c r="E2093" s="26">
        <v>0.01</v>
      </c>
    </row>
    <row r="2094" spans="2:5" x14ac:dyDescent="0.25">
      <c r="B2094" s="547">
        <f t="shared" si="119"/>
        <v>2056</v>
      </c>
      <c r="D2094" s="624" t="s">
        <v>3679</v>
      </c>
      <c r="E2094" s="26">
        <v>0.01</v>
      </c>
    </row>
    <row r="2095" spans="2:5" x14ac:dyDescent="0.25">
      <c r="B2095" s="547">
        <f t="shared" si="119"/>
        <v>2057</v>
      </c>
      <c r="D2095" s="624" t="s">
        <v>3174</v>
      </c>
      <c r="E2095" s="26">
        <v>0.01</v>
      </c>
    </row>
    <row r="2096" spans="2:5" x14ac:dyDescent="0.25">
      <c r="B2096" s="547">
        <f t="shared" si="119"/>
        <v>2058</v>
      </c>
      <c r="D2096" s="624" t="s">
        <v>4131</v>
      </c>
      <c r="E2096" s="26">
        <v>0.01</v>
      </c>
    </row>
    <row r="2097" spans="2:7" x14ac:dyDescent="0.25">
      <c r="B2097" s="547">
        <f t="shared" si="119"/>
        <v>2059</v>
      </c>
      <c r="D2097" s="624" t="s">
        <v>3718</v>
      </c>
      <c r="E2097" s="26">
        <v>0.01</v>
      </c>
    </row>
    <row r="2098" spans="2:7" x14ac:dyDescent="0.25">
      <c r="B2098" s="547">
        <f t="shared" si="119"/>
        <v>2060</v>
      </c>
      <c r="D2098" s="624" t="s">
        <v>4161</v>
      </c>
      <c r="E2098" s="26">
        <v>0.01</v>
      </c>
    </row>
    <row r="2099" spans="2:7" x14ac:dyDescent="0.25">
      <c r="B2099" s="547">
        <f t="shared" si="119"/>
        <v>2061</v>
      </c>
      <c r="D2099" s="624" t="s">
        <v>4165</v>
      </c>
      <c r="E2099" s="26">
        <v>0.01</v>
      </c>
    </row>
    <row r="2100" spans="2:7" x14ac:dyDescent="0.25">
      <c r="B2100" s="547">
        <f t="shared" si="119"/>
        <v>2062</v>
      </c>
      <c r="D2100" s="624" t="s">
        <v>3049</v>
      </c>
      <c r="E2100" s="26">
        <f>2816/8*12</f>
        <v>4224</v>
      </c>
    </row>
    <row r="2101" spans="2:7" x14ac:dyDescent="0.25">
      <c r="B2101" s="547">
        <f t="shared" si="119"/>
        <v>2063</v>
      </c>
      <c r="D2101" s="624" t="s">
        <v>4918</v>
      </c>
      <c r="E2101" s="26">
        <v>0.01</v>
      </c>
    </row>
    <row r="2102" spans="2:7" x14ac:dyDescent="0.25">
      <c r="B2102" s="547">
        <f t="shared" si="119"/>
        <v>2064</v>
      </c>
      <c r="D2102" s="624" t="s">
        <v>4811</v>
      </c>
      <c r="E2102" s="26">
        <f>'FOPAG ED.'!E279+0.01</f>
        <v>0.01</v>
      </c>
    </row>
    <row r="2103" spans="2:7" x14ac:dyDescent="0.25">
      <c r="B2103" s="547">
        <f t="shared" si="119"/>
        <v>2065</v>
      </c>
      <c r="D2103" s="624" t="s">
        <v>3742</v>
      </c>
      <c r="E2103" s="26">
        <v>0.01</v>
      </c>
    </row>
    <row r="2104" spans="2:7" x14ac:dyDescent="0.25">
      <c r="B2104" s="547">
        <f t="shared" si="119"/>
        <v>2066</v>
      </c>
      <c r="D2104" s="624" t="s">
        <v>3060</v>
      </c>
      <c r="E2104" s="26">
        <v>0.01</v>
      </c>
    </row>
    <row r="2105" spans="2:7" x14ac:dyDescent="0.25">
      <c r="B2105" s="547">
        <f t="shared" si="119"/>
        <v>2067</v>
      </c>
      <c r="D2105" s="624" t="s">
        <v>3514</v>
      </c>
      <c r="E2105" s="26">
        <v>0.01</v>
      </c>
    </row>
    <row r="2106" spans="2:7" x14ac:dyDescent="0.25">
      <c r="B2106" s="547">
        <f t="shared" si="119"/>
        <v>2068</v>
      </c>
      <c r="D2106" s="624" t="s">
        <v>4494</v>
      </c>
      <c r="E2106" s="26">
        <v>0.01</v>
      </c>
    </row>
    <row r="2107" spans="2:7" s="12" customFormat="1" x14ac:dyDescent="0.25">
      <c r="B2107" s="547">
        <f t="shared" si="119"/>
        <v>2069</v>
      </c>
      <c r="D2107" s="624" t="s">
        <v>3152</v>
      </c>
      <c r="E2107" s="25">
        <v>0.01</v>
      </c>
    </row>
    <row r="2108" spans="2:7" x14ac:dyDescent="0.25">
      <c r="B2108" s="547">
        <f t="shared" si="119"/>
        <v>2070</v>
      </c>
      <c r="C2108" s="579" t="s">
        <v>4737</v>
      </c>
      <c r="D2108" s="579" t="str">
        <f>DESPORC!D2392</f>
        <v>GESTÃO, COORDENAÇÃO, E PLANEJAMENTO EDUCACIONAL</v>
      </c>
      <c r="E2108" s="580"/>
      <c r="F2108" s="582"/>
      <c r="G2108" s="582"/>
    </row>
    <row r="2109" spans="2:7" s="12" customFormat="1" ht="15.75" x14ac:dyDescent="0.25">
      <c r="B2109" s="547">
        <f t="shared" si="119"/>
        <v>2071</v>
      </c>
      <c r="D2109" s="626" t="s">
        <v>4202</v>
      </c>
      <c r="E2109" s="613">
        <v>0.01</v>
      </c>
    </row>
    <row r="2110" spans="2:7" s="12" customFormat="1" x14ac:dyDescent="0.25">
      <c r="B2110" s="547">
        <f t="shared" si="119"/>
        <v>2072</v>
      </c>
      <c r="D2110" s="570" t="s">
        <v>4926</v>
      </c>
      <c r="E2110" s="25"/>
    </row>
    <row r="2111" spans="2:7" x14ac:dyDescent="0.25">
      <c r="B2111" s="547">
        <f t="shared" si="119"/>
        <v>2073</v>
      </c>
      <c r="C2111" s="579" t="s">
        <v>4737</v>
      </c>
      <c r="D2111" s="579" t="str">
        <f>DESPORC!D2397</f>
        <v>GESTÃO, COORDENAÇÃO, E PLANEJAMENTO EDUCACIONAL</v>
      </c>
      <c r="E2111" s="580"/>
      <c r="F2111" s="582"/>
      <c r="G2111" s="582"/>
    </row>
    <row r="2112" spans="2:7" s="12" customFormat="1" x14ac:dyDescent="0.25">
      <c r="B2112" s="547">
        <f t="shared" si="119"/>
        <v>2074</v>
      </c>
      <c r="D2112" s="624" t="s">
        <v>5105</v>
      </c>
      <c r="E2112" s="613">
        <v>0.01</v>
      </c>
    </row>
    <row r="2113" spans="2:7" s="12" customFormat="1" x14ac:dyDescent="0.25">
      <c r="B2113" s="547">
        <f t="shared" si="119"/>
        <v>2075</v>
      </c>
      <c r="D2113" s="624" t="s">
        <v>5106</v>
      </c>
      <c r="E2113" s="613">
        <v>0.01</v>
      </c>
    </row>
    <row r="2114" spans="2:7" s="12" customFormat="1" ht="15.75" x14ac:dyDescent="0.25">
      <c r="B2114" s="547">
        <f t="shared" si="119"/>
        <v>2076</v>
      </c>
      <c r="D2114" s="688" t="s">
        <v>6291</v>
      </c>
      <c r="E2114" s="613">
        <v>0.01</v>
      </c>
    </row>
    <row r="2115" spans="2:7" s="12" customFormat="1" x14ac:dyDescent="0.25">
      <c r="B2115" s="547">
        <f t="shared" si="119"/>
        <v>2077</v>
      </c>
      <c r="D2115" s="624" t="s">
        <v>5107</v>
      </c>
      <c r="E2115" s="613">
        <v>0.01</v>
      </c>
    </row>
    <row r="2116" spans="2:7" s="12" customFormat="1" ht="15.75" x14ac:dyDescent="0.25">
      <c r="B2116" s="547">
        <f t="shared" si="119"/>
        <v>2078</v>
      </c>
      <c r="D2116" s="688" t="s">
        <v>6289</v>
      </c>
      <c r="E2116" s="613">
        <v>0.01</v>
      </c>
    </row>
    <row r="2117" spans="2:7" x14ac:dyDescent="0.25">
      <c r="B2117" s="547">
        <f t="shared" si="119"/>
        <v>2079</v>
      </c>
      <c r="C2117" s="579" t="s">
        <v>4764</v>
      </c>
      <c r="D2117" s="579" t="str">
        <f>DESPORC!D2415</f>
        <v>NOVOS INVESTIMENTOS EM EDUCAÇÃO</v>
      </c>
      <c r="E2117" s="580"/>
      <c r="F2117" s="582"/>
      <c r="G2117" s="582"/>
    </row>
    <row r="2118" spans="2:7" s="12" customFormat="1" x14ac:dyDescent="0.25">
      <c r="B2118" s="547">
        <f t="shared" si="119"/>
        <v>2080</v>
      </c>
      <c r="D2118" s="624" t="s">
        <v>4277</v>
      </c>
      <c r="E2118" s="613">
        <v>0.01</v>
      </c>
    </row>
    <row r="2119" spans="2:7" s="12" customFormat="1" x14ac:dyDescent="0.25">
      <c r="B2119" s="547">
        <f t="shared" si="119"/>
        <v>2081</v>
      </c>
      <c r="D2119" s="624" t="s">
        <v>3562</v>
      </c>
      <c r="E2119" s="613">
        <v>0.01</v>
      </c>
    </row>
    <row r="2120" spans="2:7" s="12" customFormat="1" x14ac:dyDescent="0.25">
      <c r="B2120" s="547">
        <f t="shared" si="119"/>
        <v>2082</v>
      </c>
      <c r="D2120" s="624" t="s">
        <v>4161</v>
      </c>
      <c r="E2120" s="613">
        <v>0.01</v>
      </c>
    </row>
    <row r="2121" spans="2:7" s="12" customFormat="1" x14ac:dyDescent="0.25">
      <c r="B2121" s="547">
        <f t="shared" si="119"/>
        <v>2083</v>
      </c>
      <c r="D2121" s="624" t="s">
        <v>4165</v>
      </c>
      <c r="E2121" s="613">
        <v>0.01</v>
      </c>
    </row>
    <row r="2122" spans="2:7" s="12" customFormat="1" x14ac:dyDescent="0.25">
      <c r="B2122" s="547">
        <f t="shared" si="119"/>
        <v>2084</v>
      </c>
      <c r="D2122" s="624" t="s">
        <v>4494</v>
      </c>
      <c r="E2122" s="613">
        <v>0.01</v>
      </c>
    </row>
    <row r="2123" spans="2:7" s="12" customFormat="1" x14ac:dyDescent="0.25">
      <c r="B2123" s="547">
        <f t="shared" si="119"/>
        <v>2085</v>
      </c>
      <c r="D2123" s="624" t="s">
        <v>3064</v>
      </c>
      <c r="E2123" s="613">
        <v>0.01</v>
      </c>
    </row>
    <row r="2124" spans="2:7" x14ac:dyDescent="0.25">
      <c r="B2124" s="547">
        <f t="shared" si="119"/>
        <v>2086</v>
      </c>
      <c r="C2124" s="579" t="s">
        <v>4851</v>
      </c>
      <c r="D2124" s="579" t="str">
        <f>DESPORC!D2425</f>
        <v>NOVOS INVESTIMENTOS EM  ALIMENTAÇÃO E NUTRIÇÃO</v>
      </c>
      <c r="E2124" s="580"/>
      <c r="F2124" s="582"/>
      <c r="G2124" s="582"/>
    </row>
    <row r="2125" spans="2:7" s="12" customFormat="1" x14ac:dyDescent="0.25">
      <c r="B2125" s="547">
        <f t="shared" si="119"/>
        <v>2087</v>
      </c>
      <c r="D2125" s="624" t="s">
        <v>4277</v>
      </c>
      <c r="E2125" s="613">
        <v>0.01</v>
      </c>
    </row>
    <row r="2126" spans="2:7" s="12" customFormat="1" x14ac:dyDescent="0.25">
      <c r="B2126" s="547">
        <f t="shared" si="119"/>
        <v>2088</v>
      </c>
      <c r="D2126" s="624" t="s">
        <v>3562</v>
      </c>
      <c r="E2126" s="613">
        <v>0.01</v>
      </c>
    </row>
    <row r="2127" spans="2:7" s="12" customFormat="1" x14ac:dyDescent="0.25">
      <c r="B2127" s="547">
        <f t="shared" si="119"/>
        <v>2089</v>
      </c>
      <c r="D2127" s="624" t="s">
        <v>4161</v>
      </c>
      <c r="E2127" s="613">
        <v>0.01</v>
      </c>
    </row>
    <row r="2128" spans="2:7" s="12" customFormat="1" x14ac:dyDescent="0.25">
      <c r="B2128" s="547">
        <f t="shared" si="119"/>
        <v>2090</v>
      </c>
      <c r="D2128" s="624" t="s">
        <v>4165</v>
      </c>
      <c r="E2128" s="613">
        <v>0.01</v>
      </c>
    </row>
    <row r="2129" spans="2:7" s="12" customFormat="1" x14ac:dyDescent="0.25">
      <c r="B2129" s="547">
        <f t="shared" ref="B2129:B2192" si="120">B2128+1</f>
        <v>2091</v>
      </c>
      <c r="D2129" s="624" t="s">
        <v>4494</v>
      </c>
      <c r="E2129" s="613">
        <v>0.01</v>
      </c>
    </row>
    <row r="2130" spans="2:7" s="12" customFormat="1" x14ac:dyDescent="0.25">
      <c r="B2130" s="547">
        <f t="shared" si="120"/>
        <v>2092</v>
      </c>
      <c r="D2130" s="624" t="s">
        <v>3064</v>
      </c>
      <c r="E2130" s="613">
        <v>0.01</v>
      </c>
    </row>
    <row r="2131" spans="2:7" x14ac:dyDescent="0.25">
      <c r="B2131" s="547">
        <f t="shared" si="120"/>
        <v>2093</v>
      </c>
      <c r="C2131" s="579" t="s">
        <v>4928</v>
      </c>
      <c r="D2131" s="579" t="str">
        <f>DESPORC!D2435</f>
        <v>PROMOÇÃO E DESENVOLVIMENTO DA ALIMENTAÇÃO ESCOLAR</v>
      </c>
      <c r="E2131" s="580"/>
      <c r="F2131" s="582"/>
      <c r="G2131" s="582"/>
    </row>
    <row r="2132" spans="2:7" s="12" customFormat="1" x14ac:dyDescent="0.25">
      <c r="B2132" s="547">
        <f t="shared" si="120"/>
        <v>2094</v>
      </c>
      <c r="D2132" s="570" t="s">
        <v>3648</v>
      </c>
      <c r="E2132" s="25">
        <v>0.01</v>
      </c>
    </row>
    <row r="2133" spans="2:7" s="12" customFormat="1" x14ac:dyDescent="0.25">
      <c r="B2133" s="547">
        <f t="shared" si="120"/>
        <v>2095</v>
      </c>
      <c r="D2133" s="570" t="s">
        <v>4720</v>
      </c>
      <c r="E2133" s="25"/>
    </row>
    <row r="2134" spans="2:7" s="12" customFormat="1" x14ac:dyDescent="0.25">
      <c r="B2134" s="547">
        <f t="shared" si="120"/>
        <v>2096</v>
      </c>
      <c r="D2134" s="624" t="s">
        <v>3075</v>
      </c>
      <c r="E2134" s="613">
        <f>'FOPAG ED.'!I274*12</f>
        <v>35050.172395514492</v>
      </c>
    </row>
    <row r="2135" spans="2:7" s="12" customFormat="1" x14ac:dyDescent="0.25">
      <c r="B2135" s="547">
        <f t="shared" si="120"/>
        <v>2097</v>
      </c>
      <c r="D2135" s="624" t="s">
        <v>3411</v>
      </c>
      <c r="E2135" s="613">
        <f>'FOPAG ED.'!I275*12</f>
        <v>1752.5086197757246</v>
      </c>
    </row>
    <row r="2136" spans="2:7" s="12" customFormat="1" x14ac:dyDescent="0.25">
      <c r="B2136" s="547">
        <f t="shared" si="120"/>
        <v>2098</v>
      </c>
      <c r="D2136" s="624" t="s">
        <v>4847</v>
      </c>
      <c r="E2136" s="613">
        <f>'FOPAG ED.'!I276</f>
        <v>48.680794993770128</v>
      </c>
    </row>
    <row r="2137" spans="2:7" s="12" customFormat="1" x14ac:dyDescent="0.25">
      <c r="B2137" s="547">
        <f t="shared" si="120"/>
        <v>2099</v>
      </c>
      <c r="D2137" s="624" t="s">
        <v>4848</v>
      </c>
      <c r="E2137" s="613">
        <f>'FOPAG ED.'!I277</f>
        <v>146.04238498131039</v>
      </c>
    </row>
    <row r="2138" spans="2:7" s="12" customFormat="1" x14ac:dyDescent="0.25">
      <c r="B2138" s="547">
        <f t="shared" si="120"/>
        <v>2100</v>
      </c>
      <c r="D2138" s="624" t="s">
        <v>4519</v>
      </c>
      <c r="E2138" s="613">
        <f>'FOPAG ED.'!I280</f>
        <v>973.61589987540253</v>
      </c>
    </row>
    <row r="2139" spans="2:7" s="12" customFormat="1" x14ac:dyDescent="0.25">
      <c r="B2139" s="547">
        <f t="shared" si="120"/>
        <v>2101</v>
      </c>
      <c r="D2139" s="624" t="s">
        <v>4844</v>
      </c>
      <c r="E2139" s="613">
        <f>'FOPAG ED.'!I281</f>
        <v>2920.8476996262075</v>
      </c>
    </row>
    <row r="2140" spans="2:7" s="12" customFormat="1" x14ac:dyDescent="0.25">
      <c r="B2140" s="547">
        <f t="shared" si="120"/>
        <v>2102</v>
      </c>
      <c r="D2140" s="624" t="s">
        <v>3666</v>
      </c>
      <c r="E2140" s="613"/>
    </row>
    <row r="2141" spans="2:7" s="12" customFormat="1" x14ac:dyDescent="0.25">
      <c r="B2141" s="547">
        <f t="shared" si="120"/>
        <v>2103</v>
      </c>
      <c r="D2141" s="624" t="s">
        <v>3675</v>
      </c>
      <c r="E2141" s="613">
        <v>0.01</v>
      </c>
    </row>
    <row r="2142" spans="2:7" s="12" customFormat="1" x14ac:dyDescent="0.25">
      <c r="B2142" s="547">
        <f t="shared" si="120"/>
        <v>2104</v>
      </c>
      <c r="D2142" s="624" t="s">
        <v>2988</v>
      </c>
      <c r="E2142" s="613">
        <v>0.01</v>
      </c>
    </row>
    <row r="2143" spans="2:7" s="12" customFormat="1" x14ac:dyDescent="0.25">
      <c r="B2143" s="547">
        <f t="shared" si="120"/>
        <v>2105</v>
      </c>
      <c r="D2143" s="624" t="s">
        <v>3679</v>
      </c>
      <c r="E2143" s="613">
        <v>0.01</v>
      </c>
    </row>
    <row r="2144" spans="2:7" s="12" customFormat="1" x14ac:dyDescent="0.25">
      <c r="B2144" s="547">
        <f t="shared" si="120"/>
        <v>2106</v>
      </c>
      <c r="D2144" s="624" t="s">
        <v>3174</v>
      </c>
      <c r="E2144" s="613">
        <v>1500</v>
      </c>
    </row>
    <row r="2145" spans="2:7" s="12" customFormat="1" x14ac:dyDescent="0.25">
      <c r="B2145" s="547">
        <f t="shared" si="120"/>
        <v>2107</v>
      </c>
      <c r="D2145" s="624" t="s">
        <v>4131</v>
      </c>
      <c r="E2145" s="613">
        <v>1000</v>
      </c>
    </row>
    <row r="2146" spans="2:7" s="12" customFormat="1" x14ac:dyDescent="0.25">
      <c r="B2146" s="547">
        <f t="shared" si="120"/>
        <v>2108</v>
      </c>
      <c r="D2146" s="624" t="s">
        <v>3718</v>
      </c>
      <c r="E2146" s="613">
        <v>500</v>
      </c>
    </row>
    <row r="2147" spans="2:7" s="12" customFormat="1" x14ac:dyDescent="0.25">
      <c r="B2147" s="547">
        <f t="shared" si="120"/>
        <v>2109</v>
      </c>
      <c r="D2147" s="624" t="s">
        <v>4161</v>
      </c>
      <c r="E2147" s="613">
        <v>1000</v>
      </c>
    </row>
    <row r="2148" spans="2:7" s="12" customFormat="1" x14ac:dyDescent="0.25">
      <c r="B2148" s="547">
        <f t="shared" si="120"/>
        <v>2110</v>
      </c>
      <c r="D2148" s="570" t="s">
        <v>4165</v>
      </c>
      <c r="E2148" s="25">
        <v>5000</v>
      </c>
    </row>
    <row r="2149" spans="2:7" s="12" customFormat="1" x14ac:dyDescent="0.25">
      <c r="B2149" s="547">
        <f t="shared" si="120"/>
        <v>2111</v>
      </c>
      <c r="D2149" s="624" t="s">
        <v>5670</v>
      </c>
      <c r="E2149" s="613">
        <v>3000</v>
      </c>
    </row>
    <row r="2150" spans="2:7" s="12" customFormat="1" x14ac:dyDescent="0.25">
      <c r="B2150" s="547">
        <f t="shared" si="120"/>
        <v>2112</v>
      </c>
      <c r="D2150" s="624" t="s">
        <v>3487</v>
      </c>
      <c r="E2150" s="613">
        <f>4000</f>
        <v>4000</v>
      </c>
    </row>
    <row r="2151" spans="2:7" s="12" customFormat="1" x14ac:dyDescent="0.25">
      <c r="B2151" s="547">
        <f t="shared" si="120"/>
        <v>2113</v>
      </c>
      <c r="D2151" s="624" t="s">
        <v>3049</v>
      </c>
      <c r="E2151" s="613">
        <v>5000</v>
      </c>
    </row>
    <row r="2152" spans="2:7" s="12" customFormat="1" x14ac:dyDescent="0.25">
      <c r="B2152" s="547">
        <f t="shared" si="120"/>
        <v>2114</v>
      </c>
      <c r="D2152" s="624" t="s">
        <v>4806</v>
      </c>
      <c r="E2152" s="613">
        <v>1500</v>
      </c>
    </row>
    <row r="2153" spans="2:7" s="12" customFormat="1" x14ac:dyDescent="0.25">
      <c r="B2153" s="547">
        <f t="shared" si="120"/>
        <v>2115</v>
      </c>
      <c r="D2153" s="624" t="s">
        <v>4483</v>
      </c>
      <c r="E2153" s="613">
        <f>'FOPAG ED.'!I282*12</f>
        <v>614.16</v>
      </c>
    </row>
    <row r="2154" spans="2:7" s="12" customFormat="1" x14ac:dyDescent="0.25">
      <c r="B2154" s="547">
        <f t="shared" si="120"/>
        <v>2116</v>
      </c>
      <c r="D2154" s="624" t="s">
        <v>3742</v>
      </c>
      <c r="E2154" s="613">
        <v>0.01</v>
      </c>
    </row>
    <row r="2155" spans="2:7" s="12" customFormat="1" x14ac:dyDescent="0.25">
      <c r="B2155" s="547">
        <f t="shared" si="120"/>
        <v>2117</v>
      </c>
      <c r="D2155" s="624" t="s">
        <v>3060</v>
      </c>
      <c r="E2155" s="613">
        <v>500</v>
      </c>
    </row>
    <row r="2156" spans="2:7" s="12" customFormat="1" x14ac:dyDescent="0.25">
      <c r="B2156" s="547">
        <f t="shared" si="120"/>
        <v>2118</v>
      </c>
      <c r="D2156" s="624" t="s">
        <v>3514</v>
      </c>
      <c r="E2156" s="613">
        <v>0.01</v>
      </c>
    </row>
    <row r="2157" spans="2:7" s="12" customFormat="1" x14ac:dyDescent="0.25">
      <c r="B2157" s="547">
        <f t="shared" si="120"/>
        <v>2119</v>
      </c>
      <c r="D2157" s="624" t="s">
        <v>4494</v>
      </c>
      <c r="E2157" s="613">
        <v>0.01</v>
      </c>
    </row>
    <row r="2158" spans="2:7" s="12" customFormat="1" x14ac:dyDescent="0.25">
      <c r="B2158" s="547">
        <f t="shared" si="120"/>
        <v>2120</v>
      </c>
      <c r="D2158" s="624" t="s">
        <v>3152</v>
      </c>
      <c r="E2158" s="613">
        <v>0.01</v>
      </c>
    </row>
    <row r="2159" spans="2:7" x14ac:dyDescent="0.25">
      <c r="B2159" s="547">
        <f t="shared" si="120"/>
        <v>2121</v>
      </c>
      <c r="C2159" s="579" t="s">
        <v>4928</v>
      </c>
      <c r="D2159" s="579" t="str">
        <f>DESPORC!D2459</f>
        <v>PROMOÇÃO E DESENVOLVIMENTO DA ALIMENTAÇÃO ESCOLAR</v>
      </c>
      <c r="E2159" s="580"/>
      <c r="F2159" s="582"/>
      <c r="G2159" s="582"/>
    </row>
    <row r="2160" spans="2:7" s="12" customFormat="1" x14ac:dyDescent="0.25">
      <c r="B2160" s="547">
        <f t="shared" si="120"/>
        <v>2122</v>
      </c>
      <c r="D2160" s="624" t="s">
        <v>4202</v>
      </c>
      <c r="E2160" s="613">
        <v>0.01</v>
      </c>
    </row>
    <row r="2161" spans="2:7" s="12" customFormat="1" x14ac:dyDescent="0.25">
      <c r="B2161" s="547">
        <f t="shared" si="120"/>
        <v>2123</v>
      </c>
      <c r="D2161" s="570" t="s">
        <v>4925</v>
      </c>
      <c r="E2161" s="25"/>
    </row>
    <row r="2162" spans="2:7" x14ac:dyDescent="0.25">
      <c r="B2162" s="547">
        <f t="shared" si="120"/>
        <v>2124</v>
      </c>
      <c r="C2162" s="579" t="s">
        <v>4928</v>
      </c>
      <c r="D2162" s="579" t="str">
        <f>DESPORC!D2464</f>
        <v>PROMOÇÃO E DESENVOLVIMENTO DA ALIMENTAÇÃO ESCOLAR</v>
      </c>
      <c r="E2162" s="580"/>
      <c r="F2162" s="582"/>
      <c r="G2162" s="582"/>
    </row>
    <row r="2163" spans="2:7" s="12" customFormat="1" x14ac:dyDescent="0.25">
      <c r="B2163" s="547">
        <f t="shared" si="120"/>
        <v>2125</v>
      </c>
      <c r="D2163" s="624" t="s">
        <v>5105</v>
      </c>
      <c r="E2163" s="613">
        <v>0.01</v>
      </c>
    </row>
    <row r="2164" spans="2:7" s="12" customFormat="1" x14ac:dyDescent="0.25">
      <c r="B2164" s="547">
        <f t="shared" si="120"/>
        <v>2126</v>
      </c>
      <c r="D2164" s="624" t="s">
        <v>5106</v>
      </c>
      <c r="E2164" s="613">
        <v>0.01</v>
      </c>
    </row>
    <row r="2165" spans="2:7" s="12" customFormat="1" ht="15.75" x14ac:dyDescent="0.25">
      <c r="B2165" s="547">
        <f t="shared" si="120"/>
        <v>2127</v>
      </c>
      <c r="D2165" s="688" t="s">
        <v>6326</v>
      </c>
      <c r="E2165" s="613">
        <v>0.01</v>
      </c>
    </row>
    <row r="2166" spans="2:7" s="12" customFormat="1" x14ac:dyDescent="0.25">
      <c r="B2166" s="547">
        <f t="shared" si="120"/>
        <v>2128</v>
      </c>
      <c r="D2166" s="624" t="s">
        <v>5107</v>
      </c>
      <c r="E2166" s="613">
        <v>0.01</v>
      </c>
    </row>
    <row r="2167" spans="2:7" s="12" customFormat="1" ht="15.75" x14ac:dyDescent="0.25">
      <c r="B2167" s="547">
        <f t="shared" si="120"/>
        <v>2129</v>
      </c>
      <c r="D2167" s="688" t="s">
        <v>6327</v>
      </c>
      <c r="E2167" s="613">
        <v>0.01</v>
      </c>
    </row>
    <row r="2168" spans="2:7" x14ac:dyDescent="0.25">
      <c r="B2168" s="547">
        <f t="shared" si="120"/>
        <v>2130</v>
      </c>
      <c r="C2168" s="579" t="s">
        <v>4928</v>
      </c>
      <c r="D2168" s="579" t="str">
        <f>DESPORC!D2473</f>
        <v>PROMOÇÃO E DESENVOLVIMENTO DA ALIMENTAÇÃO ESCOLAR</v>
      </c>
      <c r="E2168" s="580"/>
      <c r="F2168" s="582"/>
      <c r="G2168" s="582"/>
    </row>
    <row r="2169" spans="2:7" s="12" customFormat="1" x14ac:dyDescent="0.25">
      <c r="B2169" s="547">
        <f t="shared" si="120"/>
        <v>2131</v>
      </c>
      <c r="D2169" s="570" t="s">
        <v>4930</v>
      </c>
      <c r="E2169" s="25">
        <v>10000</v>
      </c>
    </row>
    <row r="2170" spans="2:7" s="12" customFormat="1" x14ac:dyDescent="0.25">
      <c r="B2170" s="547">
        <f t="shared" si="120"/>
        <v>2132</v>
      </c>
      <c r="D2170" s="624" t="s">
        <v>3242</v>
      </c>
      <c r="E2170" s="613">
        <v>0</v>
      </c>
    </row>
    <row r="2171" spans="2:7" s="12" customFormat="1" x14ac:dyDescent="0.25">
      <c r="B2171" s="547">
        <f t="shared" si="120"/>
        <v>2133</v>
      </c>
      <c r="D2171" s="624" t="s">
        <v>4767</v>
      </c>
      <c r="E2171" s="613">
        <v>0</v>
      </c>
    </row>
    <row r="2172" spans="2:7" s="12" customFormat="1" x14ac:dyDescent="0.25">
      <c r="B2172" s="547">
        <f t="shared" si="120"/>
        <v>2134</v>
      </c>
      <c r="D2172" s="624" t="s">
        <v>4931</v>
      </c>
      <c r="E2172" s="613">
        <v>50000</v>
      </c>
    </row>
    <row r="2173" spans="2:7" s="12" customFormat="1" x14ac:dyDescent="0.25">
      <c r="B2173" s="547">
        <f t="shared" si="120"/>
        <v>2135</v>
      </c>
      <c r="D2173" s="624" t="s">
        <v>4932</v>
      </c>
      <c r="E2173" s="613">
        <v>15000</v>
      </c>
    </row>
    <row r="2174" spans="2:7" s="12" customFormat="1" x14ac:dyDescent="0.25">
      <c r="B2174" s="547">
        <f t="shared" si="120"/>
        <v>2136</v>
      </c>
      <c r="D2174" s="624" t="s">
        <v>4938</v>
      </c>
      <c r="E2174" s="613">
        <f>ER!E655</f>
        <v>61691.039997015076</v>
      </c>
    </row>
    <row r="2175" spans="2:7" s="12" customFormat="1" x14ac:dyDescent="0.25">
      <c r="B2175" s="547">
        <f t="shared" si="120"/>
        <v>2137</v>
      </c>
      <c r="D2175" s="624" t="s">
        <v>4939</v>
      </c>
      <c r="E2175" s="613">
        <f>ER!E655*30%</f>
        <v>18507.311999104521</v>
      </c>
    </row>
    <row r="2176" spans="2:7" s="12" customFormat="1" ht="15.75" x14ac:dyDescent="0.25">
      <c r="B2176" s="547">
        <f t="shared" si="120"/>
        <v>2138</v>
      </c>
      <c r="D2176" s="688" t="s">
        <v>7822</v>
      </c>
      <c r="E2176" s="613">
        <v>0.01</v>
      </c>
    </row>
    <row r="2177" spans="2:7" s="12" customFormat="1" x14ac:dyDescent="0.25">
      <c r="B2177" s="547">
        <f t="shared" si="120"/>
        <v>2139</v>
      </c>
      <c r="D2177" s="624" t="s">
        <v>4933</v>
      </c>
      <c r="E2177" s="613">
        <v>0.01</v>
      </c>
    </row>
    <row r="2178" spans="2:7" s="12" customFormat="1" x14ac:dyDescent="0.25">
      <c r="B2178" s="547">
        <f t="shared" si="120"/>
        <v>2140</v>
      </c>
      <c r="D2178" s="624" t="s">
        <v>4934</v>
      </c>
      <c r="E2178" s="613">
        <v>0.01</v>
      </c>
    </row>
    <row r="2179" spans="2:7" s="12" customFormat="1" x14ac:dyDescent="0.25">
      <c r="B2179" s="547">
        <f t="shared" si="120"/>
        <v>2141</v>
      </c>
      <c r="D2179" s="624" t="s">
        <v>4935</v>
      </c>
      <c r="E2179" s="613">
        <v>0.01</v>
      </c>
    </row>
    <row r="2180" spans="2:7" s="12" customFormat="1" x14ac:dyDescent="0.25">
      <c r="B2180" s="547">
        <f t="shared" si="120"/>
        <v>2142</v>
      </c>
      <c r="D2180" s="624" t="s">
        <v>4936</v>
      </c>
      <c r="E2180" s="613">
        <v>0.01</v>
      </c>
    </row>
    <row r="2181" spans="2:7" s="12" customFormat="1" x14ac:dyDescent="0.25">
      <c r="B2181" s="547">
        <f t="shared" si="120"/>
        <v>2143</v>
      </c>
      <c r="D2181" s="624" t="s">
        <v>4937</v>
      </c>
      <c r="E2181" s="613">
        <v>0.01</v>
      </c>
    </row>
    <row r="2182" spans="2:7" s="12" customFormat="1" x14ac:dyDescent="0.25">
      <c r="B2182" s="547">
        <f t="shared" si="120"/>
        <v>2144</v>
      </c>
      <c r="D2182" s="570" t="s">
        <v>4947</v>
      </c>
      <c r="E2182" s="25"/>
    </row>
    <row r="2183" spans="2:7" x14ac:dyDescent="0.25">
      <c r="B2183" s="547">
        <f t="shared" si="120"/>
        <v>2145</v>
      </c>
      <c r="C2183" s="579" t="s">
        <v>4927</v>
      </c>
      <c r="D2183" s="579" t="str">
        <f>DESPORC!D2498</f>
        <v>NOVOS INVESTIMENTOS EM CULTURA</v>
      </c>
      <c r="E2183" s="580"/>
      <c r="F2183" s="582"/>
      <c r="G2183" s="582"/>
    </row>
    <row r="2184" spans="2:7" s="12" customFormat="1" x14ac:dyDescent="0.25">
      <c r="B2184" s="547">
        <f t="shared" si="120"/>
        <v>2146</v>
      </c>
      <c r="D2184" s="624" t="s">
        <v>4949</v>
      </c>
      <c r="E2184" s="613">
        <v>0.01</v>
      </c>
    </row>
    <row r="2185" spans="2:7" s="12" customFormat="1" x14ac:dyDescent="0.25">
      <c r="B2185" s="547">
        <f t="shared" si="120"/>
        <v>2147</v>
      </c>
      <c r="D2185" s="624" t="s">
        <v>4950</v>
      </c>
      <c r="E2185" s="613">
        <v>0.01</v>
      </c>
    </row>
    <row r="2186" spans="2:7" s="12" customFormat="1" x14ac:dyDescent="0.25">
      <c r="B2186" s="547">
        <f t="shared" si="120"/>
        <v>2148</v>
      </c>
      <c r="D2186" s="624" t="s">
        <v>4951</v>
      </c>
      <c r="E2186" s="613">
        <v>0.01</v>
      </c>
    </row>
    <row r="2187" spans="2:7" s="12" customFormat="1" x14ac:dyDescent="0.25">
      <c r="B2187" s="547">
        <f t="shared" si="120"/>
        <v>2149</v>
      </c>
      <c r="D2187" s="624" t="s">
        <v>4952</v>
      </c>
      <c r="E2187" s="613">
        <v>0.01</v>
      </c>
    </row>
    <row r="2188" spans="2:7" s="12" customFormat="1" x14ac:dyDescent="0.25">
      <c r="B2188" s="547">
        <f t="shared" si="120"/>
        <v>2150</v>
      </c>
      <c r="D2188" s="624" t="s">
        <v>4953</v>
      </c>
      <c r="E2188" s="613">
        <v>0.01</v>
      </c>
    </row>
    <row r="2189" spans="2:7" s="12" customFormat="1" x14ac:dyDescent="0.25">
      <c r="B2189" s="547">
        <f t="shared" si="120"/>
        <v>2151</v>
      </c>
      <c r="D2189" s="624" t="s">
        <v>4954</v>
      </c>
      <c r="E2189" s="613">
        <v>0.01</v>
      </c>
    </row>
    <row r="2190" spans="2:7" x14ac:dyDescent="0.25">
      <c r="B2190" s="547">
        <f t="shared" si="120"/>
        <v>2152</v>
      </c>
      <c r="C2190" s="579" t="s">
        <v>4927</v>
      </c>
      <c r="D2190" s="579" t="str">
        <f>DESPORC!D2508</f>
        <v>NOVOS INVESTIMENTOS EM CULTURA</v>
      </c>
      <c r="E2190" s="580"/>
      <c r="F2190" s="582"/>
      <c r="G2190" s="582"/>
    </row>
    <row r="2191" spans="2:7" s="12" customFormat="1" x14ac:dyDescent="0.25">
      <c r="B2191" s="547">
        <f t="shared" si="120"/>
        <v>2153</v>
      </c>
      <c r="D2191" s="624" t="s">
        <v>4955</v>
      </c>
      <c r="E2191" s="613">
        <v>0.01</v>
      </c>
    </row>
    <row r="2192" spans="2:7" s="12" customFormat="1" x14ac:dyDescent="0.25">
      <c r="B2192" s="547">
        <f t="shared" si="120"/>
        <v>2154</v>
      </c>
      <c r="D2192" s="624" t="s">
        <v>4956</v>
      </c>
      <c r="E2192" s="613">
        <v>0.01</v>
      </c>
    </row>
    <row r="2193" spans="2:7" s="12" customFormat="1" x14ac:dyDescent="0.25">
      <c r="B2193" s="547">
        <f t="shared" ref="B2193:B2256" si="121">B2192+1</f>
        <v>2155</v>
      </c>
      <c r="D2193" s="624" t="s">
        <v>4957</v>
      </c>
      <c r="E2193" s="613">
        <v>0.01</v>
      </c>
    </row>
    <row r="2194" spans="2:7" s="12" customFormat="1" x14ac:dyDescent="0.25">
      <c r="B2194" s="547">
        <f t="shared" si="121"/>
        <v>2156</v>
      </c>
      <c r="D2194" s="624" t="s">
        <v>4958</v>
      </c>
      <c r="E2194" s="613">
        <v>0.01</v>
      </c>
    </row>
    <row r="2195" spans="2:7" s="12" customFormat="1" x14ac:dyDescent="0.25">
      <c r="B2195" s="547">
        <f t="shared" si="121"/>
        <v>2157</v>
      </c>
      <c r="D2195" s="973" t="s">
        <v>7826</v>
      </c>
      <c r="E2195" s="613">
        <v>0.01</v>
      </c>
    </row>
    <row r="2196" spans="2:7" s="12" customFormat="1" x14ac:dyDescent="0.25">
      <c r="B2196" s="547">
        <f t="shared" si="121"/>
        <v>2158</v>
      </c>
      <c r="D2196" s="973" t="s">
        <v>6341</v>
      </c>
      <c r="E2196" s="613">
        <f>ER!E534</f>
        <v>1306500</v>
      </c>
    </row>
    <row r="2197" spans="2:7" s="12" customFormat="1" x14ac:dyDescent="0.25">
      <c r="B2197" s="547">
        <f t="shared" si="121"/>
        <v>2159</v>
      </c>
      <c r="D2197" s="624" t="s">
        <v>4960</v>
      </c>
      <c r="E2197" s="613">
        <v>0.01</v>
      </c>
    </row>
    <row r="2198" spans="2:7" x14ac:dyDescent="0.25">
      <c r="B2198" s="547">
        <f t="shared" si="121"/>
        <v>2160</v>
      </c>
      <c r="C2198" s="579" t="s">
        <v>4996</v>
      </c>
      <c r="D2198" s="579" t="str">
        <f>DESPORC!D2519</f>
        <v>GESÃO, COORD. E PLAN. E REAL. DE EVENTOS CULTURAIS</v>
      </c>
      <c r="E2198" s="580"/>
      <c r="F2198" s="582"/>
      <c r="G2198" s="582"/>
    </row>
    <row r="2199" spans="2:7" s="12" customFormat="1" x14ac:dyDescent="0.25">
      <c r="B2199" s="547">
        <f t="shared" si="121"/>
        <v>2161</v>
      </c>
      <c r="D2199" s="570" t="s">
        <v>4961</v>
      </c>
      <c r="E2199" s="613">
        <v>0.01</v>
      </c>
    </row>
    <row r="2200" spans="2:7" s="12" customFormat="1" ht="15.75" x14ac:dyDescent="0.25">
      <c r="B2200" s="547">
        <f t="shared" si="121"/>
        <v>2162</v>
      </c>
      <c r="D2200" s="655" t="s">
        <v>4501</v>
      </c>
      <c r="E2200" s="613">
        <v>0.01</v>
      </c>
    </row>
    <row r="2201" spans="2:7" s="12" customFormat="1" x14ac:dyDescent="0.25">
      <c r="B2201" s="547">
        <f t="shared" si="121"/>
        <v>2163</v>
      </c>
      <c r="D2201" s="570" t="s">
        <v>4962</v>
      </c>
      <c r="E2201" s="613"/>
    </row>
    <row r="2202" spans="2:7" s="12" customFormat="1" x14ac:dyDescent="0.25">
      <c r="B2202" s="547">
        <f t="shared" si="121"/>
        <v>2164</v>
      </c>
      <c r="D2202" s="624" t="s">
        <v>4903</v>
      </c>
      <c r="E2202" s="613">
        <f>'FOPAG ED.'!E288*12</f>
        <v>26704.893253725328</v>
      </c>
    </row>
    <row r="2203" spans="2:7" s="12" customFormat="1" x14ac:dyDescent="0.25">
      <c r="B2203" s="547">
        <f t="shared" si="121"/>
        <v>2165</v>
      </c>
      <c r="D2203" s="624" t="s">
        <v>4519</v>
      </c>
      <c r="E2203" s="613">
        <f>'FOPAG ED.'!E294</f>
        <v>741.80259038125905</v>
      </c>
    </row>
    <row r="2204" spans="2:7" s="12" customFormat="1" x14ac:dyDescent="0.25">
      <c r="B2204" s="547">
        <f t="shared" si="121"/>
        <v>2166</v>
      </c>
      <c r="D2204" s="624" t="s">
        <v>4844</v>
      </c>
      <c r="E2204" s="613">
        <f>'FOPAG ED.'!E295</f>
        <v>2225.4077711437772</v>
      </c>
    </row>
    <row r="2205" spans="2:7" s="12" customFormat="1" x14ac:dyDescent="0.25">
      <c r="B2205" s="547">
        <f t="shared" si="121"/>
        <v>2167</v>
      </c>
      <c r="D2205" s="570" t="s">
        <v>4963</v>
      </c>
      <c r="E2205" s="613"/>
    </row>
    <row r="2206" spans="2:7" s="12" customFormat="1" x14ac:dyDescent="0.25">
      <c r="B2206" s="547">
        <f t="shared" si="121"/>
        <v>2168</v>
      </c>
      <c r="D2206" s="570" t="s">
        <v>4964</v>
      </c>
      <c r="E2206" s="613">
        <v>0.01</v>
      </c>
    </row>
    <row r="2207" spans="2:7" s="12" customFormat="1" x14ac:dyDescent="0.25">
      <c r="B2207" s="547">
        <f t="shared" si="121"/>
        <v>2169</v>
      </c>
      <c r="D2207" s="570" t="s">
        <v>4965</v>
      </c>
      <c r="E2207" s="613">
        <v>0.01</v>
      </c>
    </row>
    <row r="2208" spans="2:7" s="12" customFormat="1" x14ac:dyDescent="0.25">
      <c r="B2208" s="547">
        <f t="shared" si="121"/>
        <v>2170</v>
      </c>
      <c r="D2208" s="570" t="s">
        <v>4966</v>
      </c>
      <c r="E2208" s="613">
        <v>0.01</v>
      </c>
    </row>
    <row r="2209" spans="2:7" s="12" customFormat="1" x14ac:dyDescent="0.25">
      <c r="B2209" s="547">
        <f t="shared" si="121"/>
        <v>2171</v>
      </c>
      <c r="D2209" s="570" t="s">
        <v>4967</v>
      </c>
      <c r="E2209" s="613">
        <v>1000</v>
      </c>
    </row>
    <row r="2210" spans="2:7" s="12" customFormat="1" x14ac:dyDescent="0.25">
      <c r="B2210" s="547">
        <f t="shared" si="121"/>
        <v>2172</v>
      </c>
      <c r="D2210" s="570" t="s">
        <v>4968</v>
      </c>
      <c r="E2210" s="613">
        <v>1000</v>
      </c>
    </row>
    <row r="2211" spans="2:7" s="12" customFormat="1" x14ac:dyDescent="0.25">
      <c r="B2211" s="547">
        <f t="shared" si="121"/>
        <v>2173</v>
      </c>
      <c r="D2211" s="570" t="s">
        <v>4969</v>
      </c>
      <c r="E2211" s="613">
        <v>1000</v>
      </c>
    </row>
    <row r="2212" spans="2:7" s="12" customFormat="1" x14ac:dyDescent="0.25">
      <c r="B2212" s="547">
        <f t="shared" si="121"/>
        <v>2174</v>
      </c>
      <c r="D2212" s="570" t="s">
        <v>4970</v>
      </c>
      <c r="E2212" s="613">
        <v>500</v>
      </c>
    </row>
    <row r="2213" spans="2:7" s="12" customFormat="1" x14ac:dyDescent="0.25">
      <c r="B2213" s="547">
        <f t="shared" si="121"/>
        <v>2175</v>
      </c>
      <c r="D2213" s="570" t="s">
        <v>4951</v>
      </c>
      <c r="E2213" s="613">
        <v>0.01</v>
      </c>
    </row>
    <row r="2214" spans="2:7" s="12" customFormat="1" x14ac:dyDescent="0.25">
      <c r="B2214" s="547">
        <f t="shared" si="121"/>
        <v>2176</v>
      </c>
      <c r="D2214" s="570" t="s">
        <v>4952</v>
      </c>
      <c r="E2214" s="613">
        <v>1000</v>
      </c>
    </row>
    <row r="2215" spans="2:7" s="12" customFormat="1" x14ac:dyDescent="0.25">
      <c r="B2215" s="547">
        <f t="shared" si="121"/>
        <v>2177</v>
      </c>
      <c r="D2215" s="570" t="s">
        <v>4971</v>
      </c>
      <c r="E2215" s="613">
        <f>((4043.07/8))*12</f>
        <v>6064.6050000000005</v>
      </c>
    </row>
    <row r="2216" spans="2:7" s="12" customFormat="1" x14ac:dyDescent="0.25">
      <c r="B2216" s="547">
        <f t="shared" si="121"/>
        <v>2178</v>
      </c>
      <c r="D2216" s="570" t="s">
        <v>4972</v>
      </c>
      <c r="E2216" s="613">
        <v>1000</v>
      </c>
    </row>
    <row r="2217" spans="2:7" s="12" customFormat="1" x14ac:dyDescent="0.25">
      <c r="B2217" s="547">
        <f t="shared" si="121"/>
        <v>2179</v>
      </c>
      <c r="D2217" s="570" t="s">
        <v>4973</v>
      </c>
      <c r="E2217" s="613">
        <v>0.01</v>
      </c>
    </row>
    <row r="2218" spans="2:7" s="12" customFormat="1" x14ac:dyDescent="0.25">
      <c r="B2218" s="547">
        <f t="shared" si="121"/>
        <v>2180</v>
      </c>
      <c r="D2218" s="570" t="s">
        <v>4974</v>
      </c>
      <c r="E2218" s="613">
        <v>0.01</v>
      </c>
    </row>
    <row r="2219" spans="2:7" s="12" customFormat="1" x14ac:dyDescent="0.25">
      <c r="B2219" s="547">
        <f t="shared" si="121"/>
        <v>2181</v>
      </c>
      <c r="D2219" s="570" t="s">
        <v>4975</v>
      </c>
      <c r="E2219" s="613">
        <v>300</v>
      </c>
    </row>
    <row r="2220" spans="2:7" s="12" customFormat="1" x14ac:dyDescent="0.25">
      <c r="B2220" s="547">
        <f t="shared" si="121"/>
        <v>2182</v>
      </c>
      <c r="D2220" s="570" t="s">
        <v>4976</v>
      </c>
      <c r="E2220" s="613">
        <v>0.01</v>
      </c>
    </row>
    <row r="2221" spans="2:7" s="12" customFormat="1" x14ac:dyDescent="0.25">
      <c r="B2221" s="547">
        <f t="shared" si="121"/>
        <v>2183</v>
      </c>
      <c r="D2221" s="570" t="s">
        <v>4953</v>
      </c>
      <c r="E2221" s="613">
        <v>0.01</v>
      </c>
    </row>
    <row r="2222" spans="2:7" s="12" customFormat="1" x14ac:dyDescent="0.25">
      <c r="B2222" s="547">
        <f t="shared" si="121"/>
        <v>2184</v>
      </c>
      <c r="D2222" s="570" t="s">
        <v>4954</v>
      </c>
      <c r="E2222" s="613">
        <v>0.01</v>
      </c>
    </row>
    <row r="2223" spans="2:7" x14ac:dyDescent="0.25">
      <c r="B2223" s="547">
        <f t="shared" si="121"/>
        <v>2185</v>
      </c>
      <c r="C2223" s="579" t="s">
        <v>4996</v>
      </c>
      <c r="D2223" s="579" t="str">
        <f>DESPORC!D2544</f>
        <v>GESÃO, COORD. E PLAN. E REAL. DE EVENTOS CULTURAIS</v>
      </c>
      <c r="E2223" s="580"/>
      <c r="F2223" s="582"/>
      <c r="G2223" s="582"/>
    </row>
    <row r="2224" spans="2:7" s="12" customFormat="1" ht="31.5" x14ac:dyDescent="0.25">
      <c r="B2224" s="547">
        <f t="shared" si="121"/>
        <v>2186</v>
      </c>
      <c r="D2224" s="626" t="s">
        <v>4994</v>
      </c>
      <c r="E2224" s="613">
        <v>0.01</v>
      </c>
    </row>
    <row r="2225" spans="2:7" s="12" customFormat="1" ht="31.5" x14ac:dyDescent="0.25">
      <c r="B2225" s="547">
        <f t="shared" si="121"/>
        <v>2187</v>
      </c>
      <c r="D2225" s="626" t="s">
        <v>4995</v>
      </c>
      <c r="E2225" s="613">
        <v>0.01</v>
      </c>
    </row>
    <row r="2226" spans="2:7" x14ac:dyDescent="0.25">
      <c r="B2226" s="547">
        <f t="shared" si="121"/>
        <v>2188</v>
      </c>
      <c r="C2226" s="579" t="s">
        <v>4996</v>
      </c>
      <c r="D2226" s="579" t="str">
        <f>DESPORC!D2550</f>
        <v>GESÃO, COORD. E PLAN. E REAL. DE EVENTOS CULTURAIS</v>
      </c>
      <c r="E2226" s="580"/>
      <c r="F2226" s="582"/>
      <c r="G2226" s="582"/>
    </row>
    <row r="2227" spans="2:7" s="12" customFormat="1" x14ac:dyDescent="0.25">
      <c r="B2227" s="547">
        <f t="shared" si="121"/>
        <v>2189</v>
      </c>
      <c r="D2227" s="624" t="s">
        <v>5105</v>
      </c>
      <c r="E2227" s="613">
        <v>0.01</v>
      </c>
    </row>
    <row r="2228" spans="2:7" s="12" customFormat="1" x14ac:dyDescent="0.25">
      <c r="B2228" s="547">
        <f t="shared" si="121"/>
        <v>2190</v>
      </c>
      <c r="D2228" s="624" t="s">
        <v>5106</v>
      </c>
      <c r="E2228" s="613">
        <v>0.01</v>
      </c>
    </row>
    <row r="2229" spans="2:7" s="12" customFormat="1" ht="15.75" x14ac:dyDescent="0.25">
      <c r="B2229" s="547">
        <f t="shared" si="121"/>
        <v>2191</v>
      </c>
      <c r="D2229" s="688" t="s">
        <v>6348</v>
      </c>
      <c r="E2229" s="613">
        <v>0.01</v>
      </c>
    </row>
    <row r="2230" spans="2:7" s="12" customFormat="1" x14ac:dyDescent="0.25">
      <c r="B2230" s="547">
        <f t="shared" si="121"/>
        <v>2192</v>
      </c>
      <c r="D2230" s="624" t="s">
        <v>5107</v>
      </c>
      <c r="E2230" s="613">
        <v>0.01</v>
      </c>
    </row>
    <row r="2231" spans="2:7" s="12" customFormat="1" ht="15.75" x14ac:dyDescent="0.25">
      <c r="B2231" s="547">
        <f t="shared" si="121"/>
        <v>2193</v>
      </c>
      <c r="D2231" s="688" t="s">
        <v>6350</v>
      </c>
      <c r="E2231" s="613">
        <v>0.01</v>
      </c>
    </row>
    <row r="2232" spans="2:7" x14ac:dyDescent="0.25">
      <c r="B2232" s="547">
        <f t="shared" si="121"/>
        <v>2194</v>
      </c>
      <c r="C2232" s="579" t="s">
        <v>4996</v>
      </c>
      <c r="D2232" s="579" t="str">
        <f>DESPORC!D2559</f>
        <v>GESÃO, COORD. E PLAN. E REAL. DE EVENTOS CULTURAIS</v>
      </c>
      <c r="E2232" s="580"/>
      <c r="F2232" s="582"/>
      <c r="G2232" s="582"/>
    </row>
    <row r="2233" spans="2:7" s="12" customFormat="1" x14ac:dyDescent="0.25">
      <c r="B2233" s="547">
        <f t="shared" si="121"/>
        <v>2195</v>
      </c>
      <c r="D2233" s="570" t="s">
        <v>4977</v>
      </c>
      <c r="E2233" s="25">
        <v>0.01</v>
      </c>
    </row>
    <row r="2234" spans="2:7" s="12" customFormat="1" ht="15.75" x14ac:dyDescent="0.25">
      <c r="B2234" s="547">
        <f t="shared" si="121"/>
        <v>2196</v>
      </c>
      <c r="D2234" s="655" t="s">
        <v>4501</v>
      </c>
      <c r="E2234" s="25">
        <v>0.01</v>
      </c>
    </row>
    <row r="2235" spans="2:7" s="12" customFormat="1" x14ac:dyDescent="0.25">
      <c r="B2235" s="547">
        <f t="shared" si="121"/>
        <v>2197</v>
      </c>
      <c r="D2235" s="570" t="s">
        <v>4978</v>
      </c>
      <c r="E2235" s="25"/>
    </row>
    <row r="2236" spans="2:7" s="12" customFormat="1" x14ac:dyDescent="0.25">
      <c r="B2236" s="547">
        <f t="shared" si="121"/>
        <v>2198</v>
      </c>
      <c r="D2236" s="624" t="s">
        <v>4903</v>
      </c>
      <c r="E2236" s="613">
        <f>'FOPAG ED.'!E305*12</f>
        <v>100143.34970146997</v>
      </c>
    </row>
    <row r="2237" spans="2:7" s="12" customFormat="1" x14ac:dyDescent="0.25">
      <c r="B2237" s="547">
        <f t="shared" si="121"/>
        <v>2199</v>
      </c>
      <c r="D2237" s="624" t="s">
        <v>4519</v>
      </c>
      <c r="E2237" s="613">
        <f>'FOPAG ED.'!E311</f>
        <v>2781.7597139297213</v>
      </c>
    </row>
    <row r="2238" spans="2:7" s="12" customFormat="1" x14ac:dyDescent="0.25">
      <c r="B2238" s="547">
        <f t="shared" si="121"/>
        <v>2200</v>
      </c>
      <c r="D2238" s="624" t="s">
        <v>4844</v>
      </c>
      <c r="E2238" s="613">
        <f>'FOPAG ED.'!E312</f>
        <v>8345.279141789164</v>
      </c>
    </row>
    <row r="2239" spans="2:7" s="12" customFormat="1" x14ac:dyDescent="0.25">
      <c r="B2239" s="547">
        <f t="shared" si="121"/>
        <v>2201</v>
      </c>
      <c r="D2239" s="570" t="s">
        <v>4979</v>
      </c>
      <c r="E2239" s="25"/>
    </row>
    <row r="2240" spans="2:7" s="12" customFormat="1" x14ac:dyDescent="0.25">
      <c r="B2240" s="547">
        <f t="shared" si="121"/>
        <v>2202</v>
      </c>
      <c r="D2240" s="570" t="s">
        <v>4980</v>
      </c>
      <c r="E2240" s="25">
        <v>0.01</v>
      </c>
    </row>
    <row r="2241" spans="2:5" s="12" customFormat="1" x14ac:dyDescent="0.25">
      <c r="B2241" s="547">
        <f t="shared" si="121"/>
        <v>2203</v>
      </c>
      <c r="D2241" s="570" t="s">
        <v>4981</v>
      </c>
      <c r="E2241" s="25">
        <v>0.01</v>
      </c>
    </row>
    <row r="2242" spans="2:5" s="12" customFormat="1" x14ac:dyDescent="0.25">
      <c r="B2242" s="547">
        <f t="shared" si="121"/>
        <v>2204</v>
      </c>
      <c r="D2242" s="570" t="s">
        <v>4982</v>
      </c>
      <c r="E2242" s="25">
        <v>0.01</v>
      </c>
    </row>
    <row r="2243" spans="2:5" s="12" customFormat="1" x14ac:dyDescent="0.25">
      <c r="B2243" s="547">
        <f t="shared" si="121"/>
        <v>2205</v>
      </c>
      <c r="D2243" s="570" t="s">
        <v>4983</v>
      </c>
      <c r="E2243" s="25">
        <v>1500</v>
      </c>
    </row>
    <row r="2244" spans="2:5" s="12" customFormat="1" x14ac:dyDescent="0.25">
      <c r="B2244" s="547">
        <f t="shared" si="121"/>
        <v>2206</v>
      </c>
      <c r="D2244" s="570" t="s">
        <v>4984</v>
      </c>
      <c r="E2244" s="25">
        <v>70000</v>
      </c>
    </row>
    <row r="2245" spans="2:5" s="12" customFormat="1" x14ac:dyDescent="0.25">
      <c r="B2245" s="547">
        <f t="shared" si="121"/>
        <v>2207</v>
      </c>
      <c r="D2245" s="624" t="s">
        <v>4997</v>
      </c>
      <c r="E2245" s="613">
        <v>0</v>
      </c>
    </row>
    <row r="2246" spans="2:5" s="12" customFormat="1" x14ac:dyDescent="0.25">
      <c r="B2246" s="547">
        <f t="shared" si="121"/>
        <v>2208</v>
      </c>
      <c r="D2246" s="624" t="s">
        <v>4998</v>
      </c>
      <c r="E2246" s="613">
        <v>0</v>
      </c>
    </row>
    <row r="2247" spans="2:5" s="12" customFormat="1" x14ac:dyDescent="0.25">
      <c r="B2247" s="547">
        <f t="shared" si="121"/>
        <v>2209</v>
      </c>
      <c r="D2247" s="624" t="s">
        <v>4999</v>
      </c>
      <c r="E2247" s="613">
        <v>0</v>
      </c>
    </row>
    <row r="2248" spans="2:5" s="12" customFormat="1" x14ac:dyDescent="0.25">
      <c r="B2248" s="547">
        <f t="shared" si="121"/>
        <v>2210</v>
      </c>
      <c r="D2248" s="624" t="s">
        <v>5000</v>
      </c>
      <c r="E2248" s="613">
        <v>0</v>
      </c>
    </row>
    <row r="2249" spans="2:5" s="12" customFormat="1" x14ac:dyDescent="0.25">
      <c r="B2249" s="547">
        <f t="shared" si="121"/>
        <v>2211</v>
      </c>
      <c r="D2249" s="624" t="s">
        <v>5001</v>
      </c>
      <c r="E2249" s="613">
        <v>0</v>
      </c>
    </row>
    <row r="2250" spans="2:5" s="12" customFormat="1" x14ac:dyDescent="0.25">
      <c r="B2250" s="547">
        <f t="shared" si="121"/>
        <v>2212</v>
      </c>
      <c r="D2250" s="624" t="s">
        <v>5002</v>
      </c>
      <c r="E2250" s="613">
        <v>0</v>
      </c>
    </row>
    <row r="2251" spans="2:5" s="12" customFormat="1" x14ac:dyDescent="0.25">
      <c r="B2251" s="547">
        <f t="shared" si="121"/>
        <v>2213</v>
      </c>
      <c r="D2251" s="624" t="s">
        <v>5003</v>
      </c>
      <c r="E2251" s="613">
        <v>0</v>
      </c>
    </row>
    <row r="2252" spans="2:5" s="12" customFormat="1" x14ac:dyDescent="0.25">
      <c r="B2252" s="547">
        <f t="shared" si="121"/>
        <v>2214</v>
      </c>
      <c r="D2252" s="624" t="s">
        <v>5004</v>
      </c>
      <c r="E2252" s="613">
        <v>0</v>
      </c>
    </row>
    <row r="2253" spans="2:5" s="12" customFormat="1" x14ac:dyDescent="0.25">
      <c r="B2253" s="547">
        <f t="shared" si="121"/>
        <v>2215</v>
      </c>
      <c r="D2253" s="624" t="s">
        <v>5673</v>
      </c>
      <c r="E2253" s="613">
        <v>0</v>
      </c>
    </row>
    <row r="2254" spans="2:5" s="12" customFormat="1" x14ac:dyDescent="0.25">
      <c r="B2254" s="547">
        <f t="shared" si="121"/>
        <v>2216</v>
      </c>
      <c r="D2254" s="624" t="s">
        <v>5006</v>
      </c>
      <c r="E2254" s="613">
        <v>0</v>
      </c>
    </row>
    <row r="2255" spans="2:5" s="12" customFormat="1" x14ac:dyDescent="0.25">
      <c r="B2255" s="547">
        <f t="shared" si="121"/>
        <v>2217</v>
      </c>
      <c r="D2255" s="624" t="s">
        <v>5007</v>
      </c>
      <c r="E2255" s="613">
        <v>0</v>
      </c>
    </row>
    <row r="2256" spans="2:5" s="12" customFormat="1" x14ac:dyDescent="0.25">
      <c r="B2256" s="547">
        <f t="shared" si="121"/>
        <v>2218</v>
      </c>
      <c r="D2256" s="624" t="s">
        <v>5008</v>
      </c>
      <c r="E2256" s="613">
        <v>0</v>
      </c>
    </row>
    <row r="2257" spans="2:5" s="12" customFormat="1" x14ac:dyDescent="0.25">
      <c r="B2257" s="547">
        <f t="shared" ref="B2257:B2320" si="122">B2256+1</f>
        <v>2219</v>
      </c>
      <c r="D2257" s="624" t="s">
        <v>5009</v>
      </c>
      <c r="E2257" s="613">
        <v>0</v>
      </c>
    </row>
    <row r="2258" spans="2:5" s="12" customFormat="1" x14ac:dyDescent="0.25">
      <c r="B2258" s="547">
        <f t="shared" si="122"/>
        <v>2220</v>
      </c>
      <c r="D2258" s="624" t="s">
        <v>4767</v>
      </c>
      <c r="E2258" s="613">
        <v>0</v>
      </c>
    </row>
    <row r="2259" spans="2:5" s="12" customFormat="1" x14ac:dyDescent="0.25">
      <c r="B2259" s="547">
        <f t="shared" si="122"/>
        <v>2221</v>
      </c>
      <c r="D2259" s="570" t="s">
        <v>4985</v>
      </c>
      <c r="E2259" s="25">
        <v>15000</v>
      </c>
    </row>
    <row r="2260" spans="2:5" s="12" customFormat="1" x14ac:dyDescent="0.25">
      <c r="B2260" s="547">
        <f t="shared" si="122"/>
        <v>2222</v>
      </c>
      <c r="D2260" s="570" t="s">
        <v>4986</v>
      </c>
      <c r="E2260" s="25">
        <v>10000</v>
      </c>
    </row>
    <row r="2261" spans="2:5" s="12" customFormat="1" x14ac:dyDescent="0.25">
      <c r="B2261" s="547">
        <f t="shared" si="122"/>
        <v>2223</v>
      </c>
      <c r="D2261" s="570" t="s">
        <v>4987</v>
      </c>
      <c r="E2261" s="25">
        <v>1500</v>
      </c>
    </row>
    <row r="2262" spans="2:5" s="12" customFormat="1" x14ac:dyDescent="0.25">
      <c r="B2262" s="547">
        <f t="shared" si="122"/>
        <v>2224</v>
      </c>
      <c r="D2262" s="570" t="s">
        <v>4957</v>
      </c>
      <c r="E2262" s="613">
        <v>15000</v>
      </c>
    </row>
    <row r="2263" spans="2:5" s="12" customFormat="1" x14ac:dyDescent="0.25">
      <c r="B2263" s="547">
        <f t="shared" si="122"/>
        <v>2225</v>
      </c>
      <c r="D2263" s="624" t="s">
        <v>4997</v>
      </c>
      <c r="E2263" s="613">
        <v>0</v>
      </c>
    </row>
    <row r="2264" spans="2:5" s="12" customFormat="1" x14ac:dyDescent="0.25">
      <c r="B2264" s="547">
        <f t="shared" si="122"/>
        <v>2226</v>
      </c>
      <c r="D2264" s="624" t="s">
        <v>4998</v>
      </c>
      <c r="E2264" s="613">
        <v>0</v>
      </c>
    </row>
    <row r="2265" spans="2:5" s="12" customFormat="1" x14ac:dyDescent="0.25">
      <c r="B2265" s="547">
        <f t="shared" si="122"/>
        <v>2227</v>
      </c>
      <c r="D2265" s="624" t="s">
        <v>4999</v>
      </c>
      <c r="E2265" s="613">
        <v>0</v>
      </c>
    </row>
    <row r="2266" spans="2:5" s="12" customFormat="1" x14ac:dyDescent="0.25">
      <c r="B2266" s="547">
        <f t="shared" si="122"/>
        <v>2228</v>
      </c>
      <c r="D2266" s="624" t="s">
        <v>5000</v>
      </c>
      <c r="E2266" s="613">
        <v>0</v>
      </c>
    </row>
    <row r="2267" spans="2:5" s="12" customFormat="1" x14ac:dyDescent="0.25">
      <c r="B2267" s="547">
        <f t="shared" si="122"/>
        <v>2229</v>
      </c>
      <c r="D2267" s="624" t="s">
        <v>5001</v>
      </c>
      <c r="E2267" s="613">
        <v>0</v>
      </c>
    </row>
    <row r="2268" spans="2:5" s="12" customFormat="1" x14ac:dyDescent="0.25">
      <c r="B2268" s="547">
        <f t="shared" si="122"/>
        <v>2230</v>
      </c>
      <c r="D2268" s="624" t="s">
        <v>5002</v>
      </c>
      <c r="E2268" s="613">
        <v>0</v>
      </c>
    </row>
    <row r="2269" spans="2:5" s="12" customFormat="1" x14ac:dyDescent="0.25">
      <c r="B2269" s="547">
        <f t="shared" si="122"/>
        <v>2231</v>
      </c>
      <c r="D2269" s="624" t="s">
        <v>5003</v>
      </c>
      <c r="E2269" s="613">
        <v>0</v>
      </c>
    </row>
    <row r="2270" spans="2:5" s="12" customFormat="1" x14ac:dyDescent="0.25">
      <c r="B2270" s="547">
        <f t="shared" si="122"/>
        <v>2232</v>
      </c>
      <c r="D2270" s="624" t="s">
        <v>5004</v>
      </c>
      <c r="E2270" s="613">
        <v>0</v>
      </c>
    </row>
    <row r="2271" spans="2:5" s="12" customFormat="1" x14ac:dyDescent="0.25">
      <c r="B2271" s="547">
        <f t="shared" si="122"/>
        <v>2233</v>
      </c>
      <c r="D2271" s="624" t="s">
        <v>5005</v>
      </c>
      <c r="E2271" s="613">
        <v>0</v>
      </c>
    </row>
    <row r="2272" spans="2:5" s="12" customFormat="1" x14ac:dyDescent="0.25">
      <c r="B2272" s="547">
        <f t="shared" si="122"/>
        <v>2234</v>
      </c>
      <c r="D2272" s="624" t="s">
        <v>5006</v>
      </c>
      <c r="E2272" s="613">
        <v>0</v>
      </c>
    </row>
    <row r="2273" spans="2:5" s="12" customFormat="1" x14ac:dyDescent="0.25">
      <c r="B2273" s="547">
        <f t="shared" si="122"/>
        <v>2235</v>
      </c>
      <c r="D2273" s="624" t="s">
        <v>5007</v>
      </c>
      <c r="E2273" s="613">
        <v>0</v>
      </c>
    </row>
    <row r="2274" spans="2:5" s="12" customFormat="1" x14ac:dyDescent="0.25">
      <c r="B2274" s="547">
        <f t="shared" si="122"/>
        <v>2236</v>
      </c>
      <c r="D2274" s="624" t="s">
        <v>5008</v>
      </c>
      <c r="E2274" s="613">
        <v>0</v>
      </c>
    </row>
    <row r="2275" spans="2:5" s="12" customFormat="1" x14ac:dyDescent="0.25">
      <c r="B2275" s="547">
        <f t="shared" si="122"/>
        <v>2237</v>
      </c>
      <c r="D2275" s="624" t="s">
        <v>5009</v>
      </c>
      <c r="E2275" s="613">
        <v>0</v>
      </c>
    </row>
    <row r="2276" spans="2:5" s="12" customFormat="1" x14ac:dyDescent="0.25">
      <c r="B2276" s="547">
        <f t="shared" si="122"/>
        <v>2238</v>
      </c>
      <c r="D2276" s="624" t="s">
        <v>4767</v>
      </c>
      <c r="E2276" s="613">
        <v>0</v>
      </c>
    </row>
    <row r="2277" spans="2:5" s="12" customFormat="1" x14ac:dyDescent="0.25">
      <c r="B2277" s="547">
        <f t="shared" si="122"/>
        <v>2239</v>
      </c>
      <c r="D2277" s="570" t="s">
        <v>4958</v>
      </c>
      <c r="E2277" s="25">
        <v>100000</v>
      </c>
    </row>
    <row r="2278" spans="2:5" s="12" customFormat="1" x14ac:dyDescent="0.25">
      <c r="B2278" s="547">
        <f t="shared" si="122"/>
        <v>2240</v>
      </c>
      <c r="D2278" s="624" t="s">
        <v>4997</v>
      </c>
      <c r="E2278" s="613">
        <v>0</v>
      </c>
    </row>
    <row r="2279" spans="2:5" s="12" customFormat="1" x14ac:dyDescent="0.25">
      <c r="B2279" s="547">
        <f t="shared" si="122"/>
        <v>2241</v>
      </c>
      <c r="D2279" s="624" t="s">
        <v>4998</v>
      </c>
      <c r="E2279" s="613">
        <v>0</v>
      </c>
    </row>
    <row r="2280" spans="2:5" s="12" customFormat="1" x14ac:dyDescent="0.25">
      <c r="B2280" s="547">
        <f t="shared" si="122"/>
        <v>2242</v>
      </c>
      <c r="D2280" s="624" t="s">
        <v>4999</v>
      </c>
      <c r="E2280" s="613">
        <v>0</v>
      </c>
    </row>
    <row r="2281" spans="2:5" s="12" customFormat="1" x14ac:dyDescent="0.25">
      <c r="B2281" s="547">
        <f t="shared" si="122"/>
        <v>2243</v>
      </c>
      <c r="D2281" s="624" t="s">
        <v>5000</v>
      </c>
      <c r="E2281" s="613">
        <v>0</v>
      </c>
    </row>
    <row r="2282" spans="2:5" s="12" customFormat="1" x14ac:dyDescent="0.25">
      <c r="B2282" s="547">
        <f t="shared" si="122"/>
        <v>2244</v>
      </c>
      <c r="D2282" s="624" t="s">
        <v>5001</v>
      </c>
      <c r="E2282" s="613">
        <v>0</v>
      </c>
    </row>
    <row r="2283" spans="2:5" s="12" customFormat="1" x14ac:dyDescent="0.25">
      <c r="B2283" s="547">
        <f t="shared" si="122"/>
        <v>2245</v>
      </c>
      <c r="D2283" s="624" t="s">
        <v>5002</v>
      </c>
      <c r="E2283" s="613">
        <v>0</v>
      </c>
    </row>
    <row r="2284" spans="2:5" s="12" customFormat="1" x14ac:dyDescent="0.25">
      <c r="B2284" s="547">
        <f t="shared" si="122"/>
        <v>2246</v>
      </c>
      <c r="D2284" s="624" t="s">
        <v>5003</v>
      </c>
      <c r="E2284" s="613">
        <v>0</v>
      </c>
    </row>
    <row r="2285" spans="2:5" s="12" customFormat="1" x14ac:dyDescent="0.25">
      <c r="B2285" s="547">
        <f t="shared" si="122"/>
        <v>2247</v>
      </c>
      <c r="D2285" s="624" t="s">
        <v>5004</v>
      </c>
      <c r="E2285" s="613">
        <v>0</v>
      </c>
    </row>
    <row r="2286" spans="2:5" s="12" customFormat="1" x14ac:dyDescent="0.25">
      <c r="B2286" s="547">
        <f t="shared" si="122"/>
        <v>2248</v>
      </c>
      <c r="D2286" s="624" t="s">
        <v>5673</v>
      </c>
      <c r="E2286" s="613">
        <v>0</v>
      </c>
    </row>
    <row r="2287" spans="2:5" s="12" customFormat="1" x14ac:dyDescent="0.25">
      <c r="B2287" s="547">
        <f t="shared" si="122"/>
        <v>2249</v>
      </c>
      <c r="D2287" s="624" t="s">
        <v>5006</v>
      </c>
      <c r="E2287" s="613">
        <v>0</v>
      </c>
    </row>
    <row r="2288" spans="2:5" s="12" customFormat="1" x14ac:dyDescent="0.25">
      <c r="B2288" s="547">
        <f t="shared" si="122"/>
        <v>2250</v>
      </c>
      <c r="D2288" s="624" t="s">
        <v>5007</v>
      </c>
      <c r="E2288" s="613">
        <v>0</v>
      </c>
    </row>
    <row r="2289" spans="2:7" s="12" customFormat="1" x14ac:dyDescent="0.25">
      <c r="B2289" s="547">
        <f t="shared" si="122"/>
        <v>2251</v>
      </c>
      <c r="D2289" s="624" t="s">
        <v>5008</v>
      </c>
      <c r="E2289" s="613">
        <v>0</v>
      </c>
    </row>
    <row r="2290" spans="2:7" s="12" customFormat="1" x14ac:dyDescent="0.25">
      <c r="B2290" s="547">
        <f t="shared" si="122"/>
        <v>2252</v>
      </c>
      <c r="D2290" s="624" t="s">
        <v>5009</v>
      </c>
      <c r="E2290" s="613">
        <v>0</v>
      </c>
    </row>
    <row r="2291" spans="2:7" s="12" customFormat="1" x14ac:dyDescent="0.25">
      <c r="B2291" s="547">
        <f t="shared" si="122"/>
        <v>2253</v>
      </c>
      <c r="D2291" s="624" t="s">
        <v>4767</v>
      </c>
      <c r="E2291" s="613">
        <v>0</v>
      </c>
    </row>
    <row r="2292" spans="2:7" s="12" customFormat="1" x14ac:dyDescent="0.25">
      <c r="B2292" s="547">
        <f t="shared" si="122"/>
        <v>2254</v>
      </c>
      <c r="D2292" s="570" t="s">
        <v>4988</v>
      </c>
      <c r="E2292" s="25">
        <f>3991.58/8*12</f>
        <v>5987.37</v>
      </c>
    </row>
    <row r="2293" spans="2:7" s="12" customFormat="1" ht="30" x14ac:dyDescent="0.25">
      <c r="B2293" s="547">
        <f t="shared" si="122"/>
        <v>2255</v>
      </c>
      <c r="D2293" s="570" t="s">
        <v>4989</v>
      </c>
      <c r="E2293" s="25">
        <v>10000</v>
      </c>
    </row>
    <row r="2294" spans="2:7" s="12" customFormat="1" x14ac:dyDescent="0.25">
      <c r="B2294" s="547">
        <f t="shared" si="122"/>
        <v>2256</v>
      </c>
      <c r="D2294" s="570" t="s">
        <v>4990</v>
      </c>
      <c r="E2294" s="25">
        <v>0.01</v>
      </c>
    </row>
    <row r="2295" spans="2:7" s="12" customFormat="1" x14ac:dyDescent="0.25">
      <c r="B2295" s="547">
        <f t="shared" si="122"/>
        <v>2257</v>
      </c>
      <c r="D2295" s="570" t="s">
        <v>4991</v>
      </c>
      <c r="E2295" s="25">
        <v>0.01</v>
      </c>
    </row>
    <row r="2296" spans="2:7" s="12" customFormat="1" x14ac:dyDescent="0.25">
      <c r="B2296" s="547">
        <f t="shared" si="122"/>
        <v>2258</v>
      </c>
      <c r="D2296" s="570" t="s">
        <v>4992</v>
      </c>
      <c r="E2296" s="25">
        <v>300</v>
      </c>
    </row>
    <row r="2297" spans="2:7" s="12" customFormat="1" x14ac:dyDescent="0.25">
      <c r="B2297" s="547">
        <f t="shared" si="122"/>
        <v>2259</v>
      </c>
      <c r="D2297" s="570" t="s">
        <v>4993</v>
      </c>
      <c r="E2297" s="25">
        <v>0.01</v>
      </c>
    </row>
    <row r="2298" spans="2:7" s="12" customFormat="1" x14ac:dyDescent="0.25">
      <c r="B2298" s="547">
        <f t="shared" si="122"/>
        <v>2260</v>
      </c>
      <c r="D2298" s="570" t="s">
        <v>4959</v>
      </c>
      <c r="E2298" s="25">
        <v>0.01</v>
      </c>
    </row>
    <row r="2299" spans="2:7" s="12" customFormat="1" x14ac:dyDescent="0.25">
      <c r="B2299" s="547">
        <f t="shared" si="122"/>
        <v>2261</v>
      </c>
      <c r="D2299" s="570" t="s">
        <v>4960</v>
      </c>
      <c r="E2299" s="25">
        <v>0.01</v>
      </c>
    </row>
    <row r="2300" spans="2:7" s="12" customFormat="1" x14ac:dyDescent="0.25">
      <c r="B2300" s="547">
        <f t="shared" si="122"/>
        <v>2262</v>
      </c>
      <c r="D2300" s="570" t="s">
        <v>5029</v>
      </c>
      <c r="E2300" s="25"/>
    </row>
    <row r="2301" spans="2:7" x14ac:dyDescent="0.25">
      <c r="B2301" s="547">
        <f t="shared" si="122"/>
        <v>2263</v>
      </c>
      <c r="C2301" s="579" t="s">
        <v>5030</v>
      </c>
      <c r="D2301" s="579" t="str">
        <f>DESPORC!D2594</f>
        <v>NOVOS INVESTIMENTOS EM DESPORTO E LAZER</v>
      </c>
      <c r="E2301" s="580"/>
      <c r="F2301" s="582"/>
      <c r="G2301" s="582"/>
    </row>
    <row r="2302" spans="2:7" s="12" customFormat="1" x14ac:dyDescent="0.25">
      <c r="B2302" s="547">
        <f t="shared" si="122"/>
        <v>2264</v>
      </c>
      <c r="D2302" s="624" t="s">
        <v>5017</v>
      </c>
      <c r="E2302" s="613">
        <v>0.01</v>
      </c>
    </row>
    <row r="2303" spans="2:7" s="12" customFormat="1" x14ac:dyDescent="0.25">
      <c r="B2303" s="547">
        <f t="shared" si="122"/>
        <v>2265</v>
      </c>
      <c r="D2303" s="624" t="s">
        <v>5018</v>
      </c>
      <c r="E2303" s="613">
        <v>0.01</v>
      </c>
    </row>
    <row r="2304" spans="2:7" s="12" customFormat="1" x14ac:dyDescent="0.25">
      <c r="B2304" s="547">
        <f t="shared" si="122"/>
        <v>2266</v>
      </c>
      <c r="D2304" s="624" t="s">
        <v>5019</v>
      </c>
      <c r="E2304" s="613">
        <v>0.01</v>
      </c>
    </row>
    <row r="2305" spans="2:7" s="12" customFormat="1" x14ac:dyDescent="0.25">
      <c r="B2305" s="547">
        <f t="shared" si="122"/>
        <v>2267</v>
      </c>
      <c r="D2305" s="624" t="s">
        <v>5020</v>
      </c>
      <c r="E2305" s="613">
        <v>0.01</v>
      </c>
    </row>
    <row r="2306" spans="2:7" s="12" customFormat="1" x14ac:dyDescent="0.25">
      <c r="B2306" s="547">
        <f t="shared" si="122"/>
        <v>2268</v>
      </c>
      <c r="D2306" s="624" t="s">
        <v>5021</v>
      </c>
      <c r="E2306" s="613">
        <v>0.01</v>
      </c>
    </row>
    <row r="2307" spans="2:7" s="12" customFormat="1" x14ac:dyDescent="0.25">
      <c r="B2307" s="547">
        <f t="shared" si="122"/>
        <v>2269</v>
      </c>
      <c r="D2307" s="624" t="s">
        <v>5022</v>
      </c>
      <c r="E2307" s="613">
        <v>0.01</v>
      </c>
    </row>
    <row r="2308" spans="2:7" x14ac:dyDescent="0.25">
      <c r="B2308" s="547">
        <f t="shared" si="122"/>
        <v>2270</v>
      </c>
      <c r="C2308" s="579" t="s">
        <v>5030</v>
      </c>
      <c r="D2308" s="579" t="str">
        <f>DESPORC!D2604</f>
        <v>NOVOS INVESTIMENTOS EM DESPORTO E LAZER</v>
      </c>
      <c r="E2308" s="580"/>
      <c r="F2308" s="582"/>
      <c r="G2308" s="582"/>
    </row>
    <row r="2309" spans="2:7" s="12" customFormat="1" x14ac:dyDescent="0.25">
      <c r="B2309" s="547">
        <f t="shared" si="122"/>
        <v>2271</v>
      </c>
      <c r="D2309" s="624" t="s">
        <v>5023</v>
      </c>
      <c r="E2309" s="613">
        <v>0.01</v>
      </c>
    </row>
    <row r="2310" spans="2:7" s="12" customFormat="1" x14ac:dyDescent="0.25">
      <c r="B2310" s="547">
        <f t="shared" si="122"/>
        <v>2272</v>
      </c>
      <c r="D2310" s="624" t="s">
        <v>5024</v>
      </c>
      <c r="E2310" s="613">
        <v>0.01</v>
      </c>
    </row>
    <row r="2311" spans="2:7" s="12" customFormat="1" x14ac:dyDescent="0.25">
      <c r="B2311" s="547">
        <f t="shared" si="122"/>
        <v>2273</v>
      </c>
      <c r="D2311" s="624" t="s">
        <v>5025</v>
      </c>
      <c r="E2311" s="613">
        <v>0.01</v>
      </c>
    </row>
    <row r="2312" spans="2:7" s="12" customFormat="1" x14ac:dyDescent="0.25">
      <c r="B2312" s="547">
        <f t="shared" si="122"/>
        <v>2274</v>
      </c>
      <c r="D2312" s="624" t="s">
        <v>5026</v>
      </c>
      <c r="E2312" s="613">
        <v>0.01</v>
      </c>
    </row>
    <row r="2313" spans="2:7" s="12" customFormat="1" x14ac:dyDescent="0.25">
      <c r="B2313" s="547">
        <f t="shared" si="122"/>
        <v>2275</v>
      </c>
      <c r="D2313" s="624" t="s">
        <v>5027</v>
      </c>
      <c r="E2313" s="613">
        <v>0.01</v>
      </c>
    </row>
    <row r="2314" spans="2:7" s="12" customFormat="1" x14ac:dyDescent="0.25">
      <c r="B2314" s="547">
        <f t="shared" si="122"/>
        <v>2276</v>
      </c>
      <c r="D2314" s="624" t="s">
        <v>5028</v>
      </c>
      <c r="E2314" s="613">
        <v>0.01</v>
      </c>
    </row>
    <row r="2315" spans="2:7" x14ac:dyDescent="0.25">
      <c r="B2315" s="547">
        <f t="shared" si="122"/>
        <v>2277</v>
      </c>
      <c r="C2315" s="579" t="s">
        <v>5032</v>
      </c>
      <c r="D2315" s="579" t="str">
        <f>DESPORC!D2614</f>
        <v>GESTÃO E PROM. DE EVEN. ESPORT. E LAZER</v>
      </c>
      <c r="E2315" s="580"/>
      <c r="F2315" s="582"/>
      <c r="G2315" s="582"/>
    </row>
    <row r="2316" spans="2:7" s="12" customFormat="1" x14ac:dyDescent="0.25">
      <c r="B2316" s="547">
        <f t="shared" si="122"/>
        <v>2278</v>
      </c>
      <c r="D2316" s="570" t="s">
        <v>5051</v>
      </c>
      <c r="E2316" s="613">
        <v>1</v>
      </c>
    </row>
    <row r="2317" spans="2:7" s="12" customFormat="1" ht="31.5" x14ac:dyDescent="0.25">
      <c r="B2317" s="547">
        <f t="shared" si="122"/>
        <v>2279</v>
      </c>
      <c r="D2317" s="655" t="s">
        <v>5050</v>
      </c>
      <c r="E2317" s="613">
        <v>1</v>
      </c>
    </row>
    <row r="2318" spans="2:7" s="12" customFormat="1" x14ac:dyDescent="0.25">
      <c r="B2318" s="547">
        <f t="shared" si="122"/>
        <v>2280</v>
      </c>
      <c r="D2318" s="570" t="s">
        <v>5049</v>
      </c>
      <c r="E2318" s="613"/>
    </row>
    <row r="2319" spans="2:7" s="12" customFormat="1" x14ac:dyDescent="0.25">
      <c r="B2319" s="547">
        <f t="shared" si="122"/>
        <v>2281</v>
      </c>
      <c r="D2319" s="624" t="s">
        <v>4903</v>
      </c>
      <c r="E2319" s="613">
        <f>'FOPAG ED.'!I290*12</f>
        <v>26704.893253725328</v>
      </c>
    </row>
    <row r="2320" spans="2:7" s="12" customFormat="1" x14ac:dyDescent="0.25">
      <c r="B2320" s="547">
        <f t="shared" si="122"/>
        <v>2282</v>
      </c>
      <c r="D2320" s="624" t="s">
        <v>4519</v>
      </c>
      <c r="E2320" s="613">
        <f>'FOPAG ED.'!I296</f>
        <v>741.80259038125905</v>
      </c>
    </row>
    <row r="2321" spans="2:5" s="12" customFormat="1" x14ac:dyDescent="0.25">
      <c r="B2321" s="547">
        <f t="shared" ref="B2321:B2384" si="123">B2320+1</f>
        <v>2283</v>
      </c>
      <c r="D2321" s="624" t="s">
        <v>4844</v>
      </c>
      <c r="E2321" s="613">
        <f>'FOPAG ED.'!I297</f>
        <v>2225.4077711437772</v>
      </c>
    </row>
    <row r="2322" spans="2:5" s="12" customFormat="1" x14ac:dyDescent="0.25">
      <c r="B2322" s="547">
        <f t="shared" si="123"/>
        <v>2284</v>
      </c>
      <c r="D2322" s="624" t="s">
        <v>3411</v>
      </c>
      <c r="E2322" s="613">
        <v>0</v>
      </c>
    </row>
    <row r="2323" spans="2:5" s="12" customFormat="1" x14ac:dyDescent="0.25">
      <c r="B2323" s="547">
        <f t="shared" si="123"/>
        <v>2285</v>
      </c>
      <c r="D2323" s="624" t="s">
        <v>4847</v>
      </c>
      <c r="E2323" s="613">
        <v>0</v>
      </c>
    </row>
    <row r="2324" spans="2:5" s="12" customFormat="1" x14ac:dyDescent="0.25">
      <c r="B2324" s="547">
        <f t="shared" si="123"/>
        <v>2286</v>
      </c>
      <c r="D2324" s="624" t="s">
        <v>4848</v>
      </c>
      <c r="E2324" s="613">
        <v>0</v>
      </c>
    </row>
    <row r="2325" spans="2:5" s="12" customFormat="1" x14ac:dyDescent="0.25">
      <c r="B2325" s="547">
        <f t="shared" si="123"/>
        <v>2287</v>
      </c>
      <c r="D2325" s="570" t="s">
        <v>5048</v>
      </c>
      <c r="E2325" s="613"/>
    </row>
    <row r="2326" spans="2:5" s="12" customFormat="1" x14ac:dyDescent="0.25">
      <c r="B2326" s="547">
        <f t="shared" si="123"/>
        <v>2288</v>
      </c>
      <c r="D2326" s="570" t="s">
        <v>5047</v>
      </c>
      <c r="E2326" s="25">
        <v>0.01</v>
      </c>
    </row>
    <row r="2327" spans="2:5" s="12" customFormat="1" x14ac:dyDescent="0.25">
      <c r="B2327" s="547">
        <f t="shared" si="123"/>
        <v>2289</v>
      </c>
      <c r="D2327" s="570" t="s">
        <v>5046</v>
      </c>
      <c r="E2327" s="25">
        <v>0.01</v>
      </c>
    </row>
    <row r="2328" spans="2:5" s="12" customFormat="1" x14ac:dyDescent="0.25">
      <c r="B2328" s="547">
        <f t="shared" si="123"/>
        <v>2290</v>
      </c>
      <c r="D2328" s="570" t="s">
        <v>5045</v>
      </c>
      <c r="E2328" s="25">
        <v>0.01</v>
      </c>
    </row>
    <row r="2329" spans="2:5" s="12" customFormat="1" x14ac:dyDescent="0.25">
      <c r="B2329" s="547">
        <f t="shared" si="123"/>
        <v>2291</v>
      </c>
      <c r="D2329" s="570" t="s">
        <v>5044</v>
      </c>
      <c r="E2329" s="25">
        <v>1000</v>
      </c>
    </row>
    <row r="2330" spans="2:5" s="12" customFormat="1" x14ac:dyDescent="0.25">
      <c r="B2330" s="547">
        <f t="shared" si="123"/>
        <v>2292</v>
      </c>
      <c r="D2330" s="570" t="s">
        <v>5043</v>
      </c>
      <c r="E2330" s="25">
        <v>10000</v>
      </c>
    </row>
    <row r="2331" spans="2:5" s="12" customFormat="1" x14ac:dyDescent="0.25">
      <c r="B2331" s="547">
        <f t="shared" si="123"/>
        <v>2293</v>
      </c>
      <c r="D2331" s="570" t="s">
        <v>5042</v>
      </c>
      <c r="E2331" s="25">
        <v>0.01</v>
      </c>
    </row>
    <row r="2332" spans="2:5" s="12" customFormat="1" x14ac:dyDescent="0.25">
      <c r="B2332" s="547">
        <f t="shared" si="123"/>
        <v>2294</v>
      </c>
      <c r="D2332" s="570" t="s">
        <v>5041</v>
      </c>
      <c r="E2332" s="25">
        <v>500</v>
      </c>
    </row>
    <row r="2333" spans="2:5" s="12" customFormat="1" x14ac:dyDescent="0.25">
      <c r="B2333" s="547">
        <f t="shared" si="123"/>
        <v>2295</v>
      </c>
      <c r="D2333" s="570" t="s">
        <v>5019</v>
      </c>
      <c r="E2333" s="25">
        <v>0.01</v>
      </c>
    </row>
    <row r="2334" spans="2:5" s="12" customFormat="1" x14ac:dyDescent="0.25">
      <c r="B2334" s="547">
        <f t="shared" si="123"/>
        <v>2296</v>
      </c>
      <c r="D2334" s="570" t="s">
        <v>5020</v>
      </c>
      <c r="E2334" s="25">
        <v>5000</v>
      </c>
    </row>
    <row r="2335" spans="2:5" s="12" customFormat="1" x14ac:dyDescent="0.25">
      <c r="B2335" s="547">
        <f t="shared" si="123"/>
        <v>2297</v>
      </c>
      <c r="D2335" s="570" t="s">
        <v>5040</v>
      </c>
      <c r="E2335" s="25">
        <f>2073.35/8*12</f>
        <v>3110.0249999999996</v>
      </c>
    </row>
    <row r="2336" spans="2:5" s="12" customFormat="1" x14ac:dyDescent="0.25">
      <c r="B2336" s="547">
        <f t="shared" si="123"/>
        <v>2298</v>
      </c>
      <c r="D2336" s="570" t="s">
        <v>5039</v>
      </c>
      <c r="E2336" s="25">
        <v>0.01</v>
      </c>
    </row>
    <row r="2337" spans="2:7" s="12" customFormat="1" x14ac:dyDescent="0.25">
      <c r="B2337" s="547">
        <f t="shared" si="123"/>
        <v>2299</v>
      </c>
      <c r="D2337" s="570" t="s">
        <v>5038</v>
      </c>
      <c r="E2337" s="25">
        <v>0.01</v>
      </c>
    </row>
    <row r="2338" spans="2:7" s="12" customFormat="1" x14ac:dyDescent="0.25">
      <c r="B2338" s="547">
        <f t="shared" si="123"/>
        <v>2300</v>
      </c>
      <c r="D2338" s="570" t="s">
        <v>5037</v>
      </c>
      <c r="E2338" s="25">
        <v>0.01</v>
      </c>
    </row>
    <row r="2339" spans="2:7" s="12" customFormat="1" x14ac:dyDescent="0.25">
      <c r="B2339" s="547">
        <f t="shared" si="123"/>
        <v>2301</v>
      </c>
      <c r="D2339" s="570" t="s">
        <v>5036</v>
      </c>
      <c r="E2339" s="25">
        <v>0.01</v>
      </c>
    </row>
    <row r="2340" spans="2:7" s="12" customFormat="1" x14ac:dyDescent="0.25">
      <c r="B2340" s="547">
        <f t="shared" si="123"/>
        <v>2302</v>
      </c>
      <c r="D2340" s="570" t="s">
        <v>5035</v>
      </c>
      <c r="E2340" s="25">
        <v>0.01</v>
      </c>
    </row>
    <row r="2341" spans="2:7" s="12" customFormat="1" x14ac:dyDescent="0.25">
      <c r="B2341" s="547">
        <f t="shared" si="123"/>
        <v>2303</v>
      </c>
      <c r="D2341" s="570" t="s">
        <v>5021</v>
      </c>
      <c r="E2341" s="25">
        <v>0.01</v>
      </c>
    </row>
    <row r="2342" spans="2:7" s="12" customFormat="1" x14ac:dyDescent="0.25">
      <c r="B2342" s="547">
        <f t="shared" si="123"/>
        <v>2304</v>
      </c>
      <c r="D2342" s="570" t="s">
        <v>5022</v>
      </c>
      <c r="E2342" s="25">
        <v>0.01</v>
      </c>
    </row>
    <row r="2343" spans="2:7" x14ac:dyDescent="0.25">
      <c r="B2343" s="547">
        <f t="shared" si="123"/>
        <v>2305</v>
      </c>
      <c r="C2343" s="579" t="s">
        <v>5032</v>
      </c>
      <c r="D2343" s="579" t="str">
        <f>DESPORC!D2639</f>
        <v>GESTÃO E PROM. DE EVEN. ESPORT. E LAZER</v>
      </c>
      <c r="E2343" s="580"/>
      <c r="F2343" s="582"/>
      <c r="G2343" s="582"/>
    </row>
    <row r="2344" spans="2:7" s="12" customFormat="1" ht="31.5" x14ac:dyDescent="0.25">
      <c r="B2344" s="547">
        <f t="shared" si="123"/>
        <v>2306</v>
      </c>
      <c r="D2344" s="625" t="s">
        <v>5033</v>
      </c>
      <c r="E2344" s="25">
        <v>0.01</v>
      </c>
    </row>
    <row r="2345" spans="2:7" s="12" customFormat="1" ht="31.5" x14ac:dyDescent="0.25">
      <c r="B2345" s="547">
        <f t="shared" si="123"/>
        <v>2307</v>
      </c>
      <c r="D2345" s="625" t="s">
        <v>5034</v>
      </c>
      <c r="E2345" s="25">
        <v>0.01</v>
      </c>
    </row>
    <row r="2346" spans="2:7" x14ac:dyDescent="0.25">
      <c r="B2346" s="547">
        <f t="shared" si="123"/>
        <v>2308</v>
      </c>
      <c r="C2346" s="579" t="s">
        <v>5032</v>
      </c>
      <c r="D2346" s="579" t="str">
        <f>DESPORC!D2645</f>
        <v>GESTÃO E PROM. DE EVEN. ESPORT. E LAZER</v>
      </c>
      <c r="E2346" s="580"/>
      <c r="F2346" s="582"/>
      <c r="G2346" s="582"/>
    </row>
    <row r="2347" spans="2:7" s="12" customFormat="1" x14ac:dyDescent="0.25">
      <c r="B2347" s="547">
        <f t="shared" si="123"/>
        <v>2309</v>
      </c>
      <c r="D2347" s="624" t="s">
        <v>5105</v>
      </c>
      <c r="E2347" s="613">
        <v>0.01</v>
      </c>
    </row>
    <row r="2348" spans="2:7" s="12" customFormat="1" x14ac:dyDescent="0.25">
      <c r="B2348" s="547">
        <f t="shared" si="123"/>
        <v>2310</v>
      </c>
      <c r="D2348" s="624" t="s">
        <v>5106</v>
      </c>
      <c r="E2348" s="613">
        <v>0.01</v>
      </c>
    </row>
    <row r="2349" spans="2:7" s="12" customFormat="1" ht="15.75" x14ac:dyDescent="0.25">
      <c r="B2349" s="547">
        <f t="shared" si="123"/>
        <v>2311</v>
      </c>
      <c r="D2349" s="688" t="s">
        <v>6348</v>
      </c>
      <c r="E2349" s="613">
        <v>0.01</v>
      </c>
    </row>
    <row r="2350" spans="2:7" s="12" customFormat="1" x14ac:dyDescent="0.25">
      <c r="B2350" s="547">
        <f t="shared" si="123"/>
        <v>2312</v>
      </c>
      <c r="D2350" s="624" t="s">
        <v>5107</v>
      </c>
      <c r="E2350" s="613">
        <v>0.01</v>
      </c>
    </row>
    <row r="2351" spans="2:7" s="12" customFormat="1" ht="15.75" x14ac:dyDescent="0.25">
      <c r="B2351" s="547">
        <f t="shared" si="123"/>
        <v>2313</v>
      </c>
      <c r="D2351" s="688" t="s">
        <v>6350</v>
      </c>
      <c r="E2351" s="613">
        <v>0.01</v>
      </c>
    </row>
    <row r="2352" spans="2:7" x14ac:dyDescent="0.25">
      <c r="B2352" s="547">
        <f t="shared" si="123"/>
        <v>2314</v>
      </c>
      <c r="C2352" s="579" t="s">
        <v>5032</v>
      </c>
      <c r="D2352" s="579" t="str">
        <f>DESPORC!D2654</f>
        <v>GESTÃO E PROM. DE EVEN. ESPORT. E LAZER</v>
      </c>
      <c r="E2352" s="580"/>
      <c r="F2352" s="582"/>
      <c r="G2352" s="582"/>
    </row>
    <row r="2353" spans="2:5" s="12" customFormat="1" x14ac:dyDescent="0.25">
      <c r="B2353" s="547">
        <f t="shared" si="123"/>
        <v>2315</v>
      </c>
      <c r="D2353" s="570" t="s">
        <v>5053</v>
      </c>
      <c r="E2353" s="25">
        <v>0.01</v>
      </c>
    </row>
    <row r="2354" spans="2:5" s="12" customFormat="1" x14ac:dyDescent="0.25">
      <c r="B2354" s="547">
        <f t="shared" si="123"/>
        <v>2316</v>
      </c>
      <c r="D2354" s="570" t="s">
        <v>5054</v>
      </c>
      <c r="E2354" s="25">
        <v>0.01</v>
      </c>
    </row>
    <row r="2355" spans="2:5" s="12" customFormat="1" x14ac:dyDescent="0.25">
      <c r="B2355" s="547">
        <f t="shared" si="123"/>
        <v>2317</v>
      </c>
      <c r="D2355" s="570" t="s">
        <v>5055</v>
      </c>
      <c r="E2355" s="25">
        <v>0.01</v>
      </c>
    </row>
    <row r="2356" spans="2:5" s="12" customFormat="1" ht="30" x14ac:dyDescent="0.25">
      <c r="B2356" s="547">
        <f t="shared" si="123"/>
        <v>2318</v>
      </c>
      <c r="D2356" s="570" t="s">
        <v>5056</v>
      </c>
      <c r="E2356" s="25">
        <v>0.01</v>
      </c>
    </row>
    <row r="2357" spans="2:5" s="12" customFormat="1" x14ac:dyDescent="0.25">
      <c r="B2357" s="547">
        <f t="shared" si="123"/>
        <v>2319</v>
      </c>
      <c r="D2357" s="570" t="s">
        <v>2988</v>
      </c>
      <c r="E2357" s="25">
        <v>0.01</v>
      </c>
    </row>
    <row r="2358" spans="2:5" s="12" customFormat="1" x14ac:dyDescent="0.25">
      <c r="B2358" s="547">
        <f t="shared" si="123"/>
        <v>2320</v>
      </c>
      <c r="D2358" s="570" t="s">
        <v>5057</v>
      </c>
      <c r="E2358" s="25">
        <v>0.01</v>
      </c>
    </row>
    <row r="2359" spans="2:5" s="12" customFormat="1" x14ac:dyDescent="0.25">
      <c r="B2359" s="547">
        <f t="shared" si="123"/>
        <v>2321</v>
      </c>
      <c r="D2359" s="570" t="s">
        <v>5058</v>
      </c>
      <c r="E2359" s="25">
        <v>1500</v>
      </c>
    </row>
    <row r="2360" spans="2:5" s="12" customFormat="1" x14ac:dyDescent="0.25">
      <c r="B2360" s="547">
        <f t="shared" si="123"/>
        <v>2322</v>
      </c>
      <c r="D2360" s="570" t="s">
        <v>5059</v>
      </c>
      <c r="E2360" s="25"/>
    </row>
    <row r="2361" spans="2:5" s="12" customFormat="1" x14ac:dyDescent="0.25">
      <c r="B2361" s="547">
        <f t="shared" si="123"/>
        <v>2323</v>
      </c>
      <c r="D2361" s="624" t="s">
        <v>5069</v>
      </c>
      <c r="E2361" s="613">
        <v>8000</v>
      </c>
    </row>
    <row r="2362" spans="2:5" s="12" customFormat="1" x14ac:dyDescent="0.25">
      <c r="B2362" s="547">
        <f t="shared" si="123"/>
        <v>2324</v>
      </c>
      <c r="D2362" s="624" t="s">
        <v>5076</v>
      </c>
      <c r="E2362" s="613">
        <v>10000</v>
      </c>
    </row>
    <row r="2363" spans="2:5" s="12" customFormat="1" x14ac:dyDescent="0.25">
      <c r="B2363" s="547">
        <f t="shared" si="123"/>
        <v>2325</v>
      </c>
      <c r="D2363" s="624" t="s">
        <v>5070</v>
      </c>
      <c r="E2363" s="613">
        <v>10000</v>
      </c>
    </row>
    <row r="2364" spans="2:5" s="12" customFormat="1" x14ac:dyDescent="0.25">
      <c r="B2364" s="547">
        <f t="shared" si="123"/>
        <v>2326</v>
      </c>
      <c r="D2364" s="624" t="s">
        <v>5071</v>
      </c>
      <c r="E2364" s="613">
        <v>10000</v>
      </c>
    </row>
    <row r="2365" spans="2:5" s="12" customFormat="1" x14ac:dyDescent="0.25">
      <c r="B2365" s="547">
        <f t="shared" si="123"/>
        <v>2327</v>
      </c>
      <c r="D2365" s="624" t="s">
        <v>5072</v>
      </c>
      <c r="E2365" s="613">
        <v>10000</v>
      </c>
    </row>
    <row r="2366" spans="2:5" s="12" customFormat="1" x14ac:dyDescent="0.25">
      <c r="B2366" s="547">
        <f t="shared" si="123"/>
        <v>2328</v>
      </c>
      <c r="D2366" s="624" t="s">
        <v>5073</v>
      </c>
      <c r="E2366" s="613">
        <v>10000</v>
      </c>
    </row>
    <row r="2367" spans="2:5" s="12" customFormat="1" x14ac:dyDescent="0.25">
      <c r="B2367" s="547">
        <f t="shared" si="123"/>
        <v>2329</v>
      </c>
      <c r="D2367" s="624" t="s">
        <v>5074</v>
      </c>
      <c r="E2367" s="613">
        <v>5000</v>
      </c>
    </row>
    <row r="2368" spans="2:5" s="12" customFormat="1" x14ac:dyDescent="0.25">
      <c r="B2368" s="547">
        <f t="shared" si="123"/>
        <v>2330</v>
      </c>
      <c r="D2368" s="624" t="s">
        <v>5075</v>
      </c>
      <c r="E2368" s="613">
        <v>25000</v>
      </c>
    </row>
    <row r="2369" spans="2:5" s="12" customFormat="1" x14ac:dyDescent="0.25">
      <c r="B2369" s="547">
        <f t="shared" si="123"/>
        <v>2331</v>
      </c>
      <c r="D2369" s="570" t="s">
        <v>5060</v>
      </c>
      <c r="E2369" s="25"/>
    </row>
    <row r="2370" spans="2:5" s="12" customFormat="1" x14ac:dyDescent="0.25">
      <c r="B2370" s="547">
        <f t="shared" si="123"/>
        <v>2332</v>
      </c>
      <c r="D2370" s="624" t="s">
        <v>5069</v>
      </c>
      <c r="E2370" s="613">
        <v>3000</v>
      </c>
    </row>
    <row r="2371" spans="2:5" s="12" customFormat="1" x14ac:dyDescent="0.25">
      <c r="B2371" s="547">
        <f t="shared" si="123"/>
        <v>2333</v>
      </c>
      <c r="D2371" s="624" t="s">
        <v>5076</v>
      </c>
      <c r="E2371" s="613">
        <v>3000</v>
      </c>
    </row>
    <row r="2372" spans="2:5" s="12" customFormat="1" x14ac:dyDescent="0.25">
      <c r="B2372" s="547">
        <f t="shared" si="123"/>
        <v>2334</v>
      </c>
      <c r="D2372" s="624" t="s">
        <v>5070</v>
      </c>
      <c r="E2372" s="613">
        <v>3000</v>
      </c>
    </row>
    <row r="2373" spans="2:5" s="12" customFormat="1" x14ac:dyDescent="0.25">
      <c r="B2373" s="547">
        <f t="shared" si="123"/>
        <v>2335</v>
      </c>
      <c r="D2373" s="624" t="s">
        <v>5071</v>
      </c>
      <c r="E2373" s="613">
        <v>3000</v>
      </c>
    </row>
    <row r="2374" spans="2:5" s="12" customFormat="1" x14ac:dyDescent="0.25">
      <c r="B2374" s="547">
        <f t="shared" si="123"/>
        <v>2336</v>
      </c>
      <c r="D2374" s="624" t="s">
        <v>5074</v>
      </c>
      <c r="E2374" s="613">
        <v>3000</v>
      </c>
    </row>
    <row r="2375" spans="2:5" s="12" customFormat="1" x14ac:dyDescent="0.25">
      <c r="B2375" s="547">
        <f t="shared" si="123"/>
        <v>2337</v>
      </c>
      <c r="D2375" s="624" t="s">
        <v>5075</v>
      </c>
      <c r="E2375" s="613">
        <v>3000</v>
      </c>
    </row>
    <row r="2376" spans="2:5" s="12" customFormat="1" x14ac:dyDescent="0.25">
      <c r="B2376" s="547">
        <f t="shared" si="123"/>
        <v>2338</v>
      </c>
      <c r="D2376" s="570" t="s">
        <v>5061</v>
      </c>
      <c r="E2376" s="25">
        <v>5000</v>
      </c>
    </row>
    <row r="2377" spans="2:5" s="12" customFormat="1" x14ac:dyDescent="0.25">
      <c r="B2377" s="547">
        <f t="shared" si="123"/>
        <v>2339</v>
      </c>
      <c r="D2377" s="570" t="s">
        <v>5062</v>
      </c>
      <c r="E2377" s="25">
        <v>2000</v>
      </c>
    </row>
    <row r="2378" spans="2:5" s="12" customFormat="1" x14ac:dyDescent="0.25">
      <c r="B2378" s="547">
        <f t="shared" si="123"/>
        <v>2340</v>
      </c>
      <c r="D2378" s="570" t="s">
        <v>5025</v>
      </c>
      <c r="E2378" s="25"/>
    </row>
    <row r="2379" spans="2:5" s="12" customFormat="1" x14ac:dyDescent="0.25">
      <c r="B2379" s="547">
        <f t="shared" si="123"/>
        <v>2341</v>
      </c>
      <c r="D2379" s="624" t="s">
        <v>5069</v>
      </c>
      <c r="E2379" s="613">
        <v>1500</v>
      </c>
    </row>
    <row r="2380" spans="2:5" s="12" customFormat="1" x14ac:dyDescent="0.25">
      <c r="B2380" s="547">
        <f t="shared" si="123"/>
        <v>2342</v>
      </c>
      <c r="D2380" s="624" t="s">
        <v>5076</v>
      </c>
      <c r="E2380" s="613">
        <v>1500</v>
      </c>
    </row>
    <row r="2381" spans="2:5" s="12" customFormat="1" x14ac:dyDescent="0.25">
      <c r="B2381" s="547">
        <f t="shared" si="123"/>
        <v>2343</v>
      </c>
      <c r="D2381" s="624" t="s">
        <v>5070</v>
      </c>
      <c r="E2381" s="613">
        <v>1500</v>
      </c>
    </row>
    <row r="2382" spans="2:5" s="12" customFormat="1" x14ac:dyDescent="0.25">
      <c r="B2382" s="547">
        <f t="shared" si="123"/>
        <v>2344</v>
      </c>
      <c r="D2382" s="624" t="s">
        <v>5071</v>
      </c>
      <c r="E2382" s="613">
        <v>1500</v>
      </c>
    </row>
    <row r="2383" spans="2:5" s="12" customFormat="1" x14ac:dyDescent="0.25">
      <c r="B2383" s="547">
        <f t="shared" si="123"/>
        <v>2345</v>
      </c>
      <c r="D2383" s="624" t="s">
        <v>5074</v>
      </c>
      <c r="E2383" s="613">
        <v>1500</v>
      </c>
    </row>
    <row r="2384" spans="2:5" s="12" customFormat="1" x14ac:dyDescent="0.25">
      <c r="B2384" s="547">
        <f t="shared" si="123"/>
        <v>2346</v>
      </c>
      <c r="D2384" s="624" t="s">
        <v>5075</v>
      </c>
      <c r="E2384" s="613">
        <v>1500</v>
      </c>
    </row>
    <row r="2385" spans="2:5" s="12" customFormat="1" x14ac:dyDescent="0.25">
      <c r="B2385" s="547">
        <f t="shared" ref="B2385:B2448" si="124">B2384+1</f>
        <v>2347</v>
      </c>
      <c r="D2385" s="570" t="s">
        <v>5026</v>
      </c>
      <c r="E2385" s="25"/>
    </row>
    <row r="2386" spans="2:5" s="12" customFormat="1" x14ac:dyDescent="0.25">
      <c r="B2386" s="547">
        <f t="shared" si="124"/>
        <v>2348</v>
      </c>
      <c r="D2386" s="624" t="s">
        <v>5069</v>
      </c>
      <c r="E2386" s="613">
        <v>15000</v>
      </c>
    </row>
    <row r="2387" spans="2:5" s="12" customFormat="1" x14ac:dyDescent="0.25">
      <c r="B2387" s="547">
        <f t="shared" si="124"/>
        <v>2349</v>
      </c>
      <c r="D2387" s="624" t="s">
        <v>5076</v>
      </c>
      <c r="E2387" s="613">
        <v>15000</v>
      </c>
    </row>
    <row r="2388" spans="2:5" s="12" customFormat="1" x14ac:dyDescent="0.25">
      <c r="B2388" s="547">
        <f t="shared" si="124"/>
        <v>2350</v>
      </c>
      <c r="D2388" s="624" t="s">
        <v>5070</v>
      </c>
      <c r="E2388" s="613">
        <v>15000</v>
      </c>
    </row>
    <row r="2389" spans="2:5" s="12" customFormat="1" x14ac:dyDescent="0.25">
      <c r="B2389" s="547">
        <f t="shared" si="124"/>
        <v>2351</v>
      </c>
      <c r="D2389" s="624" t="s">
        <v>5071</v>
      </c>
      <c r="E2389" s="613">
        <v>15000</v>
      </c>
    </row>
    <row r="2390" spans="2:5" s="12" customFormat="1" x14ac:dyDescent="0.25">
      <c r="B2390" s="547">
        <f t="shared" si="124"/>
        <v>2352</v>
      </c>
      <c r="D2390" s="624" t="s">
        <v>5074</v>
      </c>
      <c r="E2390" s="613">
        <v>15000</v>
      </c>
    </row>
    <row r="2391" spans="2:5" s="12" customFormat="1" x14ac:dyDescent="0.25">
      <c r="B2391" s="547">
        <f t="shared" si="124"/>
        <v>2353</v>
      </c>
      <c r="D2391" s="624" t="s">
        <v>5075</v>
      </c>
      <c r="E2391" s="613">
        <v>15000</v>
      </c>
    </row>
    <row r="2392" spans="2:5" x14ac:dyDescent="0.25">
      <c r="B2392" s="547">
        <f t="shared" si="124"/>
        <v>2354</v>
      </c>
      <c r="D2392" s="570" t="s">
        <v>5063</v>
      </c>
      <c r="E2392" s="25">
        <v>0.01</v>
      </c>
    </row>
    <row r="2393" spans="2:5" s="12" customFormat="1" x14ac:dyDescent="0.25">
      <c r="B2393" s="547">
        <f t="shared" si="124"/>
        <v>2355</v>
      </c>
      <c r="D2393" s="570" t="s">
        <v>5064</v>
      </c>
      <c r="E2393" s="25">
        <v>3000</v>
      </c>
    </row>
    <row r="2394" spans="2:5" s="12" customFormat="1" x14ac:dyDescent="0.25">
      <c r="B2394" s="547">
        <f t="shared" si="124"/>
        <v>2356</v>
      </c>
      <c r="D2394" s="570" t="s">
        <v>5065</v>
      </c>
      <c r="E2394" s="25">
        <v>0.01</v>
      </c>
    </row>
    <row r="2395" spans="2:5" s="12" customFormat="1" x14ac:dyDescent="0.25">
      <c r="B2395" s="547">
        <f t="shared" si="124"/>
        <v>2357</v>
      </c>
      <c r="D2395" s="570" t="s">
        <v>5066</v>
      </c>
      <c r="E2395" s="25">
        <v>0.01</v>
      </c>
    </row>
    <row r="2396" spans="2:5" s="12" customFormat="1" x14ac:dyDescent="0.25">
      <c r="B2396" s="547">
        <f t="shared" si="124"/>
        <v>2358</v>
      </c>
      <c r="D2396" s="570" t="s">
        <v>5067</v>
      </c>
      <c r="E2396" s="25">
        <v>300</v>
      </c>
    </row>
    <row r="2397" spans="2:5" s="12" customFormat="1" x14ac:dyDescent="0.25">
      <c r="B2397" s="547">
        <f t="shared" si="124"/>
        <v>2359</v>
      </c>
      <c r="D2397" s="570" t="s">
        <v>5068</v>
      </c>
      <c r="E2397" s="25">
        <v>0.01</v>
      </c>
    </row>
    <row r="2398" spans="2:5" s="12" customFormat="1" x14ac:dyDescent="0.25">
      <c r="B2398" s="547">
        <f t="shared" si="124"/>
        <v>2360</v>
      </c>
      <c r="D2398" s="570" t="s">
        <v>5027</v>
      </c>
      <c r="E2398" s="25">
        <v>0.01</v>
      </c>
    </row>
    <row r="2399" spans="2:5" s="12" customFormat="1" x14ac:dyDescent="0.25">
      <c r="B2399" s="547">
        <f t="shared" si="124"/>
        <v>2361</v>
      </c>
      <c r="D2399" s="570" t="s">
        <v>5028</v>
      </c>
      <c r="E2399" s="25">
        <v>0.01</v>
      </c>
    </row>
    <row r="2400" spans="2:5" s="12" customFormat="1" x14ac:dyDescent="0.25">
      <c r="B2400" s="547">
        <f t="shared" si="124"/>
        <v>2362</v>
      </c>
      <c r="D2400" s="570" t="s">
        <v>5082</v>
      </c>
      <c r="E2400" s="25"/>
    </row>
    <row r="2401" spans="2:7" x14ac:dyDescent="0.25">
      <c r="B2401" s="547">
        <f t="shared" si="124"/>
        <v>2363</v>
      </c>
      <c r="C2401" s="579" t="s">
        <v>4948</v>
      </c>
      <c r="D2401" s="579" t="str">
        <f>DESPORC!D2688</f>
        <v>NOVOS INVESTIMENTOS EM TURISMO</v>
      </c>
      <c r="E2401" s="580"/>
      <c r="F2401" s="582"/>
      <c r="G2401" s="582"/>
    </row>
    <row r="2402" spans="2:7" s="12" customFormat="1" x14ac:dyDescent="0.25">
      <c r="B2402" s="547">
        <f t="shared" si="124"/>
        <v>2364</v>
      </c>
      <c r="D2402" s="624" t="s">
        <v>4277</v>
      </c>
      <c r="E2402" s="613">
        <v>0.01</v>
      </c>
    </row>
    <row r="2403" spans="2:7" s="12" customFormat="1" x14ac:dyDescent="0.25">
      <c r="B2403" s="547">
        <f t="shared" si="124"/>
        <v>2365</v>
      </c>
      <c r="D2403" s="624" t="s">
        <v>3562</v>
      </c>
      <c r="E2403" s="613">
        <v>0.01</v>
      </c>
    </row>
    <row r="2404" spans="2:7" s="12" customFormat="1" x14ac:dyDescent="0.25">
      <c r="B2404" s="547">
        <f t="shared" si="124"/>
        <v>2366</v>
      </c>
      <c r="D2404" s="624" t="s">
        <v>4161</v>
      </c>
      <c r="E2404" s="613">
        <v>0.01</v>
      </c>
    </row>
    <row r="2405" spans="2:7" s="12" customFormat="1" x14ac:dyDescent="0.25">
      <c r="B2405" s="547">
        <f t="shared" si="124"/>
        <v>2367</v>
      </c>
      <c r="D2405" s="624" t="s">
        <v>4165</v>
      </c>
      <c r="E2405" s="613">
        <v>0.01</v>
      </c>
    </row>
    <row r="2406" spans="2:7" s="12" customFormat="1" x14ac:dyDescent="0.25">
      <c r="B2406" s="547">
        <f t="shared" si="124"/>
        <v>2368</v>
      </c>
      <c r="D2406" s="624" t="s">
        <v>4494</v>
      </c>
      <c r="E2406" s="613">
        <v>0.01</v>
      </c>
    </row>
    <row r="2407" spans="2:7" s="12" customFormat="1" x14ac:dyDescent="0.25">
      <c r="B2407" s="547">
        <f t="shared" si="124"/>
        <v>2369</v>
      </c>
      <c r="D2407" s="624" t="s">
        <v>3152</v>
      </c>
      <c r="E2407" s="613">
        <v>0.01</v>
      </c>
    </row>
    <row r="2408" spans="2:7" x14ac:dyDescent="0.25">
      <c r="B2408" s="547">
        <f t="shared" si="124"/>
        <v>2370</v>
      </c>
      <c r="C2408" s="579" t="s">
        <v>5083</v>
      </c>
      <c r="D2408" s="579" t="str">
        <f>DESPORC!D2698</f>
        <v>PROMOÇÃO E DESENVOLVIMENTO DO TURISMO</v>
      </c>
      <c r="E2408" s="580"/>
      <c r="F2408" s="582"/>
      <c r="G2408" s="582"/>
    </row>
    <row r="2409" spans="2:7" s="12" customFormat="1" ht="15.75" x14ac:dyDescent="0.25">
      <c r="B2409" s="547">
        <f t="shared" si="124"/>
        <v>2371</v>
      </c>
      <c r="D2409" s="626" t="s">
        <v>4202</v>
      </c>
      <c r="E2409" s="613">
        <v>0.01</v>
      </c>
    </row>
    <row r="2410" spans="2:7" x14ac:dyDescent="0.25">
      <c r="B2410" s="547">
        <f t="shared" si="124"/>
        <v>2372</v>
      </c>
      <c r="C2410" s="579" t="s">
        <v>5083</v>
      </c>
      <c r="D2410" s="579" t="str">
        <f>DESPORC!D2703</f>
        <v>PROMOÇÃO E DESENVOLVIMENTO DO TURISMO</v>
      </c>
      <c r="E2410" s="580">
        <f>SUM(E2411:E2422)</f>
        <v>114501.03999999998</v>
      </c>
      <c r="F2410" s="582"/>
      <c r="G2410" s="582"/>
    </row>
    <row r="2411" spans="2:7" s="12" customFormat="1" x14ac:dyDescent="0.25">
      <c r="B2411" s="547">
        <f t="shared" si="124"/>
        <v>2373</v>
      </c>
      <c r="D2411" s="624" t="s">
        <v>3174</v>
      </c>
      <c r="E2411" s="613">
        <v>5000</v>
      </c>
    </row>
    <row r="2412" spans="2:7" s="12" customFormat="1" x14ac:dyDescent="0.25">
      <c r="B2412" s="547">
        <f t="shared" si="124"/>
        <v>2374</v>
      </c>
      <c r="D2412" s="624" t="s">
        <v>4131</v>
      </c>
      <c r="E2412" s="613">
        <v>35000</v>
      </c>
    </row>
    <row r="2413" spans="2:7" s="12" customFormat="1" x14ac:dyDescent="0.25">
      <c r="B2413" s="547">
        <f t="shared" si="124"/>
        <v>2375</v>
      </c>
      <c r="D2413" s="624" t="s">
        <v>3572</v>
      </c>
      <c r="E2413" s="613">
        <v>8000</v>
      </c>
    </row>
    <row r="2414" spans="2:7" s="12" customFormat="1" x14ac:dyDescent="0.25">
      <c r="B2414" s="547">
        <f t="shared" si="124"/>
        <v>2376</v>
      </c>
      <c r="D2414" s="624" t="s">
        <v>4945</v>
      </c>
      <c r="E2414" s="613">
        <v>1</v>
      </c>
    </row>
    <row r="2415" spans="2:7" s="12" customFormat="1" x14ac:dyDescent="0.25">
      <c r="B2415" s="547">
        <f t="shared" si="124"/>
        <v>2377</v>
      </c>
      <c r="D2415" s="624" t="s">
        <v>3718</v>
      </c>
      <c r="E2415" s="613">
        <v>1500</v>
      </c>
    </row>
    <row r="2416" spans="2:7" s="12" customFormat="1" x14ac:dyDescent="0.25">
      <c r="B2416" s="547">
        <f t="shared" si="124"/>
        <v>2378</v>
      </c>
      <c r="D2416" s="624" t="s">
        <v>4161</v>
      </c>
      <c r="E2416" s="613">
        <v>20000</v>
      </c>
    </row>
    <row r="2417" spans="2:10" s="12" customFormat="1" x14ac:dyDescent="0.25">
      <c r="B2417" s="547">
        <f t="shared" si="124"/>
        <v>2379</v>
      </c>
      <c r="D2417" s="624" t="s">
        <v>4165</v>
      </c>
      <c r="E2417" s="613">
        <v>40000</v>
      </c>
    </row>
    <row r="2418" spans="2:10" s="12" customFormat="1" x14ac:dyDescent="0.25">
      <c r="B2418" s="547">
        <f t="shared" si="124"/>
        <v>2380</v>
      </c>
      <c r="D2418" s="624" t="s">
        <v>4806</v>
      </c>
      <c r="E2418" s="613">
        <v>5000</v>
      </c>
    </row>
    <row r="2419" spans="2:10" s="12" customFormat="1" x14ac:dyDescent="0.25">
      <c r="B2419" s="547">
        <f t="shared" si="124"/>
        <v>2381</v>
      </c>
      <c r="D2419" s="624" t="s">
        <v>3742</v>
      </c>
      <c r="E2419" s="613">
        <v>0.01</v>
      </c>
    </row>
    <row r="2420" spans="2:10" s="12" customFormat="1" x14ac:dyDescent="0.25">
      <c r="B2420" s="547">
        <f t="shared" si="124"/>
        <v>2382</v>
      </c>
      <c r="D2420" s="624" t="s">
        <v>3060</v>
      </c>
      <c r="E2420" s="613">
        <v>0.01</v>
      </c>
    </row>
    <row r="2421" spans="2:10" s="12" customFormat="1" x14ac:dyDescent="0.25">
      <c r="B2421" s="547">
        <f t="shared" si="124"/>
        <v>2383</v>
      </c>
      <c r="D2421" s="624" t="s">
        <v>4494</v>
      </c>
      <c r="E2421" s="613">
        <v>0.01</v>
      </c>
    </row>
    <row r="2422" spans="2:10" s="12" customFormat="1" ht="15.75" x14ac:dyDescent="0.25">
      <c r="B2422" s="547">
        <f t="shared" si="124"/>
        <v>2384</v>
      </c>
      <c r="D2422" s="624" t="s">
        <v>3152</v>
      </c>
      <c r="E2422" s="613">
        <v>0.01</v>
      </c>
      <c r="F2422" s="91"/>
      <c r="G2422" s="71"/>
      <c r="H2422" s="71"/>
      <c r="I2422" s="71"/>
      <c r="J2422" s="71"/>
    </row>
    <row r="2423" spans="2:10" s="12" customFormat="1" x14ac:dyDescent="0.25">
      <c r="B2423" s="547">
        <f t="shared" si="124"/>
        <v>2385</v>
      </c>
      <c r="D2423" s="570" t="s">
        <v>5088</v>
      </c>
      <c r="E2423" s="25"/>
    </row>
    <row r="2424" spans="2:10" x14ac:dyDescent="0.25">
      <c r="B2424" s="547">
        <f t="shared" si="124"/>
        <v>2386</v>
      </c>
      <c r="C2424" s="579" t="s">
        <v>4891</v>
      </c>
      <c r="D2424" s="579" t="str">
        <f>DESPORC!D2728</f>
        <v>NOVOS INVESTIMENTOS EMEI SONHO CRIANÇA</v>
      </c>
      <c r="E2424" s="580"/>
      <c r="F2424" s="582"/>
      <c r="G2424" s="582"/>
    </row>
    <row r="2425" spans="2:10" x14ac:dyDescent="0.25">
      <c r="B2425" s="547">
        <f t="shared" si="124"/>
        <v>2387</v>
      </c>
      <c r="D2425" s="624" t="s">
        <v>3149</v>
      </c>
      <c r="E2425" s="26">
        <v>0.01</v>
      </c>
    </row>
    <row r="2426" spans="2:10" x14ac:dyDescent="0.25">
      <c r="B2426" s="547">
        <f t="shared" si="124"/>
        <v>2388</v>
      </c>
      <c r="D2426" s="624" t="s">
        <v>3562</v>
      </c>
      <c r="E2426" s="26">
        <v>0.01</v>
      </c>
    </row>
    <row r="2427" spans="2:10" x14ac:dyDescent="0.25">
      <c r="B2427" s="547">
        <f t="shared" si="124"/>
        <v>2389</v>
      </c>
      <c r="D2427" s="624" t="s">
        <v>3150</v>
      </c>
      <c r="E2427" s="26">
        <v>0.01</v>
      </c>
    </row>
    <row r="2428" spans="2:10" x14ac:dyDescent="0.25">
      <c r="B2428" s="547">
        <f t="shared" si="124"/>
        <v>2390</v>
      </c>
      <c r="D2428" s="624" t="s">
        <v>4691</v>
      </c>
      <c r="E2428" s="26">
        <v>0.01</v>
      </c>
    </row>
    <row r="2429" spans="2:10" x14ac:dyDescent="0.25">
      <c r="B2429" s="547">
        <f t="shared" si="124"/>
        <v>2391</v>
      </c>
      <c r="D2429" s="624" t="s">
        <v>3130</v>
      </c>
      <c r="E2429" s="26">
        <v>0.01</v>
      </c>
    </row>
    <row r="2430" spans="2:10" x14ac:dyDescent="0.25">
      <c r="B2430" s="547">
        <f t="shared" si="124"/>
        <v>2392</v>
      </c>
      <c r="D2430" s="624" t="s">
        <v>3152</v>
      </c>
      <c r="E2430" s="26">
        <v>0.01</v>
      </c>
    </row>
    <row r="2431" spans="2:10" x14ac:dyDescent="0.25">
      <c r="B2431" s="547">
        <f t="shared" si="124"/>
        <v>2393</v>
      </c>
      <c r="C2431" s="579" t="s">
        <v>4898</v>
      </c>
      <c r="D2431" s="579" t="str">
        <f>DESPORC!D2738</f>
        <v>GEST., COORD. E PLAN. E.M.E.I. SONHO DE CRIANÇA</v>
      </c>
      <c r="E2431" s="580"/>
      <c r="F2431" s="582"/>
      <c r="G2431" s="582"/>
    </row>
    <row r="2432" spans="2:10" s="12" customFormat="1" x14ac:dyDescent="0.25">
      <c r="B2432" s="547">
        <f t="shared" si="124"/>
        <v>2394</v>
      </c>
      <c r="D2432" s="570" t="s">
        <v>3648</v>
      </c>
      <c r="E2432" s="25"/>
    </row>
    <row r="2433" spans="2:5" x14ac:dyDescent="0.25">
      <c r="B2433" s="547">
        <f t="shared" si="124"/>
        <v>2395</v>
      </c>
      <c r="D2433" s="624" t="s">
        <v>3075</v>
      </c>
      <c r="E2433" s="26">
        <v>0.01</v>
      </c>
    </row>
    <row r="2434" spans="2:5" x14ac:dyDescent="0.25">
      <c r="B2434" s="547">
        <f t="shared" si="124"/>
        <v>2396</v>
      </c>
      <c r="D2434" s="624" t="s">
        <v>3149</v>
      </c>
      <c r="E2434" s="26">
        <v>0.01</v>
      </c>
    </row>
    <row r="2435" spans="2:5" s="12" customFormat="1" x14ac:dyDescent="0.25">
      <c r="B2435" s="547">
        <f t="shared" si="124"/>
        <v>2397</v>
      </c>
      <c r="D2435" s="570" t="s">
        <v>4501</v>
      </c>
      <c r="E2435" s="25"/>
    </row>
    <row r="2436" spans="2:5" s="12" customFormat="1" x14ac:dyDescent="0.25">
      <c r="B2436" s="547">
        <f t="shared" si="124"/>
        <v>2398</v>
      </c>
      <c r="D2436" s="570" t="s">
        <v>4720</v>
      </c>
      <c r="E2436" s="25">
        <f>SUM(E2437:E2445)</f>
        <v>43172.910760189283</v>
      </c>
    </row>
    <row r="2437" spans="2:5" x14ac:dyDescent="0.25">
      <c r="B2437" s="547">
        <f t="shared" si="124"/>
        <v>2399</v>
      </c>
      <c r="D2437" s="624" t="s">
        <v>3075</v>
      </c>
      <c r="E2437" s="26">
        <f>'FOPAG ED.'!I306*12</f>
        <v>35050.172395514492</v>
      </c>
    </row>
    <row r="2438" spans="2:5" x14ac:dyDescent="0.25">
      <c r="B2438" s="547">
        <f t="shared" si="124"/>
        <v>2400</v>
      </c>
      <c r="D2438" s="624" t="s">
        <v>4903</v>
      </c>
      <c r="E2438" s="26">
        <v>0</v>
      </c>
    </row>
    <row r="2439" spans="2:5" x14ac:dyDescent="0.25">
      <c r="B2439" s="547">
        <f t="shared" si="124"/>
        <v>2401</v>
      </c>
      <c r="D2439" s="624" t="s">
        <v>3411</v>
      </c>
      <c r="E2439" s="26">
        <f>'FOPAG ED.'!I307*12</f>
        <v>3805.4472886558588</v>
      </c>
    </row>
    <row r="2440" spans="2:5" x14ac:dyDescent="0.25">
      <c r="B2440" s="547">
        <f t="shared" si="124"/>
        <v>2402</v>
      </c>
      <c r="D2440" s="624" t="s">
        <v>4847</v>
      </c>
      <c r="E2440" s="26">
        <f>'FOPAG ED.'!I308</f>
        <v>105.70686912932942</v>
      </c>
    </row>
    <row r="2441" spans="2:5" x14ac:dyDescent="0.25">
      <c r="B2441" s="547">
        <f t="shared" si="124"/>
        <v>2403</v>
      </c>
      <c r="D2441" s="624" t="s">
        <v>4848</v>
      </c>
      <c r="E2441" s="26">
        <f>'FOPAG ED.'!I309</f>
        <v>317.12060738798823</v>
      </c>
    </row>
    <row r="2442" spans="2:5" x14ac:dyDescent="0.25">
      <c r="B2442" s="547">
        <f t="shared" si="124"/>
        <v>2404</v>
      </c>
      <c r="D2442" s="624" t="s">
        <v>4519</v>
      </c>
      <c r="E2442" s="26">
        <f>'FOPAG ED.'!I312</f>
        <v>973.61589987540253</v>
      </c>
    </row>
    <row r="2443" spans="2:5" x14ac:dyDescent="0.25">
      <c r="B2443" s="547">
        <f t="shared" si="124"/>
        <v>2405</v>
      </c>
      <c r="D2443" s="624" t="s">
        <v>4844</v>
      </c>
      <c r="E2443" s="26">
        <f>'FOPAG ED.'!I313</f>
        <v>2920.8476996262075</v>
      </c>
    </row>
    <row r="2444" spans="2:5" x14ac:dyDescent="0.25">
      <c r="B2444" s="547">
        <f t="shared" si="124"/>
        <v>2406</v>
      </c>
      <c r="D2444" s="624" t="s">
        <v>5667</v>
      </c>
      <c r="E2444" s="26">
        <v>0</v>
      </c>
    </row>
    <row r="2445" spans="2:5" x14ac:dyDescent="0.25">
      <c r="B2445" s="547">
        <f t="shared" si="124"/>
        <v>2407</v>
      </c>
      <c r="D2445" s="624" t="s">
        <v>5668</v>
      </c>
      <c r="E2445" s="26">
        <v>0</v>
      </c>
    </row>
    <row r="2446" spans="2:5" s="12" customFormat="1" x14ac:dyDescent="0.25">
      <c r="B2446" s="547">
        <f t="shared" si="124"/>
        <v>2408</v>
      </c>
      <c r="D2446" s="570" t="s">
        <v>4894</v>
      </c>
      <c r="E2446" s="25">
        <f>(E2436+E2447+E2448)*E92</f>
        <v>9066.3154596397508</v>
      </c>
    </row>
    <row r="2447" spans="2:5" s="12" customFormat="1" x14ac:dyDescent="0.25">
      <c r="B2447" s="547">
        <f t="shared" si="124"/>
        <v>2409</v>
      </c>
      <c r="D2447" s="570" t="s">
        <v>3675</v>
      </c>
      <c r="E2447" s="25">
        <v>0.01</v>
      </c>
    </row>
    <row r="2448" spans="2:5" s="12" customFormat="1" x14ac:dyDescent="0.25">
      <c r="B2448" s="547">
        <f t="shared" si="124"/>
        <v>2410</v>
      </c>
      <c r="D2448" s="570" t="s">
        <v>2988</v>
      </c>
      <c r="E2448" s="25">
        <v>0.01</v>
      </c>
    </row>
    <row r="2449" spans="2:5" s="12" customFormat="1" x14ac:dyDescent="0.25">
      <c r="B2449" s="547">
        <f t="shared" ref="B2449:B2512" si="125">B2448+1</f>
        <v>2411</v>
      </c>
      <c r="D2449" s="570" t="s">
        <v>3679</v>
      </c>
      <c r="E2449" s="25">
        <v>0.01</v>
      </c>
    </row>
    <row r="2450" spans="2:5" s="12" customFormat="1" x14ac:dyDescent="0.25">
      <c r="B2450" s="547">
        <f t="shared" si="125"/>
        <v>2412</v>
      </c>
      <c r="D2450" s="570" t="s">
        <v>3174</v>
      </c>
      <c r="E2450" s="25">
        <v>1500</v>
      </c>
    </row>
    <row r="2451" spans="2:5" s="12" customFormat="1" x14ac:dyDescent="0.25">
      <c r="B2451" s="547">
        <f t="shared" si="125"/>
        <v>2413</v>
      </c>
      <c r="D2451" s="570" t="s">
        <v>3562</v>
      </c>
      <c r="E2451" s="25">
        <v>3000</v>
      </c>
    </row>
    <row r="2452" spans="2:5" s="12" customFormat="1" x14ac:dyDescent="0.25">
      <c r="B2452" s="547">
        <f t="shared" si="125"/>
        <v>2414</v>
      </c>
      <c r="D2452" s="570" t="s">
        <v>3204</v>
      </c>
      <c r="E2452" s="25">
        <v>0.01</v>
      </c>
    </row>
    <row r="2453" spans="2:5" s="12" customFormat="1" x14ac:dyDescent="0.25">
      <c r="B2453" s="547">
        <f t="shared" si="125"/>
        <v>2415</v>
      </c>
      <c r="D2453" s="570" t="s">
        <v>3473</v>
      </c>
      <c r="E2453" s="25">
        <v>0.01</v>
      </c>
    </row>
    <row r="2454" spans="2:5" s="12" customFormat="1" x14ac:dyDescent="0.25">
      <c r="B2454" s="547">
        <f t="shared" si="125"/>
        <v>2416</v>
      </c>
      <c r="D2454" s="570" t="s">
        <v>3150</v>
      </c>
      <c r="E2454" s="25">
        <v>5000</v>
      </c>
    </row>
    <row r="2455" spans="2:5" s="12" customFormat="1" x14ac:dyDescent="0.25">
      <c r="B2455" s="547">
        <f t="shared" si="125"/>
        <v>2417</v>
      </c>
      <c r="D2455" s="634" t="s">
        <v>5669</v>
      </c>
      <c r="E2455" s="613">
        <v>0</v>
      </c>
    </row>
    <row r="2456" spans="2:5" s="12" customFormat="1" x14ac:dyDescent="0.25">
      <c r="B2456" s="547">
        <f t="shared" si="125"/>
        <v>2418</v>
      </c>
      <c r="D2456" s="634" t="s">
        <v>5670</v>
      </c>
      <c r="E2456" s="613">
        <v>0</v>
      </c>
    </row>
    <row r="2457" spans="2:5" s="12" customFormat="1" x14ac:dyDescent="0.25">
      <c r="B2457" s="547">
        <f t="shared" si="125"/>
        <v>2419</v>
      </c>
      <c r="D2457" s="570" t="s">
        <v>3151</v>
      </c>
      <c r="E2457" s="25">
        <f>37241/8*12</f>
        <v>55861.5</v>
      </c>
    </row>
    <row r="2458" spans="2:5" x14ac:dyDescent="0.25">
      <c r="B2458" s="547">
        <f t="shared" si="125"/>
        <v>2420</v>
      </c>
      <c r="D2458" s="634" t="s">
        <v>3224</v>
      </c>
      <c r="E2458" s="613">
        <v>0</v>
      </c>
    </row>
    <row r="2459" spans="2:5" x14ac:dyDescent="0.25">
      <c r="B2459" s="547">
        <f t="shared" si="125"/>
        <v>2421</v>
      </c>
      <c r="D2459" s="634" t="s">
        <v>4899</v>
      </c>
      <c r="E2459" s="613">
        <v>0</v>
      </c>
    </row>
    <row r="2460" spans="2:5" x14ac:dyDescent="0.25">
      <c r="B2460" s="547">
        <f t="shared" si="125"/>
        <v>2422</v>
      </c>
      <c r="D2460" s="634" t="s">
        <v>4900</v>
      </c>
      <c r="E2460" s="613">
        <v>0</v>
      </c>
    </row>
    <row r="2461" spans="2:5" x14ac:dyDescent="0.25">
      <c r="B2461" s="547">
        <f t="shared" si="125"/>
        <v>2423</v>
      </c>
      <c r="D2461" s="634" t="s">
        <v>4901</v>
      </c>
      <c r="E2461" s="613">
        <v>0</v>
      </c>
    </row>
    <row r="2462" spans="2:5" x14ac:dyDescent="0.25">
      <c r="B2462" s="547">
        <f t="shared" si="125"/>
        <v>2424</v>
      </c>
      <c r="D2462" s="634" t="s">
        <v>4767</v>
      </c>
      <c r="E2462" s="613">
        <v>0</v>
      </c>
    </row>
    <row r="2463" spans="2:5" s="12" customFormat="1" x14ac:dyDescent="0.25">
      <c r="B2463" s="547">
        <f t="shared" si="125"/>
        <v>2425</v>
      </c>
      <c r="D2463" s="570" t="s">
        <v>3049</v>
      </c>
      <c r="E2463" s="25">
        <f>2816/8*12</f>
        <v>4224</v>
      </c>
    </row>
    <row r="2464" spans="2:5" s="12" customFormat="1" x14ac:dyDescent="0.25">
      <c r="B2464" s="547">
        <f t="shared" si="125"/>
        <v>2426</v>
      </c>
      <c r="D2464" s="570" t="s">
        <v>4806</v>
      </c>
      <c r="E2464" s="25">
        <v>1500</v>
      </c>
    </row>
    <row r="2465" spans="2:7" s="12" customFormat="1" x14ac:dyDescent="0.25">
      <c r="B2465" s="547">
        <f t="shared" si="125"/>
        <v>2427</v>
      </c>
      <c r="D2465" s="570" t="s">
        <v>4811</v>
      </c>
      <c r="E2465" s="25">
        <f>'FOPAG ED.'!I314*12</f>
        <v>3070.56</v>
      </c>
    </row>
    <row r="2466" spans="2:7" s="12" customFormat="1" x14ac:dyDescent="0.25">
      <c r="B2466" s="547">
        <f t="shared" si="125"/>
        <v>2428</v>
      </c>
      <c r="D2466" s="570" t="s">
        <v>3057</v>
      </c>
      <c r="E2466" s="25">
        <v>0.01</v>
      </c>
    </row>
    <row r="2467" spans="2:7" s="12" customFormat="1" x14ac:dyDescent="0.25">
      <c r="B2467" s="547">
        <f t="shared" si="125"/>
        <v>2429</v>
      </c>
      <c r="D2467" s="570" t="s">
        <v>3060</v>
      </c>
      <c r="E2467" s="25">
        <v>300</v>
      </c>
    </row>
    <row r="2468" spans="2:7" s="12" customFormat="1" x14ac:dyDescent="0.25">
      <c r="B2468" s="547">
        <f t="shared" si="125"/>
        <v>2430</v>
      </c>
      <c r="D2468" s="570" t="s">
        <v>3514</v>
      </c>
      <c r="E2468" s="25">
        <v>0.01</v>
      </c>
    </row>
    <row r="2469" spans="2:7" s="12" customFormat="1" x14ac:dyDescent="0.25">
      <c r="B2469" s="547">
        <f t="shared" si="125"/>
        <v>2431</v>
      </c>
      <c r="D2469" s="570" t="s">
        <v>3130</v>
      </c>
      <c r="E2469" s="25">
        <v>0.01</v>
      </c>
    </row>
    <row r="2470" spans="2:7" s="12" customFormat="1" x14ac:dyDescent="0.25">
      <c r="B2470" s="547">
        <f t="shared" si="125"/>
        <v>2432</v>
      </c>
      <c r="D2470" s="570" t="s">
        <v>3152</v>
      </c>
      <c r="E2470" s="25">
        <v>0.01</v>
      </c>
    </row>
    <row r="2471" spans="2:7" x14ac:dyDescent="0.25">
      <c r="B2471" s="547">
        <f t="shared" si="125"/>
        <v>2433</v>
      </c>
      <c r="C2471" s="579" t="s">
        <v>4898</v>
      </c>
      <c r="D2471" s="579" t="str">
        <f>DESPORC!D2791</f>
        <v>GESTÃO E DES. EDUC. INF. E.M.E.I. SONHO DE CRIANÇA</v>
      </c>
      <c r="E2471" s="580"/>
      <c r="F2471" s="582"/>
      <c r="G2471" s="582"/>
    </row>
    <row r="2472" spans="2:7" ht="15.75" x14ac:dyDescent="0.25">
      <c r="B2472" s="547">
        <f t="shared" si="125"/>
        <v>2434</v>
      </c>
      <c r="D2472" s="625" t="s">
        <v>6911</v>
      </c>
      <c r="E2472" s="26">
        <v>0.01</v>
      </c>
    </row>
    <row r="2473" spans="2:7" ht="15.75" x14ac:dyDescent="0.25">
      <c r="B2473" s="547">
        <f t="shared" si="125"/>
        <v>2435</v>
      </c>
      <c r="D2473" s="625" t="s">
        <v>6912</v>
      </c>
      <c r="E2473" s="26">
        <v>3000</v>
      </c>
    </row>
    <row r="2474" spans="2:7" x14ac:dyDescent="0.25">
      <c r="B2474" s="547">
        <f t="shared" si="125"/>
        <v>2436</v>
      </c>
      <c r="C2474" s="579" t="s">
        <v>4898</v>
      </c>
      <c r="D2474" s="579" t="str">
        <f>DESPORC!D2791</f>
        <v>GESTÃO E DES. EDUC. INF. E.M.E.I. SONHO DE CRIANÇA</v>
      </c>
      <c r="E2474" s="580"/>
      <c r="F2474" s="582"/>
      <c r="G2474" s="582"/>
    </row>
    <row r="2475" spans="2:7" x14ac:dyDescent="0.25">
      <c r="B2475" s="547">
        <f t="shared" si="125"/>
        <v>2437</v>
      </c>
      <c r="D2475" s="624" t="s">
        <v>5105</v>
      </c>
      <c r="E2475" s="26">
        <v>0.01</v>
      </c>
    </row>
    <row r="2476" spans="2:7" x14ac:dyDescent="0.25">
      <c r="B2476" s="547">
        <f t="shared" si="125"/>
        <v>2438</v>
      </c>
      <c r="D2476" s="624" t="s">
        <v>5106</v>
      </c>
      <c r="E2476" s="26">
        <v>0.01</v>
      </c>
    </row>
    <row r="2477" spans="2:7" ht="15.75" x14ac:dyDescent="0.25">
      <c r="B2477" s="547">
        <f t="shared" si="125"/>
        <v>2439</v>
      </c>
      <c r="D2477" s="688" t="s">
        <v>6444</v>
      </c>
      <c r="E2477" s="26">
        <v>0.01</v>
      </c>
    </row>
    <row r="2478" spans="2:7" x14ac:dyDescent="0.25">
      <c r="B2478" s="547">
        <f t="shared" si="125"/>
        <v>2440</v>
      </c>
      <c r="D2478" s="624" t="s">
        <v>5107</v>
      </c>
      <c r="E2478" s="26">
        <v>0.01</v>
      </c>
    </row>
    <row r="2479" spans="2:7" ht="15.75" x14ac:dyDescent="0.25">
      <c r="B2479" s="547">
        <f t="shared" si="125"/>
        <v>2441</v>
      </c>
      <c r="D2479" s="688" t="s">
        <v>6446</v>
      </c>
      <c r="E2479" s="26">
        <v>0.01</v>
      </c>
    </row>
    <row r="2480" spans="2:7" x14ac:dyDescent="0.25">
      <c r="B2480" s="547">
        <f t="shared" si="125"/>
        <v>2442</v>
      </c>
      <c r="C2480" s="579" t="s">
        <v>4902</v>
      </c>
      <c r="D2480" s="579" t="str">
        <f>DESPORC!D2786</f>
        <v>Prom. e Des. Ed. Infantil Formação de R. H.: Outros Servicos - PJ</v>
      </c>
      <c r="E2480" s="580"/>
      <c r="F2480" s="582"/>
      <c r="G2480" s="582"/>
    </row>
    <row r="2481" spans="2:7" x14ac:dyDescent="0.25">
      <c r="B2481" s="547">
        <f t="shared" si="125"/>
        <v>2443</v>
      </c>
      <c r="D2481" s="624" t="s">
        <v>5105</v>
      </c>
      <c r="E2481" s="26">
        <v>0.01</v>
      </c>
    </row>
    <row r="2482" spans="2:7" x14ac:dyDescent="0.25">
      <c r="B2482" s="547">
        <f t="shared" si="125"/>
        <v>2444</v>
      </c>
      <c r="D2482" s="624" t="s">
        <v>5671</v>
      </c>
      <c r="E2482" s="26">
        <v>0.01</v>
      </c>
    </row>
    <row r="2483" spans="2:7" ht="15.75" x14ac:dyDescent="0.25">
      <c r="B2483" s="547">
        <f t="shared" si="125"/>
        <v>2445</v>
      </c>
      <c r="D2483" s="688" t="s">
        <v>6449</v>
      </c>
      <c r="E2483" s="26">
        <v>0.01</v>
      </c>
    </row>
    <row r="2484" spans="2:7" x14ac:dyDescent="0.25">
      <c r="B2484" s="547">
        <f t="shared" si="125"/>
        <v>2446</v>
      </c>
      <c r="D2484" s="624" t="s">
        <v>5672</v>
      </c>
      <c r="E2484" s="26">
        <v>0.01</v>
      </c>
    </row>
    <row r="2485" spans="2:7" ht="15.75" x14ac:dyDescent="0.25">
      <c r="B2485" s="547">
        <f t="shared" si="125"/>
        <v>2447</v>
      </c>
      <c r="D2485" s="688" t="s">
        <v>6451</v>
      </c>
      <c r="E2485" s="26">
        <v>0.01</v>
      </c>
    </row>
    <row r="2486" spans="2:7" x14ac:dyDescent="0.25">
      <c r="B2486" s="547">
        <f t="shared" si="125"/>
        <v>2448</v>
      </c>
      <c r="C2486" s="579" t="s">
        <v>4902</v>
      </c>
      <c r="D2486" s="579" t="str">
        <f>DESPORC!D2791</f>
        <v>GESTÃO E DES. EDUC. INF. E.M.E.I. SONHO DE CRIANÇA</v>
      </c>
      <c r="E2486" s="580"/>
      <c r="F2486" s="582"/>
      <c r="G2486" s="582"/>
    </row>
    <row r="2487" spans="2:7" s="12" customFormat="1" x14ac:dyDescent="0.25">
      <c r="B2487" s="547">
        <f t="shared" si="125"/>
        <v>2449</v>
      </c>
      <c r="D2487" s="570" t="s">
        <v>3648</v>
      </c>
      <c r="E2487" s="25"/>
    </row>
    <row r="2488" spans="2:7" x14ac:dyDescent="0.25">
      <c r="B2488" s="547">
        <f t="shared" si="125"/>
        <v>2450</v>
      </c>
      <c r="D2488" s="624" t="s">
        <v>4877</v>
      </c>
      <c r="E2488" s="26">
        <v>1</v>
      </c>
    </row>
    <row r="2489" spans="2:7" x14ac:dyDescent="0.25">
      <c r="B2489" s="547">
        <f t="shared" si="125"/>
        <v>2451</v>
      </c>
      <c r="D2489" s="624" t="s">
        <v>4876</v>
      </c>
      <c r="E2489" s="26">
        <v>1</v>
      </c>
    </row>
    <row r="2490" spans="2:7" x14ac:dyDescent="0.25">
      <c r="B2490" s="547">
        <f t="shared" si="125"/>
        <v>2452</v>
      </c>
      <c r="D2490" s="629" t="s">
        <v>4501</v>
      </c>
      <c r="E2490" s="26">
        <f>(E2491+E2503+E2504+E2505)*E94</f>
        <v>32416.275177777061</v>
      </c>
    </row>
    <row r="2491" spans="2:7" s="12" customFormat="1" x14ac:dyDescent="0.25">
      <c r="B2491" s="547">
        <f t="shared" si="125"/>
        <v>2453</v>
      </c>
      <c r="D2491" s="570" t="s">
        <v>4895</v>
      </c>
      <c r="E2491" s="25">
        <f>SUM(E2492:E2502)</f>
        <v>232151.71365925961</v>
      </c>
    </row>
    <row r="2492" spans="2:7" x14ac:dyDescent="0.25">
      <c r="B2492" s="547">
        <f t="shared" si="125"/>
        <v>2454</v>
      </c>
      <c r="D2492" s="624" t="s">
        <v>4854</v>
      </c>
      <c r="E2492" s="26">
        <f>'FOPAG FUNDEB'!E365*12</f>
        <v>134192.08859996975</v>
      </c>
    </row>
    <row r="2493" spans="2:7" x14ac:dyDescent="0.25">
      <c r="B2493" s="547">
        <f t="shared" si="125"/>
        <v>2455</v>
      </c>
      <c r="D2493" s="624" t="s">
        <v>4863</v>
      </c>
      <c r="E2493" s="26">
        <f>'FOPAG FUNDEB'!E366*12</f>
        <v>18461.844038081479</v>
      </c>
    </row>
    <row r="2494" spans="2:7" x14ac:dyDescent="0.25">
      <c r="B2494" s="547">
        <f t="shared" si="125"/>
        <v>2456</v>
      </c>
      <c r="D2494" s="624" t="s">
        <v>4859</v>
      </c>
      <c r="E2494" s="26">
        <f>'FOPAG FUNDEB'!E367*12</f>
        <v>41975.223790256205</v>
      </c>
    </row>
    <row r="2495" spans="2:7" x14ac:dyDescent="0.25">
      <c r="B2495" s="547">
        <f t="shared" si="125"/>
        <v>2457</v>
      </c>
      <c r="D2495" s="624" t="s">
        <v>4855</v>
      </c>
      <c r="E2495" s="26">
        <f>'FOPAG FUNDEB'!E368*12</f>
        <v>13817.794310196787</v>
      </c>
    </row>
    <row r="2496" spans="2:7" x14ac:dyDescent="0.25">
      <c r="B2496" s="547">
        <f t="shared" si="125"/>
        <v>2458</v>
      </c>
      <c r="D2496" s="624" t="s">
        <v>4856</v>
      </c>
      <c r="E2496" s="26">
        <f>'FOPAG FUNDEB'!E369</f>
        <v>519.82527384697073</v>
      </c>
    </row>
    <row r="2497" spans="2:5" x14ac:dyDescent="0.25">
      <c r="B2497" s="547">
        <f t="shared" si="125"/>
        <v>2459</v>
      </c>
      <c r="D2497" s="624" t="s">
        <v>4858</v>
      </c>
      <c r="E2497" s="26">
        <f>'FOPAG FUNDEB'!E370</f>
        <v>1559.4758215409122</v>
      </c>
    </row>
    <row r="2498" spans="2:5" x14ac:dyDescent="0.25">
      <c r="B2498" s="547">
        <f t="shared" si="125"/>
        <v>2460</v>
      </c>
      <c r="D2498" s="624" t="s">
        <v>4857</v>
      </c>
      <c r="E2498" s="26">
        <f>'FOPAG FUNDEB'!E371</f>
        <v>0</v>
      </c>
    </row>
    <row r="2499" spans="2:5" x14ac:dyDescent="0.25">
      <c r="B2499" s="547">
        <f t="shared" si="125"/>
        <v>2461</v>
      </c>
      <c r="D2499" s="624" t="s">
        <v>4860</v>
      </c>
      <c r="E2499" s="26">
        <f>'FOPAG FUNDEB'!E375</f>
        <v>5406.3654563418741</v>
      </c>
    </row>
    <row r="2500" spans="2:5" x14ac:dyDescent="0.25">
      <c r="B2500" s="547">
        <f t="shared" si="125"/>
        <v>2462</v>
      </c>
      <c r="D2500" s="624" t="s">
        <v>4861</v>
      </c>
      <c r="E2500" s="26">
        <f>'FOPAG FUNDEB'!E376</f>
        <v>16219.096369025619</v>
      </c>
    </row>
    <row r="2501" spans="2:5" x14ac:dyDescent="0.25">
      <c r="B2501" s="547">
        <f t="shared" si="125"/>
        <v>2463</v>
      </c>
      <c r="D2501" s="624" t="s">
        <v>4862</v>
      </c>
      <c r="E2501" s="26">
        <f>'FOPAG FUNDEB'!E372</f>
        <v>0</v>
      </c>
    </row>
    <row r="2502" spans="2:5" x14ac:dyDescent="0.25">
      <c r="B2502" s="547">
        <f t="shared" si="125"/>
        <v>2464</v>
      </c>
      <c r="D2502" s="624" t="s">
        <v>2783</v>
      </c>
      <c r="E2502" s="26">
        <f>'FOPAG FUNDEB'!E377</f>
        <v>0</v>
      </c>
    </row>
    <row r="2503" spans="2:5" s="12" customFormat="1" x14ac:dyDescent="0.25">
      <c r="B2503" s="547">
        <f t="shared" si="125"/>
        <v>2465</v>
      </c>
      <c r="D2503" s="570" t="s">
        <v>4896</v>
      </c>
      <c r="E2503" s="25">
        <f>(E2491+E2504+E2505)*E92</f>
        <v>48751.86406844452</v>
      </c>
    </row>
    <row r="2504" spans="2:5" s="12" customFormat="1" x14ac:dyDescent="0.25">
      <c r="B2504" s="547">
        <f t="shared" si="125"/>
        <v>2466</v>
      </c>
      <c r="D2504" s="570" t="s">
        <v>3675</v>
      </c>
      <c r="E2504" s="25">
        <v>0.01</v>
      </c>
    </row>
    <row r="2505" spans="2:5" s="12" customFormat="1" x14ac:dyDescent="0.25">
      <c r="B2505" s="547">
        <f t="shared" si="125"/>
        <v>2467</v>
      </c>
      <c r="D2505" s="570" t="s">
        <v>2988</v>
      </c>
      <c r="E2505" s="25">
        <v>0.01</v>
      </c>
    </row>
    <row r="2506" spans="2:5" s="12" customFormat="1" x14ac:dyDescent="0.25">
      <c r="B2506" s="547">
        <f t="shared" si="125"/>
        <v>2468</v>
      </c>
      <c r="D2506" s="570" t="s">
        <v>3679</v>
      </c>
      <c r="E2506" s="25">
        <v>0.01</v>
      </c>
    </row>
    <row r="2507" spans="2:5" x14ac:dyDescent="0.25">
      <c r="B2507" s="547">
        <f t="shared" si="125"/>
        <v>2469</v>
      </c>
      <c r="D2507" s="624" t="s">
        <v>3174</v>
      </c>
      <c r="E2507" s="26">
        <v>0.01</v>
      </c>
    </row>
    <row r="2508" spans="2:5" x14ac:dyDescent="0.25">
      <c r="B2508" s="547">
        <f t="shared" si="125"/>
        <v>2470</v>
      </c>
      <c r="D2508" s="624" t="s">
        <v>3562</v>
      </c>
      <c r="E2508" s="26">
        <f>10536.21/8*12</f>
        <v>15804.314999999999</v>
      </c>
    </row>
    <row r="2509" spans="2:5" x14ac:dyDescent="0.25">
      <c r="B2509" s="547">
        <f t="shared" si="125"/>
        <v>2471</v>
      </c>
      <c r="D2509" s="629" t="s">
        <v>4905</v>
      </c>
      <c r="E2509" s="623">
        <f>ER!E654</f>
        <v>1222.1412716217033</v>
      </c>
    </row>
    <row r="2510" spans="2:5" x14ac:dyDescent="0.25">
      <c r="B2510" s="547">
        <f t="shared" si="125"/>
        <v>2472</v>
      </c>
      <c r="D2510" s="629" t="s">
        <v>6903</v>
      </c>
      <c r="E2510" s="623">
        <f>ER!E679</f>
        <v>36.086967089990566</v>
      </c>
    </row>
    <row r="2511" spans="2:5" x14ac:dyDescent="0.25">
      <c r="B2511" s="547">
        <f t="shared" si="125"/>
        <v>2473</v>
      </c>
      <c r="D2511" s="624" t="s">
        <v>3262</v>
      </c>
      <c r="E2511" s="26">
        <v>0.01</v>
      </c>
    </row>
    <row r="2512" spans="2:5" x14ac:dyDescent="0.25">
      <c r="B2512" s="547">
        <f t="shared" si="125"/>
        <v>2474</v>
      </c>
      <c r="D2512" s="624" t="s">
        <v>3204</v>
      </c>
      <c r="E2512" s="26">
        <v>0.01</v>
      </c>
    </row>
    <row r="2513" spans="2:7" x14ac:dyDescent="0.25">
      <c r="B2513" s="547">
        <f t="shared" ref="B2513:B2576" si="126">B2512+1</f>
        <v>2475</v>
      </c>
      <c r="D2513" s="624" t="s">
        <v>3473</v>
      </c>
      <c r="E2513" s="26">
        <v>0.01</v>
      </c>
    </row>
    <row r="2514" spans="2:7" x14ac:dyDescent="0.25">
      <c r="B2514" s="547">
        <f t="shared" si="126"/>
        <v>2476</v>
      </c>
      <c r="D2514" s="624" t="s">
        <v>3150</v>
      </c>
      <c r="E2514" s="26">
        <v>0.01</v>
      </c>
    </row>
    <row r="2515" spans="2:7" x14ac:dyDescent="0.25">
      <c r="B2515" s="547">
        <f t="shared" si="126"/>
        <v>2477</v>
      </c>
      <c r="D2515" s="624" t="s">
        <v>4691</v>
      </c>
      <c r="E2515" s="26">
        <f>10985/8*12</f>
        <v>16477.5</v>
      </c>
    </row>
    <row r="2516" spans="2:7" x14ac:dyDescent="0.25">
      <c r="B2516" s="547">
        <f t="shared" si="126"/>
        <v>2478</v>
      </c>
      <c r="D2516" s="629" t="s">
        <v>3049</v>
      </c>
      <c r="E2516" s="26">
        <f>12387.07/8*12</f>
        <v>18580.605</v>
      </c>
    </row>
    <row r="2517" spans="2:7" x14ac:dyDescent="0.25">
      <c r="B2517" s="547">
        <f t="shared" si="126"/>
        <v>2479</v>
      </c>
      <c r="D2517" s="624" t="s">
        <v>4277</v>
      </c>
      <c r="E2517" s="26">
        <v>1</v>
      </c>
    </row>
    <row r="2518" spans="2:7" x14ac:dyDescent="0.25">
      <c r="B2518" s="547">
        <f t="shared" si="126"/>
        <v>2480</v>
      </c>
      <c r="D2518" s="624" t="s">
        <v>4811</v>
      </c>
      <c r="E2518" s="26">
        <f>'FOPAG FUNDEB'!E374*12</f>
        <v>5833.92</v>
      </c>
    </row>
    <row r="2519" spans="2:7" x14ac:dyDescent="0.25">
      <c r="B2519" s="547">
        <f t="shared" si="126"/>
        <v>2481</v>
      </c>
      <c r="D2519" s="624" t="s">
        <v>3742</v>
      </c>
      <c r="E2519" s="26">
        <v>0.01</v>
      </c>
    </row>
    <row r="2520" spans="2:7" x14ac:dyDescent="0.25">
      <c r="B2520" s="547">
        <f t="shared" si="126"/>
        <v>2482</v>
      </c>
      <c r="D2520" s="624" t="s">
        <v>3060</v>
      </c>
      <c r="E2520" s="26">
        <v>0.01</v>
      </c>
    </row>
    <row r="2521" spans="2:7" x14ac:dyDescent="0.25">
      <c r="B2521" s="547">
        <f t="shared" si="126"/>
        <v>2483</v>
      </c>
      <c r="D2521" s="624" t="s">
        <v>3514</v>
      </c>
      <c r="E2521" s="26">
        <v>0.01</v>
      </c>
    </row>
    <row r="2522" spans="2:7" x14ac:dyDescent="0.25">
      <c r="B2522" s="547">
        <f t="shared" si="126"/>
        <v>2484</v>
      </c>
      <c r="D2522" s="624" t="s">
        <v>3130</v>
      </c>
      <c r="E2522" s="26">
        <v>0.01</v>
      </c>
    </row>
    <row r="2523" spans="2:7" x14ac:dyDescent="0.25">
      <c r="B2523" s="547">
        <f t="shared" si="126"/>
        <v>2485</v>
      </c>
      <c r="D2523" s="624" t="s">
        <v>3152</v>
      </c>
      <c r="E2523" s="26">
        <v>0.01</v>
      </c>
    </row>
    <row r="2524" spans="2:7" x14ac:dyDescent="0.25">
      <c r="B2524" s="547">
        <f t="shared" si="126"/>
        <v>2486</v>
      </c>
      <c r="D2524" s="570" t="s">
        <v>5089</v>
      </c>
      <c r="E2524" s="26"/>
    </row>
    <row r="2525" spans="2:7" x14ac:dyDescent="0.25">
      <c r="B2525" s="547">
        <f t="shared" si="126"/>
        <v>2487</v>
      </c>
      <c r="C2525" s="579" t="s">
        <v>4764</v>
      </c>
      <c r="D2525" s="579" t="str">
        <f>DESPORC!D2831</f>
        <v>NOVOS INVESTIMENTOS EM EDUCAÇÃO</v>
      </c>
      <c r="E2525" s="580"/>
      <c r="F2525" s="582"/>
      <c r="G2525" s="582"/>
    </row>
    <row r="2526" spans="2:7" x14ac:dyDescent="0.25">
      <c r="B2526" s="547">
        <f t="shared" si="126"/>
        <v>2488</v>
      </c>
      <c r="D2526" s="624" t="s">
        <v>5084</v>
      </c>
      <c r="E2526" s="26">
        <v>0.01</v>
      </c>
    </row>
    <row r="2527" spans="2:7" x14ac:dyDescent="0.25">
      <c r="B2527" s="547">
        <f t="shared" si="126"/>
        <v>2489</v>
      </c>
      <c r="D2527" s="624" t="s">
        <v>5018</v>
      </c>
      <c r="E2527" s="26">
        <v>0.01</v>
      </c>
    </row>
    <row r="2528" spans="2:7" x14ac:dyDescent="0.25">
      <c r="B2528" s="547">
        <f t="shared" si="126"/>
        <v>2490</v>
      </c>
      <c r="D2528" s="624" t="s">
        <v>5085</v>
      </c>
      <c r="E2528" s="26">
        <v>0.01</v>
      </c>
    </row>
    <row r="2529" spans="2:7" x14ac:dyDescent="0.25">
      <c r="B2529" s="547">
        <f t="shared" si="126"/>
        <v>2491</v>
      </c>
      <c r="D2529" s="624" t="s">
        <v>5086</v>
      </c>
      <c r="E2529" s="26">
        <v>0.01</v>
      </c>
    </row>
    <row r="2530" spans="2:7" x14ac:dyDescent="0.25">
      <c r="B2530" s="547">
        <f t="shared" si="126"/>
        <v>2492</v>
      </c>
      <c r="D2530" s="624" t="s">
        <v>5087</v>
      </c>
      <c r="E2530" s="26">
        <v>0.01</v>
      </c>
    </row>
    <row r="2531" spans="2:7" x14ac:dyDescent="0.25">
      <c r="B2531" s="547">
        <f t="shared" si="126"/>
        <v>2493</v>
      </c>
      <c r="D2531" s="624" t="s">
        <v>5022</v>
      </c>
      <c r="E2531" s="26">
        <v>0.01</v>
      </c>
    </row>
    <row r="2532" spans="2:7" x14ac:dyDescent="0.25">
      <c r="B2532" s="547">
        <f t="shared" si="126"/>
        <v>2494</v>
      </c>
      <c r="C2532" s="579" t="s">
        <v>4774</v>
      </c>
      <c r="D2532" s="579" t="str">
        <f>DESPORC!D2841</f>
        <v>GESTAO E COORD. TRANSPORTE ESCOLAR</v>
      </c>
      <c r="E2532" s="580"/>
      <c r="F2532" s="582"/>
      <c r="G2532" s="582"/>
    </row>
    <row r="2533" spans="2:7" x14ac:dyDescent="0.25">
      <c r="B2533" s="547">
        <f t="shared" si="126"/>
        <v>2495</v>
      </c>
      <c r="D2533" s="570" t="s">
        <v>5051</v>
      </c>
      <c r="E2533" s="26"/>
    </row>
    <row r="2534" spans="2:7" x14ac:dyDescent="0.25">
      <c r="B2534" s="547">
        <f t="shared" si="126"/>
        <v>2496</v>
      </c>
      <c r="D2534" s="624" t="s">
        <v>3075</v>
      </c>
      <c r="E2534" s="26">
        <f>'FOPAG ED.'!I249*12</f>
        <v>132689.93835444769</v>
      </c>
    </row>
    <row r="2535" spans="2:7" x14ac:dyDescent="0.25">
      <c r="B2535" s="547">
        <f t="shared" si="126"/>
        <v>2497</v>
      </c>
      <c r="D2535" s="624" t="s">
        <v>7829</v>
      </c>
      <c r="E2535" s="26">
        <f>SUM(E2534,E2553,E2554)*E$92</f>
        <v>30960.985616037793</v>
      </c>
    </row>
    <row r="2536" spans="2:7" x14ac:dyDescent="0.25">
      <c r="B2536" s="547">
        <f t="shared" si="126"/>
        <v>2498</v>
      </c>
      <c r="D2536" s="624" t="s">
        <v>2761</v>
      </c>
      <c r="E2536" s="26">
        <f>'FOPAG ED.'!I253*12</f>
        <v>1849.0799999999997</v>
      </c>
    </row>
    <row r="2537" spans="2:7" x14ac:dyDescent="0.25">
      <c r="B2537" s="547">
        <f t="shared" si="126"/>
        <v>2499</v>
      </c>
      <c r="D2537" s="654" t="s">
        <v>5050</v>
      </c>
      <c r="E2537" s="26"/>
    </row>
    <row r="2538" spans="2:7" x14ac:dyDescent="0.25">
      <c r="B2538" s="547">
        <f t="shared" si="126"/>
        <v>2500</v>
      </c>
      <c r="D2538" s="570" t="s">
        <v>5090</v>
      </c>
      <c r="E2538" s="26"/>
    </row>
    <row r="2539" spans="2:7" x14ac:dyDescent="0.25">
      <c r="B2539" s="547">
        <f t="shared" si="126"/>
        <v>2501</v>
      </c>
      <c r="D2539" s="624" t="s">
        <v>5096</v>
      </c>
      <c r="E2539" s="26">
        <f>'FOPAG ED.'!I267*12</f>
        <v>49144.479595983386</v>
      </c>
    </row>
    <row r="2540" spans="2:7" x14ac:dyDescent="0.25">
      <c r="B2540" s="547">
        <f t="shared" si="126"/>
        <v>2502</v>
      </c>
      <c r="D2540" s="624" t="s">
        <v>4904</v>
      </c>
      <c r="E2540" s="26">
        <f>'FOPAG ED.'!I268</f>
        <v>1365.1244332217607</v>
      </c>
    </row>
    <row r="2541" spans="2:7" x14ac:dyDescent="0.25">
      <c r="B2541" s="547">
        <f t="shared" si="126"/>
        <v>2503</v>
      </c>
      <c r="D2541" s="624" t="s">
        <v>5097</v>
      </c>
      <c r="E2541" s="26">
        <f>'FOPAG ED.'!I269</f>
        <v>4095.373299665282</v>
      </c>
    </row>
    <row r="2542" spans="2:7" x14ac:dyDescent="0.25">
      <c r="B2542" s="547">
        <f t="shared" si="126"/>
        <v>2504</v>
      </c>
      <c r="D2542" s="624" t="s">
        <v>5098</v>
      </c>
      <c r="E2542" s="26">
        <f>'FOPAG ED.'!I256*12</f>
        <v>49487.505310809742</v>
      </c>
    </row>
    <row r="2543" spans="2:7" x14ac:dyDescent="0.25">
      <c r="B2543" s="547">
        <f t="shared" si="126"/>
        <v>2505</v>
      </c>
      <c r="D2543" s="624" t="s">
        <v>3411</v>
      </c>
      <c r="E2543" s="26">
        <f>'FOPAG ED.'!I257*12</f>
        <v>2142.2331556972781</v>
      </c>
    </row>
    <row r="2544" spans="2:7" x14ac:dyDescent="0.25">
      <c r="B2544" s="547">
        <f t="shared" si="126"/>
        <v>2506</v>
      </c>
      <c r="D2544" s="624" t="s">
        <v>4847</v>
      </c>
      <c r="E2544" s="26">
        <f>'FOPAG ED.'!I258</f>
        <v>59.506476547146619</v>
      </c>
    </row>
    <row r="2545" spans="2:5" x14ac:dyDescent="0.25">
      <c r="B2545" s="547">
        <f t="shared" si="126"/>
        <v>2507</v>
      </c>
      <c r="D2545" s="624" t="s">
        <v>4848</v>
      </c>
      <c r="E2545" s="26">
        <f>'FOPAG ED.'!I259</f>
        <v>178.51942964143984</v>
      </c>
    </row>
    <row r="2546" spans="2:5" x14ac:dyDescent="0.25">
      <c r="B2546" s="547">
        <f t="shared" si="126"/>
        <v>2508</v>
      </c>
      <c r="D2546" s="624" t="s">
        <v>5101</v>
      </c>
      <c r="E2546" s="26">
        <f>'FOPAG ED.'!I261</f>
        <v>0</v>
      </c>
    </row>
    <row r="2547" spans="2:5" x14ac:dyDescent="0.25">
      <c r="B2547" s="547">
        <f t="shared" si="126"/>
        <v>2509</v>
      </c>
      <c r="D2547" s="624" t="s">
        <v>5099</v>
      </c>
      <c r="E2547" s="26">
        <f>'FOPAG ED.'!I262</f>
        <v>1374.6529253002705</v>
      </c>
    </row>
    <row r="2548" spans="2:5" x14ac:dyDescent="0.25">
      <c r="B2548" s="547">
        <f t="shared" si="126"/>
        <v>2510</v>
      </c>
      <c r="D2548" s="624" t="s">
        <v>5100</v>
      </c>
      <c r="E2548" s="26">
        <f>'FOPAG ED.'!I263</f>
        <v>4123.9587759008118</v>
      </c>
    </row>
    <row r="2549" spans="2:5" s="12" customFormat="1" x14ac:dyDescent="0.25">
      <c r="B2549" s="547">
        <f t="shared" si="126"/>
        <v>2511</v>
      </c>
      <c r="D2549" s="570" t="s">
        <v>5091</v>
      </c>
      <c r="E2549" s="25"/>
    </row>
    <row r="2550" spans="2:5" s="12" customFormat="1" x14ac:dyDescent="0.25">
      <c r="B2550" s="547">
        <f t="shared" si="126"/>
        <v>2512</v>
      </c>
      <c r="D2550" s="570" t="s">
        <v>5047</v>
      </c>
      <c r="E2550" s="25">
        <f>27420.93/8*12</f>
        <v>41131.395000000004</v>
      </c>
    </row>
    <row r="2551" spans="2:5" s="12" customFormat="1" x14ac:dyDescent="0.25">
      <c r="B2551" s="547">
        <f t="shared" si="126"/>
        <v>2513</v>
      </c>
      <c r="D2551" s="570" t="s">
        <v>5046</v>
      </c>
      <c r="E2551" s="25">
        <v>0.01</v>
      </c>
    </row>
    <row r="2552" spans="2:5" s="12" customFormat="1" x14ac:dyDescent="0.25">
      <c r="B2552" s="547">
        <f t="shared" si="126"/>
        <v>2514</v>
      </c>
      <c r="D2552" s="570" t="s">
        <v>5045</v>
      </c>
      <c r="E2552" s="25"/>
    </row>
    <row r="2553" spans="2:5" s="12" customFormat="1" x14ac:dyDescent="0.25">
      <c r="B2553" s="547">
        <f t="shared" si="126"/>
        <v>2515</v>
      </c>
      <c r="D2553" s="624" t="s">
        <v>5102</v>
      </c>
      <c r="E2553" s="26">
        <f>'FOPAG ED.'!I250</f>
        <v>3685.8316209568807</v>
      </c>
    </row>
    <row r="2554" spans="2:5" s="12" customFormat="1" x14ac:dyDescent="0.25">
      <c r="B2554" s="547">
        <f t="shared" si="126"/>
        <v>2516</v>
      </c>
      <c r="D2554" s="624" t="s">
        <v>5103</v>
      </c>
      <c r="E2554" s="26">
        <f>'FOPAG ED.'!I251</f>
        <v>11057.494862870641</v>
      </c>
    </row>
    <row r="2555" spans="2:5" s="12" customFormat="1" x14ac:dyDescent="0.25">
      <c r="B2555" s="547">
        <f t="shared" si="126"/>
        <v>2517</v>
      </c>
      <c r="D2555" s="570" t="s">
        <v>5044</v>
      </c>
      <c r="E2555" s="25">
        <v>1500</v>
      </c>
    </row>
    <row r="2556" spans="2:5" s="12" customFormat="1" x14ac:dyDescent="0.25">
      <c r="B2556" s="547">
        <f t="shared" si="126"/>
        <v>2518</v>
      </c>
      <c r="D2556" s="570" t="s">
        <v>5018</v>
      </c>
      <c r="E2556" s="25">
        <v>1500</v>
      </c>
    </row>
    <row r="2557" spans="2:5" x14ac:dyDescent="0.25">
      <c r="B2557" s="547">
        <f t="shared" si="126"/>
        <v>2519</v>
      </c>
      <c r="D2557" s="570" t="s">
        <v>5092</v>
      </c>
      <c r="E2557" s="25">
        <v>0.01</v>
      </c>
    </row>
    <row r="2558" spans="2:5" x14ac:dyDescent="0.25">
      <c r="B2558" s="547">
        <f t="shared" si="126"/>
        <v>2520</v>
      </c>
      <c r="D2558" s="570" t="s">
        <v>5093</v>
      </c>
      <c r="E2558" s="25">
        <v>500</v>
      </c>
    </row>
    <row r="2559" spans="2:5" x14ac:dyDescent="0.25">
      <c r="B2559" s="547">
        <f t="shared" si="126"/>
        <v>2521</v>
      </c>
      <c r="D2559" s="570" t="s">
        <v>5094</v>
      </c>
      <c r="E2559" s="25">
        <v>0.01</v>
      </c>
    </row>
    <row r="2560" spans="2:5" x14ac:dyDescent="0.25">
      <c r="B2560" s="547">
        <f t="shared" si="126"/>
        <v>2522</v>
      </c>
      <c r="D2560" s="570" t="s">
        <v>5085</v>
      </c>
      <c r="E2560" s="25">
        <v>0.01</v>
      </c>
    </row>
    <row r="2561" spans="2:7" x14ac:dyDescent="0.25">
      <c r="B2561" s="547">
        <f t="shared" si="126"/>
        <v>2523</v>
      </c>
      <c r="D2561" s="570" t="s">
        <v>5086</v>
      </c>
      <c r="E2561" s="25">
        <f>23800.97/8*12</f>
        <v>35701.455000000002</v>
      </c>
    </row>
    <row r="2562" spans="2:7" x14ac:dyDescent="0.25">
      <c r="B2562" s="547">
        <f t="shared" si="126"/>
        <v>2524</v>
      </c>
      <c r="D2562" s="654" t="s">
        <v>5040</v>
      </c>
      <c r="E2562" s="25">
        <f>28211.2/8*12</f>
        <v>42316.800000000003</v>
      </c>
    </row>
    <row r="2563" spans="2:7" x14ac:dyDescent="0.25">
      <c r="B2563" s="547">
        <f t="shared" si="126"/>
        <v>2525</v>
      </c>
      <c r="D2563" s="570" t="s">
        <v>5095</v>
      </c>
      <c r="E2563" s="25">
        <v>0.01</v>
      </c>
    </row>
    <row r="2564" spans="2:7" x14ac:dyDescent="0.25">
      <c r="B2564" s="547">
        <f t="shared" si="126"/>
        <v>2526</v>
      </c>
      <c r="D2564" s="570" t="s">
        <v>5038</v>
      </c>
      <c r="E2564" s="25">
        <f>('FOPAG ED.'!I252+'FOPAG ED.'!I264)*12</f>
        <v>18346.079999999998</v>
      </c>
    </row>
    <row r="2565" spans="2:7" x14ac:dyDescent="0.25">
      <c r="B2565" s="547">
        <f t="shared" si="126"/>
        <v>2527</v>
      </c>
      <c r="D2565" s="570" t="s">
        <v>5037</v>
      </c>
      <c r="E2565" s="25">
        <v>0.01</v>
      </c>
    </row>
    <row r="2566" spans="2:7" x14ac:dyDescent="0.25">
      <c r="B2566" s="547">
        <f t="shared" si="126"/>
        <v>2528</v>
      </c>
      <c r="D2566" s="570" t="s">
        <v>5036</v>
      </c>
      <c r="E2566" s="25">
        <v>500</v>
      </c>
    </row>
    <row r="2567" spans="2:7" x14ac:dyDescent="0.25">
      <c r="B2567" s="547">
        <f t="shared" si="126"/>
        <v>2529</v>
      </c>
      <c r="D2567" s="570" t="s">
        <v>5035</v>
      </c>
      <c r="E2567" s="25">
        <v>0.01</v>
      </c>
    </row>
    <row r="2568" spans="2:7" x14ac:dyDescent="0.25">
      <c r="B2568" s="547">
        <f t="shared" si="126"/>
        <v>2530</v>
      </c>
      <c r="D2568" s="570" t="s">
        <v>5087</v>
      </c>
      <c r="E2568" s="25">
        <v>0.01</v>
      </c>
    </row>
    <row r="2569" spans="2:7" x14ac:dyDescent="0.25">
      <c r="B2569" s="547">
        <f t="shared" si="126"/>
        <v>2531</v>
      </c>
      <c r="D2569" s="570" t="s">
        <v>5022</v>
      </c>
      <c r="E2569" s="25">
        <v>0.01</v>
      </c>
    </row>
    <row r="2570" spans="2:7" x14ac:dyDescent="0.25">
      <c r="B2570" s="547">
        <f t="shared" si="126"/>
        <v>2532</v>
      </c>
      <c r="C2570" s="579" t="s">
        <v>4774</v>
      </c>
      <c r="D2570" s="579" t="str">
        <f>DESPORC!D2868</f>
        <v>GESTAO E COORD. TRANSPORTE ESCOLAR</v>
      </c>
      <c r="E2570" s="580"/>
      <c r="F2570" s="582"/>
      <c r="G2570" s="582"/>
    </row>
    <row r="2571" spans="2:7" ht="31.5" x14ac:dyDescent="0.25">
      <c r="B2571" s="547">
        <f t="shared" si="126"/>
        <v>2533</v>
      </c>
      <c r="D2571" s="625" t="s">
        <v>5033</v>
      </c>
      <c r="E2571" s="25">
        <v>0.01</v>
      </c>
    </row>
    <row r="2572" spans="2:7" x14ac:dyDescent="0.25">
      <c r="B2572" s="547">
        <f t="shared" si="126"/>
        <v>2534</v>
      </c>
      <c r="C2572" s="579" t="s">
        <v>4774</v>
      </c>
      <c r="D2572" s="579" t="str">
        <f>DESPORC!D2873</f>
        <v>GESTAO E COORD. TRANSPORTE ESCOLAR</v>
      </c>
      <c r="E2572" s="580"/>
      <c r="F2572" s="582"/>
      <c r="G2572" s="582"/>
    </row>
    <row r="2573" spans="2:7" x14ac:dyDescent="0.25">
      <c r="B2573" s="547">
        <f t="shared" si="126"/>
        <v>2535</v>
      </c>
      <c r="D2573" s="624" t="s">
        <v>5105</v>
      </c>
      <c r="E2573" s="25">
        <v>0.01</v>
      </c>
    </row>
    <row r="2574" spans="2:7" x14ac:dyDescent="0.25">
      <c r="B2574" s="547">
        <f t="shared" si="126"/>
        <v>2536</v>
      </c>
      <c r="D2574" s="624" t="s">
        <v>5106</v>
      </c>
      <c r="E2574" s="25">
        <v>0.01</v>
      </c>
    </row>
    <row r="2575" spans="2:7" ht="15.75" x14ac:dyDescent="0.25">
      <c r="B2575" s="547">
        <f t="shared" si="126"/>
        <v>2537</v>
      </c>
      <c r="D2575" s="688" t="s">
        <v>6462</v>
      </c>
      <c r="E2575" s="25">
        <v>0.01</v>
      </c>
    </row>
    <row r="2576" spans="2:7" x14ac:dyDescent="0.25">
      <c r="B2576" s="547">
        <f t="shared" si="126"/>
        <v>2538</v>
      </c>
      <c r="D2576" s="624" t="s">
        <v>5107</v>
      </c>
      <c r="E2576" s="25">
        <v>0.01</v>
      </c>
    </row>
    <row r="2577" spans="2:7" ht="15.75" x14ac:dyDescent="0.25">
      <c r="B2577" s="547">
        <f t="shared" ref="B2577:B2640" si="127">B2576+1</f>
        <v>2539</v>
      </c>
      <c r="D2577" s="688" t="s">
        <v>6464</v>
      </c>
      <c r="E2577" s="25">
        <v>0.01</v>
      </c>
    </row>
    <row r="2578" spans="2:7" ht="18.75" x14ac:dyDescent="0.25">
      <c r="B2578" s="547">
        <f t="shared" si="127"/>
        <v>2540</v>
      </c>
      <c r="D2578" s="1404" t="s">
        <v>5158</v>
      </c>
      <c r="E2578" s="25"/>
    </row>
    <row r="2579" spans="2:7" x14ac:dyDescent="0.25">
      <c r="B2579" s="547">
        <f t="shared" si="127"/>
        <v>2541</v>
      </c>
      <c r="C2579" s="579" t="s">
        <v>4775</v>
      </c>
      <c r="D2579" s="579" t="str">
        <f>DESPORC!D2891</f>
        <v>PROMOÇÃO DO TRANSP. ESC. DO ENSINO FUNDAMENTAL</v>
      </c>
      <c r="E2579" s="580"/>
      <c r="F2579" s="582"/>
      <c r="G2579" s="582"/>
    </row>
    <row r="2580" spans="2:7" x14ac:dyDescent="0.25">
      <c r="B2580" s="547">
        <f t="shared" si="127"/>
        <v>2542</v>
      </c>
      <c r="D2580" s="634" t="s">
        <v>3562</v>
      </c>
      <c r="E2580" s="26">
        <v>20000</v>
      </c>
    </row>
    <row r="2581" spans="2:7" x14ac:dyDescent="0.25">
      <c r="B2581" s="547">
        <f t="shared" si="127"/>
        <v>2543</v>
      </c>
      <c r="D2581" s="634" t="s">
        <v>4836</v>
      </c>
      <c r="E2581" s="26">
        <f>(ER!E657*51%)-E2580-E2583</f>
        <v>268021.9505686445</v>
      </c>
    </row>
    <row r="2582" spans="2:7" x14ac:dyDescent="0.25">
      <c r="B2582" s="547">
        <f t="shared" si="127"/>
        <v>2544</v>
      </c>
      <c r="C2582" s="579" t="s">
        <v>4910</v>
      </c>
      <c r="D2582" s="579" t="str">
        <f>DESPORC!D2897</f>
        <v>PROMOÇÃO DO TRANSP. ESC. DO ENSINO MEDIO</v>
      </c>
      <c r="E2582" s="580"/>
      <c r="F2582" s="582"/>
      <c r="G2582" s="582"/>
    </row>
    <row r="2583" spans="2:7" x14ac:dyDescent="0.25">
      <c r="B2583" s="547">
        <f t="shared" si="127"/>
        <v>2545</v>
      </c>
      <c r="D2583" s="634" t="s">
        <v>3562</v>
      </c>
      <c r="E2583" s="26">
        <v>20000</v>
      </c>
    </row>
    <row r="2584" spans="2:7" x14ac:dyDescent="0.25">
      <c r="B2584" s="547">
        <f t="shared" si="127"/>
        <v>2546</v>
      </c>
      <c r="D2584" s="634" t="s">
        <v>4836</v>
      </c>
      <c r="E2584" s="26">
        <f>ER!E657*49%</f>
        <v>295942.65838948201</v>
      </c>
    </row>
    <row r="2585" spans="2:7" ht="18.75" x14ac:dyDescent="0.25">
      <c r="B2585" s="547">
        <f t="shared" si="127"/>
        <v>2547</v>
      </c>
      <c r="D2585" s="1404" t="s">
        <v>5157</v>
      </c>
      <c r="E2585" s="25"/>
    </row>
    <row r="2586" spans="2:7" x14ac:dyDescent="0.25">
      <c r="B2586" s="547">
        <f t="shared" si="127"/>
        <v>2548</v>
      </c>
      <c r="C2586" s="579" t="s">
        <v>4763</v>
      </c>
      <c r="D2586" s="579" t="str">
        <f>DESPORC!D2912</f>
        <v>Novos Investimentos Transporte Escolar do Ensino Fundamental</v>
      </c>
      <c r="E2586" s="580"/>
      <c r="F2586" s="582"/>
      <c r="G2586" s="582"/>
    </row>
    <row r="2587" spans="2:7" x14ac:dyDescent="0.25">
      <c r="B2587" s="547">
        <f t="shared" si="127"/>
        <v>2549</v>
      </c>
      <c r="D2587" s="624" t="s">
        <v>5159</v>
      </c>
      <c r="E2587" s="26">
        <v>0.01</v>
      </c>
    </row>
    <row r="2588" spans="2:7" x14ac:dyDescent="0.25">
      <c r="B2588" s="547">
        <f t="shared" si="127"/>
        <v>2550</v>
      </c>
      <c r="D2588" s="624" t="s">
        <v>5160</v>
      </c>
      <c r="E2588" s="26">
        <v>0.01</v>
      </c>
    </row>
    <row r="2589" spans="2:7" x14ac:dyDescent="0.25">
      <c r="B2589" s="547">
        <f t="shared" si="127"/>
        <v>2551</v>
      </c>
      <c r="C2589" s="579" t="s">
        <v>5161</v>
      </c>
      <c r="D2589" s="579" t="str">
        <f>DESPORC!D2918</f>
        <v>Novos Investimentos Transporte Escolar da Educação Infantil</v>
      </c>
      <c r="E2589" s="580"/>
      <c r="F2589" s="582"/>
      <c r="G2589" s="582"/>
    </row>
    <row r="2590" spans="2:7" x14ac:dyDescent="0.25">
      <c r="B2590" s="547">
        <f t="shared" si="127"/>
        <v>2552</v>
      </c>
      <c r="D2590" s="624" t="s">
        <v>5162</v>
      </c>
      <c r="E2590" s="26">
        <v>0.01</v>
      </c>
    </row>
    <row r="2591" spans="2:7" x14ac:dyDescent="0.25">
      <c r="B2591" s="547">
        <f t="shared" si="127"/>
        <v>2553</v>
      </c>
      <c r="D2591" s="624" t="s">
        <v>5163</v>
      </c>
      <c r="E2591" s="26">
        <v>0.01</v>
      </c>
    </row>
    <row r="2592" spans="2:7" x14ac:dyDescent="0.25">
      <c r="B2592" s="547">
        <f t="shared" si="127"/>
        <v>2554</v>
      </c>
      <c r="C2592" s="579" t="s">
        <v>5164</v>
      </c>
      <c r="D2592" s="579" t="str">
        <f>DESPORC!D2924</f>
        <v>Novos Investimentos Transporte Escolar da Educação de Jovens e Adultos</v>
      </c>
      <c r="E2592" s="580"/>
      <c r="F2592" s="582"/>
      <c r="G2592" s="582"/>
    </row>
    <row r="2593" spans="2:7" x14ac:dyDescent="0.25">
      <c r="B2593" s="547">
        <f t="shared" si="127"/>
        <v>2555</v>
      </c>
      <c r="D2593" s="624" t="s">
        <v>5165</v>
      </c>
      <c r="E2593" s="26">
        <v>0.01</v>
      </c>
    </row>
    <row r="2594" spans="2:7" ht="30" x14ac:dyDescent="0.25">
      <c r="B2594" s="547">
        <f t="shared" si="127"/>
        <v>2556</v>
      </c>
      <c r="D2594" s="624" t="s">
        <v>5166</v>
      </c>
      <c r="E2594" s="26">
        <v>0.01</v>
      </c>
    </row>
    <row r="2595" spans="2:7" x14ac:dyDescent="0.25">
      <c r="B2595" s="547">
        <f t="shared" si="127"/>
        <v>2557</v>
      </c>
      <c r="C2595" s="579" t="s">
        <v>5167</v>
      </c>
      <c r="D2595" s="579" t="str">
        <f>DESPORC!D2930</f>
        <v>Novos Investimentos Transporte Escolar da Educação Especial</v>
      </c>
      <c r="E2595" s="580"/>
      <c r="F2595" s="582"/>
      <c r="G2595" s="582"/>
    </row>
    <row r="2596" spans="2:7" x14ac:dyDescent="0.25">
      <c r="B2596" s="547">
        <f t="shared" si="127"/>
        <v>2558</v>
      </c>
      <c r="D2596" s="624" t="s">
        <v>5168</v>
      </c>
      <c r="E2596" s="26">
        <v>0.01</v>
      </c>
    </row>
    <row r="2597" spans="2:7" x14ac:dyDescent="0.25">
      <c r="B2597" s="547">
        <f t="shared" si="127"/>
        <v>2559</v>
      </c>
      <c r="D2597" s="624" t="s">
        <v>5169</v>
      </c>
      <c r="E2597" s="26">
        <v>0.01</v>
      </c>
    </row>
    <row r="2598" spans="2:7" x14ac:dyDescent="0.25">
      <c r="B2598" s="547">
        <f t="shared" si="127"/>
        <v>2560</v>
      </c>
      <c r="C2598" s="579" t="s">
        <v>4775</v>
      </c>
      <c r="D2598" s="579" t="str">
        <f>DESPORC!D2936</f>
        <v>PROMOÇÃO DO TRANSP. ESC. DO ENSINO FUNDAMENTAL</v>
      </c>
      <c r="E2598" s="580"/>
      <c r="F2598" s="582"/>
      <c r="G2598" s="582"/>
    </row>
    <row r="2599" spans="2:7" x14ac:dyDescent="0.25">
      <c r="B2599" s="547">
        <f t="shared" si="127"/>
        <v>2561</v>
      </c>
      <c r="D2599" s="634" t="s">
        <v>5170</v>
      </c>
      <c r="E2599" s="26">
        <f>49999.99+0.01</f>
        <v>50000</v>
      </c>
    </row>
    <row r="2600" spans="2:7" x14ac:dyDescent="0.25">
      <c r="B2600" s="547">
        <f t="shared" si="127"/>
        <v>2562</v>
      </c>
      <c r="D2600" s="634" t="s">
        <v>5171</v>
      </c>
      <c r="E2600" s="26">
        <v>0.01</v>
      </c>
    </row>
    <row r="2601" spans="2:7" x14ac:dyDescent="0.25">
      <c r="B2601" s="547">
        <f t="shared" si="127"/>
        <v>2563</v>
      </c>
      <c r="D2601" s="634" t="s">
        <v>5172</v>
      </c>
      <c r="E2601" s="26">
        <v>0.01</v>
      </c>
    </row>
    <row r="2602" spans="2:7" x14ac:dyDescent="0.25">
      <c r="B2602" s="547">
        <f t="shared" si="127"/>
        <v>2564</v>
      </c>
      <c r="D2602" s="634" t="s">
        <v>6902</v>
      </c>
      <c r="E2602" s="26">
        <f>ER!E681</f>
        <v>41595.399024514772</v>
      </c>
    </row>
    <row r="2603" spans="2:7" x14ac:dyDescent="0.25">
      <c r="B2603" s="547">
        <f t="shared" si="127"/>
        <v>2565</v>
      </c>
      <c r="D2603" s="634" t="s">
        <v>5173</v>
      </c>
      <c r="E2603" s="26">
        <f>30000+50000</f>
        <v>80000</v>
      </c>
    </row>
    <row r="2604" spans="2:7" x14ac:dyDescent="0.25">
      <c r="B2604" s="547">
        <f t="shared" si="127"/>
        <v>2566</v>
      </c>
      <c r="D2604" s="634" t="s">
        <v>5174</v>
      </c>
      <c r="E2604" s="26">
        <f>QSE!E32+QSE!E38-E2600-E2588</f>
        <v>196759.17336283182</v>
      </c>
    </row>
    <row r="2605" spans="2:7" x14ac:dyDescent="0.25">
      <c r="B2605" s="547">
        <f t="shared" si="127"/>
        <v>2567</v>
      </c>
      <c r="D2605" s="634" t="s">
        <v>5175</v>
      </c>
      <c r="E2605" s="26">
        <f>PNATE!E11-E2601-1</f>
        <v>136448.09747215064</v>
      </c>
    </row>
    <row r="2606" spans="2:7" x14ac:dyDescent="0.25">
      <c r="B2606" s="547">
        <f t="shared" si="127"/>
        <v>2568</v>
      </c>
      <c r="C2606" s="579" t="s">
        <v>4910</v>
      </c>
      <c r="D2606" s="579" t="str">
        <f>DESPORC!D2947</f>
        <v>PROMOÇÃO DO TRANSP. ESC. DO ENSINO MEDIO</v>
      </c>
      <c r="E2606" s="580"/>
      <c r="F2606" s="582"/>
      <c r="G2606" s="582"/>
    </row>
    <row r="2607" spans="2:7" x14ac:dyDescent="0.25">
      <c r="B2607" s="547">
        <f t="shared" si="127"/>
        <v>2569</v>
      </c>
      <c r="D2607" s="624" t="s">
        <v>5176</v>
      </c>
      <c r="E2607" s="26">
        <v>0.01</v>
      </c>
    </row>
    <row r="2608" spans="2:7" x14ac:dyDescent="0.25">
      <c r="B2608" s="547">
        <f t="shared" si="127"/>
        <v>2570</v>
      </c>
      <c r="D2608" s="624" t="s">
        <v>5177</v>
      </c>
      <c r="E2608" s="26">
        <f>PNATE!E13</f>
        <v>28249.941862179156</v>
      </c>
    </row>
    <row r="2609" spans="2:7" x14ac:dyDescent="0.25">
      <c r="B2609" s="547">
        <f t="shared" si="127"/>
        <v>2571</v>
      </c>
      <c r="C2609" s="579" t="s">
        <v>4776</v>
      </c>
      <c r="D2609" s="579" t="str">
        <f>DESPORC!D2953</f>
        <v>PROMOÇÃO DO TRANSP. ESCOLAR DA EDUCAÇÃO INFANTIL</v>
      </c>
      <c r="E2609" s="580"/>
      <c r="F2609" s="582"/>
      <c r="G2609" s="582"/>
    </row>
    <row r="2610" spans="2:7" x14ac:dyDescent="0.25">
      <c r="B2610" s="547">
        <f t="shared" si="127"/>
        <v>2572</v>
      </c>
      <c r="D2610" s="634" t="s">
        <v>5178</v>
      </c>
      <c r="E2610" s="26">
        <v>0.01</v>
      </c>
    </row>
    <row r="2611" spans="2:7" x14ac:dyDescent="0.25">
      <c r="B2611" s="547">
        <f t="shared" si="127"/>
        <v>2573</v>
      </c>
      <c r="D2611" s="634" t="s">
        <v>5179</v>
      </c>
      <c r="E2611" s="26">
        <v>0.01</v>
      </c>
    </row>
    <row r="2612" spans="2:7" x14ac:dyDescent="0.25">
      <c r="B2612" s="547">
        <f t="shared" si="127"/>
        <v>2574</v>
      </c>
      <c r="D2612" s="634" t="s">
        <v>5180</v>
      </c>
      <c r="E2612" s="26">
        <v>1.0999999999999999E-2</v>
      </c>
    </row>
    <row r="2613" spans="2:7" x14ac:dyDescent="0.25">
      <c r="B2613" s="547">
        <f t="shared" si="127"/>
        <v>2575</v>
      </c>
      <c r="D2613" s="634" t="s">
        <v>5181</v>
      </c>
      <c r="E2613" s="26">
        <v>17275.77</v>
      </c>
    </row>
    <row r="2614" spans="2:7" x14ac:dyDescent="0.25">
      <c r="B2614" s="547">
        <f t="shared" si="127"/>
        <v>2576</v>
      </c>
      <c r="D2614" s="634" t="s">
        <v>5182</v>
      </c>
      <c r="E2614" s="26">
        <f>QSE!E26-E2611-E2591</f>
        <v>48261.668938053088</v>
      </c>
    </row>
    <row r="2615" spans="2:7" x14ac:dyDescent="0.25">
      <c r="B2615" s="547">
        <f t="shared" si="127"/>
        <v>2577</v>
      </c>
      <c r="D2615" s="634" t="s">
        <v>5183</v>
      </c>
      <c r="E2615" s="26">
        <f>PNATE!E12-E2612</f>
        <v>14771.229665670211</v>
      </c>
    </row>
    <row r="2616" spans="2:7" x14ac:dyDescent="0.25">
      <c r="B2616" s="547">
        <f t="shared" si="127"/>
        <v>2578</v>
      </c>
      <c r="C2616" s="579" t="s">
        <v>5184</v>
      </c>
      <c r="D2616" s="579" t="str">
        <f>DESPORC!D2963</f>
        <v>Promoção do Transporte Escolar da Educação de Jovens e Adultos</v>
      </c>
      <c r="E2616" s="580"/>
      <c r="F2616" s="582"/>
      <c r="G2616" s="582"/>
    </row>
    <row r="2617" spans="2:7" x14ac:dyDescent="0.25">
      <c r="B2617" s="547">
        <f t="shared" si="127"/>
        <v>2579</v>
      </c>
      <c r="D2617" s="634" t="s">
        <v>5185</v>
      </c>
      <c r="E2617" s="26">
        <v>0.01</v>
      </c>
    </row>
    <row r="2618" spans="2:7" x14ac:dyDescent="0.25">
      <c r="B2618" s="547">
        <f t="shared" si="127"/>
        <v>2580</v>
      </c>
      <c r="D2618" s="634" t="s">
        <v>5188</v>
      </c>
      <c r="E2618" s="26">
        <v>0.01</v>
      </c>
    </row>
    <row r="2619" spans="2:7" x14ac:dyDescent="0.25">
      <c r="B2619" s="547">
        <f t="shared" si="127"/>
        <v>2581</v>
      </c>
      <c r="D2619" s="634" t="s">
        <v>5187</v>
      </c>
      <c r="E2619" s="26">
        <v>6841.89</v>
      </c>
    </row>
    <row r="2620" spans="2:7" x14ac:dyDescent="0.25">
      <c r="B2620" s="547">
        <f t="shared" si="127"/>
        <v>2582</v>
      </c>
      <c r="D2620" s="634" t="s">
        <v>5186</v>
      </c>
      <c r="E2620" s="26">
        <f>QSE!E63-E2618-E2594</f>
        <v>15262.223510324482</v>
      </c>
    </row>
    <row r="2621" spans="2:7" x14ac:dyDescent="0.25">
      <c r="B2621" s="547">
        <f t="shared" si="127"/>
        <v>2583</v>
      </c>
      <c r="C2621" s="579" t="s">
        <v>5189</v>
      </c>
      <c r="D2621" s="579" t="str">
        <f>DESPORC!D2971</f>
        <v>Promoção do Transporte Escolar da Educação Especial</v>
      </c>
      <c r="E2621" s="580"/>
      <c r="F2621" s="582"/>
      <c r="G2621" s="582"/>
    </row>
    <row r="2622" spans="2:7" x14ac:dyDescent="0.25">
      <c r="B2622" s="547">
        <f t="shared" si="127"/>
        <v>2584</v>
      </c>
      <c r="D2622" s="634" t="s">
        <v>5190</v>
      </c>
      <c r="E2622" s="26">
        <v>0.01</v>
      </c>
    </row>
    <row r="2623" spans="2:7" x14ac:dyDescent="0.25">
      <c r="B2623" s="547">
        <f t="shared" si="127"/>
        <v>2585</v>
      </c>
      <c r="D2623" s="634" t="s">
        <v>5191</v>
      </c>
      <c r="E2623" s="26">
        <v>0.01</v>
      </c>
    </row>
    <row r="2624" spans="2:7" x14ac:dyDescent="0.25">
      <c r="B2624" s="547">
        <f t="shared" si="127"/>
        <v>2586</v>
      </c>
      <c r="D2624" s="634" t="s">
        <v>5192</v>
      </c>
      <c r="E2624" s="26">
        <v>6157.7</v>
      </c>
    </row>
    <row r="2625" spans="2:7" x14ac:dyDescent="0.25">
      <c r="B2625" s="547">
        <f t="shared" si="127"/>
        <v>2587</v>
      </c>
      <c r="D2625" s="634" t="s">
        <v>5193</v>
      </c>
      <c r="E2625" s="26">
        <f>QSE!E57-E2623-E2597</f>
        <v>19387.154188790566</v>
      </c>
    </row>
    <row r="2626" spans="2:7" ht="30" x14ac:dyDescent="0.25">
      <c r="B2626" s="547">
        <f t="shared" si="127"/>
        <v>2588</v>
      </c>
      <c r="D2626" s="570" t="s">
        <v>5200</v>
      </c>
      <c r="E2626" s="26"/>
    </row>
    <row r="2627" spans="2:7" x14ac:dyDescent="0.25">
      <c r="B2627" s="547">
        <f t="shared" si="127"/>
        <v>2589</v>
      </c>
      <c r="C2627" s="579" t="s">
        <v>4763</v>
      </c>
      <c r="D2627" s="579" t="str">
        <f>DESPORC!D2990</f>
        <v>Novos Investimentos Transporte Escolar do Ensino Fundamental</v>
      </c>
      <c r="E2627" s="580"/>
      <c r="F2627" s="582"/>
      <c r="G2627" s="582"/>
    </row>
    <row r="2628" spans="2:7" ht="30" x14ac:dyDescent="0.25">
      <c r="B2628" s="547">
        <f t="shared" si="127"/>
        <v>2590</v>
      </c>
      <c r="D2628" s="624" t="s">
        <v>5202</v>
      </c>
      <c r="E2628" s="26">
        <v>0.01</v>
      </c>
    </row>
    <row r="2629" spans="2:7" ht="30" x14ac:dyDescent="0.25">
      <c r="B2629" s="547">
        <f t="shared" si="127"/>
        <v>2591</v>
      </c>
      <c r="D2629" s="624" t="s">
        <v>5203</v>
      </c>
      <c r="E2629" s="26">
        <v>0.01</v>
      </c>
    </row>
    <row r="2630" spans="2:7" ht="30" x14ac:dyDescent="0.25">
      <c r="B2630" s="547">
        <f t="shared" si="127"/>
        <v>2592</v>
      </c>
      <c r="D2630" s="624" t="s">
        <v>6891</v>
      </c>
      <c r="E2630" s="26">
        <f>ER!E659-E2634-E2638-E2642</f>
        <v>1.97</v>
      </c>
    </row>
    <row r="2631" spans="2:7" x14ac:dyDescent="0.25">
      <c r="B2631" s="547">
        <f t="shared" si="127"/>
        <v>2593</v>
      </c>
      <c r="C2631" s="579" t="s">
        <v>5161</v>
      </c>
      <c r="D2631" s="579" t="str">
        <f>DESPORC!D2997</f>
        <v>Novos Investimentos Transporte Escolar da Educação Infantil</v>
      </c>
      <c r="E2631" s="580"/>
      <c r="F2631" s="582"/>
      <c r="G2631" s="582"/>
    </row>
    <row r="2632" spans="2:7" x14ac:dyDescent="0.25">
      <c r="B2632" s="547">
        <f t="shared" si="127"/>
        <v>2594</v>
      </c>
      <c r="D2632" s="624" t="s">
        <v>5204</v>
      </c>
      <c r="E2632" s="26">
        <v>1</v>
      </c>
    </row>
    <row r="2633" spans="2:7" x14ac:dyDescent="0.25">
      <c r="B2633" s="547">
        <f t="shared" si="127"/>
        <v>2595</v>
      </c>
      <c r="D2633" s="624" t="s">
        <v>5205</v>
      </c>
      <c r="E2633" s="26">
        <v>1</v>
      </c>
    </row>
    <row r="2634" spans="2:7" x14ac:dyDescent="0.25">
      <c r="B2634" s="547">
        <f t="shared" si="127"/>
        <v>2596</v>
      </c>
      <c r="D2634" s="624" t="s">
        <v>6892</v>
      </c>
      <c r="E2634" s="26">
        <v>0.01</v>
      </c>
    </row>
    <row r="2635" spans="2:7" x14ac:dyDescent="0.25">
      <c r="B2635" s="547">
        <f t="shared" si="127"/>
        <v>2597</v>
      </c>
      <c r="C2635" s="579" t="s">
        <v>5164</v>
      </c>
      <c r="D2635" s="579" t="str">
        <f>DESPORC!D3004</f>
        <v>Novos Investimentos Transporte Escolar da Educação de Jovens e Adultos</v>
      </c>
      <c r="E2635" s="580"/>
      <c r="F2635" s="582"/>
      <c r="G2635" s="582"/>
    </row>
    <row r="2636" spans="2:7" x14ac:dyDescent="0.25">
      <c r="B2636" s="547">
        <f t="shared" si="127"/>
        <v>2598</v>
      </c>
      <c r="D2636" s="624" t="s">
        <v>5206</v>
      </c>
      <c r="E2636" s="26">
        <v>1</v>
      </c>
    </row>
    <row r="2637" spans="2:7" x14ac:dyDescent="0.25">
      <c r="B2637" s="547">
        <f t="shared" si="127"/>
        <v>2599</v>
      </c>
      <c r="D2637" s="624" t="s">
        <v>5207</v>
      </c>
      <c r="E2637" s="26">
        <v>1</v>
      </c>
    </row>
    <row r="2638" spans="2:7" x14ac:dyDescent="0.25">
      <c r="B2638" s="547">
        <f t="shared" si="127"/>
        <v>2600</v>
      </c>
      <c r="D2638" s="624" t="s">
        <v>6893</v>
      </c>
      <c r="E2638" s="26">
        <v>0.01</v>
      </c>
    </row>
    <row r="2639" spans="2:7" x14ac:dyDescent="0.25">
      <c r="B2639" s="547">
        <f t="shared" si="127"/>
        <v>2601</v>
      </c>
      <c r="C2639" s="579" t="s">
        <v>5167</v>
      </c>
      <c r="D2639" s="579" t="str">
        <f>DESPORC!D3011</f>
        <v>Novos Investimentos Transporte Escolar da Educação Especial</v>
      </c>
      <c r="E2639" s="580"/>
      <c r="F2639" s="582"/>
      <c r="G2639" s="582"/>
    </row>
    <row r="2640" spans="2:7" x14ac:dyDescent="0.25">
      <c r="B2640" s="547">
        <f t="shared" si="127"/>
        <v>2602</v>
      </c>
      <c r="D2640" s="624" t="s">
        <v>5208</v>
      </c>
      <c r="E2640" s="26">
        <v>1</v>
      </c>
    </row>
    <row r="2641" spans="2:7" x14ac:dyDescent="0.25">
      <c r="B2641" s="547">
        <f t="shared" ref="B2641:B2704" si="128">B2640+1</f>
        <v>2603</v>
      </c>
      <c r="D2641" s="624" t="s">
        <v>5209</v>
      </c>
      <c r="E2641" s="26">
        <v>1</v>
      </c>
    </row>
    <row r="2642" spans="2:7" x14ac:dyDescent="0.25">
      <c r="B2642" s="547">
        <f t="shared" si="128"/>
        <v>2604</v>
      </c>
      <c r="D2642" s="624" t="s">
        <v>6894</v>
      </c>
      <c r="E2642" s="26">
        <v>0.01</v>
      </c>
    </row>
    <row r="2643" spans="2:7" ht="30" x14ac:dyDescent="0.25">
      <c r="B2643" s="547">
        <f t="shared" si="128"/>
        <v>2605</v>
      </c>
      <c r="D2643" s="570" t="s">
        <v>5201</v>
      </c>
      <c r="E2643" s="26"/>
    </row>
    <row r="2644" spans="2:7" x14ac:dyDescent="0.25">
      <c r="B2644" s="547">
        <f t="shared" si="128"/>
        <v>2606</v>
      </c>
      <c r="C2644" s="579" t="s">
        <v>5214</v>
      </c>
      <c r="D2644" s="579" t="str">
        <f>DESPORC!D3018</f>
        <v>Promoção do Transporte Escolar : Docentes</v>
      </c>
      <c r="E2644" s="580"/>
      <c r="F2644" s="582"/>
      <c r="G2644" s="582"/>
    </row>
    <row r="2645" spans="2:7" x14ac:dyDescent="0.25">
      <c r="B2645" s="547">
        <f t="shared" si="128"/>
        <v>2607</v>
      </c>
      <c r="D2645" s="634" t="s">
        <v>5210</v>
      </c>
      <c r="E2645" s="26">
        <v>0.01</v>
      </c>
    </row>
    <row r="2646" spans="2:7" x14ac:dyDescent="0.25">
      <c r="B2646" s="547">
        <f t="shared" si="128"/>
        <v>2608</v>
      </c>
      <c r="D2646" s="634" t="s">
        <v>5211</v>
      </c>
      <c r="E2646" s="26">
        <v>0.01</v>
      </c>
    </row>
    <row r="2647" spans="2:7" x14ac:dyDescent="0.25">
      <c r="B2647" s="547">
        <f t="shared" si="128"/>
        <v>2609</v>
      </c>
      <c r="D2647" s="634" t="s">
        <v>5212</v>
      </c>
      <c r="E2647" s="26">
        <v>0.01</v>
      </c>
    </row>
    <row r="2648" spans="2:7" x14ac:dyDescent="0.25">
      <c r="B2648" s="547">
        <f t="shared" si="128"/>
        <v>2610</v>
      </c>
      <c r="D2648" s="634" t="s">
        <v>5213</v>
      </c>
      <c r="E2648" s="26">
        <v>0.01</v>
      </c>
    </row>
    <row r="2649" spans="2:7" x14ac:dyDescent="0.25">
      <c r="B2649" s="547">
        <f t="shared" si="128"/>
        <v>2611</v>
      </c>
      <c r="C2649" s="579" t="s">
        <v>4775</v>
      </c>
      <c r="D2649" s="579" t="str">
        <f>DESPORC!D3027</f>
        <v>PROMOÇÃO DO TRANSP. ESC. DO ENSINO FUNDAMENTAL</v>
      </c>
      <c r="E2649" s="580"/>
      <c r="F2649" s="582"/>
      <c r="G2649" s="582"/>
    </row>
    <row r="2650" spans="2:7" x14ac:dyDescent="0.25">
      <c r="B2650" s="547">
        <f t="shared" si="128"/>
        <v>2612</v>
      </c>
      <c r="D2650" s="634" t="s">
        <v>5215</v>
      </c>
      <c r="E2650" s="26">
        <v>0.01</v>
      </c>
    </row>
    <row r="2651" spans="2:7" x14ac:dyDescent="0.25">
      <c r="B2651" s="547">
        <f t="shared" si="128"/>
        <v>2613</v>
      </c>
      <c r="D2651" s="634" t="s">
        <v>5216</v>
      </c>
      <c r="E2651" s="26">
        <v>0.01</v>
      </c>
    </row>
    <row r="2652" spans="2:7" x14ac:dyDescent="0.25">
      <c r="B2652" s="547">
        <f t="shared" si="128"/>
        <v>2614</v>
      </c>
      <c r="D2652" s="634" t="s">
        <v>5217</v>
      </c>
      <c r="E2652" s="26">
        <v>0.01</v>
      </c>
    </row>
    <row r="2653" spans="2:7" x14ac:dyDescent="0.25">
      <c r="B2653" s="547">
        <f t="shared" si="128"/>
        <v>2615</v>
      </c>
      <c r="D2653" s="634" t="s">
        <v>5218</v>
      </c>
      <c r="E2653" s="26">
        <v>0.01</v>
      </c>
    </row>
    <row r="2654" spans="2:7" x14ac:dyDescent="0.25">
      <c r="B2654" s="547">
        <f t="shared" si="128"/>
        <v>2616</v>
      </c>
      <c r="C2654" s="579" t="s">
        <v>4910</v>
      </c>
      <c r="D2654" s="579" t="str">
        <f>DESPORC!D3035</f>
        <v>PROMOÇÃO DO TRANSP. ESC. DO ENSINO MEDIO</v>
      </c>
      <c r="E2654" s="580"/>
      <c r="F2654" s="582"/>
      <c r="G2654" s="582"/>
    </row>
    <row r="2655" spans="2:7" x14ac:dyDescent="0.25">
      <c r="B2655" s="547">
        <f t="shared" si="128"/>
        <v>2617</v>
      </c>
      <c r="D2655" s="624" t="s">
        <v>5224</v>
      </c>
      <c r="E2655" s="26">
        <v>0.01</v>
      </c>
    </row>
    <row r="2656" spans="2:7" x14ac:dyDescent="0.25">
      <c r="B2656" s="547">
        <f t="shared" si="128"/>
        <v>2618</v>
      </c>
      <c r="D2656" s="624" t="s">
        <v>5225</v>
      </c>
      <c r="E2656" s="26">
        <v>50000</v>
      </c>
    </row>
    <row r="2657" spans="2:7" x14ac:dyDescent="0.25">
      <c r="B2657" s="547">
        <f t="shared" si="128"/>
        <v>2619</v>
      </c>
      <c r="C2657" s="579" t="s">
        <v>5221</v>
      </c>
      <c r="D2657" s="579" t="str">
        <f>DESPORC!D3041</f>
        <v>Promoção do Transporte Escolar  Cursos Pre Vestibular</v>
      </c>
      <c r="E2657" s="580"/>
      <c r="F2657" s="582"/>
      <c r="G2657" s="582"/>
    </row>
    <row r="2658" spans="2:7" x14ac:dyDescent="0.25">
      <c r="B2658" s="547">
        <f t="shared" si="128"/>
        <v>2620</v>
      </c>
      <c r="D2658" s="624" t="s">
        <v>5222</v>
      </c>
      <c r="E2658" s="26">
        <v>0.01</v>
      </c>
    </row>
    <row r="2659" spans="2:7" x14ac:dyDescent="0.25">
      <c r="B2659" s="547">
        <f t="shared" si="128"/>
        <v>2621</v>
      </c>
      <c r="D2659" s="624" t="s">
        <v>5223</v>
      </c>
      <c r="E2659" s="26">
        <v>20000</v>
      </c>
    </row>
    <row r="2660" spans="2:7" x14ac:dyDescent="0.25">
      <c r="B2660" s="547">
        <f t="shared" si="128"/>
        <v>2622</v>
      </c>
      <c r="C2660" s="579" t="s">
        <v>5228</v>
      </c>
      <c r="D2660" s="579" t="str">
        <f>DESPORC!D3047</f>
        <v>Promoção do Transporte Escolar do Ensino Profissionalizante</v>
      </c>
      <c r="E2660" s="580"/>
      <c r="F2660" s="582"/>
      <c r="G2660" s="582"/>
    </row>
    <row r="2661" spans="2:7" x14ac:dyDescent="0.25">
      <c r="B2661" s="547">
        <f t="shared" si="128"/>
        <v>2623</v>
      </c>
      <c r="D2661" s="624" t="s">
        <v>5226</v>
      </c>
      <c r="E2661" s="26">
        <v>0.01</v>
      </c>
    </row>
    <row r="2662" spans="2:7" x14ac:dyDescent="0.25">
      <c r="B2662" s="547">
        <f t="shared" si="128"/>
        <v>2624</v>
      </c>
      <c r="D2662" s="624" t="s">
        <v>5227</v>
      </c>
      <c r="E2662" s="26">
        <v>30000</v>
      </c>
    </row>
    <row r="2663" spans="2:7" x14ac:dyDescent="0.25">
      <c r="B2663" s="547">
        <f t="shared" si="128"/>
        <v>2625</v>
      </c>
      <c r="C2663" s="579" t="s">
        <v>5229</v>
      </c>
      <c r="D2663" s="579" t="str">
        <f>DESPORC!D3053</f>
        <v>Promoção do Transporte Escolar do Ensino Superior</v>
      </c>
      <c r="E2663" s="580"/>
      <c r="F2663" s="582"/>
      <c r="G2663" s="582"/>
    </row>
    <row r="2664" spans="2:7" x14ac:dyDescent="0.25">
      <c r="B2664" s="547">
        <f t="shared" si="128"/>
        <v>2626</v>
      </c>
      <c r="D2664" s="624" t="s">
        <v>5230</v>
      </c>
      <c r="E2664" s="26">
        <v>0.01</v>
      </c>
    </row>
    <row r="2665" spans="2:7" x14ac:dyDescent="0.25">
      <c r="B2665" s="547">
        <f t="shared" si="128"/>
        <v>2627</v>
      </c>
      <c r="D2665" s="624" t="s">
        <v>5231</v>
      </c>
      <c r="E2665" s="26">
        <v>70000</v>
      </c>
    </row>
    <row r="2666" spans="2:7" x14ac:dyDescent="0.25">
      <c r="B2666" s="547">
        <f t="shared" si="128"/>
        <v>2628</v>
      </c>
      <c r="C2666" s="579" t="s">
        <v>4776</v>
      </c>
      <c r="D2666" s="579" t="str">
        <f>DESPORC!D3059</f>
        <v>PROMOÇÃO DO TRANSP. ESCOLAR DA EDUCAÇÃO INFANTIL</v>
      </c>
      <c r="E2666" s="580"/>
      <c r="F2666" s="582"/>
      <c r="G2666" s="582"/>
    </row>
    <row r="2667" spans="2:7" x14ac:dyDescent="0.25">
      <c r="B2667" s="547">
        <f t="shared" si="128"/>
        <v>2629</v>
      </c>
      <c r="D2667" s="634" t="s">
        <v>5232</v>
      </c>
      <c r="E2667" s="26">
        <v>0.01</v>
      </c>
    </row>
    <row r="2668" spans="2:7" x14ac:dyDescent="0.25">
      <c r="B2668" s="547">
        <f t="shared" si="128"/>
        <v>2630</v>
      </c>
      <c r="D2668" s="634" t="s">
        <v>5233</v>
      </c>
      <c r="E2668" s="26">
        <v>50000</v>
      </c>
    </row>
    <row r="2669" spans="2:7" x14ac:dyDescent="0.25">
      <c r="B2669" s="547">
        <f t="shared" si="128"/>
        <v>2631</v>
      </c>
      <c r="D2669" s="634" t="s">
        <v>5234</v>
      </c>
      <c r="E2669" s="26">
        <v>0.01</v>
      </c>
    </row>
    <row r="2670" spans="2:7" x14ac:dyDescent="0.25">
      <c r="B2670" s="547">
        <f t="shared" si="128"/>
        <v>2632</v>
      </c>
      <c r="D2670" s="634" t="s">
        <v>5235</v>
      </c>
      <c r="E2670" s="26">
        <v>0.01</v>
      </c>
    </row>
    <row r="2671" spans="2:7" x14ac:dyDescent="0.25">
      <c r="B2671" s="547">
        <f t="shared" si="128"/>
        <v>2633</v>
      </c>
      <c r="C2671" s="579" t="s">
        <v>5184</v>
      </c>
      <c r="D2671" s="579" t="str">
        <f>DESPORC!D3067</f>
        <v>Promoção do Transporte Escolar da Educação de Jovens e Adultos</v>
      </c>
      <c r="E2671" s="580"/>
      <c r="F2671" s="582"/>
      <c r="G2671" s="582"/>
    </row>
    <row r="2672" spans="2:7" x14ac:dyDescent="0.25">
      <c r="B2672" s="547">
        <f t="shared" si="128"/>
        <v>2634</v>
      </c>
      <c r="D2672" s="634" t="s">
        <v>5236</v>
      </c>
      <c r="E2672" s="26">
        <v>0.01</v>
      </c>
    </row>
    <row r="2673" spans="2:7" x14ac:dyDescent="0.25">
      <c r="B2673" s="547">
        <f t="shared" si="128"/>
        <v>2635</v>
      </c>
      <c r="D2673" s="634" t="s">
        <v>5237</v>
      </c>
      <c r="E2673" s="26">
        <v>0.01</v>
      </c>
    </row>
    <row r="2674" spans="2:7" x14ac:dyDescent="0.25">
      <c r="B2674" s="547">
        <f t="shared" si="128"/>
        <v>2636</v>
      </c>
      <c r="D2674" s="634" t="s">
        <v>5238</v>
      </c>
      <c r="E2674" s="26">
        <v>0.01</v>
      </c>
    </row>
    <row r="2675" spans="2:7" x14ac:dyDescent="0.25">
      <c r="B2675" s="547">
        <f t="shared" si="128"/>
        <v>2637</v>
      </c>
      <c r="D2675" s="634" t="s">
        <v>5239</v>
      </c>
      <c r="E2675" s="26">
        <v>0.01</v>
      </c>
    </row>
    <row r="2676" spans="2:7" x14ac:dyDescent="0.25">
      <c r="B2676" s="547">
        <f t="shared" si="128"/>
        <v>2638</v>
      </c>
      <c r="C2676" s="579" t="s">
        <v>5189</v>
      </c>
      <c r="D2676" s="579" t="str">
        <f>DESPORC!D3075</f>
        <v>Promoção do Transporte Escolar da Educação Especial</v>
      </c>
      <c r="E2676" s="580"/>
      <c r="F2676" s="582"/>
      <c r="G2676" s="582"/>
    </row>
    <row r="2677" spans="2:7" x14ac:dyDescent="0.25">
      <c r="B2677" s="547">
        <f t="shared" si="128"/>
        <v>2639</v>
      </c>
      <c r="D2677" s="634" t="s">
        <v>5240</v>
      </c>
      <c r="E2677" s="26">
        <v>0.01</v>
      </c>
    </row>
    <row r="2678" spans="2:7" x14ac:dyDescent="0.25">
      <c r="B2678" s="547">
        <f t="shared" si="128"/>
        <v>2640</v>
      </c>
      <c r="D2678" s="634" t="s">
        <v>5242</v>
      </c>
      <c r="E2678" s="26">
        <v>0.01</v>
      </c>
    </row>
    <row r="2679" spans="2:7" x14ac:dyDescent="0.25">
      <c r="B2679" s="547">
        <f t="shared" si="128"/>
        <v>2641</v>
      </c>
      <c r="D2679" s="634" t="s">
        <v>5241</v>
      </c>
      <c r="E2679" s="26">
        <v>0.01</v>
      </c>
    </row>
    <row r="2680" spans="2:7" x14ac:dyDescent="0.25">
      <c r="B2680" s="547">
        <f t="shared" si="128"/>
        <v>2642</v>
      </c>
      <c r="D2680" s="634" t="s">
        <v>5243</v>
      </c>
      <c r="E2680" s="26">
        <v>0.01</v>
      </c>
    </row>
    <row r="2681" spans="2:7" x14ac:dyDescent="0.25">
      <c r="B2681" s="547">
        <f t="shared" si="128"/>
        <v>2643</v>
      </c>
      <c r="D2681" s="570" t="s">
        <v>5293</v>
      </c>
      <c r="E2681" s="26"/>
    </row>
    <row r="2682" spans="2:7" x14ac:dyDescent="0.25">
      <c r="B2682" s="547">
        <f t="shared" si="128"/>
        <v>2644</v>
      </c>
      <c r="C2682" s="579" t="s">
        <v>5294</v>
      </c>
      <c r="D2682" s="579" t="str">
        <f>DESPORC!D3092</f>
        <v>Novos Investimentos para Gestão de Serviços de Saúde</v>
      </c>
      <c r="E2682" s="580"/>
      <c r="F2682" s="582"/>
      <c r="G2682" s="582"/>
    </row>
    <row r="2683" spans="2:7" x14ac:dyDescent="0.25">
      <c r="B2683" s="547">
        <f t="shared" si="128"/>
        <v>2645</v>
      </c>
      <c r="D2683" s="624" t="s">
        <v>5266</v>
      </c>
      <c r="E2683" s="26">
        <v>0.01</v>
      </c>
    </row>
    <row r="2684" spans="2:7" x14ac:dyDescent="0.25">
      <c r="B2684" s="547">
        <f t="shared" si="128"/>
        <v>2646</v>
      </c>
      <c r="D2684" s="624" t="s">
        <v>5267</v>
      </c>
      <c r="E2684" s="26">
        <v>0.01</v>
      </c>
    </row>
    <row r="2685" spans="2:7" x14ac:dyDescent="0.25">
      <c r="B2685" s="547">
        <f t="shared" si="128"/>
        <v>2647</v>
      </c>
      <c r="D2685" s="624" t="s">
        <v>5268</v>
      </c>
      <c r="E2685" s="26">
        <v>0.01</v>
      </c>
    </row>
    <row r="2686" spans="2:7" x14ac:dyDescent="0.25">
      <c r="B2686" s="547">
        <f t="shared" si="128"/>
        <v>2648</v>
      </c>
      <c r="D2686" s="624" t="s">
        <v>5269</v>
      </c>
      <c r="E2686" s="26">
        <v>0.01</v>
      </c>
    </row>
    <row r="2687" spans="2:7" x14ac:dyDescent="0.25">
      <c r="B2687" s="547">
        <f t="shared" si="128"/>
        <v>2649</v>
      </c>
      <c r="D2687" s="624" t="s">
        <v>5270</v>
      </c>
      <c r="E2687" s="26">
        <v>0.01</v>
      </c>
    </row>
    <row r="2688" spans="2:7" x14ac:dyDescent="0.25">
      <c r="B2688" s="547">
        <f t="shared" si="128"/>
        <v>2650</v>
      </c>
      <c r="D2688" s="624" t="s">
        <v>5271</v>
      </c>
      <c r="E2688" s="26">
        <v>0.01</v>
      </c>
    </row>
    <row r="2689" spans="2:7" x14ac:dyDescent="0.25">
      <c r="B2689" s="547">
        <f t="shared" si="128"/>
        <v>2651</v>
      </c>
      <c r="C2689" s="579" t="s">
        <v>5295</v>
      </c>
      <c r="D2689" s="579" t="str">
        <f>DESPORC!D3102</f>
        <v>GESTÃO, COORDENAÇÃO E PLANEJAMENTO EM SAÚDE</v>
      </c>
      <c r="E2689" s="580"/>
      <c r="F2689" s="582"/>
      <c r="G2689" s="582"/>
    </row>
    <row r="2690" spans="2:7" s="12" customFormat="1" x14ac:dyDescent="0.25">
      <c r="B2690" s="547">
        <f t="shared" si="128"/>
        <v>2652</v>
      </c>
      <c r="D2690" s="570" t="s">
        <v>5272</v>
      </c>
      <c r="E2690" s="25"/>
    </row>
    <row r="2691" spans="2:7" x14ac:dyDescent="0.25">
      <c r="B2691" s="547">
        <f t="shared" si="128"/>
        <v>2653</v>
      </c>
      <c r="D2691" s="624" t="s">
        <v>3075</v>
      </c>
      <c r="E2691" s="26">
        <f>'FOPAG SAUDE'!D203*12</f>
        <v>16690.558283578328</v>
      </c>
    </row>
    <row r="2692" spans="2:7" x14ac:dyDescent="0.25">
      <c r="B2692" s="547">
        <f t="shared" si="128"/>
        <v>2654</v>
      </c>
      <c r="D2692" s="624" t="s">
        <v>5296</v>
      </c>
      <c r="E2692" s="26">
        <f>E2691*E$92</f>
        <v>3505.0172395514487</v>
      </c>
    </row>
    <row r="2693" spans="2:7" x14ac:dyDescent="0.25">
      <c r="B2693" s="547">
        <f t="shared" si="128"/>
        <v>2655</v>
      </c>
      <c r="D2693" s="624" t="s">
        <v>4519</v>
      </c>
      <c r="E2693" s="26">
        <f>'FOPAG SAUDE'!D205</f>
        <v>463.62661898828691</v>
      </c>
    </row>
    <row r="2694" spans="2:7" x14ac:dyDescent="0.25">
      <c r="B2694" s="547">
        <f t="shared" si="128"/>
        <v>2656</v>
      </c>
      <c r="D2694" s="624" t="s">
        <v>2736</v>
      </c>
      <c r="E2694" s="26">
        <f>'FOPAG SAUDE'!D206</f>
        <v>1390.8798569648607</v>
      </c>
    </row>
    <row r="2695" spans="2:7" x14ac:dyDescent="0.25">
      <c r="B2695" s="547">
        <f t="shared" si="128"/>
        <v>2657</v>
      </c>
      <c r="D2695" s="629" t="s">
        <v>5292</v>
      </c>
      <c r="E2695" s="26"/>
    </row>
    <row r="2696" spans="2:7" x14ac:dyDescent="0.25">
      <c r="B2696" s="547">
        <f t="shared" si="128"/>
        <v>2658</v>
      </c>
      <c r="D2696" s="570" t="s">
        <v>5273</v>
      </c>
      <c r="E2696" s="25">
        <f>SUM(E2697:E2708)</f>
        <v>282213.11388131999</v>
      </c>
    </row>
    <row r="2697" spans="2:7" x14ac:dyDescent="0.25">
      <c r="B2697" s="547">
        <f t="shared" si="128"/>
        <v>2659</v>
      </c>
      <c r="D2697" s="624" t="s">
        <v>5098</v>
      </c>
      <c r="E2697" s="26">
        <f>'FOPAG SAUDE'!D210*12</f>
        <v>153720.0417917564</v>
      </c>
    </row>
    <row r="2698" spans="2:7" x14ac:dyDescent="0.25">
      <c r="B2698" s="547">
        <f t="shared" si="128"/>
        <v>2660</v>
      </c>
      <c r="D2698" s="624" t="s">
        <v>4857</v>
      </c>
      <c r="E2698" s="26">
        <f>'FOPAG SAUDE'!D216*12</f>
        <v>16690.558283578328</v>
      </c>
    </row>
    <row r="2699" spans="2:7" x14ac:dyDescent="0.25">
      <c r="B2699" s="547">
        <f t="shared" si="128"/>
        <v>2661</v>
      </c>
      <c r="D2699" s="624" t="s">
        <v>3411</v>
      </c>
      <c r="E2699" s="26">
        <f>('FOPAG SAUDE'!D213*12)</f>
        <v>19934.368285991775</v>
      </c>
    </row>
    <row r="2700" spans="2:7" x14ac:dyDescent="0.25">
      <c r="B2700" s="547">
        <f t="shared" si="128"/>
        <v>2662</v>
      </c>
      <c r="D2700" s="624" t="s">
        <v>4847</v>
      </c>
      <c r="E2700" s="26">
        <f>'FOPAG SAUDE'!D214</f>
        <v>660.19210856608356</v>
      </c>
    </row>
    <row r="2701" spans="2:7" x14ac:dyDescent="0.25">
      <c r="B2701" s="547">
        <f t="shared" si="128"/>
        <v>2663</v>
      </c>
      <c r="D2701" s="624" t="s">
        <v>5298</v>
      </c>
      <c r="E2701" s="26">
        <f>'FOPAG SAUDE'!D215</f>
        <v>1972.5683256982506</v>
      </c>
    </row>
    <row r="2702" spans="2:7" x14ac:dyDescent="0.25">
      <c r="B2702" s="547">
        <f t="shared" si="128"/>
        <v>2664</v>
      </c>
      <c r="D2702" s="624" t="s">
        <v>2761</v>
      </c>
      <c r="E2702" s="26">
        <f>'FOPAG SAUDE'!D212*12</f>
        <v>960.96</v>
      </c>
    </row>
    <row r="2703" spans="2:7" x14ac:dyDescent="0.25">
      <c r="B2703" s="547">
        <f t="shared" si="128"/>
        <v>2665</v>
      </c>
      <c r="D2703" s="624" t="s">
        <v>2783</v>
      </c>
      <c r="E2703" s="26">
        <f>'FOPAG SAUDE'!D211*12</f>
        <v>280.56</v>
      </c>
    </row>
    <row r="2704" spans="2:7" x14ac:dyDescent="0.25">
      <c r="B2704" s="547">
        <f t="shared" si="128"/>
        <v>2666</v>
      </c>
      <c r="D2704" s="624" t="s">
        <v>4519</v>
      </c>
      <c r="E2704" s="26">
        <f>'FOPAG SAUDE'!D217</f>
        <v>4768.1144465370762</v>
      </c>
    </row>
    <row r="2705" spans="2:5" x14ac:dyDescent="0.25">
      <c r="B2705" s="547">
        <f t="shared" ref="B2705:B2768" si="129">B2704+1</f>
        <v>2667</v>
      </c>
      <c r="D2705" s="624" t="s">
        <v>2736</v>
      </c>
      <c r="E2705" s="26">
        <f>'FOPAG SAUDE'!D218</f>
        <v>14224.263339611227</v>
      </c>
    </row>
    <row r="2706" spans="2:5" x14ac:dyDescent="0.25">
      <c r="B2706" s="547">
        <f t="shared" si="129"/>
        <v>2668</v>
      </c>
      <c r="D2706" s="624" t="s">
        <v>5297</v>
      </c>
      <c r="E2706" s="26">
        <f>'FOPAG SAUDE'!D227*12</f>
        <v>62101.338569622778</v>
      </c>
    </row>
    <row r="2707" spans="2:5" x14ac:dyDescent="0.25">
      <c r="B2707" s="547">
        <f t="shared" si="129"/>
        <v>2669</v>
      </c>
      <c r="D2707" s="624" t="s">
        <v>4519</v>
      </c>
      <c r="E2707" s="26">
        <f>'FOPAG SAUDE'!D228</f>
        <v>1725.0371824895217</v>
      </c>
    </row>
    <row r="2708" spans="2:5" x14ac:dyDescent="0.25">
      <c r="B2708" s="547">
        <f t="shared" si="129"/>
        <v>2670</v>
      </c>
      <c r="D2708" s="624" t="s">
        <v>2736</v>
      </c>
      <c r="E2708" s="26">
        <f>'FOPAG SAUDE'!D229</f>
        <v>5175.1115474685648</v>
      </c>
    </row>
    <row r="2709" spans="2:5" x14ac:dyDescent="0.25">
      <c r="B2709" s="547">
        <f t="shared" si="129"/>
        <v>2671</v>
      </c>
      <c r="D2709" s="624" t="s">
        <v>5274</v>
      </c>
      <c r="E2709" s="26">
        <v>0</v>
      </c>
    </row>
    <row r="2710" spans="2:5" x14ac:dyDescent="0.25">
      <c r="B2710" s="547">
        <f t="shared" si="129"/>
        <v>2672</v>
      </c>
      <c r="D2710" s="570" t="s">
        <v>5275</v>
      </c>
      <c r="E2710" s="25">
        <f>5957.63/8*12</f>
        <v>8936.4449999999997</v>
      </c>
    </row>
    <row r="2711" spans="2:5" x14ac:dyDescent="0.25">
      <c r="B2711" s="547">
        <f t="shared" si="129"/>
        <v>2673</v>
      </c>
      <c r="D2711" s="570" t="s">
        <v>5276</v>
      </c>
      <c r="E2711" s="25">
        <v>0.01</v>
      </c>
    </row>
    <row r="2712" spans="2:5" x14ac:dyDescent="0.25">
      <c r="B2712" s="547">
        <f t="shared" si="129"/>
        <v>2674</v>
      </c>
      <c r="D2712" s="570" t="s">
        <v>5277</v>
      </c>
      <c r="E2712" s="25">
        <f>SUM(E2693:E2694)</f>
        <v>1854.5064759531476</v>
      </c>
    </row>
    <row r="2713" spans="2:5" x14ac:dyDescent="0.25">
      <c r="B2713" s="547">
        <f t="shared" si="129"/>
        <v>2675</v>
      </c>
      <c r="D2713" s="570" t="s">
        <v>5278</v>
      </c>
      <c r="E2713" s="25">
        <v>5000</v>
      </c>
    </row>
    <row r="2714" spans="2:5" x14ac:dyDescent="0.25">
      <c r="B2714" s="547">
        <f t="shared" si="129"/>
        <v>2676</v>
      </c>
      <c r="D2714" s="570" t="s">
        <v>5279</v>
      </c>
      <c r="E2714" s="25">
        <f>4300.18/8*12</f>
        <v>6450.27</v>
      </c>
    </row>
    <row r="2715" spans="2:5" s="12" customFormat="1" x14ac:dyDescent="0.25">
      <c r="B2715" s="547">
        <f t="shared" si="129"/>
        <v>2677</v>
      </c>
      <c r="D2715" s="570" t="s">
        <v>5280</v>
      </c>
      <c r="E2715" s="25">
        <v>1500</v>
      </c>
    </row>
    <row r="2716" spans="2:5" x14ac:dyDescent="0.25">
      <c r="B2716" s="547">
        <f t="shared" si="129"/>
        <v>2678</v>
      </c>
      <c r="D2716" s="624" t="s">
        <v>5281</v>
      </c>
      <c r="E2716" s="26">
        <v>0.01</v>
      </c>
    </row>
    <row r="2717" spans="2:5" x14ac:dyDescent="0.25">
      <c r="B2717" s="547">
        <f t="shared" si="129"/>
        <v>2679</v>
      </c>
      <c r="D2717" s="624" t="s">
        <v>5268</v>
      </c>
      <c r="E2717" s="26">
        <v>0.01</v>
      </c>
    </row>
    <row r="2718" spans="2:5" x14ac:dyDescent="0.25">
      <c r="B2718" s="547">
        <f t="shared" si="129"/>
        <v>2680</v>
      </c>
      <c r="D2718" s="570" t="s">
        <v>5282</v>
      </c>
      <c r="E2718" s="25">
        <f>16882.45/8*12</f>
        <v>25323.675000000003</v>
      </c>
    </row>
    <row r="2719" spans="2:5" x14ac:dyDescent="0.25">
      <c r="B2719" s="547">
        <f t="shared" si="129"/>
        <v>2681</v>
      </c>
      <c r="D2719" s="624" t="s">
        <v>5250</v>
      </c>
      <c r="E2719" s="26">
        <f>4403.1/9*12</f>
        <v>5870.8</v>
      </c>
    </row>
    <row r="2720" spans="2:5" x14ac:dyDescent="0.25">
      <c r="B2720" s="547">
        <f t="shared" si="129"/>
        <v>2682</v>
      </c>
      <c r="D2720" s="570" t="s">
        <v>5283</v>
      </c>
      <c r="E2720" s="25">
        <f>(22919.44)/8*12</f>
        <v>34379.159999999996</v>
      </c>
    </row>
    <row r="2721" spans="2:7" x14ac:dyDescent="0.25">
      <c r="B2721" s="547">
        <f t="shared" si="129"/>
        <v>2683</v>
      </c>
      <c r="D2721" s="570" t="s">
        <v>5284</v>
      </c>
      <c r="E2721" s="25">
        <v>0.01</v>
      </c>
    </row>
    <row r="2722" spans="2:7" x14ac:dyDescent="0.25">
      <c r="B2722" s="547">
        <f t="shared" si="129"/>
        <v>2684</v>
      </c>
      <c r="D2722" s="570" t="s">
        <v>5285</v>
      </c>
      <c r="E2722" s="25">
        <f>('FOPAG SAUDE'!D207+'FOPAG SAUDE'!D219)*12</f>
        <v>4856.9999999999991</v>
      </c>
    </row>
    <row r="2723" spans="2:7" x14ac:dyDescent="0.25">
      <c r="B2723" s="547">
        <f t="shared" si="129"/>
        <v>2685</v>
      </c>
      <c r="D2723" s="570" t="s">
        <v>5286</v>
      </c>
      <c r="E2723" s="25">
        <v>1</v>
      </c>
    </row>
    <row r="2724" spans="2:7" x14ac:dyDescent="0.25">
      <c r="B2724" s="547">
        <f t="shared" si="129"/>
        <v>2686</v>
      </c>
      <c r="D2724" s="570" t="s">
        <v>5287</v>
      </c>
      <c r="E2724" s="25">
        <f>1609.85/8*12</f>
        <v>2414.7749999999996</v>
      </c>
    </row>
    <row r="2725" spans="2:7" x14ac:dyDescent="0.25">
      <c r="B2725" s="547">
        <f t="shared" si="129"/>
        <v>2687</v>
      </c>
      <c r="D2725" s="570" t="s">
        <v>5288</v>
      </c>
      <c r="E2725" s="25">
        <v>0.01</v>
      </c>
    </row>
    <row r="2726" spans="2:7" x14ac:dyDescent="0.25">
      <c r="B2726" s="547">
        <f t="shared" si="129"/>
        <v>2688</v>
      </c>
      <c r="D2726" s="570" t="s">
        <v>5270</v>
      </c>
      <c r="E2726" s="25">
        <v>0.01</v>
      </c>
    </row>
    <row r="2727" spans="2:7" x14ac:dyDescent="0.25">
      <c r="B2727" s="547">
        <f t="shared" si="129"/>
        <v>2689</v>
      </c>
      <c r="D2727" s="570" t="s">
        <v>5271</v>
      </c>
      <c r="E2727" s="25">
        <v>0.01</v>
      </c>
    </row>
    <row r="2728" spans="2:7" x14ac:dyDescent="0.25">
      <c r="B2728" s="547">
        <f t="shared" si="129"/>
        <v>2690</v>
      </c>
      <c r="C2728" s="579" t="s">
        <v>5295</v>
      </c>
      <c r="D2728" s="579" t="str">
        <f>DESPORC!D3127</f>
        <v>GESTÃO, COORDENAÇÃO E PLANEJAMENTO EM SAÚDE</v>
      </c>
      <c r="E2728" s="580"/>
      <c r="F2728" s="582"/>
      <c r="G2728" s="582"/>
    </row>
    <row r="2729" spans="2:7" ht="17.25" customHeight="1" x14ac:dyDescent="0.25">
      <c r="B2729" s="547">
        <f t="shared" si="129"/>
        <v>2691</v>
      </c>
      <c r="D2729" s="626" t="s">
        <v>5299</v>
      </c>
      <c r="E2729" s="26">
        <f>9794.05/8*12</f>
        <v>14691.074999999999</v>
      </c>
    </row>
    <row r="2730" spans="2:7" x14ac:dyDescent="0.25">
      <c r="B2730" s="547">
        <f t="shared" si="129"/>
        <v>2692</v>
      </c>
      <c r="C2730" s="579" t="s">
        <v>5295</v>
      </c>
      <c r="D2730" s="579" t="str">
        <f>DESPORC!D3132</f>
        <v>GESTÃO, COORDENAÇÃO E PLANEJAMENTO EM SAÚDE</v>
      </c>
      <c r="E2730" s="580"/>
      <c r="F2730" s="582"/>
      <c r="G2730" s="582"/>
    </row>
    <row r="2731" spans="2:7" x14ac:dyDescent="0.25">
      <c r="B2731" s="547">
        <f t="shared" si="129"/>
        <v>2693</v>
      </c>
      <c r="D2731" s="624" t="s">
        <v>5105</v>
      </c>
      <c r="E2731" s="26">
        <v>1000</v>
      </c>
    </row>
    <row r="2732" spans="2:7" x14ac:dyDescent="0.25">
      <c r="B2732" s="547">
        <f t="shared" si="129"/>
        <v>2694</v>
      </c>
      <c r="D2732" s="624" t="s">
        <v>5106</v>
      </c>
      <c r="E2732" s="26">
        <v>500</v>
      </c>
    </row>
    <row r="2733" spans="2:7" ht="15.75" x14ac:dyDescent="0.25">
      <c r="B2733" s="547">
        <f t="shared" si="129"/>
        <v>2695</v>
      </c>
      <c r="D2733" s="688" t="s">
        <v>6485</v>
      </c>
      <c r="E2733" s="26">
        <v>0.01</v>
      </c>
    </row>
    <row r="2734" spans="2:7" x14ac:dyDescent="0.25">
      <c r="B2734" s="547">
        <f t="shared" si="129"/>
        <v>2696</v>
      </c>
      <c r="D2734" s="624" t="s">
        <v>5107</v>
      </c>
      <c r="E2734" s="26">
        <v>1000</v>
      </c>
    </row>
    <row r="2735" spans="2:7" ht="15.75" x14ac:dyDescent="0.25">
      <c r="B2735" s="547">
        <f t="shared" si="129"/>
        <v>2697</v>
      </c>
      <c r="D2735" s="688" t="s">
        <v>6487</v>
      </c>
      <c r="E2735" s="26">
        <v>0.01</v>
      </c>
    </row>
    <row r="2736" spans="2:7" x14ac:dyDescent="0.25">
      <c r="B2736" s="547">
        <f t="shared" si="129"/>
        <v>2698</v>
      </c>
      <c r="C2736" s="579" t="s">
        <v>5300</v>
      </c>
      <c r="D2736" s="579" t="str">
        <f>DESPORC!D3141</f>
        <v>GESTÃO DO CONSELHO MUNICIPAL DE SAÚDE</v>
      </c>
      <c r="E2736" s="580"/>
      <c r="F2736" s="582"/>
      <c r="G2736" s="582"/>
    </row>
    <row r="2737" spans="2:7" x14ac:dyDescent="0.25">
      <c r="B2737" s="547">
        <f t="shared" si="129"/>
        <v>2699</v>
      </c>
      <c r="D2737" s="624" t="s">
        <v>5256</v>
      </c>
      <c r="E2737" s="26">
        <v>0.01</v>
      </c>
    </row>
    <row r="2738" spans="2:7" x14ac:dyDescent="0.25">
      <c r="B2738" s="547">
        <f t="shared" si="129"/>
        <v>2700</v>
      </c>
      <c r="D2738" s="624" t="s">
        <v>5257</v>
      </c>
      <c r="E2738" s="26">
        <v>0.01</v>
      </c>
    </row>
    <row r="2739" spans="2:7" x14ac:dyDescent="0.25">
      <c r="B2739" s="547">
        <f t="shared" si="129"/>
        <v>2701</v>
      </c>
      <c r="D2739" s="624" t="s">
        <v>5258</v>
      </c>
      <c r="E2739" s="26">
        <v>0.01</v>
      </c>
    </row>
    <row r="2740" spans="2:7" x14ac:dyDescent="0.25">
      <c r="B2740" s="547">
        <f t="shared" si="129"/>
        <v>2702</v>
      </c>
      <c r="D2740" s="624" t="s">
        <v>5260</v>
      </c>
      <c r="E2740" s="26">
        <v>0.01</v>
      </c>
    </row>
    <row r="2741" spans="2:7" x14ac:dyDescent="0.25">
      <c r="B2741" s="547">
        <f t="shared" si="129"/>
        <v>2703</v>
      </c>
      <c r="D2741" s="624" t="s">
        <v>5259</v>
      </c>
      <c r="E2741" s="26">
        <v>0.01</v>
      </c>
    </row>
    <row r="2742" spans="2:7" x14ac:dyDescent="0.25">
      <c r="B2742" s="547">
        <f t="shared" si="129"/>
        <v>2704</v>
      </c>
      <c r="D2742" s="624" t="s">
        <v>5261</v>
      </c>
      <c r="E2742" s="26">
        <v>0.01</v>
      </c>
    </row>
    <row r="2743" spans="2:7" x14ac:dyDescent="0.25">
      <c r="B2743" s="547">
        <f t="shared" si="129"/>
        <v>2705</v>
      </c>
      <c r="D2743" s="624" t="s">
        <v>5262</v>
      </c>
      <c r="E2743" s="26">
        <v>0.01</v>
      </c>
    </row>
    <row r="2744" spans="2:7" x14ac:dyDescent="0.25">
      <c r="B2744" s="547">
        <f t="shared" si="129"/>
        <v>2706</v>
      </c>
      <c r="D2744" s="624" t="s">
        <v>5263</v>
      </c>
      <c r="E2744" s="26">
        <v>0.01</v>
      </c>
    </row>
    <row r="2745" spans="2:7" x14ac:dyDescent="0.25">
      <c r="B2745" s="547">
        <f t="shared" si="129"/>
        <v>2707</v>
      </c>
      <c r="D2745" s="624" t="s">
        <v>5264</v>
      </c>
      <c r="E2745" s="26">
        <v>0.01</v>
      </c>
    </row>
    <row r="2746" spans="2:7" x14ac:dyDescent="0.25">
      <c r="B2746" s="547">
        <f t="shared" si="129"/>
        <v>2708</v>
      </c>
      <c r="D2746" s="624" t="s">
        <v>5265</v>
      </c>
      <c r="E2746" s="26">
        <v>0.01</v>
      </c>
    </row>
    <row r="2747" spans="2:7" x14ac:dyDescent="0.25">
      <c r="B2747" s="547">
        <f t="shared" si="129"/>
        <v>2709</v>
      </c>
      <c r="C2747" s="579" t="s">
        <v>5300</v>
      </c>
      <c r="D2747" s="579" t="str">
        <f>DESPORC!D3155</f>
        <v>GESTÃO DO CONSELHO MUNICIPAL DE SAÚDE</v>
      </c>
      <c r="E2747" s="580"/>
      <c r="F2747" s="582"/>
      <c r="G2747" s="582"/>
    </row>
    <row r="2748" spans="2:7" ht="31.5" x14ac:dyDescent="0.25">
      <c r="B2748" s="547">
        <f t="shared" si="129"/>
        <v>2710</v>
      </c>
      <c r="D2748" s="626" t="s">
        <v>5255</v>
      </c>
      <c r="E2748" s="26">
        <v>0.01</v>
      </c>
    </row>
    <row r="2749" spans="2:7" x14ac:dyDescent="0.25">
      <c r="B2749" s="547">
        <f t="shared" si="129"/>
        <v>2711</v>
      </c>
      <c r="C2749" s="579" t="s">
        <v>5300</v>
      </c>
      <c r="D2749" s="579" t="str">
        <f>DESPORC!D3160</f>
        <v>GESTÃO DO CONSELHO MUNICIPAL DE SAÚDE</v>
      </c>
      <c r="E2749" s="580"/>
      <c r="F2749" s="582"/>
      <c r="G2749" s="582"/>
    </row>
    <row r="2750" spans="2:7" x14ac:dyDescent="0.25">
      <c r="B2750" s="547">
        <f t="shared" si="129"/>
        <v>2712</v>
      </c>
      <c r="D2750" s="624" t="s">
        <v>5252</v>
      </c>
      <c r="E2750" s="26">
        <v>0.01</v>
      </c>
    </row>
    <row r="2751" spans="2:7" ht="30" x14ac:dyDescent="0.25">
      <c r="B2751" s="547">
        <f t="shared" si="129"/>
        <v>2713</v>
      </c>
      <c r="D2751" s="624" t="s">
        <v>5253</v>
      </c>
      <c r="E2751" s="26">
        <v>0.01</v>
      </c>
    </row>
    <row r="2752" spans="2:7" x14ac:dyDescent="0.25">
      <c r="B2752" s="547">
        <f t="shared" si="129"/>
        <v>2714</v>
      </c>
      <c r="D2752" s="624" t="s">
        <v>5254</v>
      </c>
      <c r="E2752" s="26">
        <v>0.01</v>
      </c>
    </row>
    <row r="2753" spans="2:7" x14ac:dyDescent="0.25">
      <c r="B2753" s="547">
        <f t="shared" si="129"/>
        <v>2715</v>
      </c>
      <c r="D2753" s="570" t="s">
        <v>5463</v>
      </c>
    </row>
    <row r="2754" spans="2:7" x14ac:dyDescent="0.25">
      <c r="B2754" s="547">
        <f t="shared" si="129"/>
        <v>2716</v>
      </c>
      <c r="C2754" s="579" t="s">
        <v>5464</v>
      </c>
      <c r="D2754" s="579" t="str">
        <f>DESPORC!D3178</f>
        <v>GEST. BLOCO FINAN.: INVEST.  EM ATENÇÃO BÁSICA</v>
      </c>
      <c r="E2754" s="580"/>
      <c r="F2754" s="582"/>
      <c r="G2754" s="582"/>
    </row>
    <row r="2755" spans="2:7" x14ac:dyDescent="0.25">
      <c r="B2755" s="547">
        <f t="shared" si="129"/>
        <v>2717</v>
      </c>
      <c r="D2755" s="624" t="s">
        <v>4277</v>
      </c>
      <c r="E2755" s="26">
        <v>0.01</v>
      </c>
    </row>
    <row r="2756" spans="2:7" x14ac:dyDescent="0.25">
      <c r="B2756" s="547">
        <f t="shared" si="129"/>
        <v>2718</v>
      </c>
      <c r="D2756" s="624" t="s">
        <v>3562</v>
      </c>
      <c r="E2756" s="26">
        <v>0.01</v>
      </c>
    </row>
    <row r="2757" spans="2:7" x14ac:dyDescent="0.25">
      <c r="B2757" s="547">
        <f t="shared" si="129"/>
        <v>2719</v>
      </c>
      <c r="D2757" s="624" t="s">
        <v>4161</v>
      </c>
      <c r="E2757" s="26">
        <v>0.01</v>
      </c>
    </row>
    <row r="2758" spans="2:7" x14ac:dyDescent="0.25">
      <c r="B2758" s="547">
        <f t="shared" si="129"/>
        <v>2720</v>
      </c>
      <c r="D2758" s="624" t="s">
        <v>4165</v>
      </c>
      <c r="E2758" s="26">
        <v>0.01</v>
      </c>
    </row>
    <row r="2759" spans="2:7" x14ac:dyDescent="0.25">
      <c r="B2759" s="547">
        <f t="shared" si="129"/>
        <v>2721</v>
      </c>
      <c r="D2759" s="624" t="s">
        <v>4494</v>
      </c>
      <c r="E2759" s="26">
        <v>0.01</v>
      </c>
    </row>
    <row r="2760" spans="2:7" x14ac:dyDescent="0.25">
      <c r="B2760" s="547">
        <f t="shared" si="129"/>
        <v>2722</v>
      </c>
      <c r="D2760" s="624" t="s">
        <v>3152</v>
      </c>
      <c r="E2760" s="26">
        <v>0.01</v>
      </c>
    </row>
    <row r="2761" spans="2:7" x14ac:dyDescent="0.25">
      <c r="B2761" s="547">
        <f t="shared" si="129"/>
        <v>2723</v>
      </c>
      <c r="C2761" s="579" t="s">
        <v>5465</v>
      </c>
      <c r="D2761" s="579" t="str">
        <f>DESPORC!D3188</f>
        <v>GEST. BLOCO FINAN.: INVEST. EM ASSIST. HOSP. E AMBUL. - MÉDIA E ALTA COMPLEXIDADE</v>
      </c>
      <c r="E2761" s="580"/>
      <c r="F2761" s="582"/>
      <c r="G2761" s="582"/>
    </row>
    <row r="2762" spans="2:7" x14ac:dyDescent="0.25">
      <c r="B2762" s="547">
        <f t="shared" si="129"/>
        <v>2724</v>
      </c>
      <c r="D2762" s="624" t="s">
        <v>4277</v>
      </c>
      <c r="E2762" s="26">
        <v>0.01</v>
      </c>
    </row>
    <row r="2763" spans="2:7" x14ac:dyDescent="0.25">
      <c r="B2763" s="547">
        <f t="shared" si="129"/>
        <v>2725</v>
      </c>
      <c r="D2763" s="624" t="s">
        <v>3562</v>
      </c>
      <c r="E2763" s="26">
        <v>0.01</v>
      </c>
    </row>
    <row r="2764" spans="2:7" x14ac:dyDescent="0.25">
      <c r="B2764" s="547">
        <f t="shared" si="129"/>
        <v>2726</v>
      </c>
      <c r="D2764" s="624" t="s">
        <v>4161</v>
      </c>
      <c r="E2764" s="26">
        <v>0.01</v>
      </c>
    </row>
    <row r="2765" spans="2:7" x14ac:dyDescent="0.25">
      <c r="B2765" s="547">
        <f t="shared" si="129"/>
        <v>2727</v>
      </c>
      <c r="D2765" s="624" t="s">
        <v>4165</v>
      </c>
      <c r="E2765" s="26">
        <v>0.01</v>
      </c>
    </row>
    <row r="2766" spans="2:7" x14ac:dyDescent="0.25">
      <c r="B2766" s="547">
        <f t="shared" si="129"/>
        <v>2728</v>
      </c>
      <c r="D2766" s="624" t="s">
        <v>4494</v>
      </c>
      <c r="E2766" s="26">
        <v>0.01</v>
      </c>
    </row>
    <row r="2767" spans="2:7" x14ac:dyDescent="0.25">
      <c r="B2767" s="547">
        <f t="shared" si="129"/>
        <v>2729</v>
      </c>
      <c r="D2767" s="624" t="s">
        <v>3152</v>
      </c>
      <c r="E2767" s="26">
        <v>0.01</v>
      </c>
    </row>
    <row r="2768" spans="2:7" x14ac:dyDescent="0.25">
      <c r="B2768" s="547">
        <f t="shared" si="129"/>
        <v>2730</v>
      </c>
      <c r="C2768" s="579" t="s">
        <v>5466</v>
      </c>
      <c r="D2768" s="579" t="str">
        <f>DESPORC!D3198</f>
        <v>GEST. BLOCO FINAN.: INVEST. EM VIGILÂNCIA EM SAÚDE</v>
      </c>
      <c r="E2768" s="580"/>
      <c r="F2768" s="582"/>
      <c r="G2768" s="582"/>
    </row>
    <row r="2769" spans="2:7" x14ac:dyDescent="0.25">
      <c r="B2769" s="547">
        <f t="shared" ref="B2769:B2832" si="130">B2768+1</f>
        <v>2731</v>
      </c>
      <c r="D2769" s="624" t="s">
        <v>4277</v>
      </c>
      <c r="E2769" s="26">
        <v>0.01</v>
      </c>
    </row>
    <row r="2770" spans="2:7" x14ac:dyDescent="0.25">
      <c r="B2770" s="547">
        <f t="shared" si="130"/>
        <v>2732</v>
      </c>
      <c r="D2770" s="624" t="s">
        <v>3562</v>
      </c>
      <c r="E2770" s="26">
        <v>0.01</v>
      </c>
    </row>
    <row r="2771" spans="2:7" x14ac:dyDescent="0.25">
      <c r="B2771" s="547">
        <f t="shared" si="130"/>
        <v>2733</v>
      </c>
      <c r="D2771" s="624" t="s">
        <v>4161</v>
      </c>
      <c r="E2771" s="26">
        <v>0.01</v>
      </c>
    </row>
    <row r="2772" spans="2:7" x14ac:dyDescent="0.25">
      <c r="B2772" s="547">
        <f t="shared" si="130"/>
        <v>2734</v>
      </c>
      <c r="D2772" s="624" t="s">
        <v>4165</v>
      </c>
      <c r="E2772" s="26">
        <v>0.01</v>
      </c>
    </row>
    <row r="2773" spans="2:7" x14ac:dyDescent="0.25">
      <c r="B2773" s="547">
        <f t="shared" si="130"/>
        <v>2735</v>
      </c>
      <c r="D2773" s="624" t="s">
        <v>4494</v>
      </c>
      <c r="E2773" s="26">
        <v>0.01</v>
      </c>
    </row>
    <row r="2774" spans="2:7" x14ac:dyDescent="0.25">
      <c r="B2774" s="547">
        <f t="shared" si="130"/>
        <v>2736</v>
      </c>
      <c r="D2774" s="624" t="s">
        <v>3152</v>
      </c>
      <c r="E2774" s="26">
        <v>0.01</v>
      </c>
    </row>
    <row r="2775" spans="2:7" x14ac:dyDescent="0.25">
      <c r="B2775" s="547">
        <f t="shared" si="130"/>
        <v>2737</v>
      </c>
      <c r="C2775" s="579" t="s">
        <v>5467</v>
      </c>
      <c r="D2775" s="579" t="str">
        <f>DESPORC!D3208</f>
        <v>Gestão do Bloco Financiamento: Atenção Básica</v>
      </c>
      <c r="E2775" s="580"/>
      <c r="F2775" s="582"/>
      <c r="G2775" s="582"/>
    </row>
    <row r="2776" spans="2:7" ht="31.5" x14ac:dyDescent="0.25">
      <c r="B2776" s="547">
        <f t="shared" si="130"/>
        <v>2738</v>
      </c>
      <c r="D2776" s="626" t="s">
        <v>5310</v>
      </c>
      <c r="E2776" s="26">
        <f>4149.27/8*12</f>
        <v>6223.9050000000007</v>
      </c>
    </row>
    <row r="2777" spans="2:7" x14ac:dyDescent="0.25">
      <c r="B2777" s="547">
        <f t="shared" si="130"/>
        <v>2739</v>
      </c>
      <c r="C2777" s="579" t="s">
        <v>5467</v>
      </c>
      <c r="D2777" s="579" t="str">
        <f>DESPORC!D3213</f>
        <v>Gestão do Bloco Financiamento: Atenção Básica</v>
      </c>
      <c r="E2777" s="580"/>
      <c r="F2777" s="582"/>
      <c r="G2777" s="582"/>
    </row>
    <row r="2778" spans="2:7" x14ac:dyDescent="0.25">
      <c r="B2778" s="547">
        <f t="shared" si="130"/>
        <v>2740</v>
      </c>
      <c r="D2778" s="624" t="s">
        <v>5307</v>
      </c>
      <c r="E2778" s="26">
        <v>0.01</v>
      </c>
    </row>
    <row r="2779" spans="2:7" ht="30" x14ac:dyDescent="0.25">
      <c r="B2779" s="547">
        <f t="shared" si="130"/>
        <v>2741</v>
      </c>
      <c r="D2779" s="624" t="s">
        <v>5308</v>
      </c>
      <c r="E2779" s="26">
        <v>0.01</v>
      </c>
    </row>
    <row r="2780" spans="2:7" ht="15.75" x14ac:dyDescent="0.25">
      <c r="B2780" s="547">
        <f t="shared" si="130"/>
        <v>2742</v>
      </c>
      <c r="D2780" s="688" t="s">
        <v>6517</v>
      </c>
      <c r="E2780" s="26">
        <v>0.01</v>
      </c>
    </row>
    <row r="2781" spans="2:7" ht="30" x14ac:dyDescent="0.25">
      <c r="B2781" s="547">
        <f t="shared" si="130"/>
        <v>2743</v>
      </c>
      <c r="D2781" s="624" t="s">
        <v>5309</v>
      </c>
      <c r="E2781" s="26">
        <v>0.01</v>
      </c>
    </row>
    <row r="2782" spans="2:7" ht="15.75" x14ac:dyDescent="0.25">
      <c r="B2782" s="547">
        <f t="shared" si="130"/>
        <v>2744</v>
      </c>
      <c r="D2782" s="688" t="s">
        <v>6518</v>
      </c>
      <c r="E2782" s="26">
        <v>0.01</v>
      </c>
    </row>
    <row r="2783" spans="2:7" x14ac:dyDescent="0.25">
      <c r="B2783" s="547">
        <f t="shared" si="130"/>
        <v>2745</v>
      </c>
      <c r="C2783" s="579" t="s">
        <v>5467</v>
      </c>
      <c r="D2783" s="579" t="str">
        <f>DESPORC!D3222</f>
        <v>Gestão do Bloco Financiamento: Atenção Básica</v>
      </c>
      <c r="E2783" s="580"/>
      <c r="F2783" s="582"/>
      <c r="G2783" s="582"/>
    </row>
    <row r="2784" spans="2:7" x14ac:dyDescent="0.25">
      <c r="B2784" s="547">
        <f t="shared" si="130"/>
        <v>2746</v>
      </c>
      <c r="D2784" s="570" t="s">
        <v>5311</v>
      </c>
    </row>
    <row r="2785" spans="2:5" x14ac:dyDescent="0.25">
      <c r="B2785" s="547">
        <f t="shared" si="130"/>
        <v>2747</v>
      </c>
      <c r="D2785" s="624" t="s">
        <v>3075</v>
      </c>
      <c r="E2785" s="612">
        <f>'FOPAG SAUDE'!D233*12</f>
        <v>375537.56138051243</v>
      </c>
    </row>
    <row r="2786" spans="2:5" x14ac:dyDescent="0.25">
      <c r="B2786" s="547">
        <f t="shared" si="130"/>
        <v>2748</v>
      </c>
      <c r="D2786" s="624" t="s">
        <v>5469</v>
      </c>
      <c r="E2786" s="26">
        <f>(E2785+E2787+E2788+E2789)*E$92</f>
        <v>91554.253788786227</v>
      </c>
    </row>
    <row r="2787" spans="2:5" x14ac:dyDescent="0.25">
      <c r="B2787" s="547">
        <f t="shared" si="130"/>
        <v>2749</v>
      </c>
      <c r="D2787" s="624" t="s">
        <v>2761</v>
      </c>
      <c r="E2787" s="612">
        <f>'FOPAG SAUDE'!D234*12</f>
        <v>18203.039999999997</v>
      </c>
    </row>
    <row r="2788" spans="2:5" x14ac:dyDescent="0.25">
      <c r="B2788" s="547">
        <f t="shared" si="130"/>
        <v>2750</v>
      </c>
      <c r="D2788" s="624" t="s">
        <v>4519</v>
      </c>
      <c r="E2788" s="612">
        <f>'FOPAG SAUDE'!D235</f>
        <v>10937.238927236454</v>
      </c>
    </row>
    <row r="2789" spans="2:5" x14ac:dyDescent="0.25">
      <c r="B2789" s="547">
        <f t="shared" si="130"/>
        <v>2751</v>
      </c>
      <c r="D2789" s="624" t="s">
        <v>5468</v>
      </c>
      <c r="E2789" s="612">
        <f>'FOPAG SAUDE'!D236</f>
        <v>31294.796781709367</v>
      </c>
    </row>
    <row r="2790" spans="2:5" x14ac:dyDescent="0.25">
      <c r="B2790" s="547">
        <f t="shared" si="130"/>
        <v>2752</v>
      </c>
      <c r="D2790" s="654" t="s">
        <v>5312</v>
      </c>
    </row>
    <row r="2791" spans="2:5" x14ac:dyDescent="0.25">
      <c r="B2791" s="547">
        <f t="shared" si="130"/>
        <v>2753</v>
      </c>
      <c r="D2791" s="570" t="s">
        <v>5313</v>
      </c>
      <c r="E2791" s="33">
        <f>SUM(E2792:E2803)</f>
        <v>1488421.48316853</v>
      </c>
    </row>
    <row r="2792" spans="2:5" x14ac:dyDescent="0.25">
      <c r="B2792" s="547">
        <f t="shared" si="130"/>
        <v>2754</v>
      </c>
      <c r="D2792" s="624" t="s">
        <v>3075</v>
      </c>
      <c r="E2792" s="612">
        <f>'FOPAG SAUDE'!D240*12</f>
        <v>1186410.5902482043</v>
      </c>
    </row>
    <row r="2793" spans="2:5" x14ac:dyDescent="0.25">
      <c r="B2793" s="547">
        <f t="shared" si="130"/>
        <v>2755</v>
      </c>
      <c r="D2793" s="624" t="s">
        <v>3411</v>
      </c>
      <c r="E2793" s="612">
        <f>'FOPAG SAUDE'!D244*12</f>
        <v>169911.86799694592</v>
      </c>
    </row>
    <row r="2794" spans="2:5" x14ac:dyDescent="0.25">
      <c r="B2794" s="547">
        <f t="shared" si="130"/>
        <v>2756</v>
      </c>
      <c r="D2794" s="624" t="s">
        <v>4857</v>
      </c>
      <c r="E2794" s="612">
        <f>'FOPAG SAUDE'!D247*12</f>
        <v>16690.558283578328</v>
      </c>
    </row>
    <row r="2795" spans="2:5" x14ac:dyDescent="0.25">
      <c r="B2795" s="547">
        <f t="shared" si="130"/>
        <v>2757</v>
      </c>
      <c r="D2795" s="624" t="s">
        <v>2761</v>
      </c>
      <c r="E2795" s="612">
        <f>'FOPAG SAUDE'!D243*12</f>
        <v>35886.479999999996</v>
      </c>
    </row>
    <row r="2796" spans="2:5" x14ac:dyDescent="0.25">
      <c r="B2796" s="547">
        <f t="shared" si="130"/>
        <v>2758</v>
      </c>
      <c r="D2796" s="624" t="s">
        <v>4519</v>
      </c>
      <c r="E2796" s="612">
        <f>'FOPAG SAUDE'!D248</f>
        <v>34416.323014771733</v>
      </c>
    </row>
    <row r="2797" spans="2:5" x14ac:dyDescent="0.25">
      <c r="B2797" s="547">
        <f t="shared" si="130"/>
        <v>2759</v>
      </c>
      <c r="D2797" s="624" t="s">
        <v>5470</v>
      </c>
      <c r="E2797" s="612">
        <f>'FOPAG SAUDE'!D249</f>
        <v>13864.967382873108</v>
      </c>
    </row>
    <row r="2798" spans="2:5" x14ac:dyDescent="0.25">
      <c r="B2798" s="547">
        <f t="shared" si="130"/>
        <v>2760</v>
      </c>
      <c r="D2798" s="624" t="s">
        <v>4847</v>
      </c>
      <c r="E2798" s="612">
        <f>'FOPAG SAUDE'!D245</f>
        <v>4968.5111355391082</v>
      </c>
    </row>
    <row r="2799" spans="2:5" x14ac:dyDescent="0.25">
      <c r="B2799" s="547">
        <f t="shared" si="130"/>
        <v>2761</v>
      </c>
      <c r="D2799" s="624" t="s">
        <v>4848</v>
      </c>
      <c r="E2799" s="612">
        <f>'FOPAG SAUDE'!D246</f>
        <v>14416.635106617325</v>
      </c>
    </row>
    <row r="2800" spans="2:5" x14ac:dyDescent="0.25">
      <c r="B2800" s="547">
        <f t="shared" si="130"/>
        <v>2762</v>
      </c>
      <c r="D2800" s="624" t="s">
        <v>2760</v>
      </c>
      <c r="E2800" s="612">
        <f>'FOPAG SAUDE'!D242*12</f>
        <v>11855.519999999999</v>
      </c>
    </row>
    <row r="2801" spans="2:5" x14ac:dyDescent="0.25">
      <c r="B2801" s="547">
        <f t="shared" si="130"/>
        <v>2763</v>
      </c>
      <c r="D2801" s="624" t="s">
        <v>4903</v>
      </c>
      <c r="E2801" s="612">
        <f>'FOPAG SAUDE'!D253*12+0.01</f>
        <v>0.01</v>
      </c>
    </row>
    <row r="2802" spans="2:5" x14ac:dyDescent="0.25">
      <c r="B2802" s="547">
        <f t="shared" si="130"/>
        <v>2764</v>
      </c>
      <c r="D2802" s="624" t="s">
        <v>4904</v>
      </c>
      <c r="E2802" s="612">
        <f>'FOPAG SAUDE'!D254+0.01</f>
        <v>0.01</v>
      </c>
    </row>
    <row r="2803" spans="2:5" x14ac:dyDescent="0.25">
      <c r="B2803" s="547">
        <f t="shared" si="130"/>
        <v>2765</v>
      </c>
      <c r="D2803" s="624" t="s">
        <v>5097</v>
      </c>
      <c r="E2803" s="612">
        <f>'FOPAG SAUDE'!D255+0.01</f>
        <v>0.01</v>
      </c>
    </row>
    <row r="2804" spans="2:5" x14ac:dyDescent="0.25">
      <c r="B2804" s="547">
        <f t="shared" si="130"/>
        <v>2766</v>
      </c>
      <c r="D2804" s="570" t="s">
        <v>5314</v>
      </c>
      <c r="E2804" s="12"/>
    </row>
    <row r="2805" spans="2:5" x14ac:dyDescent="0.25">
      <c r="B2805" s="547">
        <f t="shared" si="130"/>
        <v>2767</v>
      </c>
      <c r="D2805" s="570" t="s">
        <v>5315</v>
      </c>
      <c r="E2805" s="25">
        <f>(82391.41)/8*12</f>
        <v>123587.11500000001</v>
      </c>
    </row>
    <row r="2806" spans="2:5" x14ac:dyDescent="0.25">
      <c r="B2806" s="547">
        <f t="shared" si="130"/>
        <v>2768</v>
      </c>
      <c r="D2806" s="570" t="s">
        <v>5316</v>
      </c>
      <c r="E2806" s="25">
        <f>(31036/8*12)</f>
        <v>46554</v>
      </c>
    </row>
    <row r="2807" spans="2:5" x14ac:dyDescent="0.25">
      <c r="B2807" s="547">
        <f t="shared" si="130"/>
        <v>2769</v>
      </c>
      <c r="D2807" s="570" t="s">
        <v>5317</v>
      </c>
      <c r="E2807" s="33">
        <f>SUM(E2788:E2789)</f>
        <v>42232.035708945819</v>
      </c>
    </row>
    <row r="2808" spans="2:5" x14ac:dyDescent="0.25">
      <c r="B2808" s="547">
        <f t="shared" si="130"/>
        <v>2770</v>
      </c>
      <c r="D2808" s="570" t="s">
        <v>5318</v>
      </c>
      <c r="E2808" s="25">
        <f>(16664/8)*12</f>
        <v>24996</v>
      </c>
    </row>
    <row r="2809" spans="2:5" x14ac:dyDescent="0.25">
      <c r="B2809" s="547">
        <f t="shared" si="130"/>
        <v>2771</v>
      </c>
      <c r="D2809" s="570" t="s">
        <v>5319</v>
      </c>
      <c r="E2809" s="25">
        <f>38819.72/8*12</f>
        <v>58229.58</v>
      </c>
    </row>
    <row r="2810" spans="2:5" ht="30" x14ac:dyDescent="0.25">
      <c r="B2810" s="547">
        <f t="shared" si="130"/>
        <v>2772</v>
      </c>
      <c r="D2810" s="570" t="s">
        <v>7759</v>
      </c>
      <c r="E2810" s="25">
        <v>0.01</v>
      </c>
    </row>
    <row r="2811" spans="2:5" x14ac:dyDescent="0.25">
      <c r="B2811" s="547">
        <f t="shared" si="130"/>
        <v>2773</v>
      </c>
      <c r="D2811" s="570" t="s">
        <v>5320</v>
      </c>
      <c r="E2811" s="25">
        <v>500</v>
      </c>
    </row>
    <row r="2812" spans="2:5" x14ac:dyDescent="0.25">
      <c r="B2812" s="547">
        <f t="shared" si="130"/>
        <v>2774</v>
      </c>
      <c r="D2812" s="570" t="s">
        <v>5321</v>
      </c>
      <c r="E2812" s="25">
        <v>0.01</v>
      </c>
    </row>
    <row r="2813" spans="2:5" x14ac:dyDescent="0.25">
      <c r="B2813" s="547">
        <f t="shared" si="130"/>
        <v>2775</v>
      </c>
      <c r="D2813" s="570" t="s">
        <v>5322</v>
      </c>
      <c r="E2813" s="25">
        <v>0.01</v>
      </c>
    </row>
    <row r="2814" spans="2:5" x14ac:dyDescent="0.25">
      <c r="B2814" s="547">
        <f t="shared" si="130"/>
        <v>2776</v>
      </c>
      <c r="D2814" s="570" t="s">
        <v>5323</v>
      </c>
      <c r="E2814" s="25">
        <f>147543.2/8*12</f>
        <v>221314.80000000002</v>
      </c>
    </row>
    <row r="2815" spans="2:5" x14ac:dyDescent="0.25">
      <c r="B2815" s="547">
        <f t="shared" si="130"/>
        <v>2777</v>
      </c>
      <c r="D2815" s="570" t="s">
        <v>5324</v>
      </c>
      <c r="E2815" s="25">
        <f>41150.87/8*12</f>
        <v>61726.305000000008</v>
      </c>
    </row>
    <row r="2816" spans="2:5" x14ac:dyDescent="0.25">
      <c r="B2816" s="547">
        <f t="shared" si="130"/>
        <v>2778</v>
      </c>
      <c r="D2816" s="570" t="s">
        <v>5325</v>
      </c>
      <c r="E2816" s="25">
        <v>0.01</v>
      </c>
    </row>
    <row r="2817" spans="2:7" x14ac:dyDescent="0.25">
      <c r="B2817" s="547">
        <f t="shared" si="130"/>
        <v>2779</v>
      </c>
      <c r="D2817" s="570" t="s">
        <v>5326</v>
      </c>
      <c r="E2817" s="25">
        <f>('FOPAG SAUDE'!D237+'FOPAG SAUDE'!D250)*12</f>
        <v>16975.439999999995</v>
      </c>
    </row>
    <row r="2818" spans="2:7" x14ac:dyDescent="0.25">
      <c r="B2818" s="547">
        <f t="shared" si="130"/>
        <v>2780</v>
      </c>
      <c r="D2818" s="570" t="s">
        <v>5327</v>
      </c>
      <c r="E2818" s="25">
        <v>0.01</v>
      </c>
    </row>
    <row r="2819" spans="2:7" x14ac:dyDescent="0.25">
      <c r="B2819" s="547">
        <f t="shared" si="130"/>
        <v>2781</v>
      </c>
      <c r="D2819" s="570" t="s">
        <v>5328</v>
      </c>
      <c r="E2819" s="25">
        <v>1500</v>
      </c>
    </row>
    <row r="2820" spans="2:7" x14ac:dyDescent="0.25">
      <c r="B2820" s="547">
        <f t="shared" si="130"/>
        <v>2782</v>
      </c>
      <c r="D2820" s="570" t="s">
        <v>5329</v>
      </c>
      <c r="E2820" s="25">
        <v>0.01</v>
      </c>
    </row>
    <row r="2821" spans="2:7" x14ac:dyDescent="0.25">
      <c r="B2821" s="547">
        <f t="shared" si="130"/>
        <v>2783</v>
      </c>
      <c r="D2821" s="570" t="s">
        <v>5330</v>
      </c>
      <c r="E2821" s="25">
        <v>0.01</v>
      </c>
    </row>
    <row r="2822" spans="2:7" x14ac:dyDescent="0.25">
      <c r="B2822" s="547">
        <f t="shared" si="130"/>
        <v>2784</v>
      </c>
      <c r="D2822" s="570" t="s">
        <v>5331</v>
      </c>
      <c r="E2822" s="25">
        <v>0.01</v>
      </c>
    </row>
    <row r="2823" spans="2:7" x14ac:dyDescent="0.25">
      <c r="B2823" s="547">
        <f t="shared" si="130"/>
        <v>2785</v>
      </c>
      <c r="C2823" s="579" t="s">
        <v>5467</v>
      </c>
      <c r="D2823" s="579" t="str">
        <f>DESPORC!D3248</f>
        <v>Gestão do Bloco Financiamento: Atenção Básica</v>
      </c>
      <c r="E2823" s="580"/>
      <c r="F2823" s="582"/>
      <c r="G2823" s="582"/>
    </row>
    <row r="2824" spans="2:7" x14ac:dyDescent="0.25">
      <c r="B2824" s="547">
        <f t="shared" si="130"/>
        <v>2786</v>
      </c>
      <c r="D2824" s="570" t="s">
        <v>5353</v>
      </c>
      <c r="E2824" s="25">
        <f>'FOPAG SAUDE'!D259+0.01</f>
        <v>0.01</v>
      </c>
    </row>
    <row r="2825" spans="2:7" x14ac:dyDescent="0.25">
      <c r="B2825" s="547">
        <f t="shared" si="130"/>
        <v>2787</v>
      </c>
      <c r="D2825" s="654" t="s">
        <v>5354</v>
      </c>
      <c r="E2825" s="25">
        <v>0</v>
      </c>
    </row>
    <row r="2826" spans="2:7" x14ac:dyDescent="0.25">
      <c r="B2826" s="547">
        <f t="shared" si="130"/>
        <v>2788</v>
      </c>
      <c r="D2826" s="570" t="s">
        <v>5355</v>
      </c>
      <c r="E2826" s="25">
        <f>SUM(E2827:E2834)</f>
        <v>204737.51494522748</v>
      </c>
    </row>
    <row r="2827" spans="2:7" x14ac:dyDescent="0.25">
      <c r="B2827" s="547">
        <f t="shared" si="130"/>
        <v>2789</v>
      </c>
      <c r="D2827" s="624" t="s">
        <v>3075</v>
      </c>
      <c r="E2827" s="612">
        <f>'FOPAG SAUDE'!D266*12</f>
        <v>153553.13620892062</v>
      </c>
    </row>
    <row r="2828" spans="2:7" x14ac:dyDescent="0.25">
      <c r="B2828" s="547">
        <f t="shared" si="130"/>
        <v>2790</v>
      </c>
      <c r="D2828" s="624" t="s">
        <v>3411</v>
      </c>
      <c r="E2828" s="612">
        <f>'FOPAG SAUDE'!D270*12</f>
        <v>30710.627241784117</v>
      </c>
    </row>
    <row r="2829" spans="2:7" x14ac:dyDescent="0.25">
      <c r="B2829" s="547">
        <f t="shared" si="130"/>
        <v>2791</v>
      </c>
      <c r="D2829" s="624" t="s">
        <v>4857</v>
      </c>
      <c r="E2829" s="612">
        <f>'FOPAG SAUDE'!D273*12</f>
        <v>0</v>
      </c>
    </row>
    <row r="2830" spans="2:7" x14ac:dyDescent="0.25">
      <c r="B2830" s="547">
        <f t="shared" si="130"/>
        <v>2792</v>
      </c>
      <c r="D2830" s="624" t="s">
        <v>2761</v>
      </c>
      <c r="E2830" s="612">
        <f>'FOPAG SAUDE'!D269*12</f>
        <v>0</v>
      </c>
    </row>
    <row r="2831" spans="2:7" x14ac:dyDescent="0.25">
      <c r="B2831" s="547">
        <f t="shared" si="130"/>
        <v>2793</v>
      </c>
      <c r="D2831" s="624" t="s">
        <v>4847</v>
      </c>
      <c r="E2831" s="612">
        <f>'FOPAG SAUDE'!D271</f>
        <v>853.07297893844793</v>
      </c>
    </row>
    <row r="2832" spans="2:7" x14ac:dyDescent="0.25">
      <c r="B2832" s="547">
        <f t="shared" si="130"/>
        <v>2794</v>
      </c>
      <c r="D2832" s="624" t="s">
        <v>4848</v>
      </c>
      <c r="E2832" s="612">
        <f>'FOPAG SAUDE'!D272</f>
        <v>2559.2189368153431</v>
      </c>
    </row>
    <row r="2833" spans="2:6" x14ac:dyDescent="0.25">
      <c r="B2833" s="547">
        <f t="shared" ref="B2833:B2896" si="131">B2832+1</f>
        <v>2795</v>
      </c>
      <c r="D2833" s="624" t="s">
        <v>4519</v>
      </c>
      <c r="E2833" s="612">
        <f>'FOPAG SAUDE'!D274</f>
        <v>4265.3648946922394</v>
      </c>
      <c r="F2833" s="624"/>
    </row>
    <row r="2834" spans="2:6" x14ac:dyDescent="0.25">
      <c r="B2834" s="547">
        <f t="shared" si="131"/>
        <v>2796</v>
      </c>
      <c r="D2834" s="624" t="s">
        <v>5470</v>
      </c>
      <c r="E2834" s="612">
        <f>'FOPAG SAUDE'!D275</f>
        <v>12796.094684076717</v>
      </c>
      <c r="F2834" s="624"/>
    </row>
    <row r="2835" spans="2:6" x14ac:dyDescent="0.25">
      <c r="B2835" s="547">
        <f t="shared" si="131"/>
        <v>2797</v>
      </c>
      <c r="D2835" s="570" t="s">
        <v>5356</v>
      </c>
      <c r="E2835" s="25">
        <v>0</v>
      </c>
    </row>
    <row r="2836" spans="2:6" x14ac:dyDescent="0.25">
      <c r="B2836" s="547">
        <f t="shared" si="131"/>
        <v>2798</v>
      </c>
      <c r="D2836" s="570" t="s">
        <v>5357</v>
      </c>
      <c r="E2836" s="25">
        <v>0.01</v>
      </c>
    </row>
    <row r="2837" spans="2:6" x14ac:dyDescent="0.25">
      <c r="B2837" s="547">
        <f t="shared" si="131"/>
        <v>2799</v>
      </c>
      <c r="D2837" s="570" t="s">
        <v>5358</v>
      </c>
      <c r="E2837" s="25">
        <v>0.01</v>
      </c>
    </row>
    <row r="2838" spans="2:6" x14ac:dyDescent="0.25">
      <c r="B2838" s="547">
        <f t="shared" si="131"/>
        <v>2800</v>
      </c>
      <c r="D2838" s="570" t="s">
        <v>5359</v>
      </c>
      <c r="E2838" s="25">
        <v>0.01</v>
      </c>
    </row>
    <row r="2839" spans="2:6" x14ac:dyDescent="0.25">
      <c r="B2839" s="547">
        <f t="shared" si="131"/>
        <v>2801</v>
      </c>
      <c r="D2839" s="570" t="s">
        <v>5360</v>
      </c>
      <c r="E2839" s="25">
        <v>1500</v>
      </c>
    </row>
    <row r="2840" spans="2:6" x14ac:dyDescent="0.25">
      <c r="B2840" s="547">
        <f t="shared" si="131"/>
        <v>2802</v>
      </c>
      <c r="D2840" s="570" t="s">
        <v>5361</v>
      </c>
      <c r="E2840" s="25">
        <v>5000</v>
      </c>
    </row>
    <row r="2841" spans="2:6" x14ac:dyDescent="0.25">
      <c r="B2841" s="547">
        <f t="shared" si="131"/>
        <v>2803</v>
      </c>
      <c r="D2841" s="570" t="s">
        <v>7763</v>
      </c>
      <c r="E2841" s="25">
        <v>2000</v>
      </c>
    </row>
    <row r="2842" spans="2:6" x14ac:dyDescent="0.25">
      <c r="B2842" s="547">
        <f t="shared" si="131"/>
        <v>2804</v>
      </c>
      <c r="D2842" s="570" t="s">
        <v>5362</v>
      </c>
      <c r="E2842" s="25">
        <v>500</v>
      </c>
    </row>
    <row r="2843" spans="2:6" x14ac:dyDescent="0.25">
      <c r="B2843" s="547">
        <f t="shared" si="131"/>
        <v>2805</v>
      </c>
      <c r="D2843" s="570" t="s">
        <v>5363</v>
      </c>
      <c r="E2843" s="25">
        <v>0.01</v>
      </c>
    </row>
    <row r="2844" spans="2:6" x14ac:dyDescent="0.25">
      <c r="B2844" s="547">
        <f t="shared" si="131"/>
        <v>2806</v>
      </c>
      <c r="D2844" s="570" t="s">
        <v>5364</v>
      </c>
      <c r="E2844" s="25">
        <v>0.01</v>
      </c>
    </row>
    <row r="2845" spans="2:6" x14ac:dyDescent="0.25">
      <c r="B2845" s="547">
        <f t="shared" si="131"/>
        <v>2807</v>
      </c>
      <c r="D2845" s="570" t="s">
        <v>5365</v>
      </c>
      <c r="E2845" s="25">
        <v>10000</v>
      </c>
    </row>
    <row r="2846" spans="2:6" x14ac:dyDescent="0.25">
      <c r="B2846" s="547">
        <f t="shared" si="131"/>
        <v>2808</v>
      </c>
      <c r="D2846" s="570" t="s">
        <v>5366</v>
      </c>
      <c r="E2846" s="25">
        <f>3573.98/8*12</f>
        <v>5360.97</v>
      </c>
    </row>
    <row r="2847" spans="2:6" x14ac:dyDescent="0.25">
      <c r="B2847" s="547">
        <f t="shared" si="131"/>
        <v>2809</v>
      </c>
      <c r="D2847" s="570" t="s">
        <v>5367</v>
      </c>
      <c r="E2847" s="25">
        <v>0.01</v>
      </c>
    </row>
    <row r="2848" spans="2:6" x14ac:dyDescent="0.25">
      <c r="B2848" s="547">
        <f t="shared" si="131"/>
        <v>2810</v>
      </c>
      <c r="D2848" s="570" t="s">
        <v>5368</v>
      </c>
      <c r="E2848" s="25">
        <f>('FOPAG SAUDE'!D263+'FOPAG SAUDE'!D276)*12</f>
        <v>1228.3200000000002</v>
      </c>
    </row>
    <row r="2849" spans="2:7" x14ac:dyDescent="0.25">
      <c r="B2849" s="547">
        <f t="shared" si="131"/>
        <v>2811</v>
      </c>
      <c r="D2849" s="570" t="s">
        <v>5369</v>
      </c>
      <c r="E2849" s="25">
        <v>0.01</v>
      </c>
    </row>
    <row r="2850" spans="2:7" x14ac:dyDescent="0.25">
      <c r="B2850" s="547">
        <f t="shared" si="131"/>
        <v>2812</v>
      </c>
      <c r="D2850" s="570" t="s">
        <v>5370</v>
      </c>
      <c r="E2850" s="25">
        <v>300</v>
      </c>
    </row>
    <row r="2851" spans="2:7" x14ac:dyDescent="0.25">
      <c r="B2851" s="547">
        <f t="shared" si="131"/>
        <v>2813</v>
      </c>
      <c r="D2851" s="570" t="s">
        <v>5371</v>
      </c>
      <c r="E2851" s="25">
        <v>0.01</v>
      </c>
    </row>
    <row r="2852" spans="2:7" x14ac:dyDescent="0.25">
      <c r="B2852" s="547">
        <f t="shared" si="131"/>
        <v>2814</v>
      </c>
      <c r="D2852" s="570" t="s">
        <v>5372</v>
      </c>
      <c r="E2852" s="25">
        <v>0.01</v>
      </c>
    </row>
    <row r="2853" spans="2:7" x14ac:dyDescent="0.25">
      <c r="B2853" s="547">
        <f t="shared" si="131"/>
        <v>2815</v>
      </c>
      <c r="D2853" s="570" t="s">
        <v>5373</v>
      </c>
      <c r="E2853" s="25">
        <v>0.01</v>
      </c>
    </row>
    <row r="2854" spans="2:7" x14ac:dyDescent="0.25">
      <c r="B2854" s="547">
        <f t="shared" si="131"/>
        <v>2816</v>
      </c>
      <c r="C2854" s="579" t="s">
        <v>5467</v>
      </c>
      <c r="D2854" s="579" t="str">
        <f>DESPORC!D3274</f>
        <v>Gestão do Bloco Financiamento: Atenção Básica</v>
      </c>
      <c r="E2854" s="580"/>
      <c r="F2854" s="582"/>
      <c r="G2854" s="582"/>
    </row>
    <row r="2855" spans="2:7" x14ac:dyDescent="0.25">
      <c r="B2855" s="547">
        <f t="shared" si="131"/>
        <v>2817</v>
      </c>
      <c r="D2855" s="570" t="s">
        <v>5332</v>
      </c>
      <c r="E2855" s="25">
        <f>'FOPAG SAUDE'!D285+0.01</f>
        <v>0.01</v>
      </c>
    </row>
    <row r="2856" spans="2:7" x14ac:dyDescent="0.25">
      <c r="B2856" s="547">
        <f t="shared" si="131"/>
        <v>2818</v>
      </c>
      <c r="D2856" s="654" t="s">
        <v>5333</v>
      </c>
      <c r="E2856" s="25">
        <v>0</v>
      </c>
    </row>
    <row r="2857" spans="2:7" x14ac:dyDescent="0.25">
      <c r="B2857" s="547">
        <f t="shared" si="131"/>
        <v>2819</v>
      </c>
      <c r="D2857" s="570" t="s">
        <v>5334</v>
      </c>
      <c r="E2857" s="25">
        <f>SUM(E2858:E2865)</f>
        <v>49478.199148159503</v>
      </c>
    </row>
    <row r="2858" spans="2:7" x14ac:dyDescent="0.25">
      <c r="B2858" s="547">
        <f t="shared" si="131"/>
        <v>2820</v>
      </c>
      <c r="D2858" s="624" t="s">
        <v>3075</v>
      </c>
      <c r="E2858" s="612">
        <f>'FOPAG SAUDE'!D292*12</f>
        <v>38388.257959778923</v>
      </c>
    </row>
    <row r="2859" spans="2:7" x14ac:dyDescent="0.25">
      <c r="B2859" s="547">
        <f t="shared" si="131"/>
        <v>2821</v>
      </c>
      <c r="D2859" s="624" t="s">
        <v>3411</v>
      </c>
      <c r="E2859" s="612">
        <f>'FOPAG SAUDE'!D296*12</f>
        <v>6142.1212735646277</v>
      </c>
    </row>
    <row r="2860" spans="2:7" x14ac:dyDescent="0.25">
      <c r="B2860" s="547">
        <f t="shared" si="131"/>
        <v>2822</v>
      </c>
      <c r="D2860" s="624" t="s">
        <v>4857</v>
      </c>
      <c r="E2860" s="26">
        <f>'FOPAG SAUDE'!D299*12</f>
        <v>0</v>
      </c>
      <c r="F2860" s="624"/>
    </row>
    <row r="2861" spans="2:7" x14ac:dyDescent="0.25">
      <c r="B2861" s="547">
        <f t="shared" si="131"/>
        <v>2823</v>
      </c>
      <c r="D2861" s="624" t="s">
        <v>2761</v>
      </c>
      <c r="E2861" s="26">
        <f>'FOPAG SAUDE'!D295*12</f>
        <v>0</v>
      </c>
    </row>
    <row r="2862" spans="2:7" x14ac:dyDescent="0.25">
      <c r="B2862" s="547">
        <f t="shared" si="131"/>
        <v>2824</v>
      </c>
      <c r="D2862" s="624" t="s">
        <v>4847</v>
      </c>
      <c r="E2862" s="26">
        <f>'FOPAG SAUDE'!D297</f>
        <v>170.61447982123966</v>
      </c>
    </row>
    <row r="2863" spans="2:7" x14ac:dyDescent="0.25">
      <c r="B2863" s="547">
        <f t="shared" si="131"/>
        <v>2825</v>
      </c>
      <c r="D2863" s="624" t="s">
        <v>4848</v>
      </c>
      <c r="E2863" s="26">
        <f>'FOPAG SAUDE'!D298</f>
        <v>511.84343946371899</v>
      </c>
    </row>
    <row r="2864" spans="2:7" x14ac:dyDescent="0.25">
      <c r="B2864" s="547">
        <f t="shared" si="131"/>
        <v>2826</v>
      </c>
      <c r="D2864" s="624" t="s">
        <v>4519</v>
      </c>
      <c r="E2864" s="26">
        <f>'FOPAG SAUDE'!D300</f>
        <v>1066.3404988827479</v>
      </c>
    </row>
    <row r="2865" spans="2:5" x14ac:dyDescent="0.25">
      <c r="B2865" s="547">
        <f t="shared" si="131"/>
        <v>2827</v>
      </c>
      <c r="D2865" s="624" t="s">
        <v>5470</v>
      </c>
      <c r="E2865" s="26">
        <f>'FOPAG SAUDE'!D301</f>
        <v>3199.0214966482436</v>
      </c>
    </row>
    <row r="2866" spans="2:5" x14ac:dyDescent="0.25">
      <c r="B2866" s="547">
        <f t="shared" si="131"/>
        <v>2828</v>
      </c>
      <c r="D2866" s="570" t="s">
        <v>5335</v>
      </c>
      <c r="E2866" s="26">
        <v>0</v>
      </c>
    </row>
    <row r="2867" spans="2:5" x14ac:dyDescent="0.25">
      <c r="B2867" s="547">
        <f t="shared" si="131"/>
        <v>2829</v>
      </c>
      <c r="D2867" s="570" t="s">
        <v>5336</v>
      </c>
      <c r="E2867" s="26">
        <v>5000</v>
      </c>
    </row>
    <row r="2868" spans="2:5" x14ac:dyDescent="0.25">
      <c r="B2868" s="547">
        <f t="shared" si="131"/>
        <v>2830</v>
      </c>
      <c r="D2868" s="570" t="s">
        <v>5337</v>
      </c>
      <c r="E2868" s="26">
        <v>1</v>
      </c>
    </row>
    <row r="2869" spans="2:5" x14ac:dyDescent="0.25">
      <c r="B2869" s="547">
        <f t="shared" si="131"/>
        <v>2831</v>
      </c>
      <c r="D2869" s="570" t="s">
        <v>5338</v>
      </c>
      <c r="E2869" s="26">
        <v>1</v>
      </c>
    </row>
    <row r="2870" spans="2:5" x14ac:dyDescent="0.25">
      <c r="B2870" s="547">
        <f t="shared" si="131"/>
        <v>2832</v>
      </c>
      <c r="D2870" s="570" t="s">
        <v>5339</v>
      </c>
      <c r="E2870" s="26">
        <v>1500</v>
      </c>
    </row>
    <row r="2871" spans="2:5" x14ac:dyDescent="0.25">
      <c r="B2871" s="547">
        <f t="shared" si="131"/>
        <v>2833</v>
      </c>
      <c r="D2871" s="570" t="s">
        <v>5340</v>
      </c>
      <c r="E2871" s="26">
        <v>1500</v>
      </c>
    </row>
    <row r="2872" spans="2:5" x14ac:dyDescent="0.25">
      <c r="B2872" s="547">
        <f t="shared" si="131"/>
        <v>2834</v>
      </c>
      <c r="D2872" s="570" t="s">
        <v>5341</v>
      </c>
      <c r="E2872" s="26">
        <v>300</v>
      </c>
    </row>
    <row r="2873" spans="2:5" x14ac:dyDescent="0.25">
      <c r="B2873" s="547">
        <f t="shared" si="131"/>
        <v>2835</v>
      </c>
      <c r="D2873" s="570" t="s">
        <v>5342</v>
      </c>
      <c r="E2873" s="26">
        <v>0.01</v>
      </c>
    </row>
    <row r="2874" spans="2:5" x14ac:dyDescent="0.25">
      <c r="B2874" s="547">
        <f t="shared" si="131"/>
        <v>2836</v>
      </c>
      <c r="D2874" s="570" t="s">
        <v>5343</v>
      </c>
      <c r="E2874" s="26">
        <v>0.01</v>
      </c>
    </row>
    <row r="2875" spans="2:5" x14ac:dyDescent="0.25">
      <c r="B2875" s="547">
        <f t="shared" si="131"/>
        <v>2837</v>
      </c>
      <c r="D2875" s="570" t="s">
        <v>5344</v>
      </c>
      <c r="E2875" s="26">
        <v>2000</v>
      </c>
    </row>
    <row r="2876" spans="2:5" x14ac:dyDescent="0.25">
      <c r="B2876" s="547">
        <f t="shared" si="131"/>
        <v>2838</v>
      </c>
      <c r="D2876" s="570" t="s">
        <v>5345</v>
      </c>
      <c r="E2876" s="26">
        <f>1833.73/8*12</f>
        <v>2750.5950000000003</v>
      </c>
    </row>
    <row r="2877" spans="2:5" x14ac:dyDescent="0.25">
      <c r="B2877" s="547">
        <f t="shared" si="131"/>
        <v>2839</v>
      </c>
      <c r="D2877" s="570" t="s">
        <v>5346</v>
      </c>
      <c r="E2877" s="26">
        <v>0.01</v>
      </c>
    </row>
    <row r="2878" spans="2:5" x14ac:dyDescent="0.25">
      <c r="B2878" s="547">
        <f t="shared" si="131"/>
        <v>2840</v>
      </c>
      <c r="D2878" s="570" t="s">
        <v>5347</v>
      </c>
      <c r="E2878" s="26">
        <f>'FOPAG SAUDE'!D302*12</f>
        <v>614.16</v>
      </c>
    </row>
    <row r="2879" spans="2:5" x14ac:dyDescent="0.25">
      <c r="B2879" s="547">
        <f t="shared" si="131"/>
        <v>2841</v>
      </c>
      <c r="D2879" s="570" t="s">
        <v>5348</v>
      </c>
      <c r="E2879" s="26">
        <v>0.01</v>
      </c>
    </row>
    <row r="2880" spans="2:5" x14ac:dyDescent="0.25">
      <c r="B2880" s="547">
        <f t="shared" si="131"/>
        <v>2842</v>
      </c>
      <c r="D2880" s="570" t="s">
        <v>5349</v>
      </c>
      <c r="E2880" s="26">
        <v>300</v>
      </c>
    </row>
    <row r="2881" spans="2:7" x14ac:dyDescent="0.25">
      <c r="B2881" s="547">
        <f t="shared" si="131"/>
        <v>2843</v>
      </c>
      <c r="D2881" s="570" t="s">
        <v>5350</v>
      </c>
      <c r="E2881" s="26">
        <v>0.01</v>
      </c>
    </row>
    <row r="2882" spans="2:7" x14ac:dyDescent="0.25">
      <c r="B2882" s="547">
        <f t="shared" si="131"/>
        <v>2844</v>
      </c>
      <c r="D2882" s="570" t="s">
        <v>5351</v>
      </c>
      <c r="E2882" s="26">
        <v>0.01</v>
      </c>
    </row>
    <row r="2883" spans="2:7" x14ac:dyDescent="0.25">
      <c r="B2883" s="547">
        <f t="shared" si="131"/>
        <v>2845</v>
      </c>
      <c r="D2883" s="570" t="s">
        <v>5352</v>
      </c>
      <c r="E2883" s="26">
        <v>0.01</v>
      </c>
    </row>
    <row r="2884" spans="2:7" x14ac:dyDescent="0.25">
      <c r="B2884" s="547">
        <f t="shared" si="131"/>
        <v>2846</v>
      </c>
      <c r="C2884" s="579" t="s">
        <v>5471</v>
      </c>
      <c r="D2884" s="579" t="str">
        <f>DESPORC!D3299</f>
        <v>Gestão do Bloco Financiamento: Atenção de Média e Alta Complexidade Ambulatorial e Hospitalar</v>
      </c>
      <c r="E2884" s="580"/>
      <c r="F2884" s="582"/>
      <c r="G2884" s="582"/>
    </row>
    <row r="2885" spans="2:7" x14ac:dyDescent="0.25">
      <c r="B2885" s="547">
        <f t="shared" si="131"/>
        <v>2847</v>
      </c>
      <c r="D2885" s="963" t="s">
        <v>7392</v>
      </c>
      <c r="E2885" s="33">
        <v>15000</v>
      </c>
      <c r="F2885" s="582"/>
      <c r="G2885" s="582"/>
    </row>
    <row r="2886" spans="2:7" x14ac:dyDescent="0.25">
      <c r="B2886" s="547">
        <f t="shared" si="131"/>
        <v>2848</v>
      </c>
      <c r="D2886" s="963" t="s">
        <v>7391</v>
      </c>
      <c r="E2886" s="612">
        <v>0.01</v>
      </c>
      <c r="F2886" s="582"/>
      <c r="G2886" s="582"/>
    </row>
    <row r="2887" spans="2:7" x14ac:dyDescent="0.25">
      <c r="B2887" s="547">
        <f t="shared" si="131"/>
        <v>2849</v>
      </c>
      <c r="D2887" s="570" t="s">
        <v>5375</v>
      </c>
      <c r="E2887" s="33">
        <f>SUM(E2888:E2892)</f>
        <v>44971.984718066175</v>
      </c>
    </row>
    <row r="2888" spans="2:7" x14ac:dyDescent="0.25">
      <c r="B2888" s="547">
        <f t="shared" si="131"/>
        <v>2850</v>
      </c>
      <c r="D2888" s="624" t="s">
        <v>3075</v>
      </c>
      <c r="E2888" s="612">
        <f>'FOPAG SAUDE'!D311*12</f>
        <v>33381.116567156656</v>
      </c>
    </row>
    <row r="2889" spans="2:7" x14ac:dyDescent="0.25">
      <c r="B2889" s="547">
        <f t="shared" si="131"/>
        <v>2851</v>
      </c>
      <c r="D2889" s="624" t="s">
        <v>5469</v>
      </c>
      <c r="E2889" s="26">
        <f>(E2888+E2890+E2891+E2892)*E$92</f>
        <v>7805.0551990032209</v>
      </c>
    </row>
    <row r="2890" spans="2:7" x14ac:dyDescent="0.25">
      <c r="B2890" s="547">
        <f t="shared" si="131"/>
        <v>2852</v>
      </c>
      <c r="D2890" s="624" t="s">
        <v>2761</v>
      </c>
      <c r="E2890" s="612">
        <f>'FOPAG SAUDE'!D312*12</f>
        <v>76.800000000000011</v>
      </c>
    </row>
    <row r="2891" spans="2:7" x14ac:dyDescent="0.25">
      <c r="B2891" s="547">
        <f t="shared" si="131"/>
        <v>2853</v>
      </c>
      <c r="D2891" s="624" t="s">
        <v>4519</v>
      </c>
      <c r="E2891" s="612">
        <f>'FOPAG SAUDE'!D313</f>
        <v>927.25323797657381</v>
      </c>
    </row>
    <row r="2892" spans="2:7" x14ac:dyDescent="0.25">
      <c r="B2892" s="547">
        <f t="shared" si="131"/>
        <v>2854</v>
      </c>
      <c r="D2892" s="624" t="s">
        <v>2736</v>
      </c>
      <c r="E2892" s="612">
        <f>'FOPAG SAUDE'!D314</f>
        <v>2781.7597139297213</v>
      </c>
    </row>
    <row r="2893" spans="2:7" x14ac:dyDescent="0.25">
      <c r="B2893" s="547">
        <f t="shared" si="131"/>
        <v>2855</v>
      </c>
      <c r="D2893" s="654" t="s">
        <v>5376</v>
      </c>
      <c r="E2893" s="25">
        <v>0</v>
      </c>
    </row>
    <row r="2894" spans="2:7" x14ac:dyDescent="0.25">
      <c r="B2894" s="547">
        <f t="shared" si="131"/>
        <v>2856</v>
      </c>
      <c r="D2894" s="570" t="s">
        <v>5377</v>
      </c>
      <c r="E2894" s="25">
        <f>SUM(E2895:E2901)</f>
        <v>94544.611933019696</v>
      </c>
    </row>
    <row r="2895" spans="2:7" x14ac:dyDescent="0.25">
      <c r="B2895" s="547">
        <f t="shared" si="131"/>
        <v>2857</v>
      </c>
      <c r="D2895" s="624" t="s">
        <v>3075</v>
      </c>
      <c r="E2895" s="26">
        <f>'FOPAG SAUDE'!D318*12</f>
        <v>72603.915487340113</v>
      </c>
    </row>
    <row r="2896" spans="2:7" x14ac:dyDescent="0.25">
      <c r="B2896" s="547">
        <f t="shared" si="131"/>
        <v>2858</v>
      </c>
      <c r="D2896" s="624" t="s">
        <v>3411</v>
      </c>
      <c r="E2896" s="26">
        <f>'FOPAG SAUDE'!D322*12</f>
        <v>10698.645772377611</v>
      </c>
    </row>
    <row r="2897" spans="2:5" x14ac:dyDescent="0.25">
      <c r="B2897" s="547">
        <f t="shared" ref="B2897:B2960" si="132">B2896+1</f>
        <v>2859</v>
      </c>
      <c r="D2897" s="624" t="s">
        <v>2761</v>
      </c>
      <c r="E2897" s="26">
        <f>'FOPAG SAUDE'!D321*12</f>
        <v>1925.5199999999998</v>
      </c>
    </row>
    <row r="2898" spans="2:5" x14ac:dyDescent="0.25">
      <c r="B2898" s="547">
        <f t="shared" si="132"/>
        <v>2860</v>
      </c>
      <c r="D2898" s="624" t="s">
        <v>4519</v>
      </c>
      <c r="E2898" s="26">
        <f>'FOPAG SAUDE'!D326</f>
        <v>2070.2620968705592</v>
      </c>
    </row>
    <row r="2899" spans="2:5" x14ac:dyDescent="0.25">
      <c r="B2899" s="547">
        <f t="shared" si="132"/>
        <v>2861</v>
      </c>
      <c r="D2899" s="624" t="s">
        <v>2736</v>
      </c>
      <c r="E2899" s="26">
        <f>'FOPAG SAUDE'!D327</f>
        <v>6050.3262906116761</v>
      </c>
    </row>
    <row r="2900" spans="2:5" x14ac:dyDescent="0.25">
      <c r="B2900" s="547">
        <f t="shared" si="132"/>
        <v>2862</v>
      </c>
      <c r="D2900" s="624" t="s">
        <v>4847</v>
      </c>
      <c r="E2900" s="26">
        <f>'FOPAG SAUDE'!D323</f>
        <v>304.38847145493361</v>
      </c>
    </row>
    <row r="2901" spans="2:5" x14ac:dyDescent="0.25">
      <c r="B2901" s="547">
        <f t="shared" si="132"/>
        <v>2863</v>
      </c>
      <c r="D2901" s="624" t="s">
        <v>4848</v>
      </c>
      <c r="E2901" s="26">
        <f>'FOPAG SAUDE'!D324</f>
        <v>891.55381436480093</v>
      </c>
    </row>
    <row r="2902" spans="2:5" x14ac:dyDescent="0.25">
      <c r="B2902" s="547">
        <f t="shared" si="132"/>
        <v>2864</v>
      </c>
      <c r="D2902" s="570" t="s">
        <v>5378</v>
      </c>
      <c r="E2902" s="25">
        <v>0</v>
      </c>
    </row>
    <row r="2903" spans="2:5" x14ac:dyDescent="0.25">
      <c r="B2903" s="547">
        <f t="shared" si="132"/>
        <v>2865</v>
      </c>
      <c r="D2903" s="570" t="s">
        <v>5379</v>
      </c>
      <c r="E2903" s="25">
        <f>41432.23/8*12</f>
        <v>62148.345000000001</v>
      </c>
    </row>
    <row r="2904" spans="2:5" x14ac:dyDescent="0.25">
      <c r="B2904" s="547">
        <f t="shared" si="132"/>
        <v>2866</v>
      </c>
      <c r="D2904" s="570" t="s">
        <v>5380</v>
      </c>
      <c r="E2904" s="25">
        <v>0.01</v>
      </c>
    </row>
    <row r="2905" spans="2:5" x14ac:dyDescent="0.25">
      <c r="B2905" s="547">
        <f t="shared" si="132"/>
        <v>2867</v>
      </c>
      <c r="D2905" s="570" t="s">
        <v>5381</v>
      </c>
      <c r="E2905" s="25">
        <f>SUM(E2891:E2892)</f>
        <v>3709.0129519062953</v>
      </c>
    </row>
    <row r="2906" spans="2:5" x14ac:dyDescent="0.25">
      <c r="B2906" s="547">
        <f t="shared" si="132"/>
        <v>2868</v>
      </c>
      <c r="D2906" s="570" t="s">
        <v>5382</v>
      </c>
      <c r="E2906" s="25">
        <f>(24264+45024)/8*12-30000</f>
        <v>73932</v>
      </c>
    </row>
    <row r="2907" spans="2:5" x14ac:dyDescent="0.25">
      <c r="B2907" s="547">
        <f t="shared" si="132"/>
        <v>2869</v>
      </c>
      <c r="D2907" s="570" t="s">
        <v>5383</v>
      </c>
      <c r="E2907" s="25">
        <f>149407.44/8*12-100000</f>
        <v>124111.16</v>
      </c>
    </row>
    <row r="2908" spans="2:5" x14ac:dyDescent="0.25">
      <c r="B2908" s="547">
        <f t="shared" si="132"/>
        <v>2870</v>
      </c>
      <c r="D2908" s="570" t="s">
        <v>5472</v>
      </c>
      <c r="E2908" s="25">
        <f>80046.83/8*12-70000+5135.92</f>
        <v>55206.164999999994</v>
      </c>
    </row>
    <row r="2909" spans="2:5" x14ac:dyDescent="0.25">
      <c r="B2909" s="547">
        <f t="shared" si="132"/>
        <v>2871</v>
      </c>
      <c r="D2909" s="570" t="s">
        <v>5384</v>
      </c>
      <c r="E2909" s="25">
        <v>1500</v>
      </c>
    </row>
    <row r="2910" spans="2:5" x14ac:dyDescent="0.25">
      <c r="B2910" s="547">
        <f t="shared" si="132"/>
        <v>2872</v>
      </c>
      <c r="D2910" s="570" t="s">
        <v>5385</v>
      </c>
      <c r="E2910" s="25">
        <v>0.01</v>
      </c>
    </row>
    <row r="2911" spans="2:5" x14ac:dyDescent="0.25">
      <c r="B2911" s="547">
        <f t="shared" si="132"/>
        <v>2873</v>
      </c>
      <c r="D2911" s="570" t="s">
        <v>5386</v>
      </c>
      <c r="E2911" s="25">
        <v>1000</v>
      </c>
    </row>
    <row r="2912" spans="2:5" x14ac:dyDescent="0.25">
      <c r="B2912" s="547">
        <f t="shared" si="132"/>
        <v>2874</v>
      </c>
      <c r="D2912" s="570" t="s">
        <v>5387</v>
      </c>
      <c r="E2912" s="25">
        <f>38765.6/8*12</f>
        <v>58148.399999999994</v>
      </c>
    </row>
    <row r="2913" spans="2:7" x14ac:dyDescent="0.25">
      <c r="B2913" s="547">
        <f t="shared" si="132"/>
        <v>2875</v>
      </c>
      <c r="D2913" s="570" t="s">
        <v>5388</v>
      </c>
      <c r="E2913" s="25">
        <f>12310.58/8*12</f>
        <v>18465.87</v>
      </c>
    </row>
    <row r="2914" spans="2:7" x14ac:dyDescent="0.25">
      <c r="B2914" s="547">
        <f t="shared" si="132"/>
        <v>2876</v>
      </c>
      <c r="D2914" s="570" t="s">
        <v>5389</v>
      </c>
      <c r="E2914" s="25">
        <v>1500</v>
      </c>
    </row>
    <row r="2915" spans="2:7" x14ac:dyDescent="0.25">
      <c r="B2915" s="547">
        <f t="shared" si="132"/>
        <v>2877</v>
      </c>
      <c r="D2915" s="570" t="s">
        <v>5390</v>
      </c>
      <c r="E2915" s="25">
        <f>('FOPAG SAUDE'!D315+'FOPAG SAUDE'!D328)*12</f>
        <v>2763.3600000000006</v>
      </c>
    </row>
    <row r="2916" spans="2:7" x14ac:dyDescent="0.25">
      <c r="B2916" s="547">
        <f t="shared" si="132"/>
        <v>2878</v>
      </c>
      <c r="D2916" s="570" t="s">
        <v>5391</v>
      </c>
      <c r="E2916" s="25">
        <v>0.01</v>
      </c>
    </row>
    <row r="2917" spans="2:7" x14ac:dyDescent="0.25">
      <c r="B2917" s="547">
        <f t="shared" si="132"/>
        <v>2879</v>
      </c>
      <c r="D2917" s="570" t="s">
        <v>5392</v>
      </c>
      <c r="E2917" s="25">
        <v>1000</v>
      </c>
    </row>
    <row r="2918" spans="2:7" x14ac:dyDescent="0.25">
      <c r="B2918" s="547">
        <f t="shared" si="132"/>
        <v>2880</v>
      </c>
      <c r="D2918" s="570" t="s">
        <v>5393</v>
      </c>
      <c r="E2918" s="25">
        <v>0.01</v>
      </c>
    </row>
    <row r="2919" spans="2:7" x14ac:dyDescent="0.25">
      <c r="B2919" s="547">
        <f t="shared" si="132"/>
        <v>2881</v>
      </c>
      <c r="D2919" s="570" t="s">
        <v>5473</v>
      </c>
      <c r="E2919" s="25">
        <v>0.01</v>
      </c>
    </row>
    <row r="2920" spans="2:7" x14ac:dyDescent="0.25">
      <c r="B2920" s="547">
        <f t="shared" si="132"/>
        <v>2882</v>
      </c>
      <c r="D2920" s="570" t="s">
        <v>5394</v>
      </c>
      <c r="E2920" s="25">
        <v>0.01</v>
      </c>
    </row>
    <row r="2921" spans="2:7" x14ac:dyDescent="0.25">
      <c r="B2921" s="547">
        <f t="shared" si="132"/>
        <v>2883</v>
      </c>
      <c r="D2921" s="570" t="s">
        <v>5395</v>
      </c>
      <c r="E2921" s="25">
        <v>0.01</v>
      </c>
    </row>
    <row r="2922" spans="2:7" ht="15.75" x14ac:dyDescent="0.25">
      <c r="B2922" s="547">
        <f t="shared" si="132"/>
        <v>2884</v>
      </c>
      <c r="D2922" s="688" t="s">
        <v>6554</v>
      </c>
      <c r="E2922" s="25">
        <v>2</v>
      </c>
    </row>
    <row r="2923" spans="2:7" x14ac:dyDescent="0.25">
      <c r="B2923" s="547">
        <f t="shared" si="132"/>
        <v>2885</v>
      </c>
      <c r="C2923" s="579" t="s">
        <v>5475</v>
      </c>
      <c r="D2923" s="579" t="str">
        <f>DESPORC!D3329</f>
        <v>Gestão do Bloco Financiamento: Assistência Farmacêutica</v>
      </c>
      <c r="E2923" s="580"/>
      <c r="F2923" s="582"/>
      <c r="G2923" s="582"/>
    </row>
    <row r="2924" spans="2:7" x14ac:dyDescent="0.25">
      <c r="B2924" s="547">
        <f t="shared" si="132"/>
        <v>2886</v>
      </c>
      <c r="D2924" s="570" t="s">
        <v>5420</v>
      </c>
      <c r="E2924" s="33">
        <f>SUM(E2925:E2929)</f>
        <v>89758.113436132349</v>
      </c>
    </row>
    <row r="2925" spans="2:7" x14ac:dyDescent="0.25">
      <c r="B2925" s="547">
        <f t="shared" si="132"/>
        <v>2887</v>
      </c>
      <c r="D2925" s="624" t="s">
        <v>3075</v>
      </c>
      <c r="E2925" s="612">
        <f>'FOPAG SAUDE'!D338*12</f>
        <v>66762.233134313312</v>
      </c>
    </row>
    <row r="2926" spans="2:7" x14ac:dyDescent="0.25">
      <c r="B2926" s="547">
        <f t="shared" si="132"/>
        <v>2888</v>
      </c>
      <c r="D2926" s="624" t="s">
        <v>5469</v>
      </c>
      <c r="E2926" s="26">
        <f>(E2925+E2927+E2928+E2929)*E92</f>
        <v>15577.854398006441</v>
      </c>
    </row>
    <row r="2927" spans="2:7" x14ac:dyDescent="0.25">
      <c r="B2927" s="547">
        <f t="shared" si="132"/>
        <v>2889</v>
      </c>
      <c r="D2927" s="624" t="s">
        <v>2761</v>
      </c>
      <c r="E2927" s="612">
        <f>'FOPAG SAUDE'!D339</f>
        <v>0</v>
      </c>
    </row>
    <row r="2928" spans="2:7" x14ac:dyDescent="0.25">
      <c r="B2928" s="547">
        <f t="shared" si="132"/>
        <v>2890</v>
      </c>
      <c r="D2928" s="624" t="s">
        <v>4519</v>
      </c>
      <c r="E2928" s="612">
        <f>'FOPAG SAUDE'!D340</f>
        <v>1854.5064759531476</v>
      </c>
    </row>
    <row r="2929" spans="2:5" x14ac:dyDescent="0.25">
      <c r="B2929" s="547">
        <f t="shared" si="132"/>
        <v>2891</v>
      </c>
      <c r="D2929" s="624" t="s">
        <v>2736</v>
      </c>
      <c r="E2929" s="612">
        <f>'FOPAG SAUDE'!D341</f>
        <v>5563.5194278594427</v>
      </c>
    </row>
    <row r="2930" spans="2:5" x14ac:dyDescent="0.25">
      <c r="B2930" s="547">
        <f t="shared" si="132"/>
        <v>2892</v>
      </c>
      <c r="D2930" s="654" t="s">
        <v>5421</v>
      </c>
    </row>
    <row r="2931" spans="2:5" x14ac:dyDescent="0.25">
      <c r="B2931" s="547">
        <f t="shared" si="132"/>
        <v>2893</v>
      </c>
      <c r="D2931" s="570" t="s">
        <v>5422</v>
      </c>
      <c r="E2931" s="26">
        <v>0.01</v>
      </c>
    </row>
    <row r="2932" spans="2:5" x14ac:dyDescent="0.25">
      <c r="B2932" s="547">
        <f t="shared" si="132"/>
        <v>2894</v>
      </c>
      <c r="D2932" s="570" t="s">
        <v>5423</v>
      </c>
      <c r="E2932" s="26">
        <v>1.0999999999999999E-2</v>
      </c>
    </row>
    <row r="2933" spans="2:5" x14ac:dyDescent="0.25">
      <c r="B2933" s="547">
        <f t="shared" si="132"/>
        <v>2895</v>
      </c>
      <c r="D2933" s="570" t="s">
        <v>5424</v>
      </c>
      <c r="E2933" s="26">
        <v>1000</v>
      </c>
    </row>
    <row r="2934" spans="2:5" x14ac:dyDescent="0.25">
      <c r="B2934" s="547">
        <f t="shared" si="132"/>
        <v>2896</v>
      </c>
      <c r="D2934" s="570" t="s">
        <v>5425</v>
      </c>
      <c r="E2934" s="26">
        <v>0.01</v>
      </c>
    </row>
    <row r="2935" spans="2:5" x14ac:dyDescent="0.25">
      <c r="B2935" s="547">
        <f t="shared" si="132"/>
        <v>2897</v>
      </c>
      <c r="D2935" s="570" t="s">
        <v>5426</v>
      </c>
      <c r="E2935" s="26">
        <f>E2928+E2929</f>
        <v>7418.0259038125905</v>
      </c>
    </row>
    <row r="2936" spans="2:5" x14ac:dyDescent="0.25">
      <c r="B2936" s="547">
        <f t="shared" si="132"/>
        <v>2898</v>
      </c>
      <c r="D2936" s="570" t="s">
        <v>5427</v>
      </c>
      <c r="E2936" s="26">
        <v>1500</v>
      </c>
    </row>
    <row r="2937" spans="2:5" x14ac:dyDescent="0.25">
      <c r="B2937" s="547">
        <f t="shared" si="132"/>
        <v>2899</v>
      </c>
      <c r="D2937" s="570" t="s">
        <v>5428</v>
      </c>
      <c r="E2937" s="26">
        <v>10000</v>
      </c>
    </row>
    <row r="2938" spans="2:5" x14ac:dyDescent="0.25">
      <c r="B2938" s="547">
        <f t="shared" si="132"/>
        <v>2900</v>
      </c>
      <c r="D2938" s="570" t="s">
        <v>5476</v>
      </c>
      <c r="E2938" s="26">
        <v>30000</v>
      </c>
    </row>
    <row r="2939" spans="2:5" x14ac:dyDescent="0.25">
      <c r="B2939" s="547">
        <f t="shared" si="132"/>
        <v>2901</v>
      </c>
      <c r="D2939" s="570" t="s">
        <v>5429</v>
      </c>
      <c r="E2939" s="26">
        <v>1500</v>
      </c>
    </row>
    <row r="2940" spans="2:5" x14ac:dyDescent="0.25">
      <c r="B2940" s="547">
        <f t="shared" si="132"/>
        <v>2902</v>
      </c>
      <c r="D2940" s="570" t="s">
        <v>5430</v>
      </c>
      <c r="E2940" s="26">
        <v>0.01</v>
      </c>
    </row>
    <row r="2941" spans="2:5" x14ac:dyDescent="0.25">
      <c r="B2941" s="547">
        <f t="shared" si="132"/>
        <v>2903</v>
      </c>
      <c r="D2941" s="570" t="s">
        <v>5431</v>
      </c>
      <c r="E2941" s="26">
        <v>0.01</v>
      </c>
    </row>
    <row r="2942" spans="2:5" x14ac:dyDescent="0.25">
      <c r="B2942" s="547">
        <f t="shared" si="132"/>
        <v>2904</v>
      </c>
      <c r="D2942" s="570" t="s">
        <v>5432</v>
      </c>
      <c r="E2942" s="26">
        <v>5000</v>
      </c>
    </row>
    <row r="2943" spans="2:5" x14ac:dyDescent="0.25">
      <c r="B2943" s="547">
        <f t="shared" si="132"/>
        <v>2905</v>
      </c>
      <c r="D2943" s="570" t="s">
        <v>5433</v>
      </c>
      <c r="E2943" s="26">
        <f>1948.03/8*12</f>
        <v>2922.0450000000001</v>
      </c>
    </row>
    <row r="2944" spans="2:5" x14ac:dyDescent="0.25">
      <c r="B2944" s="547">
        <f t="shared" si="132"/>
        <v>2906</v>
      </c>
      <c r="D2944" s="570" t="s">
        <v>5434</v>
      </c>
      <c r="E2944" s="26">
        <v>0.01</v>
      </c>
    </row>
    <row r="2945" spans="2:7" x14ac:dyDescent="0.25">
      <c r="B2945" s="547">
        <f t="shared" si="132"/>
        <v>2907</v>
      </c>
      <c r="D2945" s="570" t="s">
        <v>5435</v>
      </c>
      <c r="E2945" s="26">
        <v>0.01</v>
      </c>
    </row>
    <row r="2946" spans="2:7" x14ac:dyDescent="0.25">
      <c r="B2946" s="547">
        <f t="shared" si="132"/>
        <v>2908</v>
      </c>
      <c r="D2946" s="570" t="s">
        <v>5436</v>
      </c>
      <c r="E2946" s="26">
        <v>0.01</v>
      </c>
    </row>
    <row r="2947" spans="2:7" x14ac:dyDescent="0.25">
      <c r="B2947" s="547">
        <f t="shared" si="132"/>
        <v>2909</v>
      </c>
      <c r="D2947" s="570" t="s">
        <v>5437</v>
      </c>
      <c r="E2947" s="26">
        <v>0.01</v>
      </c>
    </row>
    <row r="2948" spans="2:7" x14ac:dyDescent="0.25">
      <c r="B2948" s="547">
        <f t="shared" si="132"/>
        <v>2910</v>
      </c>
      <c r="D2948" s="570" t="s">
        <v>5438</v>
      </c>
      <c r="E2948" s="26">
        <v>0.01</v>
      </c>
    </row>
    <row r="2949" spans="2:7" x14ac:dyDescent="0.25">
      <c r="B2949" s="547">
        <f t="shared" si="132"/>
        <v>2911</v>
      </c>
      <c r="D2949" s="570" t="s">
        <v>5439</v>
      </c>
      <c r="E2949" s="26">
        <v>0.01</v>
      </c>
    </row>
    <row r="2950" spans="2:7" x14ac:dyDescent="0.25">
      <c r="B2950" s="547">
        <f t="shared" si="132"/>
        <v>2912</v>
      </c>
      <c r="D2950" s="570" t="s">
        <v>5440</v>
      </c>
      <c r="E2950" s="26">
        <v>0.01</v>
      </c>
    </row>
    <row r="2951" spans="2:7" x14ac:dyDescent="0.25">
      <c r="B2951" s="547">
        <f t="shared" si="132"/>
        <v>2913</v>
      </c>
      <c r="C2951" s="579" t="s">
        <v>5478</v>
      </c>
      <c r="D2951" s="579" t="str">
        <f>DESPORC!D3355</f>
        <v>Gestão do Bloco Financiamento: Vigilância em Saúde</v>
      </c>
      <c r="E2951" s="580"/>
      <c r="F2951" s="582"/>
      <c r="G2951" s="582"/>
    </row>
    <row r="2952" spans="2:7" x14ac:dyDescent="0.25">
      <c r="B2952" s="547">
        <f t="shared" si="132"/>
        <v>2914</v>
      </c>
      <c r="D2952" s="624" t="s">
        <v>5397</v>
      </c>
      <c r="E2952" s="26">
        <v>0.01</v>
      </c>
    </row>
    <row r="2953" spans="2:7" x14ac:dyDescent="0.25">
      <c r="B2953" s="547">
        <f t="shared" si="132"/>
        <v>2915</v>
      </c>
      <c r="D2953" s="629" t="s">
        <v>5398</v>
      </c>
      <c r="E2953" s="26">
        <v>0.01</v>
      </c>
    </row>
    <row r="2954" spans="2:7" x14ac:dyDescent="0.25">
      <c r="B2954" s="547">
        <f t="shared" si="132"/>
        <v>2916</v>
      </c>
      <c r="D2954" s="624" t="s">
        <v>5399</v>
      </c>
      <c r="E2954" s="26">
        <v>0.01</v>
      </c>
    </row>
    <row r="2955" spans="2:7" x14ac:dyDescent="0.25">
      <c r="B2955" s="547">
        <f t="shared" si="132"/>
        <v>2917</v>
      </c>
      <c r="D2955" s="624" t="s">
        <v>5400</v>
      </c>
      <c r="E2955" s="26">
        <v>0.01</v>
      </c>
    </row>
    <row r="2956" spans="2:7" x14ac:dyDescent="0.25">
      <c r="B2956" s="547">
        <f t="shared" si="132"/>
        <v>2918</v>
      </c>
      <c r="D2956" s="624" t="s">
        <v>5401</v>
      </c>
      <c r="E2956" s="26">
        <v>0.01</v>
      </c>
    </row>
    <row r="2957" spans="2:7" x14ac:dyDescent="0.25">
      <c r="B2957" s="547">
        <f t="shared" si="132"/>
        <v>2919</v>
      </c>
      <c r="D2957" s="624" t="s">
        <v>5402</v>
      </c>
      <c r="E2957" s="26">
        <v>0.01</v>
      </c>
    </row>
    <row r="2958" spans="2:7" x14ac:dyDescent="0.25">
      <c r="B2958" s="547">
        <f t="shared" si="132"/>
        <v>2920</v>
      </c>
      <c r="D2958" s="624" t="s">
        <v>5403</v>
      </c>
      <c r="E2958" s="26">
        <v>0.01</v>
      </c>
    </row>
    <row r="2959" spans="2:7" x14ac:dyDescent="0.25">
      <c r="B2959" s="547">
        <f t="shared" si="132"/>
        <v>2921</v>
      </c>
      <c r="D2959" s="624" t="s">
        <v>5404</v>
      </c>
      <c r="E2959" s="26">
        <v>0.01</v>
      </c>
    </row>
    <row r="2960" spans="2:7" x14ac:dyDescent="0.25">
      <c r="B2960" s="547">
        <f t="shared" si="132"/>
        <v>2922</v>
      </c>
      <c r="D2960" s="624" t="s">
        <v>5405</v>
      </c>
      <c r="E2960" s="26">
        <v>0.01</v>
      </c>
    </row>
    <row r="2961" spans="2:7" x14ac:dyDescent="0.25">
      <c r="B2961" s="547">
        <f t="shared" ref="B2961:B3024" si="133">B2960+1</f>
        <v>2923</v>
      </c>
      <c r="D2961" s="624" t="s">
        <v>5477</v>
      </c>
      <c r="E2961" s="26">
        <v>0.01</v>
      </c>
    </row>
    <row r="2962" spans="2:7" x14ac:dyDescent="0.25">
      <c r="B2962" s="547">
        <f t="shared" si="133"/>
        <v>2924</v>
      </c>
      <c r="D2962" s="624" t="s">
        <v>5406</v>
      </c>
      <c r="E2962" s="26">
        <v>0.01</v>
      </c>
    </row>
    <row r="2963" spans="2:7" x14ac:dyDescent="0.25">
      <c r="B2963" s="547">
        <f t="shared" si="133"/>
        <v>2925</v>
      </c>
      <c r="D2963" s="624" t="s">
        <v>5407</v>
      </c>
      <c r="E2963" s="26">
        <v>0.01</v>
      </c>
    </row>
    <row r="2964" spans="2:7" x14ac:dyDescent="0.25">
      <c r="B2964" s="547">
        <f t="shared" si="133"/>
        <v>2926</v>
      </c>
      <c r="D2964" s="624" t="s">
        <v>5408</v>
      </c>
      <c r="E2964" s="26">
        <v>0.01</v>
      </c>
    </row>
    <row r="2965" spans="2:7" x14ac:dyDescent="0.25">
      <c r="B2965" s="547">
        <f t="shared" si="133"/>
        <v>2927</v>
      </c>
      <c r="D2965" s="624" t="s">
        <v>5409</v>
      </c>
      <c r="E2965" s="26">
        <v>0.01</v>
      </c>
    </row>
    <row r="2966" spans="2:7" x14ac:dyDescent="0.25">
      <c r="B2966" s="547">
        <f t="shared" si="133"/>
        <v>2928</v>
      </c>
      <c r="D2966" s="624" t="s">
        <v>5410</v>
      </c>
      <c r="E2966" s="26">
        <v>0.01</v>
      </c>
    </row>
    <row r="2967" spans="2:7" x14ac:dyDescent="0.25">
      <c r="B2967" s="547">
        <f t="shared" si="133"/>
        <v>2929</v>
      </c>
      <c r="D2967" s="624" t="s">
        <v>5411</v>
      </c>
      <c r="E2967" s="26">
        <v>0.01</v>
      </c>
    </row>
    <row r="2968" spans="2:7" x14ac:dyDescent="0.25">
      <c r="B2968" s="547">
        <f t="shared" si="133"/>
        <v>2930</v>
      </c>
      <c r="D2968" s="624" t="s">
        <v>5412</v>
      </c>
      <c r="E2968" s="26">
        <v>0.01</v>
      </c>
    </row>
    <row r="2969" spans="2:7" x14ac:dyDescent="0.25">
      <c r="B2969" s="547">
        <f t="shared" si="133"/>
        <v>2931</v>
      </c>
      <c r="D2969" s="624" t="s">
        <v>5413</v>
      </c>
      <c r="E2969" s="26">
        <v>0.01</v>
      </c>
    </row>
    <row r="2970" spans="2:7" x14ac:dyDescent="0.25">
      <c r="B2970" s="547">
        <f t="shared" si="133"/>
        <v>2932</v>
      </c>
      <c r="D2970" s="624" t="s">
        <v>5414</v>
      </c>
      <c r="E2970" s="26">
        <v>0.01</v>
      </c>
    </row>
    <row r="2971" spans="2:7" x14ac:dyDescent="0.25">
      <c r="B2971" s="547">
        <f t="shared" si="133"/>
        <v>2933</v>
      </c>
      <c r="D2971" s="624" t="s">
        <v>5415</v>
      </c>
      <c r="E2971" s="26">
        <v>0.01</v>
      </c>
    </row>
    <row r="2972" spans="2:7" x14ac:dyDescent="0.25">
      <c r="B2972" s="547">
        <f t="shared" si="133"/>
        <v>2934</v>
      </c>
      <c r="D2972" s="624" t="s">
        <v>5416</v>
      </c>
      <c r="E2972" s="26">
        <v>0.01</v>
      </c>
    </row>
    <row r="2973" spans="2:7" ht="17.25" customHeight="1" x14ac:dyDescent="0.25">
      <c r="B2973" s="547">
        <f t="shared" si="133"/>
        <v>2935</v>
      </c>
      <c r="D2973" s="624" t="s">
        <v>5417</v>
      </c>
      <c r="E2973" s="26">
        <v>0.01</v>
      </c>
    </row>
    <row r="2974" spans="2:7" x14ac:dyDescent="0.25">
      <c r="B2974" s="547">
        <f t="shared" si="133"/>
        <v>2936</v>
      </c>
      <c r="C2974" s="579" t="s">
        <v>5478</v>
      </c>
      <c r="D2974" s="579" t="str">
        <f>DESPORC!D3381</f>
        <v>Gestão do Bloco Financiamento: Vigilância em Saúde</v>
      </c>
      <c r="E2974" s="580"/>
      <c r="F2974" s="582"/>
      <c r="G2974" s="582"/>
    </row>
    <row r="2975" spans="2:7" x14ac:dyDescent="0.25">
      <c r="B2975" s="547">
        <f t="shared" si="133"/>
        <v>2937</v>
      </c>
      <c r="D2975" s="624" t="s">
        <v>5442</v>
      </c>
      <c r="E2975" s="26">
        <v>0.01</v>
      </c>
    </row>
    <row r="2976" spans="2:7" x14ac:dyDescent="0.25">
      <c r="B2976" s="547">
        <f t="shared" si="133"/>
        <v>2938</v>
      </c>
      <c r="D2976" s="629" t="s">
        <v>5443</v>
      </c>
      <c r="E2976" s="26">
        <v>0.01</v>
      </c>
    </row>
    <row r="2977" spans="2:5" x14ac:dyDescent="0.25">
      <c r="B2977" s="547">
        <f t="shared" si="133"/>
        <v>2939</v>
      </c>
      <c r="D2977" s="624" t="s">
        <v>5444</v>
      </c>
      <c r="E2977" s="26">
        <v>0.01</v>
      </c>
    </row>
    <row r="2978" spans="2:5" x14ac:dyDescent="0.25">
      <c r="B2978" s="547">
        <f t="shared" si="133"/>
        <v>2940</v>
      </c>
      <c r="D2978" s="624" t="s">
        <v>5445</v>
      </c>
      <c r="E2978" s="26">
        <v>0.01</v>
      </c>
    </row>
    <row r="2979" spans="2:5" x14ac:dyDescent="0.25">
      <c r="B2979" s="547">
        <f t="shared" si="133"/>
        <v>2941</v>
      </c>
      <c r="D2979" s="624" t="s">
        <v>5446</v>
      </c>
      <c r="E2979" s="26">
        <v>0.01</v>
      </c>
    </row>
    <row r="2980" spans="2:5" x14ac:dyDescent="0.25">
      <c r="B2980" s="547">
        <f t="shared" si="133"/>
        <v>2942</v>
      </c>
      <c r="D2980" s="624" t="s">
        <v>5447</v>
      </c>
      <c r="E2980" s="26">
        <v>0.01</v>
      </c>
    </row>
    <row r="2981" spans="2:5" x14ac:dyDescent="0.25">
      <c r="B2981" s="547">
        <f t="shared" si="133"/>
        <v>2943</v>
      </c>
      <c r="D2981" s="624" t="s">
        <v>5448</v>
      </c>
      <c r="E2981" s="26">
        <v>0.01</v>
      </c>
    </row>
    <row r="2982" spans="2:5" x14ac:dyDescent="0.25">
      <c r="B2982" s="547">
        <f t="shared" si="133"/>
        <v>2944</v>
      </c>
      <c r="D2982" s="624" t="s">
        <v>5449</v>
      </c>
      <c r="E2982" s="26">
        <v>0.01</v>
      </c>
    </row>
    <row r="2983" spans="2:5" x14ac:dyDescent="0.25">
      <c r="B2983" s="547">
        <f t="shared" si="133"/>
        <v>2945</v>
      </c>
      <c r="D2983" s="624" t="s">
        <v>5450</v>
      </c>
      <c r="E2983" s="26">
        <v>0.01</v>
      </c>
    </row>
    <row r="2984" spans="2:5" x14ac:dyDescent="0.25">
      <c r="B2984" s="547">
        <f t="shared" si="133"/>
        <v>2946</v>
      </c>
      <c r="D2984" s="624" t="s">
        <v>5479</v>
      </c>
      <c r="E2984" s="26">
        <v>0.01</v>
      </c>
    </row>
    <row r="2985" spans="2:5" x14ac:dyDescent="0.25">
      <c r="B2985" s="547">
        <f t="shared" si="133"/>
        <v>2947</v>
      </c>
      <c r="D2985" s="624" t="s">
        <v>5451</v>
      </c>
      <c r="E2985" s="26">
        <v>0.01</v>
      </c>
    </row>
    <row r="2986" spans="2:5" x14ac:dyDescent="0.25">
      <c r="B2986" s="547">
        <f t="shared" si="133"/>
        <v>2948</v>
      </c>
      <c r="D2986" s="624" t="s">
        <v>5452</v>
      </c>
      <c r="E2986" s="26">
        <v>0.01</v>
      </c>
    </row>
    <row r="2987" spans="2:5" x14ac:dyDescent="0.25">
      <c r="B2987" s="547">
        <f t="shared" si="133"/>
        <v>2949</v>
      </c>
      <c r="D2987" s="624" t="s">
        <v>5453</v>
      </c>
      <c r="E2987" s="26">
        <v>0.01</v>
      </c>
    </row>
    <row r="2988" spans="2:5" x14ac:dyDescent="0.25">
      <c r="B2988" s="547">
        <f t="shared" si="133"/>
        <v>2950</v>
      </c>
      <c r="D2988" s="624" t="s">
        <v>5454</v>
      </c>
      <c r="E2988" s="26">
        <v>0.01</v>
      </c>
    </row>
    <row r="2989" spans="2:5" x14ac:dyDescent="0.25">
      <c r="B2989" s="547">
        <f t="shared" si="133"/>
        <v>2951</v>
      </c>
      <c r="D2989" s="624" t="s">
        <v>5455</v>
      </c>
      <c r="E2989" s="26">
        <v>0.01</v>
      </c>
    </row>
    <row r="2990" spans="2:5" x14ac:dyDescent="0.25">
      <c r="B2990" s="547">
        <f t="shared" si="133"/>
        <v>2952</v>
      </c>
      <c r="D2990" s="624" t="s">
        <v>5456</v>
      </c>
      <c r="E2990" s="26">
        <v>0.01</v>
      </c>
    </row>
    <row r="2991" spans="2:5" x14ac:dyDescent="0.25">
      <c r="B2991" s="547">
        <f t="shared" si="133"/>
        <v>2953</v>
      </c>
      <c r="D2991" s="624" t="s">
        <v>5457</v>
      </c>
      <c r="E2991" s="26">
        <v>0.01</v>
      </c>
    </row>
    <row r="2992" spans="2:5" x14ac:dyDescent="0.25">
      <c r="B2992" s="547">
        <f t="shared" si="133"/>
        <v>2954</v>
      </c>
      <c r="D2992" s="624" t="s">
        <v>5458</v>
      </c>
      <c r="E2992" s="26">
        <v>0.01</v>
      </c>
    </row>
    <row r="2993" spans="2:7" x14ac:dyDescent="0.25">
      <c r="B2993" s="547">
        <f t="shared" si="133"/>
        <v>2955</v>
      </c>
      <c r="D2993" s="624" t="s">
        <v>5459</v>
      </c>
      <c r="E2993" s="26">
        <v>0.01</v>
      </c>
    </row>
    <row r="2994" spans="2:7" x14ac:dyDescent="0.25">
      <c r="B2994" s="547">
        <f t="shared" si="133"/>
        <v>2956</v>
      </c>
      <c r="D2994" s="624" t="s">
        <v>5460</v>
      </c>
      <c r="E2994" s="26">
        <v>0.01</v>
      </c>
    </row>
    <row r="2995" spans="2:7" x14ac:dyDescent="0.25">
      <c r="B2995" s="547">
        <f t="shared" si="133"/>
        <v>2957</v>
      </c>
      <c r="D2995" s="624" t="s">
        <v>5461</v>
      </c>
      <c r="E2995" s="26">
        <v>0.01</v>
      </c>
    </row>
    <row r="2996" spans="2:7" x14ac:dyDescent="0.25">
      <c r="B2996" s="547">
        <f t="shared" si="133"/>
        <v>2958</v>
      </c>
      <c r="D2996" s="624" t="s">
        <v>5462</v>
      </c>
      <c r="E2996" s="26">
        <v>0.01</v>
      </c>
    </row>
    <row r="2997" spans="2:7" ht="18.75" x14ac:dyDescent="0.25">
      <c r="B2997" s="547">
        <f t="shared" si="133"/>
        <v>2959</v>
      </c>
      <c r="D2997" s="653" t="s">
        <v>5481</v>
      </c>
      <c r="E2997" s="26"/>
    </row>
    <row r="2998" spans="2:7" x14ac:dyDescent="0.25">
      <c r="B2998" s="547">
        <f t="shared" si="133"/>
        <v>2960</v>
      </c>
      <c r="C2998" s="579" t="s">
        <v>5464</v>
      </c>
      <c r="D2998" s="579" t="str">
        <f>DESPORC!D3416</f>
        <v>GEST. BLOCO FINAN.: INVEST. EM ATENÇÃO BÁSICA</v>
      </c>
      <c r="E2998" s="580"/>
      <c r="F2998" s="582"/>
      <c r="G2998" s="582"/>
    </row>
    <row r="2999" spans="2:7" x14ac:dyDescent="0.25">
      <c r="B2999" s="547">
        <f t="shared" si="133"/>
        <v>2961</v>
      </c>
      <c r="D2999" s="624" t="s">
        <v>5482</v>
      </c>
      <c r="E2999" s="26">
        <v>0.01</v>
      </c>
    </row>
    <row r="3000" spans="2:7" x14ac:dyDescent="0.25">
      <c r="B3000" s="547">
        <f t="shared" si="133"/>
        <v>2962</v>
      </c>
      <c r="D3000" s="624" t="s">
        <v>5483</v>
      </c>
      <c r="E3000" s="26">
        <v>0.01</v>
      </c>
    </row>
    <row r="3001" spans="2:7" x14ac:dyDescent="0.25">
      <c r="B3001" s="547">
        <f t="shared" si="133"/>
        <v>2963</v>
      </c>
      <c r="D3001" s="624" t="s">
        <v>5484</v>
      </c>
      <c r="E3001" s="26">
        <v>0.01</v>
      </c>
    </row>
    <row r="3002" spans="2:7" x14ac:dyDescent="0.25">
      <c r="B3002" s="547">
        <f t="shared" si="133"/>
        <v>2964</v>
      </c>
      <c r="D3002" s="624" t="s">
        <v>5485</v>
      </c>
      <c r="E3002" s="26">
        <v>0.01</v>
      </c>
    </row>
    <row r="3003" spans="2:7" x14ac:dyDescent="0.25">
      <c r="B3003" s="547">
        <f t="shared" si="133"/>
        <v>2965</v>
      </c>
      <c r="D3003" s="624" t="s">
        <v>5486</v>
      </c>
      <c r="E3003" s="26">
        <f>2-E2999-E3000-E3001-E3002-E3004</f>
        <v>1.95</v>
      </c>
    </row>
    <row r="3004" spans="2:7" x14ac:dyDescent="0.25">
      <c r="B3004" s="547">
        <f t="shared" si="133"/>
        <v>2966</v>
      </c>
      <c r="D3004" s="624" t="s">
        <v>5487</v>
      </c>
      <c r="E3004" s="26">
        <v>0.01</v>
      </c>
    </row>
    <row r="3005" spans="2:7" x14ac:dyDescent="0.25">
      <c r="B3005" s="547">
        <f t="shared" si="133"/>
        <v>2967</v>
      </c>
      <c r="C3005" s="579" t="s">
        <v>5464</v>
      </c>
      <c r="D3005" s="579" t="str">
        <f>DESPORC!D3425</f>
        <v>GEST. BLOCO FINAN.: INVEST.  EM ATENÇÃO BÁSICA</v>
      </c>
      <c r="E3005" s="580"/>
      <c r="F3005" s="582"/>
      <c r="G3005" s="582"/>
    </row>
    <row r="3006" spans="2:7" x14ac:dyDescent="0.25">
      <c r="B3006" s="547">
        <f t="shared" si="133"/>
        <v>2968</v>
      </c>
      <c r="D3006" s="624" t="s">
        <v>5489</v>
      </c>
      <c r="E3006" s="26">
        <v>0.01</v>
      </c>
    </row>
    <row r="3007" spans="2:7" x14ac:dyDescent="0.25">
      <c r="B3007" s="547">
        <f t="shared" si="133"/>
        <v>2969</v>
      </c>
      <c r="D3007" s="624" t="s">
        <v>5490</v>
      </c>
      <c r="E3007" s="26">
        <v>0.01</v>
      </c>
    </row>
    <row r="3008" spans="2:7" x14ac:dyDescent="0.25">
      <c r="B3008" s="547">
        <f t="shared" si="133"/>
        <v>2970</v>
      </c>
      <c r="D3008" s="624" t="s">
        <v>5491</v>
      </c>
      <c r="E3008" s="26">
        <v>0.01</v>
      </c>
    </row>
    <row r="3009" spans="2:7" x14ac:dyDescent="0.25">
      <c r="B3009" s="547">
        <f t="shared" si="133"/>
        <v>2971</v>
      </c>
      <c r="D3009" s="624" t="s">
        <v>5492</v>
      </c>
      <c r="E3009" s="26">
        <v>0.01</v>
      </c>
    </row>
    <row r="3010" spans="2:7" x14ac:dyDescent="0.25">
      <c r="B3010" s="547">
        <f t="shared" si="133"/>
        <v>2972</v>
      </c>
      <c r="D3010" s="624" t="s">
        <v>5493</v>
      </c>
      <c r="E3010" s="26">
        <v>0.01</v>
      </c>
    </row>
    <row r="3011" spans="2:7" x14ac:dyDescent="0.25">
      <c r="B3011" s="547">
        <f t="shared" si="133"/>
        <v>2973</v>
      </c>
      <c r="D3011" s="624" t="s">
        <v>5494</v>
      </c>
      <c r="E3011" s="26">
        <v>0.01</v>
      </c>
    </row>
    <row r="3012" spans="2:7" x14ac:dyDescent="0.25">
      <c r="B3012" s="547">
        <f t="shared" si="133"/>
        <v>2974</v>
      </c>
      <c r="C3012" s="579" t="s">
        <v>5467</v>
      </c>
      <c r="D3012" s="579" t="str">
        <f>DESPORC!D3434</f>
        <v>GESTÃO DO BLOCO FINANCIAMENTO: ATENÇÃO BÁSICA</v>
      </c>
      <c r="E3012" s="580"/>
      <c r="F3012" s="582"/>
      <c r="G3012" s="582"/>
    </row>
    <row r="3013" spans="2:7" ht="15.75" x14ac:dyDescent="0.25">
      <c r="B3013" s="547">
        <f t="shared" si="133"/>
        <v>2975</v>
      </c>
      <c r="D3013" s="688" t="s">
        <v>6574</v>
      </c>
      <c r="E3013" s="26">
        <v>0.01</v>
      </c>
    </row>
    <row r="3014" spans="2:7" ht="15.75" x14ac:dyDescent="0.25">
      <c r="B3014" s="547">
        <f t="shared" si="133"/>
        <v>2976</v>
      </c>
      <c r="D3014" s="689" t="s">
        <v>6575</v>
      </c>
      <c r="E3014" s="26">
        <v>0.01</v>
      </c>
    </row>
    <row r="3015" spans="2:7" ht="15.75" x14ac:dyDescent="0.25">
      <c r="B3015" s="547">
        <f t="shared" si="133"/>
        <v>2977</v>
      </c>
      <c r="D3015" s="688" t="s">
        <v>6576</v>
      </c>
      <c r="E3015" s="26">
        <v>0.01</v>
      </c>
    </row>
    <row r="3016" spans="2:7" ht="15.75" x14ac:dyDescent="0.25">
      <c r="B3016" s="547">
        <f t="shared" si="133"/>
        <v>2978</v>
      </c>
      <c r="D3016" s="688" t="s">
        <v>6577</v>
      </c>
      <c r="E3016" s="26">
        <v>0.01</v>
      </c>
    </row>
    <row r="3017" spans="2:7" ht="15.75" x14ac:dyDescent="0.25">
      <c r="B3017" s="547">
        <f t="shared" si="133"/>
        <v>2979</v>
      </c>
      <c r="D3017" s="688" t="s">
        <v>6578</v>
      </c>
      <c r="E3017" s="26">
        <v>0.01</v>
      </c>
    </row>
    <row r="3018" spans="2:7" ht="15.75" x14ac:dyDescent="0.25">
      <c r="B3018" s="547">
        <f t="shared" si="133"/>
        <v>2980</v>
      </c>
      <c r="D3018" s="688" t="s">
        <v>6579</v>
      </c>
      <c r="E3018" s="26">
        <v>0.01</v>
      </c>
    </row>
    <row r="3019" spans="2:7" ht="15.75" x14ac:dyDescent="0.25">
      <c r="B3019" s="547">
        <f t="shared" si="133"/>
        <v>2981</v>
      </c>
      <c r="D3019" s="688" t="s">
        <v>6580</v>
      </c>
      <c r="E3019" s="26">
        <v>0.01</v>
      </c>
    </row>
    <row r="3020" spans="2:7" ht="15.75" x14ac:dyDescent="0.25">
      <c r="B3020" s="547">
        <f t="shared" si="133"/>
        <v>2982</v>
      </c>
      <c r="D3020" s="688" t="s">
        <v>6581</v>
      </c>
      <c r="E3020" s="26">
        <v>0.01</v>
      </c>
    </row>
    <row r="3021" spans="2:7" ht="15.75" x14ac:dyDescent="0.25">
      <c r="B3021" s="547">
        <f t="shared" si="133"/>
        <v>2983</v>
      </c>
      <c r="D3021" s="688" t="s">
        <v>6582</v>
      </c>
      <c r="E3021" s="26">
        <v>1.0999999999999999E-2</v>
      </c>
    </row>
    <row r="3022" spans="2:7" ht="15.75" x14ac:dyDescent="0.25">
      <c r="B3022" s="547">
        <f t="shared" si="133"/>
        <v>2984</v>
      </c>
      <c r="D3022" s="688" t="s">
        <v>6583</v>
      </c>
      <c r="E3022" s="26">
        <f>ER!E687-E3013-E3015-E3016-E3017-E3018-E3019-E3020-E3021-E3023-E3024-E3025</f>
        <v>85167.251017495146</v>
      </c>
    </row>
    <row r="3023" spans="2:7" ht="15.75" x14ac:dyDescent="0.25">
      <c r="B3023" s="547">
        <f t="shared" si="133"/>
        <v>2985</v>
      </c>
      <c r="D3023" s="688" t="s">
        <v>6584</v>
      </c>
      <c r="E3023" s="26">
        <v>0.01</v>
      </c>
    </row>
    <row r="3024" spans="2:7" ht="15.75" x14ac:dyDescent="0.25">
      <c r="B3024" s="547">
        <f t="shared" si="133"/>
        <v>2986</v>
      </c>
      <c r="D3024" s="688" t="s">
        <v>6585</v>
      </c>
      <c r="E3024" s="26">
        <v>0.01</v>
      </c>
    </row>
    <row r="3025" spans="2:7" ht="15.75" x14ac:dyDescent="0.25">
      <c r="B3025" s="547">
        <f t="shared" ref="B3025:B3088" si="134">B3024+1</f>
        <v>2987</v>
      </c>
      <c r="D3025" s="688" t="s">
        <v>6586</v>
      </c>
      <c r="E3025" s="26">
        <v>0.01</v>
      </c>
    </row>
    <row r="3026" spans="2:7" x14ac:dyDescent="0.25">
      <c r="B3026" s="547">
        <f t="shared" si="134"/>
        <v>2988</v>
      </c>
      <c r="C3026" s="579" t="s">
        <v>5467</v>
      </c>
      <c r="D3026" s="579" t="str">
        <f>DESPORC!D3450</f>
        <v>GESTÃO DO BLOCO FINANCIAMENTO: ATENÇÃO BÁSICA</v>
      </c>
      <c r="E3026" s="580"/>
      <c r="F3026" s="582"/>
      <c r="G3026" s="582"/>
    </row>
    <row r="3027" spans="2:7" ht="15.75" x14ac:dyDescent="0.25">
      <c r="B3027" s="547">
        <f t="shared" si="134"/>
        <v>2989</v>
      </c>
      <c r="D3027" s="688" t="s">
        <v>5496</v>
      </c>
      <c r="E3027" s="26">
        <v>15000</v>
      </c>
    </row>
    <row r="3028" spans="2:7" ht="15.75" x14ac:dyDescent="0.25">
      <c r="B3028" s="547">
        <f t="shared" si="134"/>
        <v>2990</v>
      </c>
      <c r="D3028" s="688" t="s">
        <v>6590</v>
      </c>
      <c r="E3028" s="26">
        <v>5000</v>
      </c>
    </row>
    <row r="3029" spans="2:7" ht="15.75" x14ac:dyDescent="0.25">
      <c r="B3029" s="547">
        <f t="shared" si="134"/>
        <v>2991</v>
      </c>
      <c r="D3029" s="688" t="s">
        <v>6587</v>
      </c>
      <c r="E3029" s="26">
        <f>25000</f>
        <v>25000</v>
      </c>
    </row>
    <row r="3030" spans="2:7" ht="15.75" x14ac:dyDescent="0.25">
      <c r="B3030" s="547">
        <f t="shared" si="134"/>
        <v>2992</v>
      </c>
      <c r="D3030" s="688" t="s">
        <v>6591</v>
      </c>
      <c r="E3030" s="26">
        <f>20000+13469.67-6877.11</f>
        <v>26592.559999999998</v>
      </c>
    </row>
    <row r="3031" spans="2:7" ht="15.75" x14ac:dyDescent="0.25">
      <c r="B3031" s="547">
        <f t="shared" si="134"/>
        <v>2993</v>
      </c>
      <c r="D3031" s="688" t="s">
        <v>6588</v>
      </c>
      <c r="E3031" s="26">
        <v>10000</v>
      </c>
    </row>
    <row r="3032" spans="2:7" ht="15.75" x14ac:dyDescent="0.25">
      <c r="B3032" s="547">
        <f t="shared" si="134"/>
        <v>2994</v>
      </c>
      <c r="D3032" s="688" t="s">
        <v>6589</v>
      </c>
      <c r="E3032" s="26">
        <v>5000</v>
      </c>
    </row>
    <row r="3033" spans="2:7" ht="15.75" x14ac:dyDescent="0.25">
      <c r="B3033" s="547">
        <f t="shared" si="134"/>
        <v>2995</v>
      </c>
      <c r="D3033" s="688" t="s">
        <v>6592</v>
      </c>
      <c r="E3033" s="26">
        <v>2000</v>
      </c>
    </row>
    <row r="3034" spans="2:7" ht="15.75" x14ac:dyDescent="0.25">
      <c r="B3034" s="547">
        <f t="shared" si="134"/>
        <v>2996</v>
      </c>
      <c r="D3034" s="688" t="s">
        <v>6593</v>
      </c>
      <c r="E3034" s="26">
        <v>1</v>
      </c>
    </row>
    <row r="3035" spans="2:7" ht="15.75" x14ac:dyDescent="0.25">
      <c r="B3035" s="547">
        <f t="shared" si="134"/>
        <v>2997</v>
      </c>
      <c r="D3035" s="688" t="s">
        <v>6594</v>
      </c>
      <c r="E3035" s="26">
        <v>1</v>
      </c>
    </row>
    <row r="3036" spans="2:7" x14ac:dyDescent="0.25">
      <c r="B3036" s="547">
        <f t="shared" si="134"/>
        <v>2998</v>
      </c>
      <c r="C3036" s="579" t="s">
        <v>5467</v>
      </c>
      <c r="D3036" s="579" t="str">
        <f>DESPORC!D3462</f>
        <v>GESTÃO DO BLOCO FINANCIAMENTO: ATENÇÃO BÁSICA</v>
      </c>
      <c r="E3036" s="580"/>
      <c r="F3036" s="582"/>
      <c r="G3036" s="582"/>
    </row>
    <row r="3037" spans="2:7" ht="15.75" x14ac:dyDescent="0.25">
      <c r="B3037" s="547">
        <f t="shared" si="134"/>
        <v>2999</v>
      </c>
      <c r="D3037" s="688" t="s">
        <v>5500</v>
      </c>
      <c r="E3037" s="26">
        <v>1449.94</v>
      </c>
    </row>
    <row r="3038" spans="2:7" x14ac:dyDescent="0.25">
      <c r="B3038" s="547">
        <f t="shared" si="134"/>
        <v>3000</v>
      </c>
      <c r="C3038" s="579" t="s">
        <v>5471</v>
      </c>
      <c r="D3038" s="579" t="str">
        <f>DESPORC!D3466</f>
        <v>GESTÃO DO BLOCO FINANC.: ATENÇÃO DE M.A.C.A.H.</v>
      </c>
      <c r="E3038" s="580"/>
      <c r="F3038" s="582"/>
      <c r="G3038" s="582"/>
    </row>
    <row r="3039" spans="2:7" ht="15.75" x14ac:dyDescent="0.25">
      <c r="B3039" s="547">
        <f t="shared" si="134"/>
        <v>3001</v>
      </c>
      <c r="D3039" s="688" t="s">
        <v>6596</v>
      </c>
      <c r="E3039" s="26">
        <v>1</v>
      </c>
    </row>
    <row r="3040" spans="2:7" ht="15.75" x14ac:dyDescent="0.25">
      <c r="B3040" s="547">
        <f t="shared" si="134"/>
        <v>3002</v>
      </c>
      <c r="D3040" s="688" t="s">
        <v>5503</v>
      </c>
      <c r="E3040" s="26">
        <v>10000</v>
      </c>
    </row>
    <row r="3041" spans="2:7" ht="15.75" x14ac:dyDescent="0.25">
      <c r="B3041" s="547">
        <f t="shared" si="134"/>
        <v>3003</v>
      </c>
      <c r="D3041" s="688" t="s">
        <v>5504</v>
      </c>
      <c r="E3041" s="26">
        <v>1000</v>
      </c>
    </row>
    <row r="3042" spans="2:7" ht="15.75" x14ac:dyDescent="0.25">
      <c r="B3042" s="547">
        <f t="shared" si="134"/>
        <v>3004</v>
      </c>
      <c r="D3042" s="688" t="s">
        <v>5383</v>
      </c>
      <c r="E3042" s="26">
        <v>10000</v>
      </c>
    </row>
    <row r="3043" spans="2:7" ht="15.75" x14ac:dyDescent="0.25">
      <c r="B3043" s="547">
        <f t="shared" si="134"/>
        <v>3005</v>
      </c>
      <c r="D3043" s="688" t="s">
        <v>6597</v>
      </c>
      <c r="E3043" s="26">
        <f>5000+2242.39</f>
        <v>7242.3899999999994</v>
      </c>
    </row>
    <row r="3044" spans="2:7" ht="15.75" x14ac:dyDescent="0.25">
      <c r="B3044" s="547">
        <f t="shared" si="134"/>
        <v>3006</v>
      </c>
      <c r="D3044" s="688" t="s">
        <v>5505</v>
      </c>
      <c r="E3044" s="26">
        <v>1</v>
      </c>
    </row>
    <row r="3045" spans="2:7" ht="15.75" x14ac:dyDescent="0.25">
      <c r="B3045" s="547">
        <f t="shared" si="134"/>
        <v>3007</v>
      </c>
      <c r="D3045" s="688" t="s">
        <v>5506</v>
      </c>
      <c r="E3045" s="26">
        <v>5000</v>
      </c>
    </row>
    <row r="3046" spans="2:7" ht="15.75" x14ac:dyDescent="0.25">
      <c r="B3046" s="547">
        <f t="shared" si="134"/>
        <v>3008</v>
      </c>
      <c r="D3046" s="688" t="s">
        <v>6595</v>
      </c>
      <c r="E3046" s="26">
        <v>1</v>
      </c>
    </row>
    <row r="3047" spans="2:7" ht="15.75" x14ac:dyDescent="0.25">
      <c r="B3047" s="547">
        <f t="shared" si="134"/>
        <v>3009</v>
      </c>
      <c r="D3047" s="688" t="s">
        <v>5507</v>
      </c>
      <c r="E3047" s="26">
        <v>1</v>
      </c>
    </row>
    <row r="3048" spans="2:7" ht="15.75" x14ac:dyDescent="0.25">
      <c r="B3048" s="547">
        <f t="shared" si="134"/>
        <v>3010</v>
      </c>
      <c r="D3048" s="688" t="s">
        <v>5394</v>
      </c>
      <c r="E3048" s="26">
        <v>1</v>
      </c>
    </row>
    <row r="3049" spans="2:7" ht="15.75" x14ac:dyDescent="0.25">
      <c r="B3049" s="547">
        <f t="shared" si="134"/>
        <v>3011</v>
      </c>
      <c r="D3049" s="688" t="s">
        <v>6555</v>
      </c>
      <c r="E3049" s="26">
        <v>1</v>
      </c>
    </row>
    <row r="3050" spans="2:7" x14ac:dyDescent="0.25">
      <c r="B3050" s="547">
        <f t="shared" si="134"/>
        <v>3012</v>
      </c>
      <c r="C3050" s="579" t="s">
        <v>5471</v>
      </c>
      <c r="D3050" s="579" t="str">
        <f>DESPORC!D3480</f>
        <v>GESTÃO DO BLOCO FINANC.: ATENÇÃO DE M.A.C.A.H.</v>
      </c>
      <c r="E3050" s="580"/>
      <c r="F3050" s="582"/>
      <c r="G3050" s="582"/>
    </row>
    <row r="3051" spans="2:7" ht="15.75" x14ac:dyDescent="0.25">
      <c r="B3051" s="547">
        <f t="shared" si="134"/>
        <v>3013</v>
      </c>
      <c r="D3051" s="688" t="s">
        <v>6897</v>
      </c>
      <c r="E3051" s="26">
        <v>0.01</v>
      </c>
    </row>
    <row r="3052" spans="2:7" ht="15.75" x14ac:dyDescent="0.25">
      <c r="B3052" s="547">
        <f t="shared" si="134"/>
        <v>3014</v>
      </c>
      <c r="D3052" s="688" t="s">
        <v>6898</v>
      </c>
      <c r="E3052" s="26">
        <v>0.01</v>
      </c>
    </row>
    <row r="3053" spans="2:7" ht="15.75" x14ac:dyDescent="0.25">
      <c r="B3053" s="547">
        <f t="shared" si="134"/>
        <v>3015</v>
      </c>
      <c r="D3053" s="688" t="s">
        <v>6899</v>
      </c>
      <c r="E3053" s="26">
        <v>0.01</v>
      </c>
    </row>
    <row r="3054" spans="2:7" ht="15.75" x14ac:dyDescent="0.25">
      <c r="B3054" s="547">
        <f t="shared" si="134"/>
        <v>3016</v>
      </c>
      <c r="D3054" s="688" t="s">
        <v>6900</v>
      </c>
      <c r="E3054" s="26">
        <f>ER!E690-E3051-E3052-E3053-E3055</f>
        <v>1.0040484557497482</v>
      </c>
    </row>
    <row r="3055" spans="2:7" ht="15.75" x14ac:dyDescent="0.25">
      <c r="B3055" s="547">
        <f t="shared" si="134"/>
        <v>3017</v>
      </c>
      <c r="D3055" s="688" t="s">
        <v>6901</v>
      </c>
      <c r="E3055" s="26">
        <v>0.01</v>
      </c>
    </row>
    <row r="3056" spans="2:7" x14ac:dyDescent="0.25">
      <c r="B3056" s="547">
        <f t="shared" si="134"/>
        <v>3018</v>
      </c>
      <c r="C3056" s="579" t="s">
        <v>5475</v>
      </c>
      <c r="D3056" s="579" t="str">
        <f>DESPORC!D3488</f>
        <v>GESTÃO DO BLOCO FINANC.: ASSIST. FARMACÊUTICA</v>
      </c>
      <c r="E3056" s="580"/>
      <c r="F3056" s="582"/>
      <c r="G3056" s="582"/>
    </row>
    <row r="3057" spans="2:7" ht="15.75" x14ac:dyDescent="0.25">
      <c r="B3057" s="547">
        <f t="shared" si="134"/>
        <v>3019</v>
      </c>
      <c r="D3057" s="688" t="s">
        <v>6599</v>
      </c>
      <c r="E3057" s="26">
        <v>0.01</v>
      </c>
    </row>
    <row r="3058" spans="2:7" ht="15.75" x14ac:dyDescent="0.25">
      <c r="B3058" s="547">
        <f t="shared" si="134"/>
        <v>3020</v>
      </c>
      <c r="D3058" s="688" t="s">
        <v>6598</v>
      </c>
      <c r="E3058" s="26">
        <f>ER!E685-E3057</f>
        <v>11094.791107133206</v>
      </c>
    </row>
    <row r="3059" spans="2:7" x14ac:dyDescent="0.25">
      <c r="B3059" s="547">
        <f t="shared" si="134"/>
        <v>3021</v>
      </c>
      <c r="C3059" s="579" t="s">
        <v>5475</v>
      </c>
      <c r="D3059" s="579" t="str">
        <f>DESPORC!D3493</f>
        <v>GESTÃO DO BLOCO FINANC.: ASSIST. FARMACÊUTICA</v>
      </c>
      <c r="E3059" s="580"/>
      <c r="F3059" s="582"/>
      <c r="G3059" s="582"/>
    </row>
    <row r="3060" spans="2:7" ht="15.75" x14ac:dyDescent="0.25">
      <c r="B3060" s="547">
        <f t="shared" si="134"/>
        <v>3022</v>
      </c>
      <c r="D3060" s="688" t="s">
        <v>6600</v>
      </c>
      <c r="E3060" s="26">
        <v>0.01</v>
      </c>
    </row>
    <row r="3061" spans="2:7" ht="15.75" x14ac:dyDescent="0.25">
      <c r="B3061" s="547">
        <f t="shared" si="134"/>
        <v>3023</v>
      </c>
      <c r="D3061" s="688" t="s">
        <v>6601</v>
      </c>
      <c r="E3061" s="26">
        <f>ER!E686-E3060</f>
        <v>11508.39082887221</v>
      </c>
    </row>
    <row r="3062" spans="2:7" x14ac:dyDescent="0.25">
      <c r="B3062" s="547">
        <f t="shared" si="134"/>
        <v>3024</v>
      </c>
      <c r="C3062" s="579" t="s">
        <v>5478</v>
      </c>
      <c r="D3062" s="579" t="str">
        <f>DESPORC!D3498</f>
        <v>GESTÃO DO BLOCO FINANCIAMENTO: VIGILÂNCIA EM SAÚDE</v>
      </c>
      <c r="E3062" s="580"/>
      <c r="F3062" s="582"/>
      <c r="G3062" s="582"/>
    </row>
    <row r="3063" spans="2:7" ht="15.75" x14ac:dyDescent="0.25">
      <c r="B3063" s="547">
        <f t="shared" si="134"/>
        <v>3025</v>
      </c>
      <c r="D3063" s="688" t="s">
        <v>5501</v>
      </c>
      <c r="E3063" s="26">
        <v>0.01</v>
      </c>
    </row>
    <row r="3064" spans="2:7" ht="15.75" x14ac:dyDescent="0.25">
      <c r="B3064" s="547">
        <f t="shared" si="134"/>
        <v>3026</v>
      </c>
      <c r="D3064" s="688" t="s">
        <v>5450</v>
      </c>
      <c r="E3064" s="26">
        <f>ER!E689-E3063-E3065-E3066-E3067-E3068-E3069</f>
        <v>3.1205912952378991</v>
      </c>
    </row>
    <row r="3065" spans="2:7" ht="15.75" x14ac:dyDescent="0.25">
      <c r="B3065" s="547">
        <f t="shared" si="134"/>
        <v>3027</v>
      </c>
      <c r="D3065" s="688" t="s">
        <v>5453</v>
      </c>
      <c r="E3065" s="26">
        <v>0.01</v>
      </c>
    </row>
    <row r="3066" spans="2:7" ht="15.75" x14ac:dyDescent="0.25">
      <c r="B3066" s="547">
        <f t="shared" si="134"/>
        <v>3028</v>
      </c>
      <c r="D3066" s="688" t="s">
        <v>5454</v>
      </c>
      <c r="E3066" s="26">
        <v>0.01</v>
      </c>
    </row>
    <row r="3067" spans="2:7" ht="15.75" x14ac:dyDescent="0.25">
      <c r="B3067" s="547">
        <f t="shared" si="134"/>
        <v>3029</v>
      </c>
      <c r="D3067" s="688" t="s">
        <v>6602</v>
      </c>
      <c r="E3067" s="26">
        <v>0.01</v>
      </c>
    </row>
    <row r="3068" spans="2:7" ht="15.75" x14ac:dyDescent="0.25">
      <c r="B3068" s="547">
        <f t="shared" si="134"/>
        <v>3030</v>
      </c>
      <c r="D3068" s="688" t="s">
        <v>5461</v>
      </c>
      <c r="E3068" s="26">
        <v>0.01</v>
      </c>
    </row>
    <row r="3069" spans="2:7" ht="15.75" x14ac:dyDescent="0.25">
      <c r="B3069" s="547">
        <f t="shared" si="134"/>
        <v>3031</v>
      </c>
      <c r="D3069" s="688" t="s">
        <v>5462</v>
      </c>
      <c r="E3069" s="26">
        <v>0.01</v>
      </c>
    </row>
    <row r="3070" spans="2:7" x14ac:dyDescent="0.25">
      <c r="B3070" s="547">
        <f t="shared" si="134"/>
        <v>3032</v>
      </c>
      <c r="D3070" s="570" t="s">
        <v>5596</v>
      </c>
    </row>
    <row r="3071" spans="2:7" x14ac:dyDescent="0.25">
      <c r="B3071" s="547">
        <f t="shared" si="134"/>
        <v>3033</v>
      </c>
      <c r="C3071" s="579" t="s">
        <v>5464</v>
      </c>
      <c r="D3071" s="579" t="str">
        <f>DESPORC!D3526</f>
        <v>GEST. BLOCO FINAN.: INVEST. EM ATENÇÃO BÁSICA</v>
      </c>
      <c r="E3071" s="580"/>
      <c r="F3071" s="582"/>
      <c r="G3071" s="582"/>
    </row>
    <row r="3072" spans="2:7" ht="15.75" x14ac:dyDescent="0.25">
      <c r="B3072" s="547">
        <f t="shared" si="134"/>
        <v>3034</v>
      </c>
      <c r="D3072" s="688" t="s">
        <v>6603</v>
      </c>
      <c r="E3072" s="26">
        <v>0.01</v>
      </c>
    </row>
    <row r="3073" spans="2:7" ht="15.75" x14ac:dyDescent="0.25">
      <c r="B3073" s="547">
        <f t="shared" si="134"/>
        <v>3035</v>
      </c>
      <c r="D3073" s="688" t="s">
        <v>5597</v>
      </c>
      <c r="E3073" s="26">
        <v>0.01</v>
      </c>
    </row>
    <row r="3074" spans="2:7" ht="15.75" x14ac:dyDescent="0.25">
      <c r="B3074" s="547">
        <f t="shared" si="134"/>
        <v>3036</v>
      </c>
      <c r="D3074" s="688" t="s">
        <v>6604</v>
      </c>
      <c r="E3074" s="26">
        <v>0.01</v>
      </c>
    </row>
    <row r="3075" spans="2:7" ht="15.75" x14ac:dyDescent="0.25">
      <c r="B3075" s="547">
        <f t="shared" si="134"/>
        <v>3037</v>
      </c>
      <c r="D3075" s="688" t="s">
        <v>6605</v>
      </c>
      <c r="E3075" s="26">
        <v>1.0999999999999999E-2</v>
      </c>
    </row>
    <row r="3076" spans="2:7" ht="15.75" x14ac:dyDescent="0.25">
      <c r="B3076" s="547">
        <f t="shared" si="134"/>
        <v>3038</v>
      </c>
      <c r="D3076" s="688" t="s">
        <v>6606</v>
      </c>
      <c r="E3076" s="26">
        <v>0.01</v>
      </c>
    </row>
    <row r="3077" spans="2:7" ht="15.75" x14ac:dyDescent="0.25">
      <c r="B3077" s="547">
        <f t="shared" si="134"/>
        <v>3039</v>
      </c>
      <c r="D3077" s="688" t="s">
        <v>5598</v>
      </c>
      <c r="E3077" s="26">
        <v>0.01</v>
      </c>
    </row>
    <row r="3078" spans="2:7" ht="15.75" x14ac:dyDescent="0.25">
      <c r="B3078" s="547">
        <f t="shared" si="134"/>
        <v>3040</v>
      </c>
      <c r="D3078" s="688" t="s">
        <v>5599</v>
      </c>
      <c r="E3078" s="612">
        <f>ER!E701-E3072-E3073-E3074-E3075-E3076-E3077</f>
        <v>0.93899999999999995</v>
      </c>
    </row>
    <row r="3079" spans="2:7" x14ac:dyDescent="0.25">
      <c r="B3079" s="547">
        <f t="shared" si="134"/>
        <v>3041</v>
      </c>
      <c r="C3079" s="579" t="s">
        <v>5464</v>
      </c>
      <c r="D3079" s="579" t="str">
        <f>DESPORC!D3537</f>
        <v>GEST. BLOCO FINAN.: INVEST. EM ATENÇÃO BÁSICA</v>
      </c>
      <c r="E3079" s="580"/>
      <c r="F3079" s="582"/>
      <c r="G3079" s="582"/>
    </row>
    <row r="3080" spans="2:7" ht="15.75" x14ac:dyDescent="0.25">
      <c r="B3080" s="547">
        <f t="shared" si="134"/>
        <v>3042</v>
      </c>
      <c r="D3080" s="688" t="s">
        <v>6607</v>
      </c>
      <c r="E3080" s="26">
        <v>0.01</v>
      </c>
    </row>
    <row r="3081" spans="2:7" ht="15.75" x14ac:dyDescent="0.25">
      <c r="B3081" s="547">
        <f t="shared" si="134"/>
        <v>3043</v>
      </c>
      <c r="D3081" s="688" t="s">
        <v>6608</v>
      </c>
      <c r="E3081" s="26">
        <v>0.01</v>
      </c>
    </row>
    <row r="3082" spans="2:7" ht="15.75" x14ac:dyDescent="0.25">
      <c r="B3082" s="547">
        <f t="shared" si="134"/>
        <v>3044</v>
      </c>
      <c r="D3082" s="688" t="s">
        <v>6609</v>
      </c>
      <c r="E3082" s="26">
        <v>0.01</v>
      </c>
    </row>
    <row r="3083" spans="2:7" ht="15.75" x14ac:dyDescent="0.25">
      <c r="B3083" s="547">
        <f t="shared" si="134"/>
        <v>3045</v>
      </c>
      <c r="D3083" s="688" t="s">
        <v>6612</v>
      </c>
      <c r="E3083" s="26">
        <v>0.01</v>
      </c>
    </row>
    <row r="3084" spans="2:7" ht="15.75" x14ac:dyDescent="0.25">
      <c r="B3084" s="547">
        <f t="shared" si="134"/>
        <v>3046</v>
      </c>
      <c r="D3084" s="688" t="s">
        <v>6613</v>
      </c>
      <c r="E3084" s="26">
        <v>0.01</v>
      </c>
    </row>
    <row r="3085" spans="2:7" ht="15.75" x14ac:dyDescent="0.25">
      <c r="B3085" s="547">
        <f t="shared" si="134"/>
        <v>3047</v>
      </c>
      <c r="D3085" s="688" t="s">
        <v>6610</v>
      </c>
      <c r="E3085" s="26">
        <v>0.01</v>
      </c>
    </row>
    <row r="3086" spans="2:7" ht="15.75" x14ac:dyDescent="0.25">
      <c r="B3086" s="547">
        <f t="shared" si="134"/>
        <v>3048</v>
      </c>
      <c r="D3086" s="688" t="s">
        <v>6611</v>
      </c>
      <c r="E3086" s="612">
        <f>ER!E700-E3080-E3081-E3082-E3083-E3084-E3085</f>
        <v>0.94</v>
      </c>
    </row>
    <row r="3087" spans="2:7" x14ac:dyDescent="0.25">
      <c r="B3087" s="547">
        <f t="shared" si="134"/>
        <v>3049</v>
      </c>
      <c r="C3087" s="579" t="s">
        <v>5464</v>
      </c>
      <c r="D3087" s="579" t="str">
        <f>DESPORC!D3548</f>
        <v>GEST. BLOCO FINAN.: INVEST. EM ATENÇÃO BÁSICA</v>
      </c>
      <c r="E3087" s="580"/>
      <c r="F3087" s="582"/>
      <c r="G3087" s="582"/>
    </row>
    <row r="3088" spans="2:7" ht="15.75" x14ac:dyDescent="0.25">
      <c r="B3088" s="547">
        <f t="shared" si="134"/>
        <v>3050</v>
      </c>
      <c r="D3088" s="688" t="s">
        <v>5514</v>
      </c>
      <c r="E3088" s="26">
        <v>0.01</v>
      </c>
    </row>
    <row r="3089" spans="2:7" ht="15.75" x14ac:dyDescent="0.25">
      <c r="B3089" s="547">
        <f t="shared" ref="B3089:B3152" si="135">B3088+1</f>
        <v>3051</v>
      </c>
      <c r="D3089" s="688" t="s">
        <v>5515</v>
      </c>
      <c r="E3089" s="26">
        <v>0.01</v>
      </c>
    </row>
    <row r="3090" spans="2:7" ht="15.75" x14ac:dyDescent="0.25">
      <c r="B3090" s="547">
        <f t="shared" si="135"/>
        <v>3052</v>
      </c>
      <c r="D3090" s="688" t="s">
        <v>5516</v>
      </c>
      <c r="E3090" s="26">
        <v>0.01</v>
      </c>
    </row>
    <row r="3091" spans="2:7" ht="15.75" x14ac:dyDescent="0.25">
      <c r="B3091" s="547">
        <f t="shared" si="135"/>
        <v>3053</v>
      </c>
      <c r="D3091" s="688" t="s">
        <v>6614</v>
      </c>
      <c r="E3091" s="26">
        <v>0.01</v>
      </c>
    </row>
    <row r="3092" spans="2:7" ht="15.75" x14ac:dyDescent="0.25">
      <c r="B3092" s="547">
        <f t="shared" si="135"/>
        <v>3054</v>
      </c>
      <c r="D3092" s="688" t="s">
        <v>6615</v>
      </c>
      <c r="E3092" s="26">
        <v>0.01</v>
      </c>
    </row>
    <row r="3093" spans="2:7" ht="15.75" x14ac:dyDescent="0.25">
      <c r="B3093" s="547">
        <f t="shared" si="135"/>
        <v>3055</v>
      </c>
      <c r="D3093" s="688" t="s">
        <v>5600</v>
      </c>
      <c r="E3093" s="26">
        <v>0.01</v>
      </c>
    </row>
    <row r="3094" spans="2:7" ht="15.75" x14ac:dyDescent="0.25">
      <c r="B3094" s="547">
        <f t="shared" si="135"/>
        <v>3056</v>
      </c>
      <c r="D3094" s="688" t="s">
        <v>5508</v>
      </c>
      <c r="E3094" s="26">
        <v>0.01</v>
      </c>
    </row>
    <row r="3095" spans="2:7" ht="15.75" x14ac:dyDescent="0.25">
      <c r="B3095" s="547">
        <f t="shared" si="135"/>
        <v>3057</v>
      </c>
      <c r="D3095" s="688" t="s">
        <v>6616</v>
      </c>
      <c r="E3095" s="26">
        <v>0.01</v>
      </c>
    </row>
    <row r="3096" spans="2:7" ht="15.75" x14ac:dyDescent="0.25">
      <c r="B3096" s="547">
        <f t="shared" si="135"/>
        <v>3058</v>
      </c>
      <c r="D3096" s="688" t="s">
        <v>6617</v>
      </c>
      <c r="E3096" s="26">
        <f>ER!E702-E3088-E3089-E3090-E3091-E3092-E3093</f>
        <v>4.9400000000000013</v>
      </c>
    </row>
    <row r="3097" spans="2:7" x14ac:dyDescent="0.25">
      <c r="B3097" s="547">
        <f t="shared" si="135"/>
        <v>3059</v>
      </c>
      <c r="C3097" s="579" t="s">
        <v>5464</v>
      </c>
      <c r="D3097" s="579" t="str">
        <f>DESPORC!D3560</f>
        <v>GEST. BLOCO FINAN.: INVEST. EM ATENÇÃO BÁSICA</v>
      </c>
      <c r="E3097" s="580"/>
      <c r="F3097" s="582"/>
      <c r="G3097" s="582"/>
    </row>
    <row r="3098" spans="2:7" ht="15.75" x14ac:dyDescent="0.25">
      <c r="B3098" s="547">
        <f t="shared" si="135"/>
        <v>3060</v>
      </c>
      <c r="D3098" s="688" t="s">
        <v>6620</v>
      </c>
      <c r="E3098" s="612">
        <v>0.01</v>
      </c>
    </row>
    <row r="3099" spans="2:7" ht="15.75" x14ac:dyDescent="0.25">
      <c r="B3099" s="547">
        <f t="shared" si="135"/>
        <v>3061</v>
      </c>
      <c r="D3099" s="688" t="s">
        <v>6618</v>
      </c>
      <c r="E3099" s="612">
        <v>0.01</v>
      </c>
    </row>
    <row r="3100" spans="2:7" ht="15.75" x14ac:dyDescent="0.25">
      <c r="B3100" s="547">
        <f t="shared" si="135"/>
        <v>3062</v>
      </c>
      <c r="D3100" s="688" t="s">
        <v>6621</v>
      </c>
      <c r="E3100" s="612">
        <v>0.01</v>
      </c>
    </row>
    <row r="3101" spans="2:7" ht="15.75" x14ac:dyDescent="0.25">
      <c r="B3101" s="547">
        <f t="shared" si="135"/>
        <v>3063</v>
      </c>
      <c r="D3101" s="688" t="s">
        <v>6622</v>
      </c>
      <c r="E3101" s="612">
        <v>0.01</v>
      </c>
    </row>
    <row r="3102" spans="2:7" ht="15.75" x14ac:dyDescent="0.25">
      <c r="B3102" s="547">
        <f t="shared" si="135"/>
        <v>3064</v>
      </c>
      <c r="D3102" s="688" t="s">
        <v>6619</v>
      </c>
      <c r="E3102" s="612">
        <v>0.01</v>
      </c>
    </row>
    <row r="3103" spans="2:7" ht="15.75" x14ac:dyDescent="0.25">
      <c r="B3103" s="547">
        <f t="shared" si="135"/>
        <v>3065</v>
      </c>
      <c r="D3103" s="688" t="s">
        <v>6623</v>
      </c>
      <c r="E3103" s="612">
        <f>ER!E697-E3098-E3099-E3100-E3101-E3102</f>
        <v>1.95</v>
      </c>
    </row>
    <row r="3104" spans="2:7" x14ac:dyDescent="0.25">
      <c r="B3104" s="547">
        <f t="shared" si="135"/>
        <v>3066</v>
      </c>
      <c r="C3104" s="579" t="s">
        <v>5465</v>
      </c>
      <c r="D3104" s="579" t="str">
        <f>DESPORC!D3569</f>
        <v>GEST. BLOCO FINAN.: INVEST. EM ASSIST. HOSP. E AMBUL. - MÉDIA E ALTA COMPLEXIDADE</v>
      </c>
      <c r="E3104" s="580"/>
      <c r="F3104" s="582"/>
      <c r="G3104" s="582"/>
    </row>
    <row r="3105" spans="2:7" ht="15.75" x14ac:dyDescent="0.25">
      <c r="B3105" s="547">
        <f t="shared" si="135"/>
        <v>3067</v>
      </c>
      <c r="D3105" s="688" t="s">
        <v>6628</v>
      </c>
      <c r="E3105" s="612">
        <v>0.01</v>
      </c>
    </row>
    <row r="3106" spans="2:7" ht="15.75" x14ac:dyDescent="0.25">
      <c r="B3106" s="547">
        <f t="shared" si="135"/>
        <v>3068</v>
      </c>
      <c r="D3106" s="688" t="s">
        <v>6627</v>
      </c>
      <c r="E3106" s="612">
        <v>0.01</v>
      </c>
    </row>
    <row r="3107" spans="2:7" ht="15.75" x14ac:dyDescent="0.25">
      <c r="B3107" s="547">
        <f t="shared" si="135"/>
        <v>3069</v>
      </c>
      <c r="D3107" s="688" t="s">
        <v>6626</v>
      </c>
      <c r="E3107" s="612">
        <v>0.01</v>
      </c>
    </row>
    <row r="3108" spans="2:7" ht="15.75" x14ac:dyDescent="0.25">
      <c r="B3108" s="547">
        <f t="shared" si="135"/>
        <v>3070</v>
      </c>
      <c r="D3108" s="688" t="s">
        <v>6629</v>
      </c>
      <c r="E3108" s="612">
        <v>0.01</v>
      </c>
    </row>
    <row r="3109" spans="2:7" ht="15.75" x14ac:dyDescent="0.25">
      <c r="B3109" s="547">
        <f t="shared" si="135"/>
        <v>3071</v>
      </c>
      <c r="D3109" s="688" t="s">
        <v>6624</v>
      </c>
      <c r="E3109" s="612">
        <v>0.01</v>
      </c>
    </row>
    <row r="3110" spans="2:7" ht="15.75" x14ac:dyDescent="0.25">
      <c r="B3110" s="547">
        <f t="shared" si="135"/>
        <v>3072</v>
      </c>
      <c r="D3110" s="688" t="s">
        <v>6625</v>
      </c>
      <c r="E3110" s="612">
        <f>ER!E698-E3105-E3106-E3107-E3108-E3109</f>
        <v>0.95</v>
      </c>
    </row>
    <row r="3111" spans="2:7" x14ac:dyDescent="0.25">
      <c r="B3111" s="547">
        <f t="shared" si="135"/>
        <v>3073</v>
      </c>
      <c r="C3111" s="579" t="s">
        <v>5466</v>
      </c>
      <c r="D3111" s="579" t="str">
        <f>DESPORC!D3578</f>
        <v>GEST. BLOCO FINAN.: INVEST. EM VIGILÂNCIA EM SAÚDE</v>
      </c>
      <c r="E3111" s="580"/>
      <c r="F3111" s="582"/>
      <c r="G3111" s="582"/>
    </row>
    <row r="3112" spans="2:7" ht="15.75" x14ac:dyDescent="0.25">
      <c r="B3112" s="547">
        <f t="shared" si="135"/>
        <v>3074</v>
      </c>
      <c r="D3112" s="688" t="s">
        <v>6630</v>
      </c>
      <c r="E3112" s="612">
        <v>0.01</v>
      </c>
    </row>
    <row r="3113" spans="2:7" ht="15.75" x14ac:dyDescent="0.25">
      <c r="B3113" s="547">
        <f t="shared" si="135"/>
        <v>3075</v>
      </c>
      <c r="D3113" s="688" t="s">
        <v>6631</v>
      </c>
      <c r="E3113" s="612">
        <v>0.01</v>
      </c>
    </row>
    <row r="3114" spans="2:7" ht="15.75" x14ac:dyDescent="0.25">
      <c r="B3114" s="547">
        <f t="shared" si="135"/>
        <v>3076</v>
      </c>
      <c r="D3114" s="688" t="s">
        <v>6632</v>
      </c>
      <c r="E3114" s="612">
        <v>0.01</v>
      </c>
    </row>
    <row r="3115" spans="2:7" ht="15.75" x14ac:dyDescent="0.25">
      <c r="B3115" s="547">
        <f t="shared" si="135"/>
        <v>3077</v>
      </c>
      <c r="D3115" s="688" t="s">
        <v>6633</v>
      </c>
      <c r="E3115" s="612">
        <v>0.01</v>
      </c>
    </row>
    <row r="3116" spans="2:7" ht="15.75" x14ac:dyDescent="0.25">
      <c r="B3116" s="547">
        <f t="shared" si="135"/>
        <v>3078</v>
      </c>
      <c r="D3116" s="688" t="s">
        <v>6634</v>
      </c>
      <c r="E3116" s="612">
        <v>0.01</v>
      </c>
    </row>
    <row r="3117" spans="2:7" ht="15.75" x14ac:dyDescent="0.25">
      <c r="B3117" s="547">
        <f t="shared" si="135"/>
        <v>3079</v>
      </c>
      <c r="D3117" s="688" t="s">
        <v>6635</v>
      </c>
      <c r="E3117" s="612">
        <f>ER!E699-E3112-E3113-E3114-E3115-E3116</f>
        <v>0.95</v>
      </c>
    </row>
    <row r="3118" spans="2:7" x14ac:dyDescent="0.25">
      <c r="B3118" s="547">
        <f t="shared" si="135"/>
        <v>3080</v>
      </c>
      <c r="C3118" s="579" t="s">
        <v>5601</v>
      </c>
      <c r="D3118" s="579" t="str">
        <f>DESPORC!D3587</f>
        <v>Gestão do Bloco Financiamento: Gestão do SUS</v>
      </c>
      <c r="E3118" s="580"/>
      <c r="F3118" s="582"/>
      <c r="G3118" s="582"/>
    </row>
    <row r="3119" spans="2:7" ht="15.75" x14ac:dyDescent="0.25">
      <c r="B3119" s="547">
        <f t="shared" si="135"/>
        <v>3081</v>
      </c>
      <c r="D3119" s="688" t="s">
        <v>6830</v>
      </c>
      <c r="E3119" s="612">
        <v>0.01</v>
      </c>
    </row>
    <row r="3120" spans="2:7" ht="15.75" x14ac:dyDescent="0.25">
      <c r="B3120" s="547">
        <f t="shared" si="135"/>
        <v>3082</v>
      </c>
      <c r="D3120" s="688" t="s">
        <v>6831</v>
      </c>
      <c r="E3120" s="612">
        <v>0.01</v>
      </c>
    </row>
    <row r="3121" spans="2:7" ht="15.75" x14ac:dyDescent="0.25">
      <c r="B3121" s="547">
        <f t="shared" si="135"/>
        <v>3083</v>
      </c>
      <c r="D3121" s="688" t="s">
        <v>6832</v>
      </c>
      <c r="E3121" s="612">
        <v>0.01</v>
      </c>
    </row>
    <row r="3122" spans="2:7" ht="15.75" x14ac:dyDescent="0.25">
      <c r="B3122" s="547">
        <f t="shared" si="135"/>
        <v>3084</v>
      </c>
      <c r="D3122" s="688" t="s">
        <v>6833</v>
      </c>
      <c r="E3122" s="612">
        <v>0.01</v>
      </c>
    </row>
    <row r="3123" spans="2:7" ht="15.75" x14ac:dyDescent="0.25">
      <c r="B3123" s="547">
        <f t="shared" si="135"/>
        <v>3085</v>
      </c>
      <c r="D3123" s="688" t="s">
        <v>6834</v>
      </c>
      <c r="E3123" s="612">
        <v>0.01</v>
      </c>
    </row>
    <row r="3124" spans="2:7" ht="15.75" x14ac:dyDescent="0.25">
      <c r="B3124" s="547">
        <f t="shared" si="135"/>
        <v>3086</v>
      </c>
      <c r="D3124" s="688" t="s">
        <v>6835</v>
      </c>
      <c r="E3124" s="612">
        <v>0.01</v>
      </c>
    </row>
    <row r="3125" spans="2:7" ht="15.75" x14ac:dyDescent="0.25">
      <c r="B3125" s="547">
        <f t="shared" si="135"/>
        <v>3087</v>
      </c>
      <c r="D3125" s="688" t="s">
        <v>6836</v>
      </c>
      <c r="E3125" s="612">
        <f>ER!E696-E3119-E3120-E3121-E3122-E3123-E3124</f>
        <v>1.0522248199102067</v>
      </c>
    </row>
    <row r="3126" spans="2:7" x14ac:dyDescent="0.25">
      <c r="B3126" s="547">
        <f t="shared" si="135"/>
        <v>3088</v>
      </c>
      <c r="C3126" s="579" t="s">
        <v>5467</v>
      </c>
      <c r="D3126" s="579" t="str">
        <f>DESPORC!D3597</f>
        <v>Gestão do Bloco Financiamento: Atenção Básica</v>
      </c>
      <c r="E3126" s="580"/>
      <c r="F3126" s="582"/>
      <c r="G3126" s="582"/>
    </row>
    <row r="3127" spans="2:7" ht="15.75" x14ac:dyDescent="0.25">
      <c r="B3127" s="547">
        <f t="shared" si="135"/>
        <v>3089</v>
      </c>
      <c r="D3127" s="688" t="s">
        <v>5529</v>
      </c>
      <c r="E3127" s="612">
        <v>20000</v>
      </c>
    </row>
    <row r="3128" spans="2:7" ht="15.75" x14ac:dyDescent="0.25">
      <c r="B3128" s="547">
        <f t="shared" si="135"/>
        <v>3090</v>
      </c>
      <c r="D3128" s="688" t="s">
        <v>5530</v>
      </c>
      <c r="E3128" s="612">
        <v>50000</v>
      </c>
    </row>
    <row r="3129" spans="2:7" ht="15.75" x14ac:dyDescent="0.25">
      <c r="B3129" s="547">
        <f t="shared" si="135"/>
        <v>3091</v>
      </c>
      <c r="D3129" s="688" t="s">
        <v>7766</v>
      </c>
      <c r="E3129" s="612">
        <v>50000</v>
      </c>
    </row>
    <row r="3130" spans="2:7" ht="15.75" x14ac:dyDescent="0.25">
      <c r="B3130" s="547">
        <f t="shared" si="135"/>
        <v>3092</v>
      </c>
      <c r="D3130" s="688" t="s">
        <v>5531</v>
      </c>
      <c r="E3130" s="612">
        <v>50000</v>
      </c>
    </row>
    <row r="3131" spans="2:7" ht="15.75" x14ac:dyDescent="0.25">
      <c r="B3131" s="547">
        <f t="shared" si="135"/>
        <v>3093</v>
      </c>
      <c r="D3131" s="688" t="s">
        <v>5532</v>
      </c>
      <c r="E3131" s="612">
        <f>100000+319.97</f>
        <v>100319.97</v>
      </c>
    </row>
    <row r="3132" spans="2:7" ht="31.5" x14ac:dyDescent="0.25">
      <c r="B3132" s="547">
        <f t="shared" si="135"/>
        <v>3094</v>
      </c>
      <c r="D3132" s="688" t="s">
        <v>5533</v>
      </c>
      <c r="E3132" s="612">
        <v>10000</v>
      </c>
    </row>
    <row r="3133" spans="2:7" ht="15.75" x14ac:dyDescent="0.25">
      <c r="B3133" s="547">
        <f t="shared" si="135"/>
        <v>3095</v>
      </c>
      <c r="D3133" s="688" t="s">
        <v>5534</v>
      </c>
      <c r="E3133" s="612">
        <v>0.01</v>
      </c>
    </row>
    <row r="3134" spans="2:7" ht="15.75" x14ac:dyDescent="0.25">
      <c r="B3134" s="547">
        <f t="shared" si="135"/>
        <v>3096</v>
      </c>
      <c r="D3134" s="688" t="s">
        <v>5535</v>
      </c>
      <c r="E3134" s="612">
        <f>ER!E692-E3127-E3128-E3129-E3130-E3131-E3132-E3133</f>
        <v>19097.046571926079</v>
      </c>
    </row>
    <row r="3135" spans="2:7" x14ac:dyDescent="0.25">
      <c r="B3135" s="547">
        <f t="shared" si="135"/>
        <v>3097</v>
      </c>
      <c r="C3135" s="579" t="s">
        <v>5471</v>
      </c>
      <c r="D3135" s="579" t="str">
        <f>DESPORC!D3608</f>
        <v>GESTÃO DO BLOCO FINANC.: ATENÇÃO DE M.A.C.A.H.</v>
      </c>
      <c r="E3135" s="580"/>
      <c r="F3135" s="582"/>
      <c r="G3135" s="582"/>
    </row>
    <row r="3136" spans="2:7" ht="15.75" x14ac:dyDescent="0.25">
      <c r="B3136" s="547">
        <f t="shared" si="135"/>
        <v>3098</v>
      </c>
      <c r="D3136" s="688" t="s">
        <v>6640</v>
      </c>
      <c r="E3136" s="612">
        <v>0.01</v>
      </c>
    </row>
    <row r="3137" spans="2:7" ht="15.75" x14ac:dyDescent="0.25">
      <c r="B3137" s="547">
        <f t="shared" si="135"/>
        <v>3099</v>
      </c>
      <c r="D3137" s="688" t="s">
        <v>5503</v>
      </c>
      <c r="E3137" s="612">
        <v>0.01</v>
      </c>
    </row>
    <row r="3138" spans="2:7" ht="15.75" x14ac:dyDescent="0.25">
      <c r="B3138" s="547">
        <f t="shared" si="135"/>
        <v>3100</v>
      </c>
      <c r="D3138" s="688" t="s">
        <v>5504</v>
      </c>
      <c r="E3138" s="612">
        <v>0.01</v>
      </c>
    </row>
    <row r="3139" spans="2:7" ht="15.75" x14ac:dyDescent="0.25">
      <c r="B3139" s="547">
        <f t="shared" si="135"/>
        <v>3101</v>
      </c>
      <c r="D3139" s="688" t="s">
        <v>5383</v>
      </c>
      <c r="E3139" s="612">
        <v>0.01</v>
      </c>
    </row>
    <row r="3140" spans="2:7" ht="15.75" x14ac:dyDescent="0.25">
      <c r="B3140" s="547">
        <f t="shared" si="135"/>
        <v>3102</v>
      </c>
      <c r="D3140" s="688" t="s">
        <v>5505</v>
      </c>
      <c r="E3140" s="612">
        <v>0.01</v>
      </c>
    </row>
    <row r="3141" spans="2:7" ht="15.75" x14ac:dyDescent="0.25">
      <c r="B3141" s="547">
        <f t="shared" si="135"/>
        <v>3103</v>
      </c>
      <c r="D3141" s="688" t="s">
        <v>5506</v>
      </c>
      <c r="E3141" s="612">
        <v>0.01</v>
      </c>
    </row>
    <row r="3142" spans="2:7" ht="15.75" x14ac:dyDescent="0.25">
      <c r="B3142" s="547">
        <f t="shared" si="135"/>
        <v>3104</v>
      </c>
      <c r="D3142" s="688" t="s">
        <v>6641</v>
      </c>
      <c r="E3142" s="612">
        <v>0.01</v>
      </c>
    </row>
    <row r="3143" spans="2:7" ht="15.75" x14ac:dyDescent="0.25">
      <c r="B3143" s="547">
        <f t="shared" si="135"/>
        <v>3105</v>
      </c>
      <c r="D3143" s="688" t="s">
        <v>5394</v>
      </c>
      <c r="E3143" s="612">
        <v>0.01</v>
      </c>
    </row>
    <row r="3144" spans="2:7" ht="15.75" x14ac:dyDescent="0.25">
      <c r="B3144" s="547">
        <f t="shared" si="135"/>
        <v>3106</v>
      </c>
      <c r="D3144" s="688" t="s">
        <v>6555</v>
      </c>
      <c r="E3144" s="612">
        <f>ER!E693-E3136-E3137-E3138-E3139-E3140-E3141-E3142-E3143</f>
        <v>1.0322248199102066</v>
      </c>
    </row>
    <row r="3145" spans="2:7" x14ac:dyDescent="0.25">
      <c r="B3145" s="547">
        <f t="shared" si="135"/>
        <v>3107</v>
      </c>
      <c r="C3145" s="579" t="s">
        <v>5475</v>
      </c>
      <c r="D3145" s="579" t="str">
        <f>DESPORC!D3621</f>
        <v>Gestão do Bloco Financiamento: Assistência Farmacêutica</v>
      </c>
      <c r="E3145" s="580"/>
      <c r="F3145" s="582"/>
      <c r="G3145" s="582"/>
    </row>
    <row r="3146" spans="2:7" ht="15.75" x14ac:dyDescent="0.25">
      <c r="B3146" s="547">
        <f t="shared" si="135"/>
        <v>3108</v>
      </c>
      <c r="D3146" s="688" t="s">
        <v>5428</v>
      </c>
      <c r="E3146" s="612">
        <f>ER!E695-E3147</f>
        <v>7493.4127718117488</v>
      </c>
    </row>
    <row r="3147" spans="2:7" ht="15.75" x14ac:dyDescent="0.25">
      <c r="B3147" s="547">
        <f t="shared" si="135"/>
        <v>3109</v>
      </c>
      <c r="D3147" s="688" t="s">
        <v>5476</v>
      </c>
      <c r="E3147" s="612">
        <v>25000</v>
      </c>
    </row>
    <row r="3148" spans="2:7" x14ac:dyDescent="0.25">
      <c r="B3148" s="547">
        <f t="shared" si="135"/>
        <v>3110</v>
      </c>
      <c r="C3148" s="579" t="s">
        <v>5478</v>
      </c>
      <c r="D3148" s="579" t="str">
        <f>DESPORC!D3628</f>
        <v>Gestão do Bloco Financiamento: Vigilância em Saúde</v>
      </c>
      <c r="E3148" s="580"/>
      <c r="F3148" s="582"/>
      <c r="G3148" s="582"/>
    </row>
    <row r="3149" spans="2:7" ht="15.75" x14ac:dyDescent="0.25">
      <c r="B3149" s="547">
        <f t="shared" si="135"/>
        <v>3111</v>
      </c>
      <c r="D3149" s="688" t="s">
        <v>5397</v>
      </c>
      <c r="E3149" s="612">
        <v>0.01</v>
      </c>
    </row>
    <row r="3150" spans="2:7" ht="15.75" x14ac:dyDescent="0.25">
      <c r="B3150" s="547">
        <f t="shared" si="135"/>
        <v>3112</v>
      </c>
      <c r="D3150" s="689" t="s">
        <v>5398</v>
      </c>
      <c r="E3150" s="612">
        <v>0.01</v>
      </c>
    </row>
    <row r="3151" spans="2:7" ht="15.75" x14ac:dyDescent="0.25">
      <c r="B3151" s="547">
        <f t="shared" si="135"/>
        <v>3113</v>
      </c>
      <c r="D3151" s="688" t="s">
        <v>6643</v>
      </c>
      <c r="E3151" s="612">
        <v>1.0999999999999999E-2</v>
      </c>
    </row>
    <row r="3152" spans="2:7" ht="15.75" x14ac:dyDescent="0.25">
      <c r="B3152" s="547">
        <f t="shared" si="135"/>
        <v>3114</v>
      </c>
      <c r="D3152" s="688" t="s">
        <v>5400</v>
      </c>
      <c r="E3152" s="612">
        <v>0.01</v>
      </c>
    </row>
    <row r="3153" spans="2:5" ht="15.75" x14ac:dyDescent="0.25">
      <c r="B3153" s="547">
        <f t="shared" ref="B3153:B3216" si="136">B3152+1</f>
        <v>3115</v>
      </c>
      <c r="D3153" s="688" t="s">
        <v>5401</v>
      </c>
      <c r="E3153" s="612">
        <v>0.01</v>
      </c>
    </row>
    <row r="3154" spans="2:5" ht="15.75" x14ac:dyDescent="0.25">
      <c r="B3154" s="547">
        <f t="shared" si="136"/>
        <v>3116</v>
      </c>
      <c r="D3154" s="688" t="s">
        <v>6644</v>
      </c>
      <c r="E3154" s="612">
        <v>1.0999999999999999E-2</v>
      </c>
    </row>
    <row r="3155" spans="2:5" ht="15.75" x14ac:dyDescent="0.25">
      <c r="B3155" s="547">
        <f t="shared" si="136"/>
        <v>3117</v>
      </c>
      <c r="D3155" s="688" t="s">
        <v>5403</v>
      </c>
      <c r="E3155" s="612">
        <v>1.0999999999999999E-2</v>
      </c>
    </row>
    <row r="3156" spans="2:5" ht="15.75" x14ac:dyDescent="0.25">
      <c r="B3156" s="547">
        <f t="shared" si="136"/>
        <v>3118</v>
      </c>
      <c r="D3156" s="688" t="s">
        <v>5404</v>
      </c>
      <c r="E3156" s="612">
        <v>1500</v>
      </c>
    </row>
    <row r="3157" spans="2:5" ht="15.75" x14ac:dyDescent="0.25">
      <c r="B3157" s="547">
        <f t="shared" si="136"/>
        <v>3119</v>
      </c>
      <c r="D3157" s="688" t="s">
        <v>5405</v>
      </c>
      <c r="E3157" s="612">
        <f>ER!E694-E3149-E3151-E3152-E3153-E3154-E3155-E3156-E3158-E3159-E3160-E3161-E3162-E3163-E3164-E3165-E3166-E3167-E3168-E3169-E3170</f>
        <v>31197.420903675684</v>
      </c>
    </row>
    <row r="3158" spans="2:5" ht="15.75" x14ac:dyDescent="0.25">
      <c r="B3158" s="547">
        <f t="shared" si="136"/>
        <v>3120</v>
      </c>
      <c r="D3158" s="688" t="s">
        <v>5477</v>
      </c>
      <c r="E3158" s="612">
        <v>0.01</v>
      </c>
    </row>
    <row r="3159" spans="2:5" ht="15.75" x14ac:dyDescent="0.25">
      <c r="B3159" s="547">
        <f t="shared" si="136"/>
        <v>3121</v>
      </c>
      <c r="D3159" s="688" t="s">
        <v>5406</v>
      </c>
      <c r="E3159" s="612">
        <v>0.01</v>
      </c>
    </row>
    <row r="3160" spans="2:5" ht="15.75" x14ac:dyDescent="0.25">
      <c r="B3160" s="547">
        <f t="shared" si="136"/>
        <v>3122</v>
      </c>
      <c r="D3160" s="688" t="s">
        <v>5407</v>
      </c>
      <c r="E3160" s="612">
        <v>0.01</v>
      </c>
    </row>
    <row r="3161" spans="2:5" ht="15.75" x14ac:dyDescent="0.25">
      <c r="B3161" s="547">
        <f t="shared" si="136"/>
        <v>3123</v>
      </c>
      <c r="D3161" s="688" t="s">
        <v>5408</v>
      </c>
      <c r="E3161" s="612">
        <v>0.01</v>
      </c>
    </row>
    <row r="3162" spans="2:5" ht="15.75" x14ac:dyDescent="0.25">
      <c r="B3162" s="547">
        <f t="shared" si="136"/>
        <v>3124</v>
      </c>
      <c r="D3162" s="688" t="s">
        <v>5409</v>
      </c>
      <c r="E3162" s="612">
        <v>5000</v>
      </c>
    </row>
    <row r="3163" spans="2:5" ht="15.75" x14ac:dyDescent="0.25">
      <c r="B3163" s="547">
        <f t="shared" si="136"/>
        <v>3125</v>
      </c>
      <c r="D3163" s="688" t="s">
        <v>5410</v>
      </c>
      <c r="E3163" s="612">
        <v>1.0999999999999999E-2</v>
      </c>
    </row>
    <row r="3164" spans="2:5" ht="15.75" x14ac:dyDescent="0.25">
      <c r="B3164" s="547">
        <f t="shared" si="136"/>
        <v>3126</v>
      </c>
      <c r="D3164" s="688" t="s">
        <v>6642</v>
      </c>
      <c r="E3164" s="612">
        <v>0.01</v>
      </c>
    </row>
    <row r="3165" spans="2:5" ht="15.75" x14ac:dyDescent="0.25">
      <c r="B3165" s="547">
        <f t="shared" si="136"/>
        <v>3127</v>
      </c>
      <c r="D3165" s="688" t="s">
        <v>5412</v>
      </c>
      <c r="E3165" s="612">
        <v>0.01</v>
      </c>
    </row>
    <row r="3166" spans="2:5" ht="15.75" x14ac:dyDescent="0.25">
      <c r="B3166" s="547">
        <f t="shared" si="136"/>
        <v>3128</v>
      </c>
      <c r="D3166" s="688" t="s">
        <v>5413</v>
      </c>
      <c r="E3166" s="612">
        <v>0.01</v>
      </c>
    </row>
    <row r="3167" spans="2:5" ht="15.75" x14ac:dyDescent="0.25">
      <c r="B3167" s="547">
        <f t="shared" si="136"/>
        <v>3129</v>
      </c>
      <c r="D3167" s="688" t="s">
        <v>5414</v>
      </c>
      <c r="E3167" s="612">
        <v>0.01</v>
      </c>
    </row>
    <row r="3168" spans="2:5" ht="15.75" x14ac:dyDescent="0.25">
      <c r="B3168" s="547">
        <f t="shared" si="136"/>
        <v>3130</v>
      </c>
      <c r="D3168" s="688" t="s">
        <v>5415</v>
      </c>
      <c r="E3168" s="612">
        <v>0.01</v>
      </c>
    </row>
    <row r="3169" spans="2:7" ht="15.75" x14ac:dyDescent="0.25">
      <c r="B3169" s="547">
        <f t="shared" si="136"/>
        <v>3131</v>
      </c>
      <c r="D3169" s="688" t="s">
        <v>5416</v>
      </c>
      <c r="E3169" s="612">
        <v>0.01</v>
      </c>
    </row>
    <row r="3170" spans="2:7" ht="15.75" x14ac:dyDescent="0.25">
      <c r="B3170" s="547">
        <f t="shared" si="136"/>
        <v>3132</v>
      </c>
      <c r="D3170" s="688" t="s">
        <v>5417</v>
      </c>
      <c r="E3170" s="612">
        <v>0.01</v>
      </c>
    </row>
    <row r="3171" spans="2:7" ht="15.75" x14ac:dyDescent="0.25">
      <c r="B3171" s="547">
        <f t="shared" si="136"/>
        <v>3133</v>
      </c>
      <c r="D3171" s="632" t="s">
        <v>5602</v>
      </c>
      <c r="E3171" s="612"/>
    </row>
    <row r="3172" spans="2:7" x14ac:dyDescent="0.25">
      <c r="B3172" s="547">
        <f t="shared" si="136"/>
        <v>3134</v>
      </c>
      <c r="C3172" s="579" t="s">
        <v>5603</v>
      </c>
      <c r="D3172" s="579" t="str">
        <f>DESPORC!D3674</f>
        <v>NOVOS INVESTIMENTOS EM ASSISTENCIA SOCIAL</v>
      </c>
      <c r="E3172" s="580"/>
      <c r="F3172" s="582"/>
      <c r="G3172" s="582"/>
    </row>
    <row r="3173" spans="2:7" x14ac:dyDescent="0.25">
      <c r="B3173" s="547">
        <f t="shared" si="136"/>
        <v>3135</v>
      </c>
      <c r="D3173" s="624" t="s">
        <v>4601</v>
      </c>
      <c r="E3173" s="612">
        <v>0.01</v>
      </c>
    </row>
    <row r="3174" spans="2:7" x14ac:dyDescent="0.25">
      <c r="B3174" s="547">
        <f t="shared" si="136"/>
        <v>3136</v>
      </c>
      <c r="D3174" s="624" t="s">
        <v>3562</v>
      </c>
      <c r="E3174" s="612">
        <v>0.01</v>
      </c>
    </row>
    <row r="3175" spans="2:7" x14ac:dyDescent="0.25">
      <c r="B3175" s="547">
        <f t="shared" si="136"/>
        <v>3137</v>
      </c>
      <c r="D3175" s="624" t="s">
        <v>4161</v>
      </c>
      <c r="E3175" s="612">
        <v>0.01</v>
      </c>
    </row>
    <row r="3176" spans="2:7" x14ac:dyDescent="0.25">
      <c r="B3176" s="547">
        <f t="shared" si="136"/>
        <v>3138</v>
      </c>
      <c r="D3176" s="624" t="s">
        <v>4165</v>
      </c>
      <c r="E3176" s="612">
        <v>0.01</v>
      </c>
    </row>
    <row r="3177" spans="2:7" x14ac:dyDescent="0.25">
      <c r="B3177" s="547">
        <f t="shared" si="136"/>
        <v>3139</v>
      </c>
      <c r="D3177" s="624" t="s">
        <v>4494</v>
      </c>
      <c r="E3177" s="612">
        <v>0.01</v>
      </c>
    </row>
    <row r="3178" spans="2:7" x14ac:dyDescent="0.25">
      <c r="B3178" s="547">
        <f t="shared" si="136"/>
        <v>3140</v>
      </c>
      <c r="D3178" s="624" t="s">
        <v>3152</v>
      </c>
      <c r="E3178" s="612">
        <v>0.01</v>
      </c>
    </row>
    <row r="3179" spans="2:7" x14ac:dyDescent="0.25">
      <c r="B3179" s="547">
        <f t="shared" si="136"/>
        <v>3141</v>
      </c>
      <c r="C3179" s="579" t="s">
        <v>5603</v>
      </c>
      <c r="D3179" s="579" t="str">
        <f>DESPORC!D3684</f>
        <v>NOVOS INVESTIMENTOS EM ASSISTENCIA SOCIAL</v>
      </c>
      <c r="E3179" s="580"/>
      <c r="F3179" s="582"/>
      <c r="G3179" s="582"/>
    </row>
    <row r="3180" spans="2:7" x14ac:dyDescent="0.25">
      <c r="B3180" s="547">
        <f t="shared" si="136"/>
        <v>3142</v>
      </c>
      <c r="D3180" s="624" t="s">
        <v>5611</v>
      </c>
      <c r="E3180" s="612">
        <v>0.01</v>
      </c>
    </row>
    <row r="3181" spans="2:7" x14ac:dyDescent="0.25">
      <c r="B3181" s="547">
        <f t="shared" si="136"/>
        <v>3143</v>
      </c>
      <c r="D3181" s="624" t="s">
        <v>5612</v>
      </c>
      <c r="E3181" s="612">
        <v>0.01</v>
      </c>
    </row>
    <row r="3182" spans="2:7" x14ac:dyDescent="0.25">
      <c r="B3182" s="547">
        <f t="shared" si="136"/>
        <v>3144</v>
      </c>
      <c r="D3182" s="624" t="s">
        <v>5613</v>
      </c>
      <c r="E3182" s="612">
        <v>0.01</v>
      </c>
    </row>
    <row r="3183" spans="2:7" x14ac:dyDescent="0.25">
      <c r="B3183" s="547">
        <f t="shared" si="136"/>
        <v>3145</v>
      </c>
      <c r="D3183" s="624" t="s">
        <v>5614</v>
      </c>
      <c r="E3183" s="612">
        <v>0.01</v>
      </c>
    </row>
    <row r="3184" spans="2:7" x14ac:dyDescent="0.25">
      <c r="B3184" s="547">
        <f t="shared" si="136"/>
        <v>3146</v>
      </c>
      <c r="D3184" s="624" t="s">
        <v>5615</v>
      </c>
      <c r="E3184" s="612">
        <v>0.01</v>
      </c>
    </row>
    <row r="3185" spans="2:7" x14ac:dyDescent="0.25">
      <c r="B3185" s="547">
        <f t="shared" si="136"/>
        <v>3147</v>
      </c>
      <c r="D3185" s="624" t="s">
        <v>5616</v>
      </c>
      <c r="E3185" s="612">
        <v>0.01</v>
      </c>
    </row>
    <row r="3186" spans="2:7" ht="16.5" customHeight="1" x14ac:dyDescent="0.25">
      <c r="B3186" s="547">
        <f t="shared" si="136"/>
        <v>3148</v>
      </c>
      <c r="C3186" s="579" t="s">
        <v>5604</v>
      </c>
      <c r="D3186" s="579" t="str">
        <f>DESPORC!D3694</f>
        <v>GESTÃO, COORD. E PLANEJ. DE ASSISTÊNCIA SOCIAL</v>
      </c>
      <c r="E3186" s="580"/>
      <c r="F3186" s="582"/>
      <c r="G3186" s="582"/>
    </row>
    <row r="3187" spans="2:7" x14ac:dyDescent="0.25">
      <c r="B3187" s="547">
        <f t="shared" si="136"/>
        <v>3149</v>
      </c>
      <c r="D3187" s="570" t="s">
        <v>3648</v>
      </c>
      <c r="E3187" s="33">
        <f>SUM(E3188:E3189)</f>
        <v>72047.576590779776</v>
      </c>
    </row>
    <row r="3188" spans="2:7" x14ac:dyDescent="0.25">
      <c r="B3188" s="547">
        <f t="shared" si="136"/>
        <v>3150</v>
      </c>
      <c r="D3188" s="624" t="s">
        <v>3075</v>
      </c>
      <c r="E3188" s="26">
        <f>'FOPAG ASSIST'!D63*12</f>
        <v>58416.953992524148</v>
      </c>
    </row>
    <row r="3189" spans="2:7" x14ac:dyDescent="0.25">
      <c r="B3189" s="547">
        <f t="shared" si="136"/>
        <v>3151</v>
      </c>
      <c r="D3189" s="624" t="s">
        <v>5469</v>
      </c>
      <c r="E3189" s="26">
        <f>SUM(E3188+E3190+E3191)*E92</f>
        <v>13630.622598255633</v>
      </c>
    </row>
    <row r="3190" spans="2:7" x14ac:dyDescent="0.25">
      <c r="B3190" s="547">
        <f t="shared" si="136"/>
        <v>3152</v>
      </c>
      <c r="D3190" s="624" t="s">
        <v>4519</v>
      </c>
      <c r="E3190" s="26">
        <f>'FOPAG ASSIST'!D65</f>
        <v>1622.6931664590043</v>
      </c>
    </row>
    <row r="3191" spans="2:7" x14ac:dyDescent="0.25">
      <c r="B3191" s="547">
        <f t="shared" si="136"/>
        <v>3153</v>
      </c>
      <c r="D3191" s="624" t="s">
        <v>2736</v>
      </c>
      <c r="E3191" s="26">
        <f>'FOPAG ASSIST'!D66</f>
        <v>4868.0794993770123</v>
      </c>
    </row>
    <row r="3192" spans="2:7" ht="15.75" x14ac:dyDescent="0.25">
      <c r="B3192" s="547">
        <f t="shared" si="136"/>
        <v>3154</v>
      </c>
      <c r="D3192" s="690" t="s">
        <v>4501</v>
      </c>
      <c r="E3192" s="25">
        <f>(E3193+E3201)*E94</f>
        <v>17501.159024028853</v>
      </c>
    </row>
    <row r="3193" spans="2:7" x14ac:dyDescent="0.25">
      <c r="B3193" s="547">
        <f t="shared" si="136"/>
        <v>3155</v>
      </c>
      <c r="D3193" s="570" t="s">
        <v>4693</v>
      </c>
      <c r="E3193" s="33">
        <f>SUM(E3194:E3199)</f>
        <v>145036.26281365991</v>
      </c>
    </row>
    <row r="3194" spans="2:7" x14ac:dyDescent="0.25">
      <c r="B3194" s="547">
        <f t="shared" si="136"/>
        <v>3156</v>
      </c>
      <c r="D3194" s="624" t="s">
        <v>7769</v>
      </c>
      <c r="E3194" s="612">
        <f>('FOPAG ASSIST'!D70+'FOPAG ASSIST'!D82+'FOPAG ASSIST'!D87)*12</f>
        <v>124690.9321330415</v>
      </c>
    </row>
    <row r="3195" spans="2:7" x14ac:dyDescent="0.25">
      <c r="B3195" s="547">
        <f t="shared" si="136"/>
        <v>3157</v>
      </c>
      <c r="D3195" s="624" t="s">
        <v>5649</v>
      </c>
      <c r="E3195" s="612">
        <f>'FOPAG ASSIST'!D73*12+0.01</f>
        <v>0.01</v>
      </c>
    </row>
    <row r="3196" spans="2:7" x14ac:dyDescent="0.25">
      <c r="B3196" s="547">
        <f t="shared" si="136"/>
        <v>3158</v>
      </c>
      <c r="D3196" s="624" t="s">
        <v>5650</v>
      </c>
      <c r="E3196" s="612">
        <f>'FOPAG ASSIST'!D74</f>
        <v>0</v>
      </c>
    </row>
    <row r="3197" spans="2:7" x14ac:dyDescent="0.25">
      <c r="B3197" s="547">
        <f t="shared" si="136"/>
        <v>3159</v>
      </c>
      <c r="D3197" s="624" t="s">
        <v>5651</v>
      </c>
      <c r="E3197" s="612">
        <f>'FOPAG ASSIST'!D75</f>
        <v>0</v>
      </c>
    </row>
    <row r="3198" spans="2:7" x14ac:dyDescent="0.25">
      <c r="B3198" s="547">
        <f t="shared" si="136"/>
        <v>3160</v>
      </c>
      <c r="D3198" s="624" t="s">
        <v>7770</v>
      </c>
      <c r="E3198" s="612">
        <f>'FOPAG ASSIST'!D65+'FOPAG ASSIST'!D83+'FOPAG ASSIST'!D88</f>
        <v>5086.3301701546015</v>
      </c>
    </row>
    <row r="3199" spans="2:7" x14ac:dyDescent="0.25">
      <c r="B3199" s="547">
        <f t="shared" si="136"/>
        <v>3161</v>
      </c>
      <c r="D3199" s="624" t="s">
        <v>7771</v>
      </c>
      <c r="E3199" s="612">
        <f>'FOPAG ASSIST'!D66+'FOPAG ASSIST'!D84+'FOPAG ASSIST'!D89</f>
        <v>15258.990510463806</v>
      </c>
    </row>
    <row r="3200" spans="2:7" x14ac:dyDescent="0.25">
      <c r="B3200" s="547">
        <f t="shared" si="136"/>
        <v>3162</v>
      </c>
      <c r="D3200" s="570" t="s">
        <v>3666</v>
      </c>
      <c r="E3200" s="25">
        <f>(E3193+E3201+E3202)*E92</f>
        <v>31847.865141993581</v>
      </c>
    </row>
    <row r="3201" spans="2:5" x14ac:dyDescent="0.25">
      <c r="B3201" s="547">
        <f t="shared" si="136"/>
        <v>3163</v>
      </c>
      <c r="D3201" s="570" t="s">
        <v>3675</v>
      </c>
      <c r="E3201" s="25">
        <f>(3973.13)/8*13.33</f>
        <v>6620.2278624999999</v>
      </c>
    </row>
    <row r="3202" spans="2:5" x14ac:dyDescent="0.25">
      <c r="B3202" s="547">
        <f t="shared" si="136"/>
        <v>3164</v>
      </c>
      <c r="D3202" s="570" t="s">
        <v>5543</v>
      </c>
      <c r="E3202" s="25">
        <v>0.01</v>
      </c>
    </row>
    <row r="3203" spans="2:5" x14ac:dyDescent="0.25">
      <c r="B3203" s="547">
        <f t="shared" si="136"/>
        <v>3165</v>
      </c>
      <c r="D3203" s="570" t="s">
        <v>3679</v>
      </c>
      <c r="E3203" s="25">
        <f>E3190+E3191</f>
        <v>6490.772665836017</v>
      </c>
    </row>
    <row r="3204" spans="2:5" x14ac:dyDescent="0.25">
      <c r="B3204" s="547">
        <f t="shared" si="136"/>
        <v>3166</v>
      </c>
      <c r="D3204" s="570" t="s">
        <v>2994</v>
      </c>
      <c r="E3204" s="25">
        <f>7948/8*12</f>
        <v>11922</v>
      </c>
    </row>
    <row r="3205" spans="2:5" x14ac:dyDescent="0.25">
      <c r="B3205" s="547">
        <f t="shared" si="136"/>
        <v>3167</v>
      </c>
      <c r="D3205" s="570" t="s">
        <v>4131</v>
      </c>
      <c r="E3205" s="25">
        <f>23057.29/8*12</f>
        <v>34585.934999999998</v>
      </c>
    </row>
    <row r="3206" spans="2:5" x14ac:dyDescent="0.25">
      <c r="B3206" s="547">
        <f t="shared" si="136"/>
        <v>3168</v>
      </c>
      <c r="D3206" s="570" t="s">
        <v>3718</v>
      </c>
      <c r="E3206" s="25">
        <v>1000</v>
      </c>
    </row>
    <row r="3207" spans="2:5" x14ac:dyDescent="0.25">
      <c r="B3207" s="547">
        <f t="shared" si="136"/>
        <v>3169</v>
      </c>
      <c r="D3207" s="570" t="s">
        <v>3473</v>
      </c>
      <c r="E3207" s="25">
        <v>0.01</v>
      </c>
    </row>
    <row r="3208" spans="2:5" x14ac:dyDescent="0.25">
      <c r="B3208" s="547">
        <f t="shared" si="136"/>
        <v>3170</v>
      </c>
      <c r="D3208" s="570" t="s">
        <v>4161</v>
      </c>
      <c r="E3208" s="25">
        <f>29392.06/8*12</f>
        <v>44088.090000000004</v>
      </c>
    </row>
    <row r="3209" spans="2:5" x14ac:dyDescent="0.25">
      <c r="B3209" s="547">
        <f t="shared" si="136"/>
        <v>3171</v>
      </c>
      <c r="D3209" s="570" t="s">
        <v>4165</v>
      </c>
      <c r="E3209" s="25">
        <f>30120.27/8*12</f>
        <v>45180.404999999999</v>
      </c>
    </row>
    <row r="3210" spans="2:5" x14ac:dyDescent="0.25">
      <c r="B3210" s="547">
        <f t="shared" si="136"/>
        <v>3172</v>
      </c>
      <c r="D3210" s="570" t="s">
        <v>5544</v>
      </c>
      <c r="E3210" s="25">
        <f>(8830.58/8)*12</f>
        <v>13245.869999999999</v>
      </c>
    </row>
    <row r="3211" spans="2:5" x14ac:dyDescent="0.25">
      <c r="B3211" s="547">
        <f t="shared" si="136"/>
        <v>3173</v>
      </c>
      <c r="D3211" s="570" t="s">
        <v>3736</v>
      </c>
      <c r="E3211" s="25">
        <v>1500</v>
      </c>
    </row>
    <row r="3212" spans="2:5" x14ac:dyDescent="0.25">
      <c r="B3212" s="547">
        <f t="shared" si="136"/>
        <v>3174</v>
      </c>
      <c r="D3212" s="570" t="s">
        <v>3592</v>
      </c>
      <c r="E3212" s="25">
        <f>'FOPAG ASSIST'!D67*12+(2499.49/8*12)</f>
        <v>4324.6350000000002</v>
      </c>
    </row>
    <row r="3213" spans="2:5" x14ac:dyDescent="0.25">
      <c r="B3213" s="547">
        <f t="shared" si="136"/>
        <v>3175</v>
      </c>
      <c r="D3213" s="570" t="s">
        <v>3742</v>
      </c>
      <c r="E3213" s="25">
        <v>0.01</v>
      </c>
    </row>
    <row r="3214" spans="2:5" x14ac:dyDescent="0.25">
      <c r="B3214" s="547">
        <f t="shared" si="136"/>
        <v>3176</v>
      </c>
      <c r="D3214" s="570" t="s">
        <v>3060</v>
      </c>
      <c r="E3214" s="25">
        <v>300</v>
      </c>
    </row>
    <row r="3215" spans="2:5" x14ac:dyDescent="0.25">
      <c r="B3215" s="547">
        <f t="shared" si="136"/>
        <v>3177</v>
      </c>
      <c r="D3215" s="570" t="s">
        <v>3514</v>
      </c>
      <c r="E3215" s="25">
        <v>0.01</v>
      </c>
    </row>
    <row r="3216" spans="2:5" x14ac:dyDescent="0.25">
      <c r="B3216" s="547">
        <f t="shared" si="136"/>
        <v>3178</v>
      </c>
      <c r="D3216" s="570" t="s">
        <v>4494</v>
      </c>
      <c r="E3216" s="25">
        <v>0.01</v>
      </c>
    </row>
    <row r="3217" spans="2:7" x14ac:dyDescent="0.25">
      <c r="B3217" s="547">
        <f t="shared" ref="B3217:B3280" si="137">B3216+1</f>
        <v>3179</v>
      </c>
      <c r="D3217" s="570" t="s">
        <v>3064</v>
      </c>
      <c r="E3217" s="25">
        <v>0.01</v>
      </c>
    </row>
    <row r="3218" spans="2:7" x14ac:dyDescent="0.25">
      <c r="B3218" s="547">
        <f t="shared" si="137"/>
        <v>3180</v>
      </c>
      <c r="D3218" s="570" t="s">
        <v>5652</v>
      </c>
      <c r="E3218" s="25">
        <v>0.01</v>
      </c>
    </row>
    <row r="3219" spans="2:7" ht="16.5" customHeight="1" x14ac:dyDescent="0.25">
      <c r="B3219" s="547">
        <f t="shared" si="137"/>
        <v>3181</v>
      </c>
      <c r="C3219" s="579" t="s">
        <v>5644</v>
      </c>
      <c r="D3219" s="579" t="str">
        <f>DESPORC!D3719</f>
        <v>Promoção da Assistencia Social Básica</v>
      </c>
      <c r="E3219" s="580"/>
      <c r="F3219" s="582"/>
      <c r="G3219" s="582"/>
    </row>
    <row r="3220" spans="2:7" x14ac:dyDescent="0.25">
      <c r="B3220" s="547">
        <f t="shared" si="137"/>
        <v>3182</v>
      </c>
      <c r="D3220" s="570" t="s">
        <v>3648</v>
      </c>
      <c r="E3220" s="25">
        <f>SUM(E3221:E3222)</f>
        <v>0.02</v>
      </c>
    </row>
    <row r="3221" spans="2:7" x14ac:dyDescent="0.25">
      <c r="B3221" s="547">
        <f t="shared" si="137"/>
        <v>3183</v>
      </c>
      <c r="D3221" s="624" t="s">
        <v>5645</v>
      </c>
      <c r="E3221" s="26">
        <v>0.01</v>
      </c>
    </row>
    <row r="3222" spans="2:7" x14ac:dyDescent="0.25">
      <c r="B3222" s="547">
        <f t="shared" si="137"/>
        <v>3184</v>
      </c>
      <c r="D3222" s="624" t="s">
        <v>5646</v>
      </c>
      <c r="E3222" s="26">
        <v>0.01</v>
      </c>
    </row>
    <row r="3223" spans="2:7" x14ac:dyDescent="0.25">
      <c r="B3223" s="547">
        <f t="shared" si="137"/>
        <v>3185</v>
      </c>
      <c r="D3223" s="624" t="s">
        <v>5647</v>
      </c>
      <c r="E3223" s="26">
        <v>0.01</v>
      </c>
    </row>
    <row r="3224" spans="2:7" x14ac:dyDescent="0.25">
      <c r="B3224" s="547">
        <f t="shared" si="137"/>
        <v>3186</v>
      </c>
      <c r="D3224" s="624" t="s">
        <v>5648</v>
      </c>
      <c r="E3224" s="26">
        <v>0.01</v>
      </c>
    </row>
    <row r="3225" spans="2:7" ht="15.75" x14ac:dyDescent="0.25">
      <c r="B3225" s="547">
        <f t="shared" si="137"/>
        <v>3187</v>
      </c>
      <c r="D3225" s="690" t="s">
        <v>4501</v>
      </c>
      <c r="E3225" s="25"/>
    </row>
    <row r="3226" spans="2:7" x14ac:dyDescent="0.25">
      <c r="B3226" s="547">
        <f t="shared" si="137"/>
        <v>3188</v>
      </c>
      <c r="D3226" s="570" t="s">
        <v>4693</v>
      </c>
      <c r="E3226" s="25">
        <f>SUM(E3227:E3232)</f>
        <v>128817.72883265752</v>
      </c>
    </row>
    <row r="3227" spans="2:7" x14ac:dyDescent="0.25">
      <c r="B3227" s="547">
        <f t="shared" si="137"/>
        <v>3189</v>
      </c>
      <c r="D3227" s="624" t="s">
        <v>5608</v>
      </c>
      <c r="E3227" s="26">
        <f>'FOPAG ASSIST'!D100*12</f>
        <v>108738.9872175128</v>
      </c>
    </row>
    <row r="3228" spans="2:7" x14ac:dyDescent="0.25">
      <c r="B3228" s="547">
        <f t="shared" si="137"/>
        <v>3190</v>
      </c>
      <c r="D3228" s="624" t="s">
        <v>5607</v>
      </c>
      <c r="E3228" s="26">
        <f>'FOPAG ASSIST'!D103*12</f>
        <v>7196.9687318789747</v>
      </c>
    </row>
    <row r="3229" spans="2:7" x14ac:dyDescent="0.25">
      <c r="B3229" s="547">
        <f t="shared" si="137"/>
        <v>3191</v>
      </c>
      <c r="D3229" s="624" t="s">
        <v>5609</v>
      </c>
      <c r="E3229" s="26">
        <f>'FOPAG ASSIST'!D104</f>
        <v>199.91579810774931</v>
      </c>
    </row>
    <row r="3230" spans="2:7" x14ac:dyDescent="0.25">
      <c r="B3230" s="547">
        <f t="shared" si="137"/>
        <v>3192</v>
      </c>
      <c r="D3230" s="624" t="s">
        <v>5610</v>
      </c>
      <c r="E3230" s="26">
        <f>'FOPAG ASSIST'!D105</f>
        <v>599.74739432324793</v>
      </c>
    </row>
    <row r="3231" spans="2:7" x14ac:dyDescent="0.25">
      <c r="B3231" s="547">
        <f t="shared" si="137"/>
        <v>3193</v>
      </c>
      <c r="D3231" s="624" t="s">
        <v>5606</v>
      </c>
      <c r="E3231" s="26">
        <f>'FOPAG ASSIST'!D107</f>
        <v>3020.5274227086893</v>
      </c>
    </row>
    <row r="3232" spans="2:7" x14ac:dyDescent="0.25">
      <c r="B3232" s="547">
        <f t="shared" si="137"/>
        <v>3194</v>
      </c>
      <c r="D3232" s="624" t="s">
        <v>5605</v>
      </c>
      <c r="E3232" s="26">
        <f>'FOPAG ASSIST'!D108</f>
        <v>9061.582268126067</v>
      </c>
    </row>
    <row r="3233" spans="2:5" x14ac:dyDescent="0.25">
      <c r="B3233" s="547">
        <f t="shared" si="137"/>
        <v>3195</v>
      </c>
      <c r="D3233" s="570" t="s">
        <v>3666</v>
      </c>
      <c r="E3233" s="26">
        <v>0</v>
      </c>
    </row>
    <row r="3234" spans="2:5" x14ac:dyDescent="0.25">
      <c r="B3234" s="547">
        <f t="shared" si="137"/>
        <v>3196</v>
      </c>
      <c r="D3234" s="570" t="s">
        <v>3675</v>
      </c>
      <c r="E3234" s="26">
        <v>1000</v>
      </c>
    </row>
    <row r="3235" spans="2:5" x14ac:dyDescent="0.25">
      <c r="B3235" s="547">
        <f t="shared" si="137"/>
        <v>3197</v>
      </c>
      <c r="D3235" s="570" t="s">
        <v>5543</v>
      </c>
      <c r="E3235" s="26">
        <v>0.01</v>
      </c>
    </row>
    <row r="3236" spans="2:5" x14ac:dyDescent="0.25">
      <c r="B3236" s="547">
        <f t="shared" si="137"/>
        <v>3198</v>
      </c>
      <c r="D3236" s="570" t="s">
        <v>3679</v>
      </c>
      <c r="E3236" s="26">
        <v>0.01</v>
      </c>
    </row>
    <row r="3237" spans="2:5" ht="15.75" x14ac:dyDescent="0.25">
      <c r="B3237" s="547">
        <f t="shared" si="137"/>
        <v>3199</v>
      </c>
      <c r="D3237" s="688" t="s">
        <v>5619</v>
      </c>
      <c r="E3237" s="26">
        <v>1500</v>
      </c>
    </row>
    <row r="3238" spans="2:5" ht="15.75" x14ac:dyDescent="0.25">
      <c r="B3238" s="547">
        <f t="shared" si="137"/>
        <v>3200</v>
      </c>
      <c r="D3238" s="688" t="s">
        <v>5620</v>
      </c>
      <c r="E3238" s="26">
        <v>5000</v>
      </c>
    </row>
    <row r="3239" spans="2:5" ht="15.75" x14ac:dyDescent="0.25">
      <c r="B3239" s="547">
        <f t="shared" si="137"/>
        <v>3201</v>
      </c>
      <c r="D3239" s="688" t="s">
        <v>6663</v>
      </c>
      <c r="E3239" s="26">
        <v>5000</v>
      </c>
    </row>
    <row r="3240" spans="2:5" ht="15.75" x14ac:dyDescent="0.25">
      <c r="B3240" s="547">
        <f t="shared" si="137"/>
        <v>3202</v>
      </c>
      <c r="D3240" s="688" t="s">
        <v>5621</v>
      </c>
      <c r="E3240" s="26">
        <v>500</v>
      </c>
    </row>
    <row r="3241" spans="2:5" ht="15.75" x14ac:dyDescent="0.25">
      <c r="B3241" s="547">
        <f t="shared" si="137"/>
        <v>3203</v>
      </c>
      <c r="D3241" s="688" t="s">
        <v>5622</v>
      </c>
      <c r="E3241" s="26">
        <v>0.01</v>
      </c>
    </row>
    <row r="3242" spans="2:5" ht="15.75" x14ac:dyDescent="0.25">
      <c r="B3242" s="547">
        <f t="shared" si="137"/>
        <v>3204</v>
      </c>
      <c r="D3242" s="688" t="s">
        <v>5613</v>
      </c>
      <c r="E3242" s="26">
        <v>5000</v>
      </c>
    </row>
    <row r="3243" spans="2:5" ht="15.75" x14ac:dyDescent="0.25">
      <c r="B3243" s="547">
        <f t="shared" si="137"/>
        <v>3205</v>
      </c>
      <c r="D3243" s="688" t="s">
        <v>5614</v>
      </c>
      <c r="E3243" s="26">
        <f>7296/8*12</f>
        <v>10944</v>
      </c>
    </row>
    <row r="3244" spans="2:5" ht="15.75" x14ac:dyDescent="0.25">
      <c r="B3244" s="547">
        <f t="shared" si="137"/>
        <v>3206</v>
      </c>
      <c r="D3244" s="688" t="s">
        <v>5623</v>
      </c>
      <c r="E3244" s="26">
        <f>((7566.69/8*12)*(1+E10))*(1+E16)</f>
        <v>12454.850811910499</v>
      </c>
    </row>
    <row r="3245" spans="2:5" ht="15.75" x14ac:dyDescent="0.25">
      <c r="B3245" s="547">
        <f t="shared" si="137"/>
        <v>3207</v>
      </c>
      <c r="D3245" s="688" t="s">
        <v>6648</v>
      </c>
      <c r="E3245" s="26">
        <v>1000</v>
      </c>
    </row>
    <row r="3246" spans="2:5" ht="15.75" x14ac:dyDescent="0.25">
      <c r="B3246" s="547">
        <f t="shared" si="137"/>
        <v>3208</v>
      </c>
      <c r="D3246" s="688" t="s">
        <v>5624</v>
      </c>
      <c r="E3246" s="26">
        <f>'FOPAG ASSIST'!D109*12</f>
        <v>3684.7200000000003</v>
      </c>
    </row>
    <row r="3247" spans="2:5" ht="15.75" x14ac:dyDescent="0.25">
      <c r="B3247" s="547">
        <f t="shared" si="137"/>
        <v>3209</v>
      </c>
      <c r="D3247" s="688" t="s">
        <v>5625</v>
      </c>
      <c r="E3247" s="26">
        <v>0.01</v>
      </c>
    </row>
    <row r="3248" spans="2:5" ht="15.75" x14ac:dyDescent="0.25">
      <c r="B3248" s="547">
        <f t="shared" si="137"/>
        <v>3210</v>
      </c>
      <c r="D3248" s="688" t="s">
        <v>5626</v>
      </c>
      <c r="E3248" s="26">
        <v>300</v>
      </c>
    </row>
    <row r="3249" spans="2:7" ht="15.75" x14ac:dyDescent="0.25">
      <c r="B3249" s="547">
        <f t="shared" si="137"/>
        <v>3211</v>
      </c>
      <c r="D3249" s="688" t="s">
        <v>5627</v>
      </c>
      <c r="E3249" s="26">
        <v>0.01</v>
      </c>
    </row>
    <row r="3250" spans="2:7" ht="15.75" x14ac:dyDescent="0.25">
      <c r="B3250" s="547">
        <f t="shared" si="137"/>
        <v>3212</v>
      </c>
      <c r="D3250" s="688" t="s">
        <v>5615</v>
      </c>
      <c r="E3250" s="26">
        <v>0.01</v>
      </c>
    </row>
    <row r="3251" spans="2:7" ht="15.75" x14ac:dyDescent="0.25">
      <c r="B3251" s="547">
        <f t="shared" si="137"/>
        <v>3213</v>
      </c>
      <c r="D3251" s="688" t="s">
        <v>6647</v>
      </c>
      <c r="E3251" s="26">
        <v>0.01</v>
      </c>
    </row>
    <row r="3252" spans="2:7" ht="15.75" x14ac:dyDescent="0.25">
      <c r="B3252" s="547">
        <f t="shared" si="137"/>
        <v>3214</v>
      </c>
      <c r="D3252" s="688" t="s">
        <v>6656</v>
      </c>
      <c r="E3252" s="26">
        <v>0.01</v>
      </c>
    </row>
    <row r="3253" spans="2:7" ht="16.5" customHeight="1" x14ac:dyDescent="0.25">
      <c r="B3253" s="547">
        <f t="shared" si="137"/>
        <v>3215</v>
      </c>
      <c r="C3253" s="579" t="s">
        <v>5604</v>
      </c>
      <c r="D3253" s="579" t="str">
        <f>DESPORC!D3746</f>
        <v>GESTÃO, COORD. E PLANEJ. DE ASSISTÊNCIA SOCIAL</v>
      </c>
      <c r="E3253" s="580"/>
      <c r="F3253" s="582"/>
      <c r="G3253" s="582"/>
    </row>
    <row r="3254" spans="2:7" ht="15.75" x14ac:dyDescent="0.25">
      <c r="B3254" s="547">
        <f t="shared" si="137"/>
        <v>3216</v>
      </c>
      <c r="D3254" s="688" t="s">
        <v>5643</v>
      </c>
      <c r="E3254" s="26">
        <f>1104.7/8*12</f>
        <v>1657.0500000000002</v>
      </c>
    </row>
    <row r="3255" spans="2:7" ht="16.5" customHeight="1" x14ac:dyDescent="0.25">
      <c r="B3255" s="547">
        <f t="shared" si="137"/>
        <v>3217</v>
      </c>
      <c r="C3255" s="579" t="s">
        <v>5644</v>
      </c>
      <c r="D3255" s="579" t="str">
        <f>DESPORC!D3751</f>
        <v>Promoção da Assistencia Social Básica</v>
      </c>
      <c r="E3255" s="580"/>
      <c r="F3255" s="582"/>
      <c r="G3255" s="582"/>
    </row>
    <row r="3256" spans="2:7" ht="15.75" x14ac:dyDescent="0.25">
      <c r="B3256" s="547">
        <f t="shared" si="137"/>
        <v>3218</v>
      </c>
      <c r="D3256" s="688" t="s">
        <v>5628</v>
      </c>
      <c r="E3256" s="26">
        <f>1262.17/8*12</f>
        <v>1893.2550000000001</v>
      </c>
    </row>
    <row r="3257" spans="2:7" ht="16.5" customHeight="1" x14ac:dyDescent="0.25">
      <c r="B3257" s="547">
        <f t="shared" si="137"/>
        <v>3219</v>
      </c>
      <c r="C3257" s="579" t="s">
        <v>5604</v>
      </c>
      <c r="D3257" s="579" t="str">
        <f>DESPORC!D3756</f>
        <v>GESTÃO, COORD. E PLANEJ. DE ASSISTÊNCIA SOCIAL</v>
      </c>
      <c r="E3257" s="580"/>
      <c r="F3257" s="582"/>
      <c r="G3257" s="582"/>
    </row>
    <row r="3258" spans="2:7" ht="15.75" x14ac:dyDescent="0.25">
      <c r="B3258" s="547">
        <f t="shared" si="137"/>
        <v>3220</v>
      </c>
      <c r="D3258" s="688" t="s">
        <v>6664</v>
      </c>
      <c r="E3258" s="26">
        <v>0.01</v>
      </c>
    </row>
    <row r="3259" spans="2:7" ht="15.75" x14ac:dyDescent="0.25">
      <c r="B3259" s="547">
        <f t="shared" si="137"/>
        <v>3221</v>
      </c>
      <c r="D3259" s="688" t="s">
        <v>6665</v>
      </c>
      <c r="E3259" s="26">
        <v>0.01</v>
      </c>
    </row>
    <row r="3260" spans="2:7" ht="15.75" x14ac:dyDescent="0.25">
      <c r="B3260" s="547">
        <f t="shared" si="137"/>
        <v>3222</v>
      </c>
      <c r="D3260" s="688" t="s">
        <v>6668</v>
      </c>
      <c r="E3260" s="26">
        <v>0.01</v>
      </c>
    </row>
    <row r="3261" spans="2:7" ht="15.75" x14ac:dyDescent="0.25">
      <c r="B3261" s="547">
        <f t="shared" si="137"/>
        <v>3223</v>
      </c>
      <c r="D3261" s="688" t="s">
        <v>6666</v>
      </c>
      <c r="E3261" s="26">
        <v>0.01</v>
      </c>
    </row>
    <row r="3262" spans="2:7" ht="15.75" x14ac:dyDescent="0.25">
      <c r="B3262" s="547">
        <f t="shared" si="137"/>
        <v>3224</v>
      </c>
      <c r="D3262" s="688" t="s">
        <v>6667</v>
      </c>
      <c r="E3262" s="26">
        <v>0.01</v>
      </c>
    </row>
    <row r="3263" spans="2:7" ht="16.5" customHeight="1" x14ac:dyDescent="0.25">
      <c r="B3263" s="547">
        <f t="shared" si="137"/>
        <v>3225</v>
      </c>
      <c r="C3263" s="579" t="s">
        <v>5644</v>
      </c>
      <c r="D3263" s="579" t="str">
        <f>DESPORC!D3765</f>
        <v>Promoção da Assistencia Social Básica</v>
      </c>
      <c r="E3263" s="580"/>
      <c r="F3263" s="582"/>
      <c r="G3263" s="582"/>
    </row>
    <row r="3264" spans="2:7" ht="15.75" x14ac:dyDescent="0.25">
      <c r="B3264" s="547">
        <f t="shared" si="137"/>
        <v>3226</v>
      </c>
      <c r="D3264" s="688" t="s">
        <v>6669</v>
      </c>
      <c r="E3264" s="26">
        <v>0.01</v>
      </c>
    </row>
    <row r="3265" spans="2:7" ht="15.75" x14ac:dyDescent="0.25">
      <c r="B3265" s="547">
        <f t="shared" si="137"/>
        <v>3227</v>
      </c>
      <c r="D3265" s="688" t="s">
        <v>6670</v>
      </c>
      <c r="E3265" s="26">
        <v>0.1</v>
      </c>
    </row>
    <row r="3266" spans="2:7" ht="15.75" x14ac:dyDescent="0.25">
      <c r="B3266" s="547">
        <f t="shared" si="137"/>
        <v>3228</v>
      </c>
      <c r="D3266" s="688" t="s">
        <v>6672</v>
      </c>
      <c r="E3266" s="26">
        <v>0.01</v>
      </c>
    </row>
    <row r="3267" spans="2:7" ht="15.75" x14ac:dyDescent="0.25">
      <c r="B3267" s="547">
        <f t="shared" si="137"/>
        <v>3229</v>
      </c>
      <c r="D3267" s="688" t="s">
        <v>6671</v>
      </c>
      <c r="E3267" s="26">
        <v>1.0999999999999999E-2</v>
      </c>
    </row>
    <row r="3268" spans="2:7" ht="15.75" x14ac:dyDescent="0.25">
      <c r="B3268" s="547">
        <f t="shared" si="137"/>
        <v>3230</v>
      </c>
      <c r="D3268" s="688" t="s">
        <v>6673</v>
      </c>
      <c r="E3268" s="26">
        <v>0.01</v>
      </c>
    </row>
    <row r="3269" spans="2:7" ht="15.75" x14ac:dyDescent="0.25">
      <c r="B3269" s="547">
        <f t="shared" si="137"/>
        <v>3231</v>
      </c>
      <c r="D3269" s="690" t="s">
        <v>6837</v>
      </c>
    </row>
    <row r="3270" spans="2:7" ht="16.5" customHeight="1" x14ac:dyDescent="0.25">
      <c r="B3270" s="547">
        <f t="shared" si="137"/>
        <v>3232</v>
      </c>
      <c r="C3270" s="579" t="s">
        <v>5644</v>
      </c>
      <c r="D3270" s="579" t="str">
        <f>DESPORC!D3782</f>
        <v>PROMOÇÃO DA ASSISTENCIA SOCIAL BÁSICA</v>
      </c>
      <c r="E3270" s="580"/>
      <c r="F3270" s="582"/>
      <c r="G3270" s="582"/>
    </row>
    <row r="3271" spans="2:7" ht="15.75" x14ac:dyDescent="0.25">
      <c r="B3271" s="547">
        <f t="shared" si="137"/>
        <v>3233</v>
      </c>
      <c r="D3271" s="688" t="s">
        <v>5574</v>
      </c>
      <c r="E3271" s="26">
        <v>3000</v>
      </c>
    </row>
    <row r="3272" spans="2:7" ht="15.75" x14ac:dyDescent="0.25">
      <c r="B3272" s="547">
        <f t="shared" si="137"/>
        <v>3234</v>
      </c>
      <c r="D3272" s="688" t="s">
        <v>6675</v>
      </c>
      <c r="E3272" s="26">
        <v>3000</v>
      </c>
    </row>
    <row r="3273" spans="2:7" ht="15.75" x14ac:dyDescent="0.25">
      <c r="B3273" s="547">
        <f t="shared" si="137"/>
        <v>3235</v>
      </c>
      <c r="D3273" s="688" t="s">
        <v>6676</v>
      </c>
      <c r="E3273" s="26">
        <v>10000</v>
      </c>
    </row>
    <row r="3274" spans="2:7" ht="15.75" x14ac:dyDescent="0.25">
      <c r="B3274" s="547">
        <f t="shared" si="137"/>
        <v>3236</v>
      </c>
      <c r="D3274" s="688" t="s">
        <v>6677</v>
      </c>
      <c r="E3274" s="26">
        <v>10000</v>
      </c>
    </row>
    <row r="3275" spans="2:7" ht="15.75" x14ac:dyDescent="0.25">
      <c r="B3275" s="547">
        <f t="shared" si="137"/>
        <v>3237</v>
      </c>
      <c r="D3275" s="688" t="s">
        <v>5555</v>
      </c>
      <c r="E3275" s="26">
        <v>0.01</v>
      </c>
    </row>
    <row r="3276" spans="2:7" ht="15.75" x14ac:dyDescent="0.25">
      <c r="B3276" s="547">
        <f t="shared" si="137"/>
        <v>3238</v>
      </c>
      <c r="D3276" s="688" t="s">
        <v>5558</v>
      </c>
      <c r="E3276" s="26">
        <v>15000</v>
      </c>
    </row>
    <row r="3277" spans="2:7" ht="15.75" x14ac:dyDescent="0.25">
      <c r="B3277" s="547">
        <f t="shared" si="137"/>
        <v>3239</v>
      </c>
      <c r="D3277" s="688" t="s">
        <v>6674</v>
      </c>
      <c r="E3277" s="26">
        <v>0.01</v>
      </c>
    </row>
    <row r="3278" spans="2:7" ht="15.75" x14ac:dyDescent="0.25">
      <c r="B3278" s="547">
        <f t="shared" si="137"/>
        <v>3240</v>
      </c>
      <c r="D3278" s="688" t="s">
        <v>5561</v>
      </c>
      <c r="E3278" s="26">
        <v>0.01</v>
      </c>
    </row>
    <row r="3279" spans="2:7" ht="15.75" x14ac:dyDescent="0.25">
      <c r="B3279" s="547">
        <f t="shared" si="137"/>
        <v>3241</v>
      </c>
      <c r="D3279" s="688" t="s">
        <v>5564</v>
      </c>
      <c r="E3279" s="26">
        <v>0.01</v>
      </c>
    </row>
    <row r="3280" spans="2:7" ht="15.75" x14ac:dyDescent="0.25">
      <c r="B3280" s="547">
        <f t="shared" si="137"/>
        <v>3242</v>
      </c>
      <c r="D3280" s="688" t="s">
        <v>5567</v>
      </c>
      <c r="E3280" s="26">
        <v>0.01</v>
      </c>
    </row>
    <row r="3281" spans="2:7" ht="16.5" customHeight="1" x14ac:dyDescent="0.25">
      <c r="B3281" s="547">
        <f t="shared" ref="B3281:B3344" si="138">B3280+1</f>
        <v>3243</v>
      </c>
      <c r="C3281" s="579" t="s">
        <v>5644</v>
      </c>
      <c r="D3281" s="579" t="str">
        <f>DESPORC!D3796</f>
        <v>PROMOÇÃO DA ASSISTENCIA SOCIAL BÁSICA</v>
      </c>
      <c r="E3281" s="580"/>
      <c r="F3281" s="582"/>
      <c r="G3281" s="582"/>
    </row>
    <row r="3282" spans="2:7" ht="15.75" x14ac:dyDescent="0.25">
      <c r="B3282" s="547">
        <f t="shared" si="138"/>
        <v>3244</v>
      </c>
      <c r="D3282" s="688" t="s">
        <v>5548</v>
      </c>
      <c r="E3282" s="26">
        <f>41300/8*12</f>
        <v>61950</v>
      </c>
    </row>
    <row r="3283" spans="2:7" ht="15.75" x14ac:dyDescent="0.25">
      <c r="B3283" s="547">
        <f t="shared" si="138"/>
        <v>3245</v>
      </c>
      <c r="D3283" s="688" t="s">
        <v>5549</v>
      </c>
      <c r="E3283" s="26">
        <v>2000</v>
      </c>
    </row>
    <row r="3284" spans="2:7" ht="15.75" x14ac:dyDescent="0.25">
      <c r="B3284" s="547">
        <f t="shared" si="138"/>
        <v>3246</v>
      </c>
      <c r="D3284" s="688" t="s">
        <v>5551</v>
      </c>
      <c r="E3284" s="26">
        <v>5000</v>
      </c>
    </row>
    <row r="3285" spans="2:7" ht="15.75" x14ac:dyDescent="0.25">
      <c r="B3285" s="547">
        <f t="shared" si="138"/>
        <v>3247</v>
      </c>
      <c r="D3285" s="688" t="s">
        <v>5553</v>
      </c>
      <c r="E3285" s="26">
        <v>10000</v>
      </c>
    </row>
    <row r="3286" spans="2:7" ht="15.75" x14ac:dyDescent="0.25">
      <c r="B3286" s="547">
        <f t="shared" si="138"/>
        <v>3248</v>
      </c>
      <c r="D3286" s="688" t="s">
        <v>5556</v>
      </c>
      <c r="E3286" s="26">
        <v>0.01</v>
      </c>
    </row>
    <row r="3287" spans="2:7" ht="15.75" x14ac:dyDescent="0.25">
      <c r="B3287" s="547">
        <f t="shared" si="138"/>
        <v>3249</v>
      </c>
      <c r="D3287" s="688" t="s">
        <v>5559</v>
      </c>
      <c r="E3287" s="26">
        <v>10000</v>
      </c>
    </row>
    <row r="3288" spans="2:7" ht="15.75" x14ac:dyDescent="0.25">
      <c r="B3288" s="547">
        <f t="shared" si="138"/>
        <v>3250</v>
      </c>
      <c r="D3288" s="688" t="s">
        <v>6678</v>
      </c>
      <c r="E3288" s="26">
        <v>0.01</v>
      </c>
    </row>
    <row r="3289" spans="2:7" ht="15.75" x14ac:dyDescent="0.25">
      <c r="B3289" s="547">
        <f t="shared" si="138"/>
        <v>3251</v>
      </c>
      <c r="D3289" s="688" t="s">
        <v>5562</v>
      </c>
      <c r="E3289" s="26">
        <v>0.01</v>
      </c>
    </row>
    <row r="3290" spans="2:7" ht="15.75" x14ac:dyDescent="0.25">
      <c r="B3290" s="547">
        <f t="shared" si="138"/>
        <v>3252</v>
      </c>
      <c r="D3290" s="688" t="s">
        <v>5565</v>
      </c>
      <c r="E3290" s="26">
        <v>0.01</v>
      </c>
    </row>
    <row r="3291" spans="2:7" ht="15.75" x14ac:dyDescent="0.25">
      <c r="B3291" s="547">
        <f t="shared" si="138"/>
        <v>3253</v>
      </c>
      <c r="D3291" s="688" t="s">
        <v>5568</v>
      </c>
      <c r="E3291" s="26">
        <v>0.01</v>
      </c>
    </row>
    <row r="3292" spans="2:7" ht="16.5" customHeight="1" x14ac:dyDescent="0.25">
      <c r="B3292" s="547">
        <f t="shared" si="138"/>
        <v>3254</v>
      </c>
      <c r="C3292" s="579" t="s">
        <v>5644</v>
      </c>
      <c r="D3292" s="579" t="str">
        <f>DESPORC!D3810</f>
        <v>PROMOÇÃO DA ASSISTENCIA SOCIAL BÁSICA</v>
      </c>
      <c r="E3292" s="580"/>
      <c r="F3292" s="582"/>
      <c r="G3292" s="582"/>
    </row>
    <row r="3293" spans="2:7" ht="15.75" x14ac:dyDescent="0.25">
      <c r="B3293" s="547">
        <f t="shared" si="138"/>
        <v>3255</v>
      </c>
      <c r="D3293" s="688" t="s">
        <v>6838</v>
      </c>
      <c r="E3293" s="1">
        <v>0.01</v>
      </c>
    </row>
    <row r="3294" spans="2:7" ht="15.75" x14ac:dyDescent="0.25">
      <c r="B3294" s="547">
        <f t="shared" si="138"/>
        <v>3256</v>
      </c>
      <c r="D3294" s="688" t="s">
        <v>5550</v>
      </c>
      <c r="E3294" s="26">
        <v>0.01</v>
      </c>
    </row>
    <row r="3295" spans="2:7" ht="15.75" x14ac:dyDescent="0.25">
      <c r="B3295" s="547">
        <f t="shared" si="138"/>
        <v>3257</v>
      </c>
      <c r="D3295" s="688" t="s">
        <v>5552</v>
      </c>
      <c r="E3295" s="26">
        <v>0.01</v>
      </c>
    </row>
    <row r="3296" spans="2:7" ht="15.75" x14ac:dyDescent="0.25">
      <c r="B3296" s="547">
        <f t="shared" si="138"/>
        <v>3258</v>
      </c>
      <c r="D3296" s="688" t="s">
        <v>5554</v>
      </c>
      <c r="E3296" s="26">
        <v>0.01</v>
      </c>
    </row>
    <row r="3297" spans="2:7" ht="15.75" x14ac:dyDescent="0.25">
      <c r="B3297" s="547">
        <f t="shared" si="138"/>
        <v>3259</v>
      </c>
      <c r="D3297" s="688" t="s">
        <v>5557</v>
      </c>
      <c r="E3297" s="26">
        <v>0.01</v>
      </c>
    </row>
    <row r="3298" spans="2:7" ht="15.75" x14ac:dyDescent="0.25">
      <c r="B3298" s="547">
        <f t="shared" si="138"/>
        <v>3260</v>
      </c>
      <c r="D3298" s="688" t="s">
        <v>5560</v>
      </c>
      <c r="E3298" s="26">
        <v>0.01</v>
      </c>
    </row>
    <row r="3299" spans="2:7" ht="15.75" x14ac:dyDescent="0.25">
      <c r="B3299" s="547">
        <f t="shared" si="138"/>
        <v>3261</v>
      </c>
      <c r="D3299" s="688" t="s">
        <v>6679</v>
      </c>
      <c r="E3299" s="26">
        <v>0.01</v>
      </c>
    </row>
    <row r="3300" spans="2:7" ht="15.75" x14ac:dyDescent="0.25">
      <c r="B3300" s="547">
        <f t="shared" si="138"/>
        <v>3262</v>
      </c>
      <c r="D3300" s="688" t="s">
        <v>5563</v>
      </c>
      <c r="E3300" s="26">
        <v>0.01</v>
      </c>
    </row>
    <row r="3301" spans="2:7" ht="15.75" x14ac:dyDescent="0.25">
      <c r="B3301" s="547">
        <f t="shared" si="138"/>
        <v>3263</v>
      </c>
      <c r="D3301" s="688" t="s">
        <v>5566</v>
      </c>
      <c r="E3301" s="26">
        <v>0.01</v>
      </c>
    </row>
    <row r="3302" spans="2:7" ht="15.75" x14ac:dyDescent="0.25">
      <c r="B3302" s="547">
        <f t="shared" si="138"/>
        <v>3264</v>
      </c>
      <c r="D3302" s="688" t="s">
        <v>5569</v>
      </c>
      <c r="E3302" s="26">
        <v>1.0999999999999999E-2</v>
      </c>
    </row>
    <row r="3303" spans="2:7" ht="16.5" customHeight="1" x14ac:dyDescent="0.25">
      <c r="B3303" s="547">
        <f t="shared" si="138"/>
        <v>3265</v>
      </c>
      <c r="C3303" s="579" t="s">
        <v>6839</v>
      </c>
      <c r="D3303" s="579" t="str">
        <f>DESPORC!D3824</f>
        <v>GESTÃO E PROMOÇÃO DE BENEFÍCIOS EVENTUAIS</v>
      </c>
      <c r="E3303" s="580"/>
      <c r="F3303" s="582"/>
      <c r="G3303" s="582"/>
    </row>
    <row r="3304" spans="2:7" ht="31.5" x14ac:dyDescent="0.25">
      <c r="B3304" s="547">
        <f t="shared" si="138"/>
        <v>3266</v>
      </c>
      <c r="D3304" s="688" t="s">
        <v>5576</v>
      </c>
      <c r="E3304" s="26">
        <v>0.01</v>
      </c>
    </row>
    <row r="3305" spans="2:7" ht="15.75" x14ac:dyDescent="0.25">
      <c r="B3305" s="547">
        <f t="shared" si="138"/>
        <v>3267</v>
      </c>
      <c r="D3305" s="688" t="s">
        <v>5577</v>
      </c>
      <c r="E3305" s="26">
        <v>15000</v>
      </c>
    </row>
    <row r="3306" spans="2:7" ht="15.75" x14ac:dyDescent="0.25">
      <c r="B3306" s="547">
        <f t="shared" si="138"/>
        <v>3268</v>
      </c>
      <c r="D3306" s="688" t="s">
        <v>5578</v>
      </c>
      <c r="E3306" s="26">
        <v>10000</v>
      </c>
    </row>
    <row r="3307" spans="2:7" ht="15.75" x14ac:dyDescent="0.25">
      <c r="B3307" s="547">
        <f t="shared" si="138"/>
        <v>3269</v>
      </c>
      <c r="D3307" s="688" t="s">
        <v>5579</v>
      </c>
      <c r="E3307" s="26">
        <v>30000</v>
      </c>
    </row>
    <row r="3308" spans="2:7" ht="15.75" x14ac:dyDescent="0.25">
      <c r="B3308" s="547">
        <f t="shared" si="138"/>
        <v>3270</v>
      </c>
      <c r="D3308" s="688" t="s">
        <v>5580</v>
      </c>
      <c r="E3308" s="26">
        <v>0.01</v>
      </c>
    </row>
    <row r="3309" spans="2:7" ht="15.75" x14ac:dyDescent="0.25">
      <c r="B3309" s="547">
        <f t="shared" si="138"/>
        <v>3271</v>
      </c>
      <c r="D3309" s="688" t="s">
        <v>5581</v>
      </c>
      <c r="E3309" s="26">
        <v>30000</v>
      </c>
    </row>
    <row r="3310" spans="2:7" ht="15.75" x14ac:dyDescent="0.25">
      <c r="B3310" s="547">
        <f t="shared" si="138"/>
        <v>3272</v>
      </c>
      <c r="D3310" s="688" t="s">
        <v>5582</v>
      </c>
      <c r="E3310" s="26">
        <v>1000</v>
      </c>
    </row>
    <row r="3311" spans="2:7" ht="15.75" x14ac:dyDescent="0.25">
      <c r="B3311" s="547">
        <f t="shared" si="138"/>
        <v>3273</v>
      </c>
      <c r="D3311" s="688" t="s">
        <v>5583</v>
      </c>
      <c r="E3311" s="26">
        <v>0.01</v>
      </c>
    </row>
    <row r="3312" spans="2:7" ht="15.75" x14ac:dyDescent="0.25">
      <c r="B3312" s="547">
        <f t="shared" si="138"/>
        <v>3274</v>
      </c>
      <c r="D3312" s="688" t="s">
        <v>5584</v>
      </c>
      <c r="E3312" s="26">
        <v>0.01</v>
      </c>
    </row>
    <row r="3313" spans="2:7" ht="15.75" x14ac:dyDescent="0.25">
      <c r="B3313" s="547">
        <f t="shared" si="138"/>
        <v>3275</v>
      </c>
      <c r="D3313" s="688" t="s">
        <v>5585</v>
      </c>
      <c r="E3313" s="26">
        <v>0.01</v>
      </c>
    </row>
    <row r="3314" spans="2:7" ht="15.75" x14ac:dyDescent="0.25">
      <c r="B3314" s="547">
        <f t="shared" si="138"/>
        <v>3276</v>
      </c>
      <c r="D3314" s="632" t="s">
        <v>6840</v>
      </c>
    </row>
    <row r="3315" spans="2:7" ht="16.5" customHeight="1" x14ac:dyDescent="0.25">
      <c r="B3315" s="547">
        <f t="shared" si="138"/>
        <v>3277</v>
      </c>
      <c r="C3315" s="579" t="s">
        <v>6841</v>
      </c>
      <c r="D3315" s="579" t="str">
        <f>DESPORC!D3846</f>
        <v>PROMOÇÃO DA ASSISTENCIA SOCIAL BÁSICA</v>
      </c>
      <c r="E3315" s="580"/>
      <c r="F3315" s="582"/>
      <c r="G3315" s="582"/>
    </row>
    <row r="3316" spans="2:7" ht="15.75" x14ac:dyDescent="0.25">
      <c r="B3316" s="547">
        <f t="shared" si="138"/>
        <v>3278</v>
      </c>
      <c r="D3316" s="688" t="s">
        <v>6905</v>
      </c>
      <c r="E3316" s="26">
        <v>0.01</v>
      </c>
    </row>
    <row r="3317" spans="2:7" ht="15.75" x14ac:dyDescent="0.25">
      <c r="B3317" s="547">
        <f t="shared" si="138"/>
        <v>3279</v>
      </c>
      <c r="D3317" s="688" t="s">
        <v>6906</v>
      </c>
      <c r="E3317" s="26">
        <v>0.01</v>
      </c>
    </row>
    <row r="3318" spans="2:7" ht="15.75" x14ac:dyDescent="0.25">
      <c r="B3318" s="547">
        <f t="shared" si="138"/>
        <v>3280</v>
      </c>
      <c r="D3318" s="688" t="s">
        <v>6907</v>
      </c>
      <c r="E3318" s="26">
        <v>0.01</v>
      </c>
    </row>
    <row r="3319" spans="2:7" ht="15.75" x14ac:dyDescent="0.25">
      <c r="B3319" s="547">
        <f t="shared" si="138"/>
        <v>3281</v>
      </c>
      <c r="D3319" s="688" t="s">
        <v>6908</v>
      </c>
      <c r="E3319" s="612">
        <f>ER!E682-E3318-E3317-E3316</f>
        <v>48100.308626446516</v>
      </c>
    </row>
    <row r="3320" spans="2:7" ht="16.5" customHeight="1" x14ac:dyDescent="0.25">
      <c r="B3320" s="547">
        <f t="shared" si="138"/>
        <v>3282</v>
      </c>
      <c r="C3320" s="579" t="s">
        <v>6841</v>
      </c>
      <c r="D3320" s="579" t="str">
        <f>DESPORC!D3846</f>
        <v>PROMOÇÃO DA ASSISTENCIA SOCIAL BÁSICA</v>
      </c>
      <c r="E3320" s="580"/>
      <c r="F3320" s="582"/>
      <c r="G3320" s="582"/>
    </row>
    <row r="3321" spans="2:7" ht="15.75" x14ac:dyDescent="0.25">
      <c r="B3321" s="547">
        <f t="shared" si="138"/>
        <v>3283</v>
      </c>
      <c r="D3321" s="688" t="s">
        <v>5588</v>
      </c>
      <c r="E3321" s="26">
        <f>ER!E665</f>
        <v>26.606247530855235</v>
      </c>
    </row>
    <row r="3322" spans="2:7" ht="16.5" customHeight="1" x14ac:dyDescent="0.25">
      <c r="B3322" s="547">
        <f t="shared" si="138"/>
        <v>3284</v>
      </c>
      <c r="C3322" s="579" t="s">
        <v>6841</v>
      </c>
      <c r="D3322" s="579" t="str">
        <f>DESPORC!D3869</f>
        <v>PROMOÇÃO DA ASSISTENCIA SOCIAL BÁSICA</v>
      </c>
      <c r="E3322" s="580"/>
      <c r="F3322" s="582"/>
      <c r="G3322" s="582"/>
    </row>
    <row r="3323" spans="2:7" ht="15.75" x14ac:dyDescent="0.25">
      <c r="B3323" s="547">
        <f t="shared" si="138"/>
        <v>3285</v>
      </c>
      <c r="D3323" s="688" t="s">
        <v>6743</v>
      </c>
      <c r="E3323" s="26">
        <v>0.01</v>
      </c>
    </row>
    <row r="3324" spans="2:7" ht="15.75" x14ac:dyDescent="0.25">
      <c r="B3324" s="547">
        <f t="shared" si="138"/>
        <v>3286</v>
      </c>
      <c r="D3324" s="688" t="s">
        <v>6744</v>
      </c>
      <c r="E3324" s="26">
        <v>0.01</v>
      </c>
    </row>
    <row r="3325" spans="2:7" ht="15.75" x14ac:dyDescent="0.25">
      <c r="B3325" s="547">
        <f t="shared" si="138"/>
        <v>3287</v>
      </c>
      <c r="D3325" s="688" t="s">
        <v>6745</v>
      </c>
      <c r="E3325" s="26">
        <v>1000</v>
      </c>
    </row>
    <row r="3326" spans="2:7" ht="15.75" x14ac:dyDescent="0.25">
      <c r="B3326" s="547">
        <f t="shared" si="138"/>
        <v>3288</v>
      </c>
      <c r="D3326" s="688" t="s">
        <v>6746</v>
      </c>
      <c r="E3326" s="26">
        <v>2000</v>
      </c>
    </row>
    <row r="3327" spans="2:7" ht="15.75" x14ac:dyDescent="0.25">
      <c r="B3327" s="547">
        <f t="shared" si="138"/>
        <v>3289</v>
      </c>
      <c r="D3327" s="688" t="s">
        <v>6747</v>
      </c>
      <c r="E3327" s="26">
        <v>0.01</v>
      </c>
    </row>
    <row r="3328" spans="2:7" ht="15.75" x14ac:dyDescent="0.25">
      <c r="B3328" s="547">
        <f t="shared" si="138"/>
        <v>3290</v>
      </c>
      <c r="D3328" s="688" t="s">
        <v>6748</v>
      </c>
      <c r="E3328" s="26">
        <v>2500</v>
      </c>
    </row>
    <row r="3329" spans="2:7" ht="15.75" x14ac:dyDescent="0.25">
      <c r="B3329" s="547">
        <f t="shared" si="138"/>
        <v>3291</v>
      </c>
      <c r="D3329" s="688" t="s">
        <v>6749</v>
      </c>
      <c r="E3329" s="26">
        <v>0.01</v>
      </c>
    </row>
    <row r="3330" spans="2:7" ht="15.75" x14ac:dyDescent="0.25">
      <c r="B3330" s="547">
        <f t="shared" si="138"/>
        <v>3292</v>
      </c>
      <c r="D3330" s="688" t="s">
        <v>6750</v>
      </c>
      <c r="E3330" s="26">
        <v>0.01</v>
      </c>
    </row>
    <row r="3331" spans="2:7" ht="15.75" x14ac:dyDescent="0.25">
      <c r="B3331" s="547">
        <f t="shared" si="138"/>
        <v>3293</v>
      </c>
      <c r="D3331" s="688" t="s">
        <v>6751</v>
      </c>
      <c r="E3331" s="26">
        <v>1.0999999999999999E-2</v>
      </c>
    </row>
    <row r="3332" spans="2:7" ht="15.75" x14ac:dyDescent="0.25">
      <c r="B3332" s="547">
        <f t="shared" si="138"/>
        <v>3294</v>
      </c>
      <c r="D3332" s="688" t="s">
        <v>6752</v>
      </c>
      <c r="E3332" s="26">
        <v>1.0999999999999999E-2</v>
      </c>
    </row>
    <row r="3333" spans="2:7" ht="16.5" customHeight="1" x14ac:dyDescent="0.25">
      <c r="B3333" s="547">
        <f t="shared" si="138"/>
        <v>3295</v>
      </c>
      <c r="C3333" s="579" t="s">
        <v>6841</v>
      </c>
      <c r="D3333" s="579" t="str">
        <f>DESPORC!D3883</f>
        <v>PROMOÇÃO DA ASSISTENCIA SOCIAL BÁSICA</v>
      </c>
      <c r="E3333" s="580"/>
      <c r="F3333" s="582"/>
      <c r="G3333" s="582"/>
    </row>
    <row r="3334" spans="2:7" ht="15.75" x14ac:dyDescent="0.25">
      <c r="B3334" s="547">
        <f t="shared" si="138"/>
        <v>3296</v>
      </c>
      <c r="D3334" s="688" t="s">
        <v>6753</v>
      </c>
      <c r="E3334" s="26">
        <v>0.01</v>
      </c>
    </row>
    <row r="3335" spans="2:7" ht="15.75" x14ac:dyDescent="0.25">
      <c r="B3335" s="547">
        <f t="shared" si="138"/>
        <v>3297</v>
      </c>
      <c r="D3335" s="688" t="s">
        <v>6754</v>
      </c>
      <c r="E3335" s="26">
        <v>0.01</v>
      </c>
    </row>
    <row r="3336" spans="2:7" ht="15.75" x14ac:dyDescent="0.25">
      <c r="B3336" s="547">
        <f t="shared" si="138"/>
        <v>3298</v>
      </c>
      <c r="D3336" s="688" t="s">
        <v>6755</v>
      </c>
      <c r="E3336" s="26">
        <v>1000</v>
      </c>
    </row>
    <row r="3337" spans="2:7" ht="15.75" x14ac:dyDescent="0.25">
      <c r="B3337" s="547">
        <f t="shared" si="138"/>
        <v>3299</v>
      </c>
      <c r="D3337" s="688" t="s">
        <v>6756</v>
      </c>
      <c r="E3337" s="26">
        <v>0.01</v>
      </c>
    </row>
    <row r="3338" spans="2:7" ht="15.75" x14ac:dyDescent="0.25">
      <c r="B3338" s="547">
        <f t="shared" si="138"/>
        <v>3300</v>
      </c>
      <c r="D3338" s="688" t="s">
        <v>6757</v>
      </c>
      <c r="E3338" s="26">
        <v>2000</v>
      </c>
    </row>
    <row r="3339" spans="2:7" ht="15.75" x14ac:dyDescent="0.25">
      <c r="B3339" s="547">
        <f t="shared" si="138"/>
        <v>3301</v>
      </c>
      <c r="D3339" s="688" t="s">
        <v>6758</v>
      </c>
      <c r="E3339" s="26">
        <v>0.01</v>
      </c>
    </row>
    <row r="3340" spans="2:7" ht="15.75" x14ac:dyDescent="0.25">
      <c r="B3340" s="547">
        <f t="shared" si="138"/>
        <v>3302</v>
      </c>
      <c r="D3340" s="688" t="s">
        <v>6759</v>
      </c>
      <c r="E3340" s="26">
        <v>0.01</v>
      </c>
    </row>
    <row r="3341" spans="2:7" ht="15.75" x14ac:dyDescent="0.25">
      <c r="B3341" s="547">
        <f t="shared" si="138"/>
        <v>3303</v>
      </c>
      <c r="D3341" s="688" t="s">
        <v>6760</v>
      </c>
      <c r="E3341" s="26">
        <v>1.0999999999999999E-2</v>
      </c>
    </row>
    <row r="3342" spans="2:7" ht="15.75" x14ac:dyDescent="0.25">
      <c r="B3342" s="547">
        <f t="shared" si="138"/>
        <v>3304</v>
      </c>
      <c r="D3342" s="688" t="s">
        <v>6761</v>
      </c>
      <c r="E3342" s="26">
        <v>0.01</v>
      </c>
    </row>
    <row r="3343" spans="2:7" ht="16.5" customHeight="1" x14ac:dyDescent="0.25">
      <c r="B3343" s="547">
        <f t="shared" si="138"/>
        <v>3305</v>
      </c>
      <c r="C3343" s="579" t="s">
        <v>6841</v>
      </c>
      <c r="D3343" s="579" t="str">
        <f>DESPORC!D3896</f>
        <v>PROMOÇÃO DA ASSISTENCIA SOCIAL BÁSICA</v>
      </c>
      <c r="E3343" s="580"/>
      <c r="F3343" s="582"/>
      <c r="G3343" s="582"/>
    </row>
    <row r="3344" spans="2:7" ht="15.75" x14ac:dyDescent="0.25">
      <c r="B3344" s="547">
        <f t="shared" si="138"/>
        <v>3306</v>
      </c>
      <c r="D3344" s="688" t="s">
        <v>6762</v>
      </c>
      <c r="E3344" s="26">
        <v>0.01</v>
      </c>
    </row>
    <row r="3345" spans="2:7" ht="15.75" x14ac:dyDescent="0.25">
      <c r="B3345" s="547">
        <f t="shared" ref="B3345:B3408" si="139">B3344+1</f>
        <v>3307</v>
      </c>
      <c r="D3345" s="688" t="s">
        <v>6763</v>
      </c>
      <c r="E3345" s="26">
        <v>0.01</v>
      </c>
    </row>
    <row r="3346" spans="2:7" ht="31.5" x14ac:dyDescent="0.25">
      <c r="B3346" s="547">
        <f t="shared" si="139"/>
        <v>3308</v>
      </c>
      <c r="D3346" s="688" t="s">
        <v>6764</v>
      </c>
      <c r="E3346" s="26">
        <v>3000</v>
      </c>
    </row>
    <row r="3347" spans="2:7" ht="15.75" x14ac:dyDescent="0.25">
      <c r="B3347" s="547">
        <f t="shared" si="139"/>
        <v>3309</v>
      </c>
      <c r="D3347" s="688" t="s">
        <v>6765</v>
      </c>
      <c r="E3347" s="26">
        <v>0.01</v>
      </c>
    </row>
    <row r="3348" spans="2:7" ht="15.75" x14ac:dyDescent="0.25">
      <c r="B3348" s="547">
        <f t="shared" si="139"/>
        <v>3310</v>
      </c>
      <c r="D3348" s="688" t="s">
        <v>6766</v>
      </c>
      <c r="E3348" s="26">
        <v>2000</v>
      </c>
    </row>
    <row r="3349" spans="2:7" ht="15.75" x14ac:dyDescent="0.25">
      <c r="B3349" s="547">
        <f t="shared" si="139"/>
        <v>3311</v>
      </c>
      <c r="D3349" s="688" t="s">
        <v>6767</v>
      </c>
      <c r="E3349" s="26">
        <v>0.01</v>
      </c>
    </row>
    <row r="3350" spans="2:7" ht="15.75" x14ac:dyDescent="0.25">
      <c r="B3350" s="547">
        <f t="shared" si="139"/>
        <v>3312</v>
      </c>
      <c r="D3350" s="688" t="s">
        <v>6768</v>
      </c>
      <c r="E3350" s="26">
        <v>0.01</v>
      </c>
    </row>
    <row r="3351" spans="2:7" ht="15.75" x14ac:dyDescent="0.25">
      <c r="B3351" s="547">
        <f t="shared" si="139"/>
        <v>3313</v>
      </c>
      <c r="D3351" s="688" t="s">
        <v>6769</v>
      </c>
      <c r="E3351" s="26">
        <v>0.01</v>
      </c>
    </row>
    <row r="3352" spans="2:7" ht="15.75" x14ac:dyDescent="0.25">
      <c r="B3352" s="547">
        <f t="shared" si="139"/>
        <v>3314</v>
      </c>
      <c r="D3352" s="688" t="s">
        <v>6770</v>
      </c>
      <c r="E3352" s="26">
        <v>0.01</v>
      </c>
    </row>
    <row r="3353" spans="2:7" ht="16.5" customHeight="1" x14ac:dyDescent="0.25">
      <c r="B3353" s="547">
        <f t="shared" si="139"/>
        <v>3315</v>
      </c>
      <c r="C3353" s="579" t="s">
        <v>6841</v>
      </c>
      <c r="D3353" s="579" t="str">
        <f>DESPORC!D3909</f>
        <v>PROMOÇÃO DA ASSISTENCIA SOCIAL BÁSICA</v>
      </c>
      <c r="E3353" s="580"/>
      <c r="F3353" s="582"/>
      <c r="G3353" s="582"/>
    </row>
    <row r="3354" spans="2:7" ht="15.75" x14ac:dyDescent="0.25">
      <c r="B3354" s="547">
        <f t="shared" si="139"/>
        <v>3316</v>
      </c>
      <c r="D3354" s="632" t="s">
        <v>6742</v>
      </c>
      <c r="E3354" s="33">
        <f>SUM(E3355:E3358)</f>
        <v>29040</v>
      </c>
    </row>
    <row r="3355" spans="2:7" ht="15.75" x14ac:dyDescent="0.25">
      <c r="B3355" s="547">
        <f t="shared" si="139"/>
        <v>3317</v>
      </c>
      <c r="D3355" s="688" t="s">
        <v>6848</v>
      </c>
      <c r="E3355" s="612">
        <f>(E3356+E3357+E3358)*E92</f>
        <v>5040</v>
      </c>
    </row>
    <row r="3356" spans="2:7" ht="15.75" x14ac:dyDescent="0.25">
      <c r="B3356" s="547">
        <f t="shared" si="139"/>
        <v>3318</v>
      </c>
      <c r="D3356" s="688" t="s">
        <v>3075</v>
      </c>
      <c r="E3356" s="612">
        <v>20000</v>
      </c>
    </row>
    <row r="3357" spans="2:7" ht="15.75" x14ac:dyDescent="0.25">
      <c r="B3357" s="547">
        <f t="shared" si="139"/>
        <v>3319</v>
      </c>
      <c r="D3357" s="688" t="s">
        <v>4519</v>
      </c>
      <c r="E3357" s="612">
        <v>2000</v>
      </c>
    </row>
    <row r="3358" spans="2:7" ht="15.75" x14ac:dyDescent="0.25">
      <c r="B3358" s="547">
        <f t="shared" si="139"/>
        <v>3320</v>
      </c>
      <c r="D3358" s="688" t="s">
        <v>6847</v>
      </c>
      <c r="E3358" s="612">
        <v>2000</v>
      </c>
    </row>
    <row r="3359" spans="2:7" ht="15.75" x14ac:dyDescent="0.25">
      <c r="B3359" s="547">
        <f t="shared" si="139"/>
        <v>3321</v>
      </c>
      <c r="D3359" s="688" t="s">
        <v>6771</v>
      </c>
      <c r="E3359" s="26">
        <v>0.01</v>
      </c>
    </row>
    <row r="3360" spans="2:7" ht="15.75" x14ac:dyDescent="0.25">
      <c r="B3360" s="547">
        <f t="shared" si="139"/>
        <v>3322</v>
      </c>
      <c r="D3360" s="688" t="s">
        <v>6772</v>
      </c>
      <c r="E3360" s="26">
        <v>0.01</v>
      </c>
    </row>
    <row r="3361" spans="2:6" ht="15.75" x14ac:dyDescent="0.25">
      <c r="B3361" s="547">
        <f t="shared" si="139"/>
        <v>3323</v>
      </c>
      <c r="D3361" s="688" t="s">
        <v>6775</v>
      </c>
      <c r="E3361" s="26">
        <v>0.01</v>
      </c>
    </row>
    <row r="3362" spans="2:6" ht="15.75" x14ac:dyDescent="0.25">
      <c r="B3362" s="547">
        <f t="shared" si="139"/>
        <v>3324</v>
      </c>
      <c r="D3362" s="688" t="s">
        <v>6773</v>
      </c>
      <c r="E3362" s="26">
        <v>0.01</v>
      </c>
    </row>
    <row r="3363" spans="2:6" ht="15.75" x14ac:dyDescent="0.25">
      <c r="B3363" s="547">
        <f t="shared" si="139"/>
        <v>3325</v>
      </c>
      <c r="D3363" s="688" t="s">
        <v>6680</v>
      </c>
      <c r="E3363" s="26">
        <v>0.01</v>
      </c>
    </row>
    <row r="3364" spans="2:6" ht="15.75" x14ac:dyDescent="0.25">
      <c r="B3364" s="547">
        <f t="shared" si="139"/>
        <v>3326</v>
      </c>
      <c r="D3364" s="688" t="s">
        <v>6774</v>
      </c>
      <c r="E3364" s="26">
        <v>0.01</v>
      </c>
    </row>
    <row r="3365" spans="2:6" ht="15.75" x14ac:dyDescent="0.25">
      <c r="B3365" s="547">
        <f t="shared" si="139"/>
        <v>3327</v>
      </c>
      <c r="D3365" s="688" t="s">
        <v>6681</v>
      </c>
      <c r="E3365" s="26">
        <v>0.01</v>
      </c>
    </row>
    <row r="3366" spans="2:6" ht="15.75" x14ac:dyDescent="0.25">
      <c r="B3366" s="547">
        <f t="shared" si="139"/>
        <v>3328</v>
      </c>
      <c r="D3366" s="688" t="s">
        <v>6682</v>
      </c>
      <c r="E3366" s="26">
        <v>5000</v>
      </c>
    </row>
    <row r="3367" spans="2:6" ht="15.75" x14ac:dyDescent="0.25">
      <c r="B3367" s="547">
        <f t="shared" si="139"/>
        <v>3329</v>
      </c>
      <c r="D3367" s="688" t="s">
        <v>6683</v>
      </c>
      <c r="E3367" s="26">
        <v>0.01</v>
      </c>
    </row>
    <row r="3368" spans="2:6" ht="15.75" x14ac:dyDescent="0.25">
      <c r="B3368" s="547">
        <f t="shared" si="139"/>
        <v>3330</v>
      </c>
      <c r="D3368" s="688" t="s">
        <v>6684</v>
      </c>
      <c r="E3368" s="26">
        <v>0.01</v>
      </c>
    </row>
    <row r="3369" spans="2:6" ht="15.75" x14ac:dyDescent="0.25">
      <c r="B3369" s="547">
        <f t="shared" si="139"/>
        <v>3331</v>
      </c>
      <c r="D3369" s="688" t="s">
        <v>6685</v>
      </c>
      <c r="E3369" s="26">
        <f>10000+5147.96-1-3520+7755.37</f>
        <v>19382.329999999998</v>
      </c>
    </row>
    <row r="3370" spans="2:6" ht="15.75" x14ac:dyDescent="0.25">
      <c r="B3370" s="547">
        <f t="shared" si="139"/>
        <v>3332</v>
      </c>
      <c r="D3370" s="688" t="s">
        <v>6686</v>
      </c>
      <c r="E3370" s="26">
        <f>5888/8*12*(1+E10)*(1+E16)</f>
        <v>9691.7095295999989</v>
      </c>
    </row>
    <row r="3371" spans="2:6" ht="15.75" x14ac:dyDescent="0.25">
      <c r="B3371" s="547">
        <f t="shared" si="139"/>
        <v>3333</v>
      </c>
      <c r="D3371" s="688" t="s">
        <v>6776</v>
      </c>
      <c r="E3371" s="26">
        <v>600</v>
      </c>
    </row>
    <row r="3372" spans="2:6" ht="15.75" x14ac:dyDescent="0.25">
      <c r="B3372" s="547">
        <f t="shared" si="139"/>
        <v>3334</v>
      </c>
      <c r="D3372" s="688" t="s">
        <v>6687</v>
      </c>
      <c r="E3372" s="26">
        <v>0.01</v>
      </c>
    </row>
    <row r="3373" spans="2:6" ht="15.75" x14ac:dyDescent="0.25">
      <c r="B3373" s="547">
        <f t="shared" si="139"/>
        <v>3335</v>
      </c>
      <c r="D3373" s="688" t="s">
        <v>6688</v>
      </c>
      <c r="E3373" s="26">
        <v>0.01</v>
      </c>
    </row>
    <row r="3374" spans="2:6" ht="15.75" x14ac:dyDescent="0.25">
      <c r="B3374" s="547">
        <f t="shared" si="139"/>
        <v>3336</v>
      </c>
      <c r="D3374" s="688" t="s">
        <v>6689</v>
      </c>
      <c r="E3374" s="26">
        <v>500</v>
      </c>
    </row>
    <row r="3375" spans="2:6" ht="15.75" x14ac:dyDescent="0.25">
      <c r="B3375" s="547">
        <f t="shared" si="139"/>
        <v>3337</v>
      </c>
      <c r="D3375" s="688" t="s">
        <v>6690</v>
      </c>
      <c r="E3375" s="26">
        <v>0.01</v>
      </c>
    </row>
    <row r="3376" spans="2:6" ht="15.75" x14ac:dyDescent="0.25">
      <c r="B3376" s="547">
        <f t="shared" si="139"/>
        <v>3338</v>
      </c>
      <c r="D3376" s="688" t="s">
        <v>6842</v>
      </c>
      <c r="E3376" s="26">
        <v>0.01</v>
      </c>
      <c r="F3376" s="691"/>
    </row>
    <row r="3377" spans="2:7" ht="15.75" x14ac:dyDescent="0.25">
      <c r="B3377" s="547">
        <f t="shared" si="139"/>
        <v>3339</v>
      </c>
      <c r="D3377" s="688" t="s">
        <v>6843</v>
      </c>
      <c r="E3377" s="26">
        <f>ER!E676-E3380</f>
        <v>484631.99</v>
      </c>
      <c r="F3377" s="691"/>
    </row>
    <row r="3378" spans="2:7" ht="15.75" x14ac:dyDescent="0.25">
      <c r="B3378" s="547">
        <f t="shared" si="139"/>
        <v>3340</v>
      </c>
      <c r="D3378" s="688" t="s">
        <v>6844</v>
      </c>
      <c r="E3378" s="26">
        <v>0.01</v>
      </c>
      <c r="F3378" s="691"/>
    </row>
    <row r="3379" spans="2:7" ht="15.75" x14ac:dyDescent="0.25">
      <c r="B3379" s="547">
        <f t="shared" si="139"/>
        <v>3341</v>
      </c>
      <c r="D3379" s="688" t="s">
        <v>6845</v>
      </c>
      <c r="E3379" s="26">
        <v>0.01</v>
      </c>
      <c r="F3379" s="691"/>
    </row>
    <row r="3380" spans="2:7" ht="15.75" x14ac:dyDescent="0.25">
      <c r="B3380" s="547">
        <f t="shared" si="139"/>
        <v>3342</v>
      </c>
      <c r="D3380" s="688" t="s">
        <v>6846</v>
      </c>
      <c r="E3380" s="26">
        <v>0.01</v>
      </c>
      <c r="F3380" s="691"/>
    </row>
    <row r="3381" spans="2:7" ht="16.5" customHeight="1" x14ac:dyDescent="0.25">
      <c r="B3381" s="547">
        <f t="shared" si="139"/>
        <v>3343</v>
      </c>
      <c r="C3381" s="579" t="s">
        <v>6849</v>
      </c>
      <c r="D3381" s="579" t="str">
        <f>DESPORC!D3938</f>
        <v>Promoção da Assistencia Social Especial e Média Complexidade</v>
      </c>
      <c r="E3381" s="580"/>
      <c r="F3381" s="582"/>
      <c r="G3381" s="582"/>
    </row>
    <row r="3382" spans="2:7" ht="15.75" x14ac:dyDescent="0.25">
      <c r="B3382" s="547">
        <f t="shared" si="139"/>
        <v>3344</v>
      </c>
      <c r="D3382" s="688" t="s">
        <v>6777</v>
      </c>
      <c r="E3382" s="26">
        <v>0.01</v>
      </c>
    </row>
    <row r="3383" spans="2:7" ht="15.75" x14ac:dyDescent="0.25">
      <c r="B3383" s="547">
        <f t="shared" si="139"/>
        <v>3345</v>
      </c>
      <c r="D3383" s="688" t="s">
        <v>6778</v>
      </c>
      <c r="E3383" s="612">
        <v>0.01</v>
      </c>
    </row>
    <row r="3384" spans="2:7" ht="15.75" x14ac:dyDescent="0.25">
      <c r="B3384" s="547">
        <f t="shared" si="139"/>
        <v>3346</v>
      </c>
      <c r="D3384" s="688" t="s">
        <v>6779</v>
      </c>
      <c r="E3384" s="612">
        <v>0.01</v>
      </c>
    </row>
    <row r="3385" spans="2:7" ht="15.75" x14ac:dyDescent="0.25">
      <c r="B3385" s="547">
        <f t="shared" si="139"/>
        <v>3347</v>
      </c>
      <c r="D3385" s="688" t="s">
        <v>6786</v>
      </c>
      <c r="E3385" s="612">
        <v>0.01</v>
      </c>
    </row>
    <row r="3386" spans="2:7" ht="15.75" x14ac:dyDescent="0.25">
      <c r="B3386" s="547">
        <f t="shared" si="139"/>
        <v>3348</v>
      </c>
      <c r="D3386" s="688" t="s">
        <v>6780</v>
      </c>
      <c r="E3386" s="612">
        <v>0.01</v>
      </c>
    </row>
    <row r="3387" spans="2:7" ht="15.75" x14ac:dyDescent="0.25">
      <c r="B3387" s="547">
        <f t="shared" si="139"/>
        <v>3349</v>
      </c>
      <c r="D3387" s="688" t="s">
        <v>6781</v>
      </c>
      <c r="E3387" s="612">
        <v>0.01</v>
      </c>
    </row>
    <row r="3388" spans="2:7" ht="15.75" x14ac:dyDescent="0.25">
      <c r="B3388" s="547">
        <f t="shared" si="139"/>
        <v>3350</v>
      </c>
      <c r="D3388" s="688" t="s">
        <v>6782</v>
      </c>
      <c r="E3388" s="612">
        <v>0.01</v>
      </c>
    </row>
    <row r="3389" spans="2:7" ht="15.75" x14ac:dyDescent="0.25">
      <c r="B3389" s="547">
        <f t="shared" si="139"/>
        <v>3351</v>
      </c>
      <c r="D3389" s="688" t="s">
        <v>6783</v>
      </c>
      <c r="E3389" s="612">
        <v>0.01</v>
      </c>
    </row>
    <row r="3390" spans="2:7" ht="15.75" x14ac:dyDescent="0.25">
      <c r="B3390" s="547">
        <f t="shared" si="139"/>
        <v>3352</v>
      </c>
      <c r="D3390" s="688" t="s">
        <v>6784</v>
      </c>
      <c r="E3390" s="612">
        <v>0.01</v>
      </c>
    </row>
    <row r="3391" spans="2:7" ht="15.75" x14ac:dyDescent="0.25">
      <c r="B3391" s="547">
        <f t="shared" si="139"/>
        <v>3353</v>
      </c>
      <c r="D3391" s="688" t="s">
        <v>6785</v>
      </c>
      <c r="E3391" s="612">
        <v>0.01</v>
      </c>
    </row>
    <row r="3392" spans="2:7" ht="16.5" customHeight="1" x14ac:dyDescent="0.25">
      <c r="B3392" s="547">
        <f t="shared" si="139"/>
        <v>3354</v>
      </c>
      <c r="C3392" s="579" t="s">
        <v>6849</v>
      </c>
      <c r="D3392" s="579" t="str">
        <f>DESPORC!D3952</f>
        <v>Promoção da Assistencia Social Especial e Média Complexidade</v>
      </c>
      <c r="E3392" s="580"/>
      <c r="F3392" s="582"/>
      <c r="G3392" s="582"/>
    </row>
    <row r="3393" spans="2:7" ht="15.75" x14ac:dyDescent="0.25">
      <c r="B3393" s="547">
        <f t="shared" si="139"/>
        <v>3355</v>
      </c>
      <c r="D3393" s="688" t="s">
        <v>6787</v>
      </c>
      <c r="E3393" s="612">
        <v>0.01</v>
      </c>
    </row>
    <row r="3394" spans="2:7" ht="15.75" x14ac:dyDescent="0.25">
      <c r="B3394" s="547">
        <f t="shared" si="139"/>
        <v>3356</v>
      </c>
      <c r="D3394" s="688" t="s">
        <v>6788</v>
      </c>
      <c r="E3394" s="612">
        <v>0.01</v>
      </c>
    </row>
    <row r="3395" spans="2:7" ht="15.75" x14ac:dyDescent="0.25">
      <c r="B3395" s="547">
        <f t="shared" si="139"/>
        <v>3357</v>
      </c>
      <c r="D3395" s="688" t="s">
        <v>6795</v>
      </c>
      <c r="E3395" s="612">
        <v>0.01</v>
      </c>
    </row>
    <row r="3396" spans="2:7" ht="15.75" x14ac:dyDescent="0.25">
      <c r="B3396" s="547">
        <f t="shared" si="139"/>
        <v>3358</v>
      </c>
      <c r="D3396" s="688" t="s">
        <v>6789</v>
      </c>
      <c r="E3396" s="612">
        <v>0.01</v>
      </c>
    </row>
    <row r="3397" spans="2:7" ht="15.75" x14ac:dyDescent="0.25">
      <c r="B3397" s="547">
        <f t="shared" si="139"/>
        <v>3359</v>
      </c>
      <c r="D3397" s="688" t="s">
        <v>6790</v>
      </c>
      <c r="E3397" s="612">
        <v>0.01</v>
      </c>
    </row>
    <row r="3398" spans="2:7" ht="15.75" x14ac:dyDescent="0.25">
      <c r="B3398" s="547">
        <f t="shared" si="139"/>
        <v>3360</v>
      </c>
      <c r="D3398" s="688" t="s">
        <v>6791</v>
      </c>
      <c r="E3398" s="612">
        <v>0.01</v>
      </c>
    </row>
    <row r="3399" spans="2:7" ht="15.75" x14ac:dyDescent="0.25">
      <c r="B3399" s="547">
        <f t="shared" si="139"/>
        <v>3361</v>
      </c>
      <c r="D3399" s="688" t="s">
        <v>6792</v>
      </c>
      <c r="E3399" s="612">
        <v>0.01</v>
      </c>
    </row>
    <row r="3400" spans="2:7" ht="15.75" x14ac:dyDescent="0.25">
      <c r="B3400" s="547">
        <f t="shared" si="139"/>
        <v>3362</v>
      </c>
      <c r="D3400" s="688" t="s">
        <v>6793</v>
      </c>
      <c r="E3400" s="612">
        <v>0.01</v>
      </c>
    </row>
    <row r="3401" spans="2:7" ht="15.75" x14ac:dyDescent="0.25">
      <c r="B3401" s="547">
        <f t="shared" si="139"/>
        <v>3363</v>
      </c>
      <c r="D3401" s="688" t="s">
        <v>6794</v>
      </c>
      <c r="E3401" s="612">
        <v>0.01</v>
      </c>
    </row>
    <row r="3402" spans="2:7" ht="16.5" customHeight="1" x14ac:dyDescent="0.25">
      <c r="B3402" s="547">
        <f t="shared" si="139"/>
        <v>3364</v>
      </c>
      <c r="C3402" s="579" t="s">
        <v>6849</v>
      </c>
      <c r="D3402" s="579" t="str">
        <f>DESPORC!D3965</f>
        <v>Promoção da Assistencia Social Especial e Média Complexidade</v>
      </c>
      <c r="E3402" s="580"/>
      <c r="F3402" s="582"/>
      <c r="G3402" s="582"/>
    </row>
    <row r="3403" spans="2:7" ht="15.75" x14ac:dyDescent="0.25">
      <c r="B3403" s="547">
        <f t="shared" si="139"/>
        <v>3365</v>
      </c>
      <c r="D3403" s="688" t="s">
        <v>6796</v>
      </c>
      <c r="E3403" s="612">
        <v>0.01</v>
      </c>
    </row>
    <row r="3404" spans="2:7" ht="15.75" x14ac:dyDescent="0.25">
      <c r="B3404" s="547">
        <f t="shared" si="139"/>
        <v>3366</v>
      </c>
      <c r="D3404" s="688" t="s">
        <v>6797</v>
      </c>
      <c r="E3404" s="612">
        <v>0.01</v>
      </c>
    </row>
    <row r="3405" spans="2:7" ht="15.75" x14ac:dyDescent="0.25">
      <c r="B3405" s="547">
        <f t="shared" si="139"/>
        <v>3367</v>
      </c>
      <c r="D3405" s="688" t="s">
        <v>6803</v>
      </c>
      <c r="E3405" s="612">
        <v>0.01</v>
      </c>
    </row>
    <row r="3406" spans="2:7" ht="15.75" x14ac:dyDescent="0.25">
      <c r="B3406" s="547">
        <f t="shared" si="139"/>
        <v>3368</v>
      </c>
      <c r="D3406" s="688" t="s">
        <v>6798</v>
      </c>
      <c r="E3406" s="612">
        <v>0.01</v>
      </c>
    </row>
    <row r="3407" spans="2:7" ht="15.75" x14ac:dyDescent="0.25">
      <c r="B3407" s="547">
        <f t="shared" si="139"/>
        <v>3369</v>
      </c>
      <c r="D3407" s="688" t="s">
        <v>6799</v>
      </c>
      <c r="E3407" s="612">
        <v>0.01</v>
      </c>
    </row>
    <row r="3408" spans="2:7" ht="15.75" x14ac:dyDescent="0.25">
      <c r="B3408" s="547">
        <f t="shared" si="139"/>
        <v>3370</v>
      </c>
      <c r="D3408" s="688" t="s">
        <v>6800</v>
      </c>
      <c r="E3408" s="612">
        <v>0.01</v>
      </c>
    </row>
    <row r="3409" spans="2:7" ht="15.75" x14ac:dyDescent="0.25">
      <c r="B3409" s="547">
        <f t="shared" ref="B3409:B3472" si="140">B3408+1</f>
        <v>3371</v>
      </c>
      <c r="D3409" s="688" t="s">
        <v>6801</v>
      </c>
      <c r="E3409" s="612">
        <v>0.01</v>
      </c>
    </row>
    <row r="3410" spans="2:7" ht="15.75" x14ac:dyDescent="0.25">
      <c r="B3410" s="547">
        <f t="shared" si="140"/>
        <v>3372</v>
      </c>
      <c r="D3410" s="688" t="s">
        <v>6802</v>
      </c>
      <c r="E3410" s="612">
        <v>0.01</v>
      </c>
    </row>
    <row r="3411" spans="2:7" ht="15.75" x14ac:dyDescent="0.25">
      <c r="B3411" s="547">
        <f t="shared" si="140"/>
        <v>3373</v>
      </c>
      <c r="D3411" s="688" t="s">
        <v>6804</v>
      </c>
      <c r="E3411" s="612">
        <v>0.01</v>
      </c>
    </row>
    <row r="3412" spans="2:7" ht="16.5" customHeight="1" x14ac:dyDescent="0.25">
      <c r="B3412" s="547">
        <f t="shared" si="140"/>
        <v>3374</v>
      </c>
      <c r="C3412" s="579" t="s">
        <v>6849</v>
      </c>
      <c r="D3412" s="579" t="str">
        <f>DESPORC!D3978</f>
        <v>Promoção da Assistencia Social Especial e Média Complexidade</v>
      </c>
      <c r="E3412" s="580"/>
      <c r="F3412" s="582"/>
      <c r="G3412" s="582"/>
    </row>
    <row r="3413" spans="2:7" ht="15.75" x14ac:dyDescent="0.25">
      <c r="B3413" s="547">
        <f t="shared" si="140"/>
        <v>3375</v>
      </c>
      <c r="D3413" s="688" t="s">
        <v>6703</v>
      </c>
      <c r="E3413" s="612">
        <v>0.01</v>
      </c>
    </row>
    <row r="3414" spans="2:7" ht="15.75" x14ac:dyDescent="0.25">
      <c r="B3414" s="547">
        <f t="shared" si="140"/>
        <v>3376</v>
      </c>
      <c r="D3414" s="688" t="s">
        <v>6805</v>
      </c>
      <c r="E3414" s="612">
        <v>0.01</v>
      </c>
    </row>
    <row r="3415" spans="2:7" ht="15.75" x14ac:dyDescent="0.25">
      <c r="B3415" s="547">
        <f t="shared" si="140"/>
        <v>3377</v>
      </c>
      <c r="D3415" s="688" t="s">
        <v>6704</v>
      </c>
      <c r="E3415" s="612">
        <v>0.01</v>
      </c>
    </row>
    <row r="3416" spans="2:7" ht="15.75" x14ac:dyDescent="0.25">
      <c r="B3416" s="547">
        <f t="shared" si="140"/>
        <v>3378</v>
      </c>
      <c r="D3416" s="688" t="s">
        <v>6806</v>
      </c>
      <c r="E3416" s="612">
        <v>0.01</v>
      </c>
    </row>
    <row r="3417" spans="2:7" ht="15.75" x14ac:dyDescent="0.25">
      <c r="B3417" s="547">
        <f t="shared" si="140"/>
        <v>3379</v>
      </c>
      <c r="D3417" s="688" t="s">
        <v>6705</v>
      </c>
      <c r="E3417" s="612">
        <v>0.01</v>
      </c>
    </row>
    <row r="3418" spans="2:7" ht="15.75" x14ac:dyDescent="0.25">
      <c r="B3418" s="547">
        <f t="shared" si="140"/>
        <v>3380</v>
      </c>
      <c r="D3418" s="688" t="s">
        <v>6707</v>
      </c>
      <c r="E3418" s="612">
        <v>0.01</v>
      </c>
    </row>
    <row r="3419" spans="2:7" ht="15.75" x14ac:dyDescent="0.25">
      <c r="B3419" s="547">
        <f t="shared" si="140"/>
        <v>3381</v>
      </c>
      <c r="D3419" s="688" t="s">
        <v>6706</v>
      </c>
      <c r="E3419" s="612">
        <v>0.01</v>
      </c>
    </row>
    <row r="3420" spans="2:7" ht="15.75" x14ac:dyDescent="0.25">
      <c r="B3420" s="547">
        <f t="shared" si="140"/>
        <v>3382</v>
      </c>
      <c r="D3420" s="688" t="s">
        <v>6709</v>
      </c>
      <c r="E3420" s="612">
        <v>0.01</v>
      </c>
    </row>
    <row r="3421" spans="2:7" ht="15.75" x14ac:dyDescent="0.25">
      <c r="B3421" s="547">
        <f t="shared" si="140"/>
        <v>3383</v>
      </c>
      <c r="D3421" s="688" t="s">
        <v>6693</v>
      </c>
      <c r="E3421" s="612">
        <v>0.01</v>
      </c>
    </row>
    <row r="3422" spans="2:7" ht="15.75" x14ac:dyDescent="0.25">
      <c r="B3422" s="547">
        <f t="shared" si="140"/>
        <v>3384</v>
      </c>
      <c r="D3422" s="688" t="s">
        <v>6694</v>
      </c>
      <c r="E3422" s="612">
        <v>0.01</v>
      </c>
    </row>
    <row r="3423" spans="2:7" ht="15.75" x14ac:dyDescent="0.25">
      <c r="B3423" s="547">
        <f t="shared" si="140"/>
        <v>3385</v>
      </c>
      <c r="D3423" s="688" t="s">
        <v>6807</v>
      </c>
      <c r="E3423" s="612">
        <f>940.29-47</f>
        <v>893.29</v>
      </c>
    </row>
    <row r="3424" spans="2:7" ht="15.75" x14ac:dyDescent="0.25">
      <c r="B3424" s="547">
        <f t="shared" si="140"/>
        <v>3386</v>
      </c>
      <c r="D3424" s="688" t="s">
        <v>6695</v>
      </c>
      <c r="E3424" s="612">
        <v>0.01</v>
      </c>
    </row>
    <row r="3425" spans="2:7" ht="15.75" x14ac:dyDescent="0.25">
      <c r="B3425" s="547">
        <f t="shared" si="140"/>
        <v>3387</v>
      </c>
      <c r="D3425" s="688" t="s">
        <v>6696</v>
      </c>
      <c r="E3425" s="612">
        <v>0.01</v>
      </c>
    </row>
    <row r="3426" spans="2:7" ht="15.75" x14ac:dyDescent="0.25">
      <c r="B3426" s="547">
        <f t="shared" si="140"/>
        <v>3388</v>
      </c>
      <c r="D3426" s="688" t="s">
        <v>6697</v>
      </c>
      <c r="E3426" s="612">
        <v>0.01</v>
      </c>
    </row>
    <row r="3427" spans="2:7" ht="15.75" x14ac:dyDescent="0.25">
      <c r="B3427" s="547">
        <f t="shared" si="140"/>
        <v>3389</v>
      </c>
      <c r="D3427" s="688" t="s">
        <v>6808</v>
      </c>
      <c r="E3427" s="612">
        <v>0.01</v>
      </c>
    </row>
    <row r="3428" spans="2:7" ht="15.75" x14ac:dyDescent="0.25">
      <c r="B3428" s="547">
        <f t="shared" si="140"/>
        <v>3390</v>
      </c>
      <c r="D3428" s="688" t="s">
        <v>6809</v>
      </c>
      <c r="E3428" s="612">
        <v>0.01</v>
      </c>
    </row>
    <row r="3429" spans="2:7" ht="15.75" x14ac:dyDescent="0.25">
      <c r="B3429" s="547">
        <f t="shared" si="140"/>
        <v>3391</v>
      </c>
      <c r="D3429" s="688" t="s">
        <v>6698</v>
      </c>
      <c r="E3429" s="612">
        <v>0.01</v>
      </c>
    </row>
    <row r="3430" spans="2:7" ht="15.75" x14ac:dyDescent="0.25">
      <c r="B3430" s="547">
        <f t="shared" si="140"/>
        <v>3392</v>
      </c>
      <c r="D3430" s="688" t="s">
        <v>6699</v>
      </c>
      <c r="E3430" s="612">
        <v>0.01</v>
      </c>
    </row>
    <row r="3431" spans="2:7" ht="15.75" x14ac:dyDescent="0.25">
      <c r="B3431" s="547">
        <f t="shared" si="140"/>
        <v>3393</v>
      </c>
      <c r="D3431" s="688" t="s">
        <v>6700</v>
      </c>
      <c r="E3431" s="612">
        <v>0.01</v>
      </c>
    </row>
    <row r="3432" spans="2:7" ht="15.75" x14ac:dyDescent="0.25">
      <c r="B3432" s="547">
        <f t="shared" si="140"/>
        <v>3394</v>
      </c>
      <c r="D3432" s="688" t="s">
        <v>6701</v>
      </c>
      <c r="E3432" s="612">
        <v>0.01</v>
      </c>
    </row>
    <row r="3433" spans="2:7" ht="15.75" x14ac:dyDescent="0.25">
      <c r="B3433" s="547">
        <f t="shared" si="140"/>
        <v>3395</v>
      </c>
      <c r="D3433" s="688" t="s">
        <v>6708</v>
      </c>
      <c r="E3433" s="612">
        <v>0.01</v>
      </c>
    </row>
    <row r="3434" spans="2:7" ht="16.5" customHeight="1" x14ac:dyDescent="0.25">
      <c r="B3434" s="547">
        <f t="shared" si="140"/>
        <v>3396</v>
      </c>
      <c r="C3434" s="579" t="s">
        <v>6850</v>
      </c>
      <c r="D3434" s="579" t="str">
        <f>DESPORC!D4004</f>
        <v xml:space="preserve">Gestão e operacionalização do Programa Bolsa Família </v>
      </c>
      <c r="E3434" s="580"/>
      <c r="F3434" s="582"/>
      <c r="G3434" s="582"/>
    </row>
    <row r="3435" spans="2:7" ht="15.75" x14ac:dyDescent="0.25">
      <c r="B3435" s="547">
        <f t="shared" si="140"/>
        <v>3397</v>
      </c>
      <c r="D3435" s="688" t="s">
        <v>6714</v>
      </c>
      <c r="E3435" s="612">
        <v>1500</v>
      </c>
    </row>
    <row r="3436" spans="2:7" ht="15.75" x14ac:dyDescent="0.25">
      <c r="B3436" s="547">
        <f t="shared" si="140"/>
        <v>3398</v>
      </c>
      <c r="D3436" s="688" t="s">
        <v>6715</v>
      </c>
      <c r="E3436" s="612">
        <v>10000</v>
      </c>
    </row>
    <row r="3437" spans="2:7" ht="15.75" x14ac:dyDescent="0.25">
      <c r="B3437" s="547">
        <f t="shared" si="140"/>
        <v>3399</v>
      </c>
      <c r="D3437" s="688" t="s">
        <v>6716</v>
      </c>
      <c r="E3437" s="612">
        <v>0.01</v>
      </c>
    </row>
    <row r="3438" spans="2:7" ht="15.75" x14ac:dyDescent="0.25">
      <c r="B3438" s="547">
        <f t="shared" si="140"/>
        <v>3400</v>
      </c>
      <c r="D3438" s="688" t="s">
        <v>6717</v>
      </c>
      <c r="E3438" s="612">
        <v>0.01</v>
      </c>
    </row>
    <row r="3439" spans="2:7" ht="15.75" x14ac:dyDescent="0.25">
      <c r="B3439" s="547">
        <f t="shared" si="140"/>
        <v>3401</v>
      </c>
      <c r="D3439" s="688" t="s">
        <v>6718</v>
      </c>
      <c r="E3439" s="1403">
        <f>ER!E672-E3435-E3436-E3437-E3438-E3440-E3441</f>
        <v>9174.9695489115729</v>
      </c>
    </row>
    <row r="3440" spans="2:7" ht="15.75" x14ac:dyDescent="0.25">
      <c r="B3440" s="547">
        <f t="shared" si="140"/>
        <v>3402</v>
      </c>
      <c r="D3440" s="688" t="s">
        <v>6810</v>
      </c>
      <c r="E3440" s="612">
        <v>0.01</v>
      </c>
    </row>
    <row r="3441" spans="2:7" ht="15.75" x14ac:dyDescent="0.25">
      <c r="B3441" s="547">
        <f t="shared" si="140"/>
        <v>3403</v>
      </c>
      <c r="D3441" s="688" t="s">
        <v>6719</v>
      </c>
      <c r="E3441" s="612">
        <v>0.01</v>
      </c>
    </row>
    <row r="3442" spans="2:7" ht="16.5" customHeight="1" x14ac:dyDescent="0.25">
      <c r="B3442" s="547">
        <f t="shared" si="140"/>
        <v>3404</v>
      </c>
      <c r="C3442" s="579" t="s">
        <v>6851</v>
      </c>
      <c r="D3442" s="579" t="str">
        <f>DESPORC!D4016</f>
        <v>Gestão, Monitoramento e Vigilância – SUAS</v>
      </c>
      <c r="E3442" s="580"/>
      <c r="F3442" s="582"/>
      <c r="G3442" s="582"/>
    </row>
    <row r="3443" spans="2:7" ht="15.75" x14ac:dyDescent="0.25">
      <c r="B3443" s="547">
        <f t="shared" si="140"/>
        <v>3405</v>
      </c>
      <c r="D3443" s="688" t="s">
        <v>6721</v>
      </c>
      <c r="E3443" s="612">
        <v>1000</v>
      </c>
    </row>
    <row r="3444" spans="2:7" ht="15.75" x14ac:dyDescent="0.25">
      <c r="B3444" s="547">
        <f t="shared" si="140"/>
        <v>3406</v>
      </c>
      <c r="D3444" s="688" t="s">
        <v>6722</v>
      </c>
      <c r="E3444" s="612">
        <f>ER!E673-E3443-E3445-E3446-E3447-E3448-E3449</f>
        <v>3423.9928625473412</v>
      </c>
    </row>
    <row r="3445" spans="2:7" ht="15.75" x14ac:dyDescent="0.25">
      <c r="B3445" s="547">
        <f t="shared" si="140"/>
        <v>3407</v>
      </c>
      <c r="D3445" s="688" t="s">
        <v>6723</v>
      </c>
      <c r="E3445" s="612">
        <v>0.01</v>
      </c>
    </row>
    <row r="3446" spans="2:7" ht="15.75" x14ac:dyDescent="0.25">
      <c r="B3446" s="547">
        <f t="shared" si="140"/>
        <v>3408</v>
      </c>
      <c r="D3446" s="688" t="s">
        <v>6724</v>
      </c>
      <c r="E3446" s="612">
        <v>0.01</v>
      </c>
    </row>
    <row r="3447" spans="2:7" ht="15.75" x14ac:dyDescent="0.25">
      <c r="B3447" s="547">
        <f t="shared" si="140"/>
        <v>3409</v>
      </c>
      <c r="D3447" s="688" t="s">
        <v>6725</v>
      </c>
      <c r="E3447" s="612">
        <v>500</v>
      </c>
    </row>
    <row r="3448" spans="2:7" ht="15.75" x14ac:dyDescent="0.25">
      <c r="B3448" s="547">
        <f t="shared" si="140"/>
        <v>3410</v>
      </c>
      <c r="D3448" s="688" t="s">
        <v>6811</v>
      </c>
      <c r="E3448" s="612">
        <v>0.01</v>
      </c>
    </row>
    <row r="3449" spans="2:7" ht="15.75" x14ac:dyDescent="0.25">
      <c r="B3449" s="547">
        <f t="shared" si="140"/>
        <v>3411</v>
      </c>
      <c r="D3449" s="688" t="s">
        <v>6726</v>
      </c>
      <c r="E3449" s="612">
        <v>0.01</v>
      </c>
    </row>
    <row r="3450" spans="2:7" ht="16.5" customHeight="1" x14ac:dyDescent="0.25">
      <c r="B3450" s="547">
        <f t="shared" si="140"/>
        <v>3412</v>
      </c>
      <c r="C3450" s="579" t="s">
        <v>6851</v>
      </c>
      <c r="D3450" s="579" t="str">
        <f>DESPORC!D4029</f>
        <v>Gestão, Monitoramento e Vigilância – SUAS</v>
      </c>
      <c r="E3450" s="580"/>
      <c r="F3450" s="582"/>
      <c r="G3450" s="582"/>
    </row>
    <row r="3451" spans="2:7" ht="15.75" x14ac:dyDescent="0.25">
      <c r="B3451" s="547">
        <f t="shared" si="140"/>
        <v>3413</v>
      </c>
      <c r="D3451" s="688" t="s">
        <v>6728</v>
      </c>
      <c r="E3451" s="612">
        <v>0.01</v>
      </c>
    </row>
    <row r="3452" spans="2:7" ht="15.75" x14ac:dyDescent="0.25">
      <c r="B3452" s="547">
        <f t="shared" si="140"/>
        <v>3414</v>
      </c>
      <c r="D3452" s="688" t="s">
        <v>6727</v>
      </c>
      <c r="E3452" s="612">
        <f>ER!E667-E3451-E3453</f>
        <v>582.30469944065851</v>
      </c>
    </row>
    <row r="3453" spans="2:7" ht="15.75" x14ac:dyDescent="0.25">
      <c r="B3453" s="547">
        <f t="shared" si="140"/>
        <v>3415</v>
      </c>
      <c r="D3453" s="688" t="s">
        <v>6729</v>
      </c>
      <c r="E3453" s="612">
        <v>0.01</v>
      </c>
    </row>
    <row r="3454" spans="2:7" x14ac:dyDescent="0.25">
      <c r="B3454" s="547">
        <f t="shared" si="140"/>
        <v>3416</v>
      </c>
      <c r="D3454" s="12" t="s">
        <v>6852</v>
      </c>
      <c r="E3454" s="612"/>
    </row>
    <row r="3455" spans="2:7" ht="16.5" customHeight="1" x14ac:dyDescent="0.25">
      <c r="B3455" s="547">
        <f t="shared" si="140"/>
        <v>3417</v>
      </c>
      <c r="C3455" s="579" t="s">
        <v>6853</v>
      </c>
      <c r="D3455" s="579" t="str">
        <f>DESPORC!D4051</f>
        <v xml:space="preserve">GESTÃO DO F.M.C.A. </v>
      </c>
      <c r="E3455" s="580"/>
      <c r="F3455" s="582"/>
      <c r="G3455" s="582"/>
    </row>
    <row r="3456" spans="2:7" ht="15.75" x14ac:dyDescent="0.25">
      <c r="B3456" s="547">
        <f t="shared" si="140"/>
        <v>3418</v>
      </c>
      <c r="D3456" s="688" t="s">
        <v>6812</v>
      </c>
      <c r="E3456" s="26">
        <v>1000</v>
      </c>
    </row>
    <row r="3457" spans="2:7" ht="15.75" x14ac:dyDescent="0.25">
      <c r="B3457" s="547">
        <f t="shared" si="140"/>
        <v>3419</v>
      </c>
      <c r="D3457" s="688" t="s">
        <v>6813</v>
      </c>
      <c r="E3457" s="26">
        <v>2000</v>
      </c>
    </row>
    <row r="3458" spans="2:7" ht="15.75" x14ac:dyDescent="0.25">
      <c r="B3458" s="547">
        <f t="shared" si="140"/>
        <v>3420</v>
      </c>
      <c r="D3458" s="688" t="s">
        <v>6814</v>
      </c>
      <c r="E3458" s="612">
        <v>0.01</v>
      </c>
    </row>
    <row r="3459" spans="2:7" ht="15.75" x14ac:dyDescent="0.25">
      <c r="B3459" s="547">
        <f t="shared" si="140"/>
        <v>3421</v>
      </c>
      <c r="D3459" s="688" t="s">
        <v>6815</v>
      </c>
      <c r="E3459" s="612">
        <v>0.01</v>
      </c>
    </row>
    <row r="3460" spans="2:7" ht="15.75" x14ac:dyDescent="0.25">
      <c r="B3460" s="547">
        <f t="shared" si="140"/>
        <v>3422</v>
      </c>
      <c r="D3460" s="688" t="s">
        <v>6816</v>
      </c>
      <c r="E3460" s="612">
        <v>0.01</v>
      </c>
    </row>
    <row r="3461" spans="2:7" ht="15.75" x14ac:dyDescent="0.25">
      <c r="B3461" s="547">
        <f t="shared" si="140"/>
        <v>3423</v>
      </c>
      <c r="D3461" s="688" t="s">
        <v>6817</v>
      </c>
      <c r="E3461" s="612">
        <v>0.01</v>
      </c>
    </row>
    <row r="3462" spans="2:7" ht="15.75" x14ac:dyDescent="0.25">
      <c r="B3462" s="547">
        <f t="shared" si="140"/>
        <v>3424</v>
      </c>
      <c r="D3462" s="688" t="s">
        <v>6818</v>
      </c>
      <c r="E3462" s="612">
        <v>0.01</v>
      </c>
    </row>
    <row r="3463" spans="2:7" ht="15.75" x14ac:dyDescent="0.25">
      <c r="B3463" s="547">
        <f t="shared" si="140"/>
        <v>3425</v>
      </c>
      <c r="D3463" s="688" t="s">
        <v>6819</v>
      </c>
      <c r="E3463" s="612">
        <v>0.01</v>
      </c>
    </row>
    <row r="3464" spans="2:7" ht="16.5" customHeight="1" x14ac:dyDescent="0.25">
      <c r="B3464" s="547">
        <f t="shared" si="140"/>
        <v>3426</v>
      </c>
      <c r="C3464" s="579" t="s">
        <v>6887</v>
      </c>
      <c r="D3464" s="579" t="str">
        <f>DESPORC!D4063</f>
        <v>GESTÃO DO PROGRAMA UNIAO FAZ A VIDA</v>
      </c>
      <c r="E3464" s="580"/>
      <c r="F3464" s="582"/>
      <c r="G3464" s="582"/>
    </row>
    <row r="3465" spans="2:7" ht="15.75" x14ac:dyDescent="0.25">
      <c r="B3465" s="547">
        <f t="shared" si="140"/>
        <v>3427</v>
      </c>
      <c r="D3465" s="688" t="s">
        <v>6857</v>
      </c>
      <c r="E3465" s="26">
        <f>1-E3466-E3467-E3468-E3469-E3470</f>
        <v>0.95</v>
      </c>
    </row>
    <row r="3466" spans="2:7" ht="15.75" x14ac:dyDescent="0.25">
      <c r="B3466" s="547">
        <f t="shared" si="140"/>
        <v>3428</v>
      </c>
      <c r="D3466" s="688" t="s">
        <v>6858</v>
      </c>
      <c r="E3466" s="26">
        <v>0.01</v>
      </c>
    </row>
    <row r="3467" spans="2:7" ht="15.75" x14ac:dyDescent="0.25">
      <c r="B3467" s="547">
        <f t="shared" si="140"/>
        <v>3429</v>
      </c>
      <c r="D3467" s="688" t="s">
        <v>6859</v>
      </c>
      <c r="E3467" s="26">
        <v>0.01</v>
      </c>
    </row>
    <row r="3468" spans="2:7" ht="15.75" x14ac:dyDescent="0.25">
      <c r="B3468" s="547">
        <f t="shared" si="140"/>
        <v>3430</v>
      </c>
      <c r="D3468" s="688" t="s">
        <v>6860</v>
      </c>
      <c r="E3468" s="26">
        <v>0.01</v>
      </c>
    </row>
    <row r="3469" spans="2:7" ht="15.75" x14ac:dyDescent="0.25">
      <c r="B3469" s="547">
        <f t="shared" si="140"/>
        <v>3431</v>
      </c>
      <c r="D3469" s="688" t="s">
        <v>6861</v>
      </c>
      <c r="E3469" s="26">
        <v>0.01</v>
      </c>
    </row>
    <row r="3470" spans="2:7" ht="15.75" x14ac:dyDescent="0.25">
      <c r="B3470" s="547">
        <f t="shared" si="140"/>
        <v>3432</v>
      </c>
      <c r="D3470" s="688" t="s">
        <v>6862</v>
      </c>
      <c r="E3470" s="26">
        <v>0.01</v>
      </c>
    </row>
    <row r="3471" spans="2:7" ht="16.5" customHeight="1" x14ac:dyDescent="0.25">
      <c r="B3471" s="547">
        <f t="shared" si="140"/>
        <v>3433</v>
      </c>
      <c r="C3471" s="579" t="s">
        <v>6888</v>
      </c>
      <c r="D3471" s="579" t="str">
        <f>DESPORC!D4073</f>
        <v>GESTÃO DE RECURSOS DE DOAÇÕES IRRF</v>
      </c>
      <c r="E3471" s="580"/>
      <c r="F3471" s="582"/>
      <c r="G3471" s="582"/>
    </row>
    <row r="3472" spans="2:7" ht="15.75" x14ac:dyDescent="0.25">
      <c r="B3472" s="547">
        <f t="shared" si="140"/>
        <v>3434</v>
      </c>
      <c r="D3472" s="688" t="s">
        <v>6863</v>
      </c>
      <c r="E3472" s="26">
        <v>0.01</v>
      </c>
    </row>
    <row r="3473" spans="2:7" ht="15.75" x14ac:dyDescent="0.25">
      <c r="B3473" s="547">
        <f t="shared" ref="B3473:B3500" si="141">B3472+1</f>
        <v>3435</v>
      </c>
      <c r="D3473" s="688" t="s">
        <v>6864</v>
      </c>
      <c r="E3473" s="26">
        <f>1-E3472-E3474-E3475-E3476-E3477-E3478-E3479-E3480</f>
        <v>0.91999999999999993</v>
      </c>
    </row>
    <row r="3474" spans="2:7" ht="15.75" x14ac:dyDescent="0.25">
      <c r="B3474" s="547">
        <f t="shared" si="141"/>
        <v>3436</v>
      </c>
      <c r="D3474" s="688" t="s">
        <v>6871</v>
      </c>
      <c r="E3474" s="26">
        <v>0.01</v>
      </c>
    </row>
    <row r="3475" spans="2:7" ht="15.75" x14ac:dyDescent="0.25">
      <c r="B3475" s="547">
        <f t="shared" si="141"/>
        <v>3437</v>
      </c>
      <c r="D3475" s="688" t="s">
        <v>6865</v>
      </c>
      <c r="E3475" s="26">
        <v>0.01</v>
      </c>
    </row>
    <row r="3476" spans="2:7" ht="15.75" x14ac:dyDescent="0.25">
      <c r="B3476" s="547">
        <f t="shared" si="141"/>
        <v>3438</v>
      </c>
      <c r="D3476" s="688" t="s">
        <v>6866</v>
      </c>
      <c r="E3476" s="26">
        <v>0.01</v>
      </c>
    </row>
    <row r="3477" spans="2:7" ht="15.75" x14ac:dyDescent="0.25">
      <c r="B3477" s="547">
        <f t="shared" si="141"/>
        <v>3439</v>
      </c>
      <c r="D3477" s="688" t="s">
        <v>6867</v>
      </c>
      <c r="E3477" s="26">
        <v>0.01</v>
      </c>
    </row>
    <row r="3478" spans="2:7" ht="15.75" x14ac:dyDescent="0.25">
      <c r="B3478" s="547">
        <f t="shared" si="141"/>
        <v>3440</v>
      </c>
      <c r="D3478" s="688" t="s">
        <v>6868</v>
      </c>
      <c r="E3478" s="26">
        <v>0.01</v>
      </c>
    </row>
    <row r="3479" spans="2:7" ht="15.75" x14ac:dyDescent="0.25">
      <c r="B3479" s="547">
        <f t="shared" si="141"/>
        <v>3441</v>
      </c>
      <c r="D3479" s="688" t="s">
        <v>6869</v>
      </c>
      <c r="E3479" s="26">
        <v>0.01</v>
      </c>
    </row>
    <row r="3480" spans="2:7" ht="15.75" x14ac:dyDescent="0.25">
      <c r="B3480" s="547">
        <f t="shared" si="141"/>
        <v>3442</v>
      </c>
      <c r="D3480" s="688" t="s">
        <v>6870</v>
      </c>
      <c r="E3480" s="26">
        <v>0.01</v>
      </c>
    </row>
    <row r="3481" spans="2:7" ht="16.5" customHeight="1" x14ac:dyDescent="0.25">
      <c r="B3481" s="547">
        <f t="shared" si="141"/>
        <v>3443</v>
      </c>
      <c r="C3481" s="579" t="s">
        <v>6889</v>
      </c>
      <c r="D3481" s="579" t="str">
        <f>DESPORC!D4086</f>
        <v>GESTÃO DE RECURSOS DE PATROCINIOS</v>
      </c>
      <c r="E3481" s="580"/>
      <c r="F3481" s="582"/>
      <c r="G3481" s="582"/>
    </row>
    <row r="3482" spans="2:7" ht="15.75" x14ac:dyDescent="0.25">
      <c r="B3482" s="547">
        <f t="shared" si="141"/>
        <v>3444</v>
      </c>
      <c r="D3482" s="688" t="s">
        <v>6872</v>
      </c>
      <c r="E3482" s="26">
        <v>0.01</v>
      </c>
    </row>
    <row r="3483" spans="2:7" ht="15.75" x14ac:dyDescent="0.25">
      <c r="B3483" s="547">
        <f t="shared" si="141"/>
        <v>3445</v>
      </c>
      <c r="D3483" s="688" t="s">
        <v>6873</v>
      </c>
      <c r="E3483" s="26">
        <f>1-E3482-E3484-E3485-E3486-E3487-E3488-E3489-E3490</f>
        <v>0.91999999999999993</v>
      </c>
    </row>
    <row r="3484" spans="2:7" ht="15.75" x14ac:dyDescent="0.25">
      <c r="B3484" s="547">
        <f t="shared" si="141"/>
        <v>3446</v>
      </c>
      <c r="D3484" s="688" t="s">
        <v>6874</v>
      </c>
      <c r="E3484" s="26">
        <v>0.01</v>
      </c>
    </row>
    <row r="3485" spans="2:7" ht="15.75" x14ac:dyDescent="0.25">
      <c r="B3485" s="547">
        <f t="shared" si="141"/>
        <v>3447</v>
      </c>
      <c r="D3485" s="688" t="s">
        <v>6875</v>
      </c>
      <c r="E3485" s="26">
        <v>0.01</v>
      </c>
    </row>
    <row r="3486" spans="2:7" ht="15.75" x14ac:dyDescent="0.25">
      <c r="B3486" s="547">
        <f t="shared" si="141"/>
        <v>3448</v>
      </c>
      <c r="D3486" s="688" t="s">
        <v>6876</v>
      </c>
      <c r="E3486" s="26">
        <v>0.01</v>
      </c>
    </row>
    <row r="3487" spans="2:7" ht="15.75" x14ac:dyDescent="0.25">
      <c r="B3487" s="547">
        <f t="shared" si="141"/>
        <v>3449</v>
      </c>
      <c r="D3487" s="688" t="s">
        <v>6877</v>
      </c>
      <c r="E3487" s="26">
        <v>0.01</v>
      </c>
    </row>
    <row r="3488" spans="2:7" ht="15.75" x14ac:dyDescent="0.25">
      <c r="B3488" s="547">
        <f t="shared" si="141"/>
        <v>3450</v>
      </c>
      <c r="D3488" s="688" t="s">
        <v>6878</v>
      </c>
      <c r="E3488" s="26">
        <v>0.01</v>
      </c>
    </row>
    <row r="3489" spans="2:7" ht="15.75" x14ac:dyDescent="0.25">
      <c r="B3489" s="547">
        <f t="shared" si="141"/>
        <v>3451</v>
      </c>
      <c r="D3489" s="688" t="s">
        <v>6879</v>
      </c>
      <c r="E3489" s="26">
        <v>0.01</v>
      </c>
    </row>
    <row r="3490" spans="2:7" ht="15.75" x14ac:dyDescent="0.25">
      <c r="B3490" s="547">
        <f t="shared" si="141"/>
        <v>3452</v>
      </c>
      <c r="D3490" s="688" t="s">
        <v>6880</v>
      </c>
      <c r="E3490" s="26">
        <v>0.01</v>
      </c>
    </row>
    <row r="3491" spans="2:7" ht="18.75" x14ac:dyDescent="0.3">
      <c r="B3491" s="547">
        <f t="shared" si="141"/>
        <v>3453</v>
      </c>
      <c r="D3491" s="705" t="s">
        <v>6854</v>
      </c>
    </row>
    <row r="3492" spans="2:7" ht="16.5" customHeight="1" x14ac:dyDescent="0.25">
      <c r="B3492" s="547">
        <f t="shared" si="141"/>
        <v>3454</v>
      </c>
      <c r="C3492" s="579" t="s">
        <v>6855</v>
      </c>
      <c r="D3492" s="579" t="str">
        <f>DESPORC!D4107</f>
        <v>GESTÃO, COORD. E PLANEJ. DE ASSISTÊNCIA SOCIAL</v>
      </c>
      <c r="E3492" s="580"/>
      <c r="F3492" s="582"/>
      <c r="G3492" s="582"/>
    </row>
    <row r="3493" spans="2:7" ht="15.75" x14ac:dyDescent="0.25">
      <c r="B3493" s="547">
        <f t="shared" si="141"/>
        <v>3455</v>
      </c>
      <c r="D3493" s="688" t="s">
        <v>6731</v>
      </c>
      <c r="E3493" s="26">
        <v>0.01</v>
      </c>
    </row>
    <row r="3494" spans="2:7" ht="15.75" x14ac:dyDescent="0.25">
      <c r="B3494" s="547">
        <f t="shared" si="141"/>
        <v>3456</v>
      </c>
      <c r="D3494" s="688" t="s">
        <v>6732</v>
      </c>
      <c r="E3494" s="26">
        <v>0.01</v>
      </c>
    </row>
    <row r="3495" spans="2:7" ht="15.75" x14ac:dyDescent="0.25">
      <c r="B3495" s="547">
        <f t="shared" si="141"/>
        <v>3457</v>
      </c>
      <c r="D3495" s="688" t="s">
        <v>6733</v>
      </c>
      <c r="E3495" s="26">
        <v>0.01</v>
      </c>
    </row>
    <row r="3496" spans="2:7" ht="15.75" x14ac:dyDescent="0.25">
      <c r="B3496" s="547">
        <f t="shared" si="141"/>
        <v>3458</v>
      </c>
      <c r="D3496" s="688" t="s">
        <v>6734</v>
      </c>
      <c r="E3496" s="612">
        <v>0.01</v>
      </c>
    </row>
    <row r="3497" spans="2:7" ht="15.75" x14ac:dyDescent="0.25">
      <c r="B3497" s="547">
        <f t="shared" si="141"/>
        <v>3459</v>
      </c>
      <c r="D3497" s="688" t="s">
        <v>6735</v>
      </c>
      <c r="E3497" s="26">
        <v>0.01</v>
      </c>
    </row>
    <row r="3498" spans="2:7" ht="15.75" x14ac:dyDescent="0.25">
      <c r="B3498" s="547">
        <f t="shared" si="141"/>
        <v>3460</v>
      </c>
      <c r="D3498" s="688" t="s">
        <v>6820</v>
      </c>
      <c r="E3498" s="612">
        <v>0.01</v>
      </c>
    </row>
    <row r="3499" spans="2:7" ht="15.75" x14ac:dyDescent="0.25">
      <c r="B3499" s="547">
        <f t="shared" si="141"/>
        <v>3461</v>
      </c>
      <c r="D3499" s="688" t="s">
        <v>6736</v>
      </c>
      <c r="E3499" s="612">
        <v>0.01</v>
      </c>
    </row>
    <row r="3500" spans="2:7" ht="15.75" x14ac:dyDescent="0.25">
      <c r="B3500" s="547">
        <f t="shared" si="141"/>
        <v>3462</v>
      </c>
      <c r="D3500" s="688" t="s">
        <v>6737</v>
      </c>
      <c r="E3500" s="612">
        <v>0.01</v>
      </c>
    </row>
    <row r="3501" spans="2:7" x14ac:dyDescent="0.25">
      <c r="E3501" s="612"/>
    </row>
  </sheetData>
  <mergeCells count="8">
    <mergeCell ref="C83:D83"/>
    <mergeCell ref="B7:G7"/>
    <mergeCell ref="AF1:AW1"/>
    <mergeCell ref="AF3:AW3"/>
    <mergeCell ref="AF5:AW5"/>
    <mergeCell ref="B1:G1"/>
    <mergeCell ref="B3:G3"/>
    <mergeCell ref="B5:G5"/>
  </mergeCells>
  <pageMargins left="0.51181102362204722" right="0.51181102362204722" top="0.78740157480314965" bottom="0.78740157480314965" header="0.31496062992125984" footer="0.31496062992125984"/>
  <pageSetup paperSize="9" scale="60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127"/>
  <sheetViews>
    <sheetView topLeftCell="C1" workbookViewId="0">
      <selection activeCell="H6" sqref="H6"/>
    </sheetView>
  </sheetViews>
  <sheetFormatPr defaultRowHeight="24.95" customHeight="1" x14ac:dyDescent="0.25"/>
  <cols>
    <col min="1" max="1" width="2.85546875" style="945" customWidth="1"/>
    <col min="2" max="2" width="12.28515625" style="945" customWidth="1"/>
    <col min="3" max="3" width="17.28515625" style="947" customWidth="1"/>
    <col min="4" max="4" width="57.85546875" style="945" customWidth="1"/>
    <col min="5" max="5" width="22.85546875" style="948" customWidth="1"/>
    <col min="6" max="6" width="10.140625" style="949" customWidth="1"/>
    <col min="7" max="7" width="12.140625" style="945" customWidth="1"/>
    <col min="8" max="8" width="33.5703125" style="950" customWidth="1"/>
    <col min="9" max="9" width="20.42578125" style="951" customWidth="1"/>
    <col min="10" max="10" width="21.28515625" style="945" customWidth="1"/>
    <col min="11" max="11" width="21.7109375" style="945" customWidth="1"/>
    <col min="12" max="12" width="21.28515625" style="945" customWidth="1"/>
    <col min="13" max="13" width="20.42578125" style="945" customWidth="1"/>
    <col min="14" max="14" width="15.85546875" style="945" bestFit="1" customWidth="1"/>
    <col min="15" max="16384" width="9.140625" style="945"/>
  </cols>
  <sheetData>
    <row r="1" spans="1:62" ht="24.95" customHeight="1" x14ac:dyDescent="0.25">
      <c r="B1" s="1611" t="str">
        <f>'MANUAL PLANILHAS'!A$1</f>
        <v>Estado do Rio Grande do Sul</v>
      </c>
      <c r="C1" s="1611"/>
      <c r="D1" s="1611"/>
      <c r="E1" s="1611"/>
      <c r="F1" s="1611"/>
      <c r="G1" s="1611"/>
      <c r="H1" s="1611"/>
      <c r="I1" s="1611"/>
      <c r="J1" s="946"/>
      <c r="K1" s="946"/>
      <c r="L1" s="946"/>
      <c r="M1" s="946"/>
      <c r="N1" s="946"/>
      <c r="O1" s="946"/>
      <c r="P1" s="946"/>
      <c r="Q1" s="946"/>
      <c r="R1" s="946"/>
      <c r="S1" s="946"/>
      <c r="T1" s="946"/>
      <c r="U1" s="946"/>
      <c r="V1" s="946"/>
      <c r="W1" s="946"/>
      <c r="X1" s="946"/>
      <c r="Y1" s="946"/>
      <c r="Z1" s="946"/>
      <c r="AA1" s="946"/>
      <c r="AB1" s="946"/>
      <c r="AC1" s="946"/>
      <c r="AD1" s="946"/>
      <c r="AE1" s="946"/>
      <c r="AF1" s="946"/>
      <c r="AG1" s="946"/>
      <c r="AH1" s="946"/>
      <c r="AI1" s="946"/>
      <c r="AJ1" s="946"/>
      <c r="AK1" s="946"/>
      <c r="AL1" s="946"/>
      <c r="AM1" s="946"/>
      <c r="AN1" s="946"/>
      <c r="AO1" s="946"/>
      <c r="AP1" s="946"/>
      <c r="AQ1" s="946"/>
      <c r="AR1" s="946"/>
      <c r="AS1" s="946"/>
      <c r="AT1" s="946"/>
      <c r="AU1" s="946"/>
      <c r="AV1" s="946"/>
      <c r="AW1" s="946"/>
      <c r="AX1" s="946"/>
      <c r="AY1" s="946"/>
      <c r="AZ1" s="946"/>
      <c r="BA1" s="946"/>
      <c r="BB1" s="946"/>
      <c r="BC1" s="946"/>
      <c r="BD1" s="946"/>
      <c r="BE1" s="946"/>
      <c r="BF1" s="946"/>
      <c r="BG1" s="946"/>
      <c r="BH1" s="946"/>
      <c r="BI1" s="946"/>
      <c r="BJ1" s="946"/>
    </row>
    <row r="2" spans="1:62" ht="24.95" customHeight="1" x14ac:dyDescent="0.25">
      <c r="G2" s="950"/>
      <c r="K2" s="950"/>
      <c r="T2" s="950"/>
      <c r="U2" s="950"/>
      <c r="X2" s="950"/>
      <c r="AQ2" s="950"/>
      <c r="AR2" s="950"/>
      <c r="AU2" s="950"/>
    </row>
    <row r="3" spans="1:62" ht="24.95" customHeight="1" x14ac:dyDescent="0.25">
      <c r="B3" s="1612" t="str">
        <f>'MANUAL PLANILHAS'!A$3</f>
        <v>Município de Chuvisca</v>
      </c>
      <c r="C3" s="1612"/>
      <c r="D3" s="1612"/>
      <c r="E3" s="1612"/>
      <c r="F3" s="1612"/>
      <c r="G3" s="1612"/>
      <c r="H3" s="1612"/>
      <c r="I3" s="1612"/>
      <c r="J3" s="946"/>
      <c r="K3" s="946"/>
      <c r="L3" s="946"/>
      <c r="M3" s="946"/>
      <c r="N3" s="946"/>
      <c r="O3" s="946"/>
      <c r="P3" s="946"/>
      <c r="Q3" s="946"/>
      <c r="R3" s="946"/>
      <c r="S3" s="946"/>
      <c r="T3" s="946"/>
      <c r="U3" s="946"/>
      <c r="V3" s="946"/>
      <c r="W3" s="946"/>
      <c r="X3" s="946"/>
      <c r="Y3" s="946"/>
      <c r="Z3" s="946"/>
      <c r="AA3" s="946"/>
      <c r="AB3" s="946"/>
      <c r="AC3" s="946"/>
      <c r="AD3" s="946"/>
      <c r="AE3" s="946"/>
      <c r="AF3" s="946"/>
      <c r="AG3" s="946"/>
      <c r="AH3" s="946"/>
      <c r="AI3" s="946"/>
      <c r="AJ3" s="946"/>
      <c r="AK3" s="946"/>
      <c r="AL3" s="946"/>
      <c r="AM3" s="946"/>
      <c r="AN3" s="946"/>
      <c r="AO3" s="946"/>
      <c r="AP3" s="946"/>
      <c r="AQ3" s="946"/>
      <c r="AR3" s="946"/>
      <c r="AS3" s="946"/>
      <c r="AT3" s="946"/>
      <c r="AU3" s="946"/>
      <c r="AV3" s="946"/>
      <c r="AW3" s="946"/>
      <c r="AX3" s="946"/>
      <c r="AY3" s="946"/>
      <c r="AZ3" s="946"/>
      <c r="BA3" s="946"/>
      <c r="BB3" s="946"/>
      <c r="BC3" s="946"/>
      <c r="BD3" s="946"/>
      <c r="BE3" s="946"/>
      <c r="BF3" s="946"/>
      <c r="BG3" s="946"/>
      <c r="BH3" s="946"/>
      <c r="BI3" s="946"/>
      <c r="BJ3" s="946"/>
    </row>
    <row r="4" spans="1:62" ht="24.95" customHeight="1" x14ac:dyDescent="0.25">
      <c r="G4" s="950"/>
      <c r="K4" s="950"/>
      <c r="T4" s="950"/>
      <c r="U4" s="950"/>
      <c r="X4" s="950"/>
      <c r="AQ4" s="950"/>
      <c r="AR4" s="950"/>
      <c r="AU4" s="950"/>
    </row>
    <row r="5" spans="1:62" ht="24.95" customHeight="1" x14ac:dyDescent="0.25">
      <c r="B5" s="1613" t="str">
        <f>'MANUAL PLANILHAS'!A$5</f>
        <v>Proposta Orçamentária para o Exercício de 2020</v>
      </c>
      <c r="C5" s="1613"/>
      <c r="D5" s="1613"/>
      <c r="E5" s="1613"/>
      <c r="F5" s="1613"/>
      <c r="G5" s="1613"/>
      <c r="H5" s="1613"/>
      <c r="I5" s="1613"/>
      <c r="J5" s="952"/>
      <c r="K5" s="952"/>
      <c r="L5" s="952"/>
      <c r="M5" s="952"/>
      <c r="N5" s="952"/>
      <c r="O5" s="952"/>
      <c r="P5" s="952"/>
      <c r="Q5" s="952"/>
      <c r="R5" s="952"/>
      <c r="S5" s="952"/>
      <c r="T5" s="952"/>
      <c r="U5" s="952"/>
      <c r="V5" s="952"/>
      <c r="W5" s="952"/>
      <c r="X5" s="952"/>
      <c r="Y5" s="952"/>
      <c r="Z5" s="952"/>
      <c r="AA5" s="952"/>
      <c r="AB5" s="952"/>
      <c r="AC5" s="952"/>
      <c r="AD5" s="952"/>
      <c r="AE5" s="952"/>
      <c r="AF5" s="952"/>
      <c r="AG5" s="952"/>
      <c r="AH5" s="952"/>
      <c r="AI5" s="952"/>
      <c r="AJ5" s="952"/>
      <c r="AK5" s="952"/>
      <c r="AL5" s="952"/>
      <c r="AM5" s="952"/>
      <c r="AN5" s="952"/>
      <c r="AO5" s="952"/>
      <c r="AP5" s="952"/>
      <c r="AQ5" s="952"/>
      <c r="AR5" s="952"/>
      <c r="AS5" s="952"/>
      <c r="AT5" s="952"/>
      <c r="AU5" s="952"/>
      <c r="AV5" s="952"/>
      <c r="AW5" s="952"/>
      <c r="AX5" s="952"/>
      <c r="AY5" s="952"/>
      <c r="AZ5" s="952"/>
      <c r="BA5" s="952"/>
      <c r="BB5" s="952"/>
      <c r="BC5" s="952"/>
      <c r="BD5" s="952"/>
      <c r="BE5" s="952"/>
      <c r="BF5" s="952"/>
      <c r="BG5" s="952"/>
      <c r="BH5" s="952"/>
      <c r="BI5" s="952"/>
      <c r="BJ5" s="952"/>
    </row>
    <row r="6" spans="1:62" s="946" customFormat="1" ht="24.95" customHeight="1" x14ac:dyDescent="0.25">
      <c r="B6" s="946" t="s">
        <v>3088</v>
      </c>
      <c r="C6" s="953" t="s">
        <v>3086</v>
      </c>
      <c r="E6" s="954"/>
      <c r="F6" s="955"/>
      <c r="H6" s="956"/>
      <c r="I6" s="957"/>
    </row>
    <row r="7" spans="1:62" s="946" customFormat="1" ht="24.95" customHeight="1" x14ac:dyDescent="0.25">
      <c r="B7" s="946" t="s">
        <v>3087</v>
      </c>
      <c r="C7" s="953" t="s">
        <v>3086</v>
      </c>
      <c r="E7" s="954"/>
      <c r="F7" s="955"/>
      <c r="H7" s="956"/>
      <c r="I7" s="957"/>
    </row>
    <row r="8" spans="1:62" s="946" customFormat="1" ht="24.95" customHeight="1" x14ac:dyDescent="0.25">
      <c r="B8" s="946" t="s">
        <v>3089</v>
      </c>
      <c r="C8" s="953" t="s">
        <v>3090</v>
      </c>
      <c r="E8" s="954"/>
      <c r="F8" s="955"/>
      <c r="H8" s="956"/>
      <c r="I8" s="957"/>
    </row>
    <row r="9" spans="1:62" ht="33.75" customHeight="1" x14ac:dyDescent="0.25">
      <c r="A9" s="958"/>
      <c r="B9" s="962" t="s">
        <v>2967</v>
      </c>
      <c r="C9" s="959" t="s">
        <v>472</v>
      </c>
      <c r="D9" s="958" t="s">
        <v>2968</v>
      </c>
      <c r="E9" s="959" t="s">
        <v>3066</v>
      </c>
      <c r="F9" s="958" t="s">
        <v>1403</v>
      </c>
      <c r="G9" s="958" t="s">
        <v>2969</v>
      </c>
      <c r="H9" s="958" t="s">
        <v>3065</v>
      </c>
      <c r="I9" s="1061" t="s">
        <v>2531</v>
      </c>
    </row>
    <row r="10" spans="1:62" ht="15" customHeight="1" x14ac:dyDescent="0.25">
      <c r="A10" s="958"/>
      <c r="B10" s="962" t="s">
        <v>3138</v>
      </c>
      <c r="C10" s="959">
        <v>1</v>
      </c>
      <c r="D10" s="962" t="s">
        <v>3140</v>
      </c>
      <c r="E10" s="954"/>
      <c r="F10" s="960"/>
      <c r="G10" s="958"/>
      <c r="H10" s="958"/>
      <c r="I10" s="961">
        <f>I11</f>
        <v>43402.642999999989</v>
      </c>
    </row>
    <row r="11" spans="1:62" ht="15" customHeight="1" x14ac:dyDescent="0.25">
      <c r="A11" s="958"/>
      <c r="B11" s="962" t="s">
        <v>6940</v>
      </c>
      <c r="C11" s="959">
        <v>31</v>
      </c>
      <c r="D11" s="962" t="s">
        <v>3141</v>
      </c>
      <c r="E11" s="954"/>
      <c r="F11" s="960"/>
      <c r="G11" s="958"/>
      <c r="H11" s="958"/>
      <c r="I11" s="961">
        <f>I12</f>
        <v>43402.642999999989</v>
      </c>
    </row>
    <row r="12" spans="1:62" ht="15" customHeight="1" x14ac:dyDescent="0.25">
      <c r="A12" s="958"/>
      <c r="B12" s="962" t="s">
        <v>3137</v>
      </c>
      <c r="C12" s="959">
        <v>1</v>
      </c>
      <c r="D12" s="962" t="s">
        <v>3144</v>
      </c>
      <c r="E12" s="954"/>
      <c r="F12" s="960"/>
      <c r="G12" s="958"/>
      <c r="H12" s="958"/>
      <c r="I12" s="961">
        <f>I13</f>
        <v>43402.642999999989</v>
      </c>
    </row>
    <row r="13" spans="1:62" s="946" customFormat="1" ht="24.95" customHeight="1" x14ac:dyDescent="0.25">
      <c r="A13" s="958"/>
      <c r="B13" s="963" t="s">
        <v>2950</v>
      </c>
      <c r="C13" s="959" t="s">
        <v>2951</v>
      </c>
      <c r="D13" s="963" t="s">
        <v>2952</v>
      </c>
      <c r="E13" s="954"/>
      <c r="F13" s="960"/>
      <c r="G13" s="963"/>
      <c r="H13" s="956"/>
      <c r="I13" s="961">
        <f>SUM(I14,I15,I16,I17,I18,I20,I23)</f>
        <v>43402.642999999989</v>
      </c>
    </row>
    <row r="14" spans="1:62" s="946" customFormat="1" ht="24.95" customHeight="1" x14ac:dyDescent="0.25">
      <c r="A14" s="958"/>
      <c r="B14" s="963">
        <v>1</v>
      </c>
      <c r="C14" s="964">
        <v>333904700000000</v>
      </c>
      <c r="D14" s="963" t="s">
        <v>2953</v>
      </c>
      <c r="E14" s="954"/>
      <c r="F14" s="960">
        <v>1</v>
      </c>
      <c r="G14" s="963">
        <v>0</v>
      </c>
      <c r="H14" s="956"/>
      <c r="I14" s="961">
        <f>(PUCFD!E34)*(1+PUCFD!E$16)</f>
        <v>1773.1</v>
      </c>
    </row>
    <row r="15" spans="1:62" s="946" customFormat="1" ht="24.95" customHeight="1" x14ac:dyDescent="0.25">
      <c r="A15" s="958"/>
      <c r="B15" s="963">
        <v>100</v>
      </c>
      <c r="C15" s="964">
        <v>344903000000000</v>
      </c>
      <c r="D15" s="963" t="s">
        <v>2954</v>
      </c>
      <c r="E15" s="954"/>
      <c r="F15" s="960">
        <v>1</v>
      </c>
      <c r="G15" s="963">
        <v>0</v>
      </c>
      <c r="H15" s="956"/>
      <c r="I15" s="961">
        <f>(PUCFD!E35)*(1+PUCFD!E$16)</f>
        <v>5215</v>
      </c>
    </row>
    <row r="16" spans="1:62" s="946" customFormat="1" ht="24.95" customHeight="1" x14ac:dyDescent="0.25">
      <c r="A16" s="958"/>
      <c r="B16" s="963">
        <v>200</v>
      </c>
      <c r="C16" s="964">
        <v>344903600000000</v>
      </c>
      <c r="D16" s="963" t="s">
        <v>2955</v>
      </c>
      <c r="E16" s="954"/>
      <c r="F16" s="960">
        <v>1</v>
      </c>
      <c r="G16" s="963">
        <v>0</v>
      </c>
      <c r="H16" s="956"/>
      <c r="I16" s="961">
        <f>(PUCFD!E39)*(1+PUCFD!E$16)</f>
        <v>5215</v>
      </c>
    </row>
    <row r="17" spans="1:9" s="946" customFormat="1" ht="24.95" customHeight="1" x14ac:dyDescent="0.25">
      <c r="A17" s="958"/>
      <c r="B17" s="963">
        <v>300</v>
      </c>
      <c r="C17" s="964">
        <v>344903900000000</v>
      </c>
      <c r="D17" s="963" t="s">
        <v>2956</v>
      </c>
      <c r="E17" s="954"/>
      <c r="F17" s="960">
        <v>1</v>
      </c>
      <c r="G17" s="963">
        <v>0</v>
      </c>
      <c r="H17" s="956"/>
      <c r="I17" s="961">
        <f>(PUCFD!E40)*(1+PUCFD!E$16)</f>
        <v>4693.5</v>
      </c>
    </row>
    <row r="18" spans="1:9" s="946" customFormat="1" ht="24.95" customHeight="1" x14ac:dyDescent="0.25">
      <c r="A18" s="958"/>
      <c r="B18" s="963">
        <v>400</v>
      </c>
      <c r="C18" s="964">
        <v>344905100000000</v>
      </c>
      <c r="D18" s="963" t="s">
        <v>2957</v>
      </c>
      <c r="E18" s="954"/>
      <c r="F18" s="960">
        <v>1</v>
      </c>
      <c r="G18" s="963">
        <v>0</v>
      </c>
      <c r="H18" s="956"/>
      <c r="I18" s="961">
        <f>SUM(I19)</f>
        <v>5215</v>
      </c>
    </row>
    <row r="19" spans="1:9" s="971" customFormat="1" ht="31.5" customHeight="1" x14ac:dyDescent="0.25">
      <c r="A19" s="965"/>
      <c r="B19" s="966" t="s">
        <v>2958</v>
      </c>
      <c r="C19" s="967">
        <v>344905199000000</v>
      </c>
      <c r="D19" s="966" t="s">
        <v>3130</v>
      </c>
      <c r="E19" s="968" t="s">
        <v>3067</v>
      </c>
      <c r="F19" s="969">
        <v>1</v>
      </c>
      <c r="G19" s="966">
        <v>0</v>
      </c>
      <c r="H19" s="965">
        <v>1940</v>
      </c>
      <c r="I19" s="970">
        <f>(PUCFD!E43)*(1+PUCFD!E$16)</f>
        <v>5215</v>
      </c>
    </row>
    <row r="20" spans="1:9" s="946" customFormat="1" ht="24.95" customHeight="1" x14ac:dyDescent="0.25">
      <c r="A20" s="958"/>
      <c r="B20" s="963">
        <v>500</v>
      </c>
      <c r="C20" s="964">
        <v>344905200000000</v>
      </c>
      <c r="D20" s="963" t="s">
        <v>2959</v>
      </c>
      <c r="E20" s="954"/>
      <c r="F20" s="960">
        <v>1</v>
      </c>
      <c r="G20" s="963">
        <v>0</v>
      </c>
      <c r="H20" s="956"/>
      <c r="I20" s="961">
        <f>SUM(I21,I22)</f>
        <v>21289.999999999996</v>
      </c>
    </row>
    <row r="21" spans="1:9" ht="24.95" customHeight="1" x14ac:dyDescent="0.25">
      <c r="A21" s="972"/>
      <c r="B21" s="973" t="s">
        <v>2960</v>
      </c>
      <c r="C21" s="974">
        <v>344905235000000</v>
      </c>
      <c r="D21" s="973" t="s">
        <v>2961</v>
      </c>
      <c r="E21" s="948" t="s">
        <v>3068</v>
      </c>
      <c r="F21" s="975">
        <v>1</v>
      </c>
      <c r="G21" s="973">
        <v>0</v>
      </c>
      <c r="H21" s="950">
        <v>46</v>
      </c>
      <c r="I21" s="976">
        <f>(PUCFD!E46)*(1+PUCFD!E$16)</f>
        <v>15644.999999999998</v>
      </c>
    </row>
    <row r="22" spans="1:9" ht="24.95" customHeight="1" x14ac:dyDescent="0.25">
      <c r="A22" s="972"/>
      <c r="B22" s="973" t="s">
        <v>2962</v>
      </c>
      <c r="C22" s="974">
        <v>344905234000000</v>
      </c>
      <c r="D22" s="973" t="s">
        <v>2963</v>
      </c>
      <c r="E22" s="948" t="s">
        <v>3069</v>
      </c>
      <c r="F22" s="975">
        <v>1</v>
      </c>
      <c r="G22" s="973">
        <v>0</v>
      </c>
      <c r="H22" s="950">
        <v>1163</v>
      </c>
      <c r="I22" s="976">
        <f>(PUCFD!E47)*(1+PUCFD!E$16)-10000</f>
        <v>5644.9999999999982</v>
      </c>
    </row>
    <row r="23" spans="1:9" s="946" customFormat="1" ht="24.95" customHeight="1" x14ac:dyDescent="0.25">
      <c r="A23" s="958"/>
      <c r="B23" s="963">
        <v>560</v>
      </c>
      <c r="C23" s="964">
        <v>344906100000000</v>
      </c>
      <c r="D23" s="963" t="s">
        <v>2964</v>
      </c>
      <c r="E23" s="954"/>
      <c r="F23" s="960">
        <v>1</v>
      </c>
      <c r="G23" s="963">
        <v>0</v>
      </c>
      <c r="H23" s="956"/>
      <c r="I23" s="961">
        <f>(PUCFD!E48)*(1+PUCFD!E$16)</f>
        <v>1.0429999999999999</v>
      </c>
    </row>
    <row r="24" spans="1:9" ht="15" customHeight="1" x14ac:dyDescent="0.25">
      <c r="A24" s="958"/>
      <c r="B24" s="962" t="s">
        <v>3138</v>
      </c>
      <c r="C24" s="959">
        <v>1</v>
      </c>
      <c r="D24" s="962" t="s">
        <v>3140</v>
      </c>
      <c r="E24" s="954"/>
      <c r="F24" s="960"/>
      <c r="G24" s="958"/>
      <c r="H24" s="958"/>
      <c r="I24" s="961">
        <f>I25</f>
        <v>965758.12239815353</v>
      </c>
    </row>
    <row r="25" spans="1:9" ht="15" customHeight="1" x14ac:dyDescent="0.25">
      <c r="A25" s="958"/>
      <c r="B25" s="962" t="s">
        <v>3139</v>
      </c>
      <c r="C25" s="959">
        <v>31</v>
      </c>
      <c r="D25" s="962" t="s">
        <v>3141</v>
      </c>
      <c r="E25" s="954"/>
      <c r="F25" s="960"/>
      <c r="G25" s="958"/>
      <c r="H25" s="958"/>
      <c r="I25" s="961">
        <f>I26</f>
        <v>965758.12239815353</v>
      </c>
    </row>
    <row r="26" spans="1:9" ht="15" customHeight="1" x14ac:dyDescent="0.25">
      <c r="A26" s="958"/>
      <c r="B26" s="962" t="s">
        <v>3137</v>
      </c>
      <c r="C26" s="959">
        <v>1</v>
      </c>
      <c r="D26" s="962" t="s">
        <v>3144</v>
      </c>
      <c r="E26" s="954"/>
      <c r="F26" s="960"/>
      <c r="G26" s="958"/>
      <c r="H26" s="958"/>
      <c r="I26" s="961">
        <f>I27</f>
        <v>965758.12239815353</v>
      </c>
    </row>
    <row r="27" spans="1:9" s="946" customFormat="1" ht="24.95" customHeight="1" x14ac:dyDescent="0.25">
      <c r="A27" s="958"/>
      <c r="B27" s="963" t="s">
        <v>2965</v>
      </c>
      <c r="C27" s="959">
        <v>1</v>
      </c>
      <c r="D27" s="963" t="s">
        <v>2966</v>
      </c>
      <c r="E27" s="954"/>
      <c r="F27" s="960"/>
      <c r="G27" s="963"/>
      <c r="H27" s="956"/>
      <c r="I27" s="961">
        <f>SUM(I28,I29,I36,I43,I44,I45,I48,I52,I60,I62,I63,I66,I78,I83,I85,I89,I90,I93,I94)</f>
        <v>965758.12239815353</v>
      </c>
    </row>
    <row r="28" spans="1:9" s="946" customFormat="1" ht="24.95" customHeight="1" x14ac:dyDescent="0.25">
      <c r="A28" s="958"/>
      <c r="B28" s="963">
        <v>600</v>
      </c>
      <c r="C28" s="964">
        <v>331900400000000</v>
      </c>
      <c r="D28" s="963" t="s">
        <v>2970</v>
      </c>
      <c r="E28" s="954"/>
      <c r="F28" s="960">
        <v>1</v>
      </c>
      <c r="G28" s="963">
        <v>0</v>
      </c>
      <c r="H28" s="956"/>
      <c r="I28" s="961">
        <f>PUCFD!E50*(1+PUCFD!E$23)*(1+PUCFD!E$24)</f>
        <v>3.1958999999999994E-2</v>
      </c>
    </row>
    <row r="29" spans="1:9" s="946" customFormat="1" ht="24.95" customHeight="1" x14ac:dyDescent="0.25">
      <c r="A29" s="958"/>
      <c r="B29" s="963">
        <v>700</v>
      </c>
      <c r="C29" s="964">
        <v>331901100000000</v>
      </c>
      <c r="D29" s="963" t="s">
        <v>2971</v>
      </c>
      <c r="E29" s="954"/>
      <c r="F29" s="960">
        <v>1</v>
      </c>
      <c r="G29" s="963">
        <v>0</v>
      </c>
      <c r="H29" s="956"/>
      <c r="I29" s="961">
        <f>SUM(I30,I31,I32,I33,I34,I35)</f>
        <v>501232.25245681137</v>
      </c>
    </row>
    <row r="30" spans="1:9" ht="24.95" customHeight="1" x14ac:dyDescent="0.25">
      <c r="A30" s="972"/>
      <c r="B30" s="973" t="s">
        <v>2972</v>
      </c>
      <c r="C30" s="974">
        <v>331901101040000</v>
      </c>
      <c r="D30" s="973" t="s">
        <v>2973</v>
      </c>
      <c r="E30" s="948">
        <v>311210101000000</v>
      </c>
      <c r="F30" s="975">
        <v>1</v>
      </c>
      <c r="G30" s="973">
        <v>0</v>
      </c>
      <c r="H30" s="972">
        <v>5</v>
      </c>
      <c r="I30" s="976">
        <f>(((PUCFD!E55)*(1+PUCFD!E$23)*(1+PUCFD!E$24))*12)</f>
        <v>126747.923886</v>
      </c>
    </row>
    <row r="31" spans="1:9" ht="24.95" customHeight="1" x14ac:dyDescent="0.25">
      <c r="A31" s="972"/>
      <c r="B31" s="973" t="s">
        <v>2974</v>
      </c>
      <c r="C31" s="974">
        <v>331901175000000</v>
      </c>
      <c r="D31" s="973" t="s">
        <v>2975</v>
      </c>
      <c r="E31" s="948">
        <v>311210199000000</v>
      </c>
      <c r="F31" s="975">
        <v>1</v>
      </c>
      <c r="G31" s="973">
        <v>0</v>
      </c>
      <c r="H31" s="950">
        <v>7</v>
      </c>
      <c r="I31" s="976">
        <f>((PUCFD!E56)*(1+PUCFD!E$23)*(1+PUCFD!E$24)*12)</f>
        <v>15841.812128211493</v>
      </c>
    </row>
    <row r="32" spans="1:9" ht="24.95" customHeight="1" x14ac:dyDescent="0.25">
      <c r="A32" s="972"/>
      <c r="B32" s="973" t="s">
        <v>2976</v>
      </c>
      <c r="C32" s="974">
        <v>331901145000000</v>
      </c>
      <c r="D32" s="973" t="s">
        <v>2977</v>
      </c>
      <c r="E32" s="948" t="s">
        <v>3071</v>
      </c>
      <c r="F32" s="975">
        <v>1</v>
      </c>
      <c r="G32" s="973">
        <v>0</v>
      </c>
      <c r="H32" s="950">
        <v>9</v>
      </c>
      <c r="I32" s="976">
        <f>((PUCFD!E57)*(1+PUCFD!E$23)*(1+PUCFD!E$24))</f>
        <v>3520.7756634999996</v>
      </c>
    </row>
    <row r="33" spans="1:9" ht="24.95" customHeight="1" x14ac:dyDescent="0.25">
      <c r="A33" s="972"/>
      <c r="B33" s="973" t="s">
        <v>2978</v>
      </c>
      <c r="C33" s="974">
        <v>331901174000000</v>
      </c>
      <c r="D33" s="973" t="s">
        <v>2979</v>
      </c>
      <c r="E33" s="948">
        <v>311210131000000</v>
      </c>
      <c r="F33" s="975">
        <v>1</v>
      </c>
      <c r="G33" s="973">
        <v>0</v>
      </c>
      <c r="H33" s="972">
        <v>6</v>
      </c>
      <c r="I33" s="976">
        <f>((PUCFD!E58)*(1+PUCFD!E$23)*(1+PUCFD!E$24))*12</f>
        <v>316836.24256422976</v>
      </c>
    </row>
    <row r="34" spans="1:9" ht="24.95" customHeight="1" x14ac:dyDescent="0.25">
      <c r="A34" s="972"/>
      <c r="B34" s="973" t="s">
        <v>2980</v>
      </c>
      <c r="C34" s="974">
        <v>331901143000000</v>
      </c>
      <c r="D34" s="973" t="s">
        <v>2981</v>
      </c>
      <c r="E34" s="948" t="s">
        <v>3070</v>
      </c>
      <c r="F34" s="975">
        <v>1</v>
      </c>
      <c r="G34" s="973">
        <v>0</v>
      </c>
      <c r="H34" s="950">
        <v>395</v>
      </c>
      <c r="I34" s="976">
        <f>((PUCFD!E59)*(1+PUCFD!E$23)*(1+PUCFD!E$24))</f>
        <v>10562.3269905</v>
      </c>
    </row>
    <row r="35" spans="1:9" ht="24.95" customHeight="1" x14ac:dyDescent="0.25">
      <c r="A35" s="972"/>
      <c r="B35" s="973" t="s">
        <v>3118</v>
      </c>
      <c r="C35" s="974">
        <v>331901143000000</v>
      </c>
      <c r="D35" s="973" t="s">
        <v>3117</v>
      </c>
      <c r="E35" s="948" t="s">
        <v>3070</v>
      </c>
      <c r="F35" s="975">
        <v>1</v>
      </c>
      <c r="G35" s="973">
        <v>0</v>
      </c>
      <c r="H35" s="950">
        <v>0</v>
      </c>
      <c r="I35" s="976">
        <f>((PUCFD!E60)*(1+PUCFD!E$23)*(1+PUCFD!E$24))</f>
        <v>27723.171224370104</v>
      </c>
    </row>
    <row r="36" spans="1:9" s="946" customFormat="1" ht="24.95" customHeight="1" x14ac:dyDescent="0.25">
      <c r="A36" s="958"/>
      <c r="B36" s="963">
        <v>800</v>
      </c>
      <c r="C36" s="964">
        <v>331901300000000</v>
      </c>
      <c r="D36" s="963" t="s">
        <v>2982</v>
      </c>
      <c r="E36" s="954"/>
      <c r="F36" s="960">
        <v>1</v>
      </c>
      <c r="G36" s="963">
        <v>0</v>
      </c>
      <c r="H36" s="956"/>
      <c r="I36" s="961">
        <f>SUM(I37,I38,I39,I40,I41,I42)-0.01</f>
        <v>112915.86713316441</v>
      </c>
    </row>
    <row r="37" spans="1:9" ht="24.95" customHeight="1" x14ac:dyDescent="0.25">
      <c r="A37" s="972"/>
      <c r="B37" s="973" t="s">
        <v>2983</v>
      </c>
      <c r="C37" s="974">
        <v>331901302010000</v>
      </c>
      <c r="D37" s="973" t="s">
        <v>2984</v>
      </c>
      <c r="E37" s="948">
        <v>312219900000000</v>
      </c>
      <c r="F37" s="975">
        <v>1</v>
      </c>
      <c r="G37" s="973">
        <v>0</v>
      </c>
      <c r="H37" s="972">
        <v>15</v>
      </c>
      <c r="I37" s="976">
        <f>SUM(I30,I32,I34)*PUCFD!E$28</f>
        <v>29574.515573399996</v>
      </c>
    </row>
    <row r="38" spans="1:9" ht="24.95" customHeight="1" x14ac:dyDescent="0.25">
      <c r="A38" s="972"/>
      <c r="B38" s="973" t="s">
        <v>2985</v>
      </c>
      <c r="C38" s="974">
        <v>331901302030000</v>
      </c>
      <c r="D38" s="973" t="s">
        <v>2986</v>
      </c>
      <c r="E38" s="948">
        <v>312219900000000</v>
      </c>
      <c r="F38" s="975">
        <v>1</v>
      </c>
      <c r="G38" s="973">
        <v>0</v>
      </c>
      <c r="H38" s="972">
        <v>396</v>
      </c>
      <c r="I38" s="976">
        <f>SUM(I31,I33,I35)*PUCFD!E$28</f>
        <v>75684.25744253039</v>
      </c>
    </row>
    <row r="39" spans="1:9" ht="24.95" customHeight="1" x14ac:dyDescent="0.25">
      <c r="A39" s="972"/>
      <c r="B39" s="973" t="s">
        <v>3119</v>
      </c>
      <c r="C39" s="974">
        <v>331901399000000</v>
      </c>
      <c r="D39" s="973" t="s">
        <v>3120</v>
      </c>
      <c r="E39" s="948">
        <v>312219900000000</v>
      </c>
      <c r="F39" s="975">
        <v>1</v>
      </c>
      <c r="G39" s="973">
        <v>0</v>
      </c>
      <c r="H39" s="972">
        <v>0</v>
      </c>
      <c r="I39" s="976">
        <f>SUM(I44)*PUCFD!E$29</f>
        <v>2112.4653981000001</v>
      </c>
    </row>
    <row r="40" spans="1:9" ht="24.95" customHeight="1" x14ac:dyDescent="0.25">
      <c r="A40" s="972"/>
      <c r="B40" s="973" t="s">
        <v>3121</v>
      </c>
      <c r="C40" s="974">
        <v>331901399000000</v>
      </c>
      <c r="D40" s="973" t="s">
        <v>3122</v>
      </c>
      <c r="E40" s="948">
        <v>312219900000000</v>
      </c>
      <c r="F40" s="975">
        <v>1</v>
      </c>
      <c r="G40" s="973">
        <v>0</v>
      </c>
      <c r="H40" s="972">
        <v>0</v>
      </c>
      <c r="I40" s="976">
        <f>SUM(I43)*PUCFD!E$28</f>
        <v>5544.6342448740206</v>
      </c>
    </row>
    <row r="41" spans="1:9" ht="24.95" customHeight="1" x14ac:dyDescent="0.25">
      <c r="A41" s="972"/>
      <c r="B41" s="973" t="s">
        <v>3123</v>
      </c>
      <c r="C41" s="974">
        <v>331901302010000</v>
      </c>
      <c r="D41" s="973" t="s">
        <v>2991</v>
      </c>
      <c r="E41" s="948" t="s">
        <v>3070</v>
      </c>
      <c r="F41" s="975">
        <v>1</v>
      </c>
      <c r="G41" s="973">
        <v>0</v>
      </c>
      <c r="H41" s="972">
        <v>15</v>
      </c>
      <c r="I41" s="976">
        <f>SUM(I46)*PUCFD!E$28</f>
        <v>2.2371299999999999E-3</v>
      </c>
    </row>
    <row r="42" spans="1:9" ht="24.95" customHeight="1" x14ac:dyDescent="0.25">
      <c r="A42" s="972"/>
      <c r="B42" s="973" t="s">
        <v>3124</v>
      </c>
      <c r="C42" s="974">
        <v>331901302030000</v>
      </c>
      <c r="D42" s="973" t="s">
        <v>2993</v>
      </c>
      <c r="E42" s="948" t="s">
        <v>3071</v>
      </c>
      <c r="F42" s="975">
        <v>1</v>
      </c>
      <c r="G42" s="973">
        <v>0</v>
      </c>
      <c r="H42" s="972">
        <v>0</v>
      </c>
      <c r="I42" s="976">
        <f>SUM(I47)*PUCFD!E$28</f>
        <v>2.2371299999999999E-3</v>
      </c>
    </row>
    <row r="43" spans="1:9" s="946" customFormat="1" ht="24.95" customHeight="1" x14ac:dyDescent="0.25">
      <c r="A43" s="958"/>
      <c r="B43" s="963">
        <v>900</v>
      </c>
      <c r="C43" s="964">
        <v>331901600000000</v>
      </c>
      <c r="D43" s="963" t="s">
        <v>2987</v>
      </c>
      <c r="E43" s="954"/>
      <c r="F43" s="960">
        <v>1</v>
      </c>
      <c r="G43" s="963">
        <v>0</v>
      </c>
      <c r="H43" s="956"/>
      <c r="I43" s="961">
        <f>((PUCFD!E61)*(1+PUCFD!E$23)*(1+PUCFD!E$24))</f>
        <v>26403.020213685813</v>
      </c>
    </row>
    <row r="44" spans="1:9" s="946" customFormat="1" ht="24.95" customHeight="1" x14ac:dyDescent="0.25">
      <c r="A44" s="958"/>
      <c r="B44" s="963">
        <v>950</v>
      </c>
      <c r="C44" s="964">
        <v>331903400000000</v>
      </c>
      <c r="D44" s="963" t="s">
        <v>2988</v>
      </c>
      <c r="E44" s="954"/>
      <c r="F44" s="960">
        <v>1</v>
      </c>
      <c r="G44" s="963">
        <v>0</v>
      </c>
      <c r="H44" s="956"/>
      <c r="I44" s="961">
        <f>((PUCFD!E62)*(1+PUCFD!E$23)*(1+PUCFD!E$24))</f>
        <v>10562.3269905</v>
      </c>
    </row>
    <row r="45" spans="1:9" s="946" customFormat="1" ht="24.95" customHeight="1" x14ac:dyDescent="0.25">
      <c r="A45" s="958"/>
      <c r="B45" s="963">
        <v>1000</v>
      </c>
      <c r="C45" s="964">
        <v>331909400000000</v>
      </c>
      <c r="D45" s="963" t="s">
        <v>2989</v>
      </c>
      <c r="E45" s="954"/>
      <c r="F45" s="960">
        <v>1</v>
      </c>
      <c r="G45" s="963">
        <v>0</v>
      </c>
      <c r="H45" s="956"/>
      <c r="I45" s="961">
        <f>SUM(I46,I47)</f>
        <v>2.1305999999999999E-2</v>
      </c>
    </row>
    <row r="46" spans="1:9" ht="24.95" customHeight="1" x14ac:dyDescent="0.25">
      <c r="A46" s="972"/>
      <c r="B46" s="973" t="s">
        <v>2990</v>
      </c>
      <c r="C46" s="974">
        <v>331909401030000</v>
      </c>
      <c r="D46" s="973" t="s">
        <v>2991</v>
      </c>
      <c r="E46" s="948" t="s">
        <v>3070</v>
      </c>
      <c r="F46" s="975">
        <v>1</v>
      </c>
      <c r="G46" s="973">
        <v>0</v>
      </c>
      <c r="H46" s="950">
        <v>2279</v>
      </c>
      <c r="I46" s="976">
        <f>((PUCFD!E64)*(1+PUCFD!E$23)*(1+PUCFD!E$24))</f>
        <v>1.0652999999999999E-2</v>
      </c>
    </row>
    <row r="47" spans="1:9" ht="24.95" customHeight="1" x14ac:dyDescent="0.25">
      <c r="A47" s="972"/>
      <c r="B47" s="973" t="s">
        <v>2992</v>
      </c>
      <c r="C47" s="974">
        <v>331909401030000</v>
      </c>
      <c r="D47" s="973" t="s">
        <v>2993</v>
      </c>
      <c r="E47" s="948" t="s">
        <v>3071</v>
      </c>
      <c r="F47" s="975">
        <v>1</v>
      </c>
      <c r="G47" s="973">
        <v>0</v>
      </c>
      <c r="H47" s="950">
        <v>12</v>
      </c>
      <c r="I47" s="976">
        <f>((PUCFD!E65)*(1+PUCFD!E$23)*(1+PUCFD!E$24))</f>
        <v>1.0652999999999999E-2</v>
      </c>
    </row>
    <row r="48" spans="1:9" s="946" customFormat="1" ht="24.95" customHeight="1" x14ac:dyDescent="0.25">
      <c r="A48" s="958"/>
      <c r="B48" s="963">
        <v>1100</v>
      </c>
      <c r="C48" s="964">
        <v>333901400000000</v>
      </c>
      <c r="D48" s="963" t="s">
        <v>2994</v>
      </c>
      <c r="E48" s="954"/>
      <c r="F48" s="960">
        <v>1</v>
      </c>
      <c r="G48" s="963">
        <v>0</v>
      </c>
      <c r="H48" s="956"/>
      <c r="I48" s="961">
        <f>PUCFD!E66*(1+PUCFD!E$23)*(1+PUCFD!E$24)</f>
        <v>63917.999999999993</v>
      </c>
    </row>
    <row r="49" spans="1:9" ht="24.95" customHeight="1" x14ac:dyDescent="0.25">
      <c r="A49" s="972"/>
      <c r="B49" s="973" t="s">
        <v>2995</v>
      </c>
      <c r="C49" s="974">
        <v>333901414040000</v>
      </c>
      <c r="D49" s="973" t="s">
        <v>2996</v>
      </c>
      <c r="E49" s="948">
        <v>332110100000000</v>
      </c>
      <c r="F49" s="975">
        <v>1</v>
      </c>
      <c r="G49" s="973">
        <v>0</v>
      </c>
      <c r="H49" s="972">
        <v>23</v>
      </c>
      <c r="I49" s="976">
        <v>0</v>
      </c>
    </row>
    <row r="50" spans="1:9" ht="24.95" customHeight="1" x14ac:dyDescent="0.25">
      <c r="A50" s="972"/>
      <c r="B50" s="973" t="s">
        <v>2997</v>
      </c>
      <c r="C50" s="974">
        <v>333901414040000</v>
      </c>
      <c r="D50" s="973" t="s">
        <v>2998</v>
      </c>
      <c r="E50" s="948">
        <v>332110100000000</v>
      </c>
      <c r="F50" s="975">
        <v>1</v>
      </c>
      <c r="G50" s="973">
        <v>0</v>
      </c>
      <c r="H50" s="972">
        <v>24</v>
      </c>
      <c r="I50" s="976">
        <v>0</v>
      </c>
    </row>
    <row r="51" spans="1:9" ht="24.95" customHeight="1" x14ac:dyDescent="0.25">
      <c r="A51" s="972"/>
      <c r="B51" s="973" t="s">
        <v>2999</v>
      </c>
      <c r="C51" s="974">
        <v>333901414030000</v>
      </c>
      <c r="D51" s="973" t="s">
        <v>3000</v>
      </c>
      <c r="E51" s="948">
        <v>332110100000000</v>
      </c>
      <c r="F51" s="975">
        <v>1</v>
      </c>
      <c r="G51" s="973">
        <v>0</v>
      </c>
      <c r="H51" s="972">
        <v>22</v>
      </c>
      <c r="I51" s="976">
        <v>0</v>
      </c>
    </row>
    <row r="52" spans="1:9" s="946" customFormat="1" ht="24.95" customHeight="1" x14ac:dyDescent="0.25">
      <c r="A52" s="958"/>
      <c r="B52" s="963">
        <v>1200</v>
      </c>
      <c r="C52" s="964">
        <v>333903000000000</v>
      </c>
      <c r="D52" s="963" t="s">
        <v>3001</v>
      </c>
      <c r="E52" s="954"/>
      <c r="F52" s="960">
        <v>1</v>
      </c>
      <c r="G52" s="963">
        <v>0</v>
      </c>
      <c r="H52" s="956"/>
      <c r="I52" s="961">
        <f>PUCFD!E67*(1+PUCFD!E$16)</f>
        <v>10430</v>
      </c>
    </row>
    <row r="53" spans="1:9" ht="24.95" customHeight="1" x14ac:dyDescent="0.25">
      <c r="A53" s="972"/>
      <c r="B53" s="973" t="s">
        <v>3002</v>
      </c>
      <c r="C53" s="974">
        <v>333903029000000</v>
      </c>
      <c r="D53" s="973" t="s">
        <v>3003</v>
      </c>
      <c r="E53" s="948">
        <v>331112900000000</v>
      </c>
      <c r="F53" s="975">
        <v>1</v>
      </c>
      <c r="G53" s="973">
        <v>0</v>
      </c>
      <c r="H53" s="972">
        <v>29</v>
      </c>
      <c r="I53" s="976">
        <v>0</v>
      </c>
    </row>
    <row r="54" spans="1:9" ht="24.95" customHeight="1" x14ac:dyDescent="0.25">
      <c r="A54" s="972"/>
      <c r="B54" s="973" t="s">
        <v>3004</v>
      </c>
      <c r="C54" s="974">
        <v>333903022000000</v>
      </c>
      <c r="D54" s="973" t="s">
        <v>3005</v>
      </c>
      <c r="E54" s="948">
        <v>331112200000000</v>
      </c>
      <c r="F54" s="975">
        <v>1</v>
      </c>
      <c r="G54" s="973">
        <v>0</v>
      </c>
      <c r="H54" s="972">
        <v>28</v>
      </c>
      <c r="I54" s="976">
        <v>0</v>
      </c>
    </row>
    <row r="55" spans="1:9" ht="24.95" customHeight="1" x14ac:dyDescent="0.25">
      <c r="A55" s="972"/>
      <c r="B55" s="973" t="s">
        <v>3006</v>
      </c>
      <c r="C55" s="974">
        <v>333903021000000</v>
      </c>
      <c r="D55" s="973" t="s">
        <v>3007</v>
      </c>
      <c r="E55" s="948">
        <v>331112100000000</v>
      </c>
      <c r="F55" s="975">
        <v>1</v>
      </c>
      <c r="G55" s="973">
        <v>0</v>
      </c>
      <c r="H55" s="972">
        <v>1585</v>
      </c>
      <c r="I55" s="976">
        <v>0</v>
      </c>
    </row>
    <row r="56" spans="1:9" ht="24.95" customHeight="1" x14ac:dyDescent="0.25">
      <c r="A56" s="972"/>
      <c r="B56" s="973" t="s">
        <v>3008</v>
      </c>
      <c r="C56" s="974">
        <v>333903016000000</v>
      </c>
      <c r="D56" s="973" t="s">
        <v>3009</v>
      </c>
      <c r="E56" s="948">
        <v>331111600000000</v>
      </c>
      <c r="F56" s="975">
        <v>1</v>
      </c>
      <c r="G56" s="973">
        <v>0</v>
      </c>
      <c r="H56" s="972">
        <v>25</v>
      </c>
      <c r="I56" s="976">
        <v>0</v>
      </c>
    </row>
    <row r="57" spans="1:9" ht="24.95" customHeight="1" x14ac:dyDescent="0.25">
      <c r="A57" s="972"/>
      <c r="B57" s="973" t="s">
        <v>3010</v>
      </c>
      <c r="C57" s="974">
        <v>333903017000000</v>
      </c>
      <c r="D57" s="973" t="s">
        <v>3011</v>
      </c>
      <c r="E57" s="948">
        <v>331111600000000</v>
      </c>
      <c r="F57" s="975">
        <v>1</v>
      </c>
      <c r="G57" s="973">
        <v>0</v>
      </c>
      <c r="H57" s="972">
        <v>27</v>
      </c>
      <c r="I57" s="976">
        <v>0</v>
      </c>
    </row>
    <row r="58" spans="1:9" ht="24.95" customHeight="1" x14ac:dyDescent="0.25">
      <c r="A58" s="972"/>
      <c r="B58" s="973" t="s">
        <v>3012</v>
      </c>
      <c r="C58" s="974">
        <v>333903007000000</v>
      </c>
      <c r="D58" s="973" t="s">
        <v>3013</v>
      </c>
      <c r="E58" s="948">
        <v>331110600000000</v>
      </c>
      <c r="F58" s="975">
        <v>1</v>
      </c>
      <c r="G58" s="973">
        <v>0</v>
      </c>
      <c r="H58" s="972">
        <v>26</v>
      </c>
      <c r="I58" s="976">
        <v>0</v>
      </c>
    </row>
    <row r="59" spans="1:9" ht="24.95" customHeight="1" x14ac:dyDescent="0.25">
      <c r="A59" s="972"/>
      <c r="B59" s="973" t="s">
        <v>3014</v>
      </c>
      <c r="C59" s="974">
        <v>333903024000000</v>
      </c>
      <c r="D59" s="973" t="s">
        <v>3015</v>
      </c>
      <c r="E59" s="948">
        <v>331112400000000</v>
      </c>
      <c r="F59" s="975">
        <v>1</v>
      </c>
      <c r="G59" s="973">
        <v>0</v>
      </c>
      <c r="H59" s="972">
        <v>42</v>
      </c>
      <c r="I59" s="976">
        <v>0</v>
      </c>
    </row>
    <row r="60" spans="1:9" s="946" customFormat="1" ht="24.95" customHeight="1" x14ac:dyDescent="0.25">
      <c r="A60" s="958"/>
      <c r="B60" s="963">
        <v>1300</v>
      </c>
      <c r="C60" s="964">
        <v>333903300000000</v>
      </c>
      <c r="D60" s="963" t="s">
        <v>3016</v>
      </c>
      <c r="E60" s="954"/>
      <c r="F60" s="960">
        <v>1</v>
      </c>
      <c r="G60" s="963">
        <v>0</v>
      </c>
      <c r="H60" s="956"/>
      <c r="I60" s="961">
        <f>PUCFD!E69*(1+PUCFD!E$16)</f>
        <v>1.043E-2</v>
      </c>
    </row>
    <row r="61" spans="1:9" ht="24.95" customHeight="1" x14ac:dyDescent="0.25">
      <c r="A61" s="972"/>
      <c r="B61" s="973" t="s">
        <v>3017</v>
      </c>
      <c r="C61" s="974">
        <v>333903301000000</v>
      </c>
      <c r="D61" s="973" t="s">
        <v>3018</v>
      </c>
      <c r="E61" s="948">
        <v>332315600000000</v>
      </c>
      <c r="F61" s="975">
        <v>1</v>
      </c>
      <c r="G61" s="973">
        <v>0</v>
      </c>
      <c r="H61" s="972">
        <v>1522</v>
      </c>
      <c r="I61" s="976">
        <v>0</v>
      </c>
    </row>
    <row r="62" spans="1:9" s="946" customFormat="1" ht="24.95" customHeight="1" x14ac:dyDescent="0.25">
      <c r="A62" s="958"/>
      <c r="B62" s="963">
        <v>1400</v>
      </c>
      <c r="C62" s="964">
        <v>333903500000000</v>
      </c>
      <c r="D62" s="963" t="s">
        <v>3019</v>
      </c>
      <c r="E62" s="954"/>
      <c r="F62" s="960">
        <v>1</v>
      </c>
      <c r="G62" s="963">
        <v>0</v>
      </c>
      <c r="H62" s="956"/>
      <c r="I62" s="961">
        <f>PUCFD!E69*(1+PUCFD!E$16)</f>
        <v>1.043E-2</v>
      </c>
    </row>
    <row r="63" spans="1:9" s="946" customFormat="1" ht="24.95" customHeight="1" x14ac:dyDescent="0.25">
      <c r="A63" s="958"/>
      <c r="B63" s="963">
        <v>1500</v>
      </c>
      <c r="C63" s="964">
        <v>333903600000000</v>
      </c>
      <c r="D63" s="963" t="s">
        <v>3020</v>
      </c>
      <c r="E63" s="954"/>
      <c r="F63" s="960">
        <v>1</v>
      </c>
      <c r="G63" s="963">
        <v>0</v>
      </c>
      <c r="H63" s="956"/>
      <c r="I63" s="961">
        <f>PUCFD!E70*(1+PUCFD!E$16)</f>
        <v>15644.999999999998</v>
      </c>
    </row>
    <row r="64" spans="1:9" ht="24.95" customHeight="1" x14ac:dyDescent="0.25">
      <c r="A64" s="972"/>
      <c r="B64" s="973" t="s">
        <v>3021</v>
      </c>
      <c r="C64" s="974">
        <v>333903606000000</v>
      </c>
      <c r="D64" s="973" t="s">
        <v>3022</v>
      </c>
      <c r="E64" s="948">
        <v>332211500000000</v>
      </c>
      <c r="F64" s="975">
        <v>1</v>
      </c>
      <c r="G64" s="973">
        <v>0</v>
      </c>
      <c r="H64" s="972">
        <v>32</v>
      </c>
      <c r="I64" s="976">
        <v>0</v>
      </c>
    </row>
    <row r="65" spans="1:9" ht="24.95" customHeight="1" x14ac:dyDescent="0.25">
      <c r="A65" s="972"/>
      <c r="B65" s="973" t="s">
        <v>3023</v>
      </c>
      <c r="C65" s="974">
        <v>333903625000000</v>
      </c>
      <c r="D65" s="973" t="s">
        <v>3024</v>
      </c>
      <c r="E65" s="948">
        <v>332211500000000</v>
      </c>
      <c r="F65" s="975">
        <v>1</v>
      </c>
      <c r="G65" s="973">
        <v>0</v>
      </c>
      <c r="H65" s="972">
        <v>32</v>
      </c>
      <c r="I65" s="976">
        <v>0</v>
      </c>
    </row>
    <row r="66" spans="1:9" s="946" customFormat="1" ht="24.95" customHeight="1" x14ac:dyDescent="0.25">
      <c r="A66" s="958"/>
      <c r="B66" s="963">
        <v>1600</v>
      </c>
      <c r="C66" s="964">
        <v>333903900000000</v>
      </c>
      <c r="D66" s="963" t="s">
        <v>3025</v>
      </c>
      <c r="E66" s="954"/>
      <c r="F66" s="960">
        <v>1</v>
      </c>
      <c r="G66" s="963">
        <v>0</v>
      </c>
      <c r="H66" s="956"/>
      <c r="I66" s="961">
        <f>PUCFD!E71*(1+PUCFD!E$16)</f>
        <v>73010</v>
      </c>
    </row>
    <row r="67" spans="1:9" ht="24.95" customHeight="1" x14ac:dyDescent="0.25">
      <c r="A67" s="972"/>
      <c r="B67" s="973" t="s">
        <v>3027</v>
      </c>
      <c r="C67" s="974">
        <v>333903948000000</v>
      </c>
      <c r="D67" s="973" t="s">
        <v>3028</v>
      </c>
      <c r="E67" s="948">
        <v>332313000000000</v>
      </c>
      <c r="F67" s="975">
        <v>1</v>
      </c>
      <c r="G67" s="973">
        <v>0</v>
      </c>
      <c r="H67" s="972">
        <v>398</v>
      </c>
      <c r="I67" s="976">
        <v>0</v>
      </c>
    </row>
    <row r="68" spans="1:9" ht="24.95" customHeight="1" x14ac:dyDescent="0.25">
      <c r="A68" s="972"/>
      <c r="B68" s="973" t="s">
        <v>3029</v>
      </c>
      <c r="C68" s="974">
        <v>333903981000000</v>
      </c>
      <c r="D68" s="973" t="s">
        <v>3030</v>
      </c>
      <c r="E68" s="948">
        <v>332313200000000</v>
      </c>
      <c r="F68" s="975">
        <v>1</v>
      </c>
      <c r="G68" s="973">
        <v>0</v>
      </c>
      <c r="H68" s="972">
        <v>440</v>
      </c>
      <c r="I68" s="976">
        <v>0</v>
      </c>
    </row>
    <row r="69" spans="1:9" ht="24.95" customHeight="1" x14ac:dyDescent="0.25">
      <c r="A69" s="972"/>
      <c r="B69" s="973" t="s">
        <v>3031</v>
      </c>
      <c r="C69" s="974">
        <v>333903943000000</v>
      </c>
      <c r="D69" s="973" t="s">
        <v>3032</v>
      </c>
      <c r="E69" s="948">
        <v>332310800000000</v>
      </c>
      <c r="F69" s="975">
        <v>1</v>
      </c>
      <c r="G69" s="973">
        <v>0</v>
      </c>
      <c r="H69" s="972">
        <v>37</v>
      </c>
      <c r="I69" s="976">
        <v>0</v>
      </c>
    </row>
    <row r="70" spans="1:9" ht="24.95" customHeight="1" x14ac:dyDescent="0.25">
      <c r="A70" s="972"/>
      <c r="B70" s="973" t="s">
        <v>3033</v>
      </c>
      <c r="C70" s="974">
        <v>333903905000000</v>
      </c>
      <c r="D70" s="973" t="s">
        <v>3022</v>
      </c>
      <c r="E70" s="948">
        <v>332315100000000</v>
      </c>
      <c r="F70" s="975">
        <v>1</v>
      </c>
      <c r="G70" s="973">
        <v>0</v>
      </c>
      <c r="H70" s="950" t="s">
        <v>3072</v>
      </c>
      <c r="I70" s="976">
        <v>0</v>
      </c>
    </row>
    <row r="71" spans="1:9" ht="24.95" customHeight="1" x14ac:dyDescent="0.25">
      <c r="A71" s="972"/>
      <c r="B71" s="973" t="s">
        <v>3034</v>
      </c>
      <c r="C71" s="974">
        <v>333903999020000</v>
      </c>
      <c r="D71" s="973" t="s">
        <v>3035</v>
      </c>
      <c r="E71" s="948">
        <v>332310700000000</v>
      </c>
      <c r="F71" s="975">
        <v>1</v>
      </c>
      <c r="G71" s="973">
        <v>0</v>
      </c>
      <c r="H71" s="972">
        <v>49</v>
      </c>
      <c r="I71" s="976">
        <v>0</v>
      </c>
    </row>
    <row r="72" spans="1:9" ht="24.95" customHeight="1" x14ac:dyDescent="0.25">
      <c r="A72" s="972"/>
      <c r="B72" s="973" t="s">
        <v>3039</v>
      </c>
      <c r="C72" s="974">
        <v>333903990000000</v>
      </c>
      <c r="D72" s="973" t="s">
        <v>3040</v>
      </c>
      <c r="E72" s="948">
        <v>332310500000000</v>
      </c>
      <c r="F72" s="975">
        <v>1</v>
      </c>
      <c r="G72" s="973">
        <v>0</v>
      </c>
      <c r="H72" s="972">
        <v>452</v>
      </c>
      <c r="I72" s="976">
        <v>0</v>
      </c>
    </row>
    <row r="73" spans="1:9" ht="24.95" customHeight="1" x14ac:dyDescent="0.25">
      <c r="A73" s="972"/>
      <c r="B73" s="973" t="s">
        <v>3041</v>
      </c>
      <c r="C73" s="974">
        <v>333903944000000</v>
      </c>
      <c r="D73" s="973" t="s">
        <v>3042</v>
      </c>
      <c r="E73" s="948">
        <v>332310800000000</v>
      </c>
      <c r="F73" s="975">
        <v>1</v>
      </c>
      <c r="G73" s="973">
        <v>0</v>
      </c>
      <c r="H73" s="972">
        <v>36</v>
      </c>
      <c r="I73" s="976">
        <v>0</v>
      </c>
    </row>
    <row r="74" spans="1:9" ht="24.95" customHeight="1" x14ac:dyDescent="0.25">
      <c r="A74" s="972"/>
      <c r="B74" s="973" t="s">
        <v>3045</v>
      </c>
      <c r="C74" s="974">
        <v>333903948000000</v>
      </c>
      <c r="D74" s="973" t="s">
        <v>3046</v>
      </c>
      <c r="E74" s="948">
        <v>332313000000000</v>
      </c>
      <c r="F74" s="975">
        <v>1</v>
      </c>
      <c r="G74" s="973">
        <v>0</v>
      </c>
      <c r="H74" s="972">
        <v>397</v>
      </c>
      <c r="I74" s="976">
        <v>0</v>
      </c>
    </row>
    <row r="75" spans="1:9" ht="24.95" customHeight="1" x14ac:dyDescent="0.25">
      <c r="A75" s="972"/>
      <c r="B75" s="973" t="s">
        <v>5675</v>
      </c>
      <c r="C75" s="974">
        <v>333903916000000</v>
      </c>
      <c r="D75" s="973" t="s">
        <v>3048</v>
      </c>
      <c r="E75" s="948">
        <v>332319900000000</v>
      </c>
      <c r="F75" s="975">
        <v>1</v>
      </c>
      <c r="G75" s="973">
        <v>0</v>
      </c>
      <c r="H75" s="972">
        <v>42</v>
      </c>
      <c r="I75" s="976">
        <v>0</v>
      </c>
    </row>
    <row r="76" spans="1:9" ht="24.95" customHeight="1" x14ac:dyDescent="0.25">
      <c r="A76" s="972"/>
      <c r="B76" s="973" t="s">
        <v>3047</v>
      </c>
      <c r="C76" s="974">
        <v>333903958010000</v>
      </c>
      <c r="D76" s="973" t="s">
        <v>3036</v>
      </c>
      <c r="E76" s="948">
        <v>332310800000000</v>
      </c>
      <c r="F76" s="975">
        <v>1</v>
      </c>
      <c r="G76" s="973">
        <v>0</v>
      </c>
      <c r="H76" s="972">
        <v>38</v>
      </c>
      <c r="I76" s="976">
        <v>0</v>
      </c>
    </row>
    <row r="77" spans="1:9" ht="24.95" customHeight="1" x14ac:dyDescent="0.25">
      <c r="A77" s="972"/>
      <c r="B77" s="973" t="s">
        <v>5674</v>
      </c>
      <c r="C77" s="974">
        <v>333903958020000</v>
      </c>
      <c r="D77" s="973" t="s">
        <v>3037</v>
      </c>
      <c r="E77" s="948">
        <v>332310800000000</v>
      </c>
      <c r="F77" s="975">
        <v>1</v>
      </c>
      <c r="G77" s="973">
        <v>0</v>
      </c>
      <c r="H77" s="972">
        <v>48</v>
      </c>
      <c r="I77" s="976">
        <v>0</v>
      </c>
    </row>
    <row r="78" spans="1:9" s="946" customFormat="1" ht="30.75" customHeight="1" x14ac:dyDescent="0.25">
      <c r="A78" s="958"/>
      <c r="B78" s="963">
        <v>1640</v>
      </c>
      <c r="C78" s="964">
        <v>333904000000000</v>
      </c>
      <c r="D78" s="963" t="s">
        <v>5968</v>
      </c>
      <c r="E78" s="954"/>
      <c r="F78" s="960">
        <v>1</v>
      </c>
      <c r="G78" s="963">
        <v>0</v>
      </c>
      <c r="H78" s="956"/>
      <c r="I78" s="961">
        <f>PUCFD!E72*(1+PUCFD!E$16)</f>
        <v>52149.999999999993</v>
      </c>
    </row>
    <row r="79" spans="1:9" ht="24.95" customHeight="1" x14ac:dyDescent="0.25">
      <c r="A79" s="972"/>
      <c r="B79" s="973" t="s">
        <v>3077</v>
      </c>
      <c r="C79" s="974">
        <v>333904099000000</v>
      </c>
      <c r="D79" s="973" t="s">
        <v>3026</v>
      </c>
      <c r="E79" s="948">
        <v>332311100000000</v>
      </c>
      <c r="F79" s="975">
        <v>1</v>
      </c>
      <c r="G79" s="973">
        <v>0</v>
      </c>
      <c r="H79" s="972">
        <v>50</v>
      </c>
      <c r="I79" s="976">
        <v>0</v>
      </c>
    </row>
    <row r="80" spans="1:9" ht="24.95" customHeight="1" x14ac:dyDescent="0.25">
      <c r="A80" s="972"/>
      <c r="B80" s="973" t="s">
        <v>3078</v>
      </c>
      <c r="C80" s="974">
        <v>333904099000000</v>
      </c>
      <c r="D80" s="973" t="s">
        <v>3038</v>
      </c>
      <c r="E80" s="948">
        <v>332311100000000</v>
      </c>
      <c r="F80" s="975">
        <v>1</v>
      </c>
      <c r="G80" s="973">
        <v>0</v>
      </c>
      <c r="H80" s="972">
        <v>39</v>
      </c>
      <c r="I80" s="976">
        <v>0</v>
      </c>
    </row>
    <row r="81" spans="1:9" ht="24.95" customHeight="1" x14ac:dyDescent="0.25">
      <c r="A81" s="972"/>
      <c r="B81" s="973" t="s">
        <v>3079</v>
      </c>
      <c r="C81" s="974">
        <v>333904012000000</v>
      </c>
      <c r="D81" s="973" t="s">
        <v>3043</v>
      </c>
      <c r="E81" s="948">
        <v>332311100000000</v>
      </c>
      <c r="F81" s="975">
        <v>1</v>
      </c>
      <c r="G81" s="973">
        <v>0</v>
      </c>
      <c r="H81" s="972">
        <v>1379</v>
      </c>
      <c r="I81" s="976">
        <v>0</v>
      </c>
    </row>
    <row r="82" spans="1:9" ht="24.95" customHeight="1" x14ac:dyDescent="0.25">
      <c r="A82" s="972"/>
      <c r="B82" s="973" t="s">
        <v>3080</v>
      </c>
      <c r="C82" s="974">
        <v>333904006000000</v>
      </c>
      <c r="D82" s="973" t="s">
        <v>3044</v>
      </c>
      <c r="E82" s="948">
        <v>332311000000000</v>
      </c>
      <c r="F82" s="975">
        <v>1</v>
      </c>
      <c r="G82" s="973">
        <v>0</v>
      </c>
      <c r="H82" s="972">
        <v>40</v>
      </c>
      <c r="I82" s="976">
        <v>0</v>
      </c>
    </row>
    <row r="83" spans="1:9" s="946" customFormat="1" ht="24.95" customHeight="1" x14ac:dyDescent="0.25">
      <c r="A83" s="958"/>
      <c r="B83" s="963">
        <v>1650</v>
      </c>
      <c r="C83" s="964">
        <v>333904600000000</v>
      </c>
      <c r="D83" s="963" t="s">
        <v>3049</v>
      </c>
      <c r="E83" s="954"/>
      <c r="F83" s="960">
        <v>1</v>
      </c>
      <c r="G83" s="963">
        <v>0</v>
      </c>
      <c r="H83" s="956"/>
      <c r="I83" s="961">
        <f>SUM(I84)</f>
        <v>14869.008</v>
      </c>
    </row>
    <row r="84" spans="1:9" ht="24.95" customHeight="1" x14ac:dyDescent="0.25">
      <c r="A84" s="972"/>
      <c r="B84" s="973" t="s">
        <v>5676</v>
      </c>
      <c r="C84" s="974">
        <v>333904601000000</v>
      </c>
      <c r="D84" s="973" t="s">
        <v>3049</v>
      </c>
      <c r="E84" s="948">
        <v>313210100000000</v>
      </c>
      <c r="F84" s="975">
        <v>1</v>
      </c>
      <c r="G84" s="973">
        <v>0</v>
      </c>
      <c r="H84" s="972">
        <v>2282</v>
      </c>
      <c r="I84" s="976">
        <f>PUCFD!E74*(1+PUCFD!E16)</f>
        <v>14869.008</v>
      </c>
    </row>
    <row r="85" spans="1:9" s="946" customFormat="1" ht="24.95" customHeight="1" x14ac:dyDescent="0.25">
      <c r="A85" s="958"/>
      <c r="B85" s="963">
        <v>1700</v>
      </c>
      <c r="C85" s="964">
        <v>333904700000000</v>
      </c>
      <c r="D85" s="963" t="s">
        <v>3050</v>
      </c>
      <c r="E85" s="954"/>
      <c r="F85" s="960">
        <v>1</v>
      </c>
      <c r="G85" s="963">
        <v>0</v>
      </c>
      <c r="H85" s="956"/>
      <c r="I85" s="961">
        <f>PUCFD!E75</f>
        <v>5761.21</v>
      </c>
    </row>
    <row r="86" spans="1:9" ht="24.95" customHeight="1" x14ac:dyDescent="0.25">
      <c r="A86" s="972"/>
      <c r="B86" s="973" t="s">
        <v>3051</v>
      </c>
      <c r="C86" s="974">
        <v>333904715000000</v>
      </c>
      <c r="D86" s="973" t="s">
        <v>3052</v>
      </c>
      <c r="E86" s="948">
        <v>372119900000000</v>
      </c>
      <c r="F86" s="975">
        <v>1</v>
      </c>
      <c r="G86" s="973">
        <v>0</v>
      </c>
      <c r="H86" s="972">
        <v>2287</v>
      </c>
      <c r="I86" s="976">
        <v>0</v>
      </c>
    </row>
    <row r="87" spans="1:9" ht="24.95" customHeight="1" x14ac:dyDescent="0.25">
      <c r="A87" s="972"/>
      <c r="B87" s="973" t="s">
        <v>3053</v>
      </c>
      <c r="C87" s="974">
        <v>333904718000000</v>
      </c>
      <c r="D87" s="973" t="s">
        <v>3054</v>
      </c>
      <c r="E87" s="948">
        <v>372110400000000</v>
      </c>
      <c r="F87" s="975">
        <v>1</v>
      </c>
      <c r="G87" s="973">
        <v>0</v>
      </c>
      <c r="H87" s="956">
        <v>35</v>
      </c>
      <c r="I87" s="976">
        <v>0</v>
      </c>
    </row>
    <row r="88" spans="1:9" ht="24.95" customHeight="1" x14ac:dyDescent="0.25">
      <c r="A88" s="972"/>
      <c r="B88" s="973" t="s">
        <v>3055</v>
      </c>
      <c r="C88" s="974">
        <v>333904716000000</v>
      </c>
      <c r="D88" s="973" t="s">
        <v>3056</v>
      </c>
      <c r="E88" s="948">
        <v>372119900000000</v>
      </c>
      <c r="F88" s="975">
        <v>1</v>
      </c>
      <c r="G88" s="973">
        <v>0</v>
      </c>
      <c r="H88" s="972">
        <v>2287</v>
      </c>
      <c r="I88" s="976">
        <v>0</v>
      </c>
    </row>
    <row r="89" spans="1:9" s="946" customFormat="1" ht="24.95" customHeight="1" x14ac:dyDescent="0.25">
      <c r="A89" s="958"/>
      <c r="B89" s="963">
        <v>1750</v>
      </c>
      <c r="C89" s="964">
        <v>333909200000000</v>
      </c>
      <c r="D89" s="963" t="s">
        <v>3057</v>
      </c>
      <c r="E89" s="954"/>
      <c r="F89" s="960">
        <v>1</v>
      </c>
      <c r="G89" s="963">
        <v>0</v>
      </c>
      <c r="H89" s="956"/>
      <c r="I89" s="961">
        <f>PUCFD!E76</f>
        <v>0.01</v>
      </c>
    </row>
    <row r="90" spans="1:9" s="946" customFormat="1" ht="24.95" customHeight="1" x14ac:dyDescent="0.25">
      <c r="A90" s="958"/>
      <c r="B90" s="963">
        <v>1800</v>
      </c>
      <c r="C90" s="964">
        <v>333909300000000</v>
      </c>
      <c r="D90" s="963" t="s">
        <v>3058</v>
      </c>
      <c r="E90" s="954"/>
      <c r="F90" s="960">
        <v>1</v>
      </c>
      <c r="G90" s="963">
        <v>0</v>
      </c>
      <c r="H90" s="956"/>
      <c r="I90" s="961">
        <f>SUM(I91,I92)</f>
        <v>40775.903478991982</v>
      </c>
    </row>
    <row r="91" spans="1:9" ht="24.95" customHeight="1" x14ac:dyDescent="0.25">
      <c r="A91" s="972"/>
      <c r="B91" s="973" t="s">
        <v>3059</v>
      </c>
      <c r="C91" s="974">
        <v>333909399000000</v>
      </c>
      <c r="D91" s="973" t="s">
        <v>3060</v>
      </c>
      <c r="E91" s="948">
        <v>399910300000000</v>
      </c>
      <c r="F91" s="975">
        <v>1</v>
      </c>
      <c r="G91" s="973">
        <v>0</v>
      </c>
      <c r="H91" s="956">
        <v>1291</v>
      </c>
      <c r="I91" s="976">
        <f>PUCFD!E78*(1+PUCFD!E$16)</f>
        <v>5215</v>
      </c>
    </row>
    <row r="92" spans="1:9" ht="24.95" customHeight="1" x14ac:dyDescent="0.25">
      <c r="A92" s="972"/>
      <c r="B92" s="973" t="s">
        <v>3061</v>
      </c>
      <c r="C92" s="974">
        <v>333909399010000</v>
      </c>
      <c r="D92" s="973" t="s">
        <v>3062</v>
      </c>
      <c r="E92" s="948">
        <v>399910300000000</v>
      </c>
      <c r="F92" s="975">
        <v>1</v>
      </c>
      <c r="G92" s="973">
        <v>0</v>
      </c>
      <c r="H92" s="956">
        <v>1291</v>
      </c>
      <c r="I92" s="976">
        <f>PUCFD!E79*12*(1+PUCFD!E23)</f>
        <v>35560.903478991982</v>
      </c>
    </row>
    <row r="93" spans="1:9" s="946" customFormat="1" ht="24.95" customHeight="1" x14ac:dyDescent="0.25">
      <c r="A93" s="958"/>
      <c r="B93" s="963">
        <v>1900</v>
      </c>
      <c r="C93" s="964">
        <v>344905100000000</v>
      </c>
      <c r="D93" s="963" t="s">
        <v>3063</v>
      </c>
      <c r="E93" s="954"/>
      <c r="F93" s="960">
        <v>1</v>
      </c>
      <c r="G93" s="963">
        <v>0</v>
      </c>
      <c r="H93" s="956"/>
      <c r="I93" s="961">
        <f>PUCFD!E80*(1+PUCFD!E$16)+PUCFD!E82</f>
        <v>11048.9</v>
      </c>
    </row>
    <row r="94" spans="1:9" s="946" customFormat="1" ht="24.95" customHeight="1" x14ac:dyDescent="0.25">
      <c r="A94" s="958"/>
      <c r="B94" s="963">
        <v>2000</v>
      </c>
      <c r="C94" s="964">
        <v>344905200000000</v>
      </c>
      <c r="D94" s="963" t="s">
        <v>3064</v>
      </c>
      <c r="E94" s="954"/>
      <c r="F94" s="960">
        <v>1</v>
      </c>
      <c r="G94" s="963">
        <v>0</v>
      </c>
      <c r="H94" s="956"/>
      <c r="I94" s="961">
        <f>PUCFD!E81*(1+PUCFD!E$16)+PUCFD!E83-10000</f>
        <v>27036.550000000003</v>
      </c>
    </row>
    <row r="95" spans="1:9" s="946" customFormat="1" ht="24.95" customHeight="1" x14ac:dyDescent="0.25">
      <c r="B95" s="1610" t="s">
        <v>3339</v>
      </c>
      <c r="C95" s="1610"/>
      <c r="D95" s="1610"/>
      <c r="E95" s="1610"/>
      <c r="F95" s="1610"/>
      <c r="G95" s="1610"/>
      <c r="H95" s="1610"/>
      <c r="I95" s="957">
        <f>I13+I27-0.01</f>
        <v>1009160.7553981536</v>
      </c>
    </row>
    <row r="96" spans="1:9" s="946" customFormat="1" ht="24.95" customHeight="1" x14ac:dyDescent="0.25">
      <c r="B96" s="1610" t="s">
        <v>3338</v>
      </c>
      <c r="C96" s="1610"/>
      <c r="D96" s="1610"/>
      <c r="E96" s="1610"/>
      <c r="F96" s="1610"/>
      <c r="G96" s="1610"/>
      <c r="H96" s="1610"/>
      <c r="I96" s="957">
        <f>I95</f>
        <v>1009160.7553981536</v>
      </c>
    </row>
    <row r="97" spans="1:9" s="946" customFormat="1" ht="24.95" customHeight="1" x14ac:dyDescent="0.25">
      <c r="B97" s="956"/>
      <c r="C97" s="977"/>
      <c r="D97" s="956"/>
      <c r="E97" s="954" t="s">
        <v>4777</v>
      </c>
      <c r="F97" s="960"/>
      <c r="G97" s="960"/>
      <c r="H97" s="958"/>
      <c r="I97" s="961"/>
    </row>
    <row r="98" spans="1:9" s="946" customFormat="1" ht="24.95" customHeight="1" x14ac:dyDescent="0.25">
      <c r="B98" s="956"/>
      <c r="C98" s="977"/>
      <c r="D98" s="956"/>
      <c r="E98" s="948"/>
      <c r="F98" s="949">
        <v>1</v>
      </c>
      <c r="G98" s="945">
        <v>0</v>
      </c>
      <c r="H98" s="950">
        <v>0</v>
      </c>
      <c r="I98" s="951">
        <f>I96</f>
        <v>1009160.7553981536</v>
      </c>
    </row>
    <row r="99" spans="1:9" s="946" customFormat="1" ht="24.95" customHeight="1" x14ac:dyDescent="0.25">
      <c r="B99" s="956"/>
      <c r="C99" s="977"/>
      <c r="D99" s="956"/>
      <c r="E99" s="956"/>
      <c r="F99" s="955"/>
      <c r="G99" s="956"/>
      <c r="H99" s="956"/>
      <c r="I99" s="957"/>
    </row>
    <row r="100" spans="1:9" s="946" customFormat="1" ht="24.95" customHeight="1" x14ac:dyDescent="0.25">
      <c r="B100" s="956"/>
      <c r="C100" s="977"/>
      <c r="D100" s="956"/>
      <c r="E100" s="954"/>
      <c r="F100" s="955"/>
      <c r="G100" s="956"/>
      <c r="H100" s="956"/>
      <c r="I100" s="957"/>
    </row>
    <row r="101" spans="1:9" ht="30" customHeight="1" x14ac:dyDescent="0.25">
      <c r="B101" s="1610" t="s">
        <v>3128</v>
      </c>
      <c r="C101" s="1610"/>
      <c r="D101" s="1610"/>
      <c r="E101" s="954" t="s">
        <v>3131</v>
      </c>
      <c r="F101" s="1610" t="s">
        <v>3132</v>
      </c>
      <c r="G101" s="1610"/>
      <c r="H101" s="1610"/>
    </row>
    <row r="102" spans="1:9" ht="30" customHeight="1" x14ac:dyDescent="0.25">
      <c r="B102" s="1614" t="s">
        <v>3129</v>
      </c>
      <c r="C102" s="1614"/>
      <c r="D102" s="1614"/>
      <c r="E102" s="961">
        <f>DLMDPL!C35</f>
        <v>1009160.7645000002</v>
      </c>
      <c r="F102" s="1609">
        <f>I95</f>
        <v>1009160.7553981536</v>
      </c>
      <c r="G102" s="1610"/>
      <c r="H102" s="1610"/>
    </row>
    <row r="103" spans="1:9" ht="36.75" customHeight="1" x14ac:dyDescent="0.25">
      <c r="B103" s="1614" t="str">
        <f>DLMDPL!B36</f>
        <v>Valor máximo para as despesas com a  Folha de Pagamentos do Poder Legislativo em 2020(CF/88, art. 29-A, § 1º) = 70% S/Despesas Previstas</v>
      </c>
      <c r="C103" s="1614"/>
      <c r="D103" s="1614"/>
      <c r="E103" s="961">
        <f>DLMDPL!C36</f>
        <v>706412.53515000013</v>
      </c>
      <c r="F103" s="1609">
        <f>I28+I29+I36+I44+I45</f>
        <v>624710.49984547566</v>
      </c>
      <c r="G103" s="1610"/>
      <c r="H103" s="1610"/>
    </row>
    <row r="104" spans="1:9" s="946" customFormat="1" ht="24.95" customHeight="1" x14ac:dyDescent="0.25">
      <c r="B104" s="1608"/>
      <c r="C104" s="1608"/>
      <c r="D104" s="1608"/>
      <c r="E104" s="978"/>
      <c r="F104" s="955"/>
      <c r="H104" s="956"/>
      <c r="I104" s="957"/>
    </row>
    <row r="105" spans="1:9" s="946" customFormat="1" ht="24.95" customHeight="1" x14ac:dyDescent="0.25">
      <c r="B105" s="946" t="s">
        <v>3088</v>
      </c>
      <c r="C105" s="953" t="s">
        <v>3136</v>
      </c>
      <c r="E105" s="954"/>
      <c r="F105" s="955"/>
      <c r="H105" s="956"/>
      <c r="I105" s="957"/>
    </row>
    <row r="106" spans="1:9" s="946" customFormat="1" ht="24.95" customHeight="1" x14ac:dyDescent="0.25">
      <c r="B106" s="946" t="s">
        <v>3087</v>
      </c>
      <c r="C106" s="953" t="s">
        <v>3135</v>
      </c>
      <c r="E106" s="954"/>
      <c r="F106" s="955"/>
      <c r="H106" s="956"/>
      <c r="I106" s="957"/>
    </row>
    <row r="107" spans="1:9" s="946" customFormat="1" ht="24.95" customHeight="1" x14ac:dyDescent="0.25">
      <c r="B107" s="946" t="s">
        <v>3089</v>
      </c>
      <c r="C107" s="953" t="s">
        <v>3146</v>
      </c>
      <c r="E107" s="954"/>
      <c r="F107" s="955"/>
      <c r="H107" s="956"/>
      <c r="I107" s="957"/>
    </row>
    <row r="108" spans="1:9" s="946" customFormat="1" ht="33.75" customHeight="1" x14ac:dyDescent="0.25">
      <c r="A108" s="958"/>
      <c r="B108" s="958" t="s">
        <v>2967</v>
      </c>
      <c r="C108" s="959" t="s">
        <v>472</v>
      </c>
      <c r="D108" s="958" t="s">
        <v>2968</v>
      </c>
      <c r="E108" s="954" t="s">
        <v>3066</v>
      </c>
      <c r="F108" s="960" t="s">
        <v>1403</v>
      </c>
      <c r="G108" s="958" t="s">
        <v>2969</v>
      </c>
      <c r="H108" s="958" t="s">
        <v>3065</v>
      </c>
      <c r="I108" s="961" t="s">
        <v>2531</v>
      </c>
    </row>
    <row r="109" spans="1:9" ht="15" customHeight="1" x14ac:dyDescent="0.25">
      <c r="A109" s="958"/>
      <c r="B109" s="962" t="s">
        <v>3138</v>
      </c>
      <c r="C109" s="959">
        <v>4</v>
      </c>
      <c r="D109" s="962" t="s">
        <v>3142</v>
      </c>
      <c r="E109" s="954"/>
      <c r="F109" s="960"/>
      <c r="G109" s="958"/>
      <c r="H109" s="958"/>
      <c r="I109" s="961">
        <f>I110</f>
        <v>7.5999999999999998E-2</v>
      </c>
    </row>
    <row r="110" spans="1:9" ht="15" customHeight="1" x14ac:dyDescent="0.25">
      <c r="A110" s="958"/>
      <c r="B110" s="962" t="s">
        <v>3139</v>
      </c>
      <c r="C110" s="959">
        <v>122</v>
      </c>
      <c r="D110" s="962" t="s">
        <v>3143</v>
      </c>
      <c r="E110" s="954"/>
      <c r="F110" s="960"/>
      <c r="G110" s="958"/>
      <c r="H110" s="958"/>
      <c r="I110" s="961">
        <f>I111</f>
        <v>7.5999999999999998E-2</v>
      </c>
    </row>
    <row r="111" spans="1:9" ht="15" customHeight="1" x14ac:dyDescent="0.25">
      <c r="A111" s="958"/>
      <c r="B111" s="962" t="s">
        <v>3137</v>
      </c>
      <c r="C111" s="959">
        <v>3</v>
      </c>
      <c r="D111" s="962" t="s">
        <v>3145</v>
      </c>
      <c r="E111" s="954"/>
      <c r="F111" s="960"/>
      <c r="G111" s="958"/>
      <c r="H111" s="958"/>
      <c r="I111" s="961">
        <f>I112</f>
        <v>7.5999999999999998E-2</v>
      </c>
    </row>
    <row r="112" spans="1:9" s="946" customFormat="1" ht="24.95" customHeight="1" x14ac:dyDescent="0.25">
      <c r="A112" s="958"/>
      <c r="B112" s="963" t="s">
        <v>2950</v>
      </c>
      <c r="C112" s="959">
        <v>2</v>
      </c>
      <c r="D112" s="963" t="s">
        <v>2952</v>
      </c>
      <c r="E112" s="954"/>
      <c r="F112" s="960"/>
      <c r="G112" s="963"/>
      <c r="H112" s="956"/>
      <c r="I112" s="961">
        <f>SUM(I113,I114,I115,I116,I117,I118,)</f>
        <v>7.5999999999999998E-2</v>
      </c>
    </row>
    <row r="113" spans="1:9" ht="24.95" customHeight="1" x14ac:dyDescent="0.25">
      <c r="B113" s="973">
        <v>3000</v>
      </c>
      <c r="C113" s="974">
        <v>333904700000000</v>
      </c>
      <c r="D113" s="973" t="s">
        <v>2953</v>
      </c>
      <c r="F113" s="975">
        <v>1</v>
      </c>
      <c r="G113" s="973">
        <v>0</v>
      </c>
      <c r="I113" s="976">
        <f>PUCFD!E101</f>
        <v>6.0000000000000001E-3</v>
      </c>
    </row>
    <row r="114" spans="1:9" ht="24.95" customHeight="1" x14ac:dyDescent="0.25">
      <c r="B114" s="973">
        <v>3100</v>
      </c>
      <c r="C114" s="974">
        <v>344903000000000</v>
      </c>
      <c r="D114" s="973" t="s">
        <v>2954</v>
      </c>
      <c r="F114" s="975">
        <v>1</v>
      </c>
      <c r="G114" s="973">
        <v>0</v>
      </c>
      <c r="I114" s="976">
        <f>PUCFD!E102</f>
        <v>0.02</v>
      </c>
    </row>
    <row r="115" spans="1:9" ht="24.95" customHeight="1" x14ac:dyDescent="0.25">
      <c r="B115" s="973">
        <v>3200</v>
      </c>
      <c r="C115" s="974">
        <v>344903600000000</v>
      </c>
      <c r="D115" s="973" t="s">
        <v>2955</v>
      </c>
      <c r="F115" s="975">
        <v>1</v>
      </c>
      <c r="G115" s="973">
        <v>0</v>
      </c>
      <c r="I115" s="976">
        <f>PUCFD!E105</f>
        <v>0.01</v>
      </c>
    </row>
    <row r="116" spans="1:9" ht="24.95" customHeight="1" x14ac:dyDescent="0.25">
      <c r="B116" s="973">
        <v>3300</v>
      </c>
      <c r="C116" s="974">
        <v>344903900000000</v>
      </c>
      <c r="D116" s="973" t="s">
        <v>2956</v>
      </c>
      <c r="F116" s="975">
        <v>1</v>
      </c>
      <c r="G116" s="973">
        <v>0</v>
      </c>
      <c r="I116" s="976">
        <f>PUCFD!E106</f>
        <v>0.02</v>
      </c>
    </row>
    <row r="117" spans="1:9" ht="24.95" customHeight="1" x14ac:dyDescent="0.25">
      <c r="B117" s="973">
        <v>3400</v>
      </c>
      <c r="C117" s="974">
        <v>344905100000000</v>
      </c>
      <c r="D117" s="973" t="s">
        <v>2957</v>
      </c>
      <c r="F117" s="975">
        <v>1</v>
      </c>
      <c r="G117" s="973">
        <v>0</v>
      </c>
      <c r="I117" s="976">
        <f>PUCFD!E109</f>
        <v>0.01</v>
      </c>
    </row>
    <row r="118" spans="1:9" ht="24.95" customHeight="1" x14ac:dyDescent="0.25">
      <c r="B118" s="973">
        <v>3500</v>
      </c>
      <c r="C118" s="974">
        <v>344905200000000</v>
      </c>
      <c r="D118" s="973" t="s">
        <v>2959</v>
      </c>
      <c r="F118" s="975">
        <v>1</v>
      </c>
      <c r="G118" s="973">
        <v>0</v>
      </c>
      <c r="I118" s="976">
        <f>PUCFD!E111</f>
        <v>0.01</v>
      </c>
    </row>
    <row r="119" spans="1:9" ht="15" customHeight="1" x14ac:dyDescent="0.25">
      <c r="A119" s="958"/>
      <c r="B119" s="962" t="s">
        <v>3138</v>
      </c>
      <c r="C119" s="959">
        <v>4</v>
      </c>
      <c r="D119" s="962" t="s">
        <v>3142</v>
      </c>
      <c r="E119" s="954"/>
      <c r="F119" s="960"/>
      <c r="G119" s="958"/>
      <c r="H119" s="958"/>
      <c r="I119" s="961">
        <f>I120</f>
        <v>8.5999999999999993E-2</v>
      </c>
    </row>
    <row r="120" spans="1:9" ht="15" customHeight="1" x14ac:dyDescent="0.25">
      <c r="A120" s="958"/>
      <c r="B120" s="962" t="s">
        <v>3139</v>
      </c>
      <c r="C120" s="959">
        <v>122</v>
      </c>
      <c r="D120" s="962" t="s">
        <v>3143</v>
      </c>
      <c r="E120" s="954"/>
      <c r="F120" s="960"/>
      <c r="G120" s="958"/>
      <c r="H120" s="958"/>
      <c r="I120" s="961">
        <f>I121</f>
        <v>8.5999999999999993E-2</v>
      </c>
    </row>
    <row r="121" spans="1:9" ht="15" customHeight="1" x14ac:dyDescent="0.25">
      <c r="A121" s="958"/>
      <c r="B121" s="962" t="s">
        <v>3137</v>
      </c>
      <c r="C121" s="959">
        <v>22</v>
      </c>
      <c r="D121" s="962" t="s">
        <v>3265</v>
      </c>
      <c r="E121" s="954"/>
      <c r="F121" s="960"/>
      <c r="G121" s="958"/>
      <c r="H121" s="958"/>
      <c r="I121" s="961">
        <f>I122</f>
        <v>8.5999999999999993E-2</v>
      </c>
    </row>
    <row r="122" spans="1:9" s="946" customFormat="1" ht="24.95" customHeight="1" x14ac:dyDescent="0.25">
      <c r="A122" s="958"/>
      <c r="B122" s="963" t="s">
        <v>2950</v>
      </c>
      <c r="C122" s="959" t="s">
        <v>3147</v>
      </c>
      <c r="D122" s="963" t="s">
        <v>3148</v>
      </c>
      <c r="E122" s="954"/>
      <c r="F122" s="960"/>
      <c r="G122" s="963"/>
      <c r="H122" s="956"/>
      <c r="I122" s="961">
        <f>SUM(I123,I124,I125,I126,I127,I128,I129)</f>
        <v>8.5999999999999993E-2</v>
      </c>
    </row>
    <row r="123" spans="1:9" ht="24.95" customHeight="1" x14ac:dyDescent="0.25">
      <c r="B123" s="973">
        <v>3530</v>
      </c>
      <c r="C123" s="974">
        <v>333904700000000</v>
      </c>
      <c r="D123" s="973" t="s">
        <v>3267</v>
      </c>
      <c r="F123" s="975">
        <v>1</v>
      </c>
      <c r="G123" s="973">
        <v>0</v>
      </c>
      <c r="I123" s="976">
        <f>PUCFD!E113</f>
        <v>6.0000000000000001E-3</v>
      </c>
    </row>
    <row r="124" spans="1:9" ht="24.95" customHeight="1" x14ac:dyDescent="0.25">
      <c r="B124" s="973">
        <v>3540</v>
      </c>
      <c r="C124" s="974">
        <v>344903000000000</v>
      </c>
      <c r="D124" s="973" t="s">
        <v>3268</v>
      </c>
      <c r="F124" s="975">
        <v>1</v>
      </c>
      <c r="G124" s="973">
        <v>0</v>
      </c>
      <c r="I124" s="976">
        <f>PUCFD!E114</f>
        <v>0.02</v>
      </c>
    </row>
    <row r="125" spans="1:9" ht="24.95" customHeight="1" x14ac:dyDescent="0.25">
      <c r="B125" s="973">
        <v>3550</v>
      </c>
      <c r="C125" s="974">
        <v>344903600000000</v>
      </c>
      <c r="D125" s="973" t="s">
        <v>3269</v>
      </c>
      <c r="F125" s="975">
        <v>1</v>
      </c>
      <c r="G125" s="973">
        <v>0</v>
      </c>
      <c r="I125" s="976">
        <f>PUCFD!E117</f>
        <v>0.01</v>
      </c>
    </row>
    <row r="126" spans="1:9" ht="24.95" customHeight="1" x14ac:dyDescent="0.25">
      <c r="B126" s="973">
        <v>3560</v>
      </c>
      <c r="C126" s="974">
        <v>344903900000000</v>
      </c>
      <c r="D126" s="973" t="s">
        <v>3270</v>
      </c>
      <c r="F126" s="975">
        <v>1</v>
      </c>
      <c r="G126" s="973">
        <v>0</v>
      </c>
      <c r="I126" s="976">
        <f>PUCFD!E118</f>
        <v>0.02</v>
      </c>
    </row>
    <row r="127" spans="1:9" ht="24.95" customHeight="1" x14ac:dyDescent="0.25">
      <c r="B127" s="973">
        <v>3570</v>
      </c>
      <c r="C127" s="974">
        <v>344905100000000</v>
      </c>
      <c r="D127" s="973" t="s">
        <v>3271</v>
      </c>
      <c r="E127" s="979"/>
      <c r="F127" s="975">
        <v>1</v>
      </c>
      <c r="G127" s="973">
        <v>0</v>
      </c>
      <c r="I127" s="976">
        <f>PUCFD!E121</f>
        <v>0.01</v>
      </c>
    </row>
    <row r="128" spans="1:9" ht="24.95" customHeight="1" x14ac:dyDescent="0.25">
      <c r="B128" s="973">
        <v>3580</v>
      </c>
      <c r="C128" s="974">
        <v>344905200000000</v>
      </c>
      <c r="D128" s="973" t="s">
        <v>3272</v>
      </c>
      <c r="F128" s="975">
        <v>1</v>
      </c>
      <c r="G128" s="973">
        <v>0</v>
      </c>
      <c r="I128" s="976">
        <f>PUCFD!E123</f>
        <v>0.01</v>
      </c>
    </row>
    <row r="129" spans="1:9" ht="33" customHeight="1" x14ac:dyDescent="0.25">
      <c r="B129" s="973">
        <v>3590</v>
      </c>
      <c r="C129" s="974">
        <v>344915200000000</v>
      </c>
      <c r="D129" s="973" t="s">
        <v>5725</v>
      </c>
      <c r="F129" s="975">
        <v>1</v>
      </c>
      <c r="G129" s="973">
        <v>0</v>
      </c>
      <c r="I129" s="976">
        <f>PUCFD!E124</f>
        <v>0.01</v>
      </c>
    </row>
    <row r="130" spans="1:9" ht="15" customHeight="1" x14ac:dyDescent="0.25">
      <c r="A130" s="958"/>
      <c r="B130" s="962" t="s">
        <v>3138</v>
      </c>
      <c r="C130" s="959">
        <v>4</v>
      </c>
      <c r="D130" s="962" t="s">
        <v>3142</v>
      </c>
      <c r="E130" s="954"/>
      <c r="F130" s="960"/>
      <c r="G130" s="958"/>
      <c r="H130" s="958"/>
      <c r="I130" s="961">
        <f>I131</f>
        <v>6.0000000000000005E-2</v>
      </c>
    </row>
    <row r="131" spans="1:9" ht="15" customHeight="1" x14ac:dyDescent="0.25">
      <c r="A131" s="958"/>
      <c r="B131" s="962" t="s">
        <v>3139</v>
      </c>
      <c r="C131" s="959">
        <v>122</v>
      </c>
      <c r="D131" s="962" t="s">
        <v>3143</v>
      </c>
      <c r="E131" s="954"/>
      <c r="F131" s="960"/>
      <c r="G131" s="958"/>
      <c r="H131" s="958"/>
      <c r="I131" s="961">
        <f>I132</f>
        <v>6.0000000000000005E-2</v>
      </c>
    </row>
    <row r="132" spans="1:9" ht="15" customHeight="1" x14ac:dyDescent="0.25">
      <c r="A132" s="958"/>
      <c r="B132" s="962" t="s">
        <v>3137</v>
      </c>
      <c r="C132" s="959">
        <v>22</v>
      </c>
      <c r="D132" s="962" t="s">
        <v>3265</v>
      </c>
      <c r="E132" s="954"/>
      <c r="F132" s="960"/>
      <c r="G132" s="958"/>
      <c r="H132" s="958"/>
      <c r="I132" s="961">
        <f>I133</f>
        <v>6.0000000000000005E-2</v>
      </c>
    </row>
    <row r="133" spans="1:9" s="946" customFormat="1" ht="24.95" customHeight="1" x14ac:dyDescent="0.25">
      <c r="A133" s="958"/>
      <c r="B133" s="963" t="s">
        <v>2950</v>
      </c>
      <c r="C133" s="959" t="s">
        <v>3147</v>
      </c>
      <c r="D133" s="963" t="s">
        <v>3148</v>
      </c>
      <c r="E133" s="954"/>
      <c r="F133" s="960"/>
      <c r="G133" s="963"/>
      <c r="H133" s="956"/>
      <c r="I133" s="961">
        <f>SUM(I134:I139)</f>
        <v>6.0000000000000005E-2</v>
      </c>
    </row>
    <row r="134" spans="1:9" ht="24.95" customHeight="1" x14ac:dyDescent="0.25">
      <c r="B134" s="973">
        <v>6000</v>
      </c>
      <c r="C134" s="974">
        <v>333904700000000</v>
      </c>
      <c r="D134" s="973" t="s">
        <v>5677</v>
      </c>
      <c r="F134" s="975">
        <v>1</v>
      </c>
      <c r="G134" s="973">
        <v>0</v>
      </c>
      <c r="I134" s="976">
        <f>PUCFD!E126</f>
        <v>0.01</v>
      </c>
    </row>
    <row r="135" spans="1:9" ht="24.95" customHeight="1" x14ac:dyDescent="0.25">
      <c r="B135" s="973">
        <v>6020</v>
      </c>
      <c r="C135" s="974">
        <v>344903000000000</v>
      </c>
      <c r="D135" s="973" t="s">
        <v>5678</v>
      </c>
      <c r="F135" s="975">
        <v>1</v>
      </c>
      <c r="G135" s="973">
        <v>0</v>
      </c>
      <c r="I135" s="976">
        <f>PUCFD!E127</f>
        <v>0.01</v>
      </c>
    </row>
    <row r="136" spans="1:9" ht="24.95" customHeight="1" x14ac:dyDescent="0.25">
      <c r="B136" s="973">
        <v>6030</v>
      </c>
      <c r="C136" s="974">
        <v>344903600000000</v>
      </c>
      <c r="D136" s="973" t="s">
        <v>5679</v>
      </c>
      <c r="F136" s="975">
        <v>1</v>
      </c>
      <c r="G136" s="973">
        <v>0</v>
      </c>
      <c r="I136" s="976">
        <f>PUCFD!E128</f>
        <v>0.01</v>
      </c>
    </row>
    <row r="137" spans="1:9" ht="24.95" customHeight="1" x14ac:dyDescent="0.25">
      <c r="B137" s="973">
        <v>6040</v>
      </c>
      <c r="C137" s="974">
        <v>344903900000000</v>
      </c>
      <c r="D137" s="973" t="s">
        <v>5680</v>
      </c>
      <c r="F137" s="975">
        <v>1</v>
      </c>
      <c r="G137" s="973">
        <v>0</v>
      </c>
      <c r="I137" s="976">
        <f>PUCFD!E129</f>
        <v>0.01</v>
      </c>
    </row>
    <row r="138" spans="1:9" ht="24.95" customHeight="1" x14ac:dyDescent="0.25">
      <c r="B138" s="973">
        <v>6050</v>
      </c>
      <c r="C138" s="974">
        <v>344905100000000</v>
      </c>
      <c r="D138" s="973" t="s">
        <v>5681</v>
      </c>
      <c r="E138" s="979"/>
      <c r="F138" s="975">
        <v>1</v>
      </c>
      <c r="G138" s="973">
        <v>0</v>
      </c>
      <c r="I138" s="976">
        <f>PUCFD!E130</f>
        <v>0.01</v>
      </c>
    </row>
    <row r="139" spans="1:9" ht="24.95" customHeight="1" x14ac:dyDescent="0.25">
      <c r="B139" s="973">
        <v>6060</v>
      </c>
      <c r="C139" s="974">
        <v>344905200000000</v>
      </c>
      <c r="D139" s="973" t="s">
        <v>5682</v>
      </c>
      <c r="F139" s="975">
        <v>1</v>
      </c>
      <c r="G139" s="973">
        <v>0</v>
      </c>
      <c r="I139" s="976">
        <f>PUCFD!E131</f>
        <v>0.01</v>
      </c>
    </row>
    <row r="140" spans="1:9" ht="15" customHeight="1" x14ac:dyDescent="0.25">
      <c r="A140" s="958"/>
      <c r="B140" s="962" t="s">
        <v>3138</v>
      </c>
      <c r="C140" s="959">
        <v>4</v>
      </c>
      <c r="D140" s="962" t="s">
        <v>3142</v>
      </c>
      <c r="E140" s="954"/>
      <c r="F140" s="960"/>
      <c r="G140" s="958"/>
      <c r="H140" s="958"/>
      <c r="I140" s="961">
        <f>I141</f>
        <v>444043.30915756017</v>
      </c>
    </row>
    <row r="141" spans="1:9" ht="15" customHeight="1" x14ac:dyDescent="0.25">
      <c r="A141" s="958"/>
      <c r="B141" s="962" t="s">
        <v>3139</v>
      </c>
      <c r="C141" s="959">
        <v>122</v>
      </c>
      <c r="D141" s="962" t="s">
        <v>3143</v>
      </c>
      <c r="E141" s="954"/>
      <c r="F141" s="960"/>
      <c r="G141" s="958"/>
      <c r="H141" s="958"/>
      <c r="I141" s="961">
        <f>I142</f>
        <v>444043.30915756017</v>
      </c>
    </row>
    <row r="142" spans="1:9" ht="15" customHeight="1" x14ac:dyDescent="0.25">
      <c r="A142" s="958"/>
      <c r="B142" s="962" t="s">
        <v>3137</v>
      </c>
      <c r="C142" s="959">
        <v>3</v>
      </c>
      <c r="D142" s="962" t="s">
        <v>4608</v>
      </c>
      <c r="E142" s="954"/>
      <c r="F142" s="960"/>
      <c r="G142" s="958"/>
      <c r="H142" s="958"/>
      <c r="I142" s="961">
        <f>I143</f>
        <v>444043.30915756017</v>
      </c>
    </row>
    <row r="143" spans="1:9" ht="24.95" customHeight="1" x14ac:dyDescent="0.25">
      <c r="B143" s="963" t="s">
        <v>2965</v>
      </c>
      <c r="C143" s="959">
        <v>2</v>
      </c>
      <c r="D143" s="962" t="s">
        <v>3335</v>
      </c>
      <c r="I143" s="957">
        <f>SUM(I144,I147,I146,I149,I157,I160,I161,I162,I165,I170,I182,I185,I186,I187,I197,I199,I201,I202,I204,I205,)</f>
        <v>444043.30915756017</v>
      </c>
    </row>
    <row r="144" spans="1:9" s="946" customFormat="1" ht="32.25" customHeight="1" x14ac:dyDescent="0.25">
      <c r="B144" s="963">
        <v>3600</v>
      </c>
      <c r="C144" s="964">
        <v>331717000000000</v>
      </c>
      <c r="D144" s="963" t="s">
        <v>5683</v>
      </c>
      <c r="E144" s="954"/>
      <c r="F144" s="960">
        <v>1</v>
      </c>
      <c r="G144" s="963">
        <v>0</v>
      </c>
      <c r="H144" s="950"/>
      <c r="I144" s="961">
        <f>SUM(I145)</f>
        <v>6818.8705200000013</v>
      </c>
    </row>
    <row r="145" spans="1:11" ht="24.95" customHeight="1" x14ac:dyDescent="0.25">
      <c r="B145" s="973" t="s">
        <v>3153</v>
      </c>
      <c r="C145" s="974">
        <v>331717001000000</v>
      </c>
      <c r="D145" s="973" t="s">
        <v>3154</v>
      </c>
      <c r="F145" s="975">
        <v>1</v>
      </c>
      <c r="G145" s="973">
        <v>0</v>
      </c>
      <c r="I145" s="976">
        <f>(PUCFD!E134*12)*(1+PUCFD!E10)</f>
        <v>6818.8705200000013</v>
      </c>
    </row>
    <row r="146" spans="1:11" s="946" customFormat="1" ht="36" customHeight="1" x14ac:dyDescent="0.25">
      <c r="B146" s="963">
        <v>3700</v>
      </c>
      <c r="C146" s="964">
        <v>331900400000000</v>
      </c>
      <c r="D146" s="963" t="s">
        <v>5684</v>
      </c>
      <c r="E146" s="954"/>
      <c r="F146" s="960">
        <v>1</v>
      </c>
      <c r="G146" s="963">
        <v>0</v>
      </c>
      <c r="H146" s="950"/>
      <c r="I146" s="961">
        <f>PUCFD!E135</f>
        <v>1.1666666666666665</v>
      </c>
    </row>
    <row r="147" spans="1:11" s="946" customFormat="1" ht="38.25" customHeight="1" x14ac:dyDescent="0.25">
      <c r="A147" s="958"/>
      <c r="B147" s="963">
        <v>3750</v>
      </c>
      <c r="C147" s="964">
        <v>331900800000000</v>
      </c>
      <c r="D147" s="963" t="s">
        <v>5685</v>
      </c>
      <c r="E147" s="954"/>
      <c r="F147" s="960">
        <v>1</v>
      </c>
      <c r="G147" s="963">
        <v>0</v>
      </c>
      <c r="H147" s="956"/>
      <c r="I147" s="961">
        <f>SUM(I148)</f>
        <v>0.1154</v>
      </c>
    </row>
    <row r="148" spans="1:11" ht="24.95" customHeight="1" x14ac:dyDescent="0.25">
      <c r="A148" s="972"/>
      <c r="B148" s="975" t="s">
        <v>6825</v>
      </c>
      <c r="C148" s="974">
        <v>31900899040000</v>
      </c>
      <c r="D148" s="973" t="s">
        <v>4234</v>
      </c>
      <c r="F148" s="975"/>
      <c r="G148" s="973"/>
      <c r="I148" s="976">
        <f>SUM(1)*PUCFD!E$94</f>
        <v>0.1154</v>
      </c>
    </row>
    <row r="149" spans="1:11" s="946" customFormat="1" ht="24.95" customHeight="1" x14ac:dyDescent="0.25">
      <c r="B149" s="963">
        <v>3800</v>
      </c>
      <c r="C149" s="964">
        <v>331901100000000</v>
      </c>
      <c r="D149" s="963" t="s">
        <v>5686</v>
      </c>
      <c r="E149" s="954"/>
      <c r="F149" s="960">
        <v>1</v>
      </c>
      <c r="G149" s="963">
        <v>0</v>
      </c>
      <c r="H149" s="950"/>
      <c r="I149" s="961">
        <f>SUM(I150,I151,I152,I153,I154,I155,I156)-25806.52</f>
        <v>304511.01472652785</v>
      </c>
      <c r="J149" s="1013"/>
      <c r="K149" s="1012"/>
    </row>
    <row r="150" spans="1:11" ht="24.95" customHeight="1" x14ac:dyDescent="0.25">
      <c r="B150" s="973" t="s">
        <v>3156</v>
      </c>
      <c r="C150" s="974">
        <v>331901174000000</v>
      </c>
      <c r="D150" s="973" t="s">
        <v>3157</v>
      </c>
      <c r="E150" s="948">
        <v>311210131000000</v>
      </c>
      <c r="F150" s="975">
        <v>1</v>
      </c>
      <c r="G150" s="973">
        <v>0</v>
      </c>
      <c r="H150" s="950">
        <v>56</v>
      </c>
      <c r="I150" s="976">
        <f>SUM(PUCFD!E140)*12*(1+PUCFD!E$87)</f>
        <v>137809.31286021942</v>
      </c>
    </row>
    <row r="151" spans="1:11" ht="24.95" customHeight="1" x14ac:dyDescent="0.25">
      <c r="B151" s="973" t="s">
        <v>3158</v>
      </c>
      <c r="C151" s="974">
        <v>331901101010000</v>
      </c>
      <c r="D151" s="973" t="s">
        <v>2973</v>
      </c>
      <c r="E151" s="948">
        <v>311210101000000</v>
      </c>
      <c r="F151" s="975">
        <v>1</v>
      </c>
      <c r="G151" s="973">
        <v>0</v>
      </c>
      <c r="H151" s="950">
        <v>55</v>
      </c>
      <c r="I151" s="976">
        <f>PUCFD!E141*12*(1+PUCFD!E$87)</f>
        <v>135817.86843484023</v>
      </c>
    </row>
    <row r="152" spans="1:11" ht="29.25" customHeight="1" x14ac:dyDescent="0.25">
      <c r="B152" s="973" t="s">
        <v>3159</v>
      </c>
      <c r="C152" s="974">
        <v>331901143030000</v>
      </c>
      <c r="D152" s="973" t="s">
        <v>3160</v>
      </c>
      <c r="E152" s="948" t="s">
        <v>3340</v>
      </c>
      <c r="F152" s="975">
        <v>1</v>
      </c>
      <c r="G152" s="973">
        <v>0</v>
      </c>
      <c r="H152" s="950">
        <v>1823</v>
      </c>
      <c r="I152" s="976">
        <f>PUCFD!E142*(1+PUCFD!E$87)</f>
        <v>11484.109405018286</v>
      </c>
    </row>
    <row r="153" spans="1:11" ht="24.95" customHeight="1" x14ac:dyDescent="0.25">
      <c r="B153" s="973" t="s">
        <v>3161</v>
      </c>
      <c r="C153" s="974">
        <v>331901133000000</v>
      </c>
      <c r="D153" s="973" t="s">
        <v>3162</v>
      </c>
      <c r="E153" s="948">
        <v>311210116000000</v>
      </c>
      <c r="F153" s="975">
        <v>1</v>
      </c>
      <c r="G153" s="973">
        <v>0</v>
      </c>
      <c r="H153" s="950">
        <v>467</v>
      </c>
      <c r="I153" s="976">
        <f>PUCFD!E143*12*(1+PUCFD!E$87)</f>
        <v>26287.333287572699</v>
      </c>
    </row>
    <row r="154" spans="1:11" ht="30.75" customHeight="1" x14ac:dyDescent="0.25">
      <c r="B154" s="973" t="s">
        <v>3164</v>
      </c>
      <c r="C154" s="974">
        <v>331901143020000</v>
      </c>
      <c r="D154" s="973" t="s">
        <v>2981</v>
      </c>
      <c r="E154" s="948" t="s">
        <v>3340</v>
      </c>
      <c r="F154" s="975">
        <v>1</v>
      </c>
      <c r="G154" s="973">
        <v>0</v>
      </c>
      <c r="H154" s="950">
        <v>161</v>
      </c>
      <c r="I154" s="976">
        <f>PUCFD!E144*(1+PUCFD!E$87)</f>
        <v>11318.155702903354</v>
      </c>
    </row>
    <row r="155" spans="1:11" ht="30.75" customHeight="1" x14ac:dyDescent="0.25">
      <c r="B155" s="973" t="s">
        <v>4209</v>
      </c>
      <c r="C155" s="974">
        <v>331901145000000</v>
      </c>
      <c r="D155" s="973" t="s">
        <v>2977</v>
      </c>
      <c r="E155" s="948" t="s">
        <v>3341</v>
      </c>
      <c r="F155" s="975">
        <v>1</v>
      </c>
      <c r="G155" s="973">
        <v>0</v>
      </c>
      <c r="I155" s="976">
        <f>PUCFD!E145*(1+PUCFD!E$87)</f>
        <v>3772.7185676344507</v>
      </c>
    </row>
    <row r="156" spans="1:11" ht="30.75" customHeight="1" x14ac:dyDescent="0.25">
      <c r="B156" s="973" t="s">
        <v>4210</v>
      </c>
      <c r="C156" s="974">
        <v>331901145000000</v>
      </c>
      <c r="D156" s="973" t="s">
        <v>4208</v>
      </c>
      <c r="E156" s="948" t="s">
        <v>3341</v>
      </c>
      <c r="F156" s="975">
        <v>1</v>
      </c>
      <c r="G156" s="973">
        <v>0</v>
      </c>
      <c r="I156" s="976">
        <f>PUCFD!E146*(1+PUCFD!E$87)</f>
        <v>3828.0364683394282</v>
      </c>
    </row>
    <row r="157" spans="1:11" s="946" customFormat="1" ht="24.95" customHeight="1" x14ac:dyDescent="0.25">
      <c r="B157" s="963">
        <v>3900</v>
      </c>
      <c r="C157" s="964">
        <v>331901300000000</v>
      </c>
      <c r="D157" s="963" t="s">
        <v>5687</v>
      </c>
      <c r="E157" s="954"/>
      <c r="F157" s="960">
        <v>1</v>
      </c>
      <c r="G157" s="963">
        <v>0</v>
      </c>
      <c r="H157" s="950"/>
      <c r="I157" s="961">
        <f>SUM(I149,I160,I161,I162)*PUCFD!E$92</f>
        <v>63947.334092570854</v>
      </c>
    </row>
    <row r="158" spans="1:11" ht="24.95" customHeight="1" x14ac:dyDescent="0.25">
      <c r="B158" s="973" t="s">
        <v>3166</v>
      </c>
      <c r="C158" s="974">
        <v>331901302030000</v>
      </c>
      <c r="D158" s="973" t="s">
        <v>3167</v>
      </c>
      <c r="E158" s="948">
        <v>312210100000000</v>
      </c>
      <c r="F158" s="975">
        <v>1</v>
      </c>
      <c r="G158" s="973">
        <v>0</v>
      </c>
      <c r="H158" s="950">
        <v>72</v>
      </c>
      <c r="I158" s="976">
        <v>0</v>
      </c>
    </row>
    <row r="159" spans="1:11" ht="24.95" customHeight="1" x14ac:dyDescent="0.25">
      <c r="B159" s="973" t="s">
        <v>3168</v>
      </c>
      <c r="C159" s="974">
        <v>331901302010000</v>
      </c>
      <c r="D159" s="973" t="s">
        <v>3169</v>
      </c>
      <c r="E159" s="948">
        <v>312210100000000</v>
      </c>
      <c r="F159" s="975">
        <v>1</v>
      </c>
      <c r="G159" s="973">
        <v>0</v>
      </c>
      <c r="H159" s="950">
        <v>71</v>
      </c>
      <c r="I159" s="976">
        <v>0</v>
      </c>
    </row>
    <row r="160" spans="1:11" s="946" customFormat="1" ht="24.95" customHeight="1" x14ac:dyDescent="0.25">
      <c r="B160" s="963">
        <v>4000</v>
      </c>
      <c r="C160" s="964">
        <v>331901600000000</v>
      </c>
      <c r="D160" s="963" t="s">
        <v>5688</v>
      </c>
      <c r="E160" s="954"/>
      <c r="F160" s="960">
        <v>1</v>
      </c>
      <c r="G160" s="963">
        <v>0</v>
      </c>
      <c r="H160" s="950"/>
      <c r="I160" s="961">
        <f>SUM(PUCFD!E148,PUCFD!E149)</f>
        <v>0.02</v>
      </c>
    </row>
    <row r="161" spans="2:9" s="946" customFormat="1" ht="32.25" customHeight="1" x14ac:dyDescent="0.25">
      <c r="B161" s="963">
        <v>4050</v>
      </c>
      <c r="C161" s="964">
        <v>331903400000000</v>
      </c>
      <c r="D161" s="963" t="s">
        <v>5689</v>
      </c>
      <c r="E161" s="954"/>
      <c r="F161" s="960">
        <v>1</v>
      </c>
      <c r="G161" s="963">
        <v>0</v>
      </c>
      <c r="H161" s="950"/>
      <c r="I161" s="961">
        <f>SUM(PUCFD!E151,PUCFD!E152)</f>
        <v>0.02</v>
      </c>
    </row>
    <row r="162" spans="2:9" s="946" customFormat="1" ht="24.95" customHeight="1" x14ac:dyDescent="0.25">
      <c r="B162" s="963">
        <v>4100</v>
      </c>
      <c r="C162" s="964">
        <v>331909400000000</v>
      </c>
      <c r="D162" s="963" t="s">
        <v>5690</v>
      </c>
      <c r="E162" s="954"/>
      <c r="F162" s="960">
        <v>1</v>
      </c>
      <c r="G162" s="963">
        <v>0</v>
      </c>
      <c r="H162" s="950"/>
      <c r="I162" s="961">
        <f>PUCFD!E153</f>
        <v>6.0000000000000005E-2</v>
      </c>
    </row>
    <row r="163" spans="2:9" ht="32.25" customHeight="1" x14ac:dyDescent="0.25">
      <c r="B163" s="973" t="s">
        <v>3170</v>
      </c>
      <c r="C163" s="974">
        <v>331909401030000</v>
      </c>
      <c r="D163" s="973" t="s">
        <v>3171</v>
      </c>
      <c r="E163" s="948" t="s">
        <v>3341</v>
      </c>
      <c r="F163" s="975">
        <v>1</v>
      </c>
      <c r="G163" s="973">
        <v>0</v>
      </c>
      <c r="H163" s="950">
        <v>65</v>
      </c>
      <c r="I163" s="976">
        <v>0</v>
      </c>
    </row>
    <row r="164" spans="2:9" ht="32.25" customHeight="1" x14ac:dyDescent="0.25">
      <c r="B164" s="973" t="s">
        <v>3172</v>
      </c>
      <c r="C164" s="974">
        <v>331909401030000</v>
      </c>
      <c r="D164" s="973" t="s">
        <v>3173</v>
      </c>
      <c r="E164" s="948" t="s">
        <v>3340</v>
      </c>
      <c r="F164" s="975">
        <v>1</v>
      </c>
      <c r="G164" s="973">
        <v>0</v>
      </c>
      <c r="H164" s="950">
        <v>68</v>
      </c>
      <c r="I164" s="976">
        <v>0</v>
      </c>
    </row>
    <row r="165" spans="2:9" s="946" customFormat="1" ht="24.95" customHeight="1" x14ac:dyDescent="0.25">
      <c r="B165" s="963">
        <v>4200</v>
      </c>
      <c r="C165" s="964">
        <v>333901400000000</v>
      </c>
      <c r="D165" s="963" t="s">
        <v>5691</v>
      </c>
      <c r="E165" s="954"/>
      <c r="F165" s="960">
        <v>1</v>
      </c>
      <c r="G165" s="963">
        <v>0</v>
      </c>
      <c r="H165" s="950"/>
      <c r="I165" s="961">
        <f>PUCFD!E160*(1+PUCFD!E$85+PUCFD!E$86+PUCFD!E$87)</f>
        <v>18860.972544494369</v>
      </c>
    </row>
    <row r="166" spans="2:9" ht="24.95" customHeight="1" x14ac:dyDescent="0.25">
      <c r="B166" s="973" t="s">
        <v>3175</v>
      </c>
      <c r="C166" s="974">
        <v>333901414040000</v>
      </c>
      <c r="D166" s="973" t="s">
        <v>3176</v>
      </c>
      <c r="E166" s="948">
        <v>332110100000000</v>
      </c>
      <c r="F166" s="975">
        <v>1</v>
      </c>
      <c r="G166" s="973">
        <v>0</v>
      </c>
      <c r="H166" s="950">
        <v>77</v>
      </c>
      <c r="I166" s="976">
        <f>PUCFD!E161*(1+PUCFD!E$85+PUCFD!E$86+PUCFD!E$87)</f>
        <v>0</v>
      </c>
    </row>
    <row r="167" spans="2:9" ht="24.95" customHeight="1" x14ac:dyDescent="0.25">
      <c r="B167" s="973" t="s">
        <v>3177</v>
      </c>
      <c r="C167" s="974">
        <v>333901414030000</v>
      </c>
      <c r="D167" s="973" t="s">
        <v>3178</v>
      </c>
      <c r="E167" s="948">
        <v>332110100000000</v>
      </c>
      <c r="F167" s="975">
        <v>1</v>
      </c>
      <c r="G167" s="973">
        <v>0</v>
      </c>
      <c r="H167" s="950">
        <v>76</v>
      </c>
      <c r="I167" s="976">
        <f>PUCFD!E162*(1+PUCFD!E$85+PUCFD!E$86+PUCFD!E$87)</f>
        <v>0</v>
      </c>
    </row>
    <row r="168" spans="2:9" ht="24.95" customHeight="1" x14ac:dyDescent="0.25">
      <c r="B168" s="973" t="s">
        <v>3179</v>
      </c>
      <c r="C168" s="974">
        <v>333901414010000</v>
      </c>
      <c r="D168" s="973" t="s">
        <v>3180</v>
      </c>
      <c r="E168" s="948">
        <v>332110100000000</v>
      </c>
      <c r="F168" s="975">
        <v>1</v>
      </c>
      <c r="G168" s="973">
        <v>0</v>
      </c>
      <c r="H168" s="950">
        <v>74</v>
      </c>
      <c r="I168" s="976">
        <f>PUCFD!E163*(1+PUCFD!E$85+PUCFD!E$86+PUCFD!E$87)</f>
        <v>0</v>
      </c>
    </row>
    <row r="169" spans="2:9" ht="24.95" customHeight="1" x14ac:dyDescent="0.25">
      <c r="B169" s="973" t="s">
        <v>3181</v>
      </c>
      <c r="C169" s="974">
        <v>333901414020000</v>
      </c>
      <c r="D169" s="973" t="s">
        <v>3182</v>
      </c>
      <c r="E169" s="948">
        <v>332110100000000</v>
      </c>
      <c r="F169" s="975">
        <v>1</v>
      </c>
      <c r="G169" s="973">
        <v>0</v>
      </c>
      <c r="H169" s="950">
        <v>75</v>
      </c>
      <c r="I169" s="976">
        <f>PUCFD!E164*(1+PUCFD!E$85+PUCFD!E$86+PUCFD!E$87)</f>
        <v>0</v>
      </c>
    </row>
    <row r="170" spans="2:9" s="946" customFormat="1" ht="24.95" customHeight="1" x14ac:dyDescent="0.25">
      <c r="B170" s="963">
        <v>4300</v>
      </c>
      <c r="C170" s="964">
        <v>333903000000000</v>
      </c>
      <c r="D170" s="963" t="s">
        <v>5692</v>
      </c>
      <c r="E170" s="954"/>
      <c r="F170" s="960">
        <v>1</v>
      </c>
      <c r="G170" s="963">
        <v>0</v>
      </c>
      <c r="H170" s="950"/>
      <c r="I170" s="961">
        <f>((PUCFD!E165*(1+PUCFD!E$10))*(1+PUCFD!E$16))*(1+PUCFD!E18)*(1+PUCFD!E19)-5000</f>
        <v>16349.162249119323</v>
      </c>
    </row>
    <row r="171" spans="2:9" ht="24.95" customHeight="1" x14ac:dyDescent="0.25">
      <c r="B171" s="973" t="s">
        <v>3183</v>
      </c>
      <c r="C171" s="974">
        <v>333903007000000</v>
      </c>
      <c r="D171" s="973" t="s">
        <v>3184</v>
      </c>
      <c r="E171" s="948">
        <v>331110600000000</v>
      </c>
      <c r="F171" s="975">
        <v>1</v>
      </c>
      <c r="G171" s="973">
        <v>0</v>
      </c>
      <c r="H171" s="950">
        <v>78</v>
      </c>
      <c r="I171" s="976">
        <f>((PUCFD!E166*(1+PUCFD!E$10))*(1+PUCFD!E$16))</f>
        <v>0</v>
      </c>
    </row>
    <row r="172" spans="2:9" ht="24.95" customHeight="1" x14ac:dyDescent="0.25">
      <c r="B172" s="973" t="s">
        <v>3185</v>
      </c>
      <c r="C172" s="974">
        <v>333903017000000</v>
      </c>
      <c r="D172" s="973" t="s">
        <v>3186</v>
      </c>
      <c r="E172" s="948">
        <v>331111700000000</v>
      </c>
      <c r="F172" s="975">
        <v>1</v>
      </c>
      <c r="G172" s="973">
        <v>0</v>
      </c>
      <c r="H172" s="950">
        <v>973</v>
      </c>
      <c r="I172" s="976">
        <f>((PUCFD!E167*(1+PUCFD!E$10))*(1+PUCFD!E$16))</f>
        <v>0</v>
      </c>
    </row>
    <row r="173" spans="2:9" ht="24.95" customHeight="1" x14ac:dyDescent="0.25">
      <c r="B173" s="973" t="s">
        <v>3187</v>
      </c>
      <c r="C173" s="974">
        <v>333903026000000</v>
      </c>
      <c r="D173" s="973" t="s">
        <v>3188</v>
      </c>
      <c r="E173" s="948">
        <v>333903026000000</v>
      </c>
      <c r="F173" s="975">
        <v>1</v>
      </c>
      <c r="G173" s="973">
        <v>0</v>
      </c>
      <c r="H173" s="950">
        <v>0</v>
      </c>
      <c r="I173" s="976">
        <f>((PUCFD!E168*(1+PUCFD!E$10))*(1+PUCFD!E$16))</f>
        <v>0</v>
      </c>
    </row>
    <row r="174" spans="2:9" ht="24.95" customHeight="1" x14ac:dyDescent="0.25">
      <c r="B174" s="973" t="s">
        <v>3189</v>
      </c>
      <c r="C174" s="974">
        <v>333903039010000</v>
      </c>
      <c r="D174" s="973" t="s">
        <v>3190</v>
      </c>
      <c r="E174" s="948">
        <v>331113900000000</v>
      </c>
      <c r="F174" s="975">
        <v>1</v>
      </c>
      <c r="G174" s="973">
        <v>0</v>
      </c>
      <c r="H174" s="950" t="s">
        <v>3342</v>
      </c>
      <c r="I174" s="976">
        <f>((PUCFD!E169*(1+PUCFD!E$10))*(1+PUCFD!E$16))</f>
        <v>0</v>
      </c>
    </row>
    <row r="175" spans="2:9" ht="24.95" customHeight="1" x14ac:dyDescent="0.25">
      <c r="B175" s="973" t="s">
        <v>3191</v>
      </c>
      <c r="C175" s="974">
        <v>333903015000000</v>
      </c>
      <c r="D175" s="973" t="s">
        <v>3192</v>
      </c>
      <c r="E175" s="948">
        <v>331111500000000</v>
      </c>
      <c r="F175" s="975">
        <v>1</v>
      </c>
      <c r="G175" s="973">
        <v>0</v>
      </c>
      <c r="H175" s="950">
        <v>85</v>
      </c>
      <c r="I175" s="976">
        <f>((PUCFD!E170*(1+PUCFD!E$10))*(1+PUCFD!E$16))</f>
        <v>0</v>
      </c>
    </row>
    <row r="176" spans="2:9" ht="24.95" customHeight="1" x14ac:dyDescent="0.25">
      <c r="B176" s="973" t="s">
        <v>3193</v>
      </c>
      <c r="C176" s="974">
        <v>333903016000000</v>
      </c>
      <c r="D176" s="973" t="s">
        <v>3194</v>
      </c>
      <c r="E176" s="948">
        <v>331111600000000</v>
      </c>
      <c r="F176" s="975">
        <v>1</v>
      </c>
      <c r="G176" s="973">
        <v>0</v>
      </c>
      <c r="H176" s="950">
        <v>0</v>
      </c>
      <c r="I176" s="976">
        <f>((PUCFD!E171*(1+PUCFD!E$10))*(1+PUCFD!E$16))</f>
        <v>0</v>
      </c>
    </row>
    <row r="177" spans="2:9" ht="24.95" customHeight="1" x14ac:dyDescent="0.25">
      <c r="B177" s="973" t="s">
        <v>3195</v>
      </c>
      <c r="C177" s="974">
        <v>333903046000000</v>
      </c>
      <c r="D177" s="973" t="s">
        <v>3196</v>
      </c>
      <c r="E177" s="948">
        <v>331114600000000</v>
      </c>
      <c r="F177" s="975">
        <v>1</v>
      </c>
      <c r="G177" s="973">
        <v>0</v>
      </c>
      <c r="H177" s="950">
        <v>9999</v>
      </c>
      <c r="I177" s="976">
        <f>((PUCFD!E172*(1+PUCFD!E$10))*(1+PUCFD!E$16))</f>
        <v>0</v>
      </c>
    </row>
    <row r="178" spans="2:9" ht="24.95" customHeight="1" x14ac:dyDescent="0.25">
      <c r="B178" s="973" t="s">
        <v>3197</v>
      </c>
      <c r="C178" s="974">
        <v>333903021000000</v>
      </c>
      <c r="D178" s="973" t="s">
        <v>3007</v>
      </c>
      <c r="E178" s="948">
        <v>331112100000000</v>
      </c>
      <c r="F178" s="975">
        <v>1</v>
      </c>
      <c r="G178" s="973">
        <v>0</v>
      </c>
      <c r="H178" s="950">
        <v>1923</v>
      </c>
      <c r="I178" s="976">
        <f>((PUCFD!E173*(1+PUCFD!E$10))*(1+PUCFD!E$16))</f>
        <v>0</v>
      </c>
    </row>
    <row r="179" spans="2:9" ht="24.95" customHeight="1" x14ac:dyDescent="0.25">
      <c r="B179" s="973" t="s">
        <v>3198</v>
      </c>
      <c r="C179" s="974">
        <v>333903001010100</v>
      </c>
      <c r="D179" s="973" t="s">
        <v>3199</v>
      </c>
      <c r="E179" s="948">
        <v>331110100000000</v>
      </c>
      <c r="F179" s="975">
        <v>1</v>
      </c>
      <c r="G179" s="973">
        <v>0</v>
      </c>
      <c r="H179" s="950">
        <v>102</v>
      </c>
      <c r="I179" s="976">
        <f>((PUCFD!E174*(1+PUCFD!E$10))*(1+PUCFD!E$16))*(1+PUCFD!E$18)</f>
        <v>0</v>
      </c>
    </row>
    <row r="180" spans="2:9" ht="24.95" customHeight="1" x14ac:dyDescent="0.25">
      <c r="B180" s="973" t="s">
        <v>3200</v>
      </c>
      <c r="C180" s="974">
        <v>333903001030100</v>
      </c>
      <c r="D180" s="973" t="s">
        <v>3201</v>
      </c>
      <c r="E180" s="948">
        <v>331110100000000</v>
      </c>
      <c r="F180" s="975">
        <v>1</v>
      </c>
      <c r="G180" s="973">
        <v>0</v>
      </c>
      <c r="H180" s="950">
        <v>103</v>
      </c>
      <c r="I180" s="976">
        <f>((PUCFD!E175*(1+PUCFD!E$10))*(1+PUCFD!E$16))*(1+PUCFD!E$18)</f>
        <v>0</v>
      </c>
    </row>
    <row r="181" spans="2:9" ht="24.95" customHeight="1" x14ac:dyDescent="0.25">
      <c r="B181" s="973" t="s">
        <v>3202</v>
      </c>
      <c r="C181" s="974">
        <v>333903024000000</v>
      </c>
      <c r="D181" s="973" t="s">
        <v>3203</v>
      </c>
      <c r="E181" s="948">
        <v>331112400000000</v>
      </c>
      <c r="F181" s="975">
        <v>1</v>
      </c>
      <c r="G181" s="973">
        <v>0</v>
      </c>
      <c r="H181" s="950">
        <v>83</v>
      </c>
      <c r="I181" s="976">
        <f>((PUCFD!E176*(1+PUCFD!E$10))*(1+PUCFD!E$16))</f>
        <v>0</v>
      </c>
    </row>
    <row r="182" spans="2:9" s="946" customFormat="1" ht="24.95" customHeight="1" x14ac:dyDescent="0.25">
      <c r="B182" s="963">
        <v>4400</v>
      </c>
      <c r="C182" s="964">
        <v>333903300000000</v>
      </c>
      <c r="D182" s="963" t="s">
        <v>5693</v>
      </c>
      <c r="E182" s="954"/>
      <c r="F182" s="960">
        <v>1</v>
      </c>
      <c r="G182" s="963">
        <v>0</v>
      </c>
      <c r="H182" s="950"/>
      <c r="I182" s="961">
        <f>((PUCFD!E177*(1+PUCFD!E$10))*(1+PUCFD!E$16))</f>
        <v>5373.2291973779993</v>
      </c>
    </row>
    <row r="183" spans="2:9" ht="37.5" customHeight="1" x14ac:dyDescent="0.25">
      <c r="B183" s="973" t="s">
        <v>3205</v>
      </c>
      <c r="C183" s="974">
        <v>333903301000000</v>
      </c>
      <c r="D183" s="973" t="s">
        <v>3206</v>
      </c>
      <c r="E183" s="948">
        <v>332315600000000</v>
      </c>
      <c r="F183" s="975">
        <v>1</v>
      </c>
      <c r="G183" s="973">
        <v>0</v>
      </c>
      <c r="H183" s="980" t="s">
        <v>3343</v>
      </c>
      <c r="I183" s="976">
        <f>((PUCFD!E178*(1+PUCFD!E$10))*(1+PUCFD!E$16))</f>
        <v>0</v>
      </c>
    </row>
    <row r="184" spans="2:9" ht="24.95" customHeight="1" x14ac:dyDescent="0.25">
      <c r="B184" s="973" t="s">
        <v>3207</v>
      </c>
      <c r="C184" s="974">
        <v>333903301000000</v>
      </c>
      <c r="D184" s="973" t="s">
        <v>3208</v>
      </c>
      <c r="E184" s="948">
        <v>332315600000000</v>
      </c>
      <c r="F184" s="975">
        <v>1</v>
      </c>
      <c r="G184" s="973">
        <v>0</v>
      </c>
      <c r="H184" s="950">
        <v>1342</v>
      </c>
      <c r="I184" s="976">
        <f>((PUCFD!E179*(1+PUCFD!E$10))*(1+PUCFD!E$16))</f>
        <v>0</v>
      </c>
    </row>
    <row r="185" spans="2:9" s="946" customFormat="1" ht="24.95" customHeight="1" x14ac:dyDescent="0.25">
      <c r="B185" s="963">
        <v>4500</v>
      </c>
      <c r="C185" s="964">
        <v>333903500000000</v>
      </c>
      <c r="D185" s="963" t="s">
        <v>5694</v>
      </c>
      <c r="E185" s="954"/>
      <c r="F185" s="960">
        <v>1</v>
      </c>
      <c r="G185" s="963">
        <v>0</v>
      </c>
      <c r="H185" s="950"/>
      <c r="I185" s="961">
        <f>((PUCFD!E180*(1+PUCFD!E$10))*(1+PUCFD!E$16))</f>
        <v>1.0973403E-2</v>
      </c>
    </row>
    <row r="186" spans="2:9" s="946" customFormat="1" ht="24.95" customHeight="1" x14ac:dyDescent="0.25">
      <c r="B186" s="963">
        <v>4600</v>
      </c>
      <c r="C186" s="964">
        <v>333903600000000</v>
      </c>
      <c r="D186" s="963" t="s">
        <v>5695</v>
      </c>
      <c r="E186" s="954"/>
      <c r="F186" s="960">
        <v>1</v>
      </c>
      <c r="G186" s="963">
        <v>0</v>
      </c>
      <c r="H186" s="950"/>
      <c r="I186" s="961">
        <f>((PUCFD!E181*(1+PUCFD!E$10))*(1+PUCFD!E$16))</f>
        <v>1.0973403E-2</v>
      </c>
    </row>
    <row r="187" spans="2:9" s="946" customFormat="1" ht="24.95" customHeight="1" x14ac:dyDescent="0.25">
      <c r="B187" s="963">
        <v>4700</v>
      </c>
      <c r="C187" s="964">
        <v>333903900000000</v>
      </c>
      <c r="D187" s="963" t="s">
        <v>5696</v>
      </c>
      <c r="E187" s="954"/>
      <c r="F187" s="960">
        <v>1</v>
      </c>
      <c r="G187" s="963">
        <v>0</v>
      </c>
      <c r="H187" s="950"/>
      <c r="I187" s="1332">
        <f>((PUCFD!E182*(1+PUCFD!E$10))*(1+PUCFD!E$16))-15000-40000</f>
        <v>17481.927511510992</v>
      </c>
    </row>
    <row r="188" spans="2:9" ht="24.95" customHeight="1" x14ac:dyDescent="0.25">
      <c r="B188" s="973" t="s">
        <v>3210</v>
      </c>
      <c r="C188" s="974">
        <v>333903999040000</v>
      </c>
      <c r="D188" s="973" t="s">
        <v>3211</v>
      </c>
      <c r="E188" s="948">
        <v>332319900000000</v>
      </c>
      <c r="F188" s="975">
        <v>1</v>
      </c>
      <c r="G188" s="973">
        <v>0</v>
      </c>
      <c r="H188" s="950">
        <v>253</v>
      </c>
      <c r="I188" s="976">
        <f>((PUCFD!E183*(1+PUCFD!E$10))*(1+PUCFD!E$16))</f>
        <v>0</v>
      </c>
    </row>
    <row r="189" spans="2:9" ht="24.95" customHeight="1" x14ac:dyDescent="0.25">
      <c r="B189" s="973" t="s">
        <v>3212</v>
      </c>
      <c r="C189" s="974">
        <v>333903963000000</v>
      </c>
      <c r="D189" s="973" t="s">
        <v>3213</v>
      </c>
      <c r="E189" s="948">
        <v>332314600000000</v>
      </c>
      <c r="F189" s="975">
        <v>1</v>
      </c>
      <c r="G189" s="973">
        <v>0</v>
      </c>
      <c r="H189" s="950">
        <v>2215</v>
      </c>
      <c r="I189" s="976">
        <f>((PUCFD!E184*(1+PUCFD!E$10))*(1+PUCFD!E$16))</f>
        <v>0</v>
      </c>
    </row>
    <row r="190" spans="2:9" ht="24.95" customHeight="1" x14ac:dyDescent="0.25">
      <c r="B190" s="973" t="s">
        <v>3214</v>
      </c>
      <c r="C190" s="974">
        <v>333903919590000</v>
      </c>
      <c r="D190" s="973" t="s">
        <v>3215</v>
      </c>
      <c r="E190" s="948">
        <v>332310600000000</v>
      </c>
      <c r="F190" s="975">
        <v>1</v>
      </c>
      <c r="G190" s="973">
        <v>0</v>
      </c>
      <c r="H190" s="950" t="s">
        <v>3344</v>
      </c>
      <c r="I190" s="976">
        <f>((PUCFD!E185*(1+PUCFD!E$10))*(1+PUCFD!E$16))</f>
        <v>0</v>
      </c>
    </row>
    <row r="191" spans="2:9" ht="24.95" customHeight="1" x14ac:dyDescent="0.25">
      <c r="B191" s="973" t="s">
        <v>3216</v>
      </c>
      <c r="C191" s="974">
        <v>333903999020000</v>
      </c>
      <c r="D191" s="973" t="s">
        <v>3217</v>
      </c>
      <c r="E191" s="948">
        <v>332319900000000</v>
      </c>
      <c r="F191" s="975">
        <v>1</v>
      </c>
      <c r="G191" s="973">
        <v>0</v>
      </c>
      <c r="H191" s="950" t="s">
        <v>3345</v>
      </c>
      <c r="I191" s="976">
        <f>((PUCFD!E186*(1+PUCFD!E$10))*(1+PUCFD!E$16))</f>
        <v>0</v>
      </c>
    </row>
    <row r="192" spans="2:9" ht="24.95" customHeight="1" x14ac:dyDescent="0.25">
      <c r="B192" s="973" t="s">
        <v>3218</v>
      </c>
      <c r="C192" s="974">
        <v>333903969280000</v>
      </c>
      <c r="D192" s="973" t="s">
        <v>3219</v>
      </c>
      <c r="E192" s="948">
        <v>332312900000000</v>
      </c>
      <c r="F192" s="975">
        <v>1</v>
      </c>
      <c r="G192" s="973">
        <v>0</v>
      </c>
      <c r="H192" s="950" t="s">
        <v>3346</v>
      </c>
      <c r="I192" s="976">
        <f>((PUCFD!E187*(1+PUCFD!E$10))*(1+PUCFD!E$16))</f>
        <v>0</v>
      </c>
    </row>
    <row r="193" spans="1:9" ht="24.95" customHeight="1" x14ac:dyDescent="0.25">
      <c r="B193" s="973" t="s">
        <v>3220</v>
      </c>
      <c r="C193" s="974">
        <v>333903958010000</v>
      </c>
      <c r="D193" s="973" t="s">
        <v>3036</v>
      </c>
      <c r="E193" s="948">
        <v>332310800000000</v>
      </c>
      <c r="F193" s="975">
        <v>1</v>
      </c>
      <c r="G193" s="973">
        <v>0</v>
      </c>
      <c r="H193" s="950">
        <v>96</v>
      </c>
      <c r="I193" s="976">
        <f>((PUCFD!E188*(1+PUCFD!E$10))*(1+PUCFD!E$16))</f>
        <v>0</v>
      </c>
    </row>
    <row r="194" spans="1:9" ht="24.95" customHeight="1" x14ac:dyDescent="0.25">
      <c r="B194" s="973" t="s">
        <v>3221</v>
      </c>
      <c r="C194" s="974">
        <v>333903901000000</v>
      </c>
      <c r="D194" s="973" t="s">
        <v>3222</v>
      </c>
      <c r="E194" s="948">
        <v>332311400000000</v>
      </c>
      <c r="F194" s="975">
        <v>1</v>
      </c>
      <c r="G194" s="973">
        <v>0</v>
      </c>
      <c r="H194" s="950">
        <v>768</v>
      </c>
      <c r="I194" s="976">
        <f>((PUCFD!E189*(1+PUCFD!E$10))*(1+PUCFD!E$16))</f>
        <v>0</v>
      </c>
    </row>
    <row r="195" spans="1:9" ht="24.95" customHeight="1" x14ac:dyDescent="0.25">
      <c r="B195" s="973" t="s">
        <v>3223</v>
      </c>
      <c r="C195" s="974">
        <v>333903999010000</v>
      </c>
      <c r="D195" s="973" t="s">
        <v>3224</v>
      </c>
      <c r="E195" s="948">
        <v>332319900000000</v>
      </c>
      <c r="F195" s="975">
        <v>1</v>
      </c>
      <c r="G195" s="973">
        <v>0</v>
      </c>
      <c r="H195" s="950">
        <v>1691</v>
      </c>
      <c r="I195" s="976">
        <f>((PUCFD!E190*(1+PUCFD!E$10))*(1+PUCFD!E$16))</f>
        <v>0</v>
      </c>
    </row>
    <row r="196" spans="1:9" ht="24.95" customHeight="1" x14ac:dyDescent="0.25">
      <c r="B196" s="973" t="s">
        <v>3225</v>
      </c>
      <c r="C196" s="974">
        <v>333903999071500</v>
      </c>
      <c r="D196" s="973" t="s">
        <v>3226</v>
      </c>
      <c r="E196" s="948">
        <v>332319900000000</v>
      </c>
      <c r="F196" s="975">
        <v>1</v>
      </c>
      <c r="G196" s="973">
        <v>0</v>
      </c>
      <c r="H196" s="950">
        <v>846</v>
      </c>
      <c r="I196" s="976">
        <f>((PUCFD!E191*(1+PUCFD!E$10))*(1+PUCFD!E$16))</f>
        <v>0</v>
      </c>
    </row>
    <row r="197" spans="1:9" s="946" customFormat="1" ht="24.95" customHeight="1" x14ac:dyDescent="0.25">
      <c r="B197" s="963">
        <v>4800</v>
      </c>
      <c r="C197" s="964">
        <v>333904600000000</v>
      </c>
      <c r="D197" s="963" t="s">
        <v>5697</v>
      </c>
      <c r="E197" s="954"/>
      <c r="F197" s="960">
        <v>1</v>
      </c>
      <c r="G197" s="963">
        <v>0</v>
      </c>
      <c r="H197" s="950"/>
      <c r="I197" s="1332">
        <f>((PUCFD!E193*(1+PUCFD!E$85))*(1+PUCFD!E$86))</f>
        <v>9602.0220556799995</v>
      </c>
    </row>
    <row r="198" spans="1:9" s="946" customFormat="1" ht="24.95" customHeight="1" x14ac:dyDescent="0.25">
      <c r="B198" s="973" t="s">
        <v>3358</v>
      </c>
      <c r="C198" s="974">
        <v>333904601000000</v>
      </c>
      <c r="D198" s="973" t="s">
        <v>5905</v>
      </c>
      <c r="E198" s="954"/>
      <c r="F198" s="975">
        <v>1</v>
      </c>
      <c r="G198" s="973">
        <v>0</v>
      </c>
      <c r="H198" s="972">
        <v>0</v>
      </c>
      <c r="I198" s="976">
        <f>(PUCFD!E194)*(1+PUCFD!E$10)*(1+PUCFD!E$16)</f>
        <v>0</v>
      </c>
    </row>
    <row r="199" spans="1:9" s="946" customFormat="1" ht="24.95" customHeight="1" x14ac:dyDescent="0.25">
      <c r="B199" s="963">
        <v>4900</v>
      </c>
      <c r="C199" s="964">
        <v>333904700000000</v>
      </c>
      <c r="D199" s="963" t="s">
        <v>5698</v>
      </c>
      <c r="E199" s="954"/>
      <c r="F199" s="960">
        <v>1</v>
      </c>
      <c r="G199" s="963">
        <v>0</v>
      </c>
      <c r="H199" s="950"/>
      <c r="I199" s="961">
        <f>((PUCFD!E196*(1+PUCFD!E$10))*(1+PUCFD!E$16))</f>
        <v>548.67015000000004</v>
      </c>
    </row>
    <row r="200" spans="1:9" ht="24.95" customHeight="1" x14ac:dyDescent="0.25">
      <c r="B200" s="973" t="s">
        <v>3227</v>
      </c>
      <c r="C200" s="974">
        <v>333904720000000</v>
      </c>
      <c r="D200" s="973" t="s">
        <v>3228</v>
      </c>
      <c r="E200" s="948">
        <v>372110500000000</v>
      </c>
      <c r="F200" s="975">
        <v>1</v>
      </c>
      <c r="G200" s="973">
        <v>0</v>
      </c>
      <c r="H200" s="950">
        <v>110</v>
      </c>
      <c r="I200" s="976">
        <v>0</v>
      </c>
    </row>
    <row r="201" spans="1:9" s="946" customFormat="1" ht="24.95" customHeight="1" x14ac:dyDescent="0.25">
      <c r="B201" s="963">
        <v>5000</v>
      </c>
      <c r="C201" s="964">
        <v>333904900000000</v>
      </c>
      <c r="D201" s="963" t="s">
        <v>5699</v>
      </c>
      <c r="E201" s="954"/>
      <c r="F201" s="960">
        <v>1</v>
      </c>
      <c r="G201" s="963">
        <v>0</v>
      </c>
      <c r="H201" s="950"/>
      <c r="I201" s="961">
        <f>PUCFD!E197</f>
        <v>0.01</v>
      </c>
    </row>
    <row r="202" spans="1:9" s="946" customFormat="1" ht="24.95" customHeight="1" x14ac:dyDescent="0.25">
      <c r="B202" s="963">
        <v>5100</v>
      </c>
      <c r="C202" s="964">
        <v>333909300000000</v>
      </c>
      <c r="D202" s="963" t="s">
        <v>5700</v>
      </c>
      <c r="E202" s="954"/>
      <c r="F202" s="960">
        <v>1</v>
      </c>
      <c r="G202" s="963">
        <v>0</v>
      </c>
      <c r="H202" s="950"/>
      <c r="I202" s="961">
        <f>((PUCFD!E199*(1+PUCFD!E$10))*(1+PUCFD!E$16))</f>
        <v>548.67015000000004</v>
      </c>
    </row>
    <row r="203" spans="1:9" ht="24.95" customHeight="1" x14ac:dyDescent="0.25">
      <c r="B203" s="973" t="s">
        <v>3231</v>
      </c>
      <c r="C203" s="974">
        <v>333909399000000</v>
      </c>
      <c r="D203" s="973" t="s">
        <v>3060</v>
      </c>
      <c r="E203" s="948">
        <v>399910300000000</v>
      </c>
      <c r="F203" s="975">
        <v>1</v>
      </c>
      <c r="G203" s="973">
        <v>0</v>
      </c>
      <c r="H203" s="950">
        <v>99</v>
      </c>
      <c r="I203" s="976">
        <v>0</v>
      </c>
    </row>
    <row r="204" spans="1:9" s="946" customFormat="1" ht="24.95" customHeight="1" x14ac:dyDescent="0.25">
      <c r="B204" s="963">
        <v>5200</v>
      </c>
      <c r="C204" s="964">
        <v>344905100000000</v>
      </c>
      <c r="D204" s="963" t="s">
        <v>5701</v>
      </c>
      <c r="E204" s="954"/>
      <c r="F204" s="960">
        <v>1</v>
      </c>
      <c r="G204" s="963">
        <v>0</v>
      </c>
      <c r="H204" s="950"/>
      <c r="I204" s="961">
        <f>((PUCFD!E201*(1+PUCFD!E$10))*(1+PUCFD!E$16))</f>
        <v>1.0973403E-2</v>
      </c>
    </row>
    <row r="205" spans="1:9" s="946" customFormat="1" ht="24.95" customHeight="1" x14ac:dyDescent="0.25">
      <c r="B205" s="963">
        <v>5300</v>
      </c>
      <c r="C205" s="964">
        <v>344905200000000</v>
      </c>
      <c r="D205" s="963" t="s">
        <v>5702</v>
      </c>
      <c r="E205" s="954"/>
      <c r="F205" s="960">
        <v>1</v>
      </c>
      <c r="G205" s="963">
        <v>0</v>
      </c>
      <c r="H205" s="950"/>
      <c r="I205" s="961">
        <f>SUM(I206)</f>
        <v>1.0973403E-2</v>
      </c>
    </row>
    <row r="206" spans="1:9" ht="33.75" customHeight="1" x14ac:dyDescent="0.25">
      <c r="B206" s="973" t="s">
        <v>3232</v>
      </c>
      <c r="C206" s="974">
        <v>344905235000000</v>
      </c>
      <c r="D206" s="973" t="s">
        <v>3233</v>
      </c>
      <c r="E206" s="948" t="s">
        <v>3347</v>
      </c>
      <c r="F206" s="975">
        <v>1</v>
      </c>
      <c r="G206" s="973">
        <v>0</v>
      </c>
      <c r="H206" s="950">
        <v>1497</v>
      </c>
      <c r="I206" s="976">
        <f>((PUCFD!E203*(1+PUCFD!E$10))*(1+PUCFD!E$16))</f>
        <v>1.0973403E-2</v>
      </c>
    </row>
    <row r="207" spans="1:9" ht="15" customHeight="1" x14ac:dyDescent="0.25">
      <c r="A207" s="958"/>
      <c r="B207" s="962" t="s">
        <v>3138</v>
      </c>
      <c r="C207" s="959">
        <v>4</v>
      </c>
      <c r="D207" s="962" t="s">
        <v>3142</v>
      </c>
      <c r="E207" s="954"/>
      <c r="F207" s="960"/>
      <c r="G207" s="958"/>
      <c r="H207" s="958"/>
      <c r="I207" s="961">
        <f>I208</f>
        <v>26265.189111475935</v>
      </c>
    </row>
    <row r="208" spans="1:9" ht="15" customHeight="1" x14ac:dyDescent="0.25">
      <c r="A208" s="958"/>
      <c r="B208" s="962" t="s">
        <v>3139</v>
      </c>
      <c r="C208" s="959">
        <v>124</v>
      </c>
      <c r="D208" s="962" t="s">
        <v>5108</v>
      </c>
      <c r="E208" s="954"/>
      <c r="F208" s="960"/>
      <c r="G208" s="958"/>
      <c r="H208" s="958"/>
      <c r="I208" s="961">
        <f>I209</f>
        <v>26265.189111475935</v>
      </c>
    </row>
    <row r="209" spans="1:9" ht="15" customHeight="1" x14ac:dyDescent="0.25">
      <c r="A209" s="958"/>
      <c r="B209" s="962" t="s">
        <v>3137</v>
      </c>
      <c r="C209" s="959">
        <v>3</v>
      </c>
      <c r="D209" s="962" t="s">
        <v>4608</v>
      </c>
      <c r="E209" s="954"/>
      <c r="F209" s="960"/>
      <c r="G209" s="958"/>
      <c r="H209" s="958"/>
      <c r="I209" s="961">
        <f>I210</f>
        <v>26265.189111475935</v>
      </c>
    </row>
    <row r="210" spans="1:9" ht="33" customHeight="1" x14ac:dyDescent="0.25">
      <c r="B210" s="963" t="s">
        <v>2965</v>
      </c>
      <c r="C210" s="959">
        <v>2</v>
      </c>
      <c r="D210" s="962" t="s">
        <v>3335</v>
      </c>
      <c r="I210" s="957">
        <f>SUM(I211+I213+I215+I216+I217+I218+I219+I220+I221+I222+I223+I224+I225)</f>
        <v>26265.189111475935</v>
      </c>
    </row>
    <row r="211" spans="1:9" ht="33" customHeight="1" x14ac:dyDescent="0.25">
      <c r="B211" s="963">
        <v>5340</v>
      </c>
      <c r="C211" s="964">
        <v>331900800000000</v>
      </c>
      <c r="D211" s="963" t="s">
        <v>5703</v>
      </c>
      <c r="E211" s="954"/>
      <c r="F211" s="960">
        <v>1</v>
      </c>
      <c r="G211" s="963">
        <v>0</v>
      </c>
      <c r="H211" s="956"/>
      <c r="I211" s="961">
        <f>I213*(PUCFD!E$94)</f>
        <v>2086.597961418684</v>
      </c>
    </row>
    <row r="212" spans="1:9" ht="33" customHeight="1" x14ac:dyDescent="0.25">
      <c r="B212" s="975" t="s">
        <v>5716</v>
      </c>
      <c r="C212" s="974">
        <v>331900899040000</v>
      </c>
      <c r="D212" s="973" t="s">
        <v>4234</v>
      </c>
      <c r="F212" s="975">
        <v>1</v>
      </c>
      <c r="G212" s="973">
        <v>0</v>
      </c>
      <c r="I212" s="976">
        <v>0</v>
      </c>
    </row>
    <row r="213" spans="1:9" ht="33" customHeight="1" x14ac:dyDescent="0.25">
      <c r="B213" s="960">
        <v>5350</v>
      </c>
      <c r="C213" s="964">
        <v>331901100000000</v>
      </c>
      <c r="D213" s="963" t="s">
        <v>5715</v>
      </c>
      <c r="E213" s="954"/>
      <c r="F213" s="960">
        <v>1</v>
      </c>
      <c r="G213" s="963">
        <v>0</v>
      </c>
      <c r="I213" s="961">
        <f>SUM(I214)</f>
        <v>18081.438140543189</v>
      </c>
    </row>
    <row r="214" spans="1:9" ht="33" customHeight="1" x14ac:dyDescent="0.25">
      <c r="B214" s="975" t="s">
        <v>3609</v>
      </c>
      <c r="C214" s="974">
        <v>331901133000000</v>
      </c>
      <c r="D214" s="973" t="s">
        <v>3163</v>
      </c>
      <c r="E214" s="948">
        <v>311210116000000</v>
      </c>
      <c r="F214" s="975">
        <v>1</v>
      </c>
      <c r="G214" s="973">
        <v>0</v>
      </c>
      <c r="H214" s="950">
        <v>167</v>
      </c>
      <c r="I214" s="976">
        <f>PUCFD!E206*13</f>
        <v>18081.438140543189</v>
      </c>
    </row>
    <row r="215" spans="1:9" ht="33" customHeight="1" x14ac:dyDescent="0.25">
      <c r="B215" s="963">
        <v>5380</v>
      </c>
      <c r="C215" s="964">
        <v>331901300000000</v>
      </c>
      <c r="D215" s="963" t="s">
        <v>5704</v>
      </c>
      <c r="E215" s="954"/>
      <c r="F215" s="960">
        <v>1</v>
      </c>
      <c r="G215" s="963">
        <v>0</v>
      </c>
      <c r="I215" s="961">
        <f>I213*(PUCFD!E$92)</f>
        <v>3797.1020095140693</v>
      </c>
    </row>
    <row r="216" spans="1:9" ht="33" customHeight="1" x14ac:dyDescent="0.25">
      <c r="B216" s="963">
        <v>5390</v>
      </c>
      <c r="C216" s="964">
        <v>333901400000000</v>
      </c>
      <c r="D216" s="963" t="s">
        <v>5705</v>
      </c>
      <c r="E216" s="954"/>
      <c r="F216" s="960">
        <v>1</v>
      </c>
      <c r="G216" s="963">
        <v>0</v>
      </c>
      <c r="I216" s="961">
        <f>PUCFD!E208-500</f>
        <v>500</v>
      </c>
    </row>
    <row r="217" spans="1:9" ht="33" customHeight="1" x14ac:dyDescent="0.25">
      <c r="B217" s="963">
        <v>53120</v>
      </c>
      <c r="C217" s="964">
        <v>333903000000000</v>
      </c>
      <c r="D217" s="963" t="s">
        <v>5706</v>
      </c>
      <c r="E217" s="954"/>
      <c r="F217" s="960">
        <v>1</v>
      </c>
      <c r="G217" s="963">
        <v>0</v>
      </c>
      <c r="I217" s="961">
        <f>PUCFD!E209</f>
        <v>500</v>
      </c>
    </row>
    <row r="218" spans="1:9" ht="33" customHeight="1" x14ac:dyDescent="0.25">
      <c r="B218" s="963">
        <v>53160</v>
      </c>
      <c r="C218" s="964">
        <v>333903300000000</v>
      </c>
      <c r="D218" s="963" t="s">
        <v>5707</v>
      </c>
      <c r="E218" s="954"/>
      <c r="F218" s="960">
        <v>1</v>
      </c>
      <c r="G218" s="963">
        <v>0</v>
      </c>
      <c r="I218" s="961">
        <f>PUCFD!E210</f>
        <v>500</v>
      </c>
    </row>
    <row r="219" spans="1:9" ht="33" customHeight="1" x14ac:dyDescent="0.25">
      <c r="B219" s="963">
        <v>53170</v>
      </c>
      <c r="C219" s="964">
        <v>333903500000000</v>
      </c>
      <c r="D219" s="963" t="s">
        <v>5708</v>
      </c>
      <c r="E219" s="954"/>
      <c r="F219" s="960">
        <v>1</v>
      </c>
      <c r="G219" s="963">
        <v>0</v>
      </c>
      <c r="I219" s="961">
        <f>PUCFD!E211</f>
        <v>0.01</v>
      </c>
    </row>
    <row r="220" spans="1:9" ht="33" customHeight="1" x14ac:dyDescent="0.25">
      <c r="B220" s="963">
        <v>53180</v>
      </c>
      <c r="C220" s="964">
        <v>333903600000000</v>
      </c>
      <c r="D220" s="963" t="s">
        <v>5709</v>
      </c>
      <c r="E220" s="954"/>
      <c r="F220" s="960">
        <v>1</v>
      </c>
      <c r="G220" s="963">
        <v>0</v>
      </c>
      <c r="I220" s="961">
        <f>PUCFD!E212</f>
        <v>0.01</v>
      </c>
    </row>
    <row r="221" spans="1:9" ht="33.75" customHeight="1" x14ac:dyDescent="0.25">
      <c r="B221" s="963">
        <v>53200</v>
      </c>
      <c r="C221" s="964">
        <v>333903900000000</v>
      </c>
      <c r="D221" s="963" t="s">
        <v>5710</v>
      </c>
      <c r="E221" s="954"/>
      <c r="F221" s="960">
        <v>1</v>
      </c>
      <c r="G221" s="963">
        <v>0</v>
      </c>
      <c r="I221" s="961">
        <f>PUCFD!E213-500</f>
        <v>500</v>
      </c>
    </row>
    <row r="222" spans="1:9" ht="33.75" customHeight="1" x14ac:dyDescent="0.25">
      <c r="B222" s="963">
        <v>53250</v>
      </c>
      <c r="C222" s="964">
        <v>333904700000000</v>
      </c>
      <c r="D222" s="963" t="s">
        <v>5711</v>
      </c>
      <c r="E222" s="954"/>
      <c r="F222" s="960">
        <v>1</v>
      </c>
      <c r="G222" s="963">
        <v>0</v>
      </c>
      <c r="I222" s="961">
        <f>PUCFD!E214</f>
        <v>0.01</v>
      </c>
    </row>
    <row r="223" spans="1:9" ht="33.75" customHeight="1" x14ac:dyDescent="0.25">
      <c r="B223" s="963">
        <v>53260</v>
      </c>
      <c r="C223" s="964">
        <v>333909300000000</v>
      </c>
      <c r="D223" s="963" t="s">
        <v>5712</v>
      </c>
      <c r="E223" s="954"/>
      <c r="F223" s="960">
        <v>1</v>
      </c>
      <c r="G223" s="963">
        <v>0</v>
      </c>
      <c r="I223" s="961">
        <f>PUCFD!E215</f>
        <v>300</v>
      </c>
    </row>
    <row r="224" spans="1:9" ht="33.75" customHeight="1" x14ac:dyDescent="0.25">
      <c r="B224" s="963">
        <v>53270</v>
      </c>
      <c r="C224" s="964">
        <v>344905100000000</v>
      </c>
      <c r="D224" s="963" t="s">
        <v>5713</v>
      </c>
      <c r="E224" s="954"/>
      <c r="F224" s="960">
        <v>1</v>
      </c>
      <c r="G224" s="963">
        <v>0</v>
      </c>
      <c r="I224" s="961">
        <f>PUCFD!E216</f>
        <v>0.01</v>
      </c>
    </row>
    <row r="225" spans="1:9" ht="33.75" customHeight="1" x14ac:dyDescent="0.25">
      <c r="B225" s="963">
        <v>53290</v>
      </c>
      <c r="C225" s="964">
        <v>344905200000000</v>
      </c>
      <c r="D225" s="963" t="s">
        <v>5714</v>
      </c>
      <c r="E225" s="954"/>
      <c r="F225" s="960">
        <v>1</v>
      </c>
      <c r="G225" s="963">
        <v>0</v>
      </c>
      <c r="I225" s="961">
        <f>PUCFD!E217</f>
        <v>1.0999999999999999E-2</v>
      </c>
    </row>
    <row r="226" spans="1:9" ht="15" customHeight="1" x14ac:dyDescent="0.25">
      <c r="A226" s="958"/>
      <c r="B226" s="962" t="s">
        <v>3138</v>
      </c>
      <c r="C226" s="959">
        <v>4</v>
      </c>
      <c r="D226" s="962" t="s">
        <v>3142</v>
      </c>
      <c r="E226" s="954"/>
      <c r="F226" s="960"/>
      <c r="G226" s="958"/>
      <c r="H226" s="958"/>
      <c r="I226" s="961">
        <f>I227</f>
        <v>4.3893611999999999E-2</v>
      </c>
    </row>
    <row r="227" spans="1:9" ht="15" customHeight="1" x14ac:dyDescent="0.25">
      <c r="A227" s="958"/>
      <c r="B227" s="962" t="s">
        <v>3139</v>
      </c>
      <c r="C227" s="959">
        <v>126</v>
      </c>
      <c r="D227" s="962" t="s">
        <v>3600</v>
      </c>
      <c r="E227" s="954"/>
      <c r="F227" s="960"/>
      <c r="G227" s="958"/>
      <c r="H227" s="958"/>
      <c r="I227" s="961">
        <f>I228</f>
        <v>4.3893611999999999E-2</v>
      </c>
    </row>
    <row r="228" spans="1:9" ht="15" customHeight="1" x14ac:dyDescent="0.25">
      <c r="A228" s="958"/>
      <c r="B228" s="962" t="s">
        <v>3137</v>
      </c>
      <c r="C228" s="959">
        <v>3</v>
      </c>
      <c r="D228" s="962" t="s">
        <v>4608</v>
      </c>
      <c r="E228" s="954"/>
      <c r="F228" s="960"/>
      <c r="G228" s="958"/>
      <c r="H228" s="958"/>
      <c r="I228" s="961">
        <f>I229</f>
        <v>4.3893611999999999E-2</v>
      </c>
    </row>
    <row r="229" spans="1:9" ht="33" customHeight="1" x14ac:dyDescent="0.25">
      <c r="B229" s="963" t="s">
        <v>2965</v>
      </c>
      <c r="C229" s="959">
        <v>2</v>
      </c>
      <c r="D229" s="962" t="s">
        <v>3335</v>
      </c>
      <c r="I229" s="957">
        <f>I230</f>
        <v>4.3893611999999999E-2</v>
      </c>
    </row>
    <row r="230" spans="1:9" s="946" customFormat="1" ht="33.75" customHeight="1" x14ac:dyDescent="0.25">
      <c r="B230" s="963">
        <v>53320</v>
      </c>
      <c r="C230" s="964">
        <v>333904000000000</v>
      </c>
      <c r="D230" s="963" t="s">
        <v>5969</v>
      </c>
      <c r="E230" s="954"/>
      <c r="F230" s="960">
        <v>1</v>
      </c>
      <c r="G230" s="963">
        <v>0</v>
      </c>
      <c r="H230" s="950"/>
      <c r="I230" s="961">
        <f>SUM(I231,I232,I233,I234)</f>
        <v>4.3893611999999999E-2</v>
      </c>
    </row>
    <row r="231" spans="1:9" ht="24.95" customHeight="1" x14ac:dyDescent="0.25">
      <c r="A231" s="972"/>
      <c r="B231" s="973" t="s">
        <v>5717</v>
      </c>
      <c r="C231" s="974">
        <v>333904006000000</v>
      </c>
      <c r="D231" s="973" t="s">
        <v>3044</v>
      </c>
      <c r="E231" s="948">
        <v>332311000000000</v>
      </c>
      <c r="F231" s="975">
        <v>1</v>
      </c>
      <c r="G231" s="973">
        <v>0</v>
      </c>
      <c r="H231" s="972">
        <v>0</v>
      </c>
      <c r="I231" s="976">
        <f>((PUCFD!E221*(1+PUCFD!E$10))*(1+PUCFD!E$16))</f>
        <v>1.0973403E-2</v>
      </c>
    </row>
    <row r="232" spans="1:9" ht="24.95" customHeight="1" x14ac:dyDescent="0.25">
      <c r="A232" s="972"/>
      <c r="B232" s="973" t="s">
        <v>5719</v>
      </c>
      <c r="C232" s="974">
        <v>333904099000000</v>
      </c>
      <c r="D232" s="973" t="s">
        <v>5924</v>
      </c>
      <c r="E232" s="948">
        <v>332311100000000</v>
      </c>
      <c r="F232" s="975">
        <v>1</v>
      </c>
      <c r="G232" s="973">
        <v>0</v>
      </c>
      <c r="H232" s="972">
        <v>0</v>
      </c>
      <c r="I232" s="976">
        <f>((PUCFD!E222*(1+PUCFD!E$10))*(1+PUCFD!E$16))</f>
        <v>1.0973403E-2</v>
      </c>
    </row>
    <row r="233" spans="1:9" ht="24.95" customHeight="1" x14ac:dyDescent="0.25">
      <c r="A233" s="972"/>
      <c r="B233" s="973" t="s">
        <v>5718</v>
      </c>
      <c r="C233" s="974">
        <v>333904012000000</v>
      </c>
      <c r="D233" s="973" t="s">
        <v>5926</v>
      </c>
      <c r="E233" s="948">
        <v>332311100000000</v>
      </c>
      <c r="F233" s="975">
        <v>1</v>
      </c>
      <c r="G233" s="973">
        <v>0</v>
      </c>
      <c r="H233" s="972">
        <v>0</v>
      </c>
      <c r="I233" s="976">
        <f>((PUCFD!E223*(1+PUCFD!E$10))*(1+PUCFD!E$16))</f>
        <v>1.0973403E-2</v>
      </c>
    </row>
    <row r="234" spans="1:9" ht="24.95" customHeight="1" x14ac:dyDescent="0.25">
      <c r="A234" s="972"/>
      <c r="B234" s="973" t="s">
        <v>5720</v>
      </c>
      <c r="C234" s="974">
        <v>333904099000000</v>
      </c>
      <c r="D234" s="973" t="s">
        <v>5928</v>
      </c>
      <c r="E234" s="948">
        <v>332311100000000</v>
      </c>
      <c r="F234" s="975">
        <v>1</v>
      </c>
      <c r="G234" s="973">
        <v>0</v>
      </c>
      <c r="H234" s="972">
        <v>0</v>
      </c>
      <c r="I234" s="976">
        <f>((PUCFD!E224*(1+PUCFD!E$10))*(1+PUCFD!E$16))</f>
        <v>1.0973403E-2</v>
      </c>
    </row>
    <row r="235" spans="1:9" ht="24.95" customHeight="1" x14ac:dyDescent="0.25">
      <c r="A235" s="958"/>
      <c r="B235" s="962" t="s">
        <v>3138</v>
      </c>
      <c r="C235" s="959">
        <v>4</v>
      </c>
      <c r="D235" s="962" t="s">
        <v>3142</v>
      </c>
      <c r="E235" s="954"/>
      <c r="F235" s="960"/>
      <c r="G235" s="958"/>
      <c r="H235" s="958"/>
      <c r="I235" s="961">
        <f>I236</f>
        <v>0.03</v>
      </c>
    </row>
    <row r="236" spans="1:9" ht="24.95" customHeight="1" x14ac:dyDescent="0.25">
      <c r="A236" s="958"/>
      <c r="B236" s="962" t="s">
        <v>3139</v>
      </c>
      <c r="C236" s="959">
        <v>128</v>
      </c>
      <c r="D236" s="962" t="s">
        <v>5104</v>
      </c>
      <c r="E236" s="954"/>
      <c r="F236" s="960"/>
      <c r="G236" s="958"/>
      <c r="H236" s="958"/>
      <c r="I236" s="961">
        <f>I238</f>
        <v>0.03</v>
      </c>
    </row>
    <row r="237" spans="1:9" ht="24.95" customHeight="1" x14ac:dyDescent="0.25">
      <c r="A237" s="958"/>
      <c r="B237" s="962" t="s">
        <v>3137</v>
      </c>
      <c r="C237" s="959">
        <v>3</v>
      </c>
      <c r="D237" s="962" t="s">
        <v>4608</v>
      </c>
      <c r="E237" s="954"/>
      <c r="F237" s="960"/>
      <c r="G237" s="958"/>
      <c r="H237" s="958"/>
      <c r="I237" s="961">
        <f>I238</f>
        <v>0.03</v>
      </c>
    </row>
    <row r="238" spans="1:9" s="946" customFormat="1" ht="29.25" customHeight="1" x14ac:dyDescent="0.25">
      <c r="B238" s="963" t="s">
        <v>2965</v>
      </c>
      <c r="C238" s="959">
        <v>2</v>
      </c>
      <c r="D238" s="962" t="s">
        <v>3335</v>
      </c>
      <c r="E238" s="954"/>
      <c r="F238" s="960"/>
      <c r="G238" s="963"/>
      <c r="H238" s="958"/>
      <c r="I238" s="957">
        <f>SUM(I239:I241)</f>
        <v>0.03</v>
      </c>
    </row>
    <row r="239" spans="1:9" s="946" customFormat="1" ht="24.95" customHeight="1" x14ac:dyDescent="0.25">
      <c r="B239" s="973">
        <v>53350</v>
      </c>
      <c r="C239" s="974">
        <v>333901400000000</v>
      </c>
      <c r="D239" s="973" t="s">
        <v>5721</v>
      </c>
      <c r="E239" s="954"/>
      <c r="F239" s="949">
        <v>1</v>
      </c>
      <c r="G239" s="945">
        <v>0</v>
      </c>
      <c r="H239" s="950">
        <v>0</v>
      </c>
      <c r="I239" s="951">
        <f>PUCFD!E226</f>
        <v>0.01</v>
      </c>
    </row>
    <row r="240" spans="1:9" s="946" customFormat="1" ht="35.25" customHeight="1" x14ac:dyDescent="0.25">
      <c r="B240" s="973">
        <v>53370</v>
      </c>
      <c r="C240" s="974">
        <v>333903300000000</v>
      </c>
      <c r="D240" s="973" t="s">
        <v>5722</v>
      </c>
      <c r="E240" s="954"/>
      <c r="F240" s="949">
        <v>1</v>
      </c>
      <c r="G240" s="945">
        <v>0</v>
      </c>
      <c r="H240" s="950">
        <v>0</v>
      </c>
      <c r="I240" s="951">
        <f>PUCFD!E227</f>
        <v>0.01</v>
      </c>
    </row>
    <row r="241" spans="1:11" s="946" customFormat="1" ht="31.5" customHeight="1" x14ac:dyDescent="0.25">
      <c r="B241" s="973">
        <v>53390</v>
      </c>
      <c r="C241" s="974">
        <v>333903900000000</v>
      </c>
      <c r="D241" s="973" t="s">
        <v>5723</v>
      </c>
      <c r="E241" s="954"/>
      <c r="F241" s="949">
        <v>1</v>
      </c>
      <c r="G241" s="945">
        <v>0</v>
      </c>
      <c r="H241" s="950">
        <v>0</v>
      </c>
      <c r="I241" s="951">
        <f>PUCFD!E228+PUCFD!E192</f>
        <v>0.01</v>
      </c>
    </row>
    <row r="242" spans="1:11" ht="15" customHeight="1" x14ac:dyDescent="0.25">
      <c r="A242" s="958"/>
      <c r="B242" s="962" t="s">
        <v>3138</v>
      </c>
      <c r="C242" s="959">
        <v>4</v>
      </c>
      <c r="D242" s="962" t="s">
        <v>3142</v>
      </c>
      <c r="E242" s="954"/>
      <c r="F242" s="960"/>
      <c r="G242" s="958"/>
      <c r="H242" s="958"/>
      <c r="I242" s="961">
        <f>I243</f>
        <v>182236.63309139688</v>
      </c>
    </row>
    <row r="243" spans="1:11" ht="15" customHeight="1" x14ac:dyDescent="0.25">
      <c r="A243" s="958"/>
      <c r="B243" s="962" t="s">
        <v>3139</v>
      </c>
      <c r="C243" s="959">
        <v>122</v>
      </c>
      <c r="D243" s="962" t="s">
        <v>3143</v>
      </c>
      <c r="E243" s="954"/>
      <c r="F243" s="960"/>
      <c r="G243" s="958"/>
      <c r="H243" s="958"/>
      <c r="I243" s="961">
        <f>I244</f>
        <v>182236.63309139688</v>
      </c>
    </row>
    <row r="244" spans="1:11" ht="15" customHeight="1" x14ac:dyDescent="0.25">
      <c r="A244" s="958"/>
      <c r="B244" s="962" t="s">
        <v>3137</v>
      </c>
      <c r="C244" s="959">
        <v>22</v>
      </c>
      <c r="D244" s="962" t="s">
        <v>3265</v>
      </c>
      <c r="E244" s="954"/>
      <c r="F244" s="960"/>
      <c r="G244" s="958"/>
      <c r="H244" s="958"/>
      <c r="I244" s="961">
        <f>I245</f>
        <v>182236.63309139688</v>
      </c>
    </row>
    <row r="245" spans="1:11" s="946" customFormat="1" ht="24.95" customHeight="1" x14ac:dyDescent="0.25">
      <c r="B245" s="963" t="s">
        <v>2965</v>
      </c>
      <c r="C245" s="959">
        <v>2032</v>
      </c>
      <c r="D245" s="963" t="s">
        <v>3334</v>
      </c>
      <c r="E245" s="954"/>
      <c r="F245" s="955"/>
      <c r="H245" s="956"/>
      <c r="I245" s="957">
        <f>SUM(I246,I247,I249,I251,I253,I254,I255,I260,I273,I274,I275,I277,I282,I284,I285,I286,I287,I288,I289,I290)</f>
        <v>182236.63309139688</v>
      </c>
    </row>
    <row r="246" spans="1:11" s="946" customFormat="1" ht="24.95" customHeight="1" x14ac:dyDescent="0.25">
      <c r="B246" s="963">
        <v>58000</v>
      </c>
      <c r="C246" s="964">
        <v>331900400000000</v>
      </c>
      <c r="D246" s="963" t="s">
        <v>3273</v>
      </c>
      <c r="E246" s="954"/>
      <c r="F246" s="960">
        <v>1</v>
      </c>
      <c r="G246" s="963">
        <v>0</v>
      </c>
      <c r="H246" s="950"/>
      <c r="I246" s="961">
        <f>PUCFD!E233</f>
        <v>0.01</v>
      </c>
    </row>
    <row r="247" spans="1:11" s="946" customFormat="1" ht="24.95" customHeight="1" x14ac:dyDescent="0.25">
      <c r="A247" s="958"/>
      <c r="B247" s="963">
        <v>58050</v>
      </c>
      <c r="C247" s="964">
        <v>331900800000000</v>
      </c>
      <c r="D247" s="963" t="s">
        <v>5724</v>
      </c>
      <c r="E247" s="954"/>
      <c r="F247" s="960">
        <v>1</v>
      </c>
      <c r="G247" s="963">
        <v>0</v>
      </c>
      <c r="H247" s="956"/>
      <c r="I247" s="961">
        <f>SUM(I248)</f>
        <v>0.1154</v>
      </c>
    </row>
    <row r="248" spans="1:11" ht="24.95" customHeight="1" x14ac:dyDescent="0.25">
      <c r="A248" s="972"/>
      <c r="B248" s="975" t="s">
        <v>4236</v>
      </c>
      <c r="C248" s="974">
        <v>31900899040000</v>
      </c>
      <c r="D248" s="973" t="s">
        <v>4234</v>
      </c>
      <c r="F248" s="975"/>
      <c r="G248" s="973"/>
      <c r="I248" s="976">
        <f>SUM(1)*PUCFD!E$94</f>
        <v>0.1154</v>
      </c>
    </row>
    <row r="249" spans="1:11" s="946" customFormat="1" ht="24.95" customHeight="1" x14ac:dyDescent="0.25">
      <c r="B249" s="963">
        <v>58100</v>
      </c>
      <c r="C249" s="964">
        <v>331901100000000</v>
      </c>
      <c r="D249" s="963" t="s">
        <v>3274</v>
      </c>
      <c r="E249" s="954"/>
      <c r="F249" s="960">
        <v>1</v>
      </c>
      <c r="G249" s="963">
        <v>0</v>
      </c>
      <c r="H249" s="950"/>
      <c r="I249" s="961">
        <f>('FOPAG EXEC.'!E229*12)+('FOPAG EXEC.'!E230+'FOPAG EXEC.'!E231)-47218.9</f>
        <v>82596.553316720325</v>
      </c>
      <c r="J249" s="1013"/>
      <c r="K249" s="1013"/>
    </row>
    <row r="250" spans="1:11" ht="24.95" customHeight="1" x14ac:dyDescent="0.25">
      <c r="B250" s="973" t="s">
        <v>3275</v>
      </c>
      <c r="C250" s="974">
        <v>331901173010000</v>
      </c>
      <c r="D250" s="973" t="s">
        <v>3276</v>
      </c>
      <c r="E250" s="948">
        <v>311210199000000</v>
      </c>
      <c r="F250" s="975">
        <v>1</v>
      </c>
      <c r="G250" s="973">
        <v>0</v>
      </c>
      <c r="H250" s="950">
        <v>455</v>
      </c>
      <c r="I250" s="976">
        <v>0</v>
      </c>
    </row>
    <row r="251" spans="1:11" s="946" customFormat="1" ht="24.95" customHeight="1" x14ac:dyDescent="0.25">
      <c r="B251" s="963">
        <v>58200</v>
      </c>
      <c r="C251" s="964">
        <v>331901300000000</v>
      </c>
      <c r="D251" s="963" t="s">
        <v>3277</v>
      </c>
      <c r="E251" s="954"/>
      <c r="F251" s="960">
        <v>1</v>
      </c>
      <c r="G251" s="963">
        <v>0</v>
      </c>
      <c r="H251" s="950"/>
      <c r="I251" s="961">
        <f>SUM(I249,I253,I254)*PUCFD!E$92</f>
        <v>17345.280396511265</v>
      </c>
    </row>
    <row r="252" spans="1:11" ht="24.95" customHeight="1" x14ac:dyDescent="0.25">
      <c r="B252" s="973" t="s">
        <v>3278</v>
      </c>
      <c r="C252" s="974">
        <v>331901399000000</v>
      </c>
      <c r="D252" s="973" t="s">
        <v>3279</v>
      </c>
      <c r="E252" s="948">
        <v>312219900000000</v>
      </c>
      <c r="F252" s="975">
        <v>1</v>
      </c>
      <c r="G252" s="973">
        <v>0</v>
      </c>
      <c r="H252" s="950">
        <v>456</v>
      </c>
      <c r="I252" s="976">
        <f>SUM(I250)*PUCFD!E$92</f>
        <v>0</v>
      </c>
    </row>
    <row r="253" spans="1:11" s="946" customFormat="1" ht="24.95" customHeight="1" x14ac:dyDescent="0.25">
      <c r="B253" s="963">
        <v>58300</v>
      </c>
      <c r="C253" s="964">
        <v>331901600000000</v>
      </c>
      <c r="D253" s="963" t="s">
        <v>3280</v>
      </c>
      <c r="E253" s="954"/>
      <c r="F253" s="960">
        <v>1</v>
      </c>
      <c r="G253" s="963">
        <v>0</v>
      </c>
      <c r="H253" s="950"/>
      <c r="I253" s="961">
        <f>PUCFD!E236</f>
        <v>0.01</v>
      </c>
    </row>
    <row r="254" spans="1:11" s="946" customFormat="1" ht="24.95" customHeight="1" x14ac:dyDescent="0.25">
      <c r="B254" s="963">
        <v>58400</v>
      </c>
      <c r="C254" s="964">
        <v>331909400000000</v>
      </c>
      <c r="D254" s="963" t="s">
        <v>3281</v>
      </c>
      <c r="E254" s="954"/>
      <c r="F254" s="960">
        <v>1</v>
      </c>
      <c r="G254" s="963">
        <v>0</v>
      </c>
      <c r="H254" s="950"/>
      <c r="I254" s="961">
        <f>PUCFD!E237</f>
        <v>0.01</v>
      </c>
    </row>
    <row r="255" spans="1:11" s="946" customFormat="1" ht="24.95" customHeight="1" x14ac:dyDescent="0.25">
      <c r="B255" s="963">
        <v>58500</v>
      </c>
      <c r="C255" s="964">
        <v>333901400000000</v>
      </c>
      <c r="D255" s="963" t="s">
        <v>3282</v>
      </c>
      <c r="E255" s="954"/>
      <c r="F255" s="960">
        <v>1</v>
      </c>
      <c r="G255" s="963">
        <v>0</v>
      </c>
      <c r="H255" s="950"/>
      <c r="I255" s="961">
        <f>((PUCFD!E238))</f>
        <v>2299</v>
      </c>
    </row>
    <row r="256" spans="1:11" ht="24.95" customHeight="1" x14ac:dyDescent="0.25">
      <c r="B256" s="973" t="s">
        <v>3283</v>
      </c>
      <c r="C256" s="974">
        <v>333901414050000</v>
      </c>
      <c r="D256" s="973" t="s">
        <v>3284</v>
      </c>
      <c r="E256" s="948">
        <v>332110100000000</v>
      </c>
      <c r="F256" s="975">
        <v>1</v>
      </c>
      <c r="G256" s="973">
        <v>0</v>
      </c>
      <c r="H256" s="950">
        <v>1578</v>
      </c>
      <c r="I256" s="976">
        <v>0</v>
      </c>
    </row>
    <row r="257" spans="2:9" ht="24.95" customHeight="1" x14ac:dyDescent="0.25">
      <c r="B257" s="973" t="s">
        <v>3285</v>
      </c>
      <c r="C257" s="974">
        <v>333901414030000</v>
      </c>
      <c r="D257" s="973" t="s">
        <v>3286</v>
      </c>
      <c r="E257" s="948">
        <v>332110100000000</v>
      </c>
      <c r="F257" s="975">
        <v>1</v>
      </c>
      <c r="G257" s="973">
        <v>0</v>
      </c>
      <c r="H257" s="950">
        <v>1581</v>
      </c>
      <c r="I257" s="976">
        <f>((PUCFD!E240*(1+PUCFD!E$10))*(1+PUCFD!E$16))</f>
        <v>0</v>
      </c>
    </row>
    <row r="258" spans="2:9" ht="24.95" customHeight="1" x14ac:dyDescent="0.25">
      <c r="B258" s="973" t="s">
        <v>3287</v>
      </c>
      <c r="C258" s="974">
        <v>333901414010000</v>
      </c>
      <c r="D258" s="973" t="s">
        <v>3288</v>
      </c>
      <c r="E258" s="948">
        <v>332110100000000</v>
      </c>
      <c r="F258" s="975">
        <v>1</v>
      </c>
      <c r="G258" s="973">
        <v>0</v>
      </c>
      <c r="H258" s="950">
        <v>1580</v>
      </c>
      <c r="I258" s="976">
        <f>((PUCFD!E241*(1+PUCFD!E$10))*(1+PUCFD!E$16))</f>
        <v>0</v>
      </c>
    </row>
    <row r="259" spans="2:9" ht="24.95" customHeight="1" x14ac:dyDescent="0.25">
      <c r="B259" s="973" t="s">
        <v>3289</v>
      </c>
      <c r="C259" s="974">
        <v>333901414020000</v>
      </c>
      <c r="D259" s="973" t="s">
        <v>3290</v>
      </c>
      <c r="E259" s="948">
        <v>332110100000000</v>
      </c>
      <c r="F259" s="975">
        <v>1</v>
      </c>
      <c r="G259" s="973">
        <v>0</v>
      </c>
      <c r="H259" s="950">
        <v>1579</v>
      </c>
      <c r="I259" s="976">
        <f>((PUCFD!E242*(1+PUCFD!E$10))*(1+PUCFD!E$16))</f>
        <v>0</v>
      </c>
    </row>
    <row r="260" spans="2:9" s="946" customFormat="1" ht="24.95" customHeight="1" x14ac:dyDescent="0.25">
      <c r="B260" s="963">
        <v>58600</v>
      </c>
      <c r="C260" s="964">
        <v>333903000000000</v>
      </c>
      <c r="D260" s="963" t="s">
        <v>3291</v>
      </c>
      <c r="E260" s="954"/>
      <c r="F260" s="960">
        <v>1</v>
      </c>
      <c r="G260" s="963">
        <v>0</v>
      </c>
      <c r="H260" s="950"/>
      <c r="I260" s="961">
        <f>((PUCFD!E165*(1+PUCFD!E$10))*(1+PUCFD!E$16))*(1+PUCFD!E18)*(1+PUCFD!E19)-5000</f>
        <v>16349.162249119323</v>
      </c>
    </row>
    <row r="261" spans="2:9" ht="24.95" customHeight="1" x14ac:dyDescent="0.25">
      <c r="B261" s="973" t="s">
        <v>3292</v>
      </c>
      <c r="C261" s="974">
        <v>333903024000000</v>
      </c>
      <c r="D261" s="973" t="s">
        <v>3293</v>
      </c>
      <c r="E261" s="948">
        <v>331112500000000</v>
      </c>
      <c r="F261" s="975">
        <v>1</v>
      </c>
      <c r="G261" s="973">
        <v>0</v>
      </c>
      <c r="H261" s="950">
        <v>1100</v>
      </c>
      <c r="I261" s="976">
        <v>0</v>
      </c>
    </row>
    <row r="262" spans="2:9" ht="24.95" customHeight="1" x14ac:dyDescent="0.25">
      <c r="B262" s="973" t="s">
        <v>3294</v>
      </c>
      <c r="C262" s="974">
        <v>333903007000000</v>
      </c>
      <c r="D262" s="973" t="s">
        <v>3295</v>
      </c>
      <c r="E262" s="948">
        <v>331110600000000</v>
      </c>
      <c r="F262" s="975">
        <v>1</v>
      </c>
      <c r="G262" s="973">
        <v>0</v>
      </c>
      <c r="H262" s="950">
        <v>0</v>
      </c>
      <c r="I262" s="976">
        <v>0</v>
      </c>
    </row>
    <row r="263" spans="2:9" ht="34.5" customHeight="1" x14ac:dyDescent="0.25">
      <c r="B263" s="973" t="s">
        <v>3296</v>
      </c>
      <c r="C263" s="974">
        <v>333903007000000</v>
      </c>
      <c r="D263" s="973" t="s">
        <v>3297</v>
      </c>
      <c r="E263" s="948" t="s">
        <v>3348</v>
      </c>
      <c r="F263" s="975">
        <v>1</v>
      </c>
      <c r="G263" s="973">
        <v>0</v>
      </c>
      <c r="H263" s="950">
        <v>0</v>
      </c>
      <c r="I263" s="976">
        <v>0</v>
      </c>
    </row>
    <row r="264" spans="2:9" ht="24.95" customHeight="1" x14ac:dyDescent="0.25">
      <c r="B264" s="973" t="s">
        <v>3298</v>
      </c>
      <c r="C264" s="974">
        <v>333903016000000</v>
      </c>
      <c r="D264" s="973" t="s">
        <v>3194</v>
      </c>
      <c r="E264" s="948">
        <v>331111600000000</v>
      </c>
      <c r="F264" s="975">
        <v>1</v>
      </c>
      <c r="G264" s="973">
        <v>0</v>
      </c>
      <c r="H264" s="950">
        <v>800</v>
      </c>
      <c r="I264" s="976">
        <v>0</v>
      </c>
    </row>
    <row r="265" spans="2:9" ht="32.25" customHeight="1" x14ac:dyDescent="0.25">
      <c r="B265" s="973" t="s">
        <v>3299</v>
      </c>
      <c r="C265" s="974">
        <v>333903016000000</v>
      </c>
      <c r="D265" s="973" t="s">
        <v>3300</v>
      </c>
      <c r="E265" s="948" t="s">
        <v>3349</v>
      </c>
      <c r="F265" s="975">
        <v>1</v>
      </c>
      <c r="G265" s="973">
        <v>0</v>
      </c>
      <c r="H265" s="950">
        <v>800</v>
      </c>
      <c r="I265" s="976">
        <v>0</v>
      </c>
    </row>
    <row r="266" spans="2:9" ht="24.95" customHeight="1" x14ac:dyDescent="0.25">
      <c r="B266" s="973" t="s">
        <v>3301</v>
      </c>
      <c r="C266" s="974">
        <v>333903021000000</v>
      </c>
      <c r="D266" s="973" t="s">
        <v>3302</v>
      </c>
      <c r="E266" s="948">
        <v>331112100000000</v>
      </c>
      <c r="F266" s="975">
        <v>1</v>
      </c>
      <c r="G266" s="973">
        <v>0</v>
      </c>
      <c r="H266" s="950">
        <v>0</v>
      </c>
      <c r="I266" s="976">
        <v>0</v>
      </c>
    </row>
    <row r="267" spans="2:9" ht="29.25" customHeight="1" x14ac:dyDescent="0.25">
      <c r="B267" s="973" t="s">
        <v>3303</v>
      </c>
      <c r="C267" s="974">
        <v>333903016000000</v>
      </c>
      <c r="D267" s="973" t="s">
        <v>3304</v>
      </c>
      <c r="E267" s="948" t="s">
        <v>3350</v>
      </c>
      <c r="F267" s="975">
        <v>1</v>
      </c>
      <c r="G267" s="973">
        <v>0</v>
      </c>
      <c r="H267" s="950">
        <v>0</v>
      </c>
      <c r="I267" s="976">
        <v>0</v>
      </c>
    </row>
    <row r="268" spans="2:9" ht="24.95" customHeight="1" x14ac:dyDescent="0.25">
      <c r="B268" s="973" t="s">
        <v>3305</v>
      </c>
      <c r="C268" s="974">
        <v>333903022000000</v>
      </c>
      <c r="D268" s="973" t="s">
        <v>3306</v>
      </c>
      <c r="E268" s="948">
        <v>331112200000000</v>
      </c>
      <c r="F268" s="975">
        <v>1</v>
      </c>
      <c r="G268" s="973">
        <v>0</v>
      </c>
      <c r="H268" s="950">
        <v>1413</v>
      </c>
      <c r="I268" s="976">
        <v>0</v>
      </c>
    </row>
    <row r="269" spans="2:9" ht="26.25" customHeight="1" x14ac:dyDescent="0.25">
      <c r="B269" s="973" t="s">
        <v>3307</v>
      </c>
      <c r="C269" s="974">
        <v>333903022000000</v>
      </c>
      <c r="D269" s="973" t="s">
        <v>3308</v>
      </c>
      <c r="E269" s="948" t="s">
        <v>3350</v>
      </c>
      <c r="F269" s="975">
        <v>1</v>
      </c>
      <c r="G269" s="973">
        <v>0</v>
      </c>
      <c r="H269" s="950">
        <v>0</v>
      </c>
      <c r="I269" s="976">
        <v>0</v>
      </c>
    </row>
    <row r="270" spans="2:9" ht="24.95" customHeight="1" x14ac:dyDescent="0.25">
      <c r="B270" s="973" t="s">
        <v>3309</v>
      </c>
      <c r="C270" s="974">
        <v>333903001030300</v>
      </c>
      <c r="D270" s="973" t="s">
        <v>3310</v>
      </c>
      <c r="E270" s="948">
        <v>331110100000000</v>
      </c>
      <c r="F270" s="975">
        <v>1</v>
      </c>
      <c r="G270" s="973">
        <v>0</v>
      </c>
      <c r="H270" s="950">
        <v>1444</v>
      </c>
      <c r="I270" s="976">
        <v>0</v>
      </c>
    </row>
    <row r="271" spans="2:9" ht="24.95" customHeight="1" x14ac:dyDescent="0.25">
      <c r="B271" s="973" t="s">
        <v>3311</v>
      </c>
      <c r="C271" s="974">
        <v>333903039030000</v>
      </c>
      <c r="D271" s="973" t="s">
        <v>3312</v>
      </c>
      <c r="E271" s="948">
        <v>331113900000000</v>
      </c>
      <c r="F271" s="975">
        <v>1</v>
      </c>
      <c r="G271" s="973">
        <v>0</v>
      </c>
      <c r="H271" s="950" t="s">
        <v>3351</v>
      </c>
      <c r="I271" s="976">
        <v>0</v>
      </c>
    </row>
    <row r="272" spans="2:9" ht="24.95" customHeight="1" x14ac:dyDescent="0.25">
      <c r="B272" s="973" t="s">
        <v>3313</v>
      </c>
      <c r="C272" s="974">
        <v>333903004000000</v>
      </c>
      <c r="D272" s="973" t="s">
        <v>3314</v>
      </c>
      <c r="E272" s="948">
        <v>331110300000000</v>
      </c>
      <c r="F272" s="975">
        <v>1</v>
      </c>
      <c r="G272" s="973">
        <v>0</v>
      </c>
      <c r="H272" s="950">
        <v>2134</v>
      </c>
      <c r="I272" s="976">
        <v>0</v>
      </c>
    </row>
    <row r="273" spans="2:9" s="946" customFormat="1" ht="24.95" customHeight="1" x14ac:dyDescent="0.25">
      <c r="B273" s="963">
        <v>58700</v>
      </c>
      <c r="C273" s="964">
        <v>333903300000000</v>
      </c>
      <c r="D273" s="963" t="s">
        <v>3315</v>
      </c>
      <c r="E273" s="954"/>
      <c r="F273" s="960">
        <v>1</v>
      </c>
      <c r="G273" s="963">
        <v>0</v>
      </c>
      <c r="H273" s="950"/>
      <c r="I273" s="961">
        <f>((PUCFD!E257*(1+PUCFD!E$10))*(1+PUCFD!E$16))</f>
        <v>1.0973403E-2</v>
      </c>
    </row>
    <row r="274" spans="2:9" s="946" customFormat="1" ht="24.95" customHeight="1" x14ac:dyDescent="0.25">
      <c r="B274" s="963">
        <v>58800</v>
      </c>
      <c r="C274" s="964">
        <v>333903500000000</v>
      </c>
      <c r="D274" s="963" t="s">
        <v>3316</v>
      </c>
      <c r="E274" s="954"/>
      <c r="F274" s="960">
        <v>1</v>
      </c>
      <c r="G274" s="963">
        <v>0</v>
      </c>
      <c r="H274" s="950"/>
      <c r="I274" s="961">
        <f>((PUCFD!E258*(1+PUCFD!E$10))*(1+PUCFD!E$16))</f>
        <v>1.0973403E-2</v>
      </c>
    </row>
    <row r="275" spans="2:9" s="946" customFormat="1" ht="24.95" customHeight="1" x14ac:dyDescent="0.25">
      <c r="B275" s="963">
        <v>58900</v>
      </c>
      <c r="C275" s="964">
        <v>333903600000000</v>
      </c>
      <c r="D275" s="963" t="s">
        <v>3269</v>
      </c>
      <c r="E275" s="954"/>
      <c r="F275" s="960">
        <v>1</v>
      </c>
      <c r="G275" s="963">
        <v>0</v>
      </c>
      <c r="H275" s="950"/>
      <c r="I275" s="961">
        <f>((PUCFD!E259*(1+PUCFD!E$10))*(1+PUCFD!E$16))</f>
        <v>24537.620961598499</v>
      </c>
    </row>
    <row r="276" spans="2:9" ht="24.95" customHeight="1" x14ac:dyDescent="0.25">
      <c r="B276" s="973" t="s">
        <v>3317</v>
      </c>
      <c r="C276" s="974">
        <v>333903615000000</v>
      </c>
      <c r="D276" s="973" t="s">
        <v>3246</v>
      </c>
      <c r="E276" s="948">
        <v>332212100000000</v>
      </c>
      <c r="F276" s="975">
        <v>1</v>
      </c>
      <c r="G276" s="973">
        <v>0</v>
      </c>
      <c r="H276" s="950">
        <v>1269</v>
      </c>
      <c r="I276" s="976">
        <v>0</v>
      </c>
    </row>
    <row r="277" spans="2:9" s="946" customFormat="1" ht="24.95" customHeight="1" x14ac:dyDescent="0.25">
      <c r="B277" s="963">
        <v>59000</v>
      </c>
      <c r="C277" s="964">
        <v>333903900000000</v>
      </c>
      <c r="D277" s="963" t="s">
        <v>3270</v>
      </c>
      <c r="E277" s="954"/>
      <c r="F277" s="960">
        <v>1</v>
      </c>
      <c r="G277" s="963">
        <v>0</v>
      </c>
      <c r="H277" s="950"/>
      <c r="I277" s="1332">
        <f>((PUCFD!E261*(1+PUCFD!E$10))*(1+PUCFD!E$16))-5000</f>
        <v>5391.9717553435003</v>
      </c>
    </row>
    <row r="278" spans="2:9" ht="24.95" customHeight="1" x14ac:dyDescent="0.25">
      <c r="B278" s="973" t="s">
        <v>3318</v>
      </c>
      <c r="C278" s="974">
        <v>333903943000000</v>
      </c>
      <c r="D278" s="973" t="s">
        <v>3319</v>
      </c>
      <c r="E278" s="948">
        <v>332310800000000</v>
      </c>
      <c r="F278" s="975">
        <v>1</v>
      </c>
      <c r="G278" s="973">
        <v>0</v>
      </c>
      <c r="H278" s="950" t="s">
        <v>3352</v>
      </c>
      <c r="I278" s="976">
        <f>((PUCFD!E262*(1+PUCFD!E$10))*(1+PUCFD!E$16))</f>
        <v>0</v>
      </c>
    </row>
    <row r="279" spans="2:9" ht="24.95" customHeight="1" x14ac:dyDescent="0.25">
      <c r="B279" s="973" t="s">
        <v>3320</v>
      </c>
      <c r="C279" s="974">
        <v>333903999040000</v>
      </c>
      <c r="D279" s="973" t="s">
        <v>3321</v>
      </c>
      <c r="E279" s="948">
        <v>332319900000000</v>
      </c>
      <c r="F279" s="975">
        <v>1</v>
      </c>
      <c r="G279" s="973">
        <v>0</v>
      </c>
      <c r="H279" s="950">
        <v>755</v>
      </c>
      <c r="I279" s="976">
        <f>((PUCFD!E263*(1+PUCFD!E$10))*(1+PUCFD!E$16))</f>
        <v>0</v>
      </c>
    </row>
    <row r="280" spans="2:9" ht="24.95" customHeight="1" x14ac:dyDescent="0.25">
      <c r="B280" s="973" t="s">
        <v>3322</v>
      </c>
      <c r="C280" s="974">
        <v>333903958010000</v>
      </c>
      <c r="D280" s="973" t="s">
        <v>3036</v>
      </c>
      <c r="E280" s="948">
        <v>332310800000000</v>
      </c>
      <c r="F280" s="975">
        <v>1</v>
      </c>
      <c r="G280" s="973">
        <v>0</v>
      </c>
      <c r="H280" s="950">
        <v>1332</v>
      </c>
      <c r="I280" s="976">
        <f>((PUCFD!E264*(1+PUCFD!E$10))*(1+PUCFD!E$16))</f>
        <v>0</v>
      </c>
    </row>
    <row r="281" spans="2:9" ht="24.95" customHeight="1" x14ac:dyDescent="0.25">
      <c r="B281" s="973" t="s">
        <v>3323</v>
      </c>
      <c r="C281" s="974">
        <v>333903944000000</v>
      </c>
      <c r="D281" s="973" t="s">
        <v>3324</v>
      </c>
      <c r="E281" s="948">
        <v>332310800000000</v>
      </c>
      <c r="F281" s="975">
        <v>1</v>
      </c>
      <c r="G281" s="973">
        <v>0</v>
      </c>
      <c r="H281" s="950">
        <v>802</v>
      </c>
      <c r="I281" s="976">
        <f>((PUCFD!E265*(1+PUCFD!E$10))*(1+PUCFD!E$16))</f>
        <v>0</v>
      </c>
    </row>
    <row r="282" spans="2:9" s="946" customFormat="1" ht="24.95" customHeight="1" x14ac:dyDescent="0.25">
      <c r="B282" s="963">
        <v>59100</v>
      </c>
      <c r="C282" s="964">
        <v>333904600000000</v>
      </c>
      <c r="D282" s="963" t="s">
        <v>3325</v>
      </c>
      <c r="E282" s="954"/>
      <c r="F282" s="960">
        <v>1</v>
      </c>
      <c r="G282" s="963">
        <v>0</v>
      </c>
      <c r="H282" s="950"/>
      <c r="I282" s="961">
        <f>((PUCFD!E267*(1+PUCFD!E$85))*(1+PUCFD!E$86))</f>
        <v>33607.077194879996</v>
      </c>
    </row>
    <row r="283" spans="2:9" s="946" customFormat="1" ht="24.95" customHeight="1" x14ac:dyDescent="0.25">
      <c r="B283" s="973" t="s">
        <v>3360</v>
      </c>
      <c r="C283" s="974">
        <v>333904601000000</v>
      </c>
      <c r="D283" s="973" t="s">
        <v>5905</v>
      </c>
      <c r="E283" s="948"/>
      <c r="F283" s="975">
        <v>1</v>
      </c>
      <c r="G283" s="973">
        <v>0</v>
      </c>
      <c r="H283" s="972">
        <v>0</v>
      </c>
      <c r="I283" s="976">
        <f>((PUCFD!E268*(1+PUCFD!E$10))*(1+PUCFD!E$16))</f>
        <v>0</v>
      </c>
    </row>
    <row r="284" spans="2:9" s="946" customFormat="1" ht="24.95" customHeight="1" x14ac:dyDescent="0.25">
      <c r="B284" s="963">
        <v>59200</v>
      </c>
      <c r="C284" s="964">
        <v>333904700000000</v>
      </c>
      <c r="D284" s="963" t="s">
        <v>3326</v>
      </c>
      <c r="E284" s="954"/>
      <c r="F284" s="960">
        <v>1</v>
      </c>
      <c r="G284" s="963">
        <v>0</v>
      </c>
      <c r="H284" s="950"/>
      <c r="I284" s="961">
        <f>((PUCFD!E269*(1+PUCFD!E$10))*(1+PUCFD!E$16))</f>
        <v>109.73403</v>
      </c>
    </row>
    <row r="285" spans="2:9" s="946" customFormat="1" ht="24.95" customHeight="1" x14ac:dyDescent="0.25">
      <c r="B285" s="963">
        <v>59300</v>
      </c>
      <c r="C285" s="964">
        <v>333904900000000</v>
      </c>
      <c r="D285" s="963" t="s">
        <v>3327</v>
      </c>
      <c r="E285" s="954"/>
      <c r="F285" s="960">
        <v>1</v>
      </c>
      <c r="G285" s="963">
        <v>0</v>
      </c>
      <c r="H285" s="950"/>
      <c r="I285" s="961">
        <f>((PUCFD!E270*(1+PUCFD!E$10))*(1+PUCFD!E$16))</f>
        <v>1.0973403E-2</v>
      </c>
    </row>
    <row r="286" spans="2:9" s="946" customFormat="1" ht="24.95" customHeight="1" x14ac:dyDescent="0.25">
      <c r="B286" s="963">
        <v>59400</v>
      </c>
      <c r="C286" s="964">
        <v>333909200000000</v>
      </c>
      <c r="D286" s="963" t="s">
        <v>3328</v>
      </c>
      <c r="E286" s="954"/>
      <c r="F286" s="960">
        <v>1</v>
      </c>
      <c r="G286" s="963">
        <v>0</v>
      </c>
      <c r="H286" s="950"/>
      <c r="I286" s="961">
        <f>((PUCFD!E271*(1+PUCFD!E$10))*(1+PUCFD!E$16))</f>
        <v>1.0973403E-2</v>
      </c>
    </row>
    <row r="287" spans="2:9" s="946" customFormat="1" ht="24.95" customHeight="1" x14ac:dyDescent="0.25">
      <c r="B287" s="963">
        <v>59500</v>
      </c>
      <c r="C287" s="964">
        <v>333909300000000</v>
      </c>
      <c r="D287" s="963" t="s">
        <v>3329</v>
      </c>
      <c r="E287" s="954"/>
      <c r="F287" s="960">
        <v>1</v>
      </c>
      <c r="G287" s="963">
        <v>0</v>
      </c>
      <c r="H287" s="950"/>
      <c r="I287" s="961">
        <f>((PUCFD!E272*(1+PUCFD!E$10))*(1+PUCFD!E$16))</f>
        <v>1.0973403E-2</v>
      </c>
    </row>
    <row r="288" spans="2:9" s="946" customFormat="1" ht="24.95" customHeight="1" x14ac:dyDescent="0.25">
      <c r="B288" s="963">
        <v>59600</v>
      </c>
      <c r="C288" s="964">
        <v>333933000000000</v>
      </c>
      <c r="D288" s="963" t="s">
        <v>3330</v>
      </c>
      <c r="E288" s="954"/>
      <c r="F288" s="960">
        <v>1</v>
      </c>
      <c r="G288" s="963">
        <v>0</v>
      </c>
      <c r="H288" s="950"/>
      <c r="I288" s="961">
        <f>((PUCFD!E273*(1+PUCFD!E$10))*(1+PUCFD!E$16))</f>
        <v>1.0973403E-2</v>
      </c>
    </row>
    <row r="289" spans="1:9" s="946" customFormat="1" ht="24.95" customHeight="1" x14ac:dyDescent="0.25">
      <c r="B289" s="963">
        <v>59700</v>
      </c>
      <c r="C289" s="964">
        <v>344905100000000</v>
      </c>
      <c r="D289" s="963" t="s">
        <v>3271</v>
      </c>
      <c r="E289" s="954"/>
      <c r="F289" s="960">
        <v>1</v>
      </c>
      <c r="G289" s="963">
        <v>0</v>
      </c>
      <c r="H289" s="950"/>
      <c r="I289" s="961">
        <f>((PUCFD!E274*(1+PUCFD!E$10))*(1+PUCFD!E$16))</f>
        <v>1.0973403E-2</v>
      </c>
    </row>
    <row r="290" spans="1:9" s="946" customFormat="1" ht="24.95" customHeight="1" x14ac:dyDescent="0.25">
      <c r="B290" s="963">
        <v>59800</v>
      </c>
      <c r="C290" s="964">
        <v>344905200000000</v>
      </c>
      <c r="D290" s="963" t="s">
        <v>3331</v>
      </c>
      <c r="E290" s="954"/>
      <c r="F290" s="960">
        <v>1</v>
      </c>
      <c r="G290" s="963">
        <v>0</v>
      </c>
      <c r="H290" s="950"/>
      <c r="I290" s="961">
        <f>SUM(I291)</f>
        <v>1.0973403E-2</v>
      </c>
    </row>
    <row r="291" spans="1:9" ht="45" customHeight="1" x14ac:dyDescent="0.25">
      <c r="B291" s="973" t="s">
        <v>3332</v>
      </c>
      <c r="C291" s="974">
        <v>344905235000000</v>
      </c>
      <c r="D291" s="973" t="s">
        <v>3333</v>
      </c>
      <c r="E291" s="948" t="s">
        <v>3347</v>
      </c>
      <c r="F291" s="975">
        <v>1</v>
      </c>
      <c r="G291" s="973">
        <v>0</v>
      </c>
      <c r="H291" s="950">
        <v>2310</v>
      </c>
      <c r="I291" s="976">
        <f>((PUCFD!E275*(1+PUCFD!E$10))*(1+PUCFD!E$16))</f>
        <v>1.0973403E-2</v>
      </c>
    </row>
    <row r="292" spans="1:9" ht="15" customHeight="1" x14ac:dyDescent="0.25">
      <c r="A292" s="958"/>
      <c r="B292" s="962" t="s">
        <v>3138</v>
      </c>
      <c r="C292" s="959">
        <v>4</v>
      </c>
      <c r="D292" s="962" t="s">
        <v>3142</v>
      </c>
      <c r="E292" s="954"/>
      <c r="F292" s="960"/>
      <c r="G292" s="958"/>
      <c r="H292" s="958"/>
      <c r="I292" s="961">
        <f>I293</f>
        <v>1337.3834906249999</v>
      </c>
    </row>
    <row r="293" spans="1:9" ht="15" customHeight="1" x14ac:dyDescent="0.25">
      <c r="A293" s="958"/>
      <c r="B293" s="962" t="s">
        <v>3139</v>
      </c>
      <c r="C293" s="959">
        <v>126</v>
      </c>
      <c r="D293" s="962" t="s">
        <v>3600</v>
      </c>
      <c r="E293" s="954"/>
      <c r="F293" s="960"/>
      <c r="G293" s="958"/>
      <c r="H293" s="958"/>
      <c r="I293" s="961">
        <f>I294</f>
        <v>1337.3834906249999</v>
      </c>
    </row>
    <row r="294" spans="1:9" ht="15" customHeight="1" x14ac:dyDescent="0.25">
      <c r="A294" s="958"/>
      <c r="B294" s="962" t="s">
        <v>3137</v>
      </c>
      <c r="C294" s="959">
        <v>22</v>
      </c>
      <c r="D294" s="962" t="s">
        <v>3265</v>
      </c>
      <c r="E294" s="954"/>
      <c r="F294" s="960"/>
      <c r="G294" s="958"/>
      <c r="H294" s="958"/>
      <c r="I294" s="961">
        <f>I295</f>
        <v>1337.3834906249999</v>
      </c>
    </row>
    <row r="295" spans="1:9" s="946" customFormat="1" ht="24.95" customHeight="1" x14ac:dyDescent="0.25">
      <c r="B295" s="963" t="s">
        <v>2965</v>
      </c>
      <c r="C295" s="959">
        <v>2032</v>
      </c>
      <c r="D295" s="963" t="s">
        <v>3334</v>
      </c>
      <c r="E295" s="954"/>
      <c r="F295" s="955"/>
      <c r="H295" s="956"/>
      <c r="I295" s="957">
        <f>I296</f>
        <v>1337.3834906249999</v>
      </c>
    </row>
    <row r="296" spans="1:9" s="946" customFormat="1" ht="33.75" customHeight="1" x14ac:dyDescent="0.25">
      <c r="B296" s="963">
        <v>59850</v>
      </c>
      <c r="C296" s="964">
        <v>333904000000000</v>
      </c>
      <c r="D296" s="963" t="s">
        <v>5970</v>
      </c>
      <c r="E296" s="954"/>
      <c r="F296" s="960">
        <v>1</v>
      </c>
      <c r="G296" s="963">
        <v>0</v>
      </c>
      <c r="H296" s="950"/>
      <c r="I296" s="961">
        <f>SUM(I297,I298,I299,I300)</f>
        <v>1337.3834906249999</v>
      </c>
    </row>
    <row r="297" spans="1:9" ht="24.95" customHeight="1" x14ac:dyDescent="0.25">
      <c r="A297" s="972"/>
      <c r="B297" s="973" t="s">
        <v>3606</v>
      </c>
      <c r="C297" s="974">
        <v>333904006000000</v>
      </c>
      <c r="D297" s="973" t="s">
        <v>3044</v>
      </c>
      <c r="E297" s="948">
        <v>332311000000000</v>
      </c>
      <c r="F297" s="975">
        <v>1</v>
      </c>
      <c r="G297" s="973">
        <v>0</v>
      </c>
      <c r="H297" s="972">
        <v>0</v>
      </c>
      <c r="I297" s="976">
        <f>((PUCFD!E280*(1+PUCFD!E$10))*(1+PUCFD!E$16))</f>
        <v>1.0973403E-2</v>
      </c>
    </row>
    <row r="298" spans="1:9" ht="24.95" customHeight="1" x14ac:dyDescent="0.25">
      <c r="A298" s="972"/>
      <c r="B298" s="973" t="s">
        <v>3607</v>
      </c>
      <c r="C298" s="974">
        <v>333904011000000</v>
      </c>
      <c r="D298" s="973" t="s">
        <v>5924</v>
      </c>
      <c r="E298" s="948">
        <v>332311100000000</v>
      </c>
      <c r="F298" s="975">
        <v>1</v>
      </c>
      <c r="G298" s="973">
        <v>0</v>
      </c>
      <c r="H298" s="972">
        <v>0</v>
      </c>
      <c r="I298" s="976">
        <f>((PUCFD!E281*(1+PUCFD!E$10))*(1+PUCFD!E$16))</f>
        <v>1.0973403E-2</v>
      </c>
    </row>
    <row r="299" spans="1:9" ht="24.95" customHeight="1" x14ac:dyDescent="0.25">
      <c r="A299" s="972"/>
      <c r="B299" s="973" t="s">
        <v>3608</v>
      </c>
      <c r="C299" s="974">
        <v>333904012000000</v>
      </c>
      <c r="D299" s="973" t="s">
        <v>5926</v>
      </c>
      <c r="E299" s="948">
        <v>332311100000000</v>
      </c>
      <c r="F299" s="975">
        <v>1</v>
      </c>
      <c r="G299" s="973">
        <v>0</v>
      </c>
      <c r="H299" s="972">
        <v>0</v>
      </c>
      <c r="I299" s="976">
        <f>((PUCFD!E282*(1+PUCFD!E$10))*(1+PUCFD!E$16))</f>
        <v>1.0973403E-2</v>
      </c>
    </row>
    <row r="300" spans="1:9" ht="24.95" customHeight="1" x14ac:dyDescent="0.25">
      <c r="A300" s="972"/>
      <c r="B300" s="973" t="s">
        <v>3361</v>
      </c>
      <c r="C300" s="974">
        <v>333904099000000</v>
      </c>
      <c r="D300" s="973" t="s">
        <v>5928</v>
      </c>
      <c r="E300" s="948">
        <v>332311100000000</v>
      </c>
      <c r="F300" s="975">
        <v>1</v>
      </c>
      <c r="G300" s="973">
        <v>0</v>
      </c>
      <c r="H300" s="972">
        <v>0</v>
      </c>
      <c r="I300" s="976">
        <f>((PUCFD!E283*(1+PUCFD!E$10))*(1+PUCFD!E$16))</f>
        <v>1337.350570416</v>
      </c>
    </row>
    <row r="301" spans="1:9" ht="24.95" customHeight="1" x14ac:dyDescent="0.25">
      <c r="A301" s="972"/>
      <c r="B301" s="962" t="s">
        <v>3138</v>
      </c>
      <c r="C301" s="959">
        <v>4</v>
      </c>
      <c r="D301" s="962" t="s">
        <v>3142</v>
      </c>
      <c r="E301" s="954"/>
      <c r="F301" s="960"/>
      <c r="G301" s="958"/>
      <c r="H301" s="958"/>
      <c r="I301" s="961">
        <f>I302</f>
        <v>0.03</v>
      </c>
    </row>
    <row r="302" spans="1:9" ht="24.95" customHeight="1" x14ac:dyDescent="0.25">
      <c r="A302" s="972"/>
      <c r="B302" s="962" t="s">
        <v>3139</v>
      </c>
      <c r="C302" s="959">
        <v>128</v>
      </c>
      <c r="D302" s="962" t="s">
        <v>5104</v>
      </c>
      <c r="E302" s="954"/>
      <c r="F302" s="960"/>
      <c r="G302" s="958"/>
      <c r="H302" s="958"/>
      <c r="I302" s="961">
        <f>I304</f>
        <v>0.03</v>
      </c>
    </row>
    <row r="303" spans="1:9" ht="24.95" customHeight="1" x14ac:dyDescent="0.25">
      <c r="A303" s="972"/>
      <c r="B303" s="962" t="s">
        <v>3137</v>
      </c>
      <c r="C303" s="959">
        <v>22</v>
      </c>
      <c r="D303" s="962" t="s">
        <v>3265</v>
      </c>
      <c r="E303" s="954"/>
      <c r="F303" s="960"/>
      <c r="G303" s="958"/>
      <c r="H303" s="958"/>
      <c r="I303" s="961">
        <f>I304</f>
        <v>0.03</v>
      </c>
    </row>
    <row r="304" spans="1:9" ht="24.95" customHeight="1" x14ac:dyDescent="0.25">
      <c r="A304" s="972"/>
      <c r="B304" s="963" t="s">
        <v>2965</v>
      </c>
      <c r="C304" s="959">
        <v>2032</v>
      </c>
      <c r="D304" s="963" t="s">
        <v>3334</v>
      </c>
      <c r="E304" s="954"/>
      <c r="F304" s="960"/>
      <c r="G304" s="963"/>
      <c r="H304" s="958"/>
      <c r="I304" s="957">
        <f>SUM(I305:I307)</f>
        <v>0.03</v>
      </c>
    </row>
    <row r="305" spans="1:9" ht="24.95" customHeight="1" x14ac:dyDescent="0.25">
      <c r="A305" s="972"/>
      <c r="B305" s="973">
        <v>59870</v>
      </c>
      <c r="C305" s="974">
        <v>333901400000000</v>
      </c>
      <c r="D305" s="973" t="s">
        <v>5727</v>
      </c>
      <c r="E305" s="954"/>
      <c r="F305" s="949">
        <v>1</v>
      </c>
      <c r="G305" s="945">
        <v>0</v>
      </c>
      <c r="H305" s="950">
        <v>0</v>
      </c>
      <c r="I305" s="951">
        <f>PUCFD!E285</f>
        <v>0.01</v>
      </c>
    </row>
    <row r="306" spans="1:9" ht="39.75" customHeight="1" x14ac:dyDescent="0.25">
      <c r="A306" s="972"/>
      <c r="B306" s="973">
        <v>59880</v>
      </c>
      <c r="C306" s="974">
        <v>333903300000000</v>
      </c>
      <c r="D306" s="973" t="s">
        <v>5726</v>
      </c>
      <c r="E306" s="954"/>
      <c r="F306" s="949">
        <v>1</v>
      </c>
      <c r="G306" s="945">
        <v>0</v>
      </c>
      <c r="H306" s="950">
        <v>0</v>
      </c>
      <c r="I306" s="951">
        <f>PUCFD!E286</f>
        <v>0.01</v>
      </c>
    </row>
    <row r="307" spans="1:9" ht="30.75" customHeight="1" x14ac:dyDescent="0.25">
      <c r="A307" s="972"/>
      <c r="B307" s="973">
        <v>59900</v>
      </c>
      <c r="C307" s="974">
        <v>333903900000000</v>
      </c>
      <c r="D307" s="973" t="s">
        <v>5728</v>
      </c>
      <c r="E307" s="954"/>
      <c r="F307" s="949">
        <v>1</v>
      </c>
      <c r="G307" s="945">
        <v>0</v>
      </c>
      <c r="H307" s="950">
        <v>0</v>
      </c>
      <c r="I307" s="951">
        <f>PUCFD!E287</f>
        <v>0.01</v>
      </c>
    </row>
    <row r="308" spans="1:9" ht="15" customHeight="1" x14ac:dyDescent="0.25">
      <c r="A308" s="958"/>
      <c r="B308" s="962" t="s">
        <v>3138</v>
      </c>
      <c r="C308" s="959">
        <v>4</v>
      </c>
      <c r="D308" s="962" t="s">
        <v>3142</v>
      </c>
      <c r="E308" s="954"/>
      <c r="F308" s="960"/>
      <c r="G308" s="958"/>
      <c r="H308" s="958"/>
      <c r="I308" s="961">
        <f>I309</f>
        <v>1678.5411031935</v>
      </c>
    </row>
    <row r="309" spans="1:9" ht="15" customHeight="1" x14ac:dyDescent="0.25">
      <c r="A309" s="958"/>
      <c r="B309" s="962" t="s">
        <v>3139</v>
      </c>
      <c r="C309" s="959">
        <v>126</v>
      </c>
      <c r="D309" s="962" t="s">
        <v>3600</v>
      </c>
      <c r="E309" s="954"/>
      <c r="F309" s="960"/>
      <c r="G309" s="958"/>
      <c r="H309" s="958"/>
      <c r="I309" s="961">
        <f>I310</f>
        <v>1678.5411031935</v>
      </c>
    </row>
    <row r="310" spans="1:9" ht="15" customHeight="1" x14ac:dyDescent="0.25">
      <c r="A310" s="958"/>
      <c r="B310" s="962" t="s">
        <v>3137</v>
      </c>
      <c r="C310" s="959">
        <v>22</v>
      </c>
      <c r="D310" s="962" t="s">
        <v>3265</v>
      </c>
      <c r="E310" s="954"/>
      <c r="F310" s="960"/>
      <c r="G310" s="958"/>
      <c r="H310" s="958"/>
      <c r="I310" s="961">
        <f>I311</f>
        <v>1678.5411031935</v>
      </c>
    </row>
    <row r="311" spans="1:9" ht="24.95" customHeight="1" x14ac:dyDescent="0.25">
      <c r="B311" s="963" t="s">
        <v>2965</v>
      </c>
      <c r="C311" s="959">
        <v>30</v>
      </c>
      <c r="D311" s="963" t="s">
        <v>3234</v>
      </c>
      <c r="I311" s="957">
        <f>I312</f>
        <v>1678.5411031935</v>
      </c>
    </row>
    <row r="312" spans="1:9" s="946" customFormat="1" ht="33.75" customHeight="1" x14ac:dyDescent="0.25">
      <c r="B312" s="963">
        <v>59920</v>
      </c>
      <c r="C312" s="964">
        <v>333904000000000</v>
      </c>
      <c r="D312" s="963" t="s">
        <v>5971</v>
      </c>
      <c r="E312" s="954"/>
      <c r="F312" s="960">
        <v>1</v>
      </c>
      <c r="G312" s="963">
        <v>0</v>
      </c>
      <c r="H312" s="950"/>
      <c r="I312" s="961">
        <f>SUM(I313,I314,I315)</f>
        <v>1678.5411031935</v>
      </c>
    </row>
    <row r="313" spans="1:9" ht="24.95" customHeight="1" x14ac:dyDescent="0.25">
      <c r="A313" s="972"/>
      <c r="B313" s="973" t="s">
        <v>5729</v>
      </c>
      <c r="C313" s="974">
        <v>333904011000000</v>
      </c>
      <c r="D313" s="973" t="s">
        <v>5924</v>
      </c>
      <c r="E313" s="948">
        <v>332311100000000</v>
      </c>
      <c r="F313" s="975">
        <v>1</v>
      </c>
      <c r="G313" s="973">
        <v>0</v>
      </c>
      <c r="H313" s="972">
        <v>0</v>
      </c>
      <c r="I313" s="976">
        <f>((PUCFD!E292*(1+PUCFD!E$10))*(1+PUCFD!E$16))</f>
        <v>1.0973403E-2</v>
      </c>
    </row>
    <row r="314" spans="1:9" ht="24.95" customHeight="1" x14ac:dyDescent="0.25">
      <c r="A314" s="972"/>
      <c r="B314" s="973" t="s">
        <v>5730</v>
      </c>
      <c r="C314" s="974">
        <v>333904012000000</v>
      </c>
      <c r="D314" s="973" t="s">
        <v>5926</v>
      </c>
      <c r="E314" s="948">
        <v>332311100000000</v>
      </c>
      <c r="F314" s="975">
        <v>1</v>
      </c>
      <c r="G314" s="973">
        <v>0</v>
      </c>
      <c r="H314" s="972">
        <v>0</v>
      </c>
      <c r="I314" s="976">
        <f>((PUCFD!E293*(1+PUCFD!E$10))*(1+PUCFD!E$16))</f>
        <v>1678.5191563875001</v>
      </c>
    </row>
    <row r="315" spans="1:9" ht="24.95" customHeight="1" x14ac:dyDescent="0.25">
      <c r="A315" s="972"/>
      <c r="B315" s="973" t="s">
        <v>5731</v>
      </c>
      <c r="C315" s="974">
        <v>333904099000000</v>
      </c>
      <c r="D315" s="973" t="s">
        <v>5928</v>
      </c>
      <c r="E315" s="948">
        <v>332311100000000</v>
      </c>
      <c r="F315" s="975">
        <v>1</v>
      </c>
      <c r="G315" s="973">
        <v>0</v>
      </c>
      <c r="H315" s="972">
        <v>0</v>
      </c>
      <c r="I315" s="976">
        <f>((PUCFD!E294*(1+PUCFD!E$10))*(1+PUCFD!E$16))</f>
        <v>1.0973403E-2</v>
      </c>
    </row>
    <row r="316" spans="1:9" ht="15" customHeight="1" x14ac:dyDescent="0.25">
      <c r="A316" s="958"/>
      <c r="B316" s="962" t="s">
        <v>3138</v>
      </c>
      <c r="C316" s="959">
        <v>4</v>
      </c>
      <c r="D316" s="962" t="s">
        <v>3142</v>
      </c>
      <c r="E316" s="954"/>
      <c r="F316" s="960"/>
      <c r="G316" s="958"/>
      <c r="H316" s="958"/>
      <c r="I316" s="961">
        <f>I317</f>
        <v>22118.708544803154</v>
      </c>
    </row>
    <row r="317" spans="1:9" ht="15" customHeight="1" x14ac:dyDescent="0.25">
      <c r="A317" s="958"/>
      <c r="B317" s="962" t="s">
        <v>3139</v>
      </c>
      <c r="C317" s="959">
        <v>181</v>
      </c>
      <c r="D317" s="962" t="s">
        <v>3266</v>
      </c>
      <c r="E317" s="954"/>
      <c r="F317" s="960"/>
      <c r="G317" s="958"/>
      <c r="H317" s="958"/>
      <c r="I317" s="961">
        <f>I318</f>
        <v>22118.708544803154</v>
      </c>
    </row>
    <row r="318" spans="1:9" ht="15" customHeight="1" x14ac:dyDescent="0.25">
      <c r="A318" s="958"/>
      <c r="B318" s="962" t="s">
        <v>3137</v>
      </c>
      <c r="C318" s="959">
        <v>22</v>
      </c>
      <c r="D318" s="962" t="s">
        <v>3265</v>
      </c>
      <c r="E318" s="954"/>
      <c r="F318" s="960"/>
      <c r="G318" s="958"/>
      <c r="H318" s="958"/>
      <c r="I318" s="961">
        <f>I319</f>
        <v>22118.708544803154</v>
      </c>
    </row>
    <row r="319" spans="1:9" ht="24.95" customHeight="1" x14ac:dyDescent="0.25">
      <c r="B319" s="963" t="s">
        <v>2965</v>
      </c>
      <c r="C319" s="959">
        <v>30</v>
      </c>
      <c r="D319" s="963" t="s">
        <v>3234</v>
      </c>
      <c r="I319" s="957">
        <f>SUM(I320,I327,I329,I335,I336,I337)</f>
        <v>22118.708544803154</v>
      </c>
    </row>
    <row r="320" spans="1:9" s="946" customFormat="1" ht="24.95" customHeight="1" x14ac:dyDescent="0.25">
      <c r="B320" s="963">
        <v>5400</v>
      </c>
      <c r="C320" s="964">
        <v>333903000000000</v>
      </c>
      <c r="D320" s="963" t="s">
        <v>5732</v>
      </c>
      <c r="E320" s="954"/>
      <c r="F320" s="960">
        <v>1</v>
      </c>
      <c r="G320" s="963">
        <v>0</v>
      </c>
      <c r="H320" s="950"/>
      <c r="I320" s="961">
        <f>((PUCFD!E296*(1+PUCFD!E$10))*(1+PUCFD!E$16))*(1+PUCFD!E18)*(1+PUCFD!E19)</f>
        <v>2974.162179908149</v>
      </c>
    </row>
    <row r="321" spans="2:9" ht="24.95" customHeight="1" x14ac:dyDescent="0.25">
      <c r="B321" s="973" t="s">
        <v>3235</v>
      </c>
      <c r="C321" s="974">
        <v>333903024000000</v>
      </c>
      <c r="D321" s="973" t="s">
        <v>3015</v>
      </c>
      <c r="E321" s="948">
        <v>331112400000000</v>
      </c>
      <c r="F321" s="975">
        <v>1</v>
      </c>
      <c r="G321" s="973">
        <v>0</v>
      </c>
      <c r="H321" s="950">
        <v>736</v>
      </c>
      <c r="I321" s="976">
        <f>((PUCFD!E297*(1+PUCFD!E$10))*(1+PUCFD!E$16))</f>
        <v>0</v>
      </c>
    </row>
    <row r="322" spans="2:9" ht="24.95" customHeight="1" x14ac:dyDescent="0.25">
      <c r="B322" s="973" t="s">
        <v>3236</v>
      </c>
      <c r="C322" s="974">
        <v>333903007000000</v>
      </c>
      <c r="D322" s="973" t="s">
        <v>3013</v>
      </c>
      <c r="E322" s="948">
        <v>331110600000000</v>
      </c>
      <c r="F322" s="975">
        <v>1</v>
      </c>
      <c r="G322" s="973">
        <v>0</v>
      </c>
      <c r="H322" s="950">
        <v>2288</v>
      </c>
      <c r="I322" s="976">
        <f>((PUCFD!E298*(1+PUCFD!E$10))*(1+PUCFD!E$16))</f>
        <v>0</v>
      </c>
    </row>
    <row r="323" spans="2:9" ht="24.95" customHeight="1" x14ac:dyDescent="0.25">
      <c r="B323" s="973" t="s">
        <v>3237</v>
      </c>
      <c r="C323" s="974">
        <v>333903026000000</v>
      </c>
      <c r="D323" s="973" t="s">
        <v>3238</v>
      </c>
      <c r="E323" s="948">
        <v>331112600000000</v>
      </c>
      <c r="F323" s="975">
        <v>1</v>
      </c>
      <c r="G323" s="973">
        <v>0</v>
      </c>
      <c r="H323" s="950">
        <v>734</v>
      </c>
      <c r="I323" s="976">
        <f>((PUCFD!E299*(1+PUCFD!E$10))*(1+PUCFD!E$16))</f>
        <v>0</v>
      </c>
    </row>
    <row r="324" spans="2:9" ht="24.95" customHeight="1" x14ac:dyDescent="0.25">
      <c r="B324" s="973" t="s">
        <v>3239</v>
      </c>
      <c r="C324" s="974">
        <v>333903099000000</v>
      </c>
      <c r="D324" s="973" t="s">
        <v>3240</v>
      </c>
      <c r="E324" s="948">
        <v>331119900000000</v>
      </c>
      <c r="F324" s="975">
        <v>1</v>
      </c>
      <c r="G324" s="973">
        <v>0</v>
      </c>
      <c r="H324" s="950">
        <v>128</v>
      </c>
      <c r="I324" s="976">
        <f>((PUCFD!E300*(1+PUCFD!E$10))*(1+PUCFD!E$16))</f>
        <v>0</v>
      </c>
    </row>
    <row r="325" spans="2:9" ht="24.95" customHeight="1" x14ac:dyDescent="0.25">
      <c r="B325" s="973" t="s">
        <v>3241</v>
      </c>
      <c r="C325" s="974">
        <v>333903004000000</v>
      </c>
      <c r="D325" s="973" t="s">
        <v>3242</v>
      </c>
      <c r="E325" s="948">
        <v>331110600000000</v>
      </c>
      <c r="F325" s="975">
        <v>1</v>
      </c>
      <c r="G325" s="973">
        <v>0</v>
      </c>
      <c r="H325" s="950">
        <v>2291</v>
      </c>
      <c r="I325" s="976">
        <f>((PUCFD!E301*(1+PUCFD!E$10))*(1+PUCFD!E$16))*(1+PUCFD!E$19)</f>
        <v>0</v>
      </c>
    </row>
    <row r="326" spans="2:9" ht="24.95" customHeight="1" x14ac:dyDescent="0.25">
      <c r="B326" s="973" t="s">
        <v>3243</v>
      </c>
      <c r="C326" s="974">
        <v>333903039330000</v>
      </c>
      <c r="D326" s="973" t="s">
        <v>3244</v>
      </c>
      <c r="E326" s="948">
        <v>331113900000000</v>
      </c>
      <c r="F326" s="975">
        <v>1</v>
      </c>
      <c r="G326" s="973">
        <v>0</v>
      </c>
      <c r="H326" s="950">
        <v>125</v>
      </c>
      <c r="I326" s="976">
        <f>((PUCFD!E302*(1+PUCFD!E$10))*(1+PUCFD!E$16))</f>
        <v>0</v>
      </c>
    </row>
    <row r="327" spans="2:9" s="946" customFormat="1" ht="24.95" customHeight="1" x14ac:dyDescent="0.25">
      <c r="B327" s="963">
        <v>5500</v>
      </c>
      <c r="C327" s="964">
        <v>333903600000000</v>
      </c>
      <c r="D327" s="963" t="s">
        <v>5733</v>
      </c>
      <c r="E327" s="954"/>
      <c r="F327" s="960">
        <v>1</v>
      </c>
      <c r="G327" s="963">
        <v>0</v>
      </c>
      <c r="H327" s="950"/>
      <c r="I327" s="1332">
        <f>((PUCFD!E303*(1+PUCFD!E$10))*(1+PUCFD!E$16))</f>
        <v>13218.875824686</v>
      </c>
    </row>
    <row r="328" spans="2:9" ht="24.95" customHeight="1" x14ac:dyDescent="0.25">
      <c r="B328" s="973" t="s">
        <v>3245</v>
      </c>
      <c r="C328" s="974">
        <v>333903615000000</v>
      </c>
      <c r="D328" s="973" t="s">
        <v>3246</v>
      </c>
      <c r="E328" s="948">
        <v>332212100000000</v>
      </c>
      <c r="F328" s="975">
        <v>1</v>
      </c>
      <c r="G328" s="973">
        <v>0</v>
      </c>
      <c r="H328" s="950">
        <v>121</v>
      </c>
      <c r="I328" s="976">
        <v>0</v>
      </c>
    </row>
    <row r="329" spans="2:9" s="946" customFormat="1" ht="24.95" customHeight="1" x14ac:dyDescent="0.25">
      <c r="B329" s="963">
        <v>5600</v>
      </c>
      <c r="C329" s="964">
        <v>333903900000000</v>
      </c>
      <c r="D329" s="963" t="s">
        <v>5734</v>
      </c>
      <c r="E329" s="954"/>
      <c r="F329" s="960">
        <v>1</v>
      </c>
      <c r="G329" s="963">
        <v>0</v>
      </c>
      <c r="H329" s="950"/>
      <c r="I329" s="961">
        <f>((PUCFD!E305*(1+PUCFD!E$10))*(1+PUCFD!E$16))</f>
        <v>5925.6376199999995</v>
      </c>
    </row>
    <row r="330" spans="2:9" ht="24.95" customHeight="1" x14ac:dyDescent="0.25">
      <c r="B330" s="973" t="s">
        <v>3247</v>
      </c>
      <c r="C330" s="974">
        <v>333903943000000</v>
      </c>
      <c r="D330" s="973" t="s">
        <v>3248</v>
      </c>
      <c r="E330" s="948">
        <v>332310800000000</v>
      </c>
      <c r="F330" s="975">
        <v>1</v>
      </c>
      <c r="G330" s="973">
        <v>0</v>
      </c>
      <c r="H330" s="950">
        <v>1894</v>
      </c>
      <c r="I330" s="976">
        <f>((PUCFD!E306*(1+PUCFD!E$10))*(1+PUCFD!E$16))</f>
        <v>0</v>
      </c>
    </row>
    <row r="331" spans="2:9" ht="24.95" customHeight="1" x14ac:dyDescent="0.25">
      <c r="B331" s="973" t="s">
        <v>3249</v>
      </c>
      <c r="C331" s="974">
        <v>333903944000000</v>
      </c>
      <c r="D331" s="973" t="s">
        <v>3250</v>
      </c>
      <c r="E331" s="948">
        <v>332310800000000</v>
      </c>
      <c r="F331" s="975">
        <v>1</v>
      </c>
      <c r="G331" s="973">
        <v>0</v>
      </c>
      <c r="H331" s="950">
        <v>124</v>
      </c>
      <c r="I331" s="976">
        <f>((PUCFD!E307*(1+PUCFD!E$10))*(1+PUCFD!E$16))</f>
        <v>0</v>
      </c>
    </row>
    <row r="332" spans="2:9" ht="24.95" customHeight="1" x14ac:dyDescent="0.25">
      <c r="B332" s="973" t="s">
        <v>3251</v>
      </c>
      <c r="C332" s="974">
        <v>333903919200000</v>
      </c>
      <c r="D332" s="973" t="s">
        <v>3252</v>
      </c>
      <c r="E332" s="948">
        <v>332310600000000</v>
      </c>
      <c r="F332" s="975">
        <v>1</v>
      </c>
      <c r="G332" s="973">
        <v>0</v>
      </c>
      <c r="H332" s="950">
        <v>126</v>
      </c>
      <c r="I332" s="976">
        <f>((PUCFD!E308*(1+PUCFD!E$10))*(1+PUCFD!E$16))</f>
        <v>0</v>
      </c>
    </row>
    <row r="333" spans="2:9" ht="24.95" customHeight="1" x14ac:dyDescent="0.25">
      <c r="B333" s="973" t="s">
        <v>3253</v>
      </c>
      <c r="C333" s="974">
        <v>333903905000000</v>
      </c>
      <c r="D333" s="973" t="s">
        <v>3254</v>
      </c>
      <c r="E333" s="948">
        <v>332315100000000</v>
      </c>
      <c r="F333" s="975">
        <v>1</v>
      </c>
      <c r="G333" s="973">
        <v>0</v>
      </c>
      <c r="H333" s="950" t="s">
        <v>3353</v>
      </c>
      <c r="I333" s="976">
        <f>((PUCFD!E309*(1+PUCFD!E$10))*(1+PUCFD!E$16))</f>
        <v>0</v>
      </c>
    </row>
    <row r="334" spans="2:9" ht="24.95" customHeight="1" x14ac:dyDescent="0.25">
      <c r="B334" s="973" t="s">
        <v>3255</v>
      </c>
      <c r="C334" s="974">
        <v>333903974000000</v>
      </c>
      <c r="D334" s="973" t="s">
        <v>3256</v>
      </c>
      <c r="E334" s="948">
        <v>332319900000000</v>
      </c>
      <c r="F334" s="975">
        <v>1</v>
      </c>
      <c r="G334" s="973">
        <v>0</v>
      </c>
      <c r="H334" s="950">
        <v>2278</v>
      </c>
      <c r="I334" s="976">
        <f>((PUCFD!E310*(1+PUCFD!E$10))*(1+PUCFD!E$16))</f>
        <v>0</v>
      </c>
    </row>
    <row r="335" spans="2:9" s="946" customFormat="1" ht="32.25" customHeight="1" x14ac:dyDescent="0.25">
      <c r="B335" s="963">
        <v>5700</v>
      </c>
      <c r="C335" s="964">
        <v>333904700000000</v>
      </c>
      <c r="D335" s="963" t="s">
        <v>5735</v>
      </c>
      <c r="E335" s="954"/>
      <c r="F335" s="960">
        <v>1</v>
      </c>
      <c r="G335" s="963">
        <v>0</v>
      </c>
      <c r="H335" s="950"/>
      <c r="I335" s="961">
        <f>((PUCFD!E311*(1+PUCFD!E$10))*(1+PUCFD!E$16))</f>
        <v>1.0973403E-2</v>
      </c>
    </row>
    <row r="336" spans="2:9" s="946" customFormat="1" ht="24.95" customHeight="1" x14ac:dyDescent="0.25">
      <c r="B336" s="963">
        <v>5800</v>
      </c>
      <c r="C336" s="964">
        <v>344905100000000</v>
      </c>
      <c r="D336" s="963" t="s">
        <v>5736</v>
      </c>
      <c r="E336" s="954"/>
      <c r="F336" s="960">
        <v>1</v>
      </c>
      <c r="G336" s="963">
        <v>0</v>
      </c>
      <c r="H336" s="950"/>
      <c r="I336" s="961">
        <f>((PUCFD!E312*(1+PUCFD!E$10))*(1+PUCFD!E$16))</f>
        <v>1.0973403E-2</v>
      </c>
    </row>
    <row r="337" spans="1:9" s="946" customFormat="1" ht="24.95" customHeight="1" x14ac:dyDescent="0.25">
      <c r="B337" s="963">
        <v>5900</v>
      </c>
      <c r="C337" s="964">
        <v>344905200000000</v>
      </c>
      <c r="D337" s="963" t="s">
        <v>5737</v>
      </c>
      <c r="E337" s="954"/>
      <c r="F337" s="960">
        <v>1</v>
      </c>
      <c r="G337" s="963">
        <v>0</v>
      </c>
      <c r="H337" s="950"/>
      <c r="I337" s="961">
        <f>SUM(I338)</f>
        <v>1.0973403E-2</v>
      </c>
    </row>
    <row r="338" spans="1:9" ht="36" customHeight="1" x14ac:dyDescent="0.25">
      <c r="B338" s="973" t="s">
        <v>3257</v>
      </c>
      <c r="C338" s="974">
        <v>344905235000000</v>
      </c>
      <c r="D338" s="973" t="s">
        <v>3258</v>
      </c>
      <c r="E338" s="948" t="s">
        <v>3347</v>
      </c>
      <c r="F338" s="975">
        <v>1</v>
      </c>
      <c r="G338" s="973">
        <v>0</v>
      </c>
      <c r="H338" s="950">
        <v>127</v>
      </c>
      <c r="I338" s="976">
        <f>((PUCFD!E314*(1+PUCFD!E$10))*(1+PUCFD!E$16))</f>
        <v>1.0973403E-2</v>
      </c>
    </row>
    <row r="339" spans="1:9" ht="24.95" customHeight="1" x14ac:dyDescent="0.25">
      <c r="A339" s="958"/>
      <c r="B339" s="962" t="s">
        <v>3138</v>
      </c>
      <c r="C339" s="959">
        <v>4</v>
      </c>
      <c r="D339" s="962" t="s">
        <v>3142</v>
      </c>
      <c r="E339" s="954"/>
      <c r="F339" s="960"/>
      <c r="G339" s="958"/>
      <c r="H339" s="958"/>
      <c r="I339" s="961">
        <f>I340</f>
        <v>0.03</v>
      </c>
    </row>
    <row r="340" spans="1:9" ht="24.95" customHeight="1" x14ac:dyDescent="0.25">
      <c r="A340" s="958"/>
      <c r="B340" s="962" t="s">
        <v>3139</v>
      </c>
      <c r="C340" s="959">
        <v>128</v>
      </c>
      <c r="D340" s="962" t="s">
        <v>5104</v>
      </c>
      <c r="E340" s="954"/>
      <c r="F340" s="960"/>
      <c r="G340" s="958"/>
      <c r="H340" s="958"/>
      <c r="I340" s="961">
        <f>I342</f>
        <v>0.03</v>
      </c>
    </row>
    <row r="341" spans="1:9" ht="24.95" customHeight="1" x14ac:dyDescent="0.25">
      <c r="A341" s="958"/>
      <c r="B341" s="962" t="s">
        <v>3137</v>
      </c>
      <c r="C341" s="959">
        <v>22</v>
      </c>
      <c r="D341" s="962" t="s">
        <v>3265</v>
      </c>
      <c r="E341" s="954"/>
      <c r="F341" s="960"/>
      <c r="G341" s="958"/>
      <c r="H341" s="958"/>
      <c r="I341" s="961">
        <f>I342</f>
        <v>0.03</v>
      </c>
    </row>
    <row r="342" spans="1:9" s="946" customFormat="1" ht="24.95" customHeight="1" x14ac:dyDescent="0.25">
      <c r="B342" s="963" t="s">
        <v>2965</v>
      </c>
      <c r="C342" s="959">
        <v>31</v>
      </c>
      <c r="D342" s="963" t="s">
        <v>3259</v>
      </c>
      <c r="E342" s="954"/>
      <c r="F342" s="960"/>
      <c r="G342" s="963"/>
      <c r="H342" s="958"/>
      <c r="I342" s="957">
        <f>SUM(I343:I345)</f>
        <v>0.03</v>
      </c>
    </row>
    <row r="343" spans="1:9" s="946" customFormat="1" ht="24.95" customHeight="1" x14ac:dyDescent="0.25">
      <c r="B343" s="973">
        <v>5950</v>
      </c>
      <c r="C343" s="974">
        <v>333901400000000</v>
      </c>
      <c r="D343" s="973" t="s">
        <v>5738</v>
      </c>
      <c r="E343" s="954"/>
      <c r="F343" s="949">
        <v>1</v>
      </c>
      <c r="G343" s="945">
        <v>0</v>
      </c>
      <c r="H343" s="950">
        <v>0</v>
      </c>
      <c r="I343" s="951">
        <f>PUCFD!E317</f>
        <v>0.01</v>
      </c>
    </row>
    <row r="344" spans="1:9" s="946" customFormat="1" ht="38.25" customHeight="1" x14ac:dyDescent="0.25">
      <c r="B344" s="973">
        <v>5960</v>
      </c>
      <c r="C344" s="974">
        <v>333903300000000</v>
      </c>
      <c r="D344" s="973" t="s">
        <v>5739</v>
      </c>
      <c r="E344" s="954"/>
      <c r="F344" s="949">
        <v>1</v>
      </c>
      <c r="G344" s="945">
        <v>0</v>
      </c>
      <c r="H344" s="950">
        <v>0</v>
      </c>
      <c r="I344" s="951">
        <f>PUCFD!E318</f>
        <v>0.01</v>
      </c>
    </row>
    <row r="345" spans="1:9" s="946" customFormat="1" ht="31.5" customHeight="1" x14ac:dyDescent="0.25">
      <c r="B345" s="973">
        <v>5970</v>
      </c>
      <c r="C345" s="974">
        <v>333903900000000</v>
      </c>
      <c r="D345" s="973" t="s">
        <v>5740</v>
      </c>
      <c r="E345" s="954"/>
      <c r="F345" s="949">
        <v>1</v>
      </c>
      <c r="G345" s="945">
        <v>0</v>
      </c>
      <c r="H345" s="950">
        <v>0</v>
      </c>
      <c r="I345" s="951">
        <f>PUCFD!E319</f>
        <v>0.01</v>
      </c>
    </row>
    <row r="346" spans="1:9" ht="15" customHeight="1" x14ac:dyDescent="0.25">
      <c r="A346" s="958"/>
      <c r="B346" s="962" t="s">
        <v>3138</v>
      </c>
      <c r="C346" s="959">
        <v>4</v>
      </c>
      <c r="D346" s="962" t="s">
        <v>3142</v>
      </c>
      <c r="E346" s="954"/>
      <c r="F346" s="960"/>
      <c r="G346" s="958"/>
      <c r="H346" s="958"/>
      <c r="I346" s="961">
        <f>I347</f>
        <v>0.10973402999999998</v>
      </c>
    </row>
    <row r="347" spans="1:9" s="971" customFormat="1" ht="15" customHeight="1" x14ac:dyDescent="0.25">
      <c r="A347" s="981"/>
      <c r="B347" s="982" t="s">
        <v>3139</v>
      </c>
      <c r="C347" s="983">
        <v>181</v>
      </c>
      <c r="D347" s="982" t="s">
        <v>3266</v>
      </c>
      <c r="E347" s="984"/>
      <c r="F347" s="985"/>
      <c r="G347" s="981"/>
      <c r="H347" s="981"/>
      <c r="I347" s="986">
        <f>I348</f>
        <v>0.10973402999999998</v>
      </c>
    </row>
    <row r="348" spans="1:9" ht="15" customHeight="1" x14ac:dyDescent="0.25">
      <c r="A348" s="958"/>
      <c r="B348" s="962" t="s">
        <v>3137</v>
      </c>
      <c r="C348" s="959">
        <v>22</v>
      </c>
      <c r="D348" s="962" t="s">
        <v>3265</v>
      </c>
      <c r="E348" s="954"/>
      <c r="F348" s="960"/>
      <c r="G348" s="958"/>
      <c r="H348" s="958"/>
      <c r="I348" s="961">
        <f>I349</f>
        <v>0.10973402999999998</v>
      </c>
    </row>
    <row r="349" spans="1:9" ht="24.95" customHeight="1" x14ac:dyDescent="0.25">
      <c r="B349" s="963" t="s">
        <v>2965</v>
      </c>
      <c r="C349" s="959">
        <v>31</v>
      </c>
      <c r="D349" s="963" t="s">
        <v>3259</v>
      </c>
      <c r="I349" s="957">
        <f>SUM(I350,I352,I353,I355,I356,I357,I358,I359,I360,I361)</f>
        <v>0.10973402999999998</v>
      </c>
    </row>
    <row r="350" spans="1:9" s="946" customFormat="1" ht="24.95" customHeight="1" x14ac:dyDescent="0.25">
      <c r="B350" s="963">
        <v>5980</v>
      </c>
      <c r="C350" s="964">
        <v>333901400000000</v>
      </c>
      <c r="D350" s="963" t="s">
        <v>5741</v>
      </c>
      <c r="E350" s="954"/>
      <c r="F350" s="960">
        <v>1</v>
      </c>
      <c r="G350" s="963">
        <v>0</v>
      </c>
      <c r="H350" s="950"/>
      <c r="I350" s="961">
        <f>SUM(I351)</f>
        <v>1.0973403E-2</v>
      </c>
    </row>
    <row r="351" spans="1:9" ht="24.95" customHeight="1" x14ac:dyDescent="0.25">
      <c r="B351" s="973" t="s">
        <v>3260</v>
      </c>
      <c r="C351" s="974">
        <v>333901414020000</v>
      </c>
      <c r="D351" s="973" t="s">
        <v>3261</v>
      </c>
      <c r="E351" s="948">
        <v>332110100000000</v>
      </c>
      <c r="F351" s="975">
        <v>1</v>
      </c>
      <c r="G351" s="973">
        <v>0</v>
      </c>
      <c r="H351" s="950">
        <v>131</v>
      </c>
      <c r="I351" s="976">
        <f>((PUCFD!E322*(1+PUCFD!E$10))*(1+PUCFD!E$16))</f>
        <v>1.0973403E-2</v>
      </c>
    </row>
    <row r="352" spans="1:9" s="946" customFormat="1" ht="24.95" customHeight="1" x14ac:dyDescent="0.25">
      <c r="B352" s="963">
        <v>6100</v>
      </c>
      <c r="C352" s="964">
        <v>333903000000000</v>
      </c>
      <c r="D352" s="963" t="s">
        <v>5742</v>
      </c>
      <c r="E352" s="954"/>
      <c r="F352" s="960">
        <v>1</v>
      </c>
      <c r="G352" s="963">
        <v>0</v>
      </c>
      <c r="H352" s="950"/>
      <c r="I352" s="961">
        <f>((PUCFD!E323*(1+PUCFD!E$10))*(1+PUCFD!E$16))</f>
        <v>1.0973403E-2</v>
      </c>
    </row>
    <row r="353" spans="1:9" s="946" customFormat="1" ht="39" customHeight="1" x14ac:dyDescent="0.25">
      <c r="B353" s="963">
        <v>6120</v>
      </c>
      <c r="C353" s="964">
        <v>333903200000000</v>
      </c>
      <c r="D353" s="963" t="s">
        <v>5743</v>
      </c>
      <c r="E353" s="954"/>
      <c r="F353" s="960">
        <v>1</v>
      </c>
      <c r="G353" s="963">
        <v>0</v>
      </c>
      <c r="H353" s="950"/>
      <c r="I353" s="961">
        <f>SUM(I354)</f>
        <v>1.0973403E-2</v>
      </c>
    </row>
    <row r="354" spans="1:9" ht="24.95" customHeight="1" x14ac:dyDescent="0.25">
      <c r="B354" s="973" t="s">
        <v>3263</v>
      </c>
      <c r="C354" s="974">
        <v>333903299050000</v>
      </c>
      <c r="D354" s="973" t="s">
        <v>3264</v>
      </c>
      <c r="E354" s="948">
        <v>331219900000000</v>
      </c>
      <c r="F354" s="975">
        <v>1</v>
      </c>
      <c r="G354" s="973">
        <v>0</v>
      </c>
      <c r="H354" s="950" t="s">
        <v>3354</v>
      </c>
      <c r="I354" s="976">
        <f>((PUCFD!E325*(1+PUCFD!E$10))*(1+PUCFD!E$16))</f>
        <v>1.0973403E-2</v>
      </c>
    </row>
    <row r="355" spans="1:9" s="946" customFormat="1" ht="31.5" customHeight="1" x14ac:dyDescent="0.25">
      <c r="B355" s="963">
        <v>6130</v>
      </c>
      <c r="C355" s="964">
        <v>333903300000000</v>
      </c>
      <c r="D355" s="963" t="s">
        <v>5744</v>
      </c>
      <c r="E355" s="954"/>
      <c r="F355" s="960">
        <v>1</v>
      </c>
      <c r="G355" s="963">
        <v>0</v>
      </c>
      <c r="H355" s="950"/>
      <c r="I355" s="961">
        <f>((PUCFD!E326*(1+PUCFD!E$10))*(1+PUCFD!E$16))</f>
        <v>1.0973403E-2</v>
      </c>
    </row>
    <row r="356" spans="1:9" s="946" customFormat="1" ht="24.95" customHeight="1" x14ac:dyDescent="0.25">
      <c r="B356" s="963">
        <v>6140</v>
      </c>
      <c r="C356" s="964">
        <v>333903600000000</v>
      </c>
      <c r="D356" s="963" t="s">
        <v>5745</v>
      </c>
      <c r="E356" s="954"/>
      <c r="F356" s="960">
        <v>1</v>
      </c>
      <c r="G356" s="963">
        <v>0</v>
      </c>
      <c r="H356" s="950"/>
      <c r="I356" s="961">
        <f>((PUCFD!E327*(1+PUCFD!E$10))*(1+PUCFD!E$16))</f>
        <v>1.0973403E-2</v>
      </c>
    </row>
    <row r="357" spans="1:9" s="946" customFormat="1" ht="24.95" customHeight="1" x14ac:dyDescent="0.25">
      <c r="B357" s="963">
        <v>6150</v>
      </c>
      <c r="C357" s="964">
        <v>333903900000000</v>
      </c>
      <c r="D357" s="963" t="s">
        <v>5746</v>
      </c>
      <c r="E357" s="954"/>
      <c r="F357" s="960">
        <v>1</v>
      </c>
      <c r="G357" s="963">
        <v>0</v>
      </c>
      <c r="H357" s="950"/>
      <c r="I357" s="961">
        <f>((PUCFD!E328*(1+PUCFD!E$10))*(1+PUCFD!E$16))</f>
        <v>1.0973403E-2</v>
      </c>
    </row>
    <row r="358" spans="1:9" s="946" customFormat="1" ht="30.75" customHeight="1" x14ac:dyDescent="0.25">
      <c r="B358" s="963">
        <v>6160</v>
      </c>
      <c r="C358" s="964">
        <v>333904700000000</v>
      </c>
      <c r="D358" s="963" t="s">
        <v>5747</v>
      </c>
      <c r="E358" s="954"/>
      <c r="F358" s="960">
        <v>1</v>
      </c>
      <c r="G358" s="963">
        <v>0</v>
      </c>
      <c r="H358" s="950"/>
      <c r="I358" s="961">
        <f>((PUCFD!E329*(1+PUCFD!E$10))*(1+PUCFD!E$16))</f>
        <v>1.0973403E-2</v>
      </c>
    </row>
    <row r="359" spans="1:9" s="946" customFormat="1" ht="30.75" customHeight="1" x14ac:dyDescent="0.25">
      <c r="B359" s="963">
        <v>6170</v>
      </c>
      <c r="C359" s="964">
        <v>333909300000000</v>
      </c>
      <c r="D359" s="963" t="s">
        <v>5748</v>
      </c>
      <c r="E359" s="954"/>
      <c r="F359" s="960">
        <v>1</v>
      </c>
      <c r="G359" s="963">
        <v>0</v>
      </c>
      <c r="H359" s="950"/>
      <c r="I359" s="961">
        <f>((PUCFD!E330*(1+PUCFD!E$10))*(1+PUCFD!E$16))</f>
        <v>1.0973403E-2</v>
      </c>
    </row>
    <row r="360" spans="1:9" s="946" customFormat="1" ht="24.95" customHeight="1" x14ac:dyDescent="0.25">
      <c r="B360" s="963">
        <v>6180</v>
      </c>
      <c r="C360" s="964">
        <v>344905100000000</v>
      </c>
      <c r="D360" s="963" t="s">
        <v>5749</v>
      </c>
      <c r="E360" s="954"/>
      <c r="F360" s="960">
        <v>1</v>
      </c>
      <c r="G360" s="963">
        <v>0</v>
      </c>
      <c r="H360" s="950"/>
      <c r="I360" s="961">
        <f>((PUCFD!E331*(1+PUCFD!E$10))*(1+PUCFD!E$16))</f>
        <v>1.0973403E-2</v>
      </c>
    </row>
    <row r="361" spans="1:9" s="946" customFormat="1" ht="32.25" customHeight="1" x14ac:dyDescent="0.25">
      <c r="B361" s="963">
        <v>6200</v>
      </c>
      <c r="C361" s="964">
        <v>344905200000000</v>
      </c>
      <c r="D361" s="963" t="s">
        <v>5750</v>
      </c>
      <c r="E361" s="954"/>
      <c r="F361" s="960">
        <v>1</v>
      </c>
      <c r="G361" s="963">
        <v>0</v>
      </c>
      <c r="H361" s="950"/>
      <c r="I361" s="961">
        <f>((PUCFD!E332*(1+PUCFD!E$10))*(1+PUCFD!E$16))</f>
        <v>1.0973403E-2</v>
      </c>
    </row>
    <row r="362" spans="1:9" ht="24.95" customHeight="1" x14ac:dyDescent="0.25">
      <c r="A362" s="946"/>
      <c r="B362" s="1608" t="s">
        <v>3336</v>
      </c>
      <c r="C362" s="1608"/>
      <c r="D362" s="1608"/>
      <c r="E362" s="1608"/>
      <c r="F362" s="1608"/>
      <c r="G362" s="1608"/>
      <c r="H362" s="1608"/>
      <c r="I362" s="957">
        <f>SUM(I349,I319,I311,I295,I245,I229,I143,I122,I112,I342,I304,I238,I210,I133,)-0.04</f>
        <v>677680.19012669672</v>
      </c>
    </row>
    <row r="363" spans="1:9" ht="24.95" customHeight="1" x14ac:dyDescent="0.25">
      <c r="A363" s="946"/>
      <c r="B363" s="1608" t="s">
        <v>3337</v>
      </c>
      <c r="C363" s="1608"/>
      <c r="D363" s="1608"/>
      <c r="E363" s="1608"/>
      <c r="F363" s="1608"/>
      <c r="G363" s="1608"/>
      <c r="H363" s="1608"/>
      <c r="I363" s="957">
        <f>I362</f>
        <v>677680.19012669672</v>
      </c>
    </row>
    <row r="364" spans="1:9" ht="24.95" customHeight="1" x14ac:dyDescent="0.25">
      <c r="A364" s="946"/>
      <c r="B364" s="987"/>
      <c r="C364" s="988"/>
      <c r="D364" s="987"/>
      <c r="E364" s="954" t="s">
        <v>4777</v>
      </c>
      <c r="F364" s="960"/>
      <c r="G364" s="960"/>
      <c r="H364" s="958"/>
      <c r="I364" s="961"/>
    </row>
    <row r="365" spans="1:9" ht="24.95" customHeight="1" x14ac:dyDescent="0.25">
      <c r="A365" s="946"/>
      <c r="B365" s="987"/>
      <c r="C365" s="988"/>
      <c r="D365" s="987"/>
      <c r="F365" s="949">
        <v>1</v>
      </c>
      <c r="G365" s="945">
        <v>0</v>
      </c>
      <c r="H365" s="950">
        <v>0</v>
      </c>
      <c r="I365" s="951">
        <f>I362</f>
        <v>677680.19012669672</v>
      </c>
    </row>
    <row r="366" spans="1:9" ht="24.95" customHeight="1" x14ac:dyDescent="0.25">
      <c r="A366" s="946"/>
      <c r="B366" s="987"/>
      <c r="C366" s="988"/>
      <c r="D366" s="987"/>
      <c r="E366" s="987"/>
      <c r="F366" s="955"/>
      <c r="G366" s="987"/>
      <c r="H366" s="987"/>
      <c r="I366" s="957"/>
    </row>
    <row r="368" spans="1:9" s="946" customFormat="1" ht="24.95" customHeight="1" x14ac:dyDescent="0.25">
      <c r="B368" s="946" t="s">
        <v>3088</v>
      </c>
      <c r="C368" s="953" t="s">
        <v>3136</v>
      </c>
      <c r="E368" s="954"/>
      <c r="F368" s="955"/>
      <c r="H368" s="956"/>
      <c r="I368" s="957"/>
    </row>
    <row r="369" spans="1:9" s="946" customFormat="1" ht="24.95" customHeight="1" x14ac:dyDescent="0.25">
      <c r="B369" s="946" t="s">
        <v>3087</v>
      </c>
      <c r="C369" s="953" t="s">
        <v>3391</v>
      </c>
      <c r="E369" s="954"/>
      <c r="F369" s="955"/>
      <c r="H369" s="956"/>
      <c r="I369" s="957"/>
    </row>
    <row r="370" spans="1:9" s="946" customFormat="1" ht="24.95" customHeight="1" x14ac:dyDescent="0.25">
      <c r="B370" s="946" t="s">
        <v>3089</v>
      </c>
      <c r="C370" s="953" t="s">
        <v>3146</v>
      </c>
      <c r="E370" s="954"/>
      <c r="F370" s="955"/>
      <c r="H370" s="956"/>
      <c r="I370" s="957"/>
    </row>
    <row r="371" spans="1:9" ht="33.75" customHeight="1" x14ac:dyDescent="0.25">
      <c r="A371" s="958"/>
      <c r="B371" s="958" t="s">
        <v>2967</v>
      </c>
      <c r="C371" s="959" t="s">
        <v>472</v>
      </c>
      <c r="D371" s="958" t="s">
        <v>2968</v>
      </c>
      <c r="E371" s="954" t="s">
        <v>3066</v>
      </c>
      <c r="F371" s="960" t="s">
        <v>1403</v>
      </c>
      <c r="G371" s="958" t="s">
        <v>2969</v>
      </c>
      <c r="H371" s="958" t="s">
        <v>3065</v>
      </c>
      <c r="I371" s="961" t="s">
        <v>2531</v>
      </c>
    </row>
    <row r="372" spans="1:9" ht="15" customHeight="1" x14ac:dyDescent="0.25">
      <c r="A372" s="958"/>
      <c r="B372" s="962" t="s">
        <v>3138</v>
      </c>
      <c r="C372" s="959">
        <v>4</v>
      </c>
      <c r="D372" s="962" t="s">
        <v>3142</v>
      </c>
      <c r="E372" s="954"/>
      <c r="F372" s="960"/>
      <c r="G372" s="958"/>
      <c r="H372" s="958"/>
      <c r="I372" s="961">
        <f>I373</f>
        <v>0.11534466879999999</v>
      </c>
    </row>
    <row r="373" spans="1:9" ht="15" customHeight="1" x14ac:dyDescent="0.25">
      <c r="A373" s="958"/>
      <c r="B373" s="962" t="s">
        <v>3139</v>
      </c>
      <c r="C373" s="959">
        <v>122</v>
      </c>
      <c r="D373" s="962" t="s">
        <v>3143</v>
      </c>
      <c r="E373" s="954"/>
      <c r="F373" s="960"/>
      <c r="G373" s="958"/>
      <c r="H373" s="958"/>
      <c r="I373" s="961">
        <f>I374</f>
        <v>0.11534466879999999</v>
      </c>
    </row>
    <row r="374" spans="1:9" ht="15" customHeight="1" x14ac:dyDescent="0.25">
      <c r="A374" s="958"/>
      <c r="B374" s="962" t="s">
        <v>3137</v>
      </c>
      <c r="C374" s="959">
        <v>3</v>
      </c>
      <c r="D374" s="962" t="s">
        <v>3145</v>
      </c>
      <c r="E374" s="954"/>
      <c r="F374" s="960"/>
      <c r="G374" s="958"/>
      <c r="H374" s="958"/>
      <c r="I374" s="961">
        <f>I375</f>
        <v>0.11534466879999999</v>
      </c>
    </row>
    <row r="375" spans="1:9" s="946" customFormat="1" ht="24.95" customHeight="1" x14ac:dyDescent="0.25">
      <c r="A375" s="958"/>
      <c r="B375" s="963" t="s">
        <v>2950</v>
      </c>
      <c r="C375" s="959" t="s">
        <v>3392</v>
      </c>
      <c r="D375" s="963" t="s">
        <v>3393</v>
      </c>
      <c r="E375" s="954"/>
      <c r="F375" s="960"/>
      <c r="G375" s="963"/>
      <c r="H375" s="956"/>
      <c r="I375" s="957">
        <f>SUM(I376,I377,I378,I379,I380,I381,I384)</f>
        <v>0.11534466879999999</v>
      </c>
    </row>
    <row r="376" spans="1:9" s="946" customFormat="1" ht="24.95" customHeight="1" x14ac:dyDescent="0.25">
      <c r="A376" s="958"/>
      <c r="B376" s="963">
        <v>7000</v>
      </c>
      <c r="C376" s="964">
        <v>333904700000000</v>
      </c>
      <c r="D376" s="963" t="s">
        <v>3394</v>
      </c>
      <c r="E376" s="954"/>
      <c r="F376" s="960">
        <v>1</v>
      </c>
      <c r="G376" s="963">
        <v>0</v>
      </c>
      <c r="H376" s="956"/>
      <c r="I376" s="961">
        <f>((PUCFD!E335*(1+PUCFD!E$10))*(1+PUCFD!E$16))</f>
        <v>6.5840418E-3</v>
      </c>
    </row>
    <row r="377" spans="1:9" s="946" customFormat="1" ht="24.95" customHeight="1" x14ac:dyDescent="0.25">
      <c r="A377" s="958"/>
      <c r="B377" s="963">
        <v>7100</v>
      </c>
      <c r="C377" s="964">
        <v>344903000000000</v>
      </c>
      <c r="D377" s="963" t="s">
        <v>3395</v>
      </c>
      <c r="E377" s="954"/>
      <c r="F377" s="960">
        <v>1</v>
      </c>
      <c r="G377" s="963">
        <v>0</v>
      </c>
      <c r="H377" s="956"/>
      <c r="I377" s="961">
        <f>((PUCFD!E336*(1+PUCFD!E$10))*(1+PUCFD!E$16))</f>
        <v>2.1946805999999999E-2</v>
      </c>
    </row>
    <row r="378" spans="1:9" s="946" customFormat="1" ht="24.95" customHeight="1" x14ac:dyDescent="0.25">
      <c r="A378" s="958"/>
      <c r="B378" s="963">
        <v>7200</v>
      </c>
      <c r="C378" s="964">
        <v>344903600000000</v>
      </c>
      <c r="D378" s="963" t="s">
        <v>3396</v>
      </c>
      <c r="E378" s="954"/>
      <c r="F378" s="960">
        <v>1</v>
      </c>
      <c r="G378" s="963">
        <v>0</v>
      </c>
      <c r="H378" s="956"/>
      <c r="I378" s="961">
        <f>((PUCFD!E339*(1+PUCFD!E$10))*(1+PUCFD!E$16))</f>
        <v>1.0973403E-2</v>
      </c>
    </row>
    <row r="379" spans="1:9" s="946" customFormat="1" ht="24.95" customHeight="1" x14ac:dyDescent="0.25">
      <c r="A379" s="958"/>
      <c r="B379" s="963">
        <v>7300</v>
      </c>
      <c r="C379" s="964">
        <v>344903900000000</v>
      </c>
      <c r="D379" s="963" t="s">
        <v>3397</v>
      </c>
      <c r="E379" s="954"/>
      <c r="F379" s="960">
        <v>1</v>
      </c>
      <c r="G379" s="963">
        <v>0</v>
      </c>
      <c r="H379" s="956"/>
      <c r="I379" s="961">
        <f>((PUCFD!E340*(1+PUCFD!E$10))*(1+PUCFD!E$16))</f>
        <v>2.1946805999999999E-2</v>
      </c>
    </row>
    <row r="380" spans="1:9" s="946" customFormat="1" ht="24.95" customHeight="1" x14ac:dyDescent="0.25">
      <c r="A380" s="958"/>
      <c r="B380" s="963">
        <v>7400</v>
      </c>
      <c r="C380" s="964">
        <v>344905100000000</v>
      </c>
      <c r="D380" s="963" t="s">
        <v>3398</v>
      </c>
      <c r="E380" s="954"/>
      <c r="F380" s="960">
        <v>1</v>
      </c>
      <c r="G380" s="963">
        <v>0</v>
      </c>
      <c r="H380" s="956"/>
      <c r="I380" s="961">
        <f>((PUCFD!E343*(1+PUCFD!E$10))*(1+PUCFD!E$16))</f>
        <v>1.0973403E-2</v>
      </c>
    </row>
    <row r="381" spans="1:9" s="946" customFormat="1" ht="24.95" customHeight="1" x14ac:dyDescent="0.25">
      <c r="A381" s="958"/>
      <c r="B381" s="963">
        <v>7500</v>
      </c>
      <c r="C381" s="964">
        <v>344905200000000</v>
      </c>
      <c r="D381" s="963" t="s">
        <v>3399</v>
      </c>
      <c r="E381" s="954"/>
      <c r="F381" s="960">
        <v>1</v>
      </c>
      <c r="G381" s="963">
        <v>0</v>
      </c>
      <c r="H381" s="956"/>
      <c r="I381" s="961">
        <f>SUM(I382,I383)+0.01</f>
        <v>3.1946806000000001E-2</v>
      </c>
    </row>
    <row r="382" spans="1:9" ht="24.95" customHeight="1" x14ac:dyDescent="0.25">
      <c r="A382" s="972"/>
      <c r="B382" s="973" t="s">
        <v>3400</v>
      </c>
      <c r="C382" s="974">
        <v>344905235000000</v>
      </c>
      <c r="D382" s="973" t="s">
        <v>3401</v>
      </c>
      <c r="F382" s="975">
        <v>1</v>
      </c>
      <c r="G382" s="973">
        <v>0</v>
      </c>
      <c r="I382" s="976">
        <f>((PUCFD!E346*(1+PUCFD!E$10))*(1+PUCFD!E$16))</f>
        <v>1.0973403E-2</v>
      </c>
    </row>
    <row r="383" spans="1:9" ht="24.95" customHeight="1" x14ac:dyDescent="0.25">
      <c r="A383" s="972"/>
      <c r="B383" s="973" t="s">
        <v>3402</v>
      </c>
      <c r="C383" s="974">
        <v>344905234000000</v>
      </c>
      <c r="D383" s="973" t="s">
        <v>3403</v>
      </c>
      <c r="F383" s="975">
        <v>1</v>
      </c>
      <c r="G383" s="973">
        <v>0</v>
      </c>
      <c r="I383" s="976">
        <f>((PUCFD!E347*(1+PUCFD!E$10))*(1+PUCFD!E$16))</f>
        <v>1.0973403E-2</v>
      </c>
    </row>
    <row r="384" spans="1:9" s="946" customFormat="1" ht="24.95" customHeight="1" x14ac:dyDescent="0.25">
      <c r="A384" s="958"/>
      <c r="B384" s="963">
        <v>7540</v>
      </c>
      <c r="C384" s="964">
        <v>344906100000000</v>
      </c>
      <c r="D384" s="963" t="s">
        <v>3404</v>
      </c>
      <c r="E384" s="954"/>
      <c r="F384" s="960">
        <v>1</v>
      </c>
      <c r="G384" s="963">
        <v>0</v>
      </c>
      <c r="H384" s="956"/>
      <c r="I384" s="961">
        <f>((PUCFD!E348*(1+PUCFD!E$10))*(1+PUCFD!E$16))</f>
        <v>1.0973403E-2</v>
      </c>
    </row>
    <row r="385" spans="1:11" ht="15" customHeight="1" x14ac:dyDescent="0.25">
      <c r="A385" s="958"/>
      <c r="B385" s="962" t="s">
        <v>3138</v>
      </c>
      <c r="C385" s="959">
        <v>4</v>
      </c>
      <c r="D385" s="962" t="s">
        <v>3142</v>
      </c>
      <c r="E385" s="954"/>
      <c r="F385" s="960"/>
      <c r="G385" s="958"/>
      <c r="H385" s="958"/>
      <c r="I385" s="961">
        <f>I386</f>
        <v>582719.50239757216</v>
      </c>
    </row>
    <row r="386" spans="1:11" ht="15" customHeight="1" x14ac:dyDescent="0.25">
      <c r="A386" s="958"/>
      <c r="B386" s="962" t="s">
        <v>3139</v>
      </c>
      <c r="C386" s="959">
        <v>122</v>
      </c>
      <c r="D386" s="962" t="s">
        <v>3143</v>
      </c>
      <c r="E386" s="954"/>
      <c r="F386" s="960"/>
      <c r="G386" s="958"/>
      <c r="H386" s="958"/>
      <c r="I386" s="961">
        <f>I387</f>
        <v>582719.50239757216</v>
      </c>
    </row>
    <row r="387" spans="1:11" ht="15" customHeight="1" x14ac:dyDescent="0.25">
      <c r="A387" s="958"/>
      <c r="B387" s="962" t="s">
        <v>3137</v>
      </c>
      <c r="C387" s="959">
        <v>3</v>
      </c>
      <c r="D387" s="962" t="s">
        <v>3145</v>
      </c>
      <c r="E387" s="954"/>
      <c r="F387" s="960"/>
      <c r="G387" s="958"/>
      <c r="H387" s="958"/>
      <c r="I387" s="961">
        <f>I388</f>
        <v>582719.50239757216</v>
      </c>
    </row>
    <row r="388" spans="1:11" s="946" customFormat="1" ht="24.95" customHeight="1" x14ac:dyDescent="0.25">
      <c r="A388" s="958"/>
      <c r="B388" s="963" t="s">
        <v>2965</v>
      </c>
      <c r="C388" s="964">
        <v>2</v>
      </c>
      <c r="D388" s="963" t="s">
        <v>2966</v>
      </c>
      <c r="E388" s="954"/>
      <c r="F388" s="960">
        <v>1</v>
      </c>
      <c r="G388" s="963">
        <v>0</v>
      </c>
      <c r="H388" s="956"/>
      <c r="I388" s="961">
        <f>SUM(I389,I390,I392,I404,I408,I411,I412,I417,I422,I437,I439,I441,I444,I456,I458,I461,I469,I471,I472,I473,I475)</f>
        <v>582719.50239757216</v>
      </c>
    </row>
    <row r="389" spans="1:11" s="946" customFormat="1" ht="24.95" customHeight="1" x14ac:dyDescent="0.25">
      <c r="A389" s="958"/>
      <c r="B389" s="963">
        <v>7600</v>
      </c>
      <c r="C389" s="964">
        <v>331900400000000</v>
      </c>
      <c r="D389" s="963" t="s">
        <v>5751</v>
      </c>
      <c r="E389" s="954"/>
      <c r="F389" s="960">
        <v>1</v>
      </c>
      <c r="G389" s="963">
        <v>0</v>
      </c>
      <c r="H389" s="956"/>
      <c r="I389" s="961">
        <f>SUM(PUCFD!E350)</f>
        <v>0.14333333333333334</v>
      </c>
    </row>
    <row r="390" spans="1:11" s="946" customFormat="1" ht="24.95" customHeight="1" x14ac:dyDescent="0.25">
      <c r="A390" s="958"/>
      <c r="B390" s="963">
        <v>7650</v>
      </c>
      <c r="C390" s="964">
        <v>331900800000000</v>
      </c>
      <c r="D390" s="963" t="s">
        <v>5752</v>
      </c>
      <c r="E390" s="954"/>
      <c r="F390" s="960">
        <v>1</v>
      </c>
      <c r="G390" s="963">
        <v>0</v>
      </c>
      <c r="H390" s="956"/>
      <c r="I390" s="961">
        <f>SUM(I391)</f>
        <v>33035.176856100203</v>
      </c>
    </row>
    <row r="391" spans="1:11" ht="24.95" customHeight="1" x14ac:dyDescent="0.25">
      <c r="A391" s="972"/>
      <c r="B391" s="975" t="s">
        <v>4235</v>
      </c>
      <c r="C391" s="974">
        <v>31900899040000</v>
      </c>
      <c r="D391" s="973" t="s">
        <v>4234</v>
      </c>
      <c r="F391" s="975">
        <v>1</v>
      </c>
      <c r="G391" s="973">
        <v>0</v>
      </c>
      <c r="I391" s="976">
        <f>SUM(I4268,I394,I396,I397,I398,I399,I400,I401,I402,I408,I412,I411)*PUCFD!E$94</f>
        <v>33035.176856100203</v>
      </c>
    </row>
    <row r="392" spans="1:11" s="946" customFormat="1" ht="24.95" customHeight="1" x14ac:dyDescent="0.25">
      <c r="A392" s="958"/>
      <c r="B392" s="963">
        <v>7700</v>
      </c>
      <c r="C392" s="964">
        <v>331901100000000</v>
      </c>
      <c r="D392" s="963" t="s">
        <v>5753</v>
      </c>
      <c r="E392" s="954"/>
      <c r="F392" s="960">
        <v>1</v>
      </c>
      <c r="G392" s="963">
        <v>0</v>
      </c>
      <c r="H392" s="956"/>
      <c r="I392" s="961">
        <f>SUM(I393,I394,I395,I396,I397,I398,I399,I400,I401,I402,I403)-35331.23</f>
        <v>281311.81235466141</v>
      </c>
      <c r="J392" s="1013"/>
      <c r="K392" s="1012"/>
    </row>
    <row r="393" spans="1:11" ht="24.95" customHeight="1" x14ac:dyDescent="0.25">
      <c r="A393" s="972"/>
      <c r="B393" s="973" t="s">
        <v>3405</v>
      </c>
      <c r="C393" s="974">
        <v>331901104000000</v>
      </c>
      <c r="D393" s="973" t="s">
        <v>2761</v>
      </c>
      <c r="E393" s="948">
        <v>311210102000000</v>
      </c>
      <c r="F393" s="975">
        <v>1</v>
      </c>
      <c r="G393" s="973">
        <v>0</v>
      </c>
      <c r="I393" s="976">
        <f>PUCFD!E355*(1+PUCFD!E$87)</f>
        <v>1.0499881765863014E-2</v>
      </c>
    </row>
    <row r="394" spans="1:11" ht="24.95" customHeight="1" x14ac:dyDescent="0.25">
      <c r="A394" s="972"/>
      <c r="B394" s="973" t="s">
        <v>3406</v>
      </c>
      <c r="C394" s="974">
        <v>331901145000000</v>
      </c>
      <c r="D394" s="973" t="s">
        <v>3407</v>
      </c>
      <c r="E394" s="948">
        <v>0</v>
      </c>
      <c r="F394" s="975">
        <v>1</v>
      </c>
      <c r="G394" s="973">
        <v>0</v>
      </c>
      <c r="I394" s="976">
        <f>PUCFD!E356*(1+PUCFD!E$87)</f>
        <v>4763.3615655301401</v>
      </c>
    </row>
    <row r="395" spans="1:11" ht="24.95" customHeight="1" x14ac:dyDescent="0.25">
      <c r="A395" s="972"/>
      <c r="B395" s="973" t="s">
        <v>3408</v>
      </c>
      <c r="C395" s="974">
        <v>331901101040000</v>
      </c>
      <c r="D395" s="973" t="s">
        <v>2973</v>
      </c>
      <c r="E395" s="948">
        <v>311210101000000</v>
      </c>
      <c r="F395" s="975">
        <v>1</v>
      </c>
      <c r="G395" s="973">
        <v>0</v>
      </c>
      <c r="I395" s="976">
        <f>PUCFD!E358*(1+PUCFD!E$87)</f>
        <v>28039.767379880283</v>
      </c>
    </row>
    <row r="396" spans="1:11" ht="24.95" customHeight="1" x14ac:dyDescent="0.25">
      <c r="A396" s="972"/>
      <c r="B396" s="973" t="s">
        <v>3409</v>
      </c>
      <c r="C396" s="974">
        <v>331901133000000</v>
      </c>
      <c r="D396" s="973" t="s">
        <v>2740</v>
      </c>
      <c r="E396" s="948">
        <v>311210116000000</v>
      </c>
      <c r="F396" s="975">
        <v>1</v>
      </c>
      <c r="G396" s="973">
        <v>0</v>
      </c>
      <c r="I396" s="976">
        <f>PUCFD!E359*(1+PUCFD!E$87)</f>
        <v>8762.4444291908985</v>
      </c>
    </row>
    <row r="397" spans="1:11" ht="24.95" customHeight="1" x14ac:dyDescent="0.25">
      <c r="A397" s="972"/>
      <c r="B397" s="973" t="s">
        <v>3410</v>
      </c>
      <c r="C397" s="974">
        <v>331901137000000</v>
      </c>
      <c r="D397" s="973" t="s">
        <v>3411</v>
      </c>
      <c r="E397" s="948">
        <v>311210118000000</v>
      </c>
      <c r="F397" s="975">
        <v>1</v>
      </c>
      <c r="G397" s="973">
        <v>0</v>
      </c>
      <c r="I397" s="976">
        <f>PUCFD!E360*(1+PUCFD!E$87)</f>
        <v>24011.743823592034</v>
      </c>
    </row>
    <row r="398" spans="1:11" ht="24.95" customHeight="1" x14ac:dyDescent="0.25">
      <c r="A398" s="972"/>
      <c r="B398" s="973" t="s">
        <v>3412</v>
      </c>
      <c r="C398" s="974">
        <v>331901101010000</v>
      </c>
      <c r="D398" s="973" t="s">
        <v>3413</v>
      </c>
      <c r="E398" s="948">
        <v>311210101000000</v>
      </c>
      <c r="F398" s="975">
        <v>1</v>
      </c>
      <c r="G398" s="973">
        <v>0</v>
      </c>
      <c r="I398" s="976">
        <f>PUCFD!E361*(1+PUCFD!E$87)</f>
        <v>162718.57192989418</v>
      </c>
    </row>
    <row r="399" spans="1:11" ht="24.95" customHeight="1" x14ac:dyDescent="0.25">
      <c r="A399" s="972"/>
      <c r="B399" s="973" t="s">
        <v>3414</v>
      </c>
      <c r="C399" s="974">
        <v>331901145000000</v>
      </c>
      <c r="D399" s="973" t="s">
        <v>3415</v>
      </c>
      <c r="E399" s="948">
        <v>0</v>
      </c>
      <c r="F399" s="975">
        <v>1</v>
      </c>
      <c r="G399" s="973">
        <v>0</v>
      </c>
      <c r="I399" s="976">
        <f>PUCFD!E362*(1+PUCFD!E$87)</f>
        <v>1811.2653612719378</v>
      </c>
    </row>
    <row r="400" spans="1:11" ht="24.95" customHeight="1" x14ac:dyDescent="0.25">
      <c r="A400" s="972"/>
      <c r="B400" s="973" t="s">
        <v>3416</v>
      </c>
      <c r="C400" s="974">
        <v>331901143030000</v>
      </c>
      <c r="D400" s="973" t="s">
        <v>3417</v>
      </c>
      <c r="E400" s="948">
        <v>0</v>
      </c>
      <c r="F400" s="975">
        <v>1</v>
      </c>
      <c r="G400" s="973">
        <v>0</v>
      </c>
      <c r="I400" s="976">
        <f>PUCFD!E363*(1+PUCFD!E$87)</f>
        <v>5433.7960838158133</v>
      </c>
    </row>
    <row r="401" spans="1:9" ht="24.95" customHeight="1" x14ac:dyDescent="0.25">
      <c r="A401" s="972"/>
      <c r="B401" s="973" t="s">
        <v>3418</v>
      </c>
      <c r="C401" s="974">
        <v>331901174000000</v>
      </c>
      <c r="D401" s="973" t="s">
        <v>3419</v>
      </c>
      <c r="E401" s="948">
        <v>311210131000000</v>
      </c>
      <c r="F401" s="975">
        <v>1</v>
      </c>
      <c r="G401" s="973">
        <v>0</v>
      </c>
      <c r="I401" s="976">
        <f>PUCFD!E364*(1+PUCFD!E$87)</f>
        <v>65205.553005789763</v>
      </c>
    </row>
    <row r="402" spans="1:9" ht="24.95" customHeight="1" x14ac:dyDescent="0.25">
      <c r="A402" s="972"/>
      <c r="B402" s="973" t="s">
        <v>3420</v>
      </c>
      <c r="C402" s="974">
        <v>331901143010000</v>
      </c>
      <c r="D402" s="973" t="s">
        <v>3421</v>
      </c>
      <c r="E402" s="948">
        <v>0</v>
      </c>
      <c r="F402" s="975">
        <v>1</v>
      </c>
      <c r="G402" s="973">
        <v>0</v>
      </c>
      <c r="I402" s="976">
        <f>PUCFD!E365*(1+PUCFD!E$87)</f>
        <v>13559.880994157847</v>
      </c>
    </row>
    <row r="403" spans="1:9" ht="24.95" customHeight="1" x14ac:dyDescent="0.25">
      <c r="A403" s="972"/>
      <c r="B403" s="973" t="s">
        <v>3422</v>
      </c>
      <c r="C403" s="974">
        <v>331901143020000</v>
      </c>
      <c r="D403" s="973" t="s">
        <v>3423</v>
      </c>
      <c r="E403" s="948">
        <v>0</v>
      </c>
      <c r="F403" s="975">
        <v>1</v>
      </c>
      <c r="G403" s="973">
        <v>0</v>
      </c>
      <c r="I403" s="976">
        <f>PUCFD!E366*(1+PUCFD!E$87)</f>
        <v>2336.6472816566902</v>
      </c>
    </row>
    <row r="404" spans="1:9" s="946" customFormat="1" ht="24.95" customHeight="1" x14ac:dyDescent="0.25">
      <c r="A404" s="958"/>
      <c r="B404" s="963">
        <v>7800</v>
      </c>
      <c r="C404" s="964">
        <v>331901300000000</v>
      </c>
      <c r="D404" s="963" t="s">
        <v>5754</v>
      </c>
      <c r="E404" s="954"/>
      <c r="F404" s="960">
        <v>1</v>
      </c>
      <c r="G404" s="963">
        <v>0</v>
      </c>
      <c r="H404" s="956"/>
      <c r="I404" s="961">
        <f>SUM(I392,I408,I411,I412)*PUCFD!E$92</f>
        <v>59075.497394478894</v>
      </c>
    </row>
    <row r="405" spans="1:9" ht="24.95" customHeight="1" x14ac:dyDescent="0.25">
      <c r="A405" s="972"/>
      <c r="B405" s="973" t="s">
        <v>3424</v>
      </c>
      <c r="C405" s="974">
        <v>331901302030000</v>
      </c>
      <c r="D405" s="973" t="s">
        <v>3425</v>
      </c>
      <c r="E405" s="948">
        <v>312210100000000</v>
      </c>
      <c r="F405" s="975">
        <v>1</v>
      </c>
      <c r="G405" s="973">
        <v>0</v>
      </c>
      <c r="I405" s="976">
        <v>0</v>
      </c>
    </row>
    <row r="406" spans="1:9" ht="24.95" customHeight="1" x14ac:dyDescent="0.25">
      <c r="A406" s="972"/>
      <c r="B406" s="973" t="s">
        <v>3426</v>
      </c>
      <c r="C406" s="974">
        <v>331901302010000</v>
      </c>
      <c r="D406" s="973" t="s">
        <v>3427</v>
      </c>
      <c r="E406" s="948">
        <v>312210100000000</v>
      </c>
      <c r="F406" s="975">
        <v>1</v>
      </c>
      <c r="G406" s="973">
        <v>0</v>
      </c>
      <c r="I406" s="976">
        <v>0</v>
      </c>
    </row>
    <row r="407" spans="1:9" ht="24.95" customHeight="1" x14ac:dyDescent="0.25">
      <c r="A407" s="972"/>
      <c r="B407" s="973" t="s">
        <v>3428</v>
      </c>
      <c r="C407" s="974">
        <v>331901302010000</v>
      </c>
      <c r="D407" s="973" t="s">
        <v>3429</v>
      </c>
      <c r="E407" s="948">
        <v>312210100000000</v>
      </c>
      <c r="F407" s="975">
        <v>1</v>
      </c>
      <c r="G407" s="973">
        <v>0</v>
      </c>
      <c r="I407" s="976">
        <v>0</v>
      </c>
    </row>
    <row r="408" spans="1:9" s="946" customFormat="1" ht="24.95" customHeight="1" x14ac:dyDescent="0.25">
      <c r="A408" s="958"/>
      <c r="B408" s="963">
        <v>7900</v>
      </c>
      <c r="C408" s="964">
        <v>331901600000000</v>
      </c>
      <c r="D408" s="963" t="s">
        <v>5755</v>
      </c>
      <c r="E408" s="954"/>
      <c r="F408" s="960">
        <v>1</v>
      </c>
      <c r="G408" s="963">
        <v>0</v>
      </c>
      <c r="H408" s="956"/>
      <c r="I408" s="961">
        <f>SUM(I409,I410)</f>
        <v>0.02</v>
      </c>
    </row>
    <row r="409" spans="1:9" ht="24.95" customHeight="1" x14ac:dyDescent="0.25">
      <c r="A409" s="972"/>
      <c r="B409" s="973" t="s">
        <v>3430</v>
      </c>
      <c r="C409" s="974">
        <v>331901644000000</v>
      </c>
      <c r="D409" s="973" t="s">
        <v>3431</v>
      </c>
      <c r="E409" s="948">
        <v>312210203000000</v>
      </c>
      <c r="F409" s="975">
        <v>1</v>
      </c>
      <c r="G409" s="973">
        <v>0</v>
      </c>
      <c r="I409" s="976">
        <f>PUCFD!E368</f>
        <v>0.01</v>
      </c>
    </row>
    <row r="410" spans="1:9" ht="24.95" customHeight="1" x14ac:dyDescent="0.25">
      <c r="A410" s="972"/>
      <c r="B410" s="973" t="s">
        <v>3432</v>
      </c>
      <c r="C410" s="974">
        <v>331901644000000</v>
      </c>
      <c r="D410" s="973" t="s">
        <v>3433</v>
      </c>
      <c r="E410" s="948">
        <v>312210203000000</v>
      </c>
      <c r="F410" s="975">
        <v>1</v>
      </c>
      <c r="G410" s="973">
        <v>0</v>
      </c>
      <c r="I410" s="976">
        <f>PUCFD!E369</f>
        <v>0.01</v>
      </c>
    </row>
    <row r="411" spans="1:9" s="946" customFormat="1" ht="24.95" customHeight="1" x14ac:dyDescent="0.25">
      <c r="A411" s="958"/>
      <c r="B411" s="963">
        <v>7950</v>
      </c>
      <c r="C411" s="964">
        <v>331903400000000</v>
      </c>
      <c r="D411" s="963" t="s">
        <v>5756</v>
      </c>
      <c r="E411" s="954"/>
      <c r="F411" s="960">
        <v>1</v>
      </c>
      <c r="G411" s="963">
        <v>0</v>
      </c>
      <c r="H411" s="956"/>
      <c r="I411" s="961">
        <f>SUM(PUCFD!E371,PUCFD!E372)</f>
        <v>0.02</v>
      </c>
    </row>
    <row r="412" spans="1:9" s="946" customFormat="1" ht="24.95" customHeight="1" x14ac:dyDescent="0.25">
      <c r="A412" s="958"/>
      <c r="B412" s="963">
        <v>8000</v>
      </c>
      <c r="C412" s="964">
        <v>331909400000000</v>
      </c>
      <c r="D412" s="963" t="s">
        <v>5757</v>
      </c>
      <c r="E412" s="954"/>
      <c r="F412" s="960">
        <v>1</v>
      </c>
      <c r="G412" s="963">
        <v>0</v>
      </c>
      <c r="H412" s="956"/>
      <c r="I412" s="961">
        <f>SUM(I413,I414,I415,I416)</f>
        <v>0.04</v>
      </c>
    </row>
    <row r="413" spans="1:9" ht="24.95" customHeight="1" x14ac:dyDescent="0.25">
      <c r="A413" s="972"/>
      <c r="B413" s="973" t="s">
        <v>3434</v>
      </c>
      <c r="C413" s="974">
        <v>331909401030000</v>
      </c>
      <c r="D413" s="973" t="s">
        <v>3435</v>
      </c>
      <c r="E413" s="948">
        <v>0</v>
      </c>
      <c r="F413" s="975">
        <v>1</v>
      </c>
      <c r="G413" s="973">
        <v>0</v>
      </c>
      <c r="I413" s="976">
        <f>PUCFD!E375</f>
        <v>0.01</v>
      </c>
    </row>
    <row r="414" spans="1:9" ht="24.95" customHeight="1" x14ac:dyDescent="0.25">
      <c r="A414" s="972"/>
      <c r="B414" s="973" t="s">
        <v>3436</v>
      </c>
      <c r="C414" s="974">
        <v>331909401030000</v>
      </c>
      <c r="D414" s="973" t="s">
        <v>3437</v>
      </c>
      <c r="E414" s="948">
        <v>0</v>
      </c>
      <c r="F414" s="975">
        <v>1</v>
      </c>
      <c r="G414" s="973">
        <v>0</v>
      </c>
      <c r="I414" s="976">
        <f>PUCFD!E379</f>
        <v>0.01</v>
      </c>
    </row>
    <row r="415" spans="1:9" ht="24.95" customHeight="1" x14ac:dyDescent="0.25">
      <c r="A415" s="972"/>
      <c r="B415" s="973" t="s">
        <v>3438</v>
      </c>
      <c r="C415" s="974">
        <v>331909401030000</v>
      </c>
      <c r="D415" s="973" t="s">
        <v>3439</v>
      </c>
      <c r="E415" s="948">
        <v>0</v>
      </c>
      <c r="F415" s="975">
        <v>1</v>
      </c>
      <c r="G415" s="973">
        <v>0</v>
      </c>
      <c r="I415" s="976">
        <f>PUCFD!E377</f>
        <v>0.01</v>
      </c>
    </row>
    <row r="416" spans="1:9" ht="24.95" customHeight="1" x14ac:dyDescent="0.25">
      <c r="A416" s="972"/>
      <c r="B416" s="973" t="s">
        <v>3440</v>
      </c>
      <c r="C416" s="974">
        <v>331909401030000</v>
      </c>
      <c r="D416" s="973" t="s">
        <v>3171</v>
      </c>
      <c r="E416" s="948">
        <v>0</v>
      </c>
      <c r="F416" s="975">
        <v>1</v>
      </c>
      <c r="G416" s="973">
        <v>0</v>
      </c>
      <c r="I416" s="976">
        <f>PUCFD!E374</f>
        <v>0.01</v>
      </c>
    </row>
    <row r="417" spans="1:9" s="946" customFormat="1" ht="24.95" customHeight="1" x14ac:dyDescent="0.25">
      <c r="A417" s="958"/>
      <c r="B417" s="963">
        <v>8100</v>
      </c>
      <c r="C417" s="964">
        <v>333901400000000</v>
      </c>
      <c r="D417" s="963" t="s">
        <v>5758</v>
      </c>
      <c r="E417" s="954"/>
      <c r="F417" s="960">
        <v>1</v>
      </c>
      <c r="G417" s="963">
        <v>0</v>
      </c>
      <c r="H417" s="956"/>
      <c r="I417" s="961">
        <f>SUM(I418,I419,I420,I421)+0.01</f>
        <v>6823.0518690830258</v>
      </c>
    </row>
    <row r="418" spans="1:9" ht="24.95" customHeight="1" x14ac:dyDescent="0.25">
      <c r="A418" s="972"/>
      <c r="B418" s="973" t="s">
        <v>3441</v>
      </c>
      <c r="C418" s="974">
        <v>333901414020000</v>
      </c>
      <c r="D418" s="973" t="s">
        <v>3442</v>
      </c>
      <c r="E418" s="948">
        <v>332110100000000</v>
      </c>
      <c r="F418" s="975">
        <v>1</v>
      </c>
      <c r="G418" s="973">
        <v>0</v>
      </c>
      <c r="I418" s="976">
        <f>PUCFD!E381*(1+PUCFD!E$85+PUCFD!E$86+PUCFD!E$87)</f>
        <v>1705.7604672707564</v>
      </c>
    </row>
    <row r="419" spans="1:9" ht="24.95" customHeight="1" x14ac:dyDescent="0.25">
      <c r="A419" s="972"/>
      <c r="B419" s="973" t="s">
        <v>3443</v>
      </c>
      <c r="C419" s="974">
        <v>333901414040000</v>
      </c>
      <c r="D419" s="973" t="s">
        <v>3444</v>
      </c>
      <c r="E419" s="948">
        <v>332110100000000</v>
      </c>
      <c r="F419" s="975">
        <v>1</v>
      </c>
      <c r="G419" s="973">
        <v>0</v>
      </c>
      <c r="I419" s="976">
        <f>PUCFD!E382*(1+PUCFD!E$85+PUCFD!E$86+PUCFD!E$87)</f>
        <v>1705.7604672707564</v>
      </c>
    </row>
    <row r="420" spans="1:9" ht="24.95" customHeight="1" x14ac:dyDescent="0.25">
      <c r="A420" s="972"/>
      <c r="B420" s="973" t="s">
        <v>3445</v>
      </c>
      <c r="C420" s="974">
        <v>333901414010000</v>
      </c>
      <c r="D420" s="973" t="s">
        <v>3288</v>
      </c>
      <c r="E420" s="948">
        <v>332110100000000</v>
      </c>
      <c r="F420" s="975">
        <v>1</v>
      </c>
      <c r="G420" s="973">
        <v>0</v>
      </c>
      <c r="I420" s="976">
        <f>PUCFD!E383*(1+PUCFD!E$85+PUCFD!E$86+PUCFD!E$87)</f>
        <v>1705.7604672707564</v>
      </c>
    </row>
    <row r="421" spans="1:9" ht="24.95" customHeight="1" x14ac:dyDescent="0.25">
      <c r="A421" s="972"/>
      <c r="B421" s="973" t="s">
        <v>3446</v>
      </c>
      <c r="C421" s="974">
        <v>333901414030000</v>
      </c>
      <c r="D421" s="973" t="s">
        <v>3447</v>
      </c>
      <c r="E421" s="948">
        <v>332110100000000</v>
      </c>
      <c r="F421" s="975">
        <v>1</v>
      </c>
      <c r="G421" s="973">
        <v>0</v>
      </c>
      <c r="I421" s="976">
        <f>PUCFD!E384*(1+PUCFD!E$85+PUCFD!E$86+PUCFD!E$87)</f>
        <v>1705.7604672707564</v>
      </c>
    </row>
    <row r="422" spans="1:9" s="946" customFormat="1" ht="24.95" customHeight="1" x14ac:dyDescent="0.25">
      <c r="A422" s="958"/>
      <c r="B422" s="963">
        <v>8200</v>
      </c>
      <c r="C422" s="964">
        <v>333903000000000</v>
      </c>
      <c r="D422" s="963" t="s">
        <v>5759</v>
      </c>
      <c r="E422" s="954"/>
      <c r="F422" s="960">
        <v>1</v>
      </c>
      <c r="G422" s="963">
        <v>0</v>
      </c>
      <c r="H422" s="956"/>
      <c r="I422" s="1332">
        <f>((PUCFD!E385*(1+PUCFD!E$10))*(1+PUCFD!E$16))*(1+PUCFD!E$18)-60000-10000</f>
        <v>13079.21990967376</v>
      </c>
    </row>
    <row r="423" spans="1:9" ht="24.95" customHeight="1" x14ac:dyDescent="0.25">
      <c r="A423" s="972"/>
      <c r="B423" s="973" t="s">
        <v>3448</v>
      </c>
      <c r="C423" s="974">
        <v>333903001010300</v>
      </c>
      <c r="D423" s="973" t="s">
        <v>3449</v>
      </c>
      <c r="E423" s="948">
        <v>331110100000000</v>
      </c>
      <c r="F423" s="975">
        <v>1</v>
      </c>
      <c r="G423" s="973">
        <v>0</v>
      </c>
      <c r="I423" s="976">
        <v>0</v>
      </c>
    </row>
    <row r="424" spans="1:9" ht="24.95" customHeight="1" x14ac:dyDescent="0.25">
      <c r="A424" s="972"/>
      <c r="B424" s="973" t="s">
        <v>3450</v>
      </c>
      <c r="C424" s="974">
        <v>333903007000000</v>
      </c>
      <c r="D424" s="973" t="s">
        <v>3451</v>
      </c>
      <c r="E424" s="948">
        <v>331110600000000</v>
      </c>
      <c r="F424" s="975">
        <v>1</v>
      </c>
      <c r="G424" s="973">
        <v>0</v>
      </c>
      <c r="I424" s="976">
        <f>((PUCFD!E387*(1+PUCFD!E$10))*(1+PUCFD!E$16))</f>
        <v>0</v>
      </c>
    </row>
    <row r="425" spans="1:9" ht="24.95" customHeight="1" x14ac:dyDescent="0.25">
      <c r="A425" s="972"/>
      <c r="B425" s="973" t="s">
        <v>3452</v>
      </c>
      <c r="C425" s="974">
        <v>333903021000000</v>
      </c>
      <c r="D425" s="973" t="s">
        <v>3302</v>
      </c>
      <c r="E425" s="948">
        <v>331112100000000</v>
      </c>
      <c r="F425" s="975">
        <v>1</v>
      </c>
      <c r="G425" s="973">
        <v>0</v>
      </c>
      <c r="I425" s="976">
        <f>((PUCFD!E388*(1+PUCFD!E$10))*(1+PUCFD!E$16))</f>
        <v>0</v>
      </c>
    </row>
    <row r="426" spans="1:9" ht="24.95" customHeight="1" x14ac:dyDescent="0.25">
      <c r="A426" s="972"/>
      <c r="B426" s="973" t="s">
        <v>3453</v>
      </c>
      <c r="C426" s="974">
        <v>333903017000000</v>
      </c>
      <c r="D426" s="973" t="s">
        <v>3186</v>
      </c>
      <c r="E426" s="948">
        <v>331111700000000</v>
      </c>
      <c r="F426" s="975">
        <v>1</v>
      </c>
      <c r="G426" s="973">
        <v>0</v>
      </c>
      <c r="I426" s="976">
        <f>((PUCFD!E389*(1+PUCFD!E$10))*(1+PUCFD!E$16))</f>
        <v>0</v>
      </c>
    </row>
    <row r="427" spans="1:9" ht="24.95" customHeight="1" x14ac:dyDescent="0.25">
      <c r="A427" s="972"/>
      <c r="B427" s="973" t="s">
        <v>3454</v>
      </c>
      <c r="C427" s="974">
        <v>333903026000000</v>
      </c>
      <c r="D427" s="973" t="s">
        <v>3455</v>
      </c>
      <c r="E427" s="948">
        <v>331112600000000</v>
      </c>
      <c r="F427" s="975">
        <v>1</v>
      </c>
      <c r="G427" s="973">
        <v>0</v>
      </c>
      <c r="I427" s="976">
        <f>((PUCFD!E390*(1+PUCFD!E$10))*(1+PUCFD!E$16))</f>
        <v>0</v>
      </c>
    </row>
    <row r="428" spans="1:9" ht="24.95" customHeight="1" x14ac:dyDescent="0.25">
      <c r="A428" s="972"/>
      <c r="B428" s="973" t="s">
        <v>3456</v>
      </c>
      <c r="C428" s="974">
        <v>333903099000000</v>
      </c>
      <c r="D428" s="973" t="s">
        <v>3457</v>
      </c>
      <c r="E428" s="948">
        <v>331119900000000</v>
      </c>
      <c r="F428" s="975">
        <v>1</v>
      </c>
      <c r="G428" s="973">
        <v>0</v>
      </c>
      <c r="I428" s="976">
        <f>((PUCFD!E391*(1+PUCFD!E$10))*(1+PUCFD!E$16))</f>
        <v>0</v>
      </c>
    </row>
    <row r="429" spans="1:9" ht="24.95" customHeight="1" x14ac:dyDescent="0.25">
      <c r="A429" s="972"/>
      <c r="B429" s="973" t="s">
        <v>3458</v>
      </c>
      <c r="C429" s="974">
        <v>333903024000000</v>
      </c>
      <c r="D429" s="973" t="s">
        <v>3459</v>
      </c>
      <c r="E429" s="948">
        <v>331112400000000</v>
      </c>
      <c r="F429" s="975">
        <v>1</v>
      </c>
      <c r="G429" s="973">
        <v>0</v>
      </c>
      <c r="I429" s="976">
        <f>((PUCFD!E392*(1+PUCFD!E$10))*(1+PUCFD!E$16))</f>
        <v>0</v>
      </c>
    </row>
    <row r="430" spans="1:9" ht="24.95" customHeight="1" x14ac:dyDescent="0.25">
      <c r="A430" s="972"/>
      <c r="B430" s="973" t="s">
        <v>3460</v>
      </c>
      <c r="C430" s="974">
        <v>333903022000000</v>
      </c>
      <c r="D430" s="973" t="s">
        <v>3461</v>
      </c>
      <c r="E430" s="948">
        <v>331112200000000</v>
      </c>
      <c r="F430" s="975">
        <v>1</v>
      </c>
      <c r="G430" s="973">
        <v>0</v>
      </c>
      <c r="I430" s="976">
        <f>((PUCFD!E393*(1+PUCFD!E$10))*(1+PUCFD!E$16))</f>
        <v>0</v>
      </c>
    </row>
    <row r="431" spans="1:9" ht="24.95" customHeight="1" x14ac:dyDescent="0.25">
      <c r="A431" s="972"/>
      <c r="B431" s="973" t="s">
        <v>3462</v>
      </c>
      <c r="C431" s="974">
        <v>333903022000000</v>
      </c>
      <c r="D431" s="973" t="s">
        <v>3463</v>
      </c>
      <c r="E431" s="948">
        <v>0</v>
      </c>
      <c r="F431" s="975">
        <v>1</v>
      </c>
      <c r="G431" s="973">
        <v>0</v>
      </c>
      <c r="I431" s="976">
        <f>((PUCFD!E394*(1+PUCFD!E$10))*(1+PUCFD!E$16))</f>
        <v>0</v>
      </c>
    </row>
    <row r="432" spans="1:9" ht="24.95" customHeight="1" x14ac:dyDescent="0.25">
      <c r="A432" s="972"/>
      <c r="B432" s="973" t="s">
        <v>3464</v>
      </c>
      <c r="C432" s="974">
        <v>333903016000000</v>
      </c>
      <c r="D432" s="973" t="s">
        <v>3300</v>
      </c>
      <c r="E432" s="948">
        <v>0</v>
      </c>
      <c r="F432" s="975">
        <v>1</v>
      </c>
      <c r="G432" s="973">
        <v>0</v>
      </c>
      <c r="I432" s="976">
        <f>((PUCFD!E395*(1+PUCFD!E$10))*(1+PUCFD!E$16))</f>
        <v>0</v>
      </c>
    </row>
    <row r="433" spans="1:9" ht="24.95" customHeight="1" x14ac:dyDescent="0.25">
      <c r="A433" s="972"/>
      <c r="B433" s="973" t="s">
        <v>3465</v>
      </c>
      <c r="C433" s="974">
        <v>333903016000000</v>
      </c>
      <c r="D433" s="973" t="s">
        <v>3194</v>
      </c>
      <c r="E433" s="948">
        <v>331111600000000</v>
      </c>
      <c r="F433" s="975">
        <v>1</v>
      </c>
      <c r="G433" s="973">
        <v>0</v>
      </c>
      <c r="I433" s="976">
        <f>((PUCFD!E396*(1+PUCFD!E$10))*(1+PUCFD!E$16))</f>
        <v>0</v>
      </c>
    </row>
    <row r="434" spans="1:9" ht="24.95" customHeight="1" x14ac:dyDescent="0.25">
      <c r="A434" s="972"/>
      <c r="B434" s="973" t="s">
        <v>3466</v>
      </c>
      <c r="C434" s="974">
        <v>333903004000000</v>
      </c>
      <c r="D434" s="973" t="s">
        <v>3467</v>
      </c>
      <c r="E434" s="948">
        <v>331110300000000</v>
      </c>
      <c r="F434" s="975">
        <v>1</v>
      </c>
      <c r="G434" s="973">
        <v>0</v>
      </c>
      <c r="I434" s="976">
        <f>((PUCFD!E397*(1+PUCFD!E$10))*(1+PUCFD!E$16))*(1+PUCFD!E$19)</f>
        <v>0</v>
      </c>
    </row>
    <row r="435" spans="1:9" ht="24.95" customHeight="1" x14ac:dyDescent="0.25">
      <c r="A435" s="972"/>
      <c r="B435" s="973" t="s">
        <v>3468</v>
      </c>
      <c r="C435" s="974">
        <v>333903021000000</v>
      </c>
      <c r="D435" s="973" t="s">
        <v>3304</v>
      </c>
      <c r="E435" s="948">
        <v>0</v>
      </c>
      <c r="F435" s="975">
        <v>1</v>
      </c>
      <c r="G435" s="973">
        <v>0</v>
      </c>
      <c r="I435" s="976">
        <f>((PUCFD!E398*(1+PUCFD!E$10))*(1+PUCFD!E$16))</f>
        <v>0</v>
      </c>
    </row>
    <row r="436" spans="1:9" ht="24.95" customHeight="1" x14ac:dyDescent="0.25">
      <c r="A436" s="972"/>
      <c r="B436" s="973" t="s">
        <v>3469</v>
      </c>
      <c r="C436" s="974">
        <v>333903007000000</v>
      </c>
      <c r="D436" s="973" t="s">
        <v>3470</v>
      </c>
      <c r="E436" s="948">
        <v>0</v>
      </c>
      <c r="F436" s="975">
        <v>1</v>
      </c>
      <c r="G436" s="973">
        <v>0</v>
      </c>
      <c r="I436" s="976">
        <f>((PUCFD!E399*(1+PUCFD!E$10))*(1+PUCFD!E$16))</f>
        <v>0</v>
      </c>
    </row>
    <row r="437" spans="1:9" s="946" customFormat="1" ht="24.95" customHeight="1" x14ac:dyDescent="0.25">
      <c r="A437" s="958"/>
      <c r="B437" s="963">
        <v>8300</v>
      </c>
      <c r="C437" s="964">
        <v>333903300000000</v>
      </c>
      <c r="D437" s="963" t="s">
        <v>5760</v>
      </c>
      <c r="E437" s="954"/>
      <c r="F437" s="960">
        <v>1</v>
      </c>
      <c r="G437" s="963">
        <v>0</v>
      </c>
      <c r="H437" s="956"/>
      <c r="I437" s="961">
        <f>SUM(I438)</f>
        <v>564.66388487249992</v>
      </c>
    </row>
    <row r="438" spans="1:9" ht="24.95" customHeight="1" x14ac:dyDescent="0.25">
      <c r="A438" s="972"/>
      <c r="B438" s="973" t="s">
        <v>3471</v>
      </c>
      <c r="C438" s="974">
        <v>333903301000000</v>
      </c>
      <c r="D438" s="973" t="s">
        <v>3472</v>
      </c>
      <c r="E438" s="948">
        <v>332315600000000</v>
      </c>
      <c r="F438" s="975">
        <v>1</v>
      </c>
      <c r="G438" s="973">
        <v>0</v>
      </c>
      <c r="I438" s="976">
        <f>((PUCFD!E401*(1+PUCFD!E$10))*(1+PUCFD!E$16))</f>
        <v>564.66388487249992</v>
      </c>
    </row>
    <row r="439" spans="1:9" s="946" customFormat="1" ht="24.95" customHeight="1" x14ac:dyDescent="0.25">
      <c r="A439" s="958"/>
      <c r="B439" s="963">
        <v>8400</v>
      </c>
      <c r="C439" s="964">
        <v>333903500000000</v>
      </c>
      <c r="D439" s="963" t="s">
        <v>5761</v>
      </c>
      <c r="E439" s="954"/>
      <c r="F439" s="960">
        <v>1</v>
      </c>
      <c r="G439" s="963">
        <v>0</v>
      </c>
      <c r="H439" s="956"/>
      <c r="I439" s="961">
        <f>SUM(I440)</f>
        <v>32696.417419218</v>
      </c>
    </row>
    <row r="440" spans="1:9" ht="24.95" customHeight="1" x14ac:dyDescent="0.25">
      <c r="A440" s="972"/>
      <c r="B440" s="973" t="s">
        <v>3474</v>
      </c>
      <c r="C440" s="974">
        <v>333903501000000</v>
      </c>
      <c r="D440" s="973" t="s">
        <v>3475</v>
      </c>
      <c r="E440" s="948">
        <v>332310100000000</v>
      </c>
      <c r="F440" s="975">
        <v>1</v>
      </c>
      <c r="G440" s="973">
        <v>0</v>
      </c>
      <c r="I440" s="976">
        <f>((PUCFD!E403*(1+PUCFD!E$10))*(1+PUCFD!E$16))</f>
        <v>32696.417419218</v>
      </c>
    </row>
    <row r="441" spans="1:9" s="946" customFormat="1" ht="24.95" customHeight="1" x14ac:dyDescent="0.25">
      <c r="A441" s="958"/>
      <c r="B441" s="963">
        <v>8500</v>
      </c>
      <c r="C441" s="964">
        <v>333903600000000</v>
      </c>
      <c r="D441" s="963" t="s">
        <v>5762</v>
      </c>
      <c r="E441" s="954"/>
      <c r="F441" s="960">
        <v>1</v>
      </c>
      <c r="G441" s="963">
        <v>0</v>
      </c>
      <c r="H441" s="956"/>
      <c r="I441" s="961">
        <f>SUM(I442,I443)</f>
        <v>27771.828487893003</v>
      </c>
    </row>
    <row r="442" spans="1:9" ht="24.95" customHeight="1" x14ac:dyDescent="0.25">
      <c r="A442" s="972"/>
      <c r="B442" s="973" t="s">
        <v>3477</v>
      </c>
      <c r="C442" s="974">
        <v>333903606000000</v>
      </c>
      <c r="D442" s="973" t="s">
        <v>3022</v>
      </c>
      <c r="E442" s="948">
        <v>332212100000000</v>
      </c>
      <c r="F442" s="975">
        <v>1</v>
      </c>
      <c r="G442" s="973">
        <v>0</v>
      </c>
      <c r="I442" s="976">
        <f>((PUCFD!E405*(1+PUCFD!E$10))*(1+PUCFD!E$16))</f>
        <v>1.0973403E-2</v>
      </c>
    </row>
    <row r="443" spans="1:9" ht="24.95" customHeight="1" x14ac:dyDescent="0.25">
      <c r="A443" s="972"/>
      <c r="B443" s="973" t="s">
        <v>3478</v>
      </c>
      <c r="C443" s="974">
        <v>333903615000000</v>
      </c>
      <c r="D443" s="973" t="s">
        <v>3246</v>
      </c>
      <c r="E443" s="948">
        <v>332211500000000</v>
      </c>
      <c r="F443" s="975">
        <v>1</v>
      </c>
      <c r="G443" s="973">
        <v>0</v>
      </c>
      <c r="I443" s="976">
        <f>((PUCFD!E406*(1+PUCFD!E$10))*(1+PUCFD!E$16))</f>
        <v>27771.817514490001</v>
      </c>
    </row>
    <row r="444" spans="1:9" s="946" customFormat="1" ht="24.95" customHeight="1" x14ac:dyDescent="0.25">
      <c r="A444" s="958"/>
      <c r="B444" s="963">
        <v>8600</v>
      </c>
      <c r="C444" s="964">
        <v>333903900000000</v>
      </c>
      <c r="D444" s="963" t="s">
        <v>5763</v>
      </c>
      <c r="E444" s="954"/>
      <c r="F444" s="960">
        <v>1</v>
      </c>
      <c r="G444" s="963">
        <v>0</v>
      </c>
      <c r="H444" s="956"/>
      <c r="I444" s="1332">
        <f>((PUCFD!E407*(1+PUCFD!E$10))*(1+PUCFD!E$16))-20000-40000</f>
        <v>90213.333496967971</v>
      </c>
    </row>
    <row r="445" spans="1:9" ht="24.95" customHeight="1" x14ac:dyDescent="0.25">
      <c r="A445" s="972"/>
      <c r="B445" s="973" t="s">
        <v>3479</v>
      </c>
      <c r="C445" s="974">
        <v>333903999040000</v>
      </c>
      <c r="D445" s="973" t="s">
        <v>3211</v>
      </c>
      <c r="E445" s="948">
        <v>332319900000000</v>
      </c>
      <c r="F445" s="975">
        <v>1</v>
      </c>
      <c r="G445" s="973">
        <v>0</v>
      </c>
      <c r="I445" s="976">
        <f>((PUCFD!E408+PUCFD!E420)*(1+PUCFD!E$10))*(1+PUCFD!E$16)</f>
        <v>0</v>
      </c>
    </row>
    <row r="446" spans="1:9" ht="24.95" customHeight="1" x14ac:dyDescent="0.25">
      <c r="A446" s="972"/>
      <c r="B446" s="973" t="s">
        <v>3480</v>
      </c>
      <c r="C446" s="974">
        <v>333903948000000</v>
      </c>
      <c r="D446" s="973" t="s">
        <v>3481</v>
      </c>
      <c r="E446" s="948">
        <v>332313000000000</v>
      </c>
      <c r="F446" s="975">
        <v>1</v>
      </c>
      <c r="G446" s="973">
        <v>0</v>
      </c>
      <c r="I446" s="976">
        <v>0</v>
      </c>
    </row>
    <row r="447" spans="1:9" ht="24.95" customHeight="1" x14ac:dyDescent="0.25">
      <c r="A447" s="972"/>
      <c r="B447" s="973" t="s">
        <v>3482</v>
      </c>
      <c r="C447" s="974">
        <v>333903990000000</v>
      </c>
      <c r="D447" s="973" t="s">
        <v>3483</v>
      </c>
      <c r="E447" s="948">
        <v>332310500000000</v>
      </c>
      <c r="F447" s="975">
        <v>1</v>
      </c>
      <c r="G447" s="973">
        <v>0</v>
      </c>
      <c r="I447" s="976">
        <f>((PUCFD!E410*(1+PUCFD!E$10))*(1+PUCFD!E$16))</f>
        <v>0</v>
      </c>
    </row>
    <row r="448" spans="1:9" ht="24.95" customHeight="1" x14ac:dyDescent="0.25">
      <c r="A448" s="972"/>
      <c r="B448" s="973" t="s">
        <v>3484</v>
      </c>
      <c r="C448" s="974">
        <v>333903943000000</v>
      </c>
      <c r="D448" s="973" t="s">
        <v>3485</v>
      </c>
      <c r="E448" s="948">
        <v>332310800000000</v>
      </c>
      <c r="F448" s="975">
        <v>1</v>
      </c>
      <c r="G448" s="973">
        <v>0</v>
      </c>
      <c r="I448" s="976">
        <f>((PUCFD!E411*(1+PUCFD!E$10))*(1+PUCFD!E$16))</f>
        <v>0</v>
      </c>
    </row>
    <row r="449" spans="1:9" ht="24.95" customHeight="1" x14ac:dyDescent="0.25">
      <c r="A449" s="972"/>
      <c r="B449" s="973" t="s">
        <v>3486</v>
      </c>
      <c r="C449" s="974">
        <v>333903999010000</v>
      </c>
      <c r="D449" s="973" t="s">
        <v>3487</v>
      </c>
      <c r="E449" s="948">
        <v>332319900000000</v>
      </c>
      <c r="F449" s="975">
        <v>1</v>
      </c>
      <c r="G449" s="973">
        <v>0</v>
      </c>
      <c r="I449" s="976">
        <f>((PUCFD!E412*(1+PUCFD!E$10))*(1+PUCFD!E$16))</f>
        <v>0</v>
      </c>
    </row>
    <row r="450" spans="1:9" ht="24.95" customHeight="1" x14ac:dyDescent="0.25">
      <c r="A450" s="972"/>
      <c r="B450" s="973" t="s">
        <v>3488</v>
      </c>
      <c r="C450" s="974">
        <v>333903944000000</v>
      </c>
      <c r="D450" s="973" t="s">
        <v>3489</v>
      </c>
      <c r="E450" s="948">
        <v>332310800000000</v>
      </c>
      <c r="F450" s="975">
        <v>1</v>
      </c>
      <c r="G450" s="973">
        <v>0</v>
      </c>
      <c r="I450" s="976">
        <f>((PUCFD!E413*(1+PUCFD!E$10))*(1+PUCFD!E$16))</f>
        <v>0</v>
      </c>
    </row>
    <row r="451" spans="1:9" ht="24.95" customHeight="1" x14ac:dyDescent="0.25">
      <c r="A451" s="972"/>
      <c r="B451" s="973" t="s">
        <v>3490</v>
      </c>
      <c r="C451" s="974">
        <v>333903958010000</v>
      </c>
      <c r="D451" s="973" t="s">
        <v>3036</v>
      </c>
      <c r="E451" s="948">
        <v>332310800000000</v>
      </c>
      <c r="F451" s="975">
        <v>1</v>
      </c>
      <c r="G451" s="973">
        <v>0</v>
      </c>
      <c r="I451" s="976">
        <f>((PUCFD!E414*(1+PUCFD!E$10))*(1+PUCFD!E$16))</f>
        <v>0</v>
      </c>
    </row>
    <row r="452" spans="1:9" ht="24.95" customHeight="1" x14ac:dyDescent="0.25">
      <c r="A452" s="972"/>
      <c r="B452" s="973" t="s">
        <v>3491</v>
      </c>
      <c r="C452" s="974">
        <v>333903963000000</v>
      </c>
      <c r="D452" s="973" t="s">
        <v>3492</v>
      </c>
      <c r="E452" s="948">
        <v>332314600000000</v>
      </c>
      <c r="F452" s="975">
        <v>1</v>
      </c>
      <c r="G452" s="973">
        <v>0</v>
      </c>
      <c r="I452" s="976">
        <f>((PUCFD!E415*(1+PUCFD!E$10))*(1+PUCFD!E$16))</f>
        <v>0</v>
      </c>
    </row>
    <row r="453" spans="1:9" ht="24.95" customHeight="1" x14ac:dyDescent="0.25">
      <c r="A453" s="972"/>
      <c r="B453" s="973" t="s">
        <v>3493</v>
      </c>
      <c r="C453" s="974">
        <v>333903993000000</v>
      </c>
      <c r="D453" s="973" t="s">
        <v>3494</v>
      </c>
      <c r="E453" s="948">
        <v>332310500000000</v>
      </c>
      <c r="F453" s="975">
        <v>1</v>
      </c>
      <c r="G453" s="973">
        <v>0</v>
      </c>
      <c r="I453" s="976">
        <f>((PUCFD!E416*(1+PUCFD!E$10))*(1+PUCFD!E$16))</f>
        <v>0</v>
      </c>
    </row>
    <row r="454" spans="1:9" ht="24.95" customHeight="1" x14ac:dyDescent="0.25">
      <c r="A454" s="972"/>
      <c r="B454" s="973" t="s">
        <v>3495</v>
      </c>
      <c r="C454" s="974">
        <v>333903943000000</v>
      </c>
      <c r="D454" s="973" t="s">
        <v>3496</v>
      </c>
      <c r="E454" s="948">
        <v>332310800000000</v>
      </c>
      <c r="F454" s="975">
        <v>1</v>
      </c>
      <c r="G454" s="973">
        <v>0</v>
      </c>
      <c r="I454" s="976">
        <f>((PUCFD!E417*(1+PUCFD!E$10))*(1+PUCFD!E$16))</f>
        <v>0</v>
      </c>
    </row>
    <row r="455" spans="1:9" ht="24.95" customHeight="1" x14ac:dyDescent="0.25">
      <c r="A455" s="972"/>
      <c r="B455" s="973" t="s">
        <v>3497</v>
      </c>
      <c r="C455" s="974">
        <v>333903948000000</v>
      </c>
      <c r="D455" s="973" t="s">
        <v>3498</v>
      </c>
      <c r="E455" s="948">
        <v>332313000000000</v>
      </c>
      <c r="F455" s="975">
        <v>1</v>
      </c>
      <c r="G455" s="973">
        <v>0</v>
      </c>
      <c r="I455" s="976">
        <f>((PUCFD!E418+PUCFD!E419)*(1+PUCFD!E$10))*(1+PUCFD!E$16)</f>
        <v>0</v>
      </c>
    </row>
    <row r="456" spans="1:9" s="946" customFormat="1" ht="24.95" customHeight="1" x14ac:dyDescent="0.25">
      <c r="B456" s="963">
        <v>8700</v>
      </c>
      <c r="C456" s="964">
        <v>333904600000000</v>
      </c>
      <c r="D456" s="963" t="s">
        <v>5764</v>
      </c>
      <c r="E456" s="954"/>
      <c r="F456" s="960">
        <v>1</v>
      </c>
      <c r="G456" s="963">
        <v>0</v>
      </c>
      <c r="H456" s="950"/>
      <c r="I456" s="961">
        <f>SUM(I457)</f>
        <v>31899.682520999999</v>
      </c>
    </row>
    <row r="457" spans="1:9" s="946" customFormat="1" ht="24.95" customHeight="1" x14ac:dyDescent="0.25">
      <c r="B457" s="973" t="s">
        <v>3516</v>
      </c>
      <c r="C457" s="974">
        <v>333904601000000</v>
      </c>
      <c r="D457" s="973" t="s">
        <v>5905</v>
      </c>
      <c r="E457" s="954">
        <v>3112101990000</v>
      </c>
      <c r="F457" s="975">
        <v>1</v>
      </c>
      <c r="G457" s="973">
        <v>0</v>
      </c>
      <c r="H457" s="972">
        <v>0</v>
      </c>
      <c r="I457" s="1332">
        <f>((PUCFD!E422*(1+PUCFD!E$10))*(1+PUCFD!E$16))</f>
        <v>31899.682520999999</v>
      </c>
    </row>
    <row r="458" spans="1:9" s="946" customFormat="1" ht="24.95" customHeight="1" x14ac:dyDescent="0.25">
      <c r="A458" s="958"/>
      <c r="B458" s="963">
        <v>8800</v>
      </c>
      <c r="C458" s="964">
        <v>333904700000000</v>
      </c>
      <c r="D458" s="963" t="s">
        <v>5765</v>
      </c>
      <c r="E458" s="954"/>
      <c r="F458" s="960">
        <v>1</v>
      </c>
      <c r="G458" s="963">
        <v>0</v>
      </c>
      <c r="H458" s="956"/>
      <c r="I458" s="961">
        <f>SUM(I459,I460)</f>
        <v>562.94654730299999</v>
      </c>
    </row>
    <row r="459" spans="1:9" ht="24.95" customHeight="1" x14ac:dyDescent="0.25">
      <c r="A459" s="972"/>
      <c r="B459" s="973" t="s">
        <v>3499</v>
      </c>
      <c r="C459" s="974">
        <v>333904718000000</v>
      </c>
      <c r="D459" s="973" t="s">
        <v>3500</v>
      </c>
      <c r="E459" s="948">
        <v>332310400000000</v>
      </c>
      <c r="F459" s="975">
        <v>1</v>
      </c>
      <c r="G459" s="973">
        <v>0</v>
      </c>
      <c r="I459" s="976">
        <f>((PUCFD!E424*(1+PUCFD!E$10))*(1+PUCFD!E$16))</f>
        <v>1.0973403E-2</v>
      </c>
    </row>
    <row r="460" spans="1:9" ht="24.95" customHeight="1" x14ac:dyDescent="0.25">
      <c r="A460" s="972"/>
      <c r="B460" s="973" t="s">
        <v>3501</v>
      </c>
      <c r="C460" s="974">
        <v>333904720000000</v>
      </c>
      <c r="D460" s="973" t="s">
        <v>3502</v>
      </c>
      <c r="E460" s="948">
        <v>332310500000000</v>
      </c>
      <c r="F460" s="975">
        <v>1</v>
      </c>
      <c r="G460" s="973">
        <v>0</v>
      </c>
      <c r="I460" s="976">
        <f>((PUCFD!E425*(1+PUCFD!E$10))*(1+PUCFD!E$16))</f>
        <v>562.93557390000001</v>
      </c>
    </row>
    <row r="461" spans="1:9" s="946" customFormat="1" ht="24.95" customHeight="1" x14ac:dyDescent="0.25">
      <c r="A461" s="958"/>
      <c r="B461" s="963">
        <v>8900</v>
      </c>
      <c r="C461" s="964">
        <v>333904900000000</v>
      </c>
      <c r="D461" s="963" t="s">
        <v>5766</v>
      </c>
      <c r="E461" s="954"/>
      <c r="F461" s="960">
        <v>1</v>
      </c>
      <c r="G461" s="963">
        <v>0</v>
      </c>
      <c r="H461" s="956"/>
      <c r="I461" s="961">
        <f>SUM(I462,I463)</f>
        <v>5685.594429374999</v>
      </c>
    </row>
    <row r="462" spans="1:9" ht="24.95" customHeight="1" x14ac:dyDescent="0.25">
      <c r="A462" s="972"/>
      <c r="B462" s="973" t="s">
        <v>3503</v>
      </c>
      <c r="C462" s="974">
        <v>333904901000000</v>
      </c>
      <c r="D462" s="973" t="s">
        <v>3504</v>
      </c>
      <c r="E462" s="948">
        <v>313210200000000</v>
      </c>
      <c r="F462" s="975">
        <v>1</v>
      </c>
      <c r="G462" s="973">
        <v>0</v>
      </c>
      <c r="I462" s="976">
        <f>((PUCFD!E427*(1+PUCFD!E$10))*(1+PUCFD!E$16))</f>
        <v>5685.5834559719988</v>
      </c>
    </row>
    <row r="463" spans="1:9" ht="24.95" customHeight="1" x14ac:dyDescent="0.25">
      <c r="A463" s="972"/>
      <c r="B463" s="973" t="s">
        <v>3505</v>
      </c>
      <c r="C463" s="974">
        <v>333904901000000</v>
      </c>
      <c r="D463" s="973" t="s">
        <v>3506</v>
      </c>
      <c r="E463" s="948">
        <v>313210200000000</v>
      </c>
      <c r="F463" s="975">
        <v>1</v>
      </c>
      <c r="G463" s="973">
        <v>0</v>
      </c>
      <c r="I463" s="976">
        <f>((PUCFD!E428*(1+PUCFD!E$10))*(1+PUCFD!E$16))</f>
        <v>1.0973403E-2</v>
      </c>
    </row>
    <row r="464" spans="1:9" s="946" customFormat="1" ht="24.95" customHeight="1" x14ac:dyDescent="0.25">
      <c r="A464" s="958"/>
      <c r="B464" s="963">
        <v>9000</v>
      </c>
      <c r="C464" s="964">
        <v>333909200000000</v>
      </c>
      <c r="D464" s="963" t="s">
        <v>5767</v>
      </c>
      <c r="E464" s="954"/>
      <c r="F464" s="960">
        <v>1</v>
      </c>
      <c r="G464" s="963">
        <v>0</v>
      </c>
      <c r="H464" s="956"/>
      <c r="I464" s="1332">
        <f>((PUCFD!E429*(1+PUCFD!E$10))*(1+PUCFD!E$16))</f>
        <v>1.0973403E-2</v>
      </c>
    </row>
    <row r="465" spans="1:9" ht="24.95" customHeight="1" x14ac:dyDescent="0.25">
      <c r="A465" s="972"/>
      <c r="B465" s="973" t="s">
        <v>3507</v>
      </c>
      <c r="C465" s="974">
        <v>333909293000000</v>
      </c>
      <c r="D465" s="973" t="s">
        <v>3508</v>
      </c>
      <c r="E465" s="948">
        <v>237110300000000</v>
      </c>
      <c r="F465" s="975">
        <v>1</v>
      </c>
      <c r="G465" s="973">
        <v>0</v>
      </c>
      <c r="I465" s="951">
        <v>0</v>
      </c>
    </row>
    <row r="466" spans="1:9" ht="24.95" customHeight="1" x14ac:dyDescent="0.25">
      <c r="A466" s="972"/>
      <c r="B466" s="973" t="s">
        <v>3509</v>
      </c>
      <c r="C466" s="974">
        <v>333909239000000</v>
      </c>
      <c r="D466" s="973" t="s">
        <v>3215</v>
      </c>
      <c r="E466" s="948">
        <v>237110300000000</v>
      </c>
      <c r="F466" s="975">
        <v>1</v>
      </c>
      <c r="G466" s="973">
        <v>0</v>
      </c>
      <c r="I466" s="976">
        <f>((PUCFD!E431*(1+PUCFD!E$10))*(1+PUCFD!E$16))</f>
        <v>0</v>
      </c>
    </row>
    <row r="467" spans="1:9" ht="24.95" customHeight="1" x14ac:dyDescent="0.25">
      <c r="A467" s="972"/>
      <c r="B467" s="973" t="s">
        <v>3510</v>
      </c>
      <c r="C467" s="974">
        <v>333909239000000</v>
      </c>
      <c r="D467" s="973" t="s">
        <v>3511</v>
      </c>
      <c r="E467" s="948">
        <v>237110300000000</v>
      </c>
      <c r="F467" s="975">
        <v>1</v>
      </c>
      <c r="G467" s="973">
        <v>0</v>
      </c>
      <c r="I467" s="976">
        <f>((PUCFD!E432*(1+PUCFD!E$10))*(1+PUCFD!E$16))</f>
        <v>0</v>
      </c>
    </row>
    <row r="468" spans="1:9" ht="24.95" customHeight="1" x14ac:dyDescent="0.25">
      <c r="A468" s="972"/>
      <c r="B468" s="973" t="s">
        <v>3512</v>
      </c>
      <c r="C468" s="974">
        <v>333909239000000</v>
      </c>
      <c r="D468" s="973" t="s">
        <v>3036</v>
      </c>
      <c r="E468" s="948">
        <v>237110300000000</v>
      </c>
      <c r="F468" s="975">
        <v>1</v>
      </c>
      <c r="G468" s="973">
        <v>0</v>
      </c>
      <c r="I468" s="976">
        <f>((PUCFD!E433*(1+PUCFD!E$10))*(1+PUCFD!E$16))</f>
        <v>0</v>
      </c>
    </row>
    <row r="469" spans="1:9" s="946" customFormat="1" ht="24.95" customHeight="1" x14ac:dyDescent="0.25">
      <c r="A469" s="958"/>
      <c r="B469" s="963">
        <v>9100</v>
      </c>
      <c r="C469" s="964">
        <v>333909300000000</v>
      </c>
      <c r="D469" s="963" t="s">
        <v>5768</v>
      </c>
      <c r="E469" s="954"/>
      <c r="F469" s="960">
        <v>1</v>
      </c>
      <c r="G469" s="963">
        <v>0</v>
      </c>
      <c r="H469" s="956"/>
      <c r="I469" s="961">
        <f>SUM(I470)</f>
        <v>1.0973403E-2</v>
      </c>
    </row>
    <row r="470" spans="1:9" ht="24.95" customHeight="1" x14ac:dyDescent="0.25">
      <c r="A470" s="972"/>
      <c r="B470" s="973" t="s">
        <v>3513</v>
      </c>
      <c r="C470" s="974">
        <v>333909399010000</v>
      </c>
      <c r="D470" s="973" t="s">
        <v>3060</v>
      </c>
      <c r="E470" s="948">
        <v>399910300000000</v>
      </c>
      <c r="F470" s="975">
        <v>1</v>
      </c>
      <c r="G470" s="973">
        <v>0</v>
      </c>
      <c r="I470" s="976">
        <f>((PUCFD!E435*(1+PUCFD!E$10))*(1+PUCFD!E$16))</f>
        <v>1.0973403E-2</v>
      </c>
    </row>
    <row r="471" spans="1:9" s="946" customFormat="1" ht="24.95" customHeight="1" x14ac:dyDescent="0.25">
      <c r="A471" s="958"/>
      <c r="B471" s="963">
        <v>9200</v>
      </c>
      <c r="C471" s="964">
        <v>333933000000000</v>
      </c>
      <c r="D471" s="963" t="s">
        <v>5769</v>
      </c>
      <c r="E471" s="954"/>
      <c r="F471" s="960">
        <v>1</v>
      </c>
      <c r="G471" s="963">
        <v>0</v>
      </c>
      <c r="H471" s="956"/>
      <c r="I471" s="961">
        <f>((PUCFD!E436*(1+PUCFD!E$10))*(1+PUCFD!E$16))</f>
        <v>1.0973403E-2</v>
      </c>
    </row>
    <row r="472" spans="1:9" s="946" customFormat="1" ht="24.95" customHeight="1" x14ac:dyDescent="0.25">
      <c r="A472" s="958"/>
      <c r="B472" s="963">
        <v>9300</v>
      </c>
      <c r="C472" s="964">
        <v>344905100000000</v>
      </c>
      <c r="D472" s="963" t="s">
        <v>5770</v>
      </c>
      <c r="E472" s="954"/>
      <c r="F472" s="960">
        <v>1</v>
      </c>
      <c r="G472" s="963">
        <v>0</v>
      </c>
      <c r="H472" s="956"/>
      <c r="I472" s="961">
        <f>((PUCFD!E437*(1+PUCFD!E$10))*(1+PUCFD!E$16))</f>
        <v>1.0973403E-2</v>
      </c>
    </row>
    <row r="473" spans="1:9" s="946" customFormat="1" ht="34.5" customHeight="1" x14ac:dyDescent="0.25">
      <c r="A473" s="958"/>
      <c r="B473" s="963">
        <v>9400</v>
      </c>
      <c r="C473" s="964">
        <v>344905200000000</v>
      </c>
      <c r="D473" s="963" t="s">
        <v>5771</v>
      </c>
      <c r="E473" s="954"/>
      <c r="F473" s="960">
        <v>1</v>
      </c>
      <c r="G473" s="963">
        <v>0</v>
      </c>
      <c r="H473" s="956"/>
      <c r="I473" s="961">
        <f>SUM(I474)</f>
        <v>1.0973403E-2</v>
      </c>
    </row>
    <row r="474" spans="1:9" ht="24.95" customHeight="1" x14ac:dyDescent="0.25">
      <c r="A474" s="972"/>
      <c r="B474" s="973" t="s">
        <v>3515</v>
      </c>
      <c r="C474" s="974">
        <v>344905234000000</v>
      </c>
      <c r="D474" s="973" t="s">
        <v>3403</v>
      </c>
      <c r="E474" s="948">
        <v>0</v>
      </c>
      <c r="F474" s="975">
        <v>1</v>
      </c>
      <c r="G474" s="973">
        <v>0</v>
      </c>
      <c r="I474" s="961">
        <f>((PUCFD!E439*(1+PUCFD!E$10))*(1+PUCFD!E$16))</f>
        <v>1.0973403E-2</v>
      </c>
    </row>
    <row r="475" spans="1:9" s="946" customFormat="1" ht="34.5" customHeight="1" x14ac:dyDescent="0.25">
      <c r="A475" s="958"/>
      <c r="B475" s="963">
        <v>9450</v>
      </c>
      <c r="C475" s="964">
        <v>344915100000000</v>
      </c>
      <c r="D475" s="963" t="s">
        <v>5772</v>
      </c>
      <c r="E475" s="954"/>
      <c r="F475" s="960">
        <v>1</v>
      </c>
      <c r="G475" s="963">
        <v>0</v>
      </c>
      <c r="H475" s="956"/>
      <c r="I475" s="961">
        <f>PUCFD!E440</f>
        <v>0.01</v>
      </c>
    </row>
    <row r="476" spans="1:9" ht="15" customHeight="1" x14ac:dyDescent="0.25">
      <c r="A476" s="958"/>
      <c r="B476" s="962" t="s">
        <v>3138</v>
      </c>
      <c r="C476" s="959">
        <v>4</v>
      </c>
      <c r="D476" s="962" t="s">
        <v>3142</v>
      </c>
      <c r="E476" s="954"/>
      <c r="F476" s="960"/>
      <c r="G476" s="958"/>
      <c r="H476" s="958"/>
      <c r="I476" s="961">
        <f>I477</f>
        <v>3840.7020234029997</v>
      </c>
    </row>
    <row r="477" spans="1:9" ht="15" customHeight="1" x14ac:dyDescent="0.25">
      <c r="A477" s="958"/>
      <c r="B477" s="962" t="s">
        <v>3139</v>
      </c>
      <c r="C477" s="959">
        <v>126</v>
      </c>
      <c r="D477" s="962" t="s">
        <v>3600</v>
      </c>
      <c r="E477" s="954"/>
      <c r="F477" s="960"/>
      <c r="G477" s="958"/>
      <c r="H477" s="958"/>
      <c r="I477" s="961">
        <f>I478</f>
        <v>3840.7020234029997</v>
      </c>
    </row>
    <row r="478" spans="1:9" ht="15" customHeight="1" x14ac:dyDescent="0.25">
      <c r="A478" s="958"/>
      <c r="B478" s="962" t="s">
        <v>3137</v>
      </c>
      <c r="C478" s="959">
        <v>3</v>
      </c>
      <c r="D478" s="962" t="s">
        <v>3145</v>
      </c>
      <c r="E478" s="954"/>
      <c r="F478" s="960"/>
      <c r="G478" s="958"/>
      <c r="H478" s="958"/>
      <c r="I478" s="961">
        <f>I479</f>
        <v>3840.7020234029997</v>
      </c>
    </row>
    <row r="479" spans="1:9" s="946" customFormat="1" ht="24.95" customHeight="1" x14ac:dyDescent="0.25">
      <c r="A479" s="958"/>
      <c r="B479" s="963" t="s">
        <v>2965</v>
      </c>
      <c r="C479" s="959">
        <v>2</v>
      </c>
      <c r="D479" s="963" t="s">
        <v>2966</v>
      </c>
      <c r="E479" s="954"/>
      <c r="F479" s="960">
        <v>1</v>
      </c>
      <c r="G479" s="963">
        <v>0</v>
      </c>
      <c r="H479" s="956"/>
      <c r="I479" s="961">
        <f>I480</f>
        <v>3840.7020234029997</v>
      </c>
    </row>
    <row r="480" spans="1:9" s="946" customFormat="1" ht="33.75" customHeight="1" x14ac:dyDescent="0.25">
      <c r="B480" s="963">
        <v>9500</v>
      </c>
      <c r="C480" s="964">
        <v>333904000000000</v>
      </c>
      <c r="D480" s="963" t="s">
        <v>5773</v>
      </c>
      <c r="E480" s="954"/>
      <c r="F480" s="960">
        <v>1</v>
      </c>
      <c r="G480" s="963">
        <v>0</v>
      </c>
      <c r="H480" s="950"/>
      <c r="I480" s="961">
        <f>SUM(I481:I484)</f>
        <v>3840.7020234029997</v>
      </c>
    </row>
    <row r="481" spans="1:9" ht="24.95" customHeight="1" x14ac:dyDescent="0.25">
      <c r="A481" s="972"/>
      <c r="B481" s="973" t="s">
        <v>3602</v>
      </c>
      <c r="C481" s="974">
        <v>333904006000000</v>
      </c>
      <c r="D481" s="973" t="s">
        <v>3044</v>
      </c>
      <c r="E481" s="948">
        <v>332311000000000</v>
      </c>
      <c r="F481" s="975">
        <v>1</v>
      </c>
      <c r="G481" s="973">
        <v>0</v>
      </c>
      <c r="H481" s="972">
        <v>0</v>
      </c>
      <c r="I481" s="976">
        <f>((PUCFD!E444*(1+PUCFD!E$10))*(1+PUCFD!E$16))</f>
        <v>1.0973403E-2</v>
      </c>
    </row>
    <row r="482" spans="1:9" ht="24.95" customHeight="1" x14ac:dyDescent="0.25">
      <c r="A482" s="972"/>
      <c r="B482" s="973" t="s">
        <v>3603</v>
      </c>
      <c r="C482" s="974">
        <v>333904011000000</v>
      </c>
      <c r="D482" s="973" t="s">
        <v>5924</v>
      </c>
      <c r="E482" s="948">
        <v>332311100000000</v>
      </c>
      <c r="F482" s="975">
        <v>1</v>
      </c>
      <c r="G482" s="973">
        <v>0</v>
      </c>
      <c r="H482" s="972">
        <v>0</v>
      </c>
      <c r="I482" s="976">
        <f>((PUCFD!E445*(1+PUCFD!E$10))*(1+PUCFD!E$16))</f>
        <v>1097.3403000000001</v>
      </c>
    </row>
    <row r="483" spans="1:9" ht="24.95" customHeight="1" x14ac:dyDescent="0.25">
      <c r="A483" s="972"/>
      <c r="B483" s="973" t="s">
        <v>3604</v>
      </c>
      <c r="C483" s="974">
        <v>333904012000000</v>
      </c>
      <c r="D483" s="973" t="s">
        <v>5926</v>
      </c>
      <c r="E483" s="948">
        <v>332311100000000</v>
      </c>
      <c r="F483" s="975">
        <v>1</v>
      </c>
      <c r="G483" s="973">
        <v>0</v>
      </c>
      <c r="H483" s="972">
        <v>0</v>
      </c>
      <c r="I483" s="976">
        <f>((PUCFD!E446*(1+PUCFD!E$10))*(1+PUCFD!E$16))</f>
        <v>1646.01045</v>
      </c>
    </row>
    <row r="484" spans="1:9" ht="24.95" customHeight="1" x14ac:dyDescent="0.25">
      <c r="A484" s="972"/>
      <c r="B484" s="973" t="s">
        <v>3605</v>
      </c>
      <c r="C484" s="974">
        <v>333904099000000</v>
      </c>
      <c r="D484" s="973" t="s">
        <v>5928</v>
      </c>
      <c r="E484" s="948">
        <v>332311100000000</v>
      </c>
      <c r="F484" s="975">
        <v>1</v>
      </c>
      <c r="G484" s="973">
        <v>0</v>
      </c>
      <c r="H484" s="972">
        <v>0</v>
      </c>
      <c r="I484" s="976">
        <f>((PUCFD!E447*(1+PUCFD!E$10))*(1+PUCFD!E$16))</f>
        <v>1097.3403000000001</v>
      </c>
    </row>
    <row r="485" spans="1:9" ht="15" customHeight="1" x14ac:dyDescent="0.25">
      <c r="A485" s="958"/>
      <c r="B485" s="962" t="s">
        <v>3138</v>
      </c>
      <c r="C485" s="959">
        <v>4</v>
      </c>
      <c r="D485" s="962" t="s">
        <v>3142</v>
      </c>
      <c r="E485" s="954"/>
      <c r="F485" s="960"/>
      <c r="G485" s="958"/>
      <c r="H485" s="958"/>
      <c r="I485" s="961">
        <f>I486</f>
        <v>0.05</v>
      </c>
    </row>
    <row r="486" spans="1:9" ht="15" customHeight="1" x14ac:dyDescent="0.25">
      <c r="A486" s="958"/>
      <c r="B486" s="962" t="s">
        <v>3139</v>
      </c>
      <c r="C486" s="959">
        <v>128</v>
      </c>
      <c r="D486" s="962" t="s">
        <v>5104</v>
      </c>
      <c r="E486" s="954"/>
      <c r="F486" s="960"/>
      <c r="G486" s="958"/>
      <c r="H486" s="958"/>
      <c r="I486" s="961">
        <f>I488</f>
        <v>0.05</v>
      </c>
    </row>
    <row r="487" spans="1:9" ht="15" customHeight="1" x14ac:dyDescent="0.25">
      <c r="A487" s="958"/>
      <c r="B487" s="962" t="s">
        <v>3137</v>
      </c>
      <c r="C487" s="959">
        <v>3</v>
      </c>
      <c r="D487" s="962" t="s">
        <v>3145</v>
      </c>
      <c r="E487" s="954"/>
      <c r="F487" s="960"/>
      <c r="G487" s="958"/>
      <c r="H487" s="958"/>
      <c r="I487" s="961">
        <f>I488</f>
        <v>0.05</v>
      </c>
    </row>
    <row r="488" spans="1:9" s="946" customFormat="1" ht="24.95" customHeight="1" x14ac:dyDescent="0.25">
      <c r="A488" s="958"/>
      <c r="B488" s="963" t="s">
        <v>2965</v>
      </c>
      <c r="C488" s="959">
        <v>2</v>
      </c>
      <c r="D488" s="963" t="s">
        <v>2966</v>
      </c>
      <c r="E488" s="954"/>
      <c r="F488" s="960">
        <v>1</v>
      </c>
      <c r="G488" s="963">
        <v>0</v>
      </c>
      <c r="H488" s="956"/>
      <c r="I488" s="957">
        <f>SUM(I489:I493)</f>
        <v>0.05</v>
      </c>
    </row>
    <row r="489" spans="1:9" s="946" customFormat="1" ht="24.95" customHeight="1" x14ac:dyDescent="0.25">
      <c r="B489" s="973">
        <v>9550</v>
      </c>
      <c r="C489" s="974">
        <v>333901400000000</v>
      </c>
      <c r="D489" s="973" t="s">
        <v>5774</v>
      </c>
      <c r="E489" s="954"/>
      <c r="F489" s="949">
        <v>1</v>
      </c>
      <c r="G489" s="945">
        <v>0</v>
      </c>
      <c r="H489" s="950">
        <v>0</v>
      </c>
      <c r="I489" s="951">
        <f>PUCFD!E449</f>
        <v>0.01</v>
      </c>
    </row>
    <row r="490" spans="1:9" s="946" customFormat="1" ht="24.95" customHeight="1" x14ac:dyDescent="0.25">
      <c r="B490" s="973">
        <v>9560</v>
      </c>
      <c r="C490" s="974">
        <v>333903300000000</v>
      </c>
      <c r="D490" s="973" t="s">
        <v>5776</v>
      </c>
      <c r="E490" s="954"/>
      <c r="F490" s="949">
        <v>1</v>
      </c>
      <c r="G490" s="945">
        <v>0</v>
      </c>
      <c r="H490" s="950">
        <v>0</v>
      </c>
      <c r="I490" s="951">
        <f>PUCFD!E450</f>
        <v>0.01</v>
      </c>
    </row>
    <row r="491" spans="1:9" s="946" customFormat="1" ht="24.95" customHeight="1" x14ac:dyDescent="0.25">
      <c r="B491" s="973">
        <v>9570</v>
      </c>
      <c r="C491" s="974">
        <v>333903600000000</v>
      </c>
      <c r="D491" s="973" t="s">
        <v>5777</v>
      </c>
      <c r="E491" s="954"/>
      <c r="F491" s="949">
        <v>1</v>
      </c>
      <c r="G491" s="945">
        <v>0</v>
      </c>
      <c r="H491" s="950">
        <v>0</v>
      </c>
      <c r="I491" s="951">
        <f>PUCFD!E451</f>
        <v>0.01</v>
      </c>
    </row>
    <row r="492" spans="1:9" s="946" customFormat="1" ht="24.95" customHeight="1" x14ac:dyDescent="0.25">
      <c r="B492" s="973">
        <v>9580</v>
      </c>
      <c r="C492" s="974">
        <v>333903900000000</v>
      </c>
      <c r="D492" s="973" t="s">
        <v>5775</v>
      </c>
      <c r="E492" s="954"/>
      <c r="F492" s="949">
        <v>1</v>
      </c>
      <c r="G492" s="945">
        <v>0</v>
      </c>
      <c r="H492" s="950">
        <v>0</v>
      </c>
      <c r="I492" s="951">
        <f>PUCFD!E452</f>
        <v>0.01</v>
      </c>
    </row>
    <row r="493" spans="1:9" s="946" customFormat="1" ht="24.95" customHeight="1" x14ac:dyDescent="0.25">
      <c r="B493" s="973">
        <v>9590</v>
      </c>
      <c r="C493" s="974">
        <v>333904700000000</v>
      </c>
      <c r="D493" s="973" t="s">
        <v>5778</v>
      </c>
      <c r="E493" s="954"/>
      <c r="F493" s="949">
        <v>1</v>
      </c>
      <c r="G493" s="945">
        <v>0</v>
      </c>
      <c r="H493" s="950">
        <v>0</v>
      </c>
      <c r="I493" s="951">
        <f>PUCFD!E453</f>
        <v>0.01</v>
      </c>
    </row>
    <row r="494" spans="1:9" ht="24.95" customHeight="1" x14ac:dyDescent="0.25">
      <c r="A494" s="946"/>
      <c r="B494" s="1608" t="s">
        <v>3517</v>
      </c>
      <c r="C494" s="1608"/>
      <c r="D494" s="1608"/>
      <c r="E494" s="1608"/>
      <c r="F494" s="1608"/>
      <c r="G494" s="1608"/>
      <c r="H494" s="1608"/>
      <c r="I494" s="957">
        <f>SUM(I480,I388,I375,I488)+0.01</f>
        <v>586560.37976564409</v>
      </c>
    </row>
    <row r="495" spans="1:9" ht="24.95" customHeight="1" x14ac:dyDescent="0.25">
      <c r="A495" s="946"/>
      <c r="B495" s="1608" t="s">
        <v>3518</v>
      </c>
      <c r="C495" s="1608"/>
      <c r="D495" s="1608"/>
      <c r="E495" s="1608"/>
      <c r="F495" s="1608"/>
      <c r="G495" s="1608"/>
      <c r="H495" s="1608"/>
      <c r="I495" s="957">
        <f>I494</f>
        <v>586560.37976564409</v>
      </c>
    </row>
    <row r="496" spans="1:9" ht="24.95" customHeight="1" x14ac:dyDescent="0.25">
      <c r="A496" s="946"/>
      <c r="B496" s="987"/>
      <c r="C496" s="988"/>
      <c r="D496" s="987"/>
      <c r="E496" s="954" t="s">
        <v>4777</v>
      </c>
      <c r="F496" s="960"/>
      <c r="G496" s="960"/>
      <c r="H496" s="958"/>
      <c r="I496" s="961"/>
    </row>
    <row r="497" spans="1:9" ht="24.95" customHeight="1" x14ac:dyDescent="0.25">
      <c r="A497" s="946"/>
      <c r="B497" s="987"/>
      <c r="C497" s="988"/>
      <c r="D497" s="987"/>
      <c r="F497" s="949">
        <v>1</v>
      </c>
      <c r="G497" s="945">
        <v>0</v>
      </c>
      <c r="H497" s="950">
        <v>0</v>
      </c>
      <c r="I497" s="951">
        <f>I494</f>
        <v>586560.37976564409</v>
      </c>
    </row>
    <row r="499" spans="1:9" s="946" customFormat="1" ht="24.95" customHeight="1" x14ac:dyDescent="0.25">
      <c r="B499" s="946" t="s">
        <v>3088</v>
      </c>
      <c r="C499" s="953" t="s">
        <v>3136</v>
      </c>
      <c r="E499" s="954"/>
      <c r="F499" s="955"/>
      <c r="H499" s="956"/>
      <c r="I499" s="957"/>
    </row>
    <row r="500" spans="1:9" s="946" customFormat="1" ht="24.95" customHeight="1" x14ac:dyDescent="0.25">
      <c r="B500" s="946" t="s">
        <v>3087</v>
      </c>
      <c r="C500" s="953" t="s">
        <v>4230</v>
      </c>
      <c r="E500" s="954"/>
      <c r="F500" s="955"/>
      <c r="H500" s="956"/>
      <c r="I500" s="957"/>
    </row>
    <row r="501" spans="1:9" s="946" customFormat="1" ht="24.95" customHeight="1" x14ac:dyDescent="0.25">
      <c r="B501" s="946" t="s">
        <v>3089</v>
      </c>
      <c r="C501" s="953" t="s">
        <v>3146</v>
      </c>
      <c r="E501" s="954"/>
      <c r="F501" s="955"/>
      <c r="H501" s="956"/>
      <c r="I501" s="957"/>
    </row>
    <row r="502" spans="1:9" ht="33.75" customHeight="1" x14ac:dyDescent="0.25">
      <c r="A502" s="958"/>
      <c r="B502" s="958" t="s">
        <v>2967</v>
      </c>
      <c r="C502" s="959" t="s">
        <v>472</v>
      </c>
      <c r="D502" s="958" t="s">
        <v>2968</v>
      </c>
      <c r="E502" s="954" t="s">
        <v>3066</v>
      </c>
      <c r="F502" s="960" t="s">
        <v>1403</v>
      </c>
      <c r="G502" s="958" t="s">
        <v>2969</v>
      </c>
      <c r="H502" s="958" t="s">
        <v>3065</v>
      </c>
      <c r="I502" s="961" t="s">
        <v>2531</v>
      </c>
    </row>
    <row r="503" spans="1:9" ht="15" customHeight="1" x14ac:dyDescent="0.25">
      <c r="A503" s="958"/>
      <c r="B503" s="962" t="s">
        <v>3138</v>
      </c>
      <c r="C503" s="959">
        <v>4</v>
      </c>
      <c r="D503" s="962" t="s">
        <v>3142</v>
      </c>
      <c r="E503" s="954"/>
      <c r="F503" s="960"/>
      <c r="G503" s="958"/>
      <c r="H503" s="958"/>
      <c r="I503" s="961">
        <f>I504</f>
        <v>8.33978628E-2</v>
      </c>
    </row>
    <row r="504" spans="1:9" ht="15" customHeight="1" x14ac:dyDescent="0.25">
      <c r="A504" s="958"/>
      <c r="B504" s="962" t="s">
        <v>3139</v>
      </c>
      <c r="C504" s="959">
        <v>123</v>
      </c>
      <c r="D504" s="962" t="s">
        <v>5779</v>
      </c>
      <c r="E504" s="989" t="s">
        <v>5780</v>
      </c>
      <c r="F504" s="960"/>
      <c r="G504" s="958"/>
      <c r="H504" s="958"/>
      <c r="I504" s="961">
        <f>I505</f>
        <v>8.33978628E-2</v>
      </c>
    </row>
    <row r="505" spans="1:9" ht="15" customHeight="1" x14ac:dyDescent="0.25">
      <c r="A505" s="958"/>
      <c r="B505" s="962" t="s">
        <v>3137</v>
      </c>
      <c r="C505" s="959">
        <v>3</v>
      </c>
      <c r="D505" s="962" t="s">
        <v>3145</v>
      </c>
      <c r="E505" s="954"/>
      <c r="F505" s="960"/>
      <c r="G505" s="958"/>
      <c r="H505" s="958"/>
      <c r="I505" s="961">
        <f>I506</f>
        <v>8.33978628E-2</v>
      </c>
    </row>
    <row r="506" spans="1:9" s="946" customFormat="1" ht="24.95" customHeight="1" x14ac:dyDescent="0.25">
      <c r="A506" s="958"/>
      <c r="B506" s="963" t="s">
        <v>2950</v>
      </c>
      <c r="C506" s="959" t="s">
        <v>3392</v>
      </c>
      <c r="D506" s="963" t="s">
        <v>3393</v>
      </c>
      <c r="E506" s="954"/>
      <c r="F506" s="960"/>
      <c r="G506" s="963"/>
      <c r="H506" s="956"/>
      <c r="I506" s="957">
        <f>SUM(I507,I508,I509,I510,I512,I513)</f>
        <v>8.33978628E-2</v>
      </c>
    </row>
    <row r="507" spans="1:9" s="946" customFormat="1" ht="24.95" customHeight="1" x14ac:dyDescent="0.25">
      <c r="A507" s="958"/>
      <c r="B507" s="963">
        <v>10000</v>
      </c>
      <c r="C507" s="964">
        <v>333904700000000</v>
      </c>
      <c r="D507" s="963" t="s">
        <v>3394</v>
      </c>
      <c r="E507" s="954"/>
      <c r="F507" s="960">
        <v>1</v>
      </c>
      <c r="G507" s="963">
        <v>0</v>
      </c>
      <c r="H507" s="956"/>
      <c r="I507" s="961">
        <f>((PUCFD!E456*(1+PUCFD!E$10))*(1+PUCFD!E$16))</f>
        <v>6.5840418E-3</v>
      </c>
    </row>
    <row r="508" spans="1:9" s="946" customFormat="1" ht="24.95" customHeight="1" x14ac:dyDescent="0.25">
      <c r="A508" s="958"/>
      <c r="B508" s="963">
        <v>10100</v>
      </c>
      <c r="C508" s="964">
        <v>344903000000000</v>
      </c>
      <c r="D508" s="963" t="s">
        <v>3395</v>
      </c>
      <c r="E508" s="954"/>
      <c r="F508" s="960">
        <v>1</v>
      </c>
      <c r="G508" s="963">
        <v>0</v>
      </c>
      <c r="H508" s="956"/>
      <c r="I508" s="961">
        <f>((PUCFD!E457*(1+PUCFD!E$10))*(1+PUCFD!E$16))</f>
        <v>2.1946805999999999E-2</v>
      </c>
    </row>
    <row r="509" spans="1:9" s="946" customFormat="1" ht="24.95" customHeight="1" x14ac:dyDescent="0.25">
      <c r="A509" s="958"/>
      <c r="B509" s="963">
        <v>10200</v>
      </c>
      <c r="C509" s="964">
        <v>344903600000000</v>
      </c>
      <c r="D509" s="963" t="s">
        <v>2955</v>
      </c>
      <c r="E509" s="954"/>
      <c r="F509" s="960">
        <v>1</v>
      </c>
      <c r="G509" s="963">
        <v>0</v>
      </c>
      <c r="H509" s="956"/>
      <c r="I509" s="961">
        <f>((PUCFD!E460*(1+PUCFD!E$10))*(1+PUCFD!E$16))</f>
        <v>1.0973403E-2</v>
      </c>
    </row>
    <row r="510" spans="1:9" s="946" customFormat="1" ht="24.95" customHeight="1" x14ac:dyDescent="0.25">
      <c r="A510" s="958"/>
      <c r="B510" s="963">
        <v>10300</v>
      </c>
      <c r="C510" s="964">
        <v>344903900000000</v>
      </c>
      <c r="D510" s="963" t="s">
        <v>3519</v>
      </c>
      <c r="E510" s="954"/>
      <c r="F510" s="960">
        <v>1</v>
      </c>
      <c r="G510" s="963">
        <v>0</v>
      </c>
      <c r="H510" s="956"/>
      <c r="I510" s="961">
        <f>SUM(I511)</f>
        <v>1.0973403E-2</v>
      </c>
    </row>
    <row r="511" spans="1:9" ht="24.95" customHeight="1" x14ac:dyDescent="0.25">
      <c r="A511" s="972"/>
      <c r="B511" s="973" t="s">
        <v>3520</v>
      </c>
      <c r="C511" s="974">
        <v>344903999990000</v>
      </c>
      <c r="D511" s="973" t="s">
        <v>3211</v>
      </c>
      <c r="E511" s="948">
        <v>0</v>
      </c>
      <c r="F511" s="960">
        <v>1</v>
      </c>
      <c r="G511" s="963">
        <v>0</v>
      </c>
      <c r="H511" s="956"/>
      <c r="I511" s="976">
        <f>((PUCFD!E461*(1+PUCFD!E$10))*(1+PUCFD!E$16))</f>
        <v>1.0973403E-2</v>
      </c>
    </row>
    <row r="512" spans="1:9" s="946" customFormat="1" ht="24.95" customHeight="1" x14ac:dyDescent="0.25">
      <c r="A512" s="958"/>
      <c r="B512" s="963">
        <v>10400</v>
      </c>
      <c r="C512" s="964">
        <v>344905100000000</v>
      </c>
      <c r="D512" s="963" t="s">
        <v>3521</v>
      </c>
      <c r="E512" s="954"/>
      <c r="F512" s="960">
        <v>1</v>
      </c>
      <c r="G512" s="963">
        <v>0</v>
      </c>
      <c r="H512" s="956"/>
      <c r="I512" s="961">
        <f>((PUCFD!E464*(1+PUCFD!E$10))*(1+PUCFD!E$16))</f>
        <v>1.0973403E-2</v>
      </c>
    </row>
    <row r="513" spans="1:11" s="946" customFormat="1" ht="24.95" customHeight="1" x14ac:dyDescent="0.25">
      <c r="A513" s="958"/>
      <c r="B513" s="963">
        <v>10500</v>
      </c>
      <c r="C513" s="964">
        <v>344905200000000</v>
      </c>
      <c r="D513" s="963" t="s">
        <v>2959</v>
      </c>
      <c r="E513" s="954"/>
      <c r="F513" s="960">
        <v>1</v>
      </c>
      <c r="G513" s="963">
        <v>0</v>
      </c>
      <c r="H513" s="956"/>
      <c r="I513" s="961">
        <f>SUM(I514,I515)</f>
        <v>2.1946805999999999E-2</v>
      </c>
    </row>
    <row r="514" spans="1:11" ht="24.95" customHeight="1" x14ac:dyDescent="0.25">
      <c r="A514" s="972"/>
      <c r="B514" s="973" t="s">
        <v>3522</v>
      </c>
      <c r="C514" s="974">
        <v>344905234000000</v>
      </c>
      <c r="D514" s="973" t="s">
        <v>3403</v>
      </c>
      <c r="E514" s="948">
        <v>0</v>
      </c>
      <c r="F514" s="975">
        <v>1</v>
      </c>
      <c r="G514" s="973">
        <v>0</v>
      </c>
      <c r="I514" s="976">
        <f>((PUCFD!E467*(1+PUCFD!E$10))*(1+PUCFD!E$16))</f>
        <v>1.0973403E-2</v>
      </c>
    </row>
    <row r="515" spans="1:11" ht="24.95" customHeight="1" x14ac:dyDescent="0.25">
      <c r="A515" s="972"/>
      <c r="B515" s="973" t="s">
        <v>3523</v>
      </c>
      <c r="C515" s="974">
        <v>344905235000000</v>
      </c>
      <c r="D515" s="973" t="s">
        <v>3401</v>
      </c>
      <c r="E515" s="948">
        <v>0</v>
      </c>
      <c r="F515" s="975">
        <v>1</v>
      </c>
      <c r="G515" s="973">
        <v>0</v>
      </c>
      <c r="I515" s="976">
        <f>((PUCFD!E468*(1+PUCFD!E$10))*(1+PUCFD!E$16))</f>
        <v>1.0973403E-2</v>
      </c>
    </row>
    <row r="516" spans="1:11" ht="15" customHeight="1" x14ac:dyDescent="0.25">
      <c r="A516" s="958"/>
      <c r="B516" s="962" t="s">
        <v>3138</v>
      </c>
      <c r="C516" s="959">
        <v>4</v>
      </c>
      <c r="D516" s="962" t="s">
        <v>3142</v>
      </c>
      <c r="E516" s="954"/>
      <c r="F516" s="960"/>
      <c r="G516" s="958"/>
      <c r="H516" s="958"/>
      <c r="I516" s="961">
        <f>I517</f>
        <v>873677.75982649461</v>
      </c>
    </row>
    <row r="517" spans="1:11" ht="15" customHeight="1" x14ac:dyDescent="0.25">
      <c r="A517" s="958"/>
      <c r="B517" s="962" t="s">
        <v>3139</v>
      </c>
      <c r="C517" s="959">
        <v>123</v>
      </c>
      <c r="D517" s="962" t="s">
        <v>5779</v>
      </c>
      <c r="E517" s="954"/>
      <c r="F517" s="960"/>
      <c r="G517" s="958"/>
      <c r="H517" s="958"/>
      <c r="I517" s="961">
        <f>I518</f>
        <v>873677.75982649461</v>
      </c>
    </row>
    <row r="518" spans="1:11" ht="15" customHeight="1" x14ac:dyDescent="0.25">
      <c r="A518" s="958"/>
      <c r="B518" s="962" t="s">
        <v>3137</v>
      </c>
      <c r="C518" s="959">
        <v>3</v>
      </c>
      <c r="D518" s="962" t="s">
        <v>3145</v>
      </c>
      <c r="E518" s="954"/>
      <c r="F518" s="960"/>
      <c r="G518" s="958"/>
      <c r="H518" s="958"/>
      <c r="I518" s="961">
        <f>I519</f>
        <v>873677.75982649461</v>
      </c>
    </row>
    <row r="519" spans="1:11" s="946" customFormat="1" ht="24.95" customHeight="1" x14ac:dyDescent="0.25">
      <c r="A519" s="958"/>
      <c r="B519" s="963" t="s">
        <v>2965</v>
      </c>
      <c r="C519" s="959">
        <v>2</v>
      </c>
      <c r="D519" s="963" t="s">
        <v>2966</v>
      </c>
      <c r="E519" s="954"/>
      <c r="F519" s="960"/>
      <c r="G519" s="963"/>
      <c r="H519" s="956"/>
      <c r="I519" s="957">
        <f>SUM(I520,I521,I523,I537,I541,I543,I544,I551,I556,I564,I566,I567,I568,I578,I580,I582,I584,I585,I587,I588,I589)</f>
        <v>873677.75982649461</v>
      </c>
    </row>
    <row r="520" spans="1:11" s="946" customFormat="1" ht="24.95" customHeight="1" x14ac:dyDescent="0.25">
      <c r="A520" s="958"/>
      <c r="B520" s="963">
        <v>10600</v>
      </c>
      <c r="C520" s="964">
        <v>331900400000000</v>
      </c>
      <c r="D520" s="963" t="s">
        <v>5781</v>
      </c>
      <c r="E520" s="954"/>
      <c r="F520" s="960">
        <v>1</v>
      </c>
      <c r="G520" s="963">
        <v>0</v>
      </c>
      <c r="H520" s="956"/>
      <c r="I520" s="961">
        <f>PUCFD!E470</f>
        <v>0.23333333333333334</v>
      </c>
    </row>
    <row r="521" spans="1:11" s="946" customFormat="1" ht="24.95" customHeight="1" x14ac:dyDescent="0.25">
      <c r="A521" s="958"/>
      <c r="B521" s="963">
        <v>10650</v>
      </c>
      <c r="C521" s="964">
        <v>331900800000000</v>
      </c>
      <c r="D521" s="963" t="s">
        <v>5782</v>
      </c>
      <c r="E521" s="954"/>
      <c r="F521" s="960">
        <v>1</v>
      </c>
      <c r="G521" s="963">
        <v>0</v>
      </c>
      <c r="H521" s="956"/>
      <c r="I521" s="961">
        <f>SUM(I522)</f>
        <v>51022.824889103053</v>
      </c>
    </row>
    <row r="522" spans="1:11" ht="24.95" customHeight="1" x14ac:dyDescent="0.25">
      <c r="A522" s="972"/>
      <c r="B522" s="973" t="s">
        <v>4233</v>
      </c>
      <c r="C522" s="974">
        <v>31900899040000</v>
      </c>
      <c r="D522" s="973" t="s">
        <v>4234</v>
      </c>
      <c r="F522" s="975"/>
      <c r="G522" s="973"/>
      <c r="I522" s="976">
        <f>SUM(I525,I528,I530,I542,I546,I548)*PUCFD!E$94</f>
        <v>51022.824889103053</v>
      </c>
    </row>
    <row r="523" spans="1:11" s="946" customFormat="1" ht="24.95" customHeight="1" x14ac:dyDescent="0.25">
      <c r="A523" s="958"/>
      <c r="B523" s="963">
        <v>10700</v>
      </c>
      <c r="C523" s="964">
        <v>331901100000000</v>
      </c>
      <c r="D523" s="963" t="s">
        <v>5783</v>
      </c>
      <c r="E523" s="954"/>
      <c r="F523" s="960">
        <v>1</v>
      </c>
      <c r="G523" s="963">
        <v>0</v>
      </c>
      <c r="H523" s="956"/>
      <c r="I523" s="961">
        <f>SUM(I524,I525,I526,I527,I528,I529,I530,I531,I532,I533,I534,I535,I536)-131457.56</f>
        <v>537457.01682794769</v>
      </c>
      <c r="J523" s="1013"/>
      <c r="K523" s="1012"/>
    </row>
    <row r="524" spans="1:11" ht="24.95" customHeight="1" x14ac:dyDescent="0.25">
      <c r="A524" s="972"/>
      <c r="B524" s="973" t="s">
        <v>3524</v>
      </c>
      <c r="C524" s="974">
        <v>331901143020000</v>
      </c>
      <c r="D524" s="973" t="s">
        <v>3525</v>
      </c>
      <c r="E524" s="948">
        <v>0</v>
      </c>
      <c r="F524" s="975">
        <v>1</v>
      </c>
      <c r="G524" s="973">
        <v>0</v>
      </c>
      <c r="I524" s="976">
        <f>PUCFD!E475*(1+PUCFD!E$87)</f>
        <v>7302.0370243257494</v>
      </c>
      <c r="J524" s="990"/>
    </row>
    <row r="525" spans="1:11" ht="24.95" customHeight="1" x14ac:dyDescent="0.25">
      <c r="A525" s="972"/>
      <c r="B525" s="973" t="s">
        <v>3526</v>
      </c>
      <c r="C525" s="974">
        <v>331901101010000</v>
      </c>
      <c r="D525" s="973" t="s">
        <v>3413</v>
      </c>
      <c r="E525" s="948">
        <v>311210101000000</v>
      </c>
      <c r="F525" s="975">
        <v>1</v>
      </c>
      <c r="G525" s="973">
        <v>0</v>
      </c>
      <c r="I525" s="976">
        <f>PUCFD!E476*12+PUCFD!E489*(1+PUCFD!E$87)</f>
        <v>313116.57155291957</v>
      </c>
    </row>
    <row r="526" spans="1:11" ht="24.95" customHeight="1" x14ac:dyDescent="0.25">
      <c r="A526" s="972"/>
      <c r="B526" s="973" t="s">
        <v>3527</v>
      </c>
      <c r="C526" s="974">
        <v>331901101010000</v>
      </c>
      <c r="D526" s="973" t="s">
        <v>2973</v>
      </c>
      <c r="E526" s="948">
        <v>311210101000000</v>
      </c>
      <c r="F526" s="975">
        <v>1</v>
      </c>
      <c r="G526" s="973">
        <v>0</v>
      </c>
      <c r="I526" s="976">
        <f>PUCFD!E477*12*(1+PUCFD!E$87)</f>
        <v>87624.444291908992</v>
      </c>
    </row>
    <row r="527" spans="1:11" ht="24.95" customHeight="1" x14ac:dyDescent="0.25">
      <c r="A527" s="972"/>
      <c r="B527" s="973" t="s">
        <v>3528</v>
      </c>
      <c r="C527" s="974">
        <v>331901104000000</v>
      </c>
      <c r="D527" s="973" t="s">
        <v>2761</v>
      </c>
      <c r="E527" s="948">
        <v>311210102000000</v>
      </c>
      <c r="F527" s="975">
        <v>1</v>
      </c>
      <c r="G527" s="973">
        <v>0</v>
      </c>
      <c r="I527" s="976">
        <f>PUCFD!E478*12*(1+PUCFD!E$87)</f>
        <v>629.99290595178093</v>
      </c>
    </row>
    <row r="528" spans="1:11" ht="24.95" customHeight="1" x14ac:dyDescent="0.25">
      <c r="A528" s="972"/>
      <c r="B528" s="973" t="s">
        <v>3529</v>
      </c>
      <c r="C528" s="974">
        <v>331901145000000</v>
      </c>
      <c r="D528" s="973" t="s">
        <v>3530</v>
      </c>
      <c r="E528" s="948">
        <v>0</v>
      </c>
      <c r="F528" s="975">
        <v>1</v>
      </c>
      <c r="G528" s="973">
        <v>0</v>
      </c>
      <c r="I528" s="976">
        <f>PUCFD!E479*(1+PUCFD!E$87)</f>
        <v>14611.397085439354</v>
      </c>
    </row>
    <row r="529" spans="1:9" ht="24.95" customHeight="1" x14ac:dyDescent="0.25">
      <c r="A529" s="972"/>
      <c r="B529" s="973" t="s">
        <v>3531</v>
      </c>
      <c r="C529" s="974">
        <v>331901101050000</v>
      </c>
      <c r="D529" s="973" t="s">
        <v>3532</v>
      </c>
      <c r="E529" s="948">
        <v>311210299000000</v>
      </c>
      <c r="F529" s="975">
        <v>1</v>
      </c>
      <c r="G529" s="973">
        <v>0</v>
      </c>
      <c r="I529" s="976">
        <f>PUCFD!E481*(1+PUCFD!E$87)</f>
        <v>2115.6841762943341</v>
      </c>
    </row>
    <row r="530" spans="1:9" ht="24.95" customHeight="1" x14ac:dyDescent="0.25">
      <c r="A530" s="972"/>
      <c r="B530" s="973" t="s">
        <v>3533</v>
      </c>
      <c r="C530" s="974">
        <v>331901137000000</v>
      </c>
      <c r="D530" s="973" t="s">
        <v>3411</v>
      </c>
      <c r="E530" s="948">
        <v>311210118000000</v>
      </c>
      <c r="F530" s="975">
        <v>1</v>
      </c>
      <c r="G530" s="973">
        <v>0</v>
      </c>
      <c r="I530" s="976">
        <f>PUCFD!E482*12*(1+PUCFD!E$87)</f>
        <v>87103.149407577614</v>
      </c>
    </row>
    <row r="531" spans="1:9" ht="24.95" customHeight="1" x14ac:dyDescent="0.25">
      <c r="A531" s="972"/>
      <c r="B531" s="973" t="s">
        <v>3534</v>
      </c>
      <c r="C531" s="974">
        <v>331901174000000</v>
      </c>
      <c r="D531" s="973" t="s">
        <v>3535</v>
      </c>
      <c r="E531" s="948">
        <v>311210131000000</v>
      </c>
      <c r="F531" s="975">
        <v>1</v>
      </c>
      <c r="G531" s="973">
        <v>0</v>
      </c>
      <c r="I531" s="976">
        <f>PUCFD!E483*12*(1+PUCFD!E$87)</f>
        <v>65205.553005789763</v>
      </c>
    </row>
    <row r="532" spans="1:9" ht="24.95" customHeight="1" x14ac:dyDescent="0.25">
      <c r="A532" s="972"/>
      <c r="B532" s="973" t="s">
        <v>3536</v>
      </c>
      <c r="C532" s="974">
        <v>331901143000000</v>
      </c>
      <c r="D532" s="973" t="s">
        <v>3537</v>
      </c>
      <c r="E532" s="948">
        <v>0</v>
      </c>
      <c r="F532" s="975">
        <v>1</v>
      </c>
      <c r="G532" s="973">
        <v>0</v>
      </c>
      <c r="I532" s="976">
        <f>PUCFD!E484*(1+PUCFD!E$87)</f>
        <v>40913.376446587776</v>
      </c>
    </row>
    <row r="533" spans="1:9" ht="24.95" customHeight="1" x14ac:dyDescent="0.25">
      <c r="A533" s="972"/>
      <c r="B533" s="973" t="s">
        <v>4231</v>
      </c>
      <c r="C533" s="974">
        <v>331901145000000</v>
      </c>
      <c r="D533" s="973" t="s">
        <v>4232</v>
      </c>
      <c r="E533" s="948">
        <v>0</v>
      </c>
      <c r="F533" s="975">
        <v>1</v>
      </c>
      <c r="G533" s="973">
        <v>0</v>
      </c>
      <c r="I533" s="976">
        <f>PUCFD!E485*(1+PUCFD!E$87)</f>
        <v>1811.2653612719378</v>
      </c>
    </row>
    <row r="534" spans="1:9" ht="24.95" customHeight="1" x14ac:dyDescent="0.25">
      <c r="A534" s="972"/>
      <c r="B534" s="973" t="s">
        <v>5802</v>
      </c>
      <c r="C534" s="974">
        <v>331901133000000</v>
      </c>
      <c r="D534" s="973" t="s">
        <v>5803</v>
      </c>
      <c r="E534" s="948">
        <v>0</v>
      </c>
      <c r="F534" s="975">
        <v>1</v>
      </c>
      <c r="G534" s="973">
        <v>0</v>
      </c>
      <c r="I534" s="976">
        <f>PUCFD!E486+PUCFD!E487*12*(1+PUCFD!E$87)</f>
        <v>40613.297144623037</v>
      </c>
    </row>
    <row r="535" spans="1:9" ht="24.95" customHeight="1" x14ac:dyDescent="0.25">
      <c r="A535" s="972"/>
      <c r="B535" s="973" t="s">
        <v>7717</v>
      </c>
      <c r="C535" s="974">
        <v>331901143000000</v>
      </c>
      <c r="D535" s="973" t="s">
        <v>7718</v>
      </c>
      <c r="E535" s="948">
        <v>0</v>
      </c>
      <c r="F535" s="975">
        <v>1</v>
      </c>
      <c r="G535" s="973">
        <v>0</v>
      </c>
      <c r="H535" s="1356"/>
      <c r="I535" s="976">
        <f>PUCFD!E488*(1+PUCFD!E$87)</f>
        <v>5433.7960838158133</v>
      </c>
    </row>
    <row r="536" spans="1:9" ht="24.95" customHeight="1" x14ac:dyDescent="0.25">
      <c r="A536" s="972"/>
      <c r="B536" s="973" t="s">
        <v>7719</v>
      </c>
      <c r="C536" s="974">
        <v>331901145000000</v>
      </c>
      <c r="D536" s="973" t="s">
        <v>7720</v>
      </c>
      <c r="E536" s="948">
        <v>0</v>
      </c>
      <c r="F536" s="975">
        <v>1</v>
      </c>
      <c r="G536" s="973">
        <v>0</v>
      </c>
      <c r="H536" s="1356"/>
      <c r="I536" s="976">
        <f>PUCFD!E480*(1+PUCFD!E$87)</f>
        <v>2434.0123414419168</v>
      </c>
    </row>
    <row r="537" spans="1:9" s="946" customFormat="1" ht="24.95" customHeight="1" x14ac:dyDescent="0.25">
      <c r="A537" s="958"/>
      <c r="B537" s="963">
        <v>10800</v>
      </c>
      <c r="C537" s="964">
        <v>331901300000000</v>
      </c>
      <c r="D537" s="963" t="s">
        <v>5784</v>
      </c>
      <c r="E537" s="954"/>
      <c r="F537" s="960">
        <v>1</v>
      </c>
      <c r="G537" s="963">
        <v>0</v>
      </c>
      <c r="H537" s="956"/>
      <c r="I537" s="961">
        <f>SUM(I523,I541,I543,I544)*PUCFD!E$92</f>
        <v>118600.61312038086</v>
      </c>
    </row>
    <row r="538" spans="1:9" ht="24.95" customHeight="1" x14ac:dyDescent="0.25">
      <c r="A538" s="972"/>
      <c r="B538" s="973" t="s">
        <v>3538</v>
      </c>
      <c r="C538" s="974">
        <v>331901302010000</v>
      </c>
      <c r="D538" s="973" t="s">
        <v>3539</v>
      </c>
      <c r="E538" s="948">
        <v>312210100000000</v>
      </c>
      <c r="F538" s="975">
        <v>1</v>
      </c>
      <c r="G538" s="973">
        <v>0</v>
      </c>
      <c r="I538" s="976">
        <v>0</v>
      </c>
    </row>
    <row r="539" spans="1:9" ht="24.95" customHeight="1" x14ac:dyDescent="0.25">
      <c r="A539" s="972"/>
      <c r="B539" s="973" t="s">
        <v>3540</v>
      </c>
      <c r="C539" s="974">
        <v>331901302030000</v>
      </c>
      <c r="D539" s="973" t="s">
        <v>3541</v>
      </c>
      <c r="E539" s="948">
        <v>312210100000000</v>
      </c>
      <c r="F539" s="975">
        <v>1</v>
      </c>
      <c r="G539" s="973">
        <v>0</v>
      </c>
      <c r="I539" s="976">
        <v>0</v>
      </c>
    </row>
    <row r="540" spans="1:9" ht="24.95" customHeight="1" x14ac:dyDescent="0.25">
      <c r="A540" s="972"/>
      <c r="B540" s="973" t="s">
        <v>3542</v>
      </c>
      <c r="C540" s="974">
        <v>331901302010000</v>
      </c>
      <c r="D540" s="973" t="s">
        <v>3543</v>
      </c>
      <c r="E540" s="948">
        <v>312210100000000</v>
      </c>
      <c r="F540" s="975">
        <v>1</v>
      </c>
      <c r="G540" s="973">
        <v>0</v>
      </c>
      <c r="I540" s="976">
        <v>0</v>
      </c>
    </row>
    <row r="541" spans="1:9" s="946" customFormat="1" ht="24.95" customHeight="1" x14ac:dyDescent="0.25">
      <c r="A541" s="958"/>
      <c r="B541" s="963">
        <v>10900</v>
      </c>
      <c r="C541" s="964">
        <v>331901600000000</v>
      </c>
      <c r="D541" s="963" t="s">
        <v>5785</v>
      </c>
      <c r="E541" s="954"/>
      <c r="F541" s="960">
        <v>1</v>
      </c>
      <c r="G541" s="963">
        <v>0</v>
      </c>
      <c r="H541" s="956"/>
      <c r="I541" s="961">
        <f>SUM(I542)</f>
        <v>27307.725811108947</v>
      </c>
    </row>
    <row r="542" spans="1:9" ht="24.95" customHeight="1" x14ac:dyDescent="0.25">
      <c r="A542" s="972"/>
      <c r="B542" s="973" t="s">
        <v>3544</v>
      </c>
      <c r="C542" s="974">
        <v>331901644000000</v>
      </c>
      <c r="D542" s="973" t="s">
        <v>3433</v>
      </c>
      <c r="E542" s="948">
        <v>311210203000000</v>
      </c>
      <c r="F542" s="975">
        <v>1</v>
      </c>
      <c r="G542" s="973">
        <v>0</v>
      </c>
      <c r="I542" s="976">
        <f>PUCFD!E492*(1+PUCFD!E$85)*(1+PUCFD!E$86)*(1+PUCFD!E$87)</f>
        <v>27307.725811108947</v>
      </c>
    </row>
    <row r="543" spans="1:9" s="946" customFormat="1" ht="24.95" customHeight="1" x14ac:dyDescent="0.25">
      <c r="A543" s="958"/>
      <c r="B543" s="963">
        <v>10950</v>
      </c>
      <c r="C543" s="964">
        <v>331903400000000</v>
      </c>
      <c r="D543" s="963" t="s">
        <v>5786</v>
      </c>
      <c r="E543" s="954"/>
      <c r="F543" s="960">
        <v>1</v>
      </c>
      <c r="G543" s="963">
        <v>0</v>
      </c>
      <c r="H543" s="956"/>
      <c r="I543" s="961">
        <f>SUM(PUCFD!E494,PUCFD!E495)*(1+PUCFD!E$85)*(1+PUCFD!E$86)</f>
        <v>2.1743709365217391E-2</v>
      </c>
    </row>
    <row r="544" spans="1:9" s="946" customFormat="1" ht="24.95" customHeight="1" x14ac:dyDescent="0.25">
      <c r="A544" s="958"/>
      <c r="B544" s="963">
        <v>11000</v>
      </c>
      <c r="C544" s="964">
        <v>331909400000000</v>
      </c>
      <c r="D544" s="963" t="s">
        <v>5787</v>
      </c>
      <c r="E544" s="954"/>
      <c r="F544" s="960">
        <v>1</v>
      </c>
      <c r="G544" s="963">
        <v>0</v>
      </c>
      <c r="H544" s="956"/>
      <c r="I544" s="961">
        <f>SUM(I545,I546,I547,I548,I549,I550)</f>
        <v>6.0000000000000005E-2</v>
      </c>
    </row>
    <row r="545" spans="1:9" ht="24.95" customHeight="1" x14ac:dyDescent="0.25">
      <c r="A545" s="972"/>
      <c r="B545" s="973" t="s">
        <v>3545</v>
      </c>
      <c r="C545" s="974">
        <v>331909401030000</v>
      </c>
      <c r="D545" s="973" t="s">
        <v>3546</v>
      </c>
      <c r="E545" s="948">
        <v>0</v>
      </c>
      <c r="F545" s="975">
        <v>1</v>
      </c>
      <c r="G545" s="973">
        <v>0</v>
      </c>
      <c r="I545" s="976">
        <f>PUCFD!E497</f>
        <v>0.01</v>
      </c>
    </row>
    <row r="546" spans="1:9" ht="24.95" customHeight="1" x14ac:dyDescent="0.25">
      <c r="A546" s="972"/>
      <c r="B546" s="973" t="s">
        <v>3547</v>
      </c>
      <c r="C546" s="974">
        <v>331909401030000</v>
      </c>
      <c r="D546" s="973" t="s">
        <v>3548</v>
      </c>
      <c r="E546" s="948">
        <v>0</v>
      </c>
      <c r="F546" s="975">
        <v>1</v>
      </c>
      <c r="G546" s="973">
        <v>0</v>
      </c>
      <c r="I546" s="976">
        <f>PUCFD!E498</f>
        <v>0.01</v>
      </c>
    </row>
    <row r="547" spans="1:9" ht="24.95" customHeight="1" x14ac:dyDescent="0.25">
      <c r="A547" s="972"/>
      <c r="B547" s="973" t="s">
        <v>3549</v>
      </c>
      <c r="C547" s="974">
        <v>331909401030000</v>
      </c>
      <c r="D547" s="973" t="s">
        <v>3550</v>
      </c>
      <c r="E547" s="948">
        <v>0</v>
      </c>
      <c r="F547" s="975">
        <v>1</v>
      </c>
      <c r="G547" s="973">
        <v>0</v>
      </c>
      <c r="I547" s="976">
        <f>PUCFD!E499</f>
        <v>0.01</v>
      </c>
    </row>
    <row r="548" spans="1:9" ht="24.95" customHeight="1" x14ac:dyDescent="0.25">
      <c r="A548" s="972"/>
      <c r="B548" s="973" t="s">
        <v>3551</v>
      </c>
      <c r="C548" s="974">
        <v>331909401030000</v>
      </c>
      <c r="D548" s="973" t="s">
        <v>3552</v>
      </c>
      <c r="E548" s="948">
        <v>0</v>
      </c>
      <c r="F548" s="975">
        <v>1</v>
      </c>
      <c r="G548" s="973">
        <v>0</v>
      </c>
      <c r="I548" s="976">
        <f>PUCFD!E500</f>
        <v>0.01</v>
      </c>
    </row>
    <row r="549" spans="1:9" ht="24.95" customHeight="1" x14ac:dyDescent="0.25">
      <c r="A549" s="972"/>
      <c r="B549" s="973" t="s">
        <v>3553</v>
      </c>
      <c r="C549" s="974">
        <v>331909401030000</v>
      </c>
      <c r="D549" s="973" t="s">
        <v>3554</v>
      </c>
      <c r="E549" s="948">
        <v>0</v>
      </c>
      <c r="F549" s="975">
        <v>1</v>
      </c>
      <c r="G549" s="973">
        <v>0</v>
      </c>
      <c r="I549" s="976">
        <f>PUCFD!E501</f>
        <v>0.01</v>
      </c>
    </row>
    <row r="550" spans="1:9" ht="24.95" customHeight="1" x14ac:dyDescent="0.25">
      <c r="A550" s="972"/>
      <c r="B550" s="973" t="s">
        <v>3555</v>
      </c>
      <c r="C550" s="974">
        <v>331909401030000</v>
      </c>
      <c r="D550" s="973" t="s">
        <v>3556</v>
      </c>
      <c r="E550" s="948">
        <v>0</v>
      </c>
      <c r="F550" s="975">
        <v>1</v>
      </c>
      <c r="G550" s="973">
        <v>0</v>
      </c>
      <c r="I550" s="976">
        <f>PUCFD!E502</f>
        <v>0.01</v>
      </c>
    </row>
    <row r="551" spans="1:9" s="946" customFormat="1" ht="24.95" customHeight="1" x14ac:dyDescent="0.25">
      <c r="A551" s="958"/>
      <c r="B551" s="963">
        <v>11100</v>
      </c>
      <c r="C551" s="964">
        <v>333901400000000</v>
      </c>
      <c r="D551" s="963" t="s">
        <v>5788</v>
      </c>
      <c r="E551" s="954"/>
      <c r="F551" s="960">
        <v>1</v>
      </c>
      <c r="G551" s="963">
        <v>0</v>
      </c>
      <c r="H551" s="956"/>
      <c r="I551" s="961">
        <f>SUM(I552,I553,I554,I555)</f>
        <v>7305.8863467130441</v>
      </c>
    </row>
    <row r="552" spans="1:9" ht="24.95" customHeight="1" x14ac:dyDescent="0.25">
      <c r="A552" s="972"/>
      <c r="B552" s="973" t="s">
        <v>3557</v>
      </c>
      <c r="C552" s="974">
        <v>333901414040000</v>
      </c>
      <c r="D552" s="973" t="s">
        <v>3558</v>
      </c>
      <c r="E552" s="948">
        <v>332110100000000</v>
      </c>
      <c r="F552" s="975">
        <v>1</v>
      </c>
      <c r="G552" s="973">
        <v>0</v>
      </c>
      <c r="I552" s="976">
        <f>PUCFD!E504*(1+PUCFD!E$85)*(1+PUCFD!E$86)</f>
        <v>1087.1854682608696</v>
      </c>
    </row>
    <row r="553" spans="1:9" ht="24.95" customHeight="1" x14ac:dyDescent="0.25">
      <c r="A553" s="972"/>
      <c r="B553" s="973" t="s">
        <v>3559</v>
      </c>
      <c r="C553" s="974">
        <v>333901414020000</v>
      </c>
      <c r="D553" s="973" t="s">
        <v>3290</v>
      </c>
      <c r="E553" s="948">
        <v>332110100000000</v>
      </c>
      <c r="F553" s="975">
        <v>1</v>
      </c>
      <c r="G553" s="973">
        <v>0</v>
      </c>
      <c r="I553" s="976">
        <f>PUCFD!E505*(1+PUCFD!E$85)*(1+PUCFD!E$86)</f>
        <v>4840.1497046973909</v>
      </c>
    </row>
    <row r="554" spans="1:9" ht="24.95" customHeight="1" x14ac:dyDescent="0.25">
      <c r="A554" s="972"/>
      <c r="B554" s="973" t="s">
        <v>3560</v>
      </c>
      <c r="C554" s="974">
        <v>333901414030000</v>
      </c>
      <c r="D554" s="973" t="s">
        <v>3286</v>
      </c>
      <c r="E554" s="948">
        <v>332110100000000</v>
      </c>
      <c r="F554" s="975">
        <v>1</v>
      </c>
      <c r="G554" s="973">
        <v>0</v>
      </c>
      <c r="I554" s="976">
        <f>PUCFD!E506*(1+PUCFD!E$85)*(1+PUCFD!E$86)</f>
        <v>834.95843962434776</v>
      </c>
    </row>
    <row r="555" spans="1:9" ht="24.95" customHeight="1" x14ac:dyDescent="0.25">
      <c r="A555" s="972"/>
      <c r="B555" s="973" t="s">
        <v>3561</v>
      </c>
      <c r="C555" s="974">
        <v>333901414010000</v>
      </c>
      <c r="D555" s="973" t="s">
        <v>3288</v>
      </c>
      <c r="E555" s="948">
        <v>332110100000000</v>
      </c>
      <c r="F555" s="975">
        <v>1</v>
      </c>
      <c r="G555" s="973">
        <v>0</v>
      </c>
      <c r="I555" s="976">
        <f>PUCFD!E507*(1+PUCFD!E$85)*(1+PUCFD!E$86)</f>
        <v>543.59273413043479</v>
      </c>
    </row>
    <row r="556" spans="1:9" s="946" customFormat="1" ht="24.95" customHeight="1" x14ac:dyDescent="0.25">
      <c r="A556" s="958"/>
      <c r="B556" s="963">
        <v>11200</v>
      </c>
      <c r="C556" s="964">
        <v>333903000000000</v>
      </c>
      <c r="D556" s="963" t="s">
        <v>5789</v>
      </c>
      <c r="E556" s="954"/>
      <c r="F556" s="960">
        <v>1</v>
      </c>
      <c r="G556" s="963">
        <v>0</v>
      </c>
      <c r="H556" s="956"/>
      <c r="I556" s="961">
        <f>((PUCFD!E508*(1+PUCFD!E$10))*(1+PUCFD!E$16))*(1+PUCFD!E$18)-10000-5000-5000</f>
        <v>13329.489874992993</v>
      </c>
    </row>
    <row r="557" spans="1:9" ht="24.95" customHeight="1" x14ac:dyDescent="0.25">
      <c r="A557" s="972"/>
      <c r="B557" s="973" t="s">
        <v>3563</v>
      </c>
      <c r="C557" s="974">
        <v>333903016000000</v>
      </c>
      <c r="D557" s="973" t="s">
        <v>3194</v>
      </c>
      <c r="E557" s="948">
        <v>331111600000000</v>
      </c>
      <c r="F557" s="975">
        <v>1</v>
      </c>
      <c r="G557" s="973">
        <v>0</v>
      </c>
      <c r="I557" s="976">
        <v>0</v>
      </c>
    </row>
    <row r="558" spans="1:9" ht="24.95" customHeight="1" x14ac:dyDescent="0.25">
      <c r="A558" s="972"/>
      <c r="B558" s="973" t="s">
        <v>3564</v>
      </c>
      <c r="C558" s="974">
        <v>333903004000000</v>
      </c>
      <c r="D558" s="973" t="s">
        <v>3565</v>
      </c>
      <c r="E558" s="948">
        <v>331110300000000</v>
      </c>
      <c r="F558" s="975">
        <v>1</v>
      </c>
      <c r="G558" s="973">
        <v>0</v>
      </c>
      <c r="I558" s="976">
        <v>0</v>
      </c>
    </row>
    <row r="559" spans="1:9" ht="24.95" customHeight="1" x14ac:dyDescent="0.25">
      <c r="A559" s="972"/>
      <c r="B559" s="973" t="s">
        <v>3566</v>
      </c>
      <c r="C559" s="974">
        <v>333903017000000</v>
      </c>
      <c r="D559" s="973" t="s">
        <v>3186</v>
      </c>
      <c r="E559" s="948">
        <v>331111700000000</v>
      </c>
      <c r="F559" s="975">
        <v>1</v>
      </c>
      <c r="G559" s="973">
        <v>0</v>
      </c>
      <c r="I559" s="976">
        <v>0</v>
      </c>
    </row>
    <row r="560" spans="1:9" ht="24.95" customHeight="1" x14ac:dyDescent="0.25">
      <c r="A560" s="972"/>
      <c r="B560" s="973" t="s">
        <v>3567</v>
      </c>
      <c r="C560" s="974">
        <v>333903026000000</v>
      </c>
      <c r="D560" s="973" t="s">
        <v>3238</v>
      </c>
      <c r="E560" s="948">
        <v>331112600000000</v>
      </c>
      <c r="F560" s="975">
        <v>1</v>
      </c>
      <c r="G560" s="973">
        <v>0</v>
      </c>
      <c r="I560" s="976">
        <v>0</v>
      </c>
    </row>
    <row r="561" spans="1:9" ht="24.95" customHeight="1" x14ac:dyDescent="0.25">
      <c r="A561" s="972"/>
      <c r="B561" s="973" t="s">
        <v>3568</v>
      </c>
      <c r="C561" s="974">
        <v>333903007000000</v>
      </c>
      <c r="D561" s="973" t="s">
        <v>3451</v>
      </c>
      <c r="E561" s="948">
        <v>331110600000000</v>
      </c>
      <c r="F561" s="975">
        <v>1</v>
      </c>
      <c r="G561" s="973">
        <v>0</v>
      </c>
      <c r="I561" s="976">
        <v>0</v>
      </c>
    </row>
    <row r="562" spans="1:9" ht="24.95" customHeight="1" x14ac:dyDescent="0.25">
      <c r="A562" s="972"/>
      <c r="B562" s="973" t="s">
        <v>3569</v>
      </c>
      <c r="C562" s="974">
        <v>333903007000000</v>
      </c>
      <c r="D562" s="973" t="s">
        <v>3470</v>
      </c>
      <c r="E562" s="948">
        <v>0</v>
      </c>
      <c r="F562" s="975">
        <v>1</v>
      </c>
      <c r="G562" s="973">
        <v>0</v>
      </c>
      <c r="I562" s="976">
        <v>0</v>
      </c>
    </row>
    <row r="563" spans="1:9" ht="24.95" customHeight="1" x14ac:dyDescent="0.25">
      <c r="A563" s="972"/>
      <c r="B563" s="973" t="s">
        <v>3570</v>
      </c>
      <c r="C563" s="974">
        <v>333903024000000</v>
      </c>
      <c r="D563" s="973" t="s">
        <v>3571</v>
      </c>
      <c r="E563" s="948">
        <v>331112400000000</v>
      </c>
      <c r="F563" s="975">
        <v>1</v>
      </c>
      <c r="G563" s="973">
        <v>0</v>
      </c>
      <c r="I563" s="976">
        <v>0</v>
      </c>
    </row>
    <row r="564" spans="1:9" s="946" customFormat="1" ht="24.95" customHeight="1" x14ac:dyDescent="0.25">
      <c r="A564" s="958"/>
      <c r="B564" s="963">
        <v>11400</v>
      </c>
      <c r="C564" s="964">
        <v>333903300000000</v>
      </c>
      <c r="D564" s="963" t="s">
        <v>5790</v>
      </c>
      <c r="E564" s="954"/>
      <c r="F564" s="960">
        <v>1</v>
      </c>
      <c r="G564" s="963">
        <v>0</v>
      </c>
      <c r="H564" s="956"/>
      <c r="I564" s="961">
        <f>SUM(I565)</f>
        <v>6243.2353363274997</v>
      </c>
    </row>
    <row r="565" spans="1:9" ht="24.95" customHeight="1" x14ac:dyDescent="0.25">
      <c r="A565" s="972"/>
      <c r="B565" s="973" t="s">
        <v>3573</v>
      </c>
      <c r="C565" s="974">
        <v>333903301000000</v>
      </c>
      <c r="D565" s="973" t="s">
        <v>3574</v>
      </c>
      <c r="E565" s="948">
        <v>332315600000000</v>
      </c>
      <c r="F565" s="975">
        <v>1</v>
      </c>
      <c r="G565" s="973">
        <v>0</v>
      </c>
      <c r="I565" s="976">
        <f>((PUCFD!E510*(1+PUCFD!E$10))*(1+PUCFD!E$16))</f>
        <v>6243.2353363274997</v>
      </c>
    </row>
    <row r="566" spans="1:9" s="946" customFormat="1" ht="24.95" customHeight="1" x14ac:dyDescent="0.25">
      <c r="A566" s="958"/>
      <c r="B566" s="963">
        <v>11500</v>
      </c>
      <c r="C566" s="964">
        <v>333903500000000</v>
      </c>
      <c r="D566" s="963" t="s">
        <v>5791</v>
      </c>
      <c r="E566" s="954"/>
      <c r="F566" s="975">
        <v>1</v>
      </c>
      <c r="G566" s="973">
        <v>0</v>
      </c>
      <c r="H566" s="950"/>
      <c r="I566" s="961">
        <f>((PUCFD!E511*(1+PUCFD!E$10))*(1+PUCFD!E$16))</f>
        <v>1.0973403E-2</v>
      </c>
    </row>
    <row r="567" spans="1:9" s="946" customFormat="1" ht="24.95" customHeight="1" x14ac:dyDescent="0.25">
      <c r="A567" s="958"/>
      <c r="B567" s="963">
        <v>11600</v>
      </c>
      <c r="C567" s="964">
        <v>333903600000000</v>
      </c>
      <c r="D567" s="963" t="s">
        <v>5792</v>
      </c>
      <c r="E567" s="954"/>
      <c r="F567" s="975">
        <v>1</v>
      </c>
      <c r="G567" s="973">
        <v>0</v>
      </c>
      <c r="H567" s="950"/>
      <c r="I567" s="961">
        <f>((PUCFD!E512*(1+PUCFD!E$10))*(1+PUCFD!E$16))</f>
        <v>1.0973403E-2</v>
      </c>
    </row>
    <row r="568" spans="1:9" s="946" customFormat="1" ht="24.95" customHeight="1" x14ac:dyDescent="0.25">
      <c r="A568" s="958"/>
      <c r="B568" s="963">
        <v>11700</v>
      </c>
      <c r="C568" s="964">
        <v>333903900000000</v>
      </c>
      <c r="D568" s="963" t="s">
        <v>5793</v>
      </c>
      <c r="E568" s="954"/>
      <c r="F568" s="960">
        <v>1</v>
      </c>
      <c r="G568" s="963">
        <v>0</v>
      </c>
      <c r="H568" s="956"/>
      <c r="I568" s="961">
        <f>((PUCFD!E513*(1+PUCFD!E$10))*(1+PUCFD!E$16))-10000-10000</f>
        <v>9598.0661087650042</v>
      </c>
    </row>
    <row r="569" spans="1:9" ht="24.95" customHeight="1" x14ac:dyDescent="0.25">
      <c r="A569" s="972"/>
      <c r="B569" s="973" t="s">
        <v>3575</v>
      </c>
      <c r="C569" s="974">
        <v>333903943000000</v>
      </c>
      <c r="D569" s="973" t="s">
        <v>3032</v>
      </c>
      <c r="E569" s="948">
        <v>332310800000000</v>
      </c>
      <c r="F569" s="975">
        <v>1</v>
      </c>
      <c r="G569" s="973">
        <v>0</v>
      </c>
      <c r="I569" s="976">
        <v>0</v>
      </c>
    </row>
    <row r="570" spans="1:9" ht="24.95" customHeight="1" x14ac:dyDescent="0.25">
      <c r="A570" s="972"/>
      <c r="B570" s="973" t="s">
        <v>3576</v>
      </c>
      <c r="C570" s="974">
        <v>333903958010000</v>
      </c>
      <c r="D570" s="973" t="s">
        <v>3577</v>
      </c>
      <c r="E570" s="948">
        <v>332310800000000</v>
      </c>
      <c r="F570" s="975">
        <v>1</v>
      </c>
      <c r="G570" s="973">
        <v>0</v>
      </c>
      <c r="I570" s="976">
        <v>0</v>
      </c>
    </row>
    <row r="571" spans="1:9" ht="24.95" customHeight="1" x14ac:dyDescent="0.25">
      <c r="A571" s="972"/>
      <c r="B571" s="973" t="s">
        <v>3578</v>
      </c>
      <c r="C571" s="974">
        <v>333903948000000</v>
      </c>
      <c r="D571" s="973" t="s">
        <v>3579</v>
      </c>
      <c r="E571" s="948">
        <v>332313000000000</v>
      </c>
      <c r="F571" s="975">
        <v>1</v>
      </c>
      <c r="G571" s="973">
        <v>0</v>
      </c>
      <c r="I571" s="976">
        <v>0</v>
      </c>
    </row>
    <row r="572" spans="1:9" ht="24.95" customHeight="1" x14ac:dyDescent="0.25">
      <c r="A572" s="972"/>
      <c r="B572" s="973" t="s">
        <v>3580</v>
      </c>
      <c r="C572" s="974">
        <v>333903958030000</v>
      </c>
      <c r="D572" s="973" t="s">
        <v>3581</v>
      </c>
      <c r="E572" s="948">
        <v>332310800000000</v>
      </c>
      <c r="F572" s="975">
        <v>1</v>
      </c>
      <c r="G572" s="973">
        <v>0</v>
      </c>
      <c r="I572" s="976">
        <v>0</v>
      </c>
    </row>
    <row r="573" spans="1:9" ht="24.95" customHeight="1" x14ac:dyDescent="0.25">
      <c r="A573" s="972"/>
      <c r="B573" s="973" t="s">
        <v>3582</v>
      </c>
      <c r="C573" s="974">
        <v>333903999040000</v>
      </c>
      <c r="D573" s="973" t="s">
        <v>3583</v>
      </c>
      <c r="E573" s="948">
        <v>332319900000000</v>
      </c>
      <c r="F573" s="975">
        <v>1</v>
      </c>
      <c r="G573" s="973">
        <v>0</v>
      </c>
      <c r="I573" s="976">
        <v>0</v>
      </c>
    </row>
    <row r="574" spans="1:9" ht="24.95" customHeight="1" x14ac:dyDescent="0.25">
      <c r="A574" s="972"/>
      <c r="B574" s="973" t="s">
        <v>3584</v>
      </c>
      <c r="C574" s="974">
        <v>333903999010000</v>
      </c>
      <c r="D574" s="973" t="s">
        <v>3224</v>
      </c>
      <c r="E574" s="948">
        <v>332319900000000</v>
      </c>
      <c r="F574" s="975">
        <v>1</v>
      </c>
      <c r="G574" s="973">
        <v>0</v>
      </c>
      <c r="I574" s="976">
        <v>0</v>
      </c>
    </row>
    <row r="575" spans="1:9" ht="24.95" customHeight="1" x14ac:dyDescent="0.25">
      <c r="A575" s="972"/>
      <c r="B575" s="973" t="s">
        <v>3585</v>
      </c>
      <c r="C575" s="974">
        <v>333903963000000</v>
      </c>
      <c r="D575" s="973" t="s">
        <v>3586</v>
      </c>
      <c r="E575" s="948">
        <v>332314600000000</v>
      </c>
      <c r="F575" s="975">
        <v>1</v>
      </c>
      <c r="G575" s="973">
        <v>0</v>
      </c>
      <c r="I575" s="976">
        <v>0</v>
      </c>
    </row>
    <row r="576" spans="1:9" ht="24.95" customHeight="1" x14ac:dyDescent="0.25">
      <c r="A576" s="972"/>
      <c r="B576" s="973" t="s">
        <v>3587</v>
      </c>
      <c r="C576" s="974">
        <v>333903990000000</v>
      </c>
      <c r="D576" s="973" t="s">
        <v>3483</v>
      </c>
      <c r="E576" s="948">
        <v>332310500000000</v>
      </c>
      <c r="F576" s="975">
        <v>1</v>
      </c>
      <c r="G576" s="973">
        <v>0</v>
      </c>
      <c r="I576" s="976">
        <v>0</v>
      </c>
    </row>
    <row r="577" spans="1:9" ht="24.95" customHeight="1" x14ac:dyDescent="0.25">
      <c r="A577" s="972"/>
      <c r="B577" s="973" t="s">
        <v>3588</v>
      </c>
      <c r="C577" s="974">
        <v>333903999040000</v>
      </c>
      <c r="D577" s="973" t="s">
        <v>3589</v>
      </c>
      <c r="E577" s="948">
        <v>332319900000000</v>
      </c>
      <c r="F577" s="975">
        <v>1</v>
      </c>
      <c r="G577" s="973">
        <v>0</v>
      </c>
      <c r="I577" s="976">
        <v>0</v>
      </c>
    </row>
    <row r="578" spans="1:9" s="946" customFormat="1" ht="24.95" customHeight="1" x14ac:dyDescent="0.25">
      <c r="B578" s="963">
        <v>11800</v>
      </c>
      <c r="C578" s="964">
        <v>333904600000000</v>
      </c>
      <c r="D578" s="963" t="s">
        <v>5794</v>
      </c>
      <c r="E578" s="954"/>
      <c r="F578" s="960">
        <v>1</v>
      </c>
      <c r="G578" s="963">
        <v>0</v>
      </c>
      <c r="H578" s="950"/>
      <c r="I578" s="961">
        <f>((PUCFD!E514*(1+PUCFD!E$10))*(1+PUCFD!E$16))</f>
        <v>77533.676236799991</v>
      </c>
    </row>
    <row r="579" spans="1:9" s="946" customFormat="1" ht="24.95" customHeight="1" x14ac:dyDescent="0.25">
      <c r="B579" s="973" t="s">
        <v>5804</v>
      </c>
      <c r="C579" s="974">
        <v>333904601000000</v>
      </c>
      <c r="D579" s="973" t="s">
        <v>5905</v>
      </c>
      <c r="E579" s="948">
        <v>311210199000000</v>
      </c>
      <c r="F579" s="975">
        <v>1</v>
      </c>
      <c r="G579" s="973">
        <v>0</v>
      </c>
      <c r="H579" s="972"/>
      <c r="I579" s="976">
        <v>0</v>
      </c>
    </row>
    <row r="580" spans="1:9" s="946" customFormat="1" ht="24.95" customHeight="1" x14ac:dyDescent="0.25">
      <c r="A580" s="958"/>
      <c r="B580" s="963">
        <v>11900</v>
      </c>
      <c r="C580" s="964">
        <v>333904700000000</v>
      </c>
      <c r="D580" s="963" t="s">
        <v>5795</v>
      </c>
      <c r="E580" s="954"/>
      <c r="F580" s="960">
        <v>1</v>
      </c>
      <c r="G580" s="963">
        <v>0</v>
      </c>
      <c r="H580" s="956"/>
      <c r="I580" s="961">
        <f>SUM(I581)</f>
        <v>548.67015000000004</v>
      </c>
    </row>
    <row r="581" spans="1:9" ht="24.95" customHeight="1" x14ac:dyDescent="0.25">
      <c r="A581" s="972"/>
      <c r="B581" s="973" t="s">
        <v>3590</v>
      </c>
      <c r="C581" s="974">
        <v>333904720000000</v>
      </c>
      <c r="D581" s="973" t="s">
        <v>3591</v>
      </c>
      <c r="E581" s="948">
        <v>372110500000000</v>
      </c>
      <c r="F581" s="975">
        <v>1</v>
      </c>
      <c r="G581" s="973">
        <v>0</v>
      </c>
      <c r="I581" s="976">
        <f>((PUCFD!E516*(1+PUCFD!E$10))*(1+PUCFD!E$16))</f>
        <v>548.67015000000004</v>
      </c>
    </row>
    <row r="582" spans="1:9" s="946" customFormat="1" ht="24.95" customHeight="1" x14ac:dyDescent="0.25">
      <c r="A582" s="958"/>
      <c r="B582" s="963">
        <v>12000</v>
      </c>
      <c r="C582" s="964">
        <v>333904900000000</v>
      </c>
      <c r="D582" s="963" t="s">
        <v>5796</v>
      </c>
      <c r="E582" s="954"/>
      <c r="F582" s="960">
        <v>1</v>
      </c>
      <c r="G582" s="963">
        <v>0</v>
      </c>
      <c r="H582" s="956"/>
      <c r="I582" s="961">
        <f>SUM(I583)</f>
        <v>23632.822933491843</v>
      </c>
    </row>
    <row r="583" spans="1:9" ht="24.95" customHeight="1" x14ac:dyDescent="0.25">
      <c r="A583" s="972"/>
      <c r="B583" s="973" t="s">
        <v>3593</v>
      </c>
      <c r="C583" s="974">
        <v>333904901000000</v>
      </c>
      <c r="D583" s="973" t="s">
        <v>3594</v>
      </c>
      <c r="E583" s="948">
        <v>313210200000000</v>
      </c>
      <c r="F583" s="975">
        <v>1</v>
      </c>
      <c r="G583" s="973">
        <v>0</v>
      </c>
      <c r="I583" s="976">
        <f>((PUCFD!E518*(1+PUCFD!E$10))*(1+PUCFD!E$16))</f>
        <v>23632.822933491843</v>
      </c>
    </row>
    <row r="584" spans="1:9" s="946" customFormat="1" ht="24.95" customHeight="1" x14ac:dyDescent="0.25">
      <c r="A584" s="958"/>
      <c r="B584" s="963">
        <v>12100</v>
      </c>
      <c r="C584" s="964">
        <v>333909200000000</v>
      </c>
      <c r="D584" s="963" t="s">
        <v>5797</v>
      </c>
      <c r="E584" s="954"/>
      <c r="F584" s="960">
        <v>1</v>
      </c>
      <c r="G584" s="963">
        <v>0</v>
      </c>
      <c r="H584" s="956"/>
      <c r="I584" s="961">
        <f>((PUCFD!E519*(1+PUCFD!E$10))*(1+PUCFD!E$16))</f>
        <v>1.0973403E-2</v>
      </c>
    </row>
    <row r="585" spans="1:9" s="946" customFormat="1" ht="24.95" customHeight="1" x14ac:dyDescent="0.25">
      <c r="A585" s="958"/>
      <c r="B585" s="963">
        <v>12200</v>
      </c>
      <c r="C585" s="964">
        <v>333909300000000</v>
      </c>
      <c r="D585" s="963" t="s">
        <v>5798</v>
      </c>
      <c r="E585" s="954"/>
      <c r="F585" s="960">
        <v>1</v>
      </c>
      <c r="G585" s="963">
        <v>0</v>
      </c>
      <c r="H585" s="956"/>
      <c r="I585" s="961">
        <f>SUM(I586)</f>
        <v>1097.3403000000001</v>
      </c>
    </row>
    <row r="586" spans="1:9" ht="24.95" customHeight="1" x14ac:dyDescent="0.25">
      <c r="A586" s="972"/>
      <c r="B586" s="973" t="s">
        <v>3595</v>
      </c>
      <c r="C586" s="974">
        <v>333909399010000</v>
      </c>
      <c r="D586" s="973" t="s">
        <v>3060</v>
      </c>
      <c r="E586" s="948">
        <v>399910300000000</v>
      </c>
      <c r="F586" s="975">
        <v>1</v>
      </c>
      <c r="G586" s="973">
        <v>0</v>
      </c>
      <c r="I586" s="976">
        <f>((PUCFD!E521*(1+PUCFD!E$10))*(1+PUCFD!E$16))</f>
        <v>1097.3403000000001</v>
      </c>
    </row>
    <row r="587" spans="1:9" s="946" customFormat="1" ht="24.95" customHeight="1" x14ac:dyDescent="0.25">
      <c r="A587" s="958"/>
      <c r="B587" s="963">
        <v>12300</v>
      </c>
      <c r="C587" s="964">
        <v>333933000000000</v>
      </c>
      <c r="D587" s="963" t="s">
        <v>5799</v>
      </c>
      <c r="E587" s="954"/>
      <c r="F587" s="960">
        <v>1</v>
      </c>
      <c r="G587" s="963">
        <v>0</v>
      </c>
      <c r="H587" s="956"/>
      <c r="I587" s="961">
        <f>((PUCFD!E522*(1+PUCFD!E$10))*(1+PUCFD!E$16))</f>
        <v>1.0973403E-2</v>
      </c>
    </row>
    <row r="588" spans="1:9" s="946" customFormat="1" ht="24.95" customHeight="1" x14ac:dyDescent="0.25">
      <c r="A588" s="958"/>
      <c r="B588" s="963">
        <v>12400</v>
      </c>
      <c r="C588" s="964">
        <v>344905100000000</v>
      </c>
      <c r="D588" s="963" t="s">
        <v>5800</v>
      </c>
      <c r="E588" s="954"/>
      <c r="F588" s="960">
        <v>1</v>
      </c>
      <c r="G588" s="963">
        <v>0</v>
      </c>
      <c r="H588" s="956"/>
      <c r="I588" s="961">
        <f>((PUCFD!E523*(1+PUCFD!E$10))*(1+PUCFD!E$16))</f>
        <v>1.0973403E-2</v>
      </c>
    </row>
    <row r="589" spans="1:9" s="946" customFormat="1" ht="24.95" customHeight="1" x14ac:dyDescent="0.25">
      <c r="A589" s="958"/>
      <c r="B589" s="963">
        <v>12500</v>
      </c>
      <c r="C589" s="964">
        <v>344905200000000</v>
      </c>
      <c r="D589" s="963" t="s">
        <v>5801</v>
      </c>
      <c r="E589" s="954"/>
      <c r="F589" s="960">
        <v>1</v>
      </c>
      <c r="G589" s="963">
        <v>0</v>
      </c>
      <c r="H589" s="956"/>
      <c r="I589" s="961">
        <f>SUM(I590,I591)</f>
        <v>2.1946805999999999E-2</v>
      </c>
    </row>
    <row r="590" spans="1:9" ht="24.95" customHeight="1" x14ac:dyDescent="0.25">
      <c r="A590" s="972"/>
      <c r="B590" s="973" t="s">
        <v>3596</v>
      </c>
      <c r="C590" s="974">
        <v>344905235000000</v>
      </c>
      <c r="D590" s="973" t="s">
        <v>3597</v>
      </c>
      <c r="E590" s="948">
        <v>0</v>
      </c>
      <c r="F590" s="975">
        <v>1</v>
      </c>
      <c r="G590" s="973">
        <v>0</v>
      </c>
      <c r="I590" s="976">
        <f>((PUCFD!E525*(1+PUCFD!E$10))*(1+PUCFD!E$16))</f>
        <v>1.0973403E-2</v>
      </c>
    </row>
    <row r="591" spans="1:9" ht="24.95" customHeight="1" x14ac:dyDescent="0.25">
      <c r="A591" s="972"/>
      <c r="B591" s="973" t="s">
        <v>3598</v>
      </c>
      <c r="C591" s="974">
        <v>344905235000000</v>
      </c>
      <c r="D591" s="973" t="s">
        <v>3599</v>
      </c>
      <c r="E591" s="948">
        <v>0</v>
      </c>
      <c r="F591" s="975">
        <v>1</v>
      </c>
      <c r="G591" s="973">
        <v>0</v>
      </c>
      <c r="I591" s="976">
        <f>((PUCFD!E526*(1+PUCFD!E$10))*(1+PUCFD!E$16))</f>
        <v>1.0973403E-2</v>
      </c>
    </row>
    <row r="592" spans="1:9" ht="15" customHeight="1" x14ac:dyDescent="0.25">
      <c r="A592" s="958"/>
      <c r="B592" s="962" t="s">
        <v>3138</v>
      </c>
      <c r="C592" s="959">
        <v>4</v>
      </c>
      <c r="D592" s="962" t="s">
        <v>3142</v>
      </c>
      <c r="E592" s="954"/>
      <c r="F592" s="960"/>
      <c r="G592" s="958"/>
      <c r="H592" s="958"/>
      <c r="I592" s="961">
        <f>I593</f>
        <v>12070.744273402999</v>
      </c>
    </row>
    <row r="593" spans="1:9" ht="15" customHeight="1" x14ac:dyDescent="0.25">
      <c r="A593" s="958"/>
      <c r="B593" s="962" t="s">
        <v>3139</v>
      </c>
      <c r="C593" s="959">
        <v>126</v>
      </c>
      <c r="D593" s="962" t="s">
        <v>3600</v>
      </c>
      <c r="E593" s="954"/>
      <c r="F593" s="960"/>
      <c r="G593" s="958"/>
      <c r="H593" s="958"/>
      <c r="I593" s="961">
        <f>I594</f>
        <v>12070.744273402999</v>
      </c>
    </row>
    <row r="594" spans="1:9" ht="15" customHeight="1" x14ac:dyDescent="0.25">
      <c r="A594" s="958"/>
      <c r="B594" s="962" t="s">
        <v>3137</v>
      </c>
      <c r="C594" s="959">
        <v>3</v>
      </c>
      <c r="D594" s="962" t="s">
        <v>3145</v>
      </c>
      <c r="E594" s="954"/>
      <c r="F594" s="960"/>
      <c r="G594" s="958"/>
      <c r="H594" s="958"/>
      <c r="I594" s="961">
        <f>I595</f>
        <v>12070.744273402999</v>
      </c>
    </row>
    <row r="595" spans="1:9" s="946" customFormat="1" ht="24.95" customHeight="1" x14ac:dyDescent="0.25">
      <c r="A595" s="958"/>
      <c r="B595" s="963" t="s">
        <v>2965</v>
      </c>
      <c r="C595" s="959">
        <v>2</v>
      </c>
      <c r="D595" s="963" t="s">
        <v>2966</v>
      </c>
      <c r="E595" s="954"/>
      <c r="F595" s="960"/>
      <c r="G595" s="963"/>
      <c r="H595" s="956"/>
      <c r="I595" s="957">
        <f>I596</f>
        <v>12070.744273402999</v>
      </c>
    </row>
    <row r="596" spans="1:9" s="946" customFormat="1" ht="33.75" customHeight="1" x14ac:dyDescent="0.25">
      <c r="B596" s="963">
        <v>12540</v>
      </c>
      <c r="C596" s="964">
        <v>333904000000000</v>
      </c>
      <c r="D596" s="963" t="s">
        <v>5805</v>
      </c>
      <c r="E596" s="954"/>
      <c r="F596" s="960">
        <v>1</v>
      </c>
      <c r="G596" s="963">
        <v>0</v>
      </c>
      <c r="H596" s="950"/>
      <c r="I596" s="961">
        <f>SUM(I597,I598,I599,I600)-0.01</f>
        <v>12070.744273402999</v>
      </c>
    </row>
    <row r="597" spans="1:9" ht="24.95" customHeight="1" x14ac:dyDescent="0.25">
      <c r="A597" s="972"/>
      <c r="B597" s="973" t="s">
        <v>4204</v>
      </c>
      <c r="C597" s="974">
        <v>333904006000000</v>
      </c>
      <c r="D597" s="973" t="s">
        <v>3044</v>
      </c>
      <c r="E597" s="948">
        <v>332311000000000</v>
      </c>
      <c r="F597" s="975">
        <v>1</v>
      </c>
      <c r="G597" s="973">
        <v>0</v>
      </c>
      <c r="H597" s="972">
        <v>0</v>
      </c>
      <c r="I597" s="976">
        <f>((PUCFD!E530*(1+PUCFD!E$10))*(1+PUCFD!E$16))</f>
        <v>1.0973403E-2</v>
      </c>
    </row>
    <row r="598" spans="1:9" ht="24.95" customHeight="1" x14ac:dyDescent="0.25">
      <c r="A598" s="972"/>
      <c r="B598" s="973" t="s">
        <v>4205</v>
      </c>
      <c r="C598" s="974">
        <v>333904011000000</v>
      </c>
      <c r="D598" s="973" t="s">
        <v>5924</v>
      </c>
      <c r="E598" s="948">
        <v>332311100000000</v>
      </c>
      <c r="F598" s="975">
        <v>1</v>
      </c>
      <c r="G598" s="973">
        <v>0</v>
      </c>
      <c r="H598" s="972">
        <v>0</v>
      </c>
      <c r="I598" s="976">
        <f>((PUCFD!E531*(1+PUCFD!E$10))*(1+PUCFD!E$16))</f>
        <v>5486.7014999999992</v>
      </c>
    </row>
    <row r="599" spans="1:9" ht="24.95" customHeight="1" x14ac:dyDescent="0.25">
      <c r="A599" s="972"/>
      <c r="B599" s="973" t="s">
        <v>5807</v>
      </c>
      <c r="C599" s="974">
        <v>333904012000000</v>
      </c>
      <c r="D599" s="973" t="s">
        <v>5926</v>
      </c>
      <c r="E599" s="948">
        <v>332311100000000</v>
      </c>
      <c r="F599" s="975">
        <v>1</v>
      </c>
      <c r="G599" s="973">
        <v>0</v>
      </c>
      <c r="H599" s="972">
        <v>0</v>
      </c>
      <c r="I599" s="976">
        <f>((PUCFD!E532*(1+PUCFD!E$10))*(1+PUCFD!E$16))</f>
        <v>3292.0209</v>
      </c>
    </row>
    <row r="600" spans="1:9" ht="24.95" customHeight="1" x14ac:dyDescent="0.25">
      <c r="A600" s="972"/>
      <c r="B600" s="973" t="s">
        <v>5806</v>
      </c>
      <c r="C600" s="974">
        <v>333904099000000</v>
      </c>
      <c r="D600" s="973" t="s">
        <v>5928</v>
      </c>
      <c r="E600" s="948">
        <v>332311100000000</v>
      </c>
      <c r="F600" s="975">
        <v>1</v>
      </c>
      <c r="G600" s="973">
        <v>0</v>
      </c>
      <c r="H600" s="972">
        <v>0</v>
      </c>
      <c r="I600" s="976">
        <f>((PUCFD!E533*(1+PUCFD!E$10))*(1+PUCFD!E$16))</f>
        <v>3292.0209</v>
      </c>
    </row>
    <row r="601" spans="1:9" ht="24.95" customHeight="1" x14ac:dyDescent="0.25">
      <c r="A601" s="958"/>
      <c r="B601" s="962" t="s">
        <v>3138</v>
      </c>
      <c r="C601" s="959">
        <v>4</v>
      </c>
      <c r="D601" s="962" t="s">
        <v>3142</v>
      </c>
      <c r="E601" s="954"/>
      <c r="F601" s="960"/>
      <c r="G601" s="958"/>
      <c r="H601" s="958"/>
      <c r="I601" s="961">
        <f>I602</f>
        <v>0.05</v>
      </c>
    </row>
    <row r="602" spans="1:9" ht="24.95" customHeight="1" x14ac:dyDescent="0.25">
      <c r="A602" s="958"/>
      <c r="B602" s="962" t="s">
        <v>3139</v>
      </c>
      <c r="C602" s="959">
        <v>128</v>
      </c>
      <c r="D602" s="962" t="s">
        <v>5104</v>
      </c>
      <c r="E602" s="954"/>
      <c r="F602" s="960"/>
      <c r="G602" s="958"/>
      <c r="H602" s="958"/>
      <c r="I602" s="961">
        <f>I604</f>
        <v>0.05</v>
      </c>
    </row>
    <row r="603" spans="1:9" ht="24.95" customHeight="1" x14ac:dyDescent="0.25">
      <c r="A603" s="958"/>
      <c r="B603" s="962" t="s">
        <v>3137</v>
      </c>
      <c r="C603" s="959">
        <v>3</v>
      </c>
      <c r="D603" s="962" t="s">
        <v>3145</v>
      </c>
      <c r="E603" s="954"/>
      <c r="F603" s="960"/>
      <c r="G603" s="958"/>
      <c r="H603" s="958"/>
      <c r="I603" s="961">
        <f>I604</f>
        <v>0.05</v>
      </c>
    </row>
    <row r="604" spans="1:9" s="946" customFormat="1" ht="24.95" customHeight="1" x14ac:dyDescent="0.25">
      <c r="B604" s="963" t="s">
        <v>2965</v>
      </c>
      <c r="C604" s="959">
        <v>2</v>
      </c>
      <c r="D604" s="963" t="s">
        <v>2966</v>
      </c>
      <c r="E604" s="954"/>
      <c r="F604" s="960"/>
      <c r="G604" s="963"/>
      <c r="H604" s="958"/>
      <c r="I604" s="957">
        <f>SUM(I605:I609)</f>
        <v>0.05</v>
      </c>
    </row>
    <row r="605" spans="1:9" s="946" customFormat="1" ht="24.95" customHeight="1" x14ac:dyDescent="0.25">
      <c r="B605" s="973">
        <v>12580</v>
      </c>
      <c r="C605" s="974">
        <v>333901400000000</v>
      </c>
      <c r="D605" s="973" t="s">
        <v>5808</v>
      </c>
      <c r="E605" s="954"/>
      <c r="F605" s="949">
        <v>1</v>
      </c>
      <c r="G605" s="945">
        <v>0</v>
      </c>
      <c r="H605" s="950">
        <v>0</v>
      </c>
      <c r="I605" s="951">
        <f>PUCFD!E535</f>
        <v>0.01</v>
      </c>
    </row>
    <row r="606" spans="1:9" s="946" customFormat="1" ht="37.5" customHeight="1" x14ac:dyDescent="0.25">
      <c r="B606" s="973">
        <v>12590</v>
      </c>
      <c r="C606" s="974">
        <v>333903300000000</v>
      </c>
      <c r="D606" s="973" t="s">
        <v>5809</v>
      </c>
      <c r="E606" s="954"/>
      <c r="F606" s="949">
        <v>1</v>
      </c>
      <c r="G606" s="945">
        <v>0</v>
      </c>
      <c r="H606" s="950">
        <v>0</v>
      </c>
      <c r="I606" s="951">
        <f>PUCFD!E536</f>
        <v>0.01</v>
      </c>
    </row>
    <row r="607" spans="1:9" s="946" customFormat="1" ht="24.95" customHeight="1" x14ac:dyDescent="0.25">
      <c r="B607" s="973">
        <v>12600</v>
      </c>
      <c r="C607" s="974">
        <v>333903600000000</v>
      </c>
      <c r="D607" s="973" t="s">
        <v>5810</v>
      </c>
      <c r="E607" s="954"/>
      <c r="F607" s="949">
        <v>1</v>
      </c>
      <c r="G607" s="945">
        <v>0</v>
      </c>
      <c r="H607" s="950">
        <v>0</v>
      </c>
      <c r="I607" s="951">
        <f>PUCFD!E537</f>
        <v>0.01</v>
      </c>
    </row>
    <row r="608" spans="1:9" s="946" customFormat="1" ht="24.95" customHeight="1" x14ac:dyDescent="0.25">
      <c r="B608" s="973">
        <v>12640</v>
      </c>
      <c r="C608" s="974">
        <v>333903900000000</v>
      </c>
      <c r="D608" s="973" t="s">
        <v>5811</v>
      </c>
      <c r="E608" s="954"/>
      <c r="F608" s="949">
        <v>1</v>
      </c>
      <c r="G608" s="945">
        <v>0</v>
      </c>
      <c r="H608" s="950">
        <v>0</v>
      </c>
      <c r="I608" s="951">
        <f>PUCFD!E538</f>
        <v>0.01</v>
      </c>
    </row>
    <row r="609" spans="1:9" s="946" customFormat="1" ht="24.95" customHeight="1" x14ac:dyDescent="0.25">
      <c r="B609" s="973">
        <v>12680</v>
      </c>
      <c r="C609" s="974">
        <v>333904700000000</v>
      </c>
      <c r="D609" s="973" t="s">
        <v>5812</v>
      </c>
      <c r="E609" s="954"/>
      <c r="F609" s="949">
        <v>1</v>
      </c>
      <c r="G609" s="945">
        <v>0</v>
      </c>
      <c r="H609" s="950">
        <v>0</v>
      </c>
      <c r="I609" s="951">
        <f>PUCFD!E539</f>
        <v>0.01</v>
      </c>
    </row>
    <row r="610" spans="1:9" ht="24.95" customHeight="1" x14ac:dyDescent="0.25">
      <c r="A610" s="958"/>
      <c r="B610" s="962" t="s">
        <v>3138</v>
      </c>
      <c r="C610" s="959">
        <v>4</v>
      </c>
      <c r="D610" s="962" t="s">
        <v>3142</v>
      </c>
      <c r="E610" s="954"/>
      <c r="F610" s="960"/>
      <c r="G610" s="958"/>
      <c r="H610" s="958"/>
      <c r="I610" s="961">
        <f>I611</f>
        <v>15000.110000000002</v>
      </c>
    </row>
    <row r="611" spans="1:9" ht="24.95" customHeight="1" x14ac:dyDescent="0.25">
      <c r="A611" s="958"/>
      <c r="B611" s="962" t="s">
        <v>3139</v>
      </c>
      <c r="C611" s="959">
        <v>123</v>
      </c>
      <c r="D611" s="962" t="s">
        <v>5779</v>
      </c>
      <c r="E611" s="954"/>
      <c r="F611" s="960"/>
      <c r="G611" s="958"/>
      <c r="H611" s="958"/>
      <c r="I611" s="961">
        <f>I613</f>
        <v>15000.110000000002</v>
      </c>
    </row>
    <row r="612" spans="1:9" ht="24.95" customHeight="1" x14ac:dyDescent="0.25">
      <c r="A612" s="958"/>
      <c r="B612" s="962" t="s">
        <v>3137</v>
      </c>
      <c r="C612" s="959">
        <v>3</v>
      </c>
      <c r="D612" s="962" t="s">
        <v>3145</v>
      </c>
      <c r="E612" s="954"/>
      <c r="F612" s="960"/>
      <c r="G612" s="958"/>
      <c r="H612" s="958"/>
      <c r="I612" s="961">
        <f>I613</f>
        <v>15000.110000000002</v>
      </c>
    </row>
    <row r="613" spans="1:9" s="946" customFormat="1" ht="24.95" customHeight="1" x14ac:dyDescent="0.25">
      <c r="B613" s="963" t="s">
        <v>2965</v>
      </c>
      <c r="C613" s="959">
        <v>2055</v>
      </c>
      <c r="D613" s="963" t="s">
        <v>6968</v>
      </c>
      <c r="E613" s="954"/>
      <c r="F613" s="960"/>
      <c r="G613" s="963"/>
      <c r="H613" s="958"/>
      <c r="I613" s="957">
        <f>I614+I615+I616+I618+I619+I620+I621+I622+I623+I624+I625+I626</f>
        <v>15000.110000000002</v>
      </c>
    </row>
    <row r="614" spans="1:9" s="946" customFormat="1" ht="24.95" customHeight="1" x14ac:dyDescent="0.25">
      <c r="B614" s="963">
        <v>12700</v>
      </c>
      <c r="C614" s="964">
        <v>333901400000000</v>
      </c>
      <c r="D614" s="963" t="s">
        <v>6960</v>
      </c>
      <c r="E614" s="954"/>
      <c r="F614" s="955">
        <v>1</v>
      </c>
      <c r="G614" s="946">
        <v>0</v>
      </c>
      <c r="H614" s="956">
        <v>0</v>
      </c>
      <c r="I614" s="957">
        <f>PUCFD!E541</f>
        <v>0.01</v>
      </c>
    </row>
    <row r="615" spans="1:9" s="946" customFormat="1" ht="24.95" customHeight="1" x14ac:dyDescent="0.25">
      <c r="B615" s="963">
        <v>12720</v>
      </c>
      <c r="C615" s="964">
        <v>333903000000000</v>
      </c>
      <c r="D615" s="963" t="s">
        <v>6959</v>
      </c>
      <c r="E615" s="954"/>
      <c r="F615" s="960">
        <v>1</v>
      </c>
      <c r="G615" s="963">
        <v>0</v>
      </c>
      <c r="H615" s="956">
        <v>0</v>
      </c>
      <c r="I615" s="957">
        <f>PUCFD!E542</f>
        <v>0.01</v>
      </c>
    </row>
    <row r="616" spans="1:9" s="946" customFormat="1" ht="24.95" customHeight="1" x14ac:dyDescent="0.25">
      <c r="B616" s="963">
        <v>12740</v>
      </c>
      <c r="C616" s="964">
        <v>333903100000000</v>
      </c>
      <c r="D616" s="963" t="s">
        <v>6958</v>
      </c>
      <c r="E616" s="954"/>
      <c r="F616" s="960">
        <v>1</v>
      </c>
      <c r="G616" s="963">
        <v>0</v>
      </c>
      <c r="H616" s="956">
        <v>0</v>
      </c>
      <c r="I616" s="961">
        <f>SUM(I617)</f>
        <v>15000</v>
      </c>
    </row>
    <row r="617" spans="1:9" s="946" customFormat="1" ht="24.95" customHeight="1" x14ac:dyDescent="0.25">
      <c r="B617" s="973" t="s">
        <v>6967</v>
      </c>
      <c r="C617" s="974">
        <v>333903199000000</v>
      </c>
      <c r="D617" s="973" t="s">
        <v>3572</v>
      </c>
      <c r="E617" s="948">
        <v>391910100000000</v>
      </c>
      <c r="F617" s="975">
        <v>1</v>
      </c>
      <c r="G617" s="973">
        <v>0</v>
      </c>
      <c r="H617" s="950">
        <v>2305</v>
      </c>
      <c r="I617" s="976">
        <f>((PUCFD!E544))</f>
        <v>15000</v>
      </c>
    </row>
    <row r="618" spans="1:9" s="946" customFormat="1" ht="24.95" customHeight="1" x14ac:dyDescent="0.25">
      <c r="B618" s="963">
        <v>12760</v>
      </c>
      <c r="C618" s="964">
        <v>333903200000000</v>
      </c>
      <c r="D618" s="963" t="s">
        <v>6972</v>
      </c>
      <c r="E618" s="948"/>
      <c r="F618" s="960">
        <v>1</v>
      </c>
      <c r="G618" s="963">
        <v>0</v>
      </c>
      <c r="H618" s="956">
        <v>0</v>
      </c>
      <c r="I618" s="961">
        <f>PUCFD!E545</f>
        <v>0.01</v>
      </c>
    </row>
    <row r="619" spans="1:9" s="946" customFormat="1" ht="37.5" customHeight="1" x14ac:dyDescent="0.25">
      <c r="B619" s="963">
        <v>12780</v>
      </c>
      <c r="C619" s="964">
        <v>333903300000000</v>
      </c>
      <c r="D619" s="963" t="s">
        <v>6961</v>
      </c>
      <c r="E619" s="954"/>
      <c r="F619" s="955">
        <v>1</v>
      </c>
      <c r="G619" s="946">
        <v>0</v>
      </c>
      <c r="H619" s="956">
        <v>0</v>
      </c>
      <c r="I619" s="957">
        <f>PUCFD!E545</f>
        <v>0.01</v>
      </c>
    </row>
    <row r="620" spans="1:9" s="946" customFormat="1" ht="24.95" customHeight="1" x14ac:dyDescent="0.25">
      <c r="B620" s="963">
        <v>12800</v>
      </c>
      <c r="C620" s="964">
        <v>333903500000000</v>
      </c>
      <c r="D620" s="963" t="s">
        <v>6973</v>
      </c>
      <c r="E620" s="954"/>
      <c r="F620" s="955">
        <v>1</v>
      </c>
      <c r="G620" s="946">
        <v>0</v>
      </c>
      <c r="H620" s="956">
        <v>0</v>
      </c>
      <c r="I620" s="957">
        <f>PUCFD!E546</f>
        <v>0.01</v>
      </c>
    </row>
    <row r="621" spans="1:9" s="946" customFormat="1" ht="24.95" customHeight="1" x14ac:dyDescent="0.25">
      <c r="B621" s="963">
        <v>12820</v>
      </c>
      <c r="C621" s="964">
        <v>333903600000000</v>
      </c>
      <c r="D621" s="963" t="s">
        <v>6962</v>
      </c>
      <c r="E621" s="954"/>
      <c r="F621" s="955">
        <v>1</v>
      </c>
      <c r="G621" s="946">
        <v>0</v>
      </c>
      <c r="H621" s="956">
        <v>0</v>
      </c>
      <c r="I621" s="957">
        <f>PUCFD!E547</f>
        <v>0.01</v>
      </c>
    </row>
    <row r="622" spans="1:9" s="946" customFormat="1" ht="24.95" customHeight="1" x14ac:dyDescent="0.25">
      <c r="B622" s="963">
        <v>12840</v>
      </c>
      <c r="C622" s="964">
        <v>333903900000000</v>
      </c>
      <c r="D622" s="963" t="s">
        <v>6963</v>
      </c>
      <c r="E622" s="954"/>
      <c r="F622" s="955">
        <v>1</v>
      </c>
      <c r="G622" s="946">
        <v>0</v>
      </c>
      <c r="H622" s="956">
        <v>0</v>
      </c>
      <c r="I622" s="957">
        <f>PUCFD!E548</f>
        <v>0.01</v>
      </c>
    </row>
    <row r="623" spans="1:9" s="946" customFormat="1" ht="24.95" customHeight="1" x14ac:dyDescent="0.25">
      <c r="B623" s="963">
        <v>12860</v>
      </c>
      <c r="C623" s="964">
        <v>333904700000000</v>
      </c>
      <c r="D623" s="963" t="s">
        <v>6964</v>
      </c>
      <c r="E623" s="954"/>
      <c r="F623" s="955">
        <v>1</v>
      </c>
      <c r="G623" s="946">
        <v>0</v>
      </c>
      <c r="H623" s="956">
        <v>0</v>
      </c>
      <c r="I623" s="957">
        <f>PUCFD!E549</f>
        <v>0.01</v>
      </c>
    </row>
    <row r="624" spans="1:9" s="946" customFormat="1" ht="24.95" customHeight="1" x14ac:dyDescent="0.25">
      <c r="B624" s="963">
        <v>12880</v>
      </c>
      <c r="C624" s="964">
        <v>333909300000000</v>
      </c>
      <c r="D624" s="963" t="s">
        <v>6969</v>
      </c>
      <c r="E624" s="954"/>
      <c r="F624" s="960">
        <v>1</v>
      </c>
      <c r="G624" s="963">
        <v>0</v>
      </c>
      <c r="H624" s="956">
        <v>0</v>
      </c>
      <c r="I624" s="957">
        <f>PUCFD!E550</f>
        <v>0.01</v>
      </c>
    </row>
    <row r="625" spans="1:9" s="946" customFormat="1" ht="24.95" customHeight="1" x14ac:dyDescent="0.25">
      <c r="B625" s="963">
        <v>12900</v>
      </c>
      <c r="C625" s="964">
        <v>344905100000000</v>
      </c>
      <c r="D625" s="963" t="s">
        <v>6970</v>
      </c>
      <c r="E625" s="954"/>
      <c r="F625" s="960">
        <v>1</v>
      </c>
      <c r="G625" s="963">
        <v>0</v>
      </c>
      <c r="H625" s="956">
        <v>0</v>
      </c>
      <c r="I625" s="957">
        <f>PUCFD!E551</f>
        <v>0.01</v>
      </c>
    </row>
    <row r="626" spans="1:9" s="946" customFormat="1" ht="24.95" customHeight="1" x14ac:dyDescent="0.25">
      <c r="B626" s="946">
        <v>12920</v>
      </c>
      <c r="C626" s="964">
        <v>344905200000000</v>
      </c>
      <c r="D626" s="963" t="s">
        <v>6971</v>
      </c>
      <c r="E626" s="954"/>
      <c r="F626" s="960">
        <v>1</v>
      </c>
      <c r="G626" s="963">
        <v>0</v>
      </c>
      <c r="H626" s="956">
        <v>0</v>
      </c>
      <c r="I626" s="957">
        <f>PUCFD!E552</f>
        <v>0.01</v>
      </c>
    </row>
    <row r="627" spans="1:9" ht="24.95" customHeight="1" x14ac:dyDescent="0.25">
      <c r="A627" s="958"/>
      <c r="B627" s="962" t="s">
        <v>3138</v>
      </c>
      <c r="C627" s="959">
        <v>4</v>
      </c>
      <c r="D627" s="962" t="s">
        <v>3142</v>
      </c>
      <c r="E627" s="954"/>
      <c r="F627" s="960"/>
      <c r="G627" s="958"/>
      <c r="H627" s="958"/>
      <c r="I627" s="961">
        <f>I628</f>
        <v>0.01</v>
      </c>
    </row>
    <row r="628" spans="1:9" ht="24.95" customHeight="1" x14ac:dyDescent="0.25">
      <c r="A628" s="958"/>
      <c r="B628" s="962" t="s">
        <v>3139</v>
      </c>
      <c r="C628" s="959">
        <v>126</v>
      </c>
      <c r="D628" s="962" t="s">
        <v>3600</v>
      </c>
      <c r="E628" s="954"/>
      <c r="F628" s="960"/>
      <c r="G628" s="958"/>
      <c r="H628" s="958"/>
      <c r="I628" s="961">
        <f>I630</f>
        <v>0.01</v>
      </c>
    </row>
    <row r="629" spans="1:9" ht="24.95" customHeight="1" x14ac:dyDescent="0.25">
      <c r="A629" s="958"/>
      <c r="B629" s="962" t="s">
        <v>3137</v>
      </c>
      <c r="C629" s="959">
        <v>3</v>
      </c>
      <c r="D629" s="962" t="s">
        <v>3145</v>
      </c>
      <c r="E629" s="954"/>
      <c r="F629" s="960"/>
      <c r="G629" s="958"/>
      <c r="H629" s="958"/>
      <c r="I629" s="961">
        <f>I630</f>
        <v>0.01</v>
      </c>
    </row>
    <row r="630" spans="1:9" s="946" customFormat="1" ht="24.95" customHeight="1" x14ac:dyDescent="0.25">
      <c r="B630" s="963" t="s">
        <v>2965</v>
      </c>
      <c r="C630" s="959">
        <v>2055</v>
      </c>
      <c r="D630" s="963" t="s">
        <v>6968</v>
      </c>
      <c r="E630" s="954"/>
      <c r="F630" s="960"/>
      <c r="G630" s="963"/>
      <c r="H630" s="958"/>
      <c r="I630" s="957">
        <f>I631</f>
        <v>0.01</v>
      </c>
    </row>
    <row r="631" spans="1:9" ht="24.95" customHeight="1" x14ac:dyDescent="0.25">
      <c r="B631" s="973">
        <v>12940</v>
      </c>
      <c r="C631" s="974">
        <v>333904000000000</v>
      </c>
      <c r="D631" s="973" t="s">
        <v>6974</v>
      </c>
      <c r="F631" s="975">
        <v>1</v>
      </c>
      <c r="G631" s="973">
        <v>0</v>
      </c>
      <c r="I631" s="951">
        <f>PUCFD!E555</f>
        <v>0.01</v>
      </c>
    </row>
    <row r="632" spans="1:9" ht="24.95" customHeight="1" x14ac:dyDescent="0.25">
      <c r="A632" s="958"/>
      <c r="B632" s="962" t="s">
        <v>3138</v>
      </c>
      <c r="C632" s="959">
        <v>4</v>
      </c>
      <c r="D632" s="962" t="s">
        <v>3142</v>
      </c>
      <c r="E632" s="954"/>
      <c r="F632" s="960"/>
      <c r="G632" s="958"/>
      <c r="H632" s="958"/>
      <c r="I632" s="961">
        <f>I633</f>
        <v>0.05</v>
      </c>
    </row>
    <row r="633" spans="1:9" ht="24.95" customHeight="1" x14ac:dyDescent="0.25">
      <c r="A633" s="958"/>
      <c r="B633" s="962" t="s">
        <v>3139</v>
      </c>
      <c r="C633" s="959">
        <v>128</v>
      </c>
      <c r="D633" s="962" t="s">
        <v>5104</v>
      </c>
      <c r="E633" s="954"/>
      <c r="F633" s="960"/>
      <c r="G633" s="958"/>
      <c r="H633" s="958"/>
      <c r="I633" s="961">
        <f>I635</f>
        <v>0.05</v>
      </c>
    </row>
    <row r="634" spans="1:9" ht="24.95" customHeight="1" x14ac:dyDescent="0.25">
      <c r="A634" s="958"/>
      <c r="B634" s="962" t="s">
        <v>3137</v>
      </c>
      <c r="C634" s="959">
        <v>3</v>
      </c>
      <c r="D634" s="962" t="s">
        <v>3145</v>
      </c>
      <c r="E634" s="954"/>
      <c r="F634" s="960"/>
      <c r="G634" s="958"/>
      <c r="H634" s="958"/>
      <c r="I634" s="961">
        <f>I635</f>
        <v>0.05</v>
      </c>
    </row>
    <row r="635" spans="1:9" s="946" customFormat="1" ht="24.95" customHeight="1" x14ac:dyDescent="0.25">
      <c r="B635" s="963" t="s">
        <v>2965</v>
      </c>
      <c r="C635" s="959">
        <v>2055</v>
      </c>
      <c r="D635" s="963" t="s">
        <v>6968</v>
      </c>
      <c r="E635" s="954"/>
      <c r="F635" s="960"/>
      <c r="G635" s="963"/>
      <c r="H635" s="958"/>
      <c r="I635" s="957">
        <f>SUM(I636:I640)</f>
        <v>0.05</v>
      </c>
    </row>
    <row r="636" spans="1:9" s="946" customFormat="1" ht="24.95" customHeight="1" x14ac:dyDescent="0.25">
      <c r="B636" s="973">
        <v>13600</v>
      </c>
      <c r="C636" s="974">
        <v>333901400000000</v>
      </c>
      <c r="D636" s="973" t="s">
        <v>6975</v>
      </c>
      <c r="E636" s="954"/>
      <c r="F636" s="949">
        <v>1</v>
      </c>
      <c r="G636" s="945">
        <v>0</v>
      </c>
      <c r="H636" s="950">
        <v>0</v>
      </c>
      <c r="I636" s="951">
        <f>PUCFD!E557</f>
        <v>0.01</v>
      </c>
    </row>
    <row r="637" spans="1:9" s="946" customFormat="1" ht="24.95" customHeight="1" x14ac:dyDescent="0.25">
      <c r="B637" s="973">
        <v>13620</v>
      </c>
      <c r="C637" s="974">
        <v>333903300000000</v>
      </c>
      <c r="D637" s="973" t="s">
        <v>6976</v>
      </c>
      <c r="E637" s="954"/>
      <c r="F637" s="949">
        <v>1</v>
      </c>
      <c r="G637" s="945">
        <v>0</v>
      </c>
      <c r="H637" s="950">
        <v>0</v>
      </c>
      <c r="I637" s="951">
        <f>PUCFD!E558</f>
        <v>0.01</v>
      </c>
    </row>
    <row r="638" spans="1:9" s="946" customFormat="1" ht="24.95" customHeight="1" x14ac:dyDescent="0.25">
      <c r="B638" s="973">
        <v>13640</v>
      </c>
      <c r="C638" s="974">
        <v>333903600000000</v>
      </c>
      <c r="D638" s="973" t="s">
        <v>6977</v>
      </c>
      <c r="E638" s="954"/>
      <c r="F638" s="949">
        <v>1</v>
      </c>
      <c r="G638" s="945">
        <v>0</v>
      </c>
      <c r="H638" s="950">
        <v>0</v>
      </c>
      <c r="I638" s="951">
        <f>PUCFD!E559</f>
        <v>0.01</v>
      </c>
    </row>
    <row r="639" spans="1:9" s="946" customFormat="1" ht="24.95" customHeight="1" x14ac:dyDescent="0.25">
      <c r="B639" s="973">
        <v>13660</v>
      </c>
      <c r="C639" s="974">
        <v>333903900000000</v>
      </c>
      <c r="D639" s="973" t="s">
        <v>6978</v>
      </c>
      <c r="E639" s="954"/>
      <c r="F639" s="949">
        <v>1</v>
      </c>
      <c r="G639" s="945">
        <v>0</v>
      </c>
      <c r="H639" s="950">
        <v>0</v>
      </c>
      <c r="I639" s="951">
        <f>PUCFD!E560</f>
        <v>0.01</v>
      </c>
    </row>
    <row r="640" spans="1:9" s="946" customFormat="1" ht="24.95" customHeight="1" x14ac:dyDescent="0.25">
      <c r="B640" s="973">
        <v>13680</v>
      </c>
      <c r="C640" s="974">
        <v>333904700000000</v>
      </c>
      <c r="D640" s="973" t="s">
        <v>6979</v>
      </c>
      <c r="E640" s="954"/>
      <c r="F640" s="949">
        <v>1</v>
      </c>
      <c r="G640" s="945">
        <v>0</v>
      </c>
      <c r="H640" s="950">
        <v>0</v>
      </c>
      <c r="I640" s="951">
        <f>PUCFD!E561</f>
        <v>0.01</v>
      </c>
    </row>
    <row r="641" spans="1:11" ht="24.95" customHeight="1" x14ac:dyDescent="0.25">
      <c r="A641" s="946"/>
      <c r="B641" s="1608" t="s">
        <v>3336</v>
      </c>
      <c r="C641" s="1608"/>
      <c r="D641" s="1608"/>
      <c r="E641" s="1608"/>
      <c r="F641" s="1608"/>
      <c r="G641" s="1608"/>
      <c r="H641" s="1608"/>
      <c r="I641" s="957">
        <f>SUM(I596,I519,I506,I604,I635,I630,I613)+0.03</f>
        <v>900748.83749776054</v>
      </c>
    </row>
    <row r="642" spans="1:11" ht="24.95" customHeight="1" x14ac:dyDescent="0.25">
      <c r="A642" s="946"/>
      <c r="B642" s="1608" t="s">
        <v>3601</v>
      </c>
      <c r="C642" s="1608"/>
      <c r="D642" s="1608"/>
      <c r="E642" s="1608"/>
      <c r="F642" s="1608"/>
      <c r="G642" s="1608"/>
      <c r="H642" s="1608"/>
      <c r="I642" s="957">
        <f>I641</f>
        <v>900748.83749776054</v>
      </c>
    </row>
    <row r="643" spans="1:11" ht="24.95" customHeight="1" x14ac:dyDescent="0.25">
      <c r="A643" s="946"/>
      <c r="B643" s="987"/>
      <c r="C643" s="988"/>
      <c r="D643" s="987"/>
      <c r="E643" s="954" t="s">
        <v>4777</v>
      </c>
      <c r="F643" s="960"/>
      <c r="G643" s="960"/>
      <c r="H643" s="958"/>
      <c r="I643" s="961"/>
    </row>
    <row r="644" spans="1:11" ht="24.95" customHeight="1" x14ac:dyDescent="0.25">
      <c r="A644" s="946"/>
      <c r="B644" s="987"/>
      <c r="C644" s="988"/>
      <c r="D644" s="987"/>
      <c r="F644" s="949">
        <v>1</v>
      </c>
      <c r="G644" s="945">
        <v>0</v>
      </c>
      <c r="H644" s="950">
        <v>0</v>
      </c>
      <c r="I644" s="951">
        <f>I641</f>
        <v>900748.83749776054</v>
      </c>
    </row>
    <row r="645" spans="1:11" ht="24.95" customHeight="1" x14ac:dyDescent="0.25">
      <c r="A645" s="946"/>
      <c r="B645" s="987"/>
      <c r="C645" s="988"/>
      <c r="D645" s="987"/>
      <c r="E645" s="987"/>
      <c r="F645" s="955"/>
      <c r="G645" s="987"/>
      <c r="H645" s="987"/>
      <c r="I645" s="957"/>
      <c r="J645" s="990"/>
    </row>
    <row r="646" spans="1:11" ht="24.95" customHeight="1" x14ac:dyDescent="0.25">
      <c r="J646" s="990"/>
      <c r="K646" s="990"/>
    </row>
    <row r="647" spans="1:11" s="946" customFormat="1" ht="24.95" customHeight="1" x14ac:dyDescent="0.25">
      <c r="B647" s="946" t="s">
        <v>3088</v>
      </c>
      <c r="C647" s="953" t="s">
        <v>3136</v>
      </c>
      <c r="E647" s="954"/>
      <c r="F647" s="955"/>
      <c r="H647" s="956"/>
      <c r="I647" s="957"/>
    </row>
    <row r="648" spans="1:11" s="946" customFormat="1" ht="24.95" customHeight="1" x14ac:dyDescent="0.25">
      <c r="B648" s="946" t="s">
        <v>3087</v>
      </c>
      <c r="C648" s="953" t="s">
        <v>4095</v>
      </c>
      <c r="E648" s="954"/>
      <c r="F648" s="955"/>
      <c r="H648" s="956"/>
      <c r="I648" s="957"/>
    </row>
    <row r="649" spans="1:11" s="946" customFormat="1" ht="24.95" customHeight="1" x14ac:dyDescent="0.25">
      <c r="B649" s="946" t="s">
        <v>3089</v>
      </c>
      <c r="C649" s="953" t="s">
        <v>3146</v>
      </c>
      <c r="E649" s="954"/>
      <c r="F649" s="955"/>
      <c r="H649" s="956"/>
      <c r="I649" s="957"/>
    </row>
    <row r="650" spans="1:11" ht="33.75" customHeight="1" x14ac:dyDescent="0.25">
      <c r="A650" s="958"/>
      <c r="B650" s="1364">
        <f ca="1">#REF!+I67+B650:I11336+I676</f>
        <v>0</v>
      </c>
      <c r="C650" s="959" t="s">
        <v>472</v>
      </c>
      <c r="D650" s="958" t="s">
        <v>2968</v>
      </c>
      <c r="E650" s="954" t="s">
        <v>3066</v>
      </c>
      <c r="F650" s="960" t="s">
        <v>1403</v>
      </c>
      <c r="G650" s="958" t="s">
        <v>2969</v>
      </c>
      <c r="H650" s="958" t="s">
        <v>3065</v>
      </c>
      <c r="I650" s="961" t="s">
        <v>2531</v>
      </c>
    </row>
    <row r="651" spans="1:11" ht="15" customHeight="1" x14ac:dyDescent="0.25">
      <c r="A651" s="958"/>
      <c r="B651" s="962" t="s">
        <v>3138</v>
      </c>
      <c r="C651" s="959">
        <v>15</v>
      </c>
      <c r="D651" s="962" t="s">
        <v>3142</v>
      </c>
      <c r="E651" s="954"/>
      <c r="F651" s="960"/>
      <c r="G651" s="958"/>
      <c r="H651" s="958"/>
      <c r="I651" s="961">
        <f>I652</f>
        <v>8.4371265800000012E-2</v>
      </c>
    </row>
    <row r="652" spans="1:11" ht="15" customHeight="1" x14ac:dyDescent="0.25">
      <c r="A652" s="958"/>
      <c r="B652" s="962" t="s">
        <v>3139</v>
      </c>
      <c r="C652" s="959">
        <v>451</v>
      </c>
      <c r="D652" s="962" t="s">
        <v>4096</v>
      </c>
      <c r="E652" s="954"/>
      <c r="F652" s="960"/>
      <c r="G652" s="958"/>
      <c r="H652" s="958"/>
      <c r="I652" s="961">
        <f>I653</f>
        <v>8.4371265800000012E-2</v>
      </c>
    </row>
    <row r="653" spans="1:11" ht="15" customHeight="1" x14ac:dyDescent="0.25">
      <c r="A653" s="958"/>
      <c r="B653" s="962" t="s">
        <v>3137</v>
      </c>
      <c r="C653" s="959">
        <v>4</v>
      </c>
      <c r="D653" s="962" t="s">
        <v>4097</v>
      </c>
      <c r="E653" s="954"/>
      <c r="F653" s="960"/>
      <c r="G653" s="958"/>
      <c r="H653" s="958"/>
      <c r="I653" s="961">
        <f>I654</f>
        <v>8.4371265800000012E-2</v>
      </c>
    </row>
    <row r="654" spans="1:11" s="946" customFormat="1" ht="24.95" customHeight="1" x14ac:dyDescent="0.25">
      <c r="A654" s="958"/>
      <c r="B654" s="963" t="s">
        <v>2950</v>
      </c>
      <c r="C654" s="959" t="s">
        <v>3622</v>
      </c>
      <c r="D654" s="963" t="s">
        <v>3623</v>
      </c>
      <c r="E654" s="954"/>
      <c r="F654" s="960"/>
      <c r="G654" s="963"/>
      <c r="H654" s="956"/>
      <c r="I654" s="957">
        <f>SUM(I655,I657,I658,I659,I661,I664)-0.01</f>
        <v>8.4371265800000012E-2</v>
      </c>
    </row>
    <row r="655" spans="1:11" ht="24.95" customHeight="1" x14ac:dyDescent="0.25">
      <c r="A655" s="972"/>
      <c r="B655" s="973">
        <v>16000</v>
      </c>
      <c r="C655" s="974">
        <v>333904700000000</v>
      </c>
      <c r="D655" s="973" t="s">
        <v>3624</v>
      </c>
      <c r="F655" s="975">
        <v>1</v>
      </c>
      <c r="G655" s="973">
        <v>0</v>
      </c>
      <c r="I655" s="976">
        <f>((PUCFD!E565*(1+PUCFD!E$10))*(1+PUCFD!E$16))</f>
        <v>6.5840418E-3</v>
      </c>
    </row>
    <row r="656" spans="1:11" ht="24.95" customHeight="1" x14ac:dyDescent="0.25">
      <c r="A656" s="972"/>
      <c r="B656" s="973">
        <v>16020</v>
      </c>
      <c r="C656" s="974">
        <v>344209300000000</v>
      </c>
      <c r="D656" s="973" t="s">
        <v>4240</v>
      </c>
      <c r="F656" s="975">
        <v>1032</v>
      </c>
      <c r="G656" s="973">
        <v>0</v>
      </c>
      <c r="H656" s="1358"/>
      <c r="I656" s="976">
        <f>((PUCFD!E566*(1+PUCFD!E$10))*(1+PUCFD!E$16))</f>
        <v>1.0973403E-2</v>
      </c>
    </row>
    <row r="657" spans="1:9" ht="24.95" customHeight="1" x14ac:dyDescent="0.25">
      <c r="A657" s="972"/>
      <c r="B657" s="973">
        <v>16100</v>
      </c>
      <c r="C657" s="974">
        <v>344903000000000</v>
      </c>
      <c r="D657" s="973" t="s">
        <v>3627</v>
      </c>
      <c r="F657" s="975">
        <v>1</v>
      </c>
      <c r="G657" s="973">
        <v>0</v>
      </c>
      <c r="I657" s="976">
        <f>(SUM(PUCFD!E568,PUCFD!E569)*(1+PUCFD!E$10))*(1+PUCFD!E$16)</f>
        <v>2.1946805999999999E-2</v>
      </c>
    </row>
    <row r="658" spans="1:9" ht="24.95" customHeight="1" x14ac:dyDescent="0.25">
      <c r="A658" s="972"/>
      <c r="B658" s="973">
        <v>16200</v>
      </c>
      <c r="C658" s="974">
        <v>344903600000000</v>
      </c>
      <c r="D658" s="973" t="s">
        <v>3630</v>
      </c>
      <c r="F658" s="975">
        <v>1</v>
      </c>
      <c r="G658" s="973">
        <v>0</v>
      </c>
      <c r="I658" s="976">
        <f>((PUCFD!E570*(1+PUCFD!E$10))*(1+PUCFD!E$16))</f>
        <v>1.0973403E-2</v>
      </c>
    </row>
    <row r="659" spans="1:9" ht="24.95" customHeight="1" x14ac:dyDescent="0.25">
      <c r="A659" s="972"/>
      <c r="B659" s="973">
        <v>16300</v>
      </c>
      <c r="C659" s="974">
        <v>344903900000000</v>
      </c>
      <c r="D659" s="973" t="s">
        <v>3633</v>
      </c>
      <c r="F659" s="975">
        <v>1</v>
      </c>
      <c r="G659" s="973">
        <v>0</v>
      </c>
      <c r="I659" s="976">
        <f>(SUM(PUCFD!E568,PUCFD!E569)*(1+PUCFD!E$10))*(1+PUCFD!E$16)</f>
        <v>2.1946805999999999E-2</v>
      </c>
    </row>
    <row r="660" spans="1:9" ht="24.95" customHeight="1" x14ac:dyDescent="0.25">
      <c r="A660" s="972"/>
      <c r="B660" s="973">
        <v>16320</v>
      </c>
      <c r="C660" s="974">
        <v>344903900000000</v>
      </c>
      <c r="D660" s="973" t="s">
        <v>7724</v>
      </c>
      <c r="F660" s="975">
        <v>1</v>
      </c>
      <c r="G660" s="973">
        <v>0</v>
      </c>
      <c r="H660" s="1358"/>
      <c r="I660" s="976">
        <f>(SUM(PUCFD!E574)*(1+PUCFD!E$10))*(1+PUCFD!E$16)</f>
        <v>1.0973403E-2</v>
      </c>
    </row>
    <row r="661" spans="1:9" ht="24.95" customHeight="1" x14ac:dyDescent="0.25">
      <c r="A661" s="972"/>
      <c r="B661" s="973">
        <v>16400</v>
      </c>
      <c r="C661" s="974">
        <v>344905100000000</v>
      </c>
      <c r="D661" s="973" t="s">
        <v>3636</v>
      </c>
      <c r="F661" s="975">
        <v>1</v>
      </c>
      <c r="G661" s="973">
        <v>0</v>
      </c>
      <c r="I661" s="976">
        <f>(SUM(PUCFD!E576)*(1+PUCFD!E$10))*(1+PUCFD!E$16)</f>
        <v>1.0973403E-2</v>
      </c>
    </row>
    <row r="662" spans="1:9" ht="24.95" customHeight="1" x14ac:dyDescent="0.25">
      <c r="A662" s="972"/>
      <c r="B662" s="973">
        <v>16420</v>
      </c>
      <c r="C662" s="974">
        <v>344905100000000</v>
      </c>
      <c r="D662" s="973" t="s">
        <v>7723</v>
      </c>
      <c r="F662" s="975">
        <v>1</v>
      </c>
      <c r="G662" s="973"/>
      <c r="H662" s="1358"/>
      <c r="I662" s="976">
        <f>(SUM(PUCFD!E577)*(1+PUCFD!E$10))*(1+PUCFD!E$16)</f>
        <v>1.0973403E-2</v>
      </c>
    </row>
    <row r="663" spans="1:9" ht="24.95" customHeight="1" x14ac:dyDescent="0.25">
      <c r="A663" s="972"/>
      <c r="B663" s="973">
        <v>16440</v>
      </c>
      <c r="C663" s="974">
        <v>344905100000000</v>
      </c>
      <c r="D663" s="973" t="s">
        <v>7724</v>
      </c>
      <c r="F663" s="975">
        <v>1032</v>
      </c>
      <c r="G663" s="973"/>
      <c r="H663" s="1358"/>
      <c r="I663" s="976">
        <f>(SUM(PUCFD!E578))+5.03</f>
        <v>248703.91999999998</v>
      </c>
    </row>
    <row r="664" spans="1:9" ht="24.95" customHeight="1" x14ac:dyDescent="0.25">
      <c r="A664" s="972"/>
      <c r="B664" s="973">
        <v>16500</v>
      </c>
      <c r="C664" s="974">
        <v>344905200000000</v>
      </c>
      <c r="D664" s="973" t="s">
        <v>3643</v>
      </c>
      <c r="F664" s="975">
        <v>1</v>
      </c>
      <c r="G664" s="973">
        <v>0</v>
      </c>
      <c r="I664" s="976">
        <f>(SUM(PUCFD!E580,PUCFD!E581)*(1+PUCFD!E$10))*(1+PUCFD!E$16)</f>
        <v>2.1946805999999999E-2</v>
      </c>
    </row>
    <row r="665" spans="1:9" ht="15" customHeight="1" x14ac:dyDescent="0.25">
      <c r="A665" s="958"/>
      <c r="B665" s="962" t="s">
        <v>3138</v>
      </c>
      <c r="C665" s="959">
        <v>15</v>
      </c>
      <c r="D665" s="962" t="s">
        <v>3142</v>
      </c>
      <c r="E665" s="954"/>
      <c r="F665" s="960"/>
      <c r="G665" s="958"/>
      <c r="H665" s="958"/>
      <c r="I665" s="961">
        <f>I666</f>
        <v>308694.25</v>
      </c>
    </row>
    <row r="666" spans="1:9" ht="15" customHeight="1" x14ac:dyDescent="0.25">
      <c r="A666" s="958"/>
      <c r="B666" s="962" t="s">
        <v>3139</v>
      </c>
      <c r="C666" s="959">
        <v>452</v>
      </c>
      <c r="D666" s="962" t="s">
        <v>4100</v>
      </c>
      <c r="E666" s="954"/>
      <c r="F666" s="960"/>
      <c r="G666" s="958"/>
      <c r="H666" s="958"/>
      <c r="I666" s="961">
        <f>I667</f>
        <v>308694.25</v>
      </c>
    </row>
    <row r="667" spans="1:9" ht="15" customHeight="1" x14ac:dyDescent="0.25">
      <c r="A667" s="958"/>
      <c r="B667" s="962" t="s">
        <v>3137</v>
      </c>
      <c r="C667" s="959">
        <v>4</v>
      </c>
      <c r="D667" s="962" t="s">
        <v>4097</v>
      </c>
      <c r="E667" s="954"/>
      <c r="F667" s="960"/>
      <c r="G667" s="958"/>
      <c r="H667" s="958"/>
      <c r="I667" s="961">
        <f>I668</f>
        <v>308694.25</v>
      </c>
    </row>
    <row r="668" spans="1:9" s="946" customFormat="1" ht="24.95" customHeight="1" x14ac:dyDescent="0.25">
      <c r="A668" s="958"/>
      <c r="B668" s="963" t="s">
        <v>2950</v>
      </c>
      <c r="C668" s="959" t="s">
        <v>3622</v>
      </c>
      <c r="D668" s="963" t="s">
        <v>3623</v>
      </c>
      <c r="E668" s="954"/>
      <c r="F668" s="960"/>
      <c r="G668" s="963"/>
      <c r="H668" s="956"/>
      <c r="I668" s="957">
        <f>SUM(I669:I677)</f>
        <v>308694.25</v>
      </c>
    </row>
    <row r="669" spans="1:9" ht="24.95" customHeight="1" x14ac:dyDescent="0.25">
      <c r="A669" s="972"/>
      <c r="B669" s="973">
        <v>20000</v>
      </c>
      <c r="C669" s="974">
        <v>333904700000000</v>
      </c>
      <c r="D669" s="973" t="s">
        <v>3625</v>
      </c>
      <c r="F669" s="975">
        <v>1</v>
      </c>
      <c r="G669" s="973">
        <v>0</v>
      </c>
      <c r="I669" s="976">
        <f>PUCFD!E584</f>
        <v>0.01</v>
      </c>
    </row>
    <row r="670" spans="1:9" ht="24.95" customHeight="1" x14ac:dyDescent="0.25">
      <c r="A670" s="972"/>
      <c r="B670" s="973">
        <v>20100</v>
      </c>
      <c r="C670" s="974">
        <v>344903000000000</v>
      </c>
      <c r="D670" s="973" t="s">
        <v>3628</v>
      </c>
      <c r="F670" s="975">
        <v>1</v>
      </c>
      <c r="G670" s="973">
        <v>0</v>
      </c>
      <c r="I670" s="976">
        <f>PUCFD!E586</f>
        <v>0.02</v>
      </c>
    </row>
    <row r="671" spans="1:9" ht="24.95" customHeight="1" x14ac:dyDescent="0.25">
      <c r="A671" s="972"/>
      <c r="B671" s="973">
        <v>20200</v>
      </c>
      <c r="C671" s="974">
        <v>344903600000000</v>
      </c>
      <c r="D671" s="973" t="s">
        <v>3631</v>
      </c>
      <c r="F671" s="975">
        <v>1</v>
      </c>
      <c r="G671" s="973">
        <v>0</v>
      </c>
      <c r="I671" s="976">
        <f>PUCFD!E589</f>
        <v>0.01</v>
      </c>
    </row>
    <row r="672" spans="1:9" ht="24.95" customHeight="1" x14ac:dyDescent="0.25">
      <c r="A672" s="972"/>
      <c r="B672" s="973">
        <v>20300</v>
      </c>
      <c r="C672" s="974">
        <v>344903900000000</v>
      </c>
      <c r="D672" s="973" t="s">
        <v>3634</v>
      </c>
      <c r="F672" s="975">
        <v>1</v>
      </c>
      <c r="G672" s="973">
        <v>0</v>
      </c>
      <c r="I672" s="976">
        <f>PUCFD!E590</f>
        <v>0.03</v>
      </c>
    </row>
    <row r="673" spans="1:9" ht="24.95" customHeight="1" x14ac:dyDescent="0.25">
      <c r="A673" s="972"/>
      <c r="B673" s="973">
        <v>20350</v>
      </c>
      <c r="C673" s="974">
        <v>344903900000000</v>
      </c>
      <c r="D673" s="973" t="s">
        <v>4241</v>
      </c>
      <c r="F673" s="975">
        <v>1032</v>
      </c>
      <c r="G673" s="973">
        <v>0</v>
      </c>
      <c r="I673" s="976">
        <f>PUCFD!E594</f>
        <v>0.01</v>
      </c>
    </row>
    <row r="674" spans="1:9" ht="24.95" customHeight="1" x14ac:dyDescent="0.25">
      <c r="A674" s="972"/>
      <c r="B674" s="973">
        <v>20400</v>
      </c>
      <c r="C674" s="974">
        <v>344905100000000</v>
      </c>
      <c r="D674" s="973" t="s">
        <v>3637</v>
      </c>
      <c r="F674" s="975">
        <v>1</v>
      </c>
      <c r="G674" s="973">
        <v>0</v>
      </c>
      <c r="I674" s="976">
        <f>PUCFD!E595</f>
        <v>0.01</v>
      </c>
    </row>
    <row r="675" spans="1:9" ht="24.95" customHeight="1" x14ac:dyDescent="0.25">
      <c r="A675" s="972"/>
      <c r="B675" s="973">
        <v>20500</v>
      </c>
      <c r="C675" s="974">
        <v>344905200000000</v>
      </c>
      <c r="D675" s="973" t="s">
        <v>4243</v>
      </c>
      <c r="F675" s="975">
        <v>1</v>
      </c>
      <c r="G675" s="973">
        <v>0</v>
      </c>
      <c r="I675" s="976">
        <f>PUCFD!E597</f>
        <v>0.02</v>
      </c>
    </row>
    <row r="676" spans="1:9" ht="24.95" customHeight="1" x14ac:dyDescent="0.25">
      <c r="A676" s="972"/>
      <c r="B676" s="973">
        <v>20520</v>
      </c>
      <c r="C676" s="974">
        <v>344905200000000</v>
      </c>
      <c r="D676" s="973" t="s">
        <v>4242</v>
      </c>
      <c r="F676" s="975">
        <v>1032</v>
      </c>
      <c r="G676" s="973">
        <v>0</v>
      </c>
      <c r="I676" s="976">
        <f>PUCFD!E600</f>
        <v>308694.13</v>
      </c>
    </row>
    <row r="677" spans="1:9" ht="30" customHeight="1" x14ac:dyDescent="0.25">
      <c r="A677" s="972"/>
      <c r="B677" s="973">
        <v>20530</v>
      </c>
      <c r="C677" s="974">
        <v>344905200000000</v>
      </c>
      <c r="D677" s="973" t="s">
        <v>4244</v>
      </c>
      <c r="F677" s="975">
        <v>1</v>
      </c>
      <c r="G677" s="973">
        <v>0</v>
      </c>
      <c r="I677" s="976">
        <f>PUCFD!E601</f>
        <v>0.01</v>
      </c>
    </row>
    <row r="678" spans="1:9" ht="15" customHeight="1" x14ac:dyDescent="0.25">
      <c r="A678" s="958"/>
      <c r="B678" s="962" t="s">
        <v>3138</v>
      </c>
      <c r="C678" s="959">
        <v>26</v>
      </c>
      <c r="D678" s="962" t="s">
        <v>4098</v>
      </c>
      <c r="E678" s="954"/>
      <c r="F678" s="960"/>
      <c r="G678" s="958"/>
      <c r="H678" s="958"/>
      <c r="I678" s="961">
        <f>I679</f>
        <v>0.10631807180000001</v>
      </c>
    </row>
    <row r="679" spans="1:9" ht="15" customHeight="1" x14ac:dyDescent="0.25">
      <c r="A679" s="958"/>
      <c r="B679" s="962" t="s">
        <v>3139</v>
      </c>
      <c r="C679" s="959">
        <v>122</v>
      </c>
      <c r="D679" s="962" t="s">
        <v>3143</v>
      </c>
      <c r="E679" s="954"/>
      <c r="F679" s="960"/>
      <c r="G679" s="958"/>
      <c r="H679" s="958"/>
      <c r="I679" s="961">
        <f>I680</f>
        <v>0.10631807180000001</v>
      </c>
    </row>
    <row r="680" spans="1:9" ht="15" customHeight="1" x14ac:dyDescent="0.25">
      <c r="A680" s="958"/>
      <c r="B680" s="962" t="s">
        <v>3137</v>
      </c>
      <c r="C680" s="959">
        <v>3</v>
      </c>
      <c r="D680" s="962" t="s">
        <v>3145</v>
      </c>
      <c r="E680" s="954"/>
      <c r="F680" s="960"/>
      <c r="G680" s="958"/>
      <c r="H680" s="958"/>
      <c r="I680" s="961">
        <f>I681</f>
        <v>0.10631807180000001</v>
      </c>
    </row>
    <row r="681" spans="1:9" s="946" customFormat="1" ht="24.95" customHeight="1" x14ac:dyDescent="0.25">
      <c r="A681" s="958"/>
      <c r="B681" s="963" t="s">
        <v>2950</v>
      </c>
      <c r="C681" s="959">
        <v>2</v>
      </c>
      <c r="D681" s="963" t="s">
        <v>3393</v>
      </c>
      <c r="E681" s="954"/>
      <c r="F681" s="960"/>
      <c r="G681" s="963"/>
      <c r="H681" s="956"/>
      <c r="I681" s="957">
        <f>SUM(I682,I683,I685,I686,I688,I689,)-0.01</f>
        <v>0.10631807180000001</v>
      </c>
    </row>
    <row r="682" spans="1:9" s="946" customFormat="1" ht="24.95" customHeight="1" x14ac:dyDescent="0.25">
      <c r="A682" s="958"/>
      <c r="B682" s="963">
        <v>13000</v>
      </c>
      <c r="C682" s="964">
        <v>333904700000000</v>
      </c>
      <c r="D682" s="963" t="s">
        <v>3394</v>
      </c>
      <c r="E682" s="954"/>
      <c r="F682" s="960">
        <v>1</v>
      </c>
      <c r="G682" s="963">
        <v>0</v>
      </c>
      <c r="H682" s="956"/>
      <c r="I682" s="961">
        <f>((PUCFD!E604*(1+PUCFD!E$10))*(1+PUCFD!E$16))</f>
        <v>6.5840418E-3</v>
      </c>
    </row>
    <row r="683" spans="1:9" s="946" customFormat="1" ht="24.95" customHeight="1" x14ac:dyDescent="0.25">
      <c r="A683" s="958"/>
      <c r="B683" s="963">
        <v>13100</v>
      </c>
      <c r="C683" s="964">
        <v>344903000000000</v>
      </c>
      <c r="D683" s="963" t="s">
        <v>3610</v>
      </c>
      <c r="E683" s="954"/>
      <c r="F683" s="960">
        <v>1</v>
      </c>
      <c r="G683" s="963">
        <v>0</v>
      </c>
      <c r="H683" s="956"/>
      <c r="I683" s="961">
        <f>SUM(I684,)</f>
        <v>2.1946805999999999E-2</v>
      </c>
    </row>
    <row r="684" spans="1:9" ht="24.95" customHeight="1" x14ac:dyDescent="0.25">
      <c r="A684" s="972"/>
      <c r="B684" s="973" t="s">
        <v>3611</v>
      </c>
      <c r="C684" s="974">
        <v>344903029000000</v>
      </c>
      <c r="D684" s="973" t="s">
        <v>3612</v>
      </c>
      <c r="E684" s="948">
        <v>0</v>
      </c>
      <c r="F684" s="975">
        <v>1</v>
      </c>
      <c r="G684" s="973">
        <v>0</v>
      </c>
      <c r="I684" s="976">
        <f>(SUM(PUCFD!E606,PUCFD!E607)*(1+PUCFD!E$10))*(1+PUCFD!E$16)</f>
        <v>2.1946805999999999E-2</v>
      </c>
    </row>
    <row r="685" spans="1:9" s="946" customFormat="1" ht="24.95" customHeight="1" x14ac:dyDescent="0.25">
      <c r="A685" s="958"/>
      <c r="B685" s="963">
        <v>13200</v>
      </c>
      <c r="C685" s="964">
        <v>344903600000000</v>
      </c>
      <c r="D685" s="963" t="s">
        <v>3613</v>
      </c>
      <c r="E685" s="954"/>
      <c r="F685" s="960">
        <v>1</v>
      </c>
      <c r="G685" s="963">
        <v>0</v>
      </c>
      <c r="H685" s="956"/>
      <c r="I685" s="961">
        <f>((PUCFD!E608*(1+PUCFD!E$10))*(1+PUCFD!E$16))</f>
        <v>1.0973403E-2</v>
      </c>
    </row>
    <row r="686" spans="1:9" s="946" customFormat="1" ht="24.95" customHeight="1" x14ac:dyDescent="0.25">
      <c r="A686" s="958"/>
      <c r="B686" s="963">
        <v>13300</v>
      </c>
      <c r="C686" s="964">
        <v>344903900000000</v>
      </c>
      <c r="D686" s="963" t="s">
        <v>3614</v>
      </c>
      <c r="E686" s="954"/>
      <c r="F686" s="960">
        <v>1</v>
      </c>
      <c r="G686" s="963">
        <v>0</v>
      </c>
      <c r="H686" s="956"/>
      <c r="I686" s="961">
        <f>SUM(I687)</f>
        <v>2.1946805999999999E-2</v>
      </c>
    </row>
    <row r="687" spans="1:9" ht="24.95" customHeight="1" x14ac:dyDescent="0.25">
      <c r="A687" s="972"/>
      <c r="B687" s="973" t="s">
        <v>3615</v>
      </c>
      <c r="C687" s="974">
        <v>344903999990000</v>
      </c>
      <c r="D687" s="973" t="s">
        <v>3616</v>
      </c>
      <c r="E687" s="948">
        <v>0</v>
      </c>
      <c r="F687" s="975">
        <v>1</v>
      </c>
      <c r="G687" s="973">
        <v>0</v>
      </c>
      <c r="I687" s="976">
        <f>(SUM(PUCFD!E610,PUCFD!E611)*(1+PUCFD!E$10))*(1+PUCFD!E$16)</f>
        <v>2.1946805999999999E-2</v>
      </c>
    </row>
    <row r="688" spans="1:9" s="946" customFormat="1" ht="24.95" customHeight="1" x14ac:dyDescent="0.25">
      <c r="A688" s="958"/>
      <c r="B688" s="963">
        <v>13400</v>
      </c>
      <c r="C688" s="964">
        <v>344905100000000</v>
      </c>
      <c r="D688" s="963" t="s">
        <v>3617</v>
      </c>
      <c r="E688" s="954"/>
      <c r="F688" s="960">
        <v>1</v>
      </c>
      <c r="G688" s="963">
        <v>0</v>
      </c>
      <c r="H688" s="956"/>
      <c r="I688" s="961">
        <f>((PUCFD!E613*(1+PUCFD!E$10))*(1+PUCFD!E$16))</f>
        <v>1.0973403E-2</v>
      </c>
    </row>
    <row r="689" spans="1:9" s="946" customFormat="1" ht="24.95" customHeight="1" x14ac:dyDescent="0.25">
      <c r="A689" s="958"/>
      <c r="B689" s="963">
        <v>13500</v>
      </c>
      <c r="C689" s="964">
        <v>344905200000000</v>
      </c>
      <c r="D689" s="963" t="s">
        <v>3618</v>
      </c>
      <c r="E689" s="954"/>
      <c r="F689" s="960">
        <v>1</v>
      </c>
      <c r="G689" s="963">
        <v>0</v>
      </c>
      <c r="H689" s="956"/>
      <c r="I689" s="961">
        <f>(SUM(PUCFD!E615,PUCFD!E616,PUCFD!E617,PUCFD!E618)*(1+PUCFD!E$10))*(1+PUCFD!E$16)</f>
        <v>4.3893611999999999E-2</v>
      </c>
    </row>
    <row r="690" spans="1:9" ht="24.95" customHeight="1" x14ac:dyDescent="0.25">
      <c r="A690" s="972"/>
      <c r="B690" s="973" t="s">
        <v>3619</v>
      </c>
      <c r="C690" s="974">
        <v>344905233000000</v>
      </c>
      <c r="D690" s="973" t="s">
        <v>3612</v>
      </c>
      <c r="E690" s="948">
        <v>0</v>
      </c>
      <c r="F690" s="975">
        <v>1</v>
      </c>
      <c r="G690" s="973">
        <v>0</v>
      </c>
      <c r="I690" s="976">
        <v>0</v>
      </c>
    </row>
    <row r="691" spans="1:9" ht="24.95" customHeight="1" x14ac:dyDescent="0.25">
      <c r="A691" s="972"/>
      <c r="B691" s="973" t="s">
        <v>3620</v>
      </c>
      <c r="C691" s="974">
        <v>344905212000000</v>
      </c>
      <c r="D691" s="973" t="s">
        <v>3621</v>
      </c>
      <c r="E691" s="948">
        <v>0</v>
      </c>
      <c r="F691" s="975">
        <v>1</v>
      </c>
      <c r="G691" s="973">
        <v>0</v>
      </c>
      <c r="I691" s="976">
        <v>0</v>
      </c>
    </row>
    <row r="692" spans="1:9" ht="15" customHeight="1" x14ac:dyDescent="0.25">
      <c r="A692" s="958"/>
      <c r="B692" s="962" t="s">
        <v>3138</v>
      </c>
      <c r="C692" s="959">
        <v>26</v>
      </c>
      <c r="D692" s="962" t="s">
        <v>4098</v>
      </c>
      <c r="E692" s="954"/>
      <c r="F692" s="960"/>
      <c r="G692" s="958"/>
      <c r="H692" s="958"/>
      <c r="I692" s="961">
        <f>I693</f>
        <v>1.1099999999999999</v>
      </c>
    </row>
    <row r="693" spans="1:9" ht="15" customHeight="1" x14ac:dyDescent="0.25">
      <c r="A693" s="958"/>
      <c r="B693" s="962" t="s">
        <v>3139</v>
      </c>
      <c r="C693" s="959">
        <v>782</v>
      </c>
      <c r="D693" s="962" t="s">
        <v>4099</v>
      </c>
      <c r="E693" s="954"/>
      <c r="F693" s="960"/>
      <c r="G693" s="958"/>
      <c r="H693" s="958"/>
      <c r="I693" s="961">
        <f>I694</f>
        <v>1.1099999999999999</v>
      </c>
    </row>
    <row r="694" spans="1:9" ht="15" customHeight="1" x14ac:dyDescent="0.25">
      <c r="A694" s="958"/>
      <c r="B694" s="962" t="s">
        <v>3137</v>
      </c>
      <c r="C694" s="959">
        <v>4</v>
      </c>
      <c r="D694" s="962" t="s">
        <v>4097</v>
      </c>
      <c r="E694" s="954"/>
      <c r="F694" s="960"/>
      <c r="G694" s="958"/>
      <c r="H694" s="958"/>
      <c r="I694" s="961">
        <f>I695</f>
        <v>1.1099999999999999</v>
      </c>
    </row>
    <row r="695" spans="1:9" s="946" customFormat="1" ht="24.95" customHeight="1" x14ac:dyDescent="0.25">
      <c r="A695" s="958"/>
      <c r="B695" s="963" t="s">
        <v>2950</v>
      </c>
      <c r="C695" s="959" t="s">
        <v>3622</v>
      </c>
      <c r="D695" s="963" t="s">
        <v>3623</v>
      </c>
      <c r="E695" s="954"/>
      <c r="F695" s="960"/>
      <c r="G695" s="963"/>
      <c r="H695" s="956"/>
      <c r="I695" s="957">
        <f>SUM(I696,I697,I699,I700,I701,I702,I704,I707,I708,I709)</f>
        <v>1.1099999999999999</v>
      </c>
    </row>
    <row r="696" spans="1:9" s="946" customFormat="1" ht="24.95" customHeight="1" x14ac:dyDescent="0.25">
      <c r="A696" s="958"/>
      <c r="B696" s="963">
        <v>24000</v>
      </c>
      <c r="C696" s="964">
        <v>333904700000000</v>
      </c>
      <c r="D696" s="963" t="s">
        <v>3626</v>
      </c>
      <c r="E696" s="954"/>
      <c r="F696" s="960">
        <v>1</v>
      </c>
      <c r="G696" s="963">
        <v>0</v>
      </c>
      <c r="H696" s="956"/>
      <c r="I696" s="961">
        <f>PUCFD!E622</f>
        <v>0.01</v>
      </c>
    </row>
    <row r="697" spans="1:9" s="946" customFormat="1" ht="24.95" customHeight="1" x14ac:dyDescent="0.25">
      <c r="A697" s="958"/>
      <c r="B697" s="963">
        <v>24050</v>
      </c>
      <c r="C697" s="964">
        <v>344209300000000</v>
      </c>
      <c r="D697" s="963" t="s">
        <v>4247</v>
      </c>
      <c r="E697" s="954"/>
      <c r="F697" s="960">
        <v>1166</v>
      </c>
      <c r="G697" s="963">
        <v>0</v>
      </c>
      <c r="H697" s="956"/>
      <c r="I697" s="961">
        <f>PUCFD!E623</f>
        <v>0.01</v>
      </c>
    </row>
    <row r="698" spans="1:9" s="946" customFormat="1" ht="24.95" customHeight="1" x14ac:dyDescent="0.25">
      <c r="A698" s="958"/>
      <c r="B698" s="963">
        <v>24060</v>
      </c>
      <c r="C698" s="964">
        <v>344209300000000</v>
      </c>
      <c r="D698" s="963" t="s">
        <v>4240</v>
      </c>
      <c r="E698" s="954"/>
      <c r="F698" s="960">
        <v>1032</v>
      </c>
      <c r="G698" s="963">
        <v>0</v>
      </c>
      <c r="H698" s="1359"/>
      <c r="I698" s="1360">
        <f>PUCFD!E624</f>
        <v>0.01</v>
      </c>
    </row>
    <row r="699" spans="1:9" s="946" customFormat="1" ht="24.95" customHeight="1" x14ac:dyDescent="0.25">
      <c r="A699" s="958"/>
      <c r="B699" s="963">
        <v>24100</v>
      </c>
      <c r="C699" s="964">
        <v>344903000000000</v>
      </c>
      <c r="D699" s="963" t="s">
        <v>3629</v>
      </c>
      <c r="E699" s="954"/>
      <c r="F699" s="960">
        <v>1</v>
      </c>
      <c r="G699" s="963">
        <v>0</v>
      </c>
      <c r="H699" s="956"/>
      <c r="I699" s="961">
        <f>PUCFD!E625</f>
        <v>0.02</v>
      </c>
    </row>
    <row r="700" spans="1:9" s="946" customFormat="1" ht="24.95" customHeight="1" x14ac:dyDescent="0.25">
      <c r="A700" s="958"/>
      <c r="B700" s="963">
        <v>24200</v>
      </c>
      <c r="C700" s="964">
        <v>344903600000000</v>
      </c>
      <c r="D700" s="963" t="s">
        <v>3632</v>
      </c>
      <c r="E700" s="954"/>
      <c r="F700" s="960">
        <v>1</v>
      </c>
      <c r="G700" s="963">
        <v>0</v>
      </c>
      <c r="H700" s="956"/>
      <c r="I700" s="961">
        <f>PUCFD!E628</f>
        <v>0.01</v>
      </c>
    </row>
    <row r="701" spans="1:9" s="946" customFormat="1" ht="24.95" customHeight="1" x14ac:dyDescent="0.25">
      <c r="A701" s="958"/>
      <c r="B701" s="963">
        <v>24300</v>
      </c>
      <c r="C701" s="964">
        <v>344903900000000</v>
      </c>
      <c r="D701" s="963" t="s">
        <v>3635</v>
      </c>
      <c r="E701" s="954"/>
      <c r="F701" s="960">
        <v>1</v>
      </c>
      <c r="G701" s="963">
        <v>0</v>
      </c>
      <c r="H701" s="956"/>
      <c r="I701" s="961">
        <f>PUCFD!E629</f>
        <v>0.03</v>
      </c>
    </row>
    <row r="702" spans="1:9" s="946" customFormat="1" ht="24.95" customHeight="1" x14ac:dyDescent="0.25">
      <c r="A702" s="958"/>
      <c r="B702" s="963">
        <v>24350</v>
      </c>
      <c r="C702" s="964">
        <v>344903900000000</v>
      </c>
      <c r="D702" s="963" t="s">
        <v>4248</v>
      </c>
      <c r="E702" s="954"/>
      <c r="F702" s="960">
        <v>1166</v>
      </c>
      <c r="G702" s="963">
        <v>0</v>
      </c>
      <c r="H702" s="956"/>
      <c r="I702" s="961">
        <f>PUCFD!E633</f>
        <v>0.01</v>
      </c>
    </row>
    <row r="703" spans="1:9" s="946" customFormat="1" ht="24.95" customHeight="1" x14ac:dyDescent="0.25">
      <c r="A703" s="958"/>
      <c r="B703" s="963">
        <v>24360</v>
      </c>
      <c r="C703" s="964">
        <v>344903900000000</v>
      </c>
      <c r="D703" s="963" t="s">
        <v>4241</v>
      </c>
      <c r="E703" s="954"/>
      <c r="F703" s="960">
        <v>1032</v>
      </c>
      <c r="G703" s="963">
        <v>0</v>
      </c>
      <c r="H703" s="1359"/>
      <c r="I703" s="1360">
        <f>PUCFD!E634</f>
        <v>0.01</v>
      </c>
    </row>
    <row r="704" spans="1:9" s="946" customFormat="1" ht="24.95" customHeight="1" x14ac:dyDescent="0.25">
      <c r="A704" s="958"/>
      <c r="B704" s="963">
        <v>24400</v>
      </c>
      <c r="C704" s="964">
        <v>344905100000000</v>
      </c>
      <c r="D704" s="963" t="s">
        <v>3638</v>
      </c>
      <c r="E704" s="954"/>
      <c r="F704" s="960">
        <v>1</v>
      </c>
      <c r="G704" s="963">
        <v>0</v>
      </c>
      <c r="H704" s="956"/>
      <c r="I704" s="961">
        <f>PUCFD!E635</f>
        <v>0.01</v>
      </c>
    </row>
    <row r="705" spans="1:9" ht="24.95" customHeight="1" x14ac:dyDescent="0.25">
      <c r="A705" s="972"/>
      <c r="B705" s="973" t="s">
        <v>3639</v>
      </c>
      <c r="C705" s="974">
        <v>344905199180000</v>
      </c>
      <c r="D705" s="973" t="s">
        <v>3640</v>
      </c>
      <c r="E705" s="948">
        <v>0</v>
      </c>
      <c r="F705" s="975">
        <v>1</v>
      </c>
      <c r="G705" s="973">
        <v>0</v>
      </c>
      <c r="I705" s="976">
        <v>0</v>
      </c>
    </row>
    <row r="706" spans="1:9" ht="24.95" customHeight="1" x14ac:dyDescent="0.25">
      <c r="A706" s="972"/>
      <c r="B706" s="973" t="s">
        <v>3641</v>
      </c>
      <c r="C706" s="974">
        <v>344905199060000</v>
      </c>
      <c r="D706" s="973" t="s">
        <v>3642</v>
      </c>
      <c r="E706" s="948">
        <v>0</v>
      </c>
      <c r="F706" s="975">
        <v>1</v>
      </c>
      <c r="G706" s="973">
        <v>0</v>
      </c>
      <c r="I706" s="976">
        <v>0</v>
      </c>
    </row>
    <row r="707" spans="1:9" s="946" customFormat="1" ht="24.95" customHeight="1" x14ac:dyDescent="0.25">
      <c r="A707" s="958"/>
      <c r="B707" s="963">
        <v>24500</v>
      </c>
      <c r="C707" s="964">
        <v>344905200000000</v>
      </c>
      <c r="D707" s="963" t="s">
        <v>3645</v>
      </c>
      <c r="E707" s="954"/>
      <c r="F707" s="960">
        <v>1</v>
      </c>
      <c r="G707" s="963">
        <v>0</v>
      </c>
      <c r="H707" s="956"/>
      <c r="I707" s="961">
        <f>PUCFD!E637</f>
        <v>0.02</v>
      </c>
    </row>
    <row r="708" spans="1:9" s="946" customFormat="1" ht="30.75" customHeight="1" x14ac:dyDescent="0.25">
      <c r="A708" s="958"/>
      <c r="B708" s="963">
        <v>24600</v>
      </c>
      <c r="C708" s="964">
        <v>344905200000000</v>
      </c>
      <c r="D708" s="963" t="s">
        <v>3646</v>
      </c>
      <c r="E708" s="954"/>
      <c r="F708" s="960">
        <v>1</v>
      </c>
      <c r="G708" s="963">
        <v>0</v>
      </c>
      <c r="H708" s="956"/>
      <c r="I708" s="961">
        <f>PUCFD!E640</f>
        <v>0.01</v>
      </c>
    </row>
    <row r="709" spans="1:9" s="946" customFormat="1" ht="29.25" customHeight="1" x14ac:dyDescent="0.25">
      <c r="A709" s="958"/>
      <c r="B709" s="963">
        <v>24700</v>
      </c>
      <c r="C709" s="964">
        <v>344905200000000</v>
      </c>
      <c r="D709" s="963" t="s">
        <v>3647</v>
      </c>
      <c r="E709" s="954"/>
      <c r="F709" s="960">
        <v>1166</v>
      </c>
      <c r="G709" s="963">
        <v>0</v>
      </c>
      <c r="H709" s="956"/>
      <c r="I709" s="961">
        <f>PUCFD!E641</f>
        <v>0.98</v>
      </c>
    </row>
    <row r="710" spans="1:9" s="946" customFormat="1" ht="29.25" customHeight="1" x14ac:dyDescent="0.25">
      <c r="A710" s="958"/>
      <c r="B710" s="963">
        <v>24720</v>
      </c>
      <c r="C710" s="964">
        <v>344905200000000</v>
      </c>
      <c r="D710" s="963" t="s">
        <v>7721</v>
      </c>
      <c r="E710" s="954"/>
      <c r="F710" s="960">
        <v>1</v>
      </c>
      <c r="G710" s="963">
        <v>0</v>
      </c>
      <c r="H710" s="1359"/>
      <c r="I710" s="1360">
        <f>PUCFD!E642</f>
        <v>0.01</v>
      </c>
    </row>
    <row r="711" spans="1:9" s="946" customFormat="1" ht="29.25" customHeight="1" x14ac:dyDescent="0.25">
      <c r="A711" s="958"/>
      <c r="B711" s="963">
        <v>24740</v>
      </c>
      <c r="C711" s="964">
        <v>344905200000000</v>
      </c>
      <c r="D711" s="963" t="s">
        <v>7722</v>
      </c>
      <c r="E711" s="954"/>
      <c r="F711" s="960">
        <v>1032</v>
      </c>
      <c r="G711" s="963">
        <v>0</v>
      </c>
      <c r="H711" s="1359"/>
      <c r="I711" s="1360">
        <f>PUCFD!E643</f>
        <v>925000.98</v>
      </c>
    </row>
    <row r="712" spans="1:9" ht="15" customHeight="1" x14ac:dyDescent="0.25">
      <c r="A712" s="958"/>
      <c r="B712" s="962" t="s">
        <v>3138</v>
      </c>
      <c r="C712" s="959">
        <v>15</v>
      </c>
      <c r="D712" s="962" t="s">
        <v>4105</v>
      </c>
      <c r="E712" s="954"/>
      <c r="F712" s="960"/>
      <c r="G712" s="958"/>
      <c r="H712" s="958"/>
      <c r="I712" s="961">
        <f>I713</f>
        <v>107456.56128266663</v>
      </c>
    </row>
    <row r="713" spans="1:9" ht="15" customHeight="1" x14ac:dyDescent="0.25">
      <c r="A713" s="958"/>
      <c r="B713" s="962" t="s">
        <v>3139</v>
      </c>
      <c r="C713" s="959">
        <v>451</v>
      </c>
      <c r="D713" s="962" t="s">
        <v>4096</v>
      </c>
      <c r="E713" s="954"/>
      <c r="F713" s="960"/>
      <c r="G713" s="958"/>
      <c r="H713" s="958"/>
      <c r="I713" s="961">
        <f>I714</f>
        <v>107456.56128266663</v>
      </c>
    </row>
    <row r="714" spans="1:9" ht="15" customHeight="1" x14ac:dyDescent="0.25">
      <c r="A714" s="958"/>
      <c r="B714" s="962" t="s">
        <v>3137</v>
      </c>
      <c r="C714" s="959">
        <v>4</v>
      </c>
      <c r="D714" s="962" t="s">
        <v>4097</v>
      </c>
      <c r="E714" s="954"/>
      <c r="F714" s="960"/>
      <c r="G714" s="958"/>
      <c r="H714" s="958"/>
      <c r="I714" s="961">
        <f>I715</f>
        <v>107456.56128266663</v>
      </c>
    </row>
    <row r="715" spans="1:9" s="946" customFormat="1" ht="24.95" customHeight="1" x14ac:dyDescent="0.25">
      <c r="A715" s="958"/>
      <c r="B715" s="963" t="s">
        <v>2965</v>
      </c>
      <c r="C715" s="959">
        <v>3</v>
      </c>
      <c r="D715" s="963" t="s">
        <v>3744</v>
      </c>
      <c r="E715" s="954"/>
      <c r="F715" s="960"/>
      <c r="G715" s="963"/>
      <c r="H715" s="956"/>
      <c r="I715" s="957">
        <f>SUM(I716+I717+I719+I720+I721+I722+I723+I724+I725+I730+I731+I732+I740+I733+I741+I742+I743+I744+I745+I746+I747)</f>
        <v>107456.56128266663</v>
      </c>
    </row>
    <row r="716" spans="1:9" s="946" customFormat="1" ht="24.95" customHeight="1" x14ac:dyDescent="0.25">
      <c r="A716" s="958"/>
      <c r="B716" s="963">
        <v>18000</v>
      </c>
      <c r="C716" s="964">
        <v>331900400000000</v>
      </c>
      <c r="D716" s="963" t="s">
        <v>3745</v>
      </c>
      <c r="E716" s="954"/>
      <c r="F716" s="960">
        <v>1</v>
      </c>
      <c r="G716" s="963">
        <v>0</v>
      </c>
      <c r="H716" s="958">
        <v>0</v>
      </c>
      <c r="I716" s="961">
        <f>PUCFD!E646</f>
        <v>0.11666666666666667</v>
      </c>
    </row>
    <row r="717" spans="1:9" s="946" customFormat="1" ht="34.5" customHeight="1" x14ac:dyDescent="0.25">
      <c r="A717" s="958"/>
      <c r="B717" s="963">
        <v>18050</v>
      </c>
      <c r="C717" s="964">
        <v>331900800000000</v>
      </c>
      <c r="D717" s="963" t="s">
        <v>4261</v>
      </c>
      <c r="E717" s="954"/>
      <c r="F717" s="960">
        <v>1</v>
      </c>
      <c r="G717" s="963">
        <v>0</v>
      </c>
      <c r="H717" s="956">
        <v>0</v>
      </c>
      <c r="I717" s="961">
        <f>SUM(I718)</f>
        <v>1.4616000000000001E-2</v>
      </c>
    </row>
    <row r="718" spans="1:9" ht="24.95" customHeight="1" x14ac:dyDescent="0.25">
      <c r="A718" s="972"/>
      <c r="B718" s="973" t="s">
        <v>4260</v>
      </c>
      <c r="C718" s="991">
        <v>319008990400000</v>
      </c>
      <c r="D718" s="973" t="s">
        <v>4234</v>
      </c>
      <c r="F718" s="975">
        <v>1</v>
      </c>
      <c r="G718" s="973">
        <v>0</v>
      </c>
      <c r="H718" s="950">
        <v>0</v>
      </c>
      <c r="I718" s="976">
        <f>SUM(I719,I721,I722,I723)*PUCFD!E$94+0.01</f>
        <v>1.4616000000000001E-2</v>
      </c>
    </row>
    <row r="719" spans="1:9" s="946" customFormat="1" ht="33" customHeight="1" x14ac:dyDescent="0.25">
      <c r="A719" s="958"/>
      <c r="B719" s="963">
        <v>18100</v>
      </c>
      <c r="C719" s="964">
        <v>331901100000000</v>
      </c>
      <c r="D719" s="963" t="s">
        <v>3752</v>
      </c>
      <c r="E719" s="954"/>
      <c r="F719" s="960">
        <v>1</v>
      </c>
      <c r="G719" s="963">
        <v>0</v>
      </c>
      <c r="H719" s="958">
        <v>0</v>
      </c>
      <c r="I719" s="961">
        <f>PUCFD!E650</f>
        <v>0.01</v>
      </c>
    </row>
    <row r="720" spans="1:9" s="946" customFormat="1" ht="24.95" customHeight="1" x14ac:dyDescent="0.25">
      <c r="A720" s="958"/>
      <c r="B720" s="963">
        <v>18200</v>
      </c>
      <c r="C720" s="964">
        <v>331901300000000</v>
      </c>
      <c r="D720" s="963" t="s">
        <v>3765</v>
      </c>
      <c r="E720" s="954"/>
      <c r="F720" s="960">
        <v>1</v>
      </c>
      <c r="G720" s="963">
        <v>0</v>
      </c>
      <c r="H720" s="958">
        <v>0</v>
      </c>
      <c r="I720" s="961">
        <f>PUCFD!E651</f>
        <v>0.01</v>
      </c>
    </row>
    <row r="721" spans="1:9" s="946" customFormat="1" ht="24.95" customHeight="1" x14ac:dyDescent="0.25">
      <c r="A721" s="958"/>
      <c r="B721" s="963">
        <v>18300</v>
      </c>
      <c r="C721" s="964">
        <v>331901600000000</v>
      </c>
      <c r="D721" s="963" t="s">
        <v>3770</v>
      </c>
      <c r="E721" s="954"/>
      <c r="F721" s="960">
        <v>1</v>
      </c>
      <c r="G721" s="963">
        <v>0</v>
      </c>
      <c r="H721" s="958">
        <v>0</v>
      </c>
      <c r="I721" s="961">
        <f>PUCFD!E652</f>
        <v>0.01</v>
      </c>
    </row>
    <row r="722" spans="1:9" s="946" customFormat="1" ht="24.95" customHeight="1" x14ac:dyDescent="0.25">
      <c r="A722" s="958"/>
      <c r="B722" s="963">
        <v>18350</v>
      </c>
      <c r="C722" s="964">
        <v>331903400000000</v>
      </c>
      <c r="D722" s="963" t="s">
        <v>2988</v>
      </c>
      <c r="E722" s="954"/>
      <c r="F722" s="960">
        <v>1</v>
      </c>
      <c r="G722" s="963">
        <v>0</v>
      </c>
      <c r="H722" s="958">
        <v>0</v>
      </c>
      <c r="I722" s="961">
        <f>PUCFD!E653</f>
        <v>0.01</v>
      </c>
    </row>
    <row r="723" spans="1:9" s="946" customFormat="1" ht="24.95" customHeight="1" x14ac:dyDescent="0.25">
      <c r="A723" s="958"/>
      <c r="B723" s="963">
        <v>18400</v>
      </c>
      <c r="C723" s="964">
        <v>331909400000000</v>
      </c>
      <c r="D723" s="963" t="s">
        <v>3776</v>
      </c>
      <c r="E723" s="954"/>
      <c r="F723" s="960">
        <v>1</v>
      </c>
      <c r="G723" s="963">
        <v>0</v>
      </c>
      <c r="H723" s="958">
        <v>0</v>
      </c>
      <c r="I723" s="961">
        <f>PUCFD!E654</f>
        <v>0.01</v>
      </c>
    </row>
    <row r="724" spans="1:9" s="946" customFormat="1" ht="24.95" customHeight="1" x14ac:dyDescent="0.25">
      <c r="A724" s="958"/>
      <c r="B724" s="963">
        <v>18500</v>
      </c>
      <c r="C724" s="964">
        <v>333901400000000</v>
      </c>
      <c r="D724" s="963" t="s">
        <v>3783</v>
      </c>
      <c r="E724" s="954"/>
      <c r="F724" s="960">
        <v>1</v>
      </c>
      <c r="G724" s="963">
        <v>0</v>
      </c>
      <c r="H724" s="958">
        <v>0</v>
      </c>
      <c r="I724" s="961">
        <f>PUCFD!E655</f>
        <v>0.01</v>
      </c>
    </row>
    <row r="725" spans="1:9" s="946" customFormat="1" ht="24.95" customHeight="1" x14ac:dyDescent="0.25">
      <c r="A725" s="958"/>
      <c r="B725" s="963">
        <v>18600</v>
      </c>
      <c r="C725" s="964">
        <v>333903000000000</v>
      </c>
      <c r="D725" s="963" t="s">
        <v>3792</v>
      </c>
      <c r="E725" s="954"/>
      <c r="F725" s="960">
        <v>1</v>
      </c>
      <c r="G725" s="963">
        <v>0</v>
      </c>
      <c r="H725" s="958">
        <v>0</v>
      </c>
      <c r="I725" s="961">
        <f>SUM(I726,I727,I728,I729)</f>
        <v>18000</v>
      </c>
    </row>
    <row r="726" spans="1:9" ht="24.95" customHeight="1" x14ac:dyDescent="0.25">
      <c r="A726" s="972"/>
      <c r="B726" s="973" t="s">
        <v>3793</v>
      </c>
      <c r="C726" s="974">
        <v>333903026000000</v>
      </c>
      <c r="D726" s="973" t="s">
        <v>3794</v>
      </c>
      <c r="E726" s="948">
        <v>331112600000000</v>
      </c>
      <c r="F726" s="975">
        <v>1</v>
      </c>
      <c r="G726" s="973">
        <v>0</v>
      </c>
      <c r="H726" s="972">
        <v>0</v>
      </c>
      <c r="I726" s="976">
        <f>PUCFD!E657</f>
        <v>5000</v>
      </c>
    </row>
    <row r="727" spans="1:9" ht="24.95" customHeight="1" x14ac:dyDescent="0.25">
      <c r="A727" s="972"/>
      <c r="B727" s="973" t="s">
        <v>3795</v>
      </c>
      <c r="C727" s="974">
        <v>333903028000000</v>
      </c>
      <c r="D727" s="973" t="s">
        <v>3796</v>
      </c>
      <c r="E727" s="948">
        <v>331112800000000</v>
      </c>
      <c r="F727" s="975">
        <v>1</v>
      </c>
      <c r="G727" s="973">
        <v>0</v>
      </c>
      <c r="H727" s="972">
        <v>0</v>
      </c>
      <c r="I727" s="976">
        <f>PUCFD!E658</f>
        <v>3000</v>
      </c>
    </row>
    <row r="728" spans="1:9" ht="24.95" customHeight="1" x14ac:dyDescent="0.25">
      <c r="A728" s="972"/>
      <c r="B728" s="973" t="s">
        <v>3797</v>
      </c>
      <c r="C728" s="974">
        <v>333903025030000</v>
      </c>
      <c r="D728" s="973" t="s">
        <v>3798</v>
      </c>
      <c r="E728" s="948">
        <v>331112500000000</v>
      </c>
      <c r="F728" s="975">
        <v>1</v>
      </c>
      <c r="G728" s="973">
        <v>0</v>
      </c>
      <c r="H728" s="972">
        <v>0</v>
      </c>
      <c r="I728" s="976">
        <f>PUCFD!E659</f>
        <v>5000</v>
      </c>
    </row>
    <row r="729" spans="1:9" ht="24.95" customHeight="1" x14ac:dyDescent="0.25">
      <c r="A729" s="972"/>
      <c r="B729" s="973" t="s">
        <v>3799</v>
      </c>
      <c r="C729" s="974">
        <v>333903099000000</v>
      </c>
      <c r="D729" s="973" t="s">
        <v>3800</v>
      </c>
      <c r="E729" s="948">
        <v>331119900000000</v>
      </c>
      <c r="F729" s="975">
        <v>1</v>
      </c>
      <c r="G729" s="973">
        <v>0</v>
      </c>
      <c r="H729" s="972">
        <v>0</v>
      </c>
      <c r="I729" s="976">
        <f>PUCFD!E660</f>
        <v>5000</v>
      </c>
    </row>
    <row r="730" spans="1:9" s="946" customFormat="1" ht="24.95" customHeight="1" x14ac:dyDescent="0.25">
      <c r="A730" s="958"/>
      <c r="B730" s="963">
        <v>18700</v>
      </c>
      <c r="C730" s="964">
        <v>333903300000000</v>
      </c>
      <c r="D730" s="963" t="s">
        <v>3945</v>
      </c>
      <c r="E730" s="954"/>
      <c r="F730" s="960">
        <v>1</v>
      </c>
      <c r="G730" s="963">
        <v>0</v>
      </c>
      <c r="H730" s="958">
        <v>0</v>
      </c>
      <c r="I730" s="961">
        <f>PUCFD!E661</f>
        <v>0.01</v>
      </c>
    </row>
    <row r="731" spans="1:9" s="946" customFormat="1" ht="24.95" customHeight="1" x14ac:dyDescent="0.25">
      <c r="A731" s="958"/>
      <c r="B731" s="963">
        <v>18800</v>
      </c>
      <c r="C731" s="964">
        <v>333903500000000</v>
      </c>
      <c r="D731" s="963" t="s">
        <v>3948</v>
      </c>
      <c r="E731" s="954"/>
      <c r="F731" s="960">
        <v>1</v>
      </c>
      <c r="G731" s="963">
        <v>0</v>
      </c>
      <c r="H731" s="958">
        <v>0</v>
      </c>
      <c r="I731" s="961">
        <f>PUCFD!E662</f>
        <v>0.01</v>
      </c>
    </row>
    <row r="732" spans="1:9" s="946" customFormat="1" ht="24.95" customHeight="1" x14ac:dyDescent="0.25">
      <c r="A732" s="958"/>
      <c r="B732" s="963">
        <v>18900</v>
      </c>
      <c r="C732" s="964">
        <v>333903600000000</v>
      </c>
      <c r="D732" s="963" t="s">
        <v>3951</v>
      </c>
      <c r="E732" s="954"/>
      <c r="F732" s="960">
        <v>1</v>
      </c>
      <c r="G732" s="963">
        <v>0</v>
      </c>
      <c r="H732" s="958">
        <v>0</v>
      </c>
      <c r="I732" s="961">
        <f>PUCFD!E663</f>
        <v>0.01</v>
      </c>
    </row>
    <row r="733" spans="1:9" s="946" customFormat="1" ht="24.95" customHeight="1" x14ac:dyDescent="0.25">
      <c r="A733" s="958"/>
      <c r="B733" s="963">
        <v>19000</v>
      </c>
      <c r="C733" s="964">
        <v>333903900000000</v>
      </c>
      <c r="D733" s="963" t="s">
        <v>3953</v>
      </c>
      <c r="E733" s="954"/>
      <c r="F733" s="960">
        <v>1</v>
      </c>
      <c r="G733" s="963">
        <v>0</v>
      </c>
      <c r="H733" s="958">
        <v>0</v>
      </c>
      <c r="I733" s="961">
        <f>SUM(I734,I735,I736,I737,I738,I739)</f>
        <v>89456.260000000009</v>
      </c>
    </row>
    <row r="734" spans="1:9" ht="24.95" customHeight="1" x14ac:dyDescent="0.25">
      <c r="A734" s="972"/>
      <c r="B734" s="973" t="s">
        <v>3954</v>
      </c>
      <c r="C734" s="974">
        <v>333903999040000</v>
      </c>
      <c r="D734" s="973" t="s">
        <v>3955</v>
      </c>
      <c r="E734" s="948">
        <v>332319900000000</v>
      </c>
      <c r="F734" s="975">
        <v>1</v>
      </c>
      <c r="G734" s="973">
        <v>0</v>
      </c>
      <c r="H734" s="972">
        <v>0</v>
      </c>
      <c r="I734" s="976">
        <f>PUCFD!E665</f>
        <v>3000</v>
      </c>
    </row>
    <row r="735" spans="1:9" s="971" customFormat="1" ht="24.95" customHeight="1" x14ac:dyDescent="0.25">
      <c r="A735" s="965"/>
      <c r="B735" s="966" t="s">
        <v>3956</v>
      </c>
      <c r="C735" s="967">
        <v>333903917400000</v>
      </c>
      <c r="D735" s="966" t="s">
        <v>3957</v>
      </c>
      <c r="E735" s="968">
        <v>332310600000000</v>
      </c>
      <c r="F735" s="969">
        <v>1</v>
      </c>
      <c r="G735" s="966">
        <v>0</v>
      </c>
      <c r="H735" s="965">
        <v>0</v>
      </c>
      <c r="I735" s="976">
        <f>PUCFD!E666</f>
        <v>1000</v>
      </c>
    </row>
    <row r="736" spans="1:9" ht="24.95" customHeight="1" x14ac:dyDescent="0.25">
      <c r="A736" s="972"/>
      <c r="B736" s="973" t="s">
        <v>3958</v>
      </c>
      <c r="C736" s="974">
        <v>333903999040000</v>
      </c>
      <c r="D736" s="973" t="s">
        <v>3959</v>
      </c>
      <c r="E736" s="948">
        <v>332319900000000</v>
      </c>
      <c r="F736" s="975">
        <v>1</v>
      </c>
      <c r="G736" s="973">
        <v>0</v>
      </c>
      <c r="H736" s="972">
        <v>0</v>
      </c>
      <c r="I736" s="976">
        <f>PUCFD!E667</f>
        <v>15000</v>
      </c>
    </row>
    <row r="737" spans="1:9" ht="24.95" customHeight="1" x14ac:dyDescent="0.25">
      <c r="A737" s="972"/>
      <c r="B737" s="973" t="s">
        <v>3960</v>
      </c>
      <c r="C737" s="974">
        <v>333903944000000</v>
      </c>
      <c r="D737" s="973" t="s">
        <v>3961</v>
      </c>
      <c r="E737" s="948">
        <v>332310800000000</v>
      </c>
      <c r="F737" s="975">
        <v>1</v>
      </c>
      <c r="G737" s="973">
        <v>0</v>
      </c>
      <c r="H737" s="972">
        <v>0</v>
      </c>
      <c r="I737" s="976">
        <f>PUCFD!E668</f>
        <v>2457.54</v>
      </c>
    </row>
    <row r="738" spans="1:9" ht="24.95" customHeight="1" x14ac:dyDescent="0.25">
      <c r="A738" s="972"/>
      <c r="B738" s="973" t="s">
        <v>3962</v>
      </c>
      <c r="C738" s="974">
        <v>333903943000000</v>
      </c>
      <c r="D738" s="973" t="s">
        <v>3963</v>
      </c>
      <c r="E738" s="948">
        <v>332310800000000</v>
      </c>
      <c r="F738" s="975">
        <v>1</v>
      </c>
      <c r="G738" s="973">
        <v>0</v>
      </c>
      <c r="H738" s="972">
        <v>0</v>
      </c>
      <c r="I738" s="976">
        <f>PUCFD!E669</f>
        <v>1800</v>
      </c>
    </row>
    <row r="739" spans="1:9" ht="24.95" customHeight="1" x14ac:dyDescent="0.25">
      <c r="A739" s="972"/>
      <c r="B739" s="973" t="s">
        <v>3964</v>
      </c>
      <c r="C739" s="974">
        <v>333903943000000</v>
      </c>
      <c r="D739" s="973" t="s">
        <v>3965</v>
      </c>
      <c r="E739" s="948">
        <v>332310800000000</v>
      </c>
      <c r="F739" s="975">
        <v>1</v>
      </c>
      <c r="G739" s="973">
        <v>0</v>
      </c>
      <c r="H739" s="972">
        <v>0</v>
      </c>
      <c r="I739" s="976">
        <f>PUCFD!E670</f>
        <v>66198.720000000001</v>
      </c>
    </row>
    <row r="740" spans="1:9" s="946" customFormat="1" ht="24.95" customHeight="1" x14ac:dyDescent="0.25">
      <c r="A740" s="958"/>
      <c r="B740" s="963">
        <v>19100</v>
      </c>
      <c r="C740" s="964">
        <v>333904600000000</v>
      </c>
      <c r="D740" s="963" t="s">
        <v>4036</v>
      </c>
      <c r="E740" s="954"/>
      <c r="F740" s="960">
        <v>1</v>
      </c>
      <c r="G740" s="963">
        <v>0</v>
      </c>
      <c r="H740" s="958">
        <v>0</v>
      </c>
      <c r="I740" s="961">
        <f>PUCFD!E671</f>
        <v>0.01</v>
      </c>
    </row>
    <row r="741" spans="1:9" s="946" customFormat="1" ht="24.95" customHeight="1" x14ac:dyDescent="0.25">
      <c r="A741" s="958"/>
      <c r="B741" s="963">
        <v>19200</v>
      </c>
      <c r="C741" s="964">
        <v>333904700000000</v>
      </c>
      <c r="D741" s="963" t="s">
        <v>4039</v>
      </c>
      <c r="E741" s="954"/>
      <c r="F741" s="960">
        <v>1</v>
      </c>
      <c r="G741" s="963">
        <v>0</v>
      </c>
      <c r="H741" s="958">
        <v>0</v>
      </c>
      <c r="I741" s="961">
        <f>PUCFD!E672</f>
        <v>0.01</v>
      </c>
    </row>
    <row r="742" spans="1:9" s="946" customFormat="1" ht="24.95" customHeight="1" x14ac:dyDescent="0.25">
      <c r="A742" s="958"/>
      <c r="B742" s="963">
        <v>19300</v>
      </c>
      <c r="C742" s="964">
        <v>333904900000000</v>
      </c>
      <c r="D742" s="963" t="s">
        <v>4071</v>
      </c>
      <c r="E742" s="954"/>
      <c r="F742" s="960">
        <v>1</v>
      </c>
      <c r="G742" s="963">
        <v>0</v>
      </c>
      <c r="H742" s="958">
        <v>0</v>
      </c>
      <c r="I742" s="961">
        <f>PUCFD!E673</f>
        <v>0.01</v>
      </c>
    </row>
    <row r="743" spans="1:9" s="946" customFormat="1" ht="24.95" customHeight="1" x14ac:dyDescent="0.25">
      <c r="A743" s="958"/>
      <c r="B743" s="963">
        <v>19400</v>
      </c>
      <c r="C743" s="964">
        <v>333909200000000</v>
      </c>
      <c r="D743" s="963" t="s">
        <v>4076</v>
      </c>
      <c r="E743" s="954"/>
      <c r="F743" s="960">
        <v>1</v>
      </c>
      <c r="G743" s="963">
        <v>0</v>
      </c>
      <c r="H743" s="958">
        <v>0</v>
      </c>
      <c r="I743" s="961">
        <f>PUCFD!E674</f>
        <v>0.01</v>
      </c>
    </row>
    <row r="744" spans="1:9" s="946" customFormat="1" ht="24.95" customHeight="1" x14ac:dyDescent="0.25">
      <c r="A744" s="958"/>
      <c r="B744" s="963">
        <v>19500</v>
      </c>
      <c r="C744" s="964">
        <v>333909300000000</v>
      </c>
      <c r="D744" s="963" t="s">
        <v>4083</v>
      </c>
      <c r="E744" s="954"/>
      <c r="F744" s="960">
        <v>1</v>
      </c>
      <c r="G744" s="963">
        <v>0</v>
      </c>
      <c r="H744" s="958">
        <v>0</v>
      </c>
      <c r="I744" s="961">
        <f>PUCFD!E675</f>
        <v>0.01</v>
      </c>
    </row>
    <row r="745" spans="1:9" s="946" customFormat="1" ht="30.75" customHeight="1" x14ac:dyDescent="0.25">
      <c r="A745" s="958"/>
      <c r="B745" s="963">
        <v>19600</v>
      </c>
      <c r="C745" s="964">
        <v>333933000000000</v>
      </c>
      <c r="D745" s="963" t="s">
        <v>4087</v>
      </c>
      <c r="E745" s="954"/>
      <c r="F745" s="960">
        <v>1</v>
      </c>
      <c r="G745" s="963">
        <v>0</v>
      </c>
      <c r="H745" s="958">
        <v>0</v>
      </c>
      <c r="I745" s="961">
        <f>PUCFD!E676</f>
        <v>0.01</v>
      </c>
    </row>
    <row r="746" spans="1:9" s="946" customFormat="1" ht="24.95" customHeight="1" x14ac:dyDescent="0.25">
      <c r="A746" s="958"/>
      <c r="B746" s="963">
        <v>19700</v>
      </c>
      <c r="C746" s="964">
        <v>344905100000000</v>
      </c>
      <c r="D746" s="963" t="s">
        <v>4089</v>
      </c>
      <c r="E746" s="954"/>
      <c r="F746" s="960">
        <v>1</v>
      </c>
      <c r="G746" s="963">
        <v>0</v>
      </c>
      <c r="H746" s="958">
        <v>0</v>
      </c>
      <c r="I746" s="961">
        <f>PUCFD!E677</f>
        <v>0.01</v>
      </c>
    </row>
    <row r="747" spans="1:9" s="946" customFormat="1" ht="24.95" customHeight="1" x14ac:dyDescent="0.25">
      <c r="A747" s="958"/>
      <c r="B747" s="963">
        <v>19800</v>
      </c>
      <c r="C747" s="964">
        <v>344905200000000</v>
      </c>
      <c r="D747" s="963" t="s">
        <v>4091</v>
      </c>
      <c r="E747" s="954"/>
      <c r="F747" s="960">
        <v>1</v>
      </c>
      <c r="G747" s="963">
        <v>0</v>
      </c>
      <c r="H747" s="956">
        <v>0</v>
      </c>
      <c r="I747" s="957">
        <f>PUCFD!E678</f>
        <v>0.01</v>
      </c>
    </row>
    <row r="748" spans="1:9" ht="15" customHeight="1" x14ac:dyDescent="0.25">
      <c r="A748" s="958"/>
      <c r="B748" s="962" t="s">
        <v>3138</v>
      </c>
      <c r="C748" s="959">
        <v>15</v>
      </c>
      <c r="D748" s="962" t="s">
        <v>4105</v>
      </c>
      <c r="E748" s="954"/>
      <c r="F748" s="960"/>
      <c r="G748" s="958"/>
      <c r="H748" s="958"/>
      <c r="I748" s="961">
        <f>I749</f>
        <v>60550.464587672395</v>
      </c>
    </row>
    <row r="749" spans="1:9" ht="15" customHeight="1" x14ac:dyDescent="0.25">
      <c r="A749" s="958"/>
      <c r="B749" s="962" t="s">
        <v>3139</v>
      </c>
      <c r="C749" s="959">
        <v>452</v>
      </c>
      <c r="D749" s="962" t="s">
        <v>4100</v>
      </c>
      <c r="E749" s="954"/>
      <c r="F749" s="960"/>
      <c r="G749" s="958"/>
      <c r="H749" s="958"/>
      <c r="I749" s="961">
        <f>I750</f>
        <v>60550.464587672395</v>
      </c>
    </row>
    <row r="750" spans="1:9" ht="15" customHeight="1" x14ac:dyDescent="0.25">
      <c r="A750" s="958"/>
      <c r="B750" s="962" t="s">
        <v>3137</v>
      </c>
      <c r="C750" s="959">
        <v>4</v>
      </c>
      <c r="D750" s="962" t="s">
        <v>4097</v>
      </c>
      <c r="E750" s="954"/>
      <c r="F750" s="960"/>
      <c r="G750" s="958"/>
      <c r="H750" s="958"/>
      <c r="I750" s="961">
        <f>I751</f>
        <v>60550.464587672395</v>
      </c>
    </row>
    <row r="751" spans="1:9" s="946" customFormat="1" ht="24.95" customHeight="1" x14ac:dyDescent="0.25">
      <c r="A751" s="958"/>
      <c r="B751" s="963" t="s">
        <v>2965</v>
      </c>
      <c r="C751" s="959">
        <v>3</v>
      </c>
      <c r="D751" s="963" t="s">
        <v>3744</v>
      </c>
      <c r="E751" s="954"/>
      <c r="F751" s="960"/>
      <c r="G751" s="963"/>
      <c r="H751" s="956"/>
      <c r="I751" s="957">
        <f>SUM(I752,I753,I755,I756,I757,I758,I759,I760,I763,I767,I768,I769,I770,I774,I775,I776,I777,I779,I780,I781,I782)</f>
        <v>60550.464587672395</v>
      </c>
    </row>
    <row r="752" spans="1:9" s="946" customFormat="1" ht="24.95" customHeight="1" x14ac:dyDescent="0.25">
      <c r="A752" s="958"/>
      <c r="B752" s="963">
        <v>21000</v>
      </c>
      <c r="C752" s="964">
        <v>331900400000000</v>
      </c>
      <c r="D752" s="963" t="s">
        <v>3746</v>
      </c>
      <c r="E752" s="954"/>
      <c r="F752" s="960">
        <v>1</v>
      </c>
      <c r="G752" s="963">
        <v>0</v>
      </c>
      <c r="H752" s="958">
        <v>0</v>
      </c>
      <c r="I752" s="961">
        <f>PUCFD!E681*(1+PUCFD!E$10)*(1+PUCFD!E$16)</f>
        <v>1.0973403E-2</v>
      </c>
    </row>
    <row r="753" spans="1:9" s="946" customFormat="1" ht="33" customHeight="1" x14ac:dyDescent="0.25">
      <c r="A753" s="958"/>
      <c r="B753" s="963">
        <v>21050</v>
      </c>
      <c r="C753" s="964">
        <v>331900800000000</v>
      </c>
      <c r="D753" s="963" t="s">
        <v>4261</v>
      </c>
      <c r="E753" s="954"/>
      <c r="F753" s="960">
        <v>1</v>
      </c>
      <c r="G753" s="963">
        <v>0</v>
      </c>
      <c r="H753" s="956"/>
      <c r="I753" s="961">
        <f>SUM(I754)</f>
        <v>5.0653228247999997E-3</v>
      </c>
    </row>
    <row r="754" spans="1:9" ht="24.95" customHeight="1" x14ac:dyDescent="0.25">
      <c r="A754" s="972"/>
      <c r="B754" s="973" t="s">
        <v>4262</v>
      </c>
      <c r="C754" s="991">
        <v>319008990400000</v>
      </c>
      <c r="D754" s="973" t="s">
        <v>4234</v>
      </c>
      <c r="F754" s="975"/>
      <c r="G754" s="973"/>
      <c r="I754" s="976">
        <f>SUM(I755,I757,I758,I759)*PUCFD!E$94</f>
        <v>5.0653228247999997E-3</v>
      </c>
    </row>
    <row r="755" spans="1:9" s="946" customFormat="1" ht="24.95" customHeight="1" x14ac:dyDescent="0.25">
      <c r="A755" s="958"/>
      <c r="B755" s="963">
        <v>21100</v>
      </c>
      <c r="C755" s="964">
        <v>331901100000000</v>
      </c>
      <c r="D755" s="963" t="s">
        <v>3753</v>
      </c>
      <c r="E755" s="954"/>
      <c r="F755" s="960">
        <v>1</v>
      </c>
      <c r="G755" s="963">
        <v>0</v>
      </c>
      <c r="H755" s="958">
        <v>0</v>
      </c>
      <c r="I755" s="961">
        <f>PUCFD!E682*(1+PUCFD!E$10)*(1+PUCFD!E$16)</f>
        <v>1.0973403E-2</v>
      </c>
    </row>
    <row r="756" spans="1:9" s="946" customFormat="1" ht="24.95" customHeight="1" x14ac:dyDescent="0.25">
      <c r="A756" s="958"/>
      <c r="B756" s="963">
        <v>21200</v>
      </c>
      <c r="C756" s="964">
        <v>331901300000000</v>
      </c>
      <c r="D756" s="963" t="s">
        <v>3766</v>
      </c>
      <c r="E756" s="954"/>
      <c r="F756" s="960">
        <v>1</v>
      </c>
      <c r="G756" s="963">
        <v>0</v>
      </c>
      <c r="H756" s="958">
        <v>0</v>
      </c>
      <c r="I756" s="961">
        <f>PUCFD!E683*(1+PUCFD!E$10)*(1+PUCFD!E$16)</f>
        <v>1.0973403E-2</v>
      </c>
    </row>
    <row r="757" spans="1:9" s="946" customFormat="1" ht="24.95" customHeight="1" x14ac:dyDescent="0.25">
      <c r="A757" s="958"/>
      <c r="B757" s="963">
        <v>21300</v>
      </c>
      <c r="C757" s="964">
        <v>331901600000000</v>
      </c>
      <c r="D757" s="963" t="s">
        <v>3771</v>
      </c>
      <c r="E757" s="954"/>
      <c r="F757" s="960">
        <v>1</v>
      </c>
      <c r="G757" s="963">
        <v>0</v>
      </c>
      <c r="H757" s="958">
        <v>0</v>
      </c>
      <c r="I757" s="961">
        <f>PUCFD!E684*(1+PUCFD!E$10)*(1+PUCFD!E$16)</f>
        <v>1.0973403E-2</v>
      </c>
    </row>
    <row r="758" spans="1:9" s="946" customFormat="1" ht="24.95" customHeight="1" x14ac:dyDescent="0.25">
      <c r="A758" s="958"/>
      <c r="B758" s="963">
        <v>21350</v>
      </c>
      <c r="C758" s="964">
        <v>331903400000000</v>
      </c>
      <c r="D758" s="963" t="s">
        <v>2988</v>
      </c>
      <c r="E758" s="954"/>
      <c r="F758" s="960">
        <v>1</v>
      </c>
      <c r="G758" s="963">
        <v>0</v>
      </c>
      <c r="H758" s="958">
        <v>0</v>
      </c>
      <c r="I758" s="961">
        <f>PUCFD!E685*(1+PUCFD!E$10)*(1+PUCFD!E$16)</f>
        <v>1.0973403E-2</v>
      </c>
    </row>
    <row r="759" spans="1:9" s="946" customFormat="1" ht="24.95" customHeight="1" x14ac:dyDescent="0.25">
      <c r="A759" s="958"/>
      <c r="B759" s="963">
        <v>21400</v>
      </c>
      <c r="C759" s="964">
        <v>331909400000000</v>
      </c>
      <c r="D759" s="963" t="s">
        <v>3777</v>
      </c>
      <c r="E759" s="954"/>
      <c r="F759" s="960">
        <v>1</v>
      </c>
      <c r="G759" s="963">
        <v>0</v>
      </c>
      <c r="H759" s="958">
        <v>0</v>
      </c>
      <c r="I759" s="961">
        <f>PUCFD!E686*(1+PUCFD!E$10)*(1+PUCFD!E$16)</f>
        <v>1.0973403E-2</v>
      </c>
    </row>
    <row r="760" spans="1:9" s="946" customFormat="1" ht="24.95" customHeight="1" x14ac:dyDescent="0.25">
      <c r="A760" s="958"/>
      <c r="B760" s="963">
        <v>21500</v>
      </c>
      <c r="C760" s="964">
        <v>333901400000000</v>
      </c>
      <c r="D760" s="963" t="s">
        <v>3784</v>
      </c>
      <c r="E760" s="954"/>
      <c r="F760" s="960">
        <v>1</v>
      </c>
      <c r="G760" s="963">
        <v>0</v>
      </c>
      <c r="H760" s="958">
        <v>0</v>
      </c>
      <c r="I760" s="961">
        <f>SUM(I761,I762)-0.01</f>
        <v>11418.698973143912</v>
      </c>
    </row>
    <row r="761" spans="1:9" ht="24.95" customHeight="1" x14ac:dyDescent="0.25">
      <c r="A761" s="972"/>
      <c r="B761" s="973" t="s">
        <v>3785</v>
      </c>
      <c r="C761" s="974">
        <v>333901414010000</v>
      </c>
      <c r="D761" s="973" t="s">
        <v>3288</v>
      </c>
      <c r="E761" s="948">
        <v>332110100000000</v>
      </c>
      <c r="F761" s="975">
        <v>1</v>
      </c>
      <c r="G761" s="973">
        <v>0</v>
      </c>
      <c r="H761" s="972">
        <v>0</v>
      </c>
      <c r="I761" s="976">
        <f>PUCFD!E688*(1+PUCFD!E$85)*(1+PUCFD!E$86)</f>
        <v>10665.289443639129</v>
      </c>
    </row>
    <row r="762" spans="1:9" ht="24.95" customHeight="1" x14ac:dyDescent="0.25">
      <c r="A762" s="972"/>
      <c r="B762" s="973" t="s">
        <v>3786</v>
      </c>
      <c r="C762" s="974">
        <v>333901414020000</v>
      </c>
      <c r="D762" s="973" t="s">
        <v>3290</v>
      </c>
      <c r="E762" s="948">
        <v>332110100000000</v>
      </c>
      <c r="F762" s="975">
        <v>1</v>
      </c>
      <c r="G762" s="973">
        <v>0</v>
      </c>
      <c r="H762" s="972">
        <v>0</v>
      </c>
      <c r="I762" s="976">
        <f>PUCFD!E689*(1+PUCFD!E$85)*(1+PUCFD!E$86)</f>
        <v>753.41952950478253</v>
      </c>
    </row>
    <row r="763" spans="1:9" s="946" customFormat="1" ht="24.95" customHeight="1" x14ac:dyDescent="0.25">
      <c r="A763" s="958"/>
      <c r="B763" s="963">
        <v>21600</v>
      </c>
      <c r="C763" s="964">
        <v>333903000000000</v>
      </c>
      <c r="D763" s="963" t="s">
        <v>3628</v>
      </c>
      <c r="E763" s="954"/>
      <c r="F763" s="960">
        <v>1</v>
      </c>
      <c r="G763" s="963">
        <v>0</v>
      </c>
      <c r="H763" s="958">
        <v>0</v>
      </c>
      <c r="I763" s="961">
        <f>SUM(I764,I765,I766)-20000</f>
        <v>20676.519401124344</v>
      </c>
    </row>
    <row r="764" spans="1:9" ht="24.95" customHeight="1" x14ac:dyDescent="0.25">
      <c r="A764" s="972"/>
      <c r="B764" s="973" t="s">
        <v>3801</v>
      </c>
      <c r="C764" s="974">
        <v>333903001020600</v>
      </c>
      <c r="D764" s="973" t="s">
        <v>3802</v>
      </c>
      <c r="E764" s="948">
        <v>331110100000000</v>
      </c>
      <c r="F764" s="975">
        <v>1</v>
      </c>
      <c r="G764" s="973">
        <v>0</v>
      </c>
      <c r="H764" s="972">
        <v>0</v>
      </c>
      <c r="I764" s="976">
        <f>((PUCFD!E691*(1+PUCFD!E$10))*(1+PUCFD!E$16))*(1+PUCFD!E$20)</f>
        <v>13549.549308813879</v>
      </c>
    </row>
    <row r="765" spans="1:9" ht="24.95" customHeight="1" x14ac:dyDescent="0.25">
      <c r="A765" s="972"/>
      <c r="B765" s="973" t="s">
        <v>3803</v>
      </c>
      <c r="C765" s="974">
        <v>333903001023200</v>
      </c>
      <c r="D765" s="973" t="s">
        <v>3804</v>
      </c>
      <c r="E765" s="948">
        <v>331110100000000</v>
      </c>
      <c r="F765" s="975">
        <v>1</v>
      </c>
      <c r="G765" s="973">
        <v>0</v>
      </c>
      <c r="H765" s="972">
        <v>0</v>
      </c>
      <c r="I765" s="976">
        <f>((PUCFD!E692*(1+PUCFD!E$10))*(1+PUCFD!E$16))*(1+PUCFD!E$21)</f>
        <v>13511.231273161995</v>
      </c>
    </row>
    <row r="766" spans="1:9" ht="24.95" customHeight="1" x14ac:dyDescent="0.25">
      <c r="A766" s="972"/>
      <c r="B766" s="973" t="s">
        <v>3805</v>
      </c>
      <c r="C766" s="974">
        <v>333903001020700</v>
      </c>
      <c r="D766" s="973" t="s">
        <v>3806</v>
      </c>
      <c r="E766" s="948">
        <v>331110100000000</v>
      </c>
      <c r="F766" s="975">
        <v>1</v>
      </c>
      <c r="G766" s="973">
        <v>0</v>
      </c>
      <c r="H766" s="972">
        <v>0</v>
      </c>
      <c r="I766" s="976">
        <f>((PUCFD!E693*(1+PUCFD!E$10))*(1+PUCFD!E$16))*(1+PUCFD!E$20)</f>
        <v>13615.738819148468</v>
      </c>
    </row>
    <row r="767" spans="1:9" s="946" customFormat="1" ht="24.95" customHeight="1" x14ac:dyDescent="0.25">
      <c r="A767" s="958"/>
      <c r="B767" s="963">
        <v>21700</v>
      </c>
      <c r="C767" s="964">
        <v>333903300000000</v>
      </c>
      <c r="D767" s="963" t="s">
        <v>3946</v>
      </c>
      <c r="E767" s="954"/>
      <c r="F767" s="960">
        <v>1</v>
      </c>
      <c r="G767" s="963">
        <v>0</v>
      </c>
      <c r="H767" s="958">
        <v>0</v>
      </c>
      <c r="I767" s="961">
        <f>PUCFD!E694*(1+PUCFD!E$10)*(1+PUCFD!E$16)</f>
        <v>1.0973403E-2</v>
      </c>
    </row>
    <row r="768" spans="1:9" s="946" customFormat="1" ht="24.95" customHeight="1" x14ac:dyDescent="0.25">
      <c r="A768" s="958"/>
      <c r="B768" s="963">
        <v>21800</v>
      </c>
      <c r="C768" s="964">
        <v>333903500000000</v>
      </c>
      <c r="D768" s="963" t="s">
        <v>3949</v>
      </c>
      <c r="E768" s="954"/>
      <c r="F768" s="960">
        <v>1</v>
      </c>
      <c r="G768" s="963">
        <v>0</v>
      </c>
      <c r="H768" s="958">
        <v>0</v>
      </c>
      <c r="I768" s="961">
        <f>PUCFD!E695*(1+PUCFD!E$10)*(1+PUCFD!E$16)</f>
        <v>1.0973403E-2</v>
      </c>
    </row>
    <row r="769" spans="1:9" s="946" customFormat="1" ht="24.95" customHeight="1" x14ac:dyDescent="0.25">
      <c r="A769" s="958"/>
      <c r="B769" s="963">
        <v>21900</v>
      </c>
      <c r="C769" s="964">
        <v>333903600000000</v>
      </c>
      <c r="D769" s="963" t="s">
        <v>3631</v>
      </c>
      <c r="E769" s="954"/>
      <c r="F769" s="960">
        <v>1</v>
      </c>
      <c r="G769" s="963">
        <v>0</v>
      </c>
      <c r="H769" s="958">
        <v>0</v>
      </c>
      <c r="I769" s="961">
        <f>PUCFD!E696*(1+PUCFD!E$10)*(1+PUCFD!E$16)</f>
        <v>1.0973403E-2</v>
      </c>
    </row>
    <row r="770" spans="1:9" s="946" customFormat="1" ht="24.95" customHeight="1" x14ac:dyDescent="0.25">
      <c r="A770" s="958"/>
      <c r="B770" s="963">
        <v>22000</v>
      </c>
      <c r="C770" s="964">
        <v>333903900000000</v>
      </c>
      <c r="D770" s="963" t="s">
        <v>3634</v>
      </c>
      <c r="E770" s="954"/>
      <c r="F770" s="960">
        <v>1</v>
      </c>
      <c r="G770" s="963">
        <v>0</v>
      </c>
      <c r="H770" s="958">
        <v>0</v>
      </c>
      <c r="I770" s="961">
        <f>SUM(I771,I772,I773)+0.01</f>
        <v>27906.394355478995</v>
      </c>
    </row>
    <row r="771" spans="1:9" ht="24.95" customHeight="1" x14ac:dyDescent="0.25">
      <c r="A771" s="972"/>
      <c r="B771" s="973" t="s">
        <v>3966</v>
      </c>
      <c r="C771" s="974">
        <v>333903999070900</v>
      </c>
      <c r="D771" s="973" t="s">
        <v>3967</v>
      </c>
      <c r="E771" s="948">
        <v>332319900000000</v>
      </c>
      <c r="F771" s="975">
        <v>1</v>
      </c>
      <c r="G771" s="973">
        <v>0</v>
      </c>
      <c r="H771" s="972">
        <v>0</v>
      </c>
      <c r="I771" s="976">
        <f>((PUCFD!E698*(1+PUCFD!E$10))*(1+PUCFD!E$16))</f>
        <v>219.46806000000001</v>
      </c>
    </row>
    <row r="772" spans="1:9" ht="24.95" customHeight="1" x14ac:dyDescent="0.25">
      <c r="A772" s="972"/>
      <c r="B772" s="973" t="s">
        <v>3968</v>
      </c>
      <c r="C772" s="974">
        <v>333903978000000</v>
      </c>
      <c r="D772" s="973" t="s">
        <v>3969</v>
      </c>
      <c r="E772" s="948">
        <v>332319900000000</v>
      </c>
      <c r="F772" s="975">
        <v>1</v>
      </c>
      <c r="G772" s="973">
        <v>0</v>
      </c>
      <c r="H772" s="972">
        <v>0</v>
      </c>
      <c r="I772" s="976">
        <f>((PUCFD!E699*(1+PUCFD!E$10))*(1+PUCFD!E$16))</f>
        <v>15957.379988360997</v>
      </c>
    </row>
    <row r="773" spans="1:9" ht="24.95" customHeight="1" x14ac:dyDescent="0.25">
      <c r="A773" s="972"/>
      <c r="B773" s="973" t="s">
        <v>3970</v>
      </c>
      <c r="C773" s="974">
        <v>333903905000000</v>
      </c>
      <c r="D773" s="973" t="s">
        <v>3971</v>
      </c>
      <c r="E773" s="948">
        <v>332315100000000</v>
      </c>
      <c r="F773" s="975">
        <v>1</v>
      </c>
      <c r="G773" s="973">
        <v>0</v>
      </c>
      <c r="H773" s="972">
        <v>0</v>
      </c>
      <c r="I773" s="976">
        <f>((PUCFD!E700*(1+PUCFD!E$10))*(1+PUCFD!E$16))</f>
        <v>11729.536307118</v>
      </c>
    </row>
    <row r="774" spans="1:9" s="946" customFormat="1" ht="24.95" customHeight="1" x14ac:dyDescent="0.25">
      <c r="A774" s="958"/>
      <c r="B774" s="963">
        <v>22100</v>
      </c>
      <c r="C774" s="964">
        <v>333904600000000</v>
      </c>
      <c r="D774" s="963" t="s">
        <v>4037</v>
      </c>
      <c r="E774" s="954"/>
      <c r="F774" s="960">
        <v>1</v>
      </c>
      <c r="G774" s="963">
        <v>0</v>
      </c>
      <c r="H774" s="958">
        <v>0</v>
      </c>
      <c r="I774" s="961">
        <f>PUCFD!E701*(1+PUCFD!E$10)*(1+PUCFD!E$16)</f>
        <v>1.0973403E-2</v>
      </c>
    </row>
    <row r="775" spans="1:9" s="946" customFormat="1" ht="24.95" customHeight="1" x14ac:dyDescent="0.25">
      <c r="A775" s="958"/>
      <c r="B775" s="963">
        <v>22200</v>
      </c>
      <c r="C775" s="964">
        <v>333904700000000</v>
      </c>
      <c r="D775" s="963" t="s">
        <v>4040</v>
      </c>
      <c r="E775" s="954"/>
      <c r="F775" s="960">
        <v>1</v>
      </c>
      <c r="G775" s="963">
        <v>0</v>
      </c>
      <c r="H775" s="958">
        <v>0</v>
      </c>
      <c r="I775" s="961">
        <f>PUCFD!E702*(1+PUCFD!E$10)*(1+PUCFD!E$16)</f>
        <v>1.0973403E-2</v>
      </c>
    </row>
    <row r="776" spans="1:9" s="946" customFormat="1" ht="24.95" customHeight="1" x14ac:dyDescent="0.25">
      <c r="A776" s="958"/>
      <c r="B776" s="963">
        <v>22300</v>
      </c>
      <c r="C776" s="964">
        <v>333904900000000</v>
      </c>
      <c r="D776" s="963" t="s">
        <v>4072</v>
      </c>
      <c r="E776" s="954"/>
      <c r="F776" s="960">
        <v>1</v>
      </c>
      <c r="G776" s="963">
        <v>0</v>
      </c>
      <c r="H776" s="958">
        <v>0</v>
      </c>
      <c r="I776" s="961">
        <f>PUCFD!E703*(1+PUCFD!E$10)*(1+PUCFD!E$16)</f>
        <v>1.0973403E-2</v>
      </c>
    </row>
    <row r="777" spans="1:9" s="946" customFormat="1" ht="24.95" customHeight="1" x14ac:dyDescent="0.25">
      <c r="A777" s="958"/>
      <c r="B777" s="963">
        <v>22400</v>
      </c>
      <c r="C777" s="964">
        <v>333909200000000</v>
      </c>
      <c r="D777" s="963" t="s">
        <v>4077</v>
      </c>
      <c r="E777" s="954"/>
      <c r="F777" s="960">
        <v>1</v>
      </c>
      <c r="G777" s="963">
        <v>0</v>
      </c>
      <c r="H777" s="958">
        <v>0</v>
      </c>
      <c r="I777" s="961">
        <f>I778*(1+PUCFD!E$10)*(1+PUCFD!E$16)</f>
        <v>1.20415573400409E-2</v>
      </c>
    </row>
    <row r="778" spans="1:9" ht="24.95" customHeight="1" x14ac:dyDescent="0.25">
      <c r="A778" s="972"/>
      <c r="B778" s="973" t="s">
        <v>4078</v>
      </c>
      <c r="C778" s="974">
        <v>333909214000000</v>
      </c>
      <c r="D778" s="973" t="s">
        <v>4079</v>
      </c>
      <c r="E778" s="948">
        <v>23711030000000</v>
      </c>
      <c r="F778" s="975">
        <v>1</v>
      </c>
      <c r="G778" s="973">
        <v>0</v>
      </c>
      <c r="H778" s="972">
        <v>0</v>
      </c>
      <c r="I778" s="976">
        <f>PUCFD!E705*(1+PUCFD!E$10)*(1+PUCFD!E$16)</f>
        <v>1.0973403E-2</v>
      </c>
    </row>
    <row r="779" spans="1:9" s="946" customFormat="1" ht="24.95" customHeight="1" x14ac:dyDescent="0.25">
      <c r="A779" s="958"/>
      <c r="B779" s="963">
        <v>22500</v>
      </c>
      <c r="C779" s="964">
        <v>333909300000000</v>
      </c>
      <c r="D779" s="963" t="s">
        <v>4084</v>
      </c>
      <c r="E779" s="954"/>
      <c r="F779" s="960">
        <v>1</v>
      </c>
      <c r="G779" s="963">
        <v>0</v>
      </c>
      <c r="H779" s="958">
        <v>0</v>
      </c>
      <c r="I779" s="961">
        <f>((PUCFD!E706*(1+PUCFD!E$10))*(1+PUCFD!E$16))</f>
        <v>548.67015000000004</v>
      </c>
    </row>
    <row r="780" spans="1:9" s="946" customFormat="1" ht="24.95" customHeight="1" x14ac:dyDescent="0.25">
      <c r="A780" s="958"/>
      <c r="B780" s="963">
        <v>22600</v>
      </c>
      <c r="C780" s="964">
        <v>333933000000000</v>
      </c>
      <c r="D780" s="963" t="s">
        <v>4088</v>
      </c>
      <c r="E780" s="954"/>
      <c r="F780" s="960">
        <v>1</v>
      </c>
      <c r="G780" s="963">
        <v>0</v>
      </c>
      <c r="H780" s="958">
        <v>0</v>
      </c>
      <c r="I780" s="961">
        <f>((PUCFD!E707*(1+PUCFD!E$10))*(1+PUCFD!E$16))</f>
        <v>1.0973403E-2</v>
      </c>
    </row>
    <row r="781" spans="1:9" s="946" customFormat="1" ht="24.95" customHeight="1" x14ac:dyDescent="0.25">
      <c r="A781" s="958"/>
      <c r="B781" s="963">
        <v>22700</v>
      </c>
      <c r="C781" s="964">
        <v>344905100000000</v>
      </c>
      <c r="D781" s="963" t="s">
        <v>3637</v>
      </c>
      <c r="E781" s="954"/>
      <c r="F781" s="960">
        <v>1</v>
      </c>
      <c r="G781" s="963">
        <v>0</v>
      </c>
      <c r="H781" s="958">
        <v>0</v>
      </c>
      <c r="I781" s="961">
        <f>((PUCFD!E708*(1+PUCFD!E$10))*(1+PUCFD!E$16))</f>
        <v>1.0973403E-2</v>
      </c>
    </row>
    <row r="782" spans="1:9" s="946" customFormat="1" ht="28.5" customHeight="1" x14ac:dyDescent="0.25">
      <c r="A782" s="958"/>
      <c r="B782" s="963">
        <v>22800</v>
      </c>
      <c r="C782" s="964">
        <v>344905200000000</v>
      </c>
      <c r="D782" s="963" t="s">
        <v>3644</v>
      </c>
      <c r="E782" s="954"/>
      <c r="F782" s="960">
        <v>1</v>
      </c>
      <c r="G782" s="963">
        <v>0</v>
      </c>
      <c r="H782" s="958">
        <v>0</v>
      </c>
      <c r="I782" s="961">
        <f>((PUCFD!E709*(1+PUCFD!E$10))*(1+PUCFD!E$16))</f>
        <v>1.0973403E-2</v>
      </c>
    </row>
    <row r="783" spans="1:9" ht="18.75" customHeight="1" x14ac:dyDescent="0.25">
      <c r="A783" s="958"/>
      <c r="B783" s="962" t="s">
        <v>3138</v>
      </c>
      <c r="C783" s="959">
        <v>26</v>
      </c>
      <c r="D783" s="962" t="s">
        <v>4098</v>
      </c>
      <c r="E783" s="954"/>
      <c r="F783" s="960"/>
      <c r="G783" s="958"/>
      <c r="H783" s="958"/>
      <c r="I783" s="961">
        <f>I784</f>
        <v>217392.33869990709</v>
      </c>
    </row>
    <row r="784" spans="1:9" ht="15" customHeight="1" x14ac:dyDescent="0.25">
      <c r="A784" s="958"/>
      <c r="B784" s="962" t="s">
        <v>3139</v>
      </c>
      <c r="C784" s="959">
        <v>122</v>
      </c>
      <c r="D784" s="962" t="s">
        <v>3143</v>
      </c>
      <c r="E784" s="954"/>
      <c r="F784" s="960"/>
      <c r="G784" s="958"/>
      <c r="H784" s="958"/>
      <c r="I784" s="961">
        <f>I785</f>
        <v>217392.33869990709</v>
      </c>
    </row>
    <row r="785" spans="1:9" ht="15" customHeight="1" x14ac:dyDescent="0.25">
      <c r="A785" s="958"/>
      <c r="B785" s="962" t="s">
        <v>3137</v>
      </c>
      <c r="C785" s="959">
        <v>3</v>
      </c>
      <c r="D785" s="962" t="s">
        <v>3145</v>
      </c>
      <c r="E785" s="954"/>
      <c r="F785" s="960"/>
      <c r="G785" s="958"/>
      <c r="H785" s="958"/>
      <c r="I785" s="961">
        <f>I786</f>
        <v>217392.33869990709</v>
      </c>
    </row>
    <row r="786" spans="1:9" s="946" customFormat="1" ht="24.95" customHeight="1" x14ac:dyDescent="0.25">
      <c r="A786" s="958"/>
      <c r="B786" s="963" t="s">
        <v>2965</v>
      </c>
      <c r="C786" s="959">
        <v>2</v>
      </c>
      <c r="D786" s="963" t="s">
        <v>2966</v>
      </c>
      <c r="E786" s="954"/>
      <c r="F786" s="960"/>
      <c r="G786" s="963"/>
      <c r="H786" s="956"/>
      <c r="I786" s="957">
        <f>SUM(I787,I788,I790,I802,I807,I810,I812,I819,I826,I838,I840,I841,I844,I853,I855,I857,I860,I861,I863,I864,I865)</f>
        <v>217392.33869990709</v>
      </c>
    </row>
    <row r="787" spans="1:9" s="946" customFormat="1" ht="24.95" customHeight="1" x14ac:dyDescent="0.25">
      <c r="A787" s="958"/>
      <c r="B787" s="963">
        <v>14000</v>
      </c>
      <c r="C787" s="964">
        <v>331900400000000</v>
      </c>
      <c r="D787" s="963" t="s">
        <v>5813</v>
      </c>
      <c r="E787" s="954"/>
      <c r="F787" s="960">
        <v>1</v>
      </c>
      <c r="G787" s="963">
        <v>0</v>
      </c>
      <c r="H787" s="956"/>
      <c r="I787" s="961">
        <f>(SUM(PUCFD!E713,PUCFD!E714,PUCFD!E715))*(1+PUCFD!E$92)</f>
        <v>3.6299999999999999E-2</v>
      </c>
    </row>
    <row r="788" spans="1:9" s="946" customFormat="1" ht="34.5" customHeight="1" x14ac:dyDescent="0.25">
      <c r="A788" s="958"/>
      <c r="B788" s="963">
        <v>14050</v>
      </c>
      <c r="C788" s="964">
        <v>331900800000000</v>
      </c>
      <c r="D788" s="963" t="s">
        <v>5814</v>
      </c>
      <c r="E788" s="954"/>
      <c r="F788" s="960">
        <v>1</v>
      </c>
      <c r="G788" s="963">
        <v>0</v>
      </c>
      <c r="H788" s="956"/>
      <c r="I788" s="961">
        <f>SUM(I789)</f>
        <v>3363.7369134858118</v>
      </c>
    </row>
    <row r="789" spans="1:9" ht="24.95" customHeight="1" x14ac:dyDescent="0.25">
      <c r="A789" s="972"/>
      <c r="B789" s="973" t="s">
        <v>4263</v>
      </c>
      <c r="C789" s="991">
        <v>319008990400000</v>
      </c>
      <c r="D789" s="973" t="s">
        <v>4234</v>
      </c>
      <c r="F789" s="975"/>
      <c r="G789" s="973"/>
      <c r="I789" s="976">
        <f>SUM(I791,I792,I794,I797,I798,I801,I808,I810,I815,I816,)*PUCFD!E$94</f>
        <v>3363.7369134858118</v>
      </c>
    </row>
    <row r="790" spans="1:9" s="946" customFormat="1" ht="36.75" customHeight="1" x14ac:dyDescent="0.25">
      <c r="A790" s="958"/>
      <c r="B790" s="963">
        <v>14100</v>
      </c>
      <c r="C790" s="964">
        <v>331901100000000</v>
      </c>
      <c r="D790" s="963" t="s">
        <v>5815</v>
      </c>
      <c r="E790" s="954"/>
      <c r="F790" s="960">
        <v>1</v>
      </c>
      <c r="G790" s="963">
        <v>0</v>
      </c>
      <c r="H790" s="956"/>
      <c r="I790" s="961">
        <f>SUM(I791,I792,I793,I794,I795,I796,I797,I798,I799,I800,I801)-30000</f>
        <v>94368.473006506116</v>
      </c>
    </row>
    <row r="791" spans="1:9" ht="24.95" customHeight="1" x14ac:dyDescent="0.25">
      <c r="A791" s="972"/>
      <c r="B791" s="973" t="s">
        <v>3650</v>
      </c>
      <c r="C791" s="974">
        <v>331901101010000</v>
      </c>
      <c r="D791" s="973" t="s">
        <v>3413</v>
      </c>
      <c r="E791" s="948">
        <v>311210101000000</v>
      </c>
      <c r="F791" s="975">
        <v>1</v>
      </c>
      <c r="G791" s="973">
        <v>0</v>
      </c>
      <c r="I791" s="976">
        <f>PUCFD!E717*(1+PUCFD!E$87)</f>
        <v>17086.76663692225</v>
      </c>
    </row>
    <row r="792" spans="1:9" ht="24.95" customHeight="1" x14ac:dyDescent="0.25">
      <c r="A792" s="972"/>
      <c r="B792" s="973" t="s">
        <v>3651</v>
      </c>
      <c r="C792" s="974">
        <v>331901137000000</v>
      </c>
      <c r="D792" s="973" t="s">
        <v>3411</v>
      </c>
      <c r="E792" s="948">
        <v>311210118000000</v>
      </c>
      <c r="F792" s="975">
        <v>1</v>
      </c>
      <c r="G792" s="973">
        <v>0</v>
      </c>
      <c r="I792" s="976">
        <f>PUCFD!E718*(1+PUCFD!E$87)*(1+PUCFD!E$87)</f>
        <v>3588.1805889715292</v>
      </c>
    </row>
    <row r="793" spans="1:9" ht="24.95" customHeight="1" x14ac:dyDescent="0.25">
      <c r="A793" s="972"/>
      <c r="B793" s="973" t="s">
        <v>3652</v>
      </c>
      <c r="C793" s="974">
        <v>331901174000000</v>
      </c>
      <c r="D793" s="973" t="s">
        <v>3653</v>
      </c>
      <c r="E793" s="948">
        <v>311210131000000</v>
      </c>
      <c r="F793" s="975">
        <v>1</v>
      </c>
      <c r="G793" s="973">
        <v>0</v>
      </c>
      <c r="I793" s="976">
        <f>PUCFD!E719*(1+PUCFD!E$87)</f>
        <v>65205.671248286781</v>
      </c>
    </row>
    <row r="794" spans="1:9" ht="24.95" customHeight="1" x14ac:dyDescent="0.25">
      <c r="A794" s="972"/>
      <c r="B794" s="973" t="s">
        <v>3654</v>
      </c>
      <c r="C794" s="974">
        <v>331901104000000</v>
      </c>
      <c r="D794" s="973" t="s">
        <v>2761</v>
      </c>
      <c r="E794" s="948">
        <v>311210102000000</v>
      </c>
      <c r="F794" s="975">
        <v>1</v>
      </c>
      <c r="G794" s="973">
        <v>0</v>
      </c>
      <c r="I794" s="976">
        <f>PUCFD!E720*(1+PUCFD!E$87)</f>
        <v>1.0499881765863014E-2</v>
      </c>
    </row>
    <row r="795" spans="1:9" ht="24.95" customHeight="1" x14ac:dyDescent="0.25">
      <c r="A795" s="972"/>
      <c r="B795" s="973" t="s">
        <v>3655</v>
      </c>
      <c r="C795" s="974">
        <v>331901143020000</v>
      </c>
      <c r="D795" s="973" t="s">
        <v>3656</v>
      </c>
      <c r="E795" s="948">
        <v>0</v>
      </c>
      <c r="F795" s="975">
        <v>1</v>
      </c>
      <c r="G795" s="973">
        <v>0</v>
      </c>
      <c r="I795" s="976">
        <f>PUCFD!E721*(1+PUCFD!E$87)</f>
        <v>2336.6623476660061</v>
      </c>
    </row>
    <row r="796" spans="1:9" ht="24.95" customHeight="1" x14ac:dyDescent="0.25">
      <c r="A796" s="972"/>
      <c r="B796" s="973" t="s">
        <v>3657</v>
      </c>
      <c r="C796" s="974">
        <v>331901145020000</v>
      </c>
      <c r="D796" s="973" t="s">
        <v>2977</v>
      </c>
      <c r="E796" s="948">
        <v>0</v>
      </c>
      <c r="F796" s="975">
        <v>1</v>
      </c>
      <c r="G796" s="973">
        <v>0</v>
      </c>
      <c r="I796" s="976">
        <f>PUCFD!E722*(1+PUCFD!E$87)</f>
        <v>778.88744922200203</v>
      </c>
    </row>
    <row r="797" spans="1:9" ht="24.95" customHeight="1" x14ac:dyDescent="0.25">
      <c r="A797" s="972"/>
      <c r="B797" s="973" t="s">
        <v>3658</v>
      </c>
      <c r="C797" s="974">
        <v>331901145000000</v>
      </c>
      <c r="D797" s="973" t="s">
        <v>3659</v>
      </c>
      <c r="E797" s="948">
        <v>0</v>
      </c>
      <c r="F797" s="975">
        <v>1</v>
      </c>
      <c r="G797" s="973">
        <v>0</v>
      </c>
      <c r="I797" s="976">
        <f>PUCFD!E723*(1+PUCFD!E$87)</f>
        <v>474.63240658117365</v>
      </c>
    </row>
    <row r="798" spans="1:9" ht="24.95" customHeight="1" x14ac:dyDescent="0.25">
      <c r="A798" s="972"/>
      <c r="B798" s="973" t="s">
        <v>3660</v>
      </c>
      <c r="C798" s="974">
        <v>331901107000000</v>
      </c>
      <c r="D798" s="973" t="s">
        <v>3661</v>
      </c>
      <c r="E798" s="948">
        <v>311210104000000</v>
      </c>
      <c r="F798" s="975">
        <v>1</v>
      </c>
      <c r="G798" s="973">
        <v>0</v>
      </c>
      <c r="I798" s="976">
        <f>PUCFD!E724*(1+PUCFD!E$87)</f>
        <v>1.0499881765863014E-2</v>
      </c>
    </row>
    <row r="799" spans="1:9" ht="24.95" customHeight="1" x14ac:dyDescent="0.25">
      <c r="A799" s="972"/>
      <c r="B799" s="973" t="s">
        <v>3662</v>
      </c>
      <c r="C799" s="974">
        <v>331901101040000</v>
      </c>
      <c r="D799" s="973" t="s">
        <v>2973</v>
      </c>
      <c r="E799" s="948">
        <v>311210101000000</v>
      </c>
      <c r="F799" s="975">
        <v>1</v>
      </c>
      <c r="G799" s="973">
        <v>0</v>
      </c>
      <c r="I799" s="976">
        <f>PUCFD!E725*(1+PUCFD!E$87)</f>
        <v>28039.948171992073</v>
      </c>
    </row>
    <row r="800" spans="1:9" ht="24.95" customHeight="1" x14ac:dyDescent="0.25">
      <c r="A800" s="972"/>
      <c r="B800" s="973" t="s">
        <v>3663</v>
      </c>
      <c r="C800" s="974">
        <v>331901143030000</v>
      </c>
      <c r="D800" s="973" t="s">
        <v>3664</v>
      </c>
      <c r="E800" s="948">
        <v>0</v>
      </c>
      <c r="F800" s="975">
        <v>1</v>
      </c>
      <c r="G800" s="973">
        <v>0</v>
      </c>
      <c r="I800" s="976">
        <f>PUCFD!E726*(1+PUCFD!E$87)</f>
        <v>5433.8059373572314</v>
      </c>
    </row>
    <row r="801" spans="1:9" ht="24.95" customHeight="1" x14ac:dyDescent="0.25">
      <c r="A801" s="972"/>
      <c r="B801" s="973" t="s">
        <v>3665</v>
      </c>
      <c r="C801" s="974">
        <v>331901143010000</v>
      </c>
      <c r="D801" s="973" t="s">
        <v>3421</v>
      </c>
      <c r="E801" s="948">
        <v>0</v>
      </c>
      <c r="F801" s="975">
        <v>1</v>
      </c>
      <c r="G801" s="973">
        <v>0</v>
      </c>
      <c r="I801" s="976">
        <f>PUCFD!E727*(1+PUCFD!E$87)</f>
        <v>1423.897219743521</v>
      </c>
    </row>
    <row r="802" spans="1:9" s="946" customFormat="1" ht="24.95" customHeight="1" x14ac:dyDescent="0.25">
      <c r="A802" s="958"/>
      <c r="B802" s="963">
        <v>14200</v>
      </c>
      <c r="C802" s="964">
        <v>331901300000000</v>
      </c>
      <c r="D802" s="963" t="s">
        <v>5816</v>
      </c>
      <c r="E802" s="954"/>
      <c r="F802" s="960">
        <v>1</v>
      </c>
      <c r="G802" s="963">
        <v>0</v>
      </c>
      <c r="H802" s="956"/>
      <c r="I802" s="961">
        <f>SUM(I787,I790,I807,I810,I812)*PUCFD!E$92</f>
        <v>21528.892105615654</v>
      </c>
    </row>
    <row r="803" spans="1:9" ht="24.95" customHeight="1" x14ac:dyDescent="0.25">
      <c r="A803" s="972"/>
      <c r="B803" s="973" t="s">
        <v>3667</v>
      </c>
      <c r="C803" s="974">
        <v>331901302030000</v>
      </c>
      <c r="D803" s="973" t="s">
        <v>3668</v>
      </c>
      <c r="E803" s="948">
        <v>312210100000000</v>
      </c>
      <c r="F803" s="975">
        <v>1</v>
      </c>
      <c r="G803" s="973">
        <v>0</v>
      </c>
      <c r="I803" s="976">
        <v>0</v>
      </c>
    </row>
    <row r="804" spans="1:9" ht="24.95" customHeight="1" x14ac:dyDescent="0.25">
      <c r="A804" s="972"/>
      <c r="B804" s="973" t="s">
        <v>3669</v>
      </c>
      <c r="C804" s="974">
        <v>331901399000000</v>
      </c>
      <c r="D804" s="973" t="s">
        <v>3670</v>
      </c>
      <c r="E804" s="948">
        <v>312210100000000</v>
      </c>
      <c r="F804" s="975">
        <v>1</v>
      </c>
      <c r="G804" s="973">
        <v>0</v>
      </c>
      <c r="I804" s="976">
        <v>0</v>
      </c>
    </row>
    <row r="805" spans="1:9" ht="24.95" customHeight="1" x14ac:dyDescent="0.25">
      <c r="A805" s="972"/>
      <c r="B805" s="973" t="s">
        <v>3671</v>
      </c>
      <c r="C805" s="974">
        <v>331901302010000</v>
      </c>
      <c r="D805" s="973" t="s">
        <v>3672</v>
      </c>
      <c r="E805" s="948">
        <v>312210100000000</v>
      </c>
      <c r="F805" s="975">
        <v>1</v>
      </c>
      <c r="G805" s="973">
        <v>0</v>
      </c>
      <c r="I805" s="976">
        <v>0</v>
      </c>
    </row>
    <row r="806" spans="1:9" ht="24.95" customHeight="1" x14ac:dyDescent="0.25">
      <c r="A806" s="972"/>
      <c r="B806" s="973" t="s">
        <v>3673</v>
      </c>
      <c r="C806" s="974">
        <v>331901302010000</v>
      </c>
      <c r="D806" s="973" t="s">
        <v>3674</v>
      </c>
      <c r="E806" s="948">
        <v>312210100000000</v>
      </c>
      <c r="F806" s="975">
        <v>1</v>
      </c>
      <c r="G806" s="973">
        <v>0</v>
      </c>
      <c r="I806" s="976">
        <v>0</v>
      </c>
    </row>
    <row r="807" spans="1:9" s="946" customFormat="1" ht="24.95" customHeight="1" x14ac:dyDescent="0.25">
      <c r="A807" s="958"/>
      <c r="B807" s="963">
        <v>14300</v>
      </c>
      <c r="C807" s="964">
        <v>331901600000000</v>
      </c>
      <c r="D807" s="963" t="s">
        <v>5817</v>
      </c>
      <c r="E807" s="954"/>
      <c r="F807" s="960">
        <v>1</v>
      </c>
      <c r="G807" s="963">
        <v>0</v>
      </c>
      <c r="H807" s="956"/>
      <c r="I807" s="961">
        <f>SUM(I808,I809)</f>
        <v>3149.9645297589045</v>
      </c>
    </row>
    <row r="808" spans="1:9" ht="24.95" customHeight="1" x14ac:dyDescent="0.25">
      <c r="A808" s="972"/>
      <c r="B808" s="973" t="s">
        <v>3676</v>
      </c>
      <c r="C808" s="974">
        <v>331901644000000</v>
      </c>
      <c r="D808" s="973" t="s">
        <v>3433</v>
      </c>
      <c r="E808" s="948">
        <v>311210203000000</v>
      </c>
      <c r="F808" s="975">
        <v>1</v>
      </c>
      <c r="G808" s="973">
        <v>0</v>
      </c>
      <c r="I808" s="976">
        <f>PUCFD!E734*(1+PUCFD!E$87)</f>
        <v>1574.9822648794523</v>
      </c>
    </row>
    <row r="809" spans="1:9" ht="24.95" customHeight="1" x14ac:dyDescent="0.25">
      <c r="A809" s="972"/>
      <c r="B809" s="973" t="s">
        <v>3677</v>
      </c>
      <c r="C809" s="974">
        <v>331901644000000</v>
      </c>
      <c r="D809" s="973" t="s">
        <v>3431</v>
      </c>
      <c r="E809" s="948">
        <v>311210203000000</v>
      </c>
      <c r="F809" s="975">
        <v>1</v>
      </c>
      <c r="G809" s="973">
        <v>0</v>
      </c>
      <c r="I809" s="976">
        <f>PUCFD!E735*(1+PUCFD!E$87)</f>
        <v>1574.9822648794523</v>
      </c>
    </row>
    <row r="810" spans="1:9" s="946" customFormat="1" ht="36.75" customHeight="1" x14ac:dyDescent="0.25">
      <c r="A810" s="958"/>
      <c r="B810" s="963">
        <v>14350</v>
      </c>
      <c r="C810" s="964">
        <v>331903400000000</v>
      </c>
      <c r="D810" s="963" t="s">
        <v>5818</v>
      </c>
      <c r="E810" s="954"/>
      <c r="F810" s="960">
        <v>1</v>
      </c>
      <c r="G810" s="963">
        <v>0</v>
      </c>
      <c r="H810" s="956"/>
      <c r="I810" s="961">
        <f>SUM(I811)</f>
        <v>5000</v>
      </c>
    </row>
    <row r="811" spans="1:9" ht="24.95" customHeight="1" x14ac:dyDescent="0.25">
      <c r="A811" s="972"/>
      <c r="B811" s="973" t="s">
        <v>3678</v>
      </c>
      <c r="C811" s="974">
        <v>331903401000000</v>
      </c>
      <c r="D811" s="973" t="s">
        <v>2988</v>
      </c>
      <c r="E811" s="948">
        <v>311210201000000</v>
      </c>
      <c r="F811" s="975">
        <v>1</v>
      </c>
      <c r="G811" s="973">
        <v>0</v>
      </c>
      <c r="I811" s="976">
        <f>PUCFD!E737</f>
        <v>5000</v>
      </c>
    </row>
    <row r="812" spans="1:9" s="946" customFormat="1" ht="24.95" customHeight="1" x14ac:dyDescent="0.25">
      <c r="A812" s="958"/>
      <c r="B812" s="963">
        <v>14400</v>
      </c>
      <c r="C812" s="964">
        <v>331909400000000</v>
      </c>
      <c r="D812" s="963" t="s">
        <v>5819</v>
      </c>
      <c r="E812" s="954"/>
      <c r="F812" s="960">
        <v>1</v>
      </c>
      <c r="G812" s="963">
        <v>0</v>
      </c>
      <c r="H812" s="956"/>
      <c r="I812" s="961">
        <f>SUM(I813,I814,I815,I816,I817,I818)</f>
        <v>6.0000000000000005E-2</v>
      </c>
    </row>
    <row r="813" spans="1:9" ht="24.95" customHeight="1" x14ac:dyDescent="0.25">
      <c r="A813" s="972"/>
      <c r="B813" s="973" t="s">
        <v>3680</v>
      </c>
      <c r="C813" s="974">
        <v>331909401030000</v>
      </c>
      <c r="D813" s="973" t="s">
        <v>3681</v>
      </c>
      <c r="E813" s="948">
        <v>0</v>
      </c>
      <c r="F813" s="975">
        <v>1</v>
      </c>
      <c r="G813" s="973">
        <v>0</v>
      </c>
      <c r="I813" s="976">
        <f>PUCFD!E739</f>
        <v>0.01</v>
      </c>
    </row>
    <row r="814" spans="1:9" ht="24.95" customHeight="1" x14ac:dyDescent="0.25">
      <c r="A814" s="972"/>
      <c r="B814" s="973" t="s">
        <v>3682</v>
      </c>
      <c r="C814" s="974">
        <v>331909401030000</v>
      </c>
      <c r="D814" s="973" t="s">
        <v>3683</v>
      </c>
      <c r="E814" s="948">
        <v>0</v>
      </c>
      <c r="F814" s="975">
        <v>1</v>
      </c>
      <c r="G814" s="973">
        <v>0</v>
      </c>
      <c r="I814" s="976">
        <f>PUCFD!E740</f>
        <v>0.01</v>
      </c>
    </row>
    <row r="815" spans="1:9" ht="24.95" customHeight="1" x14ac:dyDescent="0.25">
      <c r="A815" s="972"/>
      <c r="B815" s="973" t="s">
        <v>3684</v>
      </c>
      <c r="C815" s="974">
        <v>331909401030000</v>
      </c>
      <c r="D815" s="973" t="s">
        <v>3685</v>
      </c>
      <c r="E815" s="948">
        <v>0</v>
      </c>
      <c r="F815" s="975">
        <v>1</v>
      </c>
      <c r="G815" s="973">
        <v>0</v>
      </c>
      <c r="I815" s="976">
        <f>PUCFD!E741</f>
        <v>0.01</v>
      </c>
    </row>
    <row r="816" spans="1:9" ht="24.95" customHeight="1" x14ac:dyDescent="0.25">
      <c r="A816" s="972"/>
      <c r="B816" s="973" t="s">
        <v>3686</v>
      </c>
      <c r="C816" s="974">
        <v>331909401030000</v>
      </c>
      <c r="D816" s="973" t="s">
        <v>3687</v>
      </c>
      <c r="E816" s="948">
        <v>0</v>
      </c>
      <c r="F816" s="975">
        <v>1</v>
      </c>
      <c r="G816" s="973">
        <v>0</v>
      </c>
      <c r="I816" s="976">
        <f>PUCFD!E742</f>
        <v>0.01</v>
      </c>
    </row>
    <row r="817" spans="1:9" ht="24.95" customHeight="1" x14ac:dyDescent="0.25">
      <c r="A817" s="972"/>
      <c r="B817" s="973" t="s">
        <v>3688</v>
      </c>
      <c r="C817" s="974">
        <v>331909401030000</v>
      </c>
      <c r="D817" s="973" t="s">
        <v>3689</v>
      </c>
      <c r="E817" s="948">
        <v>0</v>
      </c>
      <c r="F817" s="975">
        <v>1</v>
      </c>
      <c r="G817" s="973">
        <v>0</v>
      </c>
      <c r="I817" s="976">
        <f>PUCFD!E743</f>
        <v>0.01</v>
      </c>
    </row>
    <row r="818" spans="1:9" ht="24.95" customHeight="1" x14ac:dyDescent="0.25">
      <c r="A818" s="972"/>
      <c r="B818" s="973" t="s">
        <v>3690</v>
      </c>
      <c r="C818" s="974">
        <v>331909401030000</v>
      </c>
      <c r="D818" s="973" t="s">
        <v>3691</v>
      </c>
      <c r="E818" s="948">
        <v>0</v>
      </c>
      <c r="F818" s="975">
        <v>1</v>
      </c>
      <c r="G818" s="973">
        <v>0</v>
      </c>
      <c r="I818" s="976">
        <f>PUCFD!E744</f>
        <v>0.01</v>
      </c>
    </row>
    <row r="819" spans="1:9" s="946" customFormat="1" ht="24.95" customHeight="1" x14ac:dyDescent="0.25">
      <c r="A819" s="958"/>
      <c r="B819" s="963">
        <v>14500</v>
      </c>
      <c r="C819" s="964">
        <v>333901400000000</v>
      </c>
      <c r="D819" s="963" t="s">
        <v>5820</v>
      </c>
      <c r="E819" s="954"/>
      <c r="F819" s="960">
        <v>1</v>
      </c>
      <c r="G819" s="963">
        <v>0</v>
      </c>
      <c r="H819" s="956"/>
      <c r="I819" s="961">
        <f>SUM(I820,I821,I822,I823,I824,I825)</f>
        <v>2800.01</v>
      </c>
    </row>
    <row r="820" spans="1:9" ht="24.95" customHeight="1" x14ac:dyDescent="0.25">
      <c r="A820" s="972"/>
      <c r="B820" s="973" t="s">
        <v>3692</v>
      </c>
      <c r="C820" s="974">
        <v>333901414030000</v>
      </c>
      <c r="D820" s="973" t="s">
        <v>3286</v>
      </c>
      <c r="E820" s="948">
        <v>332110100000000</v>
      </c>
      <c r="F820" s="975">
        <v>1</v>
      </c>
      <c r="G820" s="973">
        <v>0</v>
      </c>
      <c r="I820" s="976">
        <f>PUCFD!E746</f>
        <v>800</v>
      </c>
    </row>
    <row r="821" spans="1:9" ht="24.95" customHeight="1" x14ac:dyDescent="0.25">
      <c r="A821" s="972"/>
      <c r="B821" s="973" t="s">
        <v>3693</v>
      </c>
      <c r="C821" s="974">
        <v>333901414020000</v>
      </c>
      <c r="D821" s="973" t="s">
        <v>3290</v>
      </c>
      <c r="E821" s="948">
        <v>332110100000000</v>
      </c>
      <c r="F821" s="975">
        <v>1</v>
      </c>
      <c r="G821" s="973">
        <v>0</v>
      </c>
      <c r="I821" s="976">
        <f>PUCFD!E747</f>
        <v>500</v>
      </c>
    </row>
    <row r="822" spans="1:9" ht="24.95" customHeight="1" x14ac:dyDescent="0.25">
      <c r="A822" s="972"/>
      <c r="B822" s="973" t="s">
        <v>3694</v>
      </c>
      <c r="C822" s="974">
        <v>333901414080000</v>
      </c>
      <c r="D822" s="973" t="s">
        <v>3695</v>
      </c>
      <c r="E822" s="948">
        <v>332110100000000</v>
      </c>
      <c r="F822" s="975">
        <v>1</v>
      </c>
      <c r="G822" s="973">
        <v>0</v>
      </c>
      <c r="I822" s="976">
        <f>PUCFD!E748</f>
        <v>500</v>
      </c>
    </row>
    <row r="823" spans="1:9" ht="24.95" customHeight="1" x14ac:dyDescent="0.25">
      <c r="A823" s="972"/>
      <c r="B823" s="973" t="s">
        <v>3696</v>
      </c>
      <c r="C823" s="974">
        <v>333901414010000</v>
      </c>
      <c r="D823" s="973" t="s">
        <v>3288</v>
      </c>
      <c r="E823" s="948">
        <v>332110100000000</v>
      </c>
      <c r="F823" s="975">
        <v>1</v>
      </c>
      <c r="G823" s="973">
        <v>0</v>
      </c>
      <c r="I823" s="976">
        <f>PUCFD!E749</f>
        <v>500</v>
      </c>
    </row>
    <row r="824" spans="1:9" ht="24.95" customHeight="1" x14ac:dyDescent="0.25">
      <c r="A824" s="972"/>
      <c r="B824" s="973" t="s">
        <v>3697</v>
      </c>
      <c r="C824" s="974">
        <v>333901414040000</v>
      </c>
      <c r="D824" s="973" t="s">
        <v>3698</v>
      </c>
      <c r="E824" s="948">
        <v>332110100000000</v>
      </c>
      <c r="F824" s="975">
        <v>1</v>
      </c>
      <c r="G824" s="973">
        <v>0</v>
      </c>
      <c r="I824" s="976">
        <f>PUCFD!E750</f>
        <v>500</v>
      </c>
    </row>
    <row r="825" spans="1:9" ht="24.95" customHeight="1" x14ac:dyDescent="0.25">
      <c r="A825" s="972"/>
      <c r="B825" s="973" t="s">
        <v>3699</v>
      </c>
      <c r="C825" s="974">
        <v>333901414080000</v>
      </c>
      <c r="D825" s="973" t="s">
        <v>3700</v>
      </c>
      <c r="E825" s="948">
        <v>332110100000000</v>
      </c>
      <c r="F825" s="975">
        <v>1</v>
      </c>
      <c r="G825" s="973">
        <v>0</v>
      </c>
      <c r="I825" s="976">
        <f>PUCFD!E751</f>
        <v>0.01</v>
      </c>
    </row>
    <row r="826" spans="1:9" s="946" customFormat="1" ht="24.95" customHeight="1" x14ac:dyDescent="0.25">
      <c r="A826" s="958"/>
      <c r="B826" s="963">
        <v>14600</v>
      </c>
      <c r="C826" s="964">
        <v>333903000000000</v>
      </c>
      <c r="D826" s="963" t="s">
        <v>5821</v>
      </c>
      <c r="E826" s="954"/>
      <c r="F826" s="960">
        <v>1</v>
      </c>
      <c r="G826" s="963">
        <v>0</v>
      </c>
      <c r="H826" s="956"/>
      <c r="I826" s="961">
        <f>((PUCFD!E752*(1+PUCFD!E$10))*(1+PUCFD!E$16))*(1+PUCFD!E18)*(1+PUCFD!E19)*(1+PUCFD!E20)-5000</f>
        <v>13542.389311636111</v>
      </c>
    </row>
    <row r="827" spans="1:9" ht="24.95" customHeight="1" x14ac:dyDescent="0.25">
      <c r="A827" s="972"/>
      <c r="B827" s="973" t="s">
        <v>3701</v>
      </c>
      <c r="C827" s="974">
        <v>333903021000000</v>
      </c>
      <c r="D827" s="973" t="s">
        <v>3007</v>
      </c>
      <c r="E827" s="948">
        <v>331112100000000</v>
      </c>
      <c r="F827" s="975">
        <v>1</v>
      </c>
      <c r="G827" s="973">
        <v>0</v>
      </c>
      <c r="I827" s="976">
        <f>((PUCFD!E753*(1+PUCFD!E$10))*(1+PUCFD!E$16))</f>
        <v>0</v>
      </c>
    </row>
    <row r="828" spans="1:9" ht="24.95" customHeight="1" x14ac:dyDescent="0.25">
      <c r="A828" s="972"/>
      <c r="B828" s="973" t="s">
        <v>3702</v>
      </c>
      <c r="C828" s="974">
        <v>333903007000000</v>
      </c>
      <c r="D828" s="973" t="s">
        <v>3703</v>
      </c>
      <c r="E828" s="948">
        <v>0</v>
      </c>
      <c r="F828" s="975">
        <v>1</v>
      </c>
      <c r="G828" s="973">
        <v>0</v>
      </c>
      <c r="I828" s="976">
        <f>((PUCFD!E754*(1+PUCFD!E$10))*(1+PUCFD!E$16))</f>
        <v>0</v>
      </c>
    </row>
    <row r="829" spans="1:9" ht="24.95" customHeight="1" x14ac:dyDescent="0.25">
      <c r="A829" s="972"/>
      <c r="B829" s="973" t="s">
        <v>3704</v>
      </c>
      <c r="C829" s="974">
        <v>333903026000000</v>
      </c>
      <c r="D829" s="973" t="s">
        <v>3455</v>
      </c>
      <c r="E829" s="948">
        <v>331112600000000</v>
      </c>
      <c r="F829" s="975">
        <v>1</v>
      </c>
      <c r="G829" s="973">
        <v>0</v>
      </c>
      <c r="I829" s="976">
        <f>((PUCFD!E755*(1+PUCFD!E$10))*(1+PUCFD!E$16))</f>
        <v>0</v>
      </c>
    </row>
    <row r="830" spans="1:9" ht="24.95" customHeight="1" x14ac:dyDescent="0.25">
      <c r="A830" s="972"/>
      <c r="B830" s="973" t="s">
        <v>3705</v>
      </c>
      <c r="C830" s="974">
        <v>333903004000000</v>
      </c>
      <c r="D830" s="973" t="s">
        <v>3565</v>
      </c>
      <c r="E830" s="948">
        <v>331110300000000</v>
      </c>
      <c r="F830" s="975">
        <v>1</v>
      </c>
      <c r="G830" s="973">
        <v>0</v>
      </c>
      <c r="I830" s="976">
        <f>((PUCFD!E756*(1+PUCFD!E$10))*(1+PUCFD!E$16))*(1+PUCFD!E$19)</f>
        <v>0</v>
      </c>
    </row>
    <row r="831" spans="1:9" ht="24.95" customHeight="1" x14ac:dyDescent="0.25">
      <c r="A831" s="972"/>
      <c r="B831" s="973" t="s">
        <v>3706</v>
      </c>
      <c r="C831" s="974">
        <v>333903007000000</v>
      </c>
      <c r="D831" s="973" t="s">
        <v>3295</v>
      </c>
      <c r="E831" s="948">
        <v>331110600000000</v>
      </c>
      <c r="F831" s="975">
        <v>1</v>
      </c>
      <c r="G831" s="973">
        <v>0</v>
      </c>
      <c r="I831" s="976">
        <f>((PUCFD!E757*(1+PUCFD!E$10))*(1+PUCFD!E$16))</f>
        <v>0</v>
      </c>
    </row>
    <row r="832" spans="1:9" ht="24.95" customHeight="1" x14ac:dyDescent="0.25">
      <c r="A832" s="972"/>
      <c r="B832" s="973" t="s">
        <v>3707</v>
      </c>
      <c r="C832" s="974">
        <v>333903016000000</v>
      </c>
      <c r="D832" s="973" t="s">
        <v>3708</v>
      </c>
      <c r="E832" s="948">
        <v>331111600000000</v>
      </c>
      <c r="F832" s="975">
        <v>1</v>
      </c>
      <c r="G832" s="973">
        <v>0</v>
      </c>
      <c r="I832" s="976">
        <f>((PUCFD!E758*(1+PUCFD!E$10))*(1+PUCFD!E$16))</f>
        <v>0</v>
      </c>
    </row>
    <row r="833" spans="1:9" ht="24.95" customHeight="1" x14ac:dyDescent="0.25">
      <c r="A833" s="972"/>
      <c r="B833" s="973" t="s">
        <v>3709</v>
      </c>
      <c r="C833" s="974">
        <v>333903022000000</v>
      </c>
      <c r="D833" s="973" t="s">
        <v>3710</v>
      </c>
      <c r="E833" s="948">
        <v>331112200000000</v>
      </c>
      <c r="F833" s="975">
        <v>1</v>
      </c>
      <c r="G833" s="973">
        <v>0</v>
      </c>
      <c r="I833" s="976">
        <f>((PUCFD!E759*(1+PUCFD!E$10))*(1+PUCFD!E$16))</f>
        <v>0</v>
      </c>
    </row>
    <row r="834" spans="1:9" ht="24.95" customHeight="1" x14ac:dyDescent="0.25">
      <c r="A834" s="972"/>
      <c r="B834" s="973" t="s">
        <v>3711</v>
      </c>
      <c r="C834" s="974">
        <v>333903099000000</v>
      </c>
      <c r="D834" s="973" t="s">
        <v>3712</v>
      </c>
      <c r="E834" s="948">
        <v>331119900000000</v>
      </c>
      <c r="F834" s="975">
        <v>1</v>
      </c>
      <c r="G834" s="973">
        <v>0</v>
      </c>
      <c r="I834" s="976">
        <f>((PUCFD!E760*(1+PUCFD!E$10))*(1+PUCFD!E$16))</f>
        <v>0</v>
      </c>
    </row>
    <row r="835" spans="1:9" ht="24.95" customHeight="1" x14ac:dyDescent="0.25">
      <c r="A835" s="972"/>
      <c r="B835" s="973" t="s">
        <v>3713</v>
      </c>
      <c r="C835" s="974">
        <v>333903016000000</v>
      </c>
      <c r="D835" s="973" t="s">
        <v>3714</v>
      </c>
      <c r="E835" s="948">
        <v>0</v>
      </c>
      <c r="F835" s="975">
        <v>1</v>
      </c>
      <c r="G835" s="973">
        <v>0</v>
      </c>
      <c r="I835" s="976">
        <f>((PUCFD!E761*(1+PUCFD!E$10))*(1+PUCFD!E$16))</f>
        <v>0</v>
      </c>
    </row>
    <row r="836" spans="1:9" ht="24.95" customHeight="1" x14ac:dyDescent="0.25">
      <c r="A836" s="972"/>
      <c r="B836" s="973" t="s">
        <v>3715</v>
      </c>
      <c r="C836" s="974">
        <v>333903017000000</v>
      </c>
      <c r="D836" s="973" t="s">
        <v>3186</v>
      </c>
      <c r="E836" s="948">
        <v>331111700000000</v>
      </c>
      <c r="F836" s="975">
        <v>1</v>
      </c>
      <c r="G836" s="973">
        <v>0</v>
      </c>
      <c r="I836" s="976">
        <f>((PUCFD!E762*(1+PUCFD!E$10))*(1+PUCFD!E$16))</f>
        <v>0</v>
      </c>
    </row>
    <row r="837" spans="1:9" ht="24.95" customHeight="1" x14ac:dyDescent="0.25">
      <c r="A837" s="972"/>
      <c r="B837" s="973" t="s">
        <v>3716</v>
      </c>
      <c r="C837" s="974">
        <v>333903022000000</v>
      </c>
      <c r="D837" s="973" t="s">
        <v>3717</v>
      </c>
      <c r="E837" s="948">
        <v>0</v>
      </c>
      <c r="F837" s="975">
        <v>1</v>
      </c>
      <c r="G837" s="973">
        <v>0</v>
      </c>
      <c r="I837" s="976">
        <f>((PUCFD!E763*(1+PUCFD!E$10))*(1+PUCFD!E$16))</f>
        <v>0</v>
      </c>
    </row>
    <row r="838" spans="1:9" s="946" customFormat="1" ht="24.95" customHeight="1" x14ac:dyDescent="0.25">
      <c r="A838" s="958"/>
      <c r="B838" s="963">
        <v>14700</v>
      </c>
      <c r="C838" s="964">
        <v>333903300000000</v>
      </c>
      <c r="D838" s="963" t="s">
        <v>5822</v>
      </c>
      <c r="E838" s="954"/>
      <c r="F838" s="960">
        <v>1</v>
      </c>
      <c r="G838" s="963">
        <v>0</v>
      </c>
      <c r="H838" s="956"/>
      <c r="I838" s="961">
        <f>SUM(I839)</f>
        <v>1.0973403E-2</v>
      </c>
    </row>
    <row r="839" spans="1:9" ht="24.95" customHeight="1" x14ac:dyDescent="0.25">
      <c r="A839" s="972"/>
      <c r="B839" s="973" t="s">
        <v>3719</v>
      </c>
      <c r="C839" s="974">
        <v>333903301000000</v>
      </c>
      <c r="D839" s="973" t="s">
        <v>3472</v>
      </c>
      <c r="E839" s="948">
        <v>332315600000000</v>
      </c>
      <c r="F839" s="975">
        <v>1</v>
      </c>
      <c r="G839" s="973">
        <v>0</v>
      </c>
      <c r="I839" s="976">
        <f>((PUCFD!E765*(1+PUCFD!E$10))*(1+PUCFD!E$16))</f>
        <v>1.0973403E-2</v>
      </c>
    </row>
    <row r="840" spans="1:9" s="946" customFormat="1" ht="24.95" customHeight="1" x14ac:dyDescent="0.25">
      <c r="A840" s="958"/>
      <c r="B840" s="963">
        <v>14800</v>
      </c>
      <c r="C840" s="964">
        <v>333903500000000</v>
      </c>
      <c r="D840" s="963" t="s">
        <v>5823</v>
      </c>
      <c r="E840" s="954"/>
      <c r="F840" s="960">
        <v>1</v>
      </c>
      <c r="G840" s="963">
        <v>0</v>
      </c>
      <c r="H840" s="956"/>
      <c r="I840" s="961">
        <f>((PUCFD!E766*(1+PUCFD!E$10))*(1+PUCFD!E$16))</f>
        <v>1.0973403E-2</v>
      </c>
    </row>
    <row r="841" spans="1:9" s="946" customFormat="1" ht="24.95" customHeight="1" x14ac:dyDescent="0.25">
      <c r="A841" s="958"/>
      <c r="B841" s="963">
        <v>14900</v>
      </c>
      <c r="C841" s="964">
        <v>333903600000000</v>
      </c>
      <c r="D841" s="963" t="s">
        <v>5824</v>
      </c>
      <c r="E841" s="954"/>
      <c r="F841" s="960">
        <v>1</v>
      </c>
      <c r="G841" s="963">
        <v>0</v>
      </c>
      <c r="H841" s="956"/>
      <c r="I841" s="961">
        <f>SUM(I842,I843)</f>
        <v>35569.989542618998</v>
      </c>
    </row>
    <row r="842" spans="1:9" ht="24.95" customHeight="1" x14ac:dyDescent="0.25">
      <c r="A842" s="972"/>
      <c r="B842" s="973" t="s">
        <v>3722</v>
      </c>
      <c r="C842" s="974">
        <v>333903615000000</v>
      </c>
      <c r="D842" s="973" t="s">
        <v>3246</v>
      </c>
      <c r="E842" s="948">
        <v>332212100000000</v>
      </c>
      <c r="F842" s="975">
        <v>1</v>
      </c>
      <c r="G842" s="973">
        <v>0</v>
      </c>
      <c r="I842" s="976">
        <f>((PUCFD!E768*(1+PUCFD!E$10))*(1+PUCFD!E$16))</f>
        <v>20750.595338970001</v>
      </c>
    </row>
    <row r="843" spans="1:9" ht="24.95" customHeight="1" x14ac:dyDescent="0.25">
      <c r="A843" s="972"/>
      <c r="B843" s="973" t="s">
        <v>3723</v>
      </c>
      <c r="C843" s="974">
        <v>333903606000000</v>
      </c>
      <c r="D843" s="973" t="s">
        <v>3022</v>
      </c>
      <c r="E843" s="948">
        <v>332211500000000</v>
      </c>
      <c r="F843" s="975">
        <v>1</v>
      </c>
      <c r="G843" s="973">
        <v>0</v>
      </c>
      <c r="I843" s="976">
        <f>((PUCFD!E769*(1+PUCFD!E$10))*(1+PUCFD!E$16))</f>
        <v>14819.394203648997</v>
      </c>
    </row>
    <row r="844" spans="1:9" s="946" customFormat="1" ht="24.95" customHeight="1" x14ac:dyDescent="0.25">
      <c r="A844" s="958"/>
      <c r="B844" s="963">
        <v>15000</v>
      </c>
      <c r="C844" s="964">
        <v>333903900000000</v>
      </c>
      <c r="D844" s="963" t="s">
        <v>5825</v>
      </c>
      <c r="E844" s="954"/>
      <c r="F844" s="960">
        <v>1</v>
      </c>
      <c r="G844" s="963">
        <v>0</v>
      </c>
      <c r="H844" s="956"/>
      <c r="I844" s="961">
        <f>((PUCFD!E770*(1+PUCFD!E$10))*(1+PUCFD!E$16))-15000</f>
        <v>15969.686616749997</v>
      </c>
    </row>
    <row r="845" spans="1:9" ht="24.95" customHeight="1" x14ac:dyDescent="0.25">
      <c r="A845" s="972"/>
      <c r="B845" s="973" t="s">
        <v>3725</v>
      </c>
      <c r="C845" s="974">
        <v>333903999040000</v>
      </c>
      <c r="D845" s="973" t="s">
        <v>3321</v>
      </c>
      <c r="E845" s="948">
        <v>332319900000000</v>
      </c>
      <c r="F845" s="975">
        <v>1</v>
      </c>
      <c r="G845" s="973">
        <v>0</v>
      </c>
      <c r="I845" s="976">
        <f>((PUCFD!E771*(1+PUCFD!E$10))*(1+PUCFD!E$16))</f>
        <v>0</v>
      </c>
    </row>
    <row r="846" spans="1:9" ht="24.95" customHeight="1" x14ac:dyDescent="0.25">
      <c r="A846" s="972"/>
      <c r="B846" s="973" t="s">
        <v>3726</v>
      </c>
      <c r="C846" s="974">
        <v>333903948000000</v>
      </c>
      <c r="D846" s="973" t="s">
        <v>3727</v>
      </c>
      <c r="E846" s="948">
        <v>332313000000000</v>
      </c>
      <c r="F846" s="975">
        <v>1</v>
      </c>
      <c r="G846" s="973">
        <v>0</v>
      </c>
      <c r="I846" s="976">
        <f>((PUCFD!E772*(1+PUCFD!E$10))*(1+PUCFD!E$16))</f>
        <v>0</v>
      </c>
    </row>
    <row r="847" spans="1:9" ht="24.95" customHeight="1" x14ac:dyDescent="0.25">
      <c r="A847" s="972"/>
      <c r="B847" s="973" t="s">
        <v>3728</v>
      </c>
      <c r="C847" s="974">
        <v>333903943000000</v>
      </c>
      <c r="D847" s="973" t="s">
        <v>3485</v>
      </c>
      <c r="E847" s="948">
        <v>332310800000000</v>
      </c>
      <c r="F847" s="975">
        <v>1</v>
      </c>
      <c r="G847" s="973">
        <v>0</v>
      </c>
      <c r="I847" s="976">
        <f>((PUCFD!E773*(1+PUCFD!E$10))*(1+PUCFD!E$16))</f>
        <v>0</v>
      </c>
    </row>
    <row r="848" spans="1:9" ht="24.95" customHeight="1" x14ac:dyDescent="0.25">
      <c r="A848" s="972"/>
      <c r="B848" s="973" t="s">
        <v>3729</v>
      </c>
      <c r="C848" s="974">
        <v>333903944000000</v>
      </c>
      <c r="D848" s="973" t="s">
        <v>3324</v>
      </c>
      <c r="E848" s="948">
        <v>332310800000000</v>
      </c>
      <c r="F848" s="975">
        <v>1</v>
      </c>
      <c r="G848" s="973">
        <v>0</v>
      </c>
      <c r="I848" s="976">
        <f>((PUCFD!E774*(1+PUCFD!E$10))*(1+PUCFD!E$16))</f>
        <v>0</v>
      </c>
    </row>
    <row r="849" spans="1:9" ht="24.95" customHeight="1" x14ac:dyDescent="0.25">
      <c r="A849" s="972"/>
      <c r="B849" s="973" t="s">
        <v>3730</v>
      </c>
      <c r="C849" s="974">
        <v>333903963000000</v>
      </c>
      <c r="D849" s="973" t="s">
        <v>3586</v>
      </c>
      <c r="E849" s="948">
        <v>332314600000000</v>
      </c>
      <c r="F849" s="975">
        <v>1</v>
      </c>
      <c r="G849" s="973">
        <v>0</v>
      </c>
      <c r="I849" s="976">
        <f>((PUCFD!E775*(1+PUCFD!E$10))*(1+PUCFD!E$16))</f>
        <v>0</v>
      </c>
    </row>
    <row r="850" spans="1:9" ht="24.95" customHeight="1" x14ac:dyDescent="0.25">
      <c r="A850" s="972"/>
      <c r="B850" s="973" t="s">
        <v>3731</v>
      </c>
      <c r="C850" s="974">
        <v>333903999010000</v>
      </c>
      <c r="D850" s="973" t="s">
        <v>3487</v>
      </c>
      <c r="E850" s="948">
        <v>332319900000000</v>
      </c>
      <c r="F850" s="975">
        <v>1</v>
      </c>
      <c r="G850" s="973">
        <v>0</v>
      </c>
      <c r="I850" s="976">
        <f>((PUCFD!E776*(1+PUCFD!E$10))*(1+PUCFD!E$16))</f>
        <v>0</v>
      </c>
    </row>
    <row r="851" spans="1:9" ht="24.95" customHeight="1" x14ac:dyDescent="0.25">
      <c r="A851" s="972"/>
      <c r="B851" s="973" t="s">
        <v>3732</v>
      </c>
      <c r="C851" s="974">
        <v>333903999040000</v>
      </c>
      <c r="D851" s="973" t="s">
        <v>3733</v>
      </c>
      <c r="E851" s="948">
        <v>332319900000000</v>
      </c>
      <c r="F851" s="975">
        <v>1</v>
      </c>
      <c r="G851" s="973">
        <v>0</v>
      </c>
      <c r="I851" s="976">
        <f>((PUCFD!E777*(1+PUCFD!E$10))*(1+PUCFD!E$16))</f>
        <v>0</v>
      </c>
    </row>
    <row r="852" spans="1:9" ht="24.95" customHeight="1" x14ac:dyDescent="0.25">
      <c r="A852" s="972"/>
      <c r="B852" s="973" t="s">
        <v>3734</v>
      </c>
      <c r="C852" s="974">
        <v>333903958010000</v>
      </c>
      <c r="D852" s="973" t="s">
        <v>3036</v>
      </c>
      <c r="E852" s="948">
        <v>332310800000000</v>
      </c>
      <c r="F852" s="975">
        <v>1</v>
      </c>
      <c r="G852" s="973">
        <v>0</v>
      </c>
      <c r="I852" s="976">
        <f>((PUCFD!E778*(1+PUCFD!E$10))*(1+PUCFD!E$16))</f>
        <v>0</v>
      </c>
    </row>
    <row r="853" spans="1:9" s="946" customFormat="1" ht="24.95" customHeight="1" x14ac:dyDescent="0.25">
      <c r="A853" s="958"/>
      <c r="B853" s="963">
        <v>15100</v>
      </c>
      <c r="C853" s="964">
        <v>333904600000000</v>
      </c>
      <c r="D853" s="963" t="s">
        <v>5826</v>
      </c>
      <c r="E853" s="954"/>
      <c r="F853" s="960">
        <v>1</v>
      </c>
      <c r="G853" s="963">
        <v>0</v>
      </c>
      <c r="H853" s="956"/>
      <c r="I853" s="961">
        <f>SUM(I854)</f>
        <v>18199.641263768997</v>
      </c>
    </row>
    <row r="854" spans="1:9" s="946" customFormat="1" ht="24.95" customHeight="1" x14ac:dyDescent="0.25">
      <c r="B854" s="973" t="s">
        <v>4252</v>
      </c>
      <c r="C854" s="974">
        <v>333904601000000</v>
      </c>
      <c r="D854" s="973" t="s">
        <v>5905</v>
      </c>
      <c r="E854" s="948">
        <v>311210199000000</v>
      </c>
      <c r="F854" s="975">
        <v>1</v>
      </c>
      <c r="G854" s="973">
        <v>0</v>
      </c>
      <c r="H854" s="972"/>
      <c r="I854" s="976">
        <f>((PUCFD!E779*(1+PUCFD!E$10))*(1+PUCFD!E$16))</f>
        <v>18199.641263768997</v>
      </c>
    </row>
    <row r="855" spans="1:9" s="946" customFormat="1" ht="39.75" customHeight="1" x14ac:dyDescent="0.25">
      <c r="A855" s="958"/>
      <c r="B855" s="963">
        <v>15200</v>
      </c>
      <c r="C855" s="964">
        <v>333904700000000</v>
      </c>
      <c r="D855" s="963" t="s">
        <v>5827</v>
      </c>
      <c r="E855" s="954"/>
      <c r="F855" s="960">
        <v>1</v>
      </c>
      <c r="G855" s="963">
        <v>0</v>
      </c>
      <c r="H855" s="956"/>
      <c r="I855" s="961">
        <f>SUM(I856)</f>
        <v>1885.4555901614999</v>
      </c>
    </row>
    <row r="856" spans="1:9" ht="24.95" customHeight="1" x14ac:dyDescent="0.25">
      <c r="A856" s="972"/>
      <c r="B856" s="973" t="s">
        <v>3737</v>
      </c>
      <c r="C856" s="974">
        <v>333904718000000</v>
      </c>
      <c r="D856" s="973" t="s">
        <v>3500</v>
      </c>
      <c r="E856" s="948">
        <v>372110400000000</v>
      </c>
      <c r="F856" s="975">
        <v>1</v>
      </c>
      <c r="G856" s="973">
        <v>0</v>
      </c>
      <c r="I856" s="976">
        <f>((PUCFD!E781*(1+PUCFD!E$10))*(1+PUCFD!E$16))</f>
        <v>1885.4555901614999</v>
      </c>
    </row>
    <row r="857" spans="1:9" s="946" customFormat="1" ht="24.95" customHeight="1" x14ac:dyDescent="0.25">
      <c r="A857" s="958"/>
      <c r="B857" s="963">
        <v>15300</v>
      </c>
      <c r="C857" s="964">
        <v>333904900000000</v>
      </c>
      <c r="D857" s="963" t="s">
        <v>5828</v>
      </c>
      <c r="E857" s="954"/>
      <c r="F857" s="960">
        <v>1</v>
      </c>
      <c r="G857" s="963">
        <v>0</v>
      </c>
      <c r="H857" s="956"/>
      <c r="I857" s="961">
        <f>SUM(I858,I859)</f>
        <v>1684.7355891869997</v>
      </c>
    </row>
    <row r="858" spans="1:9" ht="24.95" customHeight="1" x14ac:dyDescent="0.25">
      <c r="A858" s="972"/>
      <c r="B858" s="973" t="s">
        <v>3738</v>
      </c>
      <c r="C858" s="974">
        <v>333904901000000</v>
      </c>
      <c r="D858" s="973" t="s">
        <v>3739</v>
      </c>
      <c r="E858" s="948">
        <v>313210200000000</v>
      </c>
      <c r="F858" s="975">
        <v>1</v>
      </c>
      <c r="G858" s="973">
        <v>0</v>
      </c>
      <c r="I858" s="976">
        <f>((PUCFD!E783*(1+PUCFD!E$10))*(1+PUCFD!E$16))</f>
        <v>1.0973403E-2</v>
      </c>
    </row>
    <row r="859" spans="1:9" ht="24.95" customHeight="1" x14ac:dyDescent="0.25">
      <c r="A859" s="972"/>
      <c r="B859" s="973" t="s">
        <v>3740</v>
      </c>
      <c r="C859" s="974">
        <v>333904901000000</v>
      </c>
      <c r="D859" s="973" t="s">
        <v>3741</v>
      </c>
      <c r="E859" s="948">
        <v>313210200000000</v>
      </c>
      <c r="F859" s="975">
        <v>1</v>
      </c>
      <c r="G859" s="973">
        <v>0</v>
      </c>
      <c r="I859" s="976">
        <f>((PUCFD!E784*(1+PUCFD!E$10))*(1+PUCFD!E$16))</f>
        <v>1684.7246157839998</v>
      </c>
    </row>
    <row r="860" spans="1:9" s="946" customFormat="1" ht="24.95" customHeight="1" x14ac:dyDescent="0.25">
      <c r="A860" s="958"/>
      <c r="B860" s="963">
        <v>15400</v>
      </c>
      <c r="C860" s="964">
        <v>333909200000000</v>
      </c>
      <c r="D860" s="963" t="s">
        <v>5829</v>
      </c>
      <c r="E860" s="954"/>
      <c r="F860" s="960">
        <v>1</v>
      </c>
      <c r="G860" s="963">
        <v>0</v>
      </c>
      <c r="H860" s="956"/>
      <c r="I860" s="961">
        <f>((PUCFD!E785*(1+PUCFD!E$10))*(1+PUCFD!E$16))</f>
        <v>1.0973403E-2</v>
      </c>
    </row>
    <row r="861" spans="1:9" s="946" customFormat="1" ht="24.95" customHeight="1" x14ac:dyDescent="0.25">
      <c r="A861" s="958"/>
      <c r="B861" s="963">
        <v>15500</v>
      </c>
      <c r="C861" s="964">
        <v>333909300000000</v>
      </c>
      <c r="D861" s="963" t="s">
        <v>5830</v>
      </c>
      <c r="E861" s="954"/>
      <c r="F861" s="960">
        <v>1</v>
      </c>
      <c r="G861" s="963">
        <v>0</v>
      </c>
      <c r="H861" s="956"/>
      <c r="I861" s="961">
        <f>SUM(I862)</f>
        <v>329.20209</v>
      </c>
    </row>
    <row r="862" spans="1:9" ht="24.95" customHeight="1" x14ac:dyDescent="0.25">
      <c r="A862" s="972"/>
      <c r="B862" s="973" t="s">
        <v>3743</v>
      </c>
      <c r="C862" s="974">
        <v>333909399010000</v>
      </c>
      <c r="D862" s="973" t="s">
        <v>3060</v>
      </c>
      <c r="E862" s="948">
        <v>399910300000000</v>
      </c>
      <c r="F862" s="975">
        <v>1</v>
      </c>
      <c r="G862" s="973">
        <v>0</v>
      </c>
      <c r="I862" s="976">
        <f>((PUCFD!E787*(1+PUCFD!E$10))*(1+PUCFD!E$16))</f>
        <v>329.20209</v>
      </c>
    </row>
    <row r="863" spans="1:9" s="946" customFormat="1" ht="24.95" customHeight="1" x14ac:dyDescent="0.25">
      <c r="A863" s="958"/>
      <c r="B863" s="963">
        <v>15600</v>
      </c>
      <c r="C863" s="964">
        <v>333933000000000</v>
      </c>
      <c r="D863" s="963" t="s">
        <v>5831</v>
      </c>
      <c r="E863" s="954"/>
      <c r="F863" s="960">
        <v>1</v>
      </c>
      <c r="G863" s="963">
        <v>0</v>
      </c>
      <c r="H863" s="956"/>
      <c r="I863" s="961">
        <f>((PUCFD!E788*(1+PUCFD!E$10))*(1+PUCFD!E$16))</f>
        <v>1.0973403E-2</v>
      </c>
    </row>
    <row r="864" spans="1:9" s="946" customFormat="1" ht="24.95" customHeight="1" x14ac:dyDescent="0.25">
      <c r="A864" s="958"/>
      <c r="B864" s="963">
        <v>15700</v>
      </c>
      <c r="C864" s="964">
        <v>344905100000000</v>
      </c>
      <c r="D864" s="963" t="s">
        <v>5832</v>
      </c>
      <c r="E864" s="954"/>
      <c r="F864" s="960">
        <v>1</v>
      </c>
      <c r="G864" s="963">
        <v>0</v>
      </c>
      <c r="H864" s="956"/>
      <c r="I864" s="961">
        <f>((PUCFD!E789*(1+PUCFD!E$10))*(1+PUCFD!E$16))</f>
        <v>1.0973403E-2</v>
      </c>
    </row>
    <row r="865" spans="1:9" s="946" customFormat="1" ht="24.95" customHeight="1" x14ac:dyDescent="0.25">
      <c r="A865" s="958"/>
      <c r="B865" s="963">
        <v>15800</v>
      </c>
      <c r="C865" s="964">
        <v>344905200000000</v>
      </c>
      <c r="D865" s="963" t="s">
        <v>5833</v>
      </c>
      <c r="E865" s="954"/>
      <c r="F865" s="960">
        <v>1</v>
      </c>
      <c r="G865" s="963">
        <v>0</v>
      </c>
      <c r="H865" s="956"/>
      <c r="I865" s="961">
        <f>((PUCFD!E790*(1+PUCFD!E$10))*(1+PUCFD!E$16))</f>
        <v>1.0973403E-2</v>
      </c>
    </row>
    <row r="866" spans="1:9" ht="15" customHeight="1" x14ac:dyDescent="0.25">
      <c r="A866" s="958"/>
      <c r="B866" s="962" t="s">
        <v>3138</v>
      </c>
      <c r="C866" s="959">
        <v>26</v>
      </c>
      <c r="D866" s="1361" t="s">
        <v>4098</v>
      </c>
      <c r="E866" s="954"/>
      <c r="F866" s="960"/>
      <c r="G866" s="958"/>
      <c r="H866" s="958"/>
      <c r="I866" s="961">
        <f>I867</f>
        <v>1646.0433702089999</v>
      </c>
    </row>
    <row r="867" spans="1:9" ht="15" customHeight="1" x14ac:dyDescent="0.25">
      <c r="A867" s="958"/>
      <c r="B867" s="962" t="s">
        <v>3139</v>
      </c>
      <c r="C867" s="959">
        <v>126</v>
      </c>
      <c r="D867" s="962" t="s">
        <v>3600</v>
      </c>
      <c r="E867" s="954"/>
      <c r="F867" s="960"/>
      <c r="G867" s="958"/>
      <c r="H867" s="958"/>
      <c r="I867" s="961">
        <f>I868</f>
        <v>1646.0433702089999</v>
      </c>
    </row>
    <row r="868" spans="1:9" ht="15" customHeight="1" x14ac:dyDescent="0.2">
      <c r="A868" s="958"/>
      <c r="B868" s="962" t="s">
        <v>3137</v>
      </c>
      <c r="C868" s="992">
        <v>3</v>
      </c>
      <c r="D868" s="962" t="s">
        <v>3145</v>
      </c>
      <c r="E868" s="954"/>
      <c r="F868" s="960"/>
      <c r="G868" s="958"/>
      <c r="H868" s="958"/>
      <c r="I868" s="961">
        <f>I869</f>
        <v>1646.0433702089999</v>
      </c>
    </row>
    <row r="869" spans="1:9" s="946" customFormat="1" ht="24.95" customHeight="1" x14ac:dyDescent="0.2">
      <c r="A869" s="958"/>
      <c r="B869" s="963" t="s">
        <v>2965</v>
      </c>
      <c r="C869" s="992">
        <v>2</v>
      </c>
      <c r="D869" s="962" t="s">
        <v>2966</v>
      </c>
      <c r="E869" s="954"/>
      <c r="F869" s="960"/>
      <c r="G869" s="963"/>
      <c r="H869" s="956"/>
      <c r="I869" s="957">
        <f>I870</f>
        <v>1646.0433702089999</v>
      </c>
    </row>
    <row r="870" spans="1:9" s="946" customFormat="1" ht="33.75" customHeight="1" x14ac:dyDescent="0.25">
      <c r="B870" s="963">
        <v>15850</v>
      </c>
      <c r="C870" s="964">
        <v>333904000000000</v>
      </c>
      <c r="D870" s="963" t="s">
        <v>5972</v>
      </c>
      <c r="E870" s="954"/>
      <c r="F870" s="960">
        <v>1</v>
      </c>
      <c r="G870" s="963">
        <v>0</v>
      </c>
      <c r="H870" s="950"/>
      <c r="I870" s="961">
        <f>SUM(I871,I872,I873,I874)</f>
        <v>1646.0433702089999</v>
      </c>
    </row>
    <row r="871" spans="1:9" ht="24.95" customHeight="1" x14ac:dyDescent="0.25">
      <c r="A871" s="972"/>
      <c r="B871" s="973" t="s">
        <v>4101</v>
      </c>
      <c r="C871" s="974">
        <v>333904006000000</v>
      </c>
      <c r="D871" s="973" t="s">
        <v>3044</v>
      </c>
      <c r="E871" s="948">
        <v>332311000000000</v>
      </c>
      <c r="F871" s="975">
        <v>1</v>
      </c>
      <c r="G871" s="973">
        <v>0</v>
      </c>
      <c r="H871" s="972">
        <v>0</v>
      </c>
      <c r="I871" s="976">
        <f>((PUCFD!E794*(1+PUCFD!E$10))*(1+PUCFD!E$16))</f>
        <v>1.0973403E-2</v>
      </c>
    </row>
    <row r="872" spans="1:9" ht="24.95" customHeight="1" x14ac:dyDescent="0.25">
      <c r="A872" s="972"/>
      <c r="B872" s="973" t="s">
        <v>4102</v>
      </c>
      <c r="C872" s="974">
        <v>333904011000000</v>
      </c>
      <c r="D872" s="973" t="s">
        <v>5924</v>
      </c>
      <c r="E872" s="948">
        <v>332311100000000</v>
      </c>
      <c r="F872" s="975">
        <v>1</v>
      </c>
      <c r="G872" s="973">
        <v>0</v>
      </c>
      <c r="H872" s="972">
        <v>0</v>
      </c>
      <c r="I872" s="976">
        <f>((PUCFD!E795*(1+PUCFD!E$10))*(1+PUCFD!E$16))</f>
        <v>1.0973403E-2</v>
      </c>
    </row>
    <row r="873" spans="1:9" ht="24.95" customHeight="1" x14ac:dyDescent="0.25">
      <c r="A873" s="972"/>
      <c r="B873" s="973" t="s">
        <v>4103</v>
      </c>
      <c r="C873" s="974">
        <v>333904012000000</v>
      </c>
      <c r="D873" s="973" t="s">
        <v>5926</v>
      </c>
      <c r="E873" s="948">
        <v>332311100000000</v>
      </c>
      <c r="F873" s="975">
        <v>1</v>
      </c>
      <c r="G873" s="973">
        <v>0</v>
      </c>
      <c r="H873" s="972">
        <v>0</v>
      </c>
      <c r="I873" s="976">
        <f>((PUCFD!E796*(1+PUCFD!E$10))*(1+PUCFD!E$16))</f>
        <v>1.0973403E-2</v>
      </c>
    </row>
    <row r="874" spans="1:9" ht="24.95" customHeight="1" x14ac:dyDescent="0.25">
      <c r="A874" s="972"/>
      <c r="B874" s="973" t="s">
        <v>4104</v>
      </c>
      <c r="C874" s="974">
        <v>333904099000000</v>
      </c>
      <c r="D874" s="973" t="s">
        <v>5928</v>
      </c>
      <c r="E874" s="948">
        <v>332311100000000</v>
      </c>
      <c r="F874" s="975">
        <v>1</v>
      </c>
      <c r="G874" s="973">
        <v>0</v>
      </c>
      <c r="H874" s="972">
        <v>0</v>
      </c>
      <c r="I874" s="976">
        <f>((PUCFD!E797*(1+PUCFD!E$10))*(1+PUCFD!E$16))</f>
        <v>1646.01045</v>
      </c>
    </row>
    <row r="875" spans="1:9" ht="24.95" customHeight="1" x14ac:dyDescent="0.25">
      <c r="A875" s="958"/>
      <c r="B875" s="962" t="s">
        <v>3138</v>
      </c>
      <c r="C875" s="959">
        <v>26</v>
      </c>
      <c r="D875" s="962" t="s">
        <v>3142</v>
      </c>
      <c r="E875" s="954"/>
      <c r="F875" s="960"/>
      <c r="G875" s="958"/>
      <c r="H875" s="958"/>
      <c r="I875" s="961">
        <f>I876</f>
        <v>0.05</v>
      </c>
    </row>
    <row r="876" spans="1:9" ht="24.95" customHeight="1" x14ac:dyDescent="0.25">
      <c r="A876" s="958"/>
      <c r="B876" s="962" t="s">
        <v>3139</v>
      </c>
      <c r="C876" s="959">
        <v>128</v>
      </c>
      <c r="D876" s="962" t="s">
        <v>5104</v>
      </c>
      <c r="E876" s="954"/>
      <c r="F876" s="960"/>
      <c r="G876" s="958"/>
      <c r="H876" s="958"/>
      <c r="I876" s="961">
        <f>I878</f>
        <v>0.05</v>
      </c>
    </row>
    <row r="877" spans="1:9" ht="24.95" customHeight="1" x14ac:dyDescent="0.25">
      <c r="A877" s="958"/>
      <c r="B877" s="962" t="s">
        <v>3137</v>
      </c>
      <c r="C877" s="959">
        <v>3</v>
      </c>
      <c r="D877" s="962" t="s">
        <v>3145</v>
      </c>
      <c r="E877" s="954"/>
      <c r="F877" s="960"/>
      <c r="G877" s="958"/>
      <c r="H877" s="958"/>
      <c r="I877" s="961">
        <f>I878</f>
        <v>0.05</v>
      </c>
    </row>
    <row r="878" spans="1:9" s="946" customFormat="1" ht="24.95" customHeight="1" x14ac:dyDescent="0.25">
      <c r="B878" s="963" t="s">
        <v>2965</v>
      </c>
      <c r="C878" s="959">
        <v>2</v>
      </c>
      <c r="D878" s="962" t="s">
        <v>2966</v>
      </c>
      <c r="E878" s="954"/>
      <c r="F878" s="960"/>
      <c r="G878" s="963"/>
      <c r="H878" s="958"/>
      <c r="I878" s="957">
        <f>SUM(I879:I883)</f>
        <v>0.05</v>
      </c>
    </row>
    <row r="879" spans="1:9" s="946" customFormat="1" ht="24.95" customHeight="1" x14ac:dyDescent="0.25">
      <c r="B879" s="973">
        <v>15900</v>
      </c>
      <c r="C879" s="974">
        <v>333901400000000</v>
      </c>
      <c r="D879" s="973" t="s">
        <v>5834</v>
      </c>
      <c r="E879" s="954"/>
      <c r="F879" s="949">
        <v>1</v>
      </c>
      <c r="G879" s="945">
        <v>0</v>
      </c>
      <c r="H879" s="950">
        <v>0</v>
      </c>
      <c r="I879" s="951">
        <f>PUCFD!E799</f>
        <v>0.01</v>
      </c>
    </row>
    <row r="880" spans="1:9" s="946" customFormat="1" ht="39" customHeight="1" x14ac:dyDescent="0.25">
      <c r="B880" s="973">
        <v>15920</v>
      </c>
      <c r="C880" s="974">
        <v>333903300000000</v>
      </c>
      <c r="D880" s="973" t="s">
        <v>5835</v>
      </c>
      <c r="E880" s="954"/>
      <c r="F880" s="949">
        <v>1</v>
      </c>
      <c r="G880" s="945">
        <v>0</v>
      </c>
      <c r="H880" s="950">
        <v>0</v>
      </c>
      <c r="I880" s="951">
        <f>PUCFD!E800</f>
        <v>0.01</v>
      </c>
    </row>
    <row r="881" spans="1:9" s="946" customFormat="1" ht="39" customHeight="1" x14ac:dyDescent="0.25">
      <c r="B881" s="973">
        <v>15940</v>
      </c>
      <c r="C881" s="974">
        <v>333903900000000</v>
      </c>
      <c r="D881" s="973" t="s">
        <v>5841</v>
      </c>
      <c r="E881" s="954"/>
      <c r="F881" s="949">
        <v>1</v>
      </c>
      <c r="G881" s="945">
        <v>0</v>
      </c>
      <c r="H881" s="950">
        <v>0</v>
      </c>
      <c r="I881" s="951">
        <f>PUCFD!E801</f>
        <v>0.01</v>
      </c>
    </row>
    <row r="882" spans="1:9" s="946" customFormat="1" ht="24.95" customHeight="1" x14ac:dyDescent="0.25">
      <c r="B882" s="973">
        <v>15960</v>
      </c>
      <c r="C882" s="974">
        <v>333903900000000</v>
      </c>
      <c r="D882" s="973" t="s">
        <v>5836</v>
      </c>
      <c r="E882" s="954"/>
      <c r="F882" s="949">
        <v>1</v>
      </c>
      <c r="G882" s="945">
        <v>0</v>
      </c>
      <c r="H882" s="950">
        <v>0</v>
      </c>
      <c r="I882" s="951">
        <f>PUCFD!E802</f>
        <v>0.01</v>
      </c>
    </row>
    <row r="883" spans="1:9" s="946" customFormat="1" ht="24.95" customHeight="1" x14ac:dyDescent="0.25">
      <c r="B883" s="973">
        <v>15980</v>
      </c>
      <c r="C883" s="974">
        <v>333904700000000</v>
      </c>
      <c r="D883" s="973" t="s">
        <v>5842</v>
      </c>
      <c r="E883" s="954"/>
      <c r="F883" s="949">
        <v>1</v>
      </c>
      <c r="G883" s="945">
        <v>0</v>
      </c>
      <c r="H883" s="950">
        <v>0</v>
      </c>
      <c r="I883" s="951">
        <f>PUCFD!E803</f>
        <v>0.01</v>
      </c>
    </row>
    <row r="884" spans="1:9" ht="15" customHeight="1" x14ac:dyDescent="0.25">
      <c r="A884" s="958"/>
      <c r="B884" s="962" t="s">
        <v>3138</v>
      </c>
      <c r="C884" s="959">
        <v>26</v>
      </c>
      <c r="D884" s="962" t="s">
        <v>4098</v>
      </c>
      <c r="E884" s="954"/>
      <c r="F884" s="960"/>
      <c r="G884" s="958"/>
      <c r="H884" s="958"/>
      <c r="I884" s="961">
        <f>I885</f>
        <v>0.04</v>
      </c>
    </row>
    <row r="885" spans="1:9" ht="15" customHeight="1" x14ac:dyDescent="0.25">
      <c r="A885" s="958"/>
      <c r="B885" s="962" t="s">
        <v>3139</v>
      </c>
      <c r="C885" s="959">
        <v>126</v>
      </c>
      <c r="D885" s="962" t="s">
        <v>3600</v>
      </c>
      <c r="E885" s="954"/>
      <c r="F885" s="960"/>
      <c r="G885" s="958"/>
      <c r="H885" s="958"/>
      <c r="I885" s="961">
        <f>I886</f>
        <v>0.04</v>
      </c>
    </row>
    <row r="886" spans="1:9" ht="15" customHeight="1" x14ac:dyDescent="0.25">
      <c r="A886" s="958"/>
      <c r="B886" s="962" t="s">
        <v>3137</v>
      </c>
      <c r="C886" s="959">
        <v>4</v>
      </c>
      <c r="D886" s="962" t="s">
        <v>4097</v>
      </c>
      <c r="E886" s="954"/>
      <c r="F886" s="960"/>
      <c r="G886" s="958"/>
      <c r="H886" s="958"/>
      <c r="I886" s="961">
        <f>I887</f>
        <v>0.04</v>
      </c>
    </row>
    <row r="887" spans="1:9" s="946" customFormat="1" ht="24.95" customHeight="1" x14ac:dyDescent="0.25">
      <c r="A887" s="958"/>
      <c r="B887" s="963" t="s">
        <v>2965</v>
      </c>
      <c r="C887" s="959">
        <v>3</v>
      </c>
      <c r="D887" s="963" t="s">
        <v>3744</v>
      </c>
      <c r="E887" s="954"/>
      <c r="F887" s="960"/>
      <c r="G887" s="963"/>
      <c r="H887" s="956"/>
      <c r="I887" s="957">
        <f>I888</f>
        <v>0.04</v>
      </c>
    </row>
    <row r="888" spans="1:9" s="946" customFormat="1" ht="33.75" customHeight="1" x14ac:dyDescent="0.25">
      <c r="B888" s="963">
        <v>26950</v>
      </c>
      <c r="C888" s="964">
        <v>333904000000000</v>
      </c>
      <c r="D888" s="963" t="s">
        <v>5973</v>
      </c>
      <c r="E888" s="954"/>
      <c r="F888" s="960">
        <v>1</v>
      </c>
      <c r="G888" s="963">
        <v>0</v>
      </c>
      <c r="H888" s="950"/>
      <c r="I888" s="961">
        <f>SUM(I889,I890,I891,I892)</f>
        <v>0.04</v>
      </c>
    </row>
    <row r="889" spans="1:9" ht="25.5" customHeight="1" x14ac:dyDescent="0.25">
      <c r="A889" s="972"/>
      <c r="B889" s="973" t="s">
        <v>4107</v>
      </c>
      <c r="C889" s="974">
        <v>333904006000000</v>
      </c>
      <c r="D889" s="973" t="s">
        <v>5837</v>
      </c>
      <c r="E889" s="948">
        <v>332311000000000</v>
      </c>
      <c r="F889" s="975">
        <v>1</v>
      </c>
      <c r="G889" s="973">
        <v>0</v>
      </c>
      <c r="H889" s="972">
        <v>0</v>
      </c>
      <c r="I889" s="976">
        <v>0.01</v>
      </c>
    </row>
    <row r="890" spans="1:9" ht="29.25" customHeight="1" x14ac:dyDescent="0.25">
      <c r="A890" s="972"/>
      <c r="B890" s="973" t="s">
        <v>4108</v>
      </c>
      <c r="C890" s="974">
        <v>333904011000000</v>
      </c>
      <c r="D890" s="973" t="s">
        <v>5925</v>
      </c>
      <c r="E890" s="948">
        <v>332311100000000</v>
      </c>
      <c r="F890" s="975">
        <v>1</v>
      </c>
      <c r="G890" s="973">
        <v>0</v>
      </c>
      <c r="H890" s="972">
        <v>0</v>
      </c>
      <c r="I890" s="976">
        <v>0.01</v>
      </c>
    </row>
    <row r="891" spans="1:9" ht="29.25" customHeight="1" x14ac:dyDescent="0.25">
      <c r="A891" s="972"/>
      <c r="B891" s="973" t="s">
        <v>4109</v>
      </c>
      <c r="C891" s="974">
        <v>333904012000000</v>
      </c>
      <c r="D891" s="973" t="s">
        <v>5927</v>
      </c>
      <c r="E891" s="948">
        <v>332311100000000</v>
      </c>
      <c r="F891" s="975">
        <v>1</v>
      </c>
      <c r="G891" s="973">
        <v>0</v>
      </c>
      <c r="H891" s="972">
        <v>0</v>
      </c>
      <c r="I891" s="976">
        <v>0.01</v>
      </c>
    </row>
    <row r="892" spans="1:9" ht="24.95" customHeight="1" x14ac:dyDescent="0.25">
      <c r="A892" s="972"/>
      <c r="B892" s="973" t="s">
        <v>5843</v>
      </c>
      <c r="C892" s="974">
        <v>333904099000000</v>
      </c>
      <c r="D892" s="973" t="s">
        <v>5929</v>
      </c>
      <c r="E892" s="948">
        <v>332311100000000</v>
      </c>
      <c r="F892" s="975">
        <v>1</v>
      </c>
      <c r="G892" s="973">
        <v>0</v>
      </c>
      <c r="H892" s="972">
        <v>0</v>
      </c>
      <c r="I892" s="976">
        <v>0.01</v>
      </c>
    </row>
    <row r="893" spans="1:9" ht="24.95" customHeight="1" x14ac:dyDescent="0.25">
      <c r="A893" s="958"/>
      <c r="B893" s="962" t="s">
        <v>3138</v>
      </c>
      <c r="C893" s="959">
        <v>26</v>
      </c>
      <c r="D893" s="962" t="s">
        <v>4098</v>
      </c>
      <c r="E893" s="954"/>
      <c r="F893" s="960"/>
      <c r="G893" s="958"/>
      <c r="H893" s="958"/>
      <c r="I893" s="961">
        <f>I894</f>
        <v>0.05</v>
      </c>
    </row>
    <row r="894" spans="1:9" ht="24.95" customHeight="1" x14ac:dyDescent="0.25">
      <c r="A894" s="958"/>
      <c r="B894" s="962" t="s">
        <v>3139</v>
      </c>
      <c r="C894" s="959">
        <v>128</v>
      </c>
      <c r="D894" s="962" t="s">
        <v>5104</v>
      </c>
      <c r="E894" s="954"/>
      <c r="F894" s="960"/>
      <c r="G894" s="958"/>
      <c r="H894" s="958"/>
      <c r="I894" s="961">
        <f>I896</f>
        <v>0.05</v>
      </c>
    </row>
    <row r="895" spans="1:9" ht="24.95" customHeight="1" x14ac:dyDescent="0.25">
      <c r="A895" s="958"/>
      <c r="B895" s="962" t="s">
        <v>3137</v>
      </c>
      <c r="C895" s="959">
        <v>4</v>
      </c>
      <c r="D895" s="962" t="s">
        <v>4097</v>
      </c>
      <c r="E895" s="954"/>
      <c r="F895" s="960"/>
      <c r="G895" s="958"/>
      <c r="H895" s="958"/>
      <c r="I895" s="961">
        <f>I896</f>
        <v>0.05</v>
      </c>
    </row>
    <row r="896" spans="1:9" s="946" customFormat="1" ht="24.95" customHeight="1" x14ac:dyDescent="0.25">
      <c r="B896" s="963" t="s">
        <v>2965</v>
      </c>
      <c r="C896" s="959">
        <v>3</v>
      </c>
      <c r="D896" s="963" t="s">
        <v>3744</v>
      </c>
      <c r="E896" s="954"/>
      <c r="F896" s="960"/>
      <c r="G896" s="963"/>
      <c r="H896" s="958"/>
      <c r="I896" s="957">
        <f>SUM(I897:I901)</f>
        <v>0.05</v>
      </c>
    </row>
    <row r="897" spans="1:9" s="946" customFormat="1" ht="24.95" customHeight="1" x14ac:dyDescent="0.25">
      <c r="B897" s="973">
        <v>27000</v>
      </c>
      <c r="C897" s="974">
        <v>333901400000000</v>
      </c>
      <c r="D897" s="973" t="s">
        <v>5838</v>
      </c>
      <c r="E897" s="954"/>
      <c r="F897" s="949">
        <v>1</v>
      </c>
      <c r="G897" s="945">
        <v>0</v>
      </c>
      <c r="H897" s="950">
        <v>0</v>
      </c>
      <c r="I897" s="951">
        <v>0.01</v>
      </c>
    </row>
    <row r="898" spans="1:9" s="946" customFormat="1" ht="32.25" customHeight="1" x14ac:dyDescent="0.25">
      <c r="B898" s="973">
        <v>27030</v>
      </c>
      <c r="C898" s="974">
        <v>333903300000000</v>
      </c>
      <c r="D898" s="973" t="s">
        <v>5839</v>
      </c>
      <c r="E898" s="954"/>
      <c r="F898" s="949">
        <v>1</v>
      </c>
      <c r="G898" s="945">
        <v>0</v>
      </c>
      <c r="H898" s="950">
        <v>0</v>
      </c>
      <c r="I898" s="951">
        <v>0.01</v>
      </c>
    </row>
    <row r="899" spans="1:9" s="946" customFormat="1" ht="33.75" customHeight="1" x14ac:dyDescent="0.25">
      <c r="B899" s="973">
        <v>27060</v>
      </c>
      <c r="C899" s="974">
        <v>333903600000000</v>
      </c>
      <c r="D899" s="973" t="s">
        <v>5844</v>
      </c>
      <c r="E899" s="954"/>
      <c r="F899" s="949">
        <v>1</v>
      </c>
      <c r="G899" s="945">
        <v>0</v>
      </c>
      <c r="H899" s="950">
        <v>0</v>
      </c>
      <c r="I899" s="951">
        <v>0.01</v>
      </c>
    </row>
    <row r="900" spans="1:9" s="946" customFormat="1" ht="33.75" customHeight="1" x14ac:dyDescent="0.25">
      <c r="B900" s="973">
        <v>27080</v>
      </c>
      <c r="C900" s="974">
        <v>333903900000000</v>
      </c>
      <c r="D900" s="973" t="s">
        <v>5840</v>
      </c>
      <c r="E900" s="954"/>
      <c r="F900" s="949">
        <v>1</v>
      </c>
      <c r="G900" s="945">
        <v>0</v>
      </c>
      <c r="H900" s="950">
        <v>0</v>
      </c>
      <c r="I900" s="951">
        <v>0.01</v>
      </c>
    </row>
    <row r="901" spans="1:9" s="946" customFormat="1" ht="33.75" customHeight="1" x14ac:dyDescent="0.25">
      <c r="B901" s="973">
        <v>27120</v>
      </c>
      <c r="C901" s="974">
        <v>333904700000000</v>
      </c>
      <c r="D901" s="973" t="s">
        <v>5845</v>
      </c>
      <c r="E901" s="954"/>
      <c r="F901" s="949">
        <v>1</v>
      </c>
      <c r="G901" s="945">
        <v>0</v>
      </c>
      <c r="H901" s="950">
        <v>0</v>
      </c>
      <c r="I901" s="951">
        <v>0.01</v>
      </c>
    </row>
    <row r="902" spans="1:9" ht="15" customHeight="1" x14ac:dyDescent="0.25">
      <c r="A902" s="958"/>
      <c r="B902" s="962" t="s">
        <v>3138</v>
      </c>
      <c r="C902" s="959">
        <v>26</v>
      </c>
      <c r="D902" s="962" t="s">
        <v>4098</v>
      </c>
      <c r="E902" s="954"/>
      <c r="F902" s="960"/>
      <c r="G902" s="958"/>
      <c r="H902" s="958"/>
      <c r="I902" s="961">
        <f>I903</f>
        <v>1334131.7266243289</v>
      </c>
    </row>
    <row r="903" spans="1:9" ht="15" customHeight="1" x14ac:dyDescent="0.25">
      <c r="A903" s="958"/>
      <c r="B903" s="962" t="s">
        <v>3139</v>
      </c>
      <c r="C903" s="959">
        <v>782</v>
      </c>
      <c r="D903" s="962" t="s">
        <v>4099</v>
      </c>
      <c r="E903" s="954"/>
      <c r="F903" s="960"/>
      <c r="G903" s="958"/>
      <c r="H903" s="958"/>
      <c r="I903" s="961">
        <f>I904</f>
        <v>1334131.7266243289</v>
      </c>
    </row>
    <row r="904" spans="1:9" ht="15" customHeight="1" x14ac:dyDescent="0.25">
      <c r="A904" s="958"/>
      <c r="B904" s="962" t="s">
        <v>3137</v>
      </c>
      <c r="C904" s="959">
        <v>4</v>
      </c>
      <c r="D904" s="962" t="s">
        <v>4097</v>
      </c>
      <c r="E904" s="954"/>
      <c r="F904" s="960"/>
      <c r="G904" s="958"/>
      <c r="H904" s="958"/>
      <c r="I904" s="961">
        <f>I905</f>
        <v>1334131.7266243289</v>
      </c>
    </row>
    <row r="905" spans="1:9" s="946" customFormat="1" ht="24.95" customHeight="1" x14ac:dyDescent="0.25">
      <c r="A905" s="958"/>
      <c r="B905" s="963" t="s">
        <v>2965</v>
      </c>
      <c r="C905" s="959">
        <v>3</v>
      </c>
      <c r="D905" s="963" t="s">
        <v>3744</v>
      </c>
      <c r="E905" s="954"/>
      <c r="F905" s="960"/>
      <c r="G905" s="963"/>
      <c r="H905" s="956"/>
      <c r="I905" s="957">
        <f>SUM(I906,I910,I912,I922,I925,I928,I929,I932,I938,I993,I1012,I1013,I1014,I1015,I1048,I1049,I1051,I1065,I1067,I1070,I1072,I1073,I1074,I1075,)</f>
        <v>1334131.7266243289</v>
      </c>
    </row>
    <row r="906" spans="1:9" s="946" customFormat="1" ht="24.95" customHeight="1" x14ac:dyDescent="0.25">
      <c r="A906" s="958"/>
      <c r="B906" s="963">
        <v>25000</v>
      </c>
      <c r="C906" s="964">
        <v>331900400000000</v>
      </c>
      <c r="D906" s="963" t="s">
        <v>3747</v>
      </c>
      <c r="E906" s="954"/>
      <c r="F906" s="960">
        <v>1</v>
      </c>
      <c r="G906" s="963">
        <v>0</v>
      </c>
      <c r="H906" s="958">
        <v>0</v>
      </c>
      <c r="I906" s="961">
        <f>SUM(I907,I908,I909)</f>
        <v>95929.576634866433</v>
      </c>
    </row>
    <row r="907" spans="1:9" ht="24.95" customHeight="1" x14ac:dyDescent="0.25">
      <c r="A907" s="972"/>
      <c r="B907" s="973" t="s">
        <v>3748</v>
      </c>
      <c r="C907" s="974">
        <v>331900499020000</v>
      </c>
      <c r="D907" s="973" t="s">
        <v>3075</v>
      </c>
      <c r="E907" s="948">
        <v>3.11210499E+16</v>
      </c>
      <c r="F907" s="975">
        <v>1</v>
      </c>
      <c r="G907" s="973">
        <v>0</v>
      </c>
      <c r="H907" s="972">
        <v>0</v>
      </c>
      <c r="I907" s="976">
        <f>PUCFD!E818</f>
        <v>79280.631846997057</v>
      </c>
    </row>
    <row r="908" spans="1:9" ht="24.95" customHeight="1" x14ac:dyDescent="0.25">
      <c r="A908" s="972"/>
      <c r="B908" s="973" t="s">
        <v>3749</v>
      </c>
      <c r="C908" s="974">
        <v>331900499050000</v>
      </c>
      <c r="D908" s="973" t="s">
        <v>2761</v>
      </c>
      <c r="E908" s="948">
        <v>3.11210102E+16</v>
      </c>
      <c r="F908" s="975">
        <v>1</v>
      </c>
      <c r="G908" s="973">
        <v>0</v>
      </c>
      <c r="H908" s="972">
        <v>0</v>
      </c>
      <c r="I908" s="976">
        <f>PUCFD!E819</f>
        <v>0.01</v>
      </c>
    </row>
    <row r="909" spans="1:9" ht="24.95" customHeight="1" x14ac:dyDescent="0.25">
      <c r="A909" s="972"/>
      <c r="B909" s="973" t="s">
        <v>3750</v>
      </c>
      <c r="C909" s="974">
        <v>331900415000000</v>
      </c>
      <c r="D909" s="973" t="s">
        <v>3751</v>
      </c>
      <c r="E909" s="948">
        <v>3.11210426E+16</v>
      </c>
      <c r="F909" s="975">
        <v>1</v>
      </c>
      <c r="G909" s="973">
        <v>0</v>
      </c>
      <c r="H909" s="972">
        <v>0</v>
      </c>
      <c r="I909" s="976">
        <f>SUM(I907,I908)*(PUCFD!E$92)</f>
        <v>16648.934787869381</v>
      </c>
    </row>
    <row r="910" spans="1:9" s="996" customFormat="1" ht="35.25" customHeight="1" x14ac:dyDescent="0.25">
      <c r="A910" s="981"/>
      <c r="B910" s="993">
        <v>25050</v>
      </c>
      <c r="C910" s="994">
        <v>331900800000000</v>
      </c>
      <c r="D910" s="993" t="s">
        <v>4261</v>
      </c>
      <c r="E910" s="984"/>
      <c r="F910" s="985">
        <v>1</v>
      </c>
      <c r="G910" s="993">
        <v>0</v>
      </c>
      <c r="H910" s="995"/>
      <c r="I910" s="986">
        <f>SUM(I911)</f>
        <v>32815.735446259569</v>
      </c>
    </row>
    <row r="911" spans="1:9" s="971" customFormat="1" ht="24.95" customHeight="1" x14ac:dyDescent="0.25">
      <c r="A911" s="965"/>
      <c r="B911" s="966" t="s">
        <v>4264</v>
      </c>
      <c r="C911" s="997">
        <v>319008990400000</v>
      </c>
      <c r="D911" s="966" t="s">
        <v>4234</v>
      </c>
      <c r="E911" s="968"/>
      <c r="F911" s="969"/>
      <c r="G911" s="966">
        <v>1</v>
      </c>
      <c r="H911" s="998"/>
      <c r="I911" s="970">
        <f>SUM(I913,I914,I915,I916,I918,I919,I926,I928,)*PUCFD!E$94</f>
        <v>32815.735446259569</v>
      </c>
    </row>
    <row r="912" spans="1:9" s="946" customFormat="1" ht="36" customHeight="1" x14ac:dyDescent="0.25">
      <c r="A912" s="958"/>
      <c r="B912" s="963">
        <v>25100</v>
      </c>
      <c r="C912" s="964">
        <v>331901100000000</v>
      </c>
      <c r="D912" s="963" t="s">
        <v>3754</v>
      </c>
      <c r="E912" s="954"/>
      <c r="F912" s="960">
        <v>1</v>
      </c>
      <c r="G912" s="963">
        <v>0</v>
      </c>
      <c r="H912" s="958">
        <v>0</v>
      </c>
      <c r="I912" s="961">
        <f>SUM(I913,I914,I915,I916,I917,I918,I919,I920,I921)-30000</f>
        <v>349196.49536305148</v>
      </c>
    </row>
    <row r="913" spans="1:9" ht="24.95" customHeight="1" x14ac:dyDescent="0.25">
      <c r="A913" s="972"/>
      <c r="B913" s="973" t="s">
        <v>3755</v>
      </c>
      <c r="C913" s="974">
        <v>331901137000000</v>
      </c>
      <c r="D913" s="973" t="s">
        <v>3411</v>
      </c>
      <c r="E913" s="948">
        <v>3.11210118E+16</v>
      </c>
      <c r="F913" s="975">
        <v>1</v>
      </c>
      <c r="G913" s="973">
        <v>0</v>
      </c>
      <c r="H913" s="972">
        <v>0</v>
      </c>
      <c r="I913" s="976">
        <f>PUCFD!E823*(1+PUCFD!E$87)</f>
        <v>20390.208186727221</v>
      </c>
    </row>
    <row r="914" spans="1:9" ht="24.95" customHeight="1" x14ac:dyDescent="0.25">
      <c r="A914" s="972"/>
      <c r="B914" s="973" t="s">
        <v>3756</v>
      </c>
      <c r="C914" s="974">
        <v>331901145000000</v>
      </c>
      <c r="D914" s="973" t="s">
        <v>3407</v>
      </c>
      <c r="E914" s="948">
        <v>0</v>
      </c>
      <c r="F914" s="975">
        <v>1</v>
      </c>
      <c r="G914" s="973">
        <v>0</v>
      </c>
      <c r="H914" s="972">
        <v>0</v>
      </c>
      <c r="I914" s="976">
        <f>PUCFD!E824*(1+PUCFD!E$87)</f>
        <v>6345.4701741390763</v>
      </c>
    </row>
    <row r="915" spans="1:9" ht="24.95" customHeight="1" x14ac:dyDescent="0.25">
      <c r="A915" s="972"/>
      <c r="B915" s="973" t="s">
        <v>3757</v>
      </c>
      <c r="C915" s="974">
        <v>331901101010000</v>
      </c>
      <c r="D915" s="973" t="s">
        <v>3413</v>
      </c>
      <c r="E915" s="948">
        <v>3.11210101E+16</v>
      </c>
      <c r="F915" s="975">
        <v>1</v>
      </c>
      <c r="G915" s="973">
        <v>0</v>
      </c>
      <c r="H915" s="972">
        <v>0</v>
      </c>
      <c r="I915" s="976">
        <f>PUCFD!E825*(1+PUCFD!E$87)</f>
        <v>202149.59298143405</v>
      </c>
    </row>
    <row r="916" spans="1:9" ht="24.95" customHeight="1" x14ac:dyDescent="0.25">
      <c r="A916" s="972"/>
      <c r="B916" s="973" t="s">
        <v>3758</v>
      </c>
      <c r="C916" s="974">
        <v>331901101050000</v>
      </c>
      <c r="D916" s="973" t="s">
        <v>3532</v>
      </c>
      <c r="E916" s="948">
        <v>3.11210101E+16</v>
      </c>
      <c r="F916" s="975">
        <v>1</v>
      </c>
      <c r="G916" s="973">
        <v>0</v>
      </c>
      <c r="H916" s="972">
        <v>0</v>
      </c>
      <c r="I916" s="976">
        <f>PUCFD!E826*(1+PUCFD!E$87)</f>
        <v>3116.364908108143</v>
      </c>
    </row>
    <row r="917" spans="1:9" ht="24.95" customHeight="1" x14ac:dyDescent="0.25">
      <c r="A917" s="972"/>
      <c r="B917" s="973" t="s">
        <v>3759</v>
      </c>
      <c r="C917" s="974">
        <v>331901101010000</v>
      </c>
      <c r="D917" s="973" t="s">
        <v>2973</v>
      </c>
      <c r="E917" s="948">
        <v>3.11210101E+16</v>
      </c>
      <c r="F917" s="975">
        <v>1</v>
      </c>
      <c r="G917" s="973">
        <v>0</v>
      </c>
      <c r="H917" s="972">
        <v>0</v>
      </c>
      <c r="I917" s="976">
        <f>PUCFD!E827*(1+PUCFD!E$87)</f>
        <v>99892.244488519835</v>
      </c>
    </row>
    <row r="918" spans="1:9" ht="24.95" customHeight="1" x14ac:dyDescent="0.25">
      <c r="A918" s="972"/>
      <c r="B918" s="973" t="s">
        <v>3760</v>
      </c>
      <c r="C918" s="974">
        <v>331901133000000</v>
      </c>
      <c r="D918" s="973" t="s">
        <v>2740</v>
      </c>
      <c r="E918" s="948">
        <v>3.11210118E+16</v>
      </c>
      <c r="F918" s="975">
        <v>1</v>
      </c>
      <c r="G918" s="973">
        <v>0</v>
      </c>
      <c r="H918" s="972">
        <v>0</v>
      </c>
      <c r="I918" s="976">
        <f>PUCFD!E828*(1+PUCFD!E$87)</f>
        <v>26287.333287572699</v>
      </c>
    </row>
    <row r="919" spans="1:9" ht="24.95" customHeight="1" x14ac:dyDescent="0.25">
      <c r="A919" s="972"/>
      <c r="B919" s="973" t="s">
        <v>3761</v>
      </c>
      <c r="C919" s="974">
        <v>331901104000000</v>
      </c>
      <c r="D919" s="973" t="s">
        <v>2761</v>
      </c>
      <c r="E919" s="948">
        <v>3.11210102E+16</v>
      </c>
      <c r="F919" s="975">
        <v>1</v>
      </c>
      <c r="G919" s="973">
        <v>0</v>
      </c>
      <c r="H919" s="972">
        <v>0</v>
      </c>
      <c r="I919" s="976">
        <f>PUCFD!E829*(1+PUCFD!E$87)</f>
        <v>2173.5848015273637</v>
      </c>
    </row>
    <row r="920" spans="1:9" ht="24.95" customHeight="1" x14ac:dyDescent="0.25">
      <c r="A920" s="972"/>
      <c r="B920" s="973" t="s">
        <v>3762</v>
      </c>
      <c r="C920" s="974">
        <v>331901143010000</v>
      </c>
      <c r="D920" s="973" t="s">
        <v>3763</v>
      </c>
      <c r="E920" s="948">
        <v>0</v>
      </c>
      <c r="F920" s="975">
        <v>1</v>
      </c>
      <c r="G920" s="973">
        <v>0</v>
      </c>
      <c r="H920" s="972">
        <v>0</v>
      </c>
      <c r="I920" s="976">
        <f>PUCFD!E830*(1+PUCFD!E$87)</f>
        <v>16845.799415119505</v>
      </c>
    </row>
    <row r="921" spans="1:9" ht="24.95" customHeight="1" x14ac:dyDescent="0.25">
      <c r="A921" s="972"/>
      <c r="B921" s="973" t="s">
        <v>3764</v>
      </c>
      <c r="C921" s="974">
        <v>331901145000000</v>
      </c>
      <c r="D921" s="973" t="s">
        <v>2977</v>
      </c>
      <c r="E921" s="948">
        <v>0</v>
      </c>
      <c r="F921" s="975">
        <v>1</v>
      </c>
      <c r="G921" s="973">
        <v>0</v>
      </c>
      <c r="H921" s="972">
        <v>0</v>
      </c>
      <c r="I921" s="976">
        <f>PUCFD!E831*(1+PUCFD!E$87)</f>
        <v>1995.8971199035491</v>
      </c>
    </row>
    <row r="922" spans="1:9" s="946" customFormat="1" ht="24.95" customHeight="1" x14ac:dyDescent="0.25">
      <c r="A922" s="958"/>
      <c r="B922" s="963">
        <v>25200</v>
      </c>
      <c r="C922" s="964">
        <v>331901300000000</v>
      </c>
      <c r="D922" s="963" t="s">
        <v>3767</v>
      </c>
      <c r="E922" s="954"/>
      <c r="F922" s="960">
        <v>1</v>
      </c>
      <c r="G922" s="963">
        <v>0</v>
      </c>
      <c r="H922" s="958">
        <v>0</v>
      </c>
      <c r="I922" s="961">
        <f>SUM(I912+I925+I928)*PUCFD!E$92</f>
        <v>81428.399424115574</v>
      </c>
    </row>
    <row r="923" spans="1:9" ht="24.95" customHeight="1" x14ac:dyDescent="0.25">
      <c r="A923" s="972"/>
      <c r="B923" s="973" t="s">
        <v>3768</v>
      </c>
      <c r="C923" s="974">
        <v>331901302010000</v>
      </c>
      <c r="D923" s="973" t="s">
        <v>3674</v>
      </c>
      <c r="E923" s="948">
        <v>312210100000000</v>
      </c>
      <c r="F923" s="975">
        <v>1</v>
      </c>
      <c r="G923" s="973">
        <v>0</v>
      </c>
      <c r="H923" s="972">
        <v>0</v>
      </c>
      <c r="I923" s="976">
        <v>0</v>
      </c>
    </row>
    <row r="924" spans="1:9" ht="24.95" customHeight="1" x14ac:dyDescent="0.25">
      <c r="A924" s="972"/>
      <c r="B924" s="973" t="s">
        <v>3769</v>
      </c>
      <c r="C924" s="974">
        <v>331901302010000</v>
      </c>
      <c r="D924" s="973" t="s">
        <v>3672</v>
      </c>
      <c r="E924" s="948">
        <v>312210100000000</v>
      </c>
      <c r="F924" s="975">
        <v>1</v>
      </c>
      <c r="G924" s="973">
        <v>0</v>
      </c>
      <c r="H924" s="972">
        <v>0</v>
      </c>
      <c r="I924" s="976">
        <v>0</v>
      </c>
    </row>
    <row r="925" spans="1:9" s="946" customFormat="1" ht="24.95" customHeight="1" x14ac:dyDescent="0.25">
      <c r="A925" s="958"/>
      <c r="B925" s="963">
        <v>25300</v>
      </c>
      <c r="C925" s="964">
        <v>331901600000000</v>
      </c>
      <c r="D925" s="963" t="s">
        <v>3772</v>
      </c>
      <c r="E925" s="954"/>
      <c r="F925" s="960"/>
      <c r="G925" s="999"/>
      <c r="H925" s="956"/>
      <c r="I925" s="957">
        <f>SUM(I926,I927)-20000</f>
        <v>38557.777608927441</v>
      </c>
    </row>
    <row r="926" spans="1:9" ht="24.95" customHeight="1" x14ac:dyDescent="0.25">
      <c r="A926" s="972"/>
      <c r="B926" s="973" t="s">
        <v>3773</v>
      </c>
      <c r="C926" s="974">
        <v>331901644000000</v>
      </c>
      <c r="D926" s="973" t="s">
        <v>3433</v>
      </c>
      <c r="E926" s="948">
        <v>311210203000000</v>
      </c>
      <c r="F926" s="975">
        <v>1</v>
      </c>
      <c r="G926" s="973">
        <v>0</v>
      </c>
      <c r="H926" s="972">
        <v>0</v>
      </c>
      <c r="I926" s="976">
        <f>PUCFD!E836*(1+PUCFD!E$87)</f>
        <v>23902.560844716518</v>
      </c>
    </row>
    <row r="927" spans="1:9" ht="24.95" customHeight="1" x14ac:dyDescent="0.25">
      <c r="A927" s="972"/>
      <c r="B927" s="973" t="s">
        <v>3774</v>
      </c>
      <c r="C927" s="974">
        <v>331901644000000</v>
      </c>
      <c r="D927" s="973" t="s">
        <v>3431</v>
      </c>
      <c r="E927" s="948">
        <v>311210203000000</v>
      </c>
      <c r="F927" s="975">
        <v>1</v>
      </c>
      <c r="G927" s="973">
        <v>0</v>
      </c>
      <c r="H927" s="972">
        <v>0</v>
      </c>
      <c r="I927" s="976">
        <f>PUCFD!E837*(1+PUCFD!E$87)</f>
        <v>34655.216764210927</v>
      </c>
    </row>
    <row r="928" spans="1:9" s="946" customFormat="1" ht="24.95" customHeight="1" x14ac:dyDescent="0.25">
      <c r="A928" s="958"/>
      <c r="B928" s="963">
        <v>25350</v>
      </c>
      <c r="C928" s="964">
        <v>331903400000000</v>
      </c>
      <c r="D928" s="963" t="s">
        <v>3775</v>
      </c>
      <c r="E928" s="954"/>
      <c r="F928" s="960">
        <v>1</v>
      </c>
      <c r="G928" s="963">
        <v>0</v>
      </c>
      <c r="H928" s="958">
        <v>0</v>
      </c>
      <c r="I928" s="961">
        <f>PUCFD!E838</f>
        <v>0.01</v>
      </c>
    </row>
    <row r="929" spans="1:9" s="946" customFormat="1" ht="24.95" customHeight="1" x14ac:dyDescent="0.25">
      <c r="A929" s="958"/>
      <c r="B929" s="963">
        <v>25400</v>
      </c>
      <c r="C929" s="964">
        <v>331909400000000</v>
      </c>
      <c r="D929" s="963" t="s">
        <v>3778</v>
      </c>
      <c r="E929" s="954"/>
      <c r="F929" s="960">
        <v>1</v>
      </c>
      <c r="G929" s="963">
        <v>0</v>
      </c>
      <c r="H929" s="958">
        <v>0</v>
      </c>
      <c r="I929" s="961">
        <f>SUM(I930,I931)</f>
        <v>9249.3238966122317</v>
      </c>
    </row>
    <row r="930" spans="1:9" ht="24.95" customHeight="1" x14ac:dyDescent="0.25">
      <c r="A930" s="972"/>
      <c r="B930" s="973" t="s">
        <v>3779</v>
      </c>
      <c r="C930" s="974">
        <v>331909401030000</v>
      </c>
      <c r="D930" s="973" t="s">
        <v>3780</v>
      </c>
      <c r="E930" s="948">
        <v>0</v>
      </c>
      <c r="F930" s="975">
        <v>1</v>
      </c>
      <c r="G930" s="973">
        <v>0</v>
      </c>
      <c r="H930" s="972">
        <v>0</v>
      </c>
      <c r="I930" s="976">
        <f>SUM(PUCFD!E840,PUCFD!E821)*(1+PUCFD!E$87)</f>
        <v>6936.9876725182912</v>
      </c>
    </row>
    <row r="931" spans="1:9" ht="24.95" customHeight="1" x14ac:dyDescent="0.25">
      <c r="A931" s="972"/>
      <c r="B931" s="973" t="s">
        <v>3781</v>
      </c>
      <c r="C931" s="974">
        <v>331909401030000</v>
      </c>
      <c r="D931" s="973" t="s">
        <v>3782</v>
      </c>
      <c r="E931" s="948">
        <v>0</v>
      </c>
      <c r="F931" s="975">
        <v>1</v>
      </c>
      <c r="G931" s="973">
        <v>0</v>
      </c>
      <c r="H931" s="972">
        <v>0</v>
      </c>
      <c r="I931" s="976">
        <f>SUM(PUCFD!E841,PUCFD!E820)*(1+PUCFD!E$87)</f>
        <v>2312.3362240939409</v>
      </c>
    </row>
    <row r="932" spans="1:9" s="946" customFormat="1" ht="24.95" customHeight="1" x14ac:dyDescent="0.25">
      <c r="A932" s="958"/>
      <c r="B932" s="963">
        <v>25500</v>
      </c>
      <c r="C932" s="964">
        <v>333901400000000</v>
      </c>
      <c r="D932" s="963" t="s">
        <v>3787</v>
      </c>
      <c r="E932" s="954"/>
      <c r="F932" s="960">
        <v>1</v>
      </c>
      <c r="G932" s="963">
        <v>0</v>
      </c>
      <c r="H932" s="958">
        <v>0</v>
      </c>
      <c r="I932" s="961">
        <f>((PUCFD!E842)*(1+PUCFD!E$85))*(1+PUCFD!E$86)</f>
        <v>2597.5361363329171</v>
      </c>
    </row>
    <row r="933" spans="1:9" ht="24.95" customHeight="1" x14ac:dyDescent="0.25">
      <c r="A933" s="972"/>
      <c r="B933" s="973" t="s">
        <v>3788</v>
      </c>
      <c r="C933" s="974">
        <v>333901414080000</v>
      </c>
      <c r="D933" s="973" t="s">
        <v>3789</v>
      </c>
      <c r="E933" s="948">
        <v>332110100000000</v>
      </c>
      <c r="F933" s="975">
        <v>1</v>
      </c>
      <c r="G933" s="973">
        <v>0</v>
      </c>
      <c r="H933" s="972">
        <v>0</v>
      </c>
      <c r="I933" s="976">
        <v>0</v>
      </c>
    </row>
    <row r="934" spans="1:9" ht="24.95" customHeight="1" x14ac:dyDescent="0.25">
      <c r="A934" s="972"/>
      <c r="B934" s="973" t="s">
        <v>3790</v>
      </c>
      <c r="C934" s="974">
        <v>333901414080000</v>
      </c>
      <c r="D934" s="973" t="s">
        <v>3791</v>
      </c>
      <c r="E934" s="948">
        <v>332110100000000</v>
      </c>
      <c r="F934" s="975">
        <v>1</v>
      </c>
      <c r="G934" s="973">
        <v>0</v>
      </c>
      <c r="H934" s="972">
        <v>0</v>
      </c>
      <c r="I934" s="976">
        <v>0</v>
      </c>
    </row>
    <row r="935" spans="1:9" ht="24.95" customHeight="1" x14ac:dyDescent="0.25">
      <c r="A935" s="972"/>
      <c r="B935" s="973" t="s">
        <v>4257</v>
      </c>
      <c r="C935" s="974">
        <v>333901414030000</v>
      </c>
      <c r="D935" s="973" t="s">
        <v>3286</v>
      </c>
      <c r="E935" s="948">
        <v>332110100000000</v>
      </c>
      <c r="F935" s="975">
        <v>1</v>
      </c>
      <c r="G935" s="973">
        <v>0</v>
      </c>
      <c r="I935" s="976">
        <v>0</v>
      </c>
    </row>
    <row r="936" spans="1:9" ht="24.95" customHeight="1" x14ac:dyDescent="0.25">
      <c r="A936" s="972"/>
      <c r="B936" s="973" t="s">
        <v>4258</v>
      </c>
      <c r="C936" s="974">
        <v>333901414020000</v>
      </c>
      <c r="D936" s="973" t="s">
        <v>3290</v>
      </c>
      <c r="E936" s="948">
        <v>332110100000000</v>
      </c>
      <c r="F936" s="975">
        <v>1</v>
      </c>
      <c r="G936" s="973">
        <v>0</v>
      </c>
      <c r="I936" s="976">
        <v>0</v>
      </c>
    </row>
    <row r="937" spans="1:9" ht="24.95" customHeight="1" x14ac:dyDescent="0.25">
      <c r="A937" s="972"/>
      <c r="B937" s="973" t="s">
        <v>4259</v>
      </c>
      <c r="C937" s="974">
        <v>333901414010000</v>
      </c>
      <c r="D937" s="973" t="s">
        <v>3288</v>
      </c>
      <c r="E937" s="948">
        <v>332110100000000</v>
      </c>
      <c r="F937" s="975">
        <v>1</v>
      </c>
      <c r="G937" s="973">
        <v>0</v>
      </c>
      <c r="I937" s="976">
        <v>0</v>
      </c>
    </row>
    <row r="938" spans="1:9" s="946" customFormat="1" ht="24.95" customHeight="1" x14ac:dyDescent="0.25">
      <c r="A938" s="958"/>
      <c r="B938" s="963">
        <v>25600</v>
      </c>
      <c r="C938" s="964">
        <v>333903000000000</v>
      </c>
      <c r="D938" s="963" t="s">
        <v>3807</v>
      </c>
      <c r="E938" s="954"/>
      <c r="F938" s="960">
        <v>1</v>
      </c>
      <c r="G938" s="963">
        <v>0</v>
      </c>
      <c r="H938" s="958">
        <v>0</v>
      </c>
      <c r="I938" s="961">
        <f>((PUCFD!E848)*(1+PUCFD!E$10))*(1+PUCFD!E$16)*(1+PUCFD!E18)*(1+PUCFD!E19)+(1+PUCFD!E20)*(1+PUCFD!E21)-600000-50000+300000</f>
        <v>452293.00139073352</v>
      </c>
    </row>
    <row r="939" spans="1:9" ht="24.95" customHeight="1" x14ac:dyDescent="0.25">
      <c r="A939" s="972"/>
      <c r="B939" s="973" t="s">
        <v>3808</v>
      </c>
      <c r="C939" s="974">
        <v>333903039340000</v>
      </c>
      <c r="D939" s="973" t="s">
        <v>3809</v>
      </c>
      <c r="E939" s="948">
        <v>331113900000000</v>
      </c>
      <c r="F939" s="975">
        <v>1</v>
      </c>
      <c r="G939" s="973">
        <v>0</v>
      </c>
      <c r="H939" s="972">
        <v>0</v>
      </c>
      <c r="I939" s="976">
        <v>0</v>
      </c>
    </row>
    <row r="940" spans="1:9" ht="24.95" customHeight="1" x14ac:dyDescent="0.25">
      <c r="A940" s="972"/>
      <c r="B940" s="973" t="s">
        <v>3810</v>
      </c>
      <c r="C940" s="974">
        <v>333903001030800</v>
      </c>
      <c r="D940" s="973" t="s">
        <v>3811</v>
      </c>
      <c r="E940" s="948">
        <v>331110100000000</v>
      </c>
      <c r="F940" s="975">
        <v>1</v>
      </c>
      <c r="G940" s="973">
        <v>0</v>
      </c>
      <c r="H940" s="972">
        <v>0</v>
      </c>
      <c r="I940" s="976">
        <v>0</v>
      </c>
    </row>
    <row r="941" spans="1:9" ht="24.95" customHeight="1" x14ac:dyDescent="0.25">
      <c r="A941" s="972"/>
      <c r="B941" s="973" t="s">
        <v>3812</v>
      </c>
      <c r="C941" s="974">
        <v>333903039220000</v>
      </c>
      <c r="D941" s="973" t="s">
        <v>3813</v>
      </c>
      <c r="E941" s="948">
        <v>331113900000000</v>
      </c>
      <c r="F941" s="975">
        <v>1</v>
      </c>
      <c r="G941" s="973">
        <v>0</v>
      </c>
      <c r="H941" s="972">
        <v>0</v>
      </c>
      <c r="I941" s="976">
        <v>0</v>
      </c>
    </row>
    <row r="942" spans="1:9" ht="24.95" customHeight="1" x14ac:dyDescent="0.25">
      <c r="A942" s="972"/>
      <c r="B942" s="973" t="s">
        <v>3814</v>
      </c>
      <c r="C942" s="974">
        <v>333903039240000</v>
      </c>
      <c r="D942" s="973" t="s">
        <v>3815</v>
      </c>
      <c r="E942" s="948">
        <v>331113900000000</v>
      </c>
      <c r="F942" s="975">
        <v>1</v>
      </c>
      <c r="G942" s="973">
        <v>0</v>
      </c>
      <c r="H942" s="972">
        <v>0</v>
      </c>
      <c r="I942" s="976">
        <v>0</v>
      </c>
    </row>
    <row r="943" spans="1:9" ht="24.95" customHeight="1" x14ac:dyDescent="0.25">
      <c r="A943" s="972"/>
      <c r="B943" s="973" t="s">
        <v>3816</v>
      </c>
      <c r="C943" s="974">
        <v>333903039160000</v>
      </c>
      <c r="D943" s="973" t="s">
        <v>3817</v>
      </c>
      <c r="E943" s="948">
        <v>331113900000000</v>
      </c>
      <c r="F943" s="975">
        <v>1</v>
      </c>
      <c r="G943" s="973">
        <v>0</v>
      </c>
      <c r="H943" s="972">
        <v>0</v>
      </c>
      <c r="I943" s="976">
        <v>0</v>
      </c>
    </row>
    <row r="944" spans="1:9" ht="24.95" customHeight="1" x14ac:dyDescent="0.25">
      <c r="A944" s="972"/>
      <c r="B944" s="973" t="s">
        <v>3818</v>
      </c>
      <c r="C944" s="974">
        <v>333903039230000</v>
      </c>
      <c r="D944" s="973" t="s">
        <v>3819</v>
      </c>
      <c r="E944" s="948">
        <v>331113900000000</v>
      </c>
      <c r="F944" s="975">
        <v>1</v>
      </c>
      <c r="G944" s="973">
        <v>0</v>
      </c>
      <c r="H944" s="972">
        <v>0</v>
      </c>
      <c r="I944" s="976">
        <v>0</v>
      </c>
    </row>
    <row r="945" spans="1:9" ht="24.95" customHeight="1" x14ac:dyDescent="0.25">
      <c r="A945" s="972"/>
      <c r="B945" s="973" t="s">
        <v>3820</v>
      </c>
      <c r="C945" s="974">
        <v>333903039170000</v>
      </c>
      <c r="D945" s="973" t="s">
        <v>3821</v>
      </c>
      <c r="E945" s="948">
        <v>331113900000000</v>
      </c>
      <c r="F945" s="975">
        <v>1</v>
      </c>
      <c r="G945" s="973">
        <v>0</v>
      </c>
      <c r="H945" s="972">
        <v>0</v>
      </c>
      <c r="I945" s="976">
        <v>0</v>
      </c>
    </row>
    <row r="946" spans="1:9" ht="24.95" customHeight="1" x14ac:dyDescent="0.25">
      <c r="A946" s="972"/>
      <c r="B946" s="973" t="s">
        <v>3822</v>
      </c>
      <c r="C946" s="974">
        <v>333903039350000</v>
      </c>
      <c r="D946" s="973" t="s">
        <v>3823</v>
      </c>
      <c r="E946" s="948">
        <v>331113900000000</v>
      </c>
      <c r="F946" s="975">
        <v>1</v>
      </c>
      <c r="G946" s="973">
        <v>0</v>
      </c>
      <c r="H946" s="972">
        <v>0</v>
      </c>
      <c r="I946" s="976">
        <v>0</v>
      </c>
    </row>
    <row r="947" spans="1:9" ht="24.95" customHeight="1" x14ac:dyDescent="0.25">
      <c r="A947" s="972"/>
      <c r="B947" s="973" t="s">
        <v>3824</v>
      </c>
      <c r="C947" s="974">
        <v>333903039180000</v>
      </c>
      <c r="D947" s="973" t="s">
        <v>3825</v>
      </c>
      <c r="E947" s="948">
        <v>331113900000000</v>
      </c>
      <c r="F947" s="975">
        <v>1</v>
      </c>
      <c r="G947" s="973">
        <v>0</v>
      </c>
      <c r="H947" s="972">
        <v>0</v>
      </c>
      <c r="I947" s="976">
        <v>0</v>
      </c>
    </row>
    <row r="948" spans="1:9" ht="24.95" customHeight="1" x14ac:dyDescent="0.25">
      <c r="A948" s="972"/>
      <c r="B948" s="973" t="s">
        <v>3826</v>
      </c>
      <c r="C948" s="974">
        <v>333903039210000</v>
      </c>
      <c r="D948" s="973" t="s">
        <v>3827</v>
      </c>
      <c r="E948" s="948">
        <v>331113900000000</v>
      </c>
      <c r="F948" s="975">
        <v>1</v>
      </c>
      <c r="G948" s="973">
        <v>0</v>
      </c>
      <c r="H948" s="972">
        <v>0</v>
      </c>
      <c r="I948" s="976">
        <v>0</v>
      </c>
    </row>
    <row r="949" spans="1:9" ht="24.95" customHeight="1" x14ac:dyDescent="0.25">
      <c r="A949" s="972"/>
      <c r="B949" s="973" t="s">
        <v>3828</v>
      </c>
      <c r="C949" s="974">
        <v>333903054000000</v>
      </c>
      <c r="D949" s="973" t="s">
        <v>3829</v>
      </c>
      <c r="E949" s="948">
        <v>0</v>
      </c>
      <c r="F949" s="975">
        <v>1</v>
      </c>
      <c r="G949" s="973">
        <v>0</v>
      </c>
      <c r="H949" s="972">
        <v>0</v>
      </c>
      <c r="I949" s="976">
        <v>0</v>
      </c>
    </row>
    <row r="950" spans="1:9" ht="24.95" customHeight="1" x14ac:dyDescent="0.25">
      <c r="A950" s="972"/>
      <c r="B950" s="973" t="s">
        <v>3830</v>
      </c>
      <c r="C950" s="974">
        <v>333903054000000</v>
      </c>
      <c r="D950" s="973" t="s">
        <v>3831</v>
      </c>
      <c r="E950" s="948">
        <v>0</v>
      </c>
      <c r="F950" s="975">
        <v>1</v>
      </c>
      <c r="G950" s="973">
        <v>0</v>
      </c>
      <c r="H950" s="972">
        <v>0</v>
      </c>
      <c r="I950" s="976">
        <v>0</v>
      </c>
    </row>
    <row r="951" spans="1:9" ht="24.95" customHeight="1" x14ac:dyDescent="0.25">
      <c r="A951" s="972"/>
      <c r="B951" s="973" t="s">
        <v>3832</v>
      </c>
      <c r="C951" s="974">
        <v>333903054000000</v>
      </c>
      <c r="D951" s="973" t="s">
        <v>3833</v>
      </c>
      <c r="E951" s="948">
        <v>0</v>
      </c>
      <c r="F951" s="975">
        <v>1</v>
      </c>
      <c r="G951" s="973">
        <v>0</v>
      </c>
      <c r="H951" s="972">
        <v>0</v>
      </c>
      <c r="I951" s="976">
        <v>0</v>
      </c>
    </row>
    <row r="952" spans="1:9" s="971" customFormat="1" ht="24.95" customHeight="1" x14ac:dyDescent="0.25">
      <c r="A952" s="965"/>
      <c r="B952" s="966" t="s">
        <v>3834</v>
      </c>
      <c r="C952" s="967">
        <v>333903001031600</v>
      </c>
      <c r="D952" s="966" t="s">
        <v>3835</v>
      </c>
      <c r="E952" s="968">
        <v>331110100000000</v>
      </c>
      <c r="F952" s="969">
        <v>1</v>
      </c>
      <c r="G952" s="966">
        <v>0</v>
      </c>
      <c r="H952" s="965">
        <v>0</v>
      </c>
      <c r="I952" s="976">
        <v>0</v>
      </c>
    </row>
    <row r="953" spans="1:9" ht="24.95" customHeight="1" x14ac:dyDescent="0.25">
      <c r="A953" s="972"/>
      <c r="B953" s="973" t="s">
        <v>3836</v>
      </c>
      <c r="C953" s="974">
        <v>333903025060000</v>
      </c>
      <c r="D953" s="973" t="s">
        <v>3837</v>
      </c>
      <c r="E953" s="948">
        <v>331113900000000</v>
      </c>
      <c r="F953" s="975">
        <v>1</v>
      </c>
      <c r="G953" s="973">
        <v>0</v>
      </c>
      <c r="H953" s="972">
        <v>0</v>
      </c>
      <c r="I953" s="976">
        <v>0</v>
      </c>
    </row>
    <row r="954" spans="1:9" ht="24.95" customHeight="1" x14ac:dyDescent="0.25">
      <c r="A954" s="972"/>
      <c r="B954" s="973" t="s">
        <v>3838</v>
      </c>
      <c r="C954" s="974">
        <v>333903001011000</v>
      </c>
      <c r="D954" s="973" t="s">
        <v>3839</v>
      </c>
      <c r="E954" s="948">
        <v>331110100000000</v>
      </c>
      <c r="F954" s="975">
        <v>1</v>
      </c>
      <c r="G954" s="973">
        <v>0</v>
      </c>
      <c r="H954" s="972">
        <v>0</v>
      </c>
      <c r="I954" s="976">
        <v>0</v>
      </c>
    </row>
    <row r="955" spans="1:9" ht="24.95" customHeight="1" x14ac:dyDescent="0.25">
      <c r="A955" s="972"/>
      <c r="B955" s="973" t="s">
        <v>3840</v>
      </c>
      <c r="C955" s="974">
        <v>333903001020600</v>
      </c>
      <c r="D955" s="973" t="s">
        <v>3841</v>
      </c>
      <c r="E955" s="948">
        <v>331110100000000</v>
      </c>
      <c r="F955" s="975">
        <v>1</v>
      </c>
      <c r="G955" s="973">
        <v>0</v>
      </c>
      <c r="H955" s="972">
        <v>0</v>
      </c>
      <c r="I955" s="976">
        <v>0</v>
      </c>
    </row>
    <row r="956" spans="1:9" ht="24.95" customHeight="1" x14ac:dyDescent="0.25">
      <c r="A956" s="972"/>
      <c r="B956" s="973" t="s">
        <v>3842</v>
      </c>
      <c r="C956" s="974">
        <v>333903001020700</v>
      </c>
      <c r="D956" s="973" t="s">
        <v>3843</v>
      </c>
      <c r="E956" s="948">
        <v>331110100000000</v>
      </c>
      <c r="F956" s="975">
        <v>1</v>
      </c>
      <c r="G956" s="973">
        <v>0</v>
      </c>
      <c r="H956" s="972">
        <v>0</v>
      </c>
      <c r="I956" s="976">
        <v>0</v>
      </c>
    </row>
    <row r="957" spans="1:9" ht="24.95" customHeight="1" x14ac:dyDescent="0.25">
      <c r="A957" s="972"/>
      <c r="B957" s="973" t="s">
        <v>3844</v>
      </c>
      <c r="C957" s="974">
        <v>333903001023200</v>
      </c>
      <c r="D957" s="973" t="s">
        <v>3845</v>
      </c>
      <c r="E957" s="948">
        <v>331110100000000</v>
      </c>
      <c r="F957" s="975">
        <v>1</v>
      </c>
      <c r="G957" s="973">
        <v>0</v>
      </c>
      <c r="H957" s="972">
        <v>0</v>
      </c>
      <c r="I957" s="976">
        <v>0</v>
      </c>
    </row>
    <row r="958" spans="1:9" ht="24.95" customHeight="1" x14ac:dyDescent="0.25">
      <c r="A958" s="972"/>
      <c r="B958" s="973" t="s">
        <v>3846</v>
      </c>
      <c r="C958" s="974">
        <v>333903001012600</v>
      </c>
      <c r="D958" s="973" t="s">
        <v>3847</v>
      </c>
      <c r="E958" s="948">
        <v>331110100000000</v>
      </c>
      <c r="F958" s="975">
        <v>1</v>
      </c>
      <c r="G958" s="973">
        <v>0</v>
      </c>
      <c r="H958" s="972">
        <v>0</v>
      </c>
      <c r="I958" s="976">
        <v>0</v>
      </c>
    </row>
    <row r="959" spans="1:9" ht="24.95" customHeight="1" x14ac:dyDescent="0.25">
      <c r="A959" s="972"/>
      <c r="B959" s="973" t="s">
        <v>3848</v>
      </c>
      <c r="C959" s="974">
        <v>333903001012200</v>
      </c>
      <c r="D959" s="973" t="s">
        <v>3849</v>
      </c>
      <c r="E959" s="948">
        <v>331110100000000</v>
      </c>
      <c r="F959" s="975">
        <v>1</v>
      </c>
      <c r="G959" s="973">
        <v>0</v>
      </c>
      <c r="H959" s="972">
        <v>0</v>
      </c>
      <c r="I959" s="976">
        <v>0</v>
      </c>
    </row>
    <row r="960" spans="1:9" ht="24.95" customHeight="1" x14ac:dyDescent="0.25">
      <c r="A960" s="972"/>
      <c r="B960" s="973" t="s">
        <v>3850</v>
      </c>
      <c r="C960" s="974">
        <v>333903001021200</v>
      </c>
      <c r="D960" s="973" t="s">
        <v>3851</v>
      </c>
      <c r="E960" s="948">
        <v>331110100000000</v>
      </c>
      <c r="F960" s="975">
        <v>1</v>
      </c>
      <c r="G960" s="973">
        <v>0</v>
      </c>
      <c r="H960" s="972">
        <v>0</v>
      </c>
      <c r="I960" s="976">
        <v>0</v>
      </c>
    </row>
    <row r="961" spans="1:9" ht="24.95" customHeight="1" x14ac:dyDescent="0.25">
      <c r="A961" s="972"/>
      <c r="B961" s="973" t="s">
        <v>3852</v>
      </c>
      <c r="C961" s="974">
        <v>333903001021100</v>
      </c>
      <c r="D961" s="973" t="s">
        <v>3853</v>
      </c>
      <c r="E961" s="948">
        <v>331110100000000</v>
      </c>
      <c r="F961" s="975">
        <v>1</v>
      </c>
      <c r="G961" s="973">
        <v>0</v>
      </c>
      <c r="H961" s="972">
        <v>0</v>
      </c>
      <c r="I961" s="976">
        <v>0</v>
      </c>
    </row>
    <row r="962" spans="1:9" ht="24.95" customHeight="1" x14ac:dyDescent="0.25">
      <c r="A962" s="972"/>
      <c r="B962" s="973" t="s">
        <v>3854</v>
      </c>
      <c r="C962" s="974">
        <v>333903001020900</v>
      </c>
      <c r="D962" s="973" t="s">
        <v>3855</v>
      </c>
      <c r="E962" s="948">
        <v>331110100000000</v>
      </c>
      <c r="F962" s="975">
        <v>1</v>
      </c>
      <c r="G962" s="973">
        <v>0</v>
      </c>
      <c r="H962" s="972">
        <v>0</v>
      </c>
      <c r="I962" s="976">
        <v>0</v>
      </c>
    </row>
    <row r="963" spans="1:9" ht="24.95" customHeight="1" x14ac:dyDescent="0.25">
      <c r="A963" s="972"/>
      <c r="B963" s="973" t="s">
        <v>3856</v>
      </c>
      <c r="C963" s="974">
        <v>333903001023100</v>
      </c>
      <c r="D963" s="973" t="s">
        <v>3857</v>
      </c>
      <c r="E963" s="948">
        <v>331110100000000</v>
      </c>
      <c r="F963" s="975">
        <v>1</v>
      </c>
      <c r="G963" s="973">
        <v>0</v>
      </c>
      <c r="H963" s="972">
        <v>0</v>
      </c>
      <c r="I963" s="976">
        <v>0</v>
      </c>
    </row>
    <row r="964" spans="1:9" ht="24.95" customHeight="1" x14ac:dyDescent="0.25">
      <c r="A964" s="972"/>
      <c r="B964" s="973" t="s">
        <v>3858</v>
      </c>
      <c r="C964" s="974">
        <v>333903001021000</v>
      </c>
      <c r="D964" s="973" t="s">
        <v>3859</v>
      </c>
      <c r="E964" s="948">
        <v>331110100000000</v>
      </c>
      <c r="F964" s="975">
        <v>1</v>
      </c>
      <c r="G964" s="973">
        <v>0</v>
      </c>
      <c r="H964" s="972">
        <v>0</v>
      </c>
      <c r="I964" s="976">
        <v>0</v>
      </c>
    </row>
    <row r="965" spans="1:9" ht="24.95" customHeight="1" x14ac:dyDescent="0.25">
      <c r="A965" s="972"/>
      <c r="B965" s="973" t="s">
        <v>3860</v>
      </c>
      <c r="C965" s="974">
        <v>333903003020000</v>
      </c>
      <c r="D965" s="973" t="s">
        <v>3861</v>
      </c>
      <c r="E965" s="948">
        <v>331110100000000</v>
      </c>
      <c r="F965" s="975">
        <v>1</v>
      </c>
      <c r="G965" s="973">
        <v>0</v>
      </c>
      <c r="H965" s="972">
        <v>0</v>
      </c>
      <c r="I965" s="976">
        <v>0</v>
      </c>
    </row>
    <row r="966" spans="1:9" ht="24.95" customHeight="1" x14ac:dyDescent="0.25">
      <c r="A966" s="972"/>
      <c r="B966" s="973" t="s">
        <v>3862</v>
      </c>
      <c r="C966" s="974">
        <v>333903039420000</v>
      </c>
      <c r="D966" s="973" t="s">
        <v>3863</v>
      </c>
      <c r="E966" s="948">
        <v>331113900000000</v>
      </c>
      <c r="F966" s="975">
        <v>1</v>
      </c>
      <c r="G966" s="973">
        <v>0</v>
      </c>
      <c r="H966" s="972">
        <v>0</v>
      </c>
      <c r="I966" s="976">
        <v>0</v>
      </c>
    </row>
    <row r="967" spans="1:9" ht="24.95" customHeight="1" x14ac:dyDescent="0.25">
      <c r="A967" s="972"/>
      <c r="B967" s="973" t="s">
        <v>3864</v>
      </c>
      <c r="C967" s="974">
        <v>333903099000000</v>
      </c>
      <c r="D967" s="973" t="s">
        <v>3865</v>
      </c>
      <c r="E967" s="948">
        <v>331119900000000</v>
      </c>
      <c r="F967" s="975">
        <v>1</v>
      </c>
      <c r="G967" s="973">
        <v>0</v>
      </c>
      <c r="H967" s="972">
        <v>0</v>
      </c>
      <c r="I967" s="976">
        <v>0</v>
      </c>
    </row>
    <row r="968" spans="1:9" ht="24.95" customHeight="1" x14ac:dyDescent="0.25">
      <c r="A968" s="972"/>
      <c r="B968" s="973" t="s">
        <v>3866</v>
      </c>
      <c r="C968" s="974">
        <v>333903001035100</v>
      </c>
      <c r="D968" s="973" t="s">
        <v>3867</v>
      </c>
      <c r="E968" s="948">
        <v>331110100000000</v>
      </c>
      <c r="F968" s="975">
        <v>1</v>
      </c>
      <c r="G968" s="973">
        <v>0</v>
      </c>
      <c r="H968" s="972">
        <v>0</v>
      </c>
      <c r="I968" s="976">
        <v>0</v>
      </c>
    </row>
    <row r="969" spans="1:9" ht="24.95" customHeight="1" x14ac:dyDescent="0.25">
      <c r="A969" s="972"/>
      <c r="B969" s="973" t="s">
        <v>3868</v>
      </c>
      <c r="C969" s="974">
        <v>333903001033700</v>
      </c>
      <c r="D969" s="973" t="s">
        <v>3869</v>
      </c>
      <c r="E969" s="948">
        <v>331110100000000</v>
      </c>
      <c r="F969" s="975">
        <v>1</v>
      </c>
      <c r="G969" s="973">
        <v>0</v>
      </c>
      <c r="H969" s="972">
        <v>0</v>
      </c>
      <c r="I969" s="976">
        <v>0</v>
      </c>
    </row>
    <row r="970" spans="1:9" ht="24.95" customHeight="1" x14ac:dyDescent="0.25">
      <c r="A970" s="972"/>
      <c r="B970" s="973" t="s">
        <v>3870</v>
      </c>
      <c r="C970" s="974">
        <v>333903025010000</v>
      </c>
      <c r="D970" s="973" t="s">
        <v>3871</v>
      </c>
      <c r="E970" s="948">
        <v>331119900000000</v>
      </c>
      <c r="F970" s="975">
        <v>1</v>
      </c>
      <c r="G970" s="973">
        <v>0</v>
      </c>
      <c r="H970" s="972">
        <v>0</v>
      </c>
      <c r="I970" s="976">
        <v>0</v>
      </c>
    </row>
    <row r="971" spans="1:9" ht="24.95" customHeight="1" x14ac:dyDescent="0.25">
      <c r="A971" s="972"/>
      <c r="B971" s="973" t="s">
        <v>3872</v>
      </c>
      <c r="C971" s="974">
        <v>333903001021500</v>
      </c>
      <c r="D971" s="973" t="s">
        <v>3873</v>
      </c>
      <c r="E971" s="948">
        <v>331110100000000</v>
      </c>
      <c r="F971" s="975">
        <v>1</v>
      </c>
      <c r="G971" s="973">
        <v>0</v>
      </c>
      <c r="H971" s="972">
        <v>0</v>
      </c>
      <c r="I971" s="976">
        <v>0</v>
      </c>
    </row>
    <row r="972" spans="1:9" ht="24.95" customHeight="1" x14ac:dyDescent="0.25">
      <c r="A972" s="972"/>
      <c r="B972" s="973" t="s">
        <v>3874</v>
      </c>
      <c r="C972" s="974">
        <v>333903001031700</v>
      </c>
      <c r="D972" s="973" t="s">
        <v>3875</v>
      </c>
      <c r="E972" s="948">
        <v>331110100000000</v>
      </c>
      <c r="F972" s="975">
        <v>1</v>
      </c>
      <c r="G972" s="973">
        <v>0</v>
      </c>
      <c r="H972" s="972">
        <v>0</v>
      </c>
      <c r="I972" s="976">
        <v>0</v>
      </c>
    </row>
    <row r="973" spans="1:9" ht="24.95" customHeight="1" x14ac:dyDescent="0.25">
      <c r="A973" s="972"/>
      <c r="B973" s="973" t="s">
        <v>3876</v>
      </c>
      <c r="C973" s="974">
        <v>333903054000000</v>
      </c>
      <c r="D973" s="973" t="s">
        <v>3877</v>
      </c>
      <c r="E973" s="948">
        <v>331113900000000</v>
      </c>
      <c r="F973" s="975">
        <v>1</v>
      </c>
      <c r="G973" s="973">
        <v>0</v>
      </c>
      <c r="H973" s="972">
        <v>0</v>
      </c>
      <c r="I973" s="976">
        <v>0</v>
      </c>
    </row>
    <row r="974" spans="1:9" ht="24.95" customHeight="1" x14ac:dyDescent="0.25">
      <c r="A974" s="972"/>
      <c r="B974" s="973" t="s">
        <v>3878</v>
      </c>
      <c r="C974" s="974">
        <v>333903028000000</v>
      </c>
      <c r="D974" s="973" t="s">
        <v>3879</v>
      </c>
      <c r="E974" s="948">
        <v>331112800000000</v>
      </c>
      <c r="F974" s="975">
        <v>1</v>
      </c>
      <c r="G974" s="973">
        <v>0</v>
      </c>
      <c r="H974" s="972">
        <v>0</v>
      </c>
      <c r="I974" s="976">
        <v>0</v>
      </c>
    </row>
    <row r="975" spans="1:9" ht="24.95" customHeight="1" x14ac:dyDescent="0.25">
      <c r="A975" s="972"/>
      <c r="B975" s="973" t="s">
        <v>3880</v>
      </c>
      <c r="C975" s="974">
        <v>333903023000000</v>
      </c>
      <c r="D975" s="973" t="s">
        <v>3881</v>
      </c>
      <c r="E975" s="948">
        <v>331112300000000</v>
      </c>
      <c r="F975" s="975">
        <v>1</v>
      </c>
      <c r="G975" s="973">
        <v>0</v>
      </c>
      <c r="H975" s="972">
        <v>0</v>
      </c>
      <c r="I975" s="976">
        <v>0</v>
      </c>
    </row>
    <row r="976" spans="1:9" ht="24.95" customHeight="1" x14ac:dyDescent="0.25">
      <c r="A976" s="972"/>
      <c r="B976" s="973" t="s">
        <v>3882</v>
      </c>
      <c r="C976" s="974">
        <v>333903054000000</v>
      </c>
      <c r="D976" s="973" t="s">
        <v>3883</v>
      </c>
      <c r="E976" s="948">
        <v>0</v>
      </c>
      <c r="F976" s="975">
        <v>1</v>
      </c>
      <c r="G976" s="973">
        <v>0</v>
      </c>
      <c r="H976" s="972">
        <v>0</v>
      </c>
      <c r="I976" s="976">
        <v>0</v>
      </c>
    </row>
    <row r="977" spans="1:9" ht="24.95" customHeight="1" x14ac:dyDescent="0.25">
      <c r="A977" s="972"/>
      <c r="B977" s="973" t="s">
        <v>3884</v>
      </c>
      <c r="C977" s="974">
        <v>333903054000000</v>
      </c>
      <c r="D977" s="973" t="s">
        <v>3885</v>
      </c>
      <c r="E977" s="948">
        <v>0</v>
      </c>
      <c r="F977" s="975">
        <v>1</v>
      </c>
      <c r="G977" s="973">
        <v>0</v>
      </c>
      <c r="H977" s="972">
        <v>0</v>
      </c>
      <c r="I977" s="976">
        <v>0</v>
      </c>
    </row>
    <row r="978" spans="1:9" ht="24.95" customHeight="1" x14ac:dyDescent="0.25">
      <c r="A978" s="972"/>
      <c r="B978" s="973" t="s">
        <v>3886</v>
      </c>
      <c r="C978" s="974">
        <v>333903001021300</v>
      </c>
      <c r="D978" s="973" t="s">
        <v>3887</v>
      </c>
      <c r="E978" s="948">
        <v>331110100000000</v>
      </c>
      <c r="F978" s="975">
        <v>1</v>
      </c>
      <c r="G978" s="973">
        <v>0</v>
      </c>
      <c r="H978" s="972">
        <v>0</v>
      </c>
      <c r="I978" s="976">
        <v>0</v>
      </c>
    </row>
    <row r="979" spans="1:9" ht="24.95" customHeight="1" x14ac:dyDescent="0.25">
      <c r="A979" s="972"/>
      <c r="B979" s="973" t="s">
        <v>3888</v>
      </c>
      <c r="C979" s="974">
        <v>333903001032400</v>
      </c>
      <c r="D979" s="973" t="s">
        <v>3889</v>
      </c>
      <c r="E979" s="948">
        <v>331110100000000</v>
      </c>
      <c r="F979" s="975">
        <v>1</v>
      </c>
      <c r="G979" s="973">
        <v>0</v>
      </c>
      <c r="H979" s="972">
        <v>0</v>
      </c>
      <c r="I979" s="976">
        <v>0</v>
      </c>
    </row>
    <row r="980" spans="1:9" ht="24.95" customHeight="1" x14ac:dyDescent="0.25">
      <c r="A980" s="972"/>
      <c r="B980" s="973" t="s">
        <v>3890</v>
      </c>
      <c r="C980" s="974">
        <v>333903001031800</v>
      </c>
      <c r="D980" s="973" t="s">
        <v>3891</v>
      </c>
      <c r="E980" s="948">
        <v>331110100000000</v>
      </c>
      <c r="F980" s="975">
        <v>1</v>
      </c>
      <c r="G980" s="973">
        <v>0</v>
      </c>
      <c r="H980" s="972">
        <v>0</v>
      </c>
      <c r="I980" s="976">
        <v>0</v>
      </c>
    </row>
    <row r="981" spans="1:9" ht="24.95" customHeight="1" x14ac:dyDescent="0.25">
      <c r="A981" s="972"/>
      <c r="B981" s="973" t="s">
        <v>3892</v>
      </c>
      <c r="C981" s="974">
        <v>333903001032200</v>
      </c>
      <c r="D981" s="973" t="s">
        <v>3893</v>
      </c>
      <c r="E981" s="948">
        <v>331110100000000</v>
      </c>
      <c r="F981" s="975">
        <v>1</v>
      </c>
      <c r="G981" s="973">
        <v>0</v>
      </c>
      <c r="H981" s="972">
        <v>0</v>
      </c>
      <c r="I981" s="976">
        <v>0</v>
      </c>
    </row>
    <row r="982" spans="1:9" ht="24.95" customHeight="1" x14ac:dyDescent="0.25">
      <c r="A982" s="972"/>
      <c r="B982" s="973" t="s">
        <v>3894</v>
      </c>
      <c r="C982" s="974">
        <v>333903001032300</v>
      </c>
      <c r="D982" s="973" t="s">
        <v>3895</v>
      </c>
      <c r="E982" s="948">
        <v>331110100000000</v>
      </c>
      <c r="F982" s="975">
        <v>1</v>
      </c>
      <c r="G982" s="973">
        <v>0</v>
      </c>
      <c r="H982" s="972">
        <v>0</v>
      </c>
      <c r="I982" s="976">
        <v>0</v>
      </c>
    </row>
    <row r="983" spans="1:9" ht="24.95" customHeight="1" x14ac:dyDescent="0.25">
      <c r="A983" s="972"/>
      <c r="B983" s="973" t="s">
        <v>3896</v>
      </c>
      <c r="C983" s="974">
        <v>333903001032100</v>
      </c>
      <c r="D983" s="973" t="s">
        <v>3897</v>
      </c>
      <c r="E983" s="948">
        <v>331110100000000</v>
      </c>
      <c r="F983" s="975">
        <v>1</v>
      </c>
      <c r="G983" s="973">
        <v>0</v>
      </c>
      <c r="H983" s="972">
        <v>0</v>
      </c>
      <c r="I983" s="976">
        <v>0</v>
      </c>
    </row>
    <row r="984" spans="1:9" ht="24.95" customHeight="1" x14ac:dyDescent="0.25">
      <c r="A984" s="972"/>
      <c r="B984" s="973" t="s">
        <v>3898</v>
      </c>
      <c r="C984" s="974">
        <v>333903039250000</v>
      </c>
      <c r="D984" s="973" t="s">
        <v>3899</v>
      </c>
      <c r="E984" s="948">
        <v>331113900000000</v>
      </c>
      <c r="F984" s="975">
        <v>1</v>
      </c>
      <c r="G984" s="973">
        <v>0</v>
      </c>
      <c r="H984" s="972">
        <v>0</v>
      </c>
      <c r="I984" s="976">
        <v>0</v>
      </c>
    </row>
    <row r="985" spans="1:9" ht="24.95" customHeight="1" x14ac:dyDescent="0.25">
      <c r="A985" s="972"/>
      <c r="B985" s="973" t="s">
        <v>3900</v>
      </c>
      <c r="C985" s="974">
        <v>333903054000000</v>
      </c>
      <c r="D985" s="973" t="s">
        <v>3901</v>
      </c>
      <c r="E985" s="948">
        <v>0</v>
      </c>
      <c r="F985" s="975">
        <v>1</v>
      </c>
      <c r="G985" s="973">
        <v>0</v>
      </c>
      <c r="H985" s="972">
        <v>0</v>
      </c>
      <c r="I985" s="976">
        <v>0</v>
      </c>
    </row>
    <row r="986" spans="1:9" ht="24.95" customHeight="1" x14ac:dyDescent="0.25">
      <c r="A986" s="972"/>
      <c r="B986" s="973" t="s">
        <v>3902</v>
      </c>
      <c r="C986" s="974">
        <v>333903039270000</v>
      </c>
      <c r="D986" s="973" t="s">
        <v>3903</v>
      </c>
      <c r="E986" s="948">
        <v>331113900000000</v>
      </c>
      <c r="F986" s="975">
        <v>1</v>
      </c>
      <c r="G986" s="973">
        <v>0</v>
      </c>
      <c r="H986" s="972">
        <v>0</v>
      </c>
      <c r="I986" s="976">
        <v>0</v>
      </c>
    </row>
    <row r="987" spans="1:9" ht="24.95" customHeight="1" x14ac:dyDescent="0.25">
      <c r="A987" s="972"/>
      <c r="B987" s="973" t="s">
        <v>3904</v>
      </c>
      <c r="C987" s="974">
        <v>333903054000000</v>
      </c>
      <c r="D987" s="973" t="s">
        <v>3905</v>
      </c>
      <c r="E987" s="948">
        <v>0</v>
      </c>
      <c r="F987" s="975">
        <v>1</v>
      </c>
      <c r="G987" s="973">
        <v>0</v>
      </c>
      <c r="H987" s="972">
        <v>0</v>
      </c>
      <c r="I987" s="976">
        <v>0</v>
      </c>
    </row>
    <row r="988" spans="1:9" ht="24.95" customHeight="1" x14ac:dyDescent="0.25">
      <c r="A988" s="972"/>
      <c r="B988" s="973" t="s">
        <v>3906</v>
      </c>
      <c r="C988" s="974">
        <v>333903001033600</v>
      </c>
      <c r="D988" s="973" t="s">
        <v>3907</v>
      </c>
      <c r="E988" s="948">
        <v>331110100000000</v>
      </c>
      <c r="F988" s="975">
        <v>1</v>
      </c>
      <c r="G988" s="973">
        <v>0</v>
      </c>
      <c r="H988" s="972">
        <v>0</v>
      </c>
      <c r="I988" s="976">
        <v>0</v>
      </c>
    </row>
    <row r="989" spans="1:9" ht="24.95" customHeight="1" x14ac:dyDescent="0.25">
      <c r="A989" s="972"/>
      <c r="B989" s="973" t="s">
        <v>3908</v>
      </c>
      <c r="C989" s="974">
        <v>333903001032000</v>
      </c>
      <c r="D989" s="973" t="s">
        <v>3909</v>
      </c>
      <c r="E989" s="948">
        <v>331110100000000</v>
      </c>
      <c r="F989" s="975">
        <v>1</v>
      </c>
      <c r="G989" s="973">
        <v>0</v>
      </c>
      <c r="H989" s="972">
        <v>0</v>
      </c>
      <c r="I989" s="976">
        <v>0</v>
      </c>
    </row>
    <row r="990" spans="1:9" ht="24.95" customHeight="1" x14ac:dyDescent="0.25">
      <c r="A990" s="972"/>
      <c r="B990" s="973" t="s">
        <v>3910</v>
      </c>
      <c r="C990" s="974">
        <v>333903054000000</v>
      </c>
      <c r="D990" s="973" t="s">
        <v>3911</v>
      </c>
      <c r="E990" s="948">
        <v>0</v>
      </c>
      <c r="F990" s="975">
        <v>1</v>
      </c>
      <c r="G990" s="973">
        <v>0</v>
      </c>
      <c r="H990" s="972">
        <v>0</v>
      </c>
      <c r="I990" s="976">
        <v>0</v>
      </c>
    </row>
    <row r="991" spans="1:9" ht="24.95" customHeight="1" x14ac:dyDescent="0.25">
      <c r="A991" s="972"/>
      <c r="B991" s="973" t="s">
        <v>3912</v>
      </c>
      <c r="C991" s="974">
        <v>333903026000000</v>
      </c>
      <c r="D991" s="973" t="s">
        <v>3913</v>
      </c>
      <c r="E991" s="948">
        <v>331112600000000</v>
      </c>
      <c r="F991" s="975">
        <v>1</v>
      </c>
      <c r="G991" s="973">
        <v>0</v>
      </c>
      <c r="H991" s="972">
        <v>0</v>
      </c>
      <c r="I991" s="976">
        <v>0</v>
      </c>
    </row>
    <row r="992" spans="1:9" ht="24.95" customHeight="1" x14ac:dyDescent="0.25">
      <c r="A992" s="972"/>
      <c r="B992" s="973" t="s">
        <v>3914</v>
      </c>
      <c r="C992" s="974">
        <v>333903001032800</v>
      </c>
      <c r="D992" s="973" t="s">
        <v>3915</v>
      </c>
      <c r="E992" s="948">
        <v>331110100000000</v>
      </c>
      <c r="F992" s="975">
        <v>1</v>
      </c>
      <c r="G992" s="973">
        <v>0</v>
      </c>
      <c r="H992" s="972">
        <v>0</v>
      </c>
      <c r="I992" s="976">
        <v>0</v>
      </c>
    </row>
    <row r="993" spans="1:9" s="946" customFormat="1" ht="24.95" customHeight="1" x14ac:dyDescent="0.25">
      <c r="A993" s="958"/>
      <c r="B993" s="963">
        <v>25700</v>
      </c>
      <c r="C993" s="964">
        <v>333903000000000</v>
      </c>
      <c r="D993" s="963" t="s">
        <v>3916</v>
      </c>
      <c r="E993" s="954"/>
      <c r="F993" s="960">
        <v>1048</v>
      </c>
      <c r="G993" s="963">
        <v>0</v>
      </c>
      <c r="H993" s="958">
        <v>0</v>
      </c>
      <c r="I993" s="961">
        <f>PUCFD!E903+6.32-6.32-0.01</f>
        <v>8417.0297910639601</v>
      </c>
    </row>
    <row r="994" spans="1:9" ht="24.95" customHeight="1" x14ac:dyDescent="0.25">
      <c r="A994" s="972"/>
      <c r="B994" s="973" t="s">
        <v>3917</v>
      </c>
      <c r="C994" s="974">
        <v>333903039170000</v>
      </c>
      <c r="D994" s="973" t="s">
        <v>3918</v>
      </c>
      <c r="E994" s="948">
        <v>331113900000000</v>
      </c>
      <c r="F994" s="975">
        <v>1048</v>
      </c>
      <c r="G994" s="973">
        <v>0</v>
      </c>
      <c r="H994" s="972">
        <v>0</v>
      </c>
      <c r="I994" s="976">
        <f>(((PUCFD!E904)*(1+PUCFD!E$10))*(1+PUCFD!E$16))</f>
        <v>0</v>
      </c>
    </row>
    <row r="995" spans="1:9" ht="24.95" customHeight="1" x14ac:dyDescent="0.25">
      <c r="A995" s="972"/>
      <c r="B995" s="973" t="s">
        <v>3919</v>
      </c>
      <c r="C995" s="974">
        <v>333903001032800</v>
      </c>
      <c r="D995" s="973" t="s">
        <v>3915</v>
      </c>
      <c r="E995" s="948">
        <v>331110100000000</v>
      </c>
      <c r="F995" s="975">
        <v>1048</v>
      </c>
      <c r="G995" s="973">
        <v>0</v>
      </c>
      <c r="H995" s="972">
        <v>0</v>
      </c>
      <c r="I995" s="976">
        <f>(((PUCFD!E905)*(1+PUCFD!E$10))*(1+PUCFD!E$16))</f>
        <v>0</v>
      </c>
    </row>
    <row r="996" spans="1:9" ht="24.95" customHeight="1" x14ac:dyDescent="0.25">
      <c r="A996" s="972"/>
      <c r="B996" s="973" t="s">
        <v>3920</v>
      </c>
      <c r="C996" s="974">
        <v>333903039160000</v>
      </c>
      <c r="D996" s="973" t="s">
        <v>3921</v>
      </c>
      <c r="E996" s="948">
        <v>331113900000000</v>
      </c>
      <c r="F996" s="975">
        <v>1048</v>
      </c>
      <c r="G996" s="973">
        <v>0</v>
      </c>
      <c r="H996" s="972">
        <v>0</v>
      </c>
      <c r="I996" s="976">
        <f>(((PUCFD!E906)*(1+PUCFD!E$10))*(1+PUCFD!E$16))</f>
        <v>0</v>
      </c>
    </row>
    <row r="997" spans="1:9" ht="24.95" customHeight="1" x14ac:dyDescent="0.25">
      <c r="A997" s="972"/>
      <c r="B997" s="973" t="s">
        <v>3922</v>
      </c>
      <c r="C997" s="974">
        <v>333903039270000</v>
      </c>
      <c r="D997" s="973" t="s">
        <v>3903</v>
      </c>
      <c r="E997" s="948">
        <v>331113900000000</v>
      </c>
      <c r="F997" s="975">
        <v>1048</v>
      </c>
      <c r="G997" s="973">
        <v>0</v>
      </c>
      <c r="H997" s="972">
        <v>0</v>
      </c>
      <c r="I997" s="976">
        <f>(((PUCFD!E907)*(1+PUCFD!E$10))*(1+PUCFD!E$16))</f>
        <v>0</v>
      </c>
    </row>
    <row r="998" spans="1:9" ht="24.95" customHeight="1" x14ac:dyDescent="0.25">
      <c r="A998" s="972"/>
      <c r="B998" s="973" t="s">
        <v>3923</v>
      </c>
      <c r="C998" s="974">
        <v>333903001012800</v>
      </c>
      <c r="D998" s="973" t="s">
        <v>3924</v>
      </c>
      <c r="E998" s="948">
        <v>331110100000000</v>
      </c>
      <c r="F998" s="975">
        <v>1048</v>
      </c>
      <c r="G998" s="973">
        <v>0</v>
      </c>
      <c r="H998" s="972">
        <v>0</v>
      </c>
      <c r="I998" s="976">
        <f>(((PUCFD!E908)*(1+PUCFD!E$10))*(1+PUCFD!E$16))*(1+PUCFD!E$18)</f>
        <v>0</v>
      </c>
    </row>
    <row r="999" spans="1:9" ht="24.95" customHeight="1" x14ac:dyDescent="0.25">
      <c r="A999" s="972"/>
      <c r="B999" s="973" t="s">
        <v>3925</v>
      </c>
      <c r="C999" s="974">
        <v>333903054000000</v>
      </c>
      <c r="D999" s="973" t="s">
        <v>3926</v>
      </c>
      <c r="E999" s="948">
        <v>331115400000000</v>
      </c>
      <c r="F999" s="975">
        <v>1048</v>
      </c>
      <c r="G999" s="973">
        <v>0</v>
      </c>
      <c r="H999" s="972">
        <v>0</v>
      </c>
      <c r="I999" s="976">
        <f>(((PUCFD!E909)*(1+PUCFD!E$10))*(1+PUCFD!E$16))</f>
        <v>0</v>
      </c>
    </row>
    <row r="1000" spans="1:9" ht="24.95" customHeight="1" x14ac:dyDescent="0.25">
      <c r="A1000" s="972"/>
      <c r="B1000" s="973" t="s">
        <v>3927</v>
      </c>
      <c r="C1000" s="974">
        <v>333903001021500</v>
      </c>
      <c r="D1000" s="973" t="s">
        <v>3873</v>
      </c>
      <c r="E1000" s="948">
        <v>331110100000000</v>
      </c>
      <c r="F1000" s="975">
        <v>1048</v>
      </c>
      <c r="G1000" s="973">
        <v>0</v>
      </c>
      <c r="H1000" s="972">
        <v>0</v>
      </c>
      <c r="I1000" s="976">
        <f>(((PUCFD!E910)*(1+PUCFD!E$10))*(1+PUCFD!E$16))*(1+PUCFD!E$20)</f>
        <v>0</v>
      </c>
    </row>
    <row r="1001" spans="1:9" ht="24.95" customHeight="1" x14ac:dyDescent="0.25">
      <c r="A1001" s="972"/>
      <c r="B1001" s="973" t="s">
        <v>3928</v>
      </c>
      <c r="C1001" s="974">
        <v>333903003020000</v>
      </c>
      <c r="D1001" s="973" t="s">
        <v>3861</v>
      </c>
      <c r="E1001" s="948">
        <v>331110100000000</v>
      </c>
      <c r="F1001" s="975">
        <v>1048</v>
      </c>
      <c r="G1001" s="973">
        <v>0</v>
      </c>
      <c r="H1001" s="972">
        <v>0</v>
      </c>
      <c r="I1001" s="976">
        <f>(((PUCFD!E911)*(1+PUCFD!E$10))*(1+PUCFD!E$16))*(1+PUCFD!E$18)</f>
        <v>0</v>
      </c>
    </row>
    <row r="1002" spans="1:9" ht="24.95" customHeight="1" x14ac:dyDescent="0.25">
      <c r="A1002" s="972"/>
      <c r="B1002" s="973" t="s">
        <v>3929</v>
      </c>
      <c r="C1002" s="974">
        <v>333903001020900</v>
      </c>
      <c r="D1002" s="973" t="s">
        <v>3855</v>
      </c>
      <c r="E1002" s="948">
        <v>331110100000000</v>
      </c>
      <c r="F1002" s="975">
        <v>1048</v>
      </c>
      <c r="G1002" s="973">
        <v>0</v>
      </c>
      <c r="H1002" s="972">
        <v>0</v>
      </c>
      <c r="I1002" s="976">
        <f>(((PUCFD!E912)*(1+PUCFD!E$10))*(1+PUCFD!E$16))*(1+PUCFD!E$20)</f>
        <v>0</v>
      </c>
    </row>
    <row r="1003" spans="1:9" ht="24.95" customHeight="1" x14ac:dyDescent="0.25">
      <c r="A1003" s="972"/>
      <c r="B1003" s="973" t="s">
        <v>3930</v>
      </c>
      <c r="C1003" s="974">
        <v>333903001021000</v>
      </c>
      <c r="D1003" s="973" t="s">
        <v>3859</v>
      </c>
      <c r="E1003" s="948">
        <v>331110100000000</v>
      </c>
      <c r="F1003" s="975">
        <v>1048</v>
      </c>
      <c r="G1003" s="973">
        <v>0</v>
      </c>
      <c r="H1003" s="972">
        <v>0</v>
      </c>
      <c r="I1003" s="976">
        <f>(((PUCFD!E913)*(1+PUCFD!E$10))*(1+PUCFD!E$16))*(1+PUCFD!E$20)</f>
        <v>0</v>
      </c>
    </row>
    <row r="1004" spans="1:9" ht="24.95" customHeight="1" x14ac:dyDescent="0.25">
      <c r="A1004" s="972"/>
      <c r="B1004" s="973" t="s">
        <v>3931</v>
      </c>
      <c r="C1004" s="974">
        <v>333903039470000</v>
      </c>
      <c r="D1004" s="973" t="s">
        <v>3932</v>
      </c>
      <c r="E1004" s="948">
        <v>331113900000000</v>
      </c>
      <c r="F1004" s="975">
        <v>1048</v>
      </c>
      <c r="G1004" s="973">
        <v>0</v>
      </c>
      <c r="H1004" s="972">
        <v>0</v>
      </c>
      <c r="I1004" s="976">
        <f>(((PUCFD!E914)*(1+PUCFD!E$10))*(1+PUCFD!E$16))*(1+PUCFD!E$20)</f>
        <v>0</v>
      </c>
    </row>
    <row r="1005" spans="1:9" ht="24.95" customHeight="1" x14ac:dyDescent="0.25">
      <c r="A1005" s="972"/>
      <c r="B1005" s="973" t="s">
        <v>3933</v>
      </c>
      <c r="C1005" s="974">
        <v>333903001032000</v>
      </c>
      <c r="D1005" s="973" t="s">
        <v>3909</v>
      </c>
      <c r="E1005" s="948">
        <v>331110100000000</v>
      </c>
      <c r="F1005" s="975">
        <v>1048</v>
      </c>
      <c r="G1005" s="973">
        <v>0</v>
      </c>
      <c r="H1005" s="972">
        <v>0</v>
      </c>
      <c r="I1005" s="976">
        <f>(((PUCFD!E915)*(1+PUCFD!E$10))*(1+PUCFD!E$16))*(1+PUCFD!E$20)</f>
        <v>0</v>
      </c>
    </row>
    <row r="1006" spans="1:9" ht="24.95" customHeight="1" x14ac:dyDescent="0.25">
      <c r="A1006" s="972"/>
      <c r="B1006" s="973" t="s">
        <v>3934</v>
      </c>
      <c r="C1006" s="974">
        <v>333903001035300</v>
      </c>
      <c r="D1006" s="973" t="s">
        <v>3935</v>
      </c>
      <c r="E1006" s="948">
        <v>331110100000000</v>
      </c>
      <c r="F1006" s="975">
        <v>1048</v>
      </c>
      <c r="G1006" s="973">
        <v>0</v>
      </c>
      <c r="H1006" s="972">
        <v>0</v>
      </c>
      <c r="I1006" s="976">
        <f>(((PUCFD!E916)*(1+PUCFD!E$10))*(1+PUCFD!E$16))*(1+PUCFD!E$20)</f>
        <v>0</v>
      </c>
    </row>
    <row r="1007" spans="1:9" ht="24.95" customHeight="1" x14ac:dyDescent="0.25">
      <c r="A1007" s="972"/>
      <c r="B1007" s="973" t="s">
        <v>3936</v>
      </c>
      <c r="C1007" s="974">
        <v>333903042000000</v>
      </c>
      <c r="D1007" s="973" t="s">
        <v>3937</v>
      </c>
      <c r="E1007" s="948">
        <v>331114200000000</v>
      </c>
      <c r="F1007" s="975">
        <v>1048</v>
      </c>
      <c r="G1007" s="973">
        <v>0</v>
      </c>
      <c r="H1007" s="972">
        <v>0</v>
      </c>
      <c r="I1007" s="976">
        <f>(((PUCFD!E917)*(1+PUCFD!E$10))*(1+PUCFD!E$16))</f>
        <v>0</v>
      </c>
    </row>
    <row r="1008" spans="1:9" ht="24.95" customHeight="1" x14ac:dyDescent="0.25">
      <c r="A1008" s="972"/>
      <c r="B1008" s="973" t="s">
        <v>3938</v>
      </c>
      <c r="C1008" s="974">
        <v>333903039210000</v>
      </c>
      <c r="D1008" s="973" t="s">
        <v>3827</v>
      </c>
      <c r="E1008" s="948">
        <v>331113900000000</v>
      </c>
      <c r="F1008" s="975">
        <v>1048</v>
      </c>
      <c r="G1008" s="973">
        <v>0</v>
      </c>
      <c r="H1008" s="972">
        <v>0</v>
      </c>
      <c r="I1008" s="976">
        <f>(((PUCFD!E918)*(1+PUCFD!E$10))*(1+PUCFD!E$16))</f>
        <v>0</v>
      </c>
    </row>
    <row r="1009" spans="1:9" ht="24.95" customHeight="1" x14ac:dyDescent="0.25">
      <c r="A1009" s="972"/>
      <c r="B1009" s="973" t="s">
        <v>3939</v>
      </c>
      <c r="C1009" s="974">
        <v>333903039230000</v>
      </c>
      <c r="D1009" s="973" t="s">
        <v>3940</v>
      </c>
      <c r="E1009" s="948">
        <v>331113900000000</v>
      </c>
      <c r="F1009" s="975">
        <v>1048</v>
      </c>
      <c r="G1009" s="973">
        <v>0</v>
      </c>
      <c r="H1009" s="972">
        <v>0</v>
      </c>
      <c r="I1009" s="976">
        <f>(((PUCFD!E919)*(1+PUCFD!E$10))*(1+PUCFD!E$16))</f>
        <v>0</v>
      </c>
    </row>
    <row r="1010" spans="1:9" ht="24.95" customHeight="1" x14ac:dyDescent="0.25">
      <c r="A1010" s="972"/>
      <c r="B1010" s="973" t="s">
        <v>3941</v>
      </c>
      <c r="C1010" s="974">
        <v>333903039350000</v>
      </c>
      <c r="D1010" s="973" t="s">
        <v>3942</v>
      </c>
      <c r="E1010" s="948">
        <v>331113900000000</v>
      </c>
      <c r="F1010" s="975">
        <v>1048</v>
      </c>
      <c r="G1010" s="973">
        <v>0</v>
      </c>
      <c r="H1010" s="972">
        <v>0</v>
      </c>
      <c r="I1010" s="976">
        <f>(((PUCFD!E920)*(1+PUCFD!E$10))*(1+PUCFD!E$16))</f>
        <v>0</v>
      </c>
    </row>
    <row r="1011" spans="1:9" ht="24.95" customHeight="1" x14ac:dyDescent="0.25">
      <c r="A1011" s="972"/>
      <c r="B1011" s="973" t="s">
        <v>3943</v>
      </c>
      <c r="C1011" s="974">
        <v>333903001033600</v>
      </c>
      <c r="D1011" s="973" t="s">
        <v>3944</v>
      </c>
      <c r="E1011" s="948">
        <v>331110100000000</v>
      </c>
      <c r="F1011" s="975">
        <v>1048</v>
      </c>
      <c r="G1011" s="973">
        <v>0</v>
      </c>
      <c r="H1011" s="972">
        <v>0</v>
      </c>
      <c r="I1011" s="976">
        <f>(((PUCFD!E921)))</f>
        <v>0</v>
      </c>
    </row>
    <row r="1012" spans="1:9" s="946" customFormat="1" ht="24.95" customHeight="1" x14ac:dyDescent="0.25">
      <c r="A1012" s="958"/>
      <c r="B1012" s="963">
        <v>25800</v>
      </c>
      <c r="C1012" s="964">
        <v>333903300000000</v>
      </c>
      <c r="D1012" s="963" t="s">
        <v>3947</v>
      </c>
      <c r="E1012" s="954"/>
      <c r="F1012" s="960">
        <v>1</v>
      </c>
      <c r="G1012" s="963">
        <v>0</v>
      </c>
      <c r="H1012" s="958">
        <v>0</v>
      </c>
      <c r="I1012" s="961">
        <f>(((PUCFD!E922)*(1+PUCFD!E$10))*(1+PUCFD!E$16))</f>
        <v>1.0973403E-2</v>
      </c>
    </row>
    <row r="1013" spans="1:9" s="946" customFormat="1" ht="24.95" customHeight="1" x14ac:dyDescent="0.25">
      <c r="A1013" s="958"/>
      <c r="B1013" s="963">
        <v>25900</v>
      </c>
      <c r="C1013" s="964">
        <v>333903500000000</v>
      </c>
      <c r="D1013" s="963" t="s">
        <v>3950</v>
      </c>
      <c r="E1013" s="954"/>
      <c r="F1013" s="960">
        <v>1</v>
      </c>
      <c r="G1013" s="963">
        <v>0</v>
      </c>
      <c r="H1013" s="958">
        <v>0</v>
      </c>
      <c r="I1013" s="961">
        <f>(((PUCFD!E923)*(1+PUCFD!E$10))*(1+PUCFD!E$16))</f>
        <v>1.0973403E-2</v>
      </c>
    </row>
    <row r="1014" spans="1:9" s="946" customFormat="1" ht="24.95" customHeight="1" x14ac:dyDescent="0.25">
      <c r="A1014" s="958"/>
      <c r="B1014" s="963">
        <v>26000</v>
      </c>
      <c r="C1014" s="964">
        <v>333903600000000</v>
      </c>
      <c r="D1014" s="963" t="s">
        <v>3952</v>
      </c>
      <c r="E1014" s="954"/>
      <c r="F1014" s="960">
        <v>1</v>
      </c>
      <c r="G1014" s="963">
        <v>0</v>
      </c>
      <c r="H1014" s="958">
        <v>0</v>
      </c>
      <c r="I1014" s="961">
        <f>(((PUCFD!E924)*(1+PUCFD!E$10))*(1+PUCFD!E$16))</f>
        <v>1.0973403E-2</v>
      </c>
    </row>
    <row r="1015" spans="1:9" s="946" customFormat="1" ht="24.95" customHeight="1" x14ac:dyDescent="0.25">
      <c r="A1015" s="958"/>
      <c r="B1015" s="963">
        <v>26100</v>
      </c>
      <c r="C1015" s="964">
        <v>333903900000000</v>
      </c>
      <c r="D1015" s="963" t="s">
        <v>3972</v>
      </c>
      <c r="E1015" s="954"/>
      <c r="F1015" s="960">
        <v>1</v>
      </c>
      <c r="G1015" s="963">
        <v>0</v>
      </c>
      <c r="H1015" s="958">
        <v>0</v>
      </c>
      <c r="I1015" s="961">
        <f>(((PUCFD!E925)*(1+PUCFD!E$10))*(1+PUCFD!E$16))-80000-50000+100000</f>
        <v>193945.48275907501</v>
      </c>
    </row>
    <row r="1016" spans="1:9" ht="24.95" customHeight="1" x14ac:dyDescent="0.25">
      <c r="A1016" s="972"/>
      <c r="B1016" s="973" t="s">
        <v>3973</v>
      </c>
      <c r="C1016" s="974">
        <v>333903999040000</v>
      </c>
      <c r="D1016" s="973" t="s">
        <v>3974</v>
      </c>
      <c r="E1016" s="948">
        <v>332315100000000</v>
      </c>
      <c r="F1016" s="975">
        <v>1</v>
      </c>
      <c r="G1016" s="973">
        <v>0</v>
      </c>
      <c r="H1016" s="972">
        <v>0</v>
      </c>
      <c r="I1016" s="976">
        <v>0</v>
      </c>
    </row>
    <row r="1017" spans="1:9" ht="24.95" customHeight="1" x14ac:dyDescent="0.25">
      <c r="A1017" s="972"/>
      <c r="B1017" s="973" t="s">
        <v>3975</v>
      </c>
      <c r="C1017" s="974">
        <v>333903999040000</v>
      </c>
      <c r="D1017" s="973" t="s">
        <v>3976</v>
      </c>
      <c r="E1017" s="948">
        <v>332319900000000</v>
      </c>
      <c r="F1017" s="975">
        <v>1</v>
      </c>
      <c r="G1017" s="973">
        <v>0</v>
      </c>
      <c r="H1017" s="972">
        <v>0</v>
      </c>
      <c r="I1017" s="976">
        <v>0</v>
      </c>
    </row>
    <row r="1018" spans="1:9" ht="24.95" customHeight="1" x14ac:dyDescent="0.25">
      <c r="A1018" s="972"/>
      <c r="B1018" s="973" t="s">
        <v>3977</v>
      </c>
      <c r="C1018" s="974">
        <v>333903917420000</v>
      </c>
      <c r="D1018" s="973" t="s">
        <v>3978</v>
      </c>
      <c r="E1018" s="948">
        <v>332319900000000</v>
      </c>
      <c r="F1018" s="975">
        <v>1</v>
      </c>
      <c r="G1018" s="973">
        <v>0</v>
      </c>
      <c r="H1018" s="972">
        <v>0</v>
      </c>
      <c r="I1018" s="976">
        <v>0</v>
      </c>
    </row>
    <row r="1019" spans="1:9" ht="24.95" customHeight="1" x14ac:dyDescent="0.25">
      <c r="A1019" s="972"/>
      <c r="B1019" s="973" t="s">
        <v>3979</v>
      </c>
      <c r="C1019" s="974">
        <v>333903919170000</v>
      </c>
      <c r="D1019" s="973" t="s">
        <v>3980</v>
      </c>
      <c r="E1019" s="948">
        <v>332310600000000</v>
      </c>
      <c r="F1019" s="975">
        <v>1</v>
      </c>
      <c r="G1019" s="973">
        <v>0</v>
      </c>
      <c r="H1019" s="972">
        <v>0</v>
      </c>
      <c r="I1019" s="976">
        <v>0</v>
      </c>
    </row>
    <row r="1020" spans="1:9" ht="24.95" customHeight="1" x14ac:dyDescent="0.25">
      <c r="A1020" s="972"/>
      <c r="B1020" s="973" t="s">
        <v>3981</v>
      </c>
      <c r="C1020" s="974">
        <v>333903917090000</v>
      </c>
      <c r="D1020" s="973" t="s">
        <v>3982</v>
      </c>
      <c r="E1020" s="948">
        <v>332310600000000</v>
      </c>
      <c r="F1020" s="975">
        <v>1</v>
      </c>
      <c r="G1020" s="973">
        <v>0</v>
      </c>
      <c r="H1020" s="972">
        <v>0</v>
      </c>
      <c r="I1020" s="976">
        <v>0</v>
      </c>
    </row>
    <row r="1021" spans="1:9" ht="24.95" customHeight="1" x14ac:dyDescent="0.25">
      <c r="A1021" s="972"/>
      <c r="B1021" s="973" t="s">
        <v>3983</v>
      </c>
      <c r="C1021" s="974">
        <v>333903921020000</v>
      </c>
      <c r="D1021" s="973" t="s">
        <v>3984</v>
      </c>
      <c r="E1021" s="948">
        <v>0</v>
      </c>
      <c r="F1021" s="975">
        <v>1</v>
      </c>
      <c r="G1021" s="973">
        <v>0</v>
      </c>
      <c r="H1021" s="972">
        <v>0</v>
      </c>
      <c r="I1021" s="976">
        <v>0</v>
      </c>
    </row>
    <row r="1022" spans="1:9" ht="24.95" customHeight="1" x14ac:dyDescent="0.25">
      <c r="A1022" s="972"/>
      <c r="B1022" s="973" t="s">
        <v>3985</v>
      </c>
      <c r="C1022" s="974">
        <v>333903970000000</v>
      </c>
      <c r="D1022" s="973" t="s">
        <v>3986</v>
      </c>
      <c r="E1022" s="948">
        <v>332312000000000</v>
      </c>
      <c r="F1022" s="975">
        <v>1</v>
      </c>
      <c r="G1022" s="973">
        <v>0</v>
      </c>
      <c r="H1022" s="972">
        <v>0</v>
      </c>
      <c r="I1022" s="976">
        <v>0</v>
      </c>
    </row>
    <row r="1023" spans="1:9" ht="24.95" customHeight="1" x14ac:dyDescent="0.25">
      <c r="A1023" s="972"/>
      <c r="B1023" s="973" t="s">
        <v>3987</v>
      </c>
      <c r="C1023" s="974">
        <v>333903921000000</v>
      </c>
      <c r="D1023" s="973" t="s">
        <v>3988</v>
      </c>
      <c r="E1023" s="948">
        <v>332319900000000</v>
      </c>
      <c r="F1023" s="975">
        <v>1</v>
      </c>
      <c r="G1023" s="973">
        <v>0</v>
      </c>
      <c r="H1023" s="972">
        <v>0</v>
      </c>
      <c r="I1023" s="976">
        <v>0</v>
      </c>
    </row>
    <row r="1024" spans="1:9" ht="24.95" customHeight="1" x14ac:dyDescent="0.25">
      <c r="A1024" s="972"/>
      <c r="B1024" s="973" t="s">
        <v>3989</v>
      </c>
      <c r="C1024" s="974">
        <v>333903969170000</v>
      </c>
      <c r="D1024" s="973" t="s">
        <v>3990</v>
      </c>
      <c r="E1024" s="948">
        <v>332310600000000</v>
      </c>
      <c r="F1024" s="975">
        <v>1</v>
      </c>
      <c r="G1024" s="973">
        <v>0</v>
      </c>
      <c r="H1024" s="972">
        <v>0</v>
      </c>
      <c r="I1024" s="976">
        <v>0</v>
      </c>
    </row>
    <row r="1025" spans="1:9" ht="24.95" customHeight="1" x14ac:dyDescent="0.25">
      <c r="A1025" s="972"/>
      <c r="B1025" s="973" t="s">
        <v>3991</v>
      </c>
      <c r="C1025" s="974">
        <v>333903917050000</v>
      </c>
      <c r="D1025" s="973" t="s">
        <v>3992</v>
      </c>
      <c r="E1025" s="948">
        <v>332310600000000</v>
      </c>
      <c r="F1025" s="975">
        <v>1</v>
      </c>
      <c r="G1025" s="973">
        <v>0</v>
      </c>
      <c r="H1025" s="972">
        <v>0</v>
      </c>
      <c r="I1025" s="976">
        <v>0</v>
      </c>
    </row>
    <row r="1026" spans="1:9" ht="24.95" customHeight="1" x14ac:dyDescent="0.25">
      <c r="A1026" s="972"/>
      <c r="B1026" s="973" t="s">
        <v>3993</v>
      </c>
      <c r="C1026" s="974">
        <v>333903917040000</v>
      </c>
      <c r="D1026" s="973" t="s">
        <v>3994</v>
      </c>
      <c r="E1026" s="948">
        <v>332310600000000</v>
      </c>
      <c r="F1026" s="975">
        <v>1</v>
      </c>
      <c r="G1026" s="973">
        <v>0</v>
      </c>
      <c r="H1026" s="972">
        <v>0</v>
      </c>
      <c r="I1026" s="976">
        <v>0</v>
      </c>
    </row>
    <row r="1027" spans="1:9" ht="24.95" customHeight="1" x14ac:dyDescent="0.25">
      <c r="A1027" s="972"/>
      <c r="B1027" s="973" t="s">
        <v>3995</v>
      </c>
      <c r="C1027" s="974">
        <v>333903917020000</v>
      </c>
      <c r="D1027" s="973" t="s">
        <v>3996</v>
      </c>
      <c r="E1027" s="948">
        <v>332310600000000</v>
      </c>
      <c r="F1027" s="975">
        <v>1</v>
      </c>
      <c r="G1027" s="973">
        <v>0</v>
      </c>
      <c r="H1027" s="972">
        <v>0</v>
      </c>
      <c r="I1027" s="976">
        <v>0</v>
      </c>
    </row>
    <row r="1028" spans="1:9" ht="24.95" customHeight="1" x14ac:dyDescent="0.25">
      <c r="A1028" s="972"/>
      <c r="B1028" s="973" t="s">
        <v>3997</v>
      </c>
      <c r="C1028" s="974">
        <v>333903919180000</v>
      </c>
      <c r="D1028" s="973" t="s">
        <v>3998</v>
      </c>
      <c r="E1028" s="948">
        <v>332310600000000</v>
      </c>
      <c r="F1028" s="975">
        <v>1</v>
      </c>
      <c r="G1028" s="973">
        <v>0</v>
      </c>
      <c r="H1028" s="972">
        <v>0</v>
      </c>
      <c r="I1028" s="976">
        <v>0</v>
      </c>
    </row>
    <row r="1029" spans="1:9" ht="24.95" customHeight="1" x14ac:dyDescent="0.25">
      <c r="A1029" s="972"/>
      <c r="B1029" s="973" t="s">
        <v>3999</v>
      </c>
      <c r="C1029" s="974">
        <v>333903919410000</v>
      </c>
      <c r="D1029" s="973" t="s">
        <v>4000</v>
      </c>
      <c r="E1029" s="948">
        <v>332310600000000</v>
      </c>
      <c r="F1029" s="975">
        <v>1</v>
      </c>
      <c r="G1029" s="973">
        <v>0</v>
      </c>
      <c r="H1029" s="972">
        <v>0</v>
      </c>
      <c r="I1029" s="976">
        <v>0</v>
      </c>
    </row>
    <row r="1030" spans="1:9" ht="24.95" customHeight="1" x14ac:dyDescent="0.25">
      <c r="A1030" s="972"/>
      <c r="B1030" s="973" t="s">
        <v>4001</v>
      </c>
      <c r="C1030" s="974">
        <v>333903905000000</v>
      </c>
      <c r="D1030" s="973" t="s">
        <v>4002</v>
      </c>
      <c r="E1030" s="948">
        <v>332315100000000</v>
      </c>
      <c r="F1030" s="975">
        <v>1</v>
      </c>
      <c r="G1030" s="973">
        <v>0</v>
      </c>
      <c r="H1030" s="972">
        <v>0</v>
      </c>
      <c r="I1030" s="976">
        <v>0</v>
      </c>
    </row>
    <row r="1031" spans="1:9" ht="24.95" customHeight="1" x14ac:dyDescent="0.25">
      <c r="A1031" s="972"/>
      <c r="B1031" s="973" t="s">
        <v>4003</v>
      </c>
      <c r="C1031" s="974">
        <v>333903917010000</v>
      </c>
      <c r="D1031" s="973" t="s">
        <v>4004</v>
      </c>
      <c r="E1031" s="948">
        <v>332310600000000</v>
      </c>
      <c r="F1031" s="975">
        <v>1</v>
      </c>
      <c r="G1031" s="973">
        <v>0</v>
      </c>
      <c r="H1031" s="972">
        <v>0</v>
      </c>
      <c r="I1031" s="976">
        <v>0</v>
      </c>
    </row>
    <row r="1032" spans="1:9" ht="24.95" customHeight="1" x14ac:dyDescent="0.25">
      <c r="A1032" s="972"/>
      <c r="B1032" s="973" t="s">
        <v>4005</v>
      </c>
      <c r="C1032" s="974">
        <v>333903919160000</v>
      </c>
      <c r="D1032" s="973" t="s">
        <v>4006</v>
      </c>
      <c r="E1032" s="948">
        <v>332310600000000</v>
      </c>
      <c r="F1032" s="975">
        <v>1</v>
      </c>
      <c r="G1032" s="973">
        <v>0</v>
      </c>
      <c r="H1032" s="972">
        <v>0</v>
      </c>
      <c r="I1032" s="976">
        <v>0</v>
      </c>
    </row>
    <row r="1033" spans="1:9" ht="24.95" customHeight="1" x14ac:dyDescent="0.25">
      <c r="A1033" s="972"/>
      <c r="B1033" s="973" t="s">
        <v>4007</v>
      </c>
      <c r="C1033" s="974">
        <v>333903917380000</v>
      </c>
      <c r="D1033" s="973" t="s">
        <v>4008</v>
      </c>
      <c r="E1033" s="948">
        <v>332310600000000</v>
      </c>
      <c r="F1033" s="975">
        <v>1</v>
      </c>
      <c r="G1033" s="973">
        <v>0</v>
      </c>
      <c r="H1033" s="972">
        <v>0</v>
      </c>
      <c r="I1033" s="976">
        <v>0</v>
      </c>
    </row>
    <row r="1034" spans="1:9" ht="24.95" customHeight="1" x14ac:dyDescent="0.25">
      <c r="A1034" s="972"/>
      <c r="B1034" s="973" t="s">
        <v>4009</v>
      </c>
      <c r="C1034" s="974">
        <v>333903917540000</v>
      </c>
      <c r="D1034" s="973" t="s">
        <v>4010</v>
      </c>
      <c r="E1034" s="948">
        <v>332319900000000</v>
      </c>
      <c r="F1034" s="975">
        <v>1</v>
      </c>
      <c r="G1034" s="973">
        <v>0</v>
      </c>
      <c r="H1034" s="972">
        <v>0</v>
      </c>
      <c r="I1034" s="976">
        <v>0</v>
      </c>
    </row>
    <row r="1035" spans="1:9" ht="24.95" customHeight="1" x14ac:dyDescent="0.25">
      <c r="A1035" s="972"/>
      <c r="B1035" s="973" t="s">
        <v>4011</v>
      </c>
      <c r="C1035" s="974">
        <v>333903917560000</v>
      </c>
      <c r="D1035" s="973" t="s">
        <v>4012</v>
      </c>
      <c r="E1035" s="948">
        <v>332319900000000</v>
      </c>
      <c r="F1035" s="975">
        <v>1</v>
      </c>
      <c r="G1035" s="973">
        <v>0</v>
      </c>
      <c r="H1035" s="972">
        <v>0</v>
      </c>
      <c r="I1035" s="976">
        <v>0</v>
      </c>
    </row>
    <row r="1036" spans="1:9" ht="24.95" customHeight="1" x14ac:dyDescent="0.25">
      <c r="A1036" s="972"/>
      <c r="B1036" s="973" t="s">
        <v>4013</v>
      </c>
      <c r="C1036" s="974">
        <v>333903905000000</v>
      </c>
      <c r="D1036" s="973" t="s">
        <v>3022</v>
      </c>
      <c r="E1036" s="948">
        <v>332315100000000</v>
      </c>
      <c r="F1036" s="975">
        <v>1</v>
      </c>
      <c r="G1036" s="973">
        <v>0</v>
      </c>
      <c r="H1036" s="972">
        <v>0</v>
      </c>
      <c r="I1036" s="976">
        <v>0</v>
      </c>
    </row>
    <row r="1037" spans="1:9" ht="24.95" customHeight="1" x14ac:dyDescent="0.25">
      <c r="A1037" s="972"/>
      <c r="B1037" s="973" t="s">
        <v>4014</v>
      </c>
      <c r="C1037" s="974">
        <v>333903969080000</v>
      </c>
      <c r="D1037" s="973" t="s">
        <v>4015</v>
      </c>
      <c r="E1037" s="948">
        <v>332310600000000</v>
      </c>
      <c r="F1037" s="975">
        <v>1</v>
      </c>
      <c r="G1037" s="973">
        <v>0</v>
      </c>
      <c r="H1037" s="972">
        <v>0</v>
      </c>
      <c r="I1037" s="976">
        <v>0</v>
      </c>
    </row>
    <row r="1038" spans="1:9" ht="24.95" customHeight="1" x14ac:dyDescent="0.25">
      <c r="A1038" s="972"/>
      <c r="B1038" s="973" t="s">
        <v>4016</v>
      </c>
      <c r="C1038" s="974">
        <v>333903917540000</v>
      </c>
      <c r="D1038" s="973" t="s">
        <v>4017</v>
      </c>
      <c r="E1038" s="948">
        <v>332310600000000</v>
      </c>
      <c r="F1038" s="975">
        <v>1</v>
      </c>
      <c r="G1038" s="973">
        <v>0</v>
      </c>
      <c r="H1038" s="972">
        <v>0</v>
      </c>
      <c r="I1038" s="976">
        <v>0</v>
      </c>
    </row>
    <row r="1039" spans="1:9" ht="24.95" customHeight="1" x14ac:dyDescent="0.25">
      <c r="A1039" s="972"/>
      <c r="B1039" s="973" t="s">
        <v>4018</v>
      </c>
      <c r="C1039" s="974">
        <v>333903974000000</v>
      </c>
      <c r="D1039" s="973" t="s">
        <v>4019</v>
      </c>
      <c r="E1039" s="948">
        <v>332319900000000</v>
      </c>
      <c r="F1039" s="975">
        <v>1</v>
      </c>
      <c r="G1039" s="973">
        <v>0</v>
      </c>
      <c r="H1039" s="972">
        <v>0</v>
      </c>
      <c r="I1039" s="976">
        <v>0</v>
      </c>
    </row>
    <row r="1040" spans="1:9" ht="24.95" customHeight="1" x14ac:dyDescent="0.25">
      <c r="A1040" s="972"/>
      <c r="B1040" s="973" t="s">
        <v>4020</v>
      </c>
      <c r="C1040" s="974">
        <v>333903969160000</v>
      </c>
      <c r="D1040" s="973" t="s">
        <v>4021</v>
      </c>
      <c r="E1040" s="948">
        <v>332310600000000</v>
      </c>
      <c r="F1040" s="975">
        <v>1</v>
      </c>
      <c r="G1040" s="973">
        <v>0</v>
      </c>
      <c r="H1040" s="972">
        <v>0</v>
      </c>
      <c r="I1040" s="976">
        <v>0</v>
      </c>
    </row>
    <row r="1041" spans="1:9" ht="24.95" customHeight="1" x14ac:dyDescent="0.25">
      <c r="A1041" s="972"/>
      <c r="B1041" s="973" t="s">
        <v>4022</v>
      </c>
      <c r="C1041" s="974">
        <v>333903969210000</v>
      </c>
      <c r="D1041" s="973" t="s">
        <v>4023</v>
      </c>
      <c r="E1041" s="948">
        <v>332310600000000</v>
      </c>
      <c r="F1041" s="975">
        <v>1</v>
      </c>
      <c r="G1041" s="973">
        <v>0</v>
      </c>
      <c r="H1041" s="972">
        <v>0</v>
      </c>
      <c r="I1041" s="976">
        <v>0</v>
      </c>
    </row>
    <row r="1042" spans="1:9" ht="24.95" customHeight="1" x14ac:dyDescent="0.25">
      <c r="A1042" s="972"/>
      <c r="B1042" s="973" t="s">
        <v>4024</v>
      </c>
      <c r="C1042" s="974">
        <v>333903917390000</v>
      </c>
      <c r="D1042" s="973" t="s">
        <v>4025</v>
      </c>
      <c r="E1042" s="948">
        <v>332310600000000</v>
      </c>
      <c r="F1042" s="975">
        <v>1</v>
      </c>
      <c r="G1042" s="973">
        <v>0</v>
      </c>
      <c r="H1042" s="972">
        <v>0</v>
      </c>
      <c r="I1042" s="976">
        <v>0</v>
      </c>
    </row>
    <row r="1043" spans="1:9" ht="24.95" customHeight="1" x14ac:dyDescent="0.25">
      <c r="A1043" s="972"/>
      <c r="B1043" s="973" t="s">
        <v>4026</v>
      </c>
      <c r="C1043" s="974">
        <v>333903919560000</v>
      </c>
      <c r="D1043" s="973" t="s">
        <v>4027</v>
      </c>
      <c r="E1043" s="948">
        <v>332310600000000</v>
      </c>
      <c r="F1043" s="975">
        <v>1</v>
      </c>
      <c r="G1043" s="973">
        <v>0</v>
      </c>
      <c r="H1043" s="972">
        <v>0</v>
      </c>
      <c r="I1043" s="976">
        <v>0</v>
      </c>
    </row>
    <row r="1044" spans="1:9" ht="24.95" customHeight="1" x14ac:dyDescent="0.25">
      <c r="A1044" s="972"/>
      <c r="B1044" s="973" t="s">
        <v>4028</v>
      </c>
      <c r="C1044" s="974">
        <v>333903921000000</v>
      </c>
      <c r="D1044" s="973" t="s">
        <v>4029</v>
      </c>
      <c r="E1044" s="948">
        <v>332319900000000</v>
      </c>
      <c r="F1044" s="975">
        <v>1</v>
      </c>
      <c r="G1044" s="973">
        <v>0</v>
      </c>
      <c r="H1044" s="972">
        <v>0</v>
      </c>
      <c r="I1044" s="976">
        <v>0</v>
      </c>
    </row>
    <row r="1045" spans="1:9" ht="24.95" customHeight="1" x14ac:dyDescent="0.25">
      <c r="A1045" s="972"/>
      <c r="B1045" s="973" t="s">
        <v>4030</v>
      </c>
      <c r="C1045" s="974">
        <v>333903969270000</v>
      </c>
      <c r="D1045" s="973" t="s">
        <v>4031</v>
      </c>
      <c r="E1045" s="948">
        <v>332310600000000</v>
      </c>
      <c r="F1045" s="975">
        <v>1</v>
      </c>
      <c r="G1045" s="973">
        <v>0</v>
      </c>
      <c r="H1045" s="972">
        <v>0</v>
      </c>
      <c r="I1045" s="976">
        <v>0</v>
      </c>
    </row>
    <row r="1046" spans="1:9" ht="24.95" customHeight="1" x14ac:dyDescent="0.25">
      <c r="A1046" s="972"/>
      <c r="B1046" s="973" t="s">
        <v>4032</v>
      </c>
      <c r="C1046" s="974">
        <v>333903969180000</v>
      </c>
      <c r="D1046" s="973" t="s">
        <v>4033</v>
      </c>
      <c r="E1046" s="948">
        <v>332310600000000</v>
      </c>
      <c r="F1046" s="975">
        <v>1</v>
      </c>
      <c r="G1046" s="973">
        <v>0</v>
      </c>
      <c r="H1046" s="972">
        <v>0</v>
      </c>
      <c r="I1046" s="976">
        <v>0</v>
      </c>
    </row>
    <row r="1047" spans="1:9" ht="24.95" customHeight="1" x14ac:dyDescent="0.25">
      <c r="A1047" s="972"/>
      <c r="B1047" s="973" t="s">
        <v>4034</v>
      </c>
      <c r="C1047" s="974">
        <v>333903917060000</v>
      </c>
      <c r="D1047" s="973" t="s">
        <v>4035</v>
      </c>
      <c r="E1047" s="948">
        <v>332310600000000</v>
      </c>
      <c r="F1047" s="975">
        <v>1</v>
      </c>
      <c r="G1047" s="973">
        <v>0</v>
      </c>
      <c r="H1047" s="972">
        <v>0</v>
      </c>
      <c r="I1047" s="976">
        <v>0</v>
      </c>
    </row>
    <row r="1048" spans="1:9" s="946" customFormat="1" ht="24.95" customHeight="1" x14ac:dyDescent="0.25">
      <c r="A1048" s="958"/>
      <c r="B1048" s="963">
        <v>26160</v>
      </c>
      <c r="C1048" s="964">
        <v>333903900000000</v>
      </c>
      <c r="D1048" s="963" t="s">
        <v>4255</v>
      </c>
      <c r="E1048" s="954"/>
      <c r="F1048" s="960">
        <v>1048</v>
      </c>
      <c r="G1048" s="963">
        <v>0</v>
      </c>
      <c r="H1048" s="958">
        <v>0</v>
      </c>
      <c r="I1048" s="961">
        <f>PUCFD!E958</f>
        <v>0.01</v>
      </c>
    </row>
    <row r="1049" spans="1:9" s="946" customFormat="1" ht="24.95" customHeight="1" x14ac:dyDescent="0.25">
      <c r="A1049" s="958"/>
      <c r="B1049" s="963">
        <v>26200</v>
      </c>
      <c r="C1049" s="964">
        <v>333904600000000</v>
      </c>
      <c r="D1049" s="963" t="s">
        <v>4038</v>
      </c>
      <c r="E1049" s="954"/>
      <c r="F1049" s="960">
        <v>1</v>
      </c>
      <c r="G1049" s="963">
        <v>0</v>
      </c>
      <c r="H1049" s="958">
        <v>0</v>
      </c>
      <c r="I1049" s="961">
        <f>SUM(I1050)</f>
        <v>47063.603171938492</v>
      </c>
    </row>
    <row r="1050" spans="1:9" s="946" customFormat="1" ht="24.95" customHeight="1" x14ac:dyDescent="0.25">
      <c r="B1050" s="973" t="s">
        <v>4106</v>
      </c>
      <c r="C1050" s="974">
        <v>333904601000000</v>
      </c>
      <c r="D1050" s="973" t="s">
        <v>5905</v>
      </c>
      <c r="E1050" s="954">
        <v>3112101990000</v>
      </c>
      <c r="F1050" s="975">
        <v>1</v>
      </c>
      <c r="G1050" s="973">
        <v>0</v>
      </c>
      <c r="H1050" s="972">
        <v>0</v>
      </c>
      <c r="I1050" s="976">
        <f>(((PUCFD!E960)*(1+PUCFD!E$10))*(1+PUCFD!E$16))</f>
        <v>47063.603171938492</v>
      </c>
    </row>
    <row r="1051" spans="1:9" s="946" customFormat="1" ht="24.95" customHeight="1" x14ac:dyDescent="0.25">
      <c r="A1051" s="958"/>
      <c r="B1051" s="963">
        <v>26300</v>
      </c>
      <c r="C1051" s="964">
        <v>333904700000000</v>
      </c>
      <c r="D1051" s="963" t="s">
        <v>4041</v>
      </c>
      <c r="E1051" s="954"/>
      <c r="F1051" s="960">
        <v>1</v>
      </c>
      <c r="G1051" s="963">
        <v>0</v>
      </c>
      <c r="H1051" s="958">
        <v>0</v>
      </c>
      <c r="I1051" s="961">
        <f>(((PUCFD!E961)*(1+PUCFD!E$10))*(1+PUCFD!E$16))</f>
        <v>4491.9625180499997</v>
      </c>
    </row>
    <row r="1052" spans="1:9" ht="24.95" customHeight="1" x14ac:dyDescent="0.25">
      <c r="A1052" s="972"/>
      <c r="B1052" s="973" t="s">
        <v>4042</v>
      </c>
      <c r="C1052" s="974">
        <v>333904720000000</v>
      </c>
      <c r="D1052" s="973" t="s">
        <v>4043</v>
      </c>
      <c r="E1052" s="948">
        <v>372110500000000</v>
      </c>
      <c r="F1052" s="975">
        <v>1</v>
      </c>
      <c r="G1052" s="973">
        <v>0</v>
      </c>
      <c r="H1052" s="972">
        <v>0</v>
      </c>
      <c r="I1052" s="976">
        <v>0</v>
      </c>
    </row>
    <row r="1053" spans="1:9" ht="24.95" customHeight="1" x14ac:dyDescent="0.25">
      <c r="A1053" s="972"/>
      <c r="B1053" s="973" t="s">
        <v>4044</v>
      </c>
      <c r="C1053" s="974">
        <v>333904718000000</v>
      </c>
      <c r="D1053" s="973" t="s">
        <v>4045</v>
      </c>
      <c r="E1053" s="948">
        <v>372110400000000</v>
      </c>
      <c r="F1053" s="975">
        <v>1</v>
      </c>
      <c r="G1053" s="973">
        <v>0</v>
      </c>
      <c r="H1053" s="972">
        <v>0</v>
      </c>
      <c r="I1053" s="976">
        <v>0</v>
      </c>
    </row>
    <row r="1054" spans="1:9" ht="24.95" customHeight="1" x14ac:dyDescent="0.25">
      <c r="A1054" s="972"/>
      <c r="B1054" s="973" t="s">
        <v>4046</v>
      </c>
      <c r="C1054" s="974">
        <v>333904720000000</v>
      </c>
      <c r="D1054" s="973" t="s">
        <v>4047</v>
      </c>
      <c r="E1054" s="948">
        <v>372110500000000</v>
      </c>
      <c r="F1054" s="975">
        <v>1</v>
      </c>
      <c r="G1054" s="973">
        <v>0</v>
      </c>
      <c r="H1054" s="972">
        <v>0</v>
      </c>
      <c r="I1054" s="976">
        <v>0</v>
      </c>
    </row>
    <row r="1055" spans="1:9" ht="24.95" customHeight="1" x14ac:dyDescent="0.25">
      <c r="A1055" s="972"/>
      <c r="B1055" s="973" t="s">
        <v>4048</v>
      </c>
      <c r="C1055" s="974">
        <v>333904720000000</v>
      </c>
      <c r="D1055" s="973" t="s">
        <v>4049</v>
      </c>
      <c r="E1055" s="948">
        <v>372110500000000</v>
      </c>
      <c r="F1055" s="975">
        <v>1</v>
      </c>
      <c r="G1055" s="973">
        <v>0</v>
      </c>
      <c r="H1055" s="972">
        <v>0</v>
      </c>
      <c r="I1055" s="976">
        <v>0</v>
      </c>
    </row>
    <row r="1056" spans="1:9" ht="24.95" customHeight="1" x14ac:dyDescent="0.25">
      <c r="A1056" s="972"/>
      <c r="B1056" s="973" t="s">
        <v>4050</v>
      </c>
      <c r="C1056" s="974">
        <v>333904720000000</v>
      </c>
      <c r="D1056" s="973" t="s">
        <v>4051</v>
      </c>
      <c r="E1056" s="948">
        <v>372110500000000</v>
      </c>
      <c r="F1056" s="975">
        <v>1</v>
      </c>
      <c r="G1056" s="973">
        <v>0</v>
      </c>
      <c r="H1056" s="972">
        <v>0</v>
      </c>
      <c r="I1056" s="976">
        <v>0</v>
      </c>
    </row>
    <row r="1057" spans="1:9" ht="24.95" customHeight="1" x14ac:dyDescent="0.25">
      <c r="A1057" s="972"/>
      <c r="B1057" s="973" t="s">
        <v>4052</v>
      </c>
      <c r="C1057" s="974">
        <v>333904720000000</v>
      </c>
      <c r="D1057" s="973" t="s">
        <v>4053</v>
      </c>
      <c r="E1057" s="948">
        <v>372110500000000</v>
      </c>
      <c r="F1057" s="975">
        <v>1</v>
      </c>
      <c r="G1057" s="973">
        <v>0</v>
      </c>
      <c r="H1057" s="972">
        <v>0</v>
      </c>
      <c r="I1057" s="976">
        <v>0</v>
      </c>
    </row>
    <row r="1058" spans="1:9" ht="24.95" customHeight="1" x14ac:dyDescent="0.25">
      <c r="A1058" s="972"/>
      <c r="B1058" s="973" t="s">
        <v>4054</v>
      </c>
      <c r="C1058" s="974">
        <v>333904720000000</v>
      </c>
      <c r="D1058" s="973" t="s">
        <v>4055</v>
      </c>
      <c r="E1058" s="948">
        <v>372110500000000</v>
      </c>
      <c r="F1058" s="975">
        <v>1</v>
      </c>
      <c r="G1058" s="973">
        <v>0</v>
      </c>
      <c r="H1058" s="972">
        <v>0</v>
      </c>
      <c r="I1058" s="976">
        <v>0</v>
      </c>
    </row>
    <row r="1059" spans="1:9" ht="24.95" customHeight="1" x14ac:dyDescent="0.25">
      <c r="A1059" s="972"/>
      <c r="B1059" s="973" t="s">
        <v>4056</v>
      </c>
      <c r="C1059" s="974">
        <v>333904720000000</v>
      </c>
      <c r="D1059" s="973" t="s">
        <v>4057</v>
      </c>
      <c r="E1059" s="948">
        <v>372110500000000</v>
      </c>
      <c r="F1059" s="975">
        <v>1</v>
      </c>
      <c r="G1059" s="973">
        <v>0</v>
      </c>
      <c r="H1059" s="972">
        <v>0</v>
      </c>
      <c r="I1059" s="976">
        <v>0</v>
      </c>
    </row>
    <row r="1060" spans="1:9" ht="24.95" customHeight="1" x14ac:dyDescent="0.25">
      <c r="A1060" s="972"/>
      <c r="B1060" s="973" t="s">
        <v>4058</v>
      </c>
      <c r="C1060" s="974">
        <v>333904720000000</v>
      </c>
      <c r="D1060" s="973" t="s">
        <v>4059</v>
      </c>
      <c r="E1060" s="948">
        <v>372110500000000</v>
      </c>
      <c r="F1060" s="975">
        <v>1</v>
      </c>
      <c r="G1060" s="973">
        <v>0</v>
      </c>
      <c r="H1060" s="972">
        <v>0</v>
      </c>
      <c r="I1060" s="976">
        <v>0</v>
      </c>
    </row>
    <row r="1061" spans="1:9" ht="24.95" customHeight="1" x14ac:dyDescent="0.25">
      <c r="A1061" s="972"/>
      <c r="B1061" s="973" t="s">
        <v>4060</v>
      </c>
      <c r="C1061" s="974">
        <v>333904720000000</v>
      </c>
      <c r="D1061" s="973" t="s">
        <v>4061</v>
      </c>
      <c r="E1061" s="948">
        <v>372110500000000</v>
      </c>
      <c r="F1061" s="975">
        <v>1</v>
      </c>
      <c r="G1061" s="973">
        <v>0</v>
      </c>
      <c r="H1061" s="972">
        <v>0</v>
      </c>
      <c r="I1061" s="976">
        <v>0</v>
      </c>
    </row>
    <row r="1062" spans="1:9" ht="24.95" customHeight="1" x14ac:dyDescent="0.25">
      <c r="A1062" s="972"/>
      <c r="B1062" s="973" t="s">
        <v>4062</v>
      </c>
      <c r="C1062" s="974">
        <v>333904720000000</v>
      </c>
      <c r="D1062" s="973" t="s">
        <v>4063</v>
      </c>
      <c r="E1062" s="948">
        <v>372110500000000</v>
      </c>
      <c r="F1062" s="975">
        <v>1</v>
      </c>
      <c r="G1062" s="973">
        <v>0</v>
      </c>
      <c r="H1062" s="972">
        <v>0</v>
      </c>
      <c r="I1062" s="976">
        <v>0</v>
      </c>
    </row>
    <row r="1063" spans="1:9" ht="24.95" customHeight="1" x14ac:dyDescent="0.25">
      <c r="A1063" s="972"/>
      <c r="B1063" s="973" t="s">
        <v>4064</v>
      </c>
      <c r="C1063" s="974">
        <v>333904720000000</v>
      </c>
      <c r="D1063" s="973" t="s">
        <v>4065</v>
      </c>
      <c r="E1063" s="948">
        <v>372110500000000</v>
      </c>
      <c r="F1063" s="975">
        <v>1</v>
      </c>
      <c r="G1063" s="973">
        <v>0</v>
      </c>
      <c r="H1063" s="972">
        <v>0</v>
      </c>
      <c r="I1063" s="976">
        <v>0</v>
      </c>
    </row>
    <row r="1064" spans="1:9" ht="24.95" customHeight="1" x14ac:dyDescent="0.25">
      <c r="A1064" s="972"/>
      <c r="B1064" s="973" t="s">
        <v>4066</v>
      </c>
      <c r="C1064" s="974">
        <v>333904720000000</v>
      </c>
      <c r="D1064" s="973" t="s">
        <v>4067</v>
      </c>
      <c r="E1064" s="948">
        <v>372110500000000</v>
      </c>
      <c r="F1064" s="975">
        <v>1</v>
      </c>
      <c r="G1064" s="973">
        <v>0</v>
      </c>
      <c r="H1064" s="972">
        <v>0</v>
      </c>
      <c r="I1064" s="976">
        <v>0</v>
      </c>
    </row>
    <row r="1065" spans="1:9" s="946" customFormat="1" ht="33" customHeight="1" x14ac:dyDescent="0.25">
      <c r="A1065" s="958"/>
      <c r="B1065" s="963">
        <v>26350</v>
      </c>
      <c r="C1065" s="964">
        <v>333904700000000</v>
      </c>
      <c r="D1065" s="963" t="s">
        <v>4068</v>
      </c>
      <c r="E1065" s="954"/>
      <c r="F1065" s="960">
        <v>1048</v>
      </c>
      <c r="G1065" s="963">
        <v>0</v>
      </c>
      <c r="H1065" s="958">
        <v>0</v>
      </c>
      <c r="I1065" s="961">
        <f>I1066</f>
        <v>82.299483679533338</v>
      </c>
    </row>
    <row r="1066" spans="1:9" ht="24.95" customHeight="1" x14ac:dyDescent="0.25">
      <c r="A1066" s="972"/>
      <c r="B1066" s="973" t="s">
        <v>4069</v>
      </c>
      <c r="C1066" s="974">
        <v>333904712000000</v>
      </c>
      <c r="D1066" s="973" t="s">
        <v>4070</v>
      </c>
      <c r="E1066" s="948">
        <v>372110200000000</v>
      </c>
      <c r="F1066" s="975">
        <v>1</v>
      </c>
      <c r="G1066" s="973">
        <v>0</v>
      </c>
      <c r="H1066" s="972">
        <v>0</v>
      </c>
      <c r="I1066" s="976">
        <f>PUCFD!E976</f>
        <v>82.299483679533338</v>
      </c>
    </row>
    <row r="1067" spans="1:9" s="946" customFormat="1" ht="24.95" customHeight="1" x14ac:dyDescent="0.25">
      <c r="A1067" s="958"/>
      <c r="B1067" s="963">
        <v>26400</v>
      </c>
      <c r="C1067" s="964">
        <v>333904900000000</v>
      </c>
      <c r="D1067" s="963" t="s">
        <v>4073</v>
      </c>
      <c r="E1067" s="954"/>
      <c r="F1067" s="960">
        <v>1</v>
      </c>
      <c r="G1067" s="963">
        <v>0</v>
      </c>
      <c r="H1067" s="958">
        <v>0</v>
      </c>
      <c r="I1067" s="961">
        <f>SUM(I1068,I1069)</f>
        <v>14020.256823854714</v>
      </c>
    </row>
    <row r="1068" spans="1:9" ht="24.95" customHeight="1" x14ac:dyDescent="0.25">
      <c r="A1068" s="972"/>
      <c r="B1068" s="973" t="s">
        <v>4074</v>
      </c>
      <c r="C1068" s="974">
        <v>333904901000000</v>
      </c>
      <c r="D1068" s="973" t="s">
        <v>3594</v>
      </c>
      <c r="E1068" s="948">
        <v>313210200000000</v>
      </c>
      <c r="F1068" s="975">
        <v>1</v>
      </c>
      <c r="G1068" s="973">
        <v>0</v>
      </c>
      <c r="H1068" s="972">
        <v>0</v>
      </c>
      <c r="I1068" s="976">
        <f>(((PUCFD!E978)*(1+PUCFD!E$85))*(1+PUCFD!E$86))</f>
        <v>10014.543709756905</v>
      </c>
    </row>
    <row r="1069" spans="1:9" ht="24.95" customHeight="1" x14ac:dyDescent="0.25">
      <c r="A1069" s="972"/>
      <c r="B1069" s="973" t="s">
        <v>4075</v>
      </c>
      <c r="C1069" s="974">
        <v>333904901000000</v>
      </c>
      <c r="D1069" s="973" t="s">
        <v>3506</v>
      </c>
      <c r="E1069" s="948">
        <v>313210200000000</v>
      </c>
      <c r="F1069" s="975">
        <v>1</v>
      </c>
      <c r="G1069" s="973">
        <v>0</v>
      </c>
      <c r="H1069" s="972">
        <v>0</v>
      </c>
      <c r="I1069" s="976">
        <f>(((PUCFD!E979)*(1+PUCFD!E$85))*(1+PUCFD!E$86))</f>
        <v>4005.713114097809</v>
      </c>
    </row>
    <row r="1070" spans="1:9" s="946" customFormat="1" ht="24.95" customHeight="1" x14ac:dyDescent="0.25">
      <c r="A1070" s="958"/>
      <c r="B1070" s="963">
        <v>26500</v>
      </c>
      <c r="C1070" s="964">
        <v>333909200000000</v>
      </c>
      <c r="D1070" s="963" t="s">
        <v>4080</v>
      </c>
      <c r="E1070" s="954"/>
      <c r="F1070" s="960">
        <v>1</v>
      </c>
      <c r="G1070" s="963">
        <v>0</v>
      </c>
      <c r="H1070" s="958">
        <v>0</v>
      </c>
      <c r="I1070" s="961">
        <f>((PUCFD!E979)*(1+PUCFD!E$10))*(1+PUCFD!E$16)</f>
        <v>4043.1283885440002</v>
      </c>
    </row>
    <row r="1071" spans="1:9" ht="24.95" customHeight="1" x14ac:dyDescent="0.25">
      <c r="A1071" s="972"/>
      <c r="B1071" s="973" t="s">
        <v>4081</v>
      </c>
      <c r="C1071" s="974">
        <v>333909292000000</v>
      </c>
      <c r="D1071" s="973" t="s">
        <v>4082</v>
      </c>
      <c r="E1071" s="948">
        <v>237110300000000</v>
      </c>
      <c r="F1071" s="975">
        <v>1</v>
      </c>
      <c r="G1071" s="973">
        <v>0</v>
      </c>
      <c r="H1071" s="972">
        <v>0</v>
      </c>
      <c r="I1071" s="976">
        <v>0</v>
      </c>
    </row>
    <row r="1072" spans="1:9" s="946" customFormat="1" ht="24.95" customHeight="1" x14ac:dyDescent="0.25">
      <c r="A1072" s="958"/>
      <c r="B1072" s="963">
        <v>26600</v>
      </c>
      <c r="C1072" s="964">
        <v>333909300000000</v>
      </c>
      <c r="D1072" s="963" t="s">
        <v>4085</v>
      </c>
      <c r="E1072" s="954"/>
      <c r="F1072" s="960">
        <v>1</v>
      </c>
      <c r="G1072" s="963">
        <v>0</v>
      </c>
      <c r="H1072" s="950"/>
      <c r="I1072" s="961">
        <f>((PUCFD!E982)*(1+PUCFD!E$10))*(1+PUCFD!E$16)</f>
        <v>1.0973403E-2</v>
      </c>
    </row>
    <row r="1073" spans="1:9" s="946" customFormat="1" ht="41.25" customHeight="1" x14ac:dyDescent="0.25">
      <c r="A1073" s="958"/>
      <c r="B1073" s="963">
        <v>26700</v>
      </c>
      <c r="C1073" s="964">
        <v>333909300000000</v>
      </c>
      <c r="D1073" s="963" t="s">
        <v>4086</v>
      </c>
      <c r="E1073" s="954"/>
      <c r="F1073" s="960">
        <v>1</v>
      </c>
      <c r="G1073" s="963">
        <v>0</v>
      </c>
      <c r="H1073" s="950"/>
      <c r="I1073" s="961">
        <f>((PUCFD!E983)*(1+PUCFD!E$10))*(1+PUCFD!E$16)</f>
        <v>1.0973403E-2</v>
      </c>
    </row>
    <row r="1074" spans="1:9" s="946" customFormat="1" ht="24.95" customHeight="1" x14ac:dyDescent="0.25">
      <c r="A1074" s="958"/>
      <c r="B1074" s="963">
        <v>26800</v>
      </c>
      <c r="C1074" s="964">
        <v>344905100000000</v>
      </c>
      <c r="D1074" s="963" t="s">
        <v>4090</v>
      </c>
      <c r="E1074" s="954"/>
      <c r="F1074" s="960">
        <v>1</v>
      </c>
      <c r="G1074" s="963">
        <v>0</v>
      </c>
      <c r="H1074" s="950"/>
      <c r="I1074" s="961">
        <f>((PUCFD!E984)*(1+PUCFD!E$10))*(1+PUCFD!E$16)</f>
        <v>1.0973403E-2</v>
      </c>
    </row>
    <row r="1075" spans="1:9" s="1004" customFormat="1" ht="24.95" customHeight="1" x14ac:dyDescent="0.25">
      <c r="A1075" s="1000"/>
      <c r="B1075" s="1001">
        <v>26900</v>
      </c>
      <c r="C1075" s="1002">
        <v>344905200000000</v>
      </c>
      <c r="D1075" s="1001" t="s">
        <v>4092</v>
      </c>
      <c r="E1075" s="1003"/>
      <c r="F1075" s="960">
        <v>1</v>
      </c>
      <c r="G1075" s="963">
        <v>0</v>
      </c>
      <c r="H1075" s="950"/>
      <c r="I1075" s="961">
        <f>SUM(I1076,I1077)+0.01</f>
        <v>3.1946806000000001E-2</v>
      </c>
    </row>
    <row r="1076" spans="1:9" ht="24.95" customHeight="1" x14ac:dyDescent="0.25">
      <c r="A1076" s="972"/>
      <c r="B1076" s="973" t="s">
        <v>4093</v>
      </c>
      <c r="C1076" s="974">
        <v>344905234000000</v>
      </c>
      <c r="D1076" s="973" t="s">
        <v>3403</v>
      </c>
      <c r="E1076" s="948">
        <v>0</v>
      </c>
      <c r="F1076" s="975">
        <v>1</v>
      </c>
      <c r="G1076" s="973">
        <v>0</v>
      </c>
      <c r="H1076" s="972">
        <v>0</v>
      </c>
      <c r="I1076" s="976">
        <f>((PUCFD!E986)*(1+PUCFD!E$10))*(1+PUCFD!E$16)</f>
        <v>1.0973403E-2</v>
      </c>
    </row>
    <row r="1077" spans="1:9" ht="24.95" customHeight="1" x14ac:dyDescent="0.25">
      <c r="A1077" s="972"/>
      <c r="B1077" s="973" t="s">
        <v>4094</v>
      </c>
      <c r="C1077" s="974">
        <v>344905235000000</v>
      </c>
      <c r="D1077" s="973" t="s">
        <v>3258</v>
      </c>
      <c r="E1077" s="948">
        <v>0</v>
      </c>
      <c r="F1077" s="975">
        <v>1</v>
      </c>
      <c r="G1077" s="973">
        <v>0</v>
      </c>
      <c r="H1077" s="972">
        <v>0</v>
      </c>
      <c r="I1077" s="976">
        <f>((PUCFD!E987)*(1+PUCFD!E$10))*(1+PUCFD!E$16)</f>
        <v>1.0973403E-2</v>
      </c>
    </row>
    <row r="1078" spans="1:9" ht="15" customHeight="1" x14ac:dyDescent="0.25">
      <c r="A1078" s="958"/>
      <c r="B1078" s="962" t="s">
        <v>3138</v>
      </c>
      <c r="C1078" s="959">
        <v>26</v>
      </c>
      <c r="D1078" s="962" t="s">
        <v>4098</v>
      </c>
      <c r="E1078" s="954"/>
      <c r="F1078" s="960"/>
      <c r="G1078" s="958"/>
      <c r="H1078" s="958"/>
      <c r="I1078" s="961">
        <f>I1079</f>
        <v>7.0000000000000007E-2</v>
      </c>
    </row>
    <row r="1079" spans="1:9" ht="15" customHeight="1" x14ac:dyDescent="0.25">
      <c r="A1079" s="958"/>
      <c r="B1079" s="962" t="s">
        <v>3139</v>
      </c>
      <c r="C1079" s="959">
        <v>782</v>
      </c>
      <c r="D1079" s="962" t="s">
        <v>4099</v>
      </c>
      <c r="E1079" s="954"/>
      <c r="F1079" s="960"/>
      <c r="G1079" s="958"/>
      <c r="H1079" s="958"/>
      <c r="I1079" s="961">
        <f>I1080</f>
        <v>7.0000000000000007E-2</v>
      </c>
    </row>
    <row r="1080" spans="1:9" ht="15" customHeight="1" x14ac:dyDescent="0.25">
      <c r="A1080" s="958"/>
      <c r="B1080" s="962" t="s">
        <v>3137</v>
      </c>
      <c r="C1080" s="959">
        <v>4</v>
      </c>
      <c r="D1080" s="962" t="s">
        <v>4097</v>
      </c>
      <c r="E1080" s="954"/>
      <c r="F1080" s="960"/>
      <c r="G1080" s="958"/>
      <c r="H1080" s="958"/>
      <c r="I1080" s="961">
        <f>I1081</f>
        <v>7.0000000000000007E-2</v>
      </c>
    </row>
    <row r="1081" spans="1:9" s="946" customFormat="1" ht="24.95" customHeight="1" x14ac:dyDescent="0.25">
      <c r="A1081" s="958"/>
      <c r="B1081" s="963" t="s">
        <v>2965</v>
      </c>
      <c r="C1081" s="959">
        <v>50</v>
      </c>
      <c r="D1081" s="963" t="s">
        <v>5906</v>
      </c>
      <c r="E1081" s="954"/>
      <c r="F1081" s="960"/>
      <c r="G1081" s="963"/>
      <c r="H1081" s="956"/>
      <c r="I1081" s="957">
        <f>SUM(I1082:I1088)</f>
        <v>7.0000000000000007E-2</v>
      </c>
    </row>
    <row r="1082" spans="1:9" s="946" customFormat="1" ht="24.95" customHeight="1" x14ac:dyDescent="0.25">
      <c r="A1082" s="958"/>
      <c r="B1082" s="973">
        <v>127000</v>
      </c>
      <c r="C1082" s="974">
        <v>333903000000000</v>
      </c>
      <c r="D1082" s="973" t="s">
        <v>5907</v>
      </c>
      <c r="E1082" s="948"/>
      <c r="F1082" s="975">
        <v>1</v>
      </c>
      <c r="G1082" s="973">
        <v>0</v>
      </c>
      <c r="H1082" s="972">
        <v>0</v>
      </c>
      <c r="I1082" s="951">
        <f>PUCFD!E989</f>
        <v>0.01</v>
      </c>
    </row>
    <row r="1083" spans="1:9" s="946" customFormat="1" ht="24.95" customHeight="1" x14ac:dyDescent="0.25">
      <c r="A1083" s="958"/>
      <c r="B1083" s="973">
        <v>127030</v>
      </c>
      <c r="C1083" s="974">
        <v>333903200000000</v>
      </c>
      <c r="D1083" s="973" t="s">
        <v>5913</v>
      </c>
      <c r="E1083" s="948"/>
      <c r="F1083" s="975">
        <v>1</v>
      </c>
      <c r="G1083" s="973">
        <v>0</v>
      </c>
      <c r="H1083" s="972">
        <v>0</v>
      </c>
      <c r="I1083" s="951">
        <f>PUCFD!E990</f>
        <v>0.01</v>
      </c>
    </row>
    <row r="1084" spans="1:9" s="946" customFormat="1" ht="24.95" customHeight="1" x14ac:dyDescent="0.25">
      <c r="A1084" s="958"/>
      <c r="B1084" s="973">
        <v>127050</v>
      </c>
      <c r="C1084" s="974">
        <v>333903600000000</v>
      </c>
      <c r="D1084" s="973" t="s">
        <v>5912</v>
      </c>
      <c r="E1084" s="948"/>
      <c r="F1084" s="975">
        <v>1</v>
      </c>
      <c r="G1084" s="973">
        <v>0</v>
      </c>
      <c r="H1084" s="972">
        <v>0</v>
      </c>
      <c r="I1084" s="951">
        <f>PUCFD!E991</f>
        <v>0.01</v>
      </c>
    </row>
    <row r="1085" spans="1:9" s="946" customFormat="1" ht="24.95" customHeight="1" x14ac:dyDescent="0.25">
      <c r="A1085" s="958"/>
      <c r="B1085" s="973">
        <v>127080</v>
      </c>
      <c r="C1085" s="974">
        <v>333903900000000</v>
      </c>
      <c r="D1085" s="973" t="s">
        <v>5911</v>
      </c>
      <c r="E1085" s="948"/>
      <c r="F1085" s="975">
        <v>1</v>
      </c>
      <c r="G1085" s="973">
        <v>0</v>
      </c>
      <c r="H1085" s="972">
        <v>0</v>
      </c>
      <c r="I1085" s="951">
        <f>PUCFD!E992</f>
        <v>0.01</v>
      </c>
    </row>
    <row r="1086" spans="1:9" s="946" customFormat="1" ht="24.95" customHeight="1" x14ac:dyDescent="0.25">
      <c r="A1086" s="958"/>
      <c r="B1086" s="973">
        <v>127120</v>
      </c>
      <c r="C1086" s="974">
        <v>333904700000000</v>
      </c>
      <c r="D1086" s="973" t="s">
        <v>5910</v>
      </c>
      <c r="E1086" s="948"/>
      <c r="F1086" s="975">
        <v>1</v>
      </c>
      <c r="G1086" s="973">
        <v>0</v>
      </c>
      <c r="H1086" s="972">
        <v>0</v>
      </c>
      <c r="I1086" s="951">
        <f>PUCFD!E993</f>
        <v>0.01</v>
      </c>
    </row>
    <row r="1087" spans="1:9" s="946" customFormat="1" ht="24.95" customHeight="1" x14ac:dyDescent="0.25">
      <c r="A1087" s="958"/>
      <c r="B1087" s="973">
        <v>127150</v>
      </c>
      <c r="C1087" s="974">
        <v>344905100000000</v>
      </c>
      <c r="D1087" s="973" t="s">
        <v>5908</v>
      </c>
      <c r="E1087" s="948"/>
      <c r="F1087" s="975">
        <v>1</v>
      </c>
      <c r="G1087" s="973">
        <v>0</v>
      </c>
      <c r="H1087" s="972">
        <v>0</v>
      </c>
      <c r="I1087" s="951">
        <f>PUCFD!E994</f>
        <v>0.01</v>
      </c>
    </row>
    <row r="1088" spans="1:9" ht="24.95" customHeight="1" x14ac:dyDescent="0.25">
      <c r="A1088" s="972"/>
      <c r="B1088" s="1005">
        <v>127180</v>
      </c>
      <c r="C1088" s="1006">
        <v>344905200000000</v>
      </c>
      <c r="D1088" s="1005" t="s">
        <v>5909</v>
      </c>
      <c r="E1088" s="1007"/>
      <c r="F1088" s="975">
        <v>1</v>
      </c>
      <c r="G1088" s="973">
        <v>0</v>
      </c>
      <c r="H1088" s="972">
        <v>0</v>
      </c>
      <c r="I1088" s="951">
        <f>PUCFD!E995</f>
        <v>0.01</v>
      </c>
    </row>
    <row r="1089" spans="1:9" ht="15" customHeight="1" x14ac:dyDescent="0.25">
      <c r="A1089" s="958"/>
      <c r="B1089" s="962" t="s">
        <v>3138</v>
      </c>
      <c r="C1089" s="959">
        <v>26</v>
      </c>
      <c r="D1089" s="962" t="s">
        <v>4098</v>
      </c>
      <c r="E1089" s="954"/>
      <c r="F1089" s="960"/>
      <c r="G1089" s="958"/>
      <c r="H1089" s="958"/>
      <c r="I1089" s="961">
        <f>I1090</f>
        <v>1500</v>
      </c>
    </row>
    <row r="1090" spans="1:9" ht="15" customHeight="1" x14ac:dyDescent="0.25">
      <c r="A1090" s="958"/>
      <c r="B1090" s="962" t="s">
        <v>3139</v>
      </c>
      <c r="C1090" s="959">
        <v>126</v>
      </c>
      <c r="D1090" s="962" t="s">
        <v>3600</v>
      </c>
      <c r="E1090" s="954"/>
      <c r="F1090" s="960"/>
      <c r="G1090" s="958"/>
      <c r="H1090" s="958"/>
      <c r="I1090" s="961">
        <f>I1091</f>
        <v>1500</v>
      </c>
    </row>
    <row r="1091" spans="1:9" ht="15" customHeight="1" x14ac:dyDescent="0.25">
      <c r="A1091" s="958"/>
      <c r="B1091" s="962" t="s">
        <v>3137</v>
      </c>
      <c r="C1091" s="959">
        <v>4</v>
      </c>
      <c r="D1091" s="962" t="s">
        <v>4097</v>
      </c>
      <c r="E1091" s="954"/>
      <c r="F1091" s="960"/>
      <c r="G1091" s="958"/>
      <c r="H1091" s="958"/>
      <c r="I1091" s="961">
        <f>I1092</f>
        <v>1500</v>
      </c>
    </row>
    <row r="1092" spans="1:9" s="946" customFormat="1" ht="24.95" customHeight="1" x14ac:dyDescent="0.25">
      <c r="A1092" s="958"/>
      <c r="B1092" s="963" t="s">
        <v>2965</v>
      </c>
      <c r="C1092" s="959">
        <v>2056</v>
      </c>
      <c r="D1092" s="963" t="s">
        <v>6980</v>
      </c>
      <c r="E1092" s="954"/>
      <c r="F1092" s="960"/>
      <c r="G1092" s="963"/>
      <c r="H1092" s="956"/>
      <c r="I1092" s="957">
        <f>I1093</f>
        <v>1500</v>
      </c>
    </row>
    <row r="1093" spans="1:9" ht="24.95" customHeight="1" x14ac:dyDescent="0.25">
      <c r="A1093" s="972"/>
      <c r="B1093" s="1005">
        <v>27900</v>
      </c>
      <c r="C1093" s="974">
        <v>333904000000000</v>
      </c>
      <c r="D1093" s="973" t="s">
        <v>7004</v>
      </c>
      <c r="F1093" s="975">
        <v>1</v>
      </c>
      <c r="G1093" s="973">
        <v>0</v>
      </c>
      <c r="H1093" s="972">
        <v>0</v>
      </c>
      <c r="I1093" s="951">
        <f>PUCFD!E997</f>
        <v>1500</v>
      </c>
    </row>
    <row r="1094" spans="1:9" ht="15" customHeight="1" x14ac:dyDescent="0.25">
      <c r="A1094" s="958"/>
      <c r="B1094" s="962" t="s">
        <v>3138</v>
      </c>
      <c r="C1094" s="959">
        <v>26</v>
      </c>
      <c r="D1094" s="962" t="s">
        <v>4098</v>
      </c>
      <c r="E1094" s="954"/>
      <c r="F1094" s="960"/>
      <c r="G1094" s="958"/>
      <c r="H1094" s="958"/>
      <c r="I1094" s="961">
        <f>I1095</f>
        <v>2300.0200000000004</v>
      </c>
    </row>
    <row r="1095" spans="1:9" ht="15" customHeight="1" x14ac:dyDescent="0.25">
      <c r="A1095" s="958"/>
      <c r="B1095" s="962" t="s">
        <v>3139</v>
      </c>
      <c r="C1095" s="959">
        <v>128</v>
      </c>
      <c r="D1095" s="962" t="s">
        <v>5104</v>
      </c>
      <c r="E1095" s="954"/>
      <c r="F1095" s="960"/>
      <c r="G1095" s="958"/>
      <c r="H1095" s="958"/>
      <c r="I1095" s="961">
        <f>I1096</f>
        <v>2300.0200000000004</v>
      </c>
    </row>
    <row r="1096" spans="1:9" ht="15" customHeight="1" x14ac:dyDescent="0.25">
      <c r="A1096" s="958"/>
      <c r="B1096" s="962" t="s">
        <v>3137</v>
      </c>
      <c r="C1096" s="959">
        <v>4</v>
      </c>
      <c r="D1096" s="962" t="s">
        <v>4097</v>
      </c>
      <c r="E1096" s="954"/>
      <c r="F1096" s="960"/>
      <c r="G1096" s="958"/>
      <c r="H1096" s="958"/>
      <c r="I1096" s="961">
        <f>I1097</f>
        <v>2300.0200000000004</v>
      </c>
    </row>
    <row r="1097" spans="1:9" s="946" customFormat="1" ht="24.95" customHeight="1" x14ac:dyDescent="0.25">
      <c r="A1097" s="958"/>
      <c r="B1097" s="963" t="s">
        <v>2965</v>
      </c>
      <c r="C1097" s="959">
        <v>2056</v>
      </c>
      <c r="D1097" s="963" t="s">
        <v>6980</v>
      </c>
      <c r="E1097" s="954"/>
      <c r="F1097" s="960"/>
      <c r="G1097" s="963"/>
      <c r="H1097" s="956"/>
      <c r="I1097" s="957">
        <f>SUM(I1098:I1102)</f>
        <v>2300.0200000000004</v>
      </c>
    </row>
    <row r="1098" spans="1:9" ht="24.95" customHeight="1" x14ac:dyDescent="0.25">
      <c r="A1098" s="972"/>
      <c r="B1098" s="1005">
        <v>28000</v>
      </c>
      <c r="C1098" s="974">
        <v>333901400000000</v>
      </c>
      <c r="D1098" s="973" t="s">
        <v>6987</v>
      </c>
      <c r="F1098" s="975">
        <v>1</v>
      </c>
      <c r="G1098" s="973">
        <v>0</v>
      </c>
      <c r="H1098" s="972">
        <v>0</v>
      </c>
      <c r="I1098" s="951">
        <f>PUCFD!E999</f>
        <v>1000</v>
      </c>
    </row>
    <row r="1099" spans="1:9" ht="24.95" customHeight="1" x14ac:dyDescent="0.25">
      <c r="A1099" s="972"/>
      <c r="B1099" s="1005">
        <v>28020</v>
      </c>
      <c r="C1099" s="974">
        <v>333903300000000</v>
      </c>
      <c r="D1099" s="973" t="s">
        <v>6988</v>
      </c>
      <c r="F1099" s="975">
        <v>1</v>
      </c>
      <c r="G1099" s="973">
        <v>0</v>
      </c>
      <c r="H1099" s="972">
        <v>0</v>
      </c>
      <c r="I1099" s="951">
        <f>PUCFD!E1000</f>
        <v>300</v>
      </c>
    </row>
    <row r="1100" spans="1:9" ht="24.95" customHeight="1" x14ac:dyDescent="0.25">
      <c r="A1100" s="972"/>
      <c r="B1100" s="1005">
        <v>28040</v>
      </c>
      <c r="C1100" s="974">
        <v>333903600000000</v>
      </c>
      <c r="D1100" s="973" t="s">
        <v>6990</v>
      </c>
      <c r="F1100" s="975">
        <v>1</v>
      </c>
      <c r="G1100" s="973">
        <v>0</v>
      </c>
      <c r="H1100" s="972">
        <v>0</v>
      </c>
      <c r="I1100" s="951">
        <f>PUCFD!E1001</f>
        <v>0.01</v>
      </c>
    </row>
    <row r="1101" spans="1:9" ht="30.75" customHeight="1" x14ac:dyDescent="0.25">
      <c r="A1101" s="972"/>
      <c r="B1101" s="1005">
        <v>28060</v>
      </c>
      <c r="C1101" s="974">
        <v>333903900000000</v>
      </c>
      <c r="D1101" s="973" t="s">
        <v>6997</v>
      </c>
      <c r="F1101" s="975">
        <v>1</v>
      </c>
      <c r="G1101" s="973">
        <v>0</v>
      </c>
      <c r="H1101" s="972">
        <v>0</v>
      </c>
      <c r="I1101" s="951">
        <f>PUCFD!E1002</f>
        <v>1000</v>
      </c>
    </row>
    <row r="1102" spans="1:9" ht="35.25" customHeight="1" x14ac:dyDescent="0.25">
      <c r="A1102" s="972"/>
      <c r="B1102" s="1005">
        <v>28080</v>
      </c>
      <c r="C1102" s="974">
        <v>333904700000000</v>
      </c>
      <c r="D1102" s="973" t="s">
        <v>6989</v>
      </c>
      <c r="F1102" s="975">
        <v>1</v>
      </c>
      <c r="G1102" s="973">
        <v>0</v>
      </c>
      <c r="H1102" s="972">
        <v>0</v>
      </c>
      <c r="I1102" s="951">
        <f>PUCFD!E1003</f>
        <v>0.01</v>
      </c>
    </row>
    <row r="1103" spans="1:9" ht="15" customHeight="1" x14ac:dyDescent="0.25">
      <c r="A1103" s="958"/>
      <c r="B1103" s="962" t="s">
        <v>3138</v>
      </c>
      <c r="C1103" s="959">
        <v>26</v>
      </c>
      <c r="D1103" s="962" t="s">
        <v>4098</v>
      </c>
      <c r="E1103" s="954"/>
      <c r="F1103" s="960"/>
      <c r="G1103" s="958"/>
      <c r="H1103" s="958"/>
      <c r="I1103" s="961">
        <f>I1104</f>
        <v>285779.19569625834</v>
      </c>
    </row>
    <row r="1104" spans="1:9" ht="15" customHeight="1" x14ac:dyDescent="0.25">
      <c r="A1104" s="958"/>
      <c r="B1104" s="962" t="s">
        <v>3139</v>
      </c>
      <c r="C1104" s="959">
        <v>782</v>
      </c>
      <c r="D1104" s="962" t="s">
        <v>4099</v>
      </c>
      <c r="E1104" s="954"/>
      <c r="F1104" s="960"/>
      <c r="G1104" s="958"/>
      <c r="H1104" s="958"/>
      <c r="I1104" s="961">
        <f>I1105</f>
        <v>285779.19569625834</v>
      </c>
    </row>
    <row r="1105" spans="1:9" ht="15" customHeight="1" x14ac:dyDescent="0.25">
      <c r="A1105" s="958"/>
      <c r="B1105" s="962" t="s">
        <v>3137</v>
      </c>
      <c r="C1105" s="959">
        <v>4</v>
      </c>
      <c r="D1105" s="962" t="s">
        <v>4097</v>
      </c>
      <c r="E1105" s="954"/>
      <c r="F1105" s="960"/>
      <c r="G1105" s="958"/>
      <c r="H1105" s="958"/>
      <c r="I1105" s="961">
        <f>I1106</f>
        <v>285779.19569625834</v>
      </c>
    </row>
    <row r="1106" spans="1:9" s="946" customFormat="1" ht="24.95" customHeight="1" x14ac:dyDescent="0.25">
      <c r="A1106" s="958"/>
      <c r="B1106" s="963" t="s">
        <v>2965</v>
      </c>
      <c r="C1106" s="959">
        <v>2056</v>
      </c>
      <c r="D1106" s="963" t="s">
        <v>6980</v>
      </c>
      <c r="E1106" s="954"/>
      <c r="F1106" s="960"/>
      <c r="G1106" s="963"/>
      <c r="H1106" s="956"/>
      <c r="I1106" s="957">
        <f>I1107+I1108+I1109+I1110+I1111+I1112+I1113+I1114+I1115+I1116+I1117+I1118+I1119+I1120+I1121+I1122+I1123</f>
        <v>285779.19569625834</v>
      </c>
    </row>
    <row r="1107" spans="1:9" ht="24.95" customHeight="1" x14ac:dyDescent="0.25">
      <c r="A1107" s="972"/>
      <c r="B1107" s="1005">
        <v>28100</v>
      </c>
      <c r="C1107" s="974">
        <v>331900400000000</v>
      </c>
      <c r="D1107" s="973" t="s">
        <v>6991</v>
      </c>
      <c r="F1107" s="975">
        <v>1</v>
      </c>
      <c r="G1107" s="973">
        <v>0</v>
      </c>
      <c r="H1107" s="972">
        <v>0</v>
      </c>
      <c r="I1107" s="951">
        <f>(PUCFD!E1006+PUCFD!E1007+PUCFD!E1008)*(1+PUCFD!E92)*(1+PUCFD!E$87)</f>
        <v>94245.127258723471</v>
      </c>
    </row>
    <row r="1108" spans="1:9" ht="24.95" customHeight="1" x14ac:dyDescent="0.25">
      <c r="A1108" s="972"/>
      <c r="B1108" s="1005">
        <v>28120</v>
      </c>
      <c r="C1108" s="974">
        <v>331900800000000</v>
      </c>
      <c r="D1108" s="973" t="s">
        <v>7003</v>
      </c>
      <c r="E1108" s="954"/>
      <c r="F1108" s="975">
        <v>1</v>
      </c>
      <c r="G1108" s="973">
        <v>0</v>
      </c>
      <c r="H1108" s="972">
        <v>0</v>
      </c>
      <c r="I1108" s="951">
        <f>(I1109+I1111+I1112)*PUCFD!E93*(1+PUCFD!E$87)</f>
        <v>25419.068420669872</v>
      </c>
    </row>
    <row r="1109" spans="1:9" s="946" customFormat="1" ht="24.95" customHeight="1" x14ac:dyDescent="0.25">
      <c r="A1109" s="958"/>
      <c r="B1109" s="1005">
        <f>B1108+20</f>
        <v>28140</v>
      </c>
      <c r="C1109" s="974">
        <v>331901100000000</v>
      </c>
      <c r="D1109" s="973" t="s">
        <v>6992</v>
      </c>
      <c r="E1109" s="954"/>
      <c r="F1109" s="975">
        <v>1</v>
      </c>
      <c r="G1109" s="973">
        <v>0</v>
      </c>
      <c r="H1109" s="972">
        <v>0</v>
      </c>
      <c r="I1109" s="951">
        <f>(PUCFD!E1010+PUCFD!E1011+PUCFD!E1012+PUCFD!E1013+PUCFD!E1014)*(1+PUCFD!E$87)</f>
        <v>113483.58110525181</v>
      </c>
    </row>
    <row r="1110" spans="1:9" s="946" customFormat="1" ht="24.95" customHeight="1" x14ac:dyDescent="0.25">
      <c r="A1110" s="958"/>
      <c r="B1110" s="1005">
        <f>B1109+20</f>
        <v>28160</v>
      </c>
      <c r="C1110" s="974">
        <v>331901300000000</v>
      </c>
      <c r="D1110" s="973" t="s">
        <v>6993</v>
      </c>
      <c r="E1110" s="954"/>
      <c r="F1110" s="975">
        <v>1</v>
      </c>
      <c r="G1110" s="973">
        <v>0</v>
      </c>
      <c r="H1110" s="972">
        <v>0</v>
      </c>
      <c r="I1110" s="951">
        <f>(I1109+I1111+I1112)*PUCFD!E92*(1+PUCFD!E$87)</f>
        <v>26690.021841703368</v>
      </c>
    </row>
    <row r="1111" spans="1:9" s="946" customFormat="1" ht="24.95" customHeight="1" x14ac:dyDescent="0.25">
      <c r="A1111" s="958"/>
      <c r="B1111" s="1005">
        <f>B1110+20</f>
        <v>28180</v>
      </c>
      <c r="C1111" s="974">
        <v>331901600000000</v>
      </c>
      <c r="D1111" s="973" t="s">
        <v>6994</v>
      </c>
      <c r="E1111" s="954"/>
      <c r="F1111" s="975">
        <v>1</v>
      </c>
      <c r="G1111" s="973">
        <v>0</v>
      </c>
      <c r="H1111" s="972">
        <v>0</v>
      </c>
      <c r="I1111" s="951">
        <f>PUCFD!E1017*12*(1+PUCFD!E$87)</f>
        <v>7559.9148714213707</v>
      </c>
    </row>
    <row r="1112" spans="1:9" s="946" customFormat="1" ht="24.95" customHeight="1" x14ac:dyDescent="0.25">
      <c r="A1112" s="958"/>
      <c r="B1112" s="1005">
        <f>B1111+20</f>
        <v>28200</v>
      </c>
      <c r="C1112" s="974">
        <v>331903400000000</v>
      </c>
      <c r="D1112" s="973" t="s">
        <v>6996</v>
      </c>
      <c r="E1112" s="954"/>
      <c r="F1112" s="975">
        <v>1</v>
      </c>
      <c r="G1112" s="973">
        <v>0</v>
      </c>
      <c r="H1112" s="972">
        <v>0</v>
      </c>
      <c r="I1112" s="951">
        <f>PUCFD!E1018*(1+PUCFD!E$87)</f>
        <v>1.0499881765863015</v>
      </c>
    </row>
    <row r="1113" spans="1:9" s="946" customFormat="1" ht="24.95" customHeight="1" x14ac:dyDescent="0.25">
      <c r="A1113" s="958"/>
      <c r="B1113" s="1005">
        <f t="shared" ref="B1113:B1123" si="0">B1112+20</f>
        <v>28220</v>
      </c>
      <c r="C1113" s="974">
        <v>331909400000000</v>
      </c>
      <c r="D1113" s="973" t="s">
        <v>6995</v>
      </c>
      <c r="E1113" s="954"/>
      <c r="F1113" s="975">
        <v>1</v>
      </c>
      <c r="G1113" s="973">
        <v>0</v>
      </c>
      <c r="H1113" s="972">
        <v>0</v>
      </c>
      <c r="I1113" s="951">
        <f>('FOPAG EXEC.'!E346+'FOPAG EXEC.'!E347)*(1+PUCFD!E$87)</f>
        <v>7788.8534924564874</v>
      </c>
    </row>
    <row r="1114" spans="1:9" s="946" customFormat="1" ht="24.95" customHeight="1" x14ac:dyDescent="0.25">
      <c r="A1114" s="958"/>
      <c r="B1114" s="1005">
        <f t="shared" si="0"/>
        <v>28240</v>
      </c>
      <c r="C1114" s="974">
        <v>333901400000000</v>
      </c>
      <c r="D1114" s="973" t="s">
        <v>6998</v>
      </c>
      <c r="E1114" s="954"/>
      <c r="F1114" s="975">
        <v>1</v>
      </c>
      <c r="G1114" s="973">
        <v>0</v>
      </c>
      <c r="H1114" s="972">
        <v>0</v>
      </c>
      <c r="I1114" s="951">
        <f>PUCFD!E1019*(1+PUCFD!E$87)</f>
        <v>1574.9822648794523</v>
      </c>
    </row>
    <row r="1115" spans="1:9" ht="24.95" customHeight="1" x14ac:dyDescent="0.25">
      <c r="A1115" s="972"/>
      <c r="B1115" s="1005">
        <f t="shared" si="0"/>
        <v>28260</v>
      </c>
      <c r="C1115" s="974">
        <v>333903000000000</v>
      </c>
      <c r="D1115" s="973" t="s">
        <v>6981</v>
      </c>
      <c r="F1115" s="975">
        <v>1</v>
      </c>
      <c r="G1115" s="973">
        <v>0</v>
      </c>
      <c r="H1115" s="972">
        <v>0</v>
      </c>
      <c r="I1115" s="951">
        <f>PUCFD!E1020</f>
        <v>1000</v>
      </c>
    </row>
    <row r="1116" spans="1:9" ht="24.95" customHeight="1" x14ac:dyDescent="0.25">
      <c r="A1116" s="972"/>
      <c r="B1116" s="1005">
        <f t="shared" si="0"/>
        <v>28280</v>
      </c>
      <c r="C1116" s="974">
        <v>333903300000000</v>
      </c>
      <c r="D1116" s="973" t="s">
        <v>6999</v>
      </c>
      <c r="F1116" s="975">
        <v>1</v>
      </c>
      <c r="G1116" s="973">
        <v>0</v>
      </c>
      <c r="H1116" s="972">
        <v>0</v>
      </c>
      <c r="I1116" s="951">
        <f>PUCFD!E1021*(1+PUCFD!E$87)</f>
        <v>314.99645297589046</v>
      </c>
    </row>
    <row r="1117" spans="1:9" ht="24.95" customHeight="1" x14ac:dyDescent="0.25">
      <c r="A1117" s="972"/>
      <c r="B1117" s="1005">
        <f t="shared" si="0"/>
        <v>28300</v>
      </c>
      <c r="C1117" s="974">
        <v>333903600000000</v>
      </c>
      <c r="D1117" s="973" t="s">
        <v>6982</v>
      </c>
      <c r="F1117" s="975">
        <v>1</v>
      </c>
      <c r="G1117" s="973">
        <v>0</v>
      </c>
      <c r="H1117" s="972">
        <v>0</v>
      </c>
      <c r="I1117" s="951">
        <f>PUCFD!E1022</f>
        <v>0.01</v>
      </c>
    </row>
    <row r="1118" spans="1:9" ht="24.95" customHeight="1" x14ac:dyDescent="0.25">
      <c r="A1118" s="972"/>
      <c r="B1118" s="1005">
        <f t="shared" si="0"/>
        <v>28320</v>
      </c>
      <c r="C1118" s="974">
        <v>333903900000000</v>
      </c>
      <c r="D1118" s="973" t="s">
        <v>6983</v>
      </c>
      <c r="F1118" s="975">
        <v>1</v>
      </c>
      <c r="G1118" s="973">
        <v>0</v>
      </c>
      <c r="H1118" s="972">
        <v>0</v>
      </c>
      <c r="I1118" s="951">
        <f>PUCFD!E1023</f>
        <v>2000</v>
      </c>
    </row>
    <row r="1119" spans="1:9" ht="24.95" customHeight="1" x14ac:dyDescent="0.25">
      <c r="A1119" s="972"/>
      <c r="B1119" s="1005">
        <f t="shared" si="0"/>
        <v>28340</v>
      </c>
      <c r="C1119" s="974">
        <v>333904600000000</v>
      </c>
      <c r="D1119" s="973" t="s">
        <v>7000</v>
      </c>
      <c r="F1119" s="975">
        <v>1</v>
      </c>
      <c r="G1119" s="973">
        <v>0</v>
      </c>
      <c r="H1119" s="972">
        <v>0</v>
      </c>
      <c r="I1119" s="951">
        <f>PUCFD!E1024</f>
        <v>4512</v>
      </c>
    </row>
    <row r="1120" spans="1:9" ht="24.95" customHeight="1" x14ac:dyDescent="0.25">
      <c r="A1120" s="972"/>
      <c r="B1120" s="1005">
        <f t="shared" si="0"/>
        <v>28360</v>
      </c>
      <c r="C1120" s="974">
        <v>333904700000000</v>
      </c>
      <c r="D1120" s="973" t="s">
        <v>6984</v>
      </c>
      <c r="F1120" s="975">
        <v>1</v>
      </c>
      <c r="G1120" s="973">
        <v>0</v>
      </c>
      <c r="H1120" s="972">
        <v>0</v>
      </c>
      <c r="I1120" s="951">
        <f>PUCFD!E1025</f>
        <v>0.01</v>
      </c>
    </row>
    <row r="1121" spans="1:9" ht="24.95" customHeight="1" x14ac:dyDescent="0.25">
      <c r="A1121" s="972"/>
      <c r="B1121" s="1005">
        <f t="shared" si="0"/>
        <v>28380</v>
      </c>
      <c r="C1121" s="974">
        <v>333904900000000</v>
      </c>
      <c r="D1121" s="973" t="s">
        <v>7001</v>
      </c>
      <c r="F1121" s="975">
        <v>1</v>
      </c>
      <c r="G1121" s="973">
        <v>0</v>
      </c>
      <c r="H1121" s="972">
        <v>0</v>
      </c>
      <c r="I1121" s="951">
        <f>PUCFD!E1026</f>
        <v>1189.5600000000002</v>
      </c>
    </row>
    <row r="1122" spans="1:9" ht="24.95" customHeight="1" x14ac:dyDescent="0.25">
      <c r="A1122" s="972"/>
      <c r="B1122" s="1005">
        <f t="shared" si="0"/>
        <v>28400</v>
      </c>
      <c r="C1122" s="974">
        <v>344905100000000</v>
      </c>
      <c r="D1122" s="973" t="s">
        <v>6985</v>
      </c>
      <c r="F1122" s="975">
        <v>1</v>
      </c>
      <c r="G1122" s="973">
        <v>0</v>
      </c>
      <c r="H1122" s="972">
        <v>0</v>
      </c>
      <c r="I1122" s="951">
        <f>PUCFD!E1027</f>
        <v>0.01</v>
      </c>
    </row>
    <row r="1123" spans="1:9" ht="24.95" customHeight="1" x14ac:dyDescent="0.25">
      <c r="A1123" s="972"/>
      <c r="B1123" s="1005">
        <f t="shared" si="0"/>
        <v>28420</v>
      </c>
      <c r="C1123" s="1006">
        <v>344905200000000</v>
      </c>
      <c r="D1123" s="1005" t="s">
        <v>6986</v>
      </c>
      <c r="E1123" s="1007"/>
      <c r="F1123" s="975">
        <v>1</v>
      </c>
      <c r="G1123" s="973">
        <v>0</v>
      </c>
      <c r="H1123" s="972">
        <v>0</v>
      </c>
      <c r="I1123" s="951">
        <f>PUCFD!E1028</f>
        <v>0.01</v>
      </c>
    </row>
    <row r="1124" spans="1:9" ht="24.95" customHeight="1" x14ac:dyDescent="0.25">
      <c r="A1124" s="946"/>
      <c r="B1124" s="1608" t="s">
        <v>3336</v>
      </c>
      <c r="C1124" s="1608"/>
      <c r="D1124" s="1608"/>
      <c r="E1124" s="1608"/>
      <c r="F1124" s="1608"/>
      <c r="G1124" s="1608"/>
      <c r="H1124" s="1608"/>
      <c r="I1124" s="957">
        <f>SUM(I654,I668,I681,I695,I715,I751,I786,I870,I878,I905,I888,I896,I1081,I1092,I1097,I1106,)+0.03</f>
        <v>2319452.1409503799</v>
      </c>
    </row>
    <row r="1125" spans="1:9" ht="24.95" customHeight="1" x14ac:dyDescent="0.25">
      <c r="A1125" s="946"/>
      <c r="B1125" s="1608" t="s">
        <v>4114</v>
      </c>
      <c r="C1125" s="1608"/>
      <c r="D1125" s="1608"/>
      <c r="E1125" s="1608"/>
      <c r="F1125" s="1608"/>
      <c r="G1125" s="1608"/>
      <c r="H1125" s="1608"/>
      <c r="I1125" s="957">
        <f>I1124</f>
        <v>2319452.1409503799</v>
      </c>
    </row>
    <row r="1126" spans="1:9" ht="24.95" customHeight="1" x14ac:dyDescent="0.25">
      <c r="A1126" s="946"/>
      <c r="B1126" s="987"/>
      <c r="C1126" s="988"/>
      <c r="D1126" s="987"/>
      <c r="E1126" s="954" t="s">
        <v>4777</v>
      </c>
      <c r="F1126" s="960"/>
      <c r="G1126" s="960"/>
      <c r="H1126" s="958"/>
      <c r="I1126" s="961"/>
    </row>
    <row r="1127" spans="1:9" ht="24.95" customHeight="1" x14ac:dyDescent="0.25">
      <c r="A1127" s="946"/>
      <c r="B1127" s="987"/>
      <c r="C1127" s="988"/>
      <c r="D1127" s="987"/>
      <c r="F1127" s="949">
        <v>1</v>
      </c>
      <c r="G1127" s="945">
        <v>0</v>
      </c>
      <c r="H1127" s="950">
        <v>0</v>
      </c>
      <c r="I1127" s="951" t="e">
        <f>I1125-I1128-I1129-I1131-I1130+0.01</f>
        <v>#REF!</v>
      </c>
    </row>
    <row r="1128" spans="1:9" ht="24.95" customHeight="1" x14ac:dyDescent="0.25">
      <c r="A1128" s="946"/>
      <c r="B1128" s="987"/>
      <c r="C1128" s="988"/>
      <c r="D1128" s="987"/>
      <c r="E1128" s="987"/>
      <c r="F1128" s="949">
        <v>1048</v>
      </c>
      <c r="G1128" s="945">
        <v>0</v>
      </c>
      <c r="H1128" s="950">
        <v>0</v>
      </c>
      <c r="I1128" s="951">
        <f>I1048+I993+I1065+0.01</f>
        <v>8499.3492747434939</v>
      </c>
    </row>
    <row r="1129" spans="1:9" ht="24.95" customHeight="1" x14ac:dyDescent="0.25">
      <c r="F1129" s="949">
        <v>1032</v>
      </c>
      <c r="G1129" s="945">
        <v>0</v>
      </c>
      <c r="H1129" s="950">
        <v>0</v>
      </c>
      <c r="I1129" s="951">
        <f>I711+I703+I698+I676+I673+I663+I656</f>
        <v>1482399.0709734028</v>
      </c>
    </row>
    <row r="1130" spans="1:9" ht="24.95" customHeight="1" x14ac:dyDescent="0.25">
      <c r="F1130" s="949">
        <v>1037</v>
      </c>
      <c r="G1130" s="945">
        <v>0</v>
      </c>
      <c r="H1130" s="950">
        <v>0</v>
      </c>
      <c r="I1130" s="951" t="e">
        <f>#REF!</f>
        <v>#REF!</v>
      </c>
    </row>
    <row r="1131" spans="1:9" ht="24.95" customHeight="1" x14ac:dyDescent="0.25">
      <c r="F1131" s="949">
        <v>1166</v>
      </c>
      <c r="G1131" s="945">
        <v>0</v>
      </c>
      <c r="H1131" s="950">
        <v>0</v>
      </c>
      <c r="I1131" s="951">
        <f>I697+I709+I702</f>
        <v>1</v>
      </c>
    </row>
    <row r="1132" spans="1:9" s="946" customFormat="1" ht="24.95" customHeight="1" x14ac:dyDescent="0.25">
      <c r="B1132" s="946" t="s">
        <v>3088</v>
      </c>
      <c r="C1132" s="953" t="s">
        <v>3136</v>
      </c>
      <c r="E1132" s="954"/>
      <c r="F1132" s="955"/>
      <c r="H1132" s="956"/>
      <c r="I1132" s="957"/>
    </row>
    <row r="1133" spans="1:9" s="946" customFormat="1" ht="24.95" customHeight="1" x14ac:dyDescent="0.25">
      <c r="B1133" s="946" t="s">
        <v>3087</v>
      </c>
      <c r="C1133" s="953" t="s">
        <v>4115</v>
      </c>
      <c r="E1133" s="954"/>
      <c r="F1133" s="955"/>
      <c r="H1133" s="956"/>
    </row>
    <row r="1134" spans="1:9" s="946" customFormat="1" ht="24.95" customHeight="1" x14ac:dyDescent="0.25">
      <c r="B1134" s="946" t="s">
        <v>3089</v>
      </c>
      <c r="C1134" s="953" t="s">
        <v>3146</v>
      </c>
      <c r="E1134" s="954"/>
      <c r="F1134" s="955"/>
      <c r="H1134" s="956"/>
      <c r="I1134" s="957"/>
    </row>
    <row r="1135" spans="1:9" ht="33.75" customHeight="1" x14ac:dyDescent="0.25">
      <c r="A1135" s="958"/>
      <c r="B1135" s="958" t="s">
        <v>2967</v>
      </c>
      <c r="C1135" s="959" t="s">
        <v>472</v>
      </c>
      <c r="D1135" s="958" t="s">
        <v>2968</v>
      </c>
      <c r="E1135" s="954" t="s">
        <v>3066</v>
      </c>
      <c r="F1135" s="960" t="s">
        <v>1403</v>
      </c>
      <c r="G1135" s="958" t="s">
        <v>2969</v>
      </c>
      <c r="H1135" s="958" t="s">
        <v>3065</v>
      </c>
      <c r="I1135" s="961" t="s">
        <v>2531</v>
      </c>
    </row>
    <row r="1136" spans="1:9" ht="15" customHeight="1" x14ac:dyDescent="0.25">
      <c r="A1136" s="958"/>
      <c r="B1136" s="962" t="s">
        <v>3138</v>
      </c>
      <c r="C1136" s="959">
        <v>20</v>
      </c>
      <c r="D1136" s="962" t="s">
        <v>4116</v>
      </c>
      <c r="E1136" s="954"/>
      <c r="F1136" s="960"/>
      <c r="G1136" s="958"/>
      <c r="H1136" s="958"/>
      <c r="I1136" s="961">
        <f>I1137</f>
        <v>8.6813820999999999E-2</v>
      </c>
    </row>
    <row r="1137" spans="1:9" ht="15" customHeight="1" x14ac:dyDescent="0.25">
      <c r="A1137" s="958"/>
      <c r="B1137" s="962" t="s">
        <v>3139</v>
      </c>
      <c r="C1137" s="959">
        <v>122</v>
      </c>
      <c r="D1137" s="962" t="s">
        <v>3143</v>
      </c>
      <c r="E1137" s="954"/>
      <c r="F1137" s="960"/>
      <c r="G1137" s="958"/>
      <c r="H1137" s="958"/>
      <c r="I1137" s="961">
        <f>I1138</f>
        <v>8.6813820999999999E-2</v>
      </c>
    </row>
    <row r="1138" spans="1:9" ht="15" customHeight="1" x14ac:dyDescent="0.25">
      <c r="A1138" s="958"/>
      <c r="B1138" s="962" t="s">
        <v>3137</v>
      </c>
      <c r="C1138" s="959">
        <v>3</v>
      </c>
      <c r="D1138" s="962" t="s">
        <v>3145</v>
      </c>
      <c r="E1138" s="954"/>
      <c r="F1138" s="960"/>
      <c r="G1138" s="958"/>
      <c r="H1138" s="958"/>
      <c r="I1138" s="961">
        <f>I1139</f>
        <v>8.6813820999999999E-2</v>
      </c>
    </row>
    <row r="1139" spans="1:9" s="946" customFormat="1" ht="24.95" customHeight="1" x14ac:dyDescent="0.25">
      <c r="A1139" s="958"/>
      <c r="B1139" s="963" t="s">
        <v>2950</v>
      </c>
      <c r="C1139" s="959">
        <v>2</v>
      </c>
      <c r="D1139" s="963" t="s">
        <v>3393</v>
      </c>
      <c r="E1139" s="954"/>
      <c r="F1139" s="960"/>
      <c r="G1139" s="963"/>
      <c r="H1139" s="956"/>
      <c r="I1139" s="957">
        <f>I1140+I1141+I1142+I1143+I1144+I1145</f>
        <v>8.6813820999999999E-2</v>
      </c>
    </row>
    <row r="1140" spans="1:9" s="946" customFormat="1" ht="24.95" customHeight="1" x14ac:dyDescent="0.25">
      <c r="A1140" s="958"/>
      <c r="B1140" s="963">
        <v>30000</v>
      </c>
      <c r="C1140" s="964">
        <v>333904700000000</v>
      </c>
      <c r="D1140" s="963" t="s">
        <v>4117</v>
      </c>
      <c r="E1140" s="954"/>
      <c r="F1140" s="960">
        <v>1</v>
      </c>
      <c r="G1140" s="963">
        <v>0</v>
      </c>
      <c r="H1140" s="950"/>
      <c r="I1140" s="961">
        <f>((PUCFD!E1032)*(1+PUCFD!E$10))*(1+PUCFD!E$16)</f>
        <v>1.0973403E-2</v>
      </c>
    </row>
    <row r="1141" spans="1:9" s="946" customFormat="1" ht="24.95" customHeight="1" x14ac:dyDescent="0.25">
      <c r="A1141" s="958"/>
      <c r="B1141" s="963">
        <v>30100</v>
      </c>
      <c r="C1141" s="964">
        <v>344903000000000</v>
      </c>
      <c r="D1141" s="963" t="s">
        <v>3610</v>
      </c>
      <c r="E1141" s="954"/>
      <c r="F1141" s="960">
        <v>1</v>
      </c>
      <c r="G1141" s="963">
        <v>0</v>
      </c>
      <c r="H1141" s="950"/>
      <c r="I1141" s="961">
        <f>((PUCFD!E1033)*(1+PUCFD!E$10))*(1+PUCFD!E$16)</f>
        <v>1.0973403E-2</v>
      </c>
    </row>
    <row r="1142" spans="1:9" s="946" customFormat="1" ht="24.95" customHeight="1" x14ac:dyDescent="0.25">
      <c r="A1142" s="958"/>
      <c r="B1142" s="963">
        <v>30200</v>
      </c>
      <c r="C1142" s="964">
        <v>344903600000000</v>
      </c>
      <c r="D1142" s="963" t="s">
        <v>3613</v>
      </c>
      <c r="E1142" s="954"/>
      <c r="F1142" s="960">
        <v>1</v>
      </c>
      <c r="G1142" s="963">
        <v>0</v>
      </c>
      <c r="H1142" s="950"/>
      <c r="I1142" s="961">
        <f>((PUCFD!E1034)*(1+PUCFD!E$10))*(1+PUCFD!E$16)</f>
        <v>1.0973403E-2</v>
      </c>
    </row>
    <row r="1143" spans="1:9" s="946" customFormat="1" ht="24.95" customHeight="1" x14ac:dyDescent="0.25">
      <c r="A1143" s="958"/>
      <c r="B1143" s="963">
        <v>30300</v>
      </c>
      <c r="C1143" s="964">
        <v>344903900000000</v>
      </c>
      <c r="D1143" s="963" t="s">
        <v>3614</v>
      </c>
      <c r="E1143" s="954"/>
      <c r="F1143" s="960">
        <v>1</v>
      </c>
      <c r="G1143" s="963">
        <v>0</v>
      </c>
      <c r="H1143" s="950"/>
      <c r="I1143" s="961">
        <f>((PUCFD!E1035)*(1+PUCFD!E$10))*(1+PUCFD!E$16)</f>
        <v>1.0973403E-2</v>
      </c>
    </row>
    <row r="1144" spans="1:9" s="946" customFormat="1" ht="24.95" customHeight="1" x14ac:dyDescent="0.25">
      <c r="A1144" s="958"/>
      <c r="B1144" s="963">
        <v>30400</v>
      </c>
      <c r="C1144" s="964">
        <v>344905100000000</v>
      </c>
      <c r="D1144" s="963" t="s">
        <v>4118</v>
      </c>
      <c r="E1144" s="954"/>
      <c r="F1144" s="960">
        <v>1</v>
      </c>
      <c r="G1144" s="963">
        <v>0</v>
      </c>
      <c r="H1144" s="950"/>
      <c r="I1144" s="961">
        <f>((PUCFD!E1036)*(1+PUCFD!E$10))*(1+PUCFD!E$16)</f>
        <v>1.0973403E-2</v>
      </c>
    </row>
    <row r="1145" spans="1:9" s="946" customFormat="1" ht="24.95" customHeight="1" x14ac:dyDescent="0.25">
      <c r="A1145" s="958"/>
      <c r="B1145" s="963">
        <v>30500</v>
      </c>
      <c r="C1145" s="964">
        <v>344905200000000</v>
      </c>
      <c r="D1145" s="963" t="s">
        <v>3618</v>
      </c>
      <c r="E1145" s="954"/>
      <c r="F1145" s="960">
        <v>1</v>
      </c>
      <c r="G1145" s="963">
        <v>0</v>
      </c>
      <c r="H1145" s="950"/>
      <c r="I1145" s="961">
        <f>SUM(I1146,I1147)+0.01</f>
        <v>3.1946806000000001E-2</v>
      </c>
    </row>
    <row r="1146" spans="1:9" ht="24.95" customHeight="1" x14ac:dyDescent="0.25">
      <c r="A1146" s="972"/>
      <c r="B1146" s="973" t="s">
        <v>4120</v>
      </c>
      <c r="C1146" s="974">
        <v>344905234000000</v>
      </c>
      <c r="D1146" s="973" t="s">
        <v>4119</v>
      </c>
      <c r="E1146" s="948">
        <v>0</v>
      </c>
      <c r="F1146" s="975">
        <v>1</v>
      </c>
      <c r="G1146" s="973">
        <v>0</v>
      </c>
      <c r="I1146" s="976">
        <f>((PUCFD!E1038)*(1+PUCFD!E$10))*(1+PUCFD!E$16)</f>
        <v>1.0973403E-2</v>
      </c>
    </row>
    <row r="1147" spans="1:9" ht="24.95" customHeight="1" x14ac:dyDescent="0.25">
      <c r="A1147" s="972"/>
      <c r="B1147" s="973" t="s">
        <v>4121</v>
      </c>
      <c r="C1147" s="974">
        <v>344905235000000</v>
      </c>
      <c r="D1147" s="973" t="s">
        <v>4122</v>
      </c>
      <c r="E1147" s="948">
        <v>0</v>
      </c>
      <c r="F1147" s="975">
        <v>1</v>
      </c>
      <c r="G1147" s="973">
        <v>0</v>
      </c>
      <c r="I1147" s="976">
        <f>((PUCFD!E1039)*(1+PUCFD!E$10))*(1+PUCFD!E$16)</f>
        <v>1.0973403E-2</v>
      </c>
    </row>
    <row r="1148" spans="1:9" ht="15" customHeight="1" x14ac:dyDescent="0.25">
      <c r="A1148" s="958"/>
      <c r="B1148" s="962" t="s">
        <v>3138</v>
      </c>
      <c r="C1148" s="959">
        <v>20</v>
      </c>
      <c r="D1148" s="962" t="s">
        <v>4116</v>
      </c>
      <c r="E1148" s="954"/>
      <c r="F1148" s="960"/>
      <c r="G1148" s="958"/>
      <c r="H1148" s="958"/>
      <c r="I1148" s="961">
        <f>I1149</f>
        <v>180855.05919120173</v>
      </c>
    </row>
    <row r="1149" spans="1:9" ht="15" customHeight="1" x14ac:dyDescent="0.25">
      <c r="A1149" s="958"/>
      <c r="B1149" s="962" t="s">
        <v>3139</v>
      </c>
      <c r="C1149" s="959">
        <v>122</v>
      </c>
      <c r="D1149" s="962" t="s">
        <v>3143</v>
      </c>
      <c r="E1149" s="954"/>
      <c r="F1149" s="960"/>
      <c r="G1149" s="958"/>
      <c r="H1149" s="958"/>
      <c r="I1149" s="961">
        <f>I1150</f>
        <v>180855.05919120173</v>
      </c>
    </row>
    <row r="1150" spans="1:9" ht="15" customHeight="1" x14ac:dyDescent="0.25">
      <c r="A1150" s="958"/>
      <c r="B1150" s="962" t="s">
        <v>3137</v>
      </c>
      <c r="C1150" s="959">
        <v>3</v>
      </c>
      <c r="D1150" s="962" t="s">
        <v>3145</v>
      </c>
      <c r="E1150" s="954"/>
      <c r="F1150" s="960"/>
      <c r="G1150" s="958"/>
      <c r="H1150" s="958"/>
      <c r="I1150" s="961">
        <f>I1151</f>
        <v>180855.05919120173</v>
      </c>
    </row>
    <row r="1151" spans="1:9" s="946" customFormat="1" ht="24.95" customHeight="1" x14ac:dyDescent="0.25">
      <c r="A1151" s="958"/>
      <c r="B1151" s="963" t="s">
        <v>2965</v>
      </c>
      <c r="C1151" s="959">
        <v>2</v>
      </c>
      <c r="D1151" s="963" t="s">
        <v>2966</v>
      </c>
      <c r="E1151" s="954"/>
      <c r="F1151" s="960"/>
      <c r="G1151" s="963"/>
      <c r="H1151" s="956"/>
      <c r="I1151" s="957">
        <f>SUM(I1152,I1153,I1155,I1166,I1168,I1169,I1170,I1171,I1173,I1190,I1192,I1193,I1196,I1210,I1212,I1216,I1217,I1218,I1220,I1221,I1222)</f>
        <v>180855.05919120173</v>
      </c>
    </row>
    <row r="1152" spans="1:9" s="946" customFormat="1" ht="24.95" customHeight="1" x14ac:dyDescent="0.25">
      <c r="B1152" s="946">
        <v>32000</v>
      </c>
      <c r="C1152" s="964">
        <v>331900400000000</v>
      </c>
      <c r="D1152" s="946" t="s">
        <v>5847</v>
      </c>
      <c r="E1152" s="954"/>
      <c r="F1152" s="960">
        <v>1</v>
      </c>
      <c r="G1152" s="963">
        <v>0</v>
      </c>
      <c r="H1152" s="950"/>
      <c r="I1152" s="961">
        <f>PUCFD!E1041</f>
        <v>0.01</v>
      </c>
    </row>
    <row r="1153" spans="1:9" s="946" customFormat="1" ht="31.5" customHeight="1" x14ac:dyDescent="0.25">
      <c r="A1153" s="958"/>
      <c r="B1153" s="963">
        <v>32050</v>
      </c>
      <c r="C1153" s="964">
        <v>331900800000000</v>
      </c>
      <c r="D1153" s="963" t="s">
        <v>5848</v>
      </c>
      <c r="E1153" s="954"/>
      <c r="F1153" s="960">
        <v>1</v>
      </c>
      <c r="G1153" s="963">
        <v>0</v>
      </c>
      <c r="H1153" s="956"/>
      <c r="I1153" s="961">
        <f>SUM(I1154)</f>
        <v>2441.3196148598599</v>
      </c>
    </row>
    <row r="1154" spans="1:9" ht="24.95" customHeight="1" x14ac:dyDescent="0.25">
      <c r="A1154" s="972"/>
      <c r="B1154" s="973" t="s">
        <v>4266</v>
      </c>
      <c r="C1154" s="991">
        <v>319008990400000</v>
      </c>
      <c r="D1154" s="973" t="s">
        <v>4234</v>
      </c>
      <c r="F1154" s="975">
        <v>1</v>
      </c>
      <c r="G1154" s="973">
        <v>0</v>
      </c>
      <c r="I1154" s="976">
        <f>SUM(PUCFD!E1045+PUCFD!E1047+PUCFD!E1048+PUCFD!E1050)*PUCFD!E$94</f>
        <v>2441.3196148598599</v>
      </c>
    </row>
    <row r="1155" spans="1:9" s="946" customFormat="1" ht="24.95" customHeight="1" x14ac:dyDescent="0.25">
      <c r="B1155" s="946">
        <v>32100</v>
      </c>
      <c r="C1155" s="964">
        <v>331901100000000</v>
      </c>
      <c r="D1155" s="946" t="s">
        <v>5849</v>
      </c>
      <c r="E1155" s="954"/>
      <c r="F1155" s="960">
        <v>1</v>
      </c>
      <c r="G1155" s="963">
        <v>0</v>
      </c>
      <c r="H1155" s="950"/>
      <c r="I1155" s="961">
        <f>SUM(I1156,I1157,I1158,I1159,I1160,I1161,I1162,I1163,I1164,I1165)-30000</f>
        <v>95818.900429885223</v>
      </c>
    </row>
    <row r="1156" spans="1:9" ht="24.95" customHeight="1" x14ac:dyDescent="0.25">
      <c r="B1156" s="945" t="s">
        <v>4123</v>
      </c>
      <c r="C1156" s="974">
        <v>331901174000000</v>
      </c>
      <c r="D1156" s="945" t="s">
        <v>4124</v>
      </c>
      <c r="E1156" s="948">
        <v>311210131000000</v>
      </c>
      <c r="F1156" s="975">
        <v>1</v>
      </c>
      <c r="G1156" s="973">
        <v>0</v>
      </c>
      <c r="H1156" s="972">
        <v>0</v>
      </c>
      <c r="I1156" s="976">
        <f>PUCFD!E1052*(1+PUCFD!E$87)</f>
        <v>65205.671248286781</v>
      </c>
    </row>
    <row r="1157" spans="1:9" ht="24.95" customHeight="1" x14ac:dyDescent="0.25">
      <c r="B1157" s="945" t="s">
        <v>4125</v>
      </c>
      <c r="C1157" s="974">
        <v>331901143000000</v>
      </c>
      <c r="D1157" s="945" t="s">
        <v>4126</v>
      </c>
      <c r="E1157" s="948">
        <v>0</v>
      </c>
      <c r="F1157" s="975">
        <v>1</v>
      </c>
      <c r="G1157" s="973">
        <v>0</v>
      </c>
      <c r="H1157" s="972">
        <v>0</v>
      </c>
      <c r="I1157" s="976">
        <f>PUCFD!E1053*(1+PUCFD!E$87)</f>
        <v>5433.8059373572314</v>
      </c>
    </row>
    <row r="1158" spans="1:9" ht="24.95" customHeight="1" x14ac:dyDescent="0.25">
      <c r="B1158" s="945" t="s">
        <v>7741</v>
      </c>
      <c r="C1158" s="974">
        <v>331901145000000</v>
      </c>
      <c r="D1158" s="945" t="s">
        <v>4268</v>
      </c>
      <c r="E1158" s="948">
        <v>0</v>
      </c>
      <c r="F1158" s="975">
        <v>1</v>
      </c>
      <c r="G1158" s="973">
        <v>0</v>
      </c>
      <c r="H1158" s="972">
        <v>2545</v>
      </c>
      <c r="I1158" s="976">
        <f>PUCFD!E1054*(1+PUCFD!E$87)</f>
        <v>1811.268645785744</v>
      </c>
    </row>
    <row r="1159" spans="1:9" ht="24.95" customHeight="1" x14ac:dyDescent="0.25">
      <c r="B1159" s="945" t="s">
        <v>7734</v>
      </c>
      <c r="C1159" s="974">
        <v>331901101010000</v>
      </c>
      <c r="D1159" s="945" t="s">
        <v>3413</v>
      </c>
      <c r="E1159" s="948">
        <v>0</v>
      </c>
      <c r="F1159" s="975">
        <v>1</v>
      </c>
      <c r="G1159" s="973">
        <v>0</v>
      </c>
      <c r="H1159" s="972">
        <v>2546</v>
      </c>
      <c r="I1159" s="976">
        <f>PUCFD!E1045*(1+PUCFD!E$87)</f>
        <v>17086.76663692225</v>
      </c>
    </row>
    <row r="1160" spans="1:9" ht="24.95" customHeight="1" x14ac:dyDescent="0.25">
      <c r="B1160" s="945" t="s">
        <v>7735</v>
      </c>
      <c r="C1160" s="974">
        <v>331901101010000</v>
      </c>
      <c r="D1160" s="945" t="s">
        <v>2973</v>
      </c>
      <c r="E1160" s="948">
        <v>0</v>
      </c>
      <c r="F1160" s="975">
        <v>1</v>
      </c>
      <c r="G1160" s="973">
        <v>0</v>
      </c>
      <c r="H1160" s="972">
        <v>2547</v>
      </c>
      <c r="I1160" s="976">
        <f>PUCFD!E1046*(1+PUCFD!E$87)</f>
        <v>28039.822173410881</v>
      </c>
    </row>
    <row r="1161" spans="1:9" ht="24.95" customHeight="1" x14ac:dyDescent="0.25">
      <c r="B1161" s="945" t="s">
        <v>7736</v>
      </c>
      <c r="C1161" s="974">
        <v>331901137000000</v>
      </c>
      <c r="D1161" s="945" t="s">
        <v>3411</v>
      </c>
      <c r="E1161" s="948">
        <v>0</v>
      </c>
      <c r="F1161" s="975">
        <v>1</v>
      </c>
      <c r="G1161" s="973">
        <v>0</v>
      </c>
      <c r="H1161" s="972">
        <v>2548</v>
      </c>
      <c r="I1161" s="976">
        <f>PUCFD!E1047*(1+PUCFD!E$87)</f>
        <v>3227.5003647519811</v>
      </c>
    </row>
    <row r="1162" spans="1:9" ht="24.95" customHeight="1" x14ac:dyDescent="0.25">
      <c r="B1162" s="945" t="s">
        <v>7737</v>
      </c>
      <c r="C1162" s="974">
        <v>331901143000000</v>
      </c>
      <c r="D1162" s="945" t="s">
        <v>3763</v>
      </c>
      <c r="E1162" s="948">
        <v>0</v>
      </c>
      <c r="F1162" s="975">
        <v>1</v>
      </c>
      <c r="G1162" s="973">
        <v>0</v>
      </c>
      <c r="H1162" s="972">
        <v>2549</v>
      </c>
      <c r="I1162" s="976">
        <f>PUCFD!E1050*(1+PUCFD!E$87)</f>
        <v>1423.897219743521</v>
      </c>
    </row>
    <row r="1163" spans="1:9" ht="24.95" customHeight="1" x14ac:dyDescent="0.25">
      <c r="B1163" s="945" t="s">
        <v>7738</v>
      </c>
      <c r="C1163" s="974">
        <v>331901143000000</v>
      </c>
      <c r="D1163" s="945" t="s">
        <v>2981</v>
      </c>
      <c r="E1163" s="948">
        <v>0</v>
      </c>
      <c r="F1163" s="975">
        <v>1</v>
      </c>
      <c r="G1163" s="973">
        <v>0</v>
      </c>
      <c r="H1163" s="972">
        <v>2550</v>
      </c>
      <c r="I1163" s="976">
        <f>PUCFD!E1051*(1+PUCFD!E$87)</f>
        <v>2336.6518477842401</v>
      </c>
    </row>
    <row r="1164" spans="1:9" ht="24.95" customHeight="1" x14ac:dyDescent="0.25">
      <c r="B1164" s="945" t="s">
        <v>7739</v>
      </c>
      <c r="C1164" s="974">
        <v>331901145000000</v>
      </c>
      <c r="D1164" s="945" t="s">
        <v>3407</v>
      </c>
      <c r="E1164" s="948">
        <v>0</v>
      </c>
      <c r="F1164" s="975">
        <v>1</v>
      </c>
      <c r="G1164" s="973">
        <v>0</v>
      </c>
      <c r="H1164" s="972">
        <v>2551</v>
      </c>
      <c r="I1164" s="976">
        <f>PUCFD!E1048*(1+PUCFD!E$87)</f>
        <v>474.63240658117365</v>
      </c>
    </row>
    <row r="1165" spans="1:9" ht="24.95" customHeight="1" x14ac:dyDescent="0.25">
      <c r="B1165" s="945" t="s">
        <v>7740</v>
      </c>
      <c r="C1165" s="974">
        <v>331901145000000</v>
      </c>
      <c r="D1165" s="945" t="s">
        <v>2977</v>
      </c>
      <c r="E1165" s="948">
        <v>0</v>
      </c>
      <c r="F1165" s="975">
        <v>1</v>
      </c>
      <c r="G1165" s="973">
        <v>0</v>
      </c>
      <c r="H1165" s="972">
        <v>2552</v>
      </c>
      <c r="I1165" s="976">
        <f>PUCFD!E1049*(1+PUCFD!E$87)</f>
        <v>778.88394926141336</v>
      </c>
    </row>
    <row r="1166" spans="1:9" s="946" customFormat="1" ht="24.95" customHeight="1" x14ac:dyDescent="0.25">
      <c r="B1166" s="946">
        <v>32200</v>
      </c>
      <c r="C1166" s="964">
        <v>331901300000000</v>
      </c>
      <c r="D1166" s="946" t="s">
        <v>5850</v>
      </c>
      <c r="E1166" s="954"/>
      <c r="F1166" s="955"/>
      <c r="H1166" s="956"/>
      <c r="I1166" s="957">
        <f>SUM(I1155,I1168,I1169,I1170)*PUCFD!E$92</f>
        <v>20651.167331275392</v>
      </c>
    </row>
    <row r="1167" spans="1:9" ht="24.95" customHeight="1" x14ac:dyDescent="0.25">
      <c r="B1167" s="945" t="s">
        <v>4127</v>
      </c>
      <c r="C1167" s="974">
        <v>331901302010000</v>
      </c>
      <c r="D1167" s="945" t="s">
        <v>4128</v>
      </c>
      <c r="E1167" s="948">
        <v>312210100000000</v>
      </c>
      <c r="F1167" s="975">
        <v>1</v>
      </c>
      <c r="G1167" s="973">
        <v>0</v>
      </c>
      <c r="H1167" s="972">
        <v>0</v>
      </c>
      <c r="I1167" s="976">
        <v>0</v>
      </c>
    </row>
    <row r="1168" spans="1:9" s="946" customFormat="1" ht="24.95" customHeight="1" x14ac:dyDescent="0.25">
      <c r="B1168" s="946">
        <v>32300</v>
      </c>
      <c r="C1168" s="964">
        <v>331901600000000</v>
      </c>
      <c r="D1168" s="946" t="s">
        <v>5851</v>
      </c>
      <c r="E1168" s="954"/>
      <c r="F1168" s="960">
        <v>1</v>
      </c>
      <c r="G1168" s="963">
        <v>0</v>
      </c>
      <c r="H1168" s="950"/>
      <c r="I1168" s="961">
        <f>PUCFD!E1057*(1+PUCFD!E$87)</f>
        <v>2519.9716238071237</v>
      </c>
    </row>
    <row r="1169" spans="2:9" s="946" customFormat="1" ht="24.95" customHeight="1" x14ac:dyDescent="0.25">
      <c r="B1169" s="946">
        <v>32350</v>
      </c>
      <c r="C1169" s="964">
        <v>331903400000000</v>
      </c>
      <c r="D1169" s="946" t="s">
        <v>5852</v>
      </c>
      <c r="E1169" s="954"/>
      <c r="F1169" s="960">
        <v>1</v>
      </c>
      <c r="G1169" s="963">
        <v>0</v>
      </c>
      <c r="H1169" s="950"/>
      <c r="I1169" s="961">
        <f>PUCFD!E1058</f>
        <v>0.01</v>
      </c>
    </row>
    <row r="1170" spans="2:9" s="946" customFormat="1" ht="24.95" customHeight="1" x14ac:dyDescent="0.25">
      <c r="B1170" s="946">
        <v>32400</v>
      </c>
      <c r="C1170" s="964">
        <v>331909400000000</v>
      </c>
      <c r="D1170" s="946" t="s">
        <v>5853</v>
      </c>
      <c r="E1170" s="954"/>
      <c r="F1170" s="960">
        <v>1</v>
      </c>
      <c r="G1170" s="963">
        <v>0</v>
      </c>
      <c r="H1170" s="950"/>
      <c r="I1170" s="961">
        <f>PUCFD!E1059</f>
        <v>0.01</v>
      </c>
    </row>
    <row r="1171" spans="2:9" s="946" customFormat="1" ht="24.95" customHeight="1" x14ac:dyDescent="0.25">
      <c r="B1171" s="946">
        <v>32500</v>
      </c>
      <c r="C1171" s="964">
        <v>333901400000000</v>
      </c>
      <c r="D1171" s="946" t="s">
        <v>5854</v>
      </c>
      <c r="E1171" s="954"/>
      <c r="F1171" s="960">
        <v>1</v>
      </c>
      <c r="G1171" s="963">
        <v>0</v>
      </c>
      <c r="H1171" s="950"/>
      <c r="I1171" s="961">
        <f>SUM(I1172)</f>
        <v>1630.7782023913041</v>
      </c>
    </row>
    <row r="1172" spans="2:9" ht="24.95" customHeight="1" x14ac:dyDescent="0.25">
      <c r="B1172" s="945" t="s">
        <v>4129</v>
      </c>
      <c r="C1172" s="974">
        <v>333901414040000</v>
      </c>
      <c r="D1172" s="945" t="s">
        <v>4130</v>
      </c>
      <c r="E1172" s="948">
        <v>332110100000000</v>
      </c>
      <c r="F1172" s="975">
        <v>1</v>
      </c>
      <c r="G1172" s="973">
        <v>0</v>
      </c>
      <c r="H1172" s="972">
        <v>0</v>
      </c>
      <c r="I1172" s="976">
        <f>((PUCFD!E1061)*(1+PUCFD!E$85))*(1+PUCFD!E$86)</f>
        <v>1630.7782023913041</v>
      </c>
    </row>
    <row r="1173" spans="2:9" s="946" customFormat="1" ht="24.95" customHeight="1" x14ac:dyDescent="0.25">
      <c r="B1173" s="946">
        <v>32600</v>
      </c>
      <c r="C1173" s="964">
        <v>333903000000000</v>
      </c>
      <c r="D1173" s="946" t="s">
        <v>5855</v>
      </c>
      <c r="E1173" s="954"/>
      <c r="F1173" s="960">
        <v>1</v>
      </c>
      <c r="G1173" s="963">
        <v>0</v>
      </c>
      <c r="H1173" s="950"/>
      <c r="I1173" s="961">
        <f>(((PUCFD!E1062)*(1+PUCFD!E$10))*(1+PUCFD!E$16))*(1+PUCFD!E$18)*(1+PUCFD!E18)*(1+PUCFD!E19)*(1+PUCFD!E20)</f>
        <v>15489.359046967324</v>
      </c>
    </row>
    <row r="1174" spans="2:9" ht="24.95" customHeight="1" x14ac:dyDescent="0.25">
      <c r="B1174" s="945" t="s">
        <v>4134</v>
      </c>
      <c r="C1174" s="974">
        <v>333903001012000</v>
      </c>
      <c r="D1174" s="945" t="s">
        <v>4133</v>
      </c>
      <c r="E1174" s="948">
        <v>331110100000000</v>
      </c>
      <c r="F1174" s="975">
        <v>1</v>
      </c>
      <c r="G1174" s="973">
        <v>0</v>
      </c>
      <c r="H1174" s="972">
        <v>0</v>
      </c>
      <c r="I1174" s="976">
        <v>0</v>
      </c>
    </row>
    <row r="1175" spans="2:9" ht="24.95" customHeight="1" x14ac:dyDescent="0.25">
      <c r="B1175" s="945" t="s">
        <v>4135</v>
      </c>
      <c r="C1175" s="974">
        <v>333903001012800</v>
      </c>
      <c r="D1175" s="945" t="s">
        <v>4136</v>
      </c>
      <c r="E1175" s="948">
        <v>331110100000000</v>
      </c>
      <c r="F1175" s="975">
        <v>1</v>
      </c>
      <c r="G1175" s="973">
        <v>0</v>
      </c>
      <c r="H1175" s="972">
        <v>0</v>
      </c>
      <c r="I1175" s="976">
        <v>0</v>
      </c>
    </row>
    <row r="1176" spans="2:9" ht="24.95" customHeight="1" x14ac:dyDescent="0.25">
      <c r="B1176" s="945" t="s">
        <v>4137</v>
      </c>
      <c r="C1176" s="974">
        <v>333903001032500</v>
      </c>
      <c r="D1176" s="973" t="s">
        <v>4140</v>
      </c>
      <c r="E1176" s="948">
        <v>331110100000000</v>
      </c>
      <c r="F1176" s="975">
        <v>1</v>
      </c>
      <c r="G1176" s="973">
        <v>0</v>
      </c>
      <c r="H1176" s="972">
        <v>0</v>
      </c>
      <c r="I1176" s="976">
        <v>0</v>
      </c>
    </row>
    <row r="1177" spans="2:9" ht="24.95" customHeight="1" x14ac:dyDescent="0.25">
      <c r="B1177" s="945" t="s">
        <v>4138</v>
      </c>
      <c r="C1177" s="974">
        <v>333903001033600</v>
      </c>
      <c r="D1177" s="973" t="s">
        <v>4139</v>
      </c>
      <c r="E1177" s="948">
        <v>331110100000000</v>
      </c>
      <c r="F1177" s="975">
        <v>1</v>
      </c>
      <c r="G1177" s="973">
        <v>0</v>
      </c>
      <c r="H1177" s="972">
        <v>0</v>
      </c>
      <c r="I1177" s="976">
        <v>0</v>
      </c>
    </row>
    <row r="1178" spans="2:9" ht="24.95" customHeight="1" x14ac:dyDescent="0.25">
      <c r="B1178" s="945" t="s">
        <v>4141</v>
      </c>
      <c r="C1178" s="974">
        <v>333903004000000</v>
      </c>
      <c r="D1178" s="973" t="s">
        <v>4142</v>
      </c>
      <c r="E1178" s="948">
        <v>331110400000000</v>
      </c>
      <c r="F1178" s="975">
        <v>1</v>
      </c>
      <c r="G1178" s="973">
        <v>0</v>
      </c>
      <c r="H1178" s="972">
        <v>0</v>
      </c>
      <c r="I1178" s="976">
        <v>0</v>
      </c>
    </row>
    <row r="1179" spans="2:9" ht="24.95" customHeight="1" x14ac:dyDescent="0.25">
      <c r="B1179" s="945" t="s">
        <v>4143</v>
      </c>
      <c r="C1179" s="974">
        <v>333903007000000</v>
      </c>
      <c r="D1179" s="973" t="s">
        <v>4144</v>
      </c>
      <c r="E1179" s="948">
        <v>0</v>
      </c>
      <c r="F1179" s="975">
        <v>1</v>
      </c>
      <c r="G1179" s="973">
        <v>0</v>
      </c>
      <c r="H1179" s="972">
        <v>0</v>
      </c>
      <c r="I1179" s="976">
        <v>0</v>
      </c>
    </row>
    <row r="1180" spans="2:9" ht="24.95" customHeight="1" x14ac:dyDescent="0.25">
      <c r="B1180" s="945" t="s">
        <v>4137</v>
      </c>
      <c r="C1180" s="974">
        <v>333903007000000</v>
      </c>
      <c r="D1180" s="973" t="s">
        <v>4145</v>
      </c>
      <c r="E1180" s="948">
        <v>331110600000000</v>
      </c>
      <c r="F1180" s="975">
        <v>1</v>
      </c>
      <c r="G1180" s="973">
        <v>0</v>
      </c>
      <c r="H1180" s="972">
        <v>0</v>
      </c>
      <c r="I1180" s="976">
        <v>0</v>
      </c>
    </row>
    <row r="1181" spans="2:9" ht="24.95" customHeight="1" x14ac:dyDescent="0.25">
      <c r="B1181" s="945" t="s">
        <v>4132</v>
      </c>
      <c r="C1181" s="974">
        <v>333903016000000</v>
      </c>
      <c r="D1181" s="973" t="s">
        <v>4146</v>
      </c>
      <c r="E1181" s="948">
        <v>331111600000000</v>
      </c>
      <c r="F1181" s="975">
        <v>1</v>
      </c>
      <c r="G1181" s="973">
        <v>0</v>
      </c>
      <c r="H1181" s="972">
        <v>0</v>
      </c>
      <c r="I1181" s="976">
        <v>0</v>
      </c>
    </row>
    <row r="1182" spans="2:9" ht="24.95" customHeight="1" x14ac:dyDescent="0.25">
      <c r="B1182" s="945" t="s">
        <v>4147</v>
      </c>
      <c r="C1182" s="974">
        <v>333903016000000</v>
      </c>
      <c r="D1182" s="973" t="s">
        <v>4148</v>
      </c>
      <c r="E1182" s="948">
        <v>0</v>
      </c>
      <c r="F1182" s="975">
        <v>1</v>
      </c>
      <c r="G1182" s="973">
        <v>0</v>
      </c>
      <c r="H1182" s="972">
        <v>0</v>
      </c>
      <c r="I1182" s="976">
        <v>0</v>
      </c>
    </row>
    <row r="1183" spans="2:9" ht="24.95" customHeight="1" x14ac:dyDescent="0.25">
      <c r="B1183" s="945" t="s">
        <v>4149</v>
      </c>
      <c r="C1183" s="974">
        <v>333903017000000</v>
      </c>
      <c r="D1183" s="973" t="s">
        <v>4150</v>
      </c>
      <c r="E1183" s="948">
        <v>331111700000000</v>
      </c>
      <c r="F1183" s="975">
        <v>1</v>
      </c>
      <c r="G1183" s="973">
        <v>0</v>
      </c>
      <c r="H1183" s="972">
        <v>0</v>
      </c>
      <c r="I1183" s="976">
        <v>0</v>
      </c>
    </row>
    <row r="1184" spans="2:9" ht="24.95" customHeight="1" x14ac:dyDescent="0.25">
      <c r="B1184" s="945" t="s">
        <v>4151</v>
      </c>
      <c r="C1184" s="974">
        <v>333903021000000</v>
      </c>
      <c r="D1184" s="973" t="s">
        <v>3007</v>
      </c>
      <c r="E1184" s="948">
        <v>331112100000000</v>
      </c>
      <c r="F1184" s="975">
        <v>1</v>
      </c>
      <c r="G1184" s="973">
        <v>0</v>
      </c>
      <c r="H1184" s="972">
        <v>0</v>
      </c>
      <c r="I1184" s="976">
        <v>0</v>
      </c>
    </row>
    <row r="1185" spans="2:9" ht="24.95" customHeight="1" x14ac:dyDescent="0.25">
      <c r="B1185" s="945" t="s">
        <v>4152</v>
      </c>
      <c r="C1185" s="974">
        <v>333903022000000</v>
      </c>
      <c r="D1185" s="973" t="s">
        <v>4153</v>
      </c>
      <c r="E1185" s="948">
        <v>331112200000000</v>
      </c>
      <c r="F1185" s="975">
        <v>1</v>
      </c>
      <c r="G1185" s="973">
        <v>0</v>
      </c>
      <c r="H1185" s="972">
        <v>0</v>
      </c>
      <c r="I1185" s="976">
        <v>0</v>
      </c>
    </row>
    <row r="1186" spans="2:9" ht="24.95" customHeight="1" x14ac:dyDescent="0.25">
      <c r="B1186" s="945" t="s">
        <v>4154</v>
      </c>
      <c r="C1186" s="974">
        <v>333903024000000</v>
      </c>
      <c r="D1186" s="973" t="s">
        <v>3203</v>
      </c>
      <c r="E1186" s="948">
        <v>331112400000000</v>
      </c>
      <c r="F1186" s="975">
        <v>1</v>
      </c>
      <c r="G1186" s="973">
        <v>0</v>
      </c>
      <c r="H1186" s="972">
        <v>0</v>
      </c>
      <c r="I1186" s="976">
        <v>0</v>
      </c>
    </row>
    <row r="1187" spans="2:9" ht="24.95" customHeight="1" x14ac:dyDescent="0.25">
      <c r="B1187" s="945" t="s">
        <v>4157</v>
      </c>
      <c r="C1187" s="974">
        <v>333903039190000</v>
      </c>
      <c r="D1187" s="973" t="s">
        <v>4156</v>
      </c>
      <c r="E1187" s="948">
        <v>331113900000000</v>
      </c>
      <c r="F1187" s="975">
        <v>1</v>
      </c>
      <c r="G1187" s="973">
        <v>0</v>
      </c>
      <c r="H1187" s="972">
        <v>0</v>
      </c>
      <c r="I1187" s="976">
        <v>0</v>
      </c>
    </row>
    <row r="1188" spans="2:9" ht="24.95" customHeight="1" x14ac:dyDescent="0.25">
      <c r="B1188" s="945" t="s">
        <v>4155</v>
      </c>
      <c r="C1188" s="974">
        <v>333903039450000</v>
      </c>
      <c r="D1188" s="973" t="s">
        <v>4158</v>
      </c>
      <c r="E1188" s="948">
        <v>331113900000000</v>
      </c>
      <c r="F1188" s="975">
        <v>1</v>
      </c>
      <c r="G1188" s="973">
        <v>0</v>
      </c>
      <c r="H1188" s="972">
        <v>0</v>
      </c>
      <c r="I1188" s="976">
        <v>0</v>
      </c>
    </row>
    <row r="1189" spans="2:9" ht="24.95" customHeight="1" x14ac:dyDescent="0.25">
      <c r="B1189" s="945" t="s">
        <v>4159</v>
      </c>
      <c r="C1189" s="974">
        <v>333903099000000</v>
      </c>
      <c r="D1189" s="973" t="s">
        <v>3865</v>
      </c>
      <c r="E1189" s="948">
        <v>331119900000000</v>
      </c>
      <c r="F1189" s="975">
        <v>1</v>
      </c>
      <c r="G1189" s="973">
        <v>0</v>
      </c>
      <c r="H1189" s="972">
        <v>0</v>
      </c>
      <c r="I1189" s="976">
        <v>0</v>
      </c>
    </row>
    <row r="1190" spans="2:9" s="946" customFormat="1" ht="24.95" customHeight="1" x14ac:dyDescent="0.25">
      <c r="B1190" s="946">
        <v>32700</v>
      </c>
      <c r="C1190" s="964">
        <v>333903300000000</v>
      </c>
      <c r="D1190" s="946" t="s">
        <v>5856</v>
      </c>
      <c r="E1190" s="954"/>
      <c r="F1190" s="960">
        <v>1</v>
      </c>
      <c r="G1190" s="963">
        <v>0</v>
      </c>
      <c r="H1190" s="950"/>
      <c r="I1190" s="961">
        <f>SUM(I1191)</f>
        <v>329.20209</v>
      </c>
    </row>
    <row r="1191" spans="2:9" ht="24.95" customHeight="1" x14ac:dyDescent="0.25">
      <c r="B1191" s="945" t="s">
        <v>4160</v>
      </c>
      <c r="C1191" s="974">
        <v>333903301000000</v>
      </c>
      <c r="D1191" s="973" t="s">
        <v>3472</v>
      </c>
      <c r="E1191" s="948">
        <v>332315600000000</v>
      </c>
      <c r="F1191" s="975">
        <v>1</v>
      </c>
      <c r="G1191" s="973">
        <v>0</v>
      </c>
      <c r="H1191" s="972">
        <v>0</v>
      </c>
      <c r="I1191" s="976">
        <f>(((PUCFD!E1080)*(1+PUCFD!E$10))*(1+PUCFD!E$16))</f>
        <v>329.20209</v>
      </c>
    </row>
    <row r="1192" spans="2:9" s="946" customFormat="1" ht="24.95" customHeight="1" x14ac:dyDescent="0.25">
      <c r="B1192" s="946">
        <v>32800</v>
      </c>
      <c r="C1192" s="964">
        <v>333903500000000</v>
      </c>
      <c r="D1192" s="946" t="s">
        <v>5857</v>
      </c>
      <c r="E1192" s="954"/>
      <c r="F1192" s="960">
        <v>1</v>
      </c>
      <c r="G1192" s="963">
        <v>0</v>
      </c>
      <c r="H1192" s="950"/>
      <c r="I1192" s="961">
        <f>(((PUCFD!E1081)*(1+PUCFD!E$10))*(1+PUCFD!E$16))</f>
        <v>1.0973403E-2</v>
      </c>
    </row>
    <row r="1193" spans="2:9" s="946" customFormat="1" ht="24.95" customHeight="1" x14ac:dyDescent="0.25">
      <c r="B1193" s="946">
        <v>32900</v>
      </c>
      <c r="C1193" s="964">
        <v>333903600000000</v>
      </c>
      <c r="D1193" s="946" t="s">
        <v>5858</v>
      </c>
      <c r="E1193" s="954"/>
      <c r="F1193" s="960">
        <v>1</v>
      </c>
      <c r="G1193" s="963">
        <v>0</v>
      </c>
      <c r="H1193" s="950"/>
      <c r="I1193" s="961">
        <f>SUM(I1194,I1195)</f>
        <v>15095.079007218001</v>
      </c>
    </row>
    <row r="1194" spans="2:9" ht="24.95" customHeight="1" x14ac:dyDescent="0.25">
      <c r="B1194" s="945" t="s">
        <v>4162</v>
      </c>
      <c r="C1194" s="974">
        <v>333903606000000</v>
      </c>
      <c r="D1194" s="973" t="s">
        <v>4163</v>
      </c>
      <c r="E1194" s="948">
        <v>332211500000000</v>
      </c>
      <c r="F1194" s="975">
        <v>1</v>
      </c>
      <c r="G1194" s="973">
        <v>0</v>
      </c>
      <c r="H1194" s="972">
        <v>0</v>
      </c>
      <c r="I1194" s="976">
        <f>(((PUCFD!E1083)*(1+PUCFD!E$10))*(1+PUCFD!E$16))</f>
        <v>1.0973403E-2</v>
      </c>
    </row>
    <row r="1195" spans="2:9" ht="24.95" customHeight="1" x14ac:dyDescent="0.25">
      <c r="B1195" s="945" t="s">
        <v>4164</v>
      </c>
      <c r="C1195" s="974">
        <v>333903615000000</v>
      </c>
      <c r="D1195" s="973" t="s">
        <v>3246</v>
      </c>
      <c r="E1195" s="948">
        <v>332212100000000</v>
      </c>
      <c r="F1195" s="975">
        <v>1</v>
      </c>
      <c r="G1195" s="973">
        <v>0</v>
      </c>
      <c r="H1195" s="972">
        <v>0</v>
      </c>
      <c r="I1195" s="976">
        <f>(((PUCFD!E1084)*(1+PUCFD!E$10))*(1+PUCFD!E$16))</f>
        <v>15095.068033815001</v>
      </c>
    </row>
    <row r="1196" spans="2:9" s="946" customFormat="1" ht="24.95" customHeight="1" x14ac:dyDescent="0.25">
      <c r="B1196" s="946">
        <v>33000</v>
      </c>
      <c r="C1196" s="964">
        <v>333903900000000</v>
      </c>
      <c r="D1196" s="946" t="s">
        <v>5859</v>
      </c>
      <c r="E1196" s="954"/>
      <c r="F1196" s="960">
        <v>1</v>
      </c>
      <c r="G1196" s="963">
        <v>0</v>
      </c>
      <c r="H1196" s="950"/>
      <c r="I1196" s="961">
        <f>(((PUCFD!E1085)*(1+PUCFD!E$10))*(1+PUCFD!E$16))-15000</f>
        <v>15424.807777486501</v>
      </c>
    </row>
    <row r="1197" spans="2:9" ht="24.95" customHeight="1" x14ac:dyDescent="0.25">
      <c r="B1197" s="945" t="s">
        <v>4166</v>
      </c>
      <c r="C1197" s="974">
        <v>333903916000000</v>
      </c>
      <c r="D1197" s="973" t="s">
        <v>4167</v>
      </c>
      <c r="E1197" s="948">
        <v>332319900000000</v>
      </c>
      <c r="F1197" s="975">
        <v>1</v>
      </c>
      <c r="G1197" s="973">
        <v>0</v>
      </c>
      <c r="H1197" s="972">
        <v>0</v>
      </c>
      <c r="I1197" s="976">
        <f>(((PUCFD!E1086)*(1+PUCFD!E$10))*(1+PUCFD!E$16))</f>
        <v>0</v>
      </c>
    </row>
    <row r="1198" spans="2:9" ht="24.95" customHeight="1" x14ac:dyDescent="0.25">
      <c r="B1198" s="945" t="s">
        <v>4168</v>
      </c>
      <c r="C1198" s="974">
        <v>333903919030000</v>
      </c>
      <c r="D1198" s="973" t="s">
        <v>4169</v>
      </c>
      <c r="E1198" s="948">
        <v>332310600000000</v>
      </c>
      <c r="F1198" s="975">
        <v>1</v>
      </c>
      <c r="G1198" s="973">
        <v>0</v>
      </c>
      <c r="H1198" s="972">
        <v>0</v>
      </c>
      <c r="I1198" s="976">
        <f>(((PUCFD!E1087)*(1+PUCFD!E$10))*(1+PUCFD!E$16))</f>
        <v>0</v>
      </c>
    </row>
    <row r="1199" spans="2:9" ht="24.95" customHeight="1" x14ac:dyDescent="0.25">
      <c r="B1199" s="945" t="s">
        <v>4170</v>
      </c>
      <c r="C1199" s="974">
        <v>333903919190000</v>
      </c>
      <c r="D1199" s="973" t="s">
        <v>4171</v>
      </c>
      <c r="E1199" s="948">
        <v>332310600000000</v>
      </c>
      <c r="F1199" s="975">
        <v>1</v>
      </c>
      <c r="G1199" s="973">
        <v>0</v>
      </c>
      <c r="H1199" s="972">
        <v>0</v>
      </c>
      <c r="I1199" s="976">
        <f>(((PUCFD!E1088)*(1+PUCFD!E$10))*(1+PUCFD!E$16))</f>
        <v>0</v>
      </c>
    </row>
    <row r="1200" spans="2:9" ht="24.95" customHeight="1" x14ac:dyDescent="0.25">
      <c r="B1200" s="945" t="s">
        <v>4172</v>
      </c>
      <c r="C1200" s="974">
        <v>333903919640000</v>
      </c>
      <c r="D1200" s="973" t="s">
        <v>4173</v>
      </c>
      <c r="E1200" s="948">
        <v>332310600000000</v>
      </c>
      <c r="F1200" s="975">
        <v>1</v>
      </c>
      <c r="G1200" s="973">
        <v>0</v>
      </c>
      <c r="H1200" s="972">
        <v>0</v>
      </c>
      <c r="I1200" s="976">
        <f>(((PUCFD!E1089)*(1+PUCFD!E$10))*(1+PUCFD!E$16))</f>
        <v>0</v>
      </c>
    </row>
    <row r="1201" spans="1:9" ht="24.95" customHeight="1" x14ac:dyDescent="0.25">
      <c r="B1201" s="945" t="s">
        <v>4177</v>
      </c>
      <c r="C1201" s="974">
        <v>333903943000000</v>
      </c>
      <c r="D1201" s="973" t="s">
        <v>3485</v>
      </c>
      <c r="E1201" s="948">
        <v>332310800000000</v>
      </c>
      <c r="F1201" s="975">
        <v>1</v>
      </c>
      <c r="G1201" s="973">
        <v>0</v>
      </c>
      <c r="H1201" s="972">
        <v>0</v>
      </c>
      <c r="I1201" s="976">
        <f>(((PUCFD!E1090)*(1+PUCFD!E$10))*(1+PUCFD!E$16))</f>
        <v>0</v>
      </c>
    </row>
    <row r="1202" spans="1:9" ht="24.95" customHeight="1" x14ac:dyDescent="0.25">
      <c r="B1202" s="945" t="s">
        <v>4174</v>
      </c>
      <c r="C1202" s="974">
        <v>333903944000000</v>
      </c>
      <c r="D1202" s="973" t="s">
        <v>4176</v>
      </c>
      <c r="E1202" s="948">
        <v>332310800000000</v>
      </c>
      <c r="F1202" s="975">
        <v>1</v>
      </c>
      <c r="G1202" s="973">
        <v>0</v>
      </c>
      <c r="H1202" s="972">
        <v>0</v>
      </c>
      <c r="I1202" s="976">
        <f>(((PUCFD!E1091)*(1+PUCFD!E$10))*(1+PUCFD!E$16))</f>
        <v>0</v>
      </c>
    </row>
    <row r="1203" spans="1:9" ht="24.95" customHeight="1" x14ac:dyDescent="0.25">
      <c r="B1203" s="945" t="s">
        <v>4175</v>
      </c>
      <c r="C1203" s="974">
        <v>333903958010000</v>
      </c>
      <c r="D1203" s="973" t="s">
        <v>3036</v>
      </c>
      <c r="E1203" s="948">
        <v>332310800000000</v>
      </c>
      <c r="F1203" s="975">
        <v>1</v>
      </c>
      <c r="G1203" s="973">
        <v>0</v>
      </c>
      <c r="H1203" s="972">
        <v>0</v>
      </c>
      <c r="I1203" s="976">
        <f>(((PUCFD!E1092)*(1+PUCFD!E$10))*(1+PUCFD!E$16))</f>
        <v>0</v>
      </c>
    </row>
    <row r="1204" spans="1:9" ht="24.95" customHeight="1" x14ac:dyDescent="0.25">
      <c r="B1204" s="945" t="s">
        <v>4178</v>
      </c>
      <c r="C1204" s="974">
        <v>333903969190000</v>
      </c>
      <c r="D1204" s="973" t="s">
        <v>4179</v>
      </c>
      <c r="E1204" s="948">
        <v>332312900000000</v>
      </c>
      <c r="F1204" s="975">
        <v>1</v>
      </c>
      <c r="G1204" s="973">
        <v>0</v>
      </c>
      <c r="H1204" s="972">
        <v>0</v>
      </c>
      <c r="I1204" s="976">
        <f>(((PUCFD!E1093)*(1+PUCFD!E$10))*(1+PUCFD!E$16))</f>
        <v>0</v>
      </c>
    </row>
    <row r="1205" spans="1:9" ht="24.95" customHeight="1" x14ac:dyDescent="0.25">
      <c r="B1205" s="945" t="s">
        <v>4182</v>
      </c>
      <c r="C1205" s="974">
        <v>333903969310000</v>
      </c>
      <c r="D1205" s="973" t="s">
        <v>4181</v>
      </c>
      <c r="E1205" s="948">
        <v>332312900000000</v>
      </c>
      <c r="F1205" s="975">
        <v>1</v>
      </c>
      <c r="G1205" s="973">
        <v>0</v>
      </c>
      <c r="H1205" s="972">
        <v>0</v>
      </c>
      <c r="I1205" s="976">
        <f>(((PUCFD!E1094)*(1+PUCFD!E$10))*(1+PUCFD!E$16))</f>
        <v>0</v>
      </c>
    </row>
    <row r="1206" spans="1:9" ht="24.95" customHeight="1" x14ac:dyDescent="0.25">
      <c r="B1206" s="945" t="s">
        <v>4180</v>
      </c>
      <c r="C1206" s="974">
        <v>333903970000000</v>
      </c>
      <c r="D1206" s="973" t="s">
        <v>3986</v>
      </c>
      <c r="E1206" s="948">
        <v>332312000000000</v>
      </c>
      <c r="F1206" s="975">
        <v>1</v>
      </c>
      <c r="G1206" s="973">
        <v>0</v>
      </c>
      <c r="H1206" s="972">
        <v>0</v>
      </c>
      <c r="I1206" s="976">
        <f>(((PUCFD!E1095)*(1+PUCFD!E$10))*(1+PUCFD!E$16))</f>
        <v>0</v>
      </c>
    </row>
    <row r="1207" spans="1:9" ht="24.95" customHeight="1" x14ac:dyDescent="0.25">
      <c r="B1207" s="945" t="s">
        <v>4183</v>
      </c>
      <c r="C1207" s="974">
        <v>333903974000000</v>
      </c>
      <c r="D1207" s="973" t="s">
        <v>4184</v>
      </c>
      <c r="E1207" s="948">
        <v>332319900000000</v>
      </c>
      <c r="F1207" s="975">
        <v>1</v>
      </c>
      <c r="G1207" s="973">
        <v>0</v>
      </c>
      <c r="H1207" s="972">
        <v>0</v>
      </c>
      <c r="I1207" s="976">
        <f>(((PUCFD!E1096)*(1+PUCFD!E$10))*(1+PUCFD!E$16))</f>
        <v>0</v>
      </c>
    </row>
    <row r="1208" spans="1:9" ht="24.95" customHeight="1" x14ac:dyDescent="0.25">
      <c r="B1208" s="945" t="s">
        <v>4185</v>
      </c>
      <c r="C1208" s="974">
        <v>333903999010000</v>
      </c>
      <c r="D1208" s="973" t="s">
        <v>3224</v>
      </c>
      <c r="E1208" s="948">
        <v>332310700000000</v>
      </c>
      <c r="F1208" s="975">
        <v>1</v>
      </c>
      <c r="G1208" s="973">
        <v>0</v>
      </c>
      <c r="H1208" s="972">
        <v>0</v>
      </c>
      <c r="I1208" s="976">
        <f>(((PUCFD!E1097)*(1+PUCFD!E$10))*(1+PUCFD!E$16))</f>
        <v>0</v>
      </c>
    </row>
    <row r="1209" spans="1:9" ht="24.95" customHeight="1" x14ac:dyDescent="0.25">
      <c r="B1209" s="945" t="s">
        <v>4186</v>
      </c>
      <c r="C1209" s="974">
        <v>333903999040000</v>
      </c>
      <c r="D1209" s="973" t="s">
        <v>3321</v>
      </c>
      <c r="E1209" s="948">
        <v>332319900000000</v>
      </c>
      <c r="F1209" s="975">
        <v>1</v>
      </c>
      <c r="G1209" s="973">
        <v>0</v>
      </c>
      <c r="H1209" s="972">
        <v>0</v>
      </c>
      <c r="I1209" s="976">
        <f>(((PUCFD!E1098)*(1+PUCFD!E$10))*(1+PUCFD!E$16))</f>
        <v>0</v>
      </c>
    </row>
    <row r="1210" spans="1:9" s="946" customFormat="1" ht="24.95" customHeight="1" x14ac:dyDescent="0.25">
      <c r="A1210" s="958"/>
      <c r="B1210" s="963">
        <v>33100</v>
      </c>
      <c r="C1210" s="964">
        <v>333904600000000</v>
      </c>
      <c r="D1210" s="963" t="s">
        <v>5860</v>
      </c>
      <c r="E1210" s="954"/>
      <c r="F1210" s="975">
        <v>1</v>
      </c>
      <c r="G1210" s="973">
        <v>0</v>
      </c>
      <c r="H1210" s="972">
        <v>0</v>
      </c>
      <c r="I1210" s="961">
        <f>SUM(I1211)</f>
        <v>8778.7224000000006</v>
      </c>
    </row>
    <row r="1211" spans="1:9" s="946" customFormat="1" ht="24.95" customHeight="1" x14ac:dyDescent="0.25">
      <c r="B1211" s="973" t="s">
        <v>4187</v>
      </c>
      <c r="C1211" s="974">
        <v>3339046010000</v>
      </c>
      <c r="D1211" s="973" t="s">
        <v>5905</v>
      </c>
      <c r="E1211" s="948">
        <v>311210199000000</v>
      </c>
      <c r="F1211" s="975">
        <v>1</v>
      </c>
      <c r="G1211" s="973">
        <v>0</v>
      </c>
      <c r="H1211" s="972">
        <v>0</v>
      </c>
      <c r="I1211" s="976">
        <f>(((PUCFD!E1100)*(1+PUCFD!E$10))*(1+PUCFD!E$16))</f>
        <v>8778.7224000000006</v>
      </c>
    </row>
    <row r="1212" spans="1:9" s="946" customFormat="1" ht="35.25" customHeight="1" x14ac:dyDescent="0.25">
      <c r="A1212" s="958"/>
      <c r="B1212" s="963">
        <v>33200</v>
      </c>
      <c r="C1212" s="964">
        <v>333904700000000</v>
      </c>
      <c r="D1212" s="963" t="s">
        <v>5861</v>
      </c>
      <c r="E1212" s="954"/>
      <c r="F1212" s="960">
        <v>1</v>
      </c>
      <c r="G1212" s="963">
        <v>0</v>
      </c>
      <c r="H1212" s="950"/>
      <c r="I1212" s="961">
        <f>SUM(I1213,I1214,I1215)</f>
        <v>548.67015000000004</v>
      </c>
    </row>
    <row r="1213" spans="1:9" ht="24.95" customHeight="1" x14ac:dyDescent="0.25">
      <c r="B1213" s="945" t="s">
        <v>4189</v>
      </c>
      <c r="C1213" s="974">
        <v>333904718000000</v>
      </c>
      <c r="D1213" s="945" t="s">
        <v>4190</v>
      </c>
      <c r="E1213" s="948">
        <v>372110400000000</v>
      </c>
      <c r="F1213" s="975">
        <v>1</v>
      </c>
      <c r="G1213" s="973">
        <v>0</v>
      </c>
      <c r="I1213" s="976">
        <f>(((PUCFD!E1102)*(1+PUCFD!E$10))*(1+PUCFD!E$16))</f>
        <v>109.73403</v>
      </c>
    </row>
    <row r="1214" spans="1:9" ht="24.95" customHeight="1" x14ac:dyDescent="0.25">
      <c r="B1214" s="945" t="s">
        <v>4191</v>
      </c>
      <c r="C1214" s="974">
        <v>333904720000000</v>
      </c>
      <c r="D1214" s="945" t="s">
        <v>4192</v>
      </c>
      <c r="E1214" s="948">
        <v>372110400000000</v>
      </c>
      <c r="F1214" s="975">
        <v>1</v>
      </c>
      <c r="G1214" s="973">
        <v>0</v>
      </c>
      <c r="I1214" s="976">
        <f>(((PUCFD!E1103)*(1+PUCFD!E$10))*(1+PUCFD!E$16))</f>
        <v>219.46806000000001</v>
      </c>
    </row>
    <row r="1215" spans="1:9" ht="24.95" customHeight="1" x14ac:dyDescent="0.25">
      <c r="B1215" s="945" t="s">
        <v>4193</v>
      </c>
      <c r="C1215" s="974">
        <v>333904720000000</v>
      </c>
      <c r="D1215" s="945" t="s">
        <v>4194</v>
      </c>
      <c r="E1215" s="948">
        <v>372110400000000</v>
      </c>
      <c r="F1215" s="975">
        <v>1</v>
      </c>
      <c r="G1215" s="973">
        <v>0</v>
      </c>
      <c r="I1215" s="976">
        <f>(((PUCFD!E1104)*(1+PUCFD!E$10))*(1+PUCFD!E$16))</f>
        <v>219.46806000000001</v>
      </c>
    </row>
    <row r="1216" spans="1:9" s="946" customFormat="1" ht="24.95" customHeight="1" x14ac:dyDescent="0.25">
      <c r="A1216" s="958"/>
      <c r="B1216" s="963">
        <v>33300</v>
      </c>
      <c r="C1216" s="964">
        <v>333904900000000</v>
      </c>
      <c r="D1216" s="963" t="s">
        <v>5862</v>
      </c>
      <c r="E1216" s="954"/>
      <c r="F1216" s="960">
        <v>1</v>
      </c>
      <c r="G1216" s="963">
        <v>0</v>
      </c>
      <c r="H1216" s="950"/>
      <c r="I1216" s="961">
        <f>(((PUCFD!E1105)*(1+PUCFD!E$10))*(1+PUCFD!E$16))</f>
        <v>1578.3265002959999</v>
      </c>
    </row>
    <row r="1217" spans="1:9" s="946" customFormat="1" ht="24.95" customHeight="1" x14ac:dyDescent="0.25">
      <c r="A1217" s="958"/>
      <c r="B1217" s="963">
        <v>33400</v>
      </c>
      <c r="C1217" s="964">
        <v>333909200000000</v>
      </c>
      <c r="D1217" s="963" t="s">
        <v>5863</v>
      </c>
      <c r="E1217" s="954"/>
      <c r="F1217" s="960">
        <v>1</v>
      </c>
      <c r="G1217" s="963">
        <v>0</v>
      </c>
      <c r="H1217" s="950"/>
      <c r="I1217" s="961">
        <f>(((PUCFD!E1106)*(1+PUCFD!E$10))*(1+PUCFD!E$16))</f>
        <v>1.0973403E-2</v>
      </c>
    </row>
    <row r="1218" spans="1:9" s="946" customFormat="1" ht="24.95" customHeight="1" x14ac:dyDescent="0.25">
      <c r="A1218" s="958"/>
      <c r="B1218" s="963">
        <v>33500</v>
      </c>
      <c r="C1218" s="964">
        <v>333909300000000</v>
      </c>
      <c r="D1218" s="963" t="s">
        <v>5864</v>
      </c>
      <c r="E1218" s="954"/>
      <c r="F1218" s="960">
        <v>1</v>
      </c>
      <c r="G1218" s="963">
        <v>0</v>
      </c>
      <c r="H1218" s="950"/>
      <c r="I1218" s="961">
        <f>SUM(I1219)</f>
        <v>548.67015000000004</v>
      </c>
    </row>
    <row r="1219" spans="1:9" ht="24.95" customHeight="1" x14ac:dyDescent="0.25">
      <c r="B1219" s="945" t="s">
        <v>4195</v>
      </c>
      <c r="C1219" s="974">
        <v>333909399010000</v>
      </c>
      <c r="D1219" s="945" t="s">
        <v>4196</v>
      </c>
      <c r="E1219" s="948">
        <v>399910300000000</v>
      </c>
      <c r="F1219" s="975">
        <v>1</v>
      </c>
      <c r="G1219" s="973">
        <v>0</v>
      </c>
      <c r="I1219" s="976">
        <f>(((PUCFD!E1108)*(1+PUCFD!E$10))*(1+PUCFD!E$16))</f>
        <v>548.67015000000004</v>
      </c>
    </row>
    <row r="1220" spans="1:9" s="946" customFormat="1" ht="24.95" customHeight="1" x14ac:dyDescent="0.25">
      <c r="A1220" s="958"/>
      <c r="B1220" s="963">
        <v>33600</v>
      </c>
      <c r="C1220" s="964">
        <v>333933000000000</v>
      </c>
      <c r="D1220" s="963" t="s">
        <v>5865</v>
      </c>
      <c r="E1220" s="954"/>
      <c r="F1220" s="960">
        <v>1</v>
      </c>
      <c r="G1220" s="963">
        <v>0</v>
      </c>
      <c r="H1220" s="950"/>
      <c r="I1220" s="961">
        <f>(((PUCFD!E1109)*(1+PUCFD!E$10))*(1+PUCFD!E$16))</f>
        <v>1.0973403E-2</v>
      </c>
    </row>
    <row r="1221" spans="1:9" s="946" customFormat="1" ht="24.95" customHeight="1" x14ac:dyDescent="0.25">
      <c r="A1221" s="958"/>
      <c r="B1221" s="963">
        <v>33700</v>
      </c>
      <c r="C1221" s="964">
        <v>344905100000000</v>
      </c>
      <c r="D1221" s="963" t="s">
        <v>5866</v>
      </c>
      <c r="E1221" s="954"/>
      <c r="F1221" s="960">
        <v>1</v>
      </c>
      <c r="G1221" s="963">
        <v>0</v>
      </c>
      <c r="H1221" s="950"/>
      <c r="I1221" s="961">
        <f>(((PUCFD!E1110)*(1+PUCFD!E$10))*(1+PUCFD!E$16))</f>
        <v>1.0973403E-2</v>
      </c>
    </row>
    <row r="1222" spans="1:9" s="946" customFormat="1" ht="24.95" customHeight="1" x14ac:dyDescent="0.25">
      <c r="A1222" s="958"/>
      <c r="B1222" s="963">
        <v>33800</v>
      </c>
      <c r="C1222" s="964">
        <v>344905200000000</v>
      </c>
      <c r="D1222" s="963" t="s">
        <v>5867</v>
      </c>
      <c r="E1222" s="954"/>
      <c r="F1222" s="960">
        <v>1</v>
      </c>
      <c r="G1222" s="963">
        <v>0</v>
      </c>
      <c r="H1222" s="950"/>
      <c r="I1222" s="961">
        <f>(((PUCFD!E1111)*(1+PUCFD!E$10))*(1+PUCFD!E$16))</f>
        <v>1.0973403E-2</v>
      </c>
    </row>
    <row r="1223" spans="1:9" ht="15" customHeight="1" x14ac:dyDescent="0.25">
      <c r="A1223" s="958"/>
      <c r="B1223" s="962" t="s">
        <v>3138</v>
      </c>
      <c r="C1223" s="959">
        <v>20</v>
      </c>
      <c r="D1223" s="962" t="s">
        <v>4116</v>
      </c>
      <c r="E1223" s="954"/>
      <c r="F1223" s="960"/>
      <c r="G1223" s="958"/>
      <c r="H1223" s="958"/>
      <c r="I1223" s="961">
        <f>I1224</f>
        <v>1646.0433702089999</v>
      </c>
    </row>
    <row r="1224" spans="1:9" ht="15" customHeight="1" x14ac:dyDescent="0.25">
      <c r="A1224" s="958"/>
      <c r="B1224" s="962" t="s">
        <v>3139</v>
      </c>
      <c r="C1224" s="959">
        <v>126</v>
      </c>
      <c r="D1224" s="962" t="s">
        <v>3600</v>
      </c>
      <c r="E1224" s="954"/>
      <c r="F1224" s="960"/>
      <c r="G1224" s="958"/>
      <c r="H1224" s="958"/>
      <c r="I1224" s="961">
        <f>I1225</f>
        <v>1646.0433702089999</v>
      </c>
    </row>
    <row r="1225" spans="1:9" ht="15" customHeight="1" x14ac:dyDescent="0.25">
      <c r="A1225" s="958"/>
      <c r="B1225" s="962" t="s">
        <v>3137</v>
      </c>
      <c r="C1225" s="959">
        <v>3</v>
      </c>
      <c r="D1225" s="962" t="s">
        <v>3145</v>
      </c>
      <c r="E1225" s="954"/>
      <c r="F1225" s="960"/>
      <c r="G1225" s="958"/>
      <c r="H1225" s="958"/>
      <c r="I1225" s="961">
        <f>I1226</f>
        <v>1646.0433702089999</v>
      </c>
    </row>
    <row r="1226" spans="1:9" s="946" customFormat="1" ht="24.95" customHeight="1" x14ac:dyDescent="0.25">
      <c r="A1226" s="958"/>
      <c r="B1226" s="963" t="s">
        <v>2965</v>
      </c>
      <c r="C1226" s="959">
        <v>2</v>
      </c>
      <c r="D1226" s="963" t="s">
        <v>2966</v>
      </c>
      <c r="E1226" s="954"/>
      <c r="F1226" s="960"/>
      <c r="G1226" s="963"/>
      <c r="H1226" s="956"/>
      <c r="I1226" s="957">
        <f>I1227</f>
        <v>1646.0433702089999</v>
      </c>
    </row>
    <row r="1227" spans="1:9" s="946" customFormat="1" ht="33.75" customHeight="1" x14ac:dyDescent="0.25">
      <c r="B1227" s="963">
        <v>33830</v>
      </c>
      <c r="C1227" s="964">
        <v>333904000000000</v>
      </c>
      <c r="D1227" s="963" t="s">
        <v>5974</v>
      </c>
      <c r="E1227" s="954"/>
      <c r="F1227" s="960">
        <v>1</v>
      </c>
      <c r="G1227" s="963">
        <v>0</v>
      </c>
      <c r="H1227" s="950"/>
      <c r="I1227" s="961">
        <f>SUM(I1228:I1231)</f>
        <v>1646.0433702089999</v>
      </c>
    </row>
    <row r="1228" spans="1:9" ht="25.5" customHeight="1" x14ac:dyDescent="0.25">
      <c r="A1228" s="972"/>
      <c r="B1228" s="973" t="s">
        <v>4198</v>
      </c>
      <c r="C1228" s="974">
        <v>333904006000000</v>
      </c>
      <c r="D1228" s="973" t="s">
        <v>3044</v>
      </c>
      <c r="E1228" s="948">
        <v>332311000000000</v>
      </c>
      <c r="F1228" s="975">
        <v>1</v>
      </c>
      <c r="G1228" s="973">
        <v>0</v>
      </c>
      <c r="H1228" s="972">
        <v>0</v>
      </c>
      <c r="I1228" s="976">
        <f>(((PUCFD!E1114)*(1+PUCFD!E$10))*(1+PUCFD!E$16))</f>
        <v>1.0973403E-2</v>
      </c>
    </row>
    <row r="1229" spans="1:9" ht="29.25" customHeight="1" x14ac:dyDescent="0.25">
      <c r="A1229" s="972"/>
      <c r="B1229" s="973" t="s">
        <v>4199</v>
      </c>
      <c r="C1229" s="974">
        <v>333904011000000</v>
      </c>
      <c r="D1229" s="973" t="s">
        <v>5924</v>
      </c>
      <c r="E1229" s="948">
        <v>332311100000000</v>
      </c>
      <c r="F1229" s="975">
        <v>1</v>
      </c>
      <c r="G1229" s="973">
        <v>0</v>
      </c>
      <c r="H1229" s="972">
        <v>0</v>
      </c>
      <c r="I1229" s="976">
        <f>(((PUCFD!E1115)*(1+PUCFD!E$10))*(1+PUCFD!E$16))</f>
        <v>1.0973403E-2</v>
      </c>
    </row>
    <row r="1230" spans="1:9" ht="29.25" customHeight="1" x14ac:dyDescent="0.25">
      <c r="A1230" s="972"/>
      <c r="B1230" s="973" t="s">
        <v>4200</v>
      </c>
      <c r="C1230" s="974">
        <v>333904012000000</v>
      </c>
      <c r="D1230" s="973" t="s">
        <v>5926</v>
      </c>
      <c r="E1230" s="948">
        <v>332311100000000</v>
      </c>
      <c r="F1230" s="975">
        <v>1</v>
      </c>
      <c r="G1230" s="973">
        <v>0</v>
      </c>
      <c r="H1230" s="972">
        <v>0</v>
      </c>
      <c r="I1230" s="976">
        <f>(((PUCFD!E1116)*(1+PUCFD!E$10))*(1+PUCFD!E$16))</f>
        <v>1.0973403E-2</v>
      </c>
    </row>
    <row r="1231" spans="1:9" ht="24.95" customHeight="1" x14ac:dyDescent="0.25">
      <c r="A1231" s="972"/>
      <c r="B1231" s="973" t="s">
        <v>4201</v>
      </c>
      <c r="C1231" s="974">
        <v>333904099000000</v>
      </c>
      <c r="D1231" s="973" t="s">
        <v>5928</v>
      </c>
      <c r="E1231" s="948">
        <v>332311100000000</v>
      </c>
      <c r="F1231" s="975">
        <v>1</v>
      </c>
      <c r="G1231" s="973">
        <v>0</v>
      </c>
      <c r="H1231" s="972">
        <v>0</v>
      </c>
      <c r="I1231" s="976">
        <f>(((PUCFD!E1117)*(1+PUCFD!E$10))*(1+PUCFD!E$16))</f>
        <v>1646.01045</v>
      </c>
    </row>
    <row r="1232" spans="1:9" ht="24.95" customHeight="1" x14ac:dyDescent="0.25">
      <c r="A1232" s="958"/>
      <c r="B1232" s="962" t="s">
        <v>3138</v>
      </c>
      <c r="C1232" s="959">
        <v>20</v>
      </c>
      <c r="D1232" s="962" t="s">
        <v>4116</v>
      </c>
      <c r="E1232" s="954"/>
      <c r="F1232" s="960"/>
      <c r="G1232" s="958"/>
      <c r="H1232" s="958"/>
      <c r="I1232" s="961">
        <f>I1233</f>
        <v>0.05</v>
      </c>
    </row>
    <row r="1233" spans="1:9" ht="24.95" customHeight="1" x14ac:dyDescent="0.25">
      <c r="A1233" s="958"/>
      <c r="B1233" s="962" t="s">
        <v>3139</v>
      </c>
      <c r="C1233" s="959">
        <v>128</v>
      </c>
      <c r="D1233" s="962" t="s">
        <v>5104</v>
      </c>
      <c r="E1233" s="954"/>
      <c r="F1233" s="960"/>
      <c r="G1233" s="958"/>
      <c r="H1233" s="958"/>
      <c r="I1233" s="961">
        <f>I1235</f>
        <v>0.05</v>
      </c>
    </row>
    <row r="1234" spans="1:9" ht="24.95" customHeight="1" x14ac:dyDescent="0.25">
      <c r="A1234" s="958"/>
      <c r="B1234" s="962" t="s">
        <v>3137</v>
      </c>
      <c r="C1234" s="959">
        <v>3</v>
      </c>
      <c r="D1234" s="962" t="s">
        <v>3145</v>
      </c>
      <c r="E1234" s="954"/>
      <c r="F1234" s="960"/>
      <c r="G1234" s="958"/>
      <c r="H1234" s="958"/>
      <c r="I1234" s="961">
        <f>I1235</f>
        <v>0.05</v>
      </c>
    </row>
    <row r="1235" spans="1:9" s="946" customFormat="1" ht="24.95" customHeight="1" x14ac:dyDescent="0.25">
      <c r="B1235" s="963" t="s">
        <v>2965</v>
      </c>
      <c r="C1235" s="959">
        <v>2</v>
      </c>
      <c r="D1235" s="963" t="s">
        <v>2966</v>
      </c>
      <c r="E1235" s="954"/>
      <c r="F1235" s="960"/>
      <c r="G1235" s="963"/>
      <c r="H1235" s="958"/>
      <c r="I1235" s="957">
        <f>SUM(I1236:I1240)</f>
        <v>0.05</v>
      </c>
    </row>
    <row r="1236" spans="1:9" s="946" customFormat="1" ht="24.95" customHeight="1" x14ac:dyDescent="0.25">
      <c r="B1236" s="973">
        <v>33860</v>
      </c>
      <c r="C1236" s="974">
        <v>333901400000000</v>
      </c>
      <c r="D1236" s="973" t="s">
        <v>5868</v>
      </c>
      <c r="E1236" s="954"/>
      <c r="F1236" s="949">
        <v>1</v>
      </c>
      <c r="G1236" s="945">
        <v>0</v>
      </c>
      <c r="H1236" s="950">
        <v>0</v>
      </c>
      <c r="I1236" s="951">
        <f>PUCFD!E1119</f>
        <v>0.01</v>
      </c>
    </row>
    <row r="1237" spans="1:9" s="946" customFormat="1" ht="30.75" customHeight="1" x14ac:dyDescent="0.25">
      <c r="B1237" s="973">
        <v>33870</v>
      </c>
      <c r="C1237" s="974">
        <v>333903300000000</v>
      </c>
      <c r="D1237" s="973" t="s">
        <v>5869</v>
      </c>
      <c r="E1237" s="954"/>
      <c r="F1237" s="949">
        <v>1</v>
      </c>
      <c r="G1237" s="945">
        <v>0</v>
      </c>
      <c r="H1237" s="950">
        <v>0</v>
      </c>
      <c r="I1237" s="951">
        <f>PUCFD!E1120</f>
        <v>0.01</v>
      </c>
    </row>
    <row r="1238" spans="1:9" s="946" customFormat="1" ht="24.95" customHeight="1" x14ac:dyDescent="0.25">
      <c r="B1238" s="973">
        <v>33880</v>
      </c>
      <c r="C1238" s="974">
        <v>333903600000000</v>
      </c>
      <c r="D1238" s="973" t="s">
        <v>5870</v>
      </c>
      <c r="E1238" s="954"/>
      <c r="F1238" s="949">
        <v>1</v>
      </c>
      <c r="G1238" s="945">
        <v>0</v>
      </c>
      <c r="H1238" s="950">
        <v>0</v>
      </c>
      <c r="I1238" s="951">
        <f>PUCFD!E1121</f>
        <v>0.01</v>
      </c>
    </row>
    <row r="1239" spans="1:9" s="946" customFormat="1" ht="24.95" customHeight="1" x14ac:dyDescent="0.25">
      <c r="B1239" s="973">
        <v>33890</v>
      </c>
      <c r="C1239" s="974">
        <v>333903900000000</v>
      </c>
      <c r="D1239" s="973" t="s">
        <v>6829</v>
      </c>
      <c r="E1239" s="954"/>
      <c r="F1239" s="949">
        <v>1</v>
      </c>
      <c r="G1239" s="945">
        <v>0</v>
      </c>
      <c r="H1239" s="950">
        <v>0</v>
      </c>
      <c r="I1239" s="951">
        <f>PUCFD!E1122</f>
        <v>0.01</v>
      </c>
    </row>
    <row r="1240" spans="1:9" s="946" customFormat="1" ht="24.95" customHeight="1" x14ac:dyDescent="0.25">
      <c r="B1240" s="973">
        <v>33900</v>
      </c>
      <c r="C1240" s="974">
        <v>333904700000000</v>
      </c>
      <c r="D1240" s="973" t="s">
        <v>5871</v>
      </c>
      <c r="E1240" s="954"/>
      <c r="F1240" s="949">
        <v>1</v>
      </c>
      <c r="G1240" s="945">
        <v>0</v>
      </c>
      <c r="H1240" s="950">
        <v>0</v>
      </c>
      <c r="I1240" s="951">
        <f>PUCFD!E1123</f>
        <v>0.01</v>
      </c>
    </row>
    <row r="1241" spans="1:9" ht="24.95" customHeight="1" x14ac:dyDescent="0.25">
      <c r="A1241" s="946"/>
      <c r="B1241" s="1608" t="s">
        <v>3336</v>
      </c>
      <c r="C1241" s="1608"/>
      <c r="D1241" s="1608"/>
      <c r="E1241" s="1608"/>
      <c r="F1241" s="1608"/>
      <c r="G1241" s="1608"/>
      <c r="H1241" s="1608"/>
      <c r="I1241" s="957">
        <f>I1235+I1227+I1151+I1139</f>
        <v>182501.23937523173</v>
      </c>
    </row>
    <row r="1242" spans="1:9" ht="24.95" customHeight="1" x14ac:dyDescent="0.25">
      <c r="A1242" s="946"/>
      <c r="B1242" s="1608" t="s">
        <v>4203</v>
      </c>
      <c r="C1242" s="1608"/>
      <c r="D1242" s="1608"/>
      <c r="E1242" s="1608"/>
      <c r="F1242" s="1608"/>
      <c r="G1242" s="1608"/>
      <c r="H1242" s="1608"/>
      <c r="I1242" s="957">
        <f>I1241</f>
        <v>182501.23937523173</v>
      </c>
    </row>
    <row r="1243" spans="1:9" ht="24.95" customHeight="1" x14ac:dyDescent="0.25">
      <c r="A1243" s="946"/>
      <c r="B1243" s="987"/>
      <c r="C1243" s="988"/>
      <c r="D1243" s="987"/>
      <c r="E1243" s="954" t="s">
        <v>4777</v>
      </c>
      <c r="F1243" s="960"/>
      <c r="G1243" s="960"/>
      <c r="H1243" s="958"/>
      <c r="I1243" s="961"/>
    </row>
    <row r="1244" spans="1:9" ht="24.95" customHeight="1" x14ac:dyDescent="0.25">
      <c r="A1244" s="946"/>
      <c r="B1244" s="987"/>
      <c r="C1244" s="988"/>
      <c r="D1244" s="987"/>
      <c r="F1244" s="949">
        <v>1</v>
      </c>
      <c r="G1244" s="945">
        <v>0</v>
      </c>
      <c r="H1244" s="950">
        <v>0</v>
      </c>
      <c r="I1244" s="951">
        <f>I1242+0.03</f>
        <v>182501.26937523173</v>
      </c>
    </row>
    <row r="1245" spans="1:9" ht="24.95" customHeight="1" x14ac:dyDescent="0.25">
      <c r="A1245" s="946"/>
      <c r="B1245" s="987"/>
      <c r="C1245" s="988"/>
      <c r="D1245" s="987"/>
      <c r="E1245" s="987"/>
      <c r="F1245" s="955"/>
      <c r="G1245" s="987"/>
      <c r="H1245" s="987"/>
    </row>
    <row r="1247" spans="1:9" s="946" customFormat="1" ht="24.95" customHeight="1" x14ac:dyDescent="0.25">
      <c r="B1247" s="946" t="s">
        <v>3088</v>
      </c>
      <c r="C1247" s="953" t="s">
        <v>3136</v>
      </c>
      <c r="E1247" s="954"/>
      <c r="F1247" s="955"/>
      <c r="H1247" s="956"/>
      <c r="I1247" s="957"/>
    </row>
    <row r="1248" spans="1:9" s="946" customFormat="1" ht="24.95" customHeight="1" x14ac:dyDescent="0.25">
      <c r="B1248" s="946" t="s">
        <v>3087</v>
      </c>
      <c r="C1248" s="953" t="s">
        <v>4495</v>
      </c>
      <c r="E1248" s="954"/>
      <c r="F1248" s="955"/>
      <c r="H1248" s="956"/>
      <c r="I1248" s="957"/>
    </row>
    <row r="1249" spans="1:9" s="946" customFormat="1" ht="24.95" customHeight="1" x14ac:dyDescent="0.25">
      <c r="B1249" s="946" t="s">
        <v>3089</v>
      </c>
      <c r="C1249" s="953" t="s">
        <v>3146</v>
      </c>
      <c r="E1249" s="954"/>
      <c r="F1249" s="955"/>
      <c r="H1249" s="956"/>
      <c r="I1249" s="957"/>
    </row>
    <row r="1250" spans="1:9" ht="33.75" customHeight="1" x14ac:dyDescent="0.25">
      <c r="A1250" s="958"/>
      <c r="B1250" s="958" t="s">
        <v>2967</v>
      </c>
      <c r="C1250" s="959" t="s">
        <v>472</v>
      </c>
      <c r="D1250" s="958" t="s">
        <v>2968</v>
      </c>
      <c r="E1250" s="954" t="s">
        <v>3066</v>
      </c>
      <c r="F1250" s="960" t="s">
        <v>1403</v>
      </c>
      <c r="G1250" s="958" t="s">
        <v>2969</v>
      </c>
      <c r="H1250" s="958" t="s">
        <v>3065</v>
      </c>
      <c r="I1250" s="961" t="s">
        <v>2531</v>
      </c>
    </row>
    <row r="1251" spans="1:9" ht="15" customHeight="1" x14ac:dyDescent="0.25">
      <c r="A1251" s="958"/>
      <c r="B1251" s="962" t="s">
        <v>3138</v>
      </c>
      <c r="C1251" s="959">
        <v>20</v>
      </c>
      <c r="D1251" s="962" t="s">
        <v>4116</v>
      </c>
      <c r="E1251" s="954"/>
      <c r="F1251" s="960"/>
      <c r="G1251" s="958"/>
      <c r="H1251" s="958"/>
      <c r="I1251" s="961">
        <f>I1252</f>
        <v>6.5840417999999998E-2</v>
      </c>
    </row>
    <row r="1252" spans="1:9" ht="15" customHeight="1" x14ac:dyDescent="0.25">
      <c r="A1252" s="958"/>
      <c r="B1252" s="962" t="s">
        <v>3139</v>
      </c>
      <c r="C1252" s="959">
        <v>608</v>
      </c>
      <c r="D1252" s="962" t="s">
        <v>4497</v>
      </c>
      <c r="E1252" s="954"/>
      <c r="F1252" s="960"/>
      <c r="G1252" s="958"/>
      <c r="H1252" s="958"/>
      <c r="I1252" s="961">
        <f>I1253</f>
        <v>6.5840417999999998E-2</v>
      </c>
    </row>
    <row r="1253" spans="1:9" ht="15" customHeight="1" x14ac:dyDescent="0.25">
      <c r="A1253" s="958"/>
      <c r="B1253" s="962" t="s">
        <v>3137</v>
      </c>
      <c r="C1253" s="959">
        <v>4</v>
      </c>
      <c r="D1253" s="962" t="s">
        <v>4496</v>
      </c>
      <c r="E1253" s="954"/>
      <c r="F1253" s="960"/>
      <c r="G1253" s="958"/>
      <c r="H1253" s="958"/>
      <c r="I1253" s="961">
        <f>I1254</f>
        <v>6.5840417999999998E-2</v>
      </c>
    </row>
    <row r="1254" spans="1:9" s="946" customFormat="1" ht="24.95" customHeight="1" x14ac:dyDescent="0.25">
      <c r="B1254" s="963" t="s">
        <v>2950</v>
      </c>
      <c r="C1254" s="959" t="s">
        <v>3622</v>
      </c>
      <c r="D1254" s="963" t="s">
        <v>3623</v>
      </c>
      <c r="E1254" s="954"/>
      <c r="F1254" s="960"/>
      <c r="G1254" s="963"/>
      <c r="H1254" s="956"/>
      <c r="I1254" s="957">
        <f>SUM(I1255,I1256,I1257,I1258,I1259,I1260)</f>
        <v>6.5840417999999998E-2</v>
      </c>
    </row>
    <row r="1255" spans="1:9" s="946" customFormat="1" ht="24.95" customHeight="1" x14ac:dyDescent="0.25">
      <c r="B1255" s="963">
        <v>35000</v>
      </c>
      <c r="C1255" s="964">
        <v>333904700000000</v>
      </c>
      <c r="D1255" s="963" t="s">
        <v>4269</v>
      </c>
      <c r="E1255" s="954">
        <v>0</v>
      </c>
      <c r="F1255" s="960">
        <v>1</v>
      </c>
      <c r="G1255" s="963">
        <v>0</v>
      </c>
      <c r="H1255" s="958">
        <v>0</v>
      </c>
      <c r="I1255" s="961">
        <f>(((PUCFD!E1127)*(1+PUCFD!E$10))*(1+PUCFD!E$16))</f>
        <v>1.0973403E-2</v>
      </c>
    </row>
    <row r="1256" spans="1:9" s="946" customFormat="1" ht="24.95" customHeight="1" x14ac:dyDescent="0.25">
      <c r="B1256" s="963">
        <v>35100</v>
      </c>
      <c r="C1256" s="964">
        <v>344903000000000</v>
      </c>
      <c r="D1256" s="963" t="s">
        <v>4270</v>
      </c>
      <c r="E1256" s="954">
        <v>0</v>
      </c>
      <c r="F1256" s="960">
        <v>1</v>
      </c>
      <c r="G1256" s="963">
        <v>0</v>
      </c>
      <c r="H1256" s="958">
        <v>0</v>
      </c>
      <c r="I1256" s="961">
        <f>(((PUCFD!E1128)*(1+PUCFD!E$10))*(1+PUCFD!E$16))</f>
        <v>1.0973403E-2</v>
      </c>
    </row>
    <row r="1257" spans="1:9" s="946" customFormat="1" ht="24.95" customHeight="1" x14ac:dyDescent="0.25">
      <c r="B1257" s="963">
        <v>35200</v>
      </c>
      <c r="C1257" s="964">
        <v>344903600000000</v>
      </c>
      <c r="D1257" s="963" t="s">
        <v>4271</v>
      </c>
      <c r="E1257" s="954">
        <v>0</v>
      </c>
      <c r="F1257" s="960">
        <v>1</v>
      </c>
      <c r="G1257" s="963">
        <v>0</v>
      </c>
      <c r="H1257" s="958">
        <v>0</v>
      </c>
      <c r="I1257" s="961">
        <f>(((PUCFD!E1129)*(1+PUCFD!E$10))*(1+PUCFD!E$16))</f>
        <v>1.0973403E-2</v>
      </c>
    </row>
    <row r="1258" spans="1:9" s="946" customFormat="1" ht="24.95" customHeight="1" x14ac:dyDescent="0.25">
      <c r="B1258" s="963">
        <v>35300</v>
      </c>
      <c r="C1258" s="964">
        <v>344903900000000</v>
      </c>
      <c r="D1258" s="963" t="s">
        <v>4272</v>
      </c>
      <c r="E1258" s="954">
        <v>0</v>
      </c>
      <c r="F1258" s="960">
        <v>1</v>
      </c>
      <c r="G1258" s="963">
        <v>0</v>
      </c>
      <c r="H1258" s="958">
        <v>0</v>
      </c>
      <c r="I1258" s="961">
        <f>(((PUCFD!E1130)*(1+PUCFD!E$10))*(1+PUCFD!E$16))</f>
        <v>1.0973403E-2</v>
      </c>
    </row>
    <row r="1259" spans="1:9" s="946" customFormat="1" ht="24.95" customHeight="1" x14ac:dyDescent="0.25">
      <c r="B1259" s="963">
        <v>35400</v>
      </c>
      <c r="C1259" s="964">
        <v>344905100000000</v>
      </c>
      <c r="D1259" s="963" t="s">
        <v>4273</v>
      </c>
      <c r="E1259" s="954">
        <v>0</v>
      </c>
      <c r="F1259" s="960">
        <v>1</v>
      </c>
      <c r="G1259" s="963">
        <v>0</v>
      </c>
      <c r="H1259" s="958">
        <v>0</v>
      </c>
      <c r="I1259" s="961">
        <f>(((PUCFD!E1131)*(1+PUCFD!E$10))*(1+PUCFD!E$16))</f>
        <v>1.0973403E-2</v>
      </c>
    </row>
    <row r="1260" spans="1:9" s="946" customFormat="1" ht="24.95" customHeight="1" x14ac:dyDescent="0.25">
      <c r="B1260" s="963">
        <v>35500</v>
      </c>
      <c r="C1260" s="964">
        <v>344905200000000</v>
      </c>
      <c r="D1260" s="963" t="s">
        <v>4274</v>
      </c>
      <c r="E1260" s="954">
        <v>0</v>
      </c>
      <c r="F1260" s="960">
        <v>1</v>
      </c>
      <c r="G1260" s="963">
        <v>0</v>
      </c>
      <c r="H1260" s="958">
        <v>0</v>
      </c>
      <c r="I1260" s="961">
        <f>(((PUCFD!E1132)*(1+PUCFD!E$10))*(1+PUCFD!E$16))</f>
        <v>1.0973403E-2</v>
      </c>
    </row>
    <row r="1261" spans="1:9" ht="15" customHeight="1" x14ac:dyDescent="0.25">
      <c r="A1261" s="958"/>
      <c r="B1261" s="962" t="s">
        <v>3138</v>
      </c>
      <c r="C1261" s="959">
        <v>20</v>
      </c>
      <c r="D1261" s="962" t="s">
        <v>4116</v>
      </c>
      <c r="E1261" s="954"/>
      <c r="F1261" s="960"/>
      <c r="G1261" s="958"/>
      <c r="H1261" s="958"/>
      <c r="I1261" s="961">
        <f>I1262</f>
        <v>1184009.1200000001</v>
      </c>
    </row>
    <row r="1262" spans="1:9" ht="15" customHeight="1" x14ac:dyDescent="0.25">
      <c r="A1262" s="958"/>
      <c r="B1262" s="962" t="s">
        <v>3139</v>
      </c>
      <c r="C1262" s="959">
        <v>608</v>
      </c>
      <c r="D1262" s="962" t="s">
        <v>4497</v>
      </c>
      <c r="E1262" s="954"/>
      <c r="F1262" s="960"/>
      <c r="G1262" s="958"/>
      <c r="H1262" s="958"/>
      <c r="I1262" s="961">
        <f>I1263</f>
        <v>1184009.1200000001</v>
      </c>
    </row>
    <row r="1263" spans="1:9" ht="15" customHeight="1" x14ac:dyDescent="0.25">
      <c r="A1263" s="958"/>
      <c r="B1263" s="962" t="s">
        <v>3137</v>
      </c>
      <c r="C1263" s="959">
        <v>5</v>
      </c>
      <c r="D1263" s="1602" t="s">
        <v>4498</v>
      </c>
      <c r="E1263" s="1602"/>
      <c r="F1263" s="960"/>
      <c r="G1263" s="958"/>
      <c r="H1263" s="958"/>
      <c r="I1263" s="961">
        <f>I1264</f>
        <v>1184009.1200000001</v>
      </c>
    </row>
    <row r="1264" spans="1:9" s="946" customFormat="1" ht="38.25" customHeight="1" x14ac:dyDescent="0.25">
      <c r="B1264" s="963" t="s">
        <v>2950</v>
      </c>
      <c r="C1264" s="959" t="s">
        <v>4275</v>
      </c>
      <c r="D1264" s="963" t="s">
        <v>4276</v>
      </c>
      <c r="E1264" s="954"/>
      <c r="F1264" s="960"/>
      <c r="G1264" s="963"/>
      <c r="H1264" s="956"/>
      <c r="I1264" s="957">
        <f>I1265+I1266+I1268+I1269+I1270+I1271+I1272+I1273+I1274+I1275+I1276+I1277+I1278+I1279+I1280+I1283+I1285+I1286+I1287+I1288+I1295</f>
        <v>1184009.1200000001</v>
      </c>
    </row>
    <row r="1265" spans="2:9" s="946" customFormat="1" ht="24.95" customHeight="1" x14ac:dyDescent="0.25">
      <c r="B1265" s="963">
        <v>38000</v>
      </c>
      <c r="C1265" s="964">
        <v>333904700000000</v>
      </c>
      <c r="D1265" s="963" t="s">
        <v>4277</v>
      </c>
      <c r="E1265" s="954">
        <v>0</v>
      </c>
      <c r="F1265" s="960">
        <v>1</v>
      </c>
      <c r="G1265" s="963">
        <v>0</v>
      </c>
      <c r="H1265" s="958">
        <v>0</v>
      </c>
      <c r="I1265" s="961">
        <f>PUCFD!E1134</f>
        <v>1</v>
      </c>
    </row>
    <row r="1266" spans="2:9" s="946" customFormat="1" ht="24.95" customHeight="1" x14ac:dyDescent="0.25">
      <c r="B1266" s="963">
        <v>38010</v>
      </c>
      <c r="C1266" s="964">
        <v>344209300000000</v>
      </c>
      <c r="D1266" s="963" t="s">
        <v>4504</v>
      </c>
      <c r="E1266" s="954">
        <v>0</v>
      </c>
      <c r="F1266" s="960">
        <v>1156</v>
      </c>
      <c r="G1266" s="963">
        <v>0</v>
      </c>
      <c r="H1266" s="958">
        <v>0</v>
      </c>
      <c r="I1266" s="961">
        <f>SUM(I1267)</f>
        <v>1.98</v>
      </c>
    </row>
    <row r="1267" spans="2:9" s="971" customFormat="1" ht="24.95" customHeight="1" x14ac:dyDescent="0.25">
      <c r="B1267" s="966" t="s">
        <v>4278</v>
      </c>
      <c r="C1267" s="967">
        <v>344209300010000</v>
      </c>
      <c r="D1267" s="966" t="s">
        <v>4504</v>
      </c>
      <c r="E1267" s="968">
        <v>0</v>
      </c>
      <c r="F1267" s="969">
        <v>1156</v>
      </c>
      <c r="G1267" s="966">
        <v>0</v>
      </c>
      <c r="H1267" s="965">
        <v>0</v>
      </c>
      <c r="I1267" s="970">
        <f>PUCFD!E1136</f>
        <v>1.98</v>
      </c>
    </row>
    <row r="1268" spans="2:9" s="946" customFormat="1" ht="24.95" customHeight="1" x14ac:dyDescent="0.25">
      <c r="B1268" s="963">
        <v>38015</v>
      </c>
      <c r="C1268" s="964">
        <v>344209300000000</v>
      </c>
      <c r="D1268" s="963" t="s">
        <v>4240</v>
      </c>
      <c r="E1268" s="954">
        <v>0</v>
      </c>
      <c r="F1268" s="960">
        <v>1032</v>
      </c>
      <c r="G1268" s="963">
        <v>0</v>
      </c>
      <c r="H1268" s="958">
        <v>0</v>
      </c>
      <c r="I1268" s="961">
        <f>PUCFD!E1137</f>
        <v>0.01</v>
      </c>
    </row>
    <row r="1269" spans="2:9" s="946" customFormat="1" ht="24.95" customHeight="1" x14ac:dyDescent="0.25">
      <c r="B1269" s="963">
        <v>38020</v>
      </c>
      <c r="C1269" s="964">
        <v>344209300000000</v>
      </c>
      <c r="D1269" s="963" t="s">
        <v>4279</v>
      </c>
      <c r="E1269" s="954">
        <v>0</v>
      </c>
      <c r="F1269" s="960">
        <v>1157</v>
      </c>
      <c r="G1269" s="963">
        <v>0</v>
      </c>
      <c r="H1269" s="958">
        <v>0</v>
      </c>
      <c r="I1269" s="1362">
        <f>PUCFD!E1138</f>
        <v>0.01</v>
      </c>
    </row>
    <row r="1270" spans="2:9" s="946" customFormat="1" ht="24.95" customHeight="1" x14ac:dyDescent="0.25">
      <c r="B1270" s="963">
        <v>38030</v>
      </c>
      <c r="C1270" s="964">
        <v>344209300000000</v>
      </c>
      <c r="D1270" s="963" t="s">
        <v>4280</v>
      </c>
      <c r="E1270" s="954">
        <v>0</v>
      </c>
      <c r="F1270" s="960">
        <v>1165</v>
      </c>
      <c r="G1270" s="963">
        <v>0</v>
      </c>
      <c r="H1270" s="958">
        <v>0</v>
      </c>
      <c r="I1270" s="961">
        <v>0.01</v>
      </c>
    </row>
    <row r="1271" spans="2:9" s="946" customFormat="1" ht="24.95" customHeight="1" x14ac:dyDescent="0.25">
      <c r="B1271" s="963">
        <v>38040</v>
      </c>
      <c r="C1271" s="964">
        <v>344309300000000</v>
      </c>
      <c r="D1271" s="963" t="s">
        <v>4281</v>
      </c>
      <c r="E1271" s="954">
        <v>0</v>
      </c>
      <c r="F1271" s="960">
        <v>1169</v>
      </c>
      <c r="G1271" s="963">
        <v>0</v>
      </c>
      <c r="H1271" s="958">
        <v>0</v>
      </c>
      <c r="I1271" s="961">
        <f>PUCFD!E1140</f>
        <v>0.01</v>
      </c>
    </row>
    <row r="1272" spans="2:9" s="946" customFormat="1" ht="24.95" customHeight="1" x14ac:dyDescent="0.25">
      <c r="B1272" s="963">
        <v>38050</v>
      </c>
      <c r="C1272" s="964">
        <v>344903000000000</v>
      </c>
      <c r="D1272" s="963" t="s">
        <v>3562</v>
      </c>
      <c r="E1272" s="954">
        <v>0</v>
      </c>
      <c r="F1272" s="960">
        <v>1</v>
      </c>
      <c r="G1272" s="963">
        <v>0</v>
      </c>
      <c r="H1272" s="958">
        <v>0</v>
      </c>
      <c r="I1272" s="961">
        <f>PUCFD!E1141</f>
        <v>0.01</v>
      </c>
    </row>
    <row r="1273" spans="2:9" s="946" customFormat="1" ht="24.95" customHeight="1" x14ac:dyDescent="0.25">
      <c r="B1273" s="963">
        <v>38060</v>
      </c>
      <c r="C1273" s="964">
        <v>344903600000000</v>
      </c>
      <c r="D1273" s="963" t="s">
        <v>4161</v>
      </c>
      <c r="E1273" s="954">
        <v>0</v>
      </c>
      <c r="F1273" s="960">
        <v>1</v>
      </c>
      <c r="G1273" s="963">
        <v>0</v>
      </c>
      <c r="H1273" s="958">
        <v>0</v>
      </c>
      <c r="I1273" s="961">
        <f>PUCFD!E1142</f>
        <v>0.01</v>
      </c>
    </row>
    <row r="1274" spans="2:9" s="946" customFormat="1" ht="24.95" customHeight="1" x14ac:dyDescent="0.25">
      <c r="B1274" s="963">
        <v>38070</v>
      </c>
      <c r="C1274" s="964">
        <v>344903900000000</v>
      </c>
      <c r="D1274" s="963" t="s">
        <v>4165</v>
      </c>
      <c r="E1274" s="954">
        <v>0</v>
      </c>
      <c r="F1274" s="960">
        <v>1</v>
      </c>
      <c r="G1274" s="963">
        <v>0</v>
      </c>
      <c r="H1274" s="958">
        <v>0</v>
      </c>
      <c r="I1274" s="961">
        <f>PUCFD!E1143</f>
        <v>0.01</v>
      </c>
    </row>
    <row r="1275" spans="2:9" s="946" customFormat="1" ht="24.95" customHeight="1" x14ac:dyDescent="0.25">
      <c r="B1275" s="963">
        <v>38080</v>
      </c>
      <c r="C1275" s="964">
        <v>344903900000000</v>
      </c>
      <c r="D1275" s="963" t="s">
        <v>4282</v>
      </c>
      <c r="E1275" s="954">
        <v>0</v>
      </c>
      <c r="F1275" s="960">
        <v>1156</v>
      </c>
      <c r="G1275" s="963">
        <v>0</v>
      </c>
      <c r="H1275" s="958">
        <v>0</v>
      </c>
      <c r="I1275" s="961">
        <f>PUCFD!E1144</f>
        <v>0.01</v>
      </c>
    </row>
    <row r="1276" spans="2:9" s="946" customFormat="1" ht="24.95" customHeight="1" x14ac:dyDescent="0.25">
      <c r="B1276" s="963">
        <v>38090</v>
      </c>
      <c r="C1276" s="964">
        <v>344903900000000</v>
      </c>
      <c r="D1276" s="963" t="s">
        <v>4283</v>
      </c>
      <c r="E1276" s="954">
        <v>0</v>
      </c>
      <c r="F1276" s="960">
        <v>1157</v>
      </c>
      <c r="G1276" s="963">
        <v>0</v>
      </c>
      <c r="H1276" s="958">
        <v>0</v>
      </c>
      <c r="I1276" s="961">
        <f>ER!E525+ER!E567-I1269</f>
        <v>100000.99</v>
      </c>
    </row>
    <row r="1277" spans="2:9" s="946" customFormat="1" ht="24.95" customHeight="1" x14ac:dyDescent="0.25">
      <c r="B1277" s="963">
        <v>38100</v>
      </c>
      <c r="C1277" s="964">
        <v>344903900000000</v>
      </c>
      <c r="D1277" s="963" t="s">
        <v>4284</v>
      </c>
      <c r="E1277" s="954">
        <v>0</v>
      </c>
      <c r="F1277" s="960">
        <v>1165</v>
      </c>
      <c r="G1277" s="963">
        <v>0</v>
      </c>
      <c r="H1277" s="958">
        <v>0</v>
      </c>
      <c r="I1277" s="961">
        <f>PUCFD!E1146</f>
        <v>0.01</v>
      </c>
    </row>
    <row r="1278" spans="2:9" s="946" customFormat="1" ht="24.95" customHeight="1" x14ac:dyDescent="0.25">
      <c r="B1278" s="963">
        <v>38120</v>
      </c>
      <c r="C1278" s="964">
        <v>344905100000000</v>
      </c>
      <c r="D1278" s="963" t="s">
        <v>4285</v>
      </c>
      <c r="E1278" s="954">
        <v>0</v>
      </c>
      <c r="F1278" s="960">
        <v>1169</v>
      </c>
      <c r="G1278" s="963">
        <v>0</v>
      </c>
      <c r="H1278" s="958">
        <v>0</v>
      </c>
      <c r="I1278" s="961">
        <f>PUCFD!E1147+1</f>
        <v>30000.99</v>
      </c>
    </row>
    <row r="1279" spans="2:9" s="946" customFormat="1" ht="24.95" customHeight="1" x14ac:dyDescent="0.25">
      <c r="B1279" s="963">
        <v>38125</v>
      </c>
      <c r="C1279" s="964">
        <v>344905100000000</v>
      </c>
      <c r="D1279" s="963" t="s">
        <v>4505</v>
      </c>
      <c r="E1279" s="954">
        <v>0</v>
      </c>
      <c r="F1279" s="960">
        <v>1032</v>
      </c>
      <c r="G1279" s="963">
        <v>0</v>
      </c>
      <c r="H1279" s="958">
        <v>0</v>
      </c>
      <c r="I1279" s="961">
        <f>PUCFD!E1148</f>
        <v>500000.99</v>
      </c>
    </row>
    <row r="1280" spans="2:9" s="946" customFormat="1" ht="24.95" customHeight="1" x14ac:dyDescent="0.25">
      <c r="B1280" s="963">
        <v>38130</v>
      </c>
      <c r="C1280" s="964">
        <v>344905100000000</v>
      </c>
      <c r="D1280" s="963" t="s">
        <v>4286</v>
      </c>
      <c r="E1280" s="954">
        <v>0</v>
      </c>
      <c r="F1280" s="960">
        <v>1</v>
      </c>
      <c r="G1280" s="963">
        <v>0</v>
      </c>
      <c r="H1280" s="958">
        <v>0</v>
      </c>
      <c r="I1280" s="961">
        <f>SUM(I1281,I1282)</f>
        <v>0.02</v>
      </c>
    </row>
    <row r="1281" spans="1:9" s="971" customFormat="1" ht="24.95" customHeight="1" x14ac:dyDescent="0.25">
      <c r="B1281" s="966" t="s">
        <v>4287</v>
      </c>
      <c r="C1281" s="967">
        <v>344905199000000</v>
      </c>
      <c r="D1281" s="966" t="s">
        <v>4288</v>
      </c>
      <c r="E1281" s="968">
        <v>0</v>
      </c>
      <c r="F1281" s="969">
        <v>1</v>
      </c>
      <c r="G1281" s="966">
        <v>0</v>
      </c>
      <c r="H1281" s="965">
        <v>0</v>
      </c>
      <c r="I1281" s="970">
        <f>PUCFD!E1151</f>
        <v>0.01</v>
      </c>
    </row>
    <row r="1282" spans="1:9" s="971" customFormat="1" ht="24.95" customHeight="1" x14ac:dyDescent="0.25">
      <c r="B1282" s="966" t="s">
        <v>4515</v>
      </c>
      <c r="C1282" s="967">
        <v>344905199000000</v>
      </c>
      <c r="D1282" s="966" t="s">
        <v>4512</v>
      </c>
      <c r="E1282" s="968">
        <v>0</v>
      </c>
      <c r="F1282" s="969">
        <v>1</v>
      </c>
      <c r="G1282" s="966">
        <v>0</v>
      </c>
      <c r="H1282" s="965">
        <v>0</v>
      </c>
      <c r="I1282" s="970">
        <f>PUCFD!E1150</f>
        <v>0.01</v>
      </c>
    </row>
    <row r="1283" spans="1:9" s="946" customFormat="1" ht="24.95" customHeight="1" x14ac:dyDescent="0.25">
      <c r="B1283" s="963">
        <v>38110</v>
      </c>
      <c r="C1283" s="964">
        <v>344905200000000</v>
      </c>
      <c r="D1283" s="963" t="s">
        <v>4289</v>
      </c>
      <c r="E1283" s="954">
        <v>0</v>
      </c>
      <c r="F1283" s="960">
        <v>1169</v>
      </c>
      <c r="G1283" s="963">
        <v>0</v>
      </c>
      <c r="H1283" s="958">
        <v>0</v>
      </c>
      <c r="I1283" s="961">
        <f>I1284</f>
        <v>1</v>
      </c>
    </row>
    <row r="1284" spans="1:9" s="971" customFormat="1" ht="24.95" customHeight="1" x14ac:dyDescent="0.25">
      <c r="B1284" s="966" t="s">
        <v>4290</v>
      </c>
      <c r="C1284" s="967">
        <v>344905299000000</v>
      </c>
      <c r="D1284" s="966" t="s">
        <v>4289</v>
      </c>
      <c r="E1284" s="968">
        <v>0</v>
      </c>
      <c r="F1284" s="969">
        <v>1169</v>
      </c>
      <c r="G1284" s="966">
        <v>0</v>
      </c>
      <c r="H1284" s="965">
        <v>0</v>
      </c>
      <c r="I1284" s="970">
        <f>PUCFD!E1157</f>
        <v>1</v>
      </c>
    </row>
    <row r="1285" spans="1:9" s="946" customFormat="1" ht="24.95" customHeight="1" x14ac:dyDescent="0.25">
      <c r="B1285" s="963">
        <v>38140</v>
      </c>
      <c r="C1285" s="964">
        <v>344905200000000</v>
      </c>
      <c r="D1285" s="963" t="s">
        <v>4503</v>
      </c>
      <c r="E1285" s="954">
        <v>0</v>
      </c>
      <c r="F1285" s="960">
        <v>1156</v>
      </c>
      <c r="G1285" s="963">
        <v>0</v>
      </c>
      <c r="H1285" s="958">
        <v>0</v>
      </c>
      <c r="I1285" s="970">
        <f>PUCFD!E1153</f>
        <v>0.01</v>
      </c>
    </row>
    <row r="1286" spans="1:9" s="946" customFormat="1" ht="24.95" customHeight="1" x14ac:dyDescent="0.25">
      <c r="B1286" s="963">
        <v>38150</v>
      </c>
      <c r="C1286" s="964">
        <v>344905200000000</v>
      </c>
      <c r="D1286" s="963" t="s">
        <v>4293</v>
      </c>
      <c r="E1286" s="954">
        <v>0</v>
      </c>
      <c r="F1286" s="960">
        <v>1157</v>
      </c>
      <c r="G1286" s="963">
        <v>0</v>
      </c>
      <c r="H1286" s="958">
        <v>0</v>
      </c>
      <c r="I1286" s="961">
        <f>PUCFD!E1155-100000.97</f>
        <v>1.0000000009313226E-2</v>
      </c>
    </row>
    <row r="1287" spans="1:9" s="946" customFormat="1" ht="24.95" customHeight="1" x14ac:dyDescent="0.25">
      <c r="B1287" s="963">
        <v>38160</v>
      </c>
      <c r="C1287" s="964">
        <v>344905200000000</v>
      </c>
      <c r="D1287" s="963" t="s">
        <v>4294</v>
      </c>
      <c r="E1287" s="954">
        <v>0</v>
      </c>
      <c r="F1287" s="960">
        <v>1165</v>
      </c>
      <c r="G1287" s="963">
        <v>0</v>
      </c>
      <c r="H1287" s="958">
        <v>0</v>
      </c>
      <c r="I1287" s="961">
        <v>1.98</v>
      </c>
    </row>
    <row r="1288" spans="1:9" s="946" customFormat="1" ht="24.95" customHeight="1" x14ac:dyDescent="0.25">
      <c r="B1288" s="963">
        <v>38170</v>
      </c>
      <c r="C1288" s="964">
        <v>344905200000000</v>
      </c>
      <c r="D1288" s="963" t="s">
        <v>4295</v>
      </c>
      <c r="E1288" s="954">
        <v>0</v>
      </c>
      <c r="F1288" s="960">
        <v>1</v>
      </c>
      <c r="G1288" s="963">
        <v>0</v>
      </c>
      <c r="H1288" s="958">
        <v>0</v>
      </c>
      <c r="I1288" s="961">
        <f>SUM(I1289,I1290,I1291,I1292,I1293,I1294)</f>
        <v>6.0000000000000005E-2</v>
      </c>
    </row>
    <row r="1289" spans="1:9" s="971" customFormat="1" ht="24.95" customHeight="1" x14ac:dyDescent="0.25">
      <c r="B1289" s="966" t="s">
        <v>4296</v>
      </c>
      <c r="C1289" s="967">
        <v>344905240000000</v>
      </c>
      <c r="D1289" s="966" t="s">
        <v>4297</v>
      </c>
      <c r="E1289" s="968">
        <v>0</v>
      </c>
      <c r="F1289" s="969">
        <v>1</v>
      </c>
      <c r="G1289" s="966">
        <v>0</v>
      </c>
      <c r="H1289" s="965">
        <v>0</v>
      </c>
      <c r="I1289" s="970">
        <f>PUCFD!E1161</f>
        <v>0.01</v>
      </c>
    </row>
    <row r="1290" spans="1:9" s="971" customFormat="1" ht="24.95" customHeight="1" x14ac:dyDescent="0.25">
      <c r="B1290" s="966" t="s">
        <v>4298</v>
      </c>
      <c r="C1290" s="967">
        <v>344905242000000</v>
      </c>
      <c r="D1290" s="966" t="s">
        <v>4299</v>
      </c>
      <c r="E1290" s="968">
        <v>0</v>
      </c>
      <c r="F1290" s="969">
        <v>1</v>
      </c>
      <c r="G1290" s="966">
        <v>0</v>
      </c>
      <c r="H1290" s="965">
        <v>0</v>
      </c>
      <c r="I1290" s="970">
        <f>PUCFD!E1164</f>
        <v>0.01</v>
      </c>
    </row>
    <row r="1291" spans="1:9" s="971" customFormat="1" ht="24.95" customHeight="1" x14ac:dyDescent="0.25">
      <c r="B1291" s="966" t="s">
        <v>4300</v>
      </c>
      <c r="C1291" s="967">
        <v>344905240000000</v>
      </c>
      <c r="D1291" s="966" t="s">
        <v>4516</v>
      </c>
      <c r="E1291" s="968">
        <v>0</v>
      </c>
      <c r="F1291" s="969">
        <v>1</v>
      </c>
      <c r="G1291" s="966">
        <v>0</v>
      </c>
      <c r="H1291" s="965">
        <v>0</v>
      </c>
      <c r="I1291" s="970">
        <f>PUCFD!E1159</f>
        <v>0.01</v>
      </c>
    </row>
    <row r="1292" spans="1:9" s="971" customFormat="1" ht="24.95" customHeight="1" x14ac:dyDescent="0.25">
      <c r="B1292" s="966" t="s">
        <v>4301</v>
      </c>
      <c r="C1292" s="967">
        <v>344905240000000</v>
      </c>
      <c r="D1292" s="966" t="s">
        <v>4511</v>
      </c>
      <c r="E1292" s="968">
        <v>0</v>
      </c>
      <c r="F1292" s="969">
        <v>1</v>
      </c>
      <c r="G1292" s="966">
        <v>0</v>
      </c>
      <c r="H1292" s="965">
        <v>0</v>
      </c>
      <c r="I1292" s="970">
        <f>PUCFD!E1162</f>
        <v>0.01</v>
      </c>
    </row>
    <row r="1293" spans="1:9" s="971" customFormat="1" ht="24.95" customHeight="1" x14ac:dyDescent="0.25">
      <c r="B1293" s="966" t="s">
        <v>4302</v>
      </c>
      <c r="C1293" s="967">
        <v>344905240000000</v>
      </c>
      <c r="D1293" s="966" t="s">
        <v>4517</v>
      </c>
      <c r="E1293" s="968">
        <v>0</v>
      </c>
      <c r="F1293" s="969">
        <v>1</v>
      </c>
      <c r="G1293" s="966">
        <v>0</v>
      </c>
      <c r="H1293" s="965">
        <v>0</v>
      </c>
      <c r="I1293" s="970">
        <f>PUCFD!E1161</f>
        <v>0.01</v>
      </c>
    </row>
    <row r="1294" spans="1:9" s="971" customFormat="1" ht="24.95" customHeight="1" x14ac:dyDescent="0.25">
      <c r="B1294" s="966" t="s">
        <v>4303</v>
      </c>
      <c r="C1294" s="967">
        <v>344905299000000</v>
      </c>
      <c r="D1294" s="966" t="s">
        <v>4304</v>
      </c>
      <c r="E1294" s="968">
        <v>0</v>
      </c>
      <c r="F1294" s="969">
        <v>1</v>
      </c>
      <c r="G1294" s="966">
        <v>0</v>
      </c>
      <c r="H1294" s="965">
        <v>0</v>
      </c>
      <c r="I1294" s="970">
        <f>PUCFD!E1163</f>
        <v>0.01</v>
      </c>
    </row>
    <row r="1295" spans="1:9" s="946" customFormat="1" ht="24.95" customHeight="1" x14ac:dyDescent="0.25">
      <c r="B1295" s="963">
        <v>38180</v>
      </c>
      <c r="C1295" s="964">
        <v>344905200000000</v>
      </c>
      <c r="D1295" s="963" t="s">
        <v>4503</v>
      </c>
      <c r="E1295" s="954">
        <v>0</v>
      </c>
      <c r="F1295" s="960">
        <v>1032</v>
      </c>
      <c r="G1295" s="963">
        <v>0</v>
      </c>
      <c r="H1295" s="958">
        <v>0</v>
      </c>
      <c r="I1295" s="961">
        <f>PUCFD!E1152</f>
        <v>554000</v>
      </c>
    </row>
    <row r="1296" spans="1:9" ht="15" customHeight="1" x14ac:dyDescent="0.25">
      <c r="A1296" s="958"/>
      <c r="B1296" s="962" t="s">
        <v>3138</v>
      </c>
      <c r="C1296" s="959">
        <v>20</v>
      </c>
      <c r="D1296" s="962" t="s">
        <v>4116</v>
      </c>
      <c r="E1296" s="954"/>
      <c r="F1296" s="960"/>
      <c r="G1296" s="958"/>
      <c r="H1296" s="958"/>
      <c r="I1296" s="961">
        <f>I1297</f>
        <v>1099.5359540030001</v>
      </c>
    </row>
    <row r="1297" spans="1:9" ht="15" customHeight="1" x14ac:dyDescent="0.25">
      <c r="A1297" s="958"/>
      <c r="B1297" s="962" t="s">
        <v>3139</v>
      </c>
      <c r="C1297" s="959">
        <v>126</v>
      </c>
      <c r="D1297" s="962" t="s">
        <v>3600</v>
      </c>
      <c r="E1297" s="954"/>
      <c r="F1297" s="960"/>
      <c r="G1297" s="958"/>
      <c r="H1297" s="958"/>
      <c r="I1297" s="961">
        <f>I1298</f>
        <v>1099.5359540030001</v>
      </c>
    </row>
    <row r="1298" spans="1:9" ht="15" customHeight="1" x14ac:dyDescent="0.25">
      <c r="A1298" s="958"/>
      <c r="B1298" s="962" t="s">
        <v>3137</v>
      </c>
      <c r="C1298" s="959">
        <v>5</v>
      </c>
      <c r="D1298" s="1602" t="s">
        <v>4498</v>
      </c>
      <c r="E1298" s="1602"/>
      <c r="F1298" s="960"/>
      <c r="G1298" s="958"/>
      <c r="H1298" s="958"/>
      <c r="I1298" s="961">
        <f>I1299</f>
        <v>1099.5359540030001</v>
      </c>
    </row>
    <row r="1299" spans="1:9" s="946" customFormat="1" ht="24.95" customHeight="1" x14ac:dyDescent="0.25">
      <c r="B1299" s="963" t="s">
        <v>2965</v>
      </c>
      <c r="C1299" s="959">
        <v>4</v>
      </c>
      <c r="D1299" s="963" t="s">
        <v>4305</v>
      </c>
      <c r="E1299" s="954"/>
      <c r="F1299" s="960"/>
      <c r="G1299" s="963"/>
      <c r="H1299" s="956"/>
      <c r="I1299" s="957">
        <f>I1300</f>
        <v>1099.5359540030001</v>
      </c>
    </row>
    <row r="1300" spans="1:9" s="946" customFormat="1" ht="33.75" customHeight="1" x14ac:dyDescent="0.25">
      <c r="B1300" s="963">
        <v>38600</v>
      </c>
      <c r="C1300" s="964">
        <v>333904000000000</v>
      </c>
      <c r="D1300" s="963" t="s">
        <v>5872</v>
      </c>
      <c r="E1300" s="954"/>
      <c r="F1300" s="960">
        <v>1</v>
      </c>
      <c r="G1300" s="963">
        <v>0</v>
      </c>
      <c r="H1300" s="950"/>
      <c r="I1300" s="961">
        <f>SUM(I1301,I1302,I1303,I1304)</f>
        <v>1099.5359540030001</v>
      </c>
    </row>
    <row r="1301" spans="1:9" ht="25.5" customHeight="1" x14ac:dyDescent="0.25">
      <c r="A1301" s="972"/>
      <c r="B1301" s="973" t="s">
        <v>5873</v>
      </c>
      <c r="C1301" s="974">
        <v>333904006000000</v>
      </c>
      <c r="D1301" s="973" t="s">
        <v>3044</v>
      </c>
      <c r="E1301" s="948">
        <v>332311000000000</v>
      </c>
      <c r="F1301" s="975">
        <v>1</v>
      </c>
      <c r="G1301" s="973">
        <v>0</v>
      </c>
      <c r="H1301" s="972">
        <v>0</v>
      </c>
      <c r="I1301" s="976">
        <f>(((PUCFD!E1168)*(1+PUCFD!E$10))*(1+PUCFD!E$16))</f>
        <v>1.0973403E-2</v>
      </c>
    </row>
    <row r="1302" spans="1:9" ht="29.25" customHeight="1" x14ac:dyDescent="0.25">
      <c r="A1302" s="972"/>
      <c r="B1302" s="973" t="s">
        <v>5874</v>
      </c>
      <c r="C1302" s="974">
        <v>333904011000000</v>
      </c>
      <c r="D1302" s="973" t="s">
        <v>5924</v>
      </c>
      <c r="E1302" s="948">
        <v>332311100000000</v>
      </c>
      <c r="F1302" s="975">
        <v>1</v>
      </c>
      <c r="G1302" s="973">
        <v>0</v>
      </c>
      <c r="H1302" s="972">
        <v>0</v>
      </c>
      <c r="I1302" s="976">
        <f>(((PUCFD!E1169)*(1+PUCFD!E$10))*(1+PUCFD!E$16))-0.01</f>
        <v>1.0873402999999999</v>
      </c>
    </row>
    <row r="1303" spans="1:9" ht="29.25" customHeight="1" x14ac:dyDescent="0.25">
      <c r="A1303" s="972"/>
      <c r="B1303" s="973" t="s">
        <v>5875</v>
      </c>
      <c r="C1303" s="974">
        <v>333904012000000</v>
      </c>
      <c r="D1303" s="973" t="s">
        <v>5926</v>
      </c>
      <c r="E1303" s="948">
        <v>332311100000000</v>
      </c>
      <c r="F1303" s="975">
        <v>1</v>
      </c>
      <c r="G1303" s="973">
        <v>0</v>
      </c>
      <c r="H1303" s="972">
        <v>0</v>
      </c>
      <c r="I1303" s="976">
        <f>(((PUCFD!E1170)*(1+PUCFD!E$10))*(1+PUCFD!E$16))</f>
        <v>1.0973402999999999</v>
      </c>
    </row>
    <row r="1304" spans="1:9" ht="24.95" customHeight="1" x14ac:dyDescent="0.25">
      <c r="A1304" s="972"/>
      <c r="B1304" s="973" t="s">
        <v>5876</v>
      </c>
      <c r="C1304" s="974">
        <v>333904099000000</v>
      </c>
      <c r="D1304" s="973" t="s">
        <v>5928</v>
      </c>
      <c r="E1304" s="948">
        <v>332311100000000</v>
      </c>
      <c r="F1304" s="975">
        <v>1</v>
      </c>
      <c r="G1304" s="973">
        <v>0</v>
      </c>
      <c r="H1304" s="972">
        <v>0</v>
      </c>
      <c r="I1304" s="976">
        <f>(((PUCFD!E1171)*(1+PUCFD!E$10))*(1+PUCFD!E$16))</f>
        <v>1097.3403000000001</v>
      </c>
    </row>
    <row r="1305" spans="1:9" ht="24.95" customHeight="1" x14ac:dyDescent="0.25">
      <c r="A1305" s="958"/>
      <c r="B1305" s="962" t="s">
        <v>3138</v>
      </c>
      <c r="C1305" s="959">
        <v>20</v>
      </c>
      <c r="D1305" s="962" t="s">
        <v>4116</v>
      </c>
      <c r="E1305" s="954"/>
      <c r="F1305" s="960"/>
      <c r="G1305" s="958"/>
      <c r="H1305" s="958"/>
      <c r="I1305" s="961">
        <f>I1306</f>
        <v>0.05</v>
      </c>
    </row>
    <row r="1306" spans="1:9" ht="24.95" customHeight="1" x14ac:dyDescent="0.25">
      <c r="A1306" s="958"/>
      <c r="B1306" s="962" t="s">
        <v>3139</v>
      </c>
      <c r="C1306" s="959">
        <v>128</v>
      </c>
      <c r="D1306" s="962" t="s">
        <v>5104</v>
      </c>
      <c r="E1306" s="954"/>
      <c r="F1306" s="960"/>
      <c r="G1306" s="958"/>
      <c r="H1306" s="958"/>
      <c r="I1306" s="961">
        <f>I1308</f>
        <v>0.05</v>
      </c>
    </row>
    <row r="1307" spans="1:9" ht="24.95" customHeight="1" x14ac:dyDescent="0.25">
      <c r="A1307" s="958"/>
      <c r="B1307" s="962" t="s">
        <v>3137</v>
      </c>
      <c r="C1307" s="959">
        <v>5</v>
      </c>
      <c r="D1307" s="1602" t="s">
        <v>4498</v>
      </c>
      <c r="E1307" s="1602"/>
      <c r="F1307" s="960"/>
      <c r="G1307" s="958"/>
      <c r="H1307" s="958"/>
      <c r="I1307" s="961">
        <f>I1308</f>
        <v>0.05</v>
      </c>
    </row>
    <row r="1308" spans="1:9" s="946" customFormat="1" ht="24.95" customHeight="1" x14ac:dyDescent="0.25">
      <c r="B1308" s="963" t="s">
        <v>2965</v>
      </c>
      <c r="C1308" s="959">
        <v>4</v>
      </c>
      <c r="D1308" s="963" t="s">
        <v>4305</v>
      </c>
      <c r="E1308" s="954"/>
      <c r="F1308" s="960"/>
      <c r="G1308" s="963"/>
      <c r="H1308" s="958"/>
      <c r="I1308" s="957">
        <f>SUM(I1309:I1313)</f>
        <v>0.05</v>
      </c>
    </row>
    <row r="1309" spans="1:9" s="946" customFormat="1" ht="24.95" customHeight="1" x14ac:dyDescent="0.25">
      <c r="B1309" s="973">
        <v>38650</v>
      </c>
      <c r="C1309" s="974">
        <v>333901400000000</v>
      </c>
      <c r="D1309" s="973" t="s">
        <v>5877</v>
      </c>
      <c r="E1309" s="954"/>
      <c r="F1309" s="949">
        <v>1</v>
      </c>
      <c r="G1309" s="945">
        <v>0</v>
      </c>
      <c r="H1309" s="950">
        <v>0</v>
      </c>
      <c r="I1309" s="951">
        <f>PUCFD!E1173</f>
        <v>0.01</v>
      </c>
    </row>
    <row r="1310" spans="1:9" s="946" customFormat="1" ht="31.5" customHeight="1" x14ac:dyDescent="0.25">
      <c r="B1310" s="973">
        <v>38680</v>
      </c>
      <c r="C1310" s="974">
        <v>333903300000000</v>
      </c>
      <c r="D1310" s="973" t="s">
        <v>5878</v>
      </c>
      <c r="E1310" s="954"/>
      <c r="F1310" s="949">
        <v>1</v>
      </c>
      <c r="G1310" s="945">
        <v>0</v>
      </c>
      <c r="H1310" s="950">
        <v>0</v>
      </c>
      <c r="I1310" s="951">
        <f>PUCFD!E1174</f>
        <v>0.01</v>
      </c>
    </row>
    <row r="1311" spans="1:9" s="946" customFormat="1" ht="33.75" customHeight="1" x14ac:dyDescent="0.25">
      <c r="B1311" s="973">
        <v>38700</v>
      </c>
      <c r="C1311" s="974">
        <v>333903600000000</v>
      </c>
      <c r="D1311" s="973" t="s">
        <v>5879</v>
      </c>
      <c r="E1311" s="954"/>
      <c r="F1311" s="949">
        <v>1</v>
      </c>
      <c r="G1311" s="945">
        <v>0</v>
      </c>
      <c r="H1311" s="950">
        <v>0</v>
      </c>
      <c r="I1311" s="951">
        <f>PUCFD!E1175</f>
        <v>0.01</v>
      </c>
    </row>
    <row r="1312" spans="1:9" s="946" customFormat="1" ht="30" customHeight="1" x14ac:dyDescent="0.25">
      <c r="B1312" s="973">
        <v>38730</v>
      </c>
      <c r="C1312" s="974">
        <v>333903900000000</v>
      </c>
      <c r="D1312" s="973" t="s">
        <v>5880</v>
      </c>
      <c r="E1312" s="954"/>
      <c r="F1312" s="949">
        <v>1</v>
      </c>
      <c r="G1312" s="945">
        <v>0</v>
      </c>
      <c r="H1312" s="950">
        <v>0</v>
      </c>
      <c r="I1312" s="951">
        <f>PUCFD!E1176</f>
        <v>0.01</v>
      </c>
    </row>
    <row r="1313" spans="1:9" s="946" customFormat="1" ht="33.75" customHeight="1" x14ac:dyDescent="0.25">
      <c r="B1313" s="973">
        <v>38750</v>
      </c>
      <c r="C1313" s="974">
        <v>333904700000000</v>
      </c>
      <c r="D1313" s="973" t="s">
        <v>5881</v>
      </c>
      <c r="E1313" s="954"/>
      <c r="F1313" s="949">
        <v>1</v>
      </c>
      <c r="G1313" s="945">
        <v>0</v>
      </c>
      <c r="H1313" s="950">
        <v>0</v>
      </c>
      <c r="I1313" s="951">
        <f>PUCFD!E1177</f>
        <v>0.01</v>
      </c>
    </row>
    <row r="1314" spans="1:9" ht="15" customHeight="1" x14ac:dyDescent="0.25">
      <c r="A1314" s="958"/>
      <c r="B1314" s="962" t="s">
        <v>3138</v>
      </c>
      <c r="C1314" s="959">
        <v>20</v>
      </c>
      <c r="D1314" s="962" t="s">
        <v>4116</v>
      </c>
      <c r="E1314" s="954"/>
      <c r="F1314" s="960"/>
      <c r="G1314" s="958"/>
      <c r="H1314" s="958"/>
      <c r="I1314" s="961">
        <f>I1315</f>
        <v>850160.19529746706</v>
      </c>
    </row>
    <row r="1315" spans="1:9" ht="15" customHeight="1" x14ac:dyDescent="0.25">
      <c r="A1315" s="958"/>
      <c r="B1315" s="962" t="s">
        <v>3139</v>
      </c>
      <c r="C1315" s="959">
        <v>608</v>
      </c>
      <c r="D1315" s="962" t="s">
        <v>4497</v>
      </c>
      <c r="E1315" s="954"/>
      <c r="F1315" s="960"/>
      <c r="G1315" s="958"/>
      <c r="H1315" s="958"/>
      <c r="I1315" s="961">
        <f>I1316</f>
        <v>850160.19529746706</v>
      </c>
    </row>
    <row r="1316" spans="1:9" ht="15" customHeight="1" x14ac:dyDescent="0.25">
      <c r="A1316" s="958"/>
      <c r="B1316" s="962" t="s">
        <v>3137</v>
      </c>
      <c r="C1316" s="959">
        <v>5</v>
      </c>
      <c r="D1316" s="1602" t="s">
        <v>4498</v>
      </c>
      <c r="E1316" s="1602"/>
      <c r="F1316" s="960"/>
      <c r="G1316" s="958"/>
      <c r="H1316" s="958"/>
      <c r="I1316" s="961">
        <f>I1317</f>
        <v>850160.19529746706</v>
      </c>
    </row>
    <row r="1317" spans="1:9" s="946" customFormat="1" ht="24.95" customHeight="1" x14ac:dyDescent="0.25">
      <c r="B1317" s="963" t="s">
        <v>2965</v>
      </c>
      <c r="C1317" s="959">
        <v>4</v>
      </c>
      <c r="D1317" s="963" t="s">
        <v>4305</v>
      </c>
      <c r="E1317" s="954"/>
      <c r="F1317" s="960"/>
      <c r="G1317" s="963"/>
      <c r="H1317" s="956"/>
      <c r="I1317" s="957">
        <f>I1318+I1321+I1323+I1335+I1339+I1343+I1344+I1349+I1353+I1387+I1391+I1392+I1393+I1394+I1395+I1417+I1419+I1430+I1434+I1436+I1438+I1439+I1440+I1347</f>
        <v>850160.19529746706</v>
      </c>
    </row>
    <row r="1318" spans="1:9" s="946" customFormat="1" ht="31.5" customHeight="1" x14ac:dyDescent="0.25">
      <c r="B1318" s="963">
        <v>41000</v>
      </c>
      <c r="C1318" s="964">
        <v>331900400000000</v>
      </c>
      <c r="D1318" s="963" t="s">
        <v>5882</v>
      </c>
      <c r="E1318" s="954"/>
      <c r="F1318" s="960">
        <v>1</v>
      </c>
      <c r="G1318" s="963">
        <v>0</v>
      </c>
      <c r="H1318" s="958">
        <v>0</v>
      </c>
      <c r="I1318" s="961">
        <f>SUM(I1319,I1320)</f>
        <v>35101.786949657799</v>
      </c>
    </row>
    <row r="1319" spans="1:9" ht="24.95" customHeight="1" x14ac:dyDescent="0.25">
      <c r="B1319" s="973" t="s">
        <v>4306</v>
      </c>
      <c r="C1319" s="974">
        <v>331900415000000</v>
      </c>
      <c r="D1319" s="973" t="s">
        <v>4307</v>
      </c>
      <c r="E1319" s="948">
        <v>311210426000000</v>
      </c>
      <c r="F1319" s="975">
        <v>1</v>
      </c>
      <c r="G1319" s="973">
        <v>0</v>
      </c>
      <c r="H1319" s="972">
        <v>0</v>
      </c>
      <c r="I1319" s="976">
        <f>((((PUCFD!E1180)*(1+PUCFD!E$87)))+(I1341+I1345+I1346)*PUCFD!E$92)*(1+PUCFD!E$87)</f>
        <v>10562.17953122092</v>
      </c>
    </row>
    <row r="1320" spans="1:9" ht="24.95" customHeight="1" x14ac:dyDescent="0.25">
      <c r="B1320" s="973" t="s">
        <v>4308</v>
      </c>
      <c r="C1320" s="974">
        <v>331900499020000</v>
      </c>
      <c r="D1320" s="973" t="s">
        <v>4309</v>
      </c>
      <c r="E1320" s="948">
        <v>311210499000000</v>
      </c>
      <c r="F1320" s="975">
        <v>1</v>
      </c>
      <c r="G1320" s="973">
        <v>0</v>
      </c>
      <c r="H1320" s="972">
        <v>0</v>
      </c>
      <c r="I1320" s="976">
        <f>(((PUCFD!E1181)))*(1+PUCFD!E$87)</f>
        <v>24539.607418436881</v>
      </c>
    </row>
    <row r="1321" spans="1:9" s="946" customFormat="1" ht="33.75" customHeight="1" x14ac:dyDescent="0.25">
      <c r="A1321" s="958"/>
      <c r="B1321" s="963">
        <v>41050</v>
      </c>
      <c r="C1321" s="964">
        <v>331900800000000</v>
      </c>
      <c r="D1321" s="963" t="s">
        <v>5883</v>
      </c>
      <c r="E1321" s="954"/>
      <c r="F1321" s="960">
        <v>1</v>
      </c>
      <c r="G1321" s="960">
        <v>0</v>
      </c>
      <c r="H1321" s="955"/>
      <c r="I1321" s="961">
        <f>SUM(I1322)</f>
        <v>9685.480981919769</v>
      </c>
    </row>
    <row r="1322" spans="1:9" ht="24.95" customHeight="1" x14ac:dyDescent="0.25">
      <c r="A1322" s="972"/>
      <c r="B1322" s="973" t="s">
        <v>4500</v>
      </c>
      <c r="C1322" s="991">
        <v>319008990400000</v>
      </c>
      <c r="D1322" s="973" t="s">
        <v>4234</v>
      </c>
      <c r="E1322" s="948">
        <v>312940100000000</v>
      </c>
      <c r="F1322" s="975">
        <v>1</v>
      </c>
      <c r="G1322" s="975">
        <v>0</v>
      </c>
      <c r="H1322" s="949"/>
      <c r="I1322" s="976">
        <f>SUM(I1324,I1325,I1326,I1327,I1328,I1329,I1330,I1331,I1340,I1342,I1343)*PUCFD!E$94</f>
        <v>9685.480981919769</v>
      </c>
    </row>
    <row r="1323" spans="1:9" s="946" customFormat="1" ht="24.95" customHeight="1" x14ac:dyDescent="0.25">
      <c r="B1323" s="963">
        <v>41100</v>
      </c>
      <c r="C1323" s="964">
        <v>331901100000000</v>
      </c>
      <c r="D1323" s="963" t="s">
        <v>5884</v>
      </c>
      <c r="E1323" s="954"/>
      <c r="F1323" s="960">
        <v>1</v>
      </c>
      <c r="G1323" s="963">
        <v>0</v>
      </c>
      <c r="H1323" s="958">
        <v>0</v>
      </c>
      <c r="I1323" s="961">
        <f>SUM(I1324,I1325,I1326,I1327,I1328,I1329,I1330,I1331,I1332,I1333,I1334)+PUCFD!E1198</f>
        <v>89968.135057245468</v>
      </c>
    </row>
    <row r="1324" spans="1:9" ht="24.95" customHeight="1" x14ac:dyDescent="0.25">
      <c r="B1324" s="973" t="s">
        <v>4311</v>
      </c>
      <c r="C1324" s="974">
        <v>331901143010000</v>
      </c>
      <c r="D1324" s="973" t="s">
        <v>4312</v>
      </c>
      <c r="E1324" s="948">
        <v>0</v>
      </c>
      <c r="F1324" s="975">
        <v>1</v>
      </c>
      <c r="G1324" s="973">
        <v>0</v>
      </c>
      <c r="H1324" s="972">
        <v>0</v>
      </c>
      <c r="I1324" s="976">
        <f>(((PUCFD!E1187)))*(1+PUCFD!E$87)</f>
        <v>1913.1337003733463</v>
      </c>
    </row>
    <row r="1325" spans="1:9" ht="24.95" customHeight="1" x14ac:dyDescent="0.25">
      <c r="B1325" s="973" t="s">
        <v>4313</v>
      </c>
      <c r="C1325" s="974">
        <v>331901145000000</v>
      </c>
      <c r="D1325" s="973" t="s">
        <v>4314</v>
      </c>
      <c r="E1325" s="948">
        <v>0</v>
      </c>
      <c r="F1325" s="975">
        <v>1</v>
      </c>
      <c r="G1325" s="973">
        <v>0</v>
      </c>
      <c r="H1325" s="972">
        <v>0</v>
      </c>
      <c r="I1325" s="976">
        <f>(((PUCFD!E1188)))*(1+PUCFD!E$87)</f>
        <v>1360.6128988660312</v>
      </c>
    </row>
    <row r="1326" spans="1:9" ht="24.95" customHeight="1" x14ac:dyDescent="0.25">
      <c r="B1326" s="973" t="s">
        <v>4315</v>
      </c>
      <c r="C1326" s="974">
        <v>331901101010000</v>
      </c>
      <c r="D1326" s="973" t="s">
        <v>4316</v>
      </c>
      <c r="E1326" s="948">
        <v>311210101000000</v>
      </c>
      <c r="F1326" s="975">
        <v>1</v>
      </c>
      <c r="G1326" s="973">
        <v>0</v>
      </c>
      <c r="H1326" s="972">
        <v>0</v>
      </c>
      <c r="I1326" s="976">
        <f>(((PUCFD!E1189)))*(1+PUCFD!E$87)</f>
        <v>22957.604404480157</v>
      </c>
    </row>
    <row r="1327" spans="1:9" ht="24.95" customHeight="1" x14ac:dyDescent="0.25">
      <c r="B1327" s="973" t="s">
        <v>4317</v>
      </c>
      <c r="C1327" s="974">
        <v>331901137000000</v>
      </c>
      <c r="D1327" s="973" t="s">
        <v>4318</v>
      </c>
      <c r="E1327" s="948">
        <v>311210118000000</v>
      </c>
      <c r="F1327" s="975">
        <v>1</v>
      </c>
      <c r="G1327" s="973">
        <v>0</v>
      </c>
      <c r="H1327" s="972">
        <v>0</v>
      </c>
      <c r="I1327" s="976">
        <f>((PUCFD!E1190))*(1+PUCFD!E$87)</f>
        <v>1275.4224669155642</v>
      </c>
    </row>
    <row r="1328" spans="1:9" ht="24.95" customHeight="1" x14ac:dyDescent="0.25">
      <c r="B1328" s="973" t="s">
        <v>4319</v>
      </c>
      <c r="C1328" s="974">
        <v>331901101010000</v>
      </c>
      <c r="D1328" s="973" t="s">
        <v>4320</v>
      </c>
      <c r="E1328" s="948">
        <v>311210101000000</v>
      </c>
      <c r="F1328" s="975">
        <v>1</v>
      </c>
      <c r="G1328" s="973">
        <v>0</v>
      </c>
      <c r="H1328" s="972">
        <v>0</v>
      </c>
      <c r="I1328" s="976">
        <f>PUCFD!E1191*(1+PUCFD!E$87)</f>
        <v>48982.064359177122</v>
      </c>
    </row>
    <row r="1329" spans="2:9" ht="24.95" customHeight="1" x14ac:dyDescent="0.25">
      <c r="B1329" s="973" t="s">
        <v>4321</v>
      </c>
      <c r="C1329" s="974">
        <v>331901137000000</v>
      </c>
      <c r="D1329" s="973" t="s">
        <v>4322</v>
      </c>
      <c r="E1329" s="948">
        <v>311210118000000</v>
      </c>
      <c r="F1329" s="975">
        <v>1</v>
      </c>
      <c r="G1329" s="973">
        <v>0</v>
      </c>
      <c r="H1329" s="972">
        <v>0</v>
      </c>
      <c r="I1329" s="976">
        <f>(((PUCFD!E1192)))*(1+PUCFD!E$87)</f>
        <v>2721.2257977320619</v>
      </c>
    </row>
    <row r="1330" spans="2:9" ht="24.95" customHeight="1" x14ac:dyDescent="0.25">
      <c r="B1330" s="973" t="s">
        <v>4323</v>
      </c>
      <c r="C1330" s="974">
        <v>331901145000000</v>
      </c>
      <c r="D1330" s="973" t="s">
        <v>4324</v>
      </c>
      <c r="E1330" s="948">
        <v>0</v>
      </c>
      <c r="F1330" s="975">
        <v>1</v>
      </c>
      <c r="G1330" s="973">
        <v>0</v>
      </c>
      <c r="H1330" s="972">
        <v>0</v>
      </c>
      <c r="I1330" s="976">
        <f>(((PUCFD!E1193)))*(1+PUCFD!E$87)</f>
        <v>637.7112334577821</v>
      </c>
    </row>
    <row r="1331" spans="2:9" ht="24.95" customHeight="1" x14ac:dyDescent="0.25">
      <c r="B1331" s="973" t="s">
        <v>4325</v>
      </c>
      <c r="C1331" s="974">
        <v>331901143010000</v>
      </c>
      <c r="D1331" s="973" t="s">
        <v>4326</v>
      </c>
      <c r="E1331" s="948">
        <v>0</v>
      </c>
      <c r="F1331" s="975">
        <v>1</v>
      </c>
      <c r="G1331" s="973">
        <v>0</v>
      </c>
      <c r="H1331" s="972">
        <v>0</v>
      </c>
      <c r="I1331" s="976">
        <f>(((PUCFD!E1194)))*(1+PUCFD!E$87)</f>
        <v>4081.8386965980935</v>
      </c>
    </row>
    <row r="1332" spans="2:9" ht="24.95" customHeight="1" x14ac:dyDescent="0.25">
      <c r="B1332" s="973" t="s">
        <v>4520</v>
      </c>
      <c r="C1332" s="974">
        <v>331901101010000</v>
      </c>
      <c r="D1332" s="973" t="s">
        <v>4521</v>
      </c>
      <c r="E1332" s="948">
        <v>311210101000000</v>
      </c>
      <c r="F1332" s="975">
        <v>1</v>
      </c>
      <c r="G1332" s="973">
        <v>0</v>
      </c>
      <c r="H1332" s="972">
        <v>0</v>
      </c>
      <c r="I1332" s="976">
        <f>(((PUCFD!E1195)+0.01))*(1+PUCFD!E$87)</f>
        <v>1.0499881765863014E-2</v>
      </c>
    </row>
    <row r="1333" spans="2:9" ht="24.95" customHeight="1" x14ac:dyDescent="0.25">
      <c r="B1333" s="973" t="s">
        <v>4522</v>
      </c>
      <c r="C1333" s="974">
        <v>331901143010000</v>
      </c>
      <c r="D1333" s="973" t="s">
        <v>4524</v>
      </c>
      <c r="E1333" s="948">
        <v>0</v>
      </c>
      <c r="F1333" s="975">
        <v>1</v>
      </c>
      <c r="G1333" s="973">
        <v>0</v>
      </c>
      <c r="H1333" s="972">
        <v>0</v>
      </c>
      <c r="I1333" s="976">
        <f>(((PUCFD!E1196)+0.01))*(1+PUCFD!E$87)</f>
        <v>1.0499881765863014E-2</v>
      </c>
    </row>
    <row r="1334" spans="2:9" ht="24.95" customHeight="1" x14ac:dyDescent="0.25">
      <c r="B1334" s="973" t="s">
        <v>4523</v>
      </c>
      <c r="C1334" s="974">
        <v>331901145000000</v>
      </c>
      <c r="D1334" s="973" t="s">
        <v>4525</v>
      </c>
      <c r="E1334" s="948">
        <v>0</v>
      </c>
      <c r="F1334" s="975">
        <v>1</v>
      </c>
      <c r="G1334" s="973">
        <v>0</v>
      </c>
      <c r="H1334" s="972">
        <v>0</v>
      </c>
      <c r="I1334" s="976">
        <f>(((PUCFD!E1197)+0.01))*(1+PUCFD!E$87)</f>
        <v>1.0499881765863014E-2</v>
      </c>
    </row>
    <row r="1335" spans="2:9" s="946" customFormat="1" ht="24.95" customHeight="1" x14ac:dyDescent="0.25">
      <c r="B1335" s="963">
        <v>41200</v>
      </c>
      <c r="C1335" s="964">
        <v>331901300000000</v>
      </c>
      <c r="D1335" s="963" t="s">
        <v>5885</v>
      </c>
      <c r="E1335" s="954"/>
      <c r="F1335" s="960">
        <v>1</v>
      </c>
      <c r="G1335" s="963">
        <v>0</v>
      </c>
      <c r="H1335" s="958">
        <v>0</v>
      </c>
      <c r="I1335" s="961">
        <f>SUM(I1336,I1337,I1338)</f>
        <v>17625.231971971887</v>
      </c>
    </row>
    <row r="1336" spans="2:9" ht="24.95" customHeight="1" x14ac:dyDescent="0.25">
      <c r="B1336" s="973" t="s">
        <v>4327</v>
      </c>
      <c r="C1336" s="974">
        <v>331901302010000</v>
      </c>
      <c r="D1336" s="973" t="s">
        <v>4328</v>
      </c>
      <c r="E1336" s="948">
        <v>312210100000000</v>
      </c>
      <c r="F1336" s="975">
        <v>1</v>
      </c>
      <c r="G1336" s="973">
        <v>0</v>
      </c>
      <c r="H1336" s="972">
        <v>0</v>
      </c>
      <c r="I1336" s="976">
        <f>SUM(I1325,I1328,I1329,I1331,I1340)*PUCFD!E$92</f>
        <v>12000.607972973567</v>
      </c>
    </row>
    <row r="1337" spans="2:9" ht="24.95" customHeight="1" x14ac:dyDescent="0.25">
      <c r="B1337" s="973" t="s">
        <v>4329</v>
      </c>
      <c r="C1337" s="974">
        <v>331901302010000</v>
      </c>
      <c r="D1337" s="973" t="s">
        <v>4330</v>
      </c>
      <c r="E1337" s="948">
        <v>312210100000000</v>
      </c>
      <c r="F1337" s="975">
        <v>1</v>
      </c>
      <c r="G1337" s="973">
        <v>0</v>
      </c>
      <c r="H1337" s="972">
        <v>0</v>
      </c>
      <c r="I1337" s="976">
        <f>SUM(I1324,I1326,I1327,I1330,I1342,I1343)*PUCFD!E$92</f>
        <v>5624.6173840728088</v>
      </c>
    </row>
    <row r="1338" spans="2:9" ht="24.95" customHeight="1" x14ac:dyDescent="0.25">
      <c r="B1338" s="973" t="s">
        <v>4527</v>
      </c>
      <c r="C1338" s="974">
        <v>331901302010000</v>
      </c>
      <c r="D1338" s="973" t="s">
        <v>4528</v>
      </c>
      <c r="E1338" s="948">
        <v>312210100000000</v>
      </c>
      <c r="F1338" s="975">
        <v>1</v>
      </c>
      <c r="G1338" s="973">
        <v>0</v>
      </c>
      <c r="H1338" s="972">
        <v>0</v>
      </c>
      <c r="I1338" s="976">
        <f>SUM(I1332,I1333,I1334)*PUCFD!E$92</f>
        <v>6.6149255124936992E-3</v>
      </c>
    </row>
    <row r="1339" spans="2:9" s="946" customFormat="1" ht="24.95" customHeight="1" x14ac:dyDescent="0.25">
      <c r="B1339" s="963">
        <v>41250</v>
      </c>
      <c r="C1339" s="964">
        <v>331901600000000</v>
      </c>
      <c r="D1339" s="963" t="s">
        <v>5886</v>
      </c>
      <c r="E1339" s="954"/>
      <c r="F1339" s="960">
        <v>1</v>
      </c>
      <c r="G1339" s="963">
        <v>0</v>
      </c>
      <c r="H1339" s="958">
        <v>0</v>
      </c>
      <c r="I1339" s="961">
        <f>SUM(I1340,I1341,I1342)</f>
        <v>8757.8358822069149</v>
      </c>
    </row>
    <row r="1340" spans="2:9" ht="24.95" customHeight="1" x14ac:dyDescent="0.25">
      <c r="B1340" s="973" t="s">
        <v>4331</v>
      </c>
      <c r="C1340" s="974">
        <v>331901644000000</v>
      </c>
      <c r="D1340" s="973" t="s">
        <v>4332</v>
      </c>
      <c r="E1340" s="948">
        <v>311210203000000</v>
      </c>
      <c r="F1340" s="975">
        <v>1</v>
      </c>
      <c r="G1340" s="973">
        <v>0</v>
      </c>
      <c r="H1340" s="972">
        <v>0</v>
      </c>
      <c r="I1340" s="976">
        <f>0.01*(1+PUCFD!E$87)</f>
        <v>1.0499881765863014E-2</v>
      </c>
    </row>
    <row r="1341" spans="2:9" ht="24.95" customHeight="1" x14ac:dyDescent="0.25">
      <c r="B1341" s="973" t="s">
        <v>4333</v>
      </c>
      <c r="C1341" s="974">
        <v>331901644000000</v>
      </c>
      <c r="D1341" s="973" t="s">
        <v>4334</v>
      </c>
      <c r="E1341" s="948">
        <v>311210203000000</v>
      </c>
      <c r="F1341" s="975">
        <v>1</v>
      </c>
      <c r="G1341" s="973">
        <v>0</v>
      </c>
      <c r="H1341" s="972">
        <v>0</v>
      </c>
      <c r="I1341" s="976">
        <f>5560.58/8*12*(1+PUCFD!E$87)</f>
        <v>8757.8148824433829</v>
      </c>
    </row>
    <row r="1342" spans="2:9" ht="24.95" customHeight="1" x14ac:dyDescent="0.25">
      <c r="B1342" s="973" t="s">
        <v>4335</v>
      </c>
      <c r="C1342" s="974">
        <v>331901644000000</v>
      </c>
      <c r="D1342" s="973" t="s">
        <v>4336</v>
      </c>
      <c r="E1342" s="948">
        <v>311210203000000</v>
      </c>
      <c r="F1342" s="975">
        <v>1</v>
      </c>
      <c r="G1342" s="973">
        <v>0</v>
      </c>
      <c r="H1342" s="972">
        <v>0</v>
      </c>
      <c r="I1342" s="976">
        <f>0.01*(1+PUCFD!E$87)</f>
        <v>1.0499881765863014E-2</v>
      </c>
    </row>
    <row r="1343" spans="2:9" s="946" customFormat="1" ht="32.25" customHeight="1" x14ac:dyDescent="0.25">
      <c r="B1343" s="963">
        <v>41260</v>
      </c>
      <c r="C1343" s="964">
        <v>331903400000000</v>
      </c>
      <c r="D1343" s="963" t="s">
        <v>5887</v>
      </c>
      <c r="E1343" s="954"/>
      <c r="F1343" s="960">
        <v>1</v>
      </c>
      <c r="G1343" s="963">
        <v>0</v>
      </c>
      <c r="H1343" s="958">
        <v>0</v>
      </c>
      <c r="I1343" s="961">
        <v>0.01</v>
      </c>
    </row>
    <row r="1344" spans="2:9" s="946" customFormat="1" ht="33" customHeight="1" x14ac:dyDescent="0.25">
      <c r="B1344" s="963">
        <v>41270</v>
      </c>
      <c r="C1344" s="964">
        <v>331909400000000</v>
      </c>
      <c r="D1344" s="963" t="s">
        <v>5888</v>
      </c>
      <c r="E1344" s="954"/>
      <c r="F1344" s="960">
        <v>1</v>
      </c>
      <c r="G1344" s="963">
        <v>0</v>
      </c>
      <c r="H1344" s="958">
        <v>0</v>
      </c>
      <c r="I1344" s="961">
        <f>SUM(I1345,I1346)</f>
        <v>7302.0790238528125</v>
      </c>
    </row>
    <row r="1345" spans="2:9" ht="24.95" customHeight="1" x14ac:dyDescent="0.25">
      <c r="B1345" s="973" t="s">
        <v>4337</v>
      </c>
      <c r="C1345" s="974">
        <v>331909401030000</v>
      </c>
      <c r="D1345" s="973" t="s">
        <v>4338</v>
      </c>
      <c r="E1345" s="948">
        <v>0</v>
      </c>
      <c r="F1345" s="975">
        <v>1</v>
      </c>
      <c r="G1345" s="973">
        <v>0</v>
      </c>
      <c r="H1345" s="972">
        <v>0</v>
      </c>
      <c r="I1345" s="976">
        <f>(((PUCFD!E1208)))*(1+PUCFD!E$87)</f>
        <v>5476.5592678896091</v>
      </c>
    </row>
    <row r="1346" spans="2:9" ht="24.95" customHeight="1" x14ac:dyDescent="0.25">
      <c r="B1346" s="973" t="s">
        <v>4339</v>
      </c>
      <c r="C1346" s="974">
        <v>331909401030000</v>
      </c>
      <c r="D1346" s="973" t="s">
        <v>4340</v>
      </c>
      <c r="E1346" s="948">
        <v>0</v>
      </c>
      <c r="F1346" s="975">
        <v>1</v>
      </c>
      <c r="G1346" s="973">
        <v>0</v>
      </c>
      <c r="H1346" s="972">
        <v>0</v>
      </c>
      <c r="I1346" s="976">
        <f>(((PUCFD!E1209)))*(1+PUCFD!E$87)</f>
        <v>1825.5197559632034</v>
      </c>
    </row>
    <row r="1347" spans="2:9" s="946" customFormat="1" ht="24.95" customHeight="1" x14ac:dyDescent="0.25">
      <c r="B1347" s="963">
        <v>41300</v>
      </c>
      <c r="C1347" s="964">
        <v>333304100000000</v>
      </c>
      <c r="D1347" s="963" t="s">
        <v>5889</v>
      </c>
      <c r="E1347" s="954"/>
      <c r="F1347" s="960">
        <v>1</v>
      </c>
      <c r="G1347" s="963">
        <v>0</v>
      </c>
      <c r="H1347" s="958">
        <v>0</v>
      </c>
      <c r="I1347" s="961">
        <f>I1348</f>
        <v>74578.07166666667</v>
      </c>
    </row>
    <row r="1348" spans="2:9" ht="24.95" customHeight="1" x14ac:dyDescent="0.25">
      <c r="B1348" s="973" t="s">
        <v>4342</v>
      </c>
      <c r="C1348" s="974">
        <v>333304139020000</v>
      </c>
      <c r="D1348" s="973" t="s">
        <v>4341</v>
      </c>
      <c r="E1348" s="948">
        <v>352140200000000</v>
      </c>
      <c r="F1348" s="975">
        <v>1</v>
      </c>
      <c r="G1348" s="973">
        <v>0</v>
      </c>
      <c r="H1348" s="972">
        <v>0</v>
      </c>
      <c r="I1348" s="976">
        <f>(((PUCFD!E1211)))</f>
        <v>74578.07166666667</v>
      </c>
    </row>
    <row r="1349" spans="2:9" s="946" customFormat="1" ht="24.95" customHeight="1" x14ac:dyDescent="0.25">
      <c r="B1349" s="963">
        <v>41500</v>
      </c>
      <c r="C1349" s="964">
        <v>333901400000000</v>
      </c>
      <c r="D1349" s="963" t="s">
        <v>5890</v>
      </c>
      <c r="E1349" s="954"/>
      <c r="F1349" s="960">
        <v>1</v>
      </c>
      <c r="G1349" s="963">
        <v>0</v>
      </c>
      <c r="H1349" s="958">
        <v>0</v>
      </c>
      <c r="I1349" s="961">
        <f>SUM(I1350:I1352)-0.01</f>
        <v>16618.663580416924</v>
      </c>
    </row>
    <row r="1350" spans="2:9" ht="24.95" customHeight="1" x14ac:dyDescent="0.25">
      <c r="B1350" s="973" t="s">
        <v>4343</v>
      </c>
      <c r="C1350" s="974">
        <v>333901414020000</v>
      </c>
      <c r="D1350" s="973" t="s">
        <v>4344</v>
      </c>
      <c r="E1350" s="948">
        <v>312110100000000</v>
      </c>
      <c r="F1350" s="975">
        <v>1</v>
      </c>
      <c r="G1350" s="973">
        <v>0</v>
      </c>
      <c r="H1350" s="972">
        <v>0</v>
      </c>
      <c r="I1350" s="976">
        <f>(((PUCFD!E1213)*(1+PUCFD!E$85)*(1+PUCFD!E$86)))</f>
        <v>1043.6980495304347</v>
      </c>
    </row>
    <row r="1351" spans="2:9" ht="24.95" customHeight="1" x14ac:dyDescent="0.25">
      <c r="B1351" s="973" t="s">
        <v>4345</v>
      </c>
      <c r="C1351" s="974">
        <v>333901414030000</v>
      </c>
      <c r="D1351" s="973" t="s">
        <v>4346</v>
      </c>
      <c r="E1351" s="948">
        <v>312110100000000</v>
      </c>
      <c r="F1351" s="975">
        <v>1</v>
      </c>
      <c r="G1351" s="973">
        <v>0</v>
      </c>
      <c r="H1351" s="972">
        <v>0</v>
      </c>
      <c r="I1351" s="976">
        <f>(((PUCFD!E1214)*(1+PUCFD!E$85)*(1+PUCFD!E$86)))</f>
        <v>1304.6225619130435</v>
      </c>
    </row>
    <row r="1352" spans="2:9" ht="24.95" customHeight="1" x14ac:dyDescent="0.25">
      <c r="B1352" s="973" t="s">
        <v>4347</v>
      </c>
      <c r="C1352" s="974">
        <v>333901414080000</v>
      </c>
      <c r="D1352" s="973" t="s">
        <v>4348</v>
      </c>
      <c r="E1352" s="948">
        <v>312110100000000</v>
      </c>
      <c r="F1352" s="975">
        <v>1</v>
      </c>
      <c r="G1352" s="973">
        <v>0</v>
      </c>
      <c r="H1352" s="972">
        <v>0</v>
      </c>
      <c r="I1352" s="976">
        <f>(((PUCFD!E1215)*(1+PUCFD!E$85)*(1+PUCFD!E$86)))</f>
        <v>14270.352968973446</v>
      </c>
    </row>
    <row r="1353" spans="2:9" s="946" customFormat="1" ht="24.95" customHeight="1" x14ac:dyDescent="0.25">
      <c r="B1353" s="963">
        <v>41600</v>
      </c>
      <c r="C1353" s="964">
        <v>333903000000000</v>
      </c>
      <c r="D1353" s="963" t="s">
        <v>5891</v>
      </c>
      <c r="E1353" s="954"/>
      <c r="F1353" s="960">
        <v>1</v>
      </c>
      <c r="G1353" s="963">
        <v>0</v>
      </c>
      <c r="H1353" s="958">
        <v>0</v>
      </c>
      <c r="I1353" s="961">
        <f>(((PUCFD!E1216)*(1+PUCFD!E$10))*(1+PUCFD!E$16))-150000-50000+150000</f>
        <v>272965.488085786</v>
      </c>
    </row>
    <row r="1354" spans="2:9" ht="24.95" customHeight="1" x14ac:dyDescent="0.25">
      <c r="B1354" s="973" t="s">
        <v>4349</v>
      </c>
      <c r="C1354" s="974">
        <v>333903039320000</v>
      </c>
      <c r="D1354" s="973" t="s">
        <v>4350</v>
      </c>
      <c r="E1354" s="948">
        <v>331113900000000</v>
      </c>
      <c r="F1354" s="975">
        <v>1</v>
      </c>
      <c r="G1354" s="973">
        <v>0</v>
      </c>
      <c r="H1354" s="972">
        <v>0</v>
      </c>
      <c r="I1354" s="976">
        <f>(((PUCFD!E1217)*(1+PUCFD!E$10))*(1+PUCFD!E$16))</f>
        <v>0</v>
      </c>
    </row>
    <row r="1355" spans="2:9" ht="24.95" customHeight="1" x14ac:dyDescent="0.25">
      <c r="B1355" s="973" t="s">
        <v>4351</v>
      </c>
      <c r="C1355" s="974">
        <v>333903001032900</v>
      </c>
      <c r="D1355" s="973" t="s">
        <v>4352</v>
      </c>
      <c r="E1355" s="948">
        <v>331110100000000</v>
      </c>
      <c r="F1355" s="975">
        <v>1</v>
      </c>
      <c r="G1355" s="973">
        <v>0</v>
      </c>
      <c r="H1355" s="972">
        <v>0</v>
      </c>
      <c r="I1355" s="976">
        <f>(((PUCFD!E1218)*(1+PUCFD!E$10))*(1+PUCFD!E$16))</f>
        <v>0</v>
      </c>
    </row>
    <row r="1356" spans="2:9" ht="24.95" customHeight="1" x14ac:dyDescent="0.25">
      <c r="B1356" s="973" t="s">
        <v>4353</v>
      </c>
      <c r="C1356" s="974">
        <v>333903039280000</v>
      </c>
      <c r="D1356" s="973" t="s">
        <v>4354</v>
      </c>
      <c r="E1356" s="948">
        <v>331113900000000</v>
      </c>
      <c r="F1356" s="975">
        <v>1</v>
      </c>
      <c r="G1356" s="973">
        <v>0</v>
      </c>
      <c r="H1356" s="972">
        <v>0</v>
      </c>
      <c r="I1356" s="976">
        <f>(((PUCFD!E1219)*(1+PUCFD!E$10))*(1+PUCFD!E$16))</f>
        <v>0</v>
      </c>
    </row>
    <row r="1357" spans="2:9" ht="24.95" customHeight="1" x14ac:dyDescent="0.25">
      <c r="B1357" s="973" t="s">
        <v>4355</v>
      </c>
      <c r="C1357" s="974">
        <v>333903001033200</v>
      </c>
      <c r="D1357" s="973" t="s">
        <v>4356</v>
      </c>
      <c r="E1357" s="948">
        <v>331110100000000</v>
      </c>
      <c r="F1357" s="975">
        <v>1</v>
      </c>
      <c r="G1357" s="973">
        <v>0</v>
      </c>
      <c r="H1357" s="972">
        <v>0</v>
      </c>
      <c r="I1357" s="976">
        <f>(((PUCFD!E1220)*(1+PUCFD!E$10))*(1+PUCFD!E$16))</f>
        <v>0</v>
      </c>
    </row>
    <row r="1358" spans="2:9" ht="24.95" customHeight="1" x14ac:dyDescent="0.25">
      <c r="B1358" s="973" t="s">
        <v>4357</v>
      </c>
      <c r="C1358" s="974">
        <v>333903001021700</v>
      </c>
      <c r="D1358" s="973" t="s">
        <v>4358</v>
      </c>
      <c r="E1358" s="948">
        <v>331110100000000</v>
      </c>
      <c r="F1358" s="975">
        <v>1</v>
      </c>
      <c r="G1358" s="973">
        <v>0</v>
      </c>
      <c r="H1358" s="972">
        <v>0</v>
      </c>
      <c r="I1358" s="976">
        <f>(((PUCFD!E1221)*(1+PUCFD!E$10))*(1+PUCFD!E$16))*(1+PUCFD!E$20)</f>
        <v>0</v>
      </c>
    </row>
    <row r="1359" spans="2:9" ht="24.95" customHeight="1" x14ac:dyDescent="0.25">
      <c r="B1359" s="973" t="s">
        <v>4359</v>
      </c>
      <c r="C1359" s="974">
        <v>333903001021600</v>
      </c>
      <c r="D1359" s="973" t="s">
        <v>4360</v>
      </c>
      <c r="E1359" s="948">
        <v>331110100000000</v>
      </c>
      <c r="F1359" s="975">
        <v>1</v>
      </c>
      <c r="G1359" s="973">
        <v>0</v>
      </c>
      <c r="H1359" s="972">
        <v>0</v>
      </c>
      <c r="I1359" s="976">
        <f>(((PUCFD!E1222)*(1+PUCFD!E$10))*(1+PUCFD!E$16))*(1+PUCFD!E$20)</f>
        <v>0</v>
      </c>
    </row>
    <row r="1360" spans="2:9" ht="24.95" customHeight="1" x14ac:dyDescent="0.25">
      <c r="B1360" s="973" t="s">
        <v>4361</v>
      </c>
      <c r="C1360" s="974">
        <v>333903001022000</v>
      </c>
      <c r="D1360" s="973" t="s">
        <v>4362</v>
      </c>
      <c r="E1360" s="948">
        <v>331110100000000</v>
      </c>
      <c r="F1360" s="975">
        <v>1</v>
      </c>
      <c r="G1360" s="973">
        <v>0</v>
      </c>
      <c r="H1360" s="972">
        <v>0</v>
      </c>
      <c r="I1360" s="976">
        <f>(((PUCFD!E1223)*(1+PUCFD!E$10))*(1+PUCFD!E$16))*(1+PUCFD!E$20)</f>
        <v>0</v>
      </c>
    </row>
    <row r="1361" spans="2:9" ht="24.95" customHeight="1" x14ac:dyDescent="0.25">
      <c r="B1361" s="973" t="s">
        <v>4363</v>
      </c>
      <c r="C1361" s="974">
        <v>333903039260000</v>
      </c>
      <c r="D1361" s="973" t="s">
        <v>4364</v>
      </c>
      <c r="E1361" s="948">
        <v>331113900000000</v>
      </c>
      <c r="F1361" s="975">
        <v>1</v>
      </c>
      <c r="G1361" s="973">
        <v>0</v>
      </c>
      <c r="H1361" s="972">
        <v>0</v>
      </c>
      <c r="I1361" s="976">
        <f>(((PUCFD!E1224)*(1+PUCFD!E$10))*(1+PUCFD!E$16))</f>
        <v>0</v>
      </c>
    </row>
    <row r="1362" spans="2:9" ht="24.95" customHeight="1" x14ac:dyDescent="0.25">
      <c r="B1362" s="973" t="s">
        <v>4365</v>
      </c>
      <c r="C1362" s="974">
        <v>333903001021400</v>
      </c>
      <c r="D1362" s="973" t="s">
        <v>4366</v>
      </c>
      <c r="E1362" s="948">
        <v>331110100000000</v>
      </c>
      <c r="F1362" s="975">
        <v>1</v>
      </c>
      <c r="G1362" s="973">
        <v>0</v>
      </c>
      <c r="H1362" s="972">
        <v>0</v>
      </c>
      <c r="I1362" s="976">
        <f>(((PUCFD!E1225)*(1+PUCFD!E$10))*(1+PUCFD!E$16))</f>
        <v>0</v>
      </c>
    </row>
    <row r="1363" spans="2:9" ht="24.95" customHeight="1" x14ac:dyDescent="0.25">
      <c r="B1363" s="973" t="s">
        <v>4367</v>
      </c>
      <c r="C1363" s="974">
        <v>333903001032600</v>
      </c>
      <c r="D1363" s="973" t="s">
        <v>4368</v>
      </c>
      <c r="E1363" s="948">
        <v>331110100000000</v>
      </c>
      <c r="F1363" s="975">
        <v>1</v>
      </c>
      <c r="G1363" s="973">
        <v>0</v>
      </c>
      <c r="H1363" s="972">
        <v>0</v>
      </c>
      <c r="I1363" s="976">
        <f>(((PUCFD!E1226)*(1+PUCFD!E$10))*(1+PUCFD!E$16))</f>
        <v>0</v>
      </c>
    </row>
    <row r="1364" spans="2:9" ht="24.95" customHeight="1" x14ac:dyDescent="0.25">
      <c r="B1364" s="973" t="s">
        <v>4369</v>
      </c>
      <c r="C1364" s="974">
        <v>333903025050500</v>
      </c>
      <c r="D1364" s="973" t="s">
        <v>4370</v>
      </c>
      <c r="E1364" s="948">
        <v>331112500000000</v>
      </c>
      <c r="F1364" s="975">
        <v>1</v>
      </c>
      <c r="G1364" s="973">
        <v>0</v>
      </c>
      <c r="H1364" s="972">
        <v>0</v>
      </c>
      <c r="I1364" s="976">
        <f>(((PUCFD!E1227)*(1+PUCFD!E$10))*(1+PUCFD!E$16))</f>
        <v>0</v>
      </c>
    </row>
    <row r="1365" spans="2:9" ht="24.95" customHeight="1" x14ac:dyDescent="0.25">
      <c r="B1365" s="973" t="s">
        <v>4371</v>
      </c>
      <c r="C1365" s="974">
        <v>333903003050000</v>
      </c>
      <c r="D1365" s="973" t="s">
        <v>4372</v>
      </c>
      <c r="E1365" s="948">
        <v>331110100000000</v>
      </c>
      <c r="F1365" s="975">
        <v>1</v>
      </c>
      <c r="G1365" s="973">
        <v>0</v>
      </c>
      <c r="H1365" s="972">
        <v>0</v>
      </c>
      <c r="I1365" s="976">
        <f>(((PUCFD!E1228)*(1+PUCFD!E$10))*(1+PUCFD!E$16))</f>
        <v>0</v>
      </c>
    </row>
    <row r="1366" spans="2:9" ht="24.95" customHeight="1" x14ac:dyDescent="0.25">
      <c r="B1366" s="973" t="s">
        <v>4373</v>
      </c>
      <c r="C1366" s="974">
        <v>333903025050600</v>
      </c>
      <c r="D1366" s="973" t="s">
        <v>4374</v>
      </c>
      <c r="E1366" s="948">
        <v>331112500000000</v>
      </c>
      <c r="F1366" s="975">
        <v>1</v>
      </c>
      <c r="G1366" s="973">
        <v>0</v>
      </c>
      <c r="H1366" s="972">
        <v>0</v>
      </c>
      <c r="I1366" s="976">
        <f>(((PUCFD!E1229)*(1+PUCFD!E$10))*(1+PUCFD!E$16))</f>
        <v>0</v>
      </c>
    </row>
    <row r="1367" spans="2:9" ht="24.95" customHeight="1" x14ac:dyDescent="0.25">
      <c r="B1367" s="973" t="s">
        <v>4375</v>
      </c>
      <c r="C1367" s="974">
        <v>333903003050000</v>
      </c>
      <c r="D1367" s="973" t="s">
        <v>4376</v>
      </c>
      <c r="E1367" s="948">
        <v>331112500000000</v>
      </c>
      <c r="F1367" s="975">
        <v>1</v>
      </c>
      <c r="G1367" s="973">
        <v>0</v>
      </c>
      <c r="H1367" s="972">
        <v>0</v>
      </c>
      <c r="I1367" s="976">
        <f>(((PUCFD!E1230)*(1+PUCFD!E$10))*(1+PUCFD!E$16))</f>
        <v>0</v>
      </c>
    </row>
    <row r="1368" spans="2:9" ht="24.95" customHeight="1" x14ac:dyDescent="0.25">
      <c r="B1368" s="973" t="s">
        <v>4377</v>
      </c>
      <c r="C1368" s="974">
        <v>333903025050800</v>
      </c>
      <c r="D1368" s="973" t="s">
        <v>4378</v>
      </c>
      <c r="E1368" s="948">
        <v>331112500000000</v>
      </c>
      <c r="F1368" s="975">
        <v>1</v>
      </c>
      <c r="G1368" s="973">
        <v>0</v>
      </c>
      <c r="H1368" s="972">
        <v>0</v>
      </c>
      <c r="I1368" s="976">
        <f>(((PUCFD!E1231)*(1+PUCFD!E$10))*(1+PUCFD!E$16))</f>
        <v>0</v>
      </c>
    </row>
    <row r="1369" spans="2:9" ht="24.95" customHeight="1" x14ac:dyDescent="0.25">
      <c r="B1369" s="973" t="s">
        <v>4379</v>
      </c>
      <c r="C1369" s="974">
        <v>333903025050700</v>
      </c>
      <c r="D1369" s="973" t="s">
        <v>4380</v>
      </c>
      <c r="E1369" s="948">
        <v>331112500000000</v>
      </c>
      <c r="F1369" s="975">
        <v>1</v>
      </c>
      <c r="G1369" s="973">
        <v>0</v>
      </c>
      <c r="H1369" s="972">
        <v>0</v>
      </c>
      <c r="I1369" s="976">
        <f>(((PUCFD!E1232)*(1+PUCFD!E$10))*(1+PUCFD!E$16))</f>
        <v>0</v>
      </c>
    </row>
    <row r="1370" spans="2:9" ht="24.95" customHeight="1" x14ac:dyDescent="0.25">
      <c r="B1370" s="973" t="s">
        <v>4381</v>
      </c>
      <c r="C1370" s="974">
        <v>333903025050400</v>
      </c>
      <c r="D1370" s="973" t="s">
        <v>4382</v>
      </c>
      <c r="E1370" s="948">
        <v>331112500000000</v>
      </c>
      <c r="F1370" s="975">
        <v>1</v>
      </c>
      <c r="G1370" s="973">
        <v>0</v>
      </c>
      <c r="H1370" s="972">
        <v>0</v>
      </c>
      <c r="I1370" s="976">
        <f>(((PUCFD!E1233)*(1+PUCFD!E$10))*(1+PUCFD!E$16))</f>
        <v>0</v>
      </c>
    </row>
    <row r="1371" spans="2:9" ht="24.95" customHeight="1" x14ac:dyDescent="0.25">
      <c r="B1371" s="973" t="s">
        <v>4383</v>
      </c>
      <c r="C1371" s="974">
        <v>333903001032800</v>
      </c>
      <c r="D1371" s="973" t="s">
        <v>4384</v>
      </c>
      <c r="E1371" s="948">
        <v>331113900000000</v>
      </c>
      <c r="F1371" s="975">
        <v>1</v>
      </c>
      <c r="G1371" s="973">
        <v>0</v>
      </c>
      <c r="H1371" s="972">
        <v>0</v>
      </c>
      <c r="I1371" s="976">
        <f>(((PUCFD!E1234)*(1+PUCFD!E$10))*(1+PUCFD!E$16))</f>
        <v>0</v>
      </c>
    </row>
    <row r="1372" spans="2:9" ht="24.95" customHeight="1" x14ac:dyDescent="0.25">
      <c r="B1372" s="973" t="s">
        <v>4385</v>
      </c>
      <c r="C1372" s="974">
        <v>333903025050300</v>
      </c>
      <c r="D1372" s="973" t="s">
        <v>4386</v>
      </c>
      <c r="E1372" s="948">
        <v>331119900000000</v>
      </c>
      <c r="F1372" s="975">
        <v>1</v>
      </c>
      <c r="G1372" s="973">
        <v>0</v>
      </c>
      <c r="H1372" s="972">
        <v>0</v>
      </c>
      <c r="I1372" s="976">
        <f>(((PUCFD!E1235)*(1+PUCFD!E$10))*(1+PUCFD!E$16))</f>
        <v>0</v>
      </c>
    </row>
    <row r="1373" spans="2:9" ht="24.95" customHeight="1" x14ac:dyDescent="0.25">
      <c r="B1373" s="973" t="s">
        <v>4387</v>
      </c>
      <c r="C1373" s="974">
        <v>333903001023900</v>
      </c>
      <c r="D1373" s="973" t="s">
        <v>4388</v>
      </c>
      <c r="E1373" s="948">
        <v>331113900000000</v>
      </c>
      <c r="F1373" s="975">
        <v>1</v>
      </c>
      <c r="G1373" s="973">
        <v>0</v>
      </c>
      <c r="H1373" s="972">
        <v>0</v>
      </c>
      <c r="I1373" s="976">
        <f>(((PUCFD!E1236)*(1+PUCFD!E$10))*(1+PUCFD!E$16))*(1+PUCFD!E$20)</f>
        <v>0</v>
      </c>
    </row>
    <row r="1374" spans="2:9" ht="24.95" customHeight="1" x14ac:dyDescent="0.25">
      <c r="B1374" s="973" t="s">
        <v>4389</v>
      </c>
      <c r="C1374" s="974">
        <v>333903039290000</v>
      </c>
      <c r="D1374" s="973" t="s">
        <v>4390</v>
      </c>
      <c r="E1374" s="948">
        <v>331113900000000</v>
      </c>
      <c r="F1374" s="975">
        <v>1</v>
      </c>
      <c r="G1374" s="973">
        <v>0</v>
      </c>
      <c r="H1374" s="972">
        <v>0</v>
      </c>
      <c r="I1374" s="976">
        <f>(((PUCFD!E1237)*(1+PUCFD!E$10))*(1+PUCFD!E$16))</f>
        <v>0</v>
      </c>
    </row>
    <row r="1375" spans="2:9" ht="24.95" customHeight="1" x14ac:dyDescent="0.25">
      <c r="B1375" s="973" t="s">
        <v>4391</v>
      </c>
      <c r="C1375" s="974">
        <v>333903040000000</v>
      </c>
      <c r="D1375" s="973" t="s">
        <v>4392</v>
      </c>
      <c r="E1375" s="948">
        <v>331114000000000</v>
      </c>
      <c r="F1375" s="975">
        <v>1</v>
      </c>
      <c r="G1375" s="973">
        <v>0</v>
      </c>
      <c r="H1375" s="972">
        <v>0</v>
      </c>
      <c r="I1375" s="976">
        <f>(((PUCFD!E1238)*(1+PUCFD!E$10))*(1+PUCFD!E$16))</f>
        <v>0</v>
      </c>
    </row>
    <row r="1376" spans="2:9" ht="24.95" customHeight="1" x14ac:dyDescent="0.25">
      <c r="B1376" s="973" t="s">
        <v>4393</v>
      </c>
      <c r="C1376" s="974">
        <v>333903004000000</v>
      </c>
      <c r="D1376" s="973" t="s">
        <v>4394</v>
      </c>
      <c r="E1376" s="948">
        <v>331114000000000</v>
      </c>
      <c r="F1376" s="975">
        <v>1</v>
      </c>
      <c r="G1376" s="973">
        <v>0</v>
      </c>
      <c r="H1376" s="972">
        <v>0</v>
      </c>
      <c r="I1376" s="976">
        <f>(((PUCFD!E1239)*(1+PUCFD!E$10))*(1+PUCFD!E$16))</f>
        <v>0</v>
      </c>
    </row>
    <row r="1377" spans="2:9" ht="24.95" customHeight="1" x14ac:dyDescent="0.25">
      <c r="B1377" s="973" t="s">
        <v>4395</v>
      </c>
      <c r="C1377" s="974">
        <v>333903039460000</v>
      </c>
      <c r="D1377" s="973" t="s">
        <v>4396</v>
      </c>
      <c r="E1377" s="948">
        <v>331113900000000</v>
      </c>
      <c r="F1377" s="975">
        <v>1</v>
      </c>
      <c r="G1377" s="973">
        <v>0</v>
      </c>
      <c r="H1377" s="972">
        <v>0</v>
      </c>
      <c r="I1377" s="976">
        <f>(((PUCFD!E1240)*(1+PUCFD!E$10))*(1+PUCFD!E$16))</f>
        <v>0</v>
      </c>
    </row>
    <row r="1378" spans="2:9" ht="24.95" customHeight="1" x14ac:dyDescent="0.25">
      <c r="B1378" s="973" t="s">
        <v>4397</v>
      </c>
      <c r="C1378" s="974">
        <v>333903001033200</v>
      </c>
      <c r="D1378" s="973" t="s">
        <v>4398</v>
      </c>
      <c r="E1378" s="948">
        <v>331113900000000</v>
      </c>
      <c r="F1378" s="975">
        <v>1</v>
      </c>
      <c r="G1378" s="973">
        <v>0</v>
      </c>
      <c r="H1378" s="972">
        <v>0</v>
      </c>
      <c r="I1378" s="976">
        <f>(((PUCFD!E1241)*(1+PUCFD!E$10))*(1+PUCFD!E$16))</f>
        <v>0</v>
      </c>
    </row>
    <row r="1379" spans="2:9" ht="24.95" customHeight="1" x14ac:dyDescent="0.25">
      <c r="B1379" s="973" t="s">
        <v>4399</v>
      </c>
      <c r="C1379" s="974">
        <v>333903039470000</v>
      </c>
      <c r="D1379" s="973" t="s">
        <v>4400</v>
      </c>
      <c r="E1379" s="948">
        <v>331113900000000</v>
      </c>
      <c r="F1379" s="975">
        <v>1</v>
      </c>
      <c r="G1379" s="973">
        <v>0</v>
      </c>
      <c r="H1379" s="972">
        <v>0</v>
      </c>
      <c r="I1379" s="976">
        <f>(((PUCFD!E1242)*(1+PUCFD!E$10))*(1+PUCFD!E$16))</f>
        <v>0</v>
      </c>
    </row>
    <row r="1380" spans="2:9" ht="24.95" customHeight="1" x14ac:dyDescent="0.25">
      <c r="B1380" s="973" t="s">
        <v>4401</v>
      </c>
      <c r="C1380" s="974">
        <v>333903001035300</v>
      </c>
      <c r="D1380" s="973" t="s">
        <v>3935</v>
      </c>
      <c r="E1380" s="948">
        <v>331113900000000</v>
      </c>
      <c r="F1380" s="975">
        <v>1</v>
      </c>
      <c r="G1380" s="973">
        <v>0</v>
      </c>
      <c r="H1380" s="972">
        <v>0</v>
      </c>
      <c r="I1380" s="976">
        <f>(((PUCFD!E1243)*(1+PUCFD!E$10))*(1+PUCFD!E$16))</f>
        <v>0</v>
      </c>
    </row>
    <row r="1381" spans="2:9" ht="24.95" customHeight="1" x14ac:dyDescent="0.25">
      <c r="B1381" s="973" t="s">
        <v>4402</v>
      </c>
      <c r="C1381" s="974">
        <v>333903001024000</v>
      </c>
      <c r="D1381" s="973" t="s">
        <v>4403</v>
      </c>
      <c r="E1381" s="948">
        <v>331110100000000</v>
      </c>
      <c r="F1381" s="975">
        <v>1</v>
      </c>
      <c r="G1381" s="973">
        <v>0</v>
      </c>
      <c r="H1381" s="972">
        <v>0</v>
      </c>
      <c r="I1381" s="976">
        <f>(((PUCFD!E1244)*(1+PUCFD!E$10))*(1+PUCFD!E$16))*(1+PUCFD!E$20)</f>
        <v>0</v>
      </c>
    </row>
    <row r="1382" spans="2:9" ht="24.95" customHeight="1" x14ac:dyDescent="0.25">
      <c r="B1382" s="973" t="s">
        <v>4404</v>
      </c>
      <c r="C1382" s="974">
        <v>333903001024200</v>
      </c>
      <c r="D1382" s="973" t="s">
        <v>4405</v>
      </c>
      <c r="E1382" s="948">
        <v>331110100000000</v>
      </c>
      <c r="F1382" s="975">
        <v>1</v>
      </c>
      <c r="G1382" s="973">
        <v>0</v>
      </c>
      <c r="H1382" s="972">
        <v>0</v>
      </c>
      <c r="I1382" s="976">
        <f>(((PUCFD!E1245)*(1+PUCFD!E$10))*(1+PUCFD!E$16))*(1+PUCFD!E$20)</f>
        <v>0</v>
      </c>
    </row>
    <row r="1383" spans="2:9" ht="24.95" customHeight="1" x14ac:dyDescent="0.25">
      <c r="B1383" s="973" t="s">
        <v>4406</v>
      </c>
      <c r="C1383" s="974">
        <v>333903001035500</v>
      </c>
      <c r="D1383" s="973" t="s">
        <v>4407</v>
      </c>
      <c r="E1383" s="948">
        <v>331113900000000</v>
      </c>
      <c r="F1383" s="975">
        <v>1</v>
      </c>
      <c r="G1383" s="973">
        <v>0</v>
      </c>
      <c r="H1383" s="972">
        <v>0</v>
      </c>
      <c r="I1383" s="976">
        <f>(((PUCFD!E1246)*(1+PUCFD!E$10))*(1+PUCFD!E$16))</f>
        <v>0</v>
      </c>
    </row>
    <row r="1384" spans="2:9" ht="24.95" customHeight="1" x14ac:dyDescent="0.25">
      <c r="B1384" s="973" t="s">
        <v>4408</v>
      </c>
      <c r="C1384" s="974">
        <v>333903039490000</v>
      </c>
      <c r="D1384" s="973" t="s">
        <v>4409</v>
      </c>
      <c r="E1384" s="948">
        <v>331113900000000</v>
      </c>
      <c r="F1384" s="975">
        <v>1</v>
      </c>
      <c r="G1384" s="973">
        <v>0</v>
      </c>
      <c r="H1384" s="972">
        <v>0</v>
      </c>
      <c r="I1384" s="976">
        <f>(((PUCFD!E1247)*(1+PUCFD!E$10))*(1+PUCFD!E$16))</f>
        <v>0</v>
      </c>
    </row>
    <row r="1385" spans="2:9" ht="24.95" customHeight="1" x14ac:dyDescent="0.25">
      <c r="B1385" s="973" t="s">
        <v>4410</v>
      </c>
      <c r="C1385" s="974">
        <v>333903001024000</v>
      </c>
      <c r="D1385" s="973" t="s">
        <v>4411</v>
      </c>
      <c r="E1385" s="948">
        <v>331110100000000</v>
      </c>
      <c r="F1385" s="975">
        <v>1</v>
      </c>
      <c r="G1385" s="973">
        <v>0</v>
      </c>
      <c r="H1385" s="972">
        <v>0</v>
      </c>
      <c r="I1385" s="976">
        <f>(((PUCFD!E1248)*(1+PUCFD!E$10))*(1+PUCFD!E$16))*(1+PUCFD!E$20)</f>
        <v>0</v>
      </c>
    </row>
    <row r="1386" spans="2:9" ht="24.95" customHeight="1" x14ac:dyDescent="0.25">
      <c r="B1386" s="973" t="s">
        <v>4412</v>
      </c>
      <c r="C1386" s="974">
        <v>333903001012000</v>
      </c>
      <c r="D1386" s="973" t="s">
        <v>4413</v>
      </c>
      <c r="E1386" s="948">
        <v>331110100000000</v>
      </c>
      <c r="F1386" s="975">
        <v>1</v>
      </c>
      <c r="G1386" s="973">
        <v>0</v>
      </c>
      <c r="H1386" s="972">
        <v>0</v>
      </c>
      <c r="I1386" s="976">
        <f>(((PUCFD!E1249)*(1+PUCFD!E$10))*(1+PUCFD!E$16))*(1+PUCFD!E$18)</f>
        <v>0</v>
      </c>
    </row>
    <row r="1387" spans="2:9" s="946" customFormat="1" ht="24.95" customHeight="1" x14ac:dyDescent="0.25">
      <c r="B1387" s="963">
        <v>41700</v>
      </c>
      <c r="C1387" s="964">
        <v>333903200000000</v>
      </c>
      <c r="D1387" s="963" t="s">
        <v>5892</v>
      </c>
      <c r="E1387" s="954"/>
      <c r="F1387" s="960">
        <v>1</v>
      </c>
      <c r="G1387" s="963">
        <v>0</v>
      </c>
      <c r="H1387" s="958">
        <v>0</v>
      </c>
      <c r="I1387" s="961">
        <f>SUM(I1388,I1389,I1390)</f>
        <v>70229.77919999999</v>
      </c>
    </row>
    <row r="1388" spans="2:9" ht="24.95" customHeight="1" x14ac:dyDescent="0.25">
      <c r="B1388" s="973" t="s">
        <v>4415</v>
      </c>
      <c r="C1388" s="974">
        <v>333903299050000</v>
      </c>
      <c r="D1388" s="973" t="s">
        <v>4416</v>
      </c>
      <c r="E1388" s="948">
        <v>331219900000000</v>
      </c>
      <c r="F1388" s="975">
        <v>1</v>
      </c>
      <c r="G1388" s="973">
        <v>0</v>
      </c>
      <c r="H1388" s="972">
        <v>0</v>
      </c>
      <c r="I1388" s="976">
        <f>(((PUCFD!E1251)*(1+PUCFD!E$10))*(1+PUCFD!E$16))</f>
        <v>6584.0418</v>
      </c>
    </row>
    <row r="1389" spans="2:9" ht="24.95" customHeight="1" x14ac:dyDescent="0.25">
      <c r="B1389" s="973" t="s">
        <v>4417</v>
      </c>
      <c r="C1389" s="974">
        <v>333903205020000</v>
      </c>
      <c r="D1389" s="973" t="s">
        <v>4418</v>
      </c>
      <c r="E1389" s="948">
        <v>331219900000000</v>
      </c>
      <c r="F1389" s="975">
        <v>1</v>
      </c>
      <c r="G1389" s="973">
        <v>0</v>
      </c>
      <c r="H1389" s="972">
        <v>0</v>
      </c>
      <c r="I1389" s="976">
        <f>(((PUCFD!E1252)*(1+PUCFD!E$10))*(1+PUCFD!E$16))</f>
        <v>27433.5075</v>
      </c>
    </row>
    <row r="1390" spans="2:9" ht="24.95" customHeight="1" x14ac:dyDescent="0.25">
      <c r="B1390" s="973" t="s">
        <v>4419</v>
      </c>
      <c r="C1390" s="974">
        <v>333903205010000</v>
      </c>
      <c r="D1390" s="973" t="s">
        <v>4420</v>
      </c>
      <c r="E1390" s="948">
        <v>331219900000000</v>
      </c>
      <c r="F1390" s="975">
        <v>1</v>
      </c>
      <c r="G1390" s="973">
        <v>0</v>
      </c>
      <c r="H1390" s="972">
        <v>0</v>
      </c>
      <c r="I1390" s="976">
        <f>(((PUCFD!E1253)*(1+PUCFD!E$10))*(1+PUCFD!E$16))</f>
        <v>36212.229899999998</v>
      </c>
    </row>
    <row r="1391" spans="2:9" s="946" customFormat="1" ht="24.95" customHeight="1" x14ac:dyDescent="0.25">
      <c r="B1391" s="963">
        <v>42000</v>
      </c>
      <c r="C1391" s="964">
        <v>333903200000000</v>
      </c>
      <c r="D1391" s="963" t="s">
        <v>6890</v>
      </c>
      <c r="E1391" s="954"/>
      <c r="F1391" s="960">
        <v>1171</v>
      </c>
      <c r="G1391" s="963">
        <v>0</v>
      </c>
      <c r="H1391" s="958">
        <v>0</v>
      </c>
      <c r="I1391" s="961">
        <f>PUCFD!E1254+9.9-9.9</f>
        <v>29113.171151522936</v>
      </c>
    </row>
    <row r="1392" spans="2:9" s="946" customFormat="1" ht="24.95" customHeight="1" x14ac:dyDescent="0.25">
      <c r="B1392" s="963">
        <v>41720</v>
      </c>
      <c r="C1392" s="964">
        <v>333903300000000</v>
      </c>
      <c r="D1392" s="963" t="s">
        <v>5893</v>
      </c>
      <c r="E1392" s="954"/>
      <c r="F1392" s="960">
        <v>1</v>
      </c>
      <c r="G1392" s="963">
        <v>0</v>
      </c>
      <c r="H1392" s="958">
        <v>0</v>
      </c>
      <c r="I1392" s="961">
        <f>(((PUCFD!E1255)*(1+PUCFD!E$10))*(1+PUCFD!E$16))</f>
        <v>329.20209</v>
      </c>
    </row>
    <row r="1393" spans="2:9" s="946" customFormat="1" ht="24.95" customHeight="1" x14ac:dyDescent="0.25">
      <c r="B1393" s="963">
        <v>41730</v>
      </c>
      <c r="C1393" s="964">
        <v>333903500000000</v>
      </c>
      <c r="D1393" s="963" t="s">
        <v>5894</v>
      </c>
      <c r="E1393" s="954"/>
      <c r="F1393" s="960">
        <v>1</v>
      </c>
      <c r="G1393" s="963">
        <v>0</v>
      </c>
      <c r="H1393" s="958">
        <v>0</v>
      </c>
      <c r="I1393" s="961">
        <f>(((PUCFD!E1256)*(1+PUCFD!E$10))*(1+PUCFD!E$16))</f>
        <v>1.0973403E-2</v>
      </c>
    </row>
    <row r="1394" spans="2:9" s="946" customFormat="1" ht="24.95" customHeight="1" x14ac:dyDescent="0.25">
      <c r="B1394" s="963">
        <v>41740</v>
      </c>
      <c r="C1394" s="964">
        <v>333903600000000</v>
      </c>
      <c r="D1394" s="963" t="s">
        <v>5895</v>
      </c>
      <c r="E1394" s="954"/>
      <c r="F1394" s="960">
        <v>1</v>
      </c>
      <c r="G1394" s="963">
        <v>0</v>
      </c>
      <c r="H1394" s="958">
        <v>0</v>
      </c>
      <c r="I1394" s="961">
        <f>(((PUCFD!E1257)*(1+PUCFD!E$10))*(1+PUCFD!E$16))</f>
        <v>1.0973403E-2</v>
      </c>
    </row>
    <row r="1395" spans="2:9" s="946" customFormat="1" ht="24.95" customHeight="1" x14ac:dyDescent="0.25">
      <c r="B1395" s="963">
        <v>41750</v>
      </c>
      <c r="C1395" s="964">
        <v>333903900000000</v>
      </c>
      <c r="D1395" s="963" t="s">
        <v>5896</v>
      </c>
      <c r="E1395" s="954"/>
      <c r="F1395" s="960">
        <v>1</v>
      </c>
      <c r="G1395" s="963">
        <v>0</v>
      </c>
      <c r="H1395" s="958">
        <v>0</v>
      </c>
      <c r="I1395" s="961">
        <f>(((PUCFD!E1258)*(1+PUCFD!E$10))*(1+PUCFD!E$16))-50000-30000+100000</f>
        <v>190377.89973542449</v>
      </c>
    </row>
    <row r="1396" spans="2:9" ht="24.95" customHeight="1" x14ac:dyDescent="0.25">
      <c r="B1396" s="973" t="s">
        <v>4422</v>
      </c>
      <c r="C1396" s="974">
        <v>333903963000000</v>
      </c>
      <c r="D1396" s="973" t="s">
        <v>4423</v>
      </c>
      <c r="E1396" s="948">
        <v>332314600000000</v>
      </c>
      <c r="F1396" s="975">
        <v>1</v>
      </c>
      <c r="G1396" s="973">
        <v>0</v>
      </c>
      <c r="H1396" s="972">
        <v>0</v>
      </c>
      <c r="I1396" s="976">
        <f>(((PUCFD!E1259)*(1+PUCFD!E$10))*(1+PUCFD!E$16))</f>
        <v>0</v>
      </c>
    </row>
    <row r="1397" spans="2:9" ht="24.95" customHeight="1" x14ac:dyDescent="0.25">
      <c r="B1397" s="973" t="s">
        <v>4424</v>
      </c>
      <c r="C1397" s="974">
        <v>333903944000000</v>
      </c>
      <c r="D1397" s="973" t="s">
        <v>4425</v>
      </c>
      <c r="E1397" s="948">
        <v>332310800000000</v>
      </c>
      <c r="F1397" s="975">
        <v>1</v>
      </c>
      <c r="G1397" s="973">
        <v>0</v>
      </c>
      <c r="H1397" s="972">
        <v>0</v>
      </c>
      <c r="I1397" s="976">
        <f>(((PUCFD!E1260)*(1+PUCFD!E$10))*(1+PUCFD!E$16))</f>
        <v>0</v>
      </c>
    </row>
    <row r="1398" spans="2:9" ht="24.95" customHeight="1" x14ac:dyDescent="0.25">
      <c r="B1398" s="973" t="s">
        <v>4426</v>
      </c>
      <c r="C1398" s="974">
        <v>333903999040000</v>
      </c>
      <c r="D1398" s="973" t="s">
        <v>4427</v>
      </c>
      <c r="E1398" s="948">
        <v>332319900000000</v>
      </c>
      <c r="F1398" s="975">
        <v>1</v>
      </c>
      <c r="G1398" s="973">
        <v>0</v>
      </c>
      <c r="H1398" s="972">
        <v>0</v>
      </c>
      <c r="I1398" s="976">
        <f>(((PUCFD!E1261)*(1+PUCFD!E$10))*(1+PUCFD!E$16))</f>
        <v>0</v>
      </c>
    </row>
    <row r="1399" spans="2:9" ht="24.95" customHeight="1" x14ac:dyDescent="0.25">
      <c r="B1399" s="973" t="s">
        <v>4428</v>
      </c>
      <c r="C1399" s="974">
        <v>333903917530000</v>
      </c>
      <c r="D1399" s="973" t="s">
        <v>4429</v>
      </c>
      <c r="E1399" s="948">
        <v>332310600000000</v>
      </c>
      <c r="F1399" s="975">
        <v>1</v>
      </c>
      <c r="G1399" s="973">
        <v>0</v>
      </c>
      <c r="H1399" s="972">
        <v>0</v>
      </c>
      <c r="I1399" s="976">
        <f>(((PUCFD!E1262)*(1+PUCFD!E$10))*(1+PUCFD!E$16))</f>
        <v>0</v>
      </c>
    </row>
    <row r="1400" spans="2:9" ht="24.95" customHeight="1" x14ac:dyDescent="0.25">
      <c r="B1400" s="973" t="s">
        <v>4430</v>
      </c>
      <c r="C1400" s="974">
        <v>333903999130000</v>
      </c>
      <c r="D1400" s="973" t="s">
        <v>4431</v>
      </c>
      <c r="E1400" s="948">
        <v>332319900000000</v>
      </c>
      <c r="F1400" s="975">
        <v>1</v>
      </c>
      <c r="G1400" s="973">
        <v>0</v>
      </c>
      <c r="H1400" s="972">
        <v>0</v>
      </c>
      <c r="I1400" s="976">
        <f>(((PUCFD!E1263)*(1+PUCFD!E$10))*(1+PUCFD!E$16))</f>
        <v>0</v>
      </c>
    </row>
    <row r="1401" spans="2:9" ht="24.95" customHeight="1" x14ac:dyDescent="0.25">
      <c r="B1401" s="973" t="s">
        <v>4432</v>
      </c>
      <c r="C1401" s="974">
        <v>333903970000000</v>
      </c>
      <c r="D1401" s="973" t="s">
        <v>3986</v>
      </c>
      <c r="E1401" s="948">
        <v>332312000000000</v>
      </c>
      <c r="F1401" s="975">
        <v>1</v>
      </c>
      <c r="G1401" s="973">
        <v>0</v>
      </c>
      <c r="H1401" s="972">
        <v>0</v>
      </c>
      <c r="I1401" s="976">
        <f>(((PUCFD!E1264)*(1+PUCFD!E$10))*(1+PUCFD!E$16))</f>
        <v>0</v>
      </c>
    </row>
    <row r="1402" spans="2:9" ht="24.95" customHeight="1" x14ac:dyDescent="0.25">
      <c r="B1402" s="973" t="s">
        <v>4434</v>
      </c>
      <c r="C1402" s="974">
        <v>333903917100000</v>
      </c>
      <c r="D1402" s="973" t="s">
        <v>4435</v>
      </c>
      <c r="E1402" s="948">
        <v>332310600000000</v>
      </c>
      <c r="F1402" s="975">
        <v>1</v>
      </c>
      <c r="G1402" s="973">
        <v>0</v>
      </c>
      <c r="H1402" s="972">
        <v>0</v>
      </c>
      <c r="I1402" s="976">
        <f>(((PUCFD!E1265)*(1+PUCFD!E$10))*(1+PUCFD!E$16))</f>
        <v>0</v>
      </c>
    </row>
    <row r="1403" spans="2:9" ht="24.95" customHeight="1" x14ac:dyDescent="0.25">
      <c r="B1403" s="973" t="s">
        <v>4436</v>
      </c>
      <c r="C1403" s="974">
        <v>333903917160000</v>
      </c>
      <c r="D1403" s="973" t="s">
        <v>4437</v>
      </c>
      <c r="E1403" s="948">
        <v>332310600000000</v>
      </c>
      <c r="F1403" s="975">
        <v>1</v>
      </c>
      <c r="G1403" s="973">
        <v>0</v>
      </c>
      <c r="H1403" s="972">
        <v>0</v>
      </c>
      <c r="I1403" s="976">
        <f>(((PUCFD!E1266)*(1+PUCFD!E$10))*(1+PUCFD!E$16))</f>
        <v>0</v>
      </c>
    </row>
    <row r="1404" spans="2:9" ht="24.95" customHeight="1" x14ac:dyDescent="0.25">
      <c r="B1404" s="973" t="s">
        <v>4438</v>
      </c>
      <c r="C1404" s="974">
        <v>333903917110000</v>
      </c>
      <c r="D1404" s="973" t="s">
        <v>4439</v>
      </c>
      <c r="E1404" s="948">
        <v>332310600000000</v>
      </c>
      <c r="F1404" s="975">
        <v>1</v>
      </c>
      <c r="G1404" s="973">
        <v>0</v>
      </c>
      <c r="H1404" s="972">
        <v>0</v>
      </c>
      <c r="I1404" s="976">
        <f>(((PUCFD!E1267)*(1+PUCFD!E$10))*(1+PUCFD!E$16))</f>
        <v>0</v>
      </c>
    </row>
    <row r="1405" spans="2:9" ht="24.95" customHeight="1" x14ac:dyDescent="0.25">
      <c r="B1405" s="973" t="s">
        <v>4440</v>
      </c>
      <c r="C1405" s="974">
        <v>333903917460000</v>
      </c>
      <c r="D1405" s="973" t="s">
        <v>4441</v>
      </c>
      <c r="E1405" s="948">
        <v>332310600000000</v>
      </c>
      <c r="F1405" s="975">
        <v>1</v>
      </c>
      <c r="G1405" s="973">
        <v>0</v>
      </c>
      <c r="H1405" s="972">
        <v>0</v>
      </c>
      <c r="I1405" s="976">
        <f>(((PUCFD!E1268)*(1+PUCFD!E$10))*(1+PUCFD!E$16))</f>
        <v>0</v>
      </c>
    </row>
    <row r="1406" spans="2:9" ht="24.95" customHeight="1" x14ac:dyDescent="0.25">
      <c r="B1406" s="973" t="s">
        <v>4442</v>
      </c>
      <c r="C1406" s="974">
        <v>333903917480000</v>
      </c>
      <c r="D1406" s="973" t="s">
        <v>4443</v>
      </c>
      <c r="E1406" s="948">
        <v>332310600000000</v>
      </c>
      <c r="F1406" s="975">
        <v>1</v>
      </c>
      <c r="G1406" s="973">
        <v>0</v>
      </c>
      <c r="H1406" s="972">
        <v>0</v>
      </c>
      <c r="I1406" s="976">
        <f>(((PUCFD!E1269)*(1+PUCFD!E$10))*(1+PUCFD!E$16))</f>
        <v>0</v>
      </c>
    </row>
    <row r="1407" spans="2:9" ht="24.95" customHeight="1" x14ac:dyDescent="0.25">
      <c r="B1407" s="973" t="s">
        <v>4444</v>
      </c>
      <c r="C1407" s="974">
        <v>333903917440000</v>
      </c>
      <c r="D1407" s="973" t="s">
        <v>4445</v>
      </c>
      <c r="E1407" s="948">
        <v>332310600000000</v>
      </c>
      <c r="F1407" s="975">
        <v>1</v>
      </c>
      <c r="G1407" s="973">
        <v>0</v>
      </c>
      <c r="H1407" s="972">
        <v>0</v>
      </c>
      <c r="I1407" s="976">
        <f>(((PUCFD!E1270)*(1+PUCFD!E$10))*(1+PUCFD!E$16))</f>
        <v>0</v>
      </c>
    </row>
    <row r="1408" spans="2:9" ht="24.95" customHeight="1" x14ac:dyDescent="0.25">
      <c r="B1408" s="973" t="s">
        <v>4446</v>
      </c>
      <c r="C1408" s="974">
        <v>333903917540000</v>
      </c>
      <c r="D1408" s="973" t="s">
        <v>4447</v>
      </c>
      <c r="E1408" s="948">
        <v>332310600000000</v>
      </c>
      <c r="F1408" s="975">
        <v>1</v>
      </c>
      <c r="G1408" s="973">
        <v>0</v>
      </c>
      <c r="H1408" s="972">
        <v>0</v>
      </c>
      <c r="I1408" s="976">
        <f>(((PUCFD!E1271)*(1+PUCFD!E$10))*(1+PUCFD!E$16))</f>
        <v>0</v>
      </c>
    </row>
    <row r="1409" spans="1:9" ht="24.95" customHeight="1" x14ac:dyDescent="0.25">
      <c r="B1409" s="973" t="s">
        <v>4448</v>
      </c>
      <c r="C1409" s="974">
        <v>333903917340000</v>
      </c>
      <c r="D1409" s="973" t="s">
        <v>4449</v>
      </c>
      <c r="E1409" s="948">
        <v>332310600000000</v>
      </c>
      <c r="F1409" s="975">
        <v>1</v>
      </c>
      <c r="G1409" s="973">
        <v>0</v>
      </c>
      <c r="H1409" s="972">
        <v>0</v>
      </c>
      <c r="I1409" s="976">
        <f>(((PUCFD!E1272)*(1+PUCFD!E$10))*(1+PUCFD!E$16))</f>
        <v>0</v>
      </c>
    </row>
    <row r="1410" spans="1:9" ht="24.95" customHeight="1" x14ac:dyDescent="0.25">
      <c r="B1410" s="973" t="s">
        <v>4450</v>
      </c>
      <c r="C1410" s="974">
        <v>333903917580000</v>
      </c>
      <c r="D1410" s="973" t="s">
        <v>4451</v>
      </c>
      <c r="E1410" s="948">
        <v>332310600000000</v>
      </c>
      <c r="F1410" s="975">
        <v>1</v>
      </c>
      <c r="G1410" s="973">
        <v>0</v>
      </c>
      <c r="H1410" s="972">
        <v>0</v>
      </c>
      <c r="I1410" s="976">
        <f>(((PUCFD!E1273)*(1+PUCFD!E$10))*(1+PUCFD!E$16))</f>
        <v>0</v>
      </c>
    </row>
    <row r="1411" spans="1:9" ht="24.95" customHeight="1" x14ac:dyDescent="0.25">
      <c r="B1411" s="973" t="s">
        <v>4452</v>
      </c>
      <c r="C1411" s="974">
        <v>333903917140000</v>
      </c>
      <c r="D1411" s="973" t="s">
        <v>4453</v>
      </c>
      <c r="E1411" s="948">
        <v>332310600000000</v>
      </c>
      <c r="F1411" s="975">
        <v>1</v>
      </c>
      <c r="G1411" s="973">
        <v>0</v>
      </c>
      <c r="H1411" s="972">
        <v>0</v>
      </c>
      <c r="I1411" s="976">
        <f>(((PUCFD!E1274)*(1+PUCFD!E$10))*(1+PUCFD!E$16))</f>
        <v>0</v>
      </c>
    </row>
    <row r="1412" spans="1:9" ht="24.95" customHeight="1" x14ac:dyDescent="0.25">
      <c r="B1412" s="973" t="s">
        <v>4454</v>
      </c>
      <c r="C1412" s="974">
        <v>333903917430000</v>
      </c>
      <c r="D1412" s="973" t="s">
        <v>4455</v>
      </c>
      <c r="E1412" s="948">
        <v>332310600000000</v>
      </c>
      <c r="F1412" s="975">
        <v>1</v>
      </c>
      <c r="G1412" s="973">
        <v>0</v>
      </c>
      <c r="H1412" s="972">
        <v>0</v>
      </c>
      <c r="I1412" s="976">
        <f>(((PUCFD!E1275)*(1+PUCFD!E$10))*(1+PUCFD!E$16))</f>
        <v>0</v>
      </c>
    </row>
    <row r="1413" spans="1:9" ht="24.95" customHeight="1" x14ac:dyDescent="0.25">
      <c r="B1413" s="973" t="s">
        <v>4456</v>
      </c>
      <c r="C1413" s="974">
        <v>333903917360000</v>
      </c>
      <c r="D1413" s="973" t="s">
        <v>4457</v>
      </c>
      <c r="E1413" s="948">
        <v>332310600000000</v>
      </c>
      <c r="F1413" s="975">
        <v>1</v>
      </c>
      <c r="G1413" s="973">
        <v>0</v>
      </c>
      <c r="H1413" s="972">
        <v>0</v>
      </c>
      <c r="I1413" s="976">
        <f>(((PUCFD!E1276)*(1+PUCFD!E$10))*(1+PUCFD!E$16))</f>
        <v>0</v>
      </c>
    </row>
    <row r="1414" spans="1:9" ht="24.95" customHeight="1" x14ac:dyDescent="0.25">
      <c r="B1414" s="973" t="s">
        <v>4458</v>
      </c>
      <c r="C1414" s="974">
        <v>333903917160000</v>
      </c>
      <c r="D1414" s="973" t="s">
        <v>4433</v>
      </c>
      <c r="E1414" s="948">
        <v>332310600000000</v>
      </c>
      <c r="F1414" s="975">
        <v>1</v>
      </c>
      <c r="G1414" s="973">
        <v>0</v>
      </c>
      <c r="H1414" s="972">
        <v>0</v>
      </c>
      <c r="I1414" s="976">
        <f>(((PUCFD!E1277)*(1+PUCFD!E$10))*(1+PUCFD!E$16))</f>
        <v>0</v>
      </c>
    </row>
    <row r="1415" spans="1:9" ht="24.95" customHeight="1" x14ac:dyDescent="0.25">
      <c r="B1415" s="973" t="s">
        <v>4459</v>
      </c>
      <c r="C1415" s="974">
        <v>333903917080000</v>
      </c>
      <c r="D1415" s="973" t="s">
        <v>4460</v>
      </c>
      <c r="E1415" s="948">
        <v>332310600000000</v>
      </c>
      <c r="F1415" s="975">
        <v>1</v>
      </c>
      <c r="G1415" s="973">
        <v>0</v>
      </c>
      <c r="H1415" s="972">
        <v>0</v>
      </c>
      <c r="I1415" s="976">
        <f>(((PUCFD!E1278)*(1+PUCFD!E$10))*(1+PUCFD!E$16))</f>
        <v>0</v>
      </c>
    </row>
    <row r="1416" spans="1:9" ht="24.95" customHeight="1" x14ac:dyDescent="0.25">
      <c r="B1416" s="973" t="s">
        <v>4461</v>
      </c>
      <c r="C1416" s="974">
        <v>333903999040000</v>
      </c>
      <c r="D1416" s="973" t="s">
        <v>3321</v>
      </c>
      <c r="E1416" s="948">
        <v>332319900000000</v>
      </c>
      <c r="F1416" s="975">
        <v>1</v>
      </c>
      <c r="G1416" s="973">
        <v>0</v>
      </c>
      <c r="H1416" s="972">
        <v>0</v>
      </c>
      <c r="I1416" s="976">
        <f>(((PUCFD!E1279)*(1+PUCFD!E$10))*(1+PUCFD!E$16))</f>
        <v>0</v>
      </c>
    </row>
    <row r="1417" spans="1:9" s="955" customFormat="1" ht="24.95" customHeight="1" x14ac:dyDescent="0.25">
      <c r="A1417" s="960"/>
      <c r="B1417" s="960">
        <v>41800</v>
      </c>
      <c r="C1417" s="1008">
        <v>333904600000000</v>
      </c>
      <c r="D1417" s="962" t="s">
        <v>5897</v>
      </c>
      <c r="E1417" s="1008"/>
      <c r="F1417" s="975">
        <v>1</v>
      </c>
      <c r="G1417" s="975">
        <v>0</v>
      </c>
      <c r="H1417" s="972">
        <v>0</v>
      </c>
      <c r="I1417" s="961">
        <f>SUM(I1418)</f>
        <v>22169.4728069745</v>
      </c>
    </row>
    <row r="1418" spans="1:9" s="955" customFormat="1" ht="24.95" customHeight="1" x14ac:dyDescent="0.25">
      <c r="B1418" s="975" t="s">
        <v>4499</v>
      </c>
      <c r="C1418" s="991">
        <v>333904601000000</v>
      </c>
      <c r="D1418" s="1009" t="s">
        <v>5905</v>
      </c>
      <c r="E1418" s="948">
        <v>311210199000000</v>
      </c>
      <c r="F1418" s="975">
        <v>1</v>
      </c>
      <c r="G1418" s="975">
        <v>0</v>
      </c>
      <c r="H1418" s="972">
        <v>0</v>
      </c>
      <c r="I1418" s="976">
        <f>(((PUCFD!E1281)*(1+PUCFD!E$10))*(1+PUCFD!E$16))</f>
        <v>22169.4728069745</v>
      </c>
    </row>
    <row r="1419" spans="1:9" s="946" customFormat="1" ht="24.95" customHeight="1" x14ac:dyDescent="0.25">
      <c r="B1419" s="963">
        <v>41850</v>
      </c>
      <c r="C1419" s="964">
        <v>333904700000000</v>
      </c>
      <c r="D1419" s="963" t="s">
        <v>5898</v>
      </c>
      <c r="E1419" s="954"/>
      <c r="F1419" s="960">
        <v>1</v>
      </c>
      <c r="G1419" s="963">
        <v>0</v>
      </c>
      <c r="H1419" s="958">
        <v>0</v>
      </c>
      <c r="I1419" s="961">
        <f>SUM(I1420,I1421,I1422,I1423,I1424,I1425,I1426,I1427,I1428,I1429)+0.03</f>
        <v>1097.3702999999998</v>
      </c>
    </row>
    <row r="1420" spans="1:9" ht="24.95" customHeight="1" x14ac:dyDescent="0.25">
      <c r="B1420" s="973" t="s">
        <v>4463</v>
      </c>
      <c r="C1420" s="974">
        <v>333904720000000</v>
      </c>
      <c r="D1420" s="973" t="s">
        <v>4464</v>
      </c>
      <c r="E1420" s="948">
        <v>372110500000000</v>
      </c>
      <c r="F1420" s="975">
        <v>1</v>
      </c>
      <c r="G1420" s="973">
        <v>0</v>
      </c>
      <c r="H1420" s="972">
        <v>0</v>
      </c>
      <c r="I1420" s="976">
        <f>(((PUCFD!E1283)*(1+PUCFD!E$10))*(1+PUCFD!E$16))</f>
        <v>109.73403</v>
      </c>
    </row>
    <row r="1421" spans="1:9" ht="24.95" customHeight="1" x14ac:dyDescent="0.25">
      <c r="B1421" s="973" t="s">
        <v>4465</v>
      </c>
      <c r="C1421" s="974">
        <v>333904720000000</v>
      </c>
      <c r="D1421" s="973" t="s">
        <v>4466</v>
      </c>
      <c r="E1421" s="948">
        <v>372110500000000</v>
      </c>
      <c r="F1421" s="975">
        <v>1</v>
      </c>
      <c r="G1421" s="973">
        <v>0</v>
      </c>
      <c r="H1421" s="972">
        <v>0</v>
      </c>
      <c r="I1421" s="976">
        <f>(((PUCFD!E1284)*(1+PUCFD!E$10))*(1+PUCFD!E$16))</f>
        <v>109.73403</v>
      </c>
    </row>
    <row r="1422" spans="1:9" ht="24.95" customHeight="1" x14ac:dyDescent="0.25">
      <c r="B1422" s="973" t="s">
        <v>4467</v>
      </c>
      <c r="C1422" s="974">
        <v>333904720000000</v>
      </c>
      <c r="D1422" s="973" t="s">
        <v>4468</v>
      </c>
      <c r="E1422" s="948">
        <v>372110500000000</v>
      </c>
      <c r="F1422" s="975">
        <v>1</v>
      </c>
      <c r="G1422" s="973">
        <v>0</v>
      </c>
      <c r="H1422" s="972">
        <v>0</v>
      </c>
      <c r="I1422" s="976">
        <f>(((PUCFD!E1285)*(1+PUCFD!E$10))*(1+PUCFD!E$16))</f>
        <v>109.73403</v>
      </c>
    </row>
    <row r="1423" spans="1:9" ht="24.95" customHeight="1" x14ac:dyDescent="0.25">
      <c r="B1423" s="973" t="s">
        <v>4469</v>
      </c>
      <c r="C1423" s="974">
        <v>333904720000000</v>
      </c>
      <c r="D1423" s="973" t="s">
        <v>4470</v>
      </c>
      <c r="E1423" s="948">
        <v>372110500000000</v>
      </c>
      <c r="F1423" s="975">
        <v>1</v>
      </c>
      <c r="G1423" s="973">
        <v>0</v>
      </c>
      <c r="H1423" s="972">
        <v>0</v>
      </c>
      <c r="I1423" s="976">
        <f>(((PUCFD!E1286)*(1+PUCFD!E$10))*(1+PUCFD!E$16))</f>
        <v>109.73403</v>
      </c>
    </row>
    <row r="1424" spans="1:9" ht="24.95" customHeight="1" x14ac:dyDescent="0.25">
      <c r="B1424" s="973" t="s">
        <v>4471</v>
      </c>
      <c r="C1424" s="974">
        <v>333904718000000</v>
      </c>
      <c r="D1424" s="973" t="s">
        <v>4472</v>
      </c>
      <c r="E1424" s="948">
        <v>372110400000000</v>
      </c>
      <c r="F1424" s="975">
        <v>1</v>
      </c>
      <c r="G1424" s="973">
        <v>0</v>
      </c>
      <c r="H1424" s="972">
        <v>0</v>
      </c>
      <c r="I1424" s="976">
        <f>(((PUCFD!E1287)*(1+PUCFD!E$10))*(1+PUCFD!E$16))</f>
        <v>109.73403</v>
      </c>
    </row>
    <row r="1425" spans="2:9" ht="24.95" customHeight="1" x14ac:dyDescent="0.25">
      <c r="B1425" s="973" t="s">
        <v>4473</v>
      </c>
      <c r="C1425" s="974">
        <v>333904720000000</v>
      </c>
      <c r="D1425" s="973" t="s">
        <v>4474</v>
      </c>
      <c r="E1425" s="948">
        <v>372110500000000</v>
      </c>
      <c r="F1425" s="975">
        <v>1</v>
      </c>
      <c r="G1425" s="973">
        <v>0</v>
      </c>
      <c r="H1425" s="972">
        <v>0</v>
      </c>
      <c r="I1425" s="976">
        <f>(((PUCFD!E1288)*(1+PUCFD!E$10))*(1+PUCFD!E$16))</f>
        <v>109.73403</v>
      </c>
    </row>
    <row r="1426" spans="2:9" ht="24.95" customHeight="1" x14ac:dyDescent="0.25">
      <c r="B1426" s="973" t="s">
        <v>4475</v>
      </c>
      <c r="C1426" s="974">
        <v>333904720000000</v>
      </c>
      <c r="D1426" s="973" t="s">
        <v>4476</v>
      </c>
      <c r="E1426" s="948">
        <v>372110500000000</v>
      </c>
      <c r="F1426" s="975">
        <v>1</v>
      </c>
      <c r="G1426" s="973">
        <v>0</v>
      </c>
      <c r="H1426" s="972">
        <v>0</v>
      </c>
      <c r="I1426" s="976">
        <f>(((PUCFD!E1289)*(1+PUCFD!E$10))*(1+PUCFD!E$16))</f>
        <v>109.73403</v>
      </c>
    </row>
    <row r="1427" spans="2:9" ht="24.95" customHeight="1" x14ac:dyDescent="0.25">
      <c r="B1427" s="973" t="s">
        <v>4477</v>
      </c>
      <c r="C1427" s="974">
        <v>333904720000000</v>
      </c>
      <c r="D1427" s="973" t="s">
        <v>4478</v>
      </c>
      <c r="E1427" s="948">
        <v>372110500000000</v>
      </c>
      <c r="F1427" s="975">
        <v>1</v>
      </c>
      <c r="G1427" s="973">
        <v>0</v>
      </c>
      <c r="H1427" s="972">
        <v>0</v>
      </c>
      <c r="I1427" s="976">
        <f>(((PUCFD!E1290)*(1+PUCFD!E$10))*(1+PUCFD!E$16))</f>
        <v>109.73403</v>
      </c>
    </row>
    <row r="1428" spans="2:9" ht="24.95" customHeight="1" x14ac:dyDescent="0.25">
      <c r="B1428" s="973" t="s">
        <v>4479</v>
      </c>
      <c r="C1428" s="974">
        <v>333904720000000</v>
      </c>
      <c r="D1428" s="973" t="s">
        <v>4480</v>
      </c>
      <c r="E1428" s="948">
        <v>372110500000000</v>
      </c>
      <c r="F1428" s="975">
        <v>1</v>
      </c>
      <c r="G1428" s="973">
        <v>0</v>
      </c>
      <c r="H1428" s="972">
        <v>0</v>
      </c>
      <c r="I1428" s="976">
        <f>(((PUCFD!E1291)*(1+PUCFD!E$10))*(1+PUCFD!E$16))</f>
        <v>109.73403</v>
      </c>
    </row>
    <row r="1429" spans="2:9" ht="24.95" customHeight="1" x14ac:dyDescent="0.25">
      <c r="B1429" s="973" t="s">
        <v>4481</v>
      </c>
      <c r="C1429" s="974">
        <v>333904720000000</v>
      </c>
      <c r="D1429" s="973" t="s">
        <v>4482</v>
      </c>
      <c r="E1429" s="948">
        <v>372110500000000</v>
      </c>
      <c r="F1429" s="975">
        <v>1</v>
      </c>
      <c r="G1429" s="973">
        <v>0</v>
      </c>
      <c r="H1429" s="972">
        <v>0</v>
      </c>
      <c r="I1429" s="976">
        <f>(((PUCFD!E1292)*(1+PUCFD!E$10))*(1+PUCFD!E$16))</f>
        <v>109.73403</v>
      </c>
    </row>
    <row r="1430" spans="2:9" s="946" customFormat="1" ht="24.95" customHeight="1" x14ac:dyDescent="0.25">
      <c r="B1430" s="963">
        <v>41900</v>
      </c>
      <c r="C1430" s="964">
        <v>333904900000000</v>
      </c>
      <c r="D1430" s="963" t="s">
        <v>5899</v>
      </c>
      <c r="E1430" s="954"/>
      <c r="F1430" s="960">
        <v>1</v>
      </c>
      <c r="G1430" s="963">
        <v>0</v>
      </c>
      <c r="H1430" s="958">
        <v>0</v>
      </c>
      <c r="I1430" s="961">
        <f>SUM(I1431,I1432,I1433)</f>
        <v>4240.4400000000005</v>
      </c>
    </row>
    <row r="1431" spans="2:9" ht="24.95" customHeight="1" x14ac:dyDescent="0.25">
      <c r="B1431" s="973" t="s">
        <v>4484</v>
      </c>
      <c r="C1431" s="974">
        <v>333904901000000</v>
      </c>
      <c r="D1431" s="973" t="s">
        <v>4485</v>
      </c>
      <c r="E1431" s="948">
        <v>313210200000000</v>
      </c>
      <c r="F1431" s="975">
        <v>1</v>
      </c>
      <c r="G1431" s="973">
        <v>0</v>
      </c>
      <c r="H1431" s="972">
        <v>0</v>
      </c>
      <c r="I1431" s="976">
        <f>(((PUCFD!E1294)))</f>
        <v>2763.3600000000006</v>
      </c>
    </row>
    <row r="1432" spans="2:9" ht="24.95" customHeight="1" x14ac:dyDescent="0.25">
      <c r="B1432" s="973" t="s">
        <v>4486</v>
      </c>
      <c r="C1432" s="974">
        <v>333904901000000</v>
      </c>
      <c r="D1432" s="973" t="s">
        <v>4487</v>
      </c>
      <c r="E1432" s="948">
        <v>313210200000000</v>
      </c>
      <c r="F1432" s="975">
        <v>1</v>
      </c>
      <c r="G1432" s="973">
        <v>0</v>
      </c>
      <c r="H1432" s="972">
        <v>0</v>
      </c>
      <c r="I1432" s="976">
        <f>(((PUCFD!E1295)))</f>
        <v>614.16</v>
      </c>
    </row>
    <row r="1433" spans="2:9" ht="24.95" customHeight="1" x14ac:dyDescent="0.25">
      <c r="B1433" s="973" t="s">
        <v>4488</v>
      </c>
      <c r="C1433" s="974">
        <v>333904901000000</v>
      </c>
      <c r="D1433" s="973" t="s">
        <v>4489</v>
      </c>
      <c r="E1433" s="948">
        <v>313210200000000</v>
      </c>
      <c r="F1433" s="975">
        <v>1</v>
      </c>
      <c r="G1433" s="973">
        <v>0</v>
      </c>
      <c r="H1433" s="972">
        <v>0</v>
      </c>
      <c r="I1433" s="976">
        <f>(((PUCFD!E1296)))</f>
        <v>862.92</v>
      </c>
    </row>
    <row r="1434" spans="2:9" s="946" customFormat="1" ht="24.95" customHeight="1" x14ac:dyDescent="0.25">
      <c r="B1434" s="963">
        <v>41920</v>
      </c>
      <c r="C1434" s="964">
        <v>333909200000000</v>
      </c>
      <c r="D1434" s="963" t="s">
        <v>5900</v>
      </c>
      <c r="E1434" s="954"/>
      <c r="F1434" s="960">
        <v>1</v>
      </c>
      <c r="G1434" s="963">
        <v>0</v>
      </c>
      <c r="H1434" s="958">
        <v>0</v>
      </c>
      <c r="I1434" s="961">
        <f>SUM(I1435)</f>
        <v>1.0973403E-2</v>
      </c>
    </row>
    <row r="1435" spans="2:9" ht="24.95" customHeight="1" x14ac:dyDescent="0.25">
      <c r="B1435" s="973" t="s">
        <v>4490</v>
      </c>
      <c r="C1435" s="974">
        <v>333909292000000</v>
      </c>
      <c r="D1435" s="973" t="s">
        <v>4491</v>
      </c>
      <c r="E1435" s="948">
        <v>273110300000000</v>
      </c>
      <c r="F1435" s="975">
        <v>1</v>
      </c>
      <c r="G1435" s="973">
        <v>0</v>
      </c>
      <c r="H1435" s="972">
        <v>0</v>
      </c>
      <c r="I1435" s="976">
        <f>(((PUCFD!E1298)*(1+PUCFD!E$10))*(1+PUCFD!E$16))</f>
        <v>1.0973403E-2</v>
      </c>
    </row>
    <row r="1436" spans="2:9" s="946" customFormat="1" ht="24.95" customHeight="1" x14ac:dyDescent="0.25">
      <c r="B1436" s="963">
        <v>41930</v>
      </c>
      <c r="C1436" s="964">
        <v>333909300000000</v>
      </c>
      <c r="D1436" s="963" t="s">
        <v>5901</v>
      </c>
      <c r="E1436" s="954"/>
      <c r="F1436" s="960">
        <v>1</v>
      </c>
      <c r="G1436" s="963">
        <v>0</v>
      </c>
      <c r="H1436" s="958">
        <v>0</v>
      </c>
      <c r="I1436" s="961">
        <f>SUM(I1437)</f>
        <v>1.0973403E-2</v>
      </c>
    </row>
    <row r="1437" spans="2:9" ht="24.95" customHeight="1" x14ac:dyDescent="0.25">
      <c r="B1437" s="973" t="s">
        <v>4492</v>
      </c>
      <c r="C1437" s="974">
        <v>333909399020000</v>
      </c>
      <c r="D1437" s="973" t="s">
        <v>4493</v>
      </c>
      <c r="E1437" s="948">
        <v>399910500000000</v>
      </c>
      <c r="F1437" s="975">
        <v>1</v>
      </c>
      <c r="G1437" s="973">
        <v>0</v>
      </c>
      <c r="H1437" s="972">
        <v>0</v>
      </c>
      <c r="I1437" s="976">
        <f>(((PUCFD!E1300)*(1+PUCFD!E$10))*(1+PUCFD!E$16))</f>
        <v>1.0973403E-2</v>
      </c>
    </row>
    <row r="1438" spans="2:9" s="946" customFormat="1" ht="24.95" customHeight="1" x14ac:dyDescent="0.25">
      <c r="B1438" s="963">
        <v>41940</v>
      </c>
      <c r="C1438" s="964">
        <v>333933000000000</v>
      </c>
      <c r="D1438" s="963" t="s">
        <v>5902</v>
      </c>
      <c r="E1438" s="954"/>
      <c r="F1438" s="960">
        <v>1</v>
      </c>
      <c r="G1438" s="963">
        <v>0</v>
      </c>
      <c r="H1438" s="958">
        <v>0</v>
      </c>
      <c r="I1438" s="961">
        <f>(((PUCFD!E1301)*(1+PUCFD!E$10))*(1+PUCFD!E$16))</f>
        <v>1.0973403E-2</v>
      </c>
    </row>
    <row r="1439" spans="2:9" s="946" customFormat="1" ht="24.95" customHeight="1" x14ac:dyDescent="0.25">
      <c r="B1439" s="963">
        <v>41950</v>
      </c>
      <c r="C1439" s="964">
        <v>344905100000000</v>
      </c>
      <c r="D1439" s="963" t="s">
        <v>5903</v>
      </c>
      <c r="E1439" s="954"/>
      <c r="F1439" s="960">
        <v>1</v>
      </c>
      <c r="G1439" s="963">
        <v>0</v>
      </c>
      <c r="H1439" s="958">
        <v>0</v>
      </c>
      <c r="I1439" s="961">
        <f>(((PUCFD!E1302)*(1+PUCFD!E$10))*(1+PUCFD!E$16))</f>
        <v>1.0973403E-2</v>
      </c>
    </row>
    <row r="1440" spans="2:9" s="946" customFormat="1" ht="24.95" customHeight="1" x14ac:dyDescent="0.25">
      <c r="B1440" s="963">
        <v>41970</v>
      </c>
      <c r="C1440" s="964">
        <v>344905200000000</v>
      </c>
      <c r="D1440" s="963" t="s">
        <v>5904</v>
      </c>
      <c r="E1440" s="954"/>
      <c r="F1440" s="960">
        <v>1</v>
      </c>
      <c r="G1440" s="963">
        <v>0</v>
      </c>
      <c r="H1440" s="958">
        <v>0</v>
      </c>
      <c r="I1440" s="961">
        <f>(((PUCFD!E1303)*(1+PUCFD!E$10))*(1+PUCFD!E$16))</f>
        <v>1.0973403E-2</v>
      </c>
    </row>
    <row r="1441" spans="1:10" ht="24.95" customHeight="1" x14ac:dyDescent="0.25">
      <c r="A1441" s="946"/>
      <c r="B1441" s="1608" t="s">
        <v>3336</v>
      </c>
      <c r="C1441" s="1608"/>
      <c r="D1441" s="1608"/>
      <c r="E1441" s="1608"/>
      <c r="F1441" s="1608"/>
      <c r="G1441" s="1608"/>
      <c r="H1441" s="1608"/>
      <c r="I1441" s="957">
        <f>I1254+I1264+I1300+I1308+I1317+0.012</f>
        <v>2035268.9790918883</v>
      </c>
    </row>
    <row r="1442" spans="1:10" ht="24.95" customHeight="1" x14ac:dyDescent="0.25">
      <c r="A1442" s="946"/>
      <c r="B1442" s="1608" t="s">
        <v>4529</v>
      </c>
      <c r="C1442" s="1608"/>
      <c r="D1442" s="1608"/>
      <c r="E1442" s="1608"/>
      <c r="F1442" s="1608"/>
      <c r="G1442" s="1608"/>
      <c r="H1442" s="1608"/>
      <c r="I1442" s="957">
        <f>I1441</f>
        <v>2035268.9790918883</v>
      </c>
      <c r="J1442" s="990"/>
    </row>
    <row r="1443" spans="1:10" ht="24.95" customHeight="1" x14ac:dyDescent="0.25">
      <c r="A1443" s="946"/>
      <c r="B1443" s="987"/>
      <c r="C1443" s="988"/>
      <c r="D1443" s="987"/>
      <c r="E1443" s="954" t="s">
        <v>4777</v>
      </c>
      <c r="F1443" s="960"/>
      <c r="G1443" s="960"/>
      <c r="H1443" s="958"/>
      <c r="I1443" s="961"/>
    </row>
    <row r="1444" spans="1:10" ht="24.95" customHeight="1" x14ac:dyDescent="0.25">
      <c r="A1444" s="946"/>
      <c r="B1444" s="987"/>
      <c r="C1444" s="988"/>
      <c r="D1444" s="987"/>
      <c r="F1444" s="949">
        <v>1</v>
      </c>
      <c r="G1444" s="945">
        <v>0</v>
      </c>
      <c r="H1444" s="950">
        <v>0</v>
      </c>
      <c r="I1444" s="951">
        <f>I1442-I1445-I1446-I1447-I1448-I1449-I1450</f>
        <v>822147.79794036539</v>
      </c>
    </row>
    <row r="1445" spans="1:10" ht="24.95" customHeight="1" x14ac:dyDescent="0.25">
      <c r="A1445" s="946"/>
      <c r="B1445" s="987"/>
      <c r="C1445" s="988"/>
      <c r="D1445" s="987"/>
      <c r="E1445" s="987"/>
      <c r="F1445" s="949">
        <v>1032</v>
      </c>
      <c r="G1445" s="945">
        <v>0</v>
      </c>
      <c r="H1445" s="950">
        <v>0</v>
      </c>
      <c r="I1445" s="951">
        <f>I1295+I1268+I1279</f>
        <v>1054001</v>
      </c>
    </row>
    <row r="1446" spans="1:10" ht="24.95" customHeight="1" x14ac:dyDescent="0.25">
      <c r="F1446" s="949">
        <v>1156</v>
      </c>
      <c r="I1446" s="951">
        <f>I1266+I1275+I1285</f>
        <v>2</v>
      </c>
    </row>
    <row r="1447" spans="1:10" ht="24.95" customHeight="1" x14ac:dyDescent="0.25">
      <c r="F1447" s="949">
        <v>1157</v>
      </c>
      <c r="I1447" s="951">
        <f>I1269+I1276+I1286</f>
        <v>100001.01000000001</v>
      </c>
    </row>
    <row r="1448" spans="1:10" ht="24.95" customHeight="1" x14ac:dyDescent="0.25">
      <c r="F1448" s="949">
        <v>1165</v>
      </c>
      <c r="I1448" s="951">
        <f>I1270+I1277+I1287</f>
        <v>2</v>
      </c>
    </row>
    <row r="1449" spans="1:10" ht="24.95" customHeight="1" x14ac:dyDescent="0.25">
      <c r="F1449" s="949">
        <v>1169</v>
      </c>
      <c r="I1449" s="951">
        <f>I1271+I1278+I1283</f>
        <v>30002</v>
      </c>
    </row>
    <row r="1450" spans="1:10" ht="24.95" customHeight="1" x14ac:dyDescent="0.25">
      <c r="F1450" s="949">
        <v>1171</v>
      </c>
      <c r="I1450" s="951">
        <f>I1391</f>
        <v>29113.171151522936</v>
      </c>
    </row>
    <row r="1452" spans="1:10" s="946" customFormat="1" ht="24.95" customHeight="1" x14ac:dyDescent="0.25">
      <c r="B1452" s="946" t="s">
        <v>3088</v>
      </c>
      <c r="C1452" s="953" t="s">
        <v>3136</v>
      </c>
      <c r="E1452" s="954"/>
      <c r="F1452" s="955"/>
      <c r="H1452" s="956"/>
    </row>
    <row r="1453" spans="1:10" s="946" customFormat="1" ht="24.95" customHeight="1" x14ac:dyDescent="0.25">
      <c r="B1453" s="946" t="s">
        <v>3087</v>
      </c>
      <c r="C1453" s="953" t="s">
        <v>4530</v>
      </c>
      <c r="E1453" s="954"/>
      <c r="F1453" s="955"/>
      <c r="H1453" s="956"/>
      <c r="I1453" s="957"/>
    </row>
    <row r="1454" spans="1:10" s="946" customFormat="1" ht="24.95" customHeight="1" x14ac:dyDescent="0.25">
      <c r="B1454" s="946" t="s">
        <v>3089</v>
      </c>
      <c r="C1454" s="953" t="s">
        <v>3146</v>
      </c>
      <c r="E1454" s="954"/>
      <c r="F1454" s="955"/>
      <c r="H1454" s="956"/>
      <c r="I1454" s="957"/>
    </row>
    <row r="1455" spans="1:10" ht="33.75" customHeight="1" x14ac:dyDescent="0.25">
      <c r="A1455" s="958"/>
      <c r="B1455" s="958" t="s">
        <v>2967</v>
      </c>
      <c r="C1455" s="959" t="s">
        <v>472</v>
      </c>
      <c r="D1455" s="958" t="s">
        <v>2968</v>
      </c>
      <c r="E1455" s="954" t="s">
        <v>3066</v>
      </c>
      <c r="F1455" s="960" t="s">
        <v>1403</v>
      </c>
      <c r="G1455" s="958" t="s">
        <v>2969</v>
      </c>
      <c r="H1455" s="958" t="s">
        <v>3065</v>
      </c>
      <c r="I1455" s="961" t="s">
        <v>2531</v>
      </c>
    </row>
    <row r="1456" spans="1:10" ht="15" customHeight="1" x14ac:dyDescent="0.25">
      <c r="A1456" s="958"/>
      <c r="B1456" s="962" t="s">
        <v>3138</v>
      </c>
      <c r="C1456" s="959">
        <v>17</v>
      </c>
      <c r="D1456" s="962" t="s">
        <v>4531</v>
      </c>
      <c r="E1456" s="954"/>
      <c r="F1456" s="960"/>
      <c r="G1456" s="958"/>
      <c r="H1456" s="958"/>
      <c r="I1456" s="961">
        <f>I1457</f>
        <v>346801.06</v>
      </c>
    </row>
    <row r="1457" spans="1:9" ht="15" customHeight="1" x14ac:dyDescent="0.25">
      <c r="A1457" s="958"/>
      <c r="B1457" s="962" t="s">
        <v>3139</v>
      </c>
      <c r="C1457" s="959">
        <v>511</v>
      </c>
      <c r="D1457" s="962" t="s">
        <v>4532</v>
      </c>
      <c r="E1457" s="954"/>
      <c r="F1457" s="960"/>
      <c r="G1457" s="958"/>
      <c r="H1457" s="958"/>
      <c r="I1457" s="961">
        <f>I1458</f>
        <v>346801.06</v>
      </c>
    </row>
    <row r="1458" spans="1:9" ht="15" customHeight="1" x14ac:dyDescent="0.25">
      <c r="A1458" s="958"/>
      <c r="B1458" s="962" t="s">
        <v>3137</v>
      </c>
      <c r="C1458" s="959">
        <v>11</v>
      </c>
      <c r="D1458" s="962" t="s">
        <v>4533</v>
      </c>
      <c r="E1458" s="954"/>
      <c r="F1458" s="960"/>
      <c r="G1458" s="958"/>
      <c r="H1458" s="958"/>
      <c r="I1458" s="961">
        <f>I1459</f>
        <v>346801.06</v>
      </c>
    </row>
    <row r="1459" spans="1:9" s="946" customFormat="1" ht="24.95" customHeight="1" x14ac:dyDescent="0.25">
      <c r="B1459" s="963" t="s">
        <v>2950</v>
      </c>
      <c r="C1459" s="959">
        <v>10</v>
      </c>
      <c r="D1459" s="963" t="s">
        <v>4534</v>
      </c>
      <c r="E1459" s="954"/>
      <c r="F1459" s="960"/>
      <c r="G1459" s="963"/>
      <c r="H1459" s="956"/>
      <c r="I1459" s="957">
        <f>SUM(I1460,I1462,I1463,I1464,I1465,I1466,I1467,I1469,I1461,)</f>
        <v>346801.06</v>
      </c>
    </row>
    <row r="1460" spans="1:9" s="946" customFormat="1" ht="24.95" customHeight="1" x14ac:dyDescent="0.25">
      <c r="B1460" s="963">
        <v>50000</v>
      </c>
      <c r="C1460" s="964">
        <v>333904700000000</v>
      </c>
      <c r="D1460" s="963" t="s">
        <v>4535</v>
      </c>
      <c r="E1460" s="954">
        <v>0</v>
      </c>
      <c r="F1460" s="960">
        <v>1</v>
      </c>
      <c r="G1460" s="963">
        <v>0</v>
      </c>
      <c r="H1460" s="958">
        <v>0</v>
      </c>
      <c r="I1460" s="961">
        <f>PUCFD!E1307</f>
        <v>0.01</v>
      </c>
    </row>
    <row r="1461" spans="1:9" s="946" customFormat="1" ht="24.95" customHeight="1" x14ac:dyDescent="0.25">
      <c r="B1461" s="963">
        <v>50050</v>
      </c>
      <c r="C1461" s="964">
        <v>344209300010000</v>
      </c>
      <c r="D1461" s="963" t="s">
        <v>7745</v>
      </c>
      <c r="E1461" s="954">
        <v>0</v>
      </c>
      <c r="F1461" s="960">
        <v>1168</v>
      </c>
      <c r="G1461" s="963">
        <v>0</v>
      </c>
      <c r="H1461" s="958">
        <v>0</v>
      </c>
      <c r="I1461" s="1367">
        <f>PUCFD!E1308</f>
        <v>0.01</v>
      </c>
    </row>
    <row r="1462" spans="1:9" s="946" customFormat="1" ht="24.95" customHeight="1" x14ac:dyDescent="0.25">
      <c r="B1462" s="963">
        <v>50100</v>
      </c>
      <c r="C1462" s="964">
        <v>344903000000000</v>
      </c>
      <c r="D1462" s="963" t="s">
        <v>3562</v>
      </c>
      <c r="E1462" s="954">
        <v>0</v>
      </c>
      <c r="F1462" s="960">
        <v>1</v>
      </c>
      <c r="G1462" s="963">
        <v>0</v>
      </c>
      <c r="H1462" s="958">
        <v>0</v>
      </c>
      <c r="I1462" s="961">
        <f>PUCFD!E1309</f>
        <v>0.01</v>
      </c>
    </row>
    <row r="1463" spans="1:9" s="946" customFormat="1" ht="24.95" customHeight="1" x14ac:dyDescent="0.25">
      <c r="B1463" s="963">
        <v>50200</v>
      </c>
      <c r="C1463" s="964">
        <v>344903600000000</v>
      </c>
      <c r="D1463" s="963" t="s">
        <v>4161</v>
      </c>
      <c r="E1463" s="954">
        <v>0</v>
      </c>
      <c r="F1463" s="960">
        <v>1</v>
      </c>
      <c r="G1463" s="963">
        <v>0</v>
      </c>
      <c r="H1463" s="958">
        <v>0</v>
      </c>
      <c r="I1463" s="961">
        <f>PUCFD!E1310</f>
        <v>0.01</v>
      </c>
    </row>
    <row r="1464" spans="1:9" s="946" customFormat="1" ht="34.5" customHeight="1" x14ac:dyDescent="0.25">
      <c r="B1464" s="963">
        <v>50300</v>
      </c>
      <c r="C1464" s="964">
        <v>344903900000000</v>
      </c>
      <c r="D1464" s="963" t="s">
        <v>4536</v>
      </c>
      <c r="E1464" s="954">
        <v>0</v>
      </c>
      <c r="F1464" s="960">
        <v>1</v>
      </c>
      <c r="G1464" s="963">
        <v>0</v>
      </c>
      <c r="H1464" s="958">
        <v>0</v>
      </c>
      <c r="I1464" s="961">
        <f>I1465</f>
        <v>0.01</v>
      </c>
    </row>
    <row r="1465" spans="1:9" ht="30.75" customHeight="1" x14ac:dyDescent="0.25">
      <c r="B1465" s="973" t="s">
        <v>4537</v>
      </c>
      <c r="C1465" s="974">
        <v>344903999990000</v>
      </c>
      <c r="D1465" s="973" t="s">
        <v>4538</v>
      </c>
      <c r="E1465" s="954">
        <v>0</v>
      </c>
      <c r="F1465" s="975">
        <v>1</v>
      </c>
      <c r="G1465" s="973">
        <v>0</v>
      </c>
      <c r="H1465" s="972">
        <v>0</v>
      </c>
      <c r="I1465" s="976">
        <f>PUCFD!E1312</f>
        <v>0.01</v>
      </c>
    </row>
    <row r="1466" spans="1:9" s="946" customFormat="1" ht="24.95" customHeight="1" x14ac:dyDescent="0.25">
      <c r="B1466" s="963">
        <v>50400</v>
      </c>
      <c r="C1466" s="964">
        <v>344903900000000</v>
      </c>
      <c r="D1466" s="963" t="s">
        <v>7746</v>
      </c>
      <c r="E1466" s="954">
        <v>0</v>
      </c>
      <c r="F1466" s="960">
        <v>1168</v>
      </c>
      <c r="G1466" s="963">
        <v>0</v>
      </c>
      <c r="H1466" s="958">
        <v>0</v>
      </c>
      <c r="I1466" s="961">
        <f>PUCFD!E1313</f>
        <v>0.01</v>
      </c>
    </row>
    <row r="1467" spans="1:9" s="946" customFormat="1" ht="32.25" customHeight="1" x14ac:dyDescent="0.25">
      <c r="B1467" s="963">
        <v>50600</v>
      </c>
      <c r="C1467" s="964">
        <v>344905200000000</v>
      </c>
      <c r="D1467" s="963" t="s">
        <v>4589</v>
      </c>
      <c r="E1467" s="954">
        <v>0</v>
      </c>
      <c r="F1467" s="960">
        <v>1</v>
      </c>
      <c r="G1467" s="963">
        <v>0</v>
      </c>
      <c r="H1467" s="958">
        <v>0</v>
      </c>
      <c r="I1467" s="961">
        <f>I1468</f>
        <v>0.01</v>
      </c>
    </row>
    <row r="1468" spans="1:9" ht="30.75" customHeight="1" x14ac:dyDescent="0.25">
      <c r="B1468" s="973" t="s">
        <v>4540</v>
      </c>
      <c r="C1468" s="974">
        <v>344905234000000</v>
      </c>
      <c r="D1468" s="973" t="s">
        <v>4541</v>
      </c>
      <c r="E1468" s="954">
        <v>0</v>
      </c>
      <c r="F1468" s="975">
        <v>1</v>
      </c>
      <c r="G1468" s="973">
        <v>0</v>
      </c>
      <c r="H1468" s="972">
        <v>0</v>
      </c>
      <c r="I1468" s="976">
        <f>PUCFD!E1315</f>
        <v>0.01</v>
      </c>
    </row>
    <row r="1469" spans="1:9" s="946" customFormat="1" ht="36.75" customHeight="1" x14ac:dyDescent="0.25">
      <c r="B1469" s="963">
        <v>50650</v>
      </c>
      <c r="C1469" s="964">
        <v>344905200000000</v>
      </c>
      <c r="D1469" s="963" t="s">
        <v>7747</v>
      </c>
      <c r="E1469" s="954">
        <v>0</v>
      </c>
      <c r="F1469" s="960">
        <v>1168</v>
      </c>
      <c r="G1469" s="963">
        <v>0</v>
      </c>
      <c r="H1469" s="958">
        <v>0</v>
      </c>
      <c r="I1469" s="961">
        <f>PUCFD!E1316</f>
        <v>346800.98</v>
      </c>
    </row>
    <row r="1470" spans="1:9" ht="15" customHeight="1" x14ac:dyDescent="0.25">
      <c r="A1470" s="958"/>
      <c r="B1470" s="962" t="s">
        <v>3138</v>
      </c>
      <c r="C1470" s="959">
        <v>18</v>
      </c>
      <c r="D1470" s="962" t="s">
        <v>4544</v>
      </c>
      <c r="E1470" s="954"/>
      <c r="F1470" s="960"/>
      <c r="G1470" s="958"/>
      <c r="H1470" s="958"/>
      <c r="I1470" s="961">
        <f>I1471</f>
        <v>1646.0333702089999</v>
      </c>
    </row>
    <row r="1471" spans="1:9" ht="15" customHeight="1" x14ac:dyDescent="0.25">
      <c r="A1471" s="958"/>
      <c r="B1471" s="962" t="s">
        <v>3139</v>
      </c>
      <c r="C1471" s="959">
        <v>126</v>
      </c>
      <c r="D1471" s="962" t="s">
        <v>3600</v>
      </c>
      <c r="E1471" s="954"/>
      <c r="F1471" s="960"/>
      <c r="G1471" s="958"/>
      <c r="H1471" s="958"/>
      <c r="I1471" s="961">
        <f>I1472</f>
        <v>1646.0333702089999</v>
      </c>
    </row>
    <row r="1472" spans="1:9" ht="15" customHeight="1" x14ac:dyDescent="0.25">
      <c r="A1472" s="958"/>
      <c r="B1472" s="962" t="s">
        <v>3137</v>
      </c>
      <c r="C1472" s="959">
        <v>11</v>
      </c>
      <c r="D1472" s="962" t="s">
        <v>4533</v>
      </c>
      <c r="E1472" s="954"/>
      <c r="F1472" s="960"/>
      <c r="G1472" s="958"/>
      <c r="H1472" s="958"/>
      <c r="I1472" s="961">
        <f>I1473</f>
        <v>1646.0333702089999</v>
      </c>
    </row>
    <row r="1473" spans="1:9" s="946" customFormat="1" ht="24.95" customHeight="1" x14ac:dyDescent="0.25">
      <c r="B1473" s="963" t="s">
        <v>2965</v>
      </c>
      <c r="C1473" s="959">
        <v>11</v>
      </c>
      <c r="D1473" s="963" t="s">
        <v>4543</v>
      </c>
      <c r="E1473" s="954"/>
      <c r="F1473" s="960"/>
      <c r="G1473" s="963"/>
      <c r="H1473" s="956"/>
      <c r="I1473" s="957">
        <f>SUM(I1474)</f>
        <v>1646.0333702089999</v>
      </c>
    </row>
    <row r="1474" spans="1:9" s="946" customFormat="1" ht="33.75" customHeight="1" x14ac:dyDescent="0.25">
      <c r="B1474" s="963">
        <v>50680</v>
      </c>
      <c r="C1474" s="964">
        <v>333904000000000</v>
      </c>
      <c r="D1474" s="963" t="s">
        <v>5915</v>
      </c>
      <c r="E1474" s="954"/>
      <c r="F1474" s="960">
        <v>1</v>
      </c>
      <c r="G1474" s="963">
        <v>0</v>
      </c>
      <c r="H1474" s="950"/>
      <c r="I1474" s="961">
        <f>SUM(I1475,I1476,I1477,I1478)-0.01</f>
        <v>1646.0333702089999</v>
      </c>
    </row>
    <row r="1475" spans="1:9" ht="25.5" customHeight="1" x14ac:dyDescent="0.25">
      <c r="A1475" s="972"/>
      <c r="B1475" s="973" t="s">
        <v>4570</v>
      </c>
      <c r="C1475" s="974">
        <v>333904006000000</v>
      </c>
      <c r="D1475" s="973" t="s">
        <v>3044</v>
      </c>
      <c r="E1475" s="948">
        <v>332311000000000</v>
      </c>
      <c r="F1475" s="975">
        <v>1</v>
      </c>
      <c r="G1475" s="973">
        <v>0</v>
      </c>
      <c r="H1475" s="972">
        <v>0</v>
      </c>
      <c r="I1475" s="976">
        <f>(((PUCFD!E1320)*(1+PUCFD!E$10))*(1+PUCFD!E$16))</f>
        <v>1646.01045</v>
      </c>
    </row>
    <row r="1476" spans="1:9" ht="29.25" customHeight="1" x14ac:dyDescent="0.25">
      <c r="A1476" s="972"/>
      <c r="B1476" s="973" t="s">
        <v>4571</v>
      </c>
      <c r="C1476" s="974">
        <v>333904011000000</v>
      </c>
      <c r="D1476" s="973" t="s">
        <v>5924</v>
      </c>
      <c r="E1476" s="948">
        <v>332311100000000</v>
      </c>
      <c r="F1476" s="975">
        <v>1</v>
      </c>
      <c r="G1476" s="973">
        <v>0</v>
      </c>
      <c r="H1476" s="972">
        <v>0</v>
      </c>
      <c r="I1476" s="976">
        <f>(((PUCFD!E1321)*(1+PUCFD!E$10))*(1+PUCFD!E$16))</f>
        <v>1.0973403E-2</v>
      </c>
    </row>
    <row r="1477" spans="1:9" ht="29.25" customHeight="1" x14ac:dyDescent="0.25">
      <c r="A1477" s="972"/>
      <c r="B1477" s="973" t="s">
        <v>4572</v>
      </c>
      <c r="C1477" s="974">
        <v>333904012000000</v>
      </c>
      <c r="D1477" s="973" t="s">
        <v>5926</v>
      </c>
      <c r="E1477" s="948">
        <v>332311100000000</v>
      </c>
      <c r="F1477" s="975">
        <v>1</v>
      </c>
      <c r="G1477" s="973">
        <v>0</v>
      </c>
      <c r="H1477" s="972">
        <v>0</v>
      </c>
      <c r="I1477" s="976">
        <f>(((PUCFD!E1322)*(1+PUCFD!E$10))*(1+PUCFD!E$16))</f>
        <v>1.0973403E-2</v>
      </c>
    </row>
    <row r="1478" spans="1:9" ht="24.95" customHeight="1" x14ac:dyDescent="0.25">
      <c r="A1478" s="972"/>
      <c r="B1478" s="973" t="s">
        <v>4573</v>
      </c>
      <c r="C1478" s="974">
        <v>333904099000000</v>
      </c>
      <c r="D1478" s="973" t="s">
        <v>5928</v>
      </c>
      <c r="E1478" s="948">
        <v>332311100000000</v>
      </c>
      <c r="F1478" s="975">
        <v>1</v>
      </c>
      <c r="G1478" s="973">
        <v>0</v>
      </c>
      <c r="H1478" s="972">
        <v>0</v>
      </c>
      <c r="I1478" s="976">
        <f>(((PUCFD!E1323)*(1+PUCFD!E$10))*(1+PUCFD!E$16))</f>
        <v>1.0973403E-2</v>
      </c>
    </row>
    <row r="1479" spans="1:9" ht="24.95" customHeight="1" x14ac:dyDescent="0.25">
      <c r="A1479" s="958"/>
      <c r="B1479" s="962" t="s">
        <v>3138</v>
      </c>
      <c r="C1479" s="959">
        <v>18</v>
      </c>
      <c r="D1479" s="962" t="s">
        <v>4544</v>
      </c>
      <c r="E1479" s="954"/>
      <c r="F1479" s="960"/>
      <c r="G1479" s="958"/>
      <c r="H1479" s="958"/>
      <c r="I1479" s="961">
        <f>I1480</f>
        <v>0.05</v>
      </c>
    </row>
    <row r="1480" spans="1:9" ht="24.95" customHeight="1" x14ac:dyDescent="0.25">
      <c r="A1480" s="958"/>
      <c r="B1480" s="962" t="s">
        <v>3139</v>
      </c>
      <c r="C1480" s="959">
        <v>128</v>
      </c>
      <c r="D1480" s="962" t="s">
        <v>5104</v>
      </c>
      <c r="E1480" s="954"/>
      <c r="F1480" s="960"/>
      <c r="G1480" s="958"/>
      <c r="H1480" s="958"/>
      <c r="I1480" s="961">
        <f>I1482</f>
        <v>0.05</v>
      </c>
    </row>
    <row r="1481" spans="1:9" ht="24.95" customHeight="1" x14ac:dyDescent="0.25">
      <c r="A1481" s="958"/>
      <c r="B1481" s="962" t="s">
        <v>3137</v>
      </c>
      <c r="C1481" s="959">
        <v>11</v>
      </c>
      <c r="D1481" s="962" t="s">
        <v>4533</v>
      </c>
      <c r="E1481" s="954"/>
      <c r="F1481" s="960"/>
      <c r="G1481" s="958"/>
      <c r="H1481" s="958"/>
      <c r="I1481" s="961">
        <f>I1482</f>
        <v>0.05</v>
      </c>
    </row>
    <row r="1482" spans="1:9" s="946" customFormat="1" ht="24.95" customHeight="1" x14ac:dyDescent="0.25">
      <c r="B1482" s="963" t="s">
        <v>2965</v>
      </c>
      <c r="C1482" s="959">
        <v>11</v>
      </c>
      <c r="D1482" s="963" t="s">
        <v>4543</v>
      </c>
      <c r="E1482" s="954"/>
      <c r="F1482" s="960"/>
      <c r="G1482" s="963"/>
      <c r="H1482" s="958"/>
      <c r="I1482" s="957">
        <f>SUM(I1483:I1487)</f>
        <v>0.05</v>
      </c>
    </row>
    <row r="1483" spans="1:9" s="946" customFormat="1" ht="24.95" customHeight="1" x14ac:dyDescent="0.25">
      <c r="B1483" s="973">
        <v>50700</v>
      </c>
      <c r="C1483" s="974">
        <v>333901400000000</v>
      </c>
      <c r="D1483" s="973" t="s">
        <v>5932</v>
      </c>
      <c r="E1483" s="954"/>
      <c r="F1483" s="949">
        <v>1</v>
      </c>
      <c r="G1483" s="945">
        <v>0</v>
      </c>
      <c r="H1483" s="950">
        <v>0</v>
      </c>
      <c r="I1483" s="951">
        <f>PUCFD!E1326</f>
        <v>0.01</v>
      </c>
    </row>
    <row r="1484" spans="1:9" s="946" customFormat="1" ht="30.75" customHeight="1" x14ac:dyDescent="0.25">
      <c r="B1484" s="973">
        <v>50720</v>
      </c>
      <c r="C1484" s="974">
        <v>333903300000000</v>
      </c>
      <c r="D1484" s="973" t="s">
        <v>5933</v>
      </c>
      <c r="E1484" s="954"/>
      <c r="F1484" s="949">
        <v>1</v>
      </c>
      <c r="G1484" s="945">
        <v>0</v>
      </c>
      <c r="H1484" s="950">
        <v>0</v>
      </c>
      <c r="I1484" s="951">
        <f>PUCFD!E1327</f>
        <v>0.01</v>
      </c>
    </row>
    <row r="1485" spans="1:9" s="946" customFormat="1" ht="34.5" customHeight="1" x14ac:dyDescent="0.25">
      <c r="B1485" s="973">
        <v>50730</v>
      </c>
      <c r="C1485" s="974">
        <v>333903600000000</v>
      </c>
      <c r="D1485" s="973" t="s">
        <v>5934</v>
      </c>
      <c r="E1485" s="954"/>
      <c r="F1485" s="949">
        <v>1</v>
      </c>
      <c r="G1485" s="945">
        <v>0</v>
      </c>
      <c r="H1485" s="950">
        <v>0</v>
      </c>
      <c r="I1485" s="951">
        <f>PUCFD!E1328</f>
        <v>0.01</v>
      </c>
    </row>
    <row r="1486" spans="1:9" s="946" customFormat="1" ht="34.5" customHeight="1" x14ac:dyDescent="0.25">
      <c r="B1486" s="973">
        <v>50750</v>
      </c>
      <c r="C1486" s="974">
        <v>333903900000000</v>
      </c>
      <c r="D1486" s="973" t="s">
        <v>5931</v>
      </c>
      <c r="E1486" s="954"/>
      <c r="F1486" s="949">
        <v>1</v>
      </c>
      <c r="G1486" s="945">
        <v>0</v>
      </c>
      <c r="H1486" s="950">
        <v>0</v>
      </c>
      <c r="I1486" s="951">
        <f>PUCFD!E1329</f>
        <v>0.01</v>
      </c>
    </row>
    <row r="1487" spans="1:9" s="946" customFormat="1" ht="34.5" customHeight="1" x14ac:dyDescent="0.25">
      <c r="B1487" s="973">
        <v>50770</v>
      </c>
      <c r="C1487" s="974">
        <v>333904700000000</v>
      </c>
      <c r="D1487" s="973" t="s">
        <v>5930</v>
      </c>
      <c r="E1487" s="954"/>
      <c r="F1487" s="949">
        <v>1</v>
      </c>
      <c r="G1487" s="945">
        <v>0</v>
      </c>
      <c r="H1487" s="950">
        <v>0</v>
      </c>
      <c r="I1487" s="951">
        <f>PUCFD!E1330</f>
        <v>0.01</v>
      </c>
    </row>
    <row r="1488" spans="1:9" ht="15" customHeight="1" x14ac:dyDescent="0.25">
      <c r="A1488" s="958"/>
      <c r="B1488" s="962" t="s">
        <v>3138</v>
      </c>
      <c r="C1488" s="959">
        <v>18</v>
      </c>
      <c r="D1488" s="962" t="s">
        <v>4544</v>
      </c>
      <c r="E1488" s="954"/>
      <c r="F1488" s="960"/>
      <c r="G1488" s="958"/>
      <c r="H1488" s="958"/>
      <c r="I1488" s="961">
        <f>I1489</f>
        <v>185859.64634463619</v>
      </c>
    </row>
    <row r="1489" spans="1:9" ht="15" customHeight="1" x14ac:dyDescent="0.25">
      <c r="A1489" s="958"/>
      <c r="B1489" s="962" t="s">
        <v>3139</v>
      </c>
      <c r="C1489" s="959">
        <v>541</v>
      </c>
      <c r="D1489" s="962" t="s">
        <v>4545</v>
      </c>
      <c r="E1489" s="954"/>
      <c r="F1489" s="960"/>
      <c r="G1489" s="958"/>
      <c r="H1489" s="958"/>
      <c r="I1489" s="961">
        <f>I1490</f>
        <v>185859.64634463619</v>
      </c>
    </row>
    <row r="1490" spans="1:9" ht="15" customHeight="1" x14ac:dyDescent="0.25">
      <c r="A1490" s="958"/>
      <c r="B1490" s="962" t="s">
        <v>3137</v>
      </c>
      <c r="C1490" s="959">
        <v>11</v>
      </c>
      <c r="D1490" s="962" t="s">
        <v>4533</v>
      </c>
      <c r="E1490" s="954"/>
      <c r="F1490" s="960"/>
      <c r="G1490" s="958"/>
      <c r="H1490" s="958"/>
      <c r="I1490" s="961">
        <f>I1491</f>
        <v>185859.64634463619</v>
      </c>
    </row>
    <row r="1491" spans="1:9" s="946" customFormat="1" ht="24.95" customHeight="1" x14ac:dyDescent="0.25">
      <c r="B1491" s="963" t="s">
        <v>2965</v>
      </c>
      <c r="C1491" s="959">
        <v>11</v>
      </c>
      <c r="D1491" s="963" t="s">
        <v>4543</v>
      </c>
      <c r="E1491" s="954"/>
      <c r="F1491" s="960"/>
      <c r="G1491" s="963"/>
      <c r="H1491" s="956"/>
      <c r="I1491" s="957">
        <f>SUM(I1492,I1493,I1495,I1503,I1506,I1507,I1508,I1509,I1512,I1513,I1514,I1516,I1517,I1520,I1522,I1523,I1525,I1526,I1527,I1528,I1529)</f>
        <v>185859.64634463619</v>
      </c>
    </row>
    <row r="1492" spans="1:9" s="946" customFormat="1" ht="31.5" customHeight="1" x14ac:dyDescent="0.25">
      <c r="B1492" s="963">
        <v>51000</v>
      </c>
      <c r="C1492" s="964">
        <v>331900400000000</v>
      </c>
      <c r="D1492" s="963" t="s">
        <v>5916</v>
      </c>
      <c r="E1492" s="954">
        <v>0</v>
      </c>
      <c r="F1492" s="960">
        <v>1</v>
      </c>
      <c r="G1492" s="963">
        <v>0</v>
      </c>
      <c r="H1492" s="958">
        <v>0</v>
      </c>
      <c r="I1492" s="961">
        <f>(((PUCFD!E1333)*(1+PUCFD!E$87))*(1+PUCFD!E$94))</f>
        <v>1.1711568121643605E-2</v>
      </c>
    </row>
    <row r="1493" spans="1:9" s="946" customFormat="1" ht="30.75" customHeight="1" x14ac:dyDescent="0.25">
      <c r="A1493" s="958"/>
      <c r="B1493" s="963">
        <v>51050</v>
      </c>
      <c r="C1493" s="964">
        <v>331900800000000</v>
      </c>
      <c r="D1493" s="963" t="s">
        <v>5917</v>
      </c>
      <c r="E1493" s="954"/>
      <c r="F1493" s="960">
        <v>1</v>
      </c>
      <c r="G1493" s="960">
        <v>0</v>
      </c>
      <c r="H1493" s="955"/>
      <c r="I1493" s="961">
        <f>SUM(I1494)</f>
        <v>5078.6260886418504</v>
      </c>
    </row>
    <row r="1494" spans="1:9" ht="24.95" customHeight="1" x14ac:dyDescent="0.25">
      <c r="A1494" s="972"/>
      <c r="B1494" s="973" t="s">
        <v>4607</v>
      </c>
      <c r="C1494" s="991">
        <v>319008990400000</v>
      </c>
      <c r="D1494" s="973" t="s">
        <v>4234</v>
      </c>
      <c r="E1494" s="948">
        <v>312940100000000</v>
      </c>
      <c r="F1494" s="975">
        <v>1</v>
      </c>
      <c r="G1494" s="975">
        <v>0</v>
      </c>
      <c r="H1494" s="949"/>
      <c r="I1494" s="976">
        <f>SUM(I1496,I1498,I1500,I1506)*PUCFD!E$94</f>
        <v>5078.6260886418504</v>
      </c>
    </row>
    <row r="1495" spans="1:9" s="946" customFormat="1" ht="37.5" customHeight="1" x14ac:dyDescent="0.25">
      <c r="B1495" s="963">
        <v>51030</v>
      </c>
      <c r="C1495" s="964">
        <v>331901100000000</v>
      </c>
      <c r="D1495" s="963" t="s">
        <v>5918</v>
      </c>
      <c r="E1495" s="954">
        <v>0</v>
      </c>
      <c r="F1495" s="960">
        <v>1</v>
      </c>
      <c r="G1495" s="963">
        <v>0</v>
      </c>
      <c r="H1495" s="958">
        <v>0</v>
      </c>
      <c r="I1495" s="961">
        <f>SUM(I1496,I1497,I1498,I1499,I1500,I1501,I1502)</f>
        <v>128908.71004823643</v>
      </c>
    </row>
    <row r="1496" spans="1:9" ht="24.95" customHeight="1" x14ac:dyDescent="0.25">
      <c r="B1496" s="973" t="s">
        <v>4546</v>
      </c>
      <c r="C1496" s="974">
        <v>331901143010000</v>
      </c>
      <c r="D1496" s="973" t="s">
        <v>4547</v>
      </c>
      <c r="E1496" s="948">
        <v>0</v>
      </c>
      <c r="F1496" s="975">
        <v>1</v>
      </c>
      <c r="G1496" s="973">
        <v>0</v>
      </c>
      <c r="H1496" s="972">
        <v>0</v>
      </c>
      <c r="I1496" s="976">
        <f>(((PUCFD!E1335)*(1+PUCFD!E$87)))*(1+PUCFD!E$87)</f>
        <v>3220.1620670257316</v>
      </c>
    </row>
    <row r="1497" spans="1:9" ht="24.95" customHeight="1" x14ac:dyDescent="0.25">
      <c r="B1497" s="973" t="s">
        <v>4548</v>
      </c>
      <c r="C1497" s="974">
        <v>331901101040000</v>
      </c>
      <c r="D1497" s="973" t="s">
        <v>4549</v>
      </c>
      <c r="E1497" s="948">
        <v>0</v>
      </c>
      <c r="F1497" s="975">
        <v>1</v>
      </c>
      <c r="G1497" s="973">
        <v>0</v>
      </c>
      <c r="H1497" s="972">
        <v>0</v>
      </c>
      <c r="I1497" s="976">
        <f>(((PUCFD!E1336)*(1+PUCFD!E$87)))*(1+PUCFD!E$87)</f>
        <v>75443.796998888574</v>
      </c>
    </row>
    <row r="1498" spans="1:9" ht="24.95" customHeight="1" x14ac:dyDescent="0.25">
      <c r="B1498" s="973" t="s">
        <v>4550</v>
      </c>
      <c r="C1498" s="974">
        <v>331901137000000</v>
      </c>
      <c r="D1498" s="973" t="s">
        <v>3411</v>
      </c>
      <c r="E1498" s="948">
        <v>0</v>
      </c>
      <c r="F1498" s="975">
        <v>1</v>
      </c>
      <c r="G1498" s="973">
        <v>0</v>
      </c>
      <c r="H1498" s="972">
        <v>0</v>
      </c>
      <c r="I1498" s="976">
        <f>(((PUCFD!E1337)*(1+PUCFD!E$87)))*(1+PUCFD!E$87)</f>
        <v>2146.7747113504879</v>
      </c>
    </row>
    <row r="1499" spans="1:9" ht="24.95" customHeight="1" x14ac:dyDescent="0.25">
      <c r="B1499" s="973" t="s">
        <v>4551</v>
      </c>
      <c r="C1499" s="974">
        <v>331901145000000</v>
      </c>
      <c r="D1499" s="973" t="s">
        <v>4552</v>
      </c>
      <c r="E1499" s="948">
        <v>0</v>
      </c>
      <c r="F1499" s="975">
        <v>1</v>
      </c>
      <c r="G1499" s="973">
        <v>0</v>
      </c>
      <c r="H1499" s="972">
        <v>0</v>
      </c>
      <c r="I1499" s="976">
        <f>(((PUCFD!E1338)*(1+PUCFD!E$87)))*(1+PUCFD!E$87)</f>
        <v>2095.6610277469049</v>
      </c>
    </row>
    <row r="1500" spans="1:9" ht="24.95" customHeight="1" x14ac:dyDescent="0.25">
      <c r="B1500" s="973" t="s">
        <v>4553</v>
      </c>
      <c r="C1500" s="974">
        <v>331901101010000</v>
      </c>
      <c r="D1500" s="973" t="s">
        <v>4554</v>
      </c>
      <c r="E1500" s="948">
        <v>0</v>
      </c>
      <c r="F1500" s="975">
        <v>1</v>
      </c>
      <c r="G1500" s="973">
        <v>0</v>
      </c>
      <c r="H1500" s="972">
        <v>0</v>
      </c>
      <c r="I1500" s="976">
        <f>(((PUCFD!E1339)*(1+PUCFD!E$87)))*(1+PUCFD!E$87)</f>
        <v>38641.94480430879</v>
      </c>
    </row>
    <row r="1501" spans="1:9" ht="24.95" customHeight="1" x14ac:dyDescent="0.25">
      <c r="B1501" s="973" t="s">
        <v>4555</v>
      </c>
      <c r="C1501" s="974">
        <v>331901143020000</v>
      </c>
      <c r="D1501" s="973" t="s">
        <v>4556</v>
      </c>
      <c r="E1501" s="948">
        <v>0</v>
      </c>
      <c r="F1501" s="975">
        <v>1</v>
      </c>
      <c r="G1501" s="973">
        <v>0</v>
      </c>
      <c r="H1501" s="972">
        <v>0</v>
      </c>
      <c r="I1501" s="976">
        <f>(((PUCFD!E1340)*(1+PUCFD!E$87)))*(1+PUCFD!E$87)</f>
        <v>6286.9830832407133</v>
      </c>
    </row>
    <row r="1502" spans="1:9" ht="24.95" customHeight="1" x14ac:dyDescent="0.25">
      <c r="B1502" s="973" t="s">
        <v>4551</v>
      </c>
      <c r="C1502" s="974">
        <v>331901145000000</v>
      </c>
      <c r="D1502" s="973" t="s">
        <v>4593</v>
      </c>
      <c r="E1502" s="948">
        <v>0</v>
      </c>
      <c r="F1502" s="975">
        <v>1</v>
      </c>
      <c r="G1502" s="973">
        <v>0</v>
      </c>
      <c r="H1502" s="972">
        <v>0</v>
      </c>
      <c r="I1502" s="976">
        <f>(((PUCFD!E1341)*(1+PUCFD!E$87)))*(1+PUCFD!E$87)</f>
        <v>1073.387355675244</v>
      </c>
    </row>
    <row r="1503" spans="1:9" s="946" customFormat="1" ht="36" customHeight="1" x14ac:dyDescent="0.25">
      <c r="B1503" s="963">
        <v>51060</v>
      </c>
      <c r="C1503" s="964">
        <v>331901300000000</v>
      </c>
      <c r="D1503" s="963" t="s">
        <v>5919</v>
      </c>
      <c r="E1503" s="954">
        <v>0</v>
      </c>
      <c r="F1503" s="960">
        <v>1</v>
      </c>
      <c r="G1503" s="963">
        <v>0</v>
      </c>
      <c r="H1503" s="958">
        <v>0</v>
      </c>
      <c r="I1503" s="961">
        <f>SUM(I1504,I1505)</f>
        <v>27070.835410129654</v>
      </c>
    </row>
    <row r="1504" spans="1:9" ht="24.95" customHeight="1" x14ac:dyDescent="0.25">
      <c r="B1504" s="973" t="s">
        <v>4557</v>
      </c>
      <c r="C1504" s="974">
        <v>331901302010000</v>
      </c>
      <c r="D1504" s="973" t="s">
        <v>3672</v>
      </c>
      <c r="E1504" s="948">
        <v>0</v>
      </c>
      <c r="F1504" s="975">
        <v>1</v>
      </c>
      <c r="G1504" s="973">
        <v>0</v>
      </c>
      <c r="H1504" s="972">
        <v>0</v>
      </c>
      <c r="I1504" s="976">
        <f>SUM(I1496,I1498,I1500,I1502,I1506,I1507,I1508)*PUCFD!E$92</f>
        <v>9467.2827770556542</v>
      </c>
    </row>
    <row r="1505" spans="1:9" ht="24.95" customHeight="1" x14ac:dyDescent="0.25">
      <c r="B1505" s="973" t="s">
        <v>4558</v>
      </c>
      <c r="C1505" s="974">
        <v>331901302010000</v>
      </c>
      <c r="D1505" s="973" t="s">
        <v>3674</v>
      </c>
      <c r="E1505" s="948">
        <v>0</v>
      </c>
      <c r="F1505" s="975">
        <v>1</v>
      </c>
      <c r="G1505" s="973">
        <v>0</v>
      </c>
      <c r="H1505" s="972">
        <v>0</v>
      </c>
      <c r="I1505" s="976">
        <f>SUM(I1497,I1499,I1501)*PUCFD!E$92</f>
        <v>17603.552633073999</v>
      </c>
    </row>
    <row r="1506" spans="1:9" s="946" customFormat="1" ht="24.95" customHeight="1" x14ac:dyDescent="0.25">
      <c r="B1506" s="963">
        <v>51100</v>
      </c>
      <c r="C1506" s="964">
        <v>331901600000000</v>
      </c>
      <c r="D1506" s="963" t="s">
        <v>5920</v>
      </c>
      <c r="E1506" s="954">
        <v>0</v>
      </c>
      <c r="F1506" s="960">
        <v>1</v>
      </c>
      <c r="G1506" s="963">
        <v>0</v>
      </c>
      <c r="H1506" s="958">
        <v>0</v>
      </c>
      <c r="I1506" s="961">
        <f>PUCFD!E1345</f>
        <v>0.01</v>
      </c>
    </row>
    <row r="1507" spans="1:9" s="946" customFormat="1" ht="38.25" customHeight="1" x14ac:dyDescent="0.25">
      <c r="B1507" s="963">
        <v>51120</v>
      </c>
      <c r="C1507" s="964">
        <v>331903400000000</v>
      </c>
      <c r="D1507" s="963" t="s">
        <v>5921</v>
      </c>
      <c r="E1507" s="954">
        <v>0</v>
      </c>
      <c r="F1507" s="960">
        <v>1</v>
      </c>
      <c r="G1507" s="963">
        <v>0</v>
      </c>
      <c r="H1507" s="958">
        <v>0</v>
      </c>
      <c r="I1507" s="961">
        <f>PUCFD!E1346</f>
        <v>0.01</v>
      </c>
    </row>
    <row r="1508" spans="1:9" s="946" customFormat="1" ht="24.95" customHeight="1" x14ac:dyDescent="0.25">
      <c r="B1508" s="963">
        <v>51130</v>
      </c>
      <c r="C1508" s="964">
        <v>331909400000000</v>
      </c>
      <c r="D1508" s="963" t="s">
        <v>5922</v>
      </c>
      <c r="E1508" s="954">
        <v>0</v>
      </c>
      <c r="F1508" s="960">
        <v>1</v>
      </c>
      <c r="G1508" s="963">
        <v>0</v>
      </c>
      <c r="H1508" s="958">
        <v>0</v>
      </c>
      <c r="I1508" s="961">
        <f>PUCFD!E1347</f>
        <v>0.01</v>
      </c>
    </row>
    <row r="1509" spans="1:9" s="946" customFormat="1" ht="24.95" customHeight="1" x14ac:dyDescent="0.25">
      <c r="B1509" s="963">
        <v>51150</v>
      </c>
      <c r="C1509" s="964">
        <v>333901400000000</v>
      </c>
      <c r="D1509" s="963" t="s">
        <v>5935</v>
      </c>
      <c r="E1509" s="954">
        <v>0</v>
      </c>
      <c r="F1509" s="960">
        <v>1</v>
      </c>
      <c r="G1509" s="963">
        <v>0</v>
      </c>
      <c r="H1509" s="958">
        <v>0</v>
      </c>
      <c r="I1509" s="961">
        <f>SUM(I1510,I1511)</f>
        <v>2099.976353172603</v>
      </c>
    </row>
    <row r="1510" spans="1:9" ht="24.95" customHeight="1" x14ac:dyDescent="0.25">
      <c r="B1510" s="973" t="s">
        <v>4559</v>
      </c>
      <c r="C1510" s="974">
        <v>333901414020000</v>
      </c>
      <c r="D1510" s="973" t="s">
        <v>4560</v>
      </c>
      <c r="E1510" s="948">
        <v>0</v>
      </c>
      <c r="F1510" s="975">
        <v>1</v>
      </c>
      <c r="G1510" s="973">
        <v>0</v>
      </c>
      <c r="H1510" s="972">
        <v>0</v>
      </c>
      <c r="I1510" s="976">
        <f>(((PUCFD!E1349)*(1+PUCFD!E$87)))</f>
        <v>1049.9881765863015</v>
      </c>
    </row>
    <row r="1511" spans="1:9" ht="24.95" customHeight="1" x14ac:dyDescent="0.25">
      <c r="B1511" s="973" t="s">
        <v>4561</v>
      </c>
      <c r="C1511" s="974">
        <v>333901414030000</v>
      </c>
      <c r="D1511" s="973" t="s">
        <v>3000</v>
      </c>
      <c r="E1511" s="948">
        <v>0</v>
      </c>
      <c r="F1511" s="975">
        <v>1</v>
      </c>
      <c r="G1511" s="973">
        <v>0</v>
      </c>
      <c r="H1511" s="972">
        <v>0</v>
      </c>
      <c r="I1511" s="976">
        <f>(((PUCFD!E1350)*(1+PUCFD!E$87)))</f>
        <v>1049.9881765863015</v>
      </c>
    </row>
    <row r="1512" spans="1:9" s="996" customFormat="1" ht="24.95" customHeight="1" x14ac:dyDescent="0.25">
      <c r="B1512" s="993">
        <v>51170</v>
      </c>
      <c r="C1512" s="994">
        <v>333903000000000</v>
      </c>
      <c r="D1512" s="993" t="s">
        <v>5936</v>
      </c>
      <c r="E1512" s="984">
        <v>0</v>
      </c>
      <c r="F1512" s="985">
        <v>1</v>
      </c>
      <c r="G1512" s="993">
        <v>0</v>
      </c>
      <c r="H1512" s="981">
        <v>0</v>
      </c>
      <c r="I1512" s="986">
        <f>(((PUCFD!E1351)*(1+PUCFD!E$10))*(1+PUCFD!E$16))</f>
        <v>1646.01045</v>
      </c>
    </row>
    <row r="1513" spans="1:9" s="946" customFormat="1" ht="36" customHeight="1" x14ac:dyDescent="0.25">
      <c r="B1513" s="963">
        <v>51190</v>
      </c>
      <c r="C1513" s="964">
        <v>333903200000000</v>
      </c>
      <c r="D1513" s="963" t="s">
        <v>5937</v>
      </c>
      <c r="E1513" s="954">
        <v>0</v>
      </c>
      <c r="F1513" s="960">
        <v>1</v>
      </c>
      <c r="G1513" s="963">
        <v>0</v>
      </c>
      <c r="H1513" s="958">
        <v>0</v>
      </c>
      <c r="I1513" s="961">
        <f>(((PUCFD!E1352)*(1+PUCFD!E$10))*(1+PUCFD!E$16))</f>
        <v>2194.6806000000001</v>
      </c>
    </row>
    <row r="1514" spans="1:9" s="946" customFormat="1" ht="24.95" customHeight="1" x14ac:dyDescent="0.25">
      <c r="B1514" s="963">
        <v>51200</v>
      </c>
      <c r="C1514" s="964">
        <v>333903300000000</v>
      </c>
      <c r="D1514" s="963" t="s">
        <v>5923</v>
      </c>
      <c r="E1514" s="954">
        <v>0</v>
      </c>
      <c r="F1514" s="960">
        <v>1</v>
      </c>
      <c r="G1514" s="963">
        <v>0</v>
      </c>
      <c r="H1514" s="958">
        <v>0</v>
      </c>
      <c r="I1514" s="961">
        <f>I1515</f>
        <v>329.20209</v>
      </c>
    </row>
    <row r="1515" spans="1:9" ht="24.95" customHeight="1" x14ac:dyDescent="0.25">
      <c r="B1515" s="973" t="s">
        <v>4562</v>
      </c>
      <c r="C1515" s="974">
        <v>333903301000000</v>
      </c>
      <c r="D1515" s="973" t="s">
        <v>4563</v>
      </c>
      <c r="E1515" s="948">
        <v>0</v>
      </c>
      <c r="F1515" s="975">
        <v>1</v>
      </c>
      <c r="G1515" s="973">
        <v>0</v>
      </c>
      <c r="H1515" s="972">
        <v>0</v>
      </c>
      <c r="I1515" s="976">
        <f>(((PUCFD!E1354)*(1+PUCFD!E$10))*(1+PUCFD!E$16))</f>
        <v>329.20209</v>
      </c>
    </row>
    <row r="1516" spans="1:9" s="946" customFormat="1" ht="24.95" customHeight="1" x14ac:dyDescent="0.25">
      <c r="B1516" s="963">
        <v>51220</v>
      </c>
      <c r="C1516" s="964">
        <v>333903600000000</v>
      </c>
      <c r="D1516" s="963" t="s">
        <v>5938</v>
      </c>
      <c r="E1516" s="954">
        <v>0</v>
      </c>
      <c r="F1516" s="960">
        <v>1</v>
      </c>
      <c r="G1516" s="963">
        <v>0</v>
      </c>
      <c r="H1516" s="958">
        <v>0</v>
      </c>
      <c r="I1516" s="961">
        <f>(((PUCFD!E1366)*(1+PUCFD!E$10))*(1+PUCFD!E$16))</f>
        <v>1.0973403E-2</v>
      </c>
    </row>
    <row r="1517" spans="1:9" s="946" customFormat="1" ht="24.95" customHeight="1" x14ac:dyDescent="0.25">
      <c r="B1517" s="963">
        <v>51250</v>
      </c>
      <c r="C1517" s="964">
        <v>333903900000000</v>
      </c>
      <c r="D1517" s="963" t="s">
        <v>5939</v>
      </c>
      <c r="E1517" s="954">
        <v>0</v>
      </c>
      <c r="F1517" s="960">
        <v>1</v>
      </c>
      <c r="G1517" s="963">
        <v>0</v>
      </c>
      <c r="H1517" s="958">
        <v>0</v>
      </c>
      <c r="I1517" s="961">
        <f>SUM(I1518,I1519)</f>
        <v>7681.3820999999998</v>
      </c>
    </row>
    <row r="1518" spans="1:9" ht="24.95" customHeight="1" x14ac:dyDescent="0.25">
      <c r="B1518" s="973" t="s">
        <v>4566</v>
      </c>
      <c r="C1518" s="974">
        <v>333903999040000</v>
      </c>
      <c r="D1518" s="973" t="s">
        <v>3211</v>
      </c>
      <c r="E1518" s="948">
        <v>0</v>
      </c>
      <c r="F1518" s="975">
        <v>1</v>
      </c>
      <c r="G1518" s="973">
        <v>0</v>
      </c>
      <c r="H1518" s="972">
        <v>0</v>
      </c>
      <c r="I1518" s="976">
        <f>(((PUCFD!E1357)*(1+PUCFD!E$10))*(1+PUCFD!E$16))</f>
        <v>6584.0418</v>
      </c>
    </row>
    <row r="1519" spans="1:9" ht="24.95" customHeight="1" x14ac:dyDescent="0.25">
      <c r="B1519" s="973" t="s">
        <v>4567</v>
      </c>
      <c r="C1519" s="974">
        <v>333903948000000</v>
      </c>
      <c r="D1519" s="973" t="s">
        <v>4568</v>
      </c>
      <c r="E1519" s="948">
        <v>0</v>
      </c>
      <c r="F1519" s="975">
        <v>1</v>
      </c>
      <c r="G1519" s="973">
        <v>0</v>
      </c>
      <c r="H1519" s="972">
        <v>0</v>
      </c>
      <c r="I1519" s="976">
        <f>(((PUCFD!E1358)*(1+PUCFD!E$10))*(1+PUCFD!E$16))</f>
        <v>1097.3403000000001</v>
      </c>
    </row>
    <row r="1520" spans="1:9" s="955" customFormat="1" ht="24.95" customHeight="1" x14ac:dyDescent="0.25">
      <c r="A1520" s="960"/>
      <c r="B1520" s="960">
        <v>51270</v>
      </c>
      <c r="C1520" s="1008">
        <v>333904600000000</v>
      </c>
      <c r="D1520" s="962" t="s">
        <v>5940</v>
      </c>
      <c r="E1520" s="1008"/>
      <c r="F1520" s="975">
        <v>1</v>
      </c>
      <c r="G1520" s="975">
        <v>0</v>
      </c>
      <c r="H1520" s="972">
        <v>0</v>
      </c>
      <c r="I1520" s="961">
        <f>SUM(I1521)</f>
        <v>7681.3820999999989</v>
      </c>
    </row>
    <row r="1521" spans="1:9" s="955" customFormat="1" ht="24.95" customHeight="1" x14ac:dyDescent="0.25">
      <c r="B1521" s="975" t="s">
        <v>4594</v>
      </c>
      <c r="C1521" s="991">
        <v>3339046010000</v>
      </c>
      <c r="D1521" s="1009" t="s">
        <v>5905</v>
      </c>
      <c r="E1521" s="948">
        <v>313110100000000</v>
      </c>
      <c r="F1521" s="975">
        <v>1</v>
      </c>
      <c r="G1521" s="975">
        <v>0</v>
      </c>
      <c r="H1521" s="972">
        <v>0</v>
      </c>
      <c r="I1521" s="976">
        <f>(((PUCFD!E1359)*(1+PUCFD!E$10))*(1+PUCFD!E$16))</f>
        <v>7681.3820999999989</v>
      </c>
    </row>
    <row r="1522" spans="1:9" s="946" customFormat="1" ht="24.95" customHeight="1" x14ac:dyDescent="0.25">
      <c r="B1522" s="963">
        <v>51280</v>
      </c>
      <c r="C1522" s="964">
        <v>333904700000000</v>
      </c>
      <c r="D1522" s="963" t="s">
        <v>5941</v>
      </c>
      <c r="E1522" s="954">
        <v>0</v>
      </c>
      <c r="F1522" s="960">
        <v>1</v>
      </c>
      <c r="G1522" s="963">
        <v>0</v>
      </c>
      <c r="H1522" s="958">
        <v>0</v>
      </c>
      <c r="I1522" s="961">
        <f>(((PUCFD!E1360)*(1+PUCFD!E$10))*(1+PUCFD!E$16))</f>
        <v>2194.6806000000001</v>
      </c>
    </row>
    <row r="1523" spans="1:9" s="946" customFormat="1" ht="24.95" customHeight="1" x14ac:dyDescent="0.25">
      <c r="B1523" s="963">
        <v>51290</v>
      </c>
      <c r="C1523" s="964">
        <v>333904900000000</v>
      </c>
      <c r="D1523" s="963" t="s">
        <v>5942</v>
      </c>
      <c r="E1523" s="954">
        <v>0</v>
      </c>
      <c r="F1523" s="960">
        <v>1</v>
      </c>
      <c r="G1523" s="963">
        <v>0</v>
      </c>
      <c r="H1523" s="958">
        <v>0</v>
      </c>
      <c r="I1523" s="961">
        <f>I1524</f>
        <v>644.86073853224286</v>
      </c>
    </row>
    <row r="1524" spans="1:9" ht="24.95" customHeight="1" x14ac:dyDescent="0.25">
      <c r="B1524" s="973" t="s">
        <v>4569</v>
      </c>
      <c r="C1524" s="974">
        <v>333904901000000</v>
      </c>
      <c r="D1524" s="973" t="s">
        <v>3741</v>
      </c>
      <c r="E1524" s="948">
        <v>0</v>
      </c>
      <c r="F1524" s="975">
        <v>1</v>
      </c>
      <c r="G1524" s="973">
        <v>0</v>
      </c>
      <c r="H1524" s="972">
        <v>0</v>
      </c>
      <c r="I1524" s="976">
        <f>(((PUCFD!E1362)*(1+PUCFD!E$87)))</f>
        <v>644.86073853224286</v>
      </c>
    </row>
    <row r="1525" spans="1:9" s="946" customFormat="1" ht="35.25" customHeight="1" x14ac:dyDescent="0.25">
      <c r="B1525" s="963">
        <v>51300</v>
      </c>
      <c r="C1525" s="964">
        <v>333909200000000</v>
      </c>
      <c r="D1525" s="963" t="s">
        <v>5943</v>
      </c>
      <c r="E1525" s="954">
        <v>0</v>
      </c>
      <c r="F1525" s="960">
        <v>1</v>
      </c>
      <c r="G1525" s="963">
        <v>0</v>
      </c>
      <c r="H1525" s="958">
        <v>0</v>
      </c>
      <c r="I1525" s="961">
        <f>(((PUCFD!E1363)*(1+PUCFD!E$10))*(1+PUCFD!E$16))</f>
        <v>1.0973403E-2</v>
      </c>
    </row>
    <row r="1526" spans="1:9" s="946" customFormat="1" ht="24.95" customHeight="1" x14ac:dyDescent="0.25">
      <c r="B1526" s="963">
        <v>51310</v>
      </c>
      <c r="C1526" s="964">
        <v>333909300000000</v>
      </c>
      <c r="D1526" s="963" t="s">
        <v>5944</v>
      </c>
      <c r="E1526" s="954">
        <v>0</v>
      </c>
      <c r="F1526" s="960">
        <v>1</v>
      </c>
      <c r="G1526" s="963">
        <v>0</v>
      </c>
      <c r="H1526" s="958">
        <v>0</v>
      </c>
      <c r="I1526" s="961">
        <f>(((PUCFD!E1364)*(1+PUCFD!E$10))*(1+PUCFD!E$16))</f>
        <v>329.20209</v>
      </c>
    </row>
    <row r="1527" spans="1:9" s="946" customFormat="1" ht="30.75" customHeight="1" x14ac:dyDescent="0.25">
      <c r="B1527" s="963">
        <v>51320</v>
      </c>
      <c r="C1527" s="964">
        <v>333933000000000</v>
      </c>
      <c r="D1527" s="963" t="s">
        <v>5945</v>
      </c>
      <c r="E1527" s="954">
        <v>0</v>
      </c>
      <c r="F1527" s="960">
        <v>1</v>
      </c>
      <c r="G1527" s="963">
        <v>0</v>
      </c>
      <c r="H1527" s="958">
        <v>0</v>
      </c>
      <c r="I1527" s="961">
        <f>(((PUCFD!E1365)*(1+PUCFD!E$10))*(1+PUCFD!E$16))</f>
        <v>1.0973403E-2</v>
      </c>
    </row>
    <row r="1528" spans="1:9" s="946" customFormat="1" ht="24.95" customHeight="1" x14ac:dyDescent="0.25">
      <c r="B1528" s="963">
        <v>51350</v>
      </c>
      <c r="C1528" s="964">
        <v>344905100000000</v>
      </c>
      <c r="D1528" s="963" t="s">
        <v>5946</v>
      </c>
      <c r="E1528" s="954">
        <v>0</v>
      </c>
      <c r="F1528" s="960">
        <v>1</v>
      </c>
      <c r="G1528" s="963">
        <v>0</v>
      </c>
      <c r="H1528" s="958">
        <v>0</v>
      </c>
      <c r="I1528" s="961">
        <f>(((PUCFD!E1366)*(1+PUCFD!E$10))*(1+PUCFD!E$16))</f>
        <v>1.0973403E-2</v>
      </c>
    </row>
    <row r="1529" spans="1:9" s="946" customFormat="1" ht="24.95" customHeight="1" x14ac:dyDescent="0.25">
      <c r="B1529" s="963">
        <v>51370</v>
      </c>
      <c r="C1529" s="964">
        <v>344905200000000</v>
      </c>
      <c r="D1529" s="963" t="s">
        <v>5947</v>
      </c>
      <c r="E1529" s="954">
        <v>0</v>
      </c>
      <c r="F1529" s="960">
        <v>1</v>
      </c>
      <c r="G1529" s="963">
        <v>0</v>
      </c>
      <c r="H1529" s="958">
        <v>0</v>
      </c>
      <c r="I1529" s="961">
        <f>(((PUCFD!E1367)*(1+PUCFD!E$10))*(1+PUCFD!E$16))</f>
        <v>1.2070743299999999E-2</v>
      </c>
    </row>
    <row r="1530" spans="1:9" ht="15" customHeight="1" x14ac:dyDescent="0.25">
      <c r="A1530" s="958"/>
      <c r="B1530" s="962" t="s">
        <v>3138</v>
      </c>
      <c r="C1530" s="959">
        <v>17</v>
      </c>
      <c r="D1530" s="962" t="s">
        <v>4531</v>
      </c>
      <c r="E1530" s="954"/>
      <c r="F1530" s="960"/>
      <c r="G1530" s="958"/>
      <c r="H1530" s="958"/>
      <c r="I1530" s="961">
        <f>I1531</f>
        <v>5.3893612E-2</v>
      </c>
    </row>
    <row r="1531" spans="1:9" ht="15" customHeight="1" x14ac:dyDescent="0.25">
      <c r="A1531" s="958"/>
      <c r="B1531" s="962" t="s">
        <v>3139</v>
      </c>
      <c r="C1531" s="959">
        <v>126</v>
      </c>
      <c r="D1531" s="962" t="s">
        <v>3600</v>
      </c>
      <c r="E1531" s="954"/>
      <c r="F1531" s="960"/>
      <c r="G1531" s="958"/>
      <c r="H1531" s="958"/>
      <c r="I1531" s="961">
        <f>I1532</f>
        <v>5.3893612E-2</v>
      </c>
    </row>
    <row r="1532" spans="1:9" ht="15" customHeight="1" x14ac:dyDescent="0.25">
      <c r="A1532" s="958"/>
      <c r="B1532" s="962" t="s">
        <v>3137</v>
      </c>
      <c r="C1532" s="959">
        <v>11</v>
      </c>
      <c r="D1532" s="962" t="s">
        <v>4533</v>
      </c>
      <c r="E1532" s="954"/>
      <c r="F1532" s="960"/>
      <c r="G1532" s="958"/>
      <c r="H1532" s="958"/>
      <c r="I1532" s="961">
        <f>I1533</f>
        <v>5.3893612E-2</v>
      </c>
    </row>
    <row r="1533" spans="1:9" s="946" customFormat="1" ht="24.95" customHeight="1" x14ac:dyDescent="0.25">
      <c r="B1533" s="963" t="s">
        <v>2965</v>
      </c>
      <c r="C1533" s="959">
        <v>34</v>
      </c>
      <c r="D1533" s="963" t="s">
        <v>4574</v>
      </c>
      <c r="E1533" s="954"/>
      <c r="F1533" s="960"/>
      <c r="G1533" s="963"/>
      <c r="H1533" s="956"/>
      <c r="I1533" s="957">
        <f>I1534</f>
        <v>5.3893612E-2</v>
      </c>
    </row>
    <row r="1534" spans="1:9" s="946" customFormat="1" ht="33.75" customHeight="1" x14ac:dyDescent="0.25">
      <c r="B1534" s="963">
        <v>51380</v>
      </c>
      <c r="C1534" s="964">
        <v>333904000000000</v>
      </c>
      <c r="D1534" s="963" t="s">
        <v>5975</v>
      </c>
      <c r="E1534" s="954"/>
      <c r="F1534" s="960">
        <v>1</v>
      </c>
      <c r="G1534" s="963">
        <v>0</v>
      </c>
      <c r="H1534" s="950"/>
      <c r="I1534" s="961">
        <f>SUM(I1535,I1536,I1537,I1538)+0.01</f>
        <v>5.3893612E-2</v>
      </c>
    </row>
    <row r="1535" spans="1:9" ht="25.5" customHeight="1" x14ac:dyDescent="0.25">
      <c r="A1535" s="972"/>
      <c r="B1535" s="973" t="s">
        <v>4585</v>
      </c>
      <c r="C1535" s="974">
        <v>333904006000000</v>
      </c>
      <c r="D1535" s="973" t="s">
        <v>3044</v>
      </c>
      <c r="E1535" s="948">
        <v>332311000000000</v>
      </c>
      <c r="F1535" s="975">
        <v>1</v>
      </c>
      <c r="G1535" s="973">
        <v>0</v>
      </c>
      <c r="H1535" s="972">
        <v>0</v>
      </c>
      <c r="I1535" s="976">
        <f>(((PUCFD!E1371)*(1+PUCFD!E$10))*(1+PUCFD!E$16))</f>
        <v>1.0973403E-2</v>
      </c>
    </row>
    <row r="1536" spans="1:9" ht="29.25" customHeight="1" x14ac:dyDescent="0.25">
      <c r="A1536" s="972"/>
      <c r="B1536" s="973" t="s">
        <v>4587</v>
      </c>
      <c r="C1536" s="974">
        <v>333904011000000</v>
      </c>
      <c r="D1536" s="973" t="s">
        <v>5924</v>
      </c>
      <c r="E1536" s="948">
        <v>332311100000000</v>
      </c>
      <c r="F1536" s="975">
        <v>1</v>
      </c>
      <c r="G1536" s="973">
        <v>0</v>
      </c>
      <c r="H1536" s="972">
        <v>0</v>
      </c>
      <c r="I1536" s="976">
        <f>(((PUCFD!E1372)*(1+PUCFD!E$10))*(1+PUCFD!E$16))</f>
        <v>1.0973403E-2</v>
      </c>
    </row>
    <row r="1537" spans="1:9" ht="29.25" customHeight="1" x14ac:dyDescent="0.25">
      <c r="A1537" s="972"/>
      <c r="B1537" s="973" t="s">
        <v>4586</v>
      </c>
      <c r="C1537" s="974">
        <v>333904012000000</v>
      </c>
      <c r="D1537" s="973" t="s">
        <v>5926</v>
      </c>
      <c r="E1537" s="948">
        <v>332311100000000</v>
      </c>
      <c r="F1537" s="975">
        <v>1</v>
      </c>
      <c r="G1537" s="973">
        <v>0</v>
      </c>
      <c r="H1537" s="972">
        <v>0</v>
      </c>
      <c r="I1537" s="976">
        <f>(((PUCFD!E1373)*(1+PUCFD!E$10))*(1+PUCFD!E$16))</f>
        <v>1.0973403E-2</v>
      </c>
    </row>
    <row r="1538" spans="1:9" ht="24.95" customHeight="1" x14ac:dyDescent="0.25">
      <c r="A1538" s="972"/>
      <c r="B1538" s="973" t="s">
        <v>4588</v>
      </c>
      <c r="C1538" s="974">
        <v>333904099000000</v>
      </c>
      <c r="D1538" s="973" t="s">
        <v>5928</v>
      </c>
      <c r="E1538" s="948">
        <v>332311100000000</v>
      </c>
      <c r="F1538" s="975">
        <v>1</v>
      </c>
      <c r="G1538" s="973">
        <v>0</v>
      </c>
      <c r="H1538" s="972">
        <v>0</v>
      </c>
      <c r="I1538" s="976">
        <f>(((PUCFD!E1374)*(1+PUCFD!E$10))*(1+PUCFD!E$16))</f>
        <v>1.0973403E-2</v>
      </c>
    </row>
    <row r="1539" spans="1:9" ht="15" customHeight="1" x14ac:dyDescent="0.25">
      <c r="A1539" s="958"/>
      <c r="B1539" s="962" t="s">
        <v>3138</v>
      </c>
      <c r="C1539" s="959">
        <v>17</v>
      </c>
      <c r="D1539" s="962" t="s">
        <v>4531</v>
      </c>
      <c r="E1539" s="954"/>
      <c r="F1539" s="960"/>
      <c r="G1539" s="958"/>
      <c r="H1539" s="958"/>
      <c r="I1539" s="961">
        <f>I1540</f>
        <v>9876.1065936119976</v>
      </c>
    </row>
    <row r="1540" spans="1:9" ht="15" customHeight="1" x14ac:dyDescent="0.25">
      <c r="A1540" s="958"/>
      <c r="B1540" s="962" t="s">
        <v>3139</v>
      </c>
      <c r="C1540" s="959">
        <v>511</v>
      </c>
      <c r="D1540" s="962" t="s">
        <v>4532</v>
      </c>
      <c r="E1540" s="954"/>
      <c r="F1540" s="960"/>
      <c r="G1540" s="958"/>
      <c r="H1540" s="958"/>
      <c r="I1540" s="961">
        <f>I1541</f>
        <v>9876.1065936119976</v>
      </c>
    </row>
    <row r="1541" spans="1:9" ht="15" customHeight="1" x14ac:dyDescent="0.25">
      <c r="A1541" s="958"/>
      <c r="B1541" s="962" t="s">
        <v>3137</v>
      </c>
      <c r="C1541" s="959">
        <v>11</v>
      </c>
      <c r="D1541" s="962" t="s">
        <v>4533</v>
      </c>
      <c r="E1541" s="954"/>
      <c r="F1541" s="960"/>
      <c r="G1541" s="958"/>
      <c r="H1541" s="958"/>
      <c r="I1541" s="961">
        <f>I1542</f>
        <v>9876.1065936119976</v>
      </c>
    </row>
    <row r="1542" spans="1:9" s="946" customFormat="1" ht="24.95" customHeight="1" x14ac:dyDescent="0.25">
      <c r="B1542" s="963" t="s">
        <v>2965</v>
      </c>
      <c r="C1542" s="959">
        <v>34</v>
      </c>
      <c r="D1542" s="963" t="s">
        <v>4574</v>
      </c>
      <c r="E1542" s="954"/>
      <c r="F1542" s="960"/>
      <c r="G1542" s="963"/>
      <c r="H1542" s="956"/>
      <c r="I1542" s="957">
        <f>SUM(I1543,I1545,I1546,I1550,I1551,I1553)</f>
        <v>9876.1065936119976</v>
      </c>
    </row>
    <row r="1543" spans="1:9" s="946" customFormat="1" ht="24.95" customHeight="1" x14ac:dyDescent="0.25">
      <c r="B1543" s="963">
        <v>52000</v>
      </c>
      <c r="C1543" s="964">
        <v>333903000000000</v>
      </c>
      <c r="D1543" s="963" t="s">
        <v>5953</v>
      </c>
      <c r="E1543" s="954">
        <v>0</v>
      </c>
      <c r="F1543" s="960">
        <v>1</v>
      </c>
      <c r="G1543" s="963">
        <v>0</v>
      </c>
      <c r="H1543" s="958">
        <v>0</v>
      </c>
      <c r="I1543" s="961">
        <f>SUM(I1544)</f>
        <v>1646.01045</v>
      </c>
    </row>
    <row r="1544" spans="1:9" ht="24.95" customHeight="1" x14ac:dyDescent="0.25">
      <c r="B1544" s="973" t="s">
        <v>4575</v>
      </c>
      <c r="C1544" s="974">
        <v>333903026000000</v>
      </c>
      <c r="D1544" s="973" t="s">
        <v>4576</v>
      </c>
      <c r="E1544" s="948">
        <v>0</v>
      </c>
      <c r="F1544" s="975">
        <v>1</v>
      </c>
      <c r="G1544" s="973">
        <v>0</v>
      </c>
      <c r="H1544" s="972">
        <v>0</v>
      </c>
      <c r="I1544" s="976">
        <f>(((PUCFD!E1378)*(1+PUCFD!E$10))*(1+PUCFD!E$16))</f>
        <v>1646.01045</v>
      </c>
    </row>
    <row r="1545" spans="1:9" s="946" customFormat="1" ht="24.95" customHeight="1" x14ac:dyDescent="0.25">
      <c r="B1545" s="963">
        <v>52050</v>
      </c>
      <c r="C1545" s="964">
        <v>333903600000000</v>
      </c>
      <c r="D1545" s="963" t="s">
        <v>5952</v>
      </c>
      <c r="E1545" s="954">
        <v>0</v>
      </c>
      <c r="F1545" s="960">
        <v>1</v>
      </c>
      <c r="G1545" s="963">
        <v>0</v>
      </c>
      <c r="H1545" s="958">
        <v>0</v>
      </c>
      <c r="I1545" s="961">
        <f>(((PUCFD!E1379)*(1+PUCFD!E$10))*(1+PUCFD!E$16))</f>
        <v>1.0973403E-2</v>
      </c>
    </row>
    <row r="1546" spans="1:9" s="946" customFormat="1" ht="24.95" customHeight="1" x14ac:dyDescent="0.25">
      <c r="B1546" s="963">
        <v>52100</v>
      </c>
      <c r="C1546" s="964">
        <v>333903900000000</v>
      </c>
      <c r="D1546" s="963" t="s">
        <v>5951</v>
      </c>
      <c r="E1546" s="954">
        <v>0</v>
      </c>
      <c r="F1546" s="960">
        <v>1</v>
      </c>
      <c r="G1546" s="963">
        <v>0</v>
      </c>
      <c r="H1546" s="958">
        <v>0</v>
      </c>
      <c r="I1546" s="961">
        <f>SUM(I1547,I1548,I1549)</f>
        <v>8230.0522500000006</v>
      </c>
    </row>
    <row r="1547" spans="1:9" ht="24.95" customHeight="1" x14ac:dyDescent="0.25">
      <c r="B1547" s="973" t="s">
        <v>4577</v>
      </c>
      <c r="C1547" s="974">
        <v>333903999040000</v>
      </c>
      <c r="D1547" s="973" t="s">
        <v>3321</v>
      </c>
      <c r="E1547" s="948">
        <v>0</v>
      </c>
      <c r="F1547" s="975">
        <v>1</v>
      </c>
      <c r="G1547" s="973">
        <v>0</v>
      </c>
      <c r="H1547" s="972">
        <v>0</v>
      </c>
      <c r="I1547" s="976">
        <f>(((PUCFD!E1381)*(1+PUCFD!E$10))*(1+PUCFD!E$16))</f>
        <v>3292.0209</v>
      </c>
    </row>
    <row r="1548" spans="1:9" ht="24.95" customHeight="1" x14ac:dyDescent="0.25">
      <c r="B1548" s="973" t="s">
        <v>4578</v>
      </c>
      <c r="C1548" s="974">
        <v>333903943000000</v>
      </c>
      <c r="D1548" s="973" t="s">
        <v>4579</v>
      </c>
      <c r="E1548" s="948">
        <v>0</v>
      </c>
      <c r="F1548" s="975">
        <v>1</v>
      </c>
      <c r="G1548" s="973">
        <v>0</v>
      </c>
      <c r="H1548" s="972">
        <v>0</v>
      </c>
      <c r="I1548" s="976">
        <f>(((PUCFD!E1382)*(1+PUCFD!E$10))*(1+PUCFD!E$16))</f>
        <v>1646.01045</v>
      </c>
    </row>
    <row r="1549" spans="1:9" ht="24.95" customHeight="1" x14ac:dyDescent="0.25">
      <c r="B1549" s="973" t="s">
        <v>4580</v>
      </c>
      <c r="C1549" s="974">
        <v>333903905000000</v>
      </c>
      <c r="D1549" s="973" t="s">
        <v>4581</v>
      </c>
      <c r="E1549" s="948">
        <v>0</v>
      </c>
      <c r="F1549" s="975">
        <v>1</v>
      </c>
      <c r="G1549" s="973">
        <v>0</v>
      </c>
      <c r="H1549" s="972">
        <v>0</v>
      </c>
      <c r="I1549" s="976">
        <f>(((PUCFD!E1383)*(1+PUCFD!E$10))*(1+PUCFD!E$16))</f>
        <v>3292.0209</v>
      </c>
    </row>
    <row r="1550" spans="1:9" s="946" customFormat="1" ht="24.95" customHeight="1" x14ac:dyDescent="0.25">
      <c r="B1550" s="963">
        <v>52130</v>
      </c>
      <c r="C1550" s="964">
        <v>333909200000000</v>
      </c>
      <c r="D1550" s="963" t="s">
        <v>5950</v>
      </c>
      <c r="E1550" s="954">
        <v>0</v>
      </c>
      <c r="F1550" s="960">
        <v>1</v>
      </c>
      <c r="G1550" s="963">
        <v>0</v>
      </c>
      <c r="H1550" s="958">
        <v>0</v>
      </c>
      <c r="I1550" s="961">
        <f>(((PUCFD!E1384)*(1+PUCFD!E$10))*(1+PUCFD!E$16))</f>
        <v>1.0973403E-2</v>
      </c>
    </row>
    <row r="1551" spans="1:9" s="946" customFormat="1" ht="24.95" customHeight="1" x14ac:dyDescent="0.25">
      <c r="B1551" s="963">
        <v>52140</v>
      </c>
      <c r="C1551" s="964">
        <v>344905100000000</v>
      </c>
      <c r="D1551" s="963" t="s">
        <v>5949</v>
      </c>
      <c r="E1551" s="954">
        <v>0</v>
      </c>
      <c r="F1551" s="960">
        <v>1</v>
      </c>
      <c r="G1551" s="963">
        <v>0</v>
      </c>
      <c r="H1551" s="958">
        <v>0</v>
      </c>
      <c r="I1551" s="961">
        <f>I1552</f>
        <v>1.0973403E-2</v>
      </c>
    </row>
    <row r="1552" spans="1:9" ht="24.95" customHeight="1" x14ac:dyDescent="0.25">
      <c r="B1552" s="973" t="s">
        <v>4582</v>
      </c>
      <c r="C1552" s="974">
        <v>344905199160000</v>
      </c>
      <c r="D1552" s="973" t="s">
        <v>4583</v>
      </c>
      <c r="E1552" s="948">
        <v>0</v>
      </c>
      <c r="F1552" s="975">
        <v>1</v>
      </c>
      <c r="G1552" s="973">
        <v>0</v>
      </c>
      <c r="H1552" s="972">
        <v>0</v>
      </c>
      <c r="I1552" s="976">
        <f>(((PUCFD!E1386)*(1+PUCFD!E$10))*(1+PUCFD!E$16))</f>
        <v>1.0973403E-2</v>
      </c>
    </row>
    <row r="1553" spans="1:9" s="946" customFormat="1" ht="30.75" customHeight="1" x14ac:dyDescent="0.25">
      <c r="B1553" s="963">
        <v>52160</v>
      </c>
      <c r="C1553" s="964">
        <v>344905200000000</v>
      </c>
      <c r="D1553" s="963" t="s">
        <v>5948</v>
      </c>
      <c r="E1553" s="954">
        <v>0</v>
      </c>
      <c r="F1553" s="960">
        <v>1</v>
      </c>
      <c r="G1553" s="963">
        <v>0</v>
      </c>
      <c r="H1553" s="958">
        <v>0</v>
      </c>
      <c r="I1553" s="961">
        <f>(((PUCFD!E1387)*(1+PUCFD!E$10))*(1+PUCFD!E$16))</f>
        <v>1.0973403E-2</v>
      </c>
    </row>
    <row r="1554" spans="1:9" ht="15" customHeight="1" x14ac:dyDescent="0.25">
      <c r="A1554" s="958"/>
      <c r="B1554" s="962" t="s">
        <v>3138</v>
      </c>
      <c r="C1554" s="959">
        <v>17</v>
      </c>
      <c r="D1554" s="962" t="s">
        <v>4531</v>
      </c>
      <c r="E1554" s="954"/>
      <c r="F1554" s="960"/>
      <c r="G1554" s="958"/>
      <c r="H1554" s="958"/>
      <c r="I1554" s="961">
        <f>I1555</f>
        <v>1.01</v>
      </c>
    </row>
    <row r="1555" spans="1:9" ht="15" customHeight="1" x14ac:dyDescent="0.25">
      <c r="A1555" s="958"/>
      <c r="B1555" s="962" t="s">
        <v>3139</v>
      </c>
      <c r="C1555" s="959">
        <v>511</v>
      </c>
      <c r="D1555" s="962" t="s">
        <v>4532</v>
      </c>
      <c r="E1555" s="954"/>
      <c r="F1555" s="960"/>
      <c r="G1555" s="958"/>
      <c r="H1555" s="958"/>
      <c r="I1555" s="961">
        <f>I1557</f>
        <v>1.01</v>
      </c>
    </row>
    <row r="1556" spans="1:9" ht="15" customHeight="1" x14ac:dyDescent="0.25">
      <c r="A1556" s="958"/>
      <c r="B1556" s="962" t="s">
        <v>3137</v>
      </c>
      <c r="C1556" s="959">
        <v>11</v>
      </c>
      <c r="D1556" s="962" t="s">
        <v>4533</v>
      </c>
      <c r="E1556" s="954"/>
      <c r="F1556" s="960"/>
      <c r="G1556" s="958"/>
      <c r="H1556" s="958"/>
      <c r="I1556" s="961">
        <f>I1557</f>
        <v>1.01</v>
      </c>
    </row>
    <row r="1557" spans="1:9" s="946" customFormat="1" ht="29.25" customHeight="1" x14ac:dyDescent="0.25">
      <c r="B1557" s="963" t="s">
        <v>2965</v>
      </c>
      <c r="C1557" s="959">
        <v>34</v>
      </c>
      <c r="D1557" s="963" t="s">
        <v>4574</v>
      </c>
      <c r="E1557" s="954"/>
      <c r="F1557" s="960"/>
      <c r="G1557" s="963"/>
      <c r="H1557" s="956"/>
      <c r="I1557" s="957">
        <f>SUM(I1559,I1558,I1560,I1561,I1562,I1563,I1564)</f>
        <v>1.01</v>
      </c>
    </row>
    <row r="1558" spans="1:9" s="946" customFormat="1" ht="24.95" customHeight="1" x14ac:dyDescent="0.25">
      <c r="B1558" s="963">
        <v>52190</v>
      </c>
      <c r="C1558" s="964">
        <v>333904700000000</v>
      </c>
      <c r="D1558" s="963" t="s">
        <v>4745</v>
      </c>
      <c r="E1558" s="954">
        <v>0</v>
      </c>
      <c r="F1558" s="955">
        <v>1038</v>
      </c>
      <c r="G1558" s="946">
        <v>0</v>
      </c>
      <c r="H1558" s="956"/>
      <c r="I1558" s="957">
        <f>PUCFD!E1390</f>
        <v>0.01</v>
      </c>
    </row>
    <row r="1559" spans="1:9" s="946" customFormat="1" ht="35.25" customHeight="1" x14ac:dyDescent="0.25">
      <c r="B1559" s="963">
        <v>52180</v>
      </c>
      <c r="C1559" s="964">
        <v>344309300000000</v>
      </c>
      <c r="D1559" s="963" t="s">
        <v>4752</v>
      </c>
      <c r="E1559" s="954">
        <v>0</v>
      </c>
      <c r="F1559" s="955">
        <v>1038</v>
      </c>
      <c r="G1559" s="946">
        <v>0</v>
      </c>
      <c r="H1559" s="956"/>
      <c r="I1559" s="957">
        <f>PUCFD!E1389</f>
        <v>0.01</v>
      </c>
    </row>
    <row r="1560" spans="1:9" s="946" customFormat="1" ht="24.95" customHeight="1" x14ac:dyDescent="0.25">
      <c r="B1560" s="963">
        <v>52200</v>
      </c>
      <c r="C1560" s="964">
        <v>344903000000000</v>
      </c>
      <c r="D1560" s="963" t="s">
        <v>4746</v>
      </c>
      <c r="E1560" s="954">
        <v>0</v>
      </c>
      <c r="F1560" s="955">
        <v>1038</v>
      </c>
      <c r="G1560" s="946">
        <v>0</v>
      </c>
      <c r="H1560" s="956"/>
      <c r="I1560" s="957">
        <f>PUCFD!E1391</f>
        <v>0.01</v>
      </c>
    </row>
    <row r="1561" spans="1:9" s="946" customFormat="1" ht="24.95" customHeight="1" x14ac:dyDescent="0.25">
      <c r="B1561" s="963">
        <v>52250</v>
      </c>
      <c r="C1561" s="964">
        <v>344903600000000</v>
      </c>
      <c r="D1561" s="963" t="s">
        <v>4747</v>
      </c>
      <c r="E1561" s="954">
        <v>0</v>
      </c>
      <c r="F1561" s="955">
        <v>1038</v>
      </c>
      <c r="G1561" s="946">
        <v>0</v>
      </c>
      <c r="H1561" s="956"/>
      <c r="I1561" s="957">
        <f>PUCFD!E1392</f>
        <v>0.01</v>
      </c>
    </row>
    <row r="1562" spans="1:9" s="946" customFormat="1" ht="24.95" customHeight="1" x14ac:dyDescent="0.25">
      <c r="B1562" s="963">
        <v>52300</v>
      </c>
      <c r="C1562" s="964">
        <v>344903900000000</v>
      </c>
      <c r="D1562" s="963" t="s">
        <v>4748</v>
      </c>
      <c r="E1562" s="954">
        <v>0</v>
      </c>
      <c r="F1562" s="955">
        <v>1038</v>
      </c>
      <c r="G1562" s="946">
        <v>0</v>
      </c>
      <c r="H1562" s="956"/>
      <c r="I1562" s="957">
        <f>PUCFD!E1393</f>
        <v>0.01</v>
      </c>
    </row>
    <row r="1563" spans="1:9" s="946" customFormat="1" ht="24.95" customHeight="1" x14ac:dyDescent="0.25">
      <c r="B1563" s="963">
        <v>52400</v>
      </c>
      <c r="C1563" s="964">
        <v>344905100000000</v>
      </c>
      <c r="D1563" s="963" t="s">
        <v>4749</v>
      </c>
      <c r="E1563" s="954">
        <v>0</v>
      </c>
      <c r="F1563" s="955">
        <v>1038</v>
      </c>
      <c r="G1563" s="946">
        <v>0</v>
      </c>
      <c r="H1563" s="956"/>
      <c r="I1563" s="957">
        <f>PUCFD!E1394</f>
        <v>0.95</v>
      </c>
    </row>
    <row r="1564" spans="1:9" s="946" customFormat="1" ht="24.95" customHeight="1" x14ac:dyDescent="0.25">
      <c r="B1564" s="963">
        <v>52450</v>
      </c>
      <c r="C1564" s="964">
        <v>344905100000000</v>
      </c>
      <c r="D1564" s="963" t="s">
        <v>4750</v>
      </c>
      <c r="E1564" s="954">
        <v>0</v>
      </c>
      <c r="F1564" s="955">
        <v>1</v>
      </c>
      <c r="G1564" s="946">
        <v>0</v>
      </c>
      <c r="H1564" s="956"/>
      <c r="I1564" s="957">
        <f>PUCFD!E1395</f>
        <v>0.01</v>
      </c>
    </row>
    <row r="1565" spans="1:9" ht="15" customHeight="1" x14ac:dyDescent="0.25">
      <c r="A1565" s="958"/>
      <c r="B1565" s="962" t="s">
        <v>3138</v>
      </c>
      <c r="C1565" s="959">
        <v>17</v>
      </c>
      <c r="D1565" s="962" t="s">
        <v>4531</v>
      </c>
      <c r="E1565" s="954"/>
      <c r="F1565" s="960"/>
      <c r="G1565" s="958"/>
      <c r="H1565" s="958"/>
      <c r="I1565" s="961">
        <f>I1566</f>
        <v>6.0000000000000005E-2</v>
      </c>
    </row>
    <row r="1566" spans="1:9" ht="15" customHeight="1" x14ac:dyDescent="0.25">
      <c r="A1566" s="958"/>
      <c r="B1566" s="962" t="s">
        <v>3139</v>
      </c>
      <c r="C1566" s="959">
        <v>512</v>
      </c>
      <c r="D1566" s="962" t="s">
        <v>5954</v>
      </c>
      <c r="E1566" s="954"/>
      <c r="F1566" s="960"/>
      <c r="G1566" s="958"/>
      <c r="H1566" s="958"/>
      <c r="I1566" s="961">
        <f>I1567</f>
        <v>6.0000000000000005E-2</v>
      </c>
    </row>
    <row r="1567" spans="1:9" ht="15" customHeight="1" x14ac:dyDescent="0.25">
      <c r="A1567" s="958"/>
      <c r="B1567" s="962" t="s">
        <v>3137</v>
      </c>
      <c r="C1567" s="959">
        <v>11</v>
      </c>
      <c r="D1567" s="962" t="s">
        <v>4533</v>
      </c>
      <c r="E1567" s="954"/>
      <c r="F1567" s="960"/>
      <c r="G1567" s="958"/>
      <c r="H1567" s="958"/>
      <c r="I1567" s="961">
        <f>I1568</f>
        <v>6.0000000000000005E-2</v>
      </c>
    </row>
    <row r="1568" spans="1:9" s="946" customFormat="1" ht="24.95" customHeight="1" x14ac:dyDescent="0.25">
      <c r="B1568" s="963" t="s">
        <v>2965</v>
      </c>
      <c r="C1568" s="959">
        <v>34</v>
      </c>
      <c r="D1568" s="963" t="s">
        <v>4574</v>
      </c>
      <c r="E1568" s="954"/>
      <c r="F1568" s="960"/>
      <c r="G1568" s="963"/>
      <c r="H1568" s="956"/>
      <c r="I1568" s="957">
        <f>SUM(I1569:I1574)</f>
        <v>6.0000000000000005E-2</v>
      </c>
    </row>
    <row r="1569" spans="1:10" s="946" customFormat="1" ht="24.95" customHeight="1" x14ac:dyDescent="0.25">
      <c r="B1569" s="963">
        <v>52500</v>
      </c>
      <c r="C1569" s="964">
        <v>333903000000000</v>
      </c>
      <c r="D1569" s="963" t="s">
        <v>5960</v>
      </c>
      <c r="E1569" s="954">
        <v>0</v>
      </c>
      <c r="F1569" s="960">
        <v>1</v>
      </c>
      <c r="G1569" s="963">
        <v>0</v>
      </c>
      <c r="H1569" s="958">
        <v>0</v>
      </c>
      <c r="I1569" s="961">
        <f>PUCFD!E1397</f>
        <v>0.01</v>
      </c>
    </row>
    <row r="1570" spans="1:10" s="946" customFormat="1" ht="24.95" customHeight="1" x14ac:dyDescent="0.25">
      <c r="B1570" s="963">
        <v>52520</v>
      </c>
      <c r="C1570" s="964">
        <v>333903600000000</v>
      </c>
      <c r="D1570" s="963" t="s">
        <v>5955</v>
      </c>
      <c r="E1570" s="954">
        <v>0</v>
      </c>
      <c r="F1570" s="960">
        <v>1</v>
      </c>
      <c r="G1570" s="963">
        <v>0</v>
      </c>
      <c r="H1570" s="958">
        <v>0</v>
      </c>
      <c r="I1570" s="961">
        <f>PUCFD!E1398</f>
        <v>0.01</v>
      </c>
    </row>
    <row r="1571" spans="1:10" s="946" customFormat="1" ht="24.95" customHeight="1" x14ac:dyDescent="0.25">
      <c r="B1571" s="963">
        <v>52540</v>
      </c>
      <c r="C1571" s="964">
        <v>333903900000000</v>
      </c>
      <c r="D1571" s="963" t="s">
        <v>5956</v>
      </c>
      <c r="E1571" s="954">
        <v>0</v>
      </c>
      <c r="F1571" s="960">
        <v>1</v>
      </c>
      <c r="G1571" s="963">
        <v>0</v>
      </c>
      <c r="H1571" s="958">
        <v>0</v>
      </c>
      <c r="I1571" s="961">
        <f>PUCFD!E1399</f>
        <v>0.01</v>
      </c>
    </row>
    <row r="1572" spans="1:10" s="946" customFormat="1" ht="34.5" customHeight="1" x14ac:dyDescent="0.25">
      <c r="B1572" s="963">
        <v>52560</v>
      </c>
      <c r="C1572" s="964">
        <v>333909200000000</v>
      </c>
      <c r="D1572" s="963" t="s">
        <v>5957</v>
      </c>
      <c r="E1572" s="954">
        <v>0</v>
      </c>
      <c r="F1572" s="960">
        <v>1</v>
      </c>
      <c r="G1572" s="963">
        <v>0</v>
      </c>
      <c r="H1572" s="958">
        <v>0</v>
      </c>
      <c r="I1572" s="961">
        <f>PUCFD!E1400</f>
        <v>0.01</v>
      </c>
    </row>
    <row r="1573" spans="1:10" s="946" customFormat="1" ht="24.95" customHeight="1" x14ac:dyDescent="0.25">
      <c r="B1573" s="963">
        <v>52580</v>
      </c>
      <c r="C1573" s="964">
        <v>344905100000000</v>
      </c>
      <c r="D1573" s="963" t="s">
        <v>5958</v>
      </c>
      <c r="E1573" s="954">
        <v>0</v>
      </c>
      <c r="F1573" s="960">
        <v>1</v>
      </c>
      <c r="G1573" s="963">
        <v>0</v>
      </c>
      <c r="H1573" s="958">
        <v>0</v>
      </c>
      <c r="I1573" s="961">
        <f>PUCFD!E1401</f>
        <v>0.01</v>
      </c>
    </row>
    <row r="1574" spans="1:10" s="946" customFormat="1" ht="30.75" customHeight="1" x14ac:dyDescent="0.25">
      <c r="B1574" s="963">
        <v>52600</v>
      </c>
      <c r="C1574" s="964">
        <v>344905200000000</v>
      </c>
      <c r="D1574" s="963" t="s">
        <v>5959</v>
      </c>
      <c r="E1574" s="954">
        <v>0</v>
      </c>
      <c r="F1574" s="960">
        <v>1</v>
      </c>
      <c r="G1574" s="963">
        <v>0</v>
      </c>
      <c r="H1574" s="958">
        <v>0</v>
      </c>
      <c r="I1574" s="961">
        <f>PUCFD!E1402</f>
        <v>0.01</v>
      </c>
    </row>
    <row r="1575" spans="1:10" ht="24.95" customHeight="1" x14ac:dyDescent="0.25">
      <c r="A1575" s="946"/>
      <c r="B1575" s="1608" t="s">
        <v>3336</v>
      </c>
      <c r="C1575" s="1608"/>
      <c r="D1575" s="1608"/>
      <c r="E1575" s="1608"/>
      <c r="F1575" s="1608"/>
      <c r="G1575" s="1608"/>
      <c r="H1575" s="1608"/>
      <c r="I1575" s="957">
        <f>SUM(I1459,I1473,I1491,I1533,I1542,I1557,I1482,I1568)-0.95</f>
        <v>544183.07020206936</v>
      </c>
    </row>
    <row r="1576" spans="1:10" ht="24.95" customHeight="1" x14ac:dyDescent="0.25">
      <c r="A1576" s="946"/>
      <c r="B1576" s="1608" t="s">
        <v>4584</v>
      </c>
      <c r="C1576" s="1608"/>
      <c r="D1576" s="1608"/>
      <c r="E1576" s="1608"/>
      <c r="F1576" s="1608"/>
      <c r="G1576" s="1608"/>
      <c r="H1576" s="1608"/>
      <c r="I1576" s="957">
        <f>I1575</f>
        <v>544183.07020206936</v>
      </c>
    </row>
    <row r="1577" spans="1:10" ht="24.95" customHeight="1" x14ac:dyDescent="0.25">
      <c r="A1577" s="946"/>
      <c r="B1577" s="987"/>
      <c r="C1577" s="988"/>
      <c r="D1577" s="987"/>
      <c r="E1577" s="954" t="s">
        <v>4777</v>
      </c>
      <c r="F1577" s="960"/>
      <c r="G1577" s="960"/>
      <c r="H1577" s="958"/>
      <c r="I1577" s="961"/>
    </row>
    <row r="1578" spans="1:10" ht="24.95" customHeight="1" x14ac:dyDescent="0.25">
      <c r="A1578" s="946"/>
      <c r="B1578" s="987"/>
      <c r="C1578" s="988"/>
      <c r="D1578" s="987"/>
      <c r="F1578" s="949">
        <v>1</v>
      </c>
      <c r="G1578" s="945">
        <v>0</v>
      </c>
      <c r="H1578" s="950">
        <v>0</v>
      </c>
      <c r="I1578" s="951">
        <f>I1576-I1579-I1580</f>
        <v>197381.08020206937</v>
      </c>
      <c r="J1578" s="990"/>
    </row>
    <row r="1579" spans="1:10" ht="24.95" customHeight="1" x14ac:dyDescent="0.25">
      <c r="A1579" s="946"/>
      <c r="B1579" s="987"/>
      <c r="C1579" s="988"/>
      <c r="D1579" s="987"/>
      <c r="E1579" s="987"/>
      <c r="F1579" s="949">
        <v>1038</v>
      </c>
      <c r="G1579" s="945">
        <v>0</v>
      </c>
      <c r="H1579" s="950">
        <v>0</v>
      </c>
      <c r="I1579" s="951">
        <f>SUM(I1559,I1558,I1560,I1561,I1562,I1563)</f>
        <v>1</v>
      </c>
    </row>
    <row r="1580" spans="1:10" ht="24.95" customHeight="1" x14ac:dyDescent="0.25">
      <c r="F1580" s="949">
        <v>1168</v>
      </c>
      <c r="G1580" s="945">
        <v>0</v>
      </c>
      <c r="H1580" s="950">
        <v>0</v>
      </c>
      <c r="I1580" s="951">
        <f>I1466++I1469</f>
        <v>346800.99</v>
      </c>
    </row>
    <row r="1581" spans="1:10" s="946" customFormat="1" ht="24.95" customHeight="1" x14ac:dyDescent="0.25">
      <c r="B1581" s="946" t="s">
        <v>3088</v>
      </c>
      <c r="C1581" s="953" t="s">
        <v>3136</v>
      </c>
      <c r="E1581" s="954"/>
      <c r="F1581" s="955"/>
      <c r="H1581" s="956"/>
      <c r="I1581" s="957"/>
    </row>
    <row r="1582" spans="1:10" s="946" customFormat="1" ht="24.95" customHeight="1" x14ac:dyDescent="0.25">
      <c r="B1582" s="946" t="s">
        <v>3087</v>
      </c>
      <c r="C1582" s="953" t="s">
        <v>4597</v>
      </c>
      <c r="E1582" s="954"/>
      <c r="F1582" s="955"/>
      <c r="H1582" s="956"/>
      <c r="I1582" s="957"/>
      <c r="J1582" s="1012"/>
    </row>
    <row r="1583" spans="1:10" s="946" customFormat="1" ht="24.95" customHeight="1" x14ac:dyDescent="0.25">
      <c r="B1583" s="946" t="s">
        <v>3089</v>
      </c>
      <c r="C1583" s="953" t="s">
        <v>3146</v>
      </c>
      <c r="E1583" s="954"/>
      <c r="F1583" s="955"/>
      <c r="H1583" s="956"/>
      <c r="I1583" s="957"/>
    </row>
    <row r="1584" spans="1:10" ht="33.75" customHeight="1" x14ac:dyDescent="0.25">
      <c r="A1584" s="958"/>
      <c r="B1584" s="958" t="s">
        <v>2967</v>
      </c>
      <c r="C1584" s="959" t="s">
        <v>472</v>
      </c>
      <c r="D1584" s="958" t="s">
        <v>2968</v>
      </c>
      <c r="E1584" s="954" t="s">
        <v>3066</v>
      </c>
      <c r="F1584" s="960" t="s">
        <v>1403</v>
      </c>
      <c r="G1584" s="958" t="s">
        <v>2969</v>
      </c>
      <c r="H1584" s="958" t="s">
        <v>3065</v>
      </c>
      <c r="I1584" s="961" t="s">
        <v>2531</v>
      </c>
    </row>
    <row r="1585" spans="1:9" ht="15" customHeight="1" x14ac:dyDescent="0.25">
      <c r="A1585" s="958"/>
      <c r="B1585" s="962" t="s">
        <v>3138</v>
      </c>
      <c r="C1585" s="959">
        <v>16</v>
      </c>
      <c r="D1585" s="962" t="s">
        <v>4598</v>
      </c>
      <c r="E1585" s="954"/>
      <c r="F1585" s="960"/>
      <c r="G1585" s="958"/>
      <c r="H1585" s="958"/>
      <c r="I1585" s="961">
        <f>I1586</f>
        <v>1.06</v>
      </c>
    </row>
    <row r="1586" spans="1:9" ht="15" customHeight="1" x14ac:dyDescent="0.25">
      <c r="A1586" s="958"/>
      <c r="B1586" s="962" t="s">
        <v>3139</v>
      </c>
      <c r="C1586" s="959">
        <v>481</v>
      </c>
      <c r="D1586" s="962" t="s">
        <v>4599</v>
      </c>
      <c r="E1586" s="954"/>
      <c r="F1586" s="960"/>
      <c r="G1586" s="958"/>
      <c r="H1586" s="958"/>
      <c r="I1586" s="961">
        <f>I1588</f>
        <v>1.06</v>
      </c>
    </row>
    <row r="1587" spans="1:9" ht="15" customHeight="1" x14ac:dyDescent="0.25">
      <c r="A1587" s="958"/>
      <c r="B1587" s="962" t="s">
        <v>3137</v>
      </c>
      <c r="C1587" s="959">
        <v>4</v>
      </c>
      <c r="D1587" s="962" t="s">
        <v>4097</v>
      </c>
      <c r="E1587" s="954"/>
      <c r="F1587" s="960"/>
      <c r="G1587" s="958"/>
      <c r="H1587" s="958"/>
      <c r="I1587" s="961">
        <f>I1588</f>
        <v>1.06</v>
      </c>
    </row>
    <row r="1588" spans="1:9" s="946" customFormat="1" ht="24.95" customHeight="1" x14ac:dyDescent="0.25">
      <c r="B1588" s="963" t="s">
        <v>2965</v>
      </c>
      <c r="C1588" s="959">
        <v>35</v>
      </c>
      <c r="D1588" s="963" t="s">
        <v>4600</v>
      </c>
      <c r="E1588" s="954"/>
      <c r="F1588" s="960"/>
      <c r="G1588" s="963"/>
      <c r="H1588" s="956"/>
      <c r="I1588" s="957">
        <f>SUM(I1589,I1590,I1591,I1592,I1593,I1594,I1595)</f>
        <v>1.06</v>
      </c>
    </row>
    <row r="1589" spans="1:9" ht="24.95" customHeight="1" x14ac:dyDescent="0.25">
      <c r="B1589" s="973">
        <v>55000</v>
      </c>
      <c r="C1589" s="974">
        <v>333903000000000</v>
      </c>
      <c r="D1589" s="973" t="s">
        <v>4131</v>
      </c>
      <c r="E1589" s="948">
        <v>0</v>
      </c>
      <c r="F1589" s="975">
        <v>1</v>
      </c>
      <c r="G1589" s="973">
        <v>0</v>
      </c>
      <c r="H1589" s="972">
        <v>0</v>
      </c>
      <c r="I1589" s="976">
        <f>PUCFD!E1405</f>
        <v>0.01</v>
      </c>
    </row>
    <row r="1590" spans="1:9" ht="24.95" customHeight="1" x14ac:dyDescent="0.25">
      <c r="B1590" s="973">
        <v>55030</v>
      </c>
      <c r="C1590" s="974">
        <v>333903600000000</v>
      </c>
      <c r="D1590" s="973" t="s">
        <v>4161</v>
      </c>
      <c r="E1590" s="948">
        <v>0</v>
      </c>
      <c r="F1590" s="975">
        <v>1</v>
      </c>
      <c r="G1590" s="973">
        <v>0</v>
      </c>
      <c r="H1590" s="972">
        <v>0</v>
      </c>
      <c r="I1590" s="976">
        <f>PUCFD!E1406</f>
        <v>0.01</v>
      </c>
    </row>
    <row r="1591" spans="1:9" ht="24.95" customHeight="1" x14ac:dyDescent="0.25">
      <c r="B1591" s="973">
        <v>55060</v>
      </c>
      <c r="C1591" s="974">
        <v>333903900000000</v>
      </c>
      <c r="D1591" s="973" t="s">
        <v>4165</v>
      </c>
      <c r="E1591" s="948">
        <v>0</v>
      </c>
      <c r="F1591" s="975">
        <v>1</v>
      </c>
      <c r="G1591" s="973">
        <v>0</v>
      </c>
      <c r="H1591" s="972">
        <v>0</v>
      </c>
      <c r="I1591" s="976">
        <f>PUCFD!E1407</f>
        <v>0.01</v>
      </c>
    </row>
    <row r="1592" spans="1:9" ht="24.95" customHeight="1" x14ac:dyDescent="0.25">
      <c r="B1592" s="973">
        <v>55100</v>
      </c>
      <c r="C1592" s="974">
        <v>333904700000000</v>
      </c>
      <c r="D1592" s="973" t="s">
        <v>4601</v>
      </c>
      <c r="E1592" s="948">
        <v>0</v>
      </c>
      <c r="F1592" s="975">
        <v>1</v>
      </c>
      <c r="G1592" s="973">
        <v>0</v>
      </c>
      <c r="H1592" s="972">
        <v>0</v>
      </c>
      <c r="I1592" s="976">
        <f>PUCFD!E1408</f>
        <v>0.01</v>
      </c>
    </row>
    <row r="1593" spans="1:9" ht="24.95" customHeight="1" x14ac:dyDescent="0.25">
      <c r="B1593" s="973">
        <v>55120</v>
      </c>
      <c r="C1593" s="974">
        <v>344209300000000</v>
      </c>
      <c r="D1593" s="973" t="s">
        <v>4602</v>
      </c>
      <c r="E1593" s="948">
        <v>0</v>
      </c>
      <c r="F1593" s="975">
        <v>1053</v>
      </c>
      <c r="G1593" s="973">
        <v>0</v>
      </c>
      <c r="H1593" s="972">
        <v>0</v>
      </c>
      <c r="I1593" s="976">
        <f>PUCFD!E1409</f>
        <v>1</v>
      </c>
    </row>
    <row r="1594" spans="1:9" ht="24.95" customHeight="1" x14ac:dyDescent="0.25">
      <c r="B1594" s="973">
        <v>55130</v>
      </c>
      <c r="C1594" s="974">
        <v>344905100000000</v>
      </c>
      <c r="D1594" s="973" t="s">
        <v>4494</v>
      </c>
      <c r="E1594" s="948">
        <v>0</v>
      </c>
      <c r="F1594" s="975">
        <v>1</v>
      </c>
      <c r="G1594" s="973">
        <v>0</v>
      </c>
      <c r="H1594" s="972">
        <v>0</v>
      </c>
      <c r="I1594" s="976">
        <f>PUCFD!E1410</f>
        <v>0.01</v>
      </c>
    </row>
    <row r="1595" spans="1:9" ht="24.95" customHeight="1" x14ac:dyDescent="0.25">
      <c r="B1595" s="973">
        <v>55150</v>
      </c>
      <c r="C1595" s="974">
        <v>344905200000000</v>
      </c>
      <c r="D1595" s="973" t="s">
        <v>3152</v>
      </c>
      <c r="E1595" s="948">
        <v>0</v>
      </c>
      <c r="F1595" s="975">
        <v>1</v>
      </c>
      <c r="G1595" s="973">
        <v>0</v>
      </c>
      <c r="H1595" s="972">
        <v>0</v>
      </c>
      <c r="I1595" s="976">
        <f>PUCFD!E1411</f>
        <v>0.01</v>
      </c>
    </row>
    <row r="1596" spans="1:9" s="946" customFormat="1" ht="24.95" customHeight="1" x14ac:dyDescent="0.25">
      <c r="B1596" s="1608" t="s">
        <v>3336</v>
      </c>
      <c r="C1596" s="1608"/>
      <c r="D1596" s="1608"/>
      <c r="E1596" s="1608"/>
      <c r="F1596" s="1608"/>
      <c r="G1596" s="1608"/>
      <c r="H1596" s="1608"/>
      <c r="I1596" s="957">
        <f>I1588</f>
        <v>1.06</v>
      </c>
    </row>
    <row r="1597" spans="1:9" s="946" customFormat="1" ht="24.95" customHeight="1" x14ac:dyDescent="0.25">
      <c r="B1597" s="1608" t="s">
        <v>4603</v>
      </c>
      <c r="C1597" s="1608"/>
      <c r="D1597" s="1608"/>
      <c r="E1597" s="1608"/>
      <c r="F1597" s="1608"/>
      <c r="G1597" s="1608"/>
      <c r="H1597" s="1608"/>
      <c r="I1597" s="957">
        <f>I1596</f>
        <v>1.06</v>
      </c>
    </row>
    <row r="1598" spans="1:9" s="946" customFormat="1" ht="24.95" customHeight="1" x14ac:dyDescent="0.25">
      <c r="B1598" s="987"/>
      <c r="C1598" s="988"/>
      <c r="D1598" s="987"/>
      <c r="E1598" s="954" t="s">
        <v>4777</v>
      </c>
      <c r="F1598" s="960"/>
      <c r="G1598" s="960"/>
      <c r="H1598" s="958"/>
      <c r="I1598" s="961"/>
    </row>
    <row r="1599" spans="1:9" s="946" customFormat="1" ht="24.95" customHeight="1" x14ac:dyDescent="0.25">
      <c r="B1599" s="987"/>
      <c r="C1599" s="988"/>
      <c r="D1599" s="987"/>
      <c r="E1599" s="948"/>
      <c r="F1599" s="949">
        <v>1</v>
      </c>
      <c r="G1599" s="945">
        <v>0</v>
      </c>
      <c r="H1599" s="950">
        <v>0</v>
      </c>
      <c r="I1599" s="951">
        <f>7.1-I1600</f>
        <v>6.1</v>
      </c>
    </row>
    <row r="1600" spans="1:9" s="946" customFormat="1" ht="24.95" customHeight="1" x14ac:dyDescent="0.25">
      <c r="B1600" s="987"/>
      <c r="C1600" s="988"/>
      <c r="D1600" s="987"/>
      <c r="E1600" s="987"/>
      <c r="F1600" s="949">
        <v>1053</v>
      </c>
      <c r="G1600" s="945">
        <v>0</v>
      </c>
      <c r="H1600" s="950">
        <v>0</v>
      </c>
      <c r="I1600" s="951">
        <f>I1593</f>
        <v>1</v>
      </c>
    </row>
    <row r="1602" spans="1:9" s="946" customFormat="1" ht="24.95" customHeight="1" x14ac:dyDescent="0.25">
      <c r="B1602" s="946" t="s">
        <v>3088</v>
      </c>
      <c r="C1602" s="953" t="s">
        <v>3136</v>
      </c>
      <c r="E1602" s="954"/>
      <c r="F1602" s="955"/>
      <c r="H1602" s="956"/>
      <c r="I1602" s="957"/>
    </row>
    <row r="1603" spans="1:9" s="946" customFormat="1" ht="24.95" customHeight="1" x14ac:dyDescent="0.25">
      <c r="B1603" s="946" t="s">
        <v>3087</v>
      </c>
      <c r="C1603" s="953" t="s">
        <v>4606</v>
      </c>
      <c r="E1603" s="954"/>
      <c r="F1603" s="955"/>
      <c r="H1603" s="956"/>
      <c r="I1603" s="957"/>
    </row>
    <row r="1604" spans="1:9" s="946" customFormat="1" ht="24.95" customHeight="1" x14ac:dyDescent="0.25">
      <c r="B1604" s="946" t="s">
        <v>3089</v>
      </c>
      <c r="C1604" s="953" t="s">
        <v>3146</v>
      </c>
      <c r="E1604" s="954"/>
      <c r="F1604" s="955"/>
      <c r="H1604" s="956"/>
      <c r="I1604" s="957"/>
    </row>
    <row r="1605" spans="1:9" ht="33.75" customHeight="1" x14ac:dyDescent="0.25">
      <c r="A1605" s="958"/>
      <c r="B1605" s="958" t="s">
        <v>2967</v>
      </c>
      <c r="C1605" s="959" t="s">
        <v>472</v>
      </c>
      <c r="D1605" s="958" t="s">
        <v>2968</v>
      </c>
      <c r="E1605" s="954" t="s">
        <v>3066</v>
      </c>
      <c r="F1605" s="960" t="s">
        <v>1403</v>
      </c>
      <c r="G1605" s="958" t="s">
        <v>2969</v>
      </c>
      <c r="H1605" s="958" t="s">
        <v>3065</v>
      </c>
      <c r="I1605" s="961" t="s">
        <v>2531</v>
      </c>
    </row>
    <row r="1606" spans="1:9" ht="15" customHeight="1" x14ac:dyDescent="0.25">
      <c r="A1606" s="958"/>
      <c r="B1606" s="962" t="s">
        <v>3138</v>
      </c>
      <c r="C1606" s="959">
        <v>4</v>
      </c>
      <c r="D1606" s="962" t="s">
        <v>3142</v>
      </c>
      <c r="E1606" s="954"/>
      <c r="F1606" s="960"/>
      <c r="G1606" s="958"/>
      <c r="H1606" s="958"/>
      <c r="I1606" s="961">
        <f>I1607</f>
        <v>7.0000000000000007E-2</v>
      </c>
    </row>
    <row r="1607" spans="1:9" ht="15" customHeight="1" x14ac:dyDescent="0.25">
      <c r="A1607" s="958"/>
      <c r="B1607" s="962" t="s">
        <v>3139</v>
      </c>
      <c r="C1607" s="959">
        <v>122</v>
      </c>
      <c r="D1607" s="962" t="s">
        <v>3143</v>
      </c>
      <c r="E1607" s="954"/>
      <c r="F1607" s="960"/>
      <c r="G1607" s="958"/>
      <c r="H1607" s="958"/>
      <c r="I1607" s="961">
        <f>I1609</f>
        <v>7.0000000000000007E-2</v>
      </c>
    </row>
    <row r="1608" spans="1:9" ht="15" customHeight="1" x14ac:dyDescent="0.25">
      <c r="A1608" s="958"/>
      <c r="B1608" s="962" t="s">
        <v>3137</v>
      </c>
      <c r="C1608" s="959">
        <v>3</v>
      </c>
      <c r="D1608" s="962" t="s">
        <v>4608</v>
      </c>
      <c r="E1608" s="954"/>
      <c r="F1608" s="960"/>
      <c r="G1608" s="958"/>
      <c r="H1608" s="958"/>
      <c r="I1608" s="961">
        <f>I1609</f>
        <v>7.0000000000000007E-2</v>
      </c>
    </row>
    <row r="1609" spans="1:9" s="946" customFormat="1" ht="29.25" customHeight="1" x14ac:dyDescent="0.25">
      <c r="B1609" s="963" t="s">
        <v>2965</v>
      </c>
      <c r="C1609" s="959">
        <v>2</v>
      </c>
      <c r="D1609" s="963" t="s">
        <v>4609</v>
      </c>
      <c r="E1609" s="954"/>
      <c r="F1609" s="960"/>
      <c r="G1609" s="963"/>
      <c r="H1609" s="956"/>
      <c r="I1609" s="957">
        <f>SUM(I1610,I1611,I1612,I1613,I1614,I1615,I1616)</f>
        <v>7.0000000000000007E-2</v>
      </c>
    </row>
    <row r="1610" spans="1:9" s="946" customFormat="1" ht="24.95" customHeight="1" x14ac:dyDescent="0.25">
      <c r="B1610" s="963">
        <v>55200</v>
      </c>
      <c r="C1610" s="964">
        <v>333901400000000</v>
      </c>
      <c r="D1610" s="963" t="s">
        <v>5961</v>
      </c>
      <c r="E1610" s="954">
        <v>0</v>
      </c>
      <c r="F1610" s="960">
        <v>1</v>
      </c>
      <c r="G1610" s="963">
        <v>0</v>
      </c>
      <c r="H1610" s="958">
        <v>0</v>
      </c>
      <c r="I1610" s="961">
        <f>PUCFD!E1414</f>
        <v>0.01</v>
      </c>
    </row>
    <row r="1611" spans="1:9" s="946" customFormat="1" ht="24.95" customHeight="1" x14ac:dyDescent="0.25">
      <c r="B1611" s="963">
        <v>55220</v>
      </c>
      <c r="C1611" s="964">
        <v>333903000000000</v>
      </c>
      <c r="D1611" s="963" t="s">
        <v>5962</v>
      </c>
      <c r="E1611" s="954">
        <v>0</v>
      </c>
      <c r="F1611" s="960">
        <v>1</v>
      </c>
      <c r="G1611" s="963">
        <v>0</v>
      </c>
      <c r="H1611" s="958">
        <v>0</v>
      </c>
      <c r="I1611" s="961">
        <f>PUCFD!E1415</f>
        <v>0.01</v>
      </c>
    </row>
    <row r="1612" spans="1:9" s="946" customFormat="1" ht="24.95" customHeight="1" x14ac:dyDescent="0.25">
      <c r="B1612" s="963">
        <v>55240</v>
      </c>
      <c r="C1612" s="964">
        <v>333903600000000</v>
      </c>
      <c r="D1612" s="963" t="s">
        <v>5963</v>
      </c>
      <c r="E1612" s="954">
        <v>0</v>
      </c>
      <c r="F1612" s="960">
        <v>1</v>
      </c>
      <c r="G1612" s="963">
        <v>0</v>
      </c>
      <c r="H1612" s="958">
        <v>0</v>
      </c>
      <c r="I1612" s="961">
        <f>PUCFD!E1416</f>
        <v>0.01</v>
      </c>
    </row>
    <row r="1613" spans="1:9" s="946" customFormat="1" ht="24.95" customHeight="1" x14ac:dyDescent="0.25">
      <c r="B1613" s="963">
        <v>55260</v>
      </c>
      <c r="C1613" s="964">
        <v>333903900000000</v>
      </c>
      <c r="D1613" s="963" t="s">
        <v>5964</v>
      </c>
      <c r="E1613" s="954">
        <v>0</v>
      </c>
      <c r="F1613" s="960">
        <v>1</v>
      </c>
      <c r="G1613" s="963">
        <v>0</v>
      </c>
      <c r="H1613" s="958">
        <v>0</v>
      </c>
      <c r="I1613" s="961">
        <f>PUCFD!E1417</f>
        <v>0.01</v>
      </c>
    </row>
    <row r="1614" spans="1:9" s="946" customFormat="1" ht="24.95" customHeight="1" x14ac:dyDescent="0.25">
      <c r="B1614" s="963">
        <v>55280</v>
      </c>
      <c r="C1614" s="964">
        <v>333904700000000</v>
      </c>
      <c r="D1614" s="963" t="s">
        <v>5965</v>
      </c>
      <c r="E1614" s="954">
        <v>0</v>
      </c>
      <c r="F1614" s="960">
        <v>1</v>
      </c>
      <c r="G1614" s="963">
        <v>0</v>
      </c>
      <c r="H1614" s="958">
        <v>0</v>
      </c>
      <c r="I1614" s="961">
        <f>PUCFD!E1418</f>
        <v>0.01</v>
      </c>
    </row>
    <row r="1615" spans="1:9" s="946" customFormat="1" ht="24.95" customHeight="1" x14ac:dyDescent="0.25">
      <c r="B1615" s="963">
        <v>55300</v>
      </c>
      <c r="C1615" s="964">
        <v>344905100000000</v>
      </c>
      <c r="D1615" s="963" t="s">
        <v>5966</v>
      </c>
      <c r="E1615" s="954">
        <v>0</v>
      </c>
      <c r="F1615" s="960">
        <v>1</v>
      </c>
      <c r="G1615" s="963">
        <v>0</v>
      </c>
      <c r="H1615" s="958">
        <v>0</v>
      </c>
      <c r="I1615" s="961">
        <f>PUCFD!E1419</f>
        <v>0.01</v>
      </c>
    </row>
    <row r="1616" spans="1:9" s="946" customFormat="1" ht="24.95" customHeight="1" x14ac:dyDescent="0.25">
      <c r="B1616" s="963">
        <v>55320</v>
      </c>
      <c r="C1616" s="964">
        <v>344905200000000</v>
      </c>
      <c r="D1616" s="963" t="s">
        <v>5967</v>
      </c>
      <c r="E1616" s="954">
        <v>0</v>
      </c>
      <c r="F1616" s="960">
        <v>1</v>
      </c>
      <c r="G1616" s="963">
        <v>0</v>
      </c>
      <c r="H1616" s="958">
        <v>0</v>
      </c>
      <c r="I1616" s="961">
        <f>PUCFD!E1420</f>
        <v>0.01</v>
      </c>
    </row>
    <row r="1617" spans="1:9" s="946" customFormat="1" ht="24.95" customHeight="1" x14ac:dyDescent="0.25">
      <c r="B1617" s="1608" t="s">
        <v>3336</v>
      </c>
      <c r="C1617" s="1608"/>
      <c r="D1617" s="1608"/>
      <c r="E1617" s="1608"/>
      <c r="F1617" s="1608"/>
      <c r="G1617" s="1608"/>
      <c r="H1617" s="1608"/>
      <c r="I1617" s="957">
        <f>I1609</f>
        <v>7.0000000000000007E-2</v>
      </c>
    </row>
    <row r="1618" spans="1:9" s="946" customFormat="1" ht="24.95" customHeight="1" x14ac:dyDescent="0.25">
      <c r="B1618" s="1608" t="s">
        <v>4610</v>
      </c>
      <c r="C1618" s="1608"/>
      <c r="D1618" s="1608"/>
      <c r="E1618" s="1608"/>
      <c r="F1618" s="1608"/>
      <c r="G1618" s="1608"/>
      <c r="H1618" s="1608"/>
      <c r="I1618" s="957">
        <f>I1617</f>
        <v>7.0000000000000007E-2</v>
      </c>
    </row>
    <row r="1619" spans="1:9" s="946" customFormat="1" ht="24.95" customHeight="1" x14ac:dyDescent="0.25">
      <c r="B1619" s="987"/>
      <c r="C1619" s="988"/>
      <c r="D1619" s="987"/>
      <c r="E1619" s="954" t="s">
        <v>4777</v>
      </c>
      <c r="F1619" s="960"/>
      <c r="G1619" s="960"/>
      <c r="H1619" s="958"/>
      <c r="I1619" s="961"/>
    </row>
    <row r="1620" spans="1:9" s="946" customFormat="1" ht="24.95" customHeight="1" x14ac:dyDescent="0.25">
      <c r="B1620" s="987"/>
      <c r="C1620" s="988"/>
      <c r="D1620" s="987"/>
      <c r="E1620" s="948"/>
      <c r="F1620" s="949">
        <v>1</v>
      </c>
      <c r="G1620" s="945">
        <v>0</v>
      </c>
      <c r="H1620" s="950">
        <v>0</v>
      </c>
      <c r="I1620" s="951">
        <f>I1617</f>
        <v>7.0000000000000007E-2</v>
      </c>
    </row>
    <row r="1621" spans="1:9" s="946" customFormat="1" ht="24.95" customHeight="1" x14ac:dyDescent="0.25">
      <c r="B1621" s="987"/>
      <c r="C1621" s="988"/>
      <c r="D1621" s="987"/>
      <c r="E1621" s="987"/>
      <c r="F1621" s="955"/>
      <c r="G1621" s="987"/>
      <c r="H1621" s="987"/>
      <c r="I1621" s="957"/>
    </row>
    <row r="1623" spans="1:9" s="946" customFormat="1" ht="24.95" customHeight="1" x14ac:dyDescent="0.25">
      <c r="B1623" s="946" t="s">
        <v>3088</v>
      </c>
      <c r="C1623" s="953" t="s">
        <v>3136</v>
      </c>
      <c r="E1623" s="954"/>
      <c r="F1623" s="955"/>
      <c r="H1623" s="956"/>
      <c r="I1623" s="957"/>
    </row>
    <row r="1624" spans="1:9" s="946" customFormat="1" ht="24.95" customHeight="1" x14ac:dyDescent="0.25">
      <c r="B1624" s="946" t="s">
        <v>3087</v>
      </c>
      <c r="C1624" s="953" t="s">
        <v>4611</v>
      </c>
      <c r="E1624" s="954"/>
      <c r="F1624" s="955"/>
      <c r="H1624" s="956"/>
      <c r="I1624" s="957"/>
    </row>
    <row r="1625" spans="1:9" s="946" customFormat="1" ht="24.95" customHeight="1" x14ac:dyDescent="0.25">
      <c r="B1625" s="946" t="s">
        <v>3089</v>
      </c>
      <c r="C1625" s="953" t="s">
        <v>3146</v>
      </c>
      <c r="E1625" s="954"/>
      <c r="F1625" s="955"/>
      <c r="H1625" s="956"/>
      <c r="I1625" s="957"/>
    </row>
    <row r="1626" spans="1:9" ht="33.75" customHeight="1" x14ac:dyDescent="0.25">
      <c r="A1626" s="958"/>
      <c r="B1626" s="958" t="s">
        <v>2967</v>
      </c>
      <c r="C1626" s="959" t="s">
        <v>472</v>
      </c>
      <c r="D1626" s="958" t="s">
        <v>2968</v>
      </c>
      <c r="E1626" s="954" t="s">
        <v>3066</v>
      </c>
      <c r="F1626" s="960" t="s">
        <v>1403</v>
      </c>
      <c r="G1626" s="958" t="s">
        <v>2969</v>
      </c>
      <c r="H1626" s="958" t="s">
        <v>3065</v>
      </c>
      <c r="I1626" s="961" t="s">
        <v>2531</v>
      </c>
    </row>
    <row r="1627" spans="1:9" ht="15" customHeight="1" x14ac:dyDescent="0.25">
      <c r="A1627" s="958"/>
      <c r="B1627" s="962" t="s">
        <v>3138</v>
      </c>
      <c r="C1627" s="959">
        <v>28</v>
      </c>
      <c r="D1627" s="962" t="s">
        <v>4612</v>
      </c>
      <c r="E1627" s="954"/>
      <c r="F1627" s="960"/>
      <c r="G1627" s="958"/>
      <c r="H1627" s="958"/>
      <c r="I1627" s="961">
        <f>I1628</f>
        <v>761482.163782157</v>
      </c>
    </row>
    <row r="1628" spans="1:9" ht="15" customHeight="1" x14ac:dyDescent="0.25">
      <c r="A1628" s="958"/>
      <c r="B1628" s="962" t="s">
        <v>3139</v>
      </c>
      <c r="C1628" s="959">
        <v>846</v>
      </c>
      <c r="D1628" s="962" t="s">
        <v>4613</v>
      </c>
      <c r="E1628" s="954"/>
      <c r="F1628" s="960"/>
      <c r="G1628" s="958"/>
      <c r="H1628" s="958"/>
      <c r="I1628" s="961">
        <f>I1630</f>
        <v>761482.163782157</v>
      </c>
    </row>
    <row r="1629" spans="1:9" ht="15" customHeight="1" x14ac:dyDescent="0.25">
      <c r="A1629" s="958"/>
      <c r="B1629" s="962" t="s">
        <v>3137</v>
      </c>
      <c r="C1629" s="959">
        <v>0</v>
      </c>
      <c r="D1629" s="962" t="s">
        <v>4614</v>
      </c>
      <c r="E1629" s="954"/>
      <c r="F1629" s="960"/>
      <c r="G1629" s="958"/>
      <c r="H1629" s="958"/>
      <c r="I1629" s="961">
        <f>I1630</f>
        <v>761482.163782157</v>
      </c>
    </row>
    <row r="1630" spans="1:9" s="946" customFormat="1" ht="29.25" customHeight="1" x14ac:dyDescent="0.25">
      <c r="B1630" s="963" t="s">
        <v>4615</v>
      </c>
      <c r="C1630" s="959">
        <v>1</v>
      </c>
      <c r="D1630" s="963" t="s">
        <v>4616</v>
      </c>
      <c r="E1630" s="954"/>
      <c r="F1630" s="960"/>
      <c r="G1630" s="963"/>
      <c r="H1630" s="956"/>
      <c r="I1630" s="957">
        <f>I1631+I1632+I1633+I1634+I1635+I1638+I1646+I1649+I1653+I1654+I1655+I1656+I1657+I1658+I1659+I1636+I1637+0.03</f>
        <v>761482.163782157</v>
      </c>
    </row>
    <row r="1631" spans="1:9" s="946" customFormat="1" ht="24.95" customHeight="1" x14ac:dyDescent="0.25">
      <c r="B1631" s="963">
        <v>61400</v>
      </c>
      <c r="C1631" s="964">
        <v>331901300000000</v>
      </c>
      <c r="D1631" s="963" t="s">
        <v>4617</v>
      </c>
      <c r="E1631" s="954">
        <v>0</v>
      </c>
      <c r="F1631" s="960">
        <v>1</v>
      </c>
      <c r="G1631" s="963">
        <v>0</v>
      </c>
      <c r="H1631" s="958">
        <v>0</v>
      </c>
      <c r="I1631" s="961">
        <f>(((PUCFD!E1423)*(1+PUCFD!E$10))*(1+PUCFD!E$16))</f>
        <v>1.0973403E-2</v>
      </c>
    </row>
    <row r="1632" spans="1:9" s="946" customFormat="1" ht="24.95" customHeight="1" x14ac:dyDescent="0.25">
      <c r="B1632" s="963">
        <v>61420</v>
      </c>
      <c r="C1632" s="964">
        <v>331909100000000</v>
      </c>
      <c r="D1632" s="963" t="s">
        <v>4618</v>
      </c>
      <c r="E1632" s="954">
        <v>0</v>
      </c>
      <c r="F1632" s="960">
        <v>1</v>
      </c>
      <c r="G1632" s="963">
        <v>0</v>
      </c>
      <c r="H1632" s="958">
        <v>0</v>
      </c>
      <c r="I1632" s="961">
        <f>(((PUCFD!E1430)*(1+PUCFD!E$10))*(1+PUCFD!E$16))</f>
        <v>294557.01567604201</v>
      </c>
    </row>
    <row r="1633" spans="1:9" s="946" customFormat="1" ht="24.95" customHeight="1" x14ac:dyDescent="0.25">
      <c r="B1633" s="963">
        <v>61430</v>
      </c>
      <c r="C1633" s="964">
        <v>331909200000000</v>
      </c>
      <c r="D1633" s="963" t="s">
        <v>3057</v>
      </c>
      <c r="E1633" s="954">
        <v>0</v>
      </c>
      <c r="F1633" s="960">
        <v>1</v>
      </c>
      <c r="G1633" s="963">
        <v>0</v>
      </c>
      <c r="H1633" s="958">
        <v>0</v>
      </c>
      <c r="I1633" s="1419">
        <f>(((PUCFD!E1444)*(1+PUCFD!E$10))*(1+PUCFD!E$16))</f>
        <v>1.0973403E-2</v>
      </c>
    </row>
    <row r="1634" spans="1:9" s="946" customFormat="1" ht="24.95" customHeight="1" x14ac:dyDescent="0.25">
      <c r="B1634" s="963">
        <v>61440</v>
      </c>
      <c r="C1634" s="964">
        <v>332902100000000</v>
      </c>
      <c r="D1634" s="963" t="s">
        <v>4620</v>
      </c>
      <c r="E1634" s="954">
        <v>0</v>
      </c>
      <c r="F1634" s="960">
        <v>1</v>
      </c>
      <c r="G1634" s="963">
        <v>0</v>
      </c>
      <c r="H1634" s="958">
        <v>0</v>
      </c>
      <c r="I1634" s="961">
        <f>(((PUCFD!E1446)*(1+PUCFD!E$10))*(1+PUCFD!E$16))</f>
        <v>1.0973403E-2</v>
      </c>
    </row>
    <row r="1635" spans="1:9" s="946" customFormat="1" ht="24.95" customHeight="1" x14ac:dyDescent="0.25">
      <c r="B1635" s="963">
        <v>61450</v>
      </c>
      <c r="C1635" s="964">
        <v>333309300000000</v>
      </c>
      <c r="D1635" s="963" t="s">
        <v>4621</v>
      </c>
      <c r="E1635" s="954">
        <v>0</v>
      </c>
      <c r="F1635" s="960">
        <v>1</v>
      </c>
      <c r="G1635" s="963">
        <v>0</v>
      </c>
      <c r="H1635" s="958">
        <v>0</v>
      </c>
      <c r="I1635" s="961">
        <f>(((PUCFD!E1449)*(1+PUCFD!E$10))*(1+PUCFD!E$16))</f>
        <v>1.0973403E-2</v>
      </c>
    </row>
    <row r="1636" spans="1:9" s="946" customFormat="1" ht="24.95" customHeight="1" x14ac:dyDescent="0.25">
      <c r="B1636" s="963">
        <v>61460</v>
      </c>
      <c r="C1636" s="964">
        <v>333903000000000</v>
      </c>
      <c r="D1636" s="963" t="s">
        <v>7830</v>
      </c>
      <c r="E1636" s="954">
        <v>0</v>
      </c>
      <c r="F1636" s="960">
        <v>1</v>
      </c>
      <c r="G1636" s="963">
        <v>0</v>
      </c>
      <c r="H1636" s="958">
        <v>0</v>
      </c>
      <c r="I1636" s="1419">
        <f>PUCFD!E1447</f>
        <v>15000</v>
      </c>
    </row>
    <row r="1637" spans="1:9" s="946" customFormat="1" ht="24.95" customHeight="1" x14ac:dyDescent="0.25">
      <c r="B1637" s="963">
        <v>61470</v>
      </c>
      <c r="C1637" s="964">
        <v>333903900000000</v>
      </c>
      <c r="D1637" s="963" t="s">
        <v>7832</v>
      </c>
      <c r="E1637" s="954">
        <v>0</v>
      </c>
      <c r="F1637" s="960">
        <v>1</v>
      </c>
      <c r="G1637" s="963">
        <v>0</v>
      </c>
      <c r="H1637" s="958">
        <v>0</v>
      </c>
      <c r="I1637" s="1419">
        <f>PUCFD!E1448</f>
        <v>20000</v>
      </c>
    </row>
    <row r="1638" spans="1:9" s="946" customFormat="1" ht="24.95" customHeight="1" x14ac:dyDescent="0.25">
      <c r="B1638" s="963">
        <v>61500</v>
      </c>
      <c r="C1638" s="964">
        <v>333903900000000</v>
      </c>
      <c r="D1638" s="963" t="s">
        <v>4622</v>
      </c>
      <c r="E1638" s="954">
        <v>0</v>
      </c>
      <c r="F1638" s="960">
        <v>1</v>
      </c>
      <c r="G1638" s="963">
        <v>0</v>
      </c>
      <c r="H1638" s="958">
        <v>0</v>
      </c>
      <c r="I1638" s="961">
        <f>(((PUCFD!E1450)*(1+PUCFD!E$10))*(1+PUCFD!E$16))</f>
        <v>71084.129950669492</v>
      </c>
    </row>
    <row r="1639" spans="1:9" ht="24.95" customHeight="1" x14ac:dyDescent="0.25">
      <c r="B1639" s="973" t="s">
        <v>4623</v>
      </c>
      <c r="C1639" s="974">
        <v>333903958010000</v>
      </c>
      <c r="D1639" s="973" t="s">
        <v>4624</v>
      </c>
      <c r="E1639" s="948">
        <v>0</v>
      </c>
      <c r="F1639" s="975">
        <v>1</v>
      </c>
      <c r="G1639" s="973">
        <v>0</v>
      </c>
      <c r="H1639" s="972">
        <v>0</v>
      </c>
      <c r="I1639" s="976">
        <v>0</v>
      </c>
    </row>
    <row r="1640" spans="1:9" ht="24.95" customHeight="1" x14ac:dyDescent="0.25">
      <c r="B1640" s="973" t="s">
        <v>4625</v>
      </c>
      <c r="C1640" s="974">
        <v>333903958020000</v>
      </c>
      <c r="D1640" s="973" t="s">
        <v>4626</v>
      </c>
      <c r="E1640" s="948">
        <v>0</v>
      </c>
      <c r="F1640" s="975">
        <v>1</v>
      </c>
      <c r="G1640" s="973">
        <v>0</v>
      </c>
      <c r="H1640" s="972">
        <v>0</v>
      </c>
      <c r="I1640" s="976">
        <v>0</v>
      </c>
    </row>
    <row r="1641" spans="1:9" ht="24.95" customHeight="1" x14ac:dyDescent="0.25">
      <c r="B1641" s="973" t="s">
        <v>4628</v>
      </c>
      <c r="C1641" s="974">
        <v>333903947010000</v>
      </c>
      <c r="D1641" s="973" t="s">
        <v>4629</v>
      </c>
      <c r="E1641" s="948">
        <v>0</v>
      </c>
      <c r="F1641" s="975">
        <v>1</v>
      </c>
      <c r="G1641" s="973">
        <v>0</v>
      </c>
      <c r="H1641" s="972">
        <v>0</v>
      </c>
      <c r="I1641" s="976">
        <v>0</v>
      </c>
    </row>
    <row r="1642" spans="1:9" ht="24.95" customHeight="1" x14ac:dyDescent="0.25">
      <c r="B1642" s="973" t="s">
        <v>4630</v>
      </c>
      <c r="C1642" s="974">
        <v>333903999110000</v>
      </c>
      <c r="D1642" s="973" t="s">
        <v>4631</v>
      </c>
      <c r="E1642" s="948">
        <v>0</v>
      </c>
      <c r="F1642" s="975">
        <v>1</v>
      </c>
      <c r="G1642" s="973">
        <v>0</v>
      </c>
      <c r="H1642" s="972">
        <v>0</v>
      </c>
      <c r="I1642" s="976">
        <v>0</v>
      </c>
    </row>
    <row r="1643" spans="1:9" ht="24.95" customHeight="1" x14ac:dyDescent="0.25">
      <c r="B1643" s="973" t="s">
        <v>4632</v>
      </c>
      <c r="C1643" s="974">
        <v>333903981000000</v>
      </c>
      <c r="D1643" s="973" t="s">
        <v>4633</v>
      </c>
      <c r="E1643" s="948">
        <v>0</v>
      </c>
      <c r="F1643" s="975">
        <v>1</v>
      </c>
      <c r="G1643" s="973">
        <v>0</v>
      </c>
      <c r="H1643" s="972">
        <v>0</v>
      </c>
      <c r="I1643" s="976">
        <v>0</v>
      </c>
    </row>
    <row r="1644" spans="1:9" ht="24.95" customHeight="1" x14ac:dyDescent="0.25">
      <c r="B1644" s="973" t="s">
        <v>4634</v>
      </c>
      <c r="C1644" s="974">
        <v>333903966000000</v>
      </c>
      <c r="D1644" s="973" t="s">
        <v>4635</v>
      </c>
      <c r="E1644" s="948">
        <v>0</v>
      </c>
      <c r="F1644" s="975">
        <v>1</v>
      </c>
      <c r="G1644" s="973">
        <v>0</v>
      </c>
      <c r="H1644" s="972">
        <v>0</v>
      </c>
      <c r="I1644" s="976">
        <v>0</v>
      </c>
    </row>
    <row r="1645" spans="1:9" ht="24.95" customHeight="1" x14ac:dyDescent="0.25">
      <c r="B1645" s="973" t="s">
        <v>4636</v>
      </c>
      <c r="C1645" s="974">
        <v>333903999050000</v>
      </c>
      <c r="D1645" s="973" t="s">
        <v>4637</v>
      </c>
      <c r="E1645" s="948">
        <v>0</v>
      </c>
      <c r="F1645" s="975">
        <v>1</v>
      </c>
      <c r="G1645" s="973">
        <v>0</v>
      </c>
      <c r="H1645" s="972">
        <v>0</v>
      </c>
      <c r="I1645" s="976">
        <v>0</v>
      </c>
    </row>
    <row r="1646" spans="1:9" s="946" customFormat="1" ht="33.75" customHeight="1" x14ac:dyDescent="0.25">
      <c r="B1646" s="963">
        <v>61590</v>
      </c>
      <c r="C1646" s="964">
        <v>333904000000000</v>
      </c>
      <c r="D1646" s="963" t="s">
        <v>5976</v>
      </c>
      <c r="E1646" s="954"/>
      <c r="F1646" s="960">
        <v>1</v>
      </c>
      <c r="G1646" s="963">
        <v>0</v>
      </c>
      <c r="H1646" s="950"/>
      <c r="I1646" s="961">
        <f>I1647+I1648</f>
        <v>137417.248258668</v>
      </c>
    </row>
    <row r="1647" spans="1:9" ht="24.95" customHeight="1" x14ac:dyDescent="0.25">
      <c r="A1647" s="972"/>
      <c r="B1647" s="973" t="s">
        <v>4650</v>
      </c>
      <c r="C1647" s="974">
        <v>333904099000000</v>
      </c>
      <c r="D1647" s="973" t="s">
        <v>5928</v>
      </c>
      <c r="E1647" s="948">
        <v>332311110000000</v>
      </c>
      <c r="F1647" s="975">
        <v>1</v>
      </c>
      <c r="G1647" s="973">
        <v>0</v>
      </c>
      <c r="H1647" s="972">
        <v>0</v>
      </c>
      <c r="I1647" s="976">
        <f>(((PUCFD!E1456)*(1+PUCFD!E$10))*(1+PUCFD!E$16))</f>
        <v>124306.70918399999</v>
      </c>
    </row>
    <row r="1648" spans="1:9" ht="24.95" customHeight="1" x14ac:dyDescent="0.25">
      <c r="A1648" s="972"/>
      <c r="B1648" s="973" t="s">
        <v>7749</v>
      </c>
      <c r="C1648" s="974">
        <v>333904006000000</v>
      </c>
      <c r="D1648" s="973" t="s">
        <v>3044</v>
      </c>
      <c r="E1648" s="948">
        <v>332311000000000</v>
      </c>
      <c r="F1648" s="975">
        <v>1</v>
      </c>
      <c r="G1648" s="973">
        <v>0</v>
      </c>
      <c r="H1648" s="972">
        <v>0</v>
      </c>
      <c r="I1648" s="976">
        <f>(((PUCFD!E1457)*(1+PUCFD!E$10))*(1+PUCFD!E$16))</f>
        <v>13110.539074667999</v>
      </c>
    </row>
    <row r="1649" spans="2:9" s="946" customFormat="1" ht="24.95" customHeight="1" x14ac:dyDescent="0.25">
      <c r="B1649" s="963">
        <v>61600</v>
      </c>
      <c r="C1649" s="964">
        <v>333904700000000</v>
      </c>
      <c r="D1649" s="963" t="s">
        <v>4638</v>
      </c>
      <c r="E1649" s="954">
        <v>0</v>
      </c>
      <c r="F1649" s="960">
        <v>1</v>
      </c>
      <c r="G1649" s="963">
        <v>0</v>
      </c>
      <c r="H1649" s="958">
        <v>0</v>
      </c>
      <c r="I1649" s="961">
        <f>SUM(I1650,I1651,I1652)</f>
        <v>160056.7159595745</v>
      </c>
    </row>
    <row r="1650" spans="2:9" ht="24.95" customHeight="1" x14ac:dyDescent="0.25">
      <c r="B1650" s="973" t="s">
        <v>4639</v>
      </c>
      <c r="C1650" s="974">
        <v>333904715000000</v>
      </c>
      <c r="D1650" s="973" t="s">
        <v>4640</v>
      </c>
      <c r="E1650" s="948">
        <v>0</v>
      </c>
      <c r="F1650" s="975">
        <v>1</v>
      </c>
      <c r="G1650" s="973">
        <v>0</v>
      </c>
      <c r="H1650" s="972">
        <v>0</v>
      </c>
      <c r="I1650" s="976">
        <f>(((PUCFD!E1452)*(1+PUCFD!E$10))*(1+PUCFD!E$16))</f>
        <v>3292.0209</v>
      </c>
    </row>
    <row r="1651" spans="2:9" ht="24.95" customHeight="1" x14ac:dyDescent="0.25">
      <c r="B1651" s="973" t="s">
        <v>4641</v>
      </c>
      <c r="C1651" s="974">
        <v>333904712000000</v>
      </c>
      <c r="D1651" s="973" t="s">
        <v>4642</v>
      </c>
      <c r="E1651" s="948">
        <v>0</v>
      </c>
      <c r="F1651" s="975">
        <v>1</v>
      </c>
      <c r="G1651" s="973">
        <v>0</v>
      </c>
      <c r="H1651" s="972">
        <v>0</v>
      </c>
      <c r="I1651" s="976">
        <f>(((PUCFD!E1453)*(1+PUCFD!E$10))*(1+PUCFD!E$16))</f>
        <v>156764.68298883119</v>
      </c>
    </row>
    <row r="1652" spans="2:9" ht="24.95" customHeight="1" x14ac:dyDescent="0.25">
      <c r="B1652" s="973" t="s">
        <v>4643</v>
      </c>
      <c r="C1652" s="974">
        <v>333904716000000</v>
      </c>
      <c r="D1652" s="973" t="s">
        <v>4644</v>
      </c>
      <c r="E1652" s="948">
        <v>0</v>
      </c>
      <c r="F1652" s="975">
        <v>1</v>
      </c>
      <c r="G1652" s="973">
        <v>0</v>
      </c>
      <c r="H1652" s="972">
        <v>0</v>
      </c>
      <c r="I1652" s="976">
        <f>(((PUCFD!E1454)*(1+PUCFD!E$10))*(1+PUCFD!E$16))</f>
        <v>1.2070743299999999E-2</v>
      </c>
    </row>
    <row r="1653" spans="2:9" s="946" customFormat="1" ht="24.95" customHeight="1" x14ac:dyDescent="0.25">
      <c r="B1653" s="963">
        <v>61700</v>
      </c>
      <c r="C1653" s="964">
        <v>333909100000000</v>
      </c>
      <c r="D1653" s="963" t="s">
        <v>4618</v>
      </c>
      <c r="E1653" s="954">
        <v>0</v>
      </c>
      <c r="F1653" s="960">
        <v>1</v>
      </c>
      <c r="G1653" s="963">
        <v>0</v>
      </c>
      <c r="H1653" s="958">
        <v>0</v>
      </c>
      <c r="I1653" s="961">
        <f>(((PUCFD!E1425+PUCFD!E1427)*(1+PUCFD!E$10))*(1+PUCFD!E$16))</f>
        <v>63366.914203173001</v>
      </c>
    </row>
    <row r="1654" spans="2:9" s="946" customFormat="1" ht="24.95" customHeight="1" x14ac:dyDescent="0.25">
      <c r="B1654" s="963">
        <v>61800</v>
      </c>
      <c r="C1654" s="964">
        <v>333909200000000</v>
      </c>
      <c r="D1654" s="963" t="s">
        <v>3742</v>
      </c>
      <c r="E1654" s="954">
        <v>0</v>
      </c>
      <c r="F1654" s="960">
        <v>1</v>
      </c>
      <c r="G1654" s="963">
        <v>0</v>
      </c>
      <c r="H1654" s="958">
        <v>0</v>
      </c>
      <c r="I1654" s="961">
        <f>(((PUCFD!E1459)*(1+PUCFD!E$10))*(1+PUCFD!E$16))</f>
        <v>1.0973403E-2</v>
      </c>
    </row>
    <row r="1655" spans="2:9" s="946" customFormat="1" ht="24.95" customHeight="1" x14ac:dyDescent="0.25">
      <c r="B1655" s="963">
        <v>61900</v>
      </c>
      <c r="C1655" s="964">
        <v>333909300000000</v>
      </c>
      <c r="D1655" s="963" t="s">
        <v>4645</v>
      </c>
      <c r="E1655" s="954">
        <v>0</v>
      </c>
      <c r="F1655" s="960">
        <v>1</v>
      </c>
      <c r="G1655" s="963">
        <v>0</v>
      </c>
      <c r="H1655" s="958">
        <v>0</v>
      </c>
      <c r="I1655" s="961">
        <f>(((PUCFD!E1460)*(1+PUCFD!E$10))*(1+PUCFD!E$16))</f>
        <v>1.0973403E-2</v>
      </c>
    </row>
    <row r="1656" spans="2:9" s="946" customFormat="1" ht="24.95" customHeight="1" x14ac:dyDescent="0.25">
      <c r="B1656" s="963">
        <v>62000</v>
      </c>
      <c r="C1656" s="964">
        <v>344209300000000</v>
      </c>
      <c r="D1656" s="963" t="s">
        <v>4646</v>
      </c>
      <c r="E1656" s="954">
        <v>0</v>
      </c>
      <c r="F1656" s="960">
        <v>1</v>
      </c>
      <c r="G1656" s="963">
        <v>0</v>
      </c>
      <c r="H1656" s="958">
        <v>0</v>
      </c>
      <c r="I1656" s="961">
        <f>(((PUCFD!E1461)*(1+PUCFD!E$10))*(1+PUCFD!E$16))</f>
        <v>1.0973403E-2</v>
      </c>
    </row>
    <row r="1657" spans="2:9" s="946" customFormat="1" ht="24.95" customHeight="1" x14ac:dyDescent="0.25">
      <c r="B1657" s="963">
        <v>62100</v>
      </c>
      <c r="C1657" s="964">
        <v>344309300000000</v>
      </c>
      <c r="D1657" s="963" t="s">
        <v>4647</v>
      </c>
      <c r="E1657" s="954">
        <v>0</v>
      </c>
      <c r="F1657" s="960">
        <v>1</v>
      </c>
      <c r="G1657" s="963">
        <v>0</v>
      </c>
      <c r="H1657" s="958">
        <v>0</v>
      </c>
      <c r="I1657" s="961">
        <f>(((PUCFD!E1462)*(1+PUCFD!E$10))*(1+PUCFD!E$16))</f>
        <v>1.0973403E-2</v>
      </c>
    </row>
    <row r="1658" spans="2:9" s="946" customFormat="1" ht="24.95" customHeight="1" x14ac:dyDescent="0.25">
      <c r="B1658" s="963">
        <v>62200</v>
      </c>
      <c r="C1658" s="964">
        <v>344909200000000</v>
      </c>
      <c r="D1658" s="963" t="s">
        <v>3742</v>
      </c>
      <c r="E1658" s="954">
        <v>0</v>
      </c>
      <c r="F1658" s="960">
        <v>1</v>
      </c>
      <c r="G1658" s="963">
        <v>0</v>
      </c>
      <c r="H1658" s="958">
        <v>0</v>
      </c>
      <c r="I1658" s="961">
        <f>(((PUCFD!E1463)*(1+PUCFD!E$10))*(1+PUCFD!E$16))</f>
        <v>1.0973403E-2</v>
      </c>
    </row>
    <row r="1659" spans="2:9" s="946" customFormat="1" ht="24.95" customHeight="1" x14ac:dyDescent="0.25">
      <c r="B1659" s="963">
        <v>62300</v>
      </c>
      <c r="C1659" s="964">
        <v>346907100000000</v>
      </c>
      <c r="D1659" s="963" t="s">
        <v>4648</v>
      </c>
      <c r="E1659" s="954">
        <v>0</v>
      </c>
      <c r="F1659" s="960">
        <v>1</v>
      </c>
      <c r="G1659" s="963">
        <v>0</v>
      </c>
      <c r="H1659" s="958">
        <v>0</v>
      </c>
      <c r="I1659" s="961">
        <f>(((PUCFD!E1464)*(1+PUCFD!E$10))*(1+PUCFD!E$16))</f>
        <v>1.0973403E-2</v>
      </c>
    </row>
    <row r="1660" spans="2:9" s="946" customFormat="1" ht="24.95" customHeight="1" x14ac:dyDescent="0.25">
      <c r="B1660" s="1608" t="s">
        <v>3336</v>
      </c>
      <c r="C1660" s="1608"/>
      <c r="D1660" s="1608"/>
      <c r="E1660" s="1608"/>
      <c r="F1660" s="1608"/>
      <c r="G1660" s="1608"/>
      <c r="H1660" s="1608"/>
      <c r="I1660" s="957">
        <f>I1630-0.09</f>
        <v>761482.07378215704</v>
      </c>
    </row>
    <row r="1661" spans="2:9" s="946" customFormat="1" ht="24.95" customHeight="1" x14ac:dyDescent="0.25">
      <c r="B1661" s="1608" t="s">
        <v>4651</v>
      </c>
      <c r="C1661" s="1608"/>
      <c r="D1661" s="1608"/>
      <c r="E1661" s="1608"/>
      <c r="F1661" s="1608"/>
      <c r="G1661" s="1608"/>
      <c r="H1661" s="1608"/>
      <c r="I1661" s="957">
        <f>I1660</f>
        <v>761482.07378215704</v>
      </c>
    </row>
    <row r="1662" spans="2:9" s="946" customFormat="1" ht="24.95" customHeight="1" x14ac:dyDescent="0.25">
      <c r="B1662" s="987"/>
      <c r="C1662" s="988"/>
      <c r="D1662" s="987"/>
      <c r="E1662" s="954" t="s">
        <v>4777</v>
      </c>
      <c r="F1662" s="960"/>
      <c r="G1662" s="960"/>
      <c r="H1662" s="958"/>
      <c r="I1662" s="961"/>
    </row>
    <row r="1663" spans="2:9" s="946" customFormat="1" ht="24.95" customHeight="1" x14ac:dyDescent="0.25">
      <c r="B1663" s="987"/>
      <c r="C1663" s="988"/>
      <c r="D1663" s="987"/>
      <c r="E1663" s="948"/>
      <c r="F1663" s="949">
        <v>1</v>
      </c>
      <c r="G1663" s="945">
        <v>0</v>
      </c>
      <c r="H1663" s="950">
        <v>0</v>
      </c>
      <c r="I1663" s="951">
        <f>I1660</f>
        <v>761482.07378215704</v>
      </c>
    </row>
    <row r="1664" spans="2:9" s="946" customFormat="1" ht="24.95" customHeight="1" x14ac:dyDescent="0.25">
      <c r="B1664" s="987"/>
      <c r="C1664" s="988"/>
      <c r="D1664" s="987"/>
      <c r="E1664" s="987"/>
      <c r="F1664" s="955"/>
      <c r="G1664" s="987"/>
      <c r="H1664" s="987"/>
      <c r="I1664" s="957"/>
    </row>
    <row r="1666" spans="1:13" s="946" customFormat="1" ht="24.95" customHeight="1" x14ac:dyDescent="0.25">
      <c r="B1666" s="946" t="s">
        <v>3088</v>
      </c>
      <c r="C1666" s="953" t="s">
        <v>3136</v>
      </c>
      <c r="E1666" s="954"/>
      <c r="F1666" s="955"/>
      <c r="H1666" s="956"/>
      <c r="I1666" s="957"/>
    </row>
    <row r="1667" spans="1:13" s="946" customFormat="1" ht="24.95" customHeight="1" x14ac:dyDescent="0.25">
      <c r="B1667" s="946" t="s">
        <v>3087</v>
      </c>
      <c r="C1667" s="953" t="s">
        <v>4653</v>
      </c>
      <c r="E1667" s="954"/>
      <c r="F1667" s="955"/>
      <c r="H1667" s="956"/>
      <c r="I1667" s="957"/>
    </row>
    <row r="1668" spans="1:13" s="946" customFormat="1" ht="24.95" customHeight="1" x14ac:dyDescent="0.25">
      <c r="B1668" s="946" t="s">
        <v>3089</v>
      </c>
      <c r="C1668" s="953" t="s">
        <v>3146</v>
      </c>
      <c r="E1668" s="954"/>
      <c r="F1668" s="955"/>
      <c r="H1668" s="956"/>
      <c r="I1668" s="957"/>
    </row>
    <row r="1669" spans="1:13" ht="33.75" customHeight="1" x14ac:dyDescent="0.25">
      <c r="A1669" s="958"/>
      <c r="B1669" s="958" t="s">
        <v>2967</v>
      </c>
      <c r="C1669" s="959" t="s">
        <v>472</v>
      </c>
      <c r="D1669" s="958" t="s">
        <v>2968</v>
      </c>
      <c r="E1669" s="954" t="s">
        <v>3066</v>
      </c>
      <c r="F1669" s="960" t="s">
        <v>1403</v>
      </c>
      <c r="G1669" s="958" t="s">
        <v>2969</v>
      </c>
      <c r="H1669" s="958" t="s">
        <v>3065</v>
      </c>
      <c r="I1669" s="961" t="s">
        <v>2531</v>
      </c>
    </row>
    <row r="1670" spans="1:13" ht="15" customHeight="1" x14ac:dyDescent="0.25">
      <c r="A1670" s="958"/>
      <c r="B1670" s="962" t="s">
        <v>3138</v>
      </c>
      <c r="C1670" s="959">
        <v>99</v>
      </c>
      <c r="D1670" s="962" t="s">
        <v>70</v>
      </c>
      <c r="E1670" s="954"/>
      <c r="F1670" s="960"/>
      <c r="G1670" s="958"/>
      <c r="H1670" s="958"/>
      <c r="I1670" s="961">
        <f>I1671</f>
        <v>754762.35576939746</v>
      </c>
    </row>
    <row r="1671" spans="1:13" ht="15" customHeight="1" x14ac:dyDescent="0.25">
      <c r="A1671" s="958"/>
      <c r="B1671" s="962" t="s">
        <v>3139</v>
      </c>
      <c r="C1671" s="959">
        <v>99</v>
      </c>
      <c r="D1671" s="962" t="s">
        <v>70</v>
      </c>
      <c r="E1671" s="954"/>
      <c r="F1671" s="960"/>
      <c r="G1671" s="958"/>
      <c r="H1671" s="958"/>
      <c r="I1671" s="961">
        <f>I1673</f>
        <v>754762.35576939746</v>
      </c>
    </row>
    <row r="1672" spans="1:13" ht="15" customHeight="1" x14ac:dyDescent="0.25">
      <c r="A1672" s="958"/>
      <c r="B1672" s="962" t="s">
        <v>3137</v>
      </c>
      <c r="C1672" s="959">
        <v>99</v>
      </c>
      <c r="D1672" s="962" t="s">
        <v>70</v>
      </c>
      <c r="E1672" s="954"/>
      <c r="F1672" s="960"/>
      <c r="G1672" s="958"/>
      <c r="H1672" s="958"/>
      <c r="I1672" s="961">
        <f>I1673</f>
        <v>754762.35576939746</v>
      </c>
    </row>
    <row r="1673" spans="1:13" s="946" customFormat="1" ht="29.25" customHeight="1" x14ac:dyDescent="0.25">
      <c r="B1673" s="963" t="s">
        <v>2965</v>
      </c>
      <c r="C1673" s="959">
        <v>27</v>
      </c>
      <c r="D1673" s="963" t="s">
        <v>4652</v>
      </c>
      <c r="E1673" s="954"/>
      <c r="F1673" s="960"/>
      <c r="G1673" s="963"/>
      <c r="H1673" s="956"/>
      <c r="I1673" s="957">
        <f>SUM(I1674:I1678)</f>
        <v>754762.35576939746</v>
      </c>
    </row>
    <row r="1674" spans="1:13" s="946" customFormat="1" ht="35.25" customHeight="1" x14ac:dyDescent="0.25">
      <c r="B1674" s="963">
        <v>63000</v>
      </c>
      <c r="C1674" s="964">
        <v>399999900000000</v>
      </c>
      <c r="D1674" s="963" t="s">
        <v>7833</v>
      </c>
      <c r="E1674" s="954">
        <v>0</v>
      </c>
      <c r="F1674" s="960">
        <v>1</v>
      </c>
      <c r="G1674" s="963">
        <v>0</v>
      </c>
      <c r="H1674" s="958">
        <v>0</v>
      </c>
      <c r="I1674" s="957">
        <f>PUCFD!E1467-250000-200000-68040+385000.2-632293.01</f>
        <v>66777.189929397544</v>
      </c>
      <c r="J1674" s="1013"/>
      <c r="K1674" s="1013"/>
      <c r="L1674" s="1012"/>
    </row>
    <row r="1675" spans="1:13" s="946" customFormat="1" ht="24.95" customHeight="1" x14ac:dyDescent="0.25">
      <c r="B1675" s="963">
        <v>63010</v>
      </c>
      <c r="C1675" s="964">
        <v>399999900000000</v>
      </c>
      <c r="D1675" s="963" t="s">
        <v>7834</v>
      </c>
      <c r="E1675" s="954">
        <v>0</v>
      </c>
      <c r="F1675" s="960">
        <v>1</v>
      </c>
      <c r="G1675" s="963">
        <v>0</v>
      </c>
      <c r="H1675" s="958">
        <v>0</v>
      </c>
      <c r="I1675" s="957">
        <f>PUCFD!E1468</f>
        <v>189405.15583999996</v>
      </c>
      <c r="J1675" s="1013"/>
      <c r="K1675" s="1013"/>
    </row>
    <row r="1676" spans="1:13" s="946" customFormat="1" ht="33" customHeight="1" x14ac:dyDescent="0.25">
      <c r="B1676" s="963">
        <v>63020</v>
      </c>
      <c r="C1676" s="964">
        <v>399999900000000</v>
      </c>
      <c r="D1676" s="963" t="s">
        <v>7835</v>
      </c>
      <c r="E1676" s="954">
        <v>0</v>
      </c>
      <c r="F1676" s="960">
        <v>1</v>
      </c>
      <c r="G1676" s="963">
        <v>0</v>
      </c>
      <c r="H1676" s="958">
        <v>0</v>
      </c>
      <c r="I1676" s="957">
        <f>PUCFD!E1469</f>
        <v>0.01</v>
      </c>
      <c r="J1676" s="1013"/>
      <c r="K1676" s="1013"/>
      <c r="L1676" s="1012"/>
    </row>
    <row r="1677" spans="1:13" s="946" customFormat="1" ht="33" customHeight="1" x14ac:dyDescent="0.25">
      <c r="B1677" s="963">
        <v>63040</v>
      </c>
      <c r="C1677" s="964">
        <v>399999900000000</v>
      </c>
      <c r="D1677" s="963" t="s">
        <v>7836</v>
      </c>
      <c r="E1677" s="954">
        <v>0</v>
      </c>
      <c r="F1677" s="960">
        <v>1</v>
      </c>
      <c r="G1677" s="963">
        <v>0</v>
      </c>
      <c r="H1677" s="958">
        <v>0</v>
      </c>
      <c r="I1677" s="957">
        <f>PUCFD!E1470</f>
        <v>398580</v>
      </c>
      <c r="J1677" s="1013"/>
      <c r="K1677" s="1013"/>
      <c r="L1677" s="1012"/>
    </row>
    <row r="1678" spans="1:13" s="946" customFormat="1" ht="33" customHeight="1" x14ac:dyDescent="0.25">
      <c r="B1678" s="963">
        <v>63060</v>
      </c>
      <c r="C1678" s="964">
        <v>399999900000000</v>
      </c>
      <c r="D1678" s="963" t="s">
        <v>7837</v>
      </c>
      <c r="E1678" s="954">
        <v>0</v>
      </c>
      <c r="F1678" s="960">
        <v>1</v>
      </c>
      <c r="G1678" s="963">
        <v>0</v>
      </c>
      <c r="H1678" s="958">
        <v>0</v>
      </c>
      <c r="I1678" s="957">
        <f>PUCFD!E1471-150000</f>
        <v>100000</v>
      </c>
      <c r="J1678" s="1013"/>
      <c r="K1678" s="1013"/>
      <c r="L1678" s="1012"/>
    </row>
    <row r="1679" spans="1:13" s="946" customFormat="1" ht="24.95" customHeight="1" x14ac:dyDescent="0.25">
      <c r="B1679" s="1608" t="s">
        <v>3336</v>
      </c>
      <c r="C1679" s="1608"/>
      <c r="D1679" s="1608"/>
      <c r="E1679" s="1608"/>
      <c r="F1679" s="1608"/>
      <c r="G1679" s="1608"/>
      <c r="H1679" s="1608"/>
      <c r="I1679" s="957">
        <f>I1673</f>
        <v>754762.35576939746</v>
      </c>
      <c r="J1679" s="1013"/>
    </row>
    <row r="1680" spans="1:13" s="946" customFormat="1" ht="24.95" customHeight="1" x14ac:dyDescent="0.25">
      <c r="B1680" s="1608" t="s">
        <v>4654</v>
      </c>
      <c r="C1680" s="1608"/>
      <c r="D1680" s="1608"/>
      <c r="E1680" s="1608"/>
      <c r="F1680" s="1608"/>
      <c r="G1680" s="1608"/>
      <c r="H1680" s="1608"/>
      <c r="I1680" s="957">
        <f>I1679</f>
        <v>754762.35576939746</v>
      </c>
      <c r="J1680" s="1013"/>
      <c r="K1680" s="1012"/>
      <c r="L1680" s="1013"/>
      <c r="M1680" s="1012"/>
    </row>
    <row r="1681" spans="1:13" s="946" customFormat="1" ht="24.95" customHeight="1" x14ac:dyDescent="0.25">
      <c r="B1681" s="987"/>
      <c r="C1681" s="988"/>
      <c r="D1681" s="987"/>
      <c r="E1681" s="954" t="s">
        <v>4777</v>
      </c>
      <c r="F1681" s="960"/>
      <c r="G1681" s="960"/>
      <c r="H1681" s="958"/>
      <c r="I1681" s="961"/>
    </row>
    <row r="1682" spans="1:13" s="946" customFormat="1" ht="24.95" customHeight="1" x14ac:dyDescent="0.25">
      <c r="B1682" s="987"/>
      <c r="C1682" s="988"/>
      <c r="D1682" s="987"/>
      <c r="E1682" s="948"/>
      <c r="F1682" s="949">
        <v>1</v>
      </c>
      <c r="G1682" s="945">
        <v>0</v>
      </c>
      <c r="H1682" s="950">
        <v>0</v>
      </c>
      <c r="I1682" s="951">
        <f>I1679</f>
        <v>754762.35576939746</v>
      </c>
      <c r="J1682" s="1012"/>
      <c r="M1682" s="1013"/>
    </row>
    <row r="1683" spans="1:13" s="946" customFormat="1" ht="24.95" customHeight="1" x14ac:dyDescent="0.25">
      <c r="B1683" s="987"/>
      <c r="C1683" s="988"/>
      <c r="D1683" s="987"/>
      <c r="E1683" s="987"/>
      <c r="F1683" s="955"/>
      <c r="G1683" s="987"/>
      <c r="H1683" s="987"/>
      <c r="I1683" s="957"/>
    </row>
    <row r="1685" spans="1:13" s="946" customFormat="1" ht="24.95" customHeight="1" x14ac:dyDescent="0.25">
      <c r="B1685" s="946" t="s">
        <v>3088</v>
      </c>
      <c r="C1685" s="953" t="s">
        <v>3136</v>
      </c>
      <c r="E1685" s="954"/>
      <c r="F1685" s="955"/>
      <c r="H1685" s="956"/>
      <c r="I1685" s="957"/>
    </row>
    <row r="1686" spans="1:13" s="946" customFormat="1" ht="24.95" customHeight="1" x14ac:dyDescent="0.25">
      <c r="B1686" s="946" t="s">
        <v>3087</v>
      </c>
      <c r="C1686" s="953" t="s">
        <v>4656</v>
      </c>
      <c r="E1686" s="954"/>
      <c r="F1686" s="955"/>
      <c r="H1686" s="956"/>
      <c r="I1686" s="957"/>
    </row>
    <row r="1687" spans="1:13" s="946" customFormat="1" ht="24.95" customHeight="1" x14ac:dyDescent="0.25">
      <c r="B1687" s="946" t="s">
        <v>3089</v>
      </c>
      <c r="C1687" s="953" t="s">
        <v>3146</v>
      </c>
      <c r="E1687" s="954"/>
      <c r="F1687" s="955"/>
      <c r="H1687" s="956"/>
      <c r="I1687" s="957"/>
    </row>
    <row r="1688" spans="1:13" ht="33.75" customHeight="1" x14ac:dyDescent="0.25">
      <c r="A1688" s="958"/>
      <c r="B1688" s="958" t="s">
        <v>2967</v>
      </c>
      <c r="C1688" s="959" t="s">
        <v>472</v>
      </c>
      <c r="D1688" s="958" t="s">
        <v>2968</v>
      </c>
      <c r="E1688" s="954" t="s">
        <v>3066</v>
      </c>
      <c r="F1688" s="960" t="s">
        <v>1403</v>
      </c>
      <c r="G1688" s="958" t="s">
        <v>2969</v>
      </c>
      <c r="H1688" s="958" t="s">
        <v>3065</v>
      </c>
      <c r="I1688" s="961" t="s">
        <v>2531</v>
      </c>
    </row>
    <row r="1689" spans="1:13" ht="15" customHeight="1" x14ac:dyDescent="0.25">
      <c r="A1689" s="958"/>
      <c r="B1689" s="962" t="s">
        <v>3138</v>
      </c>
      <c r="C1689" s="959">
        <v>17</v>
      </c>
      <c r="D1689" s="962" t="s">
        <v>4531</v>
      </c>
      <c r="E1689" s="954"/>
      <c r="F1689" s="960"/>
      <c r="G1689" s="958"/>
      <c r="H1689" s="958"/>
      <c r="I1689" s="961">
        <f>I1690</f>
        <v>1</v>
      </c>
    </row>
    <row r="1690" spans="1:13" ht="15" customHeight="1" x14ac:dyDescent="0.25">
      <c r="A1690" s="958"/>
      <c r="B1690" s="962" t="s">
        <v>3139</v>
      </c>
      <c r="C1690" s="959">
        <v>511</v>
      </c>
      <c r="D1690" s="962" t="s">
        <v>4532</v>
      </c>
      <c r="E1690" s="954"/>
      <c r="F1690" s="960"/>
      <c r="G1690" s="958"/>
      <c r="H1690" s="958"/>
      <c r="I1690" s="961">
        <f>I1692</f>
        <v>1</v>
      </c>
    </row>
    <row r="1691" spans="1:13" ht="15" customHeight="1" x14ac:dyDescent="0.25">
      <c r="A1691" s="958"/>
      <c r="B1691" s="962" t="s">
        <v>3137</v>
      </c>
      <c r="C1691" s="959">
        <v>11</v>
      </c>
      <c r="D1691" s="962" t="s">
        <v>4533</v>
      </c>
      <c r="E1691" s="954"/>
      <c r="F1691" s="960"/>
      <c r="G1691" s="958"/>
      <c r="H1691" s="958"/>
      <c r="I1691" s="961">
        <f>I1692</f>
        <v>1</v>
      </c>
    </row>
    <row r="1692" spans="1:13" s="946" customFormat="1" ht="29.25" customHeight="1" x14ac:dyDescent="0.25">
      <c r="B1692" s="963" t="s">
        <v>2965</v>
      </c>
      <c r="C1692" s="959">
        <v>34</v>
      </c>
      <c r="D1692" s="963" t="s">
        <v>4574</v>
      </c>
      <c r="E1692" s="954"/>
      <c r="F1692" s="960"/>
      <c r="G1692" s="963"/>
      <c r="H1692" s="956"/>
      <c r="I1692" s="957">
        <f>SUM(I1693,I1694)</f>
        <v>1</v>
      </c>
    </row>
    <row r="1693" spans="1:13" s="946" customFormat="1" ht="35.25" customHeight="1" x14ac:dyDescent="0.25">
      <c r="B1693" s="963">
        <v>64000</v>
      </c>
      <c r="C1693" s="964">
        <v>344209300000000</v>
      </c>
      <c r="D1693" s="963" t="s">
        <v>4658</v>
      </c>
      <c r="E1693" s="954">
        <v>0</v>
      </c>
      <c r="F1693" s="955">
        <v>1127</v>
      </c>
      <c r="G1693" s="946">
        <v>0</v>
      </c>
      <c r="H1693" s="956"/>
      <c r="I1693" s="957">
        <f>PUCFD!E1475</f>
        <v>1</v>
      </c>
    </row>
    <row r="1694" spans="1:13" s="946" customFormat="1" ht="24.95" customHeight="1" x14ac:dyDescent="0.25">
      <c r="B1694" s="973" t="s">
        <v>4659</v>
      </c>
      <c r="C1694" s="974">
        <v>344209300010000</v>
      </c>
      <c r="D1694" s="973" t="s">
        <v>4658</v>
      </c>
      <c r="E1694" s="948">
        <v>0</v>
      </c>
      <c r="F1694" s="949">
        <v>1127</v>
      </c>
      <c r="G1694" s="945">
        <v>0</v>
      </c>
      <c r="H1694" s="950"/>
      <c r="I1694" s="951">
        <v>0</v>
      </c>
    </row>
    <row r="1695" spans="1:13" s="946" customFormat="1" ht="24.95" customHeight="1" x14ac:dyDescent="0.25">
      <c r="B1695" s="1608" t="s">
        <v>3336</v>
      </c>
      <c r="C1695" s="1608"/>
      <c r="D1695" s="1608"/>
      <c r="E1695" s="1608"/>
      <c r="F1695" s="1608"/>
      <c r="G1695" s="1608"/>
      <c r="H1695" s="1608"/>
      <c r="I1695" s="957">
        <f>SUM(I1692)</f>
        <v>1</v>
      </c>
    </row>
    <row r="1696" spans="1:13" s="946" customFormat="1" ht="24.95" customHeight="1" x14ac:dyDescent="0.25">
      <c r="B1696" s="1608" t="s">
        <v>4657</v>
      </c>
      <c r="C1696" s="1608"/>
      <c r="D1696" s="1608"/>
      <c r="E1696" s="1608"/>
      <c r="F1696" s="1608"/>
      <c r="G1696" s="1608"/>
      <c r="H1696" s="1608"/>
      <c r="I1696" s="957">
        <f>I1695</f>
        <v>1</v>
      </c>
    </row>
    <row r="1697" spans="1:9" ht="24.95" customHeight="1" x14ac:dyDescent="0.25">
      <c r="E1697" s="954" t="s">
        <v>4777</v>
      </c>
      <c r="F1697" s="960"/>
      <c r="G1697" s="960"/>
      <c r="H1697" s="958"/>
      <c r="I1697" s="961"/>
    </row>
    <row r="1698" spans="1:9" ht="24.95" customHeight="1" x14ac:dyDescent="0.25">
      <c r="F1698" s="949">
        <v>1127</v>
      </c>
      <c r="G1698" s="945">
        <v>0</v>
      </c>
      <c r="H1698" s="950">
        <v>0</v>
      </c>
      <c r="I1698" s="951">
        <f>I1695</f>
        <v>1</v>
      </c>
    </row>
    <row r="1700" spans="1:9" s="946" customFormat="1" ht="24.95" customHeight="1" x14ac:dyDescent="0.25">
      <c r="B1700" s="946" t="s">
        <v>3088</v>
      </c>
      <c r="C1700" s="953" t="s">
        <v>3136</v>
      </c>
      <c r="E1700" s="954"/>
      <c r="F1700" s="955"/>
      <c r="H1700" s="956"/>
      <c r="I1700" s="957"/>
    </row>
    <row r="1701" spans="1:9" s="946" customFormat="1" ht="24.95" customHeight="1" x14ac:dyDescent="0.25">
      <c r="B1701" s="946" t="s">
        <v>3087</v>
      </c>
      <c r="C1701" s="953" t="s">
        <v>4661</v>
      </c>
      <c r="E1701" s="954"/>
      <c r="F1701" s="955"/>
      <c r="H1701" s="956"/>
      <c r="I1701" s="957"/>
    </row>
    <row r="1702" spans="1:9" s="946" customFormat="1" ht="24.95" customHeight="1" x14ac:dyDescent="0.25">
      <c r="B1702" s="946" t="s">
        <v>3089</v>
      </c>
      <c r="C1702" s="953" t="s">
        <v>3146</v>
      </c>
      <c r="E1702" s="954"/>
      <c r="F1702" s="955"/>
      <c r="H1702" s="956"/>
      <c r="I1702" s="957"/>
    </row>
    <row r="1703" spans="1:9" ht="33.75" customHeight="1" x14ac:dyDescent="0.25">
      <c r="A1703" s="958"/>
      <c r="B1703" s="958" t="s">
        <v>2967</v>
      </c>
      <c r="C1703" s="959" t="s">
        <v>472</v>
      </c>
      <c r="D1703" s="958" t="s">
        <v>2968</v>
      </c>
      <c r="E1703" s="954" t="s">
        <v>3066</v>
      </c>
      <c r="F1703" s="960" t="s">
        <v>1403</v>
      </c>
      <c r="G1703" s="958" t="s">
        <v>2969</v>
      </c>
      <c r="H1703" s="958" t="s">
        <v>3065</v>
      </c>
      <c r="I1703" s="961" t="s">
        <v>2531</v>
      </c>
    </row>
    <row r="1704" spans="1:9" ht="15" customHeight="1" x14ac:dyDescent="0.25">
      <c r="A1704" s="958"/>
      <c r="B1704" s="962" t="s">
        <v>3138</v>
      </c>
      <c r="C1704" s="959">
        <v>4</v>
      </c>
      <c r="D1704" s="962" t="s">
        <v>3142</v>
      </c>
      <c r="E1704" s="954"/>
      <c r="F1704" s="960"/>
      <c r="G1704" s="958"/>
      <c r="H1704" s="958"/>
      <c r="I1704" s="961">
        <f>I1705</f>
        <v>6.0000000000000005E-2</v>
      </c>
    </row>
    <row r="1705" spans="1:9" ht="15" customHeight="1" x14ac:dyDescent="0.25">
      <c r="A1705" s="958"/>
      <c r="B1705" s="962" t="s">
        <v>3139</v>
      </c>
      <c r="C1705" s="959">
        <v>122</v>
      </c>
      <c r="D1705" s="962" t="s">
        <v>3143</v>
      </c>
      <c r="E1705" s="954"/>
      <c r="F1705" s="960"/>
      <c r="G1705" s="958"/>
      <c r="H1705" s="958"/>
      <c r="I1705" s="961">
        <f>I1707</f>
        <v>6.0000000000000005E-2</v>
      </c>
    </row>
    <row r="1706" spans="1:9" ht="15" customHeight="1" x14ac:dyDescent="0.25">
      <c r="A1706" s="958"/>
      <c r="B1706" s="962" t="s">
        <v>3137</v>
      </c>
      <c r="C1706" s="959">
        <v>3</v>
      </c>
      <c r="D1706" s="962" t="s">
        <v>4608</v>
      </c>
      <c r="E1706" s="954"/>
      <c r="F1706" s="960"/>
      <c r="G1706" s="958"/>
      <c r="H1706" s="958"/>
      <c r="I1706" s="961">
        <f>I1707</f>
        <v>6.0000000000000005E-2</v>
      </c>
    </row>
    <row r="1707" spans="1:9" s="946" customFormat="1" ht="29.25" customHeight="1" x14ac:dyDescent="0.25">
      <c r="B1707" s="963" t="s">
        <v>2950</v>
      </c>
      <c r="C1707" s="959">
        <v>2</v>
      </c>
      <c r="D1707" s="963" t="s">
        <v>3393</v>
      </c>
      <c r="E1707" s="954"/>
      <c r="F1707" s="960"/>
      <c r="G1707" s="963"/>
      <c r="H1707" s="956"/>
      <c r="I1707" s="957">
        <f>SUM(I1708,I1709,I1710,I1711,I1712,I1713)</f>
        <v>6.0000000000000005E-2</v>
      </c>
    </row>
    <row r="1708" spans="1:9" ht="24.95" customHeight="1" x14ac:dyDescent="0.25">
      <c r="B1708" s="973">
        <v>65000</v>
      </c>
      <c r="C1708" s="974">
        <v>333904700000000</v>
      </c>
      <c r="D1708" s="973" t="s">
        <v>4663</v>
      </c>
      <c r="E1708" s="948">
        <v>0</v>
      </c>
      <c r="F1708" s="975">
        <v>1</v>
      </c>
      <c r="G1708" s="973">
        <v>0</v>
      </c>
      <c r="H1708" s="972">
        <v>0</v>
      </c>
      <c r="I1708" s="951">
        <f>PUCFD!E1479</f>
        <v>0.01</v>
      </c>
    </row>
    <row r="1709" spans="1:9" ht="24.95" customHeight="1" x14ac:dyDescent="0.25">
      <c r="B1709" s="973">
        <v>65100</v>
      </c>
      <c r="C1709" s="974">
        <v>344903000000000</v>
      </c>
      <c r="D1709" s="973" t="s">
        <v>4664</v>
      </c>
      <c r="E1709" s="948">
        <v>0</v>
      </c>
      <c r="F1709" s="975">
        <v>1</v>
      </c>
      <c r="G1709" s="973">
        <v>0</v>
      </c>
      <c r="H1709" s="972">
        <v>0</v>
      </c>
      <c r="I1709" s="951">
        <f>PUCFD!E1480</f>
        <v>0.01</v>
      </c>
    </row>
    <row r="1710" spans="1:9" ht="24.95" customHeight="1" x14ac:dyDescent="0.25">
      <c r="B1710" s="973">
        <v>65200</v>
      </c>
      <c r="C1710" s="974">
        <v>344903600000000</v>
      </c>
      <c r="D1710" s="973" t="s">
        <v>4665</v>
      </c>
      <c r="E1710" s="948">
        <v>0</v>
      </c>
      <c r="F1710" s="975">
        <v>1</v>
      </c>
      <c r="G1710" s="973">
        <v>0</v>
      </c>
      <c r="H1710" s="972">
        <v>0</v>
      </c>
      <c r="I1710" s="951">
        <f>PUCFD!E1481</f>
        <v>0.01</v>
      </c>
    </row>
    <row r="1711" spans="1:9" ht="24.95" customHeight="1" x14ac:dyDescent="0.25">
      <c r="B1711" s="973">
        <v>65300</v>
      </c>
      <c r="C1711" s="974">
        <v>344903900000000</v>
      </c>
      <c r="D1711" s="973" t="s">
        <v>4666</v>
      </c>
      <c r="E1711" s="948">
        <v>0</v>
      </c>
      <c r="F1711" s="975">
        <v>1</v>
      </c>
      <c r="G1711" s="973">
        <v>0</v>
      </c>
      <c r="H1711" s="972">
        <v>0</v>
      </c>
      <c r="I1711" s="951">
        <f>PUCFD!E1482</f>
        <v>0.01</v>
      </c>
    </row>
    <row r="1712" spans="1:9" ht="24.95" customHeight="1" x14ac:dyDescent="0.25">
      <c r="B1712" s="973">
        <v>65400</v>
      </c>
      <c r="C1712" s="974">
        <v>344905100000000</v>
      </c>
      <c r="D1712" s="973" t="s">
        <v>4667</v>
      </c>
      <c r="E1712" s="948">
        <v>0</v>
      </c>
      <c r="F1712" s="975">
        <v>1</v>
      </c>
      <c r="G1712" s="973">
        <v>0</v>
      </c>
      <c r="H1712" s="972">
        <v>0</v>
      </c>
      <c r="I1712" s="951">
        <f>PUCFD!E1483</f>
        <v>0.01</v>
      </c>
    </row>
    <row r="1713" spans="1:10" ht="24.95" customHeight="1" x14ac:dyDescent="0.25">
      <c r="B1713" s="973">
        <v>65500</v>
      </c>
      <c r="C1713" s="974">
        <v>344905200000000</v>
      </c>
      <c r="D1713" s="973" t="s">
        <v>4668</v>
      </c>
      <c r="E1713" s="948">
        <v>0</v>
      </c>
      <c r="F1713" s="975">
        <v>1</v>
      </c>
      <c r="G1713" s="973">
        <v>0</v>
      </c>
      <c r="H1713" s="972">
        <v>0</v>
      </c>
      <c r="I1713" s="951">
        <f>PUCFD!E1484</f>
        <v>0.01</v>
      </c>
    </row>
    <row r="1714" spans="1:10" ht="15" customHeight="1" x14ac:dyDescent="0.25">
      <c r="A1714" s="958"/>
      <c r="B1714" s="962" t="s">
        <v>3138</v>
      </c>
      <c r="C1714" s="959">
        <v>4</v>
      </c>
      <c r="D1714" s="962" t="s">
        <v>3142</v>
      </c>
      <c r="E1714" s="954"/>
      <c r="F1714" s="960"/>
      <c r="G1714" s="958"/>
      <c r="H1714" s="958"/>
      <c r="I1714" s="961">
        <f>I1715</f>
        <v>113834.89417271547</v>
      </c>
    </row>
    <row r="1715" spans="1:10" ht="15" customHeight="1" x14ac:dyDescent="0.25">
      <c r="A1715" s="958"/>
      <c r="B1715" s="962" t="s">
        <v>3139</v>
      </c>
      <c r="C1715" s="959">
        <v>122</v>
      </c>
      <c r="D1715" s="962" t="s">
        <v>3143</v>
      </c>
      <c r="E1715" s="954"/>
      <c r="F1715" s="960"/>
      <c r="G1715" s="958"/>
      <c r="H1715" s="958"/>
      <c r="I1715" s="961">
        <f>I1717</f>
        <v>113834.89417271547</v>
      </c>
    </row>
    <row r="1716" spans="1:10" ht="15" customHeight="1" x14ac:dyDescent="0.25">
      <c r="A1716" s="958"/>
      <c r="B1716" s="962" t="s">
        <v>3137</v>
      </c>
      <c r="C1716" s="959">
        <v>3</v>
      </c>
      <c r="D1716" s="962" t="s">
        <v>4608</v>
      </c>
      <c r="E1716" s="954"/>
      <c r="F1716" s="960"/>
      <c r="G1716" s="958"/>
      <c r="H1716" s="958"/>
      <c r="I1716" s="961">
        <f>I1717</f>
        <v>113834.89417271547</v>
      </c>
    </row>
    <row r="1717" spans="1:10" s="946" customFormat="1" ht="29.25" customHeight="1" x14ac:dyDescent="0.25">
      <c r="B1717" s="963" t="s">
        <v>2965</v>
      </c>
      <c r="C1717" s="959">
        <v>2</v>
      </c>
      <c r="D1717" s="963" t="s">
        <v>4609</v>
      </c>
      <c r="E1717" s="954"/>
      <c r="F1717" s="960"/>
      <c r="G1717" s="963"/>
      <c r="H1717" s="956"/>
      <c r="I1717" s="957">
        <f>SUM(I1718,I1719,I1720,I1724,I1726,I1727,I1728,I1729,I1732,I1733,I1735,I1736,I1737,I1739,I1740,I1741,I1742,I1743,I1744,I1745,I1746)</f>
        <v>113834.89417271547</v>
      </c>
    </row>
    <row r="1718" spans="1:10" s="946" customFormat="1" ht="24.95" customHeight="1" x14ac:dyDescent="0.25">
      <c r="B1718" s="963">
        <v>66000</v>
      </c>
      <c r="C1718" s="964">
        <v>331900400000000</v>
      </c>
      <c r="D1718" s="963" t="s">
        <v>5980</v>
      </c>
      <c r="E1718" s="954">
        <v>0</v>
      </c>
      <c r="F1718" s="960">
        <v>1</v>
      </c>
      <c r="G1718" s="963">
        <v>0</v>
      </c>
      <c r="H1718" s="958">
        <v>0</v>
      </c>
      <c r="I1718" s="957">
        <f>(((PUCFD!E1486)*(1+PUCFD!E$87))*(1+PUCFD!E$94))</f>
        <v>1.1711568121643605E-2</v>
      </c>
    </row>
    <row r="1719" spans="1:10" s="946" customFormat="1" ht="33" customHeight="1" x14ac:dyDescent="0.25">
      <c r="A1719" s="958"/>
      <c r="B1719" s="963">
        <v>66050</v>
      </c>
      <c r="C1719" s="964">
        <v>331900800000000</v>
      </c>
      <c r="D1719" s="963" t="s">
        <v>5981</v>
      </c>
      <c r="E1719" s="954"/>
      <c r="F1719" s="960">
        <v>1</v>
      </c>
      <c r="G1719" s="960">
        <v>0</v>
      </c>
      <c r="H1719" s="955"/>
      <c r="I1719" s="961">
        <f>PUCFD!E1487</f>
        <v>0.01</v>
      </c>
    </row>
    <row r="1720" spans="1:10" s="946" customFormat="1" ht="24.95" customHeight="1" x14ac:dyDescent="0.25">
      <c r="B1720" s="963">
        <v>66100</v>
      </c>
      <c r="C1720" s="964">
        <v>331901100000000</v>
      </c>
      <c r="D1720" s="963" t="s">
        <v>6005</v>
      </c>
      <c r="E1720" s="954">
        <v>0</v>
      </c>
      <c r="F1720" s="960">
        <v>1</v>
      </c>
      <c r="G1720" s="963">
        <v>0</v>
      </c>
      <c r="H1720" s="958">
        <v>0</v>
      </c>
      <c r="I1720" s="957">
        <f>SUM(I1721,I1723,I1722)</f>
        <v>76888.216910039191</v>
      </c>
      <c r="J1720" s="1013"/>
    </row>
    <row r="1721" spans="1:10" ht="24.95" customHeight="1" x14ac:dyDescent="0.25">
      <c r="B1721" s="973" t="s">
        <v>4670</v>
      </c>
      <c r="C1721" s="974">
        <v>331901143000000</v>
      </c>
      <c r="D1721" s="973" t="s">
        <v>4671</v>
      </c>
      <c r="I1721" s="951">
        <f>PUCFD!E1491*(1+PUCFD!E$87)</f>
        <v>5987.6703599471139</v>
      </c>
    </row>
    <row r="1722" spans="1:10" ht="24.95" customHeight="1" x14ac:dyDescent="0.25">
      <c r="B1722" s="973" t="s">
        <v>7792</v>
      </c>
      <c r="C1722" s="974">
        <v>331901145000000</v>
      </c>
      <c r="D1722" s="973" t="s">
        <v>7793</v>
      </c>
      <c r="F1722" s="1391"/>
      <c r="H1722" s="1390"/>
      <c r="I1722" s="951">
        <f>PUCFD!E1490*(1+PUCFD!E$87)</f>
        <v>1995.8901199823717</v>
      </c>
    </row>
    <row r="1723" spans="1:10" ht="24.95" customHeight="1" x14ac:dyDescent="0.25">
      <c r="B1723" s="973" t="s">
        <v>4672</v>
      </c>
      <c r="C1723" s="974">
        <v>331901174000000</v>
      </c>
      <c r="D1723" s="973" t="s">
        <v>4673</v>
      </c>
      <c r="I1723" s="951">
        <f>PUCFD!E1489*(1+PUCFD!E$87)</f>
        <v>68904.65643010971</v>
      </c>
    </row>
    <row r="1724" spans="1:10" s="946" customFormat="1" ht="24.95" customHeight="1" x14ac:dyDescent="0.25">
      <c r="B1724" s="963">
        <v>66200</v>
      </c>
      <c r="C1724" s="964">
        <v>331901300000000</v>
      </c>
      <c r="D1724" s="963" t="s">
        <v>5982</v>
      </c>
      <c r="E1724" s="954">
        <v>0</v>
      </c>
      <c r="F1724" s="960">
        <v>1</v>
      </c>
      <c r="G1724" s="963">
        <v>0</v>
      </c>
      <c r="H1724" s="958">
        <v>0</v>
      </c>
      <c r="I1724" s="957">
        <f>I1725</f>
        <v>16146.525551108229</v>
      </c>
    </row>
    <row r="1725" spans="1:10" ht="24.95" customHeight="1" x14ac:dyDescent="0.25">
      <c r="B1725" s="973" t="s">
        <v>4674</v>
      </c>
      <c r="C1725" s="974">
        <v>331901302030000</v>
      </c>
      <c r="D1725" s="973" t="s">
        <v>4675</v>
      </c>
      <c r="I1725" s="951">
        <f>(((I1721+I1723+I1722)*(PUCFD!E$92)))</f>
        <v>16146.525551108229</v>
      </c>
    </row>
    <row r="1726" spans="1:10" s="946" customFormat="1" ht="24.95" customHeight="1" x14ac:dyDescent="0.25">
      <c r="B1726" s="963">
        <v>66300</v>
      </c>
      <c r="C1726" s="964">
        <v>331901600000000</v>
      </c>
      <c r="D1726" s="963" t="s">
        <v>5983</v>
      </c>
      <c r="E1726" s="954">
        <v>0</v>
      </c>
      <c r="F1726" s="960">
        <v>1</v>
      </c>
      <c r="G1726" s="963">
        <v>0</v>
      </c>
      <c r="H1726" s="958">
        <v>0</v>
      </c>
      <c r="I1726" s="957">
        <f>PUCFD!E1494</f>
        <v>0.01</v>
      </c>
    </row>
    <row r="1727" spans="1:10" s="946" customFormat="1" ht="24.95" customHeight="1" x14ac:dyDescent="0.25">
      <c r="B1727" s="963">
        <v>66350</v>
      </c>
      <c r="C1727" s="964">
        <v>331903400000000</v>
      </c>
      <c r="D1727" s="963" t="s">
        <v>5984</v>
      </c>
      <c r="E1727" s="954">
        <v>0</v>
      </c>
      <c r="F1727" s="960">
        <v>1</v>
      </c>
      <c r="G1727" s="963">
        <v>0</v>
      </c>
      <c r="H1727" s="958">
        <v>0</v>
      </c>
      <c r="I1727" s="957">
        <f>PUCFD!E1495</f>
        <v>0.01</v>
      </c>
    </row>
    <row r="1728" spans="1:10" s="946" customFormat="1" ht="24.95" customHeight="1" x14ac:dyDescent="0.25">
      <c r="B1728" s="963">
        <v>66400</v>
      </c>
      <c r="C1728" s="964">
        <v>331909400000000</v>
      </c>
      <c r="D1728" s="963" t="s">
        <v>5985</v>
      </c>
      <c r="E1728" s="954">
        <v>0</v>
      </c>
      <c r="F1728" s="960">
        <v>1</v>
      </c>
      <c r="G1728" s="963">
        <v>0</v>
      </c>
      <c r="H1728" s="958">
        <v>0</v>
      </c>
      <c r="I1728" s="957">
        <f>PUCFD!E1496</f>
        <v>0.01</v>
      </c>
    </row>
    <row r="1729" spans="2:9" s="946" customFormat="1" ht="24.95" customHeight="1" x14ac:dyDescent="0.25">
      <c r="B1729" s="963">
        <v>66500</v>
      </c>
      <c r="C1729" s="964">
        <v>333901400000000</v>
      </c>
      <c r="D1729" s="963" t="s">
        <v>5986</v>
      </c>
      <c r="E1729" s="954">
        <v>0</v>
      </c>
      <c r="F1729" s="960">
        <v>1</v>
      </c>
      <c r="G1729" s="963">
        <v>0</v>
      </c>
      <c r="H1729" s="958">
        <v>0</v>
      </c>
      <c r="I1729" s="957">
        <f>SUM(I1730,I1731)</f>
        <v>9500</v>
      </c>
    </row>
    <row r="1730" spans="2:9" ht="24.95" customHeight="1" x14ac:dyDescent="0.25">
      <c r="B1730" s="973" t="s">
        <v>4676</v>
      </c>
      <c r="C1730" s="974">
        <v>333901414020000</v>
      </c>
      <c r="D1730" s="973" t="s">
        <v>3290</v>
      </c>
      <c r="I1730" s="951">
        <f>PUCFD!E1498</f>
        <v>1500</v>
      </c>
    </row>
    <row r="1731" spans="2:9" ht="24.95" customHeight="1" x14ac:dyDescent="0.25">
      <c r="B1731" s="973" t="s">
        <v>4677</v>
      </c>
      <c r="C1731" s="974">
        <v>333901414040000</v>
      </c>
      <c r="D1731" s="973" t="s">
        <v>4678</v>
      </c>
      <c r="I1731" s="951">
        <f>PUCFD!E1499</f>
        <v>8000</v>
      </c>
    </row>
    <row r="1732" spans="2:9" s="946" customFormat="1" ht="24.95" customHeight="1" x14ac:dyDescent="0.25">
      <c r="B1732" s="963">
        <v>66600</v>
      </c>
      <c r="C1732" s="964">
        <v>333903000000000</v>
      </c>
      <c r="D1732" s="963" t="s">
        <v>5987</v>
      </c>
      <c r="E1732" s="954">
        <v>0</v>
      </c>
      <c r="F1732" s="960">
        <v>1</v>
      </c>
      <c r="G1732" s="963">
        <v>0</v>
      </c>
      <c r="H1732" s="958">
        <v>0</v>
      </c>
      <c r="I1732" s="957">
        <f>PUCFD!E1500</f>
        <v>1000</v>
      </c>
    </row>
    <row r="1733" spans="2:9" s="946" customFormat="1" ht="24.95" customHeight="1" x14ac:dyDescent="0.25">
      <c r="B1733" s="963">
        <v>66700</v>
      </c>
      <c r="C1733" s="964">
        <v>333903300000000</v>
      </c>
      <c r="D1733" s="963" t="s">
        <v>5988</v>
      </c>
      <c r="E1733" s="954">
        <v>0</v>
      </c>
      <c r="F1733" s="960">
        <v>1</v>
      </c>
      <c r="G1733" s="963">
        <v>0</v>
      </c>
      <c r="H1733" s="958">
        <v>0</v>
      </c>
      <c r="I1733" s="957">
        <f>I1734</f>
        <v>10000</v>
      </c>
    </row>
    <row r="1734" spans="2:9" ht="24.95" customHeight="1" x14ac:dyDescent="0.25">
      <c r="B1734" s="973" t="s">
        <v>4679</v>
      </c>
      <c r="C1734" s="974">
        <v>333903301000000</v>
      </c>
      <c r="D1734" s="973" t="s">
        <v>3718</v>
      </c>
      <c r="I1734" s="951">
        <f>PUCFD!E1502</f>
        <v>10000</v>
      </c>
    </row>
    <row r="1735" spans="2:9" s="946" customFormat="1" ht="24.95" customHeight="1" x14ac:dyDescent="0.25">
      <c r="B1735" s="963">
        <v>66800</v>
      </c>
      <c r="C1735" s="964">
        <v>333903500000000</v>
      </c>
      <c r="D1735" s="963" t="s">
        <v>5989</v>
      </c>
      <c r="E1735" s="954">
        <v>0</v>
      </c>
      <c r="F1735" s="960">
        <v>1</v>
      </c>
      <c r="G1735" s="963">
        <v>0</v>
      </c>
      <c r="H1735" s="958">
        <v>0</v>
      </c>
      <c r="I1735" s="957">
        <f>PUCFD!E1503</f>
        <v>0.01</v>
      </c>
    </row>
    <row r="1736" spans="2:9" s="946" customFormat="1" ht="24.95" customHeight="1" x14ac:dyDescent="0.25">
      <c r="B1736" s="963">
        <v>66900</v>
      </c>
      <c r="C1736" s="964">
        <v>333903600000000</v>
      </c>
      <c r="D1736" s="963" t="s">
        <v>5990</v>
      </c>
      <c r="E1736" s="954">
        <v>0</v>
      </c>
      <c r="F1736" s="960">
        <v>1</v>
      </c>
      <c r="G1736" s="963">
        <v>0</v>
      </c>
      <c r="H1736" s="958">
        <v>0</v>
      </c>
      <c r="I1736" s="957">
        <f>PUCFD!E1504</f>
        <v>0.01</v>
      </c>
    </row>
    <row r="1737" spans="2:9" s="946" customFormat="1" ht="24.95" customHeight="1" x14ac:dyDescent="0.25">
      <c r="B1737" s="963">
        <v>67000</v>
      </c>
      <c r="C1737" s="964">
        <v>333903900000000</v>
      </c>
      <c r="D1737" s="963" t="s">
        <v>5991</v>
      </c>
      <c r="E1737" s="954">
        <v>0</v>
      </c>
      <c r="F1737" s="960">
        <v>1</v>
      </c>
      <c r="G1737" s="963">
        <v>0</v>
      </c>
      <c r="H1737" s="958">
        <v>0</v>
      </c>
      <c r="I1737" s="957">
        <f>I1738</f>
        <v>0.01</v>
      </c>
    </row>
    <row r="1738" spans="2:9" ht="24.95" customHeight="1" x14ac:dyDescent="0.25">
      <c r="B1738" s="973" t="s">
        <v>4680</v>
      </c>
      <c r="C1738" s="974">
        <v>333903948000000</v>
      </c>
      <c r="D1738" s="973" t="s">
        <v>4681</v>
      </c>
      <c r="I1738" s="951">
        <f>PUCFD!E1506</f>
        <v>0.01</v>
      </c>
    </row>
    <row r="1739" spans="2:9" s="946" customFormat="1" ht="24.95" customHeight="1" x14ac:dyDescent="0.25">
      <c r="B1739" s="963">
        <v>67100</v>
      </c>
      <c r="C1739" s="964">
        <v>333904600000000</v>
      </c>
      <c r="D1739" s="963" t="s">
        <v>5992</v>
      </c>
      <c r="E1739" s="954">
        <v>0</v>
      </c>
      <c r="F1739" s="960">
        <v>1</v>
      </c>
      <c r="G1739" s="963">
        <v>0</v>
      </c>
      <c r="H1739" s="958">
        <v>0</v>
      </c>
      <c r="I1739" s="957">
        <f>PUCFD!E1507</f>
        <v>0.01</v>
      </c>
    </row>
    <row r="1740" spans="2:9" s="946" customFormat="1" ht="24.95" customHeight="1" x14ac:dyDescent="0.25">
      <c r="B1740" s="963">
        <v>67200</v>
      </c>
      <c r="C1740" s="964">
        <v>333904700000000</v>
      </c>
      <c r="D1740" s="963" t="s">
        <v>6006</v>
      </c>
      <c r="E1740" s="954">
        <v>0</v>
      </c>
      <c r="F1740" s="960">
        <v>1</v>
      </c>
      <c r="G1740" s="963">
        <v>0</v>
      </c>
      <c r="H1740" s="958">
        <v>0</v>
      </c>
      <c r="I1740" s="957">
        <f>PUCFD!E1508</f>
        <v>0.01</v>
      </c>
    </row>
    <row r="1741" spans="2:9" s="946" customFormat="1" ht="24.95" customHeight="1" x14ac:dyDescent="0.25">
      <c r="B1741" s="963">
        <v>67300</v>
      </c>
      <c r="C1741" s="964">
        <v>333904900000000</v>
      </c>
      <c r="D1741" s="963" t="s">
        <v>5993</v>
      </c>
      <c r="E1741" s="954">
        <v>0</v>
      </c>
      <c r="F1741" s="960">
        <v>1</v>
      </c>
      <c r="G1741" s="963">
        <v>0</v>
      </c>
      <c r="H1741" s="958">
        <v>0</v>
      </c>
      <c r="I1741" s="957">
        <f>PUCFD!E1509</f>
        <v>0.01</v>
      </c>
    </row>
    <row r="1742" spans="2:9" s="946" customFormat="1" ht="24.95" customHeight="1" x14ac:dyDescent="0.25">
      <c r="B1742" s="963">
        <v>67400</v>
      </c>
      <c r="C1742" s="964">
        <v>333909200000000</v>
      </c>
      <c r="D1742" s="963" t="s">
        <v>5994</v>
      </c>
      <c r="E1742" s="954">
        <v>0</v>
      </c>
      <c r="F1742" s="960">
        <v>1</v>
      </c>
      <c r="G1742" s="963">
        <v>0</v>
      </c>
      <c r="H1742" s="958">
        <v>0</v>
      </c>
      <c r="I1742" s="957">
        <f>PUCFD!E1510</f>
        <v>0.01</v>
      </c>
    </row>
    <row r="1743" spans="2:9" s="946" customFormat="1" ht="24.95" customHeight="1" x14ac:dyDescent="0.25">
      <c r="B1743" s="963">
        <v>67500</v>
      </c>
      <c r="C1743" s="964">
        <v>333909300000000</v>
      </c>
      <c r="D1743" s="963" t="s">
        <v>5995</v>
      </c>
      <c r="E1743" s="954">
        <v>0</v>
      </c>
      <c r="F1743" s="960">
        <v>1</v>
      </c>
      <c r="G1743" s="963">
        <v>0</v>
      </c>
      <c r="H1743" s="958">
        <v>0</v>
      </c>
      <c r="I1743" s="957">
        <f>PUCFD!E1511</f>
        <v>300</v>
      </c>
    </row>
    <row r="1744" spans="2:9" s="946" customFormat="1" ht="24.95" customHeight="1" x14ac:dyDescent="0.25">
      <c r="B1744" s="963">
        <v>67600</v>
      </c>
      <c r="C1744" s="964">
        <v>333933000000000</v>
      </c>
      <c r="D1744" s="963" t="s">
        <v>5996</v>
      </c>
      <c r="E1744" s="954">
        <v>0</v>
      </c>
      <c r="F1744" s="960">
        <v>1</v>
      </c>
      <c r="G1744" s="963">
        <v>0</v>
      </c>
      <c r="H1744" s="958">
        <v>0</v>
      </c>
      <c r="I1744" s="957">
        <f>PUCFD!E1512</f>
        <v>0.01</v>
      </c>
    </row>
    <row r="1745" spans="1:9" s="946" customFormat="1" ht="24.95" customHeight="1" x14ac:dyDescent="0.25">
      <c r="B1745" s="963">
        <v>67700</v>
      </c>
      <c r="C1745" s="964">
        <v>344905100000000</v>
      </c>
      <c r="D1745" s="963" t="s">
        <v>5997</v>
      </c>
      <c r="E1745" s="954">
        <v>0</v>
      </c>
      <c r="F1745" s="960">
        <v>1</v>
      </c>
      <c r="G1745" s="963">
        <v>0</v>
      </c>
      <c r="H1745" s="958">
        <v>0</v>
      </c>
      <c r="I1745" s="957">
        <f>PUCFD!E1513</f>
        <v>0.01</v>
      </c>
    </row>
    <row r="1746" spans="1:9" s="946" customFormat="1" ht="24.95" customHeight="1" x14ac:dyDescent="0.25">
      <c r="B1746" s="963">
        <v>67800</v>
      </c>
      <c r="C1746" s="964">
        <v>344905200000000</v>
      </c>
      <c r="D1746" s="963" t="s">
        <v>5998</v>
      </c>
      <c r="E1746" s="954">
        <v>0</v>
      </c>
      <c r="F1746" s="960">
        <v>1</v>
      </c>
      <c r="G1746" s="963">
        <v>0</v>
      </c>
      <c r="H1746" s="958">
        <v>0</v>
      </c>
      <c r="I1746" s="957">
        <f>PUCFD!E1514</f>
        <v>0.01</v>
      </c>
    </row>
    <row r="1747" spans="1:9" ht="15" customHeight="1" x14ac:dyDescent="0.25">
      <c r="A1747" s="958"/>
      <c r="B1747" s="962" t="s">
        <v>3138</v>
      </c>
      <c r="C1747" s="959">
        <v>4</v>
      </c>
      <c r="D1747" s="962" t="s">
        <v>3142</v>
      </c>
      <c r="E1747" s="954"/>
      <c r="F1747" s="960"/>
      <c r="G1747" s="958"/>
      <c r="H1747" s="958"/>
      <c r="I1747" s="961">
        <f>I1748</f>
        <v>0.04</v>
      </c>
    </row>
    <row r="1748" spans="1:9" ht="15" customHeight="1" x14ac:dyDescent="0.25">
      <c r="A1748" s="958"/>
      <c r="B1748" s="962" t="s">
        <v>3139</v>
      </c>
      <c r="C1748" s="959">
        <v>126</v>
      </c>
      <c r="D1748" s="962" t="s">
        <v>3600</v>
      </c>
      <c r="E1748" s="954"/>
      <c r="F1748" s="960"/>
      <c r="G1748" s="958"/>
      <c r="H1748" s="958"/>
      <c r="I1748" s="961">
        <f>I1749</f>
        <v>0.04</v>
      </c>
    </row>
    <row r="1749" spans="1:9" ht="15" customHeight="1" x14ac:dyDescent="0.25">
      <c r="A1749" s="958"/>
      <c r="B1749" s="962" t="s">
        <v>3137</v>
      </c>
      <c r="C1749" s="959">
        <v>3</v>
      </c>
      <c r="D1749" s="962" t="s">
        <v>4608</v>
      </c>
      <c r="E1749" s="954"/>
      <c r="F1749" s="960"/>
      <c r="G1749" s="958"/>
      <c r="H1749" s="958"/>
      <c r="I1749" s="961">
        <f>I1750</f>
        <v>0.04</v>
      </c>
    </row>
    <row r="1750" spans="1:9" s="946" customFormat="1" ht="24.95" customHeight="1" x14ac:dyDescent="0.25">
      <c r="B1750" s="963" t="s">
        <v>2965</v>
      </c>
      <c r="C1750" s="959">
        <v>2</v>
      </c>
      <c r="D1750" s="963" t="s">
        <v>4609</v>
      </c>
      <c r="E1750" s="954"/>
      <c r="F1750" s="960"/>
      <c r="G1750" s="963"/>
      <c r="H1750" s="956"/>
      <c r="I1750" s="957">
        <f>SUM(I1751)</f>
        <v>0.04</v>
      </c>
    </row>
    <row r="1751" spans="1:9" s="946" customFormat="1" ht="33.75" customHeight="1" x14ac:dyDescent="0.25">
      <c r="B1751" s="963">
        <v>67850</v>
      </c>
      <c r="C1751" s="964">
        <v>333904000000000</v>
      </c>
      <c r="D1751" s="963" t="s">
        <v>5999</v>
      </c>
      <c r="E1751" s="954"/>
      <c r="F1751" s="960">
        <v>1</v>
      </c>
      <c r="G1751" s="963">
        <v>0</v>
      </c>
      <c r="H1751" s="950"/>
      <c r="I1751" s="961">
        <f>SUM(I1752,I1753,I1754,I1755)</f>
        <v>0.04</v>
      </c>
    </row>
    <row r="1752" spans="1:9" ht="25.5" customHeight="1" x14ac:dyDescent="0.25">
      <c r="A1752" s="972"/>
      <c r="B1752" s="973" t="s">
        <v>6007</v>
      </c>
      <c r="C1752" s="974">
        <v>333904006000000</v>
      </c>
      <c r="D1752" s="973" t="s">
        <v>3044</v>
      </c>
      <c r="E1752" s="948">
        <v>332311000000000</v>
      </c>
      <c r="F1752" s="975">
        <v>1</v>
      </c>
      <c r="G1752" s="973">
        <v>0</v>
      </c>
      <c r="H1752" s="972">
        <v>0</v>
      </c>
      <c r="I1752" s="976">
        <f>PUCFD!E1516</f>
        <v>0.01</v>
      </c>
    </row>
    <row r="1753" spans="1:9" ht="29.25" customHeight="1" x14ac:dyDescent="0.25">
      <c r="A1753" s="972"/>
      <c r="B1753" s="973" t="s">
        <v>6008</v>
      </c>
      <c r="C1753" s="974">
        <v>333904011000000</v>
      </c>
      <c r="D1753" s="973" t="s">
        <v>5924</v>
      </c>
      <c r="E1753" s="948">
        <v>332311100000000</v>
      </c>
      <c r="F1753" s="975">
        <v>1</v>
      </c>
      <c r="G1753" s="973">
        <v>0</v>
      </c>
      <c r="H1753" s="972">
        <v>0</v>
      </c>
      <c r="I1753" s="976">
        <f>PUCFD!E1517</f>
        <v>0.01</v>
      </c>
    </row>
    <row r="1754" spans="1:9" ht="29.25" customHeight="1" x14ac:dyDescent="0.25">
      <c r="A1754" s="972"/>
      <c r="B1754" s="973" t="s">
        <v>6009</v>
      </c>
      <c r="C1754" s="974">
        <v>333904012000000</v>
      </c>
      <c r="D1754" s="973" t="s">
        <v>5926</v>
      </c>
      <c r="E1754" s="948">
        <v>332311100000000</v>
      </c>
      <c r="F1754" s="975">
        <v>1</v>
      </c>
      <c r="G1754" s="973">
        <v>0</v>
      </c>
      <c r="H1754" s="972">
        <v>0</v>
      </c>
      <c r="I1754" s="976">
        <f>PUCFD!E1518</f>
        <v>0.01</v>
      </c>
    </row>
    <row r="1755" spans="1:9" ht="24.95" customHeight="1" x14ac:dyDescent="0.25">
      <c r="A1755" s="972"/>
      <c r="B1755" s="973" t="s">
        <v>6010</v>
      </c>
      <c r="C1755" s="974">
        <v>333904099000000</v>
      </c>
      <c r="D1755" s="973" t="s">
        <v>5928</v>
      </c>
      <c r="E1755" s="948">
        <v>332311100000000</v>
      </c>
      <c r="F1755" s="975">
        <v>1</v>
      </c>
      <c r="G1755" s="973">
        <v>0</v>
      </c>
      <c r="H1755" s="972">
        <v>0</v>
      </c>
      <c r="I1755" s="976">
        <f>PUCFD!E1519</f>
        <v>0.01</v>
      </c>
    </row>
    <row r="1756" spans="1:9" ht="24.95" customHeight="1" x14ac:dyDescent="0.25">
      <c r="A1756" s="958"/>
      <c r="B1756" s="962" t="s">
        <v>3138</v>
      </c>
      <c r="C1756" s="959">
        <v>4</v>
      </c>
      <c r="D1756" s="962" t="s">
        <v>3142</v>
      </c>
      <c r="E1756" s="954"/>
      <c r="F1756" s="960"/>
      <c r="G1756" s="958"/>
      <c r="H1756" s="958"/>
      <c r="I1756" s="961">
        <f>I1757</f>
        <v>0.05</v>
      </c>
    </row>
    <row r="1757" spans="1:9" ht="24.95" customHeight="1" x14ac:dyDescent="0.25">
      <c r="A1757" s="958"/>
      <c r="B1757" s="962" t="s">
        <v>3139</v>
      </c>
      <c r="C1757" s="959">
        <v>128</v>
      </c>
      <c r="D1757" s="962" t="s">
        <v>5104</v>
      </c>
      <c r="E1757" s="954"/>
      <c r="F1757" s="960"/>
      <c r="G1757" s="958"/>
      <c r="H1757" s="958"/>
      <c r="I1757" s="961">
        <f>I1759</f>
        <v>0.05</v>
      </c>
    </row>
    <row r="1758" spans="1:9" ht="24.95" customHeight="1" x14ac:dyDescent="0.25">
      <c r="A1758" s="958"/>
      <c r="B1758" s="962" t="s">
        <v>3137</v>
      </c>
      <c r="C1758" s="959">
        <v>3</v>
      </c>
      <c r="D1758" s="962" t="s">
        <v>4608</v>
      </c>
      <c r="E1758" s="954"/>
      <c r="F1758" s="960"/>
      <c r="G1758" s="958"/>
      <c r="H1758" s="958"/>
      <c r="I1758" s="961">
        <f>I1759</f>
        <v>0.05</v>
      </c>
    </row>
    <row r="1759" spans="1:9" s="946" customFormat="1" ht="24.95" customHeight="1" x14ac:dyDescent="0.25">
      <c r="B1759" s="963" t="s">
        <v>2965</v>
      </c>
      <c r="C1759" s="959">
        <v>2</v>
      </c>
      <c r="D1759" s="963" t="s">
        <v>4609</v>
      </c>
      <c r="E1759" s="954"/>
      <c r="F1759" s="960"/>
      <c r="G1759" s="963"/>
      <c r="H1759" s="958"/>
      <c r="I1759" s="957">
        <f>SUM(I1760:I1764)</f>
        <v>0.05</v>
      </c>
    </row>
    <row r="1760" spans="1:9" s="946" customFormat="1" ht="24.95" customHeight="1" x14ac:dyDescent="0.25">
      <c r="B1760" s="973">
        <v>67900</v>
      </c>
      <c r="C1760" s="974">
        <v>333901400000000</v>
      </c>
      <c r="D1760" s="973" t="s">
        <v>6000</v>
      </c>
      <c r="E1760" s="954"/>
      <c r="F1760" s="949">
        <v>1</v>
      </c>
      <c r="G1760" s="945">
        <v>0</v>
      </c>
      <c r="H1760" s="950">
        <v>0</v>
      </c>
      <c r="I1760" s="951">
        <f>PUCFD!E1521</f>
        <v>0.01</v>
      </c>
    </row>
    <row r="1761" spans="1:9" s="946" customFormat="1" ht="31.5" customHeight="1" x14ac:dyDescent="0.25">
      <c r="B1761" s="973">
        <v>67920</v>
      </c>
      <c r="C1761" s="974">
        <v>333903300000000</v>
      </c>
      <c r="D1761" s="973" t="s">
        <v>6001</v>
      </c>
      <c r="E1761" s="954"/>
      <c r="F1761" s="949">
        <v>1</v>
      </c>
      <c r="G1761" s="945">
        <v>0</v>
      </c>
      <c r="H1761" s="950">
        <v>0</v>
      </c>
      <c r="I1761" s="951">
        <f>PUCFD!E1522</f>
        <v>0.01</v>
      </c>
    </row>
    <row r="1762" spans="1:9" s="946" customFormat="1" ht="31.5" customHeight="1" x14ac:dyDescent="0.25">
      <c r="B1762" s="973">
        <v>67940</v>
      </c>
      <c r="C1762" s="974">
        <v>333903600000000</v>
      </c>
      <c r="D1762" s="973" t="s">
        <v>6003</v>
      </c>
      <c r="E1762" s="954"/>
      <c r="F1762" s="949">
        <v>1</v>
      </c>
      <c r="G1762" s="945">
        <v>0</v>
      </c>
      <c r="H1762" s="950">
        <v>0</v>
      </c>
      <c r="I1762" s="951">
        <f>PUCFD!E1523</f>
        <v>0.01</v>
      </c>
    </row>
    <row r="1763" spans="1:9" s="946" customFormat="1" ht="30" customHeight="1" x14ac:dyDescent="0.25">
      <c r="B1763" s="973">
        <v>67960</v>
      </c>
      <c r="C1763" s="974">
        <v>333903900000000</v>
      </c>
      <c r="D1763" s="973" t="s">
        <v>6002</v>
      </c>
      <c r="E1763" s="954"/>
      <c r="F1763" s="949">
        <v>1</v>
      </c>
      <c r="G1763" s="945">
        <v>0</v>
      </c>
      <c r="H1763" s="950">
        <v>0</v>
      </c>
      <c r="I1763" s="951">
        <f>PUCFD!E1524</f>
        <v>0.01</v>
      </c>
    </row>
    <row r="1764" spans="1:9" s="946" customFormat="1" ht="30" customHeight="1" x14ac:dyDescent="0.25">
      <c r="B1764" s="973">
        <v>67980</v>
      </c>
      <c r="C1764" s="974">
        <v>333904700000000</v>
      </c>
      <c r="D1764" s="973" t="s">
        <v>6004</v>
      </c>
      <c r="E1764" s="954"/>
      <c r="F1764" s="949">
        <v>1</v>
      </c>
      <c r="G1764" s="945">
        <v>0</v>
      </c>
      <c r="H1764" s="950">
        <v>0</v>
      </c>
      <c r="I1764" s="951">
        <f>PUCFD!E1525</f>
        <v>0.01</v>
      </c>
    </row>
    <row r="1765" spans="1:9" s="946" customFormat="1" ht="24.95" customHeight="1" x14ac:dyDescent="0.25">
      <c r="B1765" s="1608" t="s">
        <v>3336</v>
      </c>
      <c r="C1765" s="1608"/>
      <c r="D1765" s="1608"/>
      <c r="E1765" s="1608"/>
      <c r="F1765" s="1608"/>
      <c r="G1765" s="1608"/>
      <c r="H1765" s="1608"/>
      <c r="I1765" s="957">
        <f>I1759+I1751+I1717+I1707</f>
        <v>113835.04417271547</v>
      </c>
    </row>
    <row r="1766" spans="1:9" s="946" customFormat="1" ht="24.95" customHeight="1" x14ac:dyDescent="0.25">
      <c r="B1766" s="1608" t="s">
        <v>4682</v>
      </c>
      <c r="C1766" s="1608"/>
      <c r="D1766" s="1608"/>
      <c r="E1766" s="1608"/>
      <c r="F1766" s="1608"/>
      <c r="G1766" s="1608"/>
      <c r="H1766" s="1608"/>
      <c r="I1766" s="957">
        <f>I1765</f>
        <v>113835.04417271547</v>
      </c>
    </row>
    <row r="1767" spans="1:9" s="946" customFormat="1" ht="24.95" customHeight="1" x14ac:dyDescent="0.25">
      <c r="B1767" s="987"/>
      <c r="C1767" s="988"/>
      <c r="D1767" s="987"/>
      <c r="E1767" s="954" t="s">
        <v>4777</v>
      </c>
      <c r="F1767" s="960"/>
      <c r="G1767" s="960"/>
      <c r="H1767" s="958"/>
      <c r="I1767" s="961"/>
    </row>
    <row r="1768" spans="1:9" s="946" customFormat="1" ht="24.95" customHeight="1" x14ac:dyDescent="0.25">
      <c r="B1768" s="987"/>
      <c r="C1768" s="988"/>
      <c r="D1768" s="987"/>
      <c r="E1768" s="948"/>
      <c r="F1768" s="949">
        <v>1</v>
      </c>
      <c r="G1768" s="945">
        <v>0</v>
      </c>
      <c r="H1768" s="950">
        <v>0</v>
      </c>
      <c r="I1768" s="951">
        <f>I1765</f>
        <v>113835.04417271547</v>
      </c>
    </row>
    <row r="1770" spans="1:9" s="946" customFormat="1" ht="24.95" customHeight="1" x14ac:dyDescent="0.25">
      <c r="B1770" s="946" t="s">
        <v>3088</v>
      </c>
      <c r="C1770" s="953" t="s">
        <v>3136</v>
      </c>
      <c r="E1770" s="954"/>
      <c r="F1770" s="955"/>
      <c r="H1770" s="956"/>
      <c r="I1770" s="957"/>
    </row>
    <row r="1771" spans="1:9" s="946" customFormat="1" ht="24.95" customHeight="1" x14ac:dyDescent="0.25">
      <c r="B1771" s="946" t="s">
        <v>3087</v>
      </c>
      <c r="C1771" s="953" t="s">
        <v>4683</v>
      </c>
      <c r="E1771" s="954"/>
      <c r="F1771" s="955"/>
      <c r="H1771" s="956"/>
      <c r="I1771" s="957"/>
    </row>
    <row r="1772" spans="1:9" s="946" customFormat="1" ht="24.95" customHeight="1" x14ac:dyDescent="0.25">
      <c r="B1772" s="946" t="s">
        <v>3089</v>
      </c>
      <c r="C1772" s="953" t="s">
        <v>3146</v>
      </c>
      <c r="E1772" s="954"/>
      <c r="F1772" s="955"/>
      <c r="H1772" s="956"/>
      <c r="I1772" s="957"/>
    </row>
    <row r="1773" spans="1:9" ht="33.75" customHeight="1" x14ac:dyDescent="0.25">
      <c r="A1773" s="958"/>
      <c r="B1773" s="958" t="s">
        <v>2967</v>
      </c>
      <c r="C1773" s="959" t="s">
        <v>472</v>
      </c>
      <c r="D1773" s="958" t="s">
        <v>2968</v>
      </c>
      <c r="E1773" s="954" t="s">
        <v>3066</v>
      </c>
      <c r="F1773" s="960" t="s">
        <v>1403</v>
      </c>
      <c r="G1773" s="958" t="s">
        <v>2969</v>
      </c>
      <c r="H1773" s="958" t="s">
        <v>3065</v>
      </c>
      <c r="I1773" s="961" t="s">
        <v>2531</v>
      </c>
    </row>
    <row r="1774" spans="1:9" ht="33.75" customHeight="1" x14ac:dyDescent="0.25">
      <c r="A1774" s="958"/>
      <c r="B1774" s="962" t="s">
        <v>3138</v>
      </c>
      <c r="C1774" s="959">
        <v>10</v>
      </c>
      <c r="D1774" s="962" t="s">
        <v>5246</v>
      </c>
      <c r="E1774" s="954"/>
      <c r="F1774" s="960"/>
      <c r="G1774" s="958"/>
      <c r="H1774" s="958"/>
      <c r="I1774" s="961">
        <f>I1775</f>
        <v>79034.37</v>
      </c>
    </row>
    <row r="1775" spans="1:9" ht="33.75" customHeight="1" x14ac:dyDescent="0.25">
      <c r="A1775" s="958"/>
      <c r="B1775" s="962" t="s">
        <v>3139</v>
      </c>
      <c r="C1775" s="959">
        <v>302</v>
      </c>
      <c r="D1775" s="962" t="s">
        <v>5304</v>
      </c>
      <c r="E1775" s="954"/>
      <c r="F1775" s="960"/>
      <c r="G1775" s="958"/>
      <c r="H1775" s="958"/>
      <c r="I1775" s="961">
        <f>I1777</f>
        <v>79034.37</v>
      </c>
    </row>
    <row r="1776" spans="1:9" ht="33.75" customHeight="1" x14ac:dyDescent="0.25">
      <c r="A1776" s="958"/>
      <c r="B1776" s="962" t="s">
        <v>3137</v>
      </c>
      <c r="C1776" s="959">
        <v>100</v>
      </c>
      <c r="D1776" s="962" t="s">
        <v>5247</v>
      </c>
      <c r="E1776" s="954"/>
      <c r="F1776" s="960"/>
      <c r="G1776" s="958"/>
      <c r="H1776" s="958"/>
      <c r="I1776" s="961">
        <f>I1777</f>
        <v>79034.37</v>
      </c>
    </row>
    <row r="1777" spans="1:9" ht="33.75" customHeight="1" x14ac:dyDescent="0.25">
      <c r="A1777" s="958"/>
      <c r="B1777" s="963" t="s">
        <v>2965</v>
      </c>
      <c r="C1777" s="959">
        <v>2042</v>
      </c>
      <c r="D1777" s="963" t="s">
        <v>5497</v>
      </c>
      <c r="E1777" s="954"/>
      <c r="F1777" s="960"/>
      <c r="G1777" s="963"/>
      <c r="H1777" s="958"/>
      <c r="I1777" s="957">
        <f>I1778+I1788</f>
        <v>79034.37</v>
      </c>
    </row>
    <row r="1778" spans="1:9" ht="42" customHeight="1" x14ac:dyDescent="0.25">
      <c r="B1778" s="946">
        <v>69000</v>
      </c>
      <c r="C1778" s="964">
        <v>333903299000000</v>
      </c>
      <c r="D1778" s="946" t="s">
        <v>7011</v>
      </c>
      <c r="E1778" s="954"/>
      <c r="F1778" s="955">
        <v>1</v>
      </c>
      <c r="G1778" s="955">
        <v>0</v>
      </c>
      <c r="H1778" s="958" t="s">
        <v>7007</v>
      </c>
      <c r="I1778" s="957">
        <v>14804.25</v>
      </c>
    </row>
    <row r="1779" spans="1:9" ht="26.25" customHeight="1" x14ac:dyDescent="0.25">
      <c r="B1779" s="1601" t="s">
        <v>7081</v>
      </c>
      <c r="C1779" s="1603">
        <v>333903299030000</v>
      </c>
      <c r="D1779" s="1604" t="s">
        <v>7012</v>
      </c>
      <c r="E1779" s="1603"/>
      <c r="F1779" s="1605">
        <v>1</v>
      </c>
      <c r="G1779" s="1605">
        <v>0</v>
      </c>
      <c r="H1779" s="1010" t="s">
        <v>7049</v>
      </c>
      <c r="I1779" s="951">
        <v>0</v>
      </c>
    </row>
    <row r="1780" spans="1:9" ht="24.95" customHeight="1" x14ac:dyDescent="0.25">
      <c r="B1780" s="1601"/>
      <c r="C1780" s="1603"/>
      <c r="D1780" s="1604"/>
      <c r="E1780" s="1603"/>
      <c r="F1780" s="1605"/>
      <c r="G1780" s="1605"/>
      <c r="H1780" s="1010" t="s">
        <v>7050</v>
      </c>
      <c r="I1780" s="951">
        <v>0</v>
      </c>
    </row>
    <row r="1781" spans="1:9" ht="24.95" customHeight="1" x14ac:dyDescent="0.25">
      <c r="B1781" s="1601"/>
      <c r="C1781" s="1603"/>
      <c r="D1781" s="1604"/>
      <c r="E1781" s="1603"/>
      <c r="F1781" s="1605"/>
      <c r="G1781" s="1605"/>
      <c r="H1781" s="1010" t="s">
        <v>7051</v>
      </c>
      <c r="I1781" s="951">
        <v>0</v>
      </c>
    </row>
    <row r="1782" spans="1:9" ht="24.95" customHeight="1" x14ac:dyDescent="0.25">
      <c r="B1782" s="1601" t="s">
        <v>7082</v>
      </c>
      <c r="C1782" s="1603">
        <v>333903299050000</v>
      </c>
      <c r="D1782" s="1604" t="s">
        <v>7015</v>
      </c>
      <c r="E1782" s="1603"/>
      <c r="F1782" s="1605">
        <v>1</v>
      </c>
      <c r="G1782" s="1605">
        <v>0</v>
      </c>
      <c r="H1782" s="1010" t="s">
        <v>7052</v>
      </c>
      <c r="I1782" s="951">
        <v>0</v>
      </c>
    </row>
    <row r="1783" spans="1:9" ht="24.95" customHeight="1" x14ac:dyDescent="0.25">
      <c r="B1783" s="1601"/>
      <c r="C1783" s="1603"/>
      <c r="D1783" s="1604"/>
      <c r="E1783" s="1603"/>
      <c r="F1783" s="1605"/>
      <c r="G1783" s="1605"/>
      <c r="H1783" s="1010" t="s">
        <v>7009</v>
      </c>
      <c r="I1783" s="951">
        <v>0</v>
      </c>
    </row>
    <row r="1784" spans="1:9" ht="24.95" customHeight="1" x14ac:dyDescent="0.25">
      <c r="B1784" s="1601"/>
      <c r="C1784" s="1603"/>
      <c r="D1784" s="1604"/>
      <c r="E1784" s="1603"/>
      <c r="F1784" s="1605"/>
      <c r="G1784" s="1605"/>
      <c r="H1784" s="1010" t="s">
        <v>7010</v>
      </c>
      <c r="I1784" s="951">
        <v>0</v>
      </c>
    </row>
    <row r="1785" spans="1:9" ht="24.95" customHeight="1" x14ac:dyDescent="0.25">
      <c r="B1785" s="1601" t="s">
        <v>7083</v>
      </c>
      <c r="C1785" s="1603">
        <v>333903299070000</v>
      </c>
      <c r="D1785" s="1604" t="s">
        <v>7016</v>
      </c>
      <c r="E1785" s="1603"/>
      <c r="F1785" s="1605">
        <v>1</v>
      </c>
      <c r="G1785" s="1605">
        <v>0</v>
      </c>
      <c r="H1785" s="1010" t="s">
        <v>7008</v>
      </c>
      <c r="I1785" s="951">
        <v>0</v>
      </c>
    </row>
    <row r="1786" spans="1:9" ht="24.95" customHeight="1" x14ac:dyDescent="0.25">
      <c r="B1786" s="1601"/>
      <c r="C1786" s="1603"/>
      <c r="D1786" s="1604"/>
      <c r="E1786" s="1603"/>
      <c r="F1786" s="1605"/>
      <c r="G1786" s="1605"/>
      <c r="H1786" s="1010" t="s">
        <v>7009</v>
      </c>
      <c r="I1786" s="951">
        <v>0</v>
      </c>
    </row>
    <row r="1787" spans="1:9" ht="24.95" customHeight="1" x14ac:dyDescent="0.25">
      <c r="B1787" s="1601"/>
      <c r="C1787" s="1603"/>
      <c r="D1787" s="1604"/>
      <c r="E1787" s="1603"/>
      <c r="F1787" s="1605"/>
      <c r="G1787" s="1605"/>
      <c r="H1787" s="1010" t="s">
        <v>7010</v>
      </c>
      <c r="I1787" s="951">
        <v>0</v>
      </c>
    </row>
    <row r="1788" spans="1:9" ht="33" customHeight="1" x14ac:dyDescent="0.25">
      <c r="B1788" s="946">
        <v>69020</v>
      </c>
      <c r="C1788" s="964">
        <v>333903299000000</v>
      </c>
      <c r="D1788" s="946" t="s">
        <v>7011</v>
      </c>
      <c r="E1788" s="954"/>
      <c r="F1788" s="955">
        <v>1</v>
      </c>
      <c r="G1788" s="955">
        <v>0</v>
      </c>
      <c r="H1788" s="958">
        <v>0</v>
      </c>
      <c r="I1788" s="957">
        <v>64230.12</v>
      </c>
    </row>
    <row r="1789" spans="1:9" ht="24.95" customHeight="1" x14ac:dyDescent="0.25">
      <c r="B1789" s="1601" t="s">
        <v>7084</v>
      </c>
      <c r="C1789" s="1603">
        <v>333903299030000</v>
      </c>
      <c r="D1789" s="1604" t="s">
        <v>7012</v>
      </c>
      <c r="E1789" s="1603"/>
      <c r="F1789" s="1601">
        <v>1</v>
      </c>
      <c r="G1789" s="1601">
        <v>0</v>
      </c>
      <c r="H1789" s="1010" t="s">
        <v>7053</v>
      </c>
      <c r="I1789" s="951">
        <v>0</v>
      </c>
    </row>
    <row r="1790" spans="1:9" ht="24.95" customHeight="1" x14ac:dyDescent="0.25">
      <c r="B1790" s="1601"/>
      <c r="C1790" s="1603"/>
      <c r="D1790" s="1604"/>
      <c r="E1790" s="1603"/>
      <c r="F1790" s="1601"/>
      <c r="G1790" s="1601"/>
      <c r="H1790" s="1010" t="s">
        <v>7054</v>
      </c>
      <c r="I1790" s="951">
        <v>0</v>
      </c>
    </row>
    <row r="1791" spans="1:9" ht="24.95" customHeight="1" x14ac:dyDescent="0.25">
      <c r="B1791" s="1601"/>
      <c r="C1791" s="1603"/>
      <c r="D1791" s="1604"/>
      <c r="E1791" s="1603"/>
      <c r="F1791" s="1601"/>
      <c r="G1791" s="1601"/>
      <c r="H1791" s="1010" t="s">
        <v>7055</v>
      </c>
      <c r="I1791" s="951">
        <v>0</v>
      </c>
    </row>
    <row r="1792" spans="1:9" ht="24.95" customHeight="1" x14ac:dyDescent="0.25">
      <c r="B1792" s="1601"/>
      <c r="C1792" s="1603"/>
      <c r="D1792" s="1604"/>
      <c r="E1792" s="1603"/>
      <c r="F1792" s="1601"/>
      <c r="G1792" s="1601"/>
      <c r="H1792" s="1010" t="s">
        <v>7056</v>
      </c>
      <c r="I1792" s="951">
        <v>0</v>
      </c>
    </row>
    <row r="1793" spans="2:9" ht="24.95" customHeight="1" x14ac:dyDescent="0.25">
      <c r="B1793" s="1601"/>
      <c r="C1793" s="1603"/>
      <c r="D1793" s="1604"/>
      <c r="E1793" s="1603"/>
      <c r="F1793" s="1601"/>
      <c r="G1793" s="1601"/>
      <c r="H1793" s="1010" t="s">
        <v>7057</v>
      </c>
      <c r="I1793" s="951">
        <v>0</v>
      </c>
    </row>
    <row r="1794" spans="2:9" ht="24.95" customHeight="1" x14ac:dyDescent="0.25">
      <c r="B1794" s="1601"/>
      <c r="C1794" s="1603"/>
      <c r="D1794" s="1604"/>
      <c r="E1794" s="1603"/>
      <c r="F1794" s="1601"/>
      <c r="G1794" s="1601"/>
      <c r="H1794" s="1010" t="s">
        <v>7058</v>
      </c>
      <c r="I1794" s="951">
        <v>0</v>
      </c>
    </row>
    <row r="1795" spans="2:9" ht="24.95" customHeight="1" x14ac:dyDescent="0.25">
      <c r="B1795" s="1601" t="s">
        <v>7085</v>
      </c>
      <c r="C1795" s="1603">
        <v>333903299050000</v>
      </c>
      <c r="D1795" s="1604" t="s">
        <v>7015</v>
      </c>
      <c r="E1795" s="1603"/>
      <c r="F1795" s="1601">
        <v>1</v>
      </c>
      <c r="G1795" s="1601">
        <v>0</v>
      </c>
      <c r="H1795" s="1010" t="s">
        <v>7053</v>
      </c>
      <c r="I1795" s="951">
        <v>0</v>
      </c>
    </row>
    <row r="1796" spans="2:9" ht="24.95" customHeight="1" x14ac:dyDescent="0.25">
      <c r="B1796" s="1601"/>
      <c r="C1796" s="1603"/>
      <c r="D1796" s="1604"/>
      <c r="E1796" s="1603"/>
      <c r="F1796" s="1601"/>
      <c r="G1796" s="1601"/>
      <c r="H1796" s="1010" t="s">
        <v>7054</v>
      </c>
      <c r="I1796" s="951">
        <v>0</v>
      </c>
    </row>
    <row r="1797" spans="2:9" ht="24.95" customHeight="1" x14ac:dyDescent="0.25">
      <c r="B1797" s="1601"/>
      <c r="C1797" s="1603"/>
      <c r="D1797" s="1604"/>
      <c r="E1797" s="1603"/>
      <c r="F1797" s="1601"/>
      <c r="G1797" s="1601"/>
      <c r="H1797" s="1010" t="s">
        <v>7055</v>
      </c>
      <c r="I1797" s="951">
        <v>0</v>
      </c>
    </row>
    <row r="1798" spans="2:9" ht="24.95" customHeight="1" x14ac:dyDescent="0.25">
      <c r="B1798" s="1601"/>
      <c r="C1798" s="1603"/>
      <c r="D1798" s="1604"/>
      <c r="E1798" s="1603"/>
      <c r="F1798" s="1601"/>
      <c r="G1798" s="1601"/>
      <c r="H1798" s="1010" t="s">
        <v>7056</v>
      </c>
      <c r="I1798" s="951">
        <v>0</v>
      </c>
    </row>
    <row r="1799" spans="2:9" ht="24.95" customHeight="1" x14ac:dyDescent="0.25">
      <c r="B1799" s="1601"/>
      <c r="C1799" s="1603"/>
      <c r="D1799" s="1604"/>
      <c r="E1799" s="1603"/>
      <c r="F1799" s="1601"/>
      <c r="G1799" s="1601"/>
      <c r="H1799" s="1010" t="s">
        <v>7057</v>
      </c>
      <c r="I1799" s="951">
        <v>0</v>
      </c>
    </row>
    <row r="1800" spans="2:9" ht="24.95" customHeight="1" x14ac:dyDescent="0.25">
      <c r="B1800" s="1601"/>
      <c r="C1800" s="1603"/>
      <c r="D1800" s="1604"/>
      <c r="E1800" s="1603"/>
      <c r="F1800" s="1601"/>
      <c r="G1800" s="1601"/>
      <c r="H1800" s="1010" t="s">
        <v>7058</v>
      </c>
      <c r="I1800" s="951">
        <v>0</v>
      </c>
    </row>
    <row r="1801" spans="2:9" ht="24.95" customHeight="1" x14ac:dyDescent="0.25">
      <c r="B1801" s="950"/>
      <c r="C1801" s="1011"/>
      <c r="D1801" s="1010"/>
      <c r="E1801" s="1011"/>
      <c r="F1801" s="950"/>
      <c r="G1801" s="950"/>
      <c r="H1801" s="1010"/>
    </row>
    <row r="1802" spans="2:9" ht="24.95" customHeight="1" x14ac:dyDescent="0.25">
      <c r="B1802" s="962" t="s">
        <v>3138</v>
      </c>
      <c r="C1802" s="959">
        <v>10</v>
      </c>
      <c r="D1802" s="962" t="s">
        <v>5246</v>
      </c>
      <c r="E1802" s="954"/>
      <c r="F1802" s="960"/>
      <c r="G1802" s="958"/>
      <c r="H1802" s="958"/>
      <c r="I1802" s="961">
        <f>I1803</f>
        <v>17310.810000000001</v>
      </c>
    </row>
    <row r="1803" spans="2:9" ht="24.95" customHeight="1" x14ac:dyDescent="0.25">
      <c r="B1803" s="962" t="s">
        <v>3139</v>
      </c>
      <c r="C1803" s="959">
        <v>303</v>
      </c>
      <c r="D1803" s="962" t="s">
        <v>5418</v>
      </c>
      <c r="E1803" s="954"/>
      <c r="F1803" s="960"/>
      <c r="G1803" s="958"/>
      <c r="H1803" s="958"/>
      <c r="I1803" s="961">
        <f>I1805</f>
        <v>17310.810000000001</v>
      </c>
    </row>
    <row r="1804" spans="2:9" ht="24.95" customHeight="1" x14ac:dyDescent="0.25">
      <c r="B1804" s="962" t="s">
        <v>3137</v>
      </c>
      <c r="C1804" s="959">
        <v>100</v>
      </c>
      <c r="D1804" s="962" t="s">
        <v>4608</v>
      </c>
      <c r="E1804" s="954"/>
      <c r="F1804" s="960"/>
      <c r="G1804" s="958"/>
      <c r="H1804" s="958"/>
      <c r="I1804" s="961">
        <f>I1805</f>
        <v>17310.810000000001</v>
      </c>
    </row>
    <row r="1805" spans="2:9" ht="24.95" customHeight="1" x14ac:dyDescent="0.25">
      <c r="B1805" s="963" t="s">
        <v>2965</v>
      </c>
      <c r="C1805" s="959">
        <v>2043</v>
      </c>
      <c r="D1805" s="963" t="s">
        <v>7013</v>
      </c>
      <c r="E1805" s="954"/>
      <c r="F1805" s="960"/>
      <c r="G1805" s="963"/>
      <c r="H1805" s="958"/>
      <c r="I1805" s="957">
        <f>I1806</f>
        <v>17310.810000000001</v>
      </c>
    </row>
    <row r="1806" spans="2:9" ht="24.95" customHeight="1" x14ac:dyDescent="0.25">
      <c r="B1806" s="946">
        <v>69040</v>
      </c>
      <c r="C1806" s="964">
        <v>333903299000000</v>
      </c>
      <c r="D1806" s="946" t="s">
        <v>7014</v>
      </c>
      <c r="E1806" s="954"/>
      <c r="F1806" s="955">
        <v>1</v>
      </c>
      <c r="G1806" s="955">
        <v>0</v>
      </c>
      <c r="H1806" s="958" t="s">
        <v>7022</v>
      </c>
      <c r="I1806" s="957">
        <v>17310.810000000001</v>
      </c>
    </row>
    <row r="1807" spans="2:9" ht="24.95" customHeight="1" x14ac:dyDescent="0.25">
      <c r="B1807" s="1601" t="s">
        <v>7086</v>
      </c>
      <c r="C1807" s="1603">
        <v>333903299010000</v>
      </c>
      <c r="D1807" s="1604" t="s">
        <v>7014</v>
      </c>
      <c r="E1807" s="1603"/>
      <c r="F1807" s="1605">
        <v>1</v>
      </c>
      <c r="G1807" s="1605">
        <v>0</v>
      </c>
      <c r="H1807" s="1010" t="s">
        <v>7019</v>
      </c>
      <c r="I1807" s="951">
        <v>0</v>
      </c>
    </row>
    <row r="1808" spans="2:9" ht="24.95" customHeight="1" x14ac:dyDescent="0.25">
      <c r="B1808" s="1601"/>
      <c r="C1808" s="1603"/>
      <c r="D1808" s="1604"/>
      <c r="E1808" s="1603"/>
      <c r="F1808" s="1605"/>
      <c r="G1808" s="1605"/>
      <c r="H1808" s="1010" t="s">
        <v>7020</v>
      </c>
      <c r="I1808" s="951">
        <v>0</v>
      </c>
    </row>
    <row r="1809" spans="2:9" ht="24.95" customHeight="1" x14ac:dyDescent="0.25">
      <c r="B1809" s="1601"/>
      <c r="C1809" s="1603"/>
      <c r="D1809" s="1604"/>
      <c r="E1809" s="1603"/>
      <c r="F1809" s="1605"/>
      <c r="G1809" s="1605"/>
      <c r="H1809" s="1010" t="s">
        <v>7021</v>
      </c>
      <c r="I1809" s="951">
        <v>0</v>
      </c>
    </row>
    <row r="1810" spans="2:9" ht="24.95" customHeight="1" x14ac:dyDescent="0.25">
      <c r="B1810" s="962" t="s">
        <v>3138</v>
      </c>
      <c r="C1810" s="959">
        <v>12</v>
      </c>
      <c r="D1810" s="962" t="s">
        <v>4728</v>
      </c>
      <c r="E1810" s="954"/>
      <c r="F1810" s="960"/>
      <c r="G1810" s="958"/>
      <c r="H1810" s="958"/>
      <c r="I1810" s="961">
        <f>I1811</f>
        <v>49230.12</v>
      </c>
    </row>
    <row r="1811" spans="2:9" ht="24.95" customHeight="1" x14ac:dyDescent="0.25">
      <c r="B1811" s="962" t="s">
        <v>3139</v>
      </c>
      <c r="C1811" s="959">
        <v>361</v>
      </c>
      <c r="D1811" s="962" t="s">
        <v>4731</v>
      </c>
      <c r="E1811" s="954"/>
      <c r="F1811" s="960"/>
      <c r="G1811" s="958"/>
      <c r="H1811" s="958"/>
      <c r="I1811" s="961">
        <f>I1813</f>
        <v>49230.12</v>
      </c>
    </row>
    <row r="1812" spans="2:9" ht="24.95" customHeight="1" x14ac:dyDescent="0.25">
      <c r="B1812" s="962" t="s">
        <v>3137</v>
      </c>
      <c r="C1812" s="959">
        <v>6</v>
      </c>
      <c r="D1812" s="962" t="s">
        <v>4729</v>
      </c>
      <c r="E1812" s="954"/>
      <c r="F1812" s="960"/>
      <c r="G1812" s="958"/>
      <c r="H1812" s="958"/>
      <c r="I1812" s="961">
        <f>I1813</f>
        <v>49230.12</v>
      </c>
    </row>
    <row r="1813" spans="2:9" ht="24.95" customHeight="1" x14ac:dyDescent="0.25">
      <c r="B1813" s="963" t="s">
        <v>2965</v>
      </c>
      <c r="C1813" s="959">
        <v>1005</v>
      </c>
      <c r="D1813" s="963" t="s">
        <v>4688</v>
      </c>
      <c r="E1813" s="954"/>
      <c r="F1813" s="960"/>
      <c r="G1813" s="963"/>
      <c r="H1813" s="958"/>
      <c r="I1813" s="957">
        <f>I1814</f>
        <v>49230.12</v>
      </c>
    </row>
    <row r="1814" spans="2:9" ht="34.5" customHeight="1" x14ac:dyDescent="0.25">
      <c r="B1814" s="946">
        <v>69060</v>
      </c>
      <c r="C1814" s="964">
        <v>344905100000000</v>
      </c>
      <c r="D1814" s="946" t="s">
        <v>7032</v>
      </c>
      <c r="E1814" s="954"/>
      <c r="F1814" s="955">
        <v>1</v>
      </c>
      <c r="G1814" s="955">
        <v>0</v>
      </c>
      <c r="H1814" s="958" t="s">
        <v>7033</v>
      </c>
      <c r="I1814" s="957">
        <v>49230.12</v>
      </c>
    </row>
    <row r="1815" spans="2:9" ht="24.95" customHeight="1" x14ac:dyDescent="0.25">
      <c r="B1815" s="1601" t="s">
        <v>7087</v>
      </c>
      <c r="C1815" s="1603">
        <v>3449051990000</v>
      </c>
      <c r="D1815" s="1604" t="s">
        <v>7029</v>
      </c>
      <c r="E1815" s="1603"/>
      <c r="F1815" s="1601">
        <v>1</v>
      </c>
      <c r="G1815" s="1601">
        <v>0</v>
      </c>
      <c r="H1815" s="1010" t="s">
        <v>7034</v>
      </c>
      <c r="I1815" s="951">
        <v>0</v>
      </c>
    </row>
    <row r="1816" spans="2:9" ht="24.95" customHeight="1" x14ac:dyDescent="0.25">
      <c r="B1816" s="1601"/>
      <c r="C1816" s="1603"/>
      <c r="D1816" s="1604"/>
      <c r="E1816" s="1603"/>
      <c r="F1816" s="1601"/>
      <c r="G1816" s="1601"/>
      <c r="H1816" s="1010" t="s">
        <v>7035</v>
      </c>
      <c r="I1816" s="951">
        <v>0</v>
      </c>
    </row>
    <row r="1817" spans="2:9" ht="24.95" customHeight="1" x14ac:dyDescent="0.25">
      <c r="B1817" s="1601"/>
      <c r="C1817" s="1603"/>
      <c r="D1817" s="1604"/>
      <c r="E1817" s="1603"/>
      <c r="F1817" s="1601"/>
      <c r="G1817" s="1601"/>
      <c r="H1817" s="1010" t="s">
        <v>7036</v>
      </c>
      <c r="I1817" s="951">
        <v>0</v>
      </c>
    </row>
    <row r="1818" spans="2:9" ht="24.95" customHeight="1" x14ac:dyDescent="0.25">
      <c r="B1818" s="1601"/>
      <c r="C1818" s="1603"/>
      <c r="D1818" s="1604"/>
      <c r="E1818" s="1603"/>
      <c r="F1818" s="1601"/>
      <c r="G1818" s="1601"/>
      <c r="H1818" s="1010" t="s">
        <v>7037</v>
      </c>
      <c r="I1818" s="951">
        <v>0</v>
      </c>
    </row>
    <row r="1819" spans="2:9" ht="24.95" customHeight="1" x14ac:dyDescent="0.25">
      <c r="B1819" s="1601"/>
      <c r="C1819" s="1603"/>
      <c r="D1819" s="1604"/>
      <c r="E1819" s="1603"/>
      <c r="F1819" s="1601"/>
      <c r="G1819" s="1601"/>
      <c r="H1819" s="1010" t="s">
        <v>7038</v>
      </c>
      <c r="I1819" s="951">
        <v>0</v>
      </c>
    </row>
    <row r="1820" spans="2:9" ht="24.95" customHeight="1" x14ac:dyDescent="0.25">
      <c r="B1820" s="1601"/>
      <c r="C1820" s="1603"/>
      <c r="D1820" s="1604"/>
      <c r="E1820" s="1603"/>
      <c r="F1820" s="1601"/>
      <c r="G1820" s="1601"/>
      <c r="H1820" s="1010" t="s">
        <v>7039</v>
      </c>
      <c r="I1820" s="951">
        <v>0</v>
      </c>
    </row>
    <row r="1821" spans="2:9" ht="24.95" customHeight="1" x14ac:dyDescent="0.25">
      <c r="B1821" s="962" t="s">
        <v>3138</v>
      </c>
      <c r="C1821" s="959">
        <v>12</v>
      </c>
      <c r="D1821" s="962" t="s">
        <v>4728</v>
      </c>
      <c r="E1821" s="954"/>
      <c r="F1821" s="960"/>
      <c r="G1821" s="958"/>
      <c r="H1821" s="958"/>
      <c r="I1821" s="961">
        <f>I1822</f>
        <v>15000</v>
      </c>
    </row>
    <row r="1822" spans="2:9" ht="24.95" customHeight="1" x14ac:dyDescent="0.25">
      <c r="B1822" s="962" t="s">
        <v>3139</v>
      </c>
      <c r="C1822" s="959">
        <v>365</v>
      </c>
      <c r="D1822" s="962" t="s">
        <v>4732</v>
      </c>
      <c r="E1822" s="954"/>
      <c r="F1822" s="960"/>
      <c r="G1822" s="958"/>
      <c r="H1822" s="958"/>
      <c r="I1822" s="961">
        <f>I1824</f>
        <v>15000</v>
      </c>
    </row>
    <row r="1823" spans="2:9" ht="24.95" customHeight="1" x14ac:dyDescent="0.25">
      <c r="B1823" s="962" t="s">
        <v>3137</v>
      </c>
      <c r="C1823" s="959">
        <v>6</v>
      </c>
      <c r="D1823" s="962" t="s">
        <v>4729</v>
      </c>
      <c r="E1823" s="954"/>
      <c r="F1823" s="960"/>
      <c r="G1823" s="958"/>
      <c r="H1823" s="958"/>
      <c r="I1823" s="961">
        <f>I1824</f>
        <v>15000</v>
      </c>
    </row>
    <row r="1824" spans="2:9" ht="24.95" customHeight="1" x14ac:dyDescent="0.25">
      <c r="B1824" s="963" t="s">
        <v>2965</v>
      </c>
      <c r="C1824" s="959">
        <v>1005</v>
      </c>
      <c r="D1824" s="963" t="s">
        <v>4688</v>
      </c>
      <c r="E1824" s="954"/>
      <c r="F1824" s="960"/>
      <c r="G1824" s="963"/>
      <c r="H1824" s="958"/>
      <c r="I1824" s="957">
        <f>I1825</f>
        <v>15000</v>
      </c>
    </row>
    <row r="1825" spans="2:9" ht="24.95" customHeight="1" x14ac:dyDescent="0.25">
      <c r="B1825" s="946">
        <v>69080</v>
      </c>
      <c r="C1825" s="964">
        <v>344905200000000</v>
      </c>
      <c r="D1825" s="946" t="s">
        <v>7040</v>
      </c>
      <c r="E1825" s="954"/>
      <c r="F1825" s="955">
        <v>1</v>
      </c>
      <c r="G1825" s="955">
        <v>0</v>
      </c>
      <c r="H1825" s="958">
        <v>0</v>
      </c>
      <c r="I1825" s="957">
        <v>15000</v>
      </c>
    </row>
    <row r="1826" spans="2:9" ht="24.95" customHeight="1" x14ac:dyDescent="0.25">
      <c r="B1826" s="1601" t="s">
        <v>7088</v>
      </c>
      <c r="C1826" s="1603">
        <v>34490523400000</v>
      </c>
      <c r="D1826" s="1604" t="s">
        <v>7041</v>
      </c>
      <c r="E1826" s="1603"/>
      <c r="F1826" s="1601">
        <v>1</v>
      </c>
      <c r="G1826" s="1601">
        <v>0</v>
      </c>
      <c r="H1826" s="1010" t="s">
        <v>7042</v>
      </c>
      <c r="I1826" s="951">
        <v>0</v>
      </c>
    </row>
    <row r="1827" spans="2:9" ht="24.95" customHeight="1" x14ac:dyDescent="0.25">
      <c r="B1827" s="1601"/>
      <c r="C1827" s="1603"/>
      <c r="D1827" s="1604"/>
      <c r="E1827" s="1603"/>
      <c r="F1827" s="1601"/>
      <c r="G1827" s="1601"/>
      <c r="H1827" s="1010" t="s">
        <v>7043</v>
      </c>
      <c r="I1827" s="951">
        <v>0</v>
      </c>
    </row>
    <row r="1828" spans="2:9" ht="24.95" customHeight="1" x14ac:dyDescent="0.25">
      <c r="B1828" s="1601"/>
      <c r="C1828" s="1603"/>
      <c r="D1828" s="1604"/>
      <c r="E1828" s="1603"/>
      <c r="F1828" s="1601"/>
      <c r="G1828" s="1601"/>
      <c r="H1828" s="1010" t="s">
        <v>7044</v>
      </c>
      <c r="I1828" s="951">
        <v>0</v>
      </c>
    </row>
    <row r="1829" spans="2:9" ht="24.95" customHeight="1" x14ac:dyDescent="0.25">
      <c r="B1829" s="1601"/>
      <c r="C1829" s="1603"/>
      <c r="D1829" s="1604"/>
      <c r="E1829" s="1603"/>
      <c r="F1829" s="1601"/>
      <c r="G1829" s="1601"/>
      <c r="H1829" s="1010" t="s">
        <v>7045</v>
      </c>
      <c r="I1829" s="951">
        <v>0</v>
      </c>
    </row>
    <row r="1830" spans="2:9" ht="24.95" customHeight="1" x14ac:dyDescent="0.25">
      <c r="B1830" s="1601"/>
      <c r="C1830" s="1603"/>
      <c r="D1830" s="1604"/>
      <c r="E1830" s="1603"/>
      <c r="F1830" s="1601"/>
      <c r="G1830" s="1601"/>
      <c r="H1830" s="1010" t="s">
        <v>7046</v>
      </c>
      <c r="I1830" s="951">
        <v>0</v>
      </c>
    </row>
    <row r="1831" spans="2:9" ht="24.95" customHeight="1" x14ac:dyDescent="0.25">
      <c r="B1831" s="1601"/>
      <c r="C1831" s="1603"/>
      <c r="D1831" s="1604"/>
      <c r="E1831" s="1603"/>
      <c r="F1831" s="1601"/>
      <c r="G1831" s="1601"/>
      <c r="H1831" s="1010" t="s">
        <v>7047</v>
      </c>
      <c r="I1831" s="951">
        <v>0</v>
      </c>
    </row>
    <row r="1832" spans="2:9" ht="24.95" customHeight="1" x14ac:dyDescent="0.25">
      <c r="B1832" s="962" t="s">
        <v>3138</v>
      </c>
      <c r="C1832" s="959">
        <v>26</v>
      </c>
      <c r="D1832" s="962" t="s">
        <v>4098</v>
      </c>
      <c r="E1832" s="954"/>
      <c r="F1832" s="960"/>
      <c r="G1832" s="958"/>
      <c r="H1832" s="958"/>
      <c r="I1832" s="961">
        <f>I1833</f>
        <v>24978.38</v>
      </c>
    </row>
    <row r="1833" spans="2:9" ht="24.95" customHeight="1" x14ac:dyDescent="0.25">
      <c r="B1833" s="962" t="s">
        <v>3139</v>
      </c>
      <c r="C1833" s="959">
        <v>782</v>
      </c>
      <c r="D1833" s="962" t="s">
        <v>4099</v>
      </c>
      <c r="E1833" s="954"/>
      <c r="F1833" s="960"/>
      <c r="G1833" s="958"/>
      <c r="H1833" s="958"/>
      <c r="I1833" s="961">
        <f>I1835</f>
        <v>24978.38</v>
      </c>
    </row>
    <row r="1834" spans="2:9" ht="24.95" customHeight="1" x14ac:dyDescent="0.25">
      <c r="B1834" s="962" t="s">
        <v>3137</v>
      </c>
      <c r="C1834" s="959">
        <v>4</v>
      </c>
      <c r="D1834" s="962" t="s">
        <v>4097</v>
      </c>
      <c r="E1834" s="954"/>
      <c r="F1834" s="960"/>
      <c r="G1834" s="958"/>
      <c r="H1834" s="958"/>
      <c r="I1834" s="961">
        <f>I1835</f>
        <v>24978.38</v>
      </c>
    </row>
    <row r="1835" spans="2:9" ht="24.95" customHeight="1" x14ac:dyDescent="0.25">
      <c r="B1835" s="963" t="s">
        <v>2965</v>
      </c>
      <c r="C1835" s="959">
        <v>2003</v>
      </c>
      <c r="D1835" s="963" t="s">
        <v>3744</v>
      </c>
      <c r="E1835" s="954"/>
      <c r="F1835" s="960"/>
      <c r="G1835" s="963"/>
      <c r="H1835" s="958"/>
      <c r="I1835" s="957">
        <f>I1836+I1840</f>
        <v>24978.38</v>
      </c>
    </row>
    <row r="1836" spans="2:9" ht="24.95" customHeight="1" x14ac:dyDescent="0.25">
      <c r="B1836" s="946">
        <v>69100</v>
      </c>
      <c r="C1836" s="964">
        <v>33390300000000</v>
      </c>
      <c r="D1836" s="946" t="s">
        <v>7017</v>
      </c>
      <c r="E1836" s="954"/>
      <c r="F1836" s="955">
        <v>1</v>
      </c>
      <c r="G1836" s="955">
        <v>0</v>
      </c>
      <c r="H1836" s="958" t="s">
        <v>7026</v>
      </c>
      <c r="I1836" s="957">
        <f>21410.04</f>
        <v>21410.04</v>
      </c>
    </row>
    <row r="1837" spans="2:9" ht="24.95" customHeight="1" x14ac:dyDescent="0.25">
      <c r="B1837" s="1601" t="s">
        <v>7089</v>
      </c>
      <c r="C1837" s="1603">
        <v>333903000000000</v>
      </c>
      <c r="D1837" s="1604" t="s">
        <v>7018</v>
      </c>
      <c r="E1837" s="1603"/>
      <c r="F1837" s="1605">
        <v>1</v>
      </c>
      <c r="G1837" s="1605">
        <v>0</v>
      </c>
      <c r="H1837" s="1010" t="s">
        <v>7023</v>
      </c>
      <c r="I1837" s="951">
        <v>0</v>
      </c>
    </row>
    <row r="1838" spans="2:9" ht="24.95" customHeight="1" x14ac:dyDescent="0.25">
      <c r="B1838" s="1601"/>
      <c r="C1838" s="1603"/>
      <c r="D1838" s="1604"/>
      <c r="E1838" s="1603"/>
      <c r="F1838" s="1605"/>
      <c r="G1838" s="1605"/>
      <c r="H1838" s="1010" t="s">
        <v>7024</v>
      </c>
      <c r="I1838" s="951">
        <v>0</v>
      </c>
    </row>
    <row r="1839" spans="2:9" ht="24.95" customHeight="1" x14ac:dyDescent="0.25">
      <c r="B1839" s="1601"/>
      <c r="C1839" s="1603"/>
      <c r="D1839" s="1604"/>
      <c r="E1839" s="1603"/>
      <c r="F1839" s="1605"/>
      <c r="G1839" s="1605"/>
      <c r="H1839" s="1010" t="s">
        <v>7025</v>
      </c>
      <c r="I1839" s="951">
        <v>0</v>
      </c>
    </row>
    <row r="1840" spans="2:9" ht="24.95" customHeight="1" x14ac:dyDescent="0.25">
      <c r="B1840" s="946">
        <v>69120</v>
      </c>
      <c r="C1840" s="964">
        <v>3449051000000000</v>
      </c>
      <c r="D1840" s="946" t="s">
        <v>7028</v>
      </c>
      <c r="E1840" s="954"/>
      <c r="F1840" s="955">
        <v>1</v>
      </c>
      <c r="G1840" s="955">
        <v>0</v>
      </c>
      <c r="H1840" s="958" t="s">
        <v>7030</v>
      </c>
      <c r="I1840" s="957">
        <v>3568.34</v>
      </c>
    </row>
    <row r="1841" spans="2:9" ht="24.95" customHeight="1" x14ac:dyDescent="0.25">
      <c r="B1841" s="945" t="s">
        <v>7090</v>
      </c>
      <c r="C1841" s="974">
        <v>3449051990000000</v>
      </c>
      <c r="D1841" s="945" t="s">
        <v>7029</v>
      </c>
      <c r="E1841" s="974"/>
      <c r="F1841" s="945">
        <v>1</v>
      </c>
      <c r="G1841" s="945">
        <v>0</v>
      </c>
      <c r="H1841" s="1010" t="s">
        <v>7031</v>
      </c>
      <c r="I1841" s="951">
        <v>0</v>
      </c>
    </row>
    <row r="1842" spans="2:9" ht="24.95" customHeight="1" x14ac:dyDescent="0.25">
      <c r="C1842" s="974"/>
      <c r="E1842" s="974"/>
      <c r="F1842" s="945"/>
      <c r="H1842" s="1010"/>
    </row>
    <row r="1843" spans="2:9" ht="24.95" customHeight="1" x14ac:dyDescent="0.25">
      <c r="B1843" s="950"/>
      <c r="C1843" s="1011"/>
      <c r="D1843" s="1010"/>
      <c r="E1843" s="1011"/>
      <c r="G1843" s="949"/>
      <c r="H1843" s="1010"/>
    </row>
    <row r="1844" spans="2:9" ht="24.95" customHeight="1" x14ac:dyDescent="0.25">
      <c r="B1844" s="962" t="s">
        <v>3138</v>
      </c>
      <c r="C1844" s="959">
        <v>20</v>
      </c>
      <c r="D1844" s="962" t="s">
        <v>4116</v>
      </c>
      <c r="E1844" s="954"/>
      <c r="F1844" s="960"/>
      <c r="G1844" s="958"/>
      <c r="H1844" s="958"/>
      <c r="I1844" s="961">
        <f>I1845</f>
        <v>7136.68</v>
      </c>
    </row>
    <row r="1845" spans="2:9" ht="24.95" customHeight="1" x14ac:dyDescent="0.25">
      <c r="B1845" s="962" t="s">
        <v>3139</v>
      </c>
      <c r="C1845" s="959">
        <v>608</v>
      </c>
      <c r="D1845" s="962" t="s">
        <v>7027</v>
      </c>
      <c r="E1845" s="954"/>
      <c r="F1845" s="960"/>
      <c r="G1845" s="958"/>
      <c r="H1845" s="958"/>
      <c r="I1845" s="961">
        <f>I1847</f>
        <v>7136.68</v>
      </c>
    </row>
    <row r="1846" spans="2:9" ht="24.95" customHeight="1" x14ac:dyDescent="0.25">
      <c r="B1846" s="962" t="s">
        <v>3137</v>
      </c>
      <c r="C1846" s="959">
        <v>5</v>
      </c>
      <c r="D1846" s="1602" t="s">
        <v>4498</v>
      </c>
      <c r="E1846" s="1602"/>
      <c r="F1846" s="960"/>
      <c r="G1846" s="958"/>
      <c r="H1846" s="958"/>
      <c r="I1846" s="961">
        <f>I1847</f>
        <v>7136.68</v>
      </c>
    </row>
    <row r="1847" spans="2:9" ht="24.95" customHeight="1" x14ac:dyDescent="0.25">
      <c r="B1847" s="963" t="s">
        <v>2965</v>
      </c>
      <c r="C1847" s="959">
        <v>2004</v>
      </c>
      <c r="D1847" s="963" t="s">
        <v>4305</v>
      </c>
      <c r="E1847" s="954"/>
      <c r="F1847" s="960"/>
      <c r="G1847" s="963"/>
      <c r="H1847" s="958"/>
      <c r="I1847" s="957">
        <f>I1848</f>
        <v>7136.68</v>
      </c>
    </row>
    <row r="1848" spans="2:9" ht="24.95" customHeight="1" x14ac:dyDescent="0.25">
      <c r="B1848" s="946">
        <v>69140</v>
      </c>
      <c r="C1848" s="964">
        <v>333903299000000</v>
      </c>
      <c r="D1848" s="946" t="s">
        <v>7048</v>
      </c>
      <c r="E1848" s="954"/>
      <c r="F1848" s="955">
        <v>1</v>
      </c>
      <c r="G1848" s="955">
        <v>0</v>
      </c>
      <c r="H1848" s="958" t="s">
        <v>7026</v>
      </c>
      <c r="I1848" s="957">
        <v>7136.68</v>
      </c>
    </row>
    <row r="1849" spans="2:9" ht="24.95" customHeight="1" x14ac:dyDescent="0.25">
      <c r="B1849" s="1601" t="s">
        <v>7091</v>
      </c>
      <c r="C1849" s="1603">
        <v>333903000000000</v>
      </c>
      <c r="D1849" s="1601" t="s">
        <v>7018</v>
      </c>
      <c r="E1849" s="1603"/>
      <c r="F1849" s="1601">
        <v>1</v>
      </c>
      <c r="G1849" s="1601">
        <v>0</v>
      </c>
      <c r="H1849" s="1010" t="s">
        <v>7024</v>
      </c>
      <c r="I1849" s="951">
        <v>0</v>
      </c>
    </row>
    <row r="1850" spans="2:9" ht="24.95" customHeight="1" x14ac:dyDescent="0.25">
      <c r="B1850" s="1601"/>
      <c r="C1850" s="1603"/>
      <c r="D1850" s="1601"/>
      <c r="E1850" s="1603"/>
      <c r="F1850" s="1601"/>
      <c r="G1850" s="1601"/>
      <c r="H1850" s="1010" t="s">
        <v>7025</v>
      </c>
      <c r="I1850" s="951">
        <v>0</v>
      </c>
    </row>
    <row r="1851" spans="2:9" ht="24.95" customHeight="1" x14ac:dyDescent="0.25">
      <c r="C1851" s="974"/>
      <c r="E1851" s="974"/>
      <c r="F1851" s="945"/>
    </row>
    <row r="1852" spans="2:9" ht="24.95" customHeight="1" x14ac:dyDescent="0.25">
      <c r="B1852" s="950"/>
      <c r="C1852" s="1011"/>
      <c r="D1852" s="1010"/>
      <c r="E1852" s="1011"/>
      <c r="G1852" s="949"/>
      <c r="H1852" s="1010"/>
    </row>
    <row r="1853" spans="2:9" ht="24.95" customHeight="1" x14ac:dyDescent="0.25">
      <c r="H1853" s="945"/>
    </row>
    <row r="1854" spans="2:9" s="946" customFormat="1" ht="24.95" customHeight="1" x14ac:dyDescent="0.25">
      <c r="B1854" s="1608" t="s">
        <v>3336</v>
      </c>
      <c r="C1854" s="1608"/>
      <c r="D1854" s="1608"/>
      <c r="E1854" s="1608"/>
      <c r="F1854" s="1608"/>
      <c r="G1854" s="1608"/>
      <c r="H1854" s="1608"/>
      <c r="I1854" s="957">
        <f>I1777+I1805+I1813+I1824+I1835+I1847</f>
        <v>192690.36</v>
      </c>
    </row>
    <row r="1855" spans="2:9" s="946" customFormat="1" ht="24.95" customHeight="1" x14ac:dyDescent="0.25">
      <c r="B1855" s="1608" t="s">
        <v>4684</v>
      </c>
      <c r="C1855" s="1608"/>
      <c r="D1855" s="1608"/>
      <c r="E1855" s="1608"/>
      <c r="F1855" s="1608"/>
      <c r="G1855" s="1608"/>
      <c r="H1855" s="1608"/>
      <c r="I1855" s="1012">
        <f>I1854</f>
        <v>192690.36</v>
      </c>
    </row>
    <row r="1856" spans="2:9" ht="24.95" customHeight="1" x14ac:dyDescent="0.25">
      <c r="E1856" s="954" t="s">
        <v>4777</v>
      </c>
      <c r="F1856" s="960"/>
      <c r="G1856" s="960"/>
      <c r="H1856" s="958"/>
      <c r="I1856" s="961"/>
    </row>
    <row r="1857" spans="1:9" ht="24.95" customHeight="1" x14ac:dyDescent="0.25">
      <c r="F1857" s="949">
        <v>1</v>
      </c>
      <c r="G1857" s="945">
        <v>0</v>
      </c>
      <c r="H1857" s="950">
        <v>0</v>
      </c>
      <c r="I1857" s="951">
        <f>I1855</f>
        <v>192690.36</v>
      </c>
    </row>
    <row r="1858" spans="1:9" s="946" customFormat="1" ht="24.95" customHeight="1" x14ac:dyDescent="0.25">
      <c r="B1858" s="946" t="s">
        <v>3088</v>
      </c>
      <c r="C1858" s="953" t="s">
        <v>4685</v>
      </c>
      <c r="E1858" s="954"/>
      <c r="F1858" s="955"/>
      <c r="H1858" s="956"/>
      <c r="I1858" s="957"/>
    </row>
    <row r="1859" spans="1:9" s="946" customFormat="1" ht="24.95" customHeight="1" x14ac:dyDescent="0.25">
      <c r="B1859" s="946" t="s">
        <v>3087</v>
      </c>
      <c r="C1859" s="953" t="s">
        <v>4686</v>
      </c>
      <c r="E1859" s="954"/>
      <c r="F1859" s="955"/>
      <c r="H1859" s="956"/>
      <c r="I1859" s="957"/>
    </row>
    <row r="1860" spans="1:9" s="946" customFormat="1" ht="24.95" customHeight="1" x14ac:dyDescent="0.25">
      <c r="B1860" s="946" t="s">
        <v>3089</v>
      </c>
      <c r="C1860" s="953" t="s">
        <v>3146</v>
      </c>
      <c r="E1860" s="954"/>
      <c r="F1860" s="955"/>
      <c r="H1860" s="956"/>
      <c r="I1860" s="957"/>
    </row>
    <row r="1861" spans="1:9" ht="33.75" customHeight="1" x14ac:dyDescent="0.25">
      <c r="A1861" s="958"/>
      <c r="B1861" s="958" t="s">
        <v>2967</v>
      </c>
      <c r="C1861" s="959" t="s">
        <v>472</v>
      </c>
      <c r="D1861" s="958" t="s">
        <v>2968</v>
      </c>
      <c r="E1861" s="954" t="s">
        <v>3066</v>
      </c>
      <c r="F1861" s="960" t="s">
        <v>1403</v>
      </c>
      <c r="G1861" s="958" t="s">
        <v>2969</v>
      </c>
      <c r="H1861" s="958" t="s">
        <v>3065</v>
      </c>
      <c r="I1861" s="961" t="s">
        <v>2531</v>
      </c>
    </row>
    <row r="1862" spans="1:9" ht="15" customHeight="1" x14ac:dyDescent="0.25">
      <c r="A1862" s="958"/>
      <c r="B1862" s="962" t="s">
        <v>3138</v>
      </c>
      <c r="C1862" s="959">
        <v>12</v>
      </c>
      <c r="D1862" s="962" t="s">
        <v>4728</v>
      </c>
      <c r="E1862" s="954"/>
      <c r="F1862" s="960"/>
      <c r="G1862" s="958"/>
      <c r="H1862" s="958"/>
      <c r="I1862" s="961">
        <f>I1863</f>
        <v>6.0000000000000005E-2</v>
      </c>
    </row>
    <row r="1863" spans="1:9" ht="15" customHeight="1" x14ac:dyDescent="0.25">
      <c r="A1863" s="958"/>
      <c r="B1863" s="962" t="s">
        <v>3139</v>
      </c>
      <c r="C1863" s="959">
        <v>122</v>
      </c>
      <c r="D1863" s="962" t="s">
        <v>3143</v>
      </c>
      <c r="E1863" s="954"/>
      <c r="F1863" s="960"/>
      <c r="G1863" s="958"/>
      <c r="H1863" s="958"/>
      <c r="I1863" s="961">
        <f>I1865</f>
        <v>6.0000000000000005E-2</v>
      </c>
    </row>
    <row r="1864" spans="1:9" ht="15" customHeight="1" x14ac:dyDescent="0.25">
      <c r="A1864" s="958"/>
      <c r="B1864" s="962" t="s">
        <v>3137</v>
      </c>
      <c r="C1864" s="959">
        <v>6</v>
      </c>
      <c r="D1864" s="962" t="s">
        <v>4729</v>
      </c>
      <c r="E1864" s="954"/>
      <c r="F1864" s="960"/>
      <c r="G1864" s="958"/>
      <c r="H1864" s="958"/>
      <c r="I1864" s="961">
        <f>I1865</f>
        <v>6.0000000000000005E-2</v>
      </c>
    </row>
    <row r="1865" spans="1:9" s="946" customFormat="1" ht="24.95" customHeight="1" x14ac:dyDescent="0.25">
      <c r="B1865" s="963" t="s">
        <v>2950</v>
      </c>
      <c r="C1865" s="959" t="s">
        <v>4687</v>
      </c>
      <c r="D1865" s="963" t="s">
        <v>4688</v>
      </c>
      <c r="E1865" s="954"/>
      <c r="F1865" s="955"/>
      <c r="H1865" s="956"/>
      <c r="I1865" s="957">
        <f>SUM(I1866,I1867,I1868,I1869,I1870,I1871)</f>
        <v>6.0000000000000005E-2</v>
      </c>
    </row>
    <row r="1866" spans="1:9" s="946" customFormat="1" ht="24.95" customHeight="1" x14ac:dyDescent="0.25">
      <c r="B1866" s="963">
        <v>70000</v>
      </c>
      <c r="C1866" s="964">
        <v>333904700000000</v>
      </c>
      <c r="D1866" s="963" t="s">
        <v>5659</v>
      </c>
      <c r="E1866" s="954">
        <v>0</v>
      </c>
      <c r="F1866" s="960">
        <v>20</v>
      </c>
      <c r="G1866" s="963">
        <v>0</v>
      </c>
      <c r="H1866" s="958">
        <v>0</v>
      </c>
      <c r="I1866" s="957">
        <f>PUCFD!E1528</f>
        <v>0.01</v>
      </c>
    </row>
    <row r="1867" spans="1:9" s="946" customFormat="1" ht="24.95" customHeight="1" x14ac:dyDescent="0.25">
      <c r="B1867" s="963">
        <v>70020</v>
      </c>
      <c r="C1867" s="964">
        <v>344903000000000</v>
      </c>
      <c r="D1867" s="963" t="s">
        <v>5660</v>
      </c>
      <c r="E1867" s="954">
        <v>0</v>
      </c>
      <c r="F1867" s="960">
        <v>20</v>
      </c>
      <c r="G1867" s="963">
        <v>0</v>
      </c>
      <c r="H1867" s="958">
        <v>0</v>
      </c>
      <c r="I1867" s="957">
        <f>PUCFD!E1529</f>
        <v>0.01</v>
      </c>
    </row>
    <row r="1868" spans="1:9" s="946" customFormat="1" ht="24.95" customHeight="1" x14ac:dyDescent="0.25">
      <c r="B1868" s="963">
        <v>70060</v>
      </c>
      <c r="C1868" s="964">
        <v>344903600000000</v>
      </c>
      <c r="D1868" s="963" t="s">
        <v>5661</v>
      </c>
      <c r="E1868" s="954">
        <v>0</v>
      </c>
      <c r="F1868" s="960">
        <v>20</v>
      </c>
      <c r="G1868" s="963">
        <v>0</v>
      </c>
      <c r="H1868" s="958">
        <v>0</v>
      </c>
      <c r="I1868" s="957">
        <f>PUCFD!E1530</f>
        <v>0.01</v>
      </c>
    </row>
    <row r="1869" spans="1:9" s="946" customFormat="1" ht="24.95" customHeight="1" x14ac:dyDescent="0.25">
      <c r="B1869" s="963">
        <v>70090</v>
      </c>
      <c r="C1869" s="964">
        <v>344903900000000</v>
      </c>
      <c r="D1869" s="963" t="s">
        <v>5662</v>
      </c>
      <c r="E1869" s="954">
        <v>0</v>
      </c>
      <c r="F1869" s="960">
        <v>20</v>
      </c>
      <c r="G1869" s="963">
        <v>0</v>
      </c>
      <c r="H1869" s="958">
        <v>0</v>
      </c>
      <c r="I1869" s="957">
        <f>PUCFD!E1531</f>
        <v>0.01</v>
      </c>
    </row>
    <row r="1870" spans="1:9" s="946" customFormat="1" ht="24.95" customHeight="1" x14ac:dyDescent="0.25">
      <c r="B1870" s="963">
        <v>70110</v>
      </c>
      <c r="C1870" s="964">
        <v>344905100000000</v>
      </c>
      <c r="D1870" s="963" t="s">
        <v>5663</v>
      </c>
      <c r="E1870" s="954">
        <v>0</v>
      </c>
      <c r="F1870" s="960">
        <v>20</v>
      </c>
      <c r="G1870" s="963">
        <v>0</v>
      </c>
      <c r="H1870" s="958">
        <v>0</v>
      </c>
      <c r="I1870" s="957">
        <f>PUCFD!E1532</f>
        <v>0.01</v>
      </c>
    </row>
    <row r="1871" spans="1:9" s="946" customFormat="1" ht="24.95" customHeight="1" x14ac:dyDescent="0.25">
      <c r="B1871" s="963">
        <v>70140</v>
      </c>
      <c r="C1871" s="964">
        <v>344905200000000</v>
      </c>
      <c r="D1871" s="963" t="s">
        <v>5664</v>
      </c>
      <c r="E1871" s="954">
        <v>0</v>
      </c>
      <c r="F1871" s="960">
        <v>20</v>
      </c>
      <c r="G1871" s="963">
        <v>0</v>
      </c>
      <c r="H1871" s="958">
        <v>0</v>
      </c>
      <c r="I1871" s="957">
        <f>PUCFD!E1533</f>
        <v>0.01</v>
      </c>
    </row>
    <row r="1872" spans="1:9" ht="15" customHeight="1" x14ac:dyDescent="0.25">
      <c r="A1872" s="958"/>
      <c r="B1872" s="962" t="s">
        <v>3138</v>
      </c>
      <c r="C1872" s="959">
        <v>12</v>
      </c>
      <c r="D1872" s="962" t="s">
        <v>4728</v>
      </c>
      <c r="E1872" s="954"/>
      <c r="F1872" s="960"/>
      <c r="G1872" s="958"/>
      <c r="H1872" s="958"/>
      <c r="I1872" s="961">
        <f>I1873</f>
        <v>1.03</v>
      </c>
    </row>
    <row r="1873" spans="1:9" ht="15" customHeight="1" x14ac:dyDescent="0.25">
      <c r="A1873" s="958"/>
      <c r="B1873" s="962" t="s">
        <v>3139</v>
      </c>
      <c r="C1873" s="959">
        <v>122</v>
      </c>
      <c r="D1873" s="962" t="s">
        <v>3143</v>
      </c>
      <c r="E1873" s="954"/>
      <c r="F1873" s="960"/>
      <c r="G1873" s="958"/>
      <c r="H1873" s="958"/>
      <c r="I1873" s="961">
        <f>I1875</f>
        <v>1.03</v>
      </c>
    </row>
    <row r="1874" spans="1:9" ht="15" customHeight="1" x14ac:dyDescent="0.25">
      <c r="A1874" s="958"/>
      <c r="B1874" s="962" t="s">
        <v>3137</v>
      </c>
      <c r="C1874" s="959">
        <v>6</v>
      </c>
      <c r="D1874" s="962" t="s">
        <v>4729</v>
      </c>
      <c r="E1874" s="954"/>
      <c r="F1874" s="960"/>
      <c r="G1874" s="958"/>
      <c r="H1874" s="958"/>
      <c r="I1874" s="961">
        <f>I1875</f>
        <v>1.03</v>
      </c>
    </row>
    <row r="1875" spans="1:9" s="946" customFormat="1" ht="24.95" customHeight="1" x14ac:dyDescent="0.25">
      <c r="B1875" s="963" t="s">
        <v>2950</v>
      </c>
      <c r="C1875" s="959" t="s">
        <v>4687</v>
      </c>
      <c r="D1875" s="963" t="s">
        <v>4688</v>
      </c>
      <c r="E1875" s="954"/>
      <c r="F1875" s="955"/>
      <c r="H1875" s="956"/>
      <c r="I1875" s="957">
        <f>SUM(I1876,I1877,I1878,I1879,I1880,I1881,I1882)</f>
        <v>1.03</v>
      </c>
    </row>
    <row r="1876" spans="1:9" s="946" customFormat="1" ht="24.95" customHeight="1" x14ac:dyDescent="0.25">
      <c r="B1876" s="963">
        <v>70200</v>
      </c>
      <c r="C1876" s="964">
        <v>333904700000000</v>
      </c>
      <c r="D1876" s="963" t="s">
        <v>5653</v>
      </c>
      <c r="E1876" s="954">
        <v>0</v>
      </c>
      <c r="F1876" s="960">
        <v>20</v>
      </c>
      <c r="G1876" s="963">
        <v>0</v>
      </c>
      <c r="H1876" s="958">
        <v>0</v>
      </c>
      <c r="I1876" s="957">
        <f>PUCFD!E1536</f>
        <v>0.01</v>
      </c>
    </row>
    <row r="1877" spans="1:9" s="946" customFormat="1" ht="24.95" customHeight="1" x14ac:dyDescent="0.25">
      <c r="B1877" s="963">
        <v>70220</v>
      </c>
      <c r="C1877" s="964">
        <v>344903000000000</v>
      </c>
      <c r="D1877" s="963" t="s">
        <v>5654</v>
      </c>
      <c r="E1877" s="954">
        <v>0</v>
      </c>
      <c r="F1877" s="960">
        <v>20</v>
      </c>
      <c r="G1877" s="963">
        <v>0</v>
      </c>
      <c r="H1877" s="958">
        <v>0</v>
      </c>
      <c r="I1877" s="957">
        <f>PUCFD!E1537</f>
        <v>0.01</v>
      </c>
    </row>
    <row r="1878" spans="1:9" s="946" customFormat="1" ht="24.95" customHeight="1" x14ac:dyDescent="0.25">
      <c r="B1878" s="963">
        <v>70240</v>
      </c>
      <c r="C1878" s="964">
        <v>344903600000000</v>
      </c>
      <c r="D1878" s="963" t="s">
        <v>5655</v>
      </c>
      <c r="E1878" s="954">
        <v>0</v>
      </c>
      <c r="F1878" s="960">
        <v>20</v>
      </c>
      <c r="G1878" s="963">
        <v>0</v>
      </c>
      <c r="H1878" s="958">
        <v>0</v>
      </c>
      <c r="I1878" s="957">
        <f>PUCFD!E1538</f>
        <v>0.01</v>
      </c>
    </row>
    <row r="1879" spans="1:9" s="946" customFormat="1" ht="24.95" customHeight="1" x14ac:dyDescent="0.25">
      <c r="B1879" s="963">
        <v>70260</v>
      </c>
      <c r="C1879" s="964">
        <v>344903900000000</v>
      </c>
      <c r="D1879" s="963" t="s">
        <v>5656</v>
      </c>
      <c r="E1879" s="954">
        <v>0</v>
      </c>
      <c r="F1879" s="960">
        <v>20</v>
      </c>
      <c r="G1879" s="963">
        <v>0</v>
      </c>
      <c r="H1879" s="958">
        <v>0</v>
      </c>
      <c r="I1879" s="957">
        <f>PUCFD!E1539</f>
        <v>0.01</v>
      </c>
    </row>
    <row r="1880" spans="1:9" s="946" customFormat="1" ht="24.95" customHeight="1" x14ac:dyDescent="0.25">
      <c r="B1880" s="963">
        <v>70280</v>
      </c>
      <c r="C1880" s="964">
        <v>344905100000000</v>
      </c>
      <c r="D1880" s="963" t="s">
        <v>5657</v>
      </c>
      <c r="E1880" s="954">
        <v>0</v>
      </c>
      <c r="F1880" s="960">
        <v>20</v>
      </c>
      <c r="G1880" s="963">
        <v>0</v>
      </c>
      <c r="H1880" s="958">
        <v>0</v>
      </c>
      <c r="I1880" s="957">
        <f>PUCFD!E1540</f>
        <v>0.01</v>
      </c>
    </row>
    <row r="1881" spans="1:9" s="946" customFormat="1" ht="24.95" customHeight="1" x14ac:dyDescent="0.25">
      <c r="B1881" s="963">
        <v>70300</v>
      </c>
      <c r="C1881" s="964">
        <v>344905200000000</v>
      </c>
      <c r="D1881" s="963" t="s">
        <v>5658</v>
      </c>
      <c r="E1881" s="954">
        <v>0</v>
      </c>
      <c r="F1881" s="960">
        <v>20</v>
      </c>
      <c r="G1881" s="963">
        <v>0</v>
      </c>
      <c r="H1881" s="958">
        <v>0</v>
      </c>
      <c r="I1881" s="957">
        <f>PUCFD!E1541</f>
        <v>0.01</v>
      </c>
    </row>
    <row r="1882" spans="1:9" s="946" customFormat="1" ht="24.95" customHeight="1" x14ac:dyDescent="0.25">
      <c r="B1882" s="963">
        <v>70400</v>
      </c>
      <c r="C1882" s="964">
        <v>344905200000000</v>
      </c>
      <c r="D1882" s="963" t="s">
        <v>6896</v>
      </c>
      <c r="E1882" s="954">
        <v>0</v>
      </c>
      <c r="F1882" s="960">
        <v>1036</v>
      </c>
      <c r="G1882" s="963">
        <v>0</v>
      </c>
      <c r="H1882" s="958">
        <v>0</v>
      </c>
      <c r="I1882" s="957">
        <f>PUCFD!E1542-0.03-1</f>
        <v>0.97</v>
      </c>
    </row>
    <row r="1883" spans="1:9" ht="15" customHeight="1" x14ac:dyDescent="0.25">
      <c r="A1883" s="958"/>
      <c r="B1883" s="962" t="s">
        <v>3138</v>
      </c>
      <c r="C1883" s="959">
        <v>12</v>
      </c>
      <c r="D1883" s="962" t="s">
        <v>4728</v>
      </c>
      <c r="E1883" s="954"/>
      <c r="F1883" s="960"/>
      <c r="G1883" s="958"/>
      <c r="H1883" s="958"/>
      <c r="I1883" s="961">
        <f>I1884</f>
        <v>805624.32256947644</v>
      </c>
    </row>
    <row r="1884" spans="1:9" ht="15" customHeight="1" x14ac:dyDescent="0.25">
      <c r="A1884" s="958"/>
      <c r="B1884" s="962" t="s">
        <v>3139</v>
      </c>
      <c r="C1884" s="959">
        <v>122</v>
      </c>
      <c r="D1884" s="962" t="s">
        <v>3143</v>
      </c>
      <c r="E1884" s="954"/>
      <c r="F1884" s="960"/>
      <c r="G1884" s="958"/>
      <c r="H1884" s="958"/>
      <c r="I1884" s="961">
        <f>I1886</f>
        <v>805624.32256947644</v>
      </c>
    </row>
    <row r="1885" spans="1:9" ht="15" customHeight="1" x14ac:dyDescent="0.25">
      <c r="A1885" s="958"/>
      <c r="B1885" s="962" t="s">
        <v>3137</v>
      </c>
      <c r="C1885" s="959">
        <v>6</v>
      </c>
      <c r="D1885" s="962" t="s">
        <v>4729</v>
      </c>
      <c r="E1885" s="954"/>
      <c r="F1885" s="960"/>
      <c r="G1885" s="958"/>
      <c r="H1885" s="958"/>
      <c r="I1885" s="961">
        <f>I1886</f>
        <v>805624.32256947644</v>
      </c>
    </row>
    <row r="1886" spans="1:9" s="946" customFormat="1" ht="24.95" customHeight="1" x14ac:dyDescent="0.25">
      <c r="B1886" s="963" t="s">
        <v>2965</v>
      </c>
      <c r="C1886" s="959">
        <v>5</v>
      </c>
      <c r="D1886" s="963" t="s">
        <v>4692</v>
      </c>
      <c r="E1886" s="954">
        <v>0</v>
      </c>
      <c r="F1886" s="960">
        <v>20</v>
      </c>
      <c r="G1886" s="963">
        <v>0</v>
      </c>
      <c r="H1886" s="958">
        <v>0</v>
      </c>
      <c r="I1886" s="961">
        <f>SUM(I1887:I1908)</f>
        <v>805624.32256947644</v>
      </c>
    </row>
    <row r="1887" spans="1:9" s="946" customFormat="1" ht="24.95" customHeight="1" x14ac:dyDescent="0.25">
      <c r="B1887" s="963">
        <v>71000</v>
      </c>
      <c r="C1887" s="964">
        <v>331900400000000</v>
      </c>
      <c r="D1887" s="963" t="s">
        <v>6011</v>
      </c>
      <c r="E1887" s="954">
        <v>0</v>
      </c>
      <c r="F1887" s="960">
        <v>20</v>
      </c>
      <c r="G1887" s="963">
        <v>0</v>
      </c>
      <c r="H1887" s="958">
        <v>0</v>
      </c>
      <c r="I1887" s="957">
        <f>PUCFD!E1544*(1)</f>
        <v>0.01</v>
      </c>
    </row>
    <row r="1888" spans="1:9" s="946" customFormat="1" ht="30" customHeight="1" x14ac:dyDescent="0.25">
      <c r="A1888" s="958"/>
      <c r="B1888" s="963">
        <v>71050</v>
      </c>
      <c r="C1888" s="964">
        <v>331900800000000</v>
      </c>
      <c r="D1888" s="963" t="s">
        <v>6012</v>
      </c>
      <c r="E1888" s="954"/>
      <c r="F1888" s="960">
        <v>1</v>
      </c>
      <c r="G1888" s="960">
        <v>0</v>
      </c>
      <c r="H1888" s="955"/>
      <c r="I1888" s="961">
        <f>(I1890+I1892+I1893)*PUCFD!E94</f>
        <v>54172.748067823173</v>
      </c>
    </row>
    <row r="1889" spans="1:10" ht="24.95" customHeight="1" x14ac:dyDescent="0.25">
      <c r="A1889" s="972"/>
      <c r="B1889" s="973" t="s">
        <v>4733</v>
      </c>
      <c r="C1889" s="991">
        <v>319008990400000</v>
      </c>
      <c r="D1889" s="973" t="s">
        <v>4234</v>
      </c>
      <c r="E1889" s="948">
        <v>312940100000000</v>
      </c>
      <c r="F1889" s="975">
        <v>1</v>
      </c>
      <c r="G1889" s="975">
        <v>0</v>
      </c>
      <c r="H1889" s="949"/>
      <c r="I1889" s="976">
        <f>PUCFD!E1545</f>
        <v>27881.60403543233</v>
      </c>
    </row>
    <row r="1890" spans="1:10" s="946" customFormat="1" ht="30" customHeight="1" x14ac:dyDescent="0.25">
      <c r="B1890" s="963">
        <v>71100</v>
      </c>
      <c r="C1890" s="964">
        <v>331901100000000</v>
      </c>
      <c r="D1890" s="963" t="s">
        <v>6013</v>
      </c>
      <c r="E1890" s="954">
        <v>0</v>
      </c>
      <c r="F1890" s="960">
        <v>20</v>
      </c>
      <c r="G1890" s="963">
        <v>0</v>
      </c>
      <c r="H1890" s="958">
        <v>0</v>
      </c>
      <c r="I1890" s="957">
        <f>PUCFD!E1546*(1+PUCFD!E$87)</f>
        <v>466493.82051077829</v>
      </c>
      <c r="J1890" s="1013"/>
    </row>
    <row r="1891" spans="1:10" s="946" customFormat="1" ht="24.95" customHeight="1" x14ac:dyDescent="0.25">
      <c r="B1891" s="963">
        <v>71200</v>
      </c>
      <c r="C1891" s="964">
        <v>331901300000000</v>
      </c>
      <c r="D1891" s="963" t="s">
        <v>6014</v>
      </c>
      <c r="E1891" s="954">
        <v>0</v>
      </c>
      <c r="F1891" s="960">
        <v>20</v>
      </c>
      <c r="G1891" s="963">
        <v>0</v>
      </c>
      <c r="H1891" s="958">
        <v>0</v>
      </c>
      <c r="I1891" s="957">
        <f>SUM(I1890,I1892,I1893,I1894)*PUCFD!E$92*(1+PUCFD!E$87)</f>
        <v>103509.15681957288</v>
      </c>
    </row>
    <row r="1892" spans="1:10" s="946" customFormat="1" ht="24.95" customHeight="1" x14ac:dyDescent="0.25">
      <c r="B1892" s="963">
        <v>71300</v>
      </c>
      <c r="C1892" s="964">
        <v>331901600000000</v>
      </c>
      <c r="D1892" s="963" t="s">
        <v>6015</v>
      </c>
      <c r="E1892" s="954">
        <v>0</v>
      </c>
      <c r="F1892" s="960">
        <v>20</v>
      </c>
      <c r="G1892" s="963">
        <v>0</v>
      </c>
      <c r="H1892" s="958">
        <v>0</v>
      </c>
      <c r="I1892" s="957">
        <f>PUCFD!E1548*(1+PUCFD!E$87)</f>
        <v>2940.7281358696696</v>
      </c>
      <c r="J1892" s="1013"/>
    </row>
    <row r="1893" spans="1:10" s="946" customFormat="1" ht="33.75" customHeight="1" x14ac:dyDescent="0.25">
      <c r="B1893" s="963">
        <v>71350</v>
      </c>
      <c r="C1893" s="964">
        <v>331903400000000</v>
      </c>
      <c r="D1893" s="963" t="s">
        <v>6016</v>
      </c>
      <c r="E1893" s="954">
        <v>0</v>
      </c>
      <c r="F1893" s="960">
        <v>20</v>
      </c>
      <c r="G1893" s="963">
        <v>0</v>
      </c>
      <c r="H1893" s="958">
        <v>0</v>
      </c>
      <c r="I1893" s="957">
        <f>PUCFD!E1549</f>
        <v>0.01</v>
      </c>
    </row>
    <row r="1894" spans="1:10" s="946" customFormat="1" ht="24.95" customHeight="1" x14ac:dyDescent="0.25">
      <c r="B1894" s="963">
        <v>71400</v>
      </c>
      <c r="C1894" s="964">
        <v>331909400000000</v>
      </c>
      <c r="D1894" s="963" t="s">
        <v>6017</v>
      </c>
      <c r="E1894" s="954">
        <v>0</v>
      </c>
      <c r="F1894" s="960">
        <v>20</v>
      </c>
      <c r="G1894" s="963">
        <v>0</v>
      </c>
      <c r="H1894" s="958">
        <v>0</v>
      </c>
      <c r="I1894" s="957">
        <f>PUCFD!E1550</f>
        <v>0.01</v>
      </c>
    </row>
    <row r="1895" spans="1:10" s="946" customFormat="1" ht="24.95" customHeight="1" x14ac:dyDescent="0.25">
      <c r="B1895" s="963">
        <v>71500</v>
      </c>
      <c r="C1895" s="964">
        <v>333901400000000</v>
      </c>
      <c r="D1895" s="963" t="s">
        <v>6036</v>
      </c>
      <c r="E1895" s="954">
        <v>0</v>
      </c>
      <c r="F1895" s="960">
        <v>20</v>
      </c>
      <c r="G1895" s="963">
        <v>0</v>
      </c>
      <c r="H1895" s="958">
        <v>0</v>
      </c>
      <c r="I1895" s="957">
        <f>PUCFD!E1551</f>
        <v>8574</v>
      </c>
    </row>
    <row r="1896" spans="1:10" s="946" customFormat="1" ht="24.95" customHeight="1" x14ac:dyDescent="0.25">
      <c r="B1896" s="963">
        <v>71600</v>
      </c>
      <c r="C1896" s="964">
        <v>333903000000000</v>
      </c>
      <c r="D1896" s="963" t="s">
        <v>6035</v>
      </c>
      <c r="E1896" s="954">
        <v>0</v>
      </c>
      <c r="F1896" s="960">
        <v>20</v>
      </c>
      <c r="G1896" s="963">
        <v>0</v>
      </c>
      <c r="H1896" s="958">
        <v>0</v>
      </c>
      <c r="I1896" s="957">
        <f>PUCFD!E1552</f>
        <v>5000</v>
      </c>
    </row>
    <row r="1897" spans="1:10" s="946" customFormat="1" ht="24.95" customHeight="1" x14ac:dyDescent="0.25">
      <c r="B1897" s="963">
        <v>71700</v>
      </c>
      <c r="C1897" s="964">
        <v>333903300000000</v>
      </c>
      <c r="D1897" s="963" t="s">
        <v>6034</v>
      </c>
      <c r="E1897" s="954">
        <v>0</v>
      </c>
      <c r="F1897" s="960">
        <v>20</v>
      </c>
      <c r="G1897" s="963">
        <v>0</v>
      </c>
      <c r="H1897" s="958">
        <v>0</v>
      </c>
      <c r="I1897" s="957">
        <f>PUCFD!E1553</f>
        <v>1500</v>
      </c>
    </row>
    <row r="1898" spans="1:10" s="946" customFormat="1" ht="24.95" customHeight="1" x14ac:dyDescent="0.25">
      <c r="B1898" s="963">
        <v>71800</v>
      </c>
      <c r="C1898" s="964">
        <v>333903500000000</v>
      </c>
      <c r="D1898" s="963" t="s">
        <v>6033</v>
      </c>
      <c r="E1898" s="954">
        <v>0</v>
      </c>
      <c r="F1898" s="960">
        <v>20</v>
      </c>
      <c r="G1898" s="963">
        <v>0</v>
      </c>
      <c r="H1898" s="958">
        <v>0</v>
      </c>
      <c r="I1898" s="957">
        <f>PUCFD!E1554</f>
        <v>0.01</v>
      </c>
    </row>
    <row r="1899" spans="1:10" s="946" customFormat="1" ht="24.95" customHeight="1" x14ac:dyDescent="0.25">
      <c r="B1899" s="963">
        <v>71900</v>
      </c>
      <c r="C1899" s="964">
        <v>333903600000000</v>
      </c>
      <c r="D1899" s="963" t="s">
        <v>6032</v>
      </c>
      <c r="E1899" s="954">
        <v>0</v>
      </c>
      <c r="F1899" s="960">
        <v>20</v>
      </c>
      <c r="G1899" s="963">
        <v>0</v>
      </c>
      <c r="H1899" s="958">
        <v>0</v>
      </c>
      <c r="I1899" s="957">
        <f>PUCFD!E1555</f>
        <v>49687.57</v>
      </c>
    </row>
    <row r="1900" spans="1:10" s="946" customFormat="1" ht="24.95" customHeight="1" x14ac:dyDescent="0.25">
      <c r="B1900" s="963">
        <v>72000</v>
      </c>
      <c r="C1900" s="964">
        <v>333903900000000</v>
      </c>
      <c r="D1900" s="963" t="s">
        <v>6031</v>
      </c>
      <c r="E1900" s="954">
        <v>0</v>
      </c>
      <c r="F1900" s="960">
        <v>20</v>
      </c>
      <c r="G1900" s="963">
        <v>0</v>
      </c>
      <c r="H1900" s="958">
        <v>0</v>
      </c>
      <c r="I1900" s="957">
        <f>PUCFD!E1558-15000</f>
        <v>46804.785000000003</v>
      </c>
    </row>
    <row r="1901" spans="1:10" s="1016" customFormat="1" ht="24.95" customHeight="1" x14ac:dyDescent="0.25">
      <c r="A1901" s="985"/>
      <c r="B1901" s="985">
        <v>72100</v>
      </c>
      <c r="C1901" s="1014">
        <v>333904600000000</v>
      </c>
      <c r="D1901" s="982" t="s">
        <v>6030</v>
      </c>
      <c r="E1901" s="1014"/>
      <c r="F1901" s="985">
        <v>1</v>
      </c>
      <c r="G1901" s="993">
        <v>0</v>
      </c>
      <c r="H1901" s="981">
        <v>0</v>
      </c>
      <c r="I1901" s="1015">
        <f>PUCFD!E1559</f>
        <v>29080.11</v>
      </c>
    </row>
    <row r="1902" spans="1:10" s="946" customFormat="1" ht="36.75" customHeight="1" x14ac:dyDescent="0.25">
      <c r="B1902" s="963">
        <v>72200</v>
      </c>
      <c r="C1902" s="964">
        <v>333904700000000</v>
      </c>
      <c r="D1902" s="963" t="s">
        <v>6029</v>
      </c>
      <c r="E1902" s="954">
        <v>0</v>
      </c>
      <c r="F1902" s="960">
        <v>20</v>
      </c>
      <c r="G1902" s="963">
        <v>0</v>
      </c>
      <c r="H1902" s="958">
        <v>0</v>
      </c>
      <c r="I1902" s="957">
        <f>PUCFD!E1560</f>
        <v>0.01</v>
      </c>
    </row>
    <row r="1903" spans="1:10" s="946" customFormat="1" ht="32.25" customHeight="1" x14ac:dyDescent="0.25">
      <c r="B1903" s="963">
        <v>72300</v>
      </c>
      <c r="C1903" s="964">
        <v>333904900000000</v>
      </c>
      <c r="D1903" s="963" t="s">
        <v>6028</v>
      </c>
      <c r="E1903" s="954">
        <v>0</v>
      </c>
      <c r="F1903" s="960">
        <v>20</v>
      </c>
      <c r="G1903" s="963">
        <v>0</v>
      </c>
      <c r="H1903" s="958">
        <v>0</v>
      </c>
      <c r="I1903" s="957">
        <f>PUCFD!E1561</f>
        <v>9679.7100000000009</v>
      </c>
    </row>
    <row r="1904" spans="1:10" s="946" customFormat="1" ht="35.25" customHeight="1" x14ac:dyDescent="0.25">
      <c r="B1904" s="963">
        <v>72400</v>
      </c>
      <c r="C1904" s="964">
        <v>333909200000000</v>
      </c>
      <c r="D1904" s="963" t="s">
        <v>6027</v>
      </c>
      <c r="E1904" s="954">
        <v>0</v>
      </c>
      <c r="F1904" s="960">
        <v>20</v>
      </c>
      <c r="G1904" s="963">
        <v>0</v>
      </c>
      <c r="H1904" s="958">
        <v>0</v>
      </c>
      <c r="I1904" s="957">
        <f>PUCFD!E1562</f>
        <v>0.01</v>
      </c>
    </row>
    <row r="1905" spans="1:9" s="946" customFormat="1" ht="24.95" customHeight="1" x14ac:dyDescent="0.25">
      <c r="B1905" s="963">
        <v>72500</v>
      </c>
      <c r="C1905" s="964">
        <v>333909300000000</v>
      </c>
      <c r="D1905" s="963" t="s">
        <v>6026</v>
      </c>
      <c r="E1905" s="954">
        <v>0</v>
      </c>
      <c r="F1905" s="960">
        <v>20</v>
      </c>
      <c r="G1905" s="963">
        <v>0</v>
      </c>
      <c r="H1905" s="958">
        <v>0</v>
      </c>
      <c r="I1905" s="957">
        <f>PUCFD!E1563</f>
        <v>300</v>
      </c>
    </row>
    <row r="1906" spans="1:9" s="946" customFormat="1" ht="34.5" customHeight="1" x14ac:dyDescent="0.25">
      <c r="B1906" s="963">
        <v>72600</v>
      </c>
      <c r="C1906" s="964">
        <v>333933000000000</v>
      </c>
      <c r="D1906" s="963" t="s">
        <v>6025</v>
      </c>
      <c r="E1906" s="954">
        <v>0</v>
      </c>
      <c r="F1906" s="960">
        <v>20</v>
      </c>
      <c r="G1906" s="963">
        <v>0</v>
      </c>
      <c r="H1906" s="958">
        <v>0</v>
      </c>
      <c r="I1906" s="957">
        <f>PUCFD!E1564</f>
        <v>0.01</v>
      </c>
    </row>
    <row r="1907" spans="1:9" s="946" customFormat="1" ht="24.95" customHeight="1" x14ac:dyDescent="0.25">
      <c r="B1907" s="963">
        <v>72700</v>
      </c>
      <c r="C1907" s="964">
        <v>344905100000000</v>
      </c>
      <c r="D1907" s="963" t="s">
        <v>6024</v>
      </c>
      <c r="E1907" s="954">
        <v>0</v>
      </c>
      <c r="F1907" s="960">
        <v>20</v>
      </c>
      <c r="G1907" s="963">
        <v>0</v>
      </c>
      <c r="H1907" s="958">
        <v>0</v>
      </c>
      <c r="I1907" s="957">
        <f>PUCFD!E1565</f>
        <v>0.01</v>
      </c>
    </row>
    <row r="1908" spans="1:9" s="946" customFormat="1" ht="24.95" customHeight="1" x14ac:dyDescent="0.25">
      <c r="B1908" s="963">
        <v>72800</v>
      </c>
      <c r="C1908" s="964">
        <v>344905200000000</v>
      </c>
      <c r="D1908" s="963" t="s">
        <v>6023</v>
      </c>
      <c r="E1908" s="954">
        <v>0</v>
      </c>
      <c r="F1908" s="960">
        <v>20</v>
      </c>
      <c r="G1908" s="963">
        <v>0</v>
      </c>
      <c r="H1908" s="958">
        <v>0</v>
      </c>
      <c r="I1908" s="957">
        <f>PUCFD!E1566</f>
        <v>0.01</v>
      </c>
    </row>
    <row r="1909" spans="1:9" s="971" customFormat="1" ht="15" customHeight="1" x14ac:dyDescent="0.25">
      <c r="A1909" s="981" t="s">
        <v>6942</v>
      </c>
      <c r="B1909" s="982" t="s">
        <v>3138</v>
      </c>
      <c r="C1909" s="983">
        <v>12</v>
      </c>
      <c r="D1909" s="982" t="s">
        <v>4728</v>
      </c>
      <c r="E1909" s="984"/>
      <c r="F1909" s="985"/>
      <c r="G1909" s="981"/>
      <c r="H1909" s="981"/>
      <c r="I1909" s="986">
        <f>I1910</f>
        <v>10000</v>
      </c>
    </row>
    <row r="1910" spans="1:9" s="971" customFormat="1" ht="15" customHeight="1" x14ac:dyDescent="0.25">
      <c r="A1910" s="981"/>
      <c r="B1910" s="982" t="s">
        <v>3139</v>
      </c>
      <c r="C1910" s="983">
        <v>126</v>
      </c>
      <c r="D1910" s="982" t="s">
        <v>3600</v>
      </c>
      <c r="E1910" s="984"/>
      <c r="F1910" s="985"/>
      <c r="G1910" s="981"/>
      <c r="H1910" s="981"/>
      <c r="I1910" s="986">
        <f>I1912</f>
        <v>10000</v>
      </c>
    </row>
    <row r="1911" spans="1:9" s="971" customFormat="1" ht="15" customHeight="1" x14ac:dyDescent="0.25">
      <c r="A1911" s="981"/>
      <c r="B1911" s="982" t="s">
        <v>3137</v>
      </c>
      <c r="C1911" s="983">
        <v>6</v>
      </c>
      <c r="D1911" s="982" t="s">
        <v>4729</v>
      </c>
      <c r="E1911" s="984"/>
      <c r="F1911" s="985"/>
      <c r="G1911" s="981"/>
      <c r="H1911" s="981"/>
      <c r="I1911" s="986">
        <f>I1912</f>
        <v>10000</v>
      </c>
    </row>
    <row r="1912" spans="1:9" s="996" customFormat="1" ht="24.95" customHeight="1" x14ac:dyDescent="0.25">
      <c r="B1912" s="993" t="s">
        <v>2965</v>
      </c>
      <c r="C1912" s="983">
        <v>5</v>
      </c>
      <c r="D1912" s="993" t="s">
        <v>4692</v>
      </c>
      <c r="E1912" s="984"/>
      <c r="F1912" s="985"/>
      <c r="G1912" s="993"/>
      <c r="H1912" s="981"/>
      <c r="I1912" s="1015">
        <f>I1913</f>
        <v>10000</v>
      </c>
    </row>
    <row r="1913" spans="1:9" s="946" customFormat="1" ht="33.75" customHeight="1" x14ac:dyDescent="0.25">
      <c r="B1913" s="963">
        <v>72850</v>
      </c>
      <c r="C1913" s="964">
        <v>333904000000000</v>
      </c>
      <c r="D1913" s="963" t="s">
        <v>6022</v>
      </c>
      <c r="E1913" s="954">
        <v>0</v>
      </c>
      <c r="F1913" s="960">
        <v>20</v>
      </c>
      <c r="G1913" s="963">
        <v>0</v>
      </c>
      <c r="H1913" s="958">
        <v>0</v>
      </c>
      <c r="I1913" s="957">
        <f>PUCFD!E1572</f>
        <v>10000</v>
      </c>
    </row>
    <row r="1914" spans="1:9" ht="33.75" customHeight="1" x14ac:dyDescent="0.25">
      <c r="B1914" s="973" t="s">
        <v>6018</v>
      </c>
      <c r="C1914" s="974">
        <v>333904006000000</v>
      </c>
      <c r="D1914" s="973" t="s">
        <v>3044</v>
      </c>
      <c r="E1914" s="948">
        <v>332311000000000</v>
      </c>
      <c r="F1914" s="975">
        <v>20</v>
      </c>
      <c r="G1914" s="973">
        <v>0</v>
      </c>
      <c r="H1914" s="972">
        <v>0</v>
      </c>
      <c r="I1914" s="951">
        <v>0</v>
      </c>
    </row>
    <row r="1915" spans="1:9" ht="33.75" customHeight="1" x14ac:dyDescent="0.25">
      <c r="B1915" s="973" t="s">
        <v>6019</v>
      </c>
      <c r="C1915" s="974">
        <v>333904011000000</v>
      </c>
      <c r="D1915" s="973" t="s">
        <v>5924</v>
      </c>
      <c r="E1915" s="948">
        <v>332311100000000</v>
      </c>
      <c r="F1915" s="975">
        <v>20</v>
      </c>
      <c r="G1915" s="973">
        <v>0</v>
      </c>
      <c r="H1915" s="972">
        <v>0</v>
      </c>
      <c r="I1915" s="951">
        <v>0</v>
      </c>
    </row>
    <row r="1916" spans="1:9" ht="33.75" customHeight="1" x14ac:dyDescent="0.25">
      <c r="B1916" s="973" t="s">
        <v>6020</v>
      </c>
      <c r="C1916" s="974">
        <v>333904012000000</v>
      </c>
      <c r="D1916" s="973" t="s">
        <v>5926</v>
      </c>
      <c r="E1916" s="948">
        <v>332311100000000</v>
      </c>
      <c r="F1916" s="975">
        <v>20</v>
      </c>
      <c r="G1916" s="973">
        <v>0</v>
      </c>
      <c r="H1916" s="972">
        <v>0</v>
      </c>
      <c r="I1916" s="951">
        <v>0</v>
      </c>
    </row>
    <row r="1917" spans="1:9" ht="33.75" customHeight="1" x14ac:dyDescent="0.25">
      <c r="B1917" s="973" t="s">
        <v>6021</v>
      </c>
      <c r="C1917" s="974">
        <v>333904099000000</v>
      </c>
      <c r="D1917" s="973" t="s">
        <v>5928</v>
      </c>
      <c r="E1917" s="948">
        <v>332311100000000</v>
      </c>
      <c r="F1917" s="975">
        <v>20</v>
      </c>
      <c r="G1917" s="973">
        <v>0</v>
      </c>
      <c r="H1917" s="972">
        <v>0</v>
      </c>
      <c r="I1917" s="951">
        <v>0</v>
      </c>
    </row>
    <row r="1918" spans="1:9" ht="24.95" customHeight="1" x14ac:dyDescent="0.25">
      <c r="A1918" s="958"/>
      <c r="B1918" s="962" t="s">
        <v>3138</v>
      </c>
      <c r="C1918" s="959">
        <v>12</v>
      </c>
      <c r="D1918" s="962" t="s">
        <v>4728</v>
      </c>
      <c r="E1918" s="954"/>
      <c r="F1918" s="960"/>
      <c r="G1918" s="958"/>
      <c r="H1918" s="958"/>
      <c r="I1918" s="961">
        <f>I1919</f>
        <v>0.05</v>
      </c>
    </row>
    <row r="1919" spans="1:9" ht="24.95" customHeight="1" x14ac:dyDescent="0.25">
      <c r="A1919" s="958"/>
      <c r="B1919" s="962" t="s">
        <v>3139</v>
      </c>
      <c r="C1919" s="959">
        <v>128</v>
      </c>
      <c r="D1919" s="962" t="s">
        <v>5104</v>
      </c>
      <c r="E1919" s="954"/>
      <c r="F1919" s="960"/>
      <c r="G1919" s="958"/>
      <c r="H1919" s="958"/>
      <c r="I1919" s="961">
        <f>I1921</f>
        <v>0.05</v>
      </c>
    </row>
    <row r="1920" spans="1:9" ht="24.95" customHeight="1" x14ac:dyDescent="0.25">
      <c r="A1920" s="958"/>
      <c r="B1920" s="962" t="s">
        <v>3137</v>
      </c>
      <c r="C1920" s="959">
        <v>6</v>
      </c>
      <c r="D1920" s="962" t="s">
        <v>4729</v>
      </c>
      <c r="E1920" s="954"/>
      <c r="F1920" s="960"/>
      <c r="G1920" s="958"/>
      <c r="H1920" s="958"/>
      <c r="I1920" s="961">
        <f>I1921</f>
        <v>0.05</v>
      </c>
    </row>
    <row r="1921" spans="1:10" s="946" customFormat="1" ht="24.95" customHeight="1" x14ac:dyDescent="0.25">
      <c r="B1921" s="963" t="s">
        <v>2965</v>
      </c>
      <c r="C1921" s="959">
        <v>5</v>
      </c>
      <c r="D1921" s="963" t="s">
        <v>4692</v>
      </c>
      <c r="E1921" s="954"/>
      <c r="F1921" s="960"/>
      <c r="G1921" s="963"/>
      <c r="H1921" s="958"/>
      <c r="I1921" s="957">
        <f>SUM(I1922:I1926)</f>
        <v>0.05</v>
      </c>
    </row>
    <row r="1922" spans="1:10" s="946" customFormat="1" ht="24.95" customHeight="1" x14ac:dyDescent="0.25">
      <c r="B1922" s="973">
        <v>72900</v>
      </c>
      <c r="C1922" s="974">
        <v>333901400000000</v>
      </c>
      <c r="D1922" s="973" t="s">
        <v>6037</v>
      </c>
      <c r="E1922" s="954"/>
      <c r="F1922" s="949">
        <v>20</v>
      </c>
      <c r="G1922" s="945">
        <v>0</v>
      </c>
      <c r="H1922" s="950">
        <v>0</v>
      </c>
      <c r="I1922" s="951">
        <f>PUCFD!E1574</f>
        <v>0.01</v>
      </c>
    </row>
    <row r="1923" spans="1:10" s="946" customFormat="1" ht="33.75" customHeight="1" x14ac:dyDescent="0.25">
      <c r="B1923" s="973">
        <v>72920</v>
      </c>
      <c r="C1923" s="974">
        <v>333903300000000</v>
      </c>
      <c r="D1923" s="973" t="s">
        <v>6038</v>
      </c>
      <c r="E1923" s="954"/>
      <c r="F1923" s="949">
        <v>20</v>
      </c>
      <c r="G1923" s="945">
        <v>0</v>
      </c>
      <c r="H1923" s="950">
        <v>0</v>
      </c>
      <c r="I1923" s="951">
        <f>PUCFD!E1575</f>
        <v>0.01</v>
      </c>
    </row>
    <row r="1924" spans="1:10" s="946" customFormat="1" ht="24.95" customHeight="1" x14ac:dyDescent="0.25">
      <c r="B1924" s="973">
        <v>72940</v>
      </c>
      <c r="C1924" s="974">
        <v>333903600000000</v>
      </c>
      <c r="D1924" s="973" t="s">
        <v>6039</v>
      </c>
      <c r="E1924" s="954"/>
      <c r="F1924" s="949">
        <v>20</v>
      </c>
      <c r="G1924" s="945">
        <v>0</v>
      </c>
      <c r="H1924" s="950">
        <v>0</v>
      </c>
      <c r="I1924" s="951">
        <f>PUCFD!E1576</f>
        <v>0.01</v>
      </c>
    </row>
    <row r="1925" spans="1:10" s="946" customFormat="1" ht="24.95" customHeight="1" x14ac:dyDescent="0.25">
      <c r="B1925" s="973">
        <v>72960</v>
      </c>
      <c r="C1925" s="974">
        <v>333903900000000</v>
      </c>
      <c r="D1925" s="973" t="s">
        <v>6040</v>
      </c>
      <c r="E1925" s="954"/>
      <c r="F1925" s="949">
        <v>20</v>
      </c>
      <c r="G1925" s="945">
        <v>0</v>
      </c>
      <c r="H1925" s="950">
        <v>0</v>
      </c>
      <c r="I1925" s="951">
        <f>PUCFD!E1577</f>
        <v>0.01</v>
      </c>
    </row>
    <row r="1926" spans="1:10" s="946" customFormat="1" ht="31.5" customHeight="1" x14ac:dyDescent="0.25">
      <c r="B1926" s="973">
        <v>72980</v>
      </c>
      <c r="C1926" s="974">
        <v>333904700000000</v>
      </c>
      <c r="D1926" s="973" t="s">
        <v>6041</v>
      </c>
      <c r="E1926" s="954"/>
      <c r="F1926" s="949">
        <v>20</v>
      </c>
      <c r="G1926" s="945">
        <v>0</v>
      </c>
      <c r="H1926" s="950">
        <v>0</v>
      </c>
      <c r="I1926" s="951">
        <f>PUCFD!E1578</f>
        <v>0.01</v>
      </c>
    </row>
    <row r="1927" spans="1:10" ht="15" customHeight="1" x14ac:dyDescent="0.25">
      <c r="A1927" s="958"/>
      <c r="B1927" s="962" t="s">
        <v>3138</v>
      </c>
      <c r="C1927" s="959">
        <v>12</v>
      </c>
      <c r="D1927" s="962" t="s">
        <v>4728</v>
      </c>
      <c r="E1927" s="954"/>
      <c r="F1927" s="960"/>
      <c r="G1927" s="958"/>
      <c r="H1927" s="958"/>
      <c r="I1927" s="961">
        <f>I1928</f>
        <v>877816.46458400215</v>
      </c>
    </row>
    <row r="1928" spans="1:10" ht="15" customHeight="1" x14ac:dyDescent="0.25">
      <c r="A1928" s="958"/>
      <c r="B1928" s="962" t="s">
        <v>3139</v>
      </c>
      <c r="C1928" s="959">
        <v>122</v>
      </c>
      <c r="D1928" s="962" t="s">
        <v>3143</v>
      </c>
      <c r="E1928" s="954"/>
      <c r="F1928" s="960"/>
      <c r="G1928" s="958"/>
      <c r="H1928" s="958"/>
      <c r="I1928" s="961">
        <f>I1930</f>
        <v>877816.46458400215</v>
      </c>
    </row>
    <row r="1929" spans="1:10" ht="15" customHeight="1" x14ac:dyDescent="0.25">
      <c r="A1929" s="958"/>
      <c r="B1929" s="962" t="s">
        <v>3137</v>
      </c>
      <c r="C1929" s="959">
        <v>6</v>
      </c>
      <c r="D1929" s="962" t="s">
        <v>4729</v>
      </c>
      <c r="E1929" s="954"/>
      <c r="F1929" s="960"/>
      <c r="G1929" s="958"/>
      <c r="H1929" s="958"/>
      <c r="I1929" s="961">
        <f>I1930</f>
        <v>877816.46458400215</v>
      </c>
    </row>
    <row r="1930" spans="1:10" s="946" customFormat="1" ht="24.95" customHeight="1" x14ac:dyDescent="0.25">
      <c r="B1930" s="963" t="s">
        <v>2965</v>
      </c>
      <c r="C1930" s="959">
        <v>47</v>
      </c>
      <c r="D1930" s="963" t="s">
        <v>4757</v>
      </c>
      <c r="E1930" s="954"/>
      <c r="F1930" s="955"/>
      <c r="H1930" s="956"/>
      <c r="I1930" s="957">
        <f>SUM(I1931:I1953)</f>
        <v>877816.46458400215</v>
      </c>
    </row>
    <row r="1931" spans="1:10" s="946" customFormat="1" ht="24.95" customHeight="1" x14ac:dyDescent="0.25">
      <c r="B1931" s="963">
        <v>73000</v>
      </c>
      <c r="C1931" s="964">
        <v>331900400000000</v>
      </c>
      <c r="D1931" s="963" t="s">
        <v>6042</v>
      </c>
      <c r="E1931" s="954">
        <v>0</v>
      </c>
      <c r="F1931" s="960">
        <v>20</v>
      </c>
      <c r="G1931" s="963">
        <v>0</v>
      </c>
      <c r="H1931" s="958">
        <v>0</v>
      </c>
      <c r="I1931" s="1013">
        <f>PUCFD!E1581</f>
        <v>1</v>
      </c>
    </row>
    <row r="1932" spans="1:10" s="946" customFormat="1" ht="30.75" customHeight="1" x14ac:dyDescent="0.25">
      <c r="A1932" s="958"/>
      <c r="B1932" s="963">
        <v>73020</v>
      </c>
      <c r="C1932" s="964">
        <v>331900800000000</v>
      </c>
      <c r="D1932" s="963" t="s">
        <v>6043</v>
      </c>
      <c r="E1932" s="954">
        <v>0</v>
      </c>
      <c r="F1932" s="960">
        <v>1</v>
      </c>
      <c r="G1932" s="960">
        <v>0</v>
      </c>
      <c r="H1932" s="955"/>
      <c r="I1932" s="1013">
        <f>PUCFD!E1584</f>
        <v>58262.590920348775</v>
      </c>
    </row>
    <row r="1933" spans="1:10" ht="24.95" customHeight="1" x14ac:dyDescent="0.25">
      <c r="A1933" s="972"/>
      <c r="B1933" s="973" t="s">
        <v>6062</v>
      </c>
      <c r="C1933" s="991">
        <v>319008990400000</v>
      </c>
      <c r="D1933" s="973" t="s">
        <v>4234</v>
      </c>
      <c r="E1933" s="948">
        <v>312940100000000</v>
      </c>
      <c r="F1933" s="975">
        <v>1</v>
      </c>
      <c r="G1933" s="975">
        <v>0</v>
      </c>
      <c r="H1933" s="949"/>
      <c r="I1933" s="1017">
        <v>0</v>
      </c>
    </row>
    <row r="1934" spans="1:10" s="946" customFormat="1" ht="24.95" customHeight="1" x14ac:dyDescent="0.25">
      <c r="B1934" s="963">
        <v>73040</v>
      </c>
      <c r="C1934" s="964">
        <v>331901100000000</v>
      </c>
      <c r="D1934" s="963" t="s">
        <v>6044</v>
      </c>
      <c r="E1934" s="954">
        <v>0</v>
      </c>
      <c r="F1934" s="960">
        <v>20</v>
      </c>
      <c r="G1934" s="963">
        <v>0</v>
      </c>
      <c r="H1934" s="958">
        <v>0</v>
      </c>
      <c r="I1934" s="1013">
        <f>PUCFD!E1586*(1+PUCFD!E$87)</f>
        <v>519473.39531488856</v>
      </c>
      <c r="J1934" s="1013"/>
    </row>
    <row r="1935" spans="1:10" s="946" customFormat="1" ht="24.95" customHeight="1" x14ac:dyDescent="0.25">
      <c r="B1935" s="963">
        <v>73060</v>
      </c>
      <c r="C1935" s="964">
        <v>331901300000000</v>
      </c>
      <c r="D1935" s="963" t="s">
        <v>6045</v>
      </c>
      <c r="E1935" s="954">
        <v>0</v>
      </c>
      <c r="F1935" s="960">
        <v>20</v>
      </c>
      <c r="G1935" s="963">
        <v>0</v>
      </c>
      <c r="H1935" s="958">
        <v>0</v>
      </c>
      <c r="I1935" s="1013">
        <f>PUCFD!E1595*(1+PUCFD!E$87)</f>
        <v>110882.71932256363</v>
      </c>
    </row>
    <row r="1936" spans="1:10" s="946" customFormat="1" ht="24.95" customHeight="1" x14ac:dyDescent="0.25">
      <c r="B1936" s="963">
        <v>73080</v>
      </c>
      <c r="C1936" s="964">
        <v>331901600000000</v>
      </c>
      <c r="D1936" s="963" t="s">
        <v>6046</v>
      </c>
      <c r="E1936" s="954">
        <v>0</v>
      </c>
      <c r="F1936" s="960">
        <v>20</v>
      </c>
      <c r="G1936" s="963">
        <v>0</v>
      </c>
      <c r="H1936" s="958">
        <v>0</v>
      </c>
      <c r="I1936" s="1013">
        <f>PUCFD!E1597*(1+PUCFD!E$87)</f>
        <v>2099.976353172603</v>
      </c>
    </row>
    <row r="1937" spans="1:9" s="946" customFormat="1" ht="35.25" customHeight="1" x14ac:dyDescent="0.25">
      <c r="B1937" s="963">
        <v>73100</v>
      </c>
      <c r="C1937" s="964">
        <v>331903400000000</v>
      </c>
      <c r="D1937" s="963" t="s">
        <v>6047</v>
      </c>
      <c r="E1937" s="954">
        <v>0</v>
      </c>
      <c r="F1937" s="960">
        <v>20</v>
      </c>
      <c r="G1937" s="963">
        <v>0</v>
      </c>
      <c r="H1937" s="958">
        <v>0</v>
      </c>
      <c r="I1937" s="1013">
        <f>PUCFD!E1600*(1+PUCFD!E$87)</f>
        <v>8539.5538401763897</v>
      </c>
    </row>
    <row r="1938" spans="1:9" s="946" customFormat="1" ht="24.95" customHeight="1" x14ac:dyDescent="0.25">
      <c r="B1938" s="963">
        <v>73120</v>
      </c>
      <c r="C1938" s="964">
        <v>331909400000000</v>
      </c>
      <c r="D1938" s="963" t="s">
        <v>6048</v>
      </c>
      <c r="E1938" s="954">
        <v>0</v>
      </c>
      <c r="F1938" s="960">
        <v>20</v>
      </c>
      <c r="G1938" s="963">
        <v>0</v>
      </c>
      <c r="H1938" s="958">
        <v>0</v>
      </c>
      <c r="I1938" s="1013">
        <f>PUCFD!E1602</f>
        <v>0.02</v>
      </c>
    </row>
    <row r="1939" spans="1:9" s="946" customFormat="1" ht="24.95" customHeight="1" x14ac:dyDescent="0.25">
      <c r="B1939" s="963">
        <v>73140</v>
      </c>
      <c r="C1939" s="964">
        <v>333901400000000</v>
      </c>
      <c r="D1939" s="963" t="s">
        <v>6049</v>
      </c>
      <c r="E1939" s="954">
        <v>0</v>
      </c>
      <c r="F1939" s="960">
        <v>20</v>
      </c>
      <c r="G1939" s="963">
        <v>0</v>
      </c>
      <c r="H1939" s="958">
        <v>0</v>
      </c>
      <c r="I1939" s="1013">
        <f>PUCFD!E1605-1999.99</f>
        <v>9.9999999999909051E-3</v>
      </c>
    </row>
    <row r="1940" spans="1:9" s="946" customFormat="1" ht="24.95" customHeight="1" x14ac:dyDescent="0.25">
      <c r="B1940" s="963">
        <v>73160</v>
      </c>
      <c r="C1940" s="964">
        <v>333903000000000</v>
      </c>
      <c r="D1940" s="963" t="s">
        <v>6050</v>
      </c>
      <c r="E1940" s="954">
        <v>0</v>
      </c>
      <c r="F1940" s="960">
        <v>20</v>
      </c>
      <c r="G1940" s="963">
        <v>0</v>
      </c>
      <c r="H1940" s="958">
        <v>0</v>
      </c>
      <c r="I1940" s="1013">
        <f>PUCFD!E1608-20000-5000</f>
        <v>14184.034999999996</v>
      </c>
    </row>
    <row r="1941" spans="1:9" s="946" customFormat="1" ht="36" customHeight="1" x14ac:dyDescent="0.25">
      <c r="B1941" s="963">
        <v>73180</v>
      </c>
      <c r="C1941" s="964">
        <v>333903200000000</v>
      </c>
      <c r="D1941" s="963" t="s">
        <v>6051</v>
      </c>
      <c r="E1941" s="954">
        <v>0</v>
      </c>
      <c r="F1941" s="960">
        <v>20</v>
      </c>
      <c r="G1941" s="963">
        <v>0</v>
      </c>
      <c r="H1941" s="958">
        <v>0</v>
      </c>
      <c r="I1941" s="1013">
        <f>PUCFD!E1609</f>
        <v>0.01</v>
      </c>
    </row>
    <row r="1942" spans="1:9" s="946" customFormat="1" ht="24.95" customHeight="1" x14ac:dyDescent="0.25">
      <c r="B1942" s="963">
        <v>73200</v>
      </c>
      <c r="C1942" s="964">
        <v>333903300000000</v>
      </c>
      <c r="D1942" s="963" t="s">
        <v>6052</v>
      </c>
      <c r="E1942" s="954">
        <v>0</v>
      </c>
      <c r="F1942" s="960">
        <v>20</v>
      </c>
      <c r="G1942" s="963">
        <v>0</v>
      </c>
      <c r="H1942" s="958">
        <v>0</v>
      </c>
      <c r="I1942" s="1013">
        <f>PUCFD!E1610</f>
        <v>0.01</v>
      </c>
    </row>
    <row r="1943" spans="1:9" s="946" customFormat="1" ht="24.95" customHeight="1" x14ac:dyDescent="0.25">
      <c r="B1943" s="963">
        <v>73220</v>
      </c>
      <c r="C1943" s="964">
        <v>333903500000000</v>
      </c>
      <c r="D1943" s="963" t="s">
        <v>6053</v>
      </c>
      <c r="E1943" s="954">
        <v>0</v>
      </c>
      <c r="F1943" s="960">
        <v>20</v>
      </c>
      <c r="G1943" s="963">
        <v>0</v>
      </c>
      <c r="H1943" s="958">
        <v>0</v>
      </c>
      <c r="I1943" s="1013">
        <f>PUCFD!E1611</f>
        <v>0.01</v>
      </c>
    </row>
    <row r="1944" spans="1:9" s="946" customFormat="1" ht="24.95" customHeight="1" x14ac:dyDescent="0.25">
      <c r="B1944" s="963">
        <v>73240</v>
      </c>
      <c r="C1944" s="964">
        <v>333903600000000</v>
      </c>
      <c r="D1944" s="963" t="s">
        <v>6054</v>
      </c>
      <c r="E1944" s="954">
        <v>0</v>
      </c>
      <c r="F1944" s="960">
        <v>20</v>
      </c>
      <c r="G1944" s="963">
        <v>0</v>
      </c>
      <c r="H1944" s="958">
        <v>0</v>
      </c>
      <c r="I1944" s="1013">
        <f>PUCFD!E1612</f>
        <v>4746</v>
      </c>
    </row>
    <row r="1945" spans="1:9" s="946" customFormat="1" ht="24.95" customHeight="1" x14ac:dyDescent="0.25">
      <c r="B1945" s="963">
        <v>73260</v>
      </c>
      <c r="C1945" s="964">
        <v>333903900000000</v>
      </c>
      <c r="D1945" s="963" t="s">
        <v>6055</v>
      </c>
      <c r="E1945" s="954">
        <v>0</v>
      </c>
      <c r="F1945" s="960">
        <v>20</v>
      </c>
      <c r="G1945" s="963">
        <v>0</v>
      </c>
      <c r="H1945" s="958">
        <v>0</v>
      </c>
      <c r="I1945" s="1013">
        <f>PUCFD!E1613-50000-50000</f>
        <v>15265.700000000012</v>
      </c>
    </row>
    <row r="1946" spans="1:9" s="1016" customFormat="1" ht="24.95" customHeight="1" x14ac:dyDescent="0.25">
      <c r="A1946" s="985"/>
      <c r="B1946" s="985">
        <v>73300</v>
      </c>
      <c r="C1946" s="1014">
        <v>333904600000000</v>
      </c>
      <c r="D1946" s="982" t="s">
        <v>6056</v>
      </c>
      <c r="E1946" s="984">
        <v>0</v>
      </c>
      <c r="F1946" s="985">
        <v>1</v>
      </c>
      <c r="G1946" s="993">
        <v>0</v>
      </c>
      <c r="H1946" s="981">
        <v>0</v>
      </c>
      <c r="I1946" s="1018">
        <f>PUCFD!E1614</f>
        <v>71207.333832851989</v>
      </c>
    </row>
    <row r="1947" spans="1:9" s="946" customFormat="1" ht="24.95" customHeight="1" x14ac:dyDescent="0.25">
      <c r="B1947" s="963">
        <v>73320</v>
      </c>
      <c r="C1947" s="964">
        <v>333904700000000</v>
      </c>
      <c r="D1947" s="963" t="s">
        <v>6057</v>
      </c>
      <c r="E1947" s="954">
        <v>0</v>
      </c>
      <c r="F1947" s="960">
        <v>20</v>
      </c>
      <c r="G1947" s="963">
        <v>0</v>
      </c>
      <c r="H1947" s="958">
        <v>0</v>
      </c>
      <c r="I1947" s="1013">
        <f>PUCFD!E1615</f>
        <v>1500</v>
      </c>
    </row>
    <row r="1948" spans="1:9" s="946" customFormat="1" ht="24.95" customHeight="1" x14ac:dyDescent="0.25">
      <c r="B1948" s="963">
        <v>73340</v>
      </c>
      <c r="C1948" s="964">
        <v>333904900000000</v>
      </c>
      <c r="D1948" s="963" t="s">
        <v>6058</v>
      </c>
      <c r="E1948" s="954">
        <v>0</v>
      </c>
      <c r="F1948" s="960">
        <v>20</v>
      </c>
      <c r="G1948" s="963">
        <v>0</v>
      </c>
      <c r="H1948" s="958">
        <v>0</v>
      </c>
      <c r="I1948" s="1013">
        <f>PUCFD!E1616</f>
        <v>71654.040000000008</v>
      </c>
    </row>
    <row r="1949" spans="1:9" s="946" customFormat="1" ht="24.95" customHeight="1" x14ac:dyDescent="0.25">
      <c r="B1949" s="963">
        <v>73360</v>
      </c>
      <c r="C1949" s="964">
        <v>333909200000000</v>
      </c>
      <c r="D1949" s="963" t="s">
        <v>6063</v>
      </c>
      <c r="E1949" s="954">
        <v>0</v>
      </c>
      <c r="F1949" s="960">
        <v>20</v>
      </c>
      <c r="G1949" s="963">
        <v>0</v>
      </c>
      <c r="H1949" s="958">
        <v>0</v>
      </c>
      <c r="I1949" s="1013">
        <f>PUCFD!E1618</f>
        <v>0.01</v>
      </c>
    </row>
    <row r="1950" spans="1:9" s="946" customFormat="1" ht="24.95" customHeight="1" x14ac:dyDescent="0.25">
      <c r="B1950" s="963">
        <v>73380</v>
      </c>
      <c r="C1950" s="964">
        <v>333909300000000</v>
      </c>
      <c r="D1950" s="963" t="s">
        <v>6059</v>
      </c>
      <c r="E1950" s="954">
        <v>0</v>
      </c>
      <c r="F1950" s="960">
        <v>20</v>
      </c>
      <c r="G1950" s="963">
        <v>0</v>
      </c>
      <c r="H1950" s="958">
        <v>0</v>
      </c>
      <c r="I1950" s="1013">
        <f>PUCFD!E1619</f>
        <v>0.01</v>
      </c>
    </row>
    <row r="1951" spans="1:9" s="946" customFormat="1" ht="34.5" customHeight="1" x14ac:dyDescent="0.25">
      <c r="B1951" s="963">
        <v>73400</v>
      </c>
      <c r="C1951" s="964">
        <v>333933000000000</v>
      </c>
      <c r="D1951" s="963" t="s">
        <v>6064</v>
      </c>
      <c r="E1951" s="954">
        <v>0</v>
      </c>
      <c r="F1951" s="960">
        <v>20</v>
      </c>
      <c r="G1951" s="963">
        <v>0</v>
      </c>
      <c r="H1951" s="958">
        <v>0</v>
      </c>
      <c r="I1951" s="1013">
        <f>PUCFD!E1620</f>
        <v>0.01</v>
      </c>
    </row>
    <row r="1952" spans="1:9" s="946" customFormat="1" ht="24.95" customHeight="1" x14ac:dyDescent="0.25">
      <c r="B1952" s="963">
        <v>73420</v>
      </c>
      <c r="C1952" s="964">
        <v>344905100000000</v>
      </c>
      <c r="D1952" s="963" t="s">
        <v>6060</v>
      </c>
      <c r="E1952" s="954">
        <v>0</v>
      </c>
      <c r="F1952" s="960">
        <v>20</v>
      </c>
      <c r="G1952" s="963">
        <v>0</v>
      </c>
      <c r="H1952" s="958">
        <v>0</v>
      </c>
      <c r="I1952" s="1013">
        <f>PUCFD!E1621</f>
        <v>0.01</v>
      </c>
    </row>
    <row r="1953" spans="1:11" s="946" customFormat="1" ht="24.95" customHeight="1" x14ac:dyDescent="0.25">
      <c r="B1953" s="963">
        <v>73440</v>
      </c>
      <c r="C1953" s="964">
        <v>344905200000000</v>
      </c>
      <c r="D1953" s="963" t="s">
        <v>6061</v>
      </c>
      <c r="E1953" s="954">
        <v>0</v>
      </c>
      <c r="F1953" s="960">
        <v>20</v>
      </c>
      <c r="G1953" s="963">
        <v>0</v>
      </c>
      <c r="H1953" s="958">
        <v>0</v>
      </c>
      <c r="I1953" s="1013">
        <f>PUCFD!E1622</f>
        <v>0.02</v>
      </c>
    </row>
    <row r="1954" spans="1:11" ht="15" customHeight="1" x14ac:dyDescent="0.25">
      <c r="A1954" s="958"/>
      <c r="B1954" s="962" t="s">
        <v>3138</v>
      </c>
      <c r="C1954" s="959">
        <v>12</v>
      </c>
      <c r="D1954" s="962" t="s">
        <v>4728</v>
      </c>
      <c r="E1954" s="954"/>
      <c r="F1954" s="960"/>
      <c r="G1954" s="958"/>
      <c r="H1954" s="958"/>
      <c r="I1954" s="961">
        <f>I1955</f>
        <v>22395.344999999998</v>
      </c>
    </row>
    <row r="1955" spans="1:11" ht="15" customHeight="1" x14ac:dyDescent="0.25">
      <c r="A1955" s="958"/>
      <c r="B1955" s="962" t="s">
        <v>3139</v>
      </c>
      <c r="C1955" s="959">
        <v>126</v>
      </c>
      <c r="D1955" s="962" t="s">
        <v>3600</v>
      </c>
      <c r="E1955" s="954"/>
      <c r="F1955" s="960"/>
      <c r="G1955" s="958"/>
      <c r="H1955" s="958"/>
      <c r="I1955" s="961">
        <f>I1957</f>
        <v>22395.344999999998</v>
      </c>
    </row>
    <row r="1956" spans="1:11" ht="15" customHeight="1" x14ac:dyDescent="0.25">
      <c r="A1956" s="958"/>
      <c r="B1956" s="962" t="s">
        <v>3137</v>
      </c>
      <c r="C1956" s="959">
        <v>6</v>
      </c>
      <c r="D1956" s="962" t="s">
        <v>4729</v>
      </c>
      <c r="E1956" s="954"/>
      <c r="F1956" s="960"/>
      <c r="G1956" s="958"/>
      <c r="H1956" s="958"/>
      <c r="I1956" s="961">
        <f>I1957</f>
        <v>22395.344999999998</v>
      </c>
    </row>
    <row r="1957" spans="1:11" s="946" customFormat="1" ht="24.95" customHeight="1" x14ac:dyDescent="0.25">
      <c r="B1957" s="963" t="s">
        <v>2965</v>
      </c>
      <c r="C1957" s="959">
        <v>47</v>
      </c>
      <c r="D1957" s="963" t="s">
        <v>4757</v>
      </c>
      <c r="E1957" s="954"/>
      <c r="F1957" s="955"/>
      <c r="H1957" s="956"/>
      <c r="I1957" s="957">
        <f>I1958</f>
        <v>22395.344999999998</v>
      </c>
    </row>
    <row r="1958" spans="1:11" ht="33.75" customHeight="1" x14ac:dyDescent="0.25">
      <c r="B1958" s="973">
        <v>73500</v>
      </c>
      <c r="C1958" s="974">
        <v>333904000000000</v>
      </c>
      <c r="D1958" s="973" t="s">
        <v>6065</v>
      </c>
      <c r="F1958" s="975">
        <v>20</v>
      </c>
      <c r="G1958" s="973">
        <v>0</v>
      </c>
      <c r="H1958" s="972">
        <v>0</v>
      </c>
      <c r="I1958" s="951">
        <f>SUM(PUCFD!E1628+PUCFD!E1629+PUCFD!E1630+PUCFD!E1631+PUCFD!E1632)</f>
        <v>22395.344999999998</v>
      </c>
    </row>
    <row r="1959" spans="1:11" ht="24.95" customHeight="1" x14ac:dyDescent="0.25">
      <c r="A1959" s="958"/>
      <c r="B1959" s="962" t="s">
        <v>3138</v>
      </c>
      <c r="C1959" s="959">
        <v>12</v>
      </c>
      <c r="D1959" s="962" t="s">
        <v>4728</v>
      </c>
      <c r="E1959" s="954"/>
      <c r="F1959" s="960"/>
      <c r="G1959" s="958"/>
      <c r="H1959" s="958"/>
      <c r="I1959" s="961">
        <f>I1960</f>
        <v>5.0999999999999997E-2</v>
      </c>
    </row>
    <row r="1960" spans="1:11" ht="24.95" customHeight="1" x14ac:dyDescent="0.25">
      <c r="A1960" s="958"/>
      <c r="B1960" s="962" t="s">
        <v>3139</v>
      </c>
      <c r="C1960" s="959">
        <v>128</v>
      </c>
      <c r="D1960" s="962" t="s">
        <v>5104</v>
      </c>
      <c r="E1960" s="954"/>
      <c r="F1960" s="960"/>
      <c r="G1960" s="958"/>
      <c r="H1960" s="958"/>
      <c r="I1960" s="961">
        <f>I1962</f>
        <v>5.0999999999999997E-2</v>
      </c>
    </row>
    <row r="1961" spans="1:11" ht="24.95" customHeight="1" x14ac:dyDescent="0.25">
      <c r="A1961" s="958"/>
      <c r="B1961" s="962" t="s">
        <v>3137</v>
      </c>
      <c r="C1961" s="959">
        <v>6</v>
      </c>
      <c r="D1961" s="962" t="s">
        <v>4729</v>
      </c>
      <c r="E1961" s="954"/>
      <c r="F1961" s="960"/>
      <c r="G1961" s="958"/>
      <c r="H1961" s="958"/>
      <c r="I1961" s="961">
        <f>I1962</f>
        <v>5.0999999999999997E-2</v>
      </c>
    </row>
    <row r="1962" spans="1:11" s="946" customFormat="1" ht="24.95" customHeight="1" x14ac:dyDescent="0.25">
      <c r="B1962" s="963" t="s">
        <v>2965</v>
      </c>
      <c r="C1962" s="959">
        <v>47</v>
      </c>
      <c r="D1962" s="963" t="s">
        <v>4757</v>
      </c>
      <c r="E1962" s="954"/>
      <c r="F1962" s="960"/>
      <c r="G1962" s="963"/>
      <c r="H1962" s="958"/>
      <c r="I1962" s="957">
        <f>SUM(I1963:I1967)</f>
        <v>5.0999999999999997E-2</v>
      </c>
    </row>
    <row r="1963" spans="1:11" ht="24.95" customHeight="1" x14ac:dyDescent="0.25">
      <c r="B1963" s="973">
        <v>73530</v>
      </c>
      <c r="C1963" s="974">
        <v>333901400000000</v>
      </c>
      <c r="D1963" s="973" t="s">
        <v>6066</v>
      </c>
      <c r="F1963" s="949">
        <v>20</v>
      </c>
      <c r="G1963" s="945">
        <v>0</v>
      </c>
      <c r="H1963" s="950">
        <v>0</v>
      </c>
      <c r="I1963" s="951">
        <f>PUCFD!E1634</f>
        <v>0.01</v>
      </c>
      <c r="K1963" s="990"/>
    </row>
    <row r="1964" spans="1:11" ht="38.25" customHeight="1" x14ac:dyDescent="0.25">
      <c r="B1964" s="973">
        <v>73550</v>
      </c>
      <c r="C1964" s="974">
        <v>333903300000000</v>
      </c>
      <c r="D1964" s="973" t="s">
        <v>6067</v>
      </c>
      <c r="F1964" s="949">
        <v>20</v>
      </c>
      <c r="G1964" s="945">
        <v>0</v>
      </c>
      <c r="H1964" s="950">
        <v>0</v>
      </c>
      <c r="I1964" s="951">
        <f>PUCFD!E1635</f>
        <v>0.01</v>
      </c>
    </row>
    <row r="1965" spans="1:11" ht="24.95" customHeight="1" x14ac:dyDescent="0.25">
      <c r="B1965" s="973">
        <v>73570</v>
      </c>
      <c r="C1965" s="974">
        <v>333903600000000</v>
      </c>
      <c r="D1965" s="973" t="s">
        <v>6068</v>
      </c>
      <c r="F1965" s="949">
        <v>20</v>
      </c>
      <c r="G1965" s="945">
        <v>0</v>
      </c>
      <c r="H1965" s="950">
        <v>0</v>
      </c>
      <c r="I1965" s="951">
        <f>PUCFD!E1636</f>
        <v>0.01</v>
      </c>
    </row>
    <row r="1966" spans="1:11" ht="24.95" customHeight="1" x14ac:dyDescent="0.25">
      <c r="B1966" s="973">
        <v>73590</v>
      </c>
      <c r="C1966" s="974">
        <v>333903900000000</v>
      </c>
      <c r="D1966" s="973" t="s">
        <v>6069</v>
      </c>
      <c r="F1966" s="949">
        <v>20</v>
      </c>
      <c r="G1966" s="945">
        <v>0</v>
      </c>
      <c r="H1966" s="950">
        <v>0</v>
      </c>
      <c r="I1966" s="951">
        <f>PUCFD!E1637</f>
        <v>1.0999999999999999E-2</v>
      </c>
    </row>
    <row r="1967" spans="1:11" ht="24.95" customHeight="1" x14ac:dyDescent="0.25">
      <c r="B1967" s="973">
        <v>73620</v>
      </c>
      <c r="C1967" s="974">
        <v>333904700000000</v>
      </c>
      <c r="D1967" s="973" t="s">
        <v>6070</v>
      </c>
      <c r="F1967" s="949">
        <v>20</v>
      </c>
      <c r="G1967" s="945">
        <v>0</v>
      </c>
      <c r="H1967" s="950">
        <v>0</v>
      </c>
      <c r="I1967" s="951">
        <f>PUCFD!E1638</f>
        <v>0.01</v>
      </c>
    </row>
    <row r="1968" spans="1:11" ht="15" customHeight="1" x14ac:dyDescent="0.25">
      <c r="A1968" s="958"/>
      <c r="B1968" s="962" t="s">
        <v>3138</v>
      </c>
      <c r="C1968" s="959">
        <v>12</v>
      </c>
      <c r="D1968" s="962" t="s">
        <v>4728</v>
      </c>
      <c r="E1968" s="954"/>
      <c r="F1968" s="960"/>
      <c r="G1968" s="958"/>
      <c r="H1968" s="958"/>
      <c r="I1968" s="961">
        <f>I1969</f>
        <v>0.05</v>
      </c>
    </row>
    <row r="1969" spans="1:11" ht="15" customHeight="1" x14ac:dyDescent="0.25">
      <c r="A1969" s="958"/>
      <c r="B1969" s="962" t="s">
        <v>3139</v>
      </c>
      <c r="C1969" s="959">
        <v>126</v>
      </c>
      <c r="D1969" s="962" t="s">
        <v>3600</v>
      </c>
      <c r="E1969" s="954"/>
      <c r="F1969" s="960"/>
      <c r="G1969" s="958"/>
      <c r="H1969" s="958"/>
      <c r="I1969" s="961">
        <f>I1971</f>
        <v>0.05</v>
      </c>
    </row>
    <row r="1970" spans="1:11" ht="15" customHeight="1" x14ac:dyDescent="0.25">
      <c r="A1970" s="958"/>
      <c r="B1970" s="962" t="s">
        <v>3137</v>
      </c>
      <c r="C1970" s="959">
        <v>6</v>
      </c>
      <c r="D1970" s="962" t="s">
        <v>4729</v>
      </c>
      <c r="E1970" s="954"/>
      <c r="F1970" s="960"/>
      <c r="G1970" s="958"/>
      <c r="H1970" s="958"/>
      <c r="I1970" s="961">
        <f>I1971</f>
        <v>0.05</v>
      </c>
    </row>
    <row r="1971" spans="1:11" s="946" customFormat="1" ht="24.95" customHeight="1" x14ac:dyDescent="0.25">
      <c r="B1971" s="963" t="s">
        <v>2965</v>
      </c>
      <c r="C1971" s="959">
        <v>6</v>
      </c>
      <c r="D1971" s="963" t="s">
        <v>4713</v>
      </c>
      <c r="E1971" s="954"/>
      <c r="F1971" s="955"/>
      <c r="H1971" s="956"/>
      <c r="I1971" s="957">
        <f>I1972</f>
        <v>0.05</v>
      </c>
    </row>
    <row r="1972" spans="1:11" ht="33.75" customHeight="1" x14ac:dyDescent="0.25">
      <c r="B1972" s="973">
        <v>73640</v>
      </c>
      <c r="C1972" s="974">
        <v>333904000000000</v>
      </c>
      <c r="D1972" s="973" t="s">
        <v>6065</v>
      </c>
      <c r="F1972" s="975">
        <v>20</v>
      </c>
      <c r="G1972" s="973">
        <v>0</v>
      </c>
      <c r="H1972" s="972">
        <v>0</v>
      </c>
      <c r="I1972" s="951">
        <f>SUM(PUCFD!E1645+PUCFD!E1646+PUCFD!E1647+PUCFD!E1648+PUCFD!E1649)</f>
        <v>0.05</v>
      </c>
    </row>
    <row r="1973" spans="1:11" ht="24.95" customHeight="1" x14ac:dyDescent="0.25">
      <c r="A1973" s="958"/>
      <c r="B1973" s="962" t="s">
        <v>3138</v>
      </c>
      <c r="C1973" s="959">
        <v>12</v>
      </c>
      <c r="D1973" s="962" t="s">
        <v>4728</v>
      </c>
      <c r="E1973" s="954"/>
      <c r="F1973" s="960"/>
      <c r="G1973" s="958"/>
      <c r="H1973" s="958"/>
      <c r="I1973" s="961">
        <f>I1974</f>
        <v>0.05</v>
      </c>
    </row>
    <row r="1974" spans="1:11" ht="24.95" customHeight="1" x14ac:dyDescent="0.25">
      <c r="A1974" s="958"/>
      <c r="B1974" s="962" t="s">
        <v>3139</v>
      </c>
      <c r="C1974" s="959">
        <v>128</v>
      </c>
      <c r="D1974" s="962" t="s">
        <v>5104</v>
      </c>
      <c r="E1974" s="954"/>
      <c r="F1974" s="960"/>
      <c r="G1974" s="958"/>
      <c r="H1974" s="958"/>
      <c r="I1974" s="961">
        <f>I1976</f>
        <v>0.05</v>
      </c>
    </row>
    <row r="1975" spans="1:11" ht="24.95" customHeight="1" x14ac:dyDescent="0.25">
      <c r="A1975" s="958"/>
      <c r="B1975" s="962" t="s">
        <v>3137</v>
      </c>
      <c r="C1975" s="959">
        <v>6</v>
      </c>
      <c r="D1975" s="962" t="s">
        <v>4729</v>
      </c>
      <c r="E1975" s="954"/>
      <c r="F1975" s="960"/>
      <c r="G1975" s="958"/>
      <c r="H1975" s="958"/>
      <c r="I1975" s="961">
        <f>I1976</f>
        <v>0.05</v>
      </c>
    </row>
    <row r="1976" spans="1:11" s="946" customFormat="1" ht="24.95" customHeight="1" x14ac:dyDescent="0.25">
      <c r="B1976" s="963" t="s">
        <v>2965</v>
      </c>
      <c r="C1976" s="959">
        <v>6</v>
      </c>
      <c r="D1976" s="963" t="s">
        <v>4713</v>
      </c>
      <c r="E1976" s="954"/>
      <c r="F1976" s="960"/>
      <c r="G1976" s="963"/>
      <c r="H1976" s="958"/>
      <c r="I1976" s="957">
        <f>SUM(I1977:I1981)</f>
        <v>0.05</v>
      </c>
    </row>
    <row r="1977" spans="1:11" ht="24.95" customHeight="1" x14ac:dyDescent="0.25">
      <c r="B1977" s="973">
        <v>73660</v>
      </c>
      <c r="C1977" s="974">
        <v>333901400000000</v>
      </c>
      <c r="D1977" s="973" t="s">
        <v>6066</v>
      </c>
      <c r="F1977" s="949">
        <v>20</v>
      </c>
      <c r="G1977" s="945">
        <v>0</v>
      </c>
      <c r="H1977" s="950">
        <v>0</v>
      </c>
      <c r="I1977" s="951">
        <f>PUCFD!E1650</f>
        <v>0.01</v>
      </c>
      <c r="K1977" s="990"/>
    </row>
    <row r="1978" spans="1:11" ht="38.25" customHeight="1" x14ac:dyDescent="0.25">
      <c r="B1978" s="973">
        <v>73680</v>
      </c>
      <c r="C1978" s="974">
        <v>333903300000000</v>
      </c>
      <c r="D1978" s="973" t="s">
        <v>6067</v>
      </c>
      <c r="F1978" s="949">
        <v>20</v>
      </c>
      <c r="G1978" s="945">
        <v>0</v>
      </c>
      <c r="H1978" s="950">
        <v>0</v>
      </c>
      <c r="I1978" s="951">
        <f>PUCFD!E1650</f>
        <v>0.01</v>
      </c>
    </row>
    <row r="1979" spans="1:11" ht="24.95" customHeight="1" x14ac:dyDescent="0.25">
      <c r="B1979" s="973">
        <v>73700</v>
      </c>
      <c r="C1979" s="974">
        <v>333903600000000</v>
      </c>
      <c r="D1979" s="973" t="s">
        <v>6068</v>
      </c>
      <c r="F1979" s="949">
        <v>20</v>
      </c>
      <c r="G1979" s="945">
        <v>0</v>
      </c>
      <c r="H1979" s="950">
        <v>0</v>
      </c>
      <c r="I1979" s="951">
        <f>PUCFD!E1651</f>
        <v>0.01</v>
      </c>
    </row>
    <row r="1980" spans="1:11" ht="24.95" customHeight="1" x14ac:dyDescent="0.25">
      <c r="B1980" s="973">
        <v>73720</v>
      </c>
      <c r="C1980" s="974">
        <v>333903900000000</v>
      </c>
      <c r="D1980" s="973" t="s">
        <v>6069</v>
      </c>
      <c r="F1980" s="949">
        <v>20</v>
      </c>
      <c r="G1980" s="945">
        <v>0</v>
      </c>
      <c r="H1980" s="950">
        <v>0</v>
      </c>
      <c r="I1980" s="951">
        <f>PUCFD!E1651</f>
        <v>0.01</v>
      </c>
    </row>
    <row r="1981" spans="1:11" ht="24.95" customHeight="1" x14ac:dyDescent="0.25">
      <c r="B1981" s="973">
        <v>73740</v>
      </c>
      <c r="C1981" s="974">
        <v>333904700000000</v>
      </c>
      <c r="D1981" s="973" t="s">
        <v>6070</v>
      </c>
      <c r="F1981" s="949">
        <v>20</v>
      </c>
      <c r="G1981" s="945">
        <v>0</v>
      </c>
      <c r="H1981" s="950">
        <v>0</v>
      </c>
      <c r="I1981" s="951">
        <f>PUCFD!E1652</f>
        <v>0.01</v>
      </c>
    </row>
    <row r="1982" spans="1:11" ht="15" customHeight="1" x14ac:dyDescent="0.25">
      <c r="A1982" s="958"/>
      <c r="B1982" s="962" t="s">
        <v>3138</v>
      </c>
      <c r="C1982" s="959">
        <v>12</v>
      </c>
      <c r="D1982" s="962" t="s">
        <v>4728</v>
      </c>
      <c r="E1982" s="954"/>
      <c r="F1982" s="960"/>
      <c r="G1982" s="958"/>
      <c r="H1982" s="958"/>
      <c r="I1982" s="961">
        <f>I1983</f>
        <v>0.23000000000000004</v>
      </c>
    </row>
    <row r="1983" spans="1:11" ht="15" customHeight="1" x14ac:dyDescent="0.25">
      <c r="A1983" s="958"/>
      <c r="B1983" s="962" t="s">
        <v>3139</v>
      </c>
      <c r="C1983" s="959">
        <v>361</v>
      </c>
      <c r="D1983" s="962" t="s">
        <v>4731</v>
      </c>
      <c r="E1983" s="954"/>
      <c r="F1983" s="960"/>
      <c r="G1983" s="958"/>
      <c r="H1983" s="958"/>
      <c r="I1983" s="961">
        <f>I1985</f>
        <v>0.23000000000000004</v>
      </c>
    </row>
    <row r="1984" spans="1:11" ht="15" customHeight="1" x14ac:dyDescent="0.25">
      <c r="A1984" s="958"/>
      <c r="B1984" s="962" t="s">
        <v>3137</v>
      </c>
      <c r="C1984" s="959">
        <v>6</v>
      </c>
      <c r="D1984" s="962" t="s">
        <v>4729</v>
      </c>
      <c r="E1984" s="954"/>
      <c r="F1984" s="960"/>
      <c r="G1984" s="958"/>
      <c r="H1984" s="958"/>
      <c r="I1984" s="961">
        <f>I1985</f>
        <v>0.23000000000000004</v>
      </c>
    </row>
    <row r="1985" spans="1:9" s="946" customFormat="1" ht="24.95" customHeight="1" x14ac:dyDescent="0.25">
      <c r="B1985" s="963" t="s">
        <v>2965</v>
      </c>
      <c r="C1985" s="959">
        <v>6</v>
      </c>
      <c r="D1985" s="963" t="s">
        <v>4713</v>
      </c>
      <c r="E1985" s="954"/>
      <c r="F1985" s="955"/>
      <c r="H1985" s="956"/>
      <c r="I1985" s="957">
        <f>SUM(I1986:I2008)</f>
        <v>0.23000000000000004</v>
      </c>
    </row>
    <row r="1986" spans="1:9" s="946" customFormat="1" ht="24.95" customHeight="1" x14ac:dyDescent="0.25">
      <c r="B1986" s="963">
        <v>74000</v>
      </c>
      <c r="C1986" s="964">
        <v>331900400000000</v>
      </c>
      <c r="D1986" s="963" t="s">
        <v>6071</v>
      </c>
      <c r="E1986" s="954">
        <v>0</v>
      </c>
      <c r="F1986" s="960">
        <v>20</v>
      </c>
      <c r="G1986" s="963">
        <v>0</v>
      </c>
      <c r="H1986" s="958">
        <v>0</v>
      </c>
      <c r="I1986" s="957">
        <f>PUCFD!E1641</f>
        <v>0.01</v>
      </c>
    </row>
    <row r="1987" spans="1:9" s="946" customFormat="1" ht="38.25" customHeight="1" x14ac:dyDescent="0.25">
      <c r="A1987" s="958"/>
      <c r="B1987" s="963">
        <v>74020</v>
      </c>
      <c r="C1987" s="964">
        <v>331900800000000</v>
      </c>
      <c r="D1987" s="963" t="s">
        <v>6093</v>
      </c>
      <c r="E1987" s="954">
        <v>0</v>
      </c>
      <c r="F1987" s="960">
        <v>1</v>
      </c>
      <c r="G1987" s="960">
        <v>0</v>
      </c>
      <c r="H1987" s="958">
        <v>0</v>
      </c>
      <c r="I1987" s="961">
        <f>PUCFD!E1643</f>
        <v>0.01</v>
      </c>
    </row>
    <row r="1988" spans="1:9" ht="24.95" customHeight="1" x14ac:dyDescent="0.25">
      <c r="A1988" s="972"/>
      <c r="B1988" s="973" t="s">
        <v>6092</v>
      </c>
      <c r="C1988" s="991">
        <v>319008990400000</v>
      </c>
      <c r="D1988" s="973" t="s">
        <v>4234</v>
      </c>
      <c r="E1988" s="948">
        <v>312940100000000</v>
      </c>
      <c r="F1988" s="975">
        <v>1</v>
      </c>
      <c r="G1988" s="975">
        <v>0</v>
      </c>
      <c r="H1988" s="972">
        <v>0</v>
      </c>
      <c r="I1988" s="976">
        <v>0</v>
      </c>
    </row>
    <row r="1989" spans="1:9" s="946" customFormat="1" ht="24.95" customHeight="1" x14ac:dyDescent="0.25">
      <c r="B1989" s="963">
        <v>74030</v>
      </c>
      <c r="C1989" s="964">
        <v>331901100000000</v>
      </c>
      <c r="D1989" s="963" t="s">
        <v>6072</v>
      </c>
      <c r="E1989" s="954">
        <v>0</v>
      </c>
      <c r="F1989" s="960">
        <v>20</v>
      </c>
      <c r="G1989" s="963">
        <v>0</v>
      </c>
      <c r="H1989" s="958">
        <v>0</v>
      </c>
      <c r="I1989" s="957">
        <f>PUCFD!E1644</f>
        <v>0.01</v>
      </c>
    </row>
    <row r="1990" spans="1:9" s="946" customFormat="1" ht="24.95" customHeight="1" x14ac:dyDescent="0.25">
      <c r="B1990" s="963">
        <v>74050</v>
      </c>
      <c r="C1990" s="964">
        <v>331901300000000</v>
      </c>
      <c r="D1990" s="963" t="s">
        <v>6073</v>
      </c>
      <c r="E1990" s="954">
        <v>0</v>
      </c>
      <c r="F1990" s="960">
        <v>20</v>
      </c>
      <c r="G1990" s="963">
        <v>0</v>
      </c>
      <c r="H1990" s="958">
        <v>0</v>
      </c>
      <c r="I1990" s="957">
        <f>PUCFD!E1645</f>
        <v>0.01</v>
      </c>
    </row>
    <row r="1991" spans="1:9" s="946" customFormat="1" ht="24.95" customHeight="1" x14ac:dyDescent="0.25">
      <c r="B1991" s="963">
        <v>74080</v>
      </c>
      <c r="C1991" s="964">
        <v>331901600000000</v>
      </c>
      <c r="D1991" s="963" t="s">
        <v>6074</v>
      </c>
      <c r="E1991" s="954">
        <v>0</v>
      </c>
      <c r="F1991" s="960">
        <v>20</v>
      </c>
      <c r="G1991" s="963">
        <v>0</v>
      </c>
      <c r="H1991" s="958">
        <v>0</v>
      </c>
      <c r="I1991" s="957">
        <f>PUCFD!E1646</f>
        <v>0.01</v>
      </c>
    </row>
    <row r="1992" spans="1:9" s="946" customFormat="1" ht="39.75" customHeight="1" x14ac:dyDescent="0.25">
      <c r="B1992" s="963">
        <v>74100</v>
      </c>
      <c r="C1992" s="964">
        <v>331903400000000</v>
      </c>
      <c r="D1992" s="963" t="s">
        <v>6075</v>
      </c>
      <c r="E1992" s="954">
        <v>0</v>
      </c>
      <c r="F1992" s="960">
        <v>20</v>
      </c>
      <c r="G1992" s="963">
        <v>0</v>
      </c>
      <c r="H1992" s="958">
        <v>0</v>
      </c>
      <c r="I1992" s="957">
        <f>PUCFD!E1647</f>
        <v>0.01</v>
      </c>
    </row>
    <row r="1993" spans="1:9" s="946" customFormat="1" ht="38.25" customHeight="1" x14ac:dyDescent="0.25">
      <c r="B1993" s="963">
        <v>74120</v>
      </c>
      <c r="C1993" s="964">
        <v>331909400000000</v>
      </c>
      <c r="D1993" s="963" t="s">
        <v>6076</v>
      </c>
      <c r="E1993" s="954">
        <v>0</v>
      </c>
      <c r="F1993" s="960">
        <v>20</v>
      </c>
      <c r="G1993" s="963">
        <v>0</v>
      </c>
      <c r="H1993" s="958">
        <v>0</v>
      </c>
      <c r="I1993" s="957">
        <f>PUCFD!E1648</f>
        <v>0.01</v>
      </c>
    </row>
    <row r="1994" spans="1:9" s="946" customFormat="1" ht="24.95" customHeight="1" x14ac:dyDescent="0.25">
      <c r="B1994" s="963">
        <v>74140</v>
      </c>
      <c r="C1994" s="964">
        <v>333901400000000</v>
      </c>
      <c r="D1994" s="963" t="s">
        <v>6077</v>
      </c>
      <c r="E1994" s="954">
        <v>0</v>
      </c>
      <c r="F1994" s="960">
        <v>20</v>
      </c>
      <c r="G1994" s="963">
        <v>0</v>
      </c>
      <c r="H1994" s="958">
        <v>0</v>
      </c>
      <c r="I1994" s="957">
        <f>PUCFD!E1649</f>
        <v>0.01</v>
      </c>
    </row>
    <row r="1995" spans="1:9" s="946" customFormat="1" ht="24.95" customHeight="1" x14ac:dyDescent="0.25">
      <c r="B1995" s="963">
        <v>74180</v>
      </c>
      <c r="C1995" s="964">
        <v>333903000000000</v>
      </c>
      <c r="D1995" s="963" t="s">
        <v>6078</v>
      </c>
      <c r="E1995" s="954">
        <v>0</v>
      </c>
      <c r="F1995" s="960">
        <v>20</v>
      </c>
      <c r="G1995" s="963">
        <v>0</v>
      </c>
      <c r="H1995" s="958">
        <v>0</v>
      </c>
      <c r="I1995" s="957">
        <f>PUCFD!E1650</f>
        <v>0.01</v>
      </c>
    </row>
    <row r="1996" spans="1:9" s="946" customFormat="1" ht="32.25" customHeight="1" x14ac:dyDescent="0.25">
      <c r="B1996" s="963">
        <v>74220</v>
      </c>
      <c r="C1996" s="964">
        <v>333903200000000</v>
      </c>
      <c r="D1996" s="963" t="s">
        <v>6080</v>
      </c>
      <c r="E1996" s="954">
        <v>0</v>
      </c>
      <c r="F1996" s="960">
        <v>20</v>
      </c>
      <c r="G1996" s="963">
        <v>0</v>
      </c>
      <c r="H1996" s="958">
        <v>0</v>
      </c>
      <c r="I1996" s="957">
        <f>PUCFD!E1651</f>
        <v>0.01</v>
      </c>
    </row>
    <row r="1997" spans="1:9" s="946" customFormat="1" ht="24.95" customHeight="1" x14ac:dyDescent="0.25">
      <c r="B1997" s="963">
        <v>74240</v>
      </c>
      <c r="C1997" s="964">
        <v>333903300000000</v>
      </c>
      <c r="D1997" s="963" t="s">
        <v>6079</v>
      </c>
      <c r="E1997" s="954">
        <v>0</v>
      </c>
      <c r="F1997" s="960">
        <v>20</v>
      </c>
      <c r="G1997" s="963">
        <v>0</v>
      </c>
      <c r="H1997" s="958">
        <v>0</v>
      </c>
      <c r="I1997" s="957">
        <f>PUCFD!E1652</f>
        <v>0.01</v>
      </c>
    </row>
    <row r="1998" spans="1:9" s="946" customFormat="1" ht="24.95" customHeight="1" x14ac:dyDescent="0.25">
      <c r="B1998" s="963">
        <v>74280</v>
      </c>
      <c r="C1998" s="964">
        <v>333903500000000</v>
      </c>
      <c r="D1998" s="963" t="s">
        <v>6081</v>
      </c>
      <c r="E1998" s="954">
        <v>0</v>
      </c>
      <c r="F1998" s="960">
        <v>20</v>
      </c>
      <c r="G1998" s="963">
        <v>0</v>
      </c>
      <c r="H1998" s="958">
        <v>0</v>
      </c>
      <c r="I1998" s="957">
        <f>PUCFD!E1653</f>
        <v>0.01</v>
      </c>
    </row>
    <row r="1999" spans="1:9" s="946" customFormat="1" ht="24.95" customHeight="1" x14ac:dyDescent="0.25">
      <c r="B1999" s="963">
        <v>74320</v>
      </c>
      <c r="C1999" s="964">
        <v>333903600000000</v>
      </c>
      <c r="D1999" s="963" t="s">
        <v>6082</v>
      </c>
      <c r="E1999" s="954">
        <v>0</v>
      </c>
      <c r="F1999" s="960">
        <v>20</v>
      </c>
      <c r="G1999" s="963">
        <v>0</v>
      </c>
      <c r="H1999" s="958">
        <v>0</v>
      </c>
      <c r="I1999" s="957">
        <f>PUCFD!E1654</f>
        <v>0.01</v>
      </c>
    </row>
    <row r="2000" spans="1:9" s="946" customFormat="1" ht="24.95" customHeight="1" x14ac:dyDescent="0.25">
      <c r="B2000" s="963">
        <v>74360</v>
      </c>
      <c r="C2000" s="964">
        <v>333903900000000</v>
      </c>
      <c r="D2000" s="963" t="s">
        <v>6083</v>
      </c>
      <c r="E2000" s="954">
        <v>0</v>
      </c>
      <c r="F2000" s="960">
        <v>20</v>
      </c>
      <c r="G2000" s="963">
        <v>0</v>
      </c>
      <c r="H2000" s="958">
        <v>0</v>
      </c>
      <c r="I2000" s="957">
        <f>PUCFD!E1657+PUCFD!E1658</f>
        <v>0.02</v>
      </c>
    </row>
    <row r="2001" spans="1:9" s="955" customFormat="1" ht="24.95" customHeight="1" x14ac:dyDescent="0.25">
      <c r="A2001" s="960"/>
      <c r="B2001" s="960">
        <v>74390</v>
      </c>
      <c r="C2001" s="1008">
        <v>333904600000000</v>
      </c>
      <c r="D2001" s="962" t="s">
        <v>6084</v>
      </c>
      <c r="E2001" s="1008"/>
      <c r="F2001" s="960">
        <v>20</v>
      </c>
      <c r="G2001" s="963">
        <v>0</v>
      </c>
      <c r="H2001" s="958">
        <v>0</v>
      </c>
      <c r="I2001" s="957">
        <f>PUCFD!E1659</f>
        <v>0.01</v>
      </c>
    </row>
    <row r="2002" spans="1:9" s="946" customFormat="1" ht="24.95" customHeight="1" x14ac:dyDescent="0.25">
      <c r="B2002" s="963">
        <v>74400</v>
      </c>
      <c r="C2002" s="964">
        <v>333904700000000</v>
      </c>
      <c r="D2002" s="963" t="s">
        <v>6085</v>
      </c>
      <c r="E2002" s="954">
        <v>0</v>
      </c>
      <c r="F2002" s="960">
        <v>20</v>
      </c>
      <c r="G2002" s="963">
        <v>0</v>
      </c>
      <c r="H2002" s="958">
        <v>0</v>
      </c>
      <c r="I2002" s="957">
        <f>PUCFD!E1660</f>
        <v>0.01</v>
      </c>
    </row>
    <row r="2003" spans="1:9" s="946" customFormat="1" ht="24.95" customHeight="1" x14ac:dyDescent="0.25">
      <c r="B2003" s="963">
        <v>74420</v>
      </c>
      <c r="C2003" s="964">
        <v>333904900000000</v>
      </c>
      <c r="D2003" s="963" t="s">
        <v>6086</v>
      </c>
      <c r="E2003" s="954">
        <v>0</v>
      </c>
      <c r="F2003" s="960">
        <v>20</v>
      </c>
      <c r="G2003" s="963">
        <v>0</v>
      </c>
      <c r="H2003" s="958">
        <v>0</v>
      </c>
      <c r="I2003" s="957">
        <f>PUCFD!E1661</f>
        <v>0.01</v>
      </c>
    </row>
    <row r="2004" spans="1:9" s="946" customFormat="1" ht="24.95" customHeight="1" x14ac:dyDescent="0.25">
      <c r="B2004" s="963">
        <v>74440</v>
      </c>
      <c r="C2004" s="964">
        <v>333909200000000</v>
      </c>
      <c r="D2004" s="963" t="s">
        <v>6087</v>
      </c>
      <c r="E2004" s="954">
        <v>0</v>
      </c>
      <c r="F2004" s="960">
        <v>20</v>
      </c>
      <c r="G2004" s="963">
        <v>0</v>
      </c>
      <c r="H2004" s="958">
        <v>0</v>
      </c>
      <c r="I2004" s="957">
        <f>PUCFD!E1662</f>
        <v>0.01</v>
      </c>
    </row>
    <row r="2005" spans="1:9" s="946" customFormat="1" ht="24.95" customHeight="1" x14ac:dyDescent="0.25">
      <c r="B2005" s="963">
        <v>74480</v>
      </c>
      <c r="C2005" s="964">
        <v>333909300000000</v>
      </c>
      <c r="D2005" s="963" t="s">
        <v>6088</v>
      </c>
      <c r="E2005" s="954">
        <v>0</v>
      </c>
      <c r="F2005" s="960">
        <v>20</v>
      </c>
      <c r="G2005" s="963">
        <v>0</v>
      </c>
      <c r="H2005" s="958">
        <v>0</v>
      </c>
      <c r="I2005" s="957">
        <f>PUCFD!E1663</f>
        <v>0.01</v>
      </c>
    </row>
    <row r="2006" spans="1:9" s="946" customFormat="1" ht="34.5" customHeight="1" x14ac:dyDescent="0.25">
      <c r="B2006" s="963">
        <v>74520</v>
      </c>
      <c r="C2006" s="964">
        <v>333933000000000</v>
      </c>
      <c r="D2006" s="963" t="s">
        <v>6089</v>
      </c>
      <c r="E2006" s="954">
        <v>0</v>
      </c>
      <c r="F2006" s="960">
        <v>20</v>
      </c>
      <c r="G2006" s="963">
        <v>0</v>
      </c>
      <c r="H2006" s="958">
        <v>0</v>
      </c>
      <c r="I2006" s="957">
        <f>PUCFD!E1664</f>
        <v>0.01</v>
      </c>
    </row>
    <row r="2007" spans="1:9" s="946" customFormat="1" ht="24.95" customHeight="1" x14ac:dyDescent="0.25">
      <c r="B2007" s="963">
        <v>74540</v>
      </c>
      <c r="C2007" s="964">
        <v>344905100000000</v>
      </c>
      <c r="D2007" s="963" t="s">
        <v>6090</v>
      </c>
      <c r="E2007" s="954">
        <v>0</v>
      </c>
      <c r="F2007" s="960">
        <v>20</v>
      </c>
      <c r="G2007" s="963">
        <v>0</v>
      </c>
      <c r="H2007" s="958">
        <v>0</v>
      </c>
      <c r="I2007" s="957">
        <f>PUCFD!E1665</f>
        <v>0.01</v>
      </c>
    </row>
    <row r="2008" spans="1:9" s="946" customFormat="1" ht="24.95" customHeight="1" x14ac:dyDescent="0.25">
      <c r="B2008" s="963">
        <v>74580</v>
      </c>
      <c r="C2008" s="964">
        <v>344905200000000</v>
      </c>
      <c r="D2008" s="963" t="s">
        <v>6091</v>
      </c>
      <c r="E2008" s="954">
        <v>0</v>
      </c>
      <c r="F2008" s="960">
        <v>20</v>
      </c>
      <c r="G2008" s="963">
        <v>0</v>
      </c>
      <c r="H2008" s="958">
        <v>0</v>
      </c>
      <c r="I2008" s="957">
        <f>PUCFD!E1666</f>
        <v>0.01</v>
      </c>
    </row>
    <row r="2009" spans="1:9" ht="15" customHeight="1" x14ac:dyDescent="0.25">
      <c r="A2009" s="958"/>
      <c r="B2009" s="962" t="s">
        <v>3138</v>
      </c>
      <c r="C2009" s="959">
        <v>12</v>
      </c>
      <c r="D2009" s="962" t="s">
        <v>4728</v>
      </c>
      <c r="E2009" s="954"/>
      <c r="F2009" s="960"/>
      <c r="G2009" s="958"/>
      <c r="H2009" s="958"/>
      <c r="I2009" s="961">
        <f>I2010</f>
        <v>0.05</v>
      </c>
    </row>
    <row r="2010" spans="1:9" ht="15" customHeight="1" x14ac:dyDescent="0.25">
      <c r="A2010" s="958"/>
      <c r="B2010" s="962" t="s">
        <v>3139</v>
      </c>
      <c r="C2010" s="959">
        <v>126</v>
      </c>
      <c r="D2010" s="962" t="s">
        <v>3600</v>
      </c>
      <c r="E2010" s="954"/>
      <c r="F2010" s="960"/>
      <c r="G2010" s="958"/>
      <c r="H2010" s="958"/>
      <c r="I2010" s="961">
        <f>I2012</f>
        <v>0.05</v>
      </c>
    </row>
    <row r="2011" spans="1:9" ht="15" customHeight="1" x14ac:dyDescent="0.25">
      <c r="A2011" s="958"/>
      <c r="B2011" s="962" t="s">
        <v>3137</v>
      </c>
      <c r="C2011" s="959">
        <v>6</v>
      </c>
      <c r="D2011" s="962" t="s">
        <v>4729</v>
      </c>
      <c r="E2011" s="954"/>
      <c r="F2011" s="960"/>
      <c r="G2011" s="958"/>
      <c r="H2011" s="958"/>
      <c r="I2011" s="961">
        <f>I2012</f>
        <v>0.05</v>
      </c>
    </row>
    <row r="2012" spans="1:9" s="946" customFormat="1" ht="24.95" customHeight="1" x14ac:dyDescent="0.25">
      <c r="B2012" s="963" t="s">
        <v>2965</v>
      </c>
      <c r="C2012" s="959">
        <v>36</v>
      </c>
      <c r="D2012" s="963" t="s">
        <v>4721</v>
      </c>
      <c r="E2012" s="954"/>
      <c r="F2012" s="955"/>
      <c r="H2012" s="956"/>
      <c r="I2012" s="957">
        <f>I2013</f>
        <v>0.05</v>
      </c>
    </row>
    <row r="2013" spans="1:9" ht="33.75" customHeight="1" x14ac:dyDescent="0.25">
      <c r="B2013" s="973">
        <v>74600</v>
      </c>
      <c r="C2013" s="974">
        <v>333904000000000</v>
      </c>
      <c r="D2013" s="973" t="s">
        <v>6094</v>
      </c>
      <c r="F2013" s="975">
        <v>20</v>
      </c>
      <c r="G2013" s="973">
        <v>0</v>
      </c>
      <c r="H2013" s="972">
        <v>0</v>
      </c>
      <c r="I2013" s="951">
        <f>PUCFD!E1670+PUCFD!E1671+PUCFD!E1672+PUCFD!E1673+PUCFD!E1674</f>
        <v>0.05</v>
      </c>
    </row>
    <row r="2014" spans="1:9" ht="24.95" customHeight="1" x14ac:dyDescent="0.25">
      <c r="A2014" s="958"/>
      <c r="B2014" s="962" t="s">
        <v>3138</v>
      </c>
      <c r="C2014" s="959">
        <v>12</v>
      </c>
      <c r="D2014" s="962" t="s">
        <v>4728</v>
      </c>
      <c r="E2014" s="954"/>
      <c r="F2014" s="960"/>
      <c r="G2014" s="958"/>
      <c r="H2014" s="958"/>
      <c r="I2014" s="961">
        <f>I2015</f>
        <v>0.05</v>
      </c>
    </row>
    <row r="2015" spans="1:9" ht="24.95" customHeight="1" x14ac:dyDescent="0.25">
      <c r="A2015" s="958"/>
      <c r="B2015" s="962" t="s">
        <v>3139</v>
      </c>
      <c r="C2015" s="959">
        <v>128</v>
      </c>
      <c r="D2015" s="962" t="s">
        <v>5104</v>
      </c>
      <c r="E2015" s="954"/>
      <c r="F2015" s="960"/>
      <c r="G2015" s="958"/>
      <c r="H2015" s="958"/>
      <c r="I2015" s="961">
        <f>I2017</f>
        <v>0.05</v>
      </c>
    </row>
    <row r="2016" spans="1:9" ht="24.95" customHeight="1" x14ac:dyDescent="0.25">
      <c r="A2016" s="958"/>
      <c r="B2016" s="962" t="s">
        <v>3137</v>
      </c>
      <c r="C2016" s="959">
        <v>6</v>
      </c>
      <c r="D2016" s="962" t="s">
        <v>4729</v>
      </c>
      <c r="E2016" s="954"/>
      <c r="F2016" s="960"/>
      <c r="G2016" s="958"/>
      <c r="H2016" s="958"/>
      <c r="I2016" s="961">
        <f>I2017</f>
        <v>0.05</v>
      </c>
    </row>
    <row r="2017" spans="1:9" s="946" customFormat="1" ht="24.95" customHeight="1" x14ac:dyDescent="0.25">
      <c r="B2017" s="963" t="s">
        <v>2965</v>
      </c>
      <c r="C2017" s="959">
        <v>36</v>
      </c>
      <c r="D2017" s="963" t="s">
        <v>4721</v>
      </c>
      <c r="E2017" s="954"/>
      <c r="F2017" s="960"/>
      <c r="G2017" s="963"/>
      <c r="H2017" s="958"/>
      <c r="I2017" s="957">
        <f>SUM(I2018:I2022)</f>
        <v>0.05</v>
      </c>
    </row>
    <row r="2018" spans="1:9" s="946" customFormat="1" ht="24.95" customHeight="1" x14ac:dyDescent="0.25">
      <c r="B2018" s="973">
        <v>74620</v>
      </c>
      <c r="C2018" s="974">
        <v>333901400000000</v>
      </c>
      <c r="D2018" s="973" t="s">
        <v>6095</v>
      </c>
      <c r="E2018" s="954"/>
      <c r="F2018" s="949">
        <v>20</v>
      </c>
      <c r="G2018" s="945">
        <v>0</v>
      </c>
      <c r="H2018" s="950">
        <v>0</v>
      </c>
      <c r="I2018" s="951">
        <f>PUCFD!E1676</f>
        <v>0.01</v>
      </c>
    </row>
    <row r="2019" spans="1:9" s="946" customFormat="1" ht="30.75" customHeight="1" x14ac:dyDescent="0.25">
      <c r="B2019" s="973">
        <v>74640</v>
      </c>
      <c r="C2019" s="974">
        <v>333903300000000</v>
      </c>
      <c r="D2019" s="973" t="s">
        <v>6096</v>
      </c>
      <c r="E2019" s="954"/>
      <c r="F2019" s="949">
        <v>20</v>
      </c>
      <c r="G2019" s="945">
        <v>0</v>
      </c>
      <c r="H2019" s="950">
        <v>0</v>
      </c>
      <c r="I2019" s="951">
        <f>PUCFD!E1677</f>
        <v>0.01</v>
      </c>
    </row>
    <row r="2020" spans="1:9" s="946" customFormat="1" ht="24.95" customHeight="1" x14ac:dyDescent="0.25">
      <c r="B2020" s="973">
        <v>74660</v>
      </c>
      <c r="C2020" s="974">
        <v>333903600000000</v>
      </c>
      <c r="D2020" s="973" t="s">
        <v>6097</v>
      </c>
      <c r="E2020" s="954"/>
      <c r="F2020" s="949">
        <v>20</v>
      </c>
      <c r="G2020" s="945">
        <v>0</v>
      </c>
      <c r="H2020" s="950">
        <v>0</v>
      </c>
      <c r="I2020" s="951">
        <f>PUCFD!E1678</f>
        <v>0.01</v>
      </c>
    </row>
    <row r="2021" spans="1:9" s="946" customFormat="1" ht="24.95" customHeight="1" x14ac:dyDescent="0.25">
      <c r="B2021" s="973">
        <v>74680</v>
      </c>
      <c r="C2021" s="974">
        <v>333903900000000</v>
      </c>
      <c r="D2021" s="973" t="s">
        <v>6098</v>
      </c>
      <c r="E2021" s="954"/>
      <c r="F2021" s="949">
        <v>20</v>
      </c>
      <c r="G2021" s="945">
        <v>0</v>
      </c>
      <c r="H2021" s="950">
        <v>0</v>
      </c>
      <c r="I2021" s="951">
        <f>PUCFD!E1679</f>
        <v>0.01</v>
      </c>
    </row>
    <row r="2022" spans="1:9" s="946" customFormat="1" ht="33" customHeight="1" x14ac:dyDescent="0.25">
      <c r="B2022" s="973">
        <v>74700</v>
      </c>
      <c r="C2022" s="974">
        <v>333904700000000</v>
      </c>
      <c r="D2022" s="973" t="s">
        <v>6099</v>
      </c>
      <c r="E2022" s="954"/>
      <c r="F2022" s="949">
        <v>20</v>
      </c>
      <c r="G2022" s="945">
        <v>0</v>
      </c>
      <c r="H2022" s="950">
        <v>0</v>
      </c>
      <c r="I2022" s="951">
        <f>PUCFD!E1680</f>
        <v>0.01</v>
      </c>
    </row>
    <row r="2023" spans="1:9" ht="15" customHeight="1" x14ac:dyDescent="0.25">
      <c r="A2023" s="958"/>
      <c r="B2023" s="962" t="s">
        <v>3138</v>
      </c>
      <c r="C2023" s="959">
        <v>12</v>
      </c>
      <c r="D2023" s="962" t="s">
        <v>4728</v>
      </c>
      <c r="E2023" s="954"/>
      <c r="F2023" s="960"/>
      <c r="G2023" s="958"/>
      <c r="H2023" s="958"/>
      <c r="I2023" s="961">
        <f>I2024</f>
        <v>0.22000000000000006</v>
      </c>
    </row>
    <row r="2024" spans="1:9" ht="15" customHeight="1" x14ac:dyDescent="0.25">
      <c r="A2024" s="958"/>
      <c r="B2024" s="962" t="s">
        <v>3139</v>
      </c>
      <c r="C2024" s="959">
        <v>365</v>
      </c>
      <c r="D2024" s="962" t="s">
        <v>4732</v>
      </c>
      <c r="E2024" s="954"/>
      <c r="F2024" s="960"/>
      <c r="G2024" s="958"/>
      <c r="H2024" s="958"/>
      <c r="I2024" s="961">
        <f>I2025</f>
        <v>0.22000000000000006</v>
      </c>
    </row>
    <row r="2025" spans="1:9" ht="15" customHeight="1" x14ac:dyDescent="0.25">
      <c r="A2025" s="958"/>
      <c r="B2025" s="962" t="s">
        <v>3137</v>
      </c>
      <c r="C2025" s="959">
        <v>6</v>
      </c>
      <c r="D2025" s="962" t="s">
        <v>4729</v>
      </c>
      <c r="E2025" s="954"/>
      <c r="F2025" s="960"/>
      <c r="G2025" s="958"/>
      <c r="H2025" s="958"/>
      <c r="I2025" s="961">
        <f>I2026</f>
        <v>0.22000000000000006</v>
      </c>
    </row>
    <row r="2026" spans="1:9" s="946" customFormat="1" ht="24.95" customHeight="1" x14ac:dyDescent="0.25">
      <c r="B2026" s="963" t="s">
        <v>2965</v>
      </c>
      <c r="C2026" s="959">
        <v>36</v>
      </c>
      <c r="D2026" s="963" t="s">
        <v>4721</v>
      </c>
      <c r="E2026" s="954">
        <v>0</v>
      </c>
      <c r="F2026" s="960">
        <v>20</v>
      </c>
      <c r="G2026" s="963">
        <v>0</v>
      </c>
      <c r="H2026" s="958">
        <v>0</v>
      </c>
      <c r="I2026" s="957">
        <f>SUM(I2027:I2049)</f>
        <v>0.22000000000000006</v>
      </c>
    </row>
    <row r="2027" spans="1:9" s="946" customFormat="1" ht="24.95" customHeight="1" x14ac:dyDescent="0.25">
      <c r="B2027" s="963">
        <v>75000</v>
      </c>
      <c r="C2027" s="964">
        <v>331900400000000</v>
      </c>
      <c r="D2027" s="963" t="s">
        <v>6100</v>
      </c>
      <c r="E2027" s="954">
        <v>0</v>
      </c>
      <c r="F2027" s="960">
        <v>20</v>
      </c>
      <c r="G2027" s="963">
        <v>0</v>
      </c>
      <c r="H2027" s="958">
        <v>0</v>
      </c>
      <c r="I2027" s="957">
        <f>PUCFD!E1683</f>
        <v>0.01</v>
      </c>
    </row>
    <row r="2028" spans="1:9" s="946" customFormat="1" ht="24.95" customHeight="1" x14ac:dyDescent="0.25">
      <c r="A2028" s="958"/>
      <c r="B2028" s="963">
        <v>75020</v>
      </c>
      <c r="C2028" s="964">
        <v>331900800000000</v>
      </c>
      <c r="D2028" s="963" t="s">
        <v>6101</v>
      </c>
      <c r="E2028" s="954"/>
      <c r="F2028" s="960">
        <v>1</v>
      </c>
      <c r="G2028" s="960">
        <v>0</v>
      </c>
      <c r="H2028" s="955"/>
      <c r="I2028" s="961">
        <f>PUCFD!E1684</f>
        <v>0.01</v>
      </c>
    </row>
    <row r="2029" spans="1:9" ht="24.95" customHeight="1" x14ac:dyDescent="0.25">
      <c r="A2029" s="972"/>
      <c r="B2029" s="973" t="s">
        <v>6122</v>
      </c>
      <c r="C2029" s="991">
        <v>319008990400000</v>
      </c>
      <c r="D2029" s="973" t="s">
        <v>4234</v>
      </c>
      <c r="E2029" s="948">
        <v>312940100000000</v>
      </c>
      <c r="F2029" s="975">
        <v>1</v>
      </c>
      <c r="G2029" s="975">
        <v>0</v>
      </c>
      <c r="H2029" s="949"/>
      <c r="I2029" s="976">
        <v>0</v>
      </c>
    </row>
    <row r="2030" spans="1:9" s="946" customFormat="1" ht="24.95" customHeight="1" x14ac:dyDescent="0.25">
      <c r="B2030" s="963">
        <v>75030</v>
      </c>
      <c r="C2030" s="964">
        <v>331901100000000</v>
      </c>
      <c r="D2030" s="963" t="s">
        <v>6102</v>
      </c>
      <c r="E2030" s="954">
        <v>0</v>
      </c>
      <c r="F2030" s="960">
        <v>20</v>
      </c>
      <c r="G2030" s="963">
        <v>0</v>
      </c>
      <c r="H2030" s="958">
        <v>0</v>
      </c>
      <c r="I2030" s="957">
        <f>PUCFD!E1686</f>
        <v>0.01</v>
      </c>
    </row>
    <row r="2031" spans="1:9" s="946" customFormat="1" ht="24.95" customHeight="1" x14ac:dyDescent="0.25">
      <c r="B2031" s="963">
        <v>75050</v>
      </c>
      <c r="C2031" s="964">
        <v>331901300000000</v>
      </c>
      <c r="D2031" s="963" t="s">
        <v>6103</v>
      </c>
      <c r="E2031" s="954">
        <v>0</v>
      </c>
      <c r="F2031" s="960">
        <v>20</v>
      </c>
      <c r="G2031" s="963">
        <v>0</v>
      </c>
      <c r="H2031" s="958">
        <v>0</v>
      </c>
      <c r="I2031" s="957">
        <f>PUCFD!E1687</f>
        <v>0.01</v>
      </c>
    </row>
    <row r="2032" spans="1:9" s="996" customFormat="1" ht="24.95" customHeight="1" x14ac:dyDescent="0.25">
      <c r="B2032" s="1019">
        <v>75060</v>
      </c>
      <c r="C2032" s="1020">
        <v>331901600000000</v>
      </c>
      <c r="D2032" s="1019" t="s">
        <v>6104</v>
      </c>
      <c r="E2032" s="1021">
        <v>0</v>
      </c>
      <c r="F2032" s="1022">
        <v>20</v>
      </c>
      <c r="G2032" s="1019">
        <v>0</v>
      </c>
      <c r="H2032" s="1023">
        <v>0</v>
      </c>
      <c r="I2032" s="1024">
        <f>PUCFD!E1688</f>
        <v>0.01</v>
      </c>
    </row>
    <row r="2033" spans="2:10" s="946" customFormat="1" ht="24.95" customHeight="1" x14ac:dyDescent="0.25">
      <c r="B2033" s="963">
        <v>75070</v>
      </c>
      <c r="C2033" s="964">
        <v>331903400000000</v>
      </c>
      <c r="D2033" s="963" t="s">
        <v>6105</v>
      </c>
      <c r="E2033" s="954">
        <v>0</v>
      </c>
      <c r="F2033" s="960">
        <v>20</v>
      </c>
      <c r="G2033" s="963">
        <v>0</v>
      </c>
      <c r="H2033" s="958">
        <v>0</v>
      </c>
      <c r="I2033" s="957">
        <f>PUCFD!E1689</f>
        <v>0.01</v>
      </c>
    </row>
    <row r="2034" spans="2:10" s="946" customFormat="1" ht="24.95" customHeight="1" x14ac:dyDescent="0.25">
      <c r="B2034" s="963">
        <v>75080</v>
      </c>
      <c r="C2034" s="964">
        <v>331909400000000</v>
      </c>
      <c r="D2034" s="963" t="s">
        <v>6106</v>
      </c>
      <c r="E2034" s="954">
        <v>0</v>
      </c>
      <c r="F2034" s="960">
        <v>20</v>
      </c>
      <c r="G2034" s="963">
        <v>0</v>
      </c>
      <c r="H2034" s="958">
        <v>0</v>
      </c>
      <c r="I2034" s="957">
        <f>PUCFD!E1690</f>
        <v>0.01</v>
      </c>
    </row>
    <row r="2035" spans="2:10" s="946" customFormat="1" ht="24.95" customHeight="1" x14ac:dyDescent="0.25">
      <c r="B2035" s="963">
        <v>75120</v>
      </c>
      <c r="C2035" s="964">
        <v>333901400000000</v>
      </c>
      <c r="D2035" s="963" t="s">
        <v>6107</v>
      </c>
      <c r="E2035" s="954">
        <v>0</v>
      </c>
      <c r="F2035" s="960">
        <v>20</v>
      </c>
      <c r="G2035" s="963">
        <v>0</v>
      </c>
      <c r="H2035" s="958">
        <v>0</v>
      </c>
      <c r="I2035" s="957">
        <f>PUCFD!E1691</f>
        <v>0.01</v>
      </c>
    </row>
    <row r="2036" spans="2:10" s="946" customFormat="1" ht="24.95" customHeight="1" x14ac:dyDescent="0.25">
      <c r="B2036" s="963">
        <v>75140</v>
      </c>
      <c r="C2036" s="964">
        <v>333903000000000</v>
      </c>
      <c r="D2036" s="963" t="s">
        <v>6108</v>
      </c>
      <c r="E2036" s="954">
        <v>0</v>
      </c>
      <c r="F2036" s="960">
        <v>20</v>
      </c>
      <c r="G2036" s="963">
        <v>0</v>
      </c>
      <c r="H2036" s="958">
        <v>0</v>
      </c>
      <c r="I2036" s="957">
        <f>PUCFD!E1692</f>
        <v>0.01</v>
      </c>
    </row>
    <row r="2037" spans="2:10" s="946" customFormat="1" ht="30" customHeight="1" x14ac:dyDescent="0.25">
      <c r="B2037" s="993">
        <v>75190</v>
      </c>
      <c r="C2037" s="994">
        <v>333903200000000</v>
      </c>
      <c r="D2037" s="993" t="s">
        <v>6109</v>
      </c>
      <c r="E2037" s="984">
        <v>0</v>
      </c>
      <c r="F2037" s="985">
        <v>20</v>
      </c>
      <c r="G2037" s="993">
        <v>0</v>
      </c>
      <c r="H2037" s="981">
        <v>0</v>
      </c>
      <c r="I2037" s="1015">
        <f>PUCFD!E1693</f>
        <v>0.01</v>
      </c>
      <c r="J2037" s="996"/>
    </row>
    <row r="2038" spans="2:10" s="946" customFormat="1" ht="24.95" customHeight="1" x14ac:dyDescent="0.25">
      <c r="B2038" s="963">
        <v>75220</v>
      </c>
      <c r="C2038" s="964">
        <v>333903300000000</v>
      </c>
      <c r="D2038" s="963" t="s">
        <v>6110</v>
      </c>
      <c r="E2038" s="954">
        <v>0</v>
      </c>
      <c r="F2038" s="960">
        <v>20</v>
      </c>
      <c r="G2038" s="963">
        <v>0</v>
      </c>
      <c r="H2038" s="958">
        <v>0</v>
      </c>
      <c r="I2038" s="957">
        <f>PUCFD!E1694</f>
        <v>0.01</v>
      </c>
    </row>
    <row r="2039" spans="2:10" s="946" customFormat="1" ht="24.95" customHeight="1" x14ac:dyDescent="0.25">
      <c r="B2039" s="963">
        <v>75240</v>
      </c>
      <c r="C2039" s="964">
        <v>333903500000000</v>
      </c>
      <c r="D2039" s="963" t="s">
        <v>6111</v>
      </c>
      <c r="E2039" s="954">
        <v>0</v>
      </c>
      <c r="F2039" s="960">
        <v>20</v>
      </c>
      <c r="G2039" s="963">
        <v>0</v>
      </c>
      <c r="H2039" s="958">
        <v>0</v>
      </c>
      <c r="I2039" s="957">
        <f>PUCFD!E1695</f>
        <v>0.01</v>
      </c>
    </row>
    <row r="2040" spans="2:10" s="946" customFormat="1" ht="24.95" customHeight="1" x14ac:dyDescent="0.25">
      <c r="B2040" s="963">
        <v>75260</v>
      </c>
      <c r="C2040" s="964">
        <v>333903600000000</v>
      </c>
      <c r="D2040" s="963" t="s">
        <v>6112</v>
      </c>
      <c r="E2040" s="954">
        <v>0</v>
      </c>
      <c r="F2040" s="960">
        <v>20</v>
      </c>
      <c r="G2040" s="963">
        <v>0</v>
      </c>
      <c r="H2040" s="958">
        <v>0</v>
      </c>
      <c r="I2040" s="957">
        <f>PUCFD!E1696</f>
        <v>0.01</v>
      </c>
    </row>
    <row r="2041" spans="2:10" s="946" customFormat="1" ht="24.95" customHeight="1" x14ac:dyDescent="0.25">
      <c r="B2041" s="963">
        <v>75280</v>
      </c>
      <c r="C2041" s="964">
        <v>333903900000000</v>
      </c>
      <c r="D2041" s="963" t="s">
        <v>6113</v>
      </c>
      <c r="E2041" s="954">
        <v>0</v>
      </c>
      <c r="F2041" s="960">
        <v>20</v>
      </c>
      <c r="G2041" s="963">
        <v>0</v>
      </c>
      <c r="H2041" s="958">
        <v>0</v>
      </c>
      <c r="I2041" s="957">
        <f>PUCFD!E1697</f>
        <v>0.01</v>
      </c>
    </row>
    <row r="2042" spans="2:10" s="946" customFormat="1" ht="24.95" customHeight="1" x14ac:dyDescent="0.25">
      <c r="B2042" s="963">
        <v>75320</v>
      </c>
      <c r="C2042" s="964">
        <v>333904600000000</v>
      </c>
      <c r="D2042" s="963" t="s">
        <v>6114</v>
      </c>
      <c r="E2042" s="954">
        <v>0</v>
      </c>
      <c r="F2042" s="960">
        <v>20</v>
      </c>
      <c r="G2042" s="963">
        <v>0</v>
      </c>
      <c r="H2042" s="958">
        <v>0</v>
      </c>
      <c r="I2042" s="957">
        <f>PUCFD!E1698</f>
        <v>0.01</v>
      </c>
    </row>
    <row r="2043" spans="2:10" s="946" customFormat="1" ht="24.95" customHeight="1" x14ac:dyDescent="0.25">
      <c r="B2043" s="963">
        <v>75340</v>
      </c>
      <c r="C2043" s="964">
        <v>333904700000000</v>
      </c>
      <c r="D2043" s="963" t="s">
        <v>6115</v>
      </c>
      <c r="E2043" s="954">
        <v>0</v>
      </c>
      <c r="F2043" s="960">
        <v>20</v>
      </c>
      <c r="G2043" s="963">
        <v>0</v>
      </c>
      <c r="H2043" s="958">
        <v>0</v>
      </c>
      <c r="I2043" s="957">
        <f>PUCFD!E1699</f>
        <v>0.01</v>
      </c>
    </row>
    <row r="2044" spans="2:10" s="946" customFormat="1" ht="24.95" customHeight="1" x14ac:dyDescent="0.25">
      <c r="B2044" s="963">
        <v>75380</v>
      </c>
      <c r="C2044" s="964">
        <v>333904900000000</v>
      </c>
      <c r="D2044" s="963" t="s">
        <v>6116</v>
      </c>
      <c r="E2044" s="954">
        <v>0</v>
      </c>
      <c r="F2044" s="960">
        <v>20</v>
      </c>
      <c r="G2044" s="963">
        <v>0</v>
      </c>
      <c r="H2044" s="958">
        <v>0</v>
      </c>
      <c r="I2044" s="957">
        <f>PUCFD!E1700</f>
        <v>0.01</v>
      </c>
    </row>
    <row r="2045" spans="2:10" s="946" customFormat="1" ht="24.95" customHeight="1" x14ac:dyDescent="0.25">
      <c r="B2045" s="963">
        <v>75400</v>
      </c>
      <c r="C2045" s="964">
        <v>333909200000000</v>
      </c>
      <c r="D2045" s="963" t="s">
        <v>6117</v>
      </c>
      <c r="E2045" s="954">
        <v>0</v>
      </c>
      <c r="F2045" s="960">
        <v>20</v>
      </c>
      <c r="G2045" s="963">
        <v>0</v>
      </c>
      <c r="H2045" s="958">
        <v>0</v>
      </c>
      <c r="I2045" s="957">
        <f>PUCFD!E1701</f>
        <v>0.01</v>
      </c>
    </row>
    <row r="2046" spans="2:10" s="946" customFormat="1" ht="24.95" customHeight="1" x14ac:dyDescent="0.25">
      <c r="B2046" s="963">
        <v>75430</v>
      </c>
      <c r="C2046" s="964">
        <v>333909300000000</v>
      </c>
      <c r="D2046" s="963" t="s">
        <v>6118</v>
      </c>
      <c r="E2046" s="954">
        <v>0</v>
      </c>
      <c r="F2046" s="960">
        <v>20</v>
      </c>
      <c r="G2046" s="963">
        <v>0</v>
      </c>
      <c r="H2046" s="958">
        <v>0</v>
      </c>
      <c r="I2046" s="957">
        <f>PUCFD!E1702</f>
        <v>0.01</v>
      </c>
    </row>
    <row r="2047" spans="2:10" s="946" customFormat="1" ht="24.95" customHeight="1" x14ac:dyDescent="0.25">
      <c r="B2047" s="963">
        <v>75460</v>
      </c>
      <c r="C2047" s="964">
        <v>333933000000000</v>
      </c>
      <c r="D2047" s="963" t="s">
        <v>6119</v>
      </c>
      <c r="E2047" s="954">
        <v>0</v>
      </c>
      <c r="F2047" s="960">
        <v>20</v>
      </c>
      <c r="G2047" s="963">
        <v>0</v>
      </c>
      <c r="H2047" s="958">
        <v>0</v>
      </c>
      <c r="I2047" s="957">
        <f>PUCFD!E1703</f>
        <v>0.01</v>
      </c>
    </row>
    <row r="2048" spans="2:10" s="946" customFormat="1" ht="24.95" customHeight="1" x14ac:dyDescent="0.25">
      <c r="B2048" s="963">
        <v>75490</v>
      </c>
      <c r="C2048" s="964">
        <v>344905100000000</v>
      </c>
      <c r="D2048" s="963" t="s">
        <v>6120</v>
      </c>
      <c r="E2048" s="954">
        <v>0</v>
      </c>
      <c r="F2048" s="960">
        <v>20</v>
      </c>
      <c r="G2048" s="963">
        <v>0</v>
      </c>
      <c r="H2048" s="958">
        <v>0</v>
      </c>
      <c r="I2048" s="957">
        <f>PUCFD!E1715</f>
        <v>0.01</v>
      </c>
    </row>
    <row r="2049" spans="1:9" s="946" customFormat="1" ht="24.95" customHeight="1" x14ac:dyDescent="0.25">
      <c r="B2049" s="963">
        <v>75520</v>
      </c>
      <c r="C2049" s="964">
        <v>344905200000000</v>
      </c>
      <c r="D2049" s="963" t="s">
        <v>6121</v>
      </c>
      <c r="E2049" s="954">
        <v>0</v>
      </c>
      <c r="F2049" s="960">
        <v>20</v>
      </c>
      <c r="G2049" s="963">
        <v>0</v>
      </c>
      <c r="H2049" s="958">
        <v>0</v>
      </c>
      <c r="I2049" s="957">
        <f>PUCFD!E1716</f>
        <v>0.01</v>
      </c>
    </row>
    <row r="2050" spans="1:9" ht="15" customHeight="1" x14ac:dyDescent="0.25">
      <c r="A2050" s="958"/>
      <c r="B2050" s="962" t="s">
        <v>3138</v>
      </c>
      <c r="C2050" s="959">
        <v>12</v>
      </c>
      <c r="D2050" s="962" t="s">
        <v>4728</v>
      </c>
      <c r="E2050" s="954"/>
      <c r="F2050" s="960"/>
      <c r="G2050" s="958"/>
      <c r="H2050" s="958"/>
      <c r="I2050" s="961">
        <f>I2051</f>
        <v>0.08</v>
      </c>
    </row>
    <row r="2051" spans="1:9" ht="15" customHeight="1" x14ac:dyDescent="0.25">
      <c r="A2051" s="958"/>
      <c r="B2051" s="962" t="s">
        <v>3139</v>
      </c>
      <c r="C2051" s="959">
        <v>122</v>
      </c>
      <c r="D2051" s="962" t="s">
        <v>3143</v>
      </c>
      <c r="E2051" s="954"/>
      <c r="F2051" s="960"/>
      <c r="G2051" s="958"/>
      <c r="H2051" s="958"/>
      <c r="I2051" s="961">
        <f>I2052</f>
        <v>0.08</v>
      </c>
    </row>
    <row r="2052" spans="1:9" ht="15" customHeight="1" x14ac:dyDescent="0.25">
      <c r="A2052" s="958"/>
      <c r="B2052" s="962" t="s">
        <v>3137</v>
      </c>
      <c r="C2052" s="959">
        <v>6</v>
      </c>
      <c r="D2052" s="962" t="s">
        <v>4729</v>
      </c>
      <c r="E2052" s="954"/>
      <c r="F2052" s="960"/>
      <c r="G2052" s="958"/>
      <c r="H2052" s="958"/>
      <c r="I2052" s="961">
        <f>I2053</f>
        <v>0.08</v>
      </c>
    </row>
    <row r="2053" spans="1:9" s="946" customFormat="1" ht="24.95" customHeight="1" x14ac:dyDescent="0.25">
      <c r="B2053" s="963" t="s">
        <v>2965</v>
      </c>
      <c r="C2053" s="959">
        <v>54</v>
      </c>
      <c r="D2053" s="963" t="s">
        <v>6928</v>
      </c>
      <c r="E2053" s="954">
        <v>0</v>
      </c>
      <c r="F2053" s="960">
        <v>20</v>
      </c>
      <c r="G2053" s="963">
        <v>0</v>
      </c>
      <c r="H2053" s="958">
        <v>0</v>
      </c>
      <c r="I2053" s="957">
        <f>SUM(I2054:I2061)</f>
        <v>0.08</v>
      </c>
    </row>
    <row r="2054" spans="1:9" s="946" customFormat="1" ht="24.95" customHeight="1" x14ac:dyDescent="0.25">
      <c r="B2054" s="973">
        <v>77000</v>
      </c>
      <c r="C2054" s="974">
        <v>333901400000000</v>
      </c>
      <c r="D2054" s="973" t="s">
        <v>6929</v>
      </c>
      <c r="E2054" s="948">
        <v>0</v>
      </c>
      <c r="F2054" s="975">
        <v>20</v>
      </c>
      <c r="G2054" s="973">
        <v>0</v>
      </c>
      <c r="H2054" s="972">
        <v>0</v>
      </c>
      <c r="I2054" s="951">
        <f>PUCFD!E1718</f>
        <v>0.01</v>
      </c>
    </row>
    <row r="2055" spans="1:9" s="946" customFormat="1" ht="24.95" customHeight="1" x14ac:dyDescent="0.25">
      <c r="B2055" s="973">
        <v>77030</v>
      </c>
      <c r="C2055" s="974">
        <v>333903000000000</v>
      </c>
      <c r="D2055" s="973" t="s">
        <v>6930</v>
      </c>
      <c r="E2055" s="948">
        <v>0</v>
      </c>
      <c r="F2055" s="975">
        <v>20</v>
      </c>
      <c r="G2055" s="973">
        <v>0</v>
      </c>
      <c r="H2055" s="972">
        <v>0</v>
      </c>
      <c r="I2055" s="951">
        <f>PUCFD!E1719</f>
        <v>0.01</v>
      </c>
    </row>
    <row r="2056" spans="1:9" s="946" customFormat="1" ht="24.95" customHeight="1" x14ac:dyDescent="0.25">
      <c r="B2056" s="973">
        <v>77060</v>
      </c>
      <c r="C2056" s="974">
        <v>333903300000000</v>
      </c>
      <c r="D2056" s="973" t="s">
        <v>6931</v>
      </c>
      <c r="E2056" s="948">
        <v>0</v>
      </c>
      <c r="F2056" s="975">
        <v>20</v>
      </c>
      <c r="G2056" s="973">
        <v>0</v>
      </c>
      <c r="H2056" s="972">
        <v>0</v>
      </c>
      <c r="I2056" s="951">
        <f>PUCFD!E1720</f>
        <v>0.01</v>
      </c>
    </row>
    <row r="2057" spans="1:9" s="946" customFormat="1" ht="24.95" customHeight="1" x14ac:dyDescent="0.25">
      <c r="B2057" s="973">
        <v>77080</v>
      </c>
      <c r="C2057" s="974">
        <v>333903600000000</v>
      </c>
      <c r="D2057" s="973" t="s">
        <v>6932</v>
      </c>
      <c r="E2057" s="948">
        <v>0</v>
      </c>
      <c r="F2057" s="975">
        <v>20</v>
      </c>
      <c r="G2057" s="973">
        <v>0</v>
      </c>
      <c r="H2057" s="972">
        <v>0</v>
      </c>
      <c r="I2057" s="951">
        <f>PUCFD!E1721</f>
        <v>0.01</v>
      </c>
    </row>
    <row r="2058" spans="1:9" s="946" customFormat="1" ht="24.95" customHeight="1" x14ac:dyDescent="0.25">
      <c r="B2058" s="973">
        <v>77110</v>
      </c>
      <c r="C2058" s="974">
        <v>333903900000000</v>
      </c>
      <c r="D2058" s="973" t="s">
        <v>6933</v>
      </c>
      <c r="E2058" s="948">
        <v>0</v>
      </c>
      <c r="F2058" s="975">
        <v>20</v>
      </c>
      <c r="G2058" s="973">
        <v>0</v>
      </c>
      <c r="H2058" s="972">
        <v>0</v>
      </c>
      <c r="I2058" s="951">
        <f>PUCFD!E1722</f>
        <v>0.01</v>
      </c>
    </row>
    <row r="2059" spans="1:9" s="946" customFormat="1" ht="24.95" customHeight="1" x14ac:dyDescent="0.25">
      <c r="B2059" s="973">
        <v>77140</v>
      </c>
      <c r="C2059" s="974">
        <v>333904700000000</v>
      </c>
      <c r="D2059" s="973" t="s">
        <v>6934</v>
      </c>
      <c r="E2059" s="948">
        <v>0</v>
      </c>
      <c r="F2059" s="975">
        <v>20</v>
      </c>
      <c r="G2059" s="973">
        <v>0</v>
      </c>
      <c r="H2059" s="972">
        <v>0</v>
      </c>
      <c r="I2059" s="951">
        <f>PUCFD!E1723</f>
        <v>0.01</v>
      </c>
    </row>
    <row r="2060" spans="1:9" s="946" customFormat="1" ht="24.95" customHeight="1" x14ac:dyDescent="0.25">
      <c r="B2060" s="973">
        <v>77170</v>
      </c>
      <c r="C2060" s="974">
        <v>344905100000000</v>
      </c>
      <c r="D2060" s="973" t="s">
        <v>6935</v>
      </c>
      <c r="E2060" s="948">
        <v>0</v>
      </c>
      <c r="F2060" s="975">
        <v>20</v>
      </c>
      <c r="G2060" s="973">
        <v>0</v>
      </c>
      <c r="H2060" s="972">
        <v>0</v>
      </c>
      <c r="I2060" s="951">
        <f>PUCFD!E1724</f>
        <v>0.01</v>
      </c>
    </row>
    <row r="2061" spans="1:9" s="946" customFormat="1" ht="24.95" customHeight="1" x14ac:dyDescent="0.25">
      <c r="B2061" s="973">
        <v>77200</v>
      </c>
      <c r="C2061" s="974">
        <v>344905200000000</v>
      </c>
      <c r="D2061" s="973" t="s">
        <v>6936</v>
      </c>
      <c r="E2061" s="948">
        <v>0</v>
      </c>
      <c r="F2061" s="975">
        <v>20</v>
      </c>
      <c r="G2061" s="973">
        <v>0</v>
      </c>
      <c r="H2061" s="972">
        <v>0</v>
      </c>
      <c r="I2061" s="951">
        <f>PUCFD!E1725</f>
        <v>0.01</v>
      </c>
    </row>
    <row r="2062" spans="1:9" s="946" customFormat="1" ht="24.95" customHeight="1" x14ac:dyDescent="0.25">
      <c r="B2062" s="1608" t="s">
        <v>4734</v>
      </c>
      <c r="C2062" s="1608"/>
      <c r="D2062" s="1608"/>
      <c r="E2062" s="1608"/>
      <c r="F2062" s="1608"/>
      <c r="G2062" s="1608"/>
      <c r="H2062" s="1608"/>
      <c r="I2062" s="957">
        <f>I2026+I2012+I1985+I1957+I1930+I1912+I1886+I1865+I1962+I1921+I1971+I1976+I2017+I1875+I2053-0.01</f>
        <v>1715838.0431534788</v>
      </c>
    </row>
    <row r="2063" spans="1:9" s="946" customFormat="1" ht="24.95" customHeight="1" x14ac:dyDescent="0.25">
      <c r="B2063" s="1608" t="s">
        <v>4735</v>
      </c>
      <c r="C2063" s="1608"/>
      <c r="D2063" s="1608"/>
      <c r="E2063" s="1608"/>
      <c r="F2063" s="1608"/>
      <c r="G2063" s="1608"/>
      <c r="H2063" s="1608"/>
      <c r="I2063" s="957">
        <f>I2062</f>
        <v>1715838.0431534788</v>
      </c>
    </row>
    <row r="2064" spans="1:9" s="955" customFormat="1" ht="24.95" customHeight="1" x14ac:dyDescent="0.25">
      <c r="B2064" s="975"/>
      <c r="C2064" s="991"/>
      <c r="D2064" s="1009"/>
      <c r="E2064" s="954" t="s">
        <v>4777</v>
      </c>
      <c r="F2064" s="960"/>
      <c r="G2064" s="960"/>
      <c r="H2064" s="958"/>
      <c r="I2064" s="961"/>
    </row>
    <row r="2065" spans="1:10" ht="24.95" customHeight="1" x14ac:dyDescent="0.25">
      <c r="F2065" s="949">
        <v>1</v>
      </c>
      <c r="G2065" s="945">
        <v>0</v>
      </c>
      <c r="H2065" s="950">
        <v>0</v>
      </c>
      <c r="I2065" s="951">
        <f>SUM(I2028+I1987+I1932+I1888+I1946+I1901)</f>
        <v>212722.80282102391</v>
      </c>
    </row>
    <row r="2066" spans="1:10" ht="24.95" customHeight="1" x14ac:dyDescent="0.25">
      <c r="F2066" s="949">
        <v>20</v>
      </c>
      <c r="G2066" s="945">
        <v>0</v>
      </c>
      <c r="H2066" s="950">
        <v>0</v>
      </c>
      <c r="I2066" s="951">
        <f>I2063-I2065-0.01-I2067+0.02</f>
        <v>1503114.2803324549</v>
      </c>
      <c r="J2066" s="990"/>
    </row>
    <row r="2067" spans="1:10" ht="24.95" customHeight="1" x14ac:dyDescent="0.25">
      <c r="F2067" s="949">
        <v>1036</v>
      </c>
      <c r="G2067" s="945">
        <v>0</v>
      </c>
      <c r="H2067" s="950">
        <v>0</v>
      </c>
      <c r="I2067" s="951">
        <f>I1882</f>
        <v>0.97</v>
      </c>
    </row>
    <row r="2068" spans="1:10" s="946" customFormat="1" ht="24.95" customHeight="1" x14ac:dyDescent="0.25">
      <c r="B2068" s="946" t="s">
        <v>3088</v>
      </c>
      <c r="C2068" s="953" t="s">
        <v>4685</v>
      </c>
      <c r="E2068" s="954"/>
      <c r="F2068" s="955"/>
      <c r="H2068" s="956"/>
      <c r="I2068" s="1013"/>
    </row>
    <row r="2069" spans="1:10" s="946" customFormat="1" ht="24.95" customHeight="1" x14ac:dyDescent="0.25">
      <c r="B2069" s="946" t="s">
        <v>3087</v>
      </c>
      <c r="C2069" s="953" t="s">
        <v>4778</v>
      </c>
      <c r="E2069" s="954"/>
      <c r="F2069" s="955"/>
      <c r="H2069" s="956"/>
      <c r="I2069" s="957"/>
    </row>
    <row r="2070" spans="1:10" s="946" customFormat="1" ht="24.95" customHeight="1" x14ac:dyDescent="0.25">
      <c r="B2070" s="946" t="s">
        <v>3089</v>
      </c>
      <c r="C2070" s="953" t="s">
        <v>3146</v>
      </c>
      <c r="E2070" s="954"/>
      <c r="F2070" s="955"/>
      <c r="H2070" s="956"/>
      <c r="I2070" s="957"/>
    </row>
    <row r="2071" spans="1:10" ht="33.75" customHeight="1" x14ac:dyDescent="0.25">
      <c r="A2071" s="958"/>
      <c r="B2071" s="958" t="s">
        <v>2967</v>
      </c>
      <c r="C2071" s="959" t="s">
        <v>472</v>
      </c>
      <c r="D2071" s="958" t="s">
        <v>2968</v>
      </c>
      <c r="E2071" s="954" t="s">
        <v>3066</v>
      </c>
      <c r="F2071" s="960" t="s">
        <v>1403</v>
      </c>
      <c r="G2071" s="958" t="s">
        <v>2969</v>
      </c>
      <c r="H2071" s="958" t="s">
        <v>3065</v>
      </c>
      <c r="I2071" s="961" t="s">
        <v>2531</v>
      </c>
    </row>
    <row r="2072" spans="1:10" ht="15" customHeight="1" x14ac:dyDescent="0.25">
      <c r="A2072" s="958"/>
      <c r="B2072" s="962" t="s">
        <v>3138</v>
      </c>
      <c r="C2072" s="959">
        <v>12</v>
      </c>
      <c r="D2072" s="962" t="s">
        <v>4728</v>
      </c>
      <c r="E2072" s="954"/>
      <c r="F2072" s="960"/>
      <c r="G2072" s="958"/>
      <c r="H2072" s="958"/>
      <c r="I2072" s="961">
        <f>I2073</f>
        <v>6.0000000000000005E-2</v>
      </c>
    </row>
    <row r="2073" spans="1:10" ht="15" customHeight="1" x14ac:dyDescent="0.25">
      <c r="A2073" s="958"/>
      <c r="B2073" s="962" t="s">
        <v>3139</v>
      </c>
      <c r="C2073" s="959">
        <v>122</v>
      </c>
      <c r="D2073" s="962" t="s">
        <v>3143</v>
      </c>
      <c r="E2073" s="954"/>
      <c r="F2073" s="960"/>
      <c r="G2073" s="958"/>
      <c r="H2073" s="958"/>
      <c r="I2073" s="961">
        <f>I2075</f>
        <v>6.0000000000000005E-2</v>
      </c>
    </row>
    <row r="2074" spans="1:10" ht="15" customHeight="1" x14ac:dyDescent="0.25">
      <c r="A2074" s="958"/>
      <c r="B2074" s="962" t="s">
        <v>3137</v>
      </c>
      <c r="C2074" s="959">
        <v>6</v>
      </c>
      <c r="D2074" s="962" t="s">
        <v>4729</v>
      </c>
      <c r="E2074" s="954"/>
      <c r="F2074" s="960"/>
      <c r="G2074" s="958"/>
      <c r="H2074" s="958"/>
      <c r="I2074" s="961">
        <f>I2075</f>
        <v>6.0000000000000005E-2</v>
      </c>
    </row>
    <row r="2075" spans="1:10" s="946" customFormat="1" ht="24.95" customHeight="1" x14ac:dyDescent="0.25">
      <c r="B2075" s="963" t="s">
        <v>2950</v>
      </c>
      <c r="C2075" s="959" t="s">
        <v>4687</v>
      </c>
      <c r="D2075" s="963" t="s">
        <v>4688</v>
      </c>
      <c r="E2075" s="954"/>
      <c r="F2075" s="955"/>
      <c r="H2075" s="956"/>
      <c r="I2075" s="957">
        <f>SUM(I2076,I2077,I2078,I2079,I2080,I2081)</f>
        <v>6.0000000000000005E-2</v>
      </c>
    </row>
    <row r="2076" spans="1:10" ht="24.95" customHeight="1" x14ac:dyDescent="0.25">
      <c r="A2076" s="972"/>
      <c r="B2076" s="963">
        <v>83000</v>
      </c>
      <c r="C2076" s="964">
        <v>333904700000000</v>
      </c>
      <c r="D2076" s="963" t="s">
        <v>4813</v>
      </c>
      <c r="E2076" s="973"/>
      <c r="F2076" s="960">
        <v>31</v>
      </c>
      <c r="G2076" s="963">
        <v>0</v>
      </c>
      <c r="I2076" s="957">
        <f>PUCFD!E1729</f>
        <v>0.01</v>
      </c>
    </row>
    <row r="2077" spans="1:10" ht="24.95" customHeight="1" x14ac:dyDescent="0.25">
      <c r="A2077" s="972"/>
      <c r="B2077" s="963">
        <v>83050</v>
      </c>
      <c r="C2077" s="964">
        <v>344903000000000</v>
      </c>
      <c r="D2077" s="963" t="s">
        <v>4814</v>
      </c>
      <c r="E2077" s="973"/>
      <c r="F2077" s="960">
        <v>31</v>
      </c>
      <c r="G2077" s="963">
        <v>0</v>
      </c>
      <c r="I2077" s="957">
        <f>PUCFD!E1730</f>
        <v>0.01</v>
      </c>
    </row>
    <row r="2078" spans="1:10" ht="24.95" customHeight="1" x14ac:dyDescent="0.25">
      <c r="A2078" s="972"/>
      <c r="B2078" s="963">
        <v>83100</v>
      </c>
      <c r="C2078" s="964">
        <v>344903600000000</v>
      </c>
      <c r="D2078" s="963" t="s">
        <v>4815</v>
      </c>
      <c r="E2078" s="973"/>
      <c r="F2078" s="960">
        <v>31</v>
      </c>
      <c r="G2078" s="963">
        <v>0</v>
      </c>
      <c r="I2078" s="957">
        <f>PUCFD!E1731</f>
        <v>0.01</v>
      </c>
    </row>
    <row r="2079" spans="1:10" ht="24.95" customHeight="1" x14ac:dyDescent="0.25">
      <c r="A2079" s="972"/>
      <c r="B2079" s="963">
        <v>83150</v>
      </c>
      <c r="C2079" s="964">
        <v>344903900000000</v>
      </c>
      <c r="D2079" s="963" t="s">
        <v>4816</v>
      </c>
      <c r="E2079" s="973"/>
      <c r="F2079" s="960">
        <v>31</v>
      </c>
      <c r="G2079" s="963">
        <v>0</v>
      </c>
      <c r="I2079" s="957">
        <f>PUCFD!E1732</f>
        <v>0.01</v>
      </c>
    </row>
    <row r="2080" spans="1:10" ht="24.95" customHeight="1" x14ac:dyDescent="0.25">
      <c r="A2080" s="972"/>
      <c r="B2080" s="963">
        <v>83200</v>
      </c>
      <c r="C2080" s="964">
        <v>344905100000000</v>
      </c>
      <c r="D2080" s="963" t="s">
        <v>4817</v>
      </c>
      <c r="E2080" s="973"/>
      <c r="F2080" s="960">
        <v>31</v>
      </c>
      <c r="G2080" s="963">
        <v>0</v>
      </c>
      <c r="I2080" s="957">
        <f>PUCFD!E1737</f>
        <v>0.01</v>
      </c>
    </row>
    <row r="2081" spans="1:9" ht="24.95" customHeight="1" x14ac:dyDescent="0.25">
      <c r="A2081" s="972"/>
      <c r="B2081" s="963">
        <v>83250</v>
      </c>
      <c r="C2081" s="964">
        <v>344905200000000</v>
      </c>
      <c r="D2081" s="963" t="s">
        <v>4818</v>
      </c>
      <c r="E2081" s="973"/>
      <c r="F2081" s="960">
        <v>31</v>
      </c>
      <c r="G2081" s="963">
        <v>0</v>
      </c>
      <c r="I2081" s="957">
        <f>PUCFD!E1738</f>
        <v>0.01</v>
      </c>
    </row>
    <row r="2082" spans="1:9" ht="15" customHeight="1" x14ac:dyDescent="0.25">
      <c r="A2082" s="958"/>
      <c r="B2082" s="962" t="s">
        <v>3138</v>
      </c>
      <c r="C2082" s="959">
        <v>12</v>
      </c>
      <c r="D2082" s="962" t="s">
        <v>4728</v>
      </c>
      <c r="E2082" s="954"/>
      <c r="F2082" s="960"/>
      <c r="G2082" s="958"/>
      <c r="H2082" s="958"/>
      <c r="I2082" s="961">
        <f>I2083</f>
        <v>1.02</v>
      </c>
    </row>
    <row r="2083" spans="1:9" ht="15" customHeight="1" x14ac:dyDescent="0.25">
      <c r="A2083" s="958"/>
      <c r="B2083" s="962" t="s">
        <v>3139</v>
      </c>
      <c r="C2083" s="959">
        <v>122</v>
      </c>
      <c r="D2083" s="962" t="s">
        <v>3143</v>
      </c>
      <c r="E2083" s="954"/>
      <c r="F2083" s="960"/>
      <c r="G2083" s="958"/>
      <c r="H2083" s="958"/>
      <c r="I2083" s="961">
        <f>I2085</f>
        <v>1.02</v>
      </c>
    </row>
    <row r="2084" spans="1:9" ht="15" customHeight="1" x14ac:dyDescent="0.25">
      <c r="A2084" s="958"/>
      <c r="B2084" s="962" t="s">
        <v>3137</v>
      </c>
      <c r="C2084" s="959">
        <v>6</v>
      </c>
      <c r="D2084" s="962" t="s">
        <v>4729</v>
      </c>
      <c r="E2084" s="954"/>
      <c r="F2084" s="960"/>
      <c r="G2084" s="958"/>
      <c r="H2084" s="958"/>
      <c r="I2084" s="961">
        <f>I2085</f>
        <v>1.02</v>
      </c>
    </row>
    <row r="2085" spans="1:9" s="946" customFormat="1" ht="24.95" customHeight="1" x14ac:dyDescent="0.25">
      <c r="B2085" s="963" t="s">
        <v>2950</v>
      </c>
      <c r="C2085" s="959">
        <v>5</v>
      </c>
      <c r="D2085" s="963" t="s">
        <v>4688</v>
      </c>
      <c r="E2085" s="954"/>
      <c r="F2085" s="955"/>
      <c r="H2085" s="956"/>
      <c r="I2085" s="957">
        <f>SUM(I2086:I2088)</f>
        <v>1.02</v>
      </c>
    </row>
    <row r="2086" spans="1:9" s="946" customFormat="1" ht="24.95" customHeight="1" x14ac:dyDescent="0.25">
      <c r="A2086" s="958"/>
      <c r="B2086" s="963">
        <v>83300</v>
      </c>
      <c r="C2086" s="964">
        <v>344903900000000</v>
      </c>
      <c r="D2086" s="963" t="s">
        <v>6123</v>
      </c>
      <c r="F2086" s="960">
        <v>31</v>
      </c>
      <c r="G2086" s="963">
        <v>0</v>
      </c>
      <c r="H2086" s="956"/>
      <c r="I2086" s="957">
        <f>PUCFD!E1740</f>
        <v>0.01</v>
      </c>
    </row>
    <row r="2087" spans="1:9" s="946" customFormat="1" ht="24.95" customHeight="1" x14ac:dyDescent="0.25">
      <c r="A2087" s="958"/>
      <c r="B2087" s="963">
        <v>83320</v>
      </c>
      <c r="C2087" s="964">
        <v>344905100000000</v>
      </c>
      <c r="D2087" s="963" t="s">
        <v>6124</v>
      </c>
      <c r="F2087" s="960">
        <v>31</v>
      </c>
      <c r="G2087" s="963">
        <v>0</v>
      </c>
      <c r="H2087" s="956"/>
      <c r="I2087" s="957">
        <v>1</v>
      </c>
    </row>
    <row r="2088" spans="1:9" s="946" customFormat="1" ht="24.95" customHeight="1" x14ac:dyDescent="0.25">
      <c r="A2088" s="958"/>
      <c r="B2088" s="963">
        <v>83340</v>
      </c>
      <c r="C2088" s="964">
        <v>344905200000000</v>
      </c>
      <c r="D2088" s="963" t="s">
        <v>6125</v>
      </c>
      <c r="F2088" s="960">
        <v>31</v>
      </c>
      <c r="G2088" s="963">
        <v>0</v>
      </c>
      <c r="H2088" s="956"/>
      <c r="I2088" s="957">
        <f>PUCFD!E1741</f>
        <v>0.01</v>
      </c>
    </row>
    <row r="2089" spans="1:9" ht="15" customHeight="1" x14ac:dyDescent="0.25">
      <c r="A2089" s="958"/>
      <c r="B2089" s="962" t="s">
        <v>3138</v>
      </c>
      <c r="C2089" s="959">
        <v>12</v>
      </c>
      <c r="D2089" s="962" t="s">
        <v>4728</v>
      </c>
      <c r="E2089" s="954"/>
      <c r="F2089" s="960"/>
      <c r="G2089" s="958"/>
      <c r="H2089" s="958"/>
      <c r="I2089" s="961">
        <f>I2090</f>
        <v>6.0000000000000005E-2</v>
      </c>
    </row>
    <row r="2090" spans="1:9" ht="15" customHeight="1" x14ac:dyDescent="0.25">
      <c r="A2090" s="958"/>
      <c r="B2090" s="962" t="s">
        <v>3139</v>
      </c>
      <c r="C2090" s="959">
        <v>361</v>
      </c>
      <c r="D2090" s="962" t="s">
        <v>4731</v>
      </c>
      <c r="E2090" s="954"/>
      <c r="F2090" s="960"/>
      <c r="G2090" s="958"/>
      <c r="H2090" s="958"/>
      <c r="I2090" s="961">
        <f>I2092</f>
        <v>6.0000000000000005E-2</v>
      </c>
    </row>
    <row r="2091" spans="1:9" ht="15" customHeight="1" x14ac:dyDescent="0.25">
      <c r="A2091" s="958"/>
      <c r="B2091" s="962" t="s">
        <v>3137</v>
      </c>
      <c r="C2091" s="959">
        <v>6</v>
      </c>
      <c r="D2091" s="962" t="s">
        <v>4729</v>
      </c>
      <c r="E2091" s="954"/>
      <c r="F2091" s="960"/>
      <c r="G2091" s="958"/>
      <c r="H2091" s="958"/>
      <c r="I2091" s="961">
        <f>I2092</f>
        <v>6.0000000000000005E-2</v>
      </c>
    </row>
    <row r="2092" spans="1:9" s="946" customFormat="1" ht="24.95" customHeight="1" x14ac:dyDescent="0.25">
      <c r="B2092" s="963" t="s">
        <v>2950</v>
      </c>
      <c r="C2092" s="959" t="s">
        <v>4687</v>
      </c>
      <c r="D2092" s="963" t="s">
        <v>4688</v>
      </c>
      <c r="E2092" s="954"/>
      <c r="F2092" s="955"/>
      <c r="H2092" s="956"/>
      <c r="I2092" s="957">
        <f>SUM(I2093:I2098)</f>
        <v>6.0000000000000005E-2</v>
      </c>
    </row>
    <row r="2093" spans="1:9" s="946" customFormat="1" ht="24.95" customHeight="1" x14ac:dyDescent="0.25">
      <c r="A2093" s="958"/>
      <c r="B2093" s="963">
        <v>83400</v>
      </c>
      <c r="C2093" s="964">
        <v>333904700000000</v>
      </c>
      <c r="D2093" s="963" t="s">
        <v>4779</v>
      </c>
      <c r="F2093" s="960">
        <v>31</v>
      </c>
      <c r="G2093" s="963">
        <v>0</v>
      </c>
      <c r="H2093" s="956"/>
      <c r="I2093" s="957">
        <f>PUCFD!E1743</f>
        <v>0.01</v>
      </c>
    </row>
    <row r="2094" spans="1:9" s="946" customFormat="1" ht="24.95" customHeight="1" x14ac:dyDescent="0.25">
      <c r="A2094" s="958"/>
      <c r="B2094" s="963">
        <v>83420</v>
      </c>
      <c r="C2094" s="964">
        <v>344903000000000</v>
      </c>
      <c r="D2094" s="963" t="s">
        <v>4781</v>
      </c>
      <c r="F2094" s="960">
        <v>31</v>
      </c>
      <c r="G2094" s="963">
        <v>0</v>
      </c>
      <c r="H2094" s="956"/>
      <c r="I2094" s="957">
        <f>PUCFD!E1744</f>
        <v>0.01</v>
      </c>
    </row>
    <row r="2095" spans="1:9" s="946" customFormat="1" ht="24.95" customHeight="1" x14ac:dyDescent="0.25">
      <c r="A2095" s="958"/>
      <c r="B2095" s="963">
        <v>83440</v>
      </c>
      <c r="C2095" s="964">
        <v>344903600000000</v>
      </c>
      <c r="D2095" s="963" t="s">
        <v>4782</v>
      </c>
      <c r="F2095" s="960">
        <v>31</v>
      </c>
      <c r="G2095" s="963">
        <v>0</v>
      </c>
      <c r="H2095" s="956"/>
      <c r="I2095" s="957">
        <f>PUCFD!E1745</f>
        <v>0.01</v>
      </c>
    </row>
    <row r="2096" spans="1:9" s="946" customFormat="1" ht="24.95" customHeight="1" x14ac:dyDescent="0.25">
      <c r="A2096" s="958"/>
      <c r="B2096" s="963">
        <v>83460</v>
      </c>
      <c r="C2096" s="964">
        <v>344903900000000</v>
      </c>
      <c r="D2096" s="963" t="s">
        <v>4784</v>
      </c>
      <c r="F2096" s="960">
        <v>31</v>
      </c>
      <c r="G2096" s="963">
        <v>0</v>
      </c>
      <c r="H2096" s="956"/>
      <c r="I2096" s="957">
        <f>PUCFD!E1746</f>
        <v>0.01</v>
      </c>
    </row>
    <row r="2097" spans="1:9" s="946" customFormat="1" ht="24.95" customHeight="1" x14ac:dyDescent="0.25">
      <c r="A2097" s="958"/>
      <c r="B2097" s="963">
        <v>83480</v>
      </c>
      <c r="C2097" s="964">
        <v>344905100000000</v>
      </c>
      <c r="D2097" s="963" t="s">
        <v>4786</v>
      </c>
      <c r="F2097" s="960">
        <v>31</v>
      </c>
      <c r="G2097" s="963">
        <v>0</v>
      </c>
      <c r="H2097" s="956"/>
      <c r="I2097" s="957">
        <f>PUCFD!E1747</f>
        <v>0.01</v>
      </c>
    </row>
    <row r="2098" spans="1:9" s="946" customFormat="1" ht="24.95" customHeight="1" x14ac:dyDescent="0.25">
      <c r="A2098" s="958"/>
      <c r="B2098" s="963">
        <v>83500</v>
      </c>
      <c r="C2098" s="964">
        <v>344905200000000</v>
      </c>
      <c r="D2098" s="963" t="s">
        <v>4788</v>
      </c>
      <c r="F2098" s="960">
        <v>31</v>
      </c>
      <c r="G2098" s="963">
        <v>0</v>
      </c>
      <c r="H2098" s="956"/>
      <c r="I2098" s="957">
        <f>PUCFD!E1748</f>
        <v>0.01</v>
      </c>
    </row>
    <row r="2099" spans="1:9" ht="15" customHeight="1" x14ac:dyDescent="0.25">
      <c r="A2099" s="958"/>
      <c r="B2099" s="962" t="s">
        <v>3138</v>
      </c>
      <c r="C2099" s="959">
        <v>12</v>
      </c>
      <c r="D2099" s="962" t="s">
        <v>4728</v>
      </c>
      <c r="E2099" s="954"/>
      <c r="F2099" s="960"/>
      <c r="G2099" s="958"/>
      <c r="H2099" s="958"/>
      <c r="I2099" s="961">
        <f>I2100</f>
        <v>6.0000000000000005E-2</v>
      </c>
    </row>
    <row r="2100" spans="1:9" ht="15" customHeight="1" x14ac:dyDescent="0.25">
      <c r="A2100" s="958"/>
      <c r="B2100" s="962" t="s">
        <v>3139</v>
      </c>
      <c r="C2100" s="959">
        <v>365</v>
      </c>
      <c r="D2100" s="962" t="s">
        <v>4732</v>
      </c>
      <c r="E2100" s="954"/>
      <c r="F2100" s="960"/>
      <c r="G2100" s="958"/>
      <c r="H2100" s="958"/>
      <c r="I2100" s="961">
        <f>I2102</f>
        <v>6.0000000000000005E-2</v>
      </c>
    </row>
    <row r="2101" spans="1:9" ht="15" customHeight="1" x14ac:dyDescent="0.25">
      <c r="A2101" s="958"/>
      <c r="B2101" s="962" t="s">
        <v>3137</v>
      </c>
      <c r="C2101" s="959">
        <v>6</v>
      </c>
      <c r="D2101" s="962" t="s">
        <v>4729</v>
      </c>
      <c r="E2101" s="954"/>
      <c r="F2101" s="960"/>
      <c r="G2101" s="958"/>
      <c r="H2101" s="958"/>
      <c r="I2101" s="961">
        <f>I2102</f>
        <v>6.0000000000000005E-2</v>
      </c>
    </row>
    <row r="2102" spans="1:9" s="946" customFormat="1" ht="24.95" customHeight="1" x14ac:dyDescent="0.25">
      <c r="B2102" s="963" t="s">
        <v>2950</v>
      </c>
      <c r="C2102" s="959" t="s">
        <v>4687</v>
      </c>
      <c r="D2102" s="963" t="s">
        <v>4688</v>
      </c>
      <c r="E2102" s="954"/>
      <c r="F2102" s="955"/>
      <c r="H2102" s="956"/>
      <c r="I2102" s="957">
        <f>SUM(I2103:I2108)</f>
        <v>6.0000000000000005E-2</v>
      </c>
    </row>
    <row r="2103" spans="1:9" s="946" customFormat="1" ht="24.95" customHeight="1" x14ac:dyDescent="0.25">
      <c r="A2103" s="958"/>
      <c r="B2103" s="963">
        <v>83700</v>
      </c>
      <c r="C2103" s="964">
        <v>333904700000000</v>
      </c>
      <c r="D2103" s="963" t="s">
        <v>4780</v>
      </c>
      <c r="F2103" s="960">
        <v>31</v>
      </c>
      <c r="G2103" s="963">
        <v>0</v>
      </c>
      <c r="H2103" s="956"/>
      <c r="I2103" s="957">
        <f>PUCFD!E1750</f>
        <v>0.01</v>
      </c>
    </row>
    <row r="2104" spans="1:9" s="946" customFormat="1" ht="24.95" customHeight="1" x14ac:dyDescent="0.25">
      <c r="A2104" s="958"/>
      <c r="B2104" s="963">
        <v>83720</v>
      </c>
      <c r="C2104" s="964">
        <v>344903000000000</v>
      </c>
      <c r="D2104" s="963" t="s">
        <v>6126</v>
      </c>
      <c r="F2104" s="960">
        <v>31</v>
      </c>
      <c r="G2104" s="963">
        <v>0</v>
      </c>
      <c r="H2104" s="956"/>
      <c r="I2104" s="957">
        <f>PUCFD!E1751</f>
        <v>0.01</v>
      </c>
    </row>
    <row r="2105" spans="1:9" s="946" customFormat="1" ht="24.95" customHeight="1" x14ac:dyDescent="0.25">
      <c r="A2105" s="958"/>
      <c r="B2105" s="963">
        <v>83740</v>
      </c>
      <c r="C2105" s="964">
        <v>344903600000000</v>
      </c>
      <c r="D2105" s="963" t="s">
        <v>4783</v>
      </c>
      <c r="F2105" s="960">
        <v>31</v>
      </c>
      <c r="G2105" s="963">
        <v>0</v>
      </c>
      <c r="H2105" s="956"/>
      <c r="I2105" s="957">
        <f>PUCFD!E1752</f>
        <v>0.01</v>
      </c>
    </row>
    <row r="2106" spans="1:9" s="946" customFormat="1" ht="24.95" customHeight="1" x14ac:dyDescent="0.25">
      <c r="A2106" s="958"/>
      <c r="B2106" s="963">
        <v>83760</v>
      </c>
      <c r="C2106" s="964">
        <v>344903900000000</v>
      </c>
      <c r="D2106" s="963" t="s">
        <v>4785</v>
      </c>
      <c r="F2106" s="960">
        <v>31</v>
      </c>
      <c r="G2106" s="963">
        <v>0</v>
      </c>
      <c r="H2106" s="956"/>
      <c r="I2106" s="957">
        <f>PUCFD!E1753</f>
        <v>0.01</v>
      </c>
    </row>
    <row r="2107" spans="1:9" s="946" customFormat="1" ht="24.95" customHeight="1" x14ac:dyDescent="0.25">
      <c r="A2107" s="958"/>
      <c r="B2107" s="963">
        <v>83780</v>
      </c>
      <c r="C2107" s="964">
        <v>344905100000000</v>
      </c>
      <c r="D2107" s="963" t="s">
        <v>4787</v>
      </c>
      <c r="F2107" s="960">
        <v>31</v>
      </c>
      <c r="G2107" s="963">
        <v>0</v>
      </c>
      <c r="H2107" s="956"/>
      <c r="I2107" s="957">
        <f>PUCFD!E1754</f>
        <v>0.01</v>
      </c>
    </row>
    <row r="2108" spans="1:9" s="946" customFormat="1" ht="24.95" customHeight="1" x14ac:dyDescent="0.25">
      <c r="A2108" s="958"/>
      <c r="B2108" s="963">
        <v>83800</v>
      </c>
      <c r="C2108" s="964">
        <v>344905200000000</v>
      </c>
      <c r="D2108" s="963" t="s">
        <v>4789</v>
      </c>
      <c r="F2108" s="960">
        <v>31</v>
      </c>
      <c r="G2108" s="963">
        <v>0</v>
      </c>
      <c r="H2108" s="956"/>
      <c r="I2108" s="957">
        <f>PUCFD!E1755</f>
        <v>0.01</v>
      </c>
    </row>
    <row r="2109" spans="1:9" ht="15" customHeight="1" x14ac:dyDescent="0.25">
      <c r="A2109" s="958"/>
      <c r="B2109" s="962" t="s">
        <v>3138</v>
      </c>
      <c r="C2109" s="959">
        <v>12</v>
      </c>
      <c r="D2109" s="962" t="s">
        <v>4728</v>
      </c>
      <c r="E2109" s="954"/>
      <c r="F2109" s="960"/>
      <c r="G2109" s="958"/>
      <c r="H2109" s="958"/>
      <c r="I2109" s="961">
        <f>I2110</f>
        <v>189423.23097340303</v>
      </c>
    </row>
    <row r="2110" spans="1:9" ht="15" customHeight="1" x14ac:dyDescent="0.25">
      <c r="A2110" s="958"/>
      <c r="B2110" s="962" t="s">
        <v>3139</v>
      </c>
      <c r="C2110" s="959">
        <v>122</v>
      </c>
      <c r="D2110" s="962" t="s">
        <v>3143</v>
      </c>
      <c r="E2110" s="954"/>
      <c r="F2110" s="960"/>
      <c r="G2110" s="958"/>
      <c r="H2110" s="958"/>
      <c r="I2110" s="961">
        <f>I2112</f>
        <v>189423.23097340303</v>
      </c>
    </row>
    <row r="2111" spans="1:9" ht="15" customHeight="1" x14ac:dyDescent="0.25">
      <c r="A2111" s="958"/>
      <c r="B2111" s="962" t="s">
        <v>3137</v>
      </c>
      <c r="C2111" s="959">
        <v>6</v>
      </c>
      <c r="D2111" s="962" t="s">
        <v>4729</v>
      </c>
      <c r="E2111" s="954"/>
      <c r="F2111" s="960"/>
      <c r="G2111" s="958"/>
      <c r="H2111" s="958"/>
      <c r="I2111" s="961">
        <f>I2112</f>
        <v>189423.23097340303</v>
      </c>
    </row>
    <row r="2112" spans="1:9" s="946" customFormat="1" ht="24.95" customHeight="1" x14ac:dyDescent="0.25">
      <c r="A2112" s="958"/>
      <c r="B2112" s="963" t="s">
        <v>2965</v>
      </c>
      <c r="C2112" s="959">
        <v>47</v>
      </c>
      <c r="D2112" s="963" t="s">
        <v>4757</v>
      </c>
      <c r="F2112" s="960"/>
      <c r="G2112" s="963"/>
      <c r="H2112" s="956"/>
      <c r="I2112" s="957">
        <f>SUM(I2113,I2114,I2116,I2117,I2118,I2119,I2120,I2121,I2122,I2123,I2124,I2125,I2126,I2127,I2128,I2131,I2132,I2133,I2134,I2135,I2136,I2137)</f>
        <v>189423.23097340303</v>
      </c>
    </row>
    <row r="2113" spans="1:10" s="946" customFormat="1" ht="24.95" customHeight="1" x14ac:dyDescent="0.25">
      <c r="A2113" s="958"/>
      <c r="B2113" s="963">
        <v>84000</v>
      </c>
      <c r="C2113" s="964">
        <v>331900400000000</v>
      </c>
      <c r="D2113" s="963" t="s">
        <v>6128</v>
      </c>
      <c r="F2113" s="960">
        <v>31</v>
      </c>
      <c r="G2113" s="963">
        <v>0</v>
      </c>
      <c r="H2113" s="956"/>
      <c r="I2113" s="957">
        <f>PUCFD!E1758</f>
        <v>0.01</v>
      </c>
      <c r="J2113" s="1012"/>
    </row>
    <row r="2114" spans="1:10" s="996" customFormat="1" ht="24.95" customHeight="1" x14ac:dyDescent="0.25">
      <c r="A2114" s="981"/>
      <c r="B2114" s="993">
        <v>84020</v>
      </c>
      <c r="C2114" s="994">
        <v>331900800000000</v>
      </c>
      <c r="D2114" s="993" t="s">
        <v>6129</v>
      </c>
      <c r="F2114" s="985">
        <v>1</v>
      </c>
      <c r="G2114" s="993">
        <v>0</v>
      </c>
      <c r="H2114" s="981">
        <v>0</v>
      </c>
      <c r="I2114" s="986">
        <f>PUCFD!E1761</f>
        <v>0.01</v>
      </c>
    </row>
    <row r="2115" spans="1:10" s="996" customFormat="1" ht="24.95" customHeight="1" x14ac:dyDescent="0.25">
      <c r="A2115" s="981"/>
      <c r="B2115" s="969" t="s">
        <v>6127</v>
      </c>
      <c r="C2115" s="997">
        <v>319008990400000</v>
      </c>
      <c r="D2115" s="966" t="s">
        <v>4234</v>
      </c>
      <c r="F2115" s="969">
        <v>1</v>
      </c>
      <c r="G2115" s="966">
        <v>0</v>
      </c>
      <c r="H2115" s="965">
        <v>0</v>
      </c>
      <c r="I2115" s="970">
        <v>0</v>
      </c>
    </row>
    <row r="2116" spans="1:10" s="946" customFormat="1" ht="24.95" customHeight="1" x14ac:dyDescent="0.25">
      <c r="A2116" s="958"/>
      <c r="B2116" s="963">
        <v>84040</v>
      </c>
      <c r="C2116" s="964">
        <v>331901100000000</v>
      </c>
      <c r="D2116" s="963" t="s">
        <v>6130</v>
      </c>
      <c r="F2116" s="960">
        <v>31</v>
      </c>
      <c r="G2116" s="963">
        <v>0</v>
      </c>
      <c r="H2116" s="956"/>
      <c r="I2116" s="957">
        <f>PUCFD!E1763</f>
        <v>0.01</v>
      </c>
    </row>
    <row r="2117" spans="1:10" s="946" customFormat="1" ht="24.95" customHeight="1" x14ac:dyDescent="0.25">
      <c r="A2117" s="958"/>
      <c r="B2117" s="963">
        <v>84080</v>
      </c>
      <c r="C2117" s="964">
        <v>331901300000000</v>
      </c>
      <c r="D2117" s="963" t="s">
        <v>6131</v>
      </c>
      <c r="F2117" s="960">
        <v>31</v>
      </c>
      <c r="G2117" s="963">
        <v>0</v>
      </c>
      <c r="H2117" s="958">
        <v>0</v>
      </c>
      <c r="I2117" s="957">
        <f>PUCFD!E1775</f>
        <v>0.01</v>
      </c>
    </row>
    <row r="2118" spans="1:10" s="946" customFormat="1" ht="24.95" customHeight="1" x14ac:dyDescent="0.25">
      <c r="A2118" s="958"/>
      <c r="B2118" s="963">
        <v>84100</v>
      </c>
      <c r="C2118" s="964">
        <v>331901600000000</v>
      </c>
      <c r="D2118" s="963" t="s">
        <v>6132</v>
      </c>
      <c r="F2118" s="960">
        <v>31</v>
      </c>
      <c r="G2118" s="963">
        <v>0</v>
      </c>
      <c r="H2118" s="958">
        <v>0</v>
      </c>
      <c r="I2118" s="957">
        <f>PUCFD!E1781</f>
        <v>0.01</v>
      </c>
    </row>
    <row r="2119" spans="1:10" s="946" customFormat="1" ht="24.95" customHeight="1" x14ac:dyDescent="0.25">
      <c r="A2119" s="958"/>
      <c r="B2119" s="963">
        <v>84120</v>
      </c>
      <c r="C2119" s="964">
        <v>331903400000000</v>
      </c>
      <c r="D2119" s="963" t="s">
        <v>6133</v>
      </c>
      <c r="F2119" s="960">
        <v>31</v>
      </c>
      <c r="G2119" s="963">
        <v>0</v>
      </c>
      <c r="H2119" s="958">
        <v>0</v>
      </c>
      <c r="I2119" s="957">
        <f>PUCFD!E1784</f>
        <v>0.01</v>
      </c>
    </row>
    <row r="2120" spans="1:10" s="946" customFormat="1" ht="24.95" customHeight="1" x14ac:dyDescent="0.25">
      <c r="A2120" s="958"/>
      <c r="B2120" s="963">
        <v>84140</v>
      </c>
      <c r="C2120" s="964">
        <v>331909400000000</v>
      </c>
      <c r="D2120" s="963" t="s">
        <v>6134</v>
      </c>
      <c r="F2120" s="960">
        <v>31</v>
      </c>
      <c r="G2120" s="963">
        <v>0</v>
      </c>
      <c r="H2120" s="958">
        <v>0</v>
      </c>
      <c r="I2120" s="957">
        <f>PUCFD!E1787+PUCFD!E1788+PUCFD!E1789+PUCFD!E1790</f>
        <v>0</v>
      </c>
    </row>
    <row r="2121" spans="1:10" s="946" customFormat="1" ht="24.95" customHeight="1" x14ac:dyDescent="0.25">
      <c r="A2121" s="958"/>
      <c r="B2121" s="963">
        <v>84160</v>
      </c>
      <c r="C2121" s="964">
        <v>333901400000000</v>
      </c>
      <c r="D2121" s="963" t="s">
        <v>7881</v>
      </c>
      <c r="F2121" s="960">
        <v>31</v>
      </c>
      <c r="G2121" s="963">
        <v>0</v>
      </c>
      <c r="H2121" s="958">
        <v>0</v>
      </c>
      <c r="I2121" s="957">
        <f>PUCFD!E1791</f>
        <v>0.01</v>
      </c>
    </row>
    <row r="2122" spans="1:10" s="946" customFormat="1" ht="24.95" customHeight="1" x14ac:dyDescent="0.25">
      <c r="A2122" s="958"/>
      <c r="B2122" s="963">
        <v>84180</v>
      </c>
      <c r="C2122" s="964">
        <v>333903000000000</v>
      </c>
      <c r="D2122" s="963" t="s">
        <v>7520</v>
      </c>
      <c r="F2122" s="960">
        <v>31</v>
      </c>
      <c r="G2122" s="963">
        <v>0</v>
      </c>
      <c r="H2122" s="958">
        <v>0</v>
      </c>
      <c r="I2122" s="957">
        <f>PUCFD!E1794</f>
        <v>100000</v>
      </c>
    </row>
    <row r="2123" spans="1:10" s="946" customFormat="1" ht="36.75" customHeight="1" x14ac:dyDescent="0.25">
      <c r="A2123" s="958"/>
      <c r="B2123" s="963">
        <v>84220</v>
      </c>
      <c r="C2123" s="964">
        <v>333903200000000</v>
      </c>
      <c r="D2123" s="963" t="s">
        <v>7871</v>
      </c>
      <c r="F2123" s="960">
        <v>31</v>
      </c>
      <c r="G2123" s="963">
        <v>0</v>
      </c>
      <c r="H2123" s="958">
        <v>0</v>
      </c>
      <c r="I2123" s="957">
        <f>PUCFD!E1806</f>
        <v>0.01</v>
      </c>
    </row>
    <row r="2124" spans="1:10" s="946" customFormat="1" ht="24.95" customHeight="1" x14ac:dyDescent="0.25">
      <c r="A2124" s="958"/>
      <c r="B2124" s="963">
        <v>84240</v>
      </c>
      <c r="C2124" s="964">
        <v>333903300000000</v>
      </c>
      <c r="D2124" s="963" t="s">
        <v>7872</v>
      </c>
      <c r="F2124" s="960">
        <v>31</v>
      </c>
      <c r="G2124" s="963">
        <v>0</v>
      </c>
      <c r="H2124" s="958">
        <v>0</v>
      </c>
      <c r="I2124" s="957">
        <f>PUCFD!E1807</f>
        <v>0.01</v>
      </c>
    </row>
    <row r="2125" spans="1:10" s="946" customFormat="1" ht="24.95" customHeight="1" x14ac:dyDescent="0.25">
      <c r="A2125" s="958"/>
      <c r="B2125" s="963">
        <v>84260</v>
      </c>
      <c r="C2125" s="964">
        <v>333903500000000</v>
      </c>
      <c r="D2125" s="963" t="s">
        <v>7873</v>
      </c>
      <c r="F2125" s="960">
        <v>31</v>
      </c>
      <c r="G2125" s="963">
        <v>0</v>
      </c>
      <c r="H2125" s="958">
        <v>0</v>
      </c>
      <c r="I2125" s="957">
        <f>PUCFD!E1808</f>
        <v>0.01</v>
      </c>
    </row>
    <row r="2126" spans="1:10" s="946" customFormat="1" ht="24.95" customHeight="1" x14ac:dyDescent="0.25">
      <c r="A2126" s="958"/>
      <c r="B2126" s="963">
        <v>84280</v>
      </c>
      <c r="C2126" s="964">
        <v>333903600000000</v>
      </c>
      <c r="D2126" s="963" t="s">
        <v>7874</v>
      </c>
      <c r="F2126" s="960">
        <v>31</v>
      </c>
      <c r="G2126" s="963">
        <v>0</v>
      </c>
      <c r="H2126" s="958">
        <v>0</v>
      </c>
      <c r="I2126" s="957">
        <f>PUCFD!E1809</f>
        <v>0.01</v>
      </c>
    </row>
    <row r="2127" spans="1:10" s="946" customFormat="1" ht="24.95" customHeight="1" x14ac:dyDescent="0.25">
      <c r="A2127" s="958"/>
      <c r="B2127" s="963">
        <v>84320</v>
      </c>
      <c r="C2127" s="964">
        <v>333903900000000</v>
      </c>
      <c r="D2127" s="963" t="s">
        <v>7518</v>
      </c>
      <c r="F2127" s="960">
        <v>31</v>
      </c>
      <c r="G2127" s="963">
        <v>0</v>
      </c>
      <c r="H2127" s="958">
        <v>0</v>
      </c>
      <c r="I2127" s="957">
        <f>PUCFD!E1810</f>
        <v>89423.039999999994</v>
      </c>
    </row>
    <row r="2128" spans="1:10" s="996" customFormat="1" ht="24.95" customHeight="1" x14ac:dyDescent="0.25">
      <c r="A2128" s="981"/>
      <c r="B2128" s="993">
        <v>84360</v>
      </c>
      <c r="C2128" s="1014">
        <v>333904600000000</v>
      </c>
      <c r="D2128" s="982" t="s">
        <v>7875</v>
      </c>
      <c r="F2128" s="985">
        <v>31</v>
      </c>
      <c r="G2128" s="993">
        <v>0</v>
      </c>
      <c r="H2128" s="981">
        <v>0</v>
      </c>
      <c r="I2128" s="1015">
        <f>PUCFD!E1815*(1+PUCFD!E$10)*(1+PUCFD!E$16)</f>
        <v>1.0973403E-2</v>
      </c>
    </row>
    <row r="2129" spans="1:9" s="996" customFormat="1" ht="24.95" customHeight="1" x14ac:dyDescent="0.25">
      <c r="A2129" s="981"/>
      <c r="B2129" s="966" t="s">
        <v>6145</v>
      </c>
      <c r="C2129" s="997">
        <v>3339046010000</v>
      </c>
      <c r="D2129" s="1025" t="s">
        <v>5905</v>
      </c>
      <c r="F2129" s="969">
        <v>31</v>
      </c>
      <c r="G2129" s="966">
        <v>0</v>
      </c>
      <c r="H2129" s="965">
        <v>0</v>
      </c>
      <c r="I2129" s="970">
        <v>0</v>
      </c>
    </row>
    <row r="2130" spans="1:9" s="996" customFormat="1" ht="24.95" customHeight="1" x14ac:dyDescent="0.25">
      <c r="A2130" s="981"/>
      <c r="B2130" s="966">
        <v>84350</v>
      </c>
      <c r="C2130" s="1014">
        <v>333904600000000</v>
      </c>
      <c r="D2130" s="982" t="s">
        <v>7875</v>
      </c>
      <c r="F2130" s="969">
        <v>31</v>
      </c>
      <c r="G2130" s="966">
        <v>0</v>
      </c>
      <c r="H2130" s="965">
        <v>0</v>
      </c>
      <c r="I2130" s="970">
        <v>0.01</v>
      </c>
    </row>
    <row r="2131" spans="1:9" s="946" customFormat="1" ht="24.95" customHeight="1" x14ac:dyDescent="0.25">
      <c r="A2131" s="958"/>
      <c r="B2131" s="963">
        <v>84380</v>
      </c>
      <c r="C2131" s="964">
        <v>333904700000000</v>
      </c>
      <c r="D2131" s="963" t="s">
        <v>7876</v>
      </c>
      <c r="F2131" s="960">
        <v>31</v>
      </c>
      <c r="G2131" s="963">
        <v>0</v>
      </c>
      <c r="H2131" s="958">
        <v>0</v>
      </c>
      <c r="I2131" s="957">
        <f>PUCFD!E1820</f>
        <v>0.01</v>
      </c>
    </row>
    <row r="2132" spans="1:9" s="946" customFormat="1" ht="24.95" customHeight="1" x14ac:dyDescent="0.25">
      <c r="A2132" s="958"/>
      <c r="B2132" s="963">
        <v>84400</v>
      </c>
      <c r="C2132" s="964">
        <v>333904900000000</v>
      </c>
      <c r="D2132" s="963" t="s">
        <v>7877</v>
      </c>
      <c r="F2132" s="960">
        <v>31</v>
      </c>
      <c r="G2132" s="963">
        <v>0</v>
      </c>
      <c r="H2132" s="958">
        <v>0</v>
      </c>
      <c r="I2132" s="957">
        <f>PUCFD!E1821</f>
        <v>0.01</v>
      </c>
    </row>
    <row r="2133" spans="1:9" s="946" customFormat="1" ht="24.95" customHeight="1" x14ac:dyDescent="0.25">
      <c r="A2133" s="958"/>
      <c r="B2133" s="963">
        <v>84420</v>
      </c>
      <c r="C2133" s="964">
        <v>333909200000000</v>
      </c>
      <c r="D2133" s="963" t="s">
        <v>7878</v>
      </c>
      <c r="F2133" s="960">
        <v>31</v>
      </c>
      <c r="G2133" s="963">
        <v>0</v>
      </c>
      <c r="H2133" s="958">
        <v>0</v>
      </c>
      <c r="I2133" s="957">
        <f>PUCFD!E1822</f>
        <v>0.01</v>
      </c>
    </row>
    <row r="2134" spans="1:9" s="946" customFormat="1" ht="24.95" customHeight="1" x14ac:dyDescent="0.25">
      <c r="A2134" s="958"/>
      <c r="B2134" s="963">
        <v>84440</v>
      </c>
      <c r="C2134" s="964">
        <v>333909300000000</v>
      </c>
      <c r="D2134" s="963" t="s">
        <v>7879</v>
      </c>
      <c r="F2134" s="960">
        <v>31</v>
      </c>
      <c r="G2134" s="963">
        <v>0</v>
      </c>
      <c r="H2134" s="958">
        <v>0</v>
      </c>
      <c r="I2134" s="957">
        <f>PUCFD!E1823</f>
        <v>0.01</v>
      </c>
    </row>
    <row r="2135" spans="1:9" s="946" customFormat="1" ht="24.95" customHeight="1" x14ac:dyDescent="0.25">
      <c r="A2135" s="958"/>
      <c r="B2135" s="963">
        <v>84460</v>
      </c>
      <c r="C2135" s="964">
        <v>333933000000000</v>
      </c>
      <c r="D2135" s="963" t="s">
        <v>7880</v>
      </c>
      <c r="F2135" s="960">
        <v>31</v>
      </c>
      <c r="G2135" s="963">
        <v>0</v>
      </c>
      <c r="H2135" s="958">
        <v>0</v>
      </c>
      <c r="I2135" s="957">
        <f>PUCFD!E1822</f>
        <v>0.01</v>
      </c>
    </row>
    <row r="2136" spans="1:9" s="946" customFormat="1" ht="24.95" customHeight="1" x14ac:dyDescent="0.25">
      <c r="A2136" s="958"/>
      <c r="B2136" s="963">
        <v>84480</v>
      </c>
      <c r="C2136" s="964">
        <v>344905100000000</v>
      </c>
      <c r="D2136" s="963" t="s">
        <v>7517</v>
      </c>
      <c r="F2136" s="960">
        <v>31</v>
      </c>
      <c r="G2136" s="963">
        <v>0</v>
      </c>
      <c r="H2136" s="958">
        <v>0</v>
      </c>
      <c r="I2136" s="957">
        <f>PUCFD!E1823</f>
        <v>0.01</v>
      </c>
    </row>
    <row r="2137" spans="1:9" s="946" customFormat="1" ht="24.95" customHeight="1" x14ac:dyDescent="0.25">
      <c r="A2137" s="958"/>
      <c r="B2137" s="963">
        <v>84500</v>
      </c>
      <c r="C2137" s="964">
        <v>344905200000000</v>
      </c>
      <c r="D2137" s="963" t="s">
        <v>7516</v>
      </c>
      <c r="F2137" s="960">
        <v>31</v>
      </c>
      <c r="G2137" s="963">
        <v>0</v>
      </c>
      <c r="H2137" s="958">
        <v>0</v>
      </c>
      <c r="I2137" s="957">
        <f>PUCFD!E1824</f>
        <v>0.01</v>
      </c>
    </row>
    <row r="2138" spans="1:9" ht="15" customHeight="1" x14ac:dyDescent="0.25">
      <c r="A2138" s="958"/>
      <c r="B2138" s="962" t="s">
        <v>3138</v>
      </c>
      <c r="C2138" s="959">
        <v>12</v>
      </c>
      <c r="D2138" s="962" t="s">
        <v>4728</v>
      </c>
      <c r="E2138" s="954"/>
      <c r="F2138" s="960"/>
      <c r="G2138" s="958"/>
      <c r="H2138" s="958"/>
      <c r="I2138" s="961">
        <f>I2139</f>
        <v>8001</v>
      </c>
    </row>
    <row r="2139" spans="1:9" ht="15" customHeight="1" x14ac:dyDescent="0.25">
      <c r="A2139" s="958"/>
      <c r="B2139" s="962" t="s">
        <v>3139</v>
      </c>
      <c r="C2139" s="959">
        <v>126</v>
      </c>
      <c r="D2139" s="962" t="s">
        <v>3600</v>
      </c>
      <c r="E2139" s="954"/>
      <c r="F2139" s="960"/>
      <c r="G2139" s="958"/>
      <c r="H2139" s="958"/>
      <c r="I2139" s="961">
        <f>I2141</f>
        <v>8001</v>
      </c>
    </row>
    <row r="2140" spans="1:9" ht="15" customHeight="1" x14ac:dyDescent="0.25">
      <c r="A2140" s="958"/>
      <c r="B2140" s="962" t="s">
        <v>3137</v>
      </c>
      <c r="C2140" s="959">
        <v>6</v>
      </c>
      <c r="D2140" s="962" t="s">
        <v>4729</v>
      </c>
      <c r="E2140" s="954"/>
      <c r="F2140" s="960"/>
      <c r="G2140" s="958"/>
      <c r="H2140" s="958"/>
      <c r="I2140" s="961">
        <f>I2141</f>
        <v>8001</v>
      </c>
    </row>
    <row r="2141" spans="1:9" s="946" customFormat="1" ht="24.95" customHeight="1" x14ac:dyDescent="0.25">
      <c r="A2141" s="958"/>
      <c r="B2141" s="963" t="s">
        <v>2965</v>
      </c>
      <c r="C2141" s="959">
        <v>47</v>
      </c>
      <c r="D2141" s="963" t="s">
        <v>4757</v>
      </c>
      <c r="F2141" s="960"/>
      <c r="G2141" s="963"/>
      <c r="H2141" s="956"/>
      <c r="I2141" s="957">
        <f>I2142</f>
        <v>8001</v>
      </c>
    </row>
    <row r="2142" spans="1:9" s="946" customFormat="1" ht="33.75" customHeight="1" x14ac:dyDescent="0.25">
      <c r="B2142" s="963">
        <v>84600</v>
      </c>
      <c r="C2142" s="964">
        <v>333904000000000</v>
      </c>
      <c r="D2142" s="963" t="s">
        <v>6146</v>
      </c>
      <c r="E2142" s="954"/>
      <c r="F2142" s="960">
        <v>31</v>
      </c>
      <c r="G2142" s="963">
        <v>0</v>
      </c>
      <c r="H2142" s="958">
        <v>0</v>
      </c>
      <c r="I2142" s="957">
        <f>PUCFD!E1829</f>
        <v>8001</v>
      </c>
    </row>
    <row r="2143" spans="1:9" ht="24.95" customHeight="1" x14ac:dyDescent="0.25">
      <c r="A2143" s="958"/>
      <c r="B2143" s="962" t="s">
        <v>3138</v>
      </c>
      <c r="C2143" s="959">
        <v>12</v>
      </c>
      <c r="D2143" s="962" t="s">
        <v>4728</v>
      </c>
      <c r="E2143" s="954"/>
      <c r="F2143" s="960"/>
      <c r="G2143" s="958"/>
      <c r="H2143" s="958"/>
      <c r="I2143" s="961">
        <f>I2144</f>
        <v>0.05</v>
      </c>
    </row>
    <row r="2144" spans="1:9" ht="24.95" customHeight="1" x14ac:dyDescent="0.25">
      <c r="A2144" s="958"/>
      <c r="B2144" s="962" t="s">
        <v>3139</v>
      </c>
      <c r="C2144" s="959">
        <v>128</v>
      </c>
      <c r="D2144" s="962" t="s">
        <v>5104</v>
      </c>
      <c r="E2144" s="954"/>
      <c r="F2144" s="960"/>
      <c r="G2144" s="958"/>
      <c r="H2144" s="958"/>
      <c r="I2144" s="961">
        <f>I2146</f>
        <v>0.05</v>
      </c>
    </row>
    <row r="2145" spans="1:9" ht="24.95" customHeight="1" x14ac:dyDescent="0.25">
      <c r="A2145" s="958"/>
      <c r="B2145" s="962" t="s">
        <v>3137</v>
      </c>
      <c r="C2145" s="959">
        <v>6</v>
      </c>
      <c r="D2145" s="962" t="s">
        <v>4729</v>
      </c>
      <c r="E2145" s="954"/>
      <c r="F2145" s="960"/>
      <c r="G2145" s="958"/>
      <c r="H2145" s="958"/>
      <c r="I2145" s="961">
        <f>I2146</f>
        <v>0.05</v>
      </c>
    </row>
    <row r="2146" spans="1:9" s="946" customFormat="1" ht="24.95" customHeight="1" x14ac:dyDescent="0.25">
      <c r="B2146" s="963" t="s">
        <v>2965</v>
      </c>
      <c r="C2146" s="959">
        <v>47</v>
      </c>
      <c r="D2146" s="963" t="s">
        <v>4757</v>
      </c>
      <c r="E2146" s="954"/>
      <c r="F2146" s="960"/>
      <c r="G2146" s="963"/>
      <c r="H2146" s="958"/>
      <c r="I2146" s="957">
        <f>SUM(I2147:I2151)</f>
        <v>0.05</v>
      </c>
    </row>
    <row r="2147" spans="1:9" s="946" customFormat="1" ht="24.95" customHeight="1" x14ac:dyDescent="0.25">
      <c r="B2147" s="973">
        <v>84700</v>
      </c>
      <c r="C2147" s="974">
        <v>333901400000000</v>
      </c>
      <c r="D2147" s="973" t="s">
        <v>6147</v>
      </c>
      <c r="E2147" s="954"/>
      <c r="F2147" s="949">
        <v>31</v>
      </c>
      <c r="G2147" s="945">
        <v>0</v>
      </c>
      <c r="H2147" s="950">
        <v>0</v>
      </c>
      <c r="I2147" s="951">
        <f>PUCFD!E1836</f>
        <v>0.01</v>
      </c>
    </row>
    <row r="2148" spans="1:9" s="946" customFormat="1" ht="29.25" customHeight="1" x14ac:dyDescent="0.25">
      <c r="B2148" s="973">
        <v>84720</v>
      </c>
      <c r="C2148" s="974">
        <v>333903300000000</v>
      </c>
      <c r="D2148" s="973" t="s">
        <v>6148</v>
      </c>
      <c r="E2148" s="954"/>
      <c r="F2148" s="949">
        <v>31</v>
      </c>
      <c r="G2148" s="945">
        <v>0</v>
      </c>
      <c r="H2148" s="950">
        <v>0</v>
      </c>
      <c r="I2148" s="951">
        <f>PUCFD!E1837</f>
        <v>0.01</v>
      </c>
    </row>
    <row r="2149" spans="1:9" s="946" customFormat="1" ht="36" customHeight="1" x14ac:dyDescent="0.25">
      <c r="B2149" s="973">
        <v>84740</v>
      </c>
      <c r="C2149" s="974">
        <v>333903600000000</v>
      </c>
      <c r="D2149" s="973" t="s">
        <v>6150</v>
      </c>
      <c r="E2149" s="954"/>
      <c r="F2149" s="949">
        <v>31</v>
      </c>
      <c r="G2149" s="945">
        <v>0</v>
      </c>
      <c r="H2149" s="950">
        <v>0</v>
      </c>
      <c r="I2149" s="951">
        <f>PUCFD!E1838</f>
        <v>0.01</v>
      </c>
    </row>
    <row r="2150" spans="1:9" s="946" customFormat="1" ht="24.95" customHeight="1" x14ac:dyDescent="0.25">
      <c r="B2150" s="973">
        <v>84760</v>
      </c>
      <c r="C2150" s="974">
        <v>333903900000000</v>
      </c>
      <c r="D2150" s="973" t="s">
        <v>6149</v>
      </c>
      <c r="E2150" s="954"/>
      <c r="F2150" s="949">
        <v>31</v>
      </c>
      <c r="G2150" s="945">
        <v>0</v>
      </c>
      <c r="H2150" s="950">
        <v>0</v>
      </c>
      <c r="I2150" s="951">
        <f>PUCFD!E1839</f>
        <v>0.01</v>
      </c>
    </row>
    <row r="2151" spans="1:9" s="946" customFormat="1" ht="24.95" customHeight="1" x14ac:dyDescent="0.25">
      <c r="B2151" s="973">
        <v>84780</v>
      </c>
      <c r="C2151" s="974">
        <v>333904700000000</v>
      </c>
      <c r="D2151" s="973" t="s">
        <v>6151</v>
      </c>
      <c r="E2151" s="954"/>
      <c r="F2151" s="949">
        <v>31</v>
      </c>
      <c r="G2151" s="945">
        <v>0</v>
      </c>
      <c r="H2151" s="950">
        <v>0</v>
      </c>
      <c r="I2151" s="951">
        <f>PUCFD!E1840</f>
        <v>0.01</v>
      </c>
    </row>
    <row r="2152" spans="1:9" ht="24.95" customHeight="1" x14ac:dyDescent="0.25">
      <c r="A2152" s="958"/>
      <c r="B2152" s="962" t="s">
        <v>3138</v>
      </c>
      <c r="C2152" s="959">
        <v>12</v>
      </c>
      <c r="D2152" s="962" t="s">
        <v>4728</v>
      </c>
      <c r="E2152" s="954"/>
      <c r="F2152" s="960"/>
      <c r="G2152" s="958"/>
      <c r="H2152" s="958"/>
      <c r="I2152" s="961">
        <f>I2153</f>
        <v>8000</v>
      </c>
    </row>
    <row r="2153" spans="1:9" ht="24.95" customHeight="1" x14ac:dyDescent="0.25">
      <c r="A2153" s="958"/>
      <c r="B2153" s="962" t="s">
        <v>3139</v>
      </c>
      <c r="C2153" s="959">
        <v>126</v>
      </c>
      <c r="D2153" s="962" t="s">
        <v>3600</v>
      </c>
      <c r="E2153" s="954"/>
      <c r="F2153" s="960"/>
      <c r="G2153" s="958"/>
      <c r="H2153" s="958"/>
      <c r="I2153" s="961">
        <f>I2154</f>
        <v>8000</v>
      </c>
    </row>
    <row r="2154" spans="1:9" ht="15" customHeight="1" x14ac:dyDescent="0.25">
      <c r="A2154" s="958"/>
      <c r="B2154" s="962" t="s">
        <v>3137</v>
      </c>
      <c r="C2154" s="959">
        <v>6</v>
      </c>
      <c r="D2154" s="962" t="s">
        <v>4729</v>
      </c>
      <c r="E2154" s="954"/>
      <c r="F2154" s="960"/>
      <c r="G2154" s="958"/>
      <c r="H2154" s="958"/>
      <c r="I2154" s="961">
        <f>I2155</f>
        <v>8000</v>
      </c>
    </row>
    <row r="2155" spans="1:9" s="946" customFormat="1" ht="24.95" customHeight="1" x14ac:dyDescent="0.25">
      <c r="A2155" s="958"/>
      <c r="B2155" s="963" t="s">
        <v>2965</v>
      </c>
      <c r="C2155" s="959">
        <v>6</v>
      </c>
      <c r="D2155" s="963" t="s">
        <v>4713</v>
      </c>
      <c r="F2155" s="960"/>
      <c r="G2155" s="963"/>
      <c r="H2155" s="956"/>
      <c r="I2155" s="957">
        <f>I2156</f>
        <v>8000</v>
      </c>
    </row>
    <row r="2156" spans="1:9" ht="33.75" customHeight="1" x14ac:dyDescent="0.25">
      <c r="B2156" s="973">
        <v>84900</v>
      </c>
      <c r="C2156" s="974">
        <v>333904000000000</v>
      </c>
      <c r="D2156" s="973" t="s">
        <v>6152</v>
      </c>
      <c r="F2156" s="975">
        <v>31</v>
      </c>
      <c r="G2156" s="973">
        <v>0</v>
      </c>
      <c r="H2156" s="972">
        <v>0</v>
      </c>
      <c r="I2156" s="951">
        <f>SUM(PUCFD!E1844:'PUCFD'!E1847)</f>
        <v>8000</v>
      </c>
    </row>
    <row r="2157" spans="1:9" ht="24.95" customHeight="1" x14ac:dyDescent="0.25">
      <c r="A2157" s="958"/>
      <c r="B2157" s="962" t="s">
        <v>3138</v>
      </c>
      <c r="C2157" s="959">
        <v>12</v>
      </c>
      <c r="D2157" s="962" t="s">
        <v>4728</v>
      </c>
      <c r="E2157" s="954"/>
      <c r="F2157" s="960"/>
      <c r="G2157" s="958"/>
      <c r="H2157" s="958"/>
      <c r="I2157" s="961">
        <f>I2158</f>
        <v>0.05</v>
      </c>
    </row>
    <row r="2158" spans="1:9" ht="24.95" customHeight="1" x14ac:dyDescent="0.25">
      <c r="A2158" s="958"/>
      <c r="B2158" s="962" t="s">
        <v>3139</v>
      </c>
      <c r="C2158" s="959">
        <v>128</v>
      </c>
      <c r="D2158" s="962" t="s">
        <v>5104</v>
      </c>
      <c r="E2158" s="954"/>
      <c r="F2158" s="960"/>
      <c r="G2158" s="958"/>
      <c r="H2158" s="958"/>
      <c r="I2158" s="961">
        <f>I2160</f>
        <v>0.05</v>
      </c>
    </row>
    <row r="2159" spans="1:9" ht="24.95" customHeight="1" x14ac:dyDescent="0.25">
      <c r="A2159" s="958"/>
      <c r="B2159" s="962" t="s">
        <v>3137</v>
      </c>
      <c r="C2159" s="959">
        <v>6</v>
      </c>
      <c r="D2159" s="962" t="s">
        <v>4729</v>
      </c>
      <c r="E2159" s="954"/>
      <c r="F2159" s="960"/>
      <c r="G2159" s="958"/>
      <c r="H2159" s="958"/>
      <c r="I2159" s="961">
        <f>I2160</f>
        <v>0.05</v>
      </c>
    </row>
    <row r="2160" spans="1:9" s="946" customFormat="1" ht="24.95" customHeight="1" x14ac:dyDescent="0.25">
      <c r="B2160" s="963" t="s">
        <v>2965</v>
      </c>
      <c r="C2160" s="959">
        <v>6</v>
      </c>
      <c r="D2160" s="963" t="s">
        <v>4713</v>
      </c>
      <c r="E2160" s="954"/>
      <c r="F2160" s="960"/>
      <c r="G2160" s="963"/>
      <c r="H2160" s="958"/>
      <c r="I2160" s="957">
        <f>SUM(I2161:I2165)</f>
        <v>0.05</v>
      </c>
    </row>
    <row r="2161" spans="1:10" s="946" customFormat="1" ht="24.95" customHeight="1" x14ac:dyDescent="0.25">
      <c r="B2161" s="973">
        <v>85000</v>
      </c>
      <c r="C2161" s="974">
        <v>333901400000000</v>
      </c>
      <c r="D2161" s="973" t="s">
        <v>6153</v>
      </c>
      <c r="E2161" s="954"/>
      <c r="F2161" s="949">
        <v>31</v>
      </c>
      <c r="G2161" s="945">
        <v>0</v>
      </c>
      <c r="H2161" s="950">
        <v>0</v>
      </c>
      <c r="I2161" s="951">
        <f>PUCFD!E1849</f>
        <v>0.01</v>
      </c>
    </row>
    <row r="2162" spans="1:10" s="946" customFormat="1" ht="33" customHeight="1" x14ac:dyDescent="0.25">
      <c r="B2162" s="973">
        <v>85020</v>
      </c>
      <c r="C2162" s="974">
        <v>333903300000000</v>
      </c>
      <c r="D2162" s="973" t="s">
        <v>6154</v>
      </c>
      <c r="E2162" s="954"/>
      <c r="F2162" s="949">
        <v>31</v>
      </c>
      <c r="G2162" s="945">
        <v>0</v>
      </c>
      <c r="H2162" s="950">
        <v>0</v>
      </c>
      <c r="I2162" s="951">
        <f>PUCFD!E1850</f>
        <v>0.01</v>
      </c>
    </row>
    <row r="2163" spans="1:10" s="946" customFormat="1" ht="24.95" customHeight="1" x14ac:dyDescent="0.25">
      <c r="B2163" s="973">
        <v>85040</v>
      </c>
      <c r="C2163" s="974">
        <v>333903600000000</v>
      </c>
      <c r="D2163" s="973" t="s">
        <v>6155</v>
      </c>
      <c r="E2163" s="954"/>
      <c r="F2163" s="949">
        <v>31</v>
      </c>
      <c r="G2163" s="945">
        <v>0</v>
      </c>
      <c r="H2163" s="950">
        <v>0</v>
      </c>
      <c r="I2163" s="951">
        <f>PUCFD!E1850</f>
        <v>0.01</v>
      </c>
    </row>
    <row r="2164" spans="1:10" s="946" customFormat="1" ht="24.95" customHeight="1" x14ac:dyDescent="0.25">
      <c r="B2164" s="973">
        <v>85060</v>
      </c>
      <c r="C2164" s="974">
        <v>333903900000000</v>
      </c>
      <c r="D2164" s="973" t="s">
        <v>6156</v>
      </c>
      <c r="E2164" s="954"/>
      <c r="F2164" s="949">
        <v>31</v>
      </c>
      <c r="G2164" s="945">
        <v>0</v>
      </c>
      <c r="H2164" s="950">
        <v>0</v>
      </c>
      <c r="I2164" s="951">
        <f>PUCFD!E1851</f>
        <v>0.01</v>
      </c>
    </row>
    <row r="2165" spans="1:10" s="946" customFormat="1" ht="36.75" customHeight="1" x14ac:dyDescent="0.25">
      <c r="B2165" s="973">
        <v>85080</v>
      </c>
      <c r="C2165" s="974">
        <v>333903900000000</v>
      </c>
      <c r="D2165" s="973" t="s">
        <v>6157</v>
      </c>
      <c r="E2165" s="954"/>
      <c r="F2165" s="949">
        <v>31</v>
      </c>
      <c r="G2165" s="945">
        <v>0</v>
      </c>
      <c r="H2165" s="950">
        <v>0</v>
      </c>
      <c r="I2165" s="951">
        <f>PUCFD!E1852</f>
        <v>0.01</v>
      </c>
    </row>
    <row r="2166" spans="1:10" ht="15" customHeight="1" x14ac:dyDescent="0.25">
      <c r="A2166" s="958"/>
      <c r="B2166" s="962" t="s">
        <v>3138</v>
      </c>
      <c r="C2166" s="959">
        <v>12</v>
      </c>
      <c r="D2166" s="962" t="s">
        <v>4728</v>
      </c>
      <c r="E2166" s="954"/>
      <c r="F2166" s="960"/>
      <c r="G2166" s="958"/>
      <c r="H2166" s="958"/>
      <c r="I2166" s="961">
        <f>I2167</f>
        <v>2649620.0934469053</v>
      </c>
    </row>
    <row r="2167" spans="1:10" ht="15" customHeight="1" x14ac:dyDescent="0.25">
      <c r="A2167" s="958"/>
      <c r="B2167" s="962" t="s">
        <v>3139</v>
      </c>
      <c r="C2167" s="959">
        <v>361</v>
      </c>
      <c r="D2167" s="962" t="s">
        <v>4731</v>
      </c>
      <c r="E2167" s="954"/>
      <c r="F2167" s="960"/>
      <c r="G2167" s="958"/>
      <c r="H2167" s="958"/>
      <c r="I2167" s="961">
        <f>I2169</f>
        <v>2649620.0934469053</v>
      </c>
    </row>
    <row r="2168" spans="1:10" ht="15" customHeight="1" x14ac:dyDescent="0.25">
      <c r="A2168" s="958"/>
      <c r="B2168" s="962" t="s">
        <v>3137</v>
      </c>
      <c r="C2168" s="959">
        <v>6</v>
      </c>
      <c r="D2168" s="962" t="s">
        <v>4729</v>
      </c>
      <c r="E2168" s="954"/>
      <c r="F2168" s="960"/>
      <c r="G2168" s="958"/>
      <c r="H2168" s="958"/>
      <c r="I2168" s="961">
        <f>I2169</f>
        <v>2649620.0934469053</v>
      </c>
    </row>
    <row r="2169" spans="1:10" s="946" customFormat="1" ht="24.95" customHeight="1" x14ac:dyDescent="0.25">
      <c r="A2169" s="958"/>
      <c r="B2169" s="963" t="s">
        <v>2965</v>
      </c>
      <c r="C2169" s="959">
        <v>6</v>
      </c>
      <c r="D2169" s="963" t="s">
        <v>4713</v>
      </c>
      <c r="F2169" s="960"/>
      <c r="G2169" s="963"/>
      <c r="H2169" s="956"/>
      <c r="I2169" s="957">
        <f>SUM(I2170,I2171,I2173,I2174,I2175,I2176,I2177,I2178,I2179,I2180,I2182,I2183,I2184,I2185,I2187,I2188,I2190,I2189,I2191,I2192,I2193,I2194,I2181)</f>
        <v>2649620.0934469053</v>
      </c>
    </row>
    <row r="2170" spans="1:10" s="946" customFormat="1" ht="24.95" customHeight="1" x14ac:dyDescent="0.25">
      <c r="A2170" s="958"/>
      <c r="B2170" s="963">
        <v>86000</v>
      </c>
      <c r="C2170" s="964">
        <v>331900400000000</v>
      </c>
      <c r="D2170" s="963" t="s">
        <v>6159</v>
      </c>
      <c r="F2170" s="960">
        <v>31</v>
      </c>
      <c r="G2170" s="963">
        <v>0</v>
      </c>
      <c r="H2170" s="956"/>
      <c r="I2170" s="957">
        <f>SUM(PUCFD!E1855+PUCFD!E1856)</f>
        <v>150244.23607403692</v>
      </c>
    </row>
    <row r="2171" spans="1:10" s="996" customFormat="1" ht="24.95" customHeight="1" x14ac:dyDescent="0.25">
      <c r="A2171" s="981"/>
      <c r="B2171" s="993">
        <v>86020</v>
      </c>
      <c r="C2171" s="994">
        <v>331900800000000</v>
      </c>
      <c r="D2171" s="993" t="s">
        <v>6160</v>
      </c>
      <c r="F2171" s="985">
        <v>1</v>
      </c>
      <c r="G2171" s="993">
        <v>0</v>
      </c>
      <c r="H2171" s="981">
        <v>0</v>
      </c>
      <c r="I2171" s="986">
        <f>(I2173+I2175+I2176+I2177)*PUCFD!E94*(1+PUCFD!E$87)</f>
        <v>201562.32453917695</v>
      </c>
    </row>
    <row r="2172" spans="1:10" s="996" customFormat="1" ht="24.95" customHeight="1" x14ac:dyDescent="0.25">
      <c r="A2172" s="981"/>
      <c r="B2172" s="966" t="s">
        <v>6158</v>
      </c>
      <c r="C2172" s="997">
        <v>319008990400000</v>
      </c>
      <c r="D2172" s="966" t="s">
        <v>4234</v>
      </c>
      <c r="F2172" s="969">
        <v>1</v>
      </c>
      <c r="G2172" s="966">
        <v>0</v>
      </c>
      <c r="H2172" s="965">
        <v>0</v>
      </c>
      <c r="I2172" s="970">
        <v>0</v>
      </c>
    </row>
    <row r="2173" spans="1:10" s="946" customFormat="1" ht="24.95" customHeight="1" x14ac:dyDescent="0.25">
      <c r="A2173" s="958"/>
      <c r="B2173" s="963">
        <v>86040</v>
      </c>
      <c r="C2173" s="964">
        <v>331901100000000</v>
      </c>
      <c r="D2173" s="963" t="s">
        <v>6161</v>
      </c>
      <c r="F2173" s="960">
        <v>31</v>
      </c>
      <c r="G2173" s="963">
        <v>0</v>
      </c>
      <c r="H2173" s="956"/>
      <c r="I2173" s="957">
        <f>SUM(PUCFD!E1858:E1868)*(1+PUCFD!E$87)</f>
        <v>1663485.9038188017</v>
      </c>
      <c r="J2173" s="1012"/>
    </row>
    <row r="2174" spans="1:10" s="946" customFormat="1" ht="24.95" customHeight="1" x14ac:dyDescent="0.25">
      <c r="A2174" s="958"/>
      <c r="B2174" s="963">
        <v>86080</v>
      </c>
      <c r="C2174" s="964">
        <v>331901300000000</v>
      </c>
      <c r="D2174" s="963" t="s">
        <v>6162</v>
      </c>
      <c r="F2174" s="960">
        <v>31</v>
      </c>
      <c r="G2174" s="963">
        <v>0</v>
      </c>
      <c r="H2174" s="956"/>
      <c r="I2174" s="957">
        <f>SUM(I2173+I2175+I2176)*PUCFD!E$92</f>
        <v>349332.04400194838</v>
      </c>
    </row>
    <row r="2175" spans="1:10" s="946" customFormat="1" ht="24.95" customHeight="1" x14ac:dyDescent="0.25">
      <c r="A2175" s="958"/>
      <c r="B2175" s="963">
        <v>86100</v>
      </c>
      <c r="C2175" s="964">
        <v>331901600000000</v>
      </c>
      <c r="D2175" s="963" t="s">
        <v>6163</v>
      </c>
      <c r="F2175" s="960">
        <v>31</v>
      </c>
      <c r="G2175" s="963">
        <v>0</v>
      </c>
      <c r="H2175" s="956"/>
      <c r="I2175" s="957">
        <f>PUCFD!E1872*(1)</f>
        <v>0.01</v>
      </c>
    </row>
    <row r="2176" spans="1:10" s="946" customFormat="1" ht="24.95" customHeight="1" x14ac:dyDescent="0.25">
      <c r="A2176" s="958"/>
      <c r="B2176" s="963">
        <v>86120</v>
      </c>
      <c r="C2176" s="964">
        <v>331903400000000</v>
      </c>
      <c r="D2176" s="963" t="s">
        <v>6164</v>
      </c>
      <c r="F2176" s="960">
        <v>31</v>
      </c>
      <c r="G2176" s="963">
        <v>0</v>
      </c>
      <c r="H2176" s="956"/>
      <c r="I2176" s="957">
        <f>PUCFD!E1873*(1)</f>
        <v>0.01</v>
      </c>
    </row>
    <row r="2177" spans="1:10" s="946" customFormat="1" ht="24.95" customHeight="1" x14ac:dyDescent="0.25">
      <c r="A2177" s="958"/>
      <c r="B2177" s="963">
        <v>86140</v>
      </c>
      <c r="C2177" s="964">
        <v>331909400000000</v>
      </c>
      <c r="D2177" s="963" t="s">
        <v>6165</v>
      </c>
      <c r="F2177" s="960">
        <v>31</v>
      </c>
      <c r="G2177" s="963">
        <v>0</v>
      </c>
      <c r="H2177" s="956"/>
      <c r="I2177" s="957">
        <f>SUM(PUCFD!E1875:E1878)</f>
        <v>0.04</v>
      </c>
    </row>
    <row r="2178" spans="1:10" s="946" customFormat="1" ht="24.95" customHeight="1" x14ac:dyDescent="0.25">
      <c r="A2178" s="958"/>
      <c r="B2178" s="963">
        <v>86160</v>
      </c>
      <c r="C2178" s="964">
        <v>333901400000000</v>
      </c>
      <c r="D2178" s="963" t="s">
        <v>6166</v>
      </c>
      <c r="F2178" s="960">
        <v>31</v>
      </c>
      <c r="G2178" s="963">
        <v>0</v>
      </c>
      <c r="H2178" s="956"/>
      <c r="I2178" s="957">
        <f>PUCFD!E1880*(1+PUCFD!E$87)</f>
        <v>1574.9822648794523</v>
      </c>
    </row>
    <row r="2179" spans="1:10" s="946" customFormat="1" ht="24.95" customHeight="1" x14ac:dyDescent="0.25">
      <c r="A2179" s="958"/>
      <c r="B2179" s="963">
        <v>86180</v>
      </c>
      <c r="C2179" s="964">
        <v>333903000000000</v>
      </c>
      <c r="D2179" s="963" t="s">
        <v>6167</v>
      </c>
      <c r="F2179" s="960">
        <v>31</v>
      </c>
      <c r="G2179" s="963">
        <v>0</v>
      </c>
      <c r="H2179" s="956"/>
      <c r="I2179" s="957">
        <f>PUCFD!E1881-9000</f>
        <v>1000</v>
      </c>
    </row>
    <row r="2180" spans="1:10" s="946" customFormat="1" ht="24.95" customHeight="1" x14ac:dyDescent="0.25">
      <c r="A2180" s="958"/>
      <c r="B2180" s="963">
        <v>86200</v>
      </c>
      <c r="C2180" s="964">
        <v>333903200000000</v>
      </c>
      <c r="D2180" s="963" t="s">
        <v>6168</v>
      </c>
      <c r="F2180" s="960">
        <v>31</v>
      </c>
      <c r="G2180" s="963">
        <v>0</v>
      </c>
      <c r="H2180" s="956"/>
      <c r="I2180" s="957">
        <f>SUM(PUCFD!E1883:'PUCFD'!E1884)*(1+PUCFD!E$10)*(1+PUCFD!E$16)</f>
        <v>0</v>
      </c>
    </row>
    <row r="2181" spans="1:10" s="946" customFormat="1" ht="24.95" customHeight="1" x14ac:dyDescent="0.25">
      <c r="A2181" s="958"/>
      <c r="B2181" s="963">
        <v>86220</v>
      </c>
      <c r="C2181" s="964">
        <v>333903300000000</v>
      </c>
      <c r="D2181" s="963" t="s">
        <v>6169</v>
      </c>
      <c r="F2181" s="960">
        <v>31</v>
      </c>
      <c r="G2181" s="963">
        <v>0</v>
      </c>
      <c r="H2181" s="956"/>
      <c r="I2181" s="957">
        <f>SUM(PUCFD!E1886:'PUCFD'!E1887)*(1+PUCFD!E$10)*(1+PUCFD!E$16)</f>
        <v>2.1946805999999999E-2</v>
      </c>
    </row>
    <row r="2182" spans="1:10" s="946" customFormat="1" ht="24.95" customHeight="1" x14ac:dyDescent="0.25">
      <c r="A2182" s="958"/>
      <c r="B2182" s="963">
        <v>86240</v>
      </c>
      <c r="C2182" s="964">
        <v>333903500000000</v>
      </c>
      <c r="D2182" s="963" t="s">
        <v>6170</v>
      </c>
      <c r="F2182" s="960">
        <v>31</v>
      </c>
      <c r="G2182" s="963">
        <v>0</v>
      </c>
      <c r="H2182" s="956"/>
      <c r="I2182" s="957">
        <f>(PUCFD!E1888*(1+PUCFD!E$10))*(1+PUCFD!E$16)</f>
        <v>1.0973403E-2</v>
      </c>
    </row>
    <row r="2183" spans="1:10" s="946" customFormat="1" ht="24.95" customHeight="1" x14ac:dyDescent="0.25">
      <c r="A2183" s="958"/>
      <c r="B2183" s="963">
        <v>86260</v>
      </c>
      <c r="C2183" s="964">
        <v>333903600000000</v>
      </c>
      <c r="D2183" s="963" t="s">
        <v>6171</v>
      </c>
      <c r="F2183" s="960">
        <v>31</v>
      </c>
      <c r="G2183" s="963">
        <v>0</v>
      </c>
      <c r="H2183" s="956"/>
      <c r="I2183" s="957">
        <f>(PUCFD!E1890*(1+PUCFD!E$10))*(1+PUCFD!E$16)</f>
        <v>1.0973403E-2</v>
      </c>
    </row>
    <row r="2184" spans="1:10" s="946" customFormat="1" ht="24.95" customHeight="1" x14ac:dyDescent="0.25">
      <c r="A2184" s="958"/>
      <c r="B2184" s="963">
        <v>86280</v>
      </c>
      <c r="C2184" s="964">
        <v>333903900000000</v>
      </c>
      <c r="D2184" s="963" t="s">
        <v>6172</v>
      </c>
      <c r="F2184" s="960">
        <v>31</v>
      </c>
      <c r="G2184" s="963">
        <v>0</v>
      </c>
      <c r="H2184" s="956"/>
      <c r="I2184" s="957">
        <f>PUCFD!E1891-4000</f>
        <v>1000</v>
      </c>
    </row>
    <row r="2185" spans="1:10" s="996" customFormat="1" ht="24.95" customHeight="1" x14ac:dyDescent="0.25">
      <c r="A2185" s="981"/>
      <c r="B2185" s="993">
        <v>86320</v>
      </c>
      <c r="C2185" s="994">
        <v>333904600000000</v>
      </c>
      <c r="D2185" s="993" t="s">
        <v>6173</v>
      </c>
      <c r="F2185" s="985">
        <v>31</v>
      </c>
      <c r="G2185" s="993">
        <v>0</v>
      </c>
      <c r="H2185" s="995"/>
      <c r="I2185" s="1015">
        <f>(PUCFD!E1892*(1+PUCFD!E$10))*(1+PUCFD!E$16)</f>
        <v>135042.63128297549</v>
      </c>
    </row>
    <row r="2186" spans="1:10" s="996" customFormat="1" ht="24.95" customHeight="1" x14ac:dyDescent="0.25">
      <c r="A2186" s="981"/>
      <c r="B2186" s="993">
        <v>86330</v>
      </c>
      <c r="C2186" s="994">
        <v>333904600000000</v>
      </c>
      <c r="D2186" s="993" t="s">
        <v>6173</v>
      </c>
      <c r="F2186" s="985">
        <v>1</v>
      </c>
      <c r="G2186" s="993">
        <v>0</v>
      </c>
      <c r="H2186" s="995"/>
      <c r="I2186" s="1015">
        <v>0.01</v>
      </c>
    </row>
    <row r="2187" spans="1:10" s="946" customFormat="1" ht="24.95" customHeight="1" x14ac:dyDescent="0.25">
      <c r="A2187" s="958"/>
      <c r="B2187" s="963">
        <v>86340</v>
      </c>
      <c r="C2187" s="964">
        <v>333904700000000</v>
      </c>
      <c r="D2187" s="963" t="s">
        <v>6174</v>
      </c>
      <c r="F2187" s="960">
        <v>31</v>
      </c>
      <c r="G2187" s="963">
        <v>0</v>
      </c>
      <c r="H2187" s="956"/>
      <c r="I2187" s="957">
        <f>SUM(PUCFD!E1894:'PUCFD'!E1896)*(1+PUCFD!E$10)*(1+PUCFD!E$16)</f>
        <v>3.2920208999999998</v>
      </c>
      <c r="J2187" s="1004"/>
    </row>
    <row r="2188" spans="1:10" s="946" customFormat="1" ht="24.95" customHeight="1" x14ac:dyDescent="0.25">
      <c r="A2188" s="958"/>
      <c r="B2188" s="963">
        <v>86360</v>
      </c>
      <c r="C2188" s="964">
        <v>333904900000000</v>
      </c>
      <c r="D2188" s="963" t="s">
        <v>6175</v>
      </c>
      <c r="F2188" s="960">
        <v>31</v>
      </c>
      <c r="G2188" s="963">
        <v>0</v>
      </c>
      <c r="H2188" s="956"/>
      <c r="I2188" s="957">
        <f>PUCFD!E1897</f>
        <v>146374.51068355818</v>
      </c>
    </row>
    <row r="2189" spans="1:10" s="946" customFormat="1" ht="24.95" customHeight="1" x14ac:dyDescent="0.25">
      <c r="A2189" s="958"/>
      <c r="B2189" s="963">
        <v>86380</v>
      </c>
      <c r="C2189" s="964">
        <v>333909200000000</v>
      </c>
      <c r="D2189" s="963" t="s">
        <v>6176</v>
      </c>
      <c r="F2189" s="960">
        <v>31</v>
      </c>
      <c r="G2189" s="963">
        <v>0</v>
      </c>
      <c r="H2189" s="956"/>
      <c r="I2189" s="957">
        <f>(PUCFD!E1900*(1+PUCFD!E$10))*(1+PUCFD!E$16)</f>
        <v>1.0973403E-2</v>
      </c>
    </row>
    <row r="2190" spans="1:10" s="946" customFormat="1" ht="24.95" customHeight="1" x14ac:dyDescent="0.25">
      <c r="A2190" s="958"/>
      <c r="B2190" s="963">
        <v>86400</v>
      </c>
      <c r="C2190" s="964">
        <v>333909300000000</v>
      </c>
      <c r="D2190" s="963" t="s">
        <v>6177</v>
      </c>
      <c r="F2190" s="960">
        <v>31</v>
      </c>
      <c r="G2190" s="963">
        <v>0</v>
      </c>
      <c r="H2190" s="956"/>
      <c r="I2190" s="957">
        <f>(PUCFD!E1901*(1+PUCFD!E$10))*(1+PUCFD!E$16)</f>
        <v>1.0973403E-2</v>
      </c>
    </row>
    <row r="2191" spans="1:10" s="946" customFormat="1" ht="24.95" customHeight="1" x14ac:dyDescent="0.25">
      <c r="A2191" s="958"/>
      <c r="B2191" s="963">
        <v>86420</v>
      </c>
      <c r="C2191" s="964">
        <v>333933000000000</v>
      </c>
      <c r="D2191" s="963" t="s">
        <v>6178</v>
      </c>
      <c r="F2191" s="960">
        <v>31</v>
      </c>
      <c r="G2191" s="963">
        <v>0</v>
      </c>
      <c r="H2191" s="956"/>
      <c r="I2191" s="957">
        <f>(PUCFD!E1902*(1+PUCFD!E$10))*(1+PUCFD!E$16)</f>
        <v>1.0973403E-2</v>
      </c>
    </row>
    <row r="2192" spans="1:10" s="946" customFormat="1" ht="24.95" customHeight="1" x14ac:dyDescent="0.25">
      <c r="A2192" s="958"/>
      <c r="B2192" s="963">
        <v>86440</v>
      </c>
      <c r="C2192" s="964">
        <v>344905100000000</v>
      </c>
      <c r="D2192" s="963" t="s">
        <v>6179</v>
      </c>
      <c r="F2192" s="960">
        <v>31</v>
      </c>
      <c r="G2192" s="963">
        <v>502</v>
      </c>
      <c r="H2192" s="956"/>
      <c r="I2192" s="957">
        <f>(PUCFD!E1903*(1+PUCFD!E$10))*(1+PUCFD!E$16)</f>
        <v>1.0973403E-2</v>
      </c>
    </row>
    <row r="2193" spans="1:9" s="946" customFormat="1" ht="24.95" customHeight="1" x14ac:dyDescent="0.25">
      <c r="A2193" s="958"/>
      <c r="B2193" s="963">
        <v>86460</v>
      </c>
      <c r="C2193" s="964">
        <v>344905100000000</v>
      </c>
      <c r="D2193" s="963" t="s">
        <v>6180</v>
      </c>
      <c r="F2193" s="960">
        <v>31</v>
      </c>
      <c r="G2193" s="963">
        <v>0</v>
      </c>
      <c r="H2193" s="956"/>
      <c r="I2193" s="957">
        <f>(PUCFD!E1904*(1+PUCFD!E$10))*(1+PUCFD!E$16)</f>
        <v>1.0973403E-2</v>
      </c>
    </row>
    <row r="2194" spans="1:9" s="946" customFormat="1" ht="24.95" customHeight="1" x14ac:dyDescent="0.25">
      <c r="A2194" s="958"/>
      <c r="B2194" s="963">
        <v>86480</v>
      </c>
      <c r="C2194" s="964">
        <v>344905200000000</v>
      </c>
      <c r="D2194" s="963" t="s">
        <v>6181</v>
      </c>
      <c r="F2194" s="960">
        <v>31</v>
      </c>
      <c r="G2194" s="963">
        <v>0</v>
      </c>
      <c r="H2194" s="956"/>
      <c r="I2194" s="957">
        <f>PUCFD!E1905</f>
        <v>0.01</v>
      </c>
    </row>
    <row r="2195" spans="1:9" ht="15" customHeight="1" x14ac:dyDescent="0.25">
      <c r="A2195" s="958"/>
      <c r="B2195" s="962" t="s">
        <v>3138</v>
      </c>
      <c r="C2195" s="959">
        <v>12</v>
      </c>
      <c r="D2195" s="962" t="s">
        <v>4728</v>
      </c>
      <c r="E2195" s="954"/>
      <c r="F2195" s="960"/>
      <c r="G2195" s="958"/>
      <c r="H2195" s="958"/>
      <c r="I2195" s="961">
        <f>I2196</f>
        <v>4.3893611999999999E-2</v>
      </c>
    </row>
    <row r="2196" spans="1:9" ht="15" customHeight="1" x14ac:dyDescent="0.25">
      <c r="A2196" s="958"/>
      <c r="B2196" s="962" t="s">
        <v>3139</v>
      </c>
      <c r="C2196" s="959">
        <v>126</v>
      </c>
      <c r="D2196" s="962" t="s">
        <v>3600</v>
      </c>
      <c r="E2196" s="954"/>
      <c r="F2196" s="960"/>
      <c r="G2196" s="958"/>
      <c r="H2196" s="958"/>
      <c r="I2196" s="961">
        <f>I2198</f>
        <v>4.3893611999999999E-2</v>
      </c>
    </row>
    <row r="2197" spans="1:9" ht="34.5" customHeight="1" x14ac:dyDescent="0.25">
      <c r="A2197" s="958"/>
      <c r="B2197" s="962" t="s">
        <v>3137</v>
      </c>
      <c r="C2197" s="959">
        <v>6</v>
      </c>
      <c r="D2197" s="962" t="s">
        <v>4729</v>
      </c>
      <c r="E2197" s="954"/>
      <c r="F2197" s="960"/>
      <c r="G2197" s="958"/>
      <c r="H2197" s="958"/>
      <c r="I2197" s="961">
        <f>I2198</f>
        <v>4.3893611999999999E-2</v>
      </c>
    </row>
    <row r="2198" spans="1:9" s="946" customFormat="1" ht="24.95" customHeight="1" x14ac:dyDescent="0.25">
      <c r="A2198" s="958"/>
      <c r="B2198" s="963" t="s">
        <v>2965</v>
      </c>
      <c r="C2198" s="959">
        <v>36</v>
      </c>
      <c r="D2198" s="963" t="s">
        <v>4721</v>
      </c>
      <c r="F2198" s="960"/>
      <c r="G2198" s="963"/>
      <c r="H2198" s="956"/>
      <c r="I2198" s="957">
        <f>I2199</f>
        <v>4.3893611999999999E-2</v>
      </c>
    </row>
    <row r="2199" spans="1:9" ht="33.75" customHeight="1" x14ac:dyDescent="0.25">
      <c r="B2199" s="973">
        <v>86600</v>
      </c>
      <c r="C2199" s="974">
        <v>333904000000000</v>
      </c>
      <c r="D2199" s="973" t="s">
        <v>6182</v>
      </c>
      <c r="F2199" s="975">
        <v>31</v>
      </c>
      <c r="G2199" s="973">
        <v>0</v>
      </c>
      <c r="H2199" s="972">
        <v>0</v>
      </c>
      <c r="I2199" s="951">
        <f>SUM(PUCFD!E1909:'PUCFD'!E1912)*(1+PUCFD!E$10)*(1+PUCFD!E$16)</f>
        <v>4.3893611999999999E-2</v>
      </c>
    </row>
    <row r="2200" spans="1:9" ht="24.95" customHeight="1" x14ac:dyDescent="0.25">
      <c r="A2200" s="958"/>
      <c r="B2200" s="962" t="s">
        <v>3138</v>
      </c>
      <c r="C2200" s="959">
        <v>12</v>
      </c>
      <c r="D2200" s="962" t="s">
        <v>4728</v>
      </c>
      <c r="E2200" s="954"/>
      <c r="F2200" s="960"/>
      <c r="G2200" s="958"/>
      <c r="H2200" s="958"/>
      <c r="I2200" s="961">
        <f>I2201</f>
        <v>5.1000000000000004E-2</v>
      </c>
    </row>
    <row r="2201" spans="1:9" ht="24.95" customHeight="1" x14ac:dyDescent="0.25">
      <c r="A2201" s="958"/>
      <c r="B2201" s="962" t="s">
        <v>3139</v>
      </c>
      <c r="C2201" s="959">
        <v>128</v>
      </c>
      <c r="D2201" s="962" t="s">
        <v>5104</v>
      </c>
      <c r="E2201" s="954"/>
      <c r="F2201" s="960"/>
      <c r="G2201" s="958"/>
      <c r="H2201" s="958"/>
      <c r="I2201" s="961">
        <f>I2203</f>
        <v>5.1000000000000004E-2</v>
      </c>
    </row>
    <row r="2202" spans="1:9" ht="24.95" customHeight="1" x14ac:dyDescent="0.25">
      <c r="A2202" s="958"/>
      <c r="B2202" s="962" t="s">
        <v>3137</v>
      </c>
      <c r="C2202" s="959">
        <v>6</v>
      </c>
      <c r="D2202" s="962" t="s">
        <v>4729</v>
      </c>
      <c r="E2202" s="954"/>
      <c r="F2202" s="960"/>
      <c r="G2202" s="958"/>
      <c r="H2202" s="958"/>
      <c r="I2202" s="961">
        <f>I2203</f>
        <v>5.1000000000000004E-2</v>
      </c>
    </row>
    <row r="2203" spans="1:9" s="946" customFormat="1" ht="24.95" customHeight="1" x14ac:dyDescent="0.25">
      <c r="B2203" s="963" t="s">
        <v>2965</v>
      </c>
      <c r="C2203" s="959">
        <v>36</v>
      </c>
      <c r="D2203" s="963" t="s">
        <v>4721</v>
      </c>
      <c r="E2203" s="954"/>
      <c r="F2203" s="960"/>
      <c r="G2203" s="963"/>
      <c r="H2203" s="958"/>
      <c r="I2203" s="957">
        <f>SUM(I2204:I2208)</f>
        <v>5.1000000000000004E-2</v>
      </c>
    </row>
    <row r="2204" spans="1:9" s="946" customFormat="1" ht="24.95" customHeight="1" x14ac:dyDescent="0.25">
      <c r="B2204" s="973">
        <v>86700</v>
      </c>
      <c r="C2204" s="974">
        <v>333901400000000</v>
      </c>
      <c r="D2204" s="973" t="s">
        <v>6183</v>
      </c>
      <c r="E2204" s="954"/>
      <c r="F2204" s="949">
        <v>31</v>
      </c>
      <c r="G2204" s="945">
        <v>0</v>
      </c>
      <c r="H2204" s="950">
        <v>0</v>
      </c>
      <c r="I2204" s="951">
        <f>PUCFD!E1915</f>
        <v>0.01</v>
      </c>
    </row>
    <row r="2205" spans="1:9" s="946" customFormat="1" ht="29.25" customHeight="1" x14ac:dyDescent="0.25">
      <c r="B2205" s="973">
        <v>86720</v>
      </c>
      <c r="C2205" s="974">
        <v>333903300000000</v>
      </c>
      <c r="D2205" s="973" t="s">
        <v>6184</v>
      </c>
      <c r="E2205" s="954"/>
      <c r="F2205" s="949">
        <v>31</v>
      </c>
      <c r="G2205" s="945">
        <v>0</v>
      </c>
      <c r="H2205" s="950">
        <v>0</v>
      </c>
      <c r="I2205" s="951">
        <f>PUCFD!E1916</f>
        <v>1.0999999999999999E-2</v>
      </c>
    </row>
    <row r="2206" spans="1:9" s="946" customFormat="1" ht="24.95" customHeight="1" x14ac:dyDescent="0.25">
      <c r="B2206" s="973">
        <v>86740</v>
      </c>
      <c r="C2206" s="974">
        <v>333903600000000</v>
      </c>
      <c r="D2206" s="973" t="s">
        <v>6185</v>
      </c>
      <c r="E2206" s="954"/>
      <c r="F2206" s="949">
        <v>31</v>
      </c>
      <c r="G2206" s="945">
        <v>0</v>
      </c>
      <c r="H2206" s="950">
        <v>0</v>
      </c>
      <c r="I2206" s="951">
        <f>PUCFD!E1917</f>
        <v>0.01</v>
      </c>
    </row>
    <row r="2207" spans="1:9" s="946" customFormat="1" ht="38.25" customHeight="1" x14ac:dyDescent="0.25">
      <c r="B2207" s="973">
        <v>86760</v>
      </c>
      <c r="C2207" s="974">
        <v>333903900000000</v>
      </c>
      <c r="D2207" s="973" t="s">
        <v>6186</v>
      </c>
      <c r="E2207" s="954"/>
      <c r="F2207" s="949">
        <v>31</v>
      </c>
      <c r="G2207" s="945">
        <v>0</v>
      </c>
      <c r="H2207" s="950">
        <v>0</v>
      </c>
      <c r="I2207" s="951">
        <f>PUCFD!E1918</f>
        <v>0.01</v>
      </c>
    </row>
    <row r="2208" spans="1:9" s="946" customFormat="1" ht="36" customHeight="1" x14ac:dyDescent="0.25">
      <c r="B2208" s="973">
        <v>86780</v>
      </c>
      <c r="C2208" s="974">
        <v>333903900000000</v>
      </c>
      <c r="D2208" s="973" t="s">
        <v>6187</v>
      </c>
      <c r="E2208" s="954"/>
      <c r="F2208" s="949">
        <v>31</v>
      </c>
      <c r="G2208" s="945">
        <v>0</v>
      </c>
      <c r="H2208" s="950">
        <v>0</v>
      </c>
      <c r="I2208" s="951">
        <f>PUCFD!E1919</f>
        <v>0.01</v>
      </c>
    </row>
    <row r="2209" spans="1:11" ht="15" customHeight="1" x14ac:dyDescent="0.25">
      <c r="A2209" s="958"/>
      <c r="B2209" s="962" t="s">
        <v>3138</v>
      </c>
      <c r="C2209" s="959">
        <v>12</v>
      </c>
      <c r="D2209" s="962" t="s">
        <v>4728</v>
      </c>
      <c r="E2209" s="954"/>
      <c r="F2209" s="960"/>
      <c r="G2209" s="958"/>
      <c r="H2209" s="958"/>
      <c r="I2209" s="961">
        <f>I2210</f>
        <v>271063.63520145993</v>
      </c>
    </row>
    <row r="2210" spans="1:11" ht="15" customHeight="1" x14ac:dyDescent="0.25">
      <c r="A2210" s="958"/>
      <c r="B2210" s="962" t="s">
        <v>3139</v>
      </c>
      <c r="C2210" s="959">
        <v>365</v>
      </c>
      <c r="D2210" s="962" t="s">
        <v>4732</v>
      </c>
      <c r="E2210" s="954"/>
      <c r="F2210" s="960"/>
      <c r="G2210" s="958"/>
      <c r="H2210" s="958"/>
      <c r="I2210" s="961">
        <f>I2212</f>
        <v>271063.63520145993</v>
      </c>
    </row>
    <row r="2211" spans="1:11" ht="34.5" customHeight="1" x14ac:dyDescent="0.25">
      <c r="A2211" s="958"/>
      <c r="B2211" s="962" t="s">
        <v>3137</v>
      </c>
      <c r="C2211" s="959">
        <v>6</v>
      </c>
      <c r="D2211" s="962" t="s">
        <v>4729</v>
      </c>
      <c r="E2211" s="954"/>
      <c r="F2211" s="960"/>
      <c r="G2211" s="958"/>
      <c r="H2211" s="958"/>
      <c r="I2211" s="961">
        <f>I2212</f>
        <v>271063.63520145993</v>
      </c>
      <c r="J2211" s="990"/>
      <c r="K2211" s="990"/>
    </row>
    <row r="2212" spans="1:11" s="946" customFormat="1" ht="24.95" customHeight="1" x14ac:dyDescent="0.25">
      <c r="A2212" s="958"/>
      <c r="B2212" s="963" t="s">
        <v>2965</v>
      </c>
      <c r="C2212" s="959">
        <v>36</v>
      </c>
      <c r="D2212" s="963" t="s">
        <v>4721</v>
      </c>
      <c r="F2212" s="960"/>
      <c r="G2212" s="963"/>
      <c r="H2212" s="956"/>
      <c r="I2212" s="957">
        <f>SUM(I2213,I2214,I2216,I2217,I2218,I2219,I2220,I2221,I2222,I2223,I2224,I2225,I2226,I2227,I2228,I2230,I2231,I2232,I2233,I2234,I2235,I2236)</f>
        <v>271063.63520145993</v>
      </c>
    </row>
    <row r="2213" spans="1:11" s="946" customFormat="1" ht="34.5" customHeight="1" x14ac:dyDescent="0.25">
      <c r="A2213" s="958"/>
      <c r="B2213" s="963">
        <v>88000</v>
      </c>
      <c r="C2213" s="964">
        <v>331900400000000</v>
      </c>
      <c r="D2213" s="963" t="s">
        <v>6190</v>
      </c>
      <c r="F2213" s="960">
        <v>31</v>
      </c>
      <c r="G2213" s="963">
        <v>0</v>
      </c>
      <c r="H2213" s="956"/>
      <c r="I2213" s="957">
        <f>SUM(PUCFD!E1922:E1923)</f>
        <v>0.02</v>
      </c>
    </row>
    <row r="2214" spans="1:11" s="996" customFormat="1" ht="24.95" customHeight="1" x14ac:dyDescent="0.25">
      <c r="A2214" s="981"/>
      <c r="B2214" s="993">
        <v>88050</v>
      </c>
      <c r="C2214" s="994">
        <v>331900800000000</v>
      </c>
      <c r="D2214" s="993" t="s">
        <v>6189</v>
      </c>
      <c r="F2214" s="985">
        <v>1</v>
      </c>
      <c r="G2214" s="993">
        <v>0</v>
      </c>
      <c r="H2214" s="981">
        <v>0</v>
      </c>
      <c r="I2214" s="986">
        <f>(I2216+I2218+I2219)*(PUCFD!E$94)</f>
        <v>21942.484091539256</v>
      </c>
    </row>
    <row r="2215" spans="1:11" s="996" customFormat="1" ht="24.95" customHeight="1" x14ac:dyDescent="0.25">
      <c r="A2215" s="981"/>
      <c r="B2215" s="966" t="s">
        <v>6188</v>
      </c>
      <c r="C2215" s="997">
        <v>319008990400000</v>
      </c>
      <c r="D2215" s="966" t="s">
        <v>4234</v>
      </c>
      <c r="F2215" s="969">
        <v>1</v>
      </c>
      <c r="G2215" s="966">
        <v>0</v>
      </c>
      <c r="H2215" s="965">
        <v>0</v>
      </c>
      <c r="I2215" s="970">
        <v>0</v>
      </c>
    </row>
    <row r="2216" spans="1:11" s="946" customFormat="1" ht="24.95" customHeight="1" x14ac:dyDescent="0.25">
      <c r="A2216" s="958"/>
      <c r="B2216" s="963">
        <v>88070</v>
      </c>
      <c r="C2216" s="964">
        <v>331901100000000</v>
      </c>
      <c r="D2216" s="963" t="s">
        <v>6191</v>
      </c>
      <c r="F2216" s="960">
        <v>31</v>
      </c>
      <c r="G2216" s="963">
        <v>0</v>
      </c>
      <c r="H2216" s="956"/>
      <c r="I2216" s="957">
        <f>SUM(PUCFD!E1925:E1935)*(1+PUCFD!E$87)</f>
        <v>190142.8230809294</v>
      </c>
      <c r="J2216" s="1012"/>
    </row>
    <row r="2217" spans="1:11" s="946" customFormat="1" ht="24.95" customHeight="1" x14ac:dyDescent="0.25">
      <c r="A2217" s="958"/>
      <c r="B2217" s="963">
        <v>88130</v>
      </c>
      <c r="C2217" s="964">
        <v>331901300000000</v>
      </c>
      <c r="D2217" s="963" t="s">
        <v>6192</v>
      </c>
      <c r="F2217" s="960">
        <v>31</v>
      </c>
      <c r="G2217" s="963">
        <v>0</v>
      </c>
      <c r="H2217" s="956"/>
      <c r="I2217" s="957">
        <f>SUM(I2216+I2218+I2219)*PUCFD!E$92</f>
        <v>39929.99704699518</v>
      </c>
    </row>
    <row r="2218" spans="1:11" s="946" customFormat="1" ht="24.95" customHeight="1" x14ac:dyDescent="0.25">
      <c r="A2218" s="958"/>
      <c r="B2218" s="963">
        <v>88160</v>
      </c>
      <c r="C2218" s="964">
        <v>331901600000000</v>
      </c>
      <c r="D2218" s="963" t="s">
        <v>6193</v>
      </c>
      <c r="F2218" s="960">
        <v>31</v>
      </c>
      <c r="G2218" s="963">
        <v>0</v>
      </c>
      <c r="H2218" s="956"/>
      <c r="I2218" s="957">
        <f>(PUCFD!E1937*(1))</f>
        <v>0.01</v>
      </c>
    </row>
    <row r="2219" spans="1:11" s="946" customFormat="1" ht="24.95" customHeight="1" x14ac:dyDescent="0.25">
      <c r="A2219" s="958"/>
      <c r="B2219" s="963">
        <v>88190</v>
      </c>
      <c r="C2219" s="964">
        <v>331903400000000</v>
      </c>
      <c r="D2219" s="963" t="s">
        <v>6194</v>
      </c>
      <c r="F2219" s="960">
        <v>31</v>
      </c>
      <c r="G2219" s="963">
        <v>0</v>
      </c>
      <c r="H2219" s="956"/>
      <c r="I2219" s="957">
        <f>(PUCFD!E1938*(1))</f>
        <v>0.01</v>
      </c>
    </row>
    <row r="2220" spans="1:11" s="946" customFormat="1" ht="24.95" customHeight="1" x14ac:dyDescent="0.25">
      <c r="A2220" s="958"/>
      <c r="B2220" s="963">
        <v>88220</v>
      </c>
      <c r="C2220" s="964">
        <v>331909400000000</v>
      </c>
      <c r="D2220" s="963" t="s">
        <v>6195</v>
      </c>
      <c r="F2220" s="960">
        <v>31</v>
      </c>
      <c r="G2220" s="963">
        <v>0</v>
      </c>
      <c r="H2220" s="956"/>
      <c r="I2220" s="957">
        <f>SUM(PUCFD!E1939)</f>
        <v>0.01</v>
      </c>
    </row>
    <row r="2221" spans="1:11" s="946" customFormat="1" ht="24.95" customHeight="1" x14ac:dyDescent="0.25">
      <c r="A2221" s="958"/>
      <c r="B2221" s="963">
        <v>88250</v>
      </c>
      <c r="C2221" s="964">
        <v>333901400000000</v>
      </c>
      <c r="D2221" s="963" t="s">
        <v>6209</v>
      </c>
      <c r="F2221" s="960">
        <v>31</v>
      </c>
      <c r="G2221" s="963">
        <v>0</v>
      </c>
      <c r="H2221" s="956"/>
      <c r="I2221" s="957">
        <f>(PUCFD!E1940*(1+PUCFD!E$87))</f>
        <v>1.0499881765863014E-2</v>
      </c>
    </row>
    <row r="2222" spans="1:11" s="946" customFormat="1" ht="24.95" customHeight="1" x14ac:dyDescent="0.25">
      <c r="A2222" s="958"/>
      <c r="B2222" s="963">
        <v>88270</v>
      </c>
      <c r="C2222" s="964">
        <v>333903000000000</v>
      </c>
      <c r="D2222" s="963" t="s">
        <v>6196</v>
      </c>
      <c r="F2222" s="960">
        <v>31</v>
      </c>
      <c r="G2222" s="963">
        <v>0</v>
      </c>
      <c r="H2222" s="956"/>
      <c r="I2222" s="957">
        <f>(PUCFD!E1942*(1+PUCFD!E$10))*(1+PUCFD!E$16)</f>
        <v>1.0973403E-2</v>
      </c>
    </row>
    <row r="2223" spans="1:11" s="946" customFormat="1" ht="24.95" customHeight="1" x14ac:dyDescent="0.25">
      <c r="A2223" s="958"/>
      <c r="B2223" s="963">
        <v>88320</v>
      </c>
      <c r="C2223" s="964">
        <v>333903200000000</v>
      </c>
      <c r="D2223" s="963" t="s">
        <v>6197</v>
      </c>
      <c r="F2223" s="960">
        <v>31</v>
      </c>
      <c r="G2223" s="963">
        <v>0</v>
      </c>
      <c r="H2223" s="956"/>
      <c r="I2223" s="957">
        <f>SUM(PUCFD!E1944:'PUCFD'!E1945)*(1+PUCFD!E$10)*(1+PUCFD!E$16)</f>
        <v>2.1946805999999999E-2</v>
      </c>
    </row>
    <row r="2224" spans="1:11" s="946" customFormat="1" ht="24.95" customHeight="1" x14ac:dyDescent="0.25">
      <c r="A2224" s="958"/>
      <c r="B2224" s="963">
        <v>88340</v>
      </c>
      <c r="C2224" s="964">
        <v>333903300000000</v>
      </c>
      <c r="D2224" s="963" t="s">
        <v>6198</v>
      </c>
      <c r="F2224" s="960">
        <v>31</v>
      </c>
      <c r="G2224" s="963">
        <v>0</v>
      </c>
      <c r="H2224" s="956"/>
      <c r="I2224" s="1026">
        <f>(PUCFD!E1946*(1+PUCFD!E$10))*(1+PUCFD!E$16)</f>
        <v>1.0973403E-2</v>
      </c>
    </row>
    <row r="2225" spans="1:9" s="946" customFormat="1" ht="24.95" customHeight="1" x14ac:dyDescent="0.25">
      <c r="A2225" s="958"/>
      <c r="B2225" s="963">
        <v>88360</v>
      </c>
      <c r="C2225" s="964">
        <v>333903500000000</v>
      </c>
      <c r="D2225" s="963" t="s">
        <v>6199</v>
      </c>
      <c r="F2225" s="960">
        <v>31</v>
      </c>
      <c r="G2225" s="963">
        <v>0</v>
      </c>
      <c r="H2225" s="956"/>
      <c r="I2225" s="1026">
        <f>(PUCFD!E1947*(1+PUCFD!E$10))*(1+PUCFD!E$16)</f>
        <v>1.0973403E-2</v>
      </c>
    </row>
    <row r="2226" spans="1:9" s="946" customFormat="1" ht="24.95" customHeight="1" x14ac:dyDescent="0.25">
      <c r="A2226" s="958"/>
      <c r="B2226" s="963">
        <v>88380</v>
      </c>
      <c r="C2226" s="964">
        <v>333903600000000</v>
      </c>
      <c r="D2226" s="963" t="s">
        <v>6203</v>
      </c>
      <c r="F2226" s="960">
        <v>31</v>
      </c>
      <c r="G2226" s="963">
        <v>0</v>
      </c>
      <c r="H2226" s="956"/>
      <c r="I2226" s="1026">
        <f>(PUCFD!E1948*(1+PUCFD!E$10))*(1+PUCFD!E$16)</f>
        <v>1.2070743299999999E-2</v>
      </c>
    </row>
    <row r="2227" spans="1:9" s="946" customFormat="1" ht="24.95" customHeight="1" x14ac:dyDescent="0.25">
      <c r="A2227" s="958"/>
      <c r="B2227" s="963">
        <v>88420</v>
      </c>
      <c r="C2227" s="964">
        <v>333903900000000</v>
      </c>
      <c r="D2227" s="963" t="s">
        <v>6200</v>
      </c>
      <c r="F2227" s="960">
        <v>31</v>
      </c>
      <c r="G2227" s="963">
        <v>0</v>
      </c>
      <c r="H2227" s="956"/>
      <c r="I2227" s="1026">
        <f>(PUCFD!E1949*(1+PUCFD!E$10))*(1+PUCFD!E$16)</f>
        <v>0.10973403000000001</v>
      </c>
    </row>
    <row r="2228" spans="1:9" s="996" customFormat="1" ht="24.95" customHeight="1" x14ac:dyDescent="0.25">
      <c r="A2228" s="981"/>
      <c r="B2228" s="993">
        <v>88470</v>
      </c>
      <c r="C2228" s="994">
        <v>333904600000000</v>
      </c>
      <c r="D2228" s="993" t="s">
        <v>6201</v>
      </c>
      <c r="F2228" s="985">
        <v>31</v>
      </c>
      <c r="G2228" s="993">
        <v>0</v>
      </c>
      <c r="H2228" s="995"/>
      <c r="I2228" s="1027">
        <f>(PUCFD!E1950*(1+PUCFD!E$10))*(1+PUCFD!E$16)</f>
        <v>19048.027969908002</v>
      </c>
    </row>
    <row r="2229" spans="1:9" s="996" customFormat="1" ht="24.95" customHeight="1" x14ac:dyDescent="0.25">
      <c r="A2229" s="981"/>
      <c r="B2229" s="993">
        <v>88480</v>
      </c>
      <c r="C2229" s="994">
        <v>333904600000000</v>
      </c>
      <c r="D2229" s="993" t="s">
        <v>6201</v>
      </c>
      <c r="F2229" s="985">
        <v>1</v>
      </c>
      <c r="G2229" s="993">
        <v>0</v>
      </c>
      <c r="H2229" s="995"/>
      <c r="I2229" s="1027">
        <v>0.01</v>
      </c>
    </row>
    <row r="2230" spans="1:9" s="946" customFormat="1" ht="37.5" customHeight="1" x14ac:dyDescent="0.25">
      <c r="A2230" s="958"/>
      <c r="B2230" s="963">
        <v>88500</v>
      </c>
      <c r="C2230" s="964">
        <v>333904700000000</v>
      </c>
      <c r="D2230" s="963" t="s">
        <v>6202</v>
      </c>
      <c r="F2230" s="960">
        <v>31</v>
      </c>
      <c r="G2230" s="963">
        <v>0</v>
      </c>
      <c r="H2230" s="956"/>
      <c r="I2230" s="1026">
        <f>(PUCFD!E1951*(1+PUCFD!E$10))*(1+PUCFD!E$16)</f>
        <v>1.0973403E-2</v>
      </c>
    </row>
    <row r="2231" spans="1:9" s="946" customFormat="1" ht="24.95" customHeight="1" x14ac:dyDescent="0.25">
      <c r="A2231" s="958"/>
      <c r="B2231" s="963">
        <v>88520</v>
      </c>
      <c r="C2231" s="964">
        <v>333904900000000</v>
      </c>
      <c r="D2231" s="963" t="s">
        <v>6203</v>
      </c>
      <c r="F2231" s="960">
        <v>31</v>
      </c>
      <c r="G2231" s="963">
        <v>0</v>
      </c>
      <c r="H2231" s="956"/>
      <c r="I2231" s="957">
        <f>SUM(PUCFD!E1953:E1956)</f>
        <v>0</v>
      </c>
    </row>
    <row r="2232" spans="1:9" s="946" customFormat="1" ht="24.95" customHeight="1" x14ac:dyDescent="0.25">
      <c r="A2232" s="958"/>
      <c r="B2232" s="963">
        <v>88540</v>
      </c>
      <c r="C2232" s="964">
        <v>333909200000000</v>
      </c>
      <c r="D2232" s="963" t="s">
        <v>6204</v>
      </c>
      <c r="F2232" s="960">
        <v>31</v>
      </c>
      <c r="G2232" s="963">
        <v>0</v>
      </c>
      <c r="H2232" s="956"/>
      <c r="I2232" s="1026">
        <f>(PUCFD!E1957*(1+PUCFD!E$10))*(1+PUCFD!E$16)</f>
        <v>1.0973403E-2</v>
      </c>
    </row>
    <row r="2233" spans="1:9" s="946" customFormat="1" ht="24.95" customHeight="1" x14ac:dyDescent="0.25">
      <c r="A2233" s="958"/>
      <c r="B2233" s="963">
        <v>88560</v>
      </c>
      <c r="C2233" s="964">
        <v>333909300000000</v>
      </c>
      <c r="D2233" s="963" t="s">
        <v>6205</v>
      </c>
      <c r="F2233" s="960">
        <v>31</v>
      </c>
      <c r="G2233" s="963">
        <v>0</v>
      </c>
      <c r="H2233" s="956"/>
      <c r="I2233" s="1026">
        <f>(PUCFD!E1958*(1+PUCFD!E$10))*(1+PUCFD!E$16)</f>
        <v>1.0973403E-2</v>
      </c>
    </row>
    <row r="2234" spans="1:9" s="946" customFormat="1" ht="24.95" customHeight="1" x14ac:dyDescent="0.25">
      <c r="A2234" s="958"/>
      <c r="B2234" s="963">
        <v>88580</v>
      </c>
      <c r="C2234" s="964">
        <v>333933000000000</v>
      </c>
      <c r="D2234" s="963" t="s">
        <v>6206</v>
      </c>
      <c r="F2234" s="960">
        <v>31</v>
      </c>
      <c r="G2234" s="963">
        <v>0</v>
      </c>
      <c r="H2234" s="956"/>
      <c r="I2234" s="1026">
        <f>(PUCFD!E1959*(1+PUCFD!E$10))*(1+PUCFD!E$16)</f>
        <v>1.0973403E-2</v>
      </c>
    </row>
    <row r="2235" spans="1:9" s="946" customFormat="1" ht="24.95" customHeight="1" x14ac:dyDescent="0.25">
      <c r="A2235" s="958"/>
      <c r="B2235" s="963">
        <v>88600</v>
      </c>
      <c r="C2235" s="964">
        <v>344905100000000</v>
      </c>
      <c r="D2235" s="963" t="s">
        <v>6207</v>
      </c>
      <c r="F2235" s="960">
        <v>31</v>
      </c>
      <c r="G2235" s="963">
        <v>0</v>
      </c>
      <c r="H2235" s="956"/>
      <c r="I2235" s="1026">
        <f>(PUCFD!E1960*(1+PUCFD!E$10))*(1+PUCFD!E$16)</f>
        <v>1.0973403E-2</v>
      </c>
    </row>
    <row r="2236" spans="1:9" s="946" customFormat="1" ht="24.95" customHeight="1" x14ac:dyDescent="0.25">
      <c r="A2236" s="958"/>
      <c r="B2236" s="963">
        <v>88640</v>
      </c>
      <c r="C2236" s="964">
        <v>344905200000000</v>
      </c>
      <c r="D2236" s="963" t="s">
        <v>6208</v>
      </c>
      <c r="F2236" s="960">
        <v>31</v>
      </c>
      <c r="G2236" s="963">
        <v>0</v>
      </c>
      <c r="H2236" s="956"/>
      <c r="I2236" s="1026">
        <f>(PUCFD!E1961*(1+PUCFD!E$10))*(1+PUCFD!E$16)</f>
        <v>1.0973403E-2</v>
      </c>
    </row>
    <row r="2237" spans="1:9" s="1031" customFormat="1" ht="15" customHeight="1" x14ac:dyDescent="0.25">
      <c r="A2237" s="1023"/>
      <c r="B2237" s="1028" t="s">
        <v>3138</v>
      </c>
      <c r="C2237" s="1029">
        <v>12</v>
      </c>
      <c r="D2237" s="1028" t="s">
        <v>4728</v>
      </c>
      <c r="E2237" s="1021"/>
      <c r="F2237" s="1022"/>
      <c r="G2237" s="1023"/>
      <c r="H2237" s="1023"/>
      <c r="I2237" s="1030">
        <f>I2238</f>
        <v>1.0973403E-2</v>
      </c>
    </row>
    <row r="2238" spans="1:9" s="1031" customFormat="1" ht="15" customHeight="1" x14ac:dyDescent="0.25">
      <c r="A2238" s="1023"/>
      <c r="B2238" s="1028" t="s">
        <v>3139</v>
      </c>
      <c r="C2238" s="1029">
        <v>126</v>
      </c>
      <c r="D2238" s="1028" t="s">
        <v>3600</v>
      </c>
      <c r="E2238" s="1021"/>
      <c r="F2238" s="1022"/>
      <c r="G2238" s="1023"/>
      <c r="H2238" s="1023"/>
      <c r="I2238" s="1030">
        <f>I2239</f>
        <v>1.0973403E-2</v>
      </c>
    </row>
    <row r="2239" spans="1:9" s="1031" customFormat="1" ht="34.5" customHeight="1" x14ac:dyDescent="0.25">
      <c r="A2239" s="1023"/>
      <c r="B2239" s="1028" t="s">
        <v>3137</v>
      </c>
      <c r="C2239" s="1029">
        <v>6</v>
      </c>
      <c r="D2239" s="1028" t="s">
        <v>4729</v>
      </c>
      <c r="E2239" s="1021"/>
      <c r="F2239" s="1022"/>
      <c r="G2239" s="1023"/>
      <c r="H2239" s="1023"/>
      <c r="I2239" s="1030">
        <f>I2240</f>
        <v>1.0973403E-2</v>
      </c>
    </row>
    <row r="2240" spans="1:9" s="1032" customFormat="1" ht="24.95" customHeight="1" x14ac:dyDescent="0.25">
      <c r="A2240" s="1023"/>
      <c r="B2240" s="1019" t="s">
        <v>2965</v>
      </c>
      <c r="C2240" s="1029">
        <v>39</v>
      </c>
      <c r="D2240" s="1019" t="s">
        <v>4827</v>
      </c>
      <c r="F2240" s="1022"/>
      <c r="G2240" s="1019"/>
      <c r="H2240" s="1033"/>
      <c r="I2240" s="1024">
        <f>I2241</f>
        <v>1.0973403E-2</v>
      </c>
    </row>
    <row r="2241" spans="1:11" s="1031" customFormat="1" ht="33.75" customHeight="1" x14ac:dyDescent="0.25">
      <c r="B2241" s="1034">
        <v>88800</v>
      </c>
      <c r="C2241" s="1035">
        <v>333904000000000</v>
      </c>
      <c r="D2241" s="1034" t="s">
        <v>6210</v>
      </c>
      <c r="E2241" s="1036"/>
      <c r="F2241" s="1037">
        <v>31</v>
      </c>
      <c r="G2241" s="1034">
        <v>0</v>
      </c>
      <c r="H2241" s="1038">
        <v>0</v>
      </c>
      <c r="I2241" s="1039">
        <f>SUM(PUCFD!E1965)*(1+PUCFD!E$10)*(1+PUCFD!E$16)</f>
        <v>1.0973403E-2</v>
      </c>
    </row>
    <row r="2242" spans="1:11" ht="24.95" customHeight="1" x14ac:dyDescent="0.25">
      <c r="A2242" s="958"/>
      <c r="B2242" s="962" t="s">
        <v>3138</v>
      </c>
      <c r="C2242" s="959">
        <v>12</v>
      </c>
      <c r="D2242" s="962" t="s">
        <v>4728</v>
      </c>
      <c r="E2242" s="954"/>
      <c r="F2242" s="960"/>
      <c r="G2242" s="958"/>
      <c r="H2242" s="958"/>
      <c r="I2242" s="961">
        <f>I2243</f>
        <v>0.05</v>
      </c>
    </row>
    <row r="2243" spans="1:11" ht="24.95" customHeight="1" x14ac:dyDescent="0.25">
      <c r="A2243" s="958"/>
      <c r="B2243" s="962" t="s">
        <v>3139</v>
      </c>
      <c r="C2243" s="959">
        <v>128</v>
      </c>
      <c r="D2243" s="962" t="s">
        <v>5104</v>
      </c>
      <c r="E2243" s="954"/>
      <c r="F2243" s="960"/>
      <c r="G2243" s="958"/>
      <c r="H2243" s="958"/>
      <c r="I2243" s="961">
        <f>I2245</f>
        <v>0.05</v>
      </c>
    </row>
    <row r="2244" spans="1:11" ht="24.95" customHeight="1" x14ac:dyDescent="0.25">
      <c r="A2244" s="958"/>
      <c r="B2244" s="962" t="s">
        <v>3137</v>
      </c>
      <c r="C2244" s="1029">
        <v>6</v>
      </c>
      <c r="D2244" s="1028" t="s">
        <v>4729</v>
      </c>
      <c r="E2244" s="954"/>
      <c r="F2244" s="960"/>
      <c r="G2244" s="958"/>
      <c r="H2244" s="958"/>
      <c r="I2244" s="961">
        <f>I2245</f>
        <v>0.05</v>
      </c>
    </row>
    <row r="2245" spans="1:11" s="946" customFormat="1" ht="24.95" customHeight="1" x14ac:dyDescent="0.25">
      <c r="B2245" s="963" t="s">
        <v>2965</v>
      </c>
      <c r="C2245" s="1029">
        <v>39</v>
      </c>
      <c r="D2245" s="1019" t="s">
        <v>4827</v>
      </c>
      <c r="E2245" s="954"/>
      <c r="F2245" s="960"/>
      <c r="G2245" s="963"/>
      <c r="H2245" s="958"/>
      <c r="I2245" s="957">
        <f>SUM(I2246:I2250)</f>
        <v>0.05</v>
      </c>
    </row>
    <row r="2246" spans="1:11" s="946" customFormat="1" ht="24.95" customHeight="1" x14ac:dyDescent="0.25">
      <c r="B2246" s="973">
        <v>88900</v>
      </c>
      <c r="C2246" s="974">
        <v>333901400000000</v>
      </c>
      <c r="D2246" s="973" t="s">
        <v>6211</v>
      </c>
      <c r="E2246" s="954"/>
      <c r="F2246" s="949">
        <v>31</v>
      </c>
      <c r="G2246" s="945">
        <v>0</v>
      </c>
      <c r="H2246" s="950">
        <v>0</v>
      </c>
      <c r="I2246" s="951">
        <f>PUCFD!E1968</f>
        <v>0.01</v>
      </c>
    </row>
    <row r="2247" spans="1:11" s="946" customFormat="1" ht="35.25" customHeight="1" x14ac:dyDescent="0.25">
      <c r="B2247" s="973">
        <v>88920</v>
      </c>
      <c r="C2247" s="974">
        <v>333903300000000</v>
      </c>
      <c r="D2247" s="973" t="s">
        <v>6212</v>
      </c>
      <c r="E2247" s="954"/>
      <c r="F2247" s="949">
        <v>31</v>
      </c>
      <c r="G2247" s="945">
        <v>0</v>
      </c>
      <c r="H2247" s="950">
        <v>0</v>
      </c>
      <c r="I2247" s="951">
        <f>PUCFD!E1969</f>
        <v>0.01</v>
      </c>
    </row>
    <row r="2248" spans="1:11" s="946" customFormat="1" ht="33.75" customHeight="1" x14ac:dyDescent="0.25">
      <c r="B2248" s="973">
        <v>88940</v>
      </c>
      <c r="C2248" s="974">
        <v>333903600000000</v>
      </c>
      <c r="D2248" s="973" t="s">
        <v>6213</v>
      </c>
      <c r="E2248" s="954"/>
      <c r="F2248" s="949">
        <v>31</v>
      </c>
      <c r="G2248" s="945">
        <v>0</v>
      </c>
      <c r="H2248" s="950">
        <v>0</v>
      </c>
      <c r="I2248" s="951">
        <f>PUCFD!E1970</f>
        <v>0.01</v>
      </c>
    </row>
    <row r="2249" spans="1:11" s="946" customFormat="1" ht="31.5" customHeight="1" x14ac:dyDescent="0.25">
      <c r="B2249" s="973">
        <v>88960</v>
      </c>
      <c r="C2249" s="974">
        <v>333903900000000</v>
      </c>
      <c r="D2249" s="973" t="s">
        <v>6214</v>
      </c>
      <c r="E2249" s="954"/>
      <c r="F2249" s="949">
        <v>31</v>
      </c>
      <c r="G2249" s="945">
        <v>0</v>
      </c>
      <c r="H2249" s="950">
        <v>0</v>
      </c>
      <c r="I2249" s="951">
        <f>PUCFD!E1971</f>
        <v>0.01</v>
      </c>
    </row>
    <row r="2250" spans="1:11" s="946" customFormat="1" ht="37.5" customHeight="1" x14ac:dyDescent="0.25">
      <c r="B2250" s="973">
        <v>88980</v>
      </c>
      <c r="C2250" s="974">
        <v>333903900000000</v>
      </c>
      <c r="D2250" s="973" t="s">
        <v>6215</v>
      </c>
      <c r="E2250" s="954"/>
      <c r="F2250" s="949">
        <v>31</v>
      </c>
      <c r="G2250" s="945">
        <v>0</v>
      </c>
      <c r="H2250" s="950">
        <v>0</v>
      </c>
      <c r="I2250" s="951">
        <f>PUCFD!E1972</f>
        <v>0.01</v>
      </c>
    </row>
    <row r="2251" spans="1:11" s="1031" customFormat="1" ht="15" customHeight="1" x14ac:dyDescent="0.25">
      <c r="A2251" s="1023"/>
      <c r="B2251" s="1028" t="s">
        <v>3138</v>
      </c>
      <c r="C2251" s="1029">
        <v>12</v>
      </c>
      <c r="D2251" s="1028" t="s">
        <v>4728</v>
      </c>
      <c r="E2251" s="1021"/>
      <c r="F2251" s="1022"/>
      <c r="G2251" s="1023"/>
      <c r="H2251" s="1023"/>
      <c r="I2251" s="1030">
        <f>I2252</f>
        <v>309601.86314592429</v>
      </c>
    </row>
    <row r="2252" spans="1:11" s="1031" customFormat="1" ht="15" customHeight="1" x14ac:dyDescent="0.25">
      <c r="A2252" s="1023"/>
      <c r="B2252" s="1028" t="s">
        <v>3139</v>
      </c>
      <c r="C2252" s="1029">
        <v>366</v>
      </c>
      <c r="D2252" s="1028" t="s">
        <v>4829</v>
      </c>
      <c r="E2252" s="1021"/>
      <c r="F2252" s="1022"/>
      <c r="G2252" s="1023"/>
      <c r="H2252" s="1023"/>
      <c r="I2252" s="1030">
        <f>I2253</f>
        <v>309601.86314592429</v>
      </c>
    </row>
    <row r="2253" spans="1:11" s="1031" customFormat="1" ht="34.5" customHeight="1" x14ac:dyDescent="0.25">
      <c r="A2253" s="1023"/>
      <c r="B2253" s="1028" t="s">
        <v>3137</v>
      </c>
      <c r="C2253" s="1029">
        <v>6</v>
      </c>
      <c r="D2253" s="1028" t="s">
        <v>4729</v>
      </c>
      <c r="E2253" s="1021"/>
      <c r="F2253" s="1022"/>
      <c r="G2253" s="1023"/>
      <c r="H2253" s="1023"/>
      <c r="I2253" s="1030">
        <f>I2254</f>
        <v>309601.86314592429</v>
      </c>
      <c r="J2253" s="1040"/>
      <c r="K2253" s="1040"/>
    </row>
    <row r="2254" spans="1:11" s="1032" customFormat="1" ht="24.95" customHeight="1" x14ac:dyDescent="0.25">
      <c r="A2254" s="1023"/>
      <c r="B2254" s="1019" t="s">
        <v>2965</v>
      </c>
      <c r="C2254" s="1029">
        <v>39</v>
      </c>
      <c r="D2254" s="1019" t="s">
        <v>4827</v>
      </c>
      <c r="F2254" s="1022"/>
      <c r="G2254" s="1019"/>
      <c r="H2254" s="1033"/>
      <c r="I2254" s="1024">
        <f>SUM(I2255+I2256+I2258+I2259+I2260+I2261+I2262+I2263+I2264+I2265+I2266+I2267+I2268+I2269+I2270+I2272+I2273+I2274+I2276+I2277+I2278+I2275)</f>
        <v>309601.86314592429</v>
      </c>
      <c r="J2254" s="1041"/>
    </row>
    <row r="2255" spans="1:11" s="996" customFormat="1" ht="37.5" customHeight="1" x14ac:dyDescent="0.25">
      <c r="A2255" s="981"/>
      <c r="B2255" s="963">
        <v>89000</v>
      </c>
      <c r="C2255" s="964">
        <v>331900400000000</v>
      </c>
      <c r="D2255" s="963" t="s">
        <v>6216</v>
      </c>
      <c r="F2255" s="1022">
        <v>31</v>
      </c>
      <c r="G2255" s="1019">
        <v>0</v>
      </c>
      <c r="H2255" s="995"/>
      <c r="I2255" s="1024">
        <f>SUM(PUCFD!E1975:E1976)</f>
        <v>0.02</v>
      </c>
    </row>
    <row r="2256" spans="1:11" s="996" customFormat="1" ht="40.5" customHeight="1" x14ac:dyDescent="0.25">
      <c r="A2256" s="981"/>
      <c r="B2256" s="993">
        <v>89050</v>
      </c>
      <c r="C2256" s="994">
        <v>331900800000000</v>
      </c>
      <c r="D2256" s="993" t="s">
        <v>6217</v>
      </c>
      <c r="F2256" s="985">
        <v>1</v>
      </c>
      <c r="G2256" s="993">
        <v>0</v>
      </c>
      <c r="H2256" s="981">
        <v>0</v>
      </c>
      <c r="I2256" s="986">
        <f>(I2258+I2260+I2261+I2262)*(PUCFD!E$94)</f>
        <v>25975.668384228229</v>
      </c>
    </row>
    <row r="2257" spans="1:9" s="996" customFormat="1" ht="24.95" customHeight="1" x14ac:dyDescent="0.25">
      <c r="A2257" s="981"/>
      <c r="B2257" s="966" t="s">
        <v>6232</v>
      </c>
      <c r="C2257" s="997">
        <v>319008990400000</v>
      </c>
      <c r="D2257" s="966" t="s">
        <v>4234</v>
      </c>
      <c r="F2257" s="969">
        <v>1</v>
      </c>
      <c r="G2257" s="966">
        <v>0</v>
      </c>
      <c r="H2257" s="965">
        <v>0</v>
      </c>
      <c r="I2257" s="970">
        <v>0</v>
      </c>
    </row>
    <row r="2258" spans="1:9" s="996" customFormat="1" ht="33" customHeight="1" x14ac:dyDescent="0.25">
      <c r="A2258" s="981"/>
      <c r="B2258" s="963">
        <v>89100</v>
      </c>
      <c r="C2258" s="964">
        <v>331901100000000</v>
      </c>
      <c r="D2258" s="963" t="s">
        <v>6218</v>
      </c>
      <c r="F2258" s="1022">
        <v>31</v>
      </c>
      <c r="G2258" s="1019">
        <v>0</v>
      </c>
      <c r="H2258" s="995"/>
      <c r="I2258" s="1024">
        <f>SUM(PUCFD!E1978:E1988)*(1+PUCFD!E$87)</f>
        <v>225092.41700371078</v>
      </c>
    </row>
    <row r="2259" spans="1:9" s="996" customFormat="1" ht="24.95" customHeight="1" x14ac:dyDescent="0.25">
      <c r="A2259" s="981"/>
      <c r="B2259" s="963">
        <v>89150</v>
      </c>
      <c r="C2259" s="964">
        <v>331901300000000</v>
      </c>
      <c r="D2259" s="963" t="s">
        <v>6219</v>
      </c>
      <c r="F2259" s="1022">
        <v>31</v>
      </c>
      <c r="G2259" s="1019">
        <v>0</v>
      </c>
      <c r="H2259" s="995"/>
      <c r="I2259" s="1024">
        <f>(I2258+I2260+I2261+I2262)*(PUCFD!E$92)</f>
        <v>47269.413870779266</v>
      </c>
    </row>
    <row r="2260" spans="1:9" s="996" customFormat="1" ht="24.95" customHeight="1" x14ac:dyDescent="0.25">
      <c r="A2260" s="981"/>
      <c r="B2260" s="963">
        <v>89180</v>
      </c>
      <c r="C2260" s="964">
        <v>331901600000000</v>
      </c>
      <c r="D2260" s="963" t="s">
        <v>6220</v>
      </c>
      <c r="F2260" s="1022">
        <v>31</v>
      </c>
      <c r="G2260" s="1019">
        <v>0</v>
      </c>
      <c r="H2260" s="995"/>
      <c r="I2260" s="1024">
        <f>(PUCFD!E1991)</f>
        <v>0.01</v>
      </c>
    </row>
    <row r="2261" spans="1:9" s="996" customFormat="1" ht="39" customHeight="1" x14ac:dyDescent="0.25">
      <c r="A2261" s="981"/>
      <c r="B2261" s="963">
        <v>89210</v>
      </c>
      <c r="C2261" s="964">
        <v>331903400000000</v>
      </c>
      <c r="D2261" s="963" t="s">
        <v>6221</v>
      </c>
      <c r="F2261" s="1022">
        <v>31</v>
      </c>
      <c r="G2261" s="1019">
        <v>0</v>
      </c>
      <c r="H2261" s="995"/>
      <c r="I2261" s="1024">
        <f>(PUCFD!E1992)</f>
        <v>0.01</v>
      </c>
    </row>
    <row r="2262" spans="1:9" s="996" customFormat="1" ht="24.95" customHeight="1" x14ac:dyDescent="0.25">
      <c r="A2262" s="981"/>
      <c r="B2262" s="963">
        <v>89240</v>
      </c>
      <c r="C2262" s="964">
        <v>331909400000000</v>
      </c>
      <c r="D2262" s="963" t="s">
        <v>6222</v>
      </c>
      <c r="F2262" s="1022">
        <v>31</v>
      </c>
      <c r="G2262" s="1019">
        <v>0</v>
      </c>
      <c r="H2262" s="995"/>
      <c r="I2262" s="1024">
        <f>(PUCFD!E1993)</f>
        <v>0.01</v>
      </c>
    </row>
    <row r="2263" spans="1:9" s="996" customFormat="1" ht="24.95" customHeight="1" x14ac:dyDescent="0.25">
      <c r="A2263" s="981"/>
      <c r="B2263" s="963">
        <v>89270</v>
      </c>
      <c r="C2263" s="964">
        <v>333901400000000</v>
      </c>
      <c r="D2263" s="963" t="s">
        <v>6223</v>
      </c>
      <c r="F2263" s="1022">
        <v>31</v>
      </c>
      <c r="G2263" s="1019">
        <v>0</v>
      </c>
      <c r="H2263" s="995"/>
      <c r="I2263" s="1024">
        <f>(PUCFD!E1994)</f>
        <v>0.01</v>
      </c>
    </row>
    <row r="2264" spans="1:9" s="996" customFormat="1" ht="24.95" customHeight="1" x14ac:dyDescent="0.25">
      <c r="A2264" s="981"/>
      <c r="B2264" s="963">
        <v>89300</v>
      </c>
      <c r="C2264" s="964">
        <v>333903000000000</v>
      </c>
      <c r="D2264" s="963" t="s">
        <v>6224</v>
      </c>
      <c r="F2264" s="1022">
        <v>31</v>
      </c>
      <c r="G2264" s="1019">
        <v>0</v>
      </c>
      <c r="H2264" s="995"/>
      <c r="I2264" s="1024">
        <f>(PUCFD!E1995)</f>
        <v>1.0999999999999999E-2</v>
      </c>
    </row>
    <row r="2265" spans="1:9" s="996" customFormat="1" ht="24.95" customHeight="1" x14ac:dyDescent="0.25">
      <c r="A2265" s="981"/>
      <c r="B2265" s="963">
        <v>89350</v>
      </c>
      <c r="C2265" s="964">
        <v>333903200000000</v>
      </c>
      <c r="D2265" s="963" t="s">
        <v>6225</v>
      </c>
      <c r="F2265" s="1022">
        <v>31</v>
      </c>
      <c r="G2265" s="1019">
        <v>0</v>
      </c>
      <c r="H2265" s="995"/>
      <c r="I2265" s="1024">
        <f>PUCFD!E1997</f>
        <v>0.01</v>
      </c>
    </row>
    <row r="2266" spans="1:9" s="996" customFormat="1" ht="24.95" customHeight="1" x14ac:dyDescent="0.25">
      <c r="A2266" s="981"/>
      <c r="B2266" s="963">
        <v>89380</v>
      </c>
      <c r="C2266" s="964">
        <v>333903300000000</v>
      </c>
      <c r="D2266" s="963" t="s">
        <v>6226</v>
      </c>
      <c r="F2266" s="1022">
        <v>31</v>
      </c>
      <c r="G2266" s="1019">
        <v>0</v>
      </c>
      <c r="H2266" s="995"/>
      <c r="I2266" s="1024">
        <f>(PUCFD!E1998*(1+PUCFD!E$10))*(1+PUCFD!E$16)</f>
        <v>1.0973403E-2</v>
      </c>
    </row>
    <row r="2267" spans="1:9" s="996" customFormat="1" ht="24.95" customHeight="1" x14ac:dyDescent="0.25">
      <c r="A2267" s="981"/>
      <c r="B2267" s="963">
        <v>89410</v>
      </c>
      <c r="C2267" s="964">
        <v>333903500000000</v>
      </c>
      <c r="D2267" s="963" t="s">
        <v>6227</v>
      </c>
      <c r="F2267" s="1022">
        <v>31</v>
      </c>
      <c r="G2267" s="1019">
        <v>0</v>
      </c>
      <c r="H2267" s="995"/>
      <c r="I2267" s="1024">
        <f>(PUCFD!E1999*(1+PUCFD!E$10))*(1+PUCFD!E$16)</f>
        <v>1.0973403E-2</v>
      </c>
    </row>
    <row r="2268" spans="1:9" s="996" customFormat="1" ht="24.95" customHeight="1" x14ac:dyDescent="0.25">
      <c r="A2268" s="981"/>
      <c r="B2268" s="963">
        <v>89450</v>
      </c>
      <c r="C2268" s="964">
        <v>333903600000000</v>
      </c>
      <c r="D2268" s="963" t="s">
        <v>6228</v>
      </c>
      <c r="F2268" s="1022">
        <v>31</v>
      </c>
      <c r="G2268" s="1019">
        <v>0</v>
      </c>
      <c r="H2268" s="995"/>
      <c r="I2268" s="1024">
        <f>(PUCFD!E2000*(1+PUCFD!E$10))*(1+PUCFD!E$16)</f>
        <v>1.0973403E-2</v>
      </c>
    </row>
    <row r="2269" spans="1:9" s="996" customFormat="1" ht="24.95" customHeight="1" x14ac:dyDescent="0.25">
      <c r="A2269" s="981"/>
      <c r="B2269" s="963">
        <v>89500</v>
      </c>
      <c r="C2269" s="964">
        <v>333903900000000</v>
      </c>
      <c r="D2269" s="963" t="s">
        <v>6229</v>
      </c>
      <c r="F2269" s="1022">
        <v>31</v>
      </c>
      <c r="G2269" s="1019">
        <v>0</v>
      </c>
      <c r="H2269" s="995"/>
      <c r="I2269" s="1024">
        <f>(PUCFD!E2001*(1+PUCFD!E$10))*(1+PUCFD!E$16)</f>
        <v>1.0973403E-2</v>
      </c>
    </row>
    <row r="2270" spans="1:9" s="996" customFormat="1" ht="24.95" customHeight="1" x14ac:dyDescent="0.25">
      <c r="A2270" s="981"/>
      <c r="B2270" s="993">
        <v>89560</v>
      </c>
      <c r="C2270" s="994">
        <v>333904600000000</v>
      </c>
      <c r="D2270" s="993" t="s">
        <v>6230</v>
      </c>
      <c r="F2270" s="985">
        <v>31</v>
      </c>
      <c r="G2270" s="993">
        <v>0</v>
      </c>
      <c r="H2270" s="995"/>
      <c r="I2270" s="1015">
        <f>(PUCFD!E2002*(1+PUCFD!E$10))*(1+PUCFD!E$16)</f>
        <v>6658.5731531759993</v>
      </c>
    </row>
    <row r="2271" spans="1:9" s="996" customFormat="1" ht="24.95" customHeight="1" x14ac:dyDescent="0.25">
      <c r="A2271" s="981"/>
      <c r="B2271" s="993">
        <v>89570</v>
      </c>
      <c r="C2271" s="994">
        <v>333904600000000</v>
      </c>
      <c r="D2271" s="993" t="s">
        <v>6230</v>
      </c>
      <c r="F2271" s="985">
        <v>1</v>
      </c>
      <c r="G2271" s="993">
        <v>0</v>
      </c>
      <c r="H2271" s="995"/>
      <c r="I2271" s="1015">
        <v>0.01</v>
      </c>
    </row>
    <row r="2272" spans="1:9" s="996" customFormat="1" ht="24.95" customHeight="1" x14ac:dyDescent="0.25">
      <c r="A2272" s="981"/>
      <c r="B2272" s="963">
        <v>89580</v>
      </c>
      <c r="C2272" s="964">
        <v>333904700000000</v>
      </c>
      <c r="D2272" s="963" t="s">
        <v>6231</v>
      </c>
      <c r="F2272" s="1022">
        <v>31</v>
      </c>
      <c r="G2272" s="1019">
        <v>0</v>
      </c>
      <c r="H2272" s="995"/>
      <c r="I2272" s="1024">
        <f>(PUCFD!E2003*(1+PUCFD!E$10))*(1+PUCFD!E$16)</f>
        <v>1.0973403E-2</v>
      </c>
    </row>
    <row r="2273" spans="1:9" s="996" customFormat="1" ht="24.95" customHeight="1" x14ac:dyDescent="0.25">
      <c r="A2273" s="981"/>
      <c r="B2273" s="963">
        <v>89610</v>
      </c>
      <c r="C2273" s="964">
        <v>333904900000000</v>
      </c>
      <c r="D2273" s="963" t="s">
        <v>6233</v>
      </c>
      <c r="F2273" s="1022">
        <v>31</v>
      </c>
      <c r="G2273" s="1019">
        <v>0</v>
      </c>
      <c r="H2273" s="995"/>
      <c r="I2273" s="1024">
        <f>SUM(PUCFD!E2005:E2006)</f>
        <v>4605.6000000000004</v>
      </c>
    </row>
    <row r="2274" spans="1:9" s="996" customFormat="1" ht="24.95" customHeight="1" x14ac:dyDescent="0.25">
      <c r="A2274" s="981"/>
      <c r="B2274" s="963">
        <v>89640</v>
      </c>
      <c r="C2274" s="964">
        <v>333909200000000</v>
      </c>
      <c r="D2274" s="963" t="s">
        <v>6234</v>
      </c>
      <c r="F2274" s="1022">
        <v>31</v>
      </c>
      <c r="G2274" s="1019">
        <v>0</v>
      </c>
      <c r="H2274" s="995"/>
      <c r="I2274" s="1024">
        <f>(PUCFD!E2007*(1+PUCFD!E$10))*(1+PUCFD!E$16)</f>
        <v>1.0973403E-2</v>
      </c>
    </row>
    <row r="2275" spans="1:9" s="996" customFormat="1" ht="24.95" customHeight="1" x14ac:dyDescent="0.25">
      <c r="A2275" s="981"/>
      <c r="B2275" s="963">
        <v>89660</v>
      </c>
      <c r="C2275" s="964">
        <v>333909300000000</v>
      </c>
      <c r="D2275" s="963" t="s">
        <v>6235</v>
      </c>
      <c r="F2275" s="1022">
        <v>31</v>
      </c>
      <c r="G2275" s="1019">
        <v>0</v>
      </c>
      <c r="H2275" s="995"/>
      <c r="I2275" s="1024">
        <f>(PUCFD!E2008*(1+PUCFD!E$10))*(1+PUCFD!E$16)</f>
        <v>1.0973403E-2</v>
      </c>
    </row>
    <row r="2276" spans="1:9" s="996" customFormat="1" ht="24.95" customHeight="1" x14ac:dyDescent="0.25">
      <c r="A2276" s="981"/>
      <c r="B2276" s="963">
        <v>89680</v>
      </c>
      <c r="C2276" s="964">
        <v>333933000000000</v>
      </c>
      <c r="D2276" s="963" t="s">
        <v>6236</v>
      </c>
      <c r="F2276" s="1022">
        <v>31</v>
      </c>
      <c r="G2276" s="1019">
        <v>0</v>
      </c>
      <c r="H2276" s="995"/>
      <c r="I2276" s="1024">
        <f>(PUCFD!E2009*(1+PUCFD!E$10))*(1+PUCFD!E$16)</f>
        <v>1.0973403E-2</v>
      </c>
    </row>
    <row r="2277" spans="1:9" s="996" customFormat="1" ht="24.95" customHeight="1" x14ac:dyDescent="0.25">
      <c r="A2277" s="981"/>
      <c r="B2277" s="963">
        <v>89700</v>
      </c>
      <c r="C2277" s="964">
        <v>344905100000000</v>
      </c>
      <c r="D2277" s="963" t="s">
        <v>6237</v>
      </c>
      <c r="F2277" s="1022">
        <v>31</v>
      </c>
      <c r="G2277" s="1019">
        <v>0</v>
      </c>
      <c r="H2277" s="995"/>
      <c r="I2277" s="1024">
        <f>(PUCFD!E2010*(1+PUCFD!E$10))*(1+PUCFD!E$16)</f>
        <v>1.0973403E-2</v>
      </c>
    </row>
    <row r="2278" spans="1:9" s="996" customFormat="1" ht="24.95" customHeight="1" x14ac:dyDescent="0.25">
      <c r="A2278" s="981"/>
      <c r="B2278" s="963">
        <v>89740</v>
      </c>
      <c r="C2278" s="964">
        <v>344905200000000</v>
      </c>
      <c r="D2278" s="963" t="s">
        <v>6238</v>
      </c>
      <c r="F2278" s="1022">
        <v>31</v>
      </c>
      <c r="G2278" s="1019">
        <v>0</v>
      </c>
      <c r="H2278" s="995"/>
      <c r="I2278" s="1024">
        <f>(PUCFD!E2011*(1+PUCFD!E$10))*(1+PUCFD!E$16)</f>
        <v>1.0973403E-2</v>
      </c>
    </row>
    <row r="2279" spans="1:9" s="971" customFormat="1" ht="15" customHeight="1" x14ac:dyDescent="0.25">
      <c r="A2279" s="981"/>
      <c r="B2279" s="1028" t="s">
        <v>3138</v>
      </c>
      <c r="C2279" s="983">
        <v>12</v>
      </c>
      <c r="D2279" s="982" t="s">
        <v>4728</v>
      </c>
      <c r="E2279" s="984"/>
      <c r="F2279" s="985"/>
      <c r="G2279" s="981"/>
      <c r="H2279" s="981"/>
      <c r="I2279" s="986">
        <f>I2280</f>
        <v>1.0973403E-2</v>
      </c>
    </row>
    <row r="2280" spans="1:9" s="971" customFormat="1" ht="15" customHeight="1" x14ac:dyDescent="0.25">
      <c r="A2280" s="981"/>
      <c r="B2280" s="1028" t="s">
        <v>3139</v>
      </c>
      <c r="C2280" s="983">
        <v>126</v>
      </c>
      <c r="D2280" s="982" t="s">
        <v>3600</v>
      </c>
      <c r="E2280" s="984"/>
      <c r="F2280" s="985"/>
      <c r="G2280" s="981"/>
      <c r="H2280" s="981"/>
      <c r="I2280" s="986">
        <f>I2281</f>
        <v>1.0973403E-2</v>
      </c>
    </row>
    <row r="2281" spans="1:9" s="971" customFormat="1" ht="34.5" customHeight="1" x14ac:dyDescent="0.25">
      <c r="A2281" s="981"/>
      <c r="B2281" s="1028" t="s">
        <v>3137</v>
      </c>
      <c r="C2281" s="983">
        <v>6</v>
      </c>
      <c r="D2281" s="982" t="s">
        <v>4729</v>
      </c>
      <c r="E2281" s="984"/>
      <c r="F2281" s="985"/>
      <c r="G2281" s="981"/>
      <c r="H2281" s="981"/>
      <c r="I2281" s="986">
        <f>I2282</f>
        <v>1.0973403E-2</v>
      </c>
    </row>
    <row r="2282" spans="1:9" s="946" customFormat="1" ht="24.95" customHeight="1" x14ac:dyDescent="0.25">
      <c r="A2282" s="958"/>
      <c r="B2282" s="1019" t="s">
        <v>2965</v>
      </c>
      <c r="C2282" s="959">
        <v>38</v>
      </c>
      <c r="D2282" s="963" t="s">
        <v>4812</v>
      </c>
      <c r="F2282" s="960"/>
      <c r="G2282" s="963"/>
      <c r="H2282" s="956"/>
      <c r="I2282" s="1024">
        <f>I2283</f>
        <v>1.0973403E-2</v>
      </c>
    </row>
    <row r="2283" spans="1:9" ht="33.75" customHeight="1" x14ac:dyDescent="0.25">
      <c r="B2283" s="973">
        <v>89900</v>
      </c>
      <c r="C2283" s="974">
        <v>333904000000000</v>
      </c>
      <c r="D2283" s="973" t="s">
        <v>6239</v>
      </c>
      <c r="F2283" s="975">
        <v>31</v>
      </c>
      <c r="G2283" s="973">
        <v>0</v>
      </c>
      <c r="H2283" s="972">
        <v>0</v>
      </c>
      <c r="I2283" s="1039">
        <f>(PUCFD!E2015*(1+PUCFD!E$10))*(1+PUCFD!E$16)</f>
        <v>1.0973403E-2</v>
      </c>
    </row>
    <row r="2284" spans="1:9" ht="24.95" customHeight="1" x14ac:dyDescent="0.25">
      <c r="A2284" s="958"/>
      <c r="B2284" s="1028" t="s">
        <v>3138</v>
      </c>
      <c r="C2284" s="959">
        <v>12</v>
      </c>
      <c r="D2284" s="962" t="s">
        <v>4728</v>
      </c>
      <c r="E2284" s="954"/>
      <c r="F2284" s="960"/>
      <c r="G2284" s="958"/>
      <c r="H2284" s="958"/>
      <c r="I2284" s="961">
        <f>I2285</f>
        <v>0.05</v>
      </c>
    </row>
    <row r="2285" spans="1:9" ht="24.95" customHeight="1" x14ac:dyDescent="0.25">
      <c r="A2285" s="958"/>
      <c r="B2285" s="1028" t="s">
        <v>3139</v>
      </c>
      <c r="C2285" s="959">
        <v>128</v>
      </c>
      <c r="D2285" s="962" t="s">
        <v>5104</v>
      </c>
      <c r="E2285" s="954"/>
      <c r="F2285" s="960"/>
      <c r="G2285" s="958"/>
      <c r="H2285" s="958"/>
      <c r="I2285" s="961">
        <f>I2287</f>
        <v>0.05</v>
      </c>
    </row>
    <row r="2286" spans="1:9" ht="24.95" customHeight="1" x14ac:dyDescent="0.25">
      <c r="A2286" s="958"/>
      <c r="B2286" s="1028" t="s">
        <v>3137</v>
      </c>
      <c r="C2286" s="959">
        <v>6</v>
      </c>
      <c r="D2286" s="962" t="s">
        <v>4729</v>
      </c>
      <c r="E2286" s="954"/>
      <c r="F2286" s="960"/>
      <c r="G2286" s="958"/>
      <c r="H2286" s="958"/>
      <c r="I2286" s="961">
        <f>I2287</f>
        <v>0.05</v>
      </c>
    </row>
    <row r="2287" spans="1:9" s="946" customFormat="1" ht="24.95" customHeight="1" x14ac:dyDescent="0.25">
      <c r="B2287" s="1019" t="s">
        <v>2965</v>
      </c>
      <c r="C2287" s="959">
        <v>38</v>
      </c>
      <c r="D2287" s="963" t="s">
        <v>4812</v>
      </c>
      <c r="E2287" s="954"/>
      <c r="F2287" s="960"/>
      <c r="G2287" s="963"/>
      <c r="H2287" s="958"/>
      <c r="I2287" s="957">
        <f>SUM(I2288:I2292)</f>
        <v>0.05</v>
      </c>
    </row>
    <row r="2288" spans="1:9" s="946" customFormat="1" ht="24.95" customHeight="1" x14ac:dyDescent="0.25">
      <c r="B2288" s="973">
        <v>89950</v>
      </c>
      <c r="C2288" s="974">
        <v>333901400000000</v>
      </c>
      <c r="D2288" s="973" t="s">
        <v>6240</v>
      </c>
      <c r="E2288" s="954"/>
      <c r="F2288" s="949">
        <v>31</v>
      </c>
      <c r="G2288" s="945">
        <v>0</v>
      </c>
      <c r="H2288" s="950">
        <v>0</v>
      </c>
      <c r="I2288" s="951">
        <f>PUCFD!E2017</f>
        <v>0.01</v>
      </c>
    </row>
    <row r="2289" spans="1:10" s="946" customFormat="1" ht="36" customHeight="1" x14ac:dyDescent="0.25">
      <c r="B2289" s="973">
        <v>89970</v>
      </c>
      <c r="C2289" s="974">
        <v>333903300000000</v>
      </c>
      <c r="D2289" s="973" t="s">
        <v>6241</v>
      </c>
      <c r="E2289" s="954"/>
      <c r="F2289" s="949">
        <v>31</v>
      </c>
      <c r="G2289" s="945">
        <v>0</v>
      </c>
      <c r="H2289" s="950">
        <v>0</v>
      </c>
      <c r="I2289" s="951">
        <f>PUCFD!E2018</f>
        <v>0.01</v>
      </c>
    </row>
    <row r="2290" spans="1:10" s="946" customFormat="1" ht="24.95" customHeight="1" x14ac:dyDescent="0.25">
      <c r="B2290" s="973">
        <v>89990</v>
      </c>
      <c r="C2290" s="974">
        <v>333903600000000</v>
      </c>
      <c r="D2290" s="973" t="s">
        <v>6244</v>
      </c>
      <c r="E2290" s="954"/>
      <c r="F2290" s="949">
        <v>31</v>
      </c>
      <c r="G2290" s="945">
        <v>0</v>
      </c>
      <c r="H2290" s="950">
        <v>0</v>
      </c>
      <c r="I2290" s="951">
        <f>PUCFD!E2019</f>
        <v>0.01</v>
      </c>
    </row>
    <row r="2291" spans="1:10" s="946" customFormat="1" ht="24.95" customHeight="1" x14ac:dyDescent="0.25">
      <c r="B2291" s="973">
        <v>90010</v>
      </c>
      <c r="C2291" s="974">
        <v>333903900000000</v>
      </c>
      <c r="D2291" s="973" t="s">
        <v>6242</v>
      </c>
      <c r="E2291" s="954"/>
      <c r="F2291" s="949">
        <v>31</v>
      </c>
      <c r="G2291" s="945">
        <v>0</v>
      </c>
      <c r="H2291" s="950">
        <v>0</v>
      </c>
      <c r="I2291" s="951">
        <f>PUCFD!E2020</f>
        <v>0.01</v>
      </c>
    </row>
    <row r="2292" spans="1:10" s="946" customFormat="1" ht="24.95" customHeight="1" x14ac:dyDescent="0.25">
      <c r="B2292" s="973">
        <v>90030</v>
      </c>
      <c r="C2292" s="974">
        <v>333903900000000</v>
      </c>
      <c r="D2292" s="973" t="s">
        <v>6243</v>
      </c>
      <c r="E2292" s="954"/>
      <c r="F2292" s="949">
        <v>31</v>
      </c>
      <c r="G2292" s="945">
        <v>0</v>
      </c>
      <c r="H2292" s="950">
        <v>0</v>
      </c>
      <c r="I2292" s="951">
        <f>PUCFD!E2021</f>
        <v>0.01</v>
      </c>
    </row>
    <row r="2293" spans="1:10" ht="15" customHeight="1" x14ac:dyDescent="0.25">
      <c r="A2293" s="958"/>
      <c r="B2293" s="1028" t="s">
        <v>3138</v>
      </c>
      <c r="C2293" s="959">
        <v>12</v>
      </c>
      <c r="D2293" s="962" t="s">
        <v>4728</v>
      </c>
      <c r="E2293" s="954"/>
      <c r="F2293" s="960"/>
      <c r="G2293" s="958"/>
      <c r="H2293" s="958"/>
      <c r="I2293" s="1030">
        <f>I2294</f>
        <v>136093.65246089059</v>
      </c>
    </row>
    <row r="2294" spans="1:10" ht="15" customHeight="1" x14ac:dyDescent="0.25">
      <c r="A2294" s="958"/>
      <c r="B2294" s="1028" t="s">
        <v>3139</v>
      </c>
      <c r="C2294" s="959">
        <v>367</v>
      </c>
      <c r="D2294" s="962" t="s">
        <v>4819</v>
      </c>
      <c r="E2294" s="954"/>
      <c r="F2294" s="960"/>
      <c r="G2294" s="958"/>
      <c r="H2294" s="958"/>
      <c r="I2294" s="1030">
        <f>I2295</f>
        <v>136093.65246089059</v>
      </c>
    </row>
    <row r="2295" spans="1:10" ht="34.5" customHeight="1" x14ac:dyDescent="0.25">
      <c r="A2295" s="958"/>
      <c r="B2295" s="1028" t="s">
        <v>3137</v>
      </c>
      <c r="C2295" s="959">
        <v>6</v>
      </c>
      <c r="D2295" s="962" t="s">
        <v>4729</v>
      </c>
      <c r="E2295" s="954"/>
      <c r="F2295" s="960"/>
      <c r="G2295" s="958"/>
      <c r="H2295" s="958"/>
      <c r="I2295" s="1030">
        <f>I2296</f>
        <v>136093.65246089059</v>
      </c>
    </row>
    <row r="2296" spans="1:10" s="946" customFormat="1" ht="24.95" customHeight="1" x14ac:dyDescent="0.25">
      <c r="A2296" s="958"/>
      <c r="B2296" s="1019" t="s">
        <v>2965</v>
      </c>
      <c r="C2296" s="959">
        <v>38</v>
      </c>
      <c r="D2296" s="963" t="s">
        <v>4812</v>
      </c>
      <c r="F2296" s="960"/>
      <c r="G2296" s="963"/>
      <c r="H2296" s="956"/>
      <c r="I2296" s="1024">
        <f>SUM(I2297+I2298+I2300+I2301+I2302+I2303+I2304+I2305+I2306+I2307+I2308+I2309+I2310+I2311+I2312+I2314+I2315+I2316+I2317+I2318+I2319+I2320)</f>
        <v>136093.65246089059</v>
      </c>
      <c r="J2296" s="1012"/>
    </row>
    <row r="2297" spans="1:10" s="946" customFormat="1" ht="24.95" customHeight="1" x14ac:dyDescent="0.25">
      <c r="A2297" s="958"/>
      <c r="B2297" s="963">
        <v>90200</v>
      </c>
      <c r="C2297" s="964">
        <v>331900400000000</v>
      </c>
      <c r="D2297" s="963" t="s">
        <v>6246</v>
      </c>
      <c r="F2297" s="960">
        <v>31</v>
      </c>
      <c r="G2297" s="963">
        <v>0</v>
      </c>
      <c r="H2297" s="956"/>
      <c r="I2297" s="1024">
        <f>SUM(PUCFD!E2024:E2025)</f>
        <v>0.02</v>
      </c>
    </row>
    <row r="2298" spans="1:10" s="996" customFormat="1" ht="24.95" customHeight="1" x14ac:dyDescent="0.25">
      <c r="A2298" s="981"/>
      <c r="B2298" s="993">
        <v>90250</v>
      </c>
      <c r="C2298" s="994">
        <v>331900800000000</v>
      </c>
      <c r="D2298" s="993" t="s">
        <v>6247</v>
      </c>
      <c r="F2298" s="985">
        <v>1</v>
      </c>
      <c r="G2298" s="993">
        <v>0</v>
      </c>
      <c r="H2298" s="981">
        <v>0</v>
      </c>
      <c r="I2298" s="986">
        <f>(I2300+I2302+I2303+I2304)*(PUCFD!E$94)</f>
        <v>10735.008923845631</v>
      </c>
    </row>
    <row r="2299" spans="1:10" s="996" customFormat="1" ht="24.95" customHeight="1" x14ac:dyDescent="0.25">
      <c r="A2299" s="981"/>
      <c r="B2299" s="973" t="s">
        <v>6245</v>
      </c>
      <c r="C2299" s="997">
        <v>319008990400000</v>
      </c>
      <c r="D2299" s="966" t="s">
        <v>4234</v>
      </c>
      <c r="F2299" s="969">
        <v>1</v>
      </c>
      <c r="G2299" s="966">
        <v>0</v>
      </c>
      <c r="H2299" s="965">
        <v>0</v>
      </c>
      <c r="I2299" s="970">
        <v>0</v>
      </c>
    </row>
    <row r="2300" spans="1:10" s="946" customFormat="1" ht="24.95" customHeight="1" x14ac:dyDescent="0.25">
      <c r="A2300" s="958"/>
      <c r="B2300" s="963">
        <v>90280</v>
      </c>
      <c r="C2300" s="964">
        <v>331901100000000</v>
      </c>
      <c r="D2300" s="963" t="s">
        <v>6248</v>
      </c>
      <c r="F2300" s="960">
        <v>31</v>
      </c>
      <c r="G2300" s="963">
        <v>0</v>
      </c>
      <c r="H2300" s="956"/>
      <c r="I2300" s="1024">
        <f>SUM(PUCFD!E2027:E2037)*(1+PUCFD!E$87)</f>
        <v>93024.300761227307</v>
      </c>
    </row>
    <row r="2301" spans="1:10" s="946" customFormat="1" ht="24.95" customHeight="1" x14ac:dyDescent="0.25">
      <c r="A2301" s="958"/>
      <c r="B2301" s="963">
        <v>90330</v>
      </c>
      <c r="C2301" s="964">
        <v>331901300000000</v>
      </c>
      <c r="D2301" s="963" t="s">
        <v>6249</v>
      </c>
      <c r="F2301" s="960">
        <v>31</v>
      </c>
      <c r="G2301" s="963">
        <v>0</v>
      </c>
      <c r="H2301" s="956"/>
      <c r="I2301" s="1024">
        <f>(I2300+I2302+I2303+I2304)*(PUCFD!E$92)</f>
        <v>19535.111559857731</v>
      </c>
    </row>
    <row r="2302" spans="1:10" s="946" customFormat="1" ht="24.95" customHeight="1" x14ac:dyDescent="0.25">
      <c r="A2302" s="958"/>
      <c r="B2302" s="963">
        <v>90360</v>
      </c>
      <c r="C2302" s="964">
        <v>331901600000000</v>
      </c>
      <c r="D2302" s="963" t="s">
        <v>6250</v>
      </c>
      <c r="F2302" s="960">
        <v>31</v>
      </c>
      <c r="G2302" s="963">
        <v>0</v>
      </c>
      <c r="H2302" s="956"/>
      <c r="I2302" s="1024">
        <f>(PUCFD!E2041)</f>
        <v>0.01</v>
      </c>
    </row>
    <row r="2303" spans="1:10" s="946" customFormat="1" ht="24.95" customHeight="1" x14ac:dyDescent="0.25">
      <c r="A2303" s="958"/>
      <c r="B2303" s="963">
        <v>90420</v>
      </c>
      <c r="C2303" s="964">
        <v>331903400000000</v>
      </c>
      <c r="D2303" s="963" t="s">
        <v>6251</v>
      </c>
      <c r="F2303" s="960">
        <v>31</v>
      </c>
      <c r="G2303" s="963">
        <v>0</v>
      </c>
      <c r="H2303" s="956"/>
      <c r="I2303" s="1024">
        <f>(PUCFD!E2042)</f>
        <v>0.01</v>
      </c>
    </row>
    <row r="2304" spans="1:10" s="946" customFormat="1" ht="24.95" customHeight="1" x14ac:dyDescent="0.25">
      <c r="A2304" s="958"/>
      <c r="B2304" s="963">
        <v>90460</v>
      </c>
      <c r="C2304" s="964">
        <v>331909400000000</v>
      </c>
      <c r="D2304" s="963" t="s">
        <v>6252</v>
      </c>
      <c r="F2304" s="960">
        <v>31</v>
      </c>
      <c r="G2304" s="963">
        <v>0</v>
      </c>
      <c r="H2304" s="956"/>
      <c r="I2304" s="1024">
        <f>SUM(PUCFD!E2044:E2045)</f>
        <v>0.02</v>
      </c>
    </row>
    <row r="2305" spans="1:9" s="946" customFormat="1" ht="24.95" customHeight="1" x14ac:dyDescent="0.25">
      <c r="A2305" s="958"/>
      <c r="B2305" s="963">
        <v>90490</v>
      </c>
      <c r="C2305" s="964">
        <v>333901400000000</v>
      </c>
      <c r="D2305" s="963" t="s">
        <v>6253</v>
      </c>
      <c r="F2305" s="960">
        <v>31</v>
      </c>
      <c r="G2305" s="963">
        <v>0</v>
      </c>
      <c r="H2305" s="956"/>
      <c r="I2305" s="1024">
        <f>(PUCFD!E2046*(1+PUCFD!E$87))</f>
        <v>1.0499881765863014E-2</v>
      </c>
    </row>
    <row r="2306" spans="1:9" s="946" customFormat="1" ht="24.95" customHeight="1" x14ac:dyDescent="0.25">
      <c r="A2306" s="958"/>
      <c r="B2306" s="963">
        <v>90520</v>
      </c>
      <c r="C2306" s="964">
        <v>333903000000000</v>
      </c>
      <c r="D2306" s="963" t="s">
        <v>6254</v>
      </c>
      <c r="F2306" s="960">
        <v>31</v>
      </c>
      <c r="G2306" s="963">
        <v>0</v>
      </c>
      <c r="H2306" s="956"/>
      <c r="I2306" s="1024">
        <f>(PUCFD!E2007*(1+PUCFD!E$10))*(1+PUCFD!E$16)</f>
        <v>1.0973403E-2</v>
      </c>
    </row>
    <row r="2307" spans="1:9" s="946" customFormat="1" ht="24.95" customHeight="1" x14ac:dyDescent="0.25">
      <c r="A2307" s="958"/>
      <c r="B2307" s="963">
        <v>90560</v>
      </c>
      <c r="C2307" s="964">
        <v>333903200000000</v>
      </c>
      <c r="D2307" s="963" t="s">
        <v>6255</v>
      </c>
      <c r="F2307" s="960">
        <v>31</v>
      </c>
      <c r="G2307" s="963">
        <v>0</v>
      </c>
      <c r="H2307" s="956"/>
      <c r="I2307" s="1024">
        <f>PUCFD!E2048</f>
        <v>0.01</v>
      </c>
    </row>
    <row r="2308" spans="1:9" s="946" customFormat="1" ht="24.95" customHeight="1" x14ac:dyDescent="0.25">
      <c r="A2308" s="958"/>
      <c r="B2308" s="963">
        <v>90590</v>
      </c>
      <c r="C2308" s="964">
        <v>333903300000000</v>
      </c>
      <c r="D2308" s="963" t="s">
        <v>6256</v>
      </c>
      <c r="F2308" s="960">
        <v>31</v>
      </c>
      <c r="G2308" s="963">
        <v>0</v>
      </c>
      <c r="H2308" s="956"/>
      <c r="I2308" s="1024">
        <f>(PUCFD!E2049*(1+PUCFD!E$10))*(1+PUCFD!E$16)</f>
        <v>1.0973403E-2</v>
      </c>
    </row>
    <row r="2309" spans="1:9" s="946" customFormat="1" ht="24.95" customHeight="1" x14ac:dyDescent="0.25">
      <c r="A2309" s="958"/>
      <c r="B2309" s="963">
        <v>90610</v>
      </c>
      <c r="C2309" s="964">
        <v>333903500000000</v>
      </c>
      <c r="D2309" s="963" t="s">
        <v>6257</v>
      </c>
      <c r="F2309" s="960">
        <v>31</v>
      </c>
      <c r="G2309" s="963">
        <v>0</v>
      </c>
      <c r="H2309" s="956"/>
      <c r="I2309" s="1024">
        <f>(PUCFD!E2050*(1+PUCFD!E$10))*(1+PUCFD!E$16)</f>
        <v>1.0973403E-2</v>
      </c>
    </row>
    <row r="2310" spans="1:9" s="946" customFormat="1" ht="24.95" customHeight="1" x14ac:dyDescent="0.25">
      <c r="A2310" s="958"/>
      <c r="B2310" s="963">
        <v>90650</v>
      </c>
      <c r="C2310" s="964">
        <v>333903600000000</v>
      </c>
      <c r="D2310" s="963" t="s">
        <v>6258</v>
      </c>
      <c r="F2310" s="960">
        <v>31</v>
      </c>
      <c r="G2310" s="963">
        <v>0</v>
      </c>
      <c r="H2310" s="956"/>
      <c r="I2310" s="1024">
        <f>(PUCFD!E2051*(1+PUCFD!E$10))*(1+PUCFD!E$16)</f>
        <v>1.0973403E-2</v>
      </c>
    </row>
    <row r="2311" spans="1:9" s="946" customFormat="1" ht="24.95" customHeight="1" x14ac:dyDescent="0.25">
      <c r="A2311" s="958"/>
      <c r="B2311" s="963">
        <v>90690</v>
      </c>
      <c r="C2311" s="964">
        <v>333903900000000</v>
      </c>
      <c r="D2311" s="963" t="s">
        <v>6259</v>
      </c>
      <c r="F2311" s="960">
        <v>31</v>
      </c>
      <c r="G2311" s="963">
        <v>0</v>
      </c>
      <c r="H2311" s="956"/>
      <c r="I2311" s="1024">
        <f>(PUCFD!E2052*(1+PUCFD!E$10))*(1+PUCFD!E$16)</f>
        <v>1.0973403E-2</v>
      </c>
    </row>
    <row r="2312" spans="1:9" s="996" customFormat="1" ht="24.95" customHeight="1" x14ac:dyDescent="0.25">
      <c r="A2312" s="981"/>
      <c r="B2312" s="993">
        <v>90750</v>
      </c>
      <c r="C2312" s="994">
        <v>333904600000000</v>
      </c>
      <c r="D2312" s="993" t="s">
        <v>6260</v>
      </c>
      <c r="F2312" s="985">
        <v>31</v>
      </c>
      <c r="G2312" s="993">
        <v>0</v>
      </c>
      <c r="H2312" s="995"/>
      <c r="I2312" s="1015">
        <f>(PUCFD!E2053*(1+PUCFD!E$10))*(1+PUCFD!E$16)</f>
        <v>5575.9426998975005</v>
      </c>
    </row>
    <row r="2313" spans="1:9" s="996" customFormat="1" ht="24.95" customHeight="1" x14ac:dyDescent="0.25">
      <c r="A2313" s="981"/>
      <c r="B2313" s="993">
        <v>90760</v>
      </c>
      <c r="C2313" s="994">
        <v>333904600000000</v>
      </c>
      <c r="D2313" s="993" t="s">
        <v>6260</v>
      </c>
      <c r="F2313" s="985">
        <v>1</v>
      </c>
      <c r="G2313" s="993">
        <v>0</v>
      </c>
      <c r="H2313" s="995"/>
      <c r="I2313" s="1015">
        <v>0.01</v>
      </c>
    </row>
    <row r="2314" spans="1:9" s="946" customFormat="1" ht="24.95" customHeight="1" x14ac:dyDescent="0.25">
      <c r="A2314" s="958"/>
      <c r="B2314" s="963">
        <v>90770</v>
      </c>
      <c r="C2314" s="964">
        <v>333904700000000</v>
      </c>
      <c r="D2314" s="963" t="s">
        <v>6261</v>
      </c>
      <c r="F2314" s="960">
        <v>31</v>
      </c>
      <c r="G2314" s="963">
        <v>0</v>
      </c>
      <c r="H2314" s="956"/>
      <c r="I2314" s="1024">
        <f>(PUCFD!E2054*(1+PUCFD!E$10))*(1+PUCFD!E$16)</f>
        <v>1.0973403E-2</v>
      </c>
    </row>
    <row r="2315" spans="1:9" s="946" customFormat="1" ht="24.95" customHeight="1" x14ac:dyDescent="0.25">
      <c r="A2315" s="958"/>
      <c r="B2315" s="963">
        <v>90790</v>
      </c>
      <c r="C2315" s="964">
        <v>333904900000000</v>
      </c>
      <c r="D2315" s="963" t="s">
        <v>6262</v>
      </c>
      <c r="F2315" s="960">
        <v>31</v>
      </c>
      <c r="G2315" s="963">
        <v>0</v>
      </c>
      <c r="H2315" s="956"/>
      <c r="I2315" s="1024">
        <f>(PUCFD!E2055*(1+PUCFD!E$10))*(1+PUCFD!E$16)</f>
        <v>7223.0873087476903</v>
      </c>
    </row>
    <row r="2316" spans="1:9" s="946" customFormat="1" ht="24.95" customHeight="1" x14ac:dyDescent="0.25">
      <c r="A2316" s="958"/>
      <c r="B2316" s="963">
        <v>90820</v>
      </c>
      <c r="C2316" s="964">
        <v>333909200000000</v>
      </c>
      <c r="D2316" s="963" t="s">
        <v>6263</v>
      </c>
      <c r="F2316" s="960">
        <v>31</v>
      </c>
      <c r="G2316" s="963">
        <v>0</v>
      </c>
      <c r="H2316" s="956"/>
      <c r="I2316" s="1024">
        <f>(PUCFD!E2060*(1+PUCFD!E$10))*(1+PUCFD!E$16)</f>
        <v>1.0973403E-2</v>
      </c>
    </row>
    <row r="2317" spans="1:9" s="946" customFormat="1" ht="24.95" customHeight="1" x14ac:dyDescent="0.25">
      <c r="A2317" s="958"/>
      <c r="B2317" s="963">
        <v>90840</v>
      </c>
      <c r="C2317" s="964">
        <v>333909300000000</v>
      </c>
      <c r="D2317" s="963" t="s">
        <v>6264</v>
      </c>
      <c r="F2317" s="960">
        <v>31</v>
      </c>
      <c r="G2317" s="963">
        <v>0</v>
      </c>
      <c r="H2317" s="956"/>
      <c r="I2317" s="1024">
        <f>(PUCFD!E2061*(1+PUCFD!E$10))*(1+PUCFD!E$16)</f>
        <v>1.0973403E-2</v>
      </c>
    </row>
    <row r="2318" spans="1:9" s="946" customFormat="1" ht="24.95" customHeight="1" x14ac:dyDescent="0.25">
      <c r="A2318" s="958"/>
      <c r="B2318" s="963">
        <v>90860</v>
      </c>
      <c r="C2318" s="964">
        <v>333933000000000</v>
      </c>
      <c r="D2318" s="963" t="s">
        <v>6265</v>
      </c>
      <c r="F2318" s="960">
        <v>31</v>
      </c>
      <c r="G2318" s="963">
        <v>0</v>
      </c>
      <c r="H2318" s="956"/>
      <c r="I2318" s="1024">
        <f>(PUCFD!E2062*(1+PUCFD!E$10))*(1+PUCFD!E$16)</f>
        <v>1.0973403E-2</v>
      </c>
    </row>
    <row r="2319" spans="1:9" s="946" customFormat="1" ht="24.95" customHeight="1" x14ac:dyDescent="0.25">
      <c r="A2319" s="958"/>
      <c r="B2319" s="963">
        <v>90890</v>
      </c>
      <c r="C2319" s="964">
        <v>344905100000000</v>
      </c>
      <c r="D2319" s="963" t="s">
        <v>6266</v>
      </c>
      <c r="F2319" s="960">
        <v>31</v>
      </c>
      <c r="G2319" s="963">
        <v>0</v>
      </c>
      <c r="H2319" s="956"/>
      <c r="I2319" s="1024">
        <f>(PUCFD!E2063*(1+PUCFD!E$10))*(1+PUCFD!E$16)</f>
        <v>1.0973403E-2</v>
      </c>
    </row>
    <row r="2320" spans="1:9" s="946" customFormat="1" ht="24.95" customHeight="1" x14ac:dyDescent="0.25">
      <c r="A2320" s="958"/>
      <c r="B2320" s="963">
        <v>90920</v>
      </c>
      <c r="C2320" s="964">
        <v>344905200000000</v>
      </c>
      <c r="D2320" s="963" t="s">
        <v>6267</v>
      </c>
      <c r="F2320" s="960">
        <v>31</v>
      </c>
      <c r="G2320" s="963">
        <v>0</v>
      </c>
      <c r="H2320" s="956"/>
      <c r="I2320" s="1024">
        <f>(PUCFD!E2064*(1+PUCFD!E$10))*(1+PUCFD!E$16)</f>
        <v>1.0973403E-2</v>
      </c>
    </row>
    <row r="2321" spans="2:11" s="946" customFormat="1" ht="24.95" customHeight="1" x14ac:dyDescent="0.25">
      <c r="B2321" s="1608" t="s">
        <v>4831</v>
      </c>
      <c r="C2321" s="1608"/>
      <c r="D2321" s="1608"/>
      <c r="E2321" s="1608"/>
      <c r="F2321" s="1608"/>
      <c r="G2321" s="1608"/>
      <c r="H2321" s="1608"/>
      <c r="I2321" s="1024">
        <f>I2296+I2282+I2254+I2240+I2212+I2198+I2169+I2155+I2141+I2112+I2102+I2092+I2085+I2075+I2287+I2245+I2203+I2160+I2146+0.1</f>
        <v>3571805.0920690005</v>
      </c>
    </row>
    <row r="2322" spans="2:11" s="946" customFormat="1" ht="24.95" customHeight="1" x14ac:dyDescent="0.25">
      <c r="B2322" s="1608" t="s">
        <v>4832</v>
      </c>
      <c r="C2322" s="1608"/>
      <c r="D2322" s="1608"/>
      <c r="E2322" s="1608"/>
      <c r="F2322" s="1608"/>
      <c r="G2322" s="1608"/>
      <c r="H2322" s="1608"/>
      <c r="I2322" s="1024">
        <f>I2321</f>
        <v>3571805.0920690005</v>
      </c>
    </row>
    <row r="2323" spans="2:11" s="955" customFormat="1" ht="24.95" customHeight="1" x14ac:dyDescent="0.25">
      <c r="B2323" s="975"/>
      <c r="C2323" s="991"/>
      <c r="D2323" s="1009"/>
      <c r="E2323" s="954" t="s">
        <v>4777</v>
      </c>
      <c r="F2323" s="960"/>
      <c r="G2323" s="960"/>
      <c r="H2323" s="958"/>
      <c r="I2323" s="1030"/>
    </row>
    <row r="2324" spans="2:11" ht="24.95" customHeight="1" x14ac:dyDescent="0.25">
      <c r="F2324" s="949">
        <v>1</v>
      </c>
      <c r="G2324" s="945">
        <v>0</v>
      </c>
      <c r="H2324" s="950">
        <v>0</v>
      </c>
      <c r="I2324" s="951">
        <f>I2298+I2256+I2214+I2171+I2114+I2312+I2270+I2228+I2185-0.01</f>
        <v>426540.6610447471</v>
      </c>
    </row>
    <row r="2325" spans="2:11" ht="24.95" customHeight="1" x14ac:dyDescent="0.25">
      <c r="F2325" s="949">
        <v>20</v>
      </c>
      <c r="G2325" s="945">
        <v>0</v>
      </c>
      <c r="H2325" s="950">
        <v>0</v>
      </c>
      <c r="I2325" s="951">
        <f>I1866+I1867+I1868+I1869+I1870+I1871+I1876+I1877+I1878+I1879+I1880+I1881+I1887+I1890+I1891+I1892+I1893+I1894+I1895+I1896+I1897+I1898+I1899+I1900+I1902+I1903+I1904+I1905+I1906+I1907+I1908+I1913+I1922+I1923+I1925+I1924+I1926+I1931+I1934+I1935+I1936+I1937+I1938+I1939+I1940+I1941+I1942+I1943+I1944+I1945+I1947+I1948+I1949+I1950+I1951+I1952+I1953+I1958+I1963+I1964+I1965+I1966+I1967+I1972+I1977+I1978+I1979+I1980+I1981+I1986+I1989+I1990+I1991+I1992+I1993+I1994+I1995+I1996+I1997+I1998+I1999+I2000+I2001+I2002+I2003+I2004+I2005+I2006+I2007+I2008+I2013+I2018+I2019+I2020++I2021+I2022+I2027+I2030+I2031+I2032+I2033+I2034+I2035+I2036+I2037+I2038+I2039+I2040+I2041+I2042+I2043+I2044+I2045+I2046+I2047+I2048++I2049+I2054+I2055+I2056+I2057+I2058+I2059+I2060+I2061+I2128</f>
        <v>1475232.6872704257</v>
      </c>
      <c r="J2325" s="990"/>
    </row>
    <row r="2326" spans="2:11" ht="24.95" customHeight="1" x14ac:dyDescent="0.25">
      <c r="F2326" s="949">
        <v>31</v>
      </c>
      <c r="G2326" s="945">
        <v>0</v>
      </c>
      <c r="H2326" s="950">
        <v>0</v>
      </c>
      <c r="I2326" s="951">
        <f>I2322-I2324-I2325</f>
        <v>1670031.7437538276</v>
      </c>
    </row>
    <row r="2329" spans="2:11" ht="24.95" customHeight="1" x14ac:dyDescent="0.25">
      <c r="I2329" s="957"/>
      <c r="J2329" s="1609"/>
      <c r="K2329" s="1609"/>
    </row>
    <row r="2330" spans="2:11" ht="24.95" customHeight="1" x14ac:dyDescent="0.25">
      <c r="I2330" s="957"/>
      <c r="J2330" s="946"/>
      <c r="K2330" s="1012"/>
    </row>
    <row r="2332" spans="2:11" s="946" customFormat="1" ht="24.95" customHeight="1" x14ac:dyDescent="0.25">
      <c r="B2332" s="946" t="s">
        <v>3088</v>
      </c>
      <c r="C2332" s="953" t="s">
        <v>4685</v>
      </c>
      <c r="E2332" s="954"/>
      <c r="F2332" s="955"/>
      <c r="H2332" s="956"/>
    </row>
    <row r="2333" spans="2:11" s="946" customFormat="1" ht="24.95" customHeight="1" x14ac:dyDescent="0.25">
      <c r="B2333" s="946" t="s">
        <v>3087</v>
      </c>
      <c r="C2333" s="953" t="s">
        <v>4834</v>
      </c>
      <c r="E2333" s="954"/>
      <c r="F2333" s="955"/>
      <c r="H2333" s="956"/>
    </row>
    <row r="2334" spans="2:11" s="946" customFormat="1" ht="24.95" customHeight="1" x14ac:dyDescent="0.25">
      <c r="B2334" s="946" t="s">
        <v>3089</v>
      </c>
      <c r="C2334" s="953" t="s">
        <v>3146</v>
      </c>
      <c r="E2334" s="954"/>
      <c r="F2334" s="955"/>
      <c r="H2334" s="956"/>
      <c r="I2334" s="957"/>
    </row>
    <row r="2335" spans="2:11" s="946" customFormat="1" ht="24.95" customHeight="1" x14ac:dyDescent="0.25">
      <c r="C2335" s="953"/>
      <c r="E2335" s="954"/>
      <c r="F2335" s="955"/>
      <c r="H2335" s="956"/>
      <c r="I2335" s="957"/>
    </row>
    <row r="2336" spans="2:11" ht="24.95" customHeight="1" x14ac:dyDescent="0.25">
      <c r="B2336" s="1608" t="s">
        <v>4831</v>
      </c>
      <c r="C2336" s="1608"/>
      <c r="D2336" s="1608"/>
      <c r="E2336" s="1608"/>
      <c r="F2336" s="1608"/>
      <c r="G2336" s="1608"/>
      <c r="H2336" s="1608"/>
      <c r="I2336" s="1024">
        <v>0</v>
      </c>
    </row>
    <row r="2337" spans="1:9" ht="24.95" customHeight="1" x14ac:dyDescent="0.25">
      <c r="B2337" s="1608" t="s">
        <v>4835</v>
      </c>
      <c r="C2337" s="1608"/>
      <c r="D2337" s="1608"/>
      <c r="E2337" s="1608"/>
      <c r="F2337" s="1608"/>
      <c r="G2337" s="1608"/>
      <c r="H2337" s="1608"/>
      <c r="I2337" s="1024">
        <f>I2336</f>
        <v>0</v>
      </c>
    </row>
    <row r="2338" spans="1:9" ht="24.95" customHeight="1" x14ac:dyDescent="0.25">
      <c r="B2338" s="987"/>
      <c r="C2338" s="987"/>
      <c r="D2338" s="987"/>
      <c r="E2338" s="954" t="s">
        <v>4777</v>
      </c>
      <c r="F2338" s="960"/>
      <c r="G2338" s="960"/>
      <c r="H2338" s="958"/>
      <c r="I2338" s="1030"/>
    </row>
    <row r="2339" spans="1:9" ht="24.95" customHeight="1" x14ac:dyDescent="0.25">
      <c r="B2339" s="987"/>
      <c r="C2339" s="987"/>
      <c r="D2339" s="987"/>
      <c r="F2339" s="949">
        <v>0</v>
      </c>
      <c r="G2339" s="945">
        <v>0</v>
      </c>
      <c r="H2339" s="950">
        <v>0</v>
      </c>
      <c r="I2339" s="951">
        <v>0</v>
      </c>
    </row>
    <row r="2340" spans="1:9" s="946" customFormat="1" ht="24.95" customHeight="1" x14ac:dyDescent="0.25">
      <c r="B2340" s="946" t="s">
        <v>3088</v>
      </c>
      <c r="C2340" s="953" t="s">
        <v>4685</v>
      </c>
      <c r="E2340" s="954"/>
      <c r="F2340" s="955"/>
      <c r="H2340" s="956"/>
      <c r="I2340" s="957"/>
    </row>
    <row r="2341" spans="1:9" s="946" customFormat="1" ht="24.95" customHeight="1" x14ac:dyDescent="0.25">
      <c r="B2341" s="946" t="s">
        <v>3087</v>
      </c>
      <c r="C2341" s="953" t="s">
        <v>4907</v>
      </c>
      <c r="E2341" s="954"/>
      <c r="F2341" s="955"/>
      <c r="H2341" s="956"/>
      <c r="I2341" s="957"/>
    </row>
    <row r="2342" spans="1:9" s="946" customFormat="1" ht="24.95" customHeight="1" x14ac:dyDescent="0.25">
      <c r="B2342" s="946" t="s">
        <v>3089</v>
      </c>
      <c r="C2342" s="953" t="s">
        <v>3146</v>
      </c>
      <c r="E2342" s="954"/>
      <c r="F2342" s="955"/>
      <c r="H2342" s="956"/>
      <c r="I2342" s="957"/>
    </row>
    <row r="2343" spans="1:9" ht="33.75" customHeight="1" x14ac:dyDescent="0.25">
      <c r="A2343" s="958"/>
      <c r="B2343" s="958" t="s">
        <v>2967</v>
      </c>
      <c r="C2343" s="959" t="s">
        <v>472</v>
      </c>
      <c r="D2343" s="958" t="s">
        <v>2968</v>
      </c>
      <c r="E2343" s="954" t="s">
        <v>3066</v>
      </c>
      <c r="F2343" s="960" t="s">
        <v>1403</v>
      </c>
      <c r="G2343" s="958" t="s">
        <v>2969</v>
      </c>
      <c r="H2343" s="958" t="s">
        <v>3065</v>
      </c>
      <c r="I2343" s="961" t="s">
        <v>2531</v>
      </c>
    </row>
    <row r="2344" spans="1:9" s="946" customFormat="1" ht="24.95" customHeight="1" x14ac:dyDescent="0.25">
      <c r="A2344" s="958"/>
      <c r="B2344" s="962" t="s">
        <v>3138</v>
      </c>
      <c r="C2344" s="959">
        <v>12</v>
      </c>
      <c r="D2344" s="962" t="s">
        <v>4728</v>
      </c>
      <c r="E2344" s="958"/>
      <c r="F2344" s="960"/>
      <c r="G2344" s="958"/>
      <c r="H2344" s="956"/>
      <c r="I2344" s="957">
        <f>I2345</f>
        <v>1.01</v>
      </c>
    </row>
    <row r="2345" spans="1:9" s="946" customFormat="1" ht="24.95" customHeight="1" x14ac:dyDescent="0.25">
      <c r="A2345" s="958"/>
      <c r="B2345" s="962" t="s">
        <v>3139</v>
      </c>
      <c r="C2345" s="959">
        <v>122</v>
      </c>
      <c r="D2345" s="962" t="s">
        <v>3143</v>
      </c>
      <c r="E2345" s="958"/>
      <c r="F2345" s="960"/>
      <c r="G2345" s="958"/>
      <c r="H2345" s="956"/>
      <c r="I2345" s="957">
        <f>I2346</f>
        <v>1.01</v>
      </c>
    </row>
    <row r="2346" spans="1:9" s="946" customFormat="1" ht="24.95" customHeight="1" x14ac:dyDescent="0.25">
      <c r="A2346" s="958"/>
      <c r="B2346" s="962" t="s">
        <v>3137</v>
      </c>
      <c r="C2346" s="959">
        <v>6</v>
      </c>
      <c r="D2346" s="962" t="s">
        <v>4729</v>
      </c>
      <c r="E2346" s="958"/>
      <c r="F2346" s="960"/>
      <c r="G2346" s="958"/>
      <c r="H2346" s="956"/>
      <c r="I2346" s="957">
        <f>I2347</f>
        <v>1.01</v>
      </c>
    </row>
    <row r="2347" spans="1:9" s="946" customFormat="1" ht="24.95" customHeight="1" x14ac:dyDescent="0.25">
      <c r="A2347" s="958"/>
      <c r="B2347" s="963" t="s">
        <v>2950</v>
      </c>
      <c r="C2347" s="959" t="s">
        <v>4687</v>
      </c>
      <c r="D2347" s="963" t="s">
        <v>4688</v>
      </c>
      <c r="E2347" s="963"/>
      <c r="F2347" s="960"/>
      <c r="G2347" s="963"/>
      <c r="H2347" s="956"/>
      <c r="I2347" s="957">
        <f>SUM(I2348:I2354)</f>
        <v>1.01</v>
      </c>
    </row>
    <row r="2348" spans="1:9" ht="24.95" customHeight="1" x14ac:dyDescent="0.25">
      <c r="A2348" s="972"/>
      <c r="B2348" s="973">
        <v>107000</v>
      </c>
      <c r="C2348" s="974">
        <v>333904700000000</v>
      </c>
      <c r="D2348" s="973" t="s">
        <v>4277</v>
      </c>
      <c r="E2348" s="945"/>
      <c r="F2348" s="975">
        <v>1076</v>
      </c>
      <c r="G2348" s="973">
        <v>0</v>
      </c>
      <c r="I2348" s="1039">
        <f>PUCFD!E2068</f>
        <v>0.01</v>
      </c>
    </row>
    <row r="2349" spans="1:9" ht="24.95" customHeight="1" x14ac:dyDescent="0.25">
      <c r="A2349" s="972"/>
      <c r="B2349" s="973">
        <v>107100</v>
      </c>
      <c r="C2349" s="974">
        <v>344209300000000</v>
      </c>
      <c r="D2349" s="973" t="s">
        <v>4840</v>
      </c>
      <c r="E2349" s="945"/>
      <c r="F2349" s="975">
        <v>1076</v>
      </c>
      <c r="G2349" s="973">
        <v>0</v>
      </c>
      <c r="I2349" s="1039">
        <f>PUCFD!E2069</f>
        <v>0.01</v>
      </c>
    </row>
    <row r="2350" spans="1:9" ht="24.95" customHeight="1" x14ac:dyDescent="0.25">
      <c r="A2350" s="972"/>
      <c r="B2350" s="973">
        <v>107200</v>
      </c>
      <c r="C2350" s="974">
        <v>344903000000000</v>
      </c>
      <c r="D2350" s="973" t="s">
        <v>3562</v>
      </c>
      <c r="E2350" s="945"/>
      <c r="F2350" s="975">
        <v>1076</v>
      </c>
      <c r="G2350" s="973">
        <v>0</v>
      </c>
      <c r="I2350" s="1039">
        <f>PUCFD!E2070</f>
        <v>0.01</v>
      </c>
    </row>
    <row r="2351" spans="1:9" ht="24.95" customHeight="1" x14ac:dyDescent="0.25">
      <c r="A2351" s="972"/>
      <c r="B2351" s="973">
        <v>107300</v>
      </c>
      <c r="C2351" s="974">
        <v>344903600000000</v>
      </c>
      <c r="D2351" s="973" t="s">
        <v>4161</v>
      </c>
      <c r="E2351" s="945"/>
      <c r="F2351" s="975">
        <v>1076</v>
      </c>
      <c r="G2351" s="973">
        <v>0</v>
      </c>
      <c r="I2351" s="1039">
        <f>PUCFD!E2071</f>
        <v>0.01</v>
      </c>
    </row>
    <row r="2352" spans="1:9" ht="24.95" customHeight="1" x14ac:dyDescent="0.25">
      <c r="A2352" s="972"/>
      <c r="B2352" s="973">
        <v>107400</v>
      </c>
      <c r="C2352" s="974">
        <v>344903900000000</v>
      </c>
      <c r="D2352" s="973" t="s">
        <v>4165</v>
      </c>
      <c r="E2352" s="945"/>
      <c r="F2352" s="975">
        <v>1076</v>
      </c>
      <c r="G2352" s="973">
        <v>0</v>
      </c>
      <c r="I2352" s="1039">
        <f>PUCFD!E2072</f>
        <v>0.01</v>
      </c>
    </row>
    <row r="2353" spans="1:9" ht="24.95" customHeight="1" x14ac:dyDescent="0.25">
      <c r="A2353" s="972"/>
      <c r="B2353" s="973">
        <v>107500</v>
      </c>
      <c r="C2353" s="974">
        <v>344905100000000</v>
      </c>
      <c r="D2353" s="973" t="s">
        <v>4841</v>
      </c>
      <c r="E2353" s="945"/>
      <c r="F2353" s="975">
        <v>1</v>
      </c>
      <c r="G2353" s="973">
        <v>0</v>
      </c>
      <c r="I2353" s="1039">
        <f>PUCFD!E2073</f>
        <v>0.01</v>
      </c>
    </row>
    <row r="2354" spans="1:9" ht="24.95" customHeight="1" x14ac:dyDescent="0.25">
      <c r="A2354" s="972"/>
      <c r="B2354" s="973">
        <v>107600</v>
      </c>
      <c r="C2354" s="974">
        <v>344905100000000</v>
      </c>
      <c r="D2354" s="973" t="s">
        <v>4494</v>
      </c>
      <c r="E2354" s="945"/>
      <c r="F2354" s="975">
        <v>1076</v>
      </c>
      <c r="G2354" s="973">
        <v>0</v>
      </c>
      <c r="I2354" s="1039">
        <f>PUCFD!E2074</f>
        <v>0.95</v>
      </c>
    </row>
    <row r="2355" spans="1:9" ht="24.95" customHeight="1" x14ac:dyDescent="0.25">
      <c r="B2355" s="1608" t="s">
        <v>4831</v>
      </c>
      <c r="C2355" s="1608"/>
      <c r="D2355" s="1608"/>
      <c r="E2355" s="1608"/>
      <c r="F2355" s="1608"/>
      <c r="G2355" s="1608"/>
      <c r="H2355" s="1608"/>
      <c r="I2355" s="1024">
        <f>I2347</f>
        <v>1.01</v>
      </c>
    </row>
    <row r="2356" spans="1:9" ht="24.95" customHeight="1" x14ac:dyDescent="0.25">
      <c r="B2356" s="1608" t="s">
        <v>4909</v>
      </c>
      <c r="C2356" s="1608"/>
      <c r="D2356" s="1608"/>
      <c r="E2356" s="1608"/>
      <c r="F2356" s="1608"/>
      <c r="G2356" s="1608"/>
      <c r="H2356" s="1608"/>
      <c r="I2356" s="1024">
        <f>I2355</f>
        <v>1.01</v>
      </c>
    </row>
    <row r="2357" spans="1:9" ht="24.95" customHeight="1" x14ac:dyDescent="0.25">
      <c r="A2357" s="972"/>
      <c r="B2357" s="973"/>
      <c r="C2357" s="974"/>
      <c r="D2357" s="973"/>
      <c r="E2357" s="954" t="s">
        <v>4777</v>
      </c>
      <c r="F2357" s="960"/>
      <c r="G2357" s="960"/>
      <c r="H2357" s="958"/>
      <c r="I2357" s="1030"/>
    </row>
    <row r="2358" spans="1:9" s="946" customFormat="1" ht="24.95" customHeight="1" x14ac:dyDescent="0.25">
      <c r="A2358" s="958"/>
      <c r="B2358" s="963"/>
      <c r="C2358" s="964"/>
      <c r="D2358" s="963"/>
      <c r="E2358" s="948"/>
      <c r="F2358" s="949">
        <v>1</v>
      </c>
      <c r="G2358" s="945">
        <v>0</v>
      </c>
      <c r="H2358" s="950">
        <v>0</v>
      </c>
      <c r="I2358" s="951">
        <f>I2353</f>
        <v>0.01</v>
      </c>
    </row>
    <row r="2359" spans="1:9" ht="24.95" customHeight="1" x14ac:dyDescent="0.25">
      <c r="A2359" s="972"/>
      <c r="B2359" s="973"/>
      <c r="C2359" s="974"/>
      <c r="D2359" s="973"/>
      <c r="E2359" s="945"/>
      <c r="F2359" s="949">
        <v>1076</v>
      </c>
      <c r="G2359" s="945">
        <v>0</v>
      </c>
      <c r="H2359" s="950">
        <v>0</v>
      </c>
      <c r="I2359" s="951">
        <f>I2355-I2358</f>
        <v>1</v>
      </c>
    </row>
    <row r="2360" spans="1:9" ht="24.95" customHeight="1" x14ac:dyDescent="0.25">
      <c r="A2360" s="972"/>
      <c r="B2360" s="973"/>
      <c r="C2360" s="974"/>
      <c r="D2360" s="973"/>
      <c r="E2360" s="945"/>
      <c r="F2360" s="975"/>
      <c r="G2360" s="973"/>
      <c r="H2360" s="1042"/>
    </row>
    <row r="2361" spans="1:9" s="946" customFormat="1" ht="24.95" customHeight="1" x14ac:dyDescent="0.25">
      <c r="B2361" s="946" t="s">
        <v>3088</v>
      </c>
      <c r="C2361" s="953" t="s">
        <v>4685</v>
      </c>
      <c r="E2361" s="954"/>
      <c r="F2361" s="955"/>
      <c r="H2361" s="956"/>
      <c r="I2361" s="957"/>
    </row>
    <row r="2362" spans="1:9" s="946" customFormat="1" ht="24.95" customHeight="1" x14ac:dyDescent="0.25">
      <c r="B2362" s="946" t="s">
        <v>3087</v>
      </c>
      <c r="C2362" s="953" t="s">
        <v>4916</v>
      </c>
      <c r="E2362" s="954"/>
      <c r="F2362" s="955"/>
      <c r="H2362" s="956"/>
      <c r="I2362" s="957"/>
    </row>
    <row r="2363" spans="1:9" s="946" customFormat="1" ht="24.95" customHeight="1" x14ac:dyDescent="0.25">
      <c r="B2363" s="946" t="s">
        <v>3089</v>
      </c>
      <c r="C2363" s="953" t="s">
        <v>3146</v>
      </c>
      <c r="E2363" s="954"/>
      <c r="F2363" s="955"/>
      <c r="H2363" s="956"/>
      <c r="I2363" s="957"/>
    </row>
    <row r="2364" spans="1:9" ht="33.75" customHeight="1" x14ac:dyDescent="0.25">
      <c r="A2364" s="958"/>
      <c r="B2364" s="958" t="s">
        <v>2967</v>
      </c>
      <c r="C2364" s="959" t="s">
        <v>472</v>
      </c>
      <c r="D2364" s="958" t="s">
        <v>2968</v>
      </c>
      <c r="E2364" s="954" t="s">
        <v>3066</v>
      </c>
      <c r="F2364" s="960" t="s">
        <v>1403</v>
      </c>
      <c r="G2364" s="958" t="s">
        <v>2969</v>
      </c>
      <c r="H2364" s="958" t="s">
        <v>3065</v>
      </c>
      <c r="I2364" s="961" t="s">
        <v>2531</v>
      </c>
    </row>
    <row r="2365" spans="1:9" s="946" customFormat="1" ht="24.95" customHeight="1" x14ac:dyDescent="0.25">
      <c r="A2365" s="958"/>
      <c r="B2365" s="962" t="s">
        <v>3138</v>
      </c>
      <c r="C2365" s="959">
        <v>12</v>
      </c>
      <c r="D2365" s="962" t="s">
        <v>4728</v>
      </c>
      <c r="E2365" s="958"/>
      <c r="F2365" s="960"/>
      <c r="G2365" s="958"/>
      <c r="H2365" s="956"/>
      <c r="I2365" s="957">
        <f>I2366</f>
        <v>81189.728340404501</v>
      </c>
    </row>
    <row r="2366" spans="1:9" s="946" customFormat="1" ht="24.95" customHeight="1" x14ac:dyDescent="0.25">
      <c r="A2366" s="958"/>
      <c r="B2366" s="962" t="s">
        <v>3139</v>
      </c>
      <c r="C2366" s="959">
        <v>122</v>
      </c>
      <c r="D2366" s="962" t="s">
        <v>3143</v>
      </c>
      <c r="E2366" s="958"/>
      <c r="F2366" s="960"/>
      <c r="G2366" s="958"/>
      <c r="H2366" s="956"/>
      <c r="I2366" s="957">
        <f>I2367</f>
        <v>81189.728340404501</v>
      </c>
    </row>
    <row r="2367" spans="1:9" s="946" customFormat="1" ht="24.95" customHeight="1" x14ac:dyDescent="0.25">
      <c r="A2367" s="958"/>
      <c r="B2367" s="962" t="s">
        <v>3137</v>
      </c>
      <c r="C2367" s="959">
        <v>6</v>
      </c>
      <c r="D2367" s="962" t="s">
        <v>4729</v>
      </c>
      <c r="E2367" s="958"/>
      <c r="F2367" s="960"/>
      <c r="G2367" s="958"/>
      <c r="H2367" s="956"/>
      <c r="I2367" s="957">
        <f>I2368</f>
        <v>81189.728340404501</v>
      </c>
    </row>
    <row r="2368" spans="1:9" s="1043" customFormat="1" ht="24.95" customHeight="1" x14ac:dyDescent="0.2">
      <c r="A2368" s="958"/>
      <c r="B2368" s="963" t="s">
        <v>2965</v>
      </c>
      <c r="C2368" s="959">
        <v>5</v>
      </c>
      <c r="D2368" s="963" t="s">
        <v>4692</v>
      </c>
      <c r="E2368" s="963"/>
      <c r="F2368" s="960"/>
      <c r="G2368" s="963"/>
      <c r="I2368" s="1044">
        <f>SUM(I2369:I2388)-0.01</f>
        <v>81189.728340404501</v>
      </c>
    </row>
    <row r="2369" spans="1:9" s="1045" customFormat="1" ht="24.95" customHeight="1" x14ac:dyDescent="0.2">
      <c r="A2369" s="972"/>
      <c r="B2369" s="973">
        <v>109000</v>
      </c>
      <c r="C2369" s="974">
        <v>331900400000000</v>
      </c>
      <c r="D2369" s="973" t="s">
        <v>6268</v>
      </c>
      <c r="E2369" s="973"/>
      <c r="F2369" s="975">
        <v>1</v>
      </c>
      <c r="G2369" s="973">
        <v>0</v>
      </c>
      <c r="H2369" s="950"/>
      <c r="I2369" s="1039">
        <f>PUCFD!E2077</f>
        <v>0.01</v>
      </c>
    </row>
    <row r="2370" spans="1:9" s="996" customFormat="1" ht="24.95" customHeight="1" x14ac:dyDescent="0.25">
      <c r="A2370" s="981"/>
      <c r="B2370" s="993">
        <v>109050</v>
      </c>
      <c r="C2370" s="994">
        <v>331900800000000</v>
      </c>
      <c r="D2370" s="993" t="s">
        <v>6269</v>
      </c>
      <c r="F2370" s="985">
        <v>1</v>
      </c>
      <c r="G2370" s="993">
        <v>0</v>
      </c>
      <c r="H2370" s="981">
        <v>0</v>
      </c>
      <c r="I2370" s="986">
        <f>(I2371+I2373)*(PUCFD!E$94)</f>
        <v>6701.2437074111122</v>
      </c>
    </row>
    <row r="2371" spans="1:9" s="1045" customFormat="1" ht="24.95" customHeight="1" x14ac:dyDescent="0.2">
      <c r="A2371" s="972"/>
      <c r="B2371" s="973">
        <v>109100</v>
      </c>
      <c r="C2371" s="974">
        <v>331901100000000</v>
      </c>
      <c r="D2371" s="973" t="s">
        <v>6270</v>
      </c>
      <c r="E2371" s="973"/>
      <c r="F2371" s="975">
        <v>1</v>
      </c>
      <c r="G2371" s="973">
        <v>0</v>
      </c>
      <c r="H2371" s="950"/>
      <c r="I2371" s="1039">
        <f>SUM(PUCFD!E2080:E2090)*(1+PUCFD!E$87)</f>
        <v>58069.692837184681</v>
      </c>
    </row>
    <row r="2372" spans="1:9" s="1045" customFormat="1" ht="24.95" customHeight="1" x14ac:dyDescent="0.2">
      <c r="A2372" s="972"/>
      <c r="B2372" s="973">
        <v>109200</v>
      </c>
      <c r="C2372" s="974">
        <v>331901300000000</v>
      </c>
      <c r="D2372" s="973" t="s">
        <v>6271</v>
      </c>
      <c r="E2372" s="973"/>
      <c r="F2372" s="975">
        <v>1</v>
      </c>
      <c r="G2372" s="973">
        <v>0</v>
      </c>
      <c r="H2372" s="950"/>
      <c r="I2372" s="1039">
        <f>(I2371+I2373+I2374+I2375)*(PUCFD!E$92)</f>
        <v>12194.641795808784</v>
      </c>
    </row>
    <row r="2373" spans="1:9" s="1045" customFormat="1" ht="24.95" customHeight="1" x14ac:dyDescent="0.2">
      <c r="A2373" s="972"/>
      <c r="B2373" s="973">
        <v>109300</v>
      </c>
      <c r="C2373" s="974">
        <v>331901600000000</v>
      </c>
      <c r="D2373" s="973" t="s">
        <v>6272</v>
      </c>
      <c r="E2373" s="973"/>
      <c r="F2373" s="975">
        <v>1</v>
      </c>
      <c r="G2373" s="973">
        <v>0</v>
      </c>
      <c r="H2373" s="950"/>
      <c r="I2373" s="1039">
        <f>PUCFD!E2092</f>
        <v>0.01</v>
      </c>
    </row>
    <row r="2374" spans="1:9" s="1045" customFormat="1" ht="24.95" customHeight="1" x14ac:dyDescent="0.2">
      <c r="A2374" s="972"/>
      <c r="B2374" s="973">
        <v>109350</v>
      </c>
      <c r="C2374" s="974">
        <v>331903400000000</v>
      </c>
      <c r="D2374" s="973" t="s">
        <v>6273</v>
      </c>
      <c r="E2374" s="973"/>
      <c r="F2374" s="975">
        <v>1</v>
      </c>
      <c r="G2374" s="973">
        <v>0</v>
      </c>
      <c r="H2374" s="950"/>
      <c r="I2374" s="1039">
        <f>PUCFD!E2093</f>
        <v>0.01</v>
      </c>
    </row>
    <row r="2375" spans="1:9" s="1045" customFormat="1" ht="24.95" customHeight="1" x14ac:dyDescent="0.2">
      <c r="A2375" s="972"/>
      <c r="B2375" s="973">
        <v>109400</v>
      </c>
      <c r="C2375" s="974">
        <v>331909400000000</v>
      </c>
      <c r="D2375" s="973" t="s">
        <v>6274</v>
      </c>
      <c r="E2375" s="973"/>
      <c r="F2375" s="975">
        <v>1</v>
      </c>
      <c r="G2375" s="973">
        <v>0</v>
      </c>
      <c r="H2375" s="950"/>
      <c r="I2375" s="1039">
        <f>PUCFD!E2094</f>
        <v>0.01</v>
      </c>
    </row>
    <row r="2376" spans="1:9" s="1045" customFormat="1" ht="24.95" customHeight="1" x14ac:dyDescent="0.2">
      <c r="A2376" s="972"/>
      <c r="B2376" s="973">
        <v>109500</v>
      </c>
      <c r="C2376" s="974">
        <v>333901400000000</v>
      </c>
      <c r="D2376" s="973" t="s">
        <v>6275</v>
      </c>
      <c r="E2376" s="973"/>
      <c r="F2376" s="975">
        <v>1</v>
      </c>
      <c r="G2376" s="973">
        <v>0</v>
      </c>
      <c r="H2376" s="950"/>
      <c r="I2376" s="1039">
        <f>PUCFD!E2095</f>
        <v>0.01</v>
      </c>
    </row>
    <row r="2377" spans="1:9" s="1045" customFormat="1" ht="24.95" customHeight="1" x14ac:dyDescent="0.2">
      <c r="A2377" s="972"/>
      <c r="B2377" s="973">
        <v>109600</v>
      </c>
      <c r="C2377" s="974">
        <v>333903000000000</v>
      </c>
      <c r="D2377" s="973" t="s">
        <v>6276</v>
      </c>
      <c r="E2377" s="973"/>
      <c r="F2377" s="975">
        <v>1</v>
      </c>
      <c r="G2377" s="973">
        <v>0</v>
      </c>
      <c r="H2377" s="950"/>
      <c r="I2377" s="1039">
        <f>PUCFD!E2096</f>
        <v>0.01</v>
      </c>
    </row>
    <row r="2378" spans="1:9" s="1045" customFormat="1" ht="24.95" customHeight="1" x14ac:dyDescent="0.2">
      <c r="A2378" s="972"/>
      <c r="B2378" s="973">
        <v>109700</v>
      </c>
      <c r="C2378" s="974">
        <v>333903300000000</v>
      </c>
      <c r="D2378" s="973" t="s">
        <v>6277</v>
      </c>
      <c r="E2378" s="973"/>
      <c r="F2378" s="975">
        <v>1</v>
      </c>
      <c r="G2378" s="973">
        <v>0</v>
      </c>
      <c r="H2378" s="950"/>
      <c r="I2378" s="1039">
        <f>PUCFD!E2097</f>
        <v>0.01</v>
      </c>
    </row>
    <row r="2379" spans="1:9" s="1045" customFormat="1" ht="24.95" customHeight="1" x14ac:dyDescent="0.2">
      <c r="A2379" s="972"/>
      <c r="B2379" s="973">
        <v>109800</v>
      </c>
      <c r="C2379" s="974">
        <v>333903600000000</v>
      </c>
      <c r="D2379" s="973" t="s">
        <v>6278</v>
      </c>
      <c r="E2379" s="973"/>
      <c r="F2379" s="975">
        <v>1</v>
      </c>
      <c r="G2379" s="973">
        <v>0</v>
      </c>
      <c r="H2379" s="950"/>
      <c r="I2379" s="1039">
        <f>PUCFD!E2098</f>
        <v>0.01</v>
      </c>
    </row>
    <row r="2380" spans="1:9" s="1045" customFormat="1" ht="24.95" customHeight="1" x14ac:dyDescent="0.2">
      <c r="A2380" s="972"/>
      <c r="B2380" s="973">
        <v>109900</v>
      </c>
      <c r="C2380" s="974">
        <v>333903900000000</v>
      </c>
      <c r="D2380" s="973" t="s">
        <v>6279</v>
      </c>
      <c r="E2380" s="973"/>
      <c r="F2380" s="975">
        <v>1</v>
      </c>
      <c r="G2380" s="973">
        <v>0</v>
      </c>
      <c r="H2380" s="950"/>
      <c r="I2380" s="1039">
        <f>PUCFD!E2099</f>
        <v>0.01</v>
      </c>
    </row>
    <row r="2381" spans="1:9" s="1045" customFormat="1" ht="24.95" customHeight="1" x14ac:dyDescent="0.2">
      <c r="A2381" s="972"/>
      <c r="B2381" s="973">
        <v>110000</v>
      </c>
      <c r="C2381" s="974">
        <v>333904600000000</v>
      </c>
      <c r="D2381" s="973" t="s">
        <v>6280</v>
      </c>
      <c r="E2381" s="973"/>
      <c r="F2381" s="975">
        <v>1</v>
      </c>
      <c r="G2381" s="973">
        <v>0</v>
      </c>
      <c r="H2381" s="950"/>
      <c r="I2381" s="1039">
        <f>PUCFD!E2100</f>
        <v>4224</v>
      </c>
    </row>
    <row r="2382" spans="1:9" s="1045" customFormat="1" ht="24.95" customHeight="1" x14ac:dyDescent="0.2">
      <c r="A2382" s="972"/>
      <c r="B2382" s="973">
        <v>110100</v>
      </c>
      <c r="C2382" s="974">
        <v>333904700000000</v>
      </c>
      <c r="D2382" s="973" t="s">
        <v>6281</v>
      </c>
      <c r="E2382" s="973"/>
      <c r="F2382" s="975">
        <v>1</v>
      </c>
      <c r="G2382" s="973">
        <v>0</v>
      </c>
      <c r="H2382" s="950"/>
      <c r="I2382" s="1039">
        <f>PUCFD!E2101</f>
        <v>0.01</v>
      </c>
    </row>
    <row r="2383" spans="1:9" s="1045" customFormat="1" ht="24.95" customHeight="1" x14ac:dyDescent="0.2">
      <c r="A2383" s="972"/>
      <c r="B2383" s="973">
        <v>110200</v>
      </c>
      <c r="C2383" s="974">
        <v>333904900000000</v>
      </c>
      <c r="D2383" s="973" t="s">
        <v>6282</v>
      </c>
      <c r="E2383" s="973"/>
      <c r="F2383" s="975">
        <v>1</v>
      </c>
      <c r="G2383" s="973">
        <v>0</v>
      </c>
      <c r="H2383" s="950"/>
      <c r="I2383" s="1039">
        <f>PUCFD!E2102</f>
        <v>0.01</v>
      </c>
    </row>
    <row r="2384" spans="1:9" s="1045" customFormat="1" ht="24.95" customHeight="1" x14ac:dyDescent="0.2">
      <c r="A2384" s="972"/>
      <c r="B2384" s="973">
        <v>110300</v>
      </c>
      <c r="C2384" s="974">
        <v>333909200000000</v>
      </c>
      <c r="D2384" s="973" t="s">
        <v>6283</v>
      </c>
      <c r="E2384" s="973"/>
      <c r="F2384" s="975">
        <v>1</v>
      </c>
      <c r="G2384" s="973">
        <v>0</v>
      </c>
      <c r="H2384" s="950"/>
      <c r="I2384" s="1039">
        <f>PUCFD!E2103</f>
        <v>0.01</v>
      </c>
    </row>
    <row r="2385" spans="1:9" s="1045" customFormat="1" ht="24.95" customHeight="1" x14ac:dyDescent="0.2">
      <c r="A2385" s="972"/>
      <c r="B2385" s="973">
        <v>110400</v>
      </c>
      <c r="C2385" s="974">
        <v>333909300000000</v>
      </c>
      <c r="D2385" s="973" t="s">
        <v>6284</v>
      </c>
      <c r="E2385" s="973"/>
      <c r="F2385" s="975">
        <v>1</v>
      </c>
      <c r="G2385" s="973">
        <v>0</v>
      </c>
      <c r="H2385" s="950"/>
      <c r="I2385" s="1039">
        <f>PUCFD!E2104</f>
        <v>0.01</v>
      </c>
    </row>
    <row r="2386" spans="1:9" s="1045" customFormat="1" ht="24.95" customHeight="1" x14ac:dyDescent="0.2">
      <c r="A2386" s="972"/>
      <c r="B2386" s="973">
        <v>110500</v>
      </c>
      <c r="C2386" s="974">
        <v>333933000000000</v>
      </c>
      <c r="D2386" s="973" t="s">
        <v>6285</v>
      </c>
      <c r="E2386" s="973"/>
      <c r="F2386" s="975">
        <v>1</v>
      </c>
      <c r="G2386" s="973">
        <v>0</v>
      </c>
      <c r="H2386" s="950"/>
      <c r="I2386" s="1039">
        <f>PUCFD!E2105</f>
        <v>0.01</v>
      </c>
    </row>
    <row r="2387" spans="1:9" s="1045" customFormat="1" ht="24.95" customHeight="1" x14ac:dyDescent="0.2">
      <c r="A2387" s="972"/>
      <c r="B2387" s="973">
        <v>110600</v>
      </c>
      <c r="C2387" s="974">
        <v>344905100000000</v>
      </c>
      <c r="D2387" s="973" t="s">
        <v>6286</v>
      </c>
      <c r="E2387" s="973"/>
      <c r="F2387" s="975">
        <v>1</v>
      </c>
      <c r="G2387" s="973">
        <v>0</v>
      </c>
      <c r="H2387" s="950"/>
      <c r="I2387" s="1039">
        <f>PUCFD!E2106</f>
        <v>0.01</v>
      </c>
    </row>
    <row r="2388" spans="1:9" s="1045" customFormat="1" ht="24.95" customHeight="1" x14ac:dyDescent="0.2">
      <c r="A2388" s="972"/>
      <c r="B2388" s="973">
        <v>110700</v>
      </c>
      <c r="C2388" s="974">
        <v>344905200000000</v>
      </c>
      <c r="D2388" s="973" t="s">
        <v>6287</v>
      </c>
      <c r="E2388" s="973"/>
      <c r="F2388" s="975">
        <v>1</v>
      </c>
      <c r="G2388" s="973">
        <v>0</v>
      </c>
      <c r="H2388" s="950"/>
      <c r="I2388" s="1039">
        <f>PUCFD!E2107</f>
        <v>0.01</v>
      </c>
    </row>
    <row r="2389" spans="1:9" s="946" customFormat="1" ht="24.95" customHeight="1" x14ac:dyDescent="0.25">
      <c r="A2389" s="958"/>
      <c r="B2389" s="962" t="s">
        <v>3138</v>
      </c>
      <c r="C2389" s="959">
        <v>12</v>
      </c>
      <c r="D2389" s="962" t="s">
        <v>4728</v>
      </c>
      <c r="E2389" s="958"/>
      <c r="F2389" s="960"/>
      <c r="G2389" s="958"/>
      <c r="H2389" s="956"/>
      <c r="I2389" s="957">
        <f>I2390</f>
        <v>0.01</v>
      </c>
    </row>
    <row r="2390" spans="1:9" s="946" customFormat="1" ht="24.95" customHeight="1" x14ac:dyDescent="0.25">
      <c r="A2390" s="958"/>
      <c r="B2390" s="962" t="s">
        <v>3139</v>
      </c>
      <c r="C2390" s="959">
        <v>126</v>
      </c>
      <c r="D2390" s="962" t="s">
        <v>3600</v>
      </c>
      <c r="E2390" s="958"/>
      <c r="F2390" s="960"/>
      <c r="G2390" s="958"/>
      <c r="H2390" s="956"/>
      <c r="I2390" s="957">
        <f>I2391</f>
        <v>0.01</v>
      </c>
    </row>
    <row r="2391" spans="1:9" s="946" customFormat="1" ht="24.95" customHeight="1" x14ac:dyDescent="0.25">
      <c r="A2391" s="958"/>
      <c r="B2391" s="962" t="s">
        <v>3137</v>
      </c>
      <c r="C2391" s="959">
        <v>6</v>
      </c>
      <c r="D2391" s="962" t="s">
        <v>4729</v>
      </c>
      <c r="E2391" s="958"/>
      <c r="F2391" s="960"/>
      <c r="G2391" s="958"/>
      <c r="H2391" s="956"/>
      <c r="I2391" s="957">
        <f>I2392</f>
        <v>0.01</v>
      </c>
    </row>
    <row r="2392" spans="1:9" s="1043" customFormat="1" ht="24.95" customHeight="1" x14ac:dyDescent="0.2">
      <c r="A2392" s="958"/>
      <c r="B2392" s="963" t="s">
        <v>2965</v>
      </c>
      <c r="C2392" s="959">
        <v>5</v>
      </c>
      <c r="D2392" s="963" t="s">
        <v>4692</v>
      </c>
      <c r="E2392" s="963"/>
      <c r="F2392" s="960"/>
      <c r="G2392" s="963"/>
      <c r="I2392" s="1044">
        <f>SUM(I2393:I2393)</f>
        <v>0.01</v>
      </c>
    </row>
    <row r="2393" spans="1:9" ht="33.75" customHeight="1" x14ac:dyDescent="0.25">
      <c r="B2393" s="973">
        <v>110750</v>
      </c>
      <c r="C2393" s="974">
        <v>333904000000000</v>
      </c>
      <c r="D2393" s="973" t="s">
        <v>6288</v>
      </c>
      <c r="F2393" s="975">
        <v>1</v>
      </c>
      <c r="G2393" s="973">
        <v>0</v>
      </c>
      <c r="H2393" s="972">
        <v>0</v>
      </c>
      <c r="I2393" s="1039">
        <f>PUCFD!E2109</f>
        <v>0.01</v>
      </c>
    </row>
    <row r="2394" spans="1:9" s="946" customFormat="1" ht="24.95" customHeight="1" x14ac:dyDescent="0.25">
      <c r="A2394" s="958"/>
      <c r="B2394" s="962" t="s">
        <v>3138</v>
      </c>
      <c r="C2394" s="959">
        <v>12</v>
      </c>
      <c r="D2394" s="962" t="s">
        <v>4728</v>
      </c>
      <c r="E2394" s="958"/>
      <c r="F2394" s="960"/>
      <c r="G2394" s="958"/>
      <c r="H2394" s="956"/>
      <c r="I2394" s="957">
        <f>I2395</f>
        <v>0.05</v>
      </c>
    </row>
    <row r="2395" spans="1:9" s="946" customFormat="1" ht="24.95" customHeight="1" x14ac:dyDescent="0.25">
      <c r="A2395" s="958"/>
      <c r="B2395" s="962" t="s">
        <v>3139</v>
      </c>
      <c r="C2395" s="959">
        <v>128</v>
      </c>
      <c r="D2395" s="962" t="s">
        <v>5104</v>
      </c>
      <c r="E2395" s="958"/>
      <c r="F2395" s="960"/>
      <c r="G2395" s="958"/>
      <c r="H2395" s="956"/>
      <c r="I2395" s="957">
        <f>I2396</f>
        <v>0.05</v>
      </c>
    </row>
    <row r="2396" spans="1:9" s="946" customFormat="1" ht="24.95" customHeight="1" x14ac:dyDescent="0.25">
      <c r="A2396" s="958"/>
      <c r="B2396" s="962" t="s">
        <v>3137</v>
      </c>
      <c r="C2396" s="959">
        <v>6</v>
      </c>
      <c r="D2396" s="962" t="s">
        <v>4729</v>
      </c>
      <c r="E2396" s="958"/>
      <c r="F2396" s="960"/>
      <c r="G2396" s="958"/>
      <c r="H2396" s="956"/>
      <c r="I2396" s="957">
        <f>I2397</f>
        <v>0.05</v>
      </c>
    </row>
    <row r="2397" spans="1:9" s="1043" customFormat="1" ht="24.95" customHeight="1" x14ac:dyDescent="0.2">
      <c r="A2397" s="958"/>
      <c r="B2397" s="963" t="s">
        <v>2965</v>
      </c>
      <c r="C2397" s="959">
        <v>5</v>
      </c>
      <c r="D2397" s="963" t="s">
        <v>4692</v>
      </c>
      <c r="E2397" s="963"/>
      <c r="F2397" s="960"/>
      <c r="G2397" s="963"/>
      <c r="I2397" s="1044">
        <f>SUM(I2398:I2402)</f>
        <v>0.05</v>
      </c>
    </row>
    <row r="2398" spans="1:9" s="946" customFormat="1" ht="24.95" customHeight="1" x14ac:dyDescent="0.25">
      <c r="B2398" s="973">
        <v>110800</v>
      </c>
      <c r="C2398" s="974">
        <v>333901400000000</v>
      </c>
      <c r="D2398" s="973" t="s">
        <v>6293</v>
      </c>
      <c r="E2398" s="948"/>
      <c r="F2398" s="975">
        <v>1</v>
      </c>
      <c r="G2398" s="973">
        <v>0</v>
      </c>
      <c r="H2398" s="972">
        <v>0</v>
      </c>
      <c r="I2398" s="1039">
        <f>PUCFD!E2112</f>
        <v>0.01</v>
      </c>
    </row>
    <row r="2399" spans="1:9" s="946" customFormat="1" ht="36.75" customHeight="1" x14ac:dyDescent="0.25">
      <c r="B2399" s="973">
        <v>110820</v>
      </c>
      <c r="C2399" s="974">
        <v>333903300000000</v>
      </c>
      <c r="D2399" s="973" t="s">
        <v>6292</v>
      </c>
      <c r="E2399" s="948"/>
      <c r="F2399" s="975">
        <v>1</v>
      </c>
      <c r="G2399" s="973">
        <v>0</v>
      </c>
      <c r="H2399" s="972">
        <v>0</v>
      </c>
      <c r="I2399" s="1039">
        <f>PUCFD!E2113</f>
        <v>0.01</v>
      </c>
    </row>
    <row r="2400" spans="1:9" s="946" customFormat="1" ht="40.5" customHeight="1" x14ac:dyDescent="0.25">
      <c r="B2400" s="973">
        <v>110840</v>
      </c>
      <c r="C2400" s="974">
        <v>333903600000000</v>
      </c>
      <c r="D2400" s="973" t="s">
        <v>6291</v>
      </c>
      <c r="E2400" s="948"/>
      <c r="F2400" s="975">
        <v>1</v>
      </c>
      <c r="G2400" s="973">
        <v>0</v>
      </c>
      <c r="H2400" s="972">
        <v>0</v>
      </c>
      <c r="I2400" s="1039">
        <f>PUCFD!E2114</f>
        <v>0.01</v>
      </c>
    </row>
    <row r="2401" spans="1:9" s="946" customFormat="1" ht="34.5" customHeight="1" x14ac:dyDescent="0.25">
      <c r="B2401" s="973">
        <v>110860</v>
      </c>
      <c r="C2401" s="974">
        <v>333903900000000</v>
      </c>
      <c r="D2401" s="973" t="s">
        <v>6290</v>
      </c>
      <c r="E2401" s="948"/>
      <c r="F2401" s="975">
        <v>1</v>
      </c>
      <c r="G2401" s="973">
        <v>0</v>
      </c>
      <c r="H2401" s="972">
        <v>0</v>
      </c>
      <c r="I2401" s="1039">
        <f>PUCFD!E2115</f>
        <v>0.01</v>
      </c>
    </row>
    <row r="2402" spans="1:9" s="946" customFormat="1" ht="40.5" customHeight="1" x14ac:dyDescent="0.25">
      <c r="B2402" s="973">
        <v>110870</v>
      </c>
      <c r="C2402" s="974">
        <v>333904700000000</v>
      </c>
      <c r="D2402" s="973" t="s">
        <v>6289</v>
      </c>
      <c r="E2402" s="948"/>
      <c r="F2402" s="975">
        <v>1</v>
      </c>
      <c r="G2402" s="973">
        <v>0</v>
      </c>
      <c r="H2402" s="972">
        <v>0</v>
      </c>
      <c r="I2402" s="1039">
        <f>PUCFD!E2116</f>
        <v>0.01</v>
      </c>
    </row>
    <row r="2403" spans="1:9" ht="24.95" customHeight="1" x14ac:dyDescent="0.25">
      <c r="B2403" s="1608" t="s">
        <v>4831</v>
      </c>
      <c r="C2403" s="1608"/>
      <c r="D2403" s="1608"/>
      <c r="E2403" s="1608"/>
      <c r="F2403" s="1608"/>
      <c r="G2403" s="1608"/>
      <c r="H2403" s="1608"/>
      <c r="I2403" s="1024">
        <f>I2392+I2368+I2397</f>
        <v>81189.788340404499</v>
      </c>
    </row>
    <row r="2404" spans="1:9" ht="24.95" customHeight="1" x14ac:dyDescent="0.25">
      <c r="B2404" s="1608" t="s">
        <v>4917</v>
      </c>
      <c r="C2404" s="1608"/>
      <c r="D2404" s="1608"/>
      <c r="E2404" s="1608"/>
      <c r="F2404" s="1608"/>
      <c r="G2404" s="1608"/>
      <c r="H2404" s="1608"/>
      <c r="I2404" s="1024">
        <f>I2403</f>
        <v>81189.788340404499</v>
      </c>
    </row>
    <row r="2405" spans="1:9" ht="24.95" customHeight="1" x14ac:dyDescent="0.25">
      <c r="A2405" s="972"/>
      <c r="B2405" s="973"/>
      <c r="C2405" s="974"/>
      <c r="D2405" s="973"/>
      <c r="E2405" s="954" t="s">
        <v>4777</v>
      </c>
      <c r="F2405" s="960"/>
      <c r="G2405" s="960"/>
      <c r="H2405" s="958"/>
      <c r="I2405" s="1030"/>
    </row>
    <row r="2406" spans="1:9" s="946" customFormat="1" ht="24.95" customHeight="1" x14ac:dyDescent="0.25">
      <c r="A2406" s="958"/>
      <c r="B2406" s="963"/>
      <c r="C2406" s="964"/>
      <c r="D2406" s="963"/>
      <c r="E2406" s="948"/>
      <c r="F2406" s="949">
        <v>1</v>
      </c>
      <c r="G2406" s="945">
        <v>0</v>
      </c>
      <c r="H2406" s="950">
        <v>0</v>
      </c>
      <c r="I2406" s="951">
        <f>I2404</f>
        <v>81189.788340404499</v>
      </c>
    </row>
    <row r="2408" spans="1:9" s="946" customFormat="1" ht="24.95" customHeight="1" x14ac:dyDescent="0.25">
      <c r="B2408" s="946" t="s">
        <v>3088</v>
      </c>
      <c r="C2408" s="953" t="s">
        <v>4685</v>
      </c>
      <c r="E2408" s="954"/>
      <c r="F2408" s="955"/>
      <c r="H2408" s="956"/>
      <c r="I2408" s="957"/>
    </row>
    <row r="2409" spans="1:9" s="946" customFormat="1" ht="24.95" customHeight="1" x14ac:dyDescent="0.25">
      <c r="B2409" s="946" t="s">
        <v>3087</v>
      </c>
      <c r="C2409" s="953" t="s">
        <v>4921</v>
      </c>
      <c r="E2409" s="954"/>
      <c r="F2409" s="955"/>
      <c r="H2409" s="956"/>
      <c r="I2409" s="957"/>
    </row>
    <row r="2410" spans="1:9" s="946" customFormat="1" ht="24.95" customHeight="1" x14ac:dyDescent="0.25">
      <c r="B2410" s="946" t="s">
        <v>3089</v>
      </c>
      <c r="C2410" s="953" t="s">
        <v>3146</v>
      </c>
      <c r="E2410" s="954"/>
      <c r="F2410" s="955"/>
      <c r="H2410" s="956"/>
      <c r="I2410" s="957"/>
    </row>
    <row r="2411" spans="1:9" ht="41.25" customHeight="1" x14ac:dyDescent="0.25">
      <c r="A2411" s="958"/>
      <c r="B2411" s="958" t="s">
        <v>2967</v>
      </c>
      <c r="C2411" s="959" t="s">
        <v>472</v>
      </c>
      <c r="D2411" s="958" t="s">
        <v>2968</v>
      </c>
      <c r="E2411" s="959" t="s">
        <v>3066</v>
      </c>
      <c r="F2411" s="960" t="s">
        <v>1403</v>
      </c>
      <c r="G2411" s="958" t="s">
        <v>2969</v>
      </c>
      <c r="H2411" s="958" t="s">
        <v>3065</v>
      </c>
      <c r="I2411" s="961" t="s">
        <v>2531</v>
      </c>
    </row>
    <row r="2412" spans="1:9" ht="24.95" customHeight="1" x14ac:dyDescent="0.25">
      <c r="A2412" s="958"/>
      <c r="B2412" s="962" t="s">
        <v>3138</v>
      </c>
      <c r="C2412" s="959">
        <v>12</v>
      </c>
      <c r="D2412" s="962" t="s">
        <v>4728</v>
      </c>
      <c r="E2412" s="954"/>
      <c r="F2412" s="960"/>
      <c r="G2412" s="958"/>
      <c r="H2412" s="958"/>
      <c r="I2412" s="961">
        <f>I2413</f>
        <v>6.0000000000000005E-2</v>
      </c>
    </row>
    <row r="2413" spans="1:9" ht="24.95" customHeight="1" x14ac:dyDescent="0.25">
      <c r="A2413" s="958"/>
      <c r="B2413" s="962" t="s">
        <v>3139</v>
      </c>
      <c r="C2413" s="959">
        <v>122</v>
      </c>
      <c r="D2413" s="962" t="s">
        <v>3143</v>
      </c>
      <c r="E2413" s="954"/>
      <c r="F2413" s="960"/>
      <c r="G2413" s="958"/>
      <c r="H2413" s="958"/>
      <c r="I2413" s="961">
        <f>I2414</f>
        <v>6.0000000000000005E-2</v>
      </c>
    </row>
    <row r="2414" spans="1:9" ht="24.95" customHeight="1" x14ac:dyDescent="0.25">
      <c r="A2414" s="958"/>
      <c r="B2414" s="962" t="s">
        <v>3137</v>
      </c>
      <c r="C2414" s="959">
        <v>6</v>
      </c>
      <c r="D2414" s="962" t="s">
        <v>4729</v>
      </c>
      <c r="E2414" s="954"/>
      <c r="F2414" s="960"/>
      <c r="G2414" s="958"/>
      <c r="H2414" s="958"/>
      <c r="I2414" s="961">
        <f>I2415</f>
        <v>6.0000000000000005E-2</v>
      </c>
    </row>
    <row r="2415" spans="1:9" s="1043" customFormat="1" ht="24.95" customHeight="1" x14ac:dyDescent="0.2">
      <c r="A2415" s="958"/>
      <c r="B2415" s="963" t="s">
        <v>2950</v>
      </c>
      <c r="C2415" s="959">
        <v>5</v>
      </c>
      <c r="D2415" s="963" t="s">
        <v>4688</v>
      </c>
      <c r="E2415" s="963"/>
      <c r="F2415" s="960"/>
      <c r="G2415" s="963"/>
      <c r="I2415" s="1044">
        <f>SUM(I2416:I2421)</f>
        <v>6.0000000000000005E-2</v>
      </c>
    </row>
    <row r="2416" spans="1:9" ht="24.95" customHeight="1" x14ac:dyDescent="0.25">
      <c r="A2416" s="958"/>
      <c r="B2416" s="973">
        <v>112000</v>
      </c>
      <c r="C2416" s="974">
        <v>333904700000000</v>
      </c>
      <c r="D2416" s="973" t="s">
        <v>6294</v>
      </c>
      <c r="E2416" s="954"/>
      <c r="F2416" s="975">
        <v>1</v>
      </c>
      <c r="G2416" s="973">
        <v>0</v>
      </c>
      <c r="H2416" s="972">
        <v>0</v>
      </c>
      <c r="I2416" s="1039">
        <f>PUCFD!E2118</f>
        <v>0.01</v>
      </c>
    </row>
    <row r="2417" spans="1:9" ht="24.95" customHeight="1" x14ac:dyDescent="0.25">
      <c r="A2417" s="958"/>
      <c r="B2417" s="973">
        <v>112100</v>
      </c>
      <c r="C2417" s="974">
        <v>344903000000000</v>
      </c>
      <c r="D2417" s="973" t="s">
        <v>6295</v>
      </c>
      <c r="E2417" s="954"/>
      <c r="F2417" s="975">
        <v>1</v>
      </c>
      <c r="G2417" s="973">
        <v>0</v>
      </c>
      <c r="H2417" s="972">
        <v>0</v>
      </c>
      <c r="I2417" s="1039">
        <f>PUCFD!E2119</f>
        <v>0.01</v>
      </c>
    </row>
    <row r="2418" spans="1:9" ht="24.95" customHeight="1" x14ac:dyDescent="0.25">
      <c r="A2418" s="958"/>
      <c r="B2418" s="973">
        <v>112200</v>
      </c>
      <c r="C2418" s="974">
        <v>344903600000000</v>
      </c>
      <c r="D2418" s="973" t="s">
        <v>6296</v>
      </c>
      <c r="E2418" s="954"/>
      <c r="F2418" s="975">
        <v>1</v>
      </c>
      <c r="G2418" s="973">
        <v>0</v>
      </c>
      <c r="H2418" s="972">
        <v>0</v>
      </c>
      <c r="I2418" s="1039">
        <f>PUCFD!E2120</f>
        <v>0.01</v>
      </c>
    </row>
    <row r="2419" spans="1:9" ht="24.95" customHeight="1" x14ac:dyDescent="0.25">
      <c r="A2419" s="958"/>
      <c r="B2419" s="973">
        <v>112300</v>
      </c>
      <c r="C2419" s="974">
        <v>344903900000000</v>
      </c>
      <c r="D2419" s="973" t="s">
        <v>6297</v>
      </c>
      <c r="E2419" s="954"/>
      <c r="F2419" s="975">
        <v>1</v>
      </c>
      <c r="G2419" s="973">
        <v>0</v>
      </c>
      <c r="H2419" s="972">
        <v>0</v>
      </c>
      <c r="I2419" s="1039">
        <f>PUCFD!E2121</f>
        <v>0.01</v>
      </c>
    </row>
    <row r="2420" spans="1:9" ht="24.95" customHeight="1" x14ac:dyDescent="0.25">
      <c r="A2420" s="958"/>
      <c r="B2420" s="973">
        <v>112400</v>
      </c>
      <c r="C2420" s="974">
        <v>344905100000000</v>
      </c>
      <c r="D2420" s="973" t="s">
        <v>6298</v>
      </c>
      <c r="E2420" s="954"/>
      <c r="F2420" s="975">
        <v>1</v>
      </c>
      <c r="G2420" s="973">
        <v>0</v>
      </c>
      <c r="H2420" s="972">
        <v>0</v>
      </c>
      <c r="I2420" s="1039">
        <f>PUCFD!E2122</f>
        <v>0.01</v>
      </c>
    </row>
    <row r="2421" spans="1:9" ht="24.95" customHeight="1" x14ac:dyDescent="0.25">
      <c r="A2421" s="958"/>
      <c r="B2421" s="973">
        <v>112500</v>
      </c>
      <c r="C2421" s="974">
        <v>344905200000000</v>
      </c>
      <c r="D2421" s="973" t="s">
        <v>6299</v>
      </c>
      <c r="E2421" s="954"/>
      <c r="F2421" s="975">
        <v>1</v>
      </c>
      <c r="G2421" s="973">
        <v>0</v>
      </c>
      <c r="H2421" s="972">
        <v>0</v>
      </c>
      <c r="I2421" s="1039">
        <f>PUCFD!E2123</f>
        <v>0.01</v>
      </c>
    </row>
    <row r="2422" spans="1:9" ht="24.95" customHeight="1" x14ac:dyDescent="0.25">
      <c r="A2422" s="958"/>
      <c r="B2422" s="962" t="s">
        <v>3138</v>
      </c>
      <c r="C2422" s="959">
        <v>12</v>
      </c>
      <c r="D2422" s="962" t="s">
        <v>4728</v>
      </c>
      <c r="E2422" s="954"/>
      <c r="F2422" s="960"/>
      <c r="G2422" s="958"/>
      <c r="H2422" s="958"/>
      <c r="I2422" s="961">
        <f>I2423</f>
        <v>6.0000000000000005E-2</v>
      </c>
    </row>
    <row r="2423" spans="1:9" ht="24.95" customHeight="1" x14ac:dyDescent="0.25">
      <c r="A2423" s="958"/>
      <c r="B2423" s="962" t="s">
        <v>3139</v>
      </c>
      <c r="C2423" s="959">
        <v>306</v>
      </c>
      <c r="D2423" s="962" t="s">
        <v>4929</v>
      </c>
      <c r="E2423" s="954"/>
      <c r="F2423" s="960"/>
      <c r="G2423" s="958"/>
      <c r="H2423" s="958"/>
      <c r="I2423" s="961">
        <f>I2424</f>
        <v>6.0000000000000005E-2</v>
      </c>
    </row>
    <row r="2424" spans="1:9" ht="24.95" customHeight="1" x14ac:dyDescent="0.25">
      <c r="A2424" s="958"/>
      <c r="B2424" s="962" t="s">
        <v>3137</v>
      </c>
      <c r="C2424" s="959">
        <v>7</v>
      </c>
      <c r="D2424" s="962" t="s">
        <v>4925</v>
      </c>
      <c r="E2424" s="954"/>
      <c r="F2424" s="960"/>
      <c r="G2424" s="958"/>
      <c r="H2424" s="958"/>
      <c r="I2424" s="961">
        <f>I2425</f>
        <v>6.0000000000000005E-2</v>
      </c>
    </row>
    <row r="2425" spans="1:9" s="1043" customFormat="1" ht="24.95" customHeight="1" x14ac:dyDescent="0.2">
      <c r="A2425" s="958"/>
      <c r="B2425" s="963" t="s">
        <v>2950</v>
      </c>
      <c r="C2425" s="959" t="s">
        <v>4923</v>
      </c>
      <c r="D2425" s="963" t="s">
        <v>4924</v>
      </c>
      <c r="E2425" s="963"/>
      <c r="F2425" s="960"/>
      <c r="G2425" s="963"/>
      <c r="I2425" s="1044">
        <f>SUM(I2426:I2431)</f>
        <v>6.0000000000000005E-2</v>
      </c>
    </row>
    <row r="2426" spans="1:9" s="971" customFormat="1" ht="24.95" customHeight="1" x14ac:dyDescent="0.25">
      <c r="A2426" s="981"/>
      <c r="B2426" s="966">
        <v>112600</v>
      </c>
      <c r="C2426" s="967">
        <v>333904700000000</v>
      </c>
      <c r="D2426" s="966" t="s">
        <v>6300</v>
      </c>
      <c r="E2426" s="984"/>
      <c r="F2426" s="969">
        <v>1</v>
      </c>
      <c r="G2426" s="966">
        <v>0</v>
      </c>
      <c r="H2426" s="965">
        <v>0</v>
      </c>
      <c r="I2426" s="1046">
        <f>PUCFD!E2125</f>
        <v>0.01</v>
      </c>
    </row>
    <row r="2427" spans="1:9" ht="24.95" customHeight="1" x14ac:dyDescent="0.25">
      <c r="A2427" s="958"/>
      <c r="B2427" s="973">
        <v>112620</v>
      </c>
      <c r="C2427" s="974">
        <v>344903000000000</v>
      </c>
      <c r="D2427" s="973" t="s">
        <v>6302</v>
      </c>
      <c r="E2427" s="954"/>
      <c r="F2427" s="975">
        <v>1</v>
      </c>
      <c r="G2427" s="973">
        <v>0</v>
      </c>
      <c r="H2427" s="972">
        <v>0</v>
      </c>
      <c r="I2427" s="1039">
        <f>PUCFD!E2126</f>
        <v>0.01</v>
      </c>
    </row>
    <row r="2428" spans="1:9" ht="24.95" customHeight="1" x14ac:dyDescent="0.25">
      <c r="A2428" s="958"/>
      <c r="B2428" s="973">
        <v>112640</v>
      </c>
      <c r="C2428" s="974">
        <v>344903600000000</v>
      </c>
      <c r="D2428" s="973" t="s">
        <v>6301</v>
      </c>
      <c r="E2428" s="954"/>
      <c r="F2428" s="975">
        <v>1</v>
      </c>
      <c r="G2428" s="973">
        <v>0</v>
      </c>
      <c r="H2428" s="972">
        <v>0</v>
      </c>
      <c r="I2428" s="1039">
        <f>PUCFD!E2127</f>
        <v>0.01</v>
      </c>
    </row>
    <row r="2429" spans="1:9" ht="24.95" customHeight="1" x14ac:dyDescent="0.25">
      <c r="A2429" s="958"/>
      <c r="B2429" s="973">
        <v>112660</v>
      </c>
      <c r="C2429" s="974">
        <v>344903900000000</v>
      </c>
      <c r="D2429" s="973" t="s">
        <v>6303</v>
      </c>
      <c r="E2429" s="954"/>
      <c r="F2429" s="975">
        <v>1</v>
      </c>
      <c r="G2429" s="973">
        <v>0</v>
      </c>
      <c r="H2429" s="972">
        <v>0</v>
      </c>
      <c r="I2429" s="1039">
        <f>PUCFD!E2128</f>
        <v>0.01</v>
      </c>
    </row>
    <row r="2430" spans="1:9" ht="24.95" customHeight="1" x14ac:dyDescent="0.25">
      <c r="A2430" s="958"/>
      <c r="B2430" s="973">
        <v>112680</v>
      </c>
      <c r="C2430" s="974">
        <v>344905100000000</v>
      </c>
      <c r="D2430" s="973" t="s">
        <v>6304</v>
      </c>
      <c r="E2430" s="954"/>
      <c r="F2430" s="975">
        <v>1</v>
      </c>
      <c r="G2430" s="973">
        <v>0</v>
      </c>
      <c r="H2430" s="972">
        <v>0</v>
      </c>
      <c r="I2430" s="1039">
        <f>PUCFD!E2129</f>
        <v>0.01</v>
      </c>
    </row>
    <row r="2431" spans="1:9" ht="24.95" customHeight="1" x14ac:dyDescent="0.25">
      <c r="A2431" s="958"/>
      <c r="B2431" s="973">
        <v>112700</v>
      </c>
      <c r="C2431" s="974">
        <v>344905200000000</v>
      </c>
      <c r="D2431" s="973" t="s">
        <v>6305</v>
      </c>
      <c r="E2431" s="954"/>
      <c r="F2431" s="975">
        <v>1</v>
      </c>
      <c r="G2431" s="973">
        <v>0</v>
      </c>
      <c r="H2431" s="972">
        <v>0</v>
      </c>
      <c r="I2431" s="1039">
        <f>PUCFD!E2130</f>
        <v>0.01</v>
      </c>
    </row>
    <row r="2432" spans="1:9" ht="24.95" customHeight="1" x14ac:dyDescent="0.25">
      <c r="A2432" s="958"/>
      <c r="B2432" s="962" t="s">
        <v>3138</v>
      </c>
      <c r="C2432" s="959">
        <v>12</v>
      </c>
      <c r="D2432" s="962" t="s">
        <v>4728</v>
      </c>
      <c r="E2432" s="954"/>
      <c r="F2432" s="960"/>
      <c r="G2432" s="958"/>
      <c r="H2432" s="958"/>
      <c r="I2432" s="961">
        <f>I2433</f>
        <v>70267.094339348201</v>
      </c>
    </row>
    <row r="2433" spans="1:9" ht="24.95" customHeight="1" x14ac:dyDescent="0.25">
      <c r="A2433" s="958"/>
      <c r="B2433" s="962" t="s">
        <v>3139</v>
      </c>
      <c r="C2433" s="959">
        <v>122</v>
      </c>
      <c r="D2433" s="962" t="s">
        <v>3143</v>
      </c>
      <c r="E2433" s="954"/>
      <c r="F2433" s="960"/>
      <c r="G2433" s="958"/>
      <c r="H2433" s="958"/>
      <c r="I2433" s="961">
        <f>I2434</f>
        <v>70267.094339348201</v>
      </c>
    </row>
    <row r="2434" spans="1:9" ht="24.95" customHeight="1" x14ac:dyDescent="0.25">
      <c r="A2434" s="958"/>
      <c r="B2434" s="962" t="s">
        <v>3137</v>
      </c>
      <c r="C2434" s="959">
        <v>7</v>
      </c>
      <c r="D2434" s="962" t="s">
        <v>4925</v>
      </c>
      <c r="E2434" s="954"/>
      <c r="F2434" s="960"/>
      <c r="G2434" s="958"/>
      <c r="H2434" s="958"/>
      <c r="I2434" s="961">
        <f>I2435</f>
        <v>70267.094339348201</v>
      </c>
    </row>
    <row r="2435" spans="1:9" s="946" customFormat="1" ht="24.95" customHeight="1" x14ac:dyDescent="0.25">
      <c r="A2435" s="958"/>
      <c r="B2435" s="963" t="s">
        <v>2965</v>
      </c>
      <c r="C2435" s="959">
        <v>7</v>
      </c>
      <c r="D2435" s="963" t="s">
        <v>4842</v>
      </c>
      <c r="E2435" s="954"/>
      <c r="F2435" s="960"/>
      <c r="G2435" s="958"/>
      <c r="H2435" s="958"/>
      <c r="I2435" s="961">
        <f>SUM(I2436:I2455)</f>
        <v>70267.094339348201</v>
      </c>
    </row>
    <row r="2436" spans="1:9" ht="24.95" customHeight="1" x14ac:dyDescent="0.25">
      <c r="A2436" s="958"/>
      <c r="B2436" s="973">
        <v>113000</v>
      </c>
      <c r="C2436" s="974">
        <v>331900400000000</v>
      </c>
      <c r="D2436" s="973" t="s">
        <v>6306</v>
      </c>
      <c r="E2436" s="954"/>
      <c r="F2436" s="975">
        <v>1</v>
      </c>
      <c r="G2436" s="973">
        <v>0</v>
      </c>
      <c r="H2436" s="972">
        <v>0</v>
      </c>
      <c r="I2436" s="1039">
        <f>PUCFD!E2132</f>
        <v>0.01</v>
      </c>
    </row>
    <row r="2437" spans="1:9" s="996" customFormat="1" ht="24.95" customHeight="1" x14ac:dyDescent="0.25">
      <c r="A2437" s="981"/>
      <c r="B2437" s="993">
        <v>113050</v>
      </c>
      <c r="C2437" s="994">
        <v>331900800000000</v>
      </c>
      <c r="D2437" s="993" t="s">
        <v>6307</v>
      </c>
      <c r="F2437" s="985">
        <v>1</v>
      </c>
      <c r="G2437" s="993">
        <v>0</v>
      </c>
      <c r="H2437" s="981">
        <v>0</v>
      </c>
      <c r="I2437" s="986">
        <f>(I2439+I2441+I2442+I2443)*(PUCFD!E$94)</f>
        <v>1213.6135186753604</v>
      </c>
    </row>
    <row r="2438" spans="1:9" ht="24.95" customHeight="1" x14ac:dyDescent="0.25">
      <c r="A2438" s="958"/>
      <c r="B2438" s="973">
        <v>113100</v>
      </c>
      <c r="C2438" s="974">
        <v>331901100000000</v>
      </c>
      <c r="D2438" s="973" t="s">
        <v>6308</v>
      </c>
      <c r="E2438" s="954"/>
      <c r="F2438" s="975">
        <v>1</v>
      </c>
      <c r="G2438" s="973">
        <v>0</v>
      </c>
      <c r="H2438" s="972">
        <v>0</v>
      </c>
      <c r="I2438" s="1039">
        <f>SUM(PUCFD!E2134:E2139)*(1+PUCFD!E$87)</f>
        <v>42935.977703035416</v>
      </c>
    </row>
    <row r="2439" spans="1:9" ht="24.95" customHeight="1" x14ac:dyDescent="0.25">
      <c r="A2439" s="958"/>
      <c r="B2439" s="973">
        <v>113200</v>
      </c>
      <c r="C2439" s="974">
        <v>331901300000000</v>
      </c>
      <c r="D2439" s="973" t="s">
        <v>6309</v>
      </c>
      <c r="E2439" s="954"/>
      <c r="F2439" s="975">
        <v>1</v>
      </c>
      <c r="G2439" s="973">
        <v>0</v>
      </c>
      <c r="H2439" s="972">
        <v>0</v>
      </c>
      <c r="I2439" s="1039">
        <f>(I2438+I2440+I2441+I2442)*(PUCFD!E$92)</f>
        <v>9016.5616176374388</v>
      </c>
    </row>
    <row r="2440" spans="1:9" ht="24.95" customHeight="1" x14ac:dyDescent="0.25">
      <c r="A2440" s="958"/>
      <c r="B2440" s="973">
        <v>113300</v>
      </c>
      <c r="C2440" s="974">
        <v>331901600000000</v>
      </c>
      <c r="D2440" s="973" t="s">
        <v>6310</v>
      </c>
      <c r="E2440" s="954"/>
      <c r="F2440" s="975">
        <v>1</v>
      </c>
      <c r="G2440" s="973">
        <v>0</v>
      </c>
      <c r="H2440" s="972">
        <v>0</v>
      </c>
      <c r="I2440" s="1039">
        <f>PUCFD!E2141</f>
        <v>0.01</v>
      </c>
    </row>
    <row r="2441" spans="1:9" ht="24.95" customHeight="1" x14ac:dyDescent="0.25">
      <c r="A2441" s="958"/>
      <c r="B2441" s="973">
        <v>113350</v>
      </c>
      <c r="C2441" s="974">
        <v>331903400000000</v>
      </c>
      <c r="D2441" s="973" t="s">
        <v>6311</v>
      </c>
      <c r="E2441" s="954"/>
      <c r="F2441" s="975">
        <v>1</v>
      </c>
      <c r="G2441" s="973">
        <v>0</v>
      </c>
      <c r="H2441" s="972">
        <v>0</v>
      </c>
      <c r="I2441" s="1039">
        <f>PUCFD!E2142</f>
        <v>0.01</v>
      </c>
    </row>
    <row r="2442" spans="1:9" ht="24.95" customHeight="1" x14ac:dyDescent="0.25">
      <c r="A2442" s="958"/>
      <c r="B2442" s="973">
        <v>113400</v>
      </c>
      <c r="C2442" s="974">
        <v>331909400000000</v>
      </c>
      <c r="D2442" s="973" t="s">
        <v>6312</v>
      </c>
      <c r="E2442" s="954"/>
      <c r="F2442" s="975">
        <v>1</v>
      </c>
      <c r="G2442" s="973">
        <v>0</v>
      </c>
      <c r="H2442" s="972">
        <v>0</v>
      </c>
      <c r="I2442" s="1039">
        <f>PUCFD!E2143</f>
        <v>0.01</v>
      </c>
    </row>
    <row r="2443" spans="1:9" ht="24.95" customHeight="1" x14ac:dyDescent="0.25">
      <c r="A2443" s="958"/>
      <c r="B2443" s="973">
        <v>113500</v>
      </c>
      <c r="C2443" s="974">
        <v>333901400000000</v>
      </c>
      <c r="D2443" s="973" t="s">
        <v>6313</v>
      </c>
      <c r="E2443" s="954"/>
      <c r="F2443" s="975">
        <v>1</v>
      </c>
      <c r="G2443" s="973">
        <v>0</v>
      </c>
      <c r="H2443" s="972">
        <v>0</v>
      </c>
      <c r="I2443" s="1039">
        <f>PUCFD!E2144</f>
        <v>1500</v>
      </c>
    </row>
    <row r="2444" spans="1:9" ht="24.95" customHeight="1" x14ac:dyDescent="0.25">
      <c r="A2444" s="958"/>
      <c r="B2444" s="973">
        <v>113600</v>
      </c>
      <c r="C2444" s="974">
        <v>333903000000000</v>
      </c>
      <c r="D2444" s="973" t="s">
        <v>6314</v>
      </c>
      <c r="E2444" s="954"/>
      <c r="F2444" s="975">
        <v>1</v>
      </c>
      <c r="G2444" s="973">
        <v>0</v>
      </c>
      <c r="H2444" s="972">
        <v>0</v>
      </c>
      <c r="I2444" s="1039">
        <f>PUCFD!E2145</f>
        <v>1000</v>
      </c>
    </row>
    <row r="2445" spans="1:9" ht="24.95" customHeight="1" x14ac:dyDescent="0.25">
      <c r="A2445" s="958"/>
      <c r="B2445" s="973">
        <v>113700</v>
      </c>
      <c r="C2445" s="974">
        <v>333903300000000</v>
      </c>
      <c r="D2445" s="973" t="s">
        <v>6315</v>
      </c>
      <c r="E2445" s="954"/>
      <c r="F2445" s="975">
        <v>1</v>
      </c>
      <c r="G2445" s="973">
        <v>0</v>
      </c>
      <c r="H2445" s="972">
        <v>0</v>
      </c>
      <c r="I2445" s="1039">
        <f>PUCFD!E2146</f>
        <v>500</v>
      </c>
    </row>
    <row r="2446" spans="1:9" ht="24.95" customHeight="1" x14ac:dyDescent="0.25">
      <c r="A2446" s="958"/>
      <c r="B2446" s="973">
        <v>113800</v>
      </c>
      <c r="C2446" s="974">
        <v>333903600000000</v>
      </c>
      <c r="D2446" s="973" t="s">
        <v>6296</v>
      </c>
      <c r="E2446" s="954"/>
      <c r="F2446" s="975">
        <v>1</v>
      </c>
      <c r="G2446" s="973">
        <v>0</v>
      </c>
      <c r="H2446" s="972">
        <v>0</v>
      </c>
      <c r="I2446" s="1039">
        <f>PUCFD!E2147</f>
        <v>1000</v>
      </c>
    </row>
    <row r="2447" spans="1:9" ht="24.95" customHeight="1" x14ac:dyDescent="0.25">
      <c r="A2447" s="958"/>
      <c r="B2447" s="973">
        <v>113900</v>
      </c>
      <c r="C2447" s="974">
        <v>333903900000000</v>
      </c>
      <c r="D2447" s="973" t="s">
        <v>6297</v>
      </c>
      <c r="E2447" s="954"/>
      <c r="F2447" s="975">
        <v>1</v>
      </c>
      <c r="G2447" s="973">
        <v>0</v>
      </c>
      <c r="H2447" s="972">
        <v>0</v>
      </c>
      <c r="I2447" s="1039">
        <f>PUCFD!E2148</f>
        <v>5000</v>
      </c>
    </row>
    <row r="2448" spans="1:9" ht="24.95" customHeight="1" x14ac:dyDescent="0.25">
      <c r="A2448" s="958"/>
      <c r="B2448" s="973">
        <v>114000</v>
      </c>
      <c r="C2448" s="974">
        <v>333904600000000</v>
      </c>
      <c r="D2448" s="973" t="s">
        <v>6316</v>
      </c>
      <c r="E2448" s="954"/>
      <c r="F2448" s="975">
        <v>1</v>
      </c>
      <c r="G2448" s="973">
        <v>0</v>
      </c>
      <c r="H2448" s="972">
        <v>0</v>
      </c>
      <c r="I2448" s="1039">
        <f>PUCFD!E2151*(1+PUCFD!E$10)*(1+PUCFD!E$16)</f>
        <v>5486.7014999999992</v>
      </c>
    </row>
    <row r="2449" spans="1:9" ht="24.95" customHeight="1" x14ac:dyDescent="0.25">
      <c r="A2449" s="958"/>
      <c r="B2449" s="973">
        <v>114100</v>
      </c>
      <c r="C2449" s="974">
        <v>333904700000000</v>
      </c>
      <c r="D2449" s="973" t="s">
        <v>6317</v>
      </c>
      <c r="E2449" s="954"/>
      <c r="F2449" s="975">
        <v>1</v>
      </c>
      <c r="G2449" s="973">
        <v>0</v>
      </c>
      <c r="H2449" s="972">
        <v>0</v>
      </c>
      <c r="I2449" s="1039">
        <f>PUCFD!E2152</f>
        <v>1500</v>
      </c>
    </row>
    <row r="2450" spans="1:9" ht="24.95" customHeight="1" x14ac:dyDescent="0.25">
      <c r="A2450" s="958"/>
      <c r="B2450" s="973">
        <v>114200</v>
      </c>
      <c r="C2450" s="974">
        <v>333904900000000</v>
      </c>
      <c r="D2450" s="973" t="s">
        <v>6318</v>
      </c>
      <c r="E2450" s="954"/>
      <c r="F2450" s="975">
        <v>1</v>
      </c>
      <c r="G2450" s="973">
        <v>0</v>
      </c>
      <c r="H2450" s="972">
        <v>0</v>
      </c>
      <c r="I2450" s="1039">
        <f>PUCFD!E2153</f>
        <v>614.16</v>
      </c>
    </row>
    <row r="2451" spans="1:9" ht="24.95" customHeight="1" x14ac:dyDescent="0.25">
      <c r="A2451" s="958"/>
      <c r="B2451" s="973">
        <v>114300</v>
      </c>
      <c r="C2451" s="974">
        <v>333909200000000</v>
      </c>
      <c r="D2451" s="973" t="s">
        <v>6319</v>
      </c>
      <c r="E2451" s="954"/>
      <c r="F2451" s="975">
        <v>1</v>
      </c>
      <c r="G2451" s="973">
        <v>0</v>
      </c>
      <c r="H2451" s="972">
        <v>0</v>
      </c>
      <c r="I2451" s="1039">
        <f>PUCFD!E2154</f>
        <v>0.01</v>
      </c>
    </row>
    <row r="2452" spans="1:9" ht="24.95" customHeight="1" x14ac:dyDescent="0.25">
      <c r="A2452" s="958"/>
      <c r="B2452" s="973">
        <v>114400</v>
      </c>
      <c r="C2452" s="974">
        <v>333909300000000</v>
      </c>
      <c r="D2452" s="973" t="s">
        <v>6320</v>
      </c>
      <c r="E2452" s="954"/>
      <c r="F2452" s="975">
        <v>1</v>
      </c>
      <c r="G2452" s="973">
        <v>0</v>
      </c>
      <c r="H2452" s="972">
        <v>0</v>
      </c>
      <c r="I2452" s="1039">
        <f>PUCFD!E2155</f>
        <v>500</v>
      </c>
    </row>
    <row r="2453" spans="1:9" ht="24.95" customHeight="1" x14ac:dyDescent="0.25">
      <c r="A2453" s="958"/>
      <c r="B2453" s="973">
        <v>114500</v>
      </c>
      <c r="C2453" s="974">
        <v>333933000000000</v>
      </c>
      <c r="D2453" s="973" t="s">
        <v>6321</v>
      </c>
      <c r="E2453" s="954"/>
      <c r="F2453" s="975">
        <v>1</v>
      </c>
      <c r="G2453" s="973">
        <v>0</v>
      </c>
      <c r="H2453" s="972">
        <v>0</v>
      </c>
      <c r="I2453" s="1039">
        <f>PUCFD!E2156</f>
        <v>0.01</v>
      </c>
    </row>
    <row r="2454" spans="1:9" ht="24.95" customHeight="1" x14ac:dyDescent="0.25">
      <c r="A2454" s="958"/>
      <c r="B2454" s="973">
        <v>114600</v>
      </c>
      <c r="C2454" s="974">
        <v>344905100000000</v>
      </c>
      <c r="D2454" s="973" t="s">
        <v>6298</v>
      </c>
      <c r="E2454" s="954"/>
      <c r="F2454" s="975">
        <v>1</v>
      </c>
      <c r="G2454" s="973">
        <v>0</v>
      </c>
      <c r="H2454" s="972">
        <v>0</v>
      </c>
      <c r="I2454" s="1039">
        <f>PUCFD!E2157</f>
        <v>0.01</v>
      </c>
    </row>
    <row r="2455" spans="1:9" ht="24.95" customHeight="1" x14ac:dyDescent="0.25">
      <c r="A2455" s="958"/>
      <c r="B2455" s="973">
        <v>114700</v>
      </c>
      <c r="C2455" s="974">
        <v>344905200000000</v>
      </c>
      <c r="D2455" s="973" t="s">
        <v>6322</v>
      </c>
      <c r="E2455" s="954"/>
      <c r="F2455" s="975">
        <v>1</v>
      </c>
      <c r="G2455" s="973">
        <v>0</v>
      </c>
      <c r="H2455" s="972">
        <v>0</v>
      </c>
      <c r="I2455" s="1039">
        <f>PUCFD!E2158</f>
        <v>0.01</v>
      </c>
    </row>
    <row r="2456" spans="1:9" ht="24.95" customHeight="1" x14ac:dyDescent="0.25">
      <c r="A2456" s="958"/>
      <c r="B2456" s="962" t="s">
        <v>3138</v>
      </c>
      <c r="C2456" s="959">
        <v>12</v>
      </c>
      <c r="D2456" s="962" t="s">
        <v>4728</v>
      </c>
      <c r="E2456" s="954"/>
      <c r="F2456" s="960"/>
      <c r="G2456" s="958"/>
      <c r="H2456" s="958"/>
      <c r="I2456" s="961">
        <f>I2457</f>
        <v>0.01</v>
      </c>
    </row>
    <row r="2457" spans="1:9" ht="24.95" customHeight="1" x14ac:dyDescent="0.25">
      <c r="A2457" s="958"/>
      <c r="B2457" s="962" t="s">
        <v>3139</v>
      </c>
      <c r="C2457" s="959">
        <v>126</v>
      </c>
      <c r="D2457" s="962" t="s">
        <v>3600</v>
      </c>
      <c r="E2457" s="954"/>
      <c r="F2457" s="960"/>
      <c r="G2457" s="958"/>
      <c r="H2457" s="958"/>
      <c r="I2457" s="961">
        <f>I2458</f>
        <v>0.01</v>
      </c>
    </row>
    <row r="2458" spans="1:9" ht="24.95" customHeight="1" x14ac:dyDescent="0.25">
      <c r="A2458" s="958"/>
      <c r="B2458" s="962" t="s">
        <v>3137</v>
      </c>
      <c r="C2458" s="959">
        <v>7</v>
      </c>
      <c r="D2458" s="962" t="s">
        <v>4925</v>
      </c>
      <c r="E2458" s="954"/>
      <c r="F2458" s="960"/>
      <c r="G2458" s="958"/>
      <c r="H2458" s="958"/>
      <c r="I2458" s="961">
        <f>I2459</f>
        <v>0.01</v>
      </c>
    </row>
    <row r="2459" spans="1:9" s="946" customFormat="1" ht="24.95" customHeight="1" x14ac:dyDescent="0.25">
      <c r="A2459" s="958"/>
      <c r="B2459" s="963" t="s">
        <v>2965</v>
      </c>
      <c r="C2459" s="959">
        <v>7</v>
      </c>
      <c r="D2459" s="963" t="s">
        <v>4842</v>
      </c>
      <c r="E2459" s="954"/>
      <c r="F2459" s="960"/>
      <c r="G2459" s="958"/>
      <c r="H2459" s="958"/>
      <c r="I2459" s="961">
        <f>I2460</f>
        <v>0.01</v>
      </c>
    </row>
    <row r="2460" spans="1:9" ht="33.75" customHeight="1" x14ac:dyDescent="0.25">
      <c r="B2460" s="973">
        <v>114750</v>
      </c>
      <c r="C2460" s="974">
        <v>333904000000000</v>
      </c>
      <c r="D2460" s="973" t="s">
        <v>6323</v>
      </c>
      <c r="F2460" s="975">
        <v>1</v>
      </c>
      <c r="G2460" s="973">
        <v>0</v>
      </c>
      <c r="H2460" s="972">
        <v>0</v>
      </c>
      <c r="I2460" s="1039">
        <f>PUCFD!E2160</f>
        <v>0.01</v>
      </c>
    </row>
    <row r="2461" spans="1:9" ht="24.95" customHeight="1" x14ac:dyDescent="0.25">
      <c r="A2461" s="958"/>
      <c r="B2461" s="962" t="s">
        <v>3138</v>
      </c>
      <c r="C2461" s="959">
        <v>12</v>
      </c>
      <c r="D2461" s="962" t="s">
        <v>4728</v>
      </c>
      <c r="E2461" s="954"/>
      <c r="F2461" s="960"/>
      <c r="G2461" s="958"/>
      <c r="H2461" s="958"/>
      <c r="I2461" s="961">
        <f>I2462</f>
        <v>0.05</v>
      </c>
    </row>
    <row r="2462" spans="1:9" ht="24.95" customHeight="1" x14ac:dyDescent="0.25">
      <c r="A2462" s="958"/>
      <c r="B2462" s="962" t="s">
        <v>3139</v>
      </c>
      <c r="C2462" s="959">
        <v>128</v>
      </c>
      <c r="D2462" s="962" t="s">
        <v>5104</v>
      </c>
      <c r="E2462" s="954"/>
      <c r="F2462" s="960"/>
      <c r="G2462" s="958"/>
      <c r="H2462" s="958"/>
      <c r="I2462" s="961">
        <f>I2463</f>
        <v>0.05</v>
      </c>
    </row>
    <row r="2463" spans="1:9" ht="24.95" customHeight="1" x14ac:dyDescent="0.25">
      <c r="A2463" s="958"/>
      <c r="B2463" s="962" t="s">
        <v>3137</v>
      </c>
      <c r="C2463" s="959">
        <v>7</v>
      </c>
      <c r="D2463" s="962" t="s">
        <v>4925</v>
      </c>
      <c r="E2463" s="954"/>
      <c r="F2463" s="960"/>
      <c r="G2463" s="958"/>
      <c r="H2463" s="958"/>
      <c r="I2463" s="961">
        <f>I2464</f>
        <v>0.05</v>
      </c>
    </row>
    <row r="2464" spans="1:9" s="946" customFormat="1" ht="24.95" customHeight="1" x14ac:dyDescent="0.25">
      <c r="A2464" s="958"/>
      <c r="B2464" s="963" t="s">
        <v>2965</v>
      </c>
      <c r="C2464" s="959">
        <v>7</v>
      </c>
      <c r="D2464" s="963" t="s">
        <v>4842</v>
      </c>
      <c r="E2464" s="954"/>
      <c r="F2464" s="960"/>
      <c r="G2464" s="958"/>
      <c r="H2464" s="958"/>
      <c r="I2464" s="961">
        <f>SUM(I2465:I2469)</f>
        <v>0.05</v>
      </c>
    </row>
    <row r="2465" spans="1:10" s="946" customFormat="1" ht="24.95" customHeight="1" x14ac:dyDescent="0.25">
      <c r="B2465" s="973">
        <v>114800</v>
      </c>
      <c r="C2465" s="974">
        <v>333901400000000</v>
      </c>
      <c r="D2465" s="973" t="s">
        <v>6324</v>
      </c>
      <c r="E2465" s="948"/>
      <c r="F2465" s="975">
        <v>1</v>
      </c>
      <c r="G2465" s="973">
        <v>0</v>
      </c>
      <c r="H2465" s="972">
        <v>0</v>
      </c>
      <c r="I2465" s="1039">
        <f>PUCFD!E2163</f>
        <v>0.01</v>
      </c>
    </row>
    <row r="2466" spans="1:10" s="946" customFormat="1" ht="24.95" customHeight="1" x14ac:dyDescent="0.25">
      <c r="B2466" s="973">
        <v>114820</v>
      </c>
      <c r="C2466" s="974">
        <v>333903300000000</v>
      </c>
      <c r="D2466" s="973" t="s">
        <v>6325</v>
      </c>
      <c r="E2466" s="948"/>
      <c r="F2466" s="975">
        <v>1</v>
      </c>
      <c r="G2466" s="973">
        <v>0</v>
      </c>
      <c r="H2466" s="972">
        <v>0</v>
      </c>
      <c r="I2466" s="1039">
        <f>PUCFD!E2164</f>
        <v>0.01</v>
      </c>
    </row>
    <row r="2467" spans="1:10" s="946" customFormat="1" ht="24.95" customHeight="1" x14ac:dyDescent="0.25">
      <c r="B2467" s="973">
        <v>114840</v>
      </c>
      <c r="C2467" s="974">
        <v>333903600000000</v>
      </c>
      <c r="D2467" s="973" t="s">
        <v>6326</v>
      </c>
      <c r="E2467" s="948"/>
      <c r="F2467" s="975">
        <v>1</v>
      </c>
      <c r="G2467" s="973">
        <v>0</v>
      </c>
      <c r="H2467" s="972">
        <v>0</v>
      </c>
      <c r="I2467" s="1039">
        <f>PUCFD!E2165</f>
        <v>0.01</v>
      </c>
    </row>
    <row r="2468" spans="1:10" s="946" customFormat="1" ht="24.95" customHeight="1" x14ac:dyDescent="0.25">
      <c r="B2468" s="973">
        <v>114860</v>
      </c>
      <c r="C2468" s="974">
        <v>333903900000000</v>
      </c>
      <c r="D2468" s="973" t="s">
        <v>6326</v>
      </c>
      <c r="E2468" s="948"/>
      <c r="F2468" s="975">
        <v>1</v>
      </c>
      <c r="G2468" s="973">
        <v>0</v>
      </c>
      <c r="H2468" s="972">
        <v>0</v>
      </c>
      <c r="I2468" s="1039">
        <f>PUCFD!E2166</f>
        <v>0.01</v>
      </c>
    </row>
    <row r="2469" spans="1:10" s="946" customFormat="1" ht="24.95" customHeight="1" x14ac:dyDescent="0.25">
      <c r="B2469" s="973">
        <v>114880</v>
      </c>
      <c r="C2469" s="974">
        <v>333904700000000</v>
      </c>
      <c r="D2469" s="973" t="s">
        <v>6327</v>
      </c>
      <c r="E2469" s="948"/>
      <c r="F2469" s="975">
        <v>1</v>
      </c>
      <c r="G2469" s="973">
        <v>0</v>
      </c>
      <c r="H2469" s="972">
        <v>0</v>
      </c>
      <c r="I2469" s="1039">
        <f>PUCFD!E2167</f>
        <v>0.01</v>
      </c>
    </row>
    <row r="2470" spans="1:10" ht="24.95" customHeight="1" x14ac:dyDescent="0.25">
      <c r="A2470" s="958"/>
      <c r="B2470" s="962" t="s">
        <v>3138</v>
      </c>
      <c r="C2470" s="959">
        <v>12</v>
      </c>
      <c r="D2470" s="962" t="s">
        <v>4728</v>
      </c>
      <c r="E2470" s="954"/>
      <c r="F2470" s="960"/>
      <c r="G2470" s="958"/>
      <c r="H2470" s="958"/>
      <c r="I2470" s="961">
        <f>I2471</f>
        <v>127691.10199611956</v>
      </c>
    </row>
    <row r="2471" spans="1:10" ht="24.95" customHeight="1" x14ac:dyDescent="0.25">
      <c r="A2471" s="958"/>
      <c r="B2471" s="962" t="s">
        <v>3139</v>
      </c>
      <c r="C2471" s="959">
        <v>306</v>
      </c>
      <c r="D2471" s="962" t="s">
        <v>4929</v>
      </c>
      <c r="E2471" s="954"/>
      <c r="F2471" s="960"/>
      <c r="G2471" s="958"/>
      <c r="H2471" s="958"/>
      <c r="I2471" s="961">
        <f>I2472</f>
        <v>127691.10199611956</v>
      </c>
    </row>
    <row r="2472" spans="1:10" ht="24.95" customHeight="1" x14ac:dyDescent="0.25">
      <c r="A2472" s="958"/>
      <c r="B2472" s="962" t="s">
        <v>3137</v>
      </c>
      <c r="C2472" s="959">
        <v>7</v>
      </c>
      <c r="D2472" s="962" t="s">
        <v>4925</v>
      </c>
      <c r="E2472" s="954"/>
      <c r="F2472" s="960"/>
      <c r="G2472" s="958"/>
      <c r="H2472" s="958"/>
      <c r="I2472" s="961">
        <f>I2473</f>
        <v>127691.10199611956</v>
      </c>
    </row>
    <row r="2473" spans="1:10" s="946" customFormat="1" ht="24.95" customHeight="1" x14ac:dyDescent="0.25">
      <c r="A2473" s="958"/>
      <c r="B2473" s="963" t="s">
        <v>2965</v>
      </c>
      <c r="C2473" s="959">
        <v>7</v>
      </c>
      <c r="D2473" s="963" t="s">
        <v>4842</v>
      </c>
      <c r="E2473" s="954"/>
      <c r="F2473" s="960"/>
      <c r="G2473" s="958"/>
      <c r="H2473" s="958"/>
      <c r="I2473" s="961">
        <f>SUM(I2474:I2485)</f>
        <v>127691.10199611956</v>
      </c>
    </row>
    <row r="2474" spans="1:10" s="1045" customFormat="1" ht="24.95" customHeight="1" x14ac:dyDescent="0.2">
      <c r="A2474" s="972"/>
      <c r="B2474" s="973">
        <v>114900</v>
      </c>
      <c r="C2474" s="974">
        <v>333901400000000</v>
      </c>
      <c r="D2474" s="973" t="s">
        <v>6329</v>
      </c>
      <c r="E2474" s="948"/>
      <c r="F2474" s="975">
        <v>1</v>
      </c>
      <c r="G2474" s="973">
        <v>0</v>
      </c>
      <c r="H2474" s="972">
        <v>0</v>
      </c>
      <c r="I2474" s="1039">
        <f>PUCFD!E2169+PUCFD!E2170-9000</f>
        <v>1000</v>
      </c>
    </row>
    <row r="2475" spans="1:10" s="1045" customFormat="1" ht="24.95" customHeight="1" x14ac:dyDescent="0.2">
      <c r="A2475" s="972"/>
      <c r="B2475" s="973">
        <v>114920</v>
      </c>
      <c r="C2475" s="974">
        <v>333903000000000</v>
      </c>
      <c r="D2475" s="973" t="s">
        <v>6330</v>
      </c>
      <c r="E2475" s="948"/>
      <c r="F2475" s="975">
        <v>1</v>
      </c>
      <c r="G2475" s="973">
        <v>0</v>
      </c>
      <c r="H2475" s="972">
        <v>0</v>
      </c>
      <c r="I2475" s="1039">
        <f>PUCFD!E2169</f>
        <v>10000</v>
      </c>
    </row>
    <row r="2476" spans="1:10" s="1045" customFormat="1" ht="24.95" customHeight="1" x14ac:dyDescent="0.2">
      <c r="A2476" s="972"/>
      <c r="B2476" s="973">
        <v>114940</v>
      </c>
      <c r="C2476" s="974">
        <v>333903000000000</v>
      </c>
      <c r="D2476" s="973" t="s">
        <v>6331</v>
      </c>
      <c r="E2476" s="948"/>
      <c r="F2476" s="975">
        <v>1</v>
      </c>
      <c r="G2476" s="973">
        <v>0</v>
      </c>
      <c r="H2476" s="972">
        <v>0</v>
      </c>
      <c r="I2476" s="1039">
        <f>PUCFD!E2172-10000</f>
        <v>40000</v>
      </c>
    </row>
    <row r="2477" spans="1:10" s="1045" customFormat="1" ht="24.95" customHeight="1" x14ac:dyDescent="0.2">
      <c r="A2477" s="972"/>
      <c r="B2477" s="973">
        <v>114960</v>
      </c>
      <c r="C2477" s="974">
        <v>333903000000000</v>
      </c>
      <c r="D2477" s="973" t="s">
        <v>6337</v>
      </c>
      <c r="E2477" s="948"/>
      <c r="F2477" s="975">
        <v>1</v>
      </c>
      <c r="G2477" s="973">
        <v>0</v>
      </c>
      <c r="H2477" s="972">
        <v>0</v>
      </c>
      <c r="I2477" s="1039">
        <f>PUCFD!E2173</f>
        <v>15000</v>
      </c>
      <c r="J2477" s="1047"/>
    </row>
    <row r="2478" spans="1:10" s="1045" customFormat="1" ht="24.95" customHeight="1" x14ac:dyDescent="0.2">
      <c r="A2478" s="972"/>
      <c r="B2478" s="973">
        <v>114980</v>
      </c>
      <c r="C2478" s="974">
        <v>333903000000000</v>
      </c>
      <c r="D2478" s="973" t="s">
        <v>6338</v>
      </c>
      <c r="E2478" s="948"/>
      <c r="F2478" s="975">
        <v>1009</v>
      </c>
      <c r="G2478" s="973">
        <v>0</v>
      </c>
      <c r="H2478" s="972">
        <v>0</v>
      </c>
      <c r="I2478" s="1039">
        <f>PUCFD!E2174-12934.55-29.38</f>
        <v>48727.109997015075</v>
      </c>
    </row>
    <row r="2479" spans="1:10" s="1045" customFormat="1" ht="24.95" customHeight="1" x14ac:dyDescent="0.2">
      <c r="A2479" s="972"/>
      <c r="B2479" s="973">
        <v>115020</v>
      </c>
      <c r="C2479" s="974">
        <v>333903000000000</v>
      </c>
      <c r="D2479" s="973" t="s">
        <v>6339</v>
      </c>
      <c r="E2479" s="948"/>
      <c r="F2479" s="975">
        <v>1009</v>
      </c>
      <c r="G2479" s="973">
        <v>0</v>
      </c>
      <c r="H2479" s="972">
        <v>0</v>
      </c>
      <c r="I2479" s="1039">
        <f>PUCFD!E2175-5543.38</f>
        <v>12963.931999104519</v>
      </c>
    </row>
    <row r="2480" spans="1:10" s="1045" customFormat="1" ht="24.95" customHeight="1" x14ac:dyDescent="0.2">
      <c r="A2480" s="972"/>
      <c r="B2480" s="973">
        <v>115040</v>
      </c>
      <c r="C2480" s="974">
        <v>333903300000000</v>
      </c>
      <c r="D2480" s="973" t="s">
        <v>6328</v>
      </c>
      <c r="E2480" s="948"/>
      <c r="F2480" s="975">
        <v>1</v>
      </c>
      <c r="G2480" s="973">
        <v>0</v>
      </c>
      <c r="H2480" s="972">
        <v>0</v>
      </c>
      <c r="I2480" s="1039">
        <f>PUCFD!E2176</f>
        <v>0.01</v>
      </c>
    </row>
    <row r="2481" spans="1:9" ht="33.75" customHeight="1" x14ac:dyDescent="0.25">
      <c r="B2481" s="973">
        <v>115060</v>
      </c>
      <c r="C2481" s="974">
        <v>333903600000000</v>
      </c>
      <c r="D2481" s="973" t="s">
        <v>6332</v>
      </c>
      <c r="F2481" s="975">
        <v>1</v>
      </c>
      <c r="G2481" s="973">
        <v>0</v>
      </c>
      <c r="H2481" s="972">
        <v>0</v>
      </c>
      <c r="I2481" s="1039">
        <f>PUCFD!E2177</f>
        <v>0.01</v>
      </c>
    </row>
    <row r="2482" spans="1:9" ht="33.75" customHeight="1" x14ac:dyDescent="0.25">
      <c r="B2482" s="973">
        <v>115080</v>
      </c>
      <c r="C2482" s="974">
        <v>333903900000000</v>
      </c>
      <c r="D2482" s="973" t="s">
        <v>6333</v>
      </c>
      <c r="F2482" s="975">
        <v>1</v>
      </c>
      <c r="G2482" s="973">
        <v>0</v>
      </c>
      <c r="H2482" s="972">
        <v>0</v>
      </c>
      <c r="I2482" s="1039">
        <f>PUCFD!E2178</f>
        <v>0.01</v>
      </c>
    </row>
    <row r="2483" spans="1:9" ht="33.75" customHeight="1" x14ac:dyDescent="0.25">
      <c r="B2483" s="973">
        <v>115150</v>
      </c>
      <c r="C2483" s="974">
        <v>333904700000000</v>
      </c>
      <c r="D2483" s="973" t="s">
        <v>6334</v>
      </c>
      <c r="F2483" s="975">
        <v>1</v>
      </c>
      <c r="G2483" s="973">
        <v>0</v>
      </c>
      <c r="H2483" s="972">
        <v>0</v>
      </c>
      <c r="I2483" s="1039">
        <f>PUCFD!E2179</f>
        <v>0.01</v>
      </c>
    </row>
    <row r="2484" spans="1:9" ht="24.95" customHeight="1" x14ac:dyDescent="0.25">
      <c r="B2484" s="945">
        <v>115170</v>
      </c>
      <c r="C2484" s="974">
        <v>344905100000000</v>
      </c>
      <c r="D2484" s="973" t="s">
        <v>6335</v>
      </c>
      <c r="F2484" s="975">
        <v>1</v>
      </c>
      <c r="G2484" s="973">
        <v>0</v>
      </c>
      <c r="H2484" s="972">
        <v>0</v>
      </c>
      <c r="I2484" s="1039">
        <f>PUCFD!E2180</f>
        <v>0.01</v>
      </c>
    </row>
    <row r="2485" spans="1:9" ht="24.95" customHeight="1" x14ac:dyDescent="0.25">
      <c r="B2485" s="945">
        <v>115190</v>
      </c>
      <c r="C2485" s="974">
        <v>344905200000000</v>
      </c>
      <c r="D2485" s="973" t="s">
        <v>6336</v>
      </c>
      <c r="F2485" s="975">
        <v>1</v>
      </c>
      <c r="G2485" s="973">
        <v>0</v>
      </c>
      <c r="H2485" s="972">
        <v>0</v>
      </c>
      <c r="I2485" s="1039">
        <f>PUCFD!E2181</f>
        <v>0.01</v>
      </c>
    </row>
    <row r="2486" spans="1:9" ht="24.95" customHeight="1" x14ac:dyDescent="0.25">
      <c r="B2486" s="1608" t="s">
        <v>4831</v>
      </c>
      <c r="C2486" s="1608"/>
      <c r="D2486" s="1608"/>
      <c r="E2486" s="1608"/>
      <c r="F2486" s="1608"/>
      <c r="G2486" s="1608"/>
      <c r="H2486" s="1608"/>
      <c r="I2486" s="1024">
        <f>I2473+I2459+I2435+I2425+I2415+I2464</f>
        <v>197958.37633546774</v>
      </c>
    </row>
    <row r="2487" spans="1:9" ht="24.95" customHeight="1" x14ac:dyDescent="0.25">
      <c r="B2487" s="1608" t="s">
        <v>4922</v>
      </c>
      <c r="C2487" s="1608"/>
      <c r="D2487" s="1608"/>
      <c r="E2487" s="1608"/>
      <c r="F2487" s="1608"/>
      <c r="G2487" s="1608"/>
      <c r="H2487" s="1608"/>
      <c r="I2487" s="1024">
        <f>I2486</f>
        <v>197958.37633546774</v>
      </c>
    </row>
    <row r="2488" spans="1:9" ht="24.95" customHeight="1" x14ac:dyDescent="0.25">
      <c r="A2488" s="972"/>
      <c r="B2488" s="973"/>
      <c r="C2488" s="974"/>
      <c r="D2488" s="973"/>
      <c r="E2488" s="954" t="s">
        <v>4777</v>
      </c>
      <c r="F2488" s="960"/>
      <c r="G2488" s="960"/>
      <c r="H2488" s="958"/>
      <c r="I2488" s="1030"/>
    </row>
    <row r="2489" spans="1:9" s="946" customFormat="1" ht="24.95" customHeight="1" x14ac:dyDescent="0.25">
      <c r="A2489" s="958"/>
      <c r="B2489" s="963"/>
      <c r="C2489" s="964"/>
      <c r="D2489" s="963"/>
      <c r="E2489" s="948"/>
      <c r="F2489" s="949">
        <v>1</v>
      </c>
      <c r="G2489" s="945">
        <v>0</v>
      </c>
      <c r="H2489" s="950">
        <v>0</v>
      </c>
      <c r="I2489" s="951">
        <f>I2486-I2490+0.01</f>
        <v>136267.34433934814</v>
      </c>
    </row>
    <row r="2490" spans="1:9" ht="24.95" customHeight="1" x14ac:dyDescent="0.25">
      <c r="F2490" s="949">
        <v>1009</v>
      </c>
      <c r="G2490" s="945">
        <v>0</v>
      </c>
      <c r="H2490" s="950">
        <v>0</v>
      </c>
      <c r="I2490" s="951">
        <f>I2478+I2479</f>
        <v>61691.041996119595</v>
      </c>
    </row>
    <row r="2491" spans="1:9" s="946" customFormat="1" ht="24.95" customHeight="1" x14ac:dyDescent="0.25">
      <c r="B2491" s="946" t="s">
        <v>3088</v>
      </c>
      <c r="C2491" s="953" t="s">
        <v>4685</v>
      </c>
      <c r="E2491" s="954"/>
      <c r="F2491" s="955"/>
      <c r="H2491" s="956"/>
      <c r="I2491" s="957"/>
    </row>
    <row r="2492" spans="1:9" s="946" customFormat="1" ht="24.95" customHeight="1" x14ac:dyDescent="0.25">
      <c r="B2492" s="946" t="s">
        <v>3087</v>
      </c>
      <c r="C2492" s="953" t="s">
        <v>4940</v>
      </c>
      <c r="E2492" s="954"/>
      <c r="F2492" s="955"/>
      <c r="H2492" s="956"/>
      <c r="I2492" s="957"/>
    </row>
    <row r="2493" spans="1:9" s="946" customFormat="1" ht="24.95" customHeight="1" x14ac:dyDescent="0.25">
      <c r="B2493" s="946" t="s">
        <v>3089</v>
      </c>
      <c r="C2493" s="953" t="s">
        <v>3146</v>
      </c>
      <c r="E2493" s="954"/>
      <c r="F2493" s="955"/>
      <c r="H2493" s="956"/>
      <c r="I2493" s="957"/>
    </row>
    <row r="2494" spans="1:9" ht="41.25" customHeight="1" x14ac:dyDescent="0.25">
      <c r="A2494" s="958"/>
      <c r="B2494" s="958" t="s">
        <v>2967</v>
      </c>
      <c r="C2494" s="959" t="s">
        <v>472</v>
      </c>
      <c r="D2494" s="958" t="s">
        <v>2968</v>
      </c>
      <c r="E2494" s="959" t="s">
        <v>3066</v>
      </c>
      <c r="F2494" s="960" t="s">
        <v>1403</v>
      </c>
      <c r="G2494" s="958" t="s">
        <v>2969</v>
      </c>
      <c r="H2494" s="958" t="s">
        <v>3065</v>
      </c>
      <c r="I2494" s="961" t="s">
        <v>2531</v>
      </c>
    </row>
    <row r="2495" spans="1:9" ht="24.95" customHeight="1" x14ac:dyDescent="0.25">
      <c r="A2495" s="958"/>
      <c r="B2495" s="962" t="s">
        <v>3138</v>
      </c>
      <c r="C2495" s="959">
        <v>13</v>
      </c>
      <c r="D2495" s="962" t="s">
        <v>4941</v>
      </c>
      <c r="E2495" s="954"/>
      <c r="F2495" s="960"/>
      <c r="G2495" s="958"/>
      <c r="H2495" s="958"/>
      <c r="I2495" s="961">
        <f>I2496</f>
        <v>6.0000000000000005E-2</v>
      </c>
    </row>
    <row r="2496" spans="1:9" ht="24.95" customHeight="1" x14ac:dyDescent="0.25">
      <c r="A2496" s="958"/>
      <c r="B2496" s="962" t="s">
        <v>3139</v>
      </c>
      <c r="C2496" s="959">
        <v>122</v>
      </c>
      <c r="D2496" s="962" t="s">
        <v>3143</v>
      </c>
      <c r="E2496" s="954"/>
      <c r="F2496" s="960"/>
      <c r="G2496" s="958"/>
      <c r="H2496" s="958"/>
      <c r="I2496" s="961">
        <f>I2497</f>
        <v>6.0000000000000005E-2</v>
      </c>
    </row>
    <row r="2497" spans="1:9" ht="24.95" customHeight="1" x14ac:dyDescent="0.25">
      <c r="A2497" s="958"/>
      <c r="B2497" s="962" t="s">
        <v>3137</v>
      </c>
      <c r="C2497" s="959">
        <v>8</v>
      </c>
      <c r="D2497" s="962" t="s">
        <v>4942</v>
      </c>
      <c r="E2497" s="954"/>
      <c r="F2497" s="960"/>
      <c r="G2497" s="958"/>
      <c r="H2497" s="958"/>
      <c r="I2497" s="961">
        <f>I2498</f>
        <v>6.0000000000000005E-2</v>
      </c>
    </row>
    <row r="2498" spans="1:9" s="1043" customFormat="1" ht="24.95" customHeight="1" x14ac:dyDescent="0.2">
      <c r="A2498" s="958"/>
      <c r="B2498" s="963" t="s">
        <v>2950</v>
      </c>
      <c r="C2498" s="959">
        <v>7</v>
      </c>
      <c r="D2498" s="963" t="s">
        <v>4943</v>
      </c>
      <c r="E2498" s="963"/>
      <c r="F2498" s="960"/>
      <c r="G2498" s="963"/>
      <c r="I2498" s="961">
        <f>SUM(I2499:I2504)</f>
        <v>6.0000000000000005E-2</v>
      </c>
    </row>
    <row r="2499" spans="1:9" ht="24.95" customHeight="1" x14ac:dyDescent="0.25">
      <c r="B2499" s="973">
        <v>115000</v>
      </c>
      <c r="C2499" s="974">
        <v>333904700000000</v>
      </c>
      <c r="D2499" s="973" t="s">
        <v>4949</v>
      </c>
      <c r="F2499" s="949">
        <v>1</v>
      </c>
      <c r="G2499" s="945">
        <v>0</v>
      </c>
      <c r="H2499" s="950">
        <v>0</v>
      </c>
      <c r="I2499" s="951">
        <f>PUCFD!E2184</f>
        <v>0.01</v>
      </c>
    </row>
    <row r="2500" spans="1:9" ht="24.95" customHeight="1" x14ac:dyDescent="0.25">
      <c r="B2500" s="973">
        <v>115100</v>
      </c>
      <c r="C2500" s="974">
        <v>344903000000000</v>
      </c>
      <c r="D2500" s="973" t="s">
        <v>4950</v>
      </c>
      <c r="F2500" s="949">
        <v>1</v>
      </c>
      <c r="G2500" s="945">
        <v>0</v>
      </c>
      <c r="H2500" s="950">
        <v>0</v>
      </c>
      <c r="I2500" s="951">
        <f>PUCFD!E2185</f>
        <v>0.01</v>
      </c>
    </row>
    <row r="2501" spans="1:9" ht="24.95" customHeight="1" x14ac:dyDescent="0.25">
      <c r="B2501" s="973">
        <v>115200</v>
      </c>
      <c r="C2501" s="974">
        <v>344903600000000</v>
      </c>
      <c r="D2501" s="973" t="s">
        <v>4951</v>
      </c>
      <c r="F2501" s="949">
        <v>1</v>
      </c>
      <c r="G2501" s="945">
        <v>0</v>
      </c>
      <c r="H2501" s="950">
        <v>0</v>
      </c>
      <c r="I2501" s="951">
        <f>PUCFD!E2186</f>
        <v>0.01</v>
      </c>
    </row>
    <row r="2502" spans="1:9" ht="24.95" customHeight="1" x14ac:dyDescent="0.25">
      <c r="B2502" s="973">
        <v>115300</v>
      </c>
      <c r="C2502" s="974">
        <v>344903900000000</v>
      </c>
      <c r="D2502" s="973" t="s">
        <v>4952</v>
      </c>
      <c r="F2502" s="949">
        <v>1</v>
      </c>
      <c r="G2502" s="945">
        <v>0</v>
      </c>
      <c r="H2502" s="950">
        <v>0</v>
      </c>
      <c r="I2502" s="951">
        <f>PUCFD!E2187</f>
        <v>0.01</v>
      </c>
    </row>
    <row r="2503" spans="1:9" ht="24.95" customHeight="1" x14ac:dyDescent="0.25">
      <c r="B2503" s="973">
        <v>115400</v>
      </c>
      <c r="C2503" s="974">
        <v>344905100000000</v>
      </c>
      <c r="D2503" s="973" t="s">
        <v>4953</v>
      </c>
      <c r="F2503" s="949">
        <v>1</v>
      </c>
      <c r="G2503" s="945">
        <v>0</v>
      </c>
      <c r="H2503" s="950">
        <v>0</v>
      </c>
      <c r="I2503" s="951">
        <f>PUCFD!E2188</f>
        <v>0.01</v>
      </c>
    </row>
    <row r="2504" spans="1:9" ht="24.95" customHeight="1" x14ac:dyDescent="0.25">
      <c r="B2504" s="973">
        <v>115500</v>
      </c>
      <c r="C2504" s="974">
        <v>344905200000000</v>
      </c>
      <c r="D2504" s="973" t="s">
        <v>6340</v>
      </c>
      <c r="F2504" s="949">
        <v>1</v>
      </c>
      <c r="G2504" s="945">
        <v>0</v>
      </c>
      <c r="H2504" s="950">
        <v>0</v>
      </c>
      <c r="I2504" s="951">
        <f>PUCFD!E2189</f>
        <v>0.01</v>
      </c>
    </row>
    <row r="2505" spans="1:9" ht="24.95" customHeight="1" x14ac:dyDescent="0.25">
      <c r="A2505" s="958"/>
      <c r="B2505" s="962" t="s">
        <v>3138</v>
      </c>
      <c r="C2505" s="959">
        <v>13</v>
      </c>
      <c r="D2505" s="962" t="s">
        <v>4941</v>
      </c>
      <c r="E2505" s="954"/>
      <c r="F2505" s="960"/>
      <c r="G2505" s="958"/>
      <c r="H2505" s="958"/>
      <c r="I2505" s="961">
        <f>I2506</f>
        <v>1306500.06</v>
      </c>
    </row>
    <row r="2506" spans="1:9" ht="24.95" customHeight="1" x14ac:dyDescent="0.25">
      <c r="A2506" s="958"/>
      <c r="B2506" s="962" t="s">
        <v>3139</v>
      </c>
      <c r="C2506" s="959">
        <v>392</v>
      </c>
      <c r="D2506" s="962" t="s">
        <v>4946</v>
      </c>
      <c r="E2506" s="954"/>
      <c r="F2506" s="960"/>
      <c r="G2506" s="958"/>
      <c r="H2506" s="958"/>
      <c r="I2506" s="961">
        <f>I2507</f>
        <v>1306500.06</v>
      </c>
    </row>
    <row r="2507" spans="1:9" ht="24.95" customHeight="1" x14ac:dyDescent="0.25">
      <c r="A2507" s="958"/>
      <c r="B2507" s="962" t="s">
        <v>3137</v>
      </c>
      <c r="C2507" s="959">
        <v>8</v>
      </c>
      <c r="D2507" s="962" t="s">
        <v>4942</v>
      </c>
      <c r="E2507" s="954"/>
      <c r="F2507" s="960"/>
      <c r="G2507" s="958"/>
      <c r="H2507" s="958"/>
      <c r="I2507" s="961">
        <f>I2508</f>
        <v>1306500.06</v>
      </c>
    </row>
    <row r="2508" spans="1:9" s="1043" customFormat="1" ht="24.95" customHeight="1" x14ac:dyDescent="0.2">
      <c r="A2508" s="958"/>
      <c r="B2508" s="963" t="s">
        <v>2950</v>
      </c>
      <c r="C2508" s="959">
        <v>7</v>
      </c>
      <c r="D2508" s="963" t="s">
        <v>4943</v>
      </c>
      <c r="E2508" s="963"/>
      <c r="F2508" s="960"/>
      <c r="G2508" s="963"/>
      <c r="I2508" s="961">
        <f>SUM(I2509:I2515)</f>
        <v>1306500.06</v>
      </c>
    </row>
    <row r="2509" spans="1:9" ht="24.95" customHeight="1" x14ac:dyDescent="0.25">
      <c r="B2509" s="973">
        <v>115600</v>
      </c>
      <c r="C2509" s="974">
        <v>333904700000000</v>
      </c>
      <c r="D2509" s="973" t="s">
        <v>4955</v>
      </c>
      <c r="F2509" s="949">
        <v>1</v>
      </c>
      <c r="G2509" s="945">
        <v>0</v>
      </c>
      <c r="H2509" s="950">
        <v>0</v>
      </c>
      <c r="I2509" s="951">
        <f>PUCFD!E2191</f>
        <v>0.01</v>
      </c>
    </row>
    <row r="2510" spans="1:9" ht="24.95" customHeight="1" x14ac:dyDescent="0.25">
      <c r="B2510" s="973">
        <v>115620</v>
      </c>
      <c r="C2510" s="974">
        <v>344903000000000</v>
      </c>
      <c r="D2510" s="973" t="s">
        <v>4956</v>
      </c>
      <c r="F2510" s="949">
        <v>1</v>
      </c>
      <c r="G2510" s="945">
        <v>0</v>
      </c>
      <c r="H2510" s="950">
        <v>0</v>
      </c>
      <c r="I2510" s="951">
        <f>PUCFD!E2192</f>
        <v>0.01</v>
      </c>
    </row>
    <row r="2511" spans="1:9" ht="24.95" customHeight="1" x14ac:dyDescent="0.25">
      <c r="B2511" s="973">
        <v>115640</v>
      </c>
      <c r="C2511" s="974">
        <v>344903600000000</v>
      </c>
      <c r="D2511" s="973" t="s">
        <v>4957</v>
      </c>
      <c r="F2511" s="949">
        <v>1</v>
      </c>
      <c r="G2511" s="945">
        <v>0</v>
      </c>
      <c r="H2511" s="950">
        <v>0</v>
      </c>
      <c r="I2511" s="951">
        <f>PUCFD!E2193</f>
        <v>0.01</v>
      </c>
    </row>
    <row r="2512" spans="1:9" ht="24.95" customHeight="1" x14ac:dyDescent="0.25">
      <c r="B2512" s="973">
        <v>115660</v>
      </c>
      <c r="C2512" s="974">
        <v>344903900000000</v>
      </c>
      <c r="D2512" s="973" t="s">
        <v>4958</v>
      </c>
      <c r="F2512" s="949">
        <v>1</v>
      </c>
      <c r="G2512" s="945">
        <v>0</v>
      </c>
      <c r="H2512" s="950">
        <v>0</v>
      </c>
      <c r="I2512" s="951">
        <f>PUCFD!E2194</f>
        <v>0.01</v>
      </c>
    </row>
    <row r="2513" spans="1:9" ht="24.95" customHeight="1" x14ac:dyDescent="0.25">
      <c r="B2513" s="973">
        <v>115680</v>
      </c>
      <c r="C2513" s="974">
        <v>344905100000000</v>
      </c>
      <c r="D2513" s="973" t="s">
        <v>7825</v>
      </c>
      <c r="F2513" s="949">
        <v>1</v>
      </c>
      <c r="G2513" s="945">
        <v>0</v>
      </c>
      <c r="H2513" s="950">
        <v>0</v>
      </c>
      <c r="I2513" s="951">
        <f>PUCFD!E2195</f>
        <v>0.01</v>
      </c>
    </row>
    <row r="2514" spans="1:9" ht="24.95" customHeight="1" x14ac:dyDescent="0.25">
      <c r="B2514" s="973">
        <v>115690</v>
      </c>
      <c r="C2514" s="974">
        <v>344905100000000</v>
      </c>
      <c r="D2514" s="973" t="s">
        <v>7826</v>
      </c>
      <c r="F2514" s="1418">
        <v>1032</v>
      </c>
      <c r="G2514" s="945">
        <v>0</v>
      </c>
      <c r="H2514" s="1417">
        <v>0</v>
      </c>
      <c r="I2514" s="951">
        <f>PUCFD!E2196</f>
        <v>1306500</v>
      </c>
    </row>
    <row r="2515" spans="1:9" ht="24.95" customHeight="1" x14ac:dyDescent="0.25">
      <c r="B2515" s="973">
        <v>115700</v>
      </c>
      <c r="C2515" s="974">
        <v>344905200000000</v>
      </c>
      <c r="D2515" s="973" t="s">
        <v>6341</v>
      </c>
      <c r="F2515" s="949">
        <v>1</v>
      </c>
      <c r="G2515" s="945">
        <v>0</v>
      </c>
      <c r="H2515" s="950">
        <v>0</v>
      </c>
      <c r="I2515" s="951">
        <f>PUCFD!E2197</f>
        <v>0.01</v>
      </c>
    </row>
    <row r="2516" spans="1:9" ht="24.95" customHeight="1" x14ac:dyDescent="0.25">
      <c r="A2516" s="958"/>
      <c r="B2516" s="962" t="s">
        <v>3138</v>
      </c>
      <c r="C2516" s="959">
        <v>13</v>
      </c>
      <c r="D2516" s="962" t="s">
        <v>4941</v>
      </c>
      <c r="E2516" s="954"/>
      <c r="F2516" s="960"/>
      <c r="G2516" s="958"/>
      <c r="H2516" s="958"/>
      <c r="I2516" s="961">
        <f>I2517</f>
        <v>50153.034914333926</v>
      </c>
    </row>
    <row r="2517" spans="1:9" ht="24.95" customHeight="1" x14ac:dyDescent="0.25">
      <c r="A2517" s="958"/>
      <c r="B2517" s="962" t="s">
        <v>3139</v>
      </c>
      <c r="C2517" s="959">
        <v>122</v>
      </c>
      <c r="D2517" s="962" t="s">
        <v>3143</v>
      </c>
      <c r="E2517" s="954"/>
      <c r="F2517" s="960"/>
      <c r="G2517" s="958"/>
      <c r="H2517" s="958"/>
      <c r="I2517" s="961">
        <f>I2518</f>
        <v>50153.034914333926</v>
      </c>
    </row>
    <row r="2518" spans="1:9" ht="24.95" customHeight="1" x14ac:dyDescent="0.25">
      <c r="A2518" s="958"/>
      <c r="B2518" s="962" t="s">
        <v>3137</v>
      </c>
      <c r="C2518" s="959">
        <v>8</v>
      </c>
      <c r="D2518" s="962" t="s">
        <v>4942</v>
      </c>
      <c r="E2518" s="954"/>
      <c r="F2518" s="960"/>
      <c r="G2518" s="958"/>
      <c r="H2518" s="958"/>
      <c r="I2518" s="961">
        <f>I2519</f>
        <v>50153.034914333926</v>
      </c>
    </row>
    <row r="2519" spans="1:9" s="1043" customFormat="1" ht="24.95" customHeight="1" x14ac:dyDescent="0.2">
      <c r="A2519" s="958"/>
      <c r="B2519" s="963" t="s">
        <v>2965</v>
      </c>
      <c r="C2519" s="959">
        <v>8</v>
      </c>
      <c r="D2519" s="963" t="s">
        <v>4944</v>
      </c>
      <c r="E2519" s="963"/>
      <c r="F2519" s="960"/>
      <c r="G2519" s="963"/>
      <c r="I2519" s="961">
        <f>SUM(I2520:I2540)</f>
        <v>50153.034914333926</v>
      </c>
    </row>
    <row r="2520" spans="1:9" s="1043" customFormat="1" ht="24.95" customHeight="1" x14ac:dyDescent="0.2">
      <c r="A2520" s="958"/>
      <c r="B2520" s="973">
        <v>116000</v>
      </c>
      <c r="C2520" s="974">
        <v>331900400000000</v>
      </c>
      <c r="D2520" s="973" t="s">
        <v>4961</v>
      </c>
      <c r="E2520" s="963"/>
      <c r="F2520" s="949">
        <v>1</v>
      </c>
      <c r="G2520" s="945">
        <v>0</v>
      </c>
      <c r="H2520" s="950">
        <v>0</v>
      </c>
      <c r="I2520" s="1044">
        <f>PUCFD!E2199</f>
        <v>0.01</v>
      </c>
    </row>
    <row r="2521" spans="1:9" s="996" customFormat="1" ht="24.95" customHeight="1" x14ac:dyDescent="0.25">
      <c r="A2521" s="981"/>
      <c r="B2521" s="993">
        <v>116050</v>
      </c>
      <c r="C2521" s="994">
        <v>331900800000000</v>
      </c>
      <c r="D2521" s="993" t="s">
        <v>6342</v>
      </c>
      <c r="F2521" s="985">
        <v>1</v>
      </c>
      <c r="G2521" s="993">
        <v>0</v>
      </c>
      <c r="H2521" s="981">
        <v>0</v>
      </c>
      <c r="I2521" s="970">
        <f>PUCFD!E2200</f>
        <v>0.01</v>
      </c>
    </row>
    <row r="2522" spans="1:9" s="1043" customFormat="1" ht="24.95" customHeight="1" x14ac:dyDescent="0.2">
      <c r="A2522" s="958"/>
      <c r="B2522" s="973">
        <v>116100</v>
      </c>
      <c r="C2522" s="974">
        <v>331901100000000</v>
      </c>
      <c r="D2522" s="973" t="s">
        <v>4962</v>
      </c>
      <c r="E2522" s="963"/>
      <c r="F2522" s="949">
        <v>1</v>
      </c>
      <c r="G2522" s="945">
        <v>0</v>
      </c>
      <c r="H2522" s="950">
        <v>0</v>
      </c>
      <c r="I2522" s="1047">
        <f>SUM(PUCFD!E2202:E2204)*(1+PUCFD!E$87)</f>
        <v>31155.357970456535</v>
      </c>
    </row>
    <row r="2523" spans="1:9" s="1043" customFormat="1" ht="24.95" customHeight="1" x14ac:dyDescent="0.2">
      <c r="A2523" s="958"/>
      <c r="B2523" s="973">
        <v>116200</v>
      </c>
      <c r="C2523" s="974">
        <v>331901300000000</v>
      </c>
      <c r="D2523" s="973" t="s">
        <v>4963</v>
      </c>
      <c r="E2523" s="963"/>
      <c r="F2523" s="949">
        <v>1</v>
      </c>
      <c r="G2523" s="945">
        <v>0</v>
      </c>
      <c r="H2523" s="950">
        <v>0</v>
      </c>
      <c r="I2523" s="1047">
        <f>(DESPORC!I2522+DESPORC!I2524+DESPORC!I2525+DESPORC!I2526)*(PUCFD!E$92)</f>
        <v>6542.631473795871</v>
      </c>
    </row>
    <row r="2524" spans="1:9" s="1043" customFormat="1" ht="24.95" customHeight="1" x14ac:dyDescent="0.2">
      <c r="A2524" s="958"/>
      <c r="B2524" s="973">
        <v>116300</v>
      </c>
      <c r="C2524" s="974">
        <v>331901600000000</v>
      </c>
      <c r="D2524" s="973" t="s">
        <v>4964</v>
      </c>
      <c r="E2524" s="963"/>
      <c r="F2524" s="949">
        <v>1</v>
      </c>
      <c r="G2524" s="945">
        <v>0</v>
      </c>
      <c r="H2524" s="950">
        <v>0</v>
      </c>
      <c r="I2524" s="1047">
        <f>PUCFD!E2206</f>
        <v>0.01</v>
      </c>
    </row>
    <row r="2525" spans="1:9" s="1043" customFormat="1" ht="24.95" customHeight="1" x14ac:dyDescent="0.2">
      <c r="A2525" s="958"/>
      <c r="B2525" s="973">
        <v>116350</v>
      </c>
      <c r="C2525" s="974">
        <v>331903400000000</v>
      </c>
      <c r="D2525" s="973" t="s">
        <v>6343</v>
      </c>
      <c r="E2525" s="963"/>
      <c r="F2525" s="949">
        <v>1</v>
      </c>
      <c r="G2525" s="945">
        <v>0</v>
      </c>
      <c r="H2525" s="950">
        <v>0</v>
      </c>
      <c r="I2525" s="1047">
        <f>PUCFD!E2207</f>
        <v>0.01</v>
      </c>
    </row>
    <row r="2526" spans="1:9" s="1043" customFormat="1" ht="24.95" customHeight="1" x14ac:dyDescent="0.2">
      <c r="A2526" s="958"/>
      <c r="B2526" s="973">
        <v>116400</v>
      </c>
      <c r="C2526" s="974">
        <v>331909400000000</v>
      </c>
      <c r="D2526" s="973" t="s">
        <v>4966</v>
      </c>
      <c r="E2526" s="963"/>
      <c r="F2526" s="949">
        <v>1</v>
      </c>
      <c r="G2526" s="945">
        <v>0</v>
      </c>
      <c r="H2526" s="950">
        <v>0</v>
      </c>
      <c r="I2526" s="1047">
        <f>PUCFD!E2208</f>
        <v>0.01</v>
      </c>
    </row>
    <row r="2527" spans="1:9" s="1043" customFormat="1" ht="24.95" customHeight="1" x14ac:dyDescent="0.2">
      <c r="A2527" s="958"/>
      <c r="B2527" s="973">
        <v>116600</v>
      </c>
      <c r="C2527" s="974">
        <v>333901400000000</v>
      </c>
      <c r="D2527" s="973" t="s">
        <v>4967</v>
      </c>
      <c r="E2527" s="963"/>
      <c r="F2527" s="949">
        <v>1</v>
      </c>
      <c r="G2527" s="945">
        <v>0</v>
      </c>
      <c r="H2527" s="950">
        <v>0</v>
      </c>
      <c r="I2527" s="1047">
        <f>PUCFD!E2209</f>
        <v>1000</v>
      </c>
    </row>
    <row r="2528" spans="1:9" s="1043" customFormat="1" ht="24.95" customHeight="1" x14ac:dyDescent="0.2">
      <c r="A2528" s="958"/>
      <c r="B2528" s="973">
        <v>116700</v>
      </c>
      <c r="C2528" s="974">
        <v>333903000000000</v>
      </c>
      <c r="D2528" s="973" t="s">
        <v>4968</v>
      </c>
      <c r="E2528" s="963"/>
      <c r="F2528" s="949">
        <v>1</v>
      </c>
      <c r="G2528" s="945">
        <v>0</v>
      </c>
      <c r="H2528" s="950">
        <v>0</v>
      </c>
      <c r="I2528" s="1047">
        <f>PUCFD!E2210</f>
        <v>1000</v>
      </c>
    </row>
    <row r="2529" spans="1:9" s="1043" customFormat="1" ht="24.95" customHeight="1" x14ac:dyDescent="0.2">
      <c r="A2529" s="958"/>
      <c r="B2529" s="973">
        <v>116900</v>
      </c>
      <c r="C2529" s="974">
        <v>333903200000000</v>
      </c>
      <c r="D2529" s="973" t="s">
        <v>4969</v>
      </c>
      <c r="E2529" s="963"/>
      <c r="F2529" s="949">
        <v>1</v>
      </c>
      <c r="G2529" s="945">
        <v>0</v>
      </c>
      <c r="H2529" s="950">
        <v>0</v>
      </c>
      <c r="I2529" s="1047">
        <f>PUCFD!E2211</f>
        <v>1000</v>
      </c>
    </row>
    <row r="2530" spans="1:9" s="1043" customFormat="1" ht="24.95" customHeight="1" x14ac:dyDescent="0.2">
      <c r="A2530" s="958"/>
      <c r="B2530" s="973">
        <v>117000</v>
      </c>
      <c r="C2530" s="974">
        <v>333903300000000</v>
      </c>
      <c r="D2530" s="973" t="s">
        <v>4970</v>
      </c>
      <c r="E2530" s="963"/>
      <c r="F2530" s="949">
        <v>1</v>
      </c>
      <c r="G2530" s="945">
        <v>0</v>
      </c>
      <c r="H2530" s="950">
        <v>0</v>
      </c>
      <c r="I2530" s="1047">
        <f>PUCFD!E2212</f>
        <v>500</v>
      </c>
    </row>
    <row r="2531" spans="1:9" s="1043" customFormat="1" ht="24.95" customHeight="1" x14ac:dyDescent="0.2">
      <c r="A2531" s="958"/>
      <c r="B2531" s="973">
        <v>117100</v>
      </c>
      <c r="C2531" s="974">
        <v>333903600000000</v>
      </c>
      <c r="D2531" s="973" t="s">
        <v>4951</v>
      </c>
      <c r="E2531" s="963"/>
      <c r="F2531" s="949">
        <v>1</v>
      </c>
      <c r="G2531" s="945">
        <v>0</v>
      </c>
      <c r="H2531" s="950">
        <v>0</v>
      </c>
      <c r="I2531" s="1047">
        <f>PUCFD!E2213</f>
        <v>0.01</v>
      </c>
    </row>
    <row r="2532" spans="1:9" s="1043" customFormat="1" ht="24.95" customHeight="1" x14ac:dyDescent="0.2">
      <c r="A2532" s="958"/>
      <c r="B2532" s="973">
        <v>117200</v>
      </c>
      <c r="C2532" s="974">
        <v>333903900000000</v>
      </c>
      <c r="D2532" s="973" t="s">
        <v>4952</v>
      </c>
      <c r="E2532" s="963"/>
      <c r="F2532" s="949">
        <v>1</v>
      </c>
      <c r="G2532" s="945">
        <v>0</v>
      </c>
      <c r="H2532" s="950">
        <v>0</v>
      </c>
      <c r="I2532" s="1047">
        <f>PUCFD!E2214</f>
        <v>1000</v>
      </c>
    </row>
    <row r="2533" spans="1:9" s="1043" customFormat="1" ht="24.95" customHeight="1" x14ac:dyDescent="0.2">
      <c r="A2533" s="958"/>
      <c r="B2533" s="973">
        <v>117400</v>
      </c>
      <c r="C2533" s="974">
        <v>333904600000000</v>
      </c>
      <c r="D2533" s="973" t="s">
        <v>4971</v>
      </c>
      <c r="E2533" s="963"/>
      <c r="F2533" s="949">
        <v>1</v>
      </c>
      <c r="G2533" s="945">
        <v>0</v>
      </c>
      <c r="H2533" s="950">
        <v>0</v>
      </c>
      <c r="I2533" s="1047">
        <f>PUCFD!E2215*(1+PUCFD!E$10)*(1+PUCFD!E$16)</f>
        <v>6654.9354700815002</v>
      </c>
    </row>
    <row r="2534" spans="1:9" s="1043" customFormat="1" ht="24.95" customHeight="1" x14ac:dyDescent="0.2">
      <c r="A2534" s="958"/>
      <c r="B2534" s="973">
        <v>117500</v>
      </c>
      <c r="C2534" s="974">
        <v>333904700000000</v>
      </c>
      <c r="D2534" s="973" t="s">
        <v>6344</v>
      </c>
      <c r="E2534" s="963"/>
      <c r="F2534" s="949">
        <v>1</v>
      </c>
      <c r="G2534" s="945">
        <v>0</v>
      </c>
      <c r="H2534" s="950">
        <v>0</v>
      </c>
      <c r="I2534" s="1047">
        <f>PUCFD!E2216</f>
        <v>1000</v>
      </c>
    </row>
    <row r="2535" spans="1:9" s="1043" customFormat="1" ht="24.95" customHeight="1" x14ac:dyDescent="0.2">
      <c r="A2535" s="958"/>
      <c r="B2535" s="973">
        <v>117600</v>
      </c>
      <c r="C2535" s="974">
        <v>333904900000000</v>
      </c>
      <c r="D2535" s="973" t="s">
        <v>4973</v>
      </c>
      <c r="E2535" s="963"/>
      <c r="F2535" s="949">
        <v>1</v>
      </c>
      <c r="G2535" s="945">
        <v>0</v>
      </c>
      <c r="H2535" s="950">
        <v>0</v>
      </c>
      <c r="I2535" s="1047">
        <f>PUCFD!E2217</f>
        <v>0.01</v>
      </c>
    </row>
    <row r="2536" spans="1:9" s="1043" customFormat="1" ht="24.95" customHeight="1" x14ac:dyDescent="0.2">
      <c r="A2536" s="958"/>
      <c r="B2536" s="973">
        <v>117700</v>
      </c>
      <c r="C2536" s="974">
        <v>333909200000000</v>
      </c>
      <c r="D2536" s="973" t="s">
        <v>4974</v>
      </c>
      <c r="E2536" s="963"/>
      <c r="F2536" s="949">
        <v>1</v>
      </c>
      <c r="G2536" s="945">
        <v>0</v>
      </c>
      <c r="H2536" s="950">
        <v>0</v>
      </c>
      <c r="I2536" s="1047">
        <f>PUCFD!E2218</f>
        <v>0.01</v>
      </c>
    </row>
    <row r="2537" spans="1:9" s="1043" customFormat="1" ht="24.95" customHeight="1" x14ac:dyDescent="0.2">
      <c r="A2537" s="958"/>
      <c r="B2537" s="973">
        <v>117800</v>
      </c>
      <c r="C2537" s="974">
        <v>333909300000000</v>
      </c>
      <c r="D2537" s="973" t="s">
        <v>4975</v>
      </c>
      <c r="E2537" s="963"/>
      <c r="F2537" s="949">
        <v>1</v>
      </c>
      <c r="G2537" s="945">
        <v>0</v>
      </c>
      <c r="H2537" s="950">
        <v>0</v>
      </c>
      <c r="I2537" s="1047">
        <f>PUCFD!E2219</f>
        <v>300</v>
      </c>
    </row>
    <row r="2538" spans="1:9" s="1043" customFormat="1" ht="24.95" customHeight="1" x14ac:dyDescent="0.2">
      <c r="A2538" s="958"/>
      <c r="B2538" s="973">
        <v>117900</v>
      </c>
      <c r="C2538" s="974">
        <v>333933000000000</v>
      </c>
      <c r="D2538" s="973" t="s">
        <v>4976</v>
      </c>
      <c r="E2538" s="963"/>
      <c r="F2538" s="949">
        <v>1</v>
      </c>
      <c r="G2538" s="945">
        <v>0</v>
      </c>
      <c r="H2538" s="950">
        <v>0</v>
      </c>
      <c r="I2538" s="1047">
        <f>PUCFD!E2220</f>
        <v>0.01</v>
      </c>
    </row>
    <row r="2539" spans="1:9" s="1043" customFormat="1" ht="24.95" customHeight="1" x14ac:dyDescent="0.2">
      <c r="A2539" s="958"/>
      <c r="B2539" s="973">
        <v>118000</v>
      </c>
      <c r="C2539" s="974">
        <v>344905100000000</v>
      </c>
      <c r="D2539" s="973" t="s">
        <v>4953</v>
      </c>
      <c r="E2539" s="963"/>
      <c r="F2539" s="949">
        <v>1</v>
      </c>
      <c r="G2539" s="945">
        <v>0</v>
      </c>
      <c r="H2539" s="950">
        <v>0</v>
      </c>
      <c r="I2539" s="1047">
        <f>PUCFD!E2221</f>
        <v>0.01</v>
      </c>
    </row>
    <row r="2540" spans="1:9" s="1043" customFormat="1" ht="24.95" customHeight="1" x14ac:dyDescent="0.2">
      <c r="A2540" s="958"/>
      <c r="B2540" s="973">
        <v>118100</v>
      </c>
      <c r="C2540" s="974">
        <v>344905200000000</v>
      </c>
      <c r="D2540" s="973" t="s">
        <v>6340</v>
      </c>
      <c r="E2540" s="963"/>
      <c r="F2540" s="949">
        <v>1</v>
      </c>
      <c r="G2540" s="945">
        <v>0</v>
      </c>
      <c r="H2540" s="950">
        <v>0</v>
      </c>
      <c r="I2540" s="1047">
        <f>PUCFD!E2222</f>
        <v>0.01</v>
      </c>
    </row>
    <row r="2541" spans="1:9" ht="24.95" customHeight="1" x14ac:dyDescent="0.25">
      <c r="A2541" s="958"/>
      <c r="B2541" s="962" t="s">
        <v>3138</v>
      </c>
      <c r="C2541" s="959">
        <v>13</v>
      </c>
      <c r="D2541" s="962" t="s">
        <v>4941</v>
      </c>
      <c r="E2541" s="954"/>
      <c r="F2541" s="960"/>
      <c r="G2541" s="958"/>
      <c r="H2541" s="958"/>
      <c r="I2541" s="961">
        <f>I2542</f>
        <v>0.02</v>
      </c>
    </row>
    <row r="2542" spans="1:9" ht="24.95" customHeight="1" x14ac:dyDescent="0.25">
      <c r="A2542" s="958"/>
      <c r="B2542" s="962" t="s">
        <v>3139</v>
      </c>
      <c r="C2542" s="959">
        <v>126</v>
      </c>
      <c r="D2542" s="962" t="s">
        <v>3600</v>
      </c>
      <c r="E2542" s="954"/>
      <c r="F2542" s="960"/>
      <c r="G2542" s="958"/>
      <c r="H2542" s="958"/>
      <c r="I2542" s="961">
        <f>I2543</f>
        <v>0.02</v>
      </c>
    </row>
    <row r="2543" spans="1:9" ht="24.95" customHeight="1" x14ac:dyDescent="0.25">
      <c r="A2543" s="958"/>
      <c r="B2543" s="962" t="s">
        <v>3137</v>
      </c>
      <c r="C2543" s="959">
        <v>8</v>
      </c>
      <c r="D2543" s="962" t="s">
        <v>4942</v>
      </c>
      <c r="E2543" s="954"/>
      <c r="F2543" s="960"/>
      <c r="G2543" s="958"/>
      <c r="H2543" s="958"/>
      <c r="I2543" s="961">
        <f>I2544</f>
        <v>0.02</v>
      </c>
    </row>
    <row r="2544" spans="1:9" s="1043" customFormat="1" ht="24.95" customHeight="1" x14ac:dyDescent="0.2">
      <c r="A2544" s="958"/>
      <c r="B2544" s="963" t="s">
        <v>2965</v>
      </c>
      <c r="C2544" s="959">
        <v>8</v>
      </c>
      <c r="D2544" s="963" t="s">
        <v>4944</v>
      </c>
      <c r="E2544" s="963"/>
      <c r="F2544" s="960"/>
      <c r="G2544" s="963"/>
      <c r="I2544" s="961">
        <f>SUM(I2545:I2546)</f>
        <v>0.02</v>
      </c>
    </row>
    <row r="2545" spans="1:9" ht="33.75" customHeight="1" x14ac:dyDescent="0.25">
      <c r="B2545" s="973">
        <v>118130</v>
      </c>
      <c r="C2545" s="974">
        <v>333904000000000</v>
      </c>
      <c r="D2545" s="973" t="s">
        <v>5977</v>
      </c>
      <c r="F2545" s="975">
        <v>1</v>
      </c>
      <c r="G2545" s="973">
        <v>0</v>
      </c>
      <c r="H2545" s="972">
        <v>0</v>
      </c>
      <c r="I2545" s="1039">
        <f>PUCFD!E2224</f>
        <v>0.01</v>
      </c>
    </row>
    <row r="2546" spans="1:9" ht="33.75" customHeight="1" x14ac:dyDescent="0.25">
      <c r="B2546" s="973">
        <v>118160</v>
      </c>
      <c r="C2546" s="974">
        <v>333904000000000</v>
      </c>
      <c r="D2546" s="973" t="s">
        <v>6345</v>
      </c>
      <c r="F2546" s="975">
        <v>1</v>
      </c>
      <c r="G2546" s="973">
        <v>0</v>
      </c>
      <c r="H2546" s="972">
        <v>0</v>
      </c>
      <c r="I2546" s="1039">
        <f>PUCFD!E2225</f>
        <v>0.01</v>
      </c>
    </row>
    <row r="2547" spans="1:9" ht="24.95" customHeight="1" x14ac:dyDescent="0.25">
      <c r="A2547" s="958"/>
      <c r="B2547" s="962" t="s">
        <v>3138</v>
      </c>
      <c r="C2547" s="959">
        <v>13</v>
      </c>
      <c r="D2547" s="962" t="s">
        <v>4941</v>
      </c>
      <c r="E2547" s="954"/>
      <c r="F2547" s="960"/>
      <c r="G2547" s="958"/>
      <c r="H2547" s="958"/>
      <c r="I2547" s="961">
        <f>I2548</f>
        <v>0.05</v>
      </c>
    </row>
    <row r="2548" spans="1:9" ht="24.95" customHeight="1" x14ac:dyDescent="0.25">
      <c r="A2548" s="958"/>
      <c r="B2548" s="962" t="s">
        <v>3139</v>
      </c>
      <c r="C2548" s="959">
        <v>128</v>
      </c>
      <c r="D2548" s="962" t="s">
        <v>5104</v>
      </c>
      <c r="E2548" s="954"/>
      <c r="F2548" s="960"/>
      <c r="G2548" s="958"/>
      <c r="H2548" s="958"/>
      <c r="I2548" s="961">
        <f>I2549</f>
        <v>0.05</v>
      </c>
    </row>
    <row r="2549" spans="1:9" ht="24.95" customHeight="1" x14ac:dyDescent="0.25">
      <c r="A2549" s="958"/>
      <c r="B2549" s="962" t="s">
        <v>3137</v>
      </c>
      <c r="C2549" s="959">
        <v>8</v>
      </c>
      <c r="D2549" s="962" t="s">
        <v>4942</v>
      </c>
      <c r="E2549" s="954"/>
      <c r="F2549" s="960"/>
      <c r="G2549" s="958"/>
      <c r="H2549" s="958"/>
      <c r="I2549" s="961">
        <f>I2550</f>
        <v>0.05</v>
      </c>
    </row>
    <row r="2550" spans="1:9" s="1043" customFormat="1" ht="24.95" customHeight="1" x14ac:dyDescent="0.2">
      <c r="A2550" s="958"/>
      <c r="B2550" s="963" t="s">
        <v>2965</v>
      </c>
      <c r="C2550" s="959">
        <v>8</v>
      </c>
      <c r="D2550" s="963" t="s">
        <v>4944</v>
      </c>
      <c r="E2550" s="963"/>
      <c r="F2550" s="960"/>
      <c r="G2550" s="963"/>
      <c r="I2550" s="961">
        <f>SUM(I2551:I2555)</f>
        <v>0.05</v>
      </c>
    </row>
    <row r="2551" spans="1:9" s="946" customFormat="1" ht="24.95" customHeight="1" x14ac:dyDescent="0.25">
      <c r="B2551" s="973">
        <v>118190</v>
      </c>
      <c r="C2551" s="974">
        <v>333901400000000</v>
      </c>
      <c r="D2551" s="973" t="s">
        <v>6347</v>
      </c>
      <c r="E2551" s="948"/>
      <c r="F2551" s="975">
        <v>1</v>
      </c>
      <c r="G2551" s="973">
        <v>0</v>
      </c>
      <c r="H2551" s="972">
        <v>0</v>
      </c>
      <c r="I2551" s="1039">
        <f>PUCFD!E2227</f>
        <v>0.01</v>
      </c>
    </row>
    <row r="2552" spans="1:9" s="946" customFormat="1" ht="24.95" customHeight="1" x14ac:dyDescent="0.25">
      <c r="B2552" s="973">
        <v>118210</v>
      </c>
      <c r="C2552" s="974">
        <v>333903300000000</v>
      </c>
      <c r="D2552" s="973" t="s">
        <v>6346</v>
      </c>
      <c r="E2552" s="948"/>
      <c r="F2552" s="975">
        <v>1</v>
      </c>
      <c r="G2552" s="973">
        <v>0</v>
      </c>
      <c r="H2552" s="972">
        <v>0</v>
      </c>
      <c r="I2552" s="1039">
        <f>PUCFD!E2228</f>
        <v>0.01</v>
      </c>
    </row>
    <row r="2553" spans="1:9" s="946" customFormat="1" ht="24.95" customHeight="1" x14ac:dyDescent="0.25">
      <c r="B2553" s="973">
        <v>118240</v>
      </c>
      <c r="C2553" s="974">
        <v>333903600000000</v>
      </c>
      <c r="D2553" s="973" t="s">
        <v>6348</v>
      </c>
      <c r="E2553" s="948"/>
      <c r="F2553" s="975">
        <v>1</v>
      </c>
      <c r="G2553" s="973">
        <v>0</v>
      </c>
      <c r="H2553" s="972">
        <v>0</v>
      </c>
      <c r="I2553" s="1039">
        <f>PUCFD!E2229</f>
        <v>0.01</v>
      </c>
    </row>
    <row r="2554" spans="1:9" s="946" customFormat="1" ht="24.95" customHeight="1" x14ac:dyDescent="0.25">
      <c r="B2554" s="973">
        <v>118270</v>
      </c>
      <c r="C2554" s="974">
        <v>333903900000000</v>
      </c>
      <c r="D2554" s="973" t="s">
        <v>6349</v>
      </c>
      <c r="E2554" s="948"/>
      <c r="F2554" s="975">
        <v>1</v>
      </c>
      <c r="G2554" s="973">
        <v>0</v>
      </c>
      <c r="H2554" s="972">
        <v>0</v>
      </c>
      <c r="I2554" s="1039">
        <f>PUCFD!E2230</f>
        <v>0.01</v>
      </c>
    </row>
    <row r="2555" spans="1:9" s="946" customFormat="1" ht="24.95" customHeight="1" x14ac:dyDescent="0.25">
      <c r="B2555" s="973">
        <v>118300</v>
      </c>
      <c r="C2555" s="974">
        <v>333904700000000</v>
      </c>
      <c r="D2555" s="973" t="s">
        <v>6350</v>
      </c>
      <c r="E2555" s="948"/>
      <c r="F2555" s="975">
        <v>1</v>
      </c>
      <c r="G2555" s="973">
        <v>0</v>
      </c>
      <c r="H2555" s="972">
        <v>0</v>
      </c>
      <c r="I2555" s="1039">
        <f>PUCFD!E2231</f>
        <v>0.01</v>
      </c>
    </row>
    <row r="2556" spans="1:9" ht="24.95" customHeight="1" x14ac:dyDescent="0.25">
      <c r="A2556" s="958"/>
      <c r="B2556" s="962" t="s">
        <v>3138</v>
      </c>
      <c r="C2556" s="959">
        <v>13</v>
      </c>
      <c r="D2556" s="962" t="s">
        <v>4941</v>
      </c>
      <c r="E2556" s="954"/>
      <c r="F2556" s="960"/>
      <c r="G2556" s="958"/>
      <c r="H2556" s="958"/>
      <c r="I2556" s="961">
        <f>I2557</f>
        <v>263737.72548295755</v>
      </c>
    </row>
    <row r="2557" spans="1:9" ht="24.95" customHeight="1" x14ac:dyDescent="0.25">
      <c r="A2557" s="958"/>
      <c r="B2557" s="962" t="s">
        <v>3139</v>
      </c>
      <c r="C2557" s="959">
        <v>392</v>
      </c>
      <c r="D2557" s="962" t="s">
        <v>4946</v>
      </c>
      <c r="E2557" s="954"/>
      <c r="F2557" s="960"/>
      <c r="G2557" s="958"/>
      <c r="H2557" s="958"/>
      <c r="I2557" s="961">
        <f>I2558</f>
        <v>263737.72548295755</v>
      </c>
    </row>
    <row r="2558" spans="1:9" ht="24.95" customHeight="1" x14ac:dyDescent="0.25">
      <c r="A2558" s="958"/>
      <c r="B2558" s="962" t="s">
        <v>3137</v>
      </c>
      <c r="C2558" s="959">
        <v>8</v>
      </c>
      <c r="D2558" s="962" t="s">
        <v>4942</v>
      </c>
      <c r="E2558" s="954"/>
      <c r="F2558" s="960"/>
      <c r="G2558" s="958"/>
      <c r="H2558" s="958"/>
      <c r="I2558" s="961">
        <f>I2559</f>
        <v>263737.72548295755</v>
      </c>
    </row>
    <row r="2559" spans="1:9" s="1043" customFormat="1" ht="24.95" customHeight="1" x14ac:dyDescent="0.2">
      <c r="A2559" s="958"/>
      <c r="B2559" s="963" t="s">
        <v>2965</v>
      </c>
      <c r="C2559" s="959">
        <v>8</v>
      </c>
      <c r="D2559" s="963" t="s">
        <v>4944</v>
      </c>
      <c r="E2559" s="963"/>
      <c r="F2559" s="960"/>
      <c r="G2559" s="963"/>
      <c r="I2559" s="961">
        <f>SUM(I2560:I2581)</f>
        <v>263737.72548295755</v>
      </c>
    </row>
    <row r="2560" spans="1:9" s="1043" customFormat="1" ht="24.95" customHeight="1" x14ac:dyDescent="0.2">
      <c r="A2560" s="958"/>
      <c r="B2560" s="973">
        <v>118500</v>
      </c>
      <c r="C2560" s="974">
        <v>331900400000000</v>
      </c>
      <c r="D2560" s="973" t="s">
        <v>6351</v>
      </c>
      <c r="E2560" s="963"/>
      <c r="F2560" s="949">
        <v>1</v>
      </c>
      <c r="G2560" s="945">
        <v>0</v>
      </c>
      <c r="H2560" s="950">
        <v>0</v>
      </c>
      <c r="I2560" s="1047">
        <f>PUCFD!E2233</f>
        <v>0.01</v>
      </c>
    </row>
    <row r="2561" spans="1:9" s="996" customFormat="1" ht="24.95" customHeight="1" x14ac:dyDescent="0.25">
      <c r="A2561" s="981"/>
      <c r="B2561" s="973">
        <v>118530</v>
      </c>
      <c r="C2561" s="994">
        <v>331900800000000</v>
      </c>
      <c r="D2561" s="993" t="s">
        <v>6352</v>
      </c>
      <c r="F2561" s="985">
        <v>1</v>
      </c>
      <c r="G2561" s="993">
        <v>0</v>
      </c>
      <c r="H2561" s="981">
        <v>0</v>
      </c>
      <c r="I2561" s="970">
        <f>PUCFD!E2234</f>
        <v>0.01</v>
      </c>
    </row>
    <row r="2562" spans="1:9" s="1043" customFormat="1" ht="24.95" customHeight="1" x14ac:dyDescent="0.2">
      <c r="A2562" s="958"/>
      <c r="B2562" s="973">
        <v>118560</v>
      </c>
      <c r="C2562" s="974">
        <v>331901100000000</v>
      </c>
      <c r="D2562" s="973" t="s">
        <v>6353</v>
      </c>
      <c r="E2562" s="963"/>
      <c r="F2562" s="949">
        <v>1</v>
      </c>
      <c r="G2562" s="945">
        <v>0</v>
      </c>
      <c r="H2562" s="950">
        <v>0</v>
      </c>
      <c r="I2562" s="1047">
        <f>SUM(PUCFD!E2236:E2238)*(1+PUCFD!E$87)</f>
        <v>116832.59238921199</v>
      </c>
    </row>
    <row r="2563" spans="1:9" s="1043" customFormat="1" ht="24.95" customHeight="1" x14ac:dyDescent="0.2">
      <c r="A2563" s="958"/>
      <c r="B2563" s="973">
        <v>118600</v>
      </c>
      <c r="C2563" s="974">
        <v>331901300000000</v>
      </c>
      <c r="D2563" s="973" t="s">
        <v>6354</v>
      </c>
      <c r="E2563" s="963"/>
      <c r="F2563" s="949">
        <v>1</v>
      </c>
      <c r="G2563" s="945">
        <v>0</v>
      </c>
      <c r="H2563" s="950">
        <v>0</v>
      </c>
      <c r="I2563" s="1047">
        <f>(DESPORC!I2562+DESPORC!I2564+DESPORC!I2565+DESPORC!I2566)*(PUCFD!E$92)</f>
        <v>24534.850701734515</v>
      </c>
    </row>
    <row r="2564" spans="1:9" s="1043" customFormat="1" ht="24.95" customHeight="1" x14ac:dyDescent="0.2">
      <c r="A2564" s="958"/>
      <c r="B2564" s="973">
        <v>118630</v>
      </c>
      <c r="C2564" s="974">
        <v>331901600000000</v>
      </c>
      <c r="D2564" s="973" t="s">
        <v>6355</v>
      </c>
      <c r="E2564" s="963"/>
      <c r="F2564" s="949">
        <v>1</v>
      </c>
      <c r="G2564" s="945">
        <v>0</v>
      </c>
      <c r="H2564" s="950">
        <v>0</v>
      </c>
      <c r="I2564" s="1047">
        <f>PUCFD!E2240</f>
        <v>0.01</v>
      </c>
    </row>
    <row r="2565" spans="1:9" s="1043" customFormat="1" ht="24.95" customHeight="1" x14ac:dyDescent="0.2">
      <c r="A2565" s="958"/>
      <c r="B2565" s="973">
        <v>118650</v>
      </c>
      <c r="C2565" s="974">
        <v>331903400000000</v>
      </c>
      <c r="D2565" s="973" t="s">
        <v>6356</v>
      </c>
      <c r="E2565" s="963"/>
      <c r="F2565" s="949">
        <v>1</v>
      </c>
      <c r="G2565" s="945">
        <v>0</v>
      </c>
      <c r="H2565" s="950">
        <v>0</v>
      </c>
      <c r="I2565" s="1047">
        <f>PUCFD!E2241</f>
        <v>0.01</v>
      </c>
    </row>
    <row r="2566" spans="1:9" s="1043" customFormat="1" ht="24.95" customHeight="1" x14ac:dyDescent="0.2">
      <c r="A2566" s="958"/>
      <c r="B2566" s="973">
        <v>118670</v>
      </c>
      <c r="C2566" s="974">
        <v>331909400000000</v>
      </c>
      <c r="D2566" s="973" t="s">
        <v>6357</v>
      </c>
      <c r="E2566" s="963"/>
      <c r="F2566" s="949">
        <v>1</v>
      </c>
      <c r="G2566" s="945">
        <v>0</v>
      </c>
      <c r="H2566" s="950">
        <v>0</v>
      </c>
      <c r="I2566" s="1047">
        <f>PUCFD!E2242</f>
        <v>0.01</v>
      </c>
    </row>
    <row r="2567" spans="1:9" s="1043" customFormat="1" ht="24.95" customHeight="1" x14ac:dyDescent="0.2">
      <c r="A2567" s="958"/>
      <c r="B2567" s="973">
        <v>118690</v>
      </c>
      <c r="C2567" s="974">
        <v>333901400000000</v>
      </c>
      <c r="D2567" s="973" t="s">
        <v>4983</v>
      </c>
      <c r="E2567" s="963"/>
      <c r="F2567" s="949">
        <v>1</v>
      </c>
      <c r="G2567" s="945">
        <v>0</v>
      </c>
      <c r="H2567" s="950">
        <v>0</v>
      </c>
      <c r="I2567" s="1047">
        <f>PUCFD!E2243</f>
        <v>1500</v>
      </c>
    </row>
    <row r="2568" spans="1:9" s="1043" customFormat="1" ht="24.95" customHeight="1" x14ac:dyDescent="0.2">
      <c r="A2568" s="958"/>
      <c r="B2568" s="973">
        <v>118710</v>
      </c>
      <c r="C2568" s="974">
        <v>333903000000000</v>
      </c>
      <c r="D2568" s="973" t="s">
        <v>4984</v>
      </c>
      <c r="E2568" s="963"/>
      <c r="F2568" s="949">
        <v>1</v>
      </c>
      <c r="G2568" s="945">
        <v>0</v>
      </c>
      <c r="H2568" s="950">
        <v>0</v>
      </c>
      <c r="I2568" s="1047">
        <f>PUCFD!E2244-40000</f>
        <v>30000</v>
      </c>
    </row>
    <row r="2569" spans="1:9" s="1043" customFormat="1" ht="24.95" customHeight="1" x14ac:dyDescent="0.2">
      <c r="A2569" s="958"/>
      <c r="B2569" s="973">
        <v>118750</v>
      </c>
      <c r="C2569" s="974">
        <v>333903100000000</v>
      </c>
      <c r="D2569" s="973" t="s">
        <v>4985</v>
      </c>
      <c r="E2569" s="963"/>
      <c r="F2569" s="949">
        <v>1</v>
      </c>
      <c r="G2569" s="945">
        <v>0</v>
      </c>
      <c r="H2569" s="950">
        <v>0</v>
      </c>
      <c r="I2569" s="1047">
        <f>PUCFD!E2259</f>
        <v>15000</v>
      </c>
    </row>
    <row r="2570" spans="1:9" s="1043" customFormat="1" ht="24.95" customHeight="1" x14ac:dyDescent="0.2">
      <c r="A2570" s="958"/>
      <c r="B2570" s="973">
        <v>118770</v>
      </c>
      <c r="C2570" s="974">
        <v>333903200000000</v>
      </c>
      <c r="D2570" s="973" t="s">
        <v>6358</v>
      </c>
      <c r="E2570" s="963"/>
      <c r="F2570" s="949">
        <v>1</v>
      </c>
      <c r="G2570" s="945">
        <v>0</v>
      </c>
      <c r="H2570" s="950">
        <v>0</v>
      </c>
      <c r="I2570" s="1047">
        <f>PUCFD!E2260-9000</f>
        <v>1000</v>
      </c>
    </row>
    <row r="2571" spans="1:9" s="1043" customFormat="1" ht="24.95" customHeight="1" x14ac:dyDescent="0.2">
      <c r="A2571" s="958"/>
      <c r="B2571" s="973">
        <v>118790</v>
      </c>
      <c r="C2571" s="974">
        <v>333903300000000</v>
      </c>
      <c r="D2571" s="973" t="s">
        <v>4987</v>
      </c>
      <c r="E2571" s="963"/>
      <c r="F2571" s="949">
        <v>1</v>
      </c>
      <c r="G2571" s="945">
        <v>0</v>
      </c>
      <c r="H2571" s="950">
        <v>0</v>
      </c>
      <c r="I2571" s="1047">
        <f>PUCFD!E2261</f>
        <v>1500</v>
      </c>
    </row>
    <row r="2572" spans="1:9" s="1043" customFormat="1" ht="24.95" customHeight="1" x14ac:dyDescent="0.2">
      <c r="A2572" s="958"/>
      <c r="B2572" s="973">
        <v>118810</v>
      </c>
      <c r="C2572" s="974">
        <v>333903600000000</v>
      </c>
      <c r="D2572" s="973" t="s">
        <v>4957</v>
      </c>
      <c r="E2572" s="963"/>
      <c r="F2572" s="949">
        <v>1</v>
      </c>
      <c r="G2572" s="945">
        <v>0</v>
      </c>
      <c r="H2572" s="950">
        <v>0</v>
      </c>
      <c r="I2572" s="1047">
        <f>PUCFD!E2262</f>
        <v>15000</v>
      </c>
    </row>
    <row r="2573" spans="1:9" s="1043" customFormat="1" ht="24.95" customHeight="1" x14ac:dyDescent="0.2">
      <c r="A2573" s="958"/>
      <c r="B2573" s="973">
        <v>118850</v>
      </c>
      <c r="C2573" s="974">
        <v>333903900000000</v>
      </c>
      <c r="D2573" s="973" t="s">
        <v>4958</v>
      </c>
      <c r="E2573" s="963"/>
      <c r="F2573" s="949">
        <v>1</v>
      </c>
      <c r="G2573" s="945">
        <v>0</v>
      </c>
      <c r="H2573" s="950">
        <v>0</v>
      </c>
      <c r="I2573" s="1047">
        <f>PUCFD!E2277-50000</f>
        <v>50000</v>
      </c>
    </row>
    <row r="2574" spans="1:9" s="1043" customFormat="1" ht="24.95" customHeight="1" x14ac:dyDescent="0.2">
      <c r="A2574" s="958"/>
      <c r="B2574" s="973">
        <v>118870</v>
      </c>
      <c r="C2574" s="974">
        <v>333904600000000</v>
      </c>
      <c r="D2574" s="973" t="s">
        <v>4988</v>
      </c>
      <c r="E2574" s="963"/>
      <c r="F2574" s="949">
        <v>1</v>
      </c>
      <c r="G2574" s="945">
        <v>0</v>
      </c>
      <c r="H2574" s="950">
        <v>0</v>
      </c>
      <c r="I2574" s="1047">
        <f>PUCFD!E2292*(1+PUCFD!E$10)*(1+PUCFD!E$16)</f>
        <v>6570.182392011</v>
      </c>
    </row>
    <row r="2575" spans="1:9" s="1043" customFormat="1" ht="24.95" customHeight="1" x14ac:dyDescent="0.2">
      <c r="A2575" s="958"/>
      <c r="B2575" s="973">
        <v>118890</v>
      </c>
      <c r="C2575" s="974">
        <v>333904700000000</v>
      </c>
      <c r="D2575" s="973" t="s">
        <v>6359</v>
      </c>
      <c r="E2575" s="963"/>
      <c r="F2575" s="949">
        <v>1</v>
      </c>
      <c r="G2575" s="945">
        <v>0</v>
      </c>
      <c r="H2575" s="950">
        <v>0</v>
      </c>
      <c r="I2575" s="1047">
        <f>PUCFD!E2293-8500</f>
        <v>1500</v>
      </c>
    </row>
    <row r="2576" spans="1:9" s="1043" customFormat="1" ht="24.95" customHeight="1" x14ac:dyDescent="0.2">
      <c r="A2576" s="958"/>
      <c r="B2576" s="973">
        <v>118910</v>
      </c>
      <c r="C2576" s="974">
        <v>333904900000000</v>
      </c>
      <c r="D2576" s="973" t="s">
        <v>4990</v>
      </c>
      <c r="E2576" s="963"/>
      <c r="F2576" s="949">
        <v>1</v>
      </c>
      <c r="G2576" s="945">
        <v>0</v>
      </c>
      <c r="H2576" s="950">
        <v>0</v>
      </c>
      <c r="I2576" s="1047">
        <f>PUCFD!E2294</f>
        <v>0.01</v>
      </c>
    </row>
    <row r="2577" spans="1:9" s="1043" customFormat="1" ht="24.95" customHeight="1" x14ac:dyDescent="0.2">
      <c r="A2577" s="958"/>
      <c r="B2577" s="973">
        <v>118930</v>
      </c>
      <c r="C2577" s="974">
        <v>333909200000000</v>
      </c>
      <c r="D2577" s="973" t="s">
        <v>4991</v>
      </c>
      <c r="E2577" s="963"/>
      <c r="F2577" s="949">
        <v>1</v>
      </c>
      <c r="G2577" s="945">
        <v>0</v>
      </c>
      <c r="H2577" s="950">
        <v>0</v>
      </c>
      <c r="I2577" s="1047">
        <f>PUCFD!E2295</f>
        <v>0.01</v>
      </c>
    </row>
    <row r="2578" spans="1:9" s="1043" customFormat="1" ht="24.95" customHeight="1" x14ac:dyDescent="0.2">
      <c r="A2578" s="958"/>
      <c r="B2578" s="973">
        <v>118950</v>
      </c>
      <c r="C2578" s="974">
        <v>333909300000000</v>
      </c>
      <c r="D2578" s="973" t="s">
        <v>4992</v>
      </c>
      <c r="E2578" s="963"/>
      <c r="F2578" s="949">
        <v>1</v>
      </c>
      <c r="G2578" s="945">
        <v>0</v>
      </c>
      <c r="H2578" s="950">
        <v>0</v>
      </c>
      <c r="I2578" s="1047">
        <f>PUCFD!E2296</f>
        <v>300</v>
      </c>
    </row>
    <row r="2579" spans="1:9" s="1043" customFormat="1" ht="24.95" customHeight="1" x14ac:dyDescent="0.2">
      <c r="A2579" s="958"/>
      <c r="B2579" s="973">
        <v>118970</v>
      </c>
      <c r="C2579" s="974">
        <v>333933000000000</v>
      </c>
      <c r="D2579" s="973" t="s">
        <v>4993</v>
      </c>
      <c r="E2579" s="963"/>
      <c r="F2579" s="949">
        <v>1</v>
      </c>
      <c r="G2579" s="945">
        <v>0</v>
      </c>
      <c r="H2579" s="950">
        <v>0</v>
      </c>
      <c r="I2579" s="1047">
        <f>PUCFD!E2297</f>
        <v>0.01</v>
      </c>
    </row>
    <row r="2580" spans="1:9" s="1043" customFormat="1" ht="24.95" customHeight="1" x14ac:dyDescent="0.2">
      <c r="A2580" s="958"/>
      <c r="B2580" s="973">
        <v>118990</v>
      </c>
      <c r="C2580" s="974">
        <v>344905100000000</v>
      </c>
      <c r="D2580" s="973" t="s">
        <v>4959</v>
      </c>
      <c r="E2580" s="963"/>
      <c r="F2580" s="949">
        <v>1</v>
      </c>
      <c r="G2580" s="945">
        <v>0</v>
      </c>
      <c r="H2580" s="950">
        <v>0</v>
      </c>
      <c r="I2580" s="1047">
        <f>PUCFD!E2298</f>
        <v>0.01</v>
      </c>
    </row>
    <row r="2581" spans="1:9" s="1043" customFormat="1" ht="24.95" customHeight="1" x14ac:dyDescent="0.2">
      <c r="A2581" s="958"/>
      <c r="B2581" s="973">
        <v>119010</v>
      </c>
      <c r="C2581" s="974">
        <v>344905200000000</v>
      </c>
      <c r="D2581" s="973" t="s">
        <v>4960</v>
      </c>
      <c r="E2581" s="963"/>
      <c r="F2581" s="949">
        <v>1</v>
      </c>
      <c r="G2581" s="945">
        <v>0</v>
      </c>
      <c r="H2581" s="950">
        <v>0</v>
      </c>
      <c r="I2581" s="1047">
        <f>PUCFD!E2299</f>
        <v>0.01</v>
      </c>
    </row>
    <row r="2582" spans="1:9" ht="24.95" customHeight="1" x14ac:dyDescent="0.25">
      <c r="B2582" s="1608" t="s">
        <v>4831</v>
      </c>
      <c r="C2582" s="1608"/>
      <c r="D2582" s="1608"/>
      <c r="E2582" s="1608"/>
      <c r="F2582" s="1608"/>
      <c r="G2582" s="1608"/>
      <c r="H2582" s="1608"/>
      <c r="I2582" s="1024">
        <f>I2559+I2544+I2519+I2508+I2498+I2550</f>
        <v>1620390.9503972917</v>
      </c>
    </row>
    <row r="2583" spans="1:9" ht="24.95" customHeight="1" x14ac:dyDescent="0.25">
      <c r="B2583" s="1608" t="s">
        <v>5010</v>
      </c>
      <c r="C2583" s="1608"/>
      <c r="D2583" s="1608"/>
      <c r="E2583" s="1608"/>
      <c r="F2583" s="1608"/>
      <c r="G2583" s="1608"/>
      <c r="H2583" s="1608"/>
      <c r="I2583" s="1024">
        <f>I2582</f>
        <v>1620390.9503972917</v>
      </c>
    </row>
    <row r="2584" spans="1:9" ht="24.95" customHeight="1" x14ac:dyDescent="0.25">
      <c r="A2584" s="972"/>
      <c r="B2584" s="973"/>
      <c r="C2584" s="974"/>
      <c r="D2584" s="973"/>
      <c r="E2584" s="954" t="s">
        <v>4777</v>
      </c>
      <c r="F2584" s="960"/>
      <c r="G2584" s="960"/>
      <c r="H2584" s="958"/>
      <c r="I2584" s="1030"/>
    </row>
    <row r="2585" spans="1:9" s="946" customFormat="1" ht="24.95" customHeight="1" x14ac:dyDescent="0.25">
      <c r="A2585" s="958"/>
      <c r="B2585" s="963"/>
      <c r="C2585" s="964"/>
      <c r="D2585" s="963"/>
      <c r="E2585" s="948"/>
      <c r="F2585" s="949">
        <v>1</v>
      </c>
      <c r="G2585" s="945">
        <v>0</v>
      </c>
      <c r="H2585" s="950">
        <v>0</v>
      </c>
      <c r="I2585" s="951">
        <f>I2582-I2586</f>
        <v>313890.95039729169</v>
      </c>
    </row>
    <row r="2586" spans="1:9" s="1043" customFormat="1" ht="24.95" customHeight="1" x14ac:dyDescent="0.2">
      <c r="A2586" s="958"/>
      <c r="B2586" s="963"/>
      <c r="C2586" s="959"/>
      <c r="D2586" s="963"/>
      <c r="E2586" s="963"/>
      <c r="F2586" s="960">
        <v>1032</v>
      </c>
      <c r="G2586" s="963">
        <v>0</v>
      </c>
      <c r="H2586" s="1043">
        <v>0</v>
      </c>
      <c r="I2586" s="1044">
        <f>I2514</f>
        <v>1306500</v>
      </c>
    </row>
    <row r="2587" spans="1:9" s="946" customFormat="1" ht="24.95" customHeight="1" x14ac:dyDescent="0.25">
      <c r="B2587" s="946" t="s">
        <v>3088</v>
      </c>
      <c r="C2587" s="953" t="s">
        <v>4685</v>
      </c>
      <c r="E2587" s="954"/>
      <c r="F2587" s="955"/>
      <c r="H2587" s="956"/>
      <c r="I2587" s="957"/>
    </row>
    <row r="2588" spans="1:9" s="946" customFormat="1" ht="24.95" customHeight="1" x14ac:dyDescent="0.25">
      <c r="B2588" s="946" t="s">
        <v>3087</v>
      </c>
      <c r="C2588" s="953" t="s">
        <v>5011</v>
      </c>
      <c r="E2588" s="954"/>
      <c r="F2588" s="955"/>
      <c r="H2588" s="956"/>
      <c r="I2588" s="957"/>
    </row>
    <row r="2589" spans="1:9" s="946" customFormat="1" ht="24.95" customHeight="1" x14ac:dyDescent="0.25">
      <c r="B2589" s="946" t="s">
        <v>3089</v>
      </c>
      <c r="C2589" s="953" t="s">
        <v>3146</v>
      </c>
      <c r="E2589" s="954"/>
      <c r="F2589" s="955"/>
      <c r="H2589" s="956"/>
      <c r="I2589" s="957"/>
    </row>
    <row r="2590" spans="1:9" ht="41.25" customHeight="1" x14ac:dyDescent="0.25">
      <c r="A2590" s="958"/>
      <c r="B2590" s="958" t="s">
        <v>2967</v>
      </c>
      <c r="C2590" s="959" t="s">
        <v>472</v>
      </c>
      <c r="D2590" s="958" t="s">
        <v>2968</v>
      </c>
      <c r="E2590" s="959" t="s">
        <v>3066</v>
      </c>
      <c r="F2590" s="960" t="s">
        <v>1403</v>
      </c>
      <c r="G2590" s="958" t="s">
        <v>2969</v>
      </c>
      <c r="H2590" s="958" t="s">
        <v>3065</v>
      </c>
      <c r="I2590" s="961" t="s">
        <v>2531</v>
      </c>
    </row>
    <row r="2591" spans="1:9" ht="24.95" customHeight="1" x14ac:dyDescent="0.25">
      <c r="A2591" s="958"/>
      <c r="B2591" s="962" t="s">
        <v>3138</v>
      </c>
      <c r="C2591" s="959">
        <v>27</v>
      </c>
      <c r="D2591" s="962" t="s">
        <v>5052</v>
      </c>
      <c r="E2591" s="954"/>
      <c r="F2591" s="960"/>
      <c r="G2591" s="958"/>
      <c r="H2591" s="958"/>
      <c r="I2591" s="961">
        <f>I2592</f>
        <v>6.0000000000000005E-2</v>
      </c>
    </row>
    <row r="2592" spans="1:9" ht="24.95" customHeight="1" x14ac:dyDescent="0.25">
      <c r="A2592" s="958"/>
      <c r="B2592" s="962" t="s">
        <v>3139</v>
      </c>
      <c r="C2592" s="959">
        <v>122</v>
      </c>
      <c r="D2592" s="962" t="s">
        <v>3143</v>
      </c>
      <c r="E2592" s="954"/>
      <c r="F2592" s="960"/>
      <c r="G2592" s="958"/>
      <c r="H2592" s="958"/>
      <c r="I2592" s="961">
        <f>I2593</f>
        <v>6.0000000000000005E-2</v>
      </c>
    </row>
    <row r="2593" spans="1:9" ht="24.95" customHeight="1" x14ac:dyDescent="0.25">
      <c r="A2593" s="958"/>
      <c r="B2593" s="962" t="s">
        <v>3137</v>
      </c>
      <c r="C2593" s="959">
        <v>10</v>
      </c>
      <c r="D2593" s="962" t="s">
        <v>5015</v>
      </c>
      <c r="E2593" s="954"/>
      <c r="F2593" s="960"/>
      <c r="G2593" s="958"/>
      <c r="H2593" s="958"/>
      <c r="I2593" s="961">
        <f>I2594</f>
        <v>6.0000000000000005E-2</v>
      </c>
    </row>
    <row r="2594" spans="1:9" s="1043" customFormat="1" ht="24.95" customHeight="1" x14ac:dyDescent="0.2">
      <c r="A2594" s="958"/>
      <c r="B2594" s="963" t="s">
        <v>2950</v>
      </c>
      <c r="C2594" s="959" t="s">
        <v>5013</v>
      </c>
      <c r="D2594" s="963" t="s">
        <v>5014</v>
      </c>
      <c r="E2594" s="963"/>
      <c r="F2594" s="960"/>
      <c r="G2594" s="963"/>
      <c r="I2594" s="961">
        <f>SUM(I2595:I2600)</f>
        <v>6.0000000000000005E-2</v>
      </c>
    </row>
    <row r="2595" spans="1:9" ht="24.95" customHeight="1" x14ac:dyDescent="0.25">
      <c r="B2595" s="973">
        <v>119200</v>
      </c>
      <c r="C2595" s="974">
        <v>333904700000000</v>
      </c>
      <c r="D2595" s="973" t="s">
        <v>6360</v>
      </c>
      <c r="F2595" s="949">
        <v>1</v>
      </c>
      <c r="G2595" s="945">
        <v>0</v>
      </c>
      <c r="H2595" s="950">
        <v>0</v>
      </c>
      <c r="I2595" s="951">
        <f>PUCFD!E2302</f>
        <v>0.01</v>
      </c>
    </row>
    <row r="2596" spans="1:9" ht="24.95" customHeight="1" x14ac:dyDescent="0.25">
      <c r="B2596" s="973">
        <v>119220</v>
      </c>
      <c r="C2596" s="974">
        <v>344903000000000</v>
      </c>
      <c r="D2596" s="973" t="s">
        <v>5018</v>
      </c>
      <c r="F2596" s="949">
        <v>1</v>
      </c>
      <c r="G2596" s="945">
        <v>0</v>
      </c>
      <c r="H2596" s="950">
        <v>0</v>
      </c>
      <c r="I2596" s="951">
        <f>PUCFD!E2303</f>
        <v>0.01</v>
      </c>
    </row>
    <row r="2597" spans="1:9" ht="24.95" customHeight="1" x14ac:dyDescent="0.25">
      <c r="B2597" s="973">
        <v>119240</v>
      </c>
      <c r="C2597" s="974">
        <v>344903600000000</v>
      </c>
      <c r="D2597" s="973" t="s">
        <v>5019</v>
      </c>
      <c r="F2597" s="949">
        <v>1</v>
      </c>
      <c r="G2597" s="945">
        <v>0</v>
      </c>
      <c r="H2597" s="950">
        <v>0</v>
      </c>
      <c r="I2597" s="951">
        <f>PUCFD!E2304</f>
        <v>0.01</v>
      </c>
    </row>
    <row r="2598" spans="1:9" ht="24.95" customHeight="1" x14ac:dyDescent="0.25">
      <c r="B2598" s="973">
        <v>119260</v>
      </c>
      <c r="C2598" s="974">
        <v>344903900000000</v>
      </c>
      <c r="D2598" s="973" t="s">
        <v>5020</v>
      </c>
      <c r="F2598" s="949">
        <v>1</v>
      </c>
      <c r="G2598" s="945">
        <v>0</v>
      </c>
      <c r="H2598" s="950">
        <v>0</v>
      </c>
      <c r="I2598" s="951">
        <f>PUCFD!E2305</f>
        <v>0.01</v>
      </c>
    </row>
    <row r="2599" spans="1:9" ht="24.95" customHeight="1" x14ac:dyDescent="0.25">
      <c r="B2599" s="973">
        <v>119280</v>
      </c>
      <c r="C2599" s="974">
        <v>344905100000000</v>
      </c>
      <c r="D2599" s="973" t="s">
        <v>5021</v>
      </c>
      <c r="F2599" s="949">
        <v>1</v>
      </c>
      <c r="G2599" s="945">
        <v>0</v>
      </c>
      <c r="H2599" s="950">
        <v>0</v>
      </c>
      <c r="I2599" s="951">
        <f>PUCFD!E2306</f>
        <v>0.01</v>
      </c>
    </row>
    <row r="2600" spans="1:9" ht="24.95" customHeight="1" x14ac:dyDescent="0.25">
      <c r="B2600" s="973">
        <v>119310</v>
      </c>
      <c r="C2600" s="974">
        <v>344905200000000</v>
      </c>
      <c r="D2600" s="973" t="s">
        <v>5022</v>
      </c>
      <c r="F2600" s="949">
        <v>1</v>
      </c>
      <c r="G2600" s="945">
        <v>0</v>
      </c>
      <c r="H2600" s="950">
        <v>0</v>
      </c>
      <c r="I2600" s="951">
        <f>PUCFD!E2307</f>
        <v>0.01</v>
      </c>
    </row>
    <row r="2601" spans="1:9" ht="24.95" customHeight="1" x14ac:dyDescent="0.25">
      <c r="A2601" s="958"/>
      <c r="B2601" s="962" t="s">
        <v>3138</v>
      </c>
      <c r="C2601" s="959">
        <v>27</v>
      </c>
      <c r="D2601" s="962" t="s">
        <v>5052</v>
      </c>
      <c r="E2601" s="954"/>
      <c r="F2601" s="960"/>
      <c r="G2601" s="958"/>
      <c r="H2601" s="958"/>
      <c r="I2601" s="961">
        <f>I2602</f>
        <v>6.0000000000000005E-2</v>
      </c>
    </row>
    <row r="2602" spans="1:9" ht="24.95" customHeight="1" x14ac:dyDescent="0.25">
      <c r="A2602" s="958"/>
      <c r="B2602" s="962" t="s">
        <v>3139</v>
      </c>
      <c r="C2602" s="959">
        <v>812</v>
      </c>
      <c r="D2602" s="962" t="s">
        <v>5016</v>
      </c>
      <c r="E2602" s="954"/>
      <c r="F2602" s="960"/>
      <c r="G2602" s="958"/>
      <c r="H2602" s="958"/>
      <c r="I2602" s="961">
        <f>I2603</f>
        <v>6.0000000000000005E-2</v>
      </c>
    </row>
    <row r="2603" spans="1:9" ht="24.95" customHeight="1" x14ac:dyDescent="0.25">
      <c r="A2603" s="958"/>
      <c r="B2603" s="962" t="s">
        <v>3137</v>
      </c>
      <c r="C2603" s="959">
        <v>10</v>
      </c>
      <c r="D2603" s="962" t="s">
        <v>5015</v>
      </c>
      <c r="E2603" s="954"/>
      <c r="F2603" s="960"/>
      <c r="G2603" s="958"/>
      <c r="H2603" s="958"/>
      <c r="I2603" s="961">
        <f>I2604</f>
        <v>6.0000000000000005E-2</v>
      </c>
    </row>
    <row r="2604" spans="1:9" s="1043" customFormat="1" ht="24.95" customHeight="1" x14ac:dyDescent="0.2">
      <c r="A2604" s="958"/>
      <c r="B2604" s="963" t="s">
        <v>2950</v>
      </c>
      <c r="C2604" s="959" t="s">
        <v>5013</v>
      </c>
      <c r="D2604" s="963" t="s">
        <v>5014</v>
      </c>
      <c r="E2604" s="963"/>
      <c r="F2604" s="960"/>
      <c r="G2604" s="963"/>
      <c r="I2604" s="961">
        <f>SUM(I2605:I2610)</f>
        <v>6.0000000000000005E-2</v>
      </c>
    </row>
    <row r="2605" spans="1:9" ht="24.95" customHeight="1" x14ac:dyDescent="0.25">
      <c r="B2605" s="973">
        <v>119410</v>
      </c>
      <c r="C2605" s="974">
        <v>333904700000000</v>
      </c>
      <c r="D2605" s="973" t="s">
        <v>6361</v>
      </c>
      <c r="F2605" s="949">
        <v>1</v>
      </c>
      <c r="G2605" s="945">
        <v>0</v>
      </c>
      <c r="H2605" s="950">
        <v>0</v>
      </c>
      <c r="I2605" s="951">
        <f>PUCFD!E2309</f>
        <v>0.01</v>
      </c>
    </row>
    <row r="2606" spans="1:9" ht="24.95" customHeight="1" x14ac:dyDescent="0.25">
      <c r="B2606" s="973">
        <v>119430</v>
      </c>
      <c r="C2606" s="974">
        <v>344903000000000</v>
      </c>
      <c r="D2606" s="973" t="s">
        <v>5024</v>
      </c>
      <c r="F2606" s="949">
        <v>1</v>
      </c>
      <c r="G2606" s="945">
        <v>0</v>
      </c>
      <c r="H2606" s="950">
        <v>0</v>
      </c>
      <c r="I2606" s="951">
        <f>PUCFD!E2310</f>
        <v>0.01</v>
      </c>
    </row>
    <row r="2607" spans="1:9" ht="24.95" customHeight="1" x14ac:dyDescent="0.25">
      <c r="B2607" s="973">
        <v>119450</v>
      </c>
      <c r="C2607" s="974">
        <v>344903600000000</v>
      </c>
      <c r="D2607" s="973" t="s">
        <v>5025</v>
      </c>
      <c r="F2607" s="949">
        <v>1</v>
      </c>
      <c r="G2607" s="945">
        <v>0</v>
      </c>
      <c r="H2607" s="950">
        <v>0</v>
      </c>
      <c r="I2607" s="951">
        <f>PUCFD!E2311</f>
        <v>0.01</v>
      </c>
    </row>
    <row r="2608" spans="1:9" ht="24.95" customHeight="1" x14ac:dyDescent="0.25">
      <c r="B2608" s="973">
        <v>119470</v>
      </c>
      <c r="C2608" s="974">
        <v>344903900000000</v>
      </c>
      <c r="D2608" s="973" t="s">
        <v>5026</v>
      </c>
      <c r="F2608" s="949">
        <v>1</v>
      </c>
      <c r="G2608" s="945">
        <v>0</v>
      </c>
      <c r="H2608" s="950">
        <v>0</v>
      </c>
      <c r="I2608" s="951">
        <f>PUCFD!E2312</f>
        <v>0.01</v>
      </c>
    </row>
    <row r="2609" spans="1:9" ht="24.95" customHeight="1" x14ac:dyDescent="0.25">
      <c r="B2609" s="973">
        <v>119490</v>
      </c>
      <c r="C2609" s="974">
        <v>344905100000000</v>
      </c>
      <c r="D2609" s="973" t="s">
        <v>5027</v>
      </c>
      <c r="F2609" s="949">
        <v>1</v>
      </c>
      <c r="G2609" s="945">
        <v>0</v>
      </c>
      <c r="H2609" s="950">
        <v>0</v>
      </c>
      <c r="I2609" s="951">
        <f>PUCFD!E2313</f>
        <v>0.01</v>
      </c>
    </row>
    <row r="2610" spans="1:9" ht="24.95" customHeight="1" x14ac:dyDescent="0.25">
      <c r="B2610" s="973">
        <v>119510</v>
      </c>
      <c r="C2610" s="974">
        <v>344905200000000</v>
      </c>
      <c r="D2610" s="973" t="s">
        <v>6362</v>
      </c>
      <c r="F2610" s="949">
        <v>1</v>
      </c>
      <c r="G2610" s="945">
        <v>0</v>
      </c>
      <c r="H2610" s="950">
        <v>0</v>
      </c>
      <c r="I2610" s="951">
        <f>PUCFD!E2314</f>
        <v>0.01</v>
      </c>
    </row>
    <row r="2611" spans="1:9" ht="24.95" customHeight="1" x14ac:dyDescent="0.25">
      <c r="A2611" s="958"/>
      <c r="B2611" s="962" t="s">
        <v>3138</v>
      </c>
      <c r="C2611" s="959">
        <v>27</v>
      </c>
      <c r="D2611" s="962" t="s">
        <v>5052</v>
      </c>
      <c r="E2611" s="954"/>
      <c r="F2611" s="960"/>
      <c r="G2611" s="958"/>
      <c r="H2611" s="958"/>
      <c r="I2611" s="961">
        <f>I2612</f>
        <v>53482.287190835974</v>
      </c>
    </row>
    <row r="2612" spans="1:9" ht="24.95" customHeight="1" x14ac:dyDescent="0.25">
      <c r="A2612" s="958"/>
      <c r="B2612" s="962" t="s">
        <v>3139</v>
      </c>
      <c r="C2612" s="959">
        <v>122</v>
      </c>
      <c r="D2612" s="962" t="s">
        <v>3143</v>
      </c>
      <c r="E2612" s="954"/>
      <c r="F2612" s="960"/>
      <c r="G2612" s="958"/>
      <c r="H2612" s="958"/>
      <c r="I2612" s="961">
        <f>I2613</f>
        <v>53482.287190835974</v>
      </c>
    </row>
    <row r="2613" spans="1:9" ht="24.95" customHeight="1" x14ac:dyDescent="0.25">
      <c r="A2613" s="958"/>
      <c r="B2613" s="962" t="s">
        <v>3137</v>
      </c>
      <c r="C2613" s="959">
        <v>10</v>
      </c>
      <c r="D2613" s="962" t="s">
        <v>5015</v>
      </c>
      <c r="E2613" s="954"/>
      <c r="F2613" s="960"/>
      <c r="G2613" s="958"/>
      <c r="H2613" s="958"/>
      <c r="I2613" s="961">
        <f>I2614</f>
        <v>53482.287190835974</v>
      </c>
    </row>
    <row r="2614" spans="1:9" s="946" customFormat="1" ht="24.95" customHeight="1" x14ac:dyDescent="0.25">
      <c r="B2614" s="963" t="s">
        <v>2965</v>
      </c>
      <c r="C2614" s="959">
        <v>10</v>
      </c>
      <c r="D2614" s="963" t="s">
        <v>5031</v>
      </c>
      <c r="E2614" s="954"/>
      <c r="F2614" s="949">
        <v>1</v>
      </c>
      <c r="G2614" s="945">
        <v>0</v>
      </c>
      <c r="H2614" s="950">
        <v>0</v>
      </c>
      <c r="I2614" s="957">
        <f>SUM(I2615:I2635)</f>
        <v>53482.287190835974</v>
      </c>
    </row>
    <row r="2615" spans="1:9" ht="24.95" customHeight="1" x14ac:dyDescent="0.25">
      <c r="B2615" s="973">
        <v>120000</v>
      </c>
      <c r="C2615" s="974">
        <v>331900400000000</v>
      </c>
      <c r="D2615" s="973" t="s">
        <v>6364</v>
      </c>
      <c r="F2615" s="949">
        <v>1</v>
      </c>
      <c r="G2615" s="945">
        <v>0</v>
      </c>
      <c r="H2615" s="950">
        <v>0</v>
      </c>
      <c r="I2615" s="951">
        <f>PUCFD!E2316</f>
        <v>1</v>
      </c>
    </row>
    <row r="2616" spans="1:9" s="996" customFormat="1" ht="24.95" customHeight="1" x14ac:dyDescent="0.25">
      <c r="A2616" s="981"/>
      <c r="B2616" s="973">
        <v>120050</v>
      </c>
      <c r="C2616" s="994">
        <v>331900800000000</v>
      </c>
      <c r="D2616" s="993" t="s">
        <v>6363</v>
      </c>
      <c r="F2616" s="985">
        <v>1</v>
      </c>
      <c r="G2616" s="993">
        <v>0</v>
      </c>
      <c r="H2616" s="981">
        <v>0</v>
      </c>
      <c r="I2616" s="986">
        <f>(I2618+I2620+I2621+I2622)*(PUCFD!E$94)</f>
        <v>870.42198007604361</v>
      </c>
    </row>
    <row r="2617" spans="1:9" ht="24.95" customHeight="1" x14ac:dyDescent="0.25">
      <c r="B2617" s="973">
        <v>120100</v>
      </c>
      <c r="C2617" s="974">
        <v>331901100000000</v>
      </c>
      <c r="D2617" s="973" t="s">
        <v>6365</v>
      </c>
      <c r="F2617" s="949">
        <v>1</v>
      </c>
      <c r="G2617" s="945">
        <v>0</v>
      </c>
      <c r="H2617" s="950">
        <v>0</v>
      </c>
      <c r="I2617" s="1039">
        <f>SUM(PUCFD!E2319:E2324)*(1+PUCFD!E$87)</f>
        <v>31155.357970456535</v>
      </c>
    </row>
    <row r="2618" spans="1:9" ht="24.95" customHeight="1" x14ac:dyDescent="0.25">
      <c r="B2618" s="973">
        <v>120200</v>
      </c>
      <c r="C2618" s="974">
        <v>331901300000000</v>
      </c>
      <c r="D2618" s="973" t="s">
        <v>6366</v>
      </c>
      <c r="F2618" s="949">
        <v>1</v>
      </c>
      <c r="G2618" s="945">
        <v>0</v>
      </c>
      <c r="H2618" s="950">
        <v>0</v>
      </c>
      <c r="I2618" s="1039">
        <f>(I2617+I2619+I2620+I2621)*(PUCFD!E$92)</f>
        <v>6542.631473795871</v>
      </c>
    </row>
    <row r="2619" spans="1:9" ht="24.95" customHeight="1" x14ac:dyDescent="0.25">
      <c r="B2619" s="973">
        <v>120300</v>
      </c>
      <c r="C2619" s="974">
        <v>331901600000000</v>
      </c>
      <c r="D2619" s="973" t="s">
        <v>6367</v>
      </c>
      <c r="F2619" s="949">
        <v>1</v>
      </c>
      <c r="G2619" s="945">
        <v>0</v>
      </c>
      <c r="H2619" s="950">
        <v>0</v>
      </c>
      <c r="I2619" s="951">
        <f>PUCFD!E2326</f>
        <v>0.01</v>
      </c>
    </row>
    <row r="2620" spans="1:9" ht="24.95" customHeight="1" x14ac:dyDescent="0.25">
      <c r="B2620" s="973">
        <v>120350</v>
      </c>
      <c r="C2620" s="974">
        <v>331903400000000</v>
      </c>
      <c r="D2620" s="973" t="s">
        <v>6368</v>
      </c>
      <c r="F2620" s="949">
        <v>1</v>
      </c>
      <c r="G2620" s="945">
        <v>0</v>
      </c>
      <c r="H2620" s="950">
        <v>0</v>
      </c>
      <c r="I2620" s="951">
        <f>PUCFD!E2327</f>
        <v>0.01</v>
      </c>
    </row>
    <row r="2621" spans="1:9" ht="24.95" customHeight="1" x14ac:dyDescent="0.25">
      <c r="B2621" s="973">
        <v>120400</v>
      </c>
      <c r="C2621" s="974">
        <v>331909400000000</v>
      </c>
      <c r="D2621" s="973" t="s">
        <v>6369</v>
      </c>
      <c r="F2621" s="949">
        <v>1</v>
      </c>
      <c r="G2621" s="945">
        <v>0</v>
      </c>
      <c r="H2621" s="950">
        <v>0</v>
      </c>
      <c r="I2621" s="951">
        <f>PUCFD!E2328</f>
        <v>0.01</v>
      </c>
    </row>
    <row r="2622" spans="1:9" ht="24.95" customHeight="1" x14ac:dyDescent="0.25">
      <c r="B2622" s="973">
        <v>120600</v>
      </c>
      <c r="C2622" s="974">
        <v>333901400000000</v>
      </c>
      <c r="D2622" s="973" t="s">
        <v>5044</v>
      </c>
      <c r="F2622" s="949">
        <v>1</v>
      </c>
      <c r="G2622" s="945">
        <v>0</v>
      </c>
      <c r="H2622" s="950">
        <v>0</v>
      </c>
      <c r="I2622" s="951">
        <f>PUCFD!E2329</f>
        <v>1000</v>
      </c>
    </row>
    <row r="2623" spans="1:9" ht="24.95" customHeight="1" x14ac:dyDescent="0.25">
      <c r="B2623" s="973">
        <v>120700</v>
      </c>
      <c r="C2623" s="974">
        <v>333903000000000</v>
      </c>
      <c r="D2623" s="973" t="s">
        <v>5043</v>
      </c>
      <c r="F2623" s="949">
        <v>1</v>
      </c>
      <c r="G2623" s="945">
        <v>0</v>
      </c>
      <c r="H2623" s="950">
        <v>0</v>
      </c>
      <c r="I2623" s="951">
        <f>PUCFD!E2330-5000</f>
        <v>5000</v>
      </c>
    </row>
    <row r="2624" spans="1:9" ht="24.95" customHeight="1" x14ac:dyDescent="0.25">
      <c r="B2624" s="973">
        <v>120900</v>
      </c>
      <c r="C2624" s="974">
        <v>333903200000000</v>
      </c>
      <c r="D2624" s="973" t="s">
        <v>5042</v>
      </c>
      <c r="F2624" s="949">
        <v>1</v>
      </c>
      <c r="G2624" s="945">
        <v>0</v>
      </c>
      <c r="H2624" s="950">
        <v>0</v>
      </c>
      <c r="I2624" s="951">
        <f>PUCFD!E2331</f>
        <v>0.01</v>
      </c>
    </row>
    <row r="2625" spans="1:9" ht="24.95" customHeight="1" x14ac:dyDescent="0.25">
      <c r="B2625" s="973">
        <v>121000</v>
      </c>
      <c r="C2625" s="974">
        <v>333903300000000</v>
      </c>
      <c r="D2625" s="973" t="s">
        <v>5041</v>
      </c>
      <c r="F2625" s="949">
        <v>1</v>
      </c>
      <c r="G2625" s="945">
        <v>0</v>
      </c>
      <c r="H2625" s="950">
        <v>0</v>
      </c>
      <c r="I2625" s="951">
        <f>PUCFD!E2332</f>
        <v>500</v>
      </c>
    </row>
    <row r="2626" spans="1:9" ht="24.95" customHeight="1" x14ac:dyDescent="0.25">
      <c r="B2626" s="973">
        <v>121100</v>
      </c>
      <c r="C2626" s="974">
        <v>333903600000000</v>
      </c>
      <c r="D2626" s="973" t="s">
        <v>5019</v>
      </c>
      <c r="F2626" s="949">
        <v>1</v>
      </c>
      <c r="G2626" s="945">
        <v>0</v>
      </c>
      <c r="H2626" s="950">
        <v>0</v>
      </c>
      <c r="I2626" s="951">
        <f>PUCFD!E2333</f>
        <v>0.01</v>
      </c>
    </row>
    <row r="2627" spans="1:9" ht="24.95" customHeight="1" x14ac:dyDescent="0.25">
      <c r="B2627" s="973">
        <v>121200</v>
      </c>
      <c r="C2627" s="974">
        <v>333903900000000</v>
      </c>
      <c r="D2627" s="973" t="s">
        <v>5020</v>
      </c>
      <c r="F2627" s="949">
        <v>1</v>
      </c>
      <c r="G2627" s="945">
        <v>0</v>
      </c>
      <c r="H2627" s="950">
        <v>0</v>
      </c>
      <c r="I2627" s="951">
        <f>PUCFD!E2334</f>
        <v>5000</v>
      </c>
    </row>
    <row r="2628" spans="1:9" ht="24.95" customHeight="1" x14ac:dyDescent="0.25">
      <c r="B2628" s="973">
        <v>121400</v>
      </c>
      <c r="C2628" s="974">
        <v>333904600000000</v>
      </c>
      <c r="D2628" s="973" t="s">
        <v>5040</v>
      </c>
      <c r="F2628" s="949">
        <v>1</v>
      </c>
      <c r="G2628" s="945">
        <v>0</v>
      </c>
      <c r="H2628" s="950">
        <v>0</v>
      </c>
      <c r="I2628" s="951">
        <f>PUCFD!E2335*(1+PUCFD!E$10)*(1+PUCFD!E$16)</f>
        <v>3412.7557665074996</v>
      </c>
    </row>
    <row r="2629" spans="1:9" ht="24.95" customHeight="1" x14ac:dyDescent="0.25">
      <c r="B2629" s="973">
        <v>121500</v>
      </c>
      <c r="C2629" s="974">
        <v>333904700000000</v>
      </c>
      <c r="D2629" s="973" t="s">
        <v>5039</v>
      </c>
      <c r="F2629" s="949">
        <v>1</v>
      </c>
      <c r="G2629" s="945">
        <v>0</v>
      </c>
      <c r="H2629" s="950">
        <v>0</v>
      </c>
      <c r="I2629" s="951">
        <f>PUCFD!E2336</f>
        <v>0.01</v>
      </c>
    </row>
    <row r="2630" spans="1:9" ht="24.95" customHeight="1" x14ac:dyDescent="0.25">
      <c r="B2630" s="973">
        <v>121600</v>
      </c>
      <c r="C2630" s="974">
        <v>333904900000000</v>
      </c>
      <c r="D2630" s="973" t="s">
        <v>5038</v>
      </c>
      <c r="F2630" s="949">
        <v>1</v>
      </c>
      <c r="G2630" s="945">
        <v>0</v>
      </c>
      <c r="H2630" s="950">
        <v>0</v>
      </c>
      <c r="I2630" s="951">
        <f>PUCFD!E2337</f>
        <v>0.01</v>
      </c>
    </row>
    <row r="2631" spans="1:9" ht="24.95" customHeight="1" x14ac:dyDescent="0.25">
      <c r="B2631" s="973">
        <v>121700</v>
      </c>
      <c r="C2631" s="974">
        <v>333909200000000</v>
      </c>
      <c r="D2631" s="973" t="s">
        <v>5037</v>
      </c>
      <c r="F2631" s="949">
        <v>1</v>
      </c>
      <c r="G2631" s="945">
        <v>0</v>
      </c>
      <c r="H2631" s="950">
        <v>0</v>
      </c>
      <c r="I2631" s="951">
        <f>PUCFD!E2338</f>
        <v>0.01</v>
      </c>
    </row>
    <row r="2632" spans="1:9" ht="24.95" customHeight="1" x14ac:dyDescent="0.25">
      <c r="B2632" s="973">
        <v>121800</v>
      </c>
      <c r="C2632" s="974">
        <v>333909300000000</v>
      </c>
      <c r="D2632" s="973" t="s">
        <v>5036</v>
      </c>
      <c r="F2632" s="949">
        <v>1</v>
      </c>
      <c r="G2632" s="945">
        <v>0</v>
      </c>
      <c r="H2632" s="950">
        <v>0</v>
      </c>
      <c r="I2632" s="951">
        <f>PUCFD!E2339</f>
        <v>0.01</v>
      </c>
    </row>
    <row r="2633" spans="1:9" ht="24.95" customHeight="1" x14ac:dyDescent="0.25">
      <c r="B2633" s="973">
        <v>121900</v>
      </c>
      <c r="C2633" s="974">
        <v>333933000000000</v>
      </c>
      <c r="D2633" s="973" t="s">
        <v>5035</v>
      </c>
      <c r="F2633" s="949">
        <v>1</v>
      </c>
      <c r="G2633" s="945">
        <v>0</v>
      </c>
      <c r="H2633" s="950">
        <v>0</v>
      </c>
      <c r="I2633" s="951">
        <f>PUCFD!E2340</f>
        <v>0.01</v>
      </c>
    </row>
    <row r="2634" spans="1:9" ht="24.95" customHeight="1" x14ac:dyDescent="0.25">
      <c r="B2634" s="973">
        <v>122100</v>
      </c>
      <c r="C2634" s="974">
        <v>344905100000000</v>
      </c>
      <c r="D2634" s="973" t="s">
        <v>5021</v>
      </c>
      <c r="F2634" s="949">
        <v>1</v>
      </c>
      <c r="G2634" s="945">
        <v>0</v>
      </c>
      <c r="H2634" s="950">
        <v>0</v>
      </c>
      <c r="I2634" s="951">
        <f>PUCFD!E2341</f>
        <v>0.01</v>
      </c>
    </row>
    <row r="2635" spans="1:9" ht="24.95" customHeight="1" x14ac:dyDescent="0.25">
      <c r="B2635" s="973">
        <v>122200</v>
      </c>
      <c r="C2635" s="974">
        <v>344905200000000</v>
      </c>
      <c r="D2635" s="973" t="s">
        <v>5022</v>
      </c>
      <c r="F2635" s="949">
        <v>1</v>
      </c>
      <c r="G2635" s="945">
        <v>0</v>
      </c>
      <c r="H2635" s="950">
        <v>0</v>
      </c>
      <c r="I2635" s="951">
        <f>PUCFD!E2342</f>
        <v>0.01</v>
      </c>
    </row>
    <row r="2636" spans="1:9" ht="24.95" customHeight="1" x14ac:dyDescent="0.25">
      <c r="B2636" s="962" t="s">
        <v>3138</v>
      </c>
      <c r="C2636" s="959">
        <v>27</v>
      </c>
      <c r="D2636" s="962" t="s">
        <v>5052</v>
      </c>
      <c r="I2636" s="957">
        <f>I2637</f>
        <v>0.02</v>
      </c>
    </row>
    <row r="2637" spans="1:9" ht="24.95" customHeight="1" x14ac:dyDescent="0.25">
      <c r="A2637" s="958"/>
      <c r="B2637" s="962" t="s">
        <v>3139</v>
      </c>
      <c r="C2637" s="959">
        <v>126</v>
      </c>
      <c r="D2637" s="962" t="s">
        <v>3600</v>
      </c>
      <c r="E2637" s="954"/>
      <c r="F2637" s="960"/>
      <c r="G2637" s="958"/>
      <c r="H2637" s="958"/>
      <c r="I2637" s="961">
        <f>I2638</f>
        <v>0.02</v>
      </c>
    </row>
    <row r="2638" spans="1:9" ht="24.95" customHeight="1" x14ac:dyDescent="0.25">
      <c r="A2638" s="958"/>
      <c r="B2638" s="962" t="s">
        <v>3137</v>
      </c>
      <c r="C2638" s="959">
        <v>10</v>
      </c>
      <c r="D2638" s="962" t="s">
        <v>5015</v>
      </c>
      <c r="E2638" s="954"/>
      <c r="F2638" s="960"/>
      <c r="G2638" s="958"/>
      <c r="H2638" s="958"/>
      <c r="I2638" s="961">
        <f>I2639</f>
        <v>0.02</v>
      </c>
    </row>
    <row r="2639" spans="1:9" s="946" customFormat="1" ht="24.95" customHeight="1" x14ac:dyDescent="0.25">
      <c r="A2639" s="958"/>
      <c r="B2639" s="963" t="s">
        <v>2965</v>
      </c>
      <c r="C2639" s="959">
        <v>10</v>
      </c>
      <c r="D2639" s="963" t="s">
        <v>5031</v>
      </c>
      <c r="E2639" s="954"/>
      <c r="F2639" s="960"/>
      <c r="G2639" s="958"/>
      <c r="H2639" s="958"/>
      <c r="I2639" s="961">
        <f>I2640+I2641</f>
        <v>0.02</v>
      </c>
    </row>
    <row r="2640" spans="1:9" ht="33.75" customHeight="1" x14ac:dyDescent="0.25">
      <c r="B2640" s="973">
        <v>122230</v>
      </c>
      <c r="C2640" s="974">
        <v>333904000000000</v>
      </c>
      <c r="D2640" s="973" t="s">
        <v>6370</v>
      </c>
      <c r="F2640" s="975">
        <v>1</v>
      </c>
      <c r="G2640" s="973">
        <v>0</v>
      </c>
      <c r="H2640" s="972">
        <v>0</v>
      </c>
      <c r="I2640" s="1039">
        <f>PUCFD!E2344</f>
        <v>0.01</v>
      </c>
    </row>
    <row r="2641" spans="1:9" ht="33.75" customHeight="1" x14ac:dyDescent="0.25">
      <c r="B2641" s="973">
        <v>122260</v>
      </c>
      <c r="C2641" s="974">
        <v>333904000000000</v>
      </c>
      <c r="D2641" s="973" t="s">
        <v>6371</v>
      </c>
      <c r="F2641" s="975">
        <v>1</v>
      </c>
      <c r="G2641" s="973">
        <v>0</v>
      </c>
      <c r="H2641" s="972">
        <v>0</v>
      </c>
      <c r="I2641" s="1039">
        <f>PUCFD!E2345</f>
        <v>0.01</v>
      </c>
    </row>
    <row r="2642" spans="1:9" ht="33.75" customHeight="1" x14ac:dyDescent="0.25">
      <c r="B2642" s="962" t="s">
        <v>3138</v>
      </c>
      <c r="C2642" s="959">
        <v>27</v>
      </c>
      <c r="D2642" s="962" t="s">
        <v>5052</v>
      </c>
      <c r="F2642" s="975"/>
      <c r="G2642" s="973"/>
      <c r="H2642" s="972"/>
      <c r="I2642" s="1024">
        <f>I2643</f>
        <v>0.05</v>
      </c>
    </row>
    <row r="2643" spans="1:9" ht="33.75" customHeight="1" x14ac:dyDescent="0.25">
      <c r="B2643" s="962" t="s">
        <v>3139</v>
      </c>
      <c r="C2643" s="959">
        <v>128</v>
      </c>
      <c r="D2643" s="962" t="s">
        <v>5104</v>
      </c>
      <c r="F2643" s="975"/>
      <c r="G2643" s="973"/>
      <c r="H2643" s="972"/>
      <c r="I2643" s="1024">
        <f>I2644</f>
        <v>0.05</v>
      </c>
    </row>
    <row r="2644" spans="1:9" ht="33.75" customHeight="1" x14ac:dyDescent="0.25">
      <c r="B2644" s="962" t="s">
        <v>3137</v>
      </c>
      <c r="C2644" s="959">
        <v>10</v>
      </c>
      <c r="D2644" s="962" t="s">
        <v>5015</v>
      </c>
      <c r="F2644" s="975"/>
      <c r="G2644" s="973"/>
      <c r="H2644" s="972"/>
      <c r="I2644" s="1024">
        <f>I2645</f>
        <v>0.05</v>
      </c>
    </row>
    <row r="2645" spans="1:9" ht="33.75" customHeight="1" x14ac:dyDescent="0.25">
      <c r="B2645" s="963" t="s">
        <v>2965</v>
      </c>
      <c r="C2645" s="959">
        <v>10</v>
      </c>
      <c r="D2645" s="963" t="s">
        <v>5031</v>
      </c>
      <c r="F2645" s="975"/>
      <c r="G2645" s="973"/>
      <c r="H2645" s="972"/>
      <c r="I2645" s="1024">
        <f>SUM(I2646:I2650)</f>
        <v>0.05</v>
      </c>
    </row>
    <row r="2646" spans="1:9" s="946" customFormat="1" ht="24.95" customHeight="1" x14ac:dyDescent="0.25">
      <c r="B2646" s="973">
        <v>122300</v>
      </c>
      <c r="C2646" s="974">
        <v>333901400000000</v>
      </c>
      <c r="D2646" s="973" t="s">
        <v>6347</v>
      </c>
      <c r="E2646" s="948"/>
      <c r="F2646" s="975">
        <v>1</v>
      </c>
      <c r="G2646" s="973">
        <v>0</v>
      </c>
      <c r="H2646" s="972">
        <v>0</v>
      </c>
      <c r="I2646" s="1039">
        <f>PUCFD!E2347</f>
        <v>0.01</v>
      </c>
    </row>
    <row r="2647" spans="1:9" s="946" customFormat="1" ht="24.95" customHeight="1" x14ac:dyDescent="0.25">
      <c r="B2647" s="973">
        <v>122320</v>
      </c>
      <c r="C2647" s="974">
        <v>333903300000000</v>
      </c>
      <c r="D2647" s="973" t="s">
        <v>6346</v>
      </c>
      <c r="E2647" s="948"/>
      <c r="F2647" s="975">
        <v>1</v>
      </c>
      <c r="G2647" s="973">
        <v>0</v>
      </c>
      <c r="H2647" s="972">
        <v>0</v>
      </c>
      <c r="I2647" s="1039">
        <f>PUCFD!E2348</f>
        <v>0.01</v>
      </c>
    </row>
    <row r="2648" spans="1:9" s="946" customFormat="1" ht="24.95" customHeight="1" x14ac:dyDescent="0.25">
      <c r="B2648" s="973">
        <v>122340</v>
      </c>
      <c r="C2648" s="974">
        <v>333903600000000</v>
      </c>
      <c r="D2648" s="973" t="s">
        <v>6348</v>
      </c>
      <c r="E2648" s="948"/>
      <c r="F2648" s="975">
        <v>1</v>
      </c>
      <c r="G2648" s="973">
        <v>0</v>
      </c>
      <c r="H2648" s="972">
        <v>0</v>
      </c>
      <c r="I2648" s="1039">
        <f>PUCFD!E2349</f>
        <v>0.01</v>
      </c>
    </row>
    <row r="2649" spans="1:9" s="946" customFormat="1" ht="24.95" customHeight="1" x14ac:dyDescent="0.25">
      <c r="B2649" s="973">
        <v>122360</v>
      </c>
      <c r="C2649" s="974">
        <v>333903900000000</v>
      </c>
      <c r="D2649" s="973" t="s">
        <v>6372</v>
      </c>
      <c r="E2649" s="948"/>
      <c r="F2649" s="975">
        <v>1</v>
      </c>
      <c r="G2649" s="973">
        <v>0</v>
      </c>
      <c r="H2649" s="972">
        <v>0</v>
      </c>
      <c r="I2649" s="1039">
        <f>PUCFD!E2350</f>
        <v>0.01</v>
      </c>
    </row>
    <row r="2650" spans="1:9" s="946" customFormat="1" ht="24.95" customHeight="1" x14ac:dyDescent="0.25">
      <c r="B2650" s="973">
        <v>122380</v>
      </c>
      <c r="C2650" s="974">
        <v>333904700000000</v>
      </c>
      <c r="D2650" s="973" t="s">
        <v>6350</v>
      </c>
      <c r="E2650" s="948"/>
      <c r="F2650" s="975">
        <v>1</v>
      </c>
      <c r="G2650" s="973">
        <v>0</v>
      </c>
      <c r="H2650" s="972">
        <v>0</v>
      </c>
      <c r="I2650" s="1039">
        <f>PUCFD!E2351</f>
        <v>0.01</v>
      </c>
    </row>
    <row r="2651" spans="1:9" ht="24.95" customHeight="1" x14ac:dyDescent="0.25">
      <c r="B2651" s="962" t="s">
        <v>3138</v>
      </c>
      <c r="C2651" s="959">
        <v>27</v>
      </c>
      <c r="D2651" s="962" t="s">
        <v>5052</v>
      </c>
      <c r="I2651" s="957">
        <f>I2652</f>
        <v>176801.12000000005</v>
      </c>
    </row>
    <row r="2652" spans="1:9" ht="24.95" customHeight="1" x14ac:dyDescent="0.25">
      <c r="A2652" s="958"/>
      <c r="B2652" s="962" t="s">
        <v>3139</v>
      </c>
      <c r="C2652" s="959">
        <v>812</v>
      </c>
      <c r="D2652" s="962" t="s">
        <v>5016</v>
      </c>
      <c r="E2652" s="954"/>
      <c r="F2652" s="960"/>
      <c r="G2652" s="958"/>
      <c r="H2652" s="958"/>
      <c r="I2652" s="961">
        <f>I2653</f>
        <v>176801.12000000005</v>
      </c>
    </row>
    <row r="2653" spans="1:9" ht="24.95" customHeight="1" x14ac:dyDescent="0.25">
      <c r="A2653" s="958"/>
      <c r="B2653" s="962" t="s">
        <v>3137</v>
      </c>
      <c r="C2653" s="959">
        <v>10</v>
      </c>
      <c r="D2653" s="962" t="s">
        <v>5015</v>
      </c>
      <c r="E2653" s="954"/>
      <c r="F2653" s="960"/>
      <c r="G2653" s="958"/>
      <c r="H2653" s="958"/>
      <c r="I2653" s="961">
        <f>I2654</f>
        <v>176801.12000000005</v>
      </c>
    </row>
    <row r="2654" spans="1:9" s="946" customFormat="1" ht="24.95" customHeight="1" x14ac:dyDescent="0.25">
      <c r="A2654" s="958"/>
      <c r="B2654" s="963" t="s">
        <v>2965</v>
      </c>
      <c r="C2654" s="959">
        <v>10</v>
      </c>
      <c r="D2654" s="963" t="s">
        <v>5031</v>
      </c>
      <c r="E2654" s="954"/>
      <c r="F2654" s="960"/>
      <c r="G2654" s="958"/>
      <c r="H2654" s="958"/>
      <c r="I2654" s="961">
        <f>SUM(I2655:I2676)</f>
        <v>176801.12000000005</v>
      </c>
    </row>
    <row r="2655" spans="1:9" s="946" customFormat="1" ht="24.95" customHeight="1" x14ac:dyDescent="0.25">
      <c r="A2655" s="958"/>
      <c r="B2655" s="973">
        <v>122500</v>
      </c>
      <c r="C2655" s="974">
        <v>331900400000000</v>
      </c>
      <c r="D2655" s="973" t="s">
        <v>6373</v>
      </c>
      <c r="E2655" s="954"/>
      <c r="F2655" s="975">
        <v>1</v>
      </c>
      <c r="G2655" s="973">
        <v>0</v>
      </c>
      <c r="H2655" s="972">
        <v>0</v>
      </c>
      <c r="I2655" s="976">
        <f>PUCFD!E2353</f>
        <v>0.01</v>
      </c>
    </row>
    <row r="2656" spans="1:9" s="996" customFormat="1" ht="33.75" customHeight="1" x14ac:dyDescent="0.25">
      <c r="A2656" s="981"/>
      <c r="B2656" s="973">
        <v>122530</v>
      </c>
      <c r="C2656" s="994">
        <v>331900800000000</v>
      </c>
      <c r="D2656" s="993" t="s">
        <v>6374</v>
      </c>
      <c r="F2656" s="985">
        <v>1</v>
      </c>
      <c r="G2656" s="993">
        <v>0</v>
      </c>
      <c r="H2656" s="981">
        <v>0</v>
      </c>
      <c r="I2656" s="986">
        <f>PUCFD!E2317</f>
        <v>1</v>
      </c>
    </row>
    <row r="2657" spans="1:9" s="946" customFormat="1" ht="24.95" customHeight="1" x14ac:dyDescent="0.25">
      <c r="A2657" s="958"/>
      <c r="B2657" s="973">
        <v>122560</v>
      </c>
      <c r="C2657" s="974">
        <v>331901100000000</v>
      </c>
      <c r="D2657" s="973" t="s">
        <v>6376</v>
      </c>
      <c r="E2657" s="954"/>
      <c r="F2657" s="975">
        <v>1</v>
      </c>
      <c r="G2657" s="973">
        <v>0</v>
      </c>
      <c r="H2657" s="972">
        <v>0</v>
      </c>
      <c r="I2657" s="976">
        <f>PUCFD!E2354</f>
        <v>0.01</v>
      </c>
    </row>
    <row r="2658" spans="1:9" s="946" customFormat="1" ht="24.95" customHeight="1" x14ac:dyDescent="0.25">
      <c r="A2658" s="958"/>
      <c r="B2658" s="973">
        <v>122590</v>
      </c>
      <c r="C2658" s="974">
        <v>331901300000000</v>
      </c>
      <c r="D2658" s="973" t="s">
        <v>6375</v>
      </c>
      <c r="E2658" s="954"/>
      <c r="F2658" s="975">
        <v>1</v>
      </c>
      <c r="G2658" s="973">
        <v>0</v>
      </c>
      <c r="H2658" s="972">
        <v>0</v>
      </c>
      <c r="I2658" s="976">
        <f>PUCFD!E2355</f>
        <v>0.01</v>
      </c>
    </row>
    <row r="2659" spans="1:9" s="946" customFormat="1" ht="24.95" customHeight="1" x14ac:dyDescent="0.25">
      <c r="A2659" s="958"/>
      <c r="B2659" s="973">
        <v>122610</v>
      </c>
      <c r="C2659" s="974">
        <v>331901600000000</v>
      </c>
      <c r="D2659" s="973" t="s">
        <v>6377</v>
      </c>
      <c r="E2659" s="954"/>
      <c r="F2659" s="975">
        <v>1</v>
      </c>
      <c r="G2659" s="973">
        <v>0</v>
      </c>
      <c r="H2659" s="972">
        <v>0</v>
      </c>
      <c r="I2659" s="976">
        <f>PUCFD!E2356</f>
        <v>0.01</v>
      </c>
    </row>
    <row r="2660" spans="1:9" s="946" customFormat="1" ht="24.95" customHeight="1" x14ac:dyDescent="0.25">
      <c r="A2660" s="958"/>
      <c r="B2660" s="973">
        <v>122640</v>
      </c>
      <c r="C2660" s="974">
        <v>331903400000000</v>
      </c>
      <c r="D2660" s="973" t="s">
        <v>6378</v>
      </c>
      <c r="E2660" s="954"/>
      <c r="F2660" s="975">
        <v>1</v>
      </c>
      <c r="G2660" s="973">
        <v>0</v>
      </c>
      <c r="H2660" s="972">
        <v>0</v>
      </c>
      <c r="I2660" s="976">
        <f>PUCFD!E2357</f>
        <v>0.01</v>
      </c>
    </row>
    <row r="2661" spans="1:9" s="946" customFormat="1" ht="24.95" customHeight="1" x14ac:dyDescent="0.25">
      <c r="A2661" s="958"/>
      <c r="B2661" s="973">
        <v>122670</v>
      </c>
      <c r="C2661" s="974">
        <v>331909400000000</v>
      </c>
      <c r="D2661" s="973" t="s">
        <v>6379</v>
      </c>
      <c r="E2661" s="954"/>
      <c r="F2661" s="975">
        <v>1</v>
      </c>
      <c r="G2661" s="973">
        <v>0</v>
      </c>
      <c r="H2661" s="972">
        <v>0</v>
      </c>
      <c r="I2661" s="976">
        <f>PUCFD!E2358</f>
        <v>0.01</v>
      </c>
    </row>
    <row r="2662" spans="1:9" s="946" customFormat="1" ht="24.95" customHeight="1" x14ac:dyDescent="0.25">
      <c r="A2662" s="958"/>
      <c r="B2662" s="973">
        <v>122690</v>
      </c>
      <c r="C2662" s="974">
        <v>333901400000000</v>
      </c>
      <c r="D2662" s="973" t="s">
        <v>5058</v>
      </c>
      <c r="E2662" s="954"/>
      <c r="F2662" s="975">
        <v>1</v>
      </c>
      <c r="G2662" s="973">
        <v>0</v>
      </c>
      <c r="H2662" s="972">
        <v>0</v>
      </c>
      <c r="I2662" s="976">
        <f>PUCFD!E2359</f>
        <v>1500</v>
      </c>
    </row>
    <row r="2663" spans="1:9" s="946" customFormat="1" ht="24.95" customHeight="1" x14ac:dyDescent="0.25">
      <c r="A2663" s="958"/>
      <c r="B2663" s="973">
        <v>122710</v>
      </c>
      <c r="C2663" s="974">
        <v>333903000000000</v>
      </c>
      <c r="D2663" s="973" t="s">
        <v>5059</v>
      </c>
      <c r="E2663" s="954"/>
      <c r="F2663" s="975">
        <v>1</v>
      </c>
      <c r="G2663" s="973">
        <v>0</v>
      </c>
      <c r="H2663" s="972">
        <v>0</v>
      </c>
      <c r="I2663" s="976">
        <f>SUM(PUCFD!E2361:E2368)</f>
        <v>88000</v>
      </c>
    </row>
    <row r="2664" spans="1:9" s="946" customFormat="1" ht="24.95" customHeight="1" x14ac:dyDescent="0.25">
      <c r="A2664" s="958"/>
      <c r="B2664" s="973">
        <v>122760</v>
      </c>
      <c r="C2664" s="974">
        <v>333903100000000</v>
      </c>
      <c r="D2664" s="973" t="s">
        <v>5060</v>
      </c>
      <c r="E2664" s="954"/>
      <c r="F2664" s="975">
        <v>1</v>
      </c>
      <c r="G2664" s="973">
        <v>0</v>
      </c>
      <c r="H2664" s="972">
        <v>0</v>
      </c>
      <c r="I2664" s="976">
        <f>SUM(PUCFD!E2370:E2375)</f>
        <v>18000</v>
      </c>
    </row>
    <row r="2665" spans="1:9" s="946" customFormat="1" ht="24.95" customHeight="1" x14ac:dyDescent="0.25">
      <c r="A2665" s="958"/>
      <c r="B2665" s="973">
        <v>122820</v>
      </c>
      <c r="C2665" s="974">
        <v>333903200000000</v>
      </c>
      <c r="D2665" s="973" t="s">
        <v>5061</v>
      </c>
      <c r="E2665" s="954"/>
      <c r="F2665" s="975">
        <v>1</v>
      </c>
      <c r="G2665" s="973">
        <v>0</v>
      </c>
      <c r="H2665" s="972">
        <v>0</v>
      </c>
      <c r="I2665" s="976">
        <f>PUCFD!E2376</f>
        <v>5000</v>
      </c>
    </row>
    <row r="2666" spans="1:9" s="946" customFormat="1" ht="24.95" customHeight="1" x14ac:dyDescent="0.25">
      <c r="A2666" s="958"/>
      <c r="B2666" s="973">
        <v>122840</v>
      </c>
      <c r="C2666" s="974">
        <v>333903300000000</v>
      </c>
      <c r="D2666" s="973" t="s">
        <v>5062</v>
      </c>
      <c r="E2666" s="954"/>
      <c r="F2666" s="975">
        <v>1</v>
      </c>
      <c r="G2666" s="973">
        <v>0</v>
      </c>
      <c r="H2666" s="972">
        <v>0</v>
      </c>
      <c r="I2666" s="976">
        <f>PUCFD!E2377</f>
        <v>2000</v>
      </c>
    </row>
    <row r="2667" spans="1:9" s="946" customFormat="1" ht="24.95" customHeight="1" x14ac:dyDescent="0.25">
      <c r="A2667" s="958"/>
      <c r="B2667" s="973">
        <v>122860</v>
      </c>
      <c r="C2667" s="974">
        <v>333903600000000</v>
      </c>
      <c r="D2667" s="973" t="s">
        <v>5025</v>
      </c>
      <c r="E2667" s="954"/>
      <c r="F2667" s="975">
        <v>1</v>
      </c>
      <c r="G2667" s="973">
        <v>0</v>
      </c>
      <c r="H2667" s="972">
        <v>0</v>
      </c>
      <c r="I2667" s="976">
        <f>SUM(PUCFD!E2379:E2384)</f>
        <v>9000</v>
      </c>
    </row>
    <row r="2668" spans="1:9" s="946" customFormat="1" ht="24.95" customHeight="1" x14ac:dyDescent="0.25">
      <c r="A2668" s="958"/>
      <c r="B2668" s="973">
        <v>122900</v>
      </c>
      <c r="C2668" s="974">
        <v>333903900000000</v>
      </c>
      <c r="D2668" s="973" t="s">
        <v>5026</v>
      </c>
      <c r="E2668" s="954"/>
      <c r="F2668" s="975">
        <v>1</v>
      </c>
      <c r="G2668" s="973">
        <v>0</v>
      </c>
      <c r="H2668" s="972">
        <v>0</v>
      </c>
      <c r="I2668" s="976">
        <f>SUM(PUCFD!E2386:E2391)-40000</f>
        <v>50000</v>
      </c>
    </row>
    <row r="2669" spans="1:9" s="946" customFormat="1" ht="24.95" customHeight="1" x14ac:dyDescent="0.25">
      <c r="A2669" s="958"/>
      <c r="B2669" s="973">
        <v>122950</v>
      </c>
      <c r="C2669" s="974">
        <v>333904600000000</v>
      </c>
      <c r="D2669" s="973" t="s">
        <v>5063</v>
      </c>
      <c r="E2669" s="954"/>
      <c r="F2669" s="975">
        <v>1</v>
      </c>
      <c r="G2669" s="973">
        <v>0</v>
      </c>
      <c r="H2669" s="972">
        <v>0</v>
      </c>
      <c r="I2669" s="976">
        <f>PUCFD!E2392</f>
        <v>0.01</v>
      </c>
    </row>
    <row r="2670" spans="1:9" s="946" customFormat="1" ht="24.95" customHeight="1" x14ac:dyDescent="0.25">
      <c r="A2670" s="958"/>
      <c r="B2670" s="973">
        <v>122970</v>
      </c>
      <c r="C2670" s="974">
        <v>333904700000000</v>
      </c>
      <c r="D2670" s="973" t="s">
        <v>5064</v>
      </c>
      <c r="E2670" s="954"/>
      <c r="F2670" s="975">
        <v>1</v>
      </c>
      <c r="G2670" s="973">
        <v>0</v>
      </c>
      <c r="H2670" s="972">
        <v>0</v>
      </c>
      <c r="I2670" s="976">
        <f>PUCFD!E2393</f>
        <v>3000</v>
      </c>
    </row>
    <row r="2671" spans="1:9" s="946" customFormat="1" ht="24.95" customHeight="1" x14ac:dyDescent="0.25">
      <c r="A2671" s="958"/>
      <c r="B2671" s="973">
        <v>122990</v>
      </c>
      <c r="C2671" s="974">
        <v>333904900000000</v>
      </c>
      <c r="D2671" s="973" t="s">
        <v>5065</v>
      </c>
      <c r="E2671" s="954"/>
      <c r="F2671" s="975">
        <v>1</v>
      </c>
      <c r="G2671" s="973">
        <v>0</v>
      </c>
      <c r="H2671" s="972">
        <v>0</v>
      </c>
      <c r="I2671" s="976">
        <f>PUCFD!E2394</f>
        <v>0.01</v>
      </c>
    </row>
    <row r="2672" spans="1:9" s="946" customFormat="1" ht="24.95" customHeight="1" x14ac:dyDescent="0.25">
      <c r="A2672" s="958"/>
      <c r="B2672" s="973">
        <v>123010</v>
      </c>
      <c r="C2672" s="974">
        <v>333909200000000</v>
      </c>
      <c r="D2672" s="973" t="s">
        <v>5066</v>
      </c>
      <c r="E2672" s="954"/>
      <c r="F2672" s="975">
        <v>1</v>
      </c>
      <c r="G2672" s="973">
        <v>0</v>
      </c>
      <c r="H2672" s="972">
        <v>0</v>
      </c>
      <c r="I2672" s="976">
        <f>PUCFD!E2395</f>
        <v>0.01</v>
      </c>
    </row>
    <row r="2673" spans="1:9" s="946" customFormat="1" ht="24.95" customHeight="1" x14ac:dyDescent="0.25">
      <c r="A2673" s="958"/>
      <c r="B2673" s="973">
        <v>123040</v>
      </c>
      <c r="C2673" s="974">
        <v>333909300000000</v>
      </c>
      <c r="D2673" s="973" t="s">
        <v>5067</v>
      </c>
      <c r="E2673" s="954"/>
      <c r="F2673" s="975">
        <v>1</v>
      </c>
      <c r="G2673" s="973">
        <v>0</v>
      </c>
      <c r="H2673" s="972">
        <v>0</v>
      </c>
      <c r="I2673" s="976">
        <f>PUCFD!E2396</f>
        <v>300</v>
      </c>
    </row>
    <row r="2674" spans="1:9" s="946" customFormat="1" ht="24.95" customHeight="1" x14ac:dyDescent="0.25">
      <c r="A2674" s="958"/>
      <c r="B2674" s="973">
        <v>123070</v>
      </c>
      <c r="C2674" s="974">
        <v>333933000000000</v>
      </c>
      <c r="D2674" s="973" t="s">
        <v>6380</v>
      </c>
      <c r="E2674" s="954"/>
      <c r="F2674" s="975">
        <v>1</v>
      </c>
      <c r="G2674" s="973">
        <v>0</v>
      </c>
      <c r="H2674" s="972">
        <v>0</v>
      </c>
      <c r="I2674" s="976">
        <f>PUCFD!E2397</f>
        <v>0.01</v>
      </c>
    </row>
    <row r="2675" spans="1:9" s="946" customFormat="1" ht="24.95" customHeight="1" x14ac:dyDescent="0.25">
      <c r="A2675" s="958"/>
      <c r="B2675" s="973">
        <v>123100</v>
      </c>
      <c r="C2675" s="974">
        <v>344905100000000</v>
      </c>
      <c r="D2675" s="973" t="s">
        <v>5027</v>
      </c>
      <c r="E2675" s="954"/>
      <c r="F2675" s="975">
        <v>1</v>
      </c>
      <c r="G2675" s="973">
        <v>0</v>
      </c>
      <c r="H2675" s="972">
        <v>0</v>
      </c>
      <c r="I2675" s="976">
        <f>PUCFD!E2398</f>
        <v>0.01</v>
      </c>
    </row>
    <row r="2676" spans="1:9" s="946" customFormat="1" ht="24.95" customHeight="1" x14ac:dyDescent="0.25">
      <c r="A2676" s="958"/>
      <c r="B2676" s="973">
        <v>123140</v>
      </c>
      <c r="C2676" s="974">
        <v>344905200000000</v>
      </c>
      <c r="D2676" s="973" t="s">
        <v>5028</v>
      </c>
      <c r="E2676" s="954"/>
      <c r="F2676" s="975">
        <v>1</v>
      </c>
      <c r="G2676" s="973">
        <v>0</v>
      </c>
      <c r="H2676" s="972">
        <v>0</v>
      </c>
      <c r="I2676" s="976">
        <f>PUCFD!E2399</f>
        <v>0.01</v>
      </c>
    </row>
    <row r="2677" spans="1:9" ht="24.95" customHeight="1" x14ac:dyDescent="0.25">
      <c r="B2677" s="1608" t="s">
        <v>4831</v>
      </c>
      <c r="C2677" s="1608"/>
      <c r="D2677" s="1608"/>
      <c r="E2677" s="1608"/>
      <c r="F2677" s="1608"/>
      <c r="G2677" s="1608"/>
      <c r="H2677" s="1608"/>
      <c r="I2677" s="1024">
        <f>I2654+I2639+I2614+I2604+I2594+I2645</f>
        <v>230283.59719083601</v>
      </c>
    </row>
    <row r="2678" spans="1:9" ht="24.95" customHeight="1" x14ac:dyDescent="0.25">
      <c r="B2678" s="1608" t="s">
        <v>5012</v>
      </c>
      <c r="C2678" s="1608"/>
      <c r="D2678" s="1608"/>
      <c r="E2678" s="1608"/>
      <c r="F2678" s="1608"/>
      <c r="G2678" s="1608"/>
      <c r="H2678" s="1608"/>
      <c r="I2678" s="1024">
        <f>I2677</f>
        <v>230283.59719083601</v>
      </c>
    </row>
    <row r="2679" spans="1:9" ht="24.95" customHeight="1" x14ac:dyDescent="0.25">
      <c r="A2679" s="972"/>
      <c r="B2679" s="973"/>
      <c r="C2679" s="974"/>
      <c r="D2679" s="973"/>
      <c r="E2679" s="954" t="s">
        <v>4777</v>
      </c>
      <c r="F2679" s="960"/>
      <c r="G2679" s="960"/>
      <c r="H2679" s="958"/>
      <c r="I2679" s="1030"/>
    </row>
    <row r="2680" spans="1:9" s="946" customFormat="1" ht="24.95" customHeight="1" x14ac:dyDescent="0.25">
      <c r="A2680" s="958"/>
      <c r="B2680" s="963"/>
      <c r="C2680" s="964"/>
      <c r="D2680" s="963"/>
      <c r="E2680" s="948"/>
      <c r="F2680" s="949">
        <v>1</v>
      </c>
      <c r="G2680" s="945">
        <v>0</v>
      </c>
      <c r="H2680" s="950">
        <v>0</v>
      </c>
      <c r="I2680" s="951">
        <f>I2678</f>
        <v>230283.59719083601</v>
      </c>
    </row>
    <row r="2681" spans="1:9" s="946" customFormat="1" ht="24.95" customHeight="1" x14ac:dyDescent="0.25">
      <c r="B2681" s="946" t="s">
        <v>3088</v>
      </c>
      <c r="C2681" s="953" t="s">
        <v>4685</v>
      </c>
      <c r="E2681" s="954"/>
      <c r="F2681" s="955"/>
      <c r="H2681" s="956"/>
      <c r="I2681" s="957"/>
    </row>
    <row r="2682" spans="1:9" s="946" customFormat="1" ht="24.95" customHeight="1" x14ac:dyDescent="0.25">
      <c r="B2682" s="946" t="s">
        <v>3087</v>
      </c>
      <c r="C2682" s="953" t="s">
        <v>5077</v>
      </c>
      <c r="E2682" s="954"/>
      <c r="F2682" s="955"/>
      <c r="H2682" s="956"/>
      <c r="I2682" s="957"/>
    </row>
    <row r="2683" spans="1:9" s="946" customFormat="1" ht="24.95" customHeight="1" x14ac:dyDescent="0.25">
      <c r="B2683" s="946" t="s">
        <v>3089</v>
      </c>
      <c r="C2683" s="953" t="s">
        <v>3146</v>
      </c>
      <c r="E2683" s="954"/>
      <c r="F2683" s="955"/>
      <c r="H2683" s="956"/>
      <c r="I2683" s="957"/>
    </row>
    <row r="2684" spans="1:9" ht="41.25" customHeight="1" x14ac:dyDescent="0.25">
      <c r="A2684" s="958"/>
      <c r="B2684" s="958" t="s">
        <v>2967</v>
      </c>
      <c r="C2684" s="959" t="s">
        <v>472</v>
      </c>
      <c r="D2684" s="958" t="s">
        <v>2968</v>
      </c>
      <c r="E2684" s="959" t="s">
        <v>3066</v>
      </c>
      <c r="F2684" s="960" t="s">
        <v>1403</v>
      </c>
      <c r="G2684" s="958" t="s">
        <v>2969</v>
      </c>
      <c r="H2684" s="958" t="s">
        <v>3065</v>
      </c>
      <c r="I2684" s="961" t="s">
        <v>2531</v>
      </c>
    </row>
    <row r="2685" spans="1:9" ht="24.95" customHeight="1" x14ac:dyDescent="0.25">
      <c r="A2685" s="958"/>
      <c r="B2685" s="962" t="s">
        <v>3138</v>
      </c>
      <c r="C2685" s="959">
        <v>13</v>
      </c>
      <c r="D2685" s="962" t="s">
        <v>4941</v>
      </c>
      <c r="E2685" s="954"/>
      <c r="F2685" s="960"/>
      <c r="G2685" s="958"/>
      <c r="H2685" s="958"/>
      <c r="I2685" s="961">
        <f>I2686</f>
        <v>6.0000000000000005E-2</v>
      </c>
    </row>
    <row r="2686" spans="1:9" ht="24.95" customHeight="1" x14ac:dyDescent="0.25">
      <c r="A2686" s="958"/>
      <c r="B2686" s="962" t="s">
        <v>3139</v>
      </c>
      <c r="C2686" s="959">
        <v>695</v>
      </c>
      <c r="D2686" s="962" t="s">
        <v>6381</v>
      </c>
      <c r="E2686" s="954"/>
      <c r="F2686" s="960"/>
      <c r="G2686" s="958"/>
      <c r="H2686" s="958"/>
      <c r="I2686" s="961">
        <f>I2688</f>
        <v>6.0000000000000005E-2</v>
      </c>
    </row>
    <row r="2687" spans="1:9" ht="24.95" customHeight="1" x14ac:dyDescent="0.25">
      <c r="A2687" s="958"/>
      <c r="B2687" s="962" t="s">
        <v>3137</v>
      </c>
      <c r="C2687" s="959">
        <v>9</v>
      </c>
      <c r="D2687" s="962" t="s">
        <v>5079</v>
      </c>
      <c r="E2687" s="954"/>
      <c r="F2687" s="960"/>
      <c r="G2687" s="958"/>
      <c r="H2687" s="958"/>
      <c r="I2687" s="961">
        <f>I2688</f>
        <v>6.0000000000000005E-2</v>
      </c>
    </row>
    <row r="2688" spans="1:9" s="946" customFormat="1" ht="24.95" customHeight="1" x14ac:dyDescent="0.25">
      <c r="B2688" s="963" t="s">
        <v>2950</v>
      </c>
      <c r="C2688" s="959">
        <v>8</v>
      </c>
      <c r="D2688" s="963" t="s">
        <v>5080</v>
      </c>
      <c r="E2688" s="954"/>
      <c r="F2688" s="955"/>
      <c r="H2688" s="956"/>
      <c r="I2688" s="957">
        <f>SUM(I2689:I2694)</f>
        <v>6.0000000000000005E-2</v>
      </c>
    </row>
    <row r="2689" spans="1:9" s="946" customFormat="1" ht="24.95" customHeight="1" x14ac:dyDescent="0.25">
      <c r="B2689" s="973">
        <v>123200</v>
      </c>
      <c r="C2689" s="974">
        <v>331904700000000</v>
      </c>
      <c r="D2689" s="973" t="s">
        <v>6393</v>
      </c>
      <c r="E2689" s="954"/>
      <c r="F2689" s="975">
        <v>1</v>
      </c>
      <c r="G2689" s="973">
        <v>0</v>
      </c>
      <c r="H2689" s="972">
        <v>0</v>
      </c>
      <c r="I2689" s="951">
        <f>PUCFD!E2402</f>
        <v>0.01</v>
      </c>
    </row>
    <row r="2690" spans="1:9" s="946" customFormat="1" ht="24.95" customHeight="1" x14ac:dyDescent="0.25">
      <c r="B2690" s="973">
        <v>123220</v>
      </c>
      <c r="C2690" s="974">
        <v>344903000000000</v>
      </c>
      <c r="D2690" s="973" t="s">
        <v>6392</v>
      </c>
      <c r="E2690" s="954"/>
      <c r="F2690" s="975">
        <v>1</v>
      </c>
      <c r="G2690" s="973">
        <v>0</v>
      </c>
      <c r="H2690" s="972">
        <v>0</v>
      </c>
      <c r="I2690" s="951">
        <f>PUCFD!E2403</f>
        <v>0.01</v>
      </c>
    </row>
    <row r="2691" spans="1:9" s="946" customFormat="1" ht="24.95" customHeight="1" x14ac:dyDescent="0.25">
      <c r="B2691" s="973">
        <v>123240</v>
      </c>
      <c r="C2691" s="974">
        <v>344903600000000</v>
      </c>
      <c r="D2691" s="973" t="s">
        <v>6382</v>
      </c>
      <c r="E2691" s="954"/>
      <c r="F2691" s="975">
        <v>1</v>
      </c>
      <c r="G2691" s="973">
        <v>0</v>
      </c>
      <c r="H2691" s="972">
        <v>0</v>
      </c>
      <c r="I2691" s="951">
        <f>PUCFD!E2404</f>
        <v>0.01</v>
      </c>
    </row>
    <row r="2692" spans="1:9" s="946" customFormat="1" ht="24.95" customHeight="1" x14ac:dyDescent="0.25">
      <c r="B2692" s="973">
        <v>123260</v>
      </c>
      <c r="C2692" s="974">
        <v>344903900000000</v>
      </c>
      <c r="D2692" s="973" t="s">
        <v>6391</v>
      </c>
      <c r="E2692" s="954"/>
      <c r="F2692" s="975">
        <v>1</v>
      </c>
      <c r="G2692" s="973">
        <v>0</v>
      </c>
      <c r="H2692" s="972">
        <v>0</v>
      </c>
      <c r="I2692" s="951">
        <f>PUCFD!E2405</f>
        <v>0.01</v>
      </c>
    </row>
    <row r="2693" spans="1:9" s="946" customFormat="1" ht="24.95" customHeight="1" x14ac:dyDescent="0.25">
      <c r="B2693" s="973">
        <v>123280</v>
      </c>
      <c r="C2693" s="974">
        <v>344905100000000</v>
      </c>
      <c r="D2693" s="973" t="s">
        <v>6390</v>
      </c>
      <c r="E2693" s="954"/>
      <c r="F2693" s="975">
        <v>1</v>
      </c>
      <c r="G2693" s="973">
        <v>0</v>
      </c>
      <c r="H2693" s="972">
        <v>0</v>
      </c>
      <c r="I2693" s="951">
        <f>PUCFD!E2406</f>
        <v>0.01</v>
      </c>
    </row>
    <row r="2694" spans="1:9" s="946" customFormat="1" ht="24.95" customHeight="1" x14ac:dyDescent="0.25">
      <c r="B2694" s="973">
        <v>123300</v>
      </c>
      <c r="C2694" s="974">
        <v>344905200000000</v>
      </c>
      <c r="D2694" s="973" t="s">
        <v>6388</v>
      </c>
      <c r="E2694" s="954"/>
      <c r="F2694" s="975">
        <v>1</v>
      </c>
      <c r="G2694" s="973">
        <v>0</v>
      </c>
      <c r="H2694" s="972">
        <v>0</v>
      </c>
      <c r="I2694" s="951">
        <f>PUCFD!E2407</f>
        <v>0.01</v>
      </c>
    </row>
    <row r="2695" spans="1:9" ht="24.95" customHeight="1" x14ac:dyDescent="0.25">
      <c r="A2695" s="958"/>
      <c r="B2695" s="962" t="s">
        <v>3138</v>
      </c>
      <c r="C2695" s="959">
        <v>13</v>
      </c>
      <c r="D2695" s="962" t="s">
        <v>4941</v>
      </c>
      <c r="E2695" s="954"/>
      <c r="F2695" s="960"/>
      <c r="G2695" s="958"/>
      <c r="H2695" s="958"/>
      <c r="I2695" s="961">
        <f>I2696</f>
        <v>0.01</v>
      </c>
    </row>
    <row r="2696" spans="1:9" ht="24.95" customHeight="1" x14ac:dyDescent="0.25">
      <c r="A2696" s="958"/>
      <c r="B2696" s="962" t="s">
        <v>3139</v>
      </c>
      <c r="C2696" s="959">
        <v>126</v>
      </c>
      <c r="D2696" s="962" t="s">
        <v>3600</v>
      </c>
      <c r="E2696" s="954"/>
      <c r="F2696" s="960"/>
      <c r="G2696" s="958"/>
      <c r="H2696" s="958"/>
      <c r="I2696" s="961">
        <f>I2699</f>
        <v>0.01</v>
      </c>
    </row>
    <row r="2697" spans="1:9" ht="24.95" customHeight="1" x14ac:dyDescent="0.25">
      <c r="A2697" s="958"/>
      <c r="B2697" s="962" t="s">
        <v>3137</v>
      </c>
      <c r="C2697" s="959">
        <v>9</v>
      </c>
      <c r="D2697" s="962" t="s">
        <v>5079</v>
      </c>
      <c r="E2697" s="954"/>
      <c r="F2697" s="960"/>
      <c r="G2697" s="958"/>
      <c r="H2697" s="958"/>
      <c r="I2697" s="961">
        <f>I2699</f>
        <v>0.01</v>
      </c>
    </row>
    <row r="2698" spans="1:9" ht="24.95" customHeight="1" x14ac:dyDescent="0.25">
      <c r="A2698" s="958"/>
      <c r="B2698" s="963" t="s">
        <v>2965</v>
      </c>
      <c r="C2698" s="959">
        <v>9</v>
      </c>
      <c r="D2698" s="963" t="s">
        <v>5081</v>
      </c>
      <c r="E2698" s="954"/>
      <c r="F2698" s="960"/>
      <c r="G2698" s="958"/>
      <c r="H2698" s="958"/>
      <c r="I2698" s="961">
        <f>I2699</f>
        <v>0.01</v>
      </c>
    </row>
    <row r="2699" spans="1:9" ht="33.75" customHeight="1" x14ac:dyDescent="0.25">
      <c r="B2699" s="973">
        <v>123320</v>
      </c>
      <c r="C2699" s="974">
        <v>333904000000000</v>
      </c>
      <c r="D2699" s="973" t="s">
        <v>6389</v>
      </c>
      <c r="F2699" s="975">
        <v>1</v>
      </c>
      <c r="G2699" s="973">
        <v>0</v>
      </c>
      <c r="H2699" s="972">
        <v>0</v>
      </c>
      <c r="I2699" s="1039">
        <f>PUCFD!E2409</f>
        <v>0.01</v>
      </c>
    </row>
    <row r="2700" spans="1:9" ht="24.95" customHeight="1" x14ac:dyDescent="0.25">
      <c r="A2700" s="958"/>
      <c r="B2700" s="962" t="s">
        <v>3138</v>
      </c>
      <c r="C2700" s="959">
        <v>13</v>
      </c>
      <c r="D2700" s="962" t="s">
        <v>4941</v>
      </c>
      <c r="E2700" s="954"/>
      <c r="F2700" s="960"/>
      <c r="G2700" s="958"/>
      <c r="H2700" s="958"/>
      <c r="I2700" s="961">
        <f>I2701</f>
        <v>114501.03999999998</v>
      </c>
    </row>
    <row r="2701" spans="1:9" ht="24.95" customHeight="1" x14ac:dyDescent="0.25">
      <c r="A2701" s="958"/>
      <c r="B2701" s="962" t="s">
        <v>3139</v>
      </c>
      <c r="C2701" s="959">
        <v>695</v>
      </c>
      <c r="D2701" s="962" t="s">
        <v>6381</v>
      </c>
      <c r="E2701" s="954"/>
      <c r="F2701" s="960"/>
      <c r="G2701" s="958"/>
      <c r="H2701" s="958"/>
      <c r="I2701" s="961">
        <f>I2703</f>
        <v>114501.03999999998</v>
      </c>
    </row>
    <row r="2702" spans="1:9" ht="24.95" customHeight="1" x14ac:dyDescent="0.25">
      <c r="A2702" s="958"/>
      <c r="B2702" s="962" t="s">
        <v>3137</v>
      </c>
      <c r="C2702" s="959">
        <v>9</v>
      </c>
      <c r="D2702" s="962" t="s">
        <v>5079</v>
      </c>
      <c r="E2702" s="954"/>
      <c r="F2702" s="960"/>
      <c r="G2702" s="958"/>
      <c r="H2702" s="958"/>
      <c r="I2702" s="961">
        <f>I2703</f>
        <v>114501.03999999998</v>
      </c>
    </row>
    <row r="2703" spans="1:9" s="946" customFormat="1" ht="24.95" customHeight="1" x14ac:dyDescent="0.25">
      <c r="B2703" s="963" t="s">
        <v>2965</v>
      </c>
      <c r="C2703" s="959">
        <v>9</v>
      </c>
      <c r="D2703" s="963" t="s">
        <v>5081</v>
      </c>
      <c r="E2703" s="954"/>
      <c r="F2703" s="955"/>
      <c r="H2703" s="956"/>
      <c r="I2703" s="957">
        <f>SUM(I2704:I2715)</f>
        <v>114501.03999999998</v>
      </c>
    </row>
    <row r="2704" spans="1:9" s="946" customFormat="1" ht="24.95" customHeight="1" x14ac:dyDescent="0.25">
      <c r="B2704" s="973">
        <v>124000</v>
      </c>
      <c r="C2704" s="974">
        <v>333901400000000</v>
      </c>
      <c r="D2704" s="973" t="s">
        <v>6386</v>
      </c>
      <c r="E2704" s="954"/>
      <c r="F2704" s="975">
        <v>1</v>
      </c>
      <c r="G2704" s="973">
        <v>0</v>
      </c>
      <c r="H2704" s="972">
        <v>0</v>
      </c>
      <c r="I2704" s="951">
        <f>PUCFD!E2411</f>
        <v>5000</v>
      </c>
    </row>
    <row r="2705" spans="1:9" s="946" customFormat="1" ht="24.95" customHeight="1" x14ac:dyDescent="0.25">
      <c r="B2705" s="973">
        <v>124100</v>
      </c>
      <c r="C2705" s="974">
        <v>333903000000000</v>
      </c>
      <c r="D2705" s="973" t="s">
        <v>6385</v>
      </c>
      <c r="E2705" s="954"/>
      <c r="F2705" s="975">
        <v>1</v>
      </c>
      <c r="G2705" s="973">
        <v>0</v>
      </c>
      <c r="H2705" s="972">
        <v>0</v>
      </c>
      <c r="I2705" s="951">
        <f>PUCFD!E2412</f>
        <v>35000</v>
      </c>
    </row>
    <row r="2706" spans="1:9" s="946" customFormat="1" ht="24.95" customHeight="1" x14ac:dyDescent="0.25">
      <c r="B2706" s="973">
        <v>124200</v>
      </c>
      <c r="C2706" s="974">
        <v>333903100000000</v>
      </c>
      <c r="D2706" s="973" t="s">
        <v>6384</v>
      </c>
      <c r="E2706" s="954"/>
      <c r="F2706" s="975">
        <v>1</v>
      </c>
      <c r="G2706" s="973">
        <v>0</v>
      </c>
      <c r="H2706" s="972">
        <v>0</v>
      </c>
      <c r="I2706" s="951">
        <f>PUCFD!E2413</f>
        <v>8000</v>
      </c>
    </row>
    <row r="2707" spans="1:9" s="946" customFormat="1" ht="24.95" customHeight="1" x14ac:dyDescent="0.25">
      <c r="B2707" s="973">
        <v>124300</v>
      </c>
      <c r="C2707" s="974">
        <v>333903200000000</v>
      </c>
      <c r="D2707" s="973" t="s">
        <v>6383</v>
      </c>
      <c r="E2707" s="954"/>
      <c r="F2707" s="975">
        <v>1</v>
      </c>
      <c r="G2707" s="973">
        <v>0</v>
      </c>
      <c r="H2707" s="972">
        <v>0</v>
      </c>
      <c r="I2707" s="951">
        <f>PUCFD!E2414</f>
        <v>1</v>
      </c>
    </row>
    <row r="2708" spans="1:9" s="946" customFormat="1" ht="24.95" customHeight="1" x14ac:dyDescent="0.25">
      <c r="B2708" s="973">
        <v>124400</v>
      </c>
      <c r="C2708" s="974">
        <v>333903300000000</v>
      </c>
      <c r="D2708" s="973" t="s">
        <v>6394</v>
      </c>
      <c r="E2708" s="954"/>
      <c r="F2708" s="975">
        <v>1</v>
      </c>
      <c r="G2708" s="973">
        <v>0</v>
      </c>
      <c r="H2708" s="972">
        <v>0</v>
      </c>
      <c r="I2708" s="951">
        <f>PUCFD!E2415</f>
        <v>1500</v>
      </c>
    </row>
    <row r="2709" spans="1:9" s="946" customFormat="1" ht="24.95" customHeight="1" x14ac:dyDescent="0.25">
      <c r="B2709" s="973">
        <v>124500</v>
      </c>
      <c r="C2709" s="974">
        <v>333903600000000</v>
      </c>
      <c r="D2709" s="973" t="s">
        <v>6382</v>
      </c>
      <c r="E2709" s="954"/>
      <c r="F2709" s="975">
        <v>1</v>
      </c>
      <c r="G2709" s="973">
        <v>0</v>
      </c>
      <c r="H2709" s="972">
        <v>0</v>
      </c>
      <c r="I2709" s="951">
        <f>PUCFD!E2416</f>
        <v>20000</v>
      </c>
    </row>
    <row r="2710" spans="1:9" s="946" customFormat="1" ht="24.95" customHeight="1" x14ac:dyDescent="0.25">
      <c r="B2710" s="973">
        <v>124600</v>
      </c>
      <c r="C2710" s="974">
        <v>333903900000000</v>
      </c>
      <c r="D2710" s="973" t="s">
        <v>6391</v>
      </c>
      <c r="E2710" s="954"/>
      <c r="F2710" s="975">
        <v>1</v>
      </c>
      <c r="G2710" s="973">
        <v>0</v>
      </c>
      <c r="H2710" s="972">
        <v>0</v>
      </c>
      <c r="I2710" s="951">
        <f>PUCFD!E2417</f>
        <v>40000</v>
      </c>
    </row>
    <row r="2711" spans="1:9" s="946" customFormat="1" ht="24.95" customHeight="1" x14ac:dyDescent="0.25">
      <c r="B2711" s="973">
        <v>124700</v>
      </c>
      <c r="C2711" s="974">
        <v>333904700000000</v>
      </c>
      <c r="D2711" s="973" t="s">
        <v>6396</v>
      </c>
      <c r="E2711" s="954"/>
      <c r="F2711" s="975">
        <v>1</v>
      </c>
      <c r="G2711" s="973">
        <v>0</v>
      </c>
      <c r="H2711" s="972">
        <v>0</v>
      </c>
      <c r="I2711" s="951">
        <f>PUCFD!E2418</f>
        <v>5000</v>
      </c>
    </row>
    <row r="2712" spans="1:9" s="946" customFormat="1" ht="24.95" customHeight="1" x14ac:dyDescent="0.25">
      <c r="B2712" s="973">
        <v>124800</v>
      </c>
      <c r="C2712" s="974">
        <v>333909200000000</v>
      </c>
      <c r="D2712" s="973" t="s">
        <v>6387</v>
      </c>
      <c r="E2712" s="954"/>
      <c r="F2712" s="975">
        <v>1</v>
      </c>
      <c r="G2712" s="973">
        <v>0</v>
      </c>
      <c r="H2712" s="972">
        <v>0</v>
      </c>
      <c r="I2712" s="951">
        <f>PUCFD!E2419</f>
        <v>0.01</v>
      </c>
    </row>
    <row r="2713" spans="1:9" s="946" customFormat="1" ht="24.95" customHeight="1" x14ac:dyDescent="0.25">
      <c r="B2713" s="973">
        <v>124900</v>
      </c>
      <c r="C2713" s="974">
        <v>333909300000000</v>
      </c>
      <c r="D2713" s="973" t="s">
        <v>6395</v>
      </c>
      <c r="E2713" s="954"/>
      <c r="F2713" s="975">
        <v>1</v>
      </c>
      <c r="G2713" s="973">
        <v>0</v>
      </c>
      <c r="H2713" s="972">
        <v>0</v>
      </c>
      <c r="I2713" s="951">
        <f>PUCFD!E2420</f>
        <v>0.01</v>
      </c>
    </row>
    <row r="2714" spans="1:9" s="946" customFormat="1" ht="24.95" customHeight="1" x14ac:dyDescent="0.25">
      <c r="B2714" s="973">
        <v>125000</v>
      </c>
      <c r="C2714" s="974">
        <v>344905100000000</v>
      </c>
      <c r="D2714" s="973" t="s">
        <v>6390</v>
      </c>
      <c r="E2714" s="954"/>
      <c r="F2714" s="975">
        <v>1</v>
      </c>
      <c r="G2714" s="973">
        <v>0</v>
      </c>
      <c r="H2714" s="972">
        <v>0</v>
      </c>
      <c r="I2714" s="951">
        <f>PUCFD!E2421</f>
        <v>0.01</v>
      </c>
    </row>
    <row r="2715" spans="1:9" s="946" customFormat="1" ht="24.95" customHeight="1" x14ac:dyDescent="0.25">
      <c r="B2715" s="973">
        <v>125100</v>
      </c>
      <c r="C2715" s="974">
        <v>344905200000000</v>
      </c>
      <c r="D2715" s="973" t="s">
        <v>6388</v>
      </c>
      <c r="E2715" s="954"/>
      <c r="F2715" s="975">
        <v>1</v>
      </c>
      <c r="G2715" s="973">
        <v>0</v>
      </c>
      <c r="H2715" s="972">
        <v>0</v>
      </c>
      <c r="I2715" s="951">
        <f>PUCFD!E2422</f>
        <v>0.01</v>
      </c>
    </row>
    <row r="2716" spans="1:9" ht="24.95" customHeight="1" x14ac:dyDescent="0.25">
      <c r="B2716" s="1608" t="s">
        <v>4831</v>
      </c>
      <c r="C2716" s="1608"/>
      <c r="D2716" s="1608"/>
      <c r="E2716" s="1608"/>
      <c r="F2716" s="1608"/>
      <c r="G2716" s="1608"/>
      <c r="H2716" s="1608"/>
      <c r="I2716" s="1024">
        <f>I2703+I2698+I2688</f>
        <v>114501.10999999997</v>
      </c>
    </row>
    <row r="2717" spans="1:9" ht="24.95" customHeight="1" x14ac:dyDescent="0.25">
      <c r="B2717" s="1608" t="s">
        <v>5078</v>
      </c>
      <c r="C2717" s="1608"/>
      <c r="D2717" s="1608"/>
      <c r="E2717" s="1608"/>
      <c r="F2717" s="1608"/>
      <c r="G2717" s="1608"/>
      <c r="H2717" s="1608"/>
      <c r="I2717" s="1024">
        <f>I2716</f>
        <v>114501.10999999997</v>
      </c>
    </row>
    <row r="2718" spans="1:9" ht="24.95" customHeight="1" x14ac:dyDescent="0.25">
      <c r="A2718" s="972"/>
      <c r="B2718" s="973"/>
      <c r="C2718" s="974"/>
      <c r="D2718" s="973"/>
      <c r="E2718" s="954" t="s">
        <v>4777</v>
      </c>
      <c r="F2718" s="960"/>
      <c r="G2718" s="960"/>
      <c r="H2718" s="958"/>
      <c r="I2718" s="1030"/>
    </row>
    <row r="2719" spans="1:9" s="946" customFormat="1" ht="24.95" customHeight="1" x14ac:dyDescent="0.25">
      <c r="A2719" s="958"/>
      <c r="B2719" s="963"/>
      <c r="C2719" s="964"/>
      <c r="D2719" s="963"/>
      <c r="E2719" s="948"/>
      <c r="F2719" s="949">
        <v>1</v>
      </c>
      <c r="G2719" s="945">
        <v>0</v>
      </c>
      <c r="H2719" s="950">
        <v>0</v>
      </c>
      <c r="I2719" s="951">
        <f>I2717</f>
        <v>114501.10999999997</v>
      </c>
    </row>
    <row r="2721" spans="1:9" s="946" customFormat="1" ht="24.95" customHeight="1" x14ac:dyDescent="0.25">
      <c r="B2721" s="946" t="s">
        <v>3088</v>
      </c>
      <c r="C2721" s="953" t="s">
        <v>4685</v>
      </c>
      <c r="E2721" s="954"/>
      <c r="F2721" s="955"/>
      <c r="H2721" s="956"/>
      <c r="I2721" s="957"/>
    </row>
    <row r="2722" spans="1:9" s="946" customFormat="1" ht="24.95" customHeight="1" x14ac:dyDescent="0.25">
      <c r="B2722" s="946" t="s">
        <v>3087</v>
      </c>
      <c r="C2722" s="953" t="s">
        <v>4888</v>
      </c>
      <c r="E2722" s="954"/>
      <c r="F2722" s="955"/>
      <c r="H2722" s="956"/>
      <c r="I2722" s="957"/>
    </row>
    <row r="2723" spans="1:9" s="946" customFormat="1" ht="24.95" customHeight="1" x14ac:dyDescent="0.25">
      <c r="B2723" s="946" t="s">
        <v>3089</v>
      </c>
      <c r="C2723" s="953" t="s">
        <v>3146</v>
      </c>
      <c r="E2723" s="954"/>
      <c r="F2723" s="955"/>
      <c r="H2723" s="956"/>
      <c r="I2723" s="957"/>
    </row>
    <row r="2724" spans="1:9" ht="41.25" customHeight="1" x14ac:dyDescent="0.25">
      <c r="A2724" s="958"/>
      <c r="B2724" s="958" t="s">
        <v>2967</v>
      </c>
      <c r="C2724" s="959" t="s">
        <v>472</v>
      </c>
      <c r="D2724" s="958" t="s">
        <v>2968</v>
      </c>
      <c r="E2724" s="959" t="s">
        <v>3066</v>
      </c>
      <c r="F2724" s="960" t="s">
        <v>1403</v>
      </c>
      <c r="G2724" s="958" t="s">
        <v>2969</v>
      </c>
      <c r="H2724" s="958" t="s">
        <v>3065</v>
      </c>
      <c r="I2724" s="961" t="s">
        <v>2531</v>
      </c>
    </row>
    <row r="2725" spans="1:9" ht="24.95" customHeight="1" x14ac:dyDescent="0.25">
      <c r="A2725" s="958"/>
      <c r="B2725" s="962" t="s">
        <v>3138</v>
      </c>
      <c r="C2725" s="959">
        <v>12</v>
      </c>
      <c r="D2725" s="962" t="s">
        <v>4728</v>
      </c>
      <c r="E2725" s="954"/>
      <c r="F2725" s="960"/>
      <c r="G2725" s="958"/>
      <c r="H2725" s="958"/>
      <c r="I2725" s="961">
        <f>I2726</f>
        <v>6.0000000000000005E-2</v>
      </c>
    </row>
    <row r="2726" spans="1:9" ht="24.95" customHeight="1" x14ac:dyDescent="0.25">
      <c r="A2726" s="958"/>
      <c r="B2726" s="962" t="s">
        <v>3139</v>
      </c>
      <c r="C2726" s="959">
        <v>365</v>
      </c>
      <c r="D2726" s="962" t="s">
        <v>4732</v>
      </c>
      <c r="E2726" s="954"/>
      <c r="F2726" s="960"/>
      <c r="G2726" s="958"/>
      <c r="H2726" s="958"/>
      <c r="I2726" s="961">
        <f>I2728</f>
        <v>6.0000000000000005E-2</v>
      </c>
    </row>
    <row r="2727" spans="1:9" ht="24.95" customHeight="1" x14ac:dyDescent="0.25">
      <c r="A2727" s="958"/>
      <c r="B2727" s="962" t="s">
        <v>3137</v>
      </c>
      <c r="C2727" s="959">
        <v>6</v>
      </c>
      <c r="D2727" s="962" t="s">
        <v>4729</v>
      </c>
      <c r="E2727" s="954"/>
      <c r="F2727" s="960"/>
      <c r="G2727" s="958"/>
      <c r="H2727" s="958"/>
      <c r="I2727" s="961">
        <f>I2728</f>
        <v>6.0000000000000005E-2</v>
      </c>
    </row>
    <row r="2728" spans="1:9" s="946" customFormat="1" ht="24.95" customHeight="1" x14ac:dyDescent="0.25">
      <c r="B2728" s="963" t="s">
        <v>2950</v>
      </c>
      <c r="C2728" s="959" t="s">
        <v>4889</v>
      </c>
      <c r="D2728" s="963" t="s">
        <v>4890</v>
      </c>
      <c r="E2728" s="954"/>
      <c r="F2728" s="955"/>
      <c r="H2728" s="956"/>
      <c r="I2728" s="957">
        <f>SUM(I2729:I2734)</f>
        <v>6.0000000000000005E-2</v>
      </c>
    </row>
    <row r="2729" spans="1:9" ht="24.95" customHeight="1" x14ac:dyDescent="0.25">
      <c r="B2729" s="973">
        <v>126000</v>
      </c>
      <c r="C2729" s="974">
        <v>333904700000000</v>
      </c>
      <c r="D2729" s="973" t="s">
        <v>3149</v>
      </c>
      <c r="E2729" s="945"/>
      <c r="F2729" s="975">
        <v>20</v>
      </c>
      <c r="G2729" s="973">
        <v>0</v>
      </c>
      <c r="I2729" s="1039">
        <f>PUCFD!E2425</f>
        <v>0.01</v>
      </c>
    </row>
    <row r="2730" spans="1:9" ht="24.95" customHeight="1" x14ac:dyDescent="0.25">
      <c r="B2730" s="973">
        <v>126020</v>
      </c>
      <c r="C2730" s="974">
        <v>344903000000000</v>
      </c>
      <c r="D2730" s="973" t="s">
        <v>3562</v>
      </c>
      <c r="E2730" s="945"/>
      <c r="F2730" s="975">
        <v>20</v>
      </c>
      <c r="G2730" s="973">
        <v>0</v>
      </c>
      <c r="I2730" s="1039">
        <f>PUCFD!E2426</f>
        <v>0.01</v>
      </c>
    </row>
    <row r="2731" spans="1:9" ht="24.95" customHeight="1" x14ac:dyDescent="0.25">
      <c r="B2731" s="973">
        <v>126040</v>
      </c>
      <c r="C2731" s="974">
        <v>344903600000000</v>
      </c>
      <c r="D2731" s="973" t="s">
        <v>3150</v>
      </c>
      <c r="E2731" s="945"/>
      <c r="F2731" s="975">
        <v>20</v>
      </c>
      <c r="G2731" s="973">
        <v>0</v>
      </c>
      <c r="I2731" s="1039">
        <f>PUCFD!E2427</f>
        <v>0.01</v>
      </c>
    </row>
    <row r="2732" spans="1:9" ht="24.95" customHeight="1" x14ac:dyDescent="0.25">
      <c r="B2732" s="973">
        <v>126060</v>
      </c>
      <c r="C2732" s="974">
        <v>344903900000000</v>
      </c>
      <c r="D2732" s="973" t="s">
        <v>4691</v>
      </c>
      <c r="E2732" s="945"/>
      <c r="F2732" s="975">
        <v>20</v>
      </c>
      <c r="G2732" s="973">
        <v>0</v>
      </c>
      <c r="I2732" s="1039">
        <f>PUCFD!E2428</f>
        <v>0.01</v>
      </c>
    </row>
    <row r="2733" spans="1:9" ht="24.95" customHeight="1" x14ac:dyDescent="0.25">
      <c r="B2733" s="973">
        <v>126080</v>
      </c>
      <c r="C2733" s="974">
        <v>344905100000000</v>
      </c>
      <c r="D2733" s="973" t="s">
        <v>3130</v>
      </c>
      <c r="E2733" s="945"/>
      <c r="F2733" s="975">
        <v>20</v>
      </c>
      <c r="G2733" s="973">
        <v>0</v>
      </c>
      <c r="I2733" s="1039">
        <f>PUCFD!E2429</f>
        <v>0.01</v>
      </c>
    </row>
    <row r="2734" spans="1:9" ht="24.95" customHeight="1" x14ac:dyDescent="0.25">
      <c r="B2734" s="973">
        <v>126090</v>
      </c>
      <c r="C2734" s="974">
        <v>344905200000000</v>
      </c>
      <c r="D2734" s="973" t="s">
        <v>3152</v>
      </c>
      <c r="E2734" s="945"/>
      <c r="F2734" s="975">
        <v>20</v>
      </c>
      <c r="G2734" s="973">
        <v>0</v>
      </c>
      <c r="I2734" s="1039">
        <f>PUCFD!E2430</f>
        <v>0.01</v>
      </c>
    </row>
    <row r="2735" spans="1:9" ht="24.95" customHeight="1" x14ac:dyDescent="0.25">
      <c r="A2735" s="958"/>
      <c r="B2735" s="962" t="s">
        <v>3138</v>
      </c>
      <c r="C2735" s="959">
        <v>12</v>
      </c>
      <c r="D2735" s="962" t="s">
        <v>4728</v>
      </c>
      <c r="E2735" s="954"/>
      <c r="F2735" s="960"/>
      <c r="G2735" s="958"/>
      <c r="H2735" s="958"/>
      <c r="I2735" s="961">
        <f>I2736</f>
        <v>107860.54050483269</v>
      </c>
    </row>
    <row r="2736" spans="1:9" ht="24.95" customHeight="1" x14ac:dyDescent="0.25">
      <c r="A2736" s="958"/>
      <c r="B2736" s="962" t="s">
        <v>3139</v>
      </c>
      <c r="C2736" s="959">
        <v>122</v>
      </c>
      <c r="D2736" s="962" t="s">
        <v>3143</v>
      </c>
      <c r="E2736" s="954"/>
      <c r="F2736" s="960"/>
      <c r="G2736" s="958"/>
      <c r="H2736" s="958"/>
      <c r="I2736" s="961">
        <f>I2738</f>
        <v>107860.54050483269</v>
      </c>
    </row>
    <row r="2737" spans="1:9" ht="24.95" customHeight="1" x14ac:dyDescent="0.25">
      <c r="A2737" s="958"/>
      <c r="B2737" s="962" t="s">
        <v>3137</v>
      </c>
      <c r="C2737" s="959">
        <v>6</v>
      </c>
      <c r="D2737" s="962" t="s">
        <v>4729</v>
      </c>
      <c r="E2737" s="954"/>
      <c r="F2737" s="960"/>
      <c r="G2737" s="958"/>
      <c r="H2737" s="958"/>
      <c r="I2737" s="961">
        <f>I2738</f>
        <v>107860.54050483269</v>
      </c>
    </row>
    <row r="2738" spans="1:9" s="946" customFormat="1" ht="24.95" customHeight="1" x14ac:dyDescent="0.25">
      <c r="B2738" s="963" t="s">
        <v>2965</v>
      </c>
      <c r="C2738" s="959">
        <v>40</v>
      </c>
      <c r="D2738" s="963" t="s">
        <v>4893</v>
      </c>
      <c r="E2738" s="954"/>
      <c r="F2738" s="955"/>
      <c r="H2738" s="956"/>
      <c r="I2738" s="957">
        <f>SUM(I2739:I2759)</f>
        <v>107860.54050483269</v>
      </c>
    </row>
    <row r="2739" spans="1:9" ht="24.95" customHeight="1" x14ac:dyDescent="0.25">
      <c r="B2739" s="973">
        <v>126200</v>
      </c>
      <c r="C2739" s="974">
        <v>331900400000000</v>
      </c>
      <c r="D2739" s="973" t="s">
        <v>6414</v>
      </c>
      <c r="F2739" s="975">
        <v>31</v>
      </c>
      <c r="G2739" s="973">
        <v>0</v>
      </c>
      <c r="I2739" s="1039">
        <f>SUM(PUCFD!E2433:E2434)</f>
        <v>0.02</v>
      </c>
    </row>
    <row r="2740" spans="1:9" s="971" customFormat="1" ht="24.95" customHeight="1" x14ac:dyDescent="0.25">
      <c r="B2740" s="966">
        <v>126250</v>
      </c>
      <c r="C2740" s="967">
        <v>331900800000000</v>
      </c>
      <c r="D2740" s="966" t="s">
        <v>6413</v>
      </c>
      <c r="E2740" s="968"/>
      <c r="F2740" s="969">
        <v>1</v>
      </c>
      <c r="G2740" s="966">
        <v>0</v>
      </c>
      <c r="H2740" s="998"/>
      <c r="I2740" s="1046">
        <f>(I2741+I2743+I2744+I2745)*(PUCFD!E$94)</f>
        <v>5231.2061527454471</v>
      </c>
    </row>
    <row r="2741" spans="1:9" ht="24.95" customHeight="1" x14ac:dyDescent="0.25">
      <c r="B2741" s="973">
        <v>126220</v>
      </c>
      <c r="C2741" s="974">
        <v>331901100000000</v>
      </c>
      <c r="D2741" s="973" t="s">
        <v>6415</v>
      </c>
      <c r="F2741" s="975">
        <v>31</v>
      </c>
      <c r="G2741" s="973">
        <v>0</v>
      </c>
      <c r="I2741" s="1039">
        <f>SUM(PUCFD!E2437:E2445)*(1+PUCFD!E$87)</f>
        <v>45331.045847014262</v>
      </c>
    </row>
    <row r="2742" spans="1:9" ht="24.95" customHeight="1" x14ac:dyDescent="0.25">
      <c r="B2742" s="973">
        <v>126240</v>
      </c>
      <c r="C2742" s="974">
        <v>331901300000000</v>
      </c>
      <c r="D2742" s="973" t="s">
        <v>6416</v>
      </c>
      <c r="F2742" s="975">
        <v>31</v>
      </c>
      <c r="G2742" s="973">
        <v>0</v>
      </c>
      <c r="I2742" s="1039">
        <f>(I2741+I2743+I2744+I2745)*(PUCFD!E$92)</f>
        <v>9519.5259278729955</v>
      </c>
    </row>
    <row r="2743" spans="1:9" ht="24.95" customHeight="1" x14ac:dyDescent="0.25">
      <c r="B2743" s="973">
        <v>126260</v>
      </c>
      <c r="C2743" s="974">
        <v>331901600000000</v>
      </c>
      <c r="D2743" s="973" t="s">
        <v>6417</v>
      </c>
      <c r="F2743" s="975">
        <v>31</v>
      </c>
      <c r="G2743" s="973">
        <v>0</v>
      </c>
      <c r="I2743" s="1039">
        <f>PUCFD!E2447</f>
        <v>0.01</v>
      </c>
    </row>
    <row r="2744" spans="1:9" ht="24.95" customHeight="1" x14ac:dyDescent="0.25">
      <c r="B2744" s="973">
        <v>126270</v>
      </c>
      <c r="C2744" s="974">
        <v>331903400000000</v>
      </c>
      <c r="D2744" s="973" t="s">
        <v>6418</v>
      </c>
      <c r="F2744" s="975">
        <v>31</v>
      </c>
      <c r="G2744" s="973">
        <v>0</v>
      </c>
      <c r="I2744" s="1039">
        <f>PUCFD!E2448</f>
        <v>0.01</v>
      </c>
    </row>
    <row r="2745" spans="1:9" ht="24.95" customHeight="1" x14ac:dyDescent="0.25">
      <c r="B2745" s="973">
        <v>126280</v>
      </c>
      <c r="C2745" s="974">
        <v>331909400000000</v>
      </c>
      <c r="D2745" s="973" t="s">
        <v>6412</v>
      </c>
      <c r="F2745" s="975">
        <v>31</v>
      </c>
      <c r="G2745" s="973">
        <v>0</v>
      </c>
      <c r="I2745" s="1039">
        <f>PUCFD!E2449</f>
        <v>0.01</v>
      </c>
    </row>
    <row r="2746" spans="1:9" ht="24.95" customHeight="1" x14ac:dyDescent="0.25">
      <c r="B2746" s="973">
        <v>126300</v>
      </c>
      <c r="C2746" s="974">
        <v>333901400000000</v>
      </c>
      <c r="D2746" s="973" t="s">
        <v>6411</v>
      </c>
      <c r="F2746" s="975">
        <v>31</v>
      </c>
      <c r="G2746" s="973">
        <v>0</v>
      </c>
      <c r="I2746" s="1039">
        <f>PUCFD!E2450</f>
        <v>1500</v>
      </c>
    </row>
    <row r="2747" spans="1:9" ht="24.95" customHeight="1" x14ac:dyDescent="0.25">
      <c r="B2747" s="973">
        <v>126320</v>
      </c>
      <c r="C2747" s="974">
        <v>333903000000000</v>
      </c>
      <c r="D2747" s="973" t="s">
        <v>6410</v>
      </c>
      <c r="F2747" s="975">
        <v>31</v>
      </c>
      <c r="G2747" s="973">
        <v>0</v>
      </c>
      <c r="I2747" s="1039">
        <f>PUCFD!E2451</f>
        <v>3000</v>
      </c>
    </row>
    <row r="2748" spans="1:9" ht="24.95" customHeight="1" x14ac:dyDescent="0.25">
      <c r="B2748" s="973">
        <v>126340</v>
      </c>
      <c r="C2748" s="974">
        <v>333903300000000</v>
      </c>
      <c r="D2748" s="973" t="s">
        <v>6409</v>
      </c>
      <c r="F2748" s="975">
        <v>31</v>
      </c>
      <c r="G2748" s="973">
        <v>0</v>
      </c>
      <c r="I2748" s="1039">
        <f>PUCFD!E2452</f>
        <v>0.01</v>
      </c>
    </row>
    <row r="2749" spans="1:9" ht="24.95" customHeight="1" x14ac:dyDescent="0.25">
      <c r="B2749" s="973">
        <v>126360</v>
      </c>
      <c r="C2749" s="974">
        <v>333903500000000</v>
      </c>
      <c r="D2749" s="973" t="s">
        <v>6408</v>
      </c>
      <c r="F2749" s="975">
        <v>31</v>
      </c>
      <c r="G2749" s="973">
        <v>0</v>
      </c>
      <c r="I2749" s="1039">
        <f>PUCFD!E2453</f>
        <v>0.01</v>
      </c>
    </row>
    <row r="2750" spans="1:9" ht="24.95" customHeight="1" x14ac:dyDescent="0.25">
      <c r="B2750" s="973">
        <v>126380</v>
      </c>
      <c r="C2750" s="974">
        <v>333903600000000</v>
      </c>
      <c r="D2750" s="973" t="s">
        <v>6407</v>
      </c>
      <c r="F2750" s="975">
        <v>31</v>
      </c>
      <c r="G2750" s="973">
        <v>0</v>
      </c>
      <c r="I2750" s="1039">
        <f>PUCFD!E2454</f>
        <v>5000</v>
      </c>
    </row>
    <row r="2751" spans="1:9" ht="24.95" customHeight="1" x14ac:dyDescent="0.25">
      <c r="B2751" s="973">
        <v>126400</v>
      </c>
      <c r="C2751" s="974">
        <v>333903900000000</v>
      </c>
      <c r="D2751" s="973" t="s">
        <v>6406</v>
      </c>
      <c r="F2751" s="975">
        <v>31</v>
      </c>
      <c r="G2751" s="973">
        <v>0</v>
      </c>
      <c r="I2751" s="1039">
        <f>SUM(PUCFD!E2457)*(1+PUCFD!E10)+(1+PUCFD!E16)-30000</f>
        <v>28772.927150000003</v>
      </c>
    </row>
    <row r="2752" spans="1:9" s="971" customFormat="1" ht="24.95" customHeight="1" x14ac:dyDescent="0.25">
      <c r="B2752" s="966">
        <v>126450</v>
      </c>
      <c r="C2752" s="967">
        <v>333904600000000</v>
      </c>
      <c r="D2752" s="966" t="s">
        <v>6405</v>
      </c>
      <c r="E2752" s="968"/>
      <c r="F2752" s="969">
        <v>31</v>
      </c>
      <c r="G2752" s="966">
        <v>0</v>
      </c>
      <c r="H2752" s="998"/>
      <c r="I2752" s="1046">
        <f>PUCFD!E2463*(1+PUCFD!E$10)*(1+PUCFD!E$16)</f>
        <v>4635.1654272000005</v>
      </c>
    </row>
    <row r="2753" spans="1:9" ht="24.95" customHeight="1" x14ac:dyDescent="0.25">
      <c r="B2753" s="973">
        <v>126560</v>
      </c>
      <c r="C2753" s="974">
        <v>333904700000000</v>
      </c>
      <c r="D2753" s="973" t="s">
        <v>6404</v>
      </c>
      <c r="F2753" s="975">
        <v>31</v>
      </c>
      <c r="G2753" s="973">
        <v>0</v>
      </c>
      <c r="I2753" s="1039">
        <f>PUCFD!E2464</f>
        <v>1500</v>
      </c>
    </row>
    <row r="2754" spans="1:9" ht="24.95" customHeight="1" x14ac:dyDescent="0.25">
      <c r="B2754" s="973">
        <v>126470</v>
      </c>
      <c r="C2754" s="974">
        <v>333904900000000</v>
      </c>
      <c r="D2754" s="973" t="s">
        <v>6403</v>
      </c>
      <c r="F2754" s="975">
        <v>31</v>
      </c>
      <c r="G2754" s="973">
        <v>0</v>
      </c>
      <c r="I2754" s="1039">
        <f>PUCFD!E2465</f>
        <v>3070.56</v>
      </c>
    </row>
    <row r="2755" spans="1:9" ht="24.95" customHeight="1" x14ac:dyDescent="0.25">
      <c r="B2755" s="973">
        <v>126490</v>
      </c>
      <c r="C2755" s="974">
        <v>333909200000000</v>
      </c>
      <c r="D2755" s="973" t="s">
        <v>6402</v>
      </c>
      <c r="F2755" s="975">
        <v>31</v>
      </c>
      <c r="G2755" s="973">
        <v>0</v>
      </c>
      <c r="I2755" s="1039">
        <f>PUCFD!E2466</f>
        <v>0.01</v>
      </c>
    </row>
    <row r="2756" spans="1:9" ht="24.95" customHeight="1" x14ac:dyDescent="0.25">
      <c r="B2756" s="973">
        <v>126510</v>
      </c>
      <c r="C2756" s="974">
        <v>333909300000000</v>
      </c>
      <c r="D2756" s="973" t="s">
        <v>6401</v>
      </c>
      <c r="F2756" s="975">
        <v>31</v>
      </c>
      <c r="G2756" s="973">
        <v>0</v>
      </c>
      <c r="I2756" s="1039">
        <f>PUCFD!E2467</f>
        <v>300</v>
      </c>
    </row>
    <row r="2757" spans="1:9" ht="24.95" customHeight="1" x14ac:dyDescent="0.25">
      <c r="B2757" s="973">
        <v>126520</v>
      </c>
      <c r="C2757" s="974">
        <v>333933000000000</v>
      </c>
      <c r="D2757" s="973" t="s">
        <v>6400</v>
      </c>
      <c r="F2757" s="975">
        <v>31</v>
      </c>
      <c r="G2757" s="973">
        <v>0</v>
      </c>
      <c r="I2757" s="1039">
        <f>PUCFD!E2468</f>
        <v>0.01</v>
      </c>
    </row>
    <row r="2758" spans="1:9" ht="24.95" customHeight="1" x14ac:dyDescent="0.25">
      <c r="B2758" s="973">
        <v>126550</v>
      </c>
      <c r="C2758" s="974">
        <v>344905100000000</v>
      </c>
      <c r="D2758" s="973" t="s">
        <v>6399</v>
      </c>
      <c r="F2758" s="975">
        <v>31</v>
      </c>
      <c r="G2758" s="973">
        <v>0</v>
      </c>
      <c r="I2758" s="1039">
        <f>PUCFD!E2469</f>
        <v>0.01</v>
      </c>
    </row>
    <row r="2759" spans="1:9" ht="24.95" customHeight="1" x14ac:dyDescent="0.25">
      <c r="B2759" s="973">
        <v>126570</v>
      </c>
      <c r="C2759" s="974">
        <v>344905200000000</v>
      </c>
      <c r="D2759" s="973" t="s">
        <v>6398</v>
      </c>
      <c r="F2759" s="975">
        <v>31</v>
      </c>
      <c r="G2759" s="973">
        <v>0</v>
      </c>
      <c r="I2759" s="1039">
        <f>PUCFD!E2470</f>
        <v>0.01</v>
      </c>
    </row>
    <row r="2760" spans="1:9" ht="15" customHeight="1" x14ac:dyDescent="0.25">
      <c r="A2760" s="958"/>
      <c r="B2760" s="962" t="s">
        <v>3138</v>
      </c>
      <c r="C2760" s="959">
        <v>12</v>
      </c>
      <c r="D2760" s="962" t="s">
        <v>4728</v>
      </c>
      <c r="E2760" s="954"/>
      <c r="F2760" s="960"/>
      <c r="G2760" s="958"/>
      <c r="H2760" s="958"/>
      <c r="I2760" s="1030">
        <f>I2761</f>
        <v>1.0973403E-2</v>
      </c>
    </row>
    <row r="2761" spans="1:9" ht="15" customHeight="1" x14ac:dyDescent="0.25">
      <c r="A2761" s="958"/>
      <c r="B2761" s="962" t="s">
        <v>3139</v>
      </c>
      <c r="C2761" s="959">
        <v>126</v>
      </c>
      <c r="D2761" s="962" t="s">
        <v>3600</v>
      </c>
      <c r="E2761" s="954"/>
      <c r="F2761" s="960"/>
      <c r="G2761" s="958"/>
      <c r="H2761" s="958"/>
      <c r="I2761" s="1030">
        <f>I2762</f>
        <v>1.0973403E-2</v>
      </c>
    </row>
    <row r="2762" spans="1:9" ht="34.5" customHeight="1" x14ac:dyDescent="0.25">
      <c r="A2762" s="958"/>
      <c r="B2762" s="962" t="s">
        <v>3137</v>
      </c>
      <c r="C2762" s="959">
        <v>6</v>
      </c>
      <c r="D2762" s="962" t="s">
        <v>4729</v>
      </c>
      <c r="E2762" s="954"/>
      <c r="F2762" s="960"/>
      <c r="G2762" s="958"/>
      <c r="H2762" s="958"/>
      <c r="I2762" s="1030">
        <f>I2763</f>
        <v>1.0973403E-2</v>
      </c>
    </row>
    <row r="2763" spans="1:9" s="946" customFormat="1" ht="24.95" customHeight="1" x14ac:dyDescent="0.25">
      <c r="B2763" s="963" t="s">
        <v>2965</v>
      </c>
      <c r="C2763" s="959">
        <v>40</v>
      </c>
      <c r="D2763" s="963" t="s">
        <v>4893</v>
      </c>
      <c r="E2763" s="954"/>
      <c r="F2763" s="955"/>
      <c r="H2763" s="956"/>
      <c r="I2763" s="957">
        <f>SUM(I2764:I2764)</f>
        <v>1.0973403E-2</v>
      </c>
    </row>
    <row r="2764" spans="1:9" ht="33.75" customHeight="1" x14ac:dyDescent="0.25">
      <c r="B2764" s="973">
        <v>126580</v>
      </c>
      <c r="C2764" s="974">
        <v>333904000000000</v>
      </c>
      <c r="D2764" s="973" t="s">
        <v>6397</v>
      </c>
      <c r="F2764" s="975">
        <v>20</v>
      </c>
      <c r="G2764" s="973">
        <v>0</v>
      </c>
      <c r="H2764" s="972">
        <v>0</v>
      </c>
      <c r="I2764" s="1039">
        <f>(PUCFD!E2472*(1+PUCFD!E$10))*(1+PUCFD!E$16)</f>
        <v>1.0973403E-2</v>
      </c>
    </row>
    <row r="2765" spans="1:9" ht="15" customHeight="1" x14ac:dyDescent="0.25">
      <c r="A2765" s="958"/>
      <c r="B2765" s="962" t="s">
        <v>3138</v>
      </c>
      <c r="C2765" s="959">
        <v>12</v>
      </c>
      <c r="D2765" s="962" t="s">
        <v>4728</v>
      </c>
      <c r="E2765" s="954"/>
      <c r="F2765" s="960"/>
      <c r="G2765" s="958"/>
      <c r="H2765" s="958"/>
      <c r="I2765" s="1030">
        <f>I2766</f>
        <v>0.05</v>
      </c>
    </row>
    <row r="2766" spans="1:9" ht="15" customHeight="1" x14ac:dyDescent="0.25">
      <c r="A2766" s="958"/>
      <c r="B2766" s="962" t="s">
        <v>3139</v>
      </c>
      <c r="C2766" s="959">
        <v>128</v>
      </c>
      <c r="D2766" s="962" t="s">
        <v>5104</v>
      </c>
      <c r="E2766" s="954"/>
      <c r="F2766" s="960"/>
      <c r="G2766" s="958"/>
      <c r="H2766" s="958"/>
      <c r="I2766" s="1030">
        <f>I2767</f>
        <v>0.05</v>
      </c>
    </row>
    <row r="2767" spans="1:9" ht="34.5" customHeight="1" x14ac:dyDescent="0.25">
      <c r="A2767" s="958"/>
      <c r="B2767" s="962" t="s">
        <v>3137</v>
      </c>
      <c r="C2767" s="959">
        <v>6</v>
      </c>
      <c r="D2767" s="962" t="s">
        <v>4729</v>
      </c>
      <c r="E2767" s="954"/>
      <c r="F2767" s="960"/>
      <c r="G2767" s="958"/>
      <c r="H2767" s="958"/>
      <c r="I2767" s="1030">
        <f>I2768</f>
        <v>0.05</v>
      </c>
    </row>
    <row r="2768" spans="1:9" s="946" customFormat="1" ht="24.95" customHeight="1" x14ac:dyDescent="0.25">
      <c r="B2768" s="963" t="s">
        <v>2965</v>
      </c>
      <c r="C2768" s="959">
        <v>40</v>
      </c>
      <c r="D2768" s="963" t="s">
        <v>4893</v>
      </c>
      <c r="E2768" s="954"/>
      <c r="F2768" s="955"/>
      <c r="H2768" s="956"/>
      <c r="I2768" s="957">
        <f>SUM(I2769:I2773)</f>
        <v>0.05</v>
      </c>
    </row>
    <row r="2769" spans="1:9" s="946" customFormat="1" ht="24.95" customHeight="1" x14ac:dyDescent="0.25">
      <c r="B2769" s="973">
        <v>128000</v>
      </c>
      <c r="C2769" s="974">
        <v>333901400000000</v>
      </c>
      <c r="D2769" s="973" t="s">
        <v>6442</v>
      </c>
      <c r="E2769" s="948"/>
      <c r="F2769" s="975">
        <v>31</v>
      </c>
      <c r="G2769" s="973">
        <v>0</v>
      </c>
      <c r="H2769" s="972">
        <v>0</v>
      </c>
      <c r="I2769" s="1039">
        <f>PUCFD!E2475</f>
        <v>0.01</v>
      </c>
    </row>
    <row r="2770" spans="1:9" s="946" customFormat="1" ht="24.95" customHeight="1" x14ac:dyDescent="0.25">
      <c r="B2770" s="973">
        <v>128020</v>
      </c>
      <c r="C2770" s="974">
        <v>333903300000000</v>
      </c>
      <c r="D2770" s="973" t="s">
        <v>6443</v>
      </c>
      <c r="E2770" s="948"/>
      <c r="F2770" s="975">
        <v>31</v>
      </c>
      <c r="G2770" s="973">
        <v>0</v>
      </c>
      <c r="H2770" s="972">
        <v>0</v>
      </c>
      <c r="I2770" s="1039">
        <f>PUCFD!E2476</f>
        <v>0.01</v>
      </c>
    </row>
    <row r="2771" spans="1:9" s="946" customFormat="1" ht="24.95" customHeight="1" x14ac:dyDescent="0.25">
      <c r="B2771" s="973">
        <v>128040</v>
      </c>
      <c r="C2771" s="974">
        <v>333903600000000</v>
      </c>
      <c r="D2771" s="973" t="s">
        <v>6444</v>
      </c>
      <c r="E2771" s="948"/>
      <c r="F2771" s="975">
        <v>31</v>
      </c>
      <c r="G2771" s="973">
        <v>0</v>
      </c>
      <c r="H2771" s="972">
        <v>0</v>
      </c>
      <c r="I2771" s="1039">
        <f>PUCFD!E2477</f>
        <v>0.01</v>
      </c>
    </row>
    <row r="2772" spans="1:9" s="946" customFormat="1" ht="24.95" customHeight="1" x14ac:dyDescent="0.25">
      <c r="B2772" s="973">
        <v>128060</v>
      </c>
      <c r="C2772" s="974">
        <v>333903900000000</v>
      </c>
      <c r="D2772" s="973" t="s">
        <v>6445</v>
      </c>
      <c r="E2772" s="948"/>
      <c r="F2772" s="975">
        <v>31</v>
      </c>
      <c r="G2772" s="973">
        <v>0</v>
      </c>
      <c r="H2772" s="972">
        <v>0</v>
      </c>
      <c r="I2772" s="1039">
        <f>PUCFD!E2478</f>
        <v>0.01</v>
      </c>
    </row>
    <row r="2773" spans="1:9" s="946" customFormat="1" ht="24.95" customHeight="1" x14ac:dyDescent="0.25">
      <c r="B2773" s="973">
        <v>128080</v>
      </c>
      <c r="C2773" s="974">
        <v>333904700000000</v>
      </c>
      <c r="D2773" s="973" t="s">
        <v>6446</v>
      </c>
      <c r="E2773" s="948"/>
      <c r="F2773" s="975">
        <v>31</v>
      </c>
      <c r="G2773" s="973">
        <v>0</v>
      </c>
      <c r="H2773" s="972">
        <v>0</v>
      </c>
      <c r="I2773" s="1039">
        <f>PUCFD!E2479</f>
        <v>0.01</v>
      </c>
    </row>
    <row r="2774" spans="1:9" ht="24.95" customHeight="1" x14ac:dyDescent="0.25">
      <c r="A2774" s="958"/>
      <c r="B2774" s="962" t="s">
        <v>3138</v>
      </c>
      <c r="C2774" s="959">
        <v>12</v>
      </c>
      <c r="D2774" s="962" t="s">
        <v>4728</v>
      </c>
      <c r="E2774" s="954"/>
      <c r="F2774" s="960"/>
      <c r="G2774" s="958"/>
      <c r="H2774" s="958"/>
      <c r="I2774" s="961">
        <f>I2775</f>
        <v>3292.0209</v>
      </c>
    </row>
    <row r="2775" spans="1:9" ht="24.95" customHeight="1" x14ac:dyDescent="0.25">
      <c r="A2775" s="958"/>
      <c r="B2775" s="962" t="s">
        <v>3139</v>
      </c>
      <c r="C2775" s="959">
        <v>126</v>
      </c>
      <c r="D2775" s="962" t="s">
        <v>3600</v>
      </c>
      <c r="E2775" s="954"/>
      <c r="F2775" s="960"/>
      <c r="G2775" s="958"/>
      <c r="H2775" s="958"/>
      <c r="I2775" s="961">
        <f>I2776</f>
        <v>3292.0209</v>
      </c>
    </row>
    <row r="2776" spans="1:9" ht="24.95" customHeight="1" x14ac:dyDescent="0.25">
      <c r="A2776" s="958"/>
      <c r="B2776" s="962" t="s">
        <v>3137</v>
      </c>
      <c r="C2776" s="959">
        <v>6</v>
      </c>
      <c r="D2776" s="962" t="s">
        <v>4729</v>
      </c>
      <c r="E2776" s="954"/>
      <c r="F2776" s="960"/>
      <c r="G2776" s="958"/>
      <c r="H2776" s="958"/>
      <c r="I2776" s="961">
        <f>I2777</f>
        <v>3292.0209</v>
      </c>
    </row>
    <row r="2777" spans="1:9" s="946" customFormat="1" ht="24.95" customHeight="1" x14ac:dyDescent="0.25">
      <c r="B2777" s="963" t="s">
        <v>2965</v>
      </c>
      <c r="C2777" s="959">
        <v>41</v>
      </c>
      <c r="D2777" s="963" t="s">
        <v>4892</v>
      </c>
      <c r="E2777" s="963"/>
      <c r="F2777" s="960"/>
      <c r="G2777" s="963"/>
      <c r="H2777" s="956"/>
      <c r="I2777" s="1024">
        <f>I2778</f>
        <v>3292.0209</v>
      </c>
    </row>
    <row r="2778" spans="1:9" ht="33.75" customHeight="1" x14ac:dyDescent="0.25">
      <c r="B2778" s="973">
        <v>128100</v>
      </c>
      <c r="C2778" s="974">
        <v>333904000000000</v>
      </c>
      <c r="D2778" s="973" t="s">
        <v>6452</v>
      </c>
      <c r="F2778" s="975">
        <v>31</v>
      </c>
      <c r="G2778" s="973">
        <v>0</v>
      </c>
      <c r="H2778" s="972">
        <v>0</v>
      </c>
      <c r="I2778" s="1039">
        <f>(PUCFD!E2473*(1+PUCFD!E$10))*(1+PUCFD!E$16)</f>
        <v>3292.0209</v>
      </c>
    </row>
    <row r="2779" spans="1:9" ht="24.95" customHeight="1" x14ac:dyDescent="0.25">
      <c r="A2779" s="958"/>
      <c r="B2779" s="962" t="s">
        <v>3138</v>
      </c>
      <c r="C2779" s="959">
        <v>12</v>
      </c>
      <c r="D2779" s="962" t="s">
        <v>4728</v>
      </c>
      <c r="E2779" s="954"/>
      <c r="F2779" s="960"/>
      <c r="G2779" s="958"/>
      <c r="H2779" s="958"/>
      <c r="I2779" s="961">
        <f>I2780</f>
        <v>0.05</v>
      </c>
    </row>
    <row r="2780" spans="1:9" ht="24.95" customHeight="1" x14ac:dyDescent="0.25">
      <c r="A2780" s="958"/>
      <c r="B2780" s="962" t="s">
        <v>3139</v>
      </c>
      <c r="C2780" s="959">
        <v>128</v>
      </c>
      <c r="D2780" s="962" t="s">
        <v>5104</v>
      </c>
      <c r="E2780" s="954"/>
      <c r="F2780" s="960"/>
      <c r="G2780" s="958"/>
      <c r="H2780" s="958"/>
      <c r="I2780" s="961">
        <f>I2781</f>
        <v>0.05</v>
      </c>
    </row>
    <row r="2781" spans="1:9" ht="24.95" customHeight="1" x14ac:dyDescent="0.25">
      <c r="A2781" s="958"/>
      <c r="B2781" s="962" t="s">
        <v>3137</v>
      </c>
      <c r="C2781" s="959">
        <v>6</v>
      </c>
      <c r="D2781" s="962" t="s">
        <v>4729</v>
      </c>
      <c r="E2781" s="954"/>
      <c r="F2781" s="960"/>
      <c r="G2781" s="958"/>
      <c r="H2781" s="958"/>
      <c r="I2781" s="961">
        <f>I2782</f>
        <v>0.05</v>
      </c>
    </row>
    <row r="2782" spans="1:9" s="946" customFormat="1" ht="24.95" customHeight="1" x14ac:dyDescent="0.25">
      <c r="B2782" s="963" t="s">
        <v>2965</v>
      </c>
      <c r="C2782" s="959">
        <v>41</v>
      </c>
      <c r="D2782" s="963" t="s">
        <v>4892</v>
      </c>
      <c r="E2782" s="963"/>
      <c r="F2782" s="960"/>
      <c r="G2782" s="963"/>
      <c r="H2782" s="956"/>
      <c r="I2782" s="1024">
        <f>SUM(I2783:I2787)</f>
        <v>0.05</v>
      </c>
    </row>
    <row r="2783" spans="1:9" ht="33.75" customHeight="1" x14ac:dyDescent="0.25">
      <c r="B2783" s="973">
        <v>128200</v>
      </c>
      <c r="C2783" s="974">
        <v>333901400000000</v>
      </c>
      <c r="D2783" s="973" t="s">
        <v>6447</v>
      </c>
      <c r="F2783" s="975">
        <v>31</v>
      </c>
      <c r="G2783" s="973">
        <v>0</v>
      </c>
      <c r="H2783" s="972">
        <v>0</v>
      </c>
      <c r="I2783" s="1039">
        <f>PUCFD!E2481</f>
        <v>0.01</v>
      </c>
    </row>
    <row r="2784" spans="1:9" ht="33.75" customHeight="1" x14ac:dyDescent="0.25">
      <c r="B2784" s="973">
        <v>128220</v>
      </c>
      <c r="C2784" s="974">
        <v>333903300000000</v>
      </c>
      <c r="D2784" s="973" t="s">
        <v>6448</v>
      </c>
      <c r="F2784" s="975">
        <v>31</v>
      </c>
      <c r="G2784" s="973">
        <v>0</v>
      </c>
      <c r="H2784" s="972">
        <v>0</v>
      </c>
      <c r="I2784" s="1039">
        <f>PUCFD!E2482</f>
        <v>0.01</v>
      </c>
    </row>
    <row r="2785" spans="1:10" ht="33.75" customHeight="1" x14ac:dyDescent="0.25">
      <c r="B2785" s="973">
        <v>128240</v>
      </c>
      <c r="C2785" s="974">
        <v>333903600000000</v>
      </c>
      <c r="D2785" s="973" t="s">
        <v>6449</v>
      </c>
      <c r="F2785" s="975">
        <v>31</v>
      </c>
      <c r="G2785" s="973">
        <v>0</v>
      </c>
      <c r="H2785" s="972">
        <v>0</v>
      </c>
      <c r="I2785" s="1039">
        <f>PUCFD!E2483</f>
        <v>0.01</v>
      </c>
    </row>
    <row r="2786" spans="1:10" ht="33.75" customHeight="1" x14ac:dyDescent="0.25">
      <c r="B2786" s="973">
        <v>128260</v>
      </c>
      <c r="C2786" s="974">
        <v>333903900000000</v>
      </c>
      <c r="D2786" s="973" t="s">
        <v>6450</v>
      </c>
      <c r="F2786" s="975">
        <v>31</v>
      </c>
      <c r="G2786" s="973">
        <v>0</v>
      </c>
      <c r="H2786" s="972">
        <v>0</v>
      </c>
      <c r="I2786" s="1039">
        <f>PUCFD!E2484</f>
        <v>0.01</v>
      </c>
    </row>
    <row r="2787" spans="1:10" ht="33.75" customHeight="1" x14ac:dyDescent="0.25">
      <c r="B2787" s="973">
        <v>128280</v>
      </c>
      <c r="C2787" s="974">
        <v>333904700000000</v>
      </c>
      <c r="D2787" s="973" t="s">
        <v>6451</v>
      </c>
      <c r="F2787" s="975">
        <v>31</v>
      </c>
      <c r="G2787" s="973">
        <v>0</v>
      </c>
      <c r="H2787" s="972">
        <v>0</v>
      </c>
      <c r="I2787" s="1039">
        <f>PUCFD!E2485</f>
        <v>0.01</v>
      </c>
    </row>
    <row r="2788" spans="1:10" ht="24.95" customHeight="1" x14ac:dyDescent="0.25">
      <c r="A2788" s="958"/>
      <c r="B2788" s="962" t="s">
        <v>3138</v>
      </c>
      <c r="C2788" s="959">
        <v>12</v>
      </c>
      <c r="D2788" s="962" t="s">
        <v>4728</v>
      </c>
      <c r="E2788" s="954"/>
      <c r="F2788" s="960"/>
      <c r="G2788" s="958"/>
      <c r="H2788" s="958"/>
      <c r="I2788" s="961">
        <f>I2789</f>
        <v>360618.9776996955</v>
      </c>
    </row>
    <row r="2789" spans="1:10" ht="24.95" customHeight="1" x14ac:dyDescent="0.25">
      <c r="A2789" s="958"/>
      <c r="B2789" s="962" t="s">
        <v>3139</v>
      </c>
      <c r="C2789" s="959">
        <v>365</v>
      </c>
      <c r="D2789" s="962" t="s">
        <v>4732</v>
      </c>
      <c r="E2789" s="954"/>
      <c r="F2789" s="960"/>
      <c r="G2789" s="958"/>
      <c r="H2789" s="958"/>
      <c r="I2789" s="961">
        <f>I2790</f>
        <v>360618.9776996955</v>
      </c>
    </row>
    <row r="2790" spans="1:10" ht="24.95" customHeight="1" x14ac:dyDescent="0.25">
      <c r="A2790" s="958"/>
      <c r="B2790" s="962" t="s">
        <v>3137</v>
      </c>
      <c r="C2790" s="959">
        <v>6</v>
      </c>
      <c r="D2790" s="962" t="s">
        <v>4729</v>
      </c>
      <c r="E2790" s="954"/>
      <c r="F2790" s="960"/>
      <c r="G2790" s="958"/>
      <c r="H2790" s="958"/>
      <c r="I2790" s="961">
        <f>I2791</f>
        <v>360618.9776996955</v>
      </c>
    </row>
    <row r="2791" spans="1:10" s="946" customFormat="1" ht="24.95" customHeight="1" x14ac:dyDescent="0.25">
      <c r="B2791" s="963" t="s">
        <v>2965</v>
      </c>
      <c r="C2791" s="959">
        <v>41</v>
      </c>
      <c r="D2791" s="963" t="s">
        <v>4892</v>
      </c>
      <c r="E2791" s="963"/>
      <c r="F2791" s="960"/>
      <c r="G2791" s="963"/>
      <c r="H2791" s="956"/>
      <c r="I2791" s="1024">
        <f>SUM(I2792:I2815)</f>
        <v>360618.9776996955</v>
      </c>
      <c r="J2791" s="1012"/>
    </row>
    <row r="2792" spans="1:10" ht="24.95" customHeight="1" x14ac:dyDescent="0.25">
      <c r="B2792" s="973">
        <v>126500</v>
      </c>
      <c r="C2792" s="974">
        <v>331900400000000</v>
      </c>
      <c r="D2792" s="973" t="s">
        <v>6419</v>
      </c>
      <c r="E2792" s="945"/>
      <c r="F2792" s="975">
        <v>31</v>
      </c>
      <c r="G2792" s="973">
        <v>0</v>
      </c>
      <c r="I2792" s="1039">
        <f>SUM(PUCFD!E2488:E2489)</f>
        <v>2</v>
      </c>
    </row>
    <row r="2793" spans="1:10" s="971" customFormat="1" ht="24.95" customHeight="1" x14ac:dyDescent="0.25">
      <c r="B2793" s="966">
        <v>126600</v>
      </c>
      <c r="C2793" s="967">
        <v>331900800000000</v>
      </c>
      <c r="D2793" s="966" t="s">
        <v>6420</v>
      </c>
      <c r="E2793" s="968"/>
      <c r="F2793" s="969">
        <v>1</v>
      </c>
      <c r="G2793" s="966">
        <v>0</v>
      </c>
      <c r="H2793" s="998"/>
      <c r="I2793" s="1046">
        <f>(I2795+I2797+I2798+I2799)*(PUCFD!E$94)</f>
        <v>5907.2005311721632</v>
      </c>
    </row>
    <row r="2794" spans="1:10" ht="24.95" customHeight="1" x14ac:dyDescent="0.25">
      <c r="B2794" s="973">
        <v>126620</v>
      </c>
      <c r="C2794" s="974">
        <v>331901100000000</v>
      </c>
      <c r="D2794" s="973" t="s">
        <v>6440</v>
      </c>
      <c r="E2794" s="945"/>
      <c r="F2794" s="975">
        <v>31</v>
      </c>
      <c r="G2794" s="973">
        <v>0</v>
      </c>
      <c r="I2794" s="1039">
        <f>SUM(PUCFD!E2492:E2502)*(1+PUCFD!E$87)</f>
        <v>243756.55451647117</v>
      </c>
      <c r="J2794" s="990"/>
    </row>
    <row r="2795" spans="1:10" ht="24.95" customHeight="1" x14ac:dyDescent="0.25">
      <c r="B2795" s="973">
        <v>126650</v>
      </c>
      <c r="C2795" s="974">
        <v>331901300000000</v>
      </c>
      <c r="D2795" s="973" t="s">
        <v>6421</v>
      </c>
      <c r="E2795" s="945"/>
      <c r="F2795" s="975">
        <v>31</v>
      </c>
      <c r="G2795" s="973">
        <v>0</v>
      </c>
      <c r="I2795" s="1039">
        <f>SUM(I2794+I2796+I2797+I2798)*PUCFD!E$92</f>
        <v>51188.882748458949</v>
      </c>
    </row>
    <row r="2796" spans="1:10" ht="24.95" customHeight="1" x14ac:dyDescent="0.25">
      <c r="B2796" s="973">
        <v>126670</v>
      </c>
      <c r="C2796" s="974">
        <v>331901600000000</v>
      </c>
      <c r="D2796" s="973" t="s">
        <v>6422</v>
      </c>
      <c r="E2796" s="945"/>
      <c r="F2796" s="975">
        <v>31</v>
      </c>
      <c r="G2796" s="973">
        <v>0</v>
      </c>
      <c r="I2796" s="1039">
        <f>PUCFD!E2504</f>
        <v>0.01</v>
      </c>
    </row>
    <row r="2797" spans="1:10" ht="24.95" customHeight="1" x14ac:dyDescent="0.25">
      <c r="B2797" s="973">
        <v>126680</v>
      </c>
      <c r="C2797" s="974">
        <v>331903400000000</v>
      </c>
      <c r="D2797" s="973" t="s">
        <v>6423</v>
      </c>
      <c r="E2797" s="945"/>
      <c r="F2797" s="975">
        <v>31</v>
      </c>
      <c r="G2797" s="973">
        <v>0</v>
      </c>
      <c r="I2797" s="1039">
        <f>PUCFD!E2505</f>
        <v>0.01</v>
      </c>
    </row>
    <row r="2798" spans="1:10" ht="24.95" customHeight="1" x14ac:dyDescent="0.25">
      <c r="B2798" s="973">
        <v>126690</v>
      </c>
      <c r="C2798" s="974">
        <v>331909400000000</v>
      </c>
      <c r="D2798" s="973" t="s">
        <v>6424</v>
      </c>
      <c r="E2798" s="945"/>
      <c r="F2798" s="975">
        <v>31</v>
      </c>
      <c r="G2798" s="973">
        <v>0</v>
      </c>
      <c r="I2798" s="1039">
        <f>PUCFD!E2506</f>
        <v>0.01</v>
      </c>
    </row>
    <row r="2799" spans="1:10" ht="24.95" customHeight="1" x14ac:dyDescent="0.25">
      <c r="B2799" s="973">
        <v>126700</v>
      </c>
      <c r="C2799" s="974">
        <v>333901400000000</v>
      </c>
      <c r="D2799" s="973" t="s">
        <v>6425</v>
      </c>
      <c r="E2799" s="945"/>
      <c r="F2799" s="975">
        <v>31</v>
      </c>
      <c r="G2799" s="973">
        <v>0</v>
      </c>
      <c r="I2799" s="1039">
        <f>PUCFD!E2507</f>
        <v>0.01</v>
      </c>
    </row>
    <row r="2800" spans="1:10" ht="24.95" customHeight="1" x14ac:dyDescent="0.25">
      <c r="B2800" s="973">
        <v>126720</v>
      </c>
      <c r="C2800" s="974">
        <v>333903000000000</v>
      </c>
      <c r="D2800" s="973" t="s">
        <v>6426</v>
      </c>
      <c r="E2800" s="945"/>
      <c r="F2800" s="975">
        <v>31</v>
      </c>
      <c r="G2800" s="973">
        <v>0</v>
      </c>
      <c r="I2800" s="1039">
        <f>PUCFD!E2508</f>
        <v>15804.314999999999</v>
      </c>
    </row>
    <row r="2801" spans="2:11" s="971" customFormat="1" ht="24.95" customHeight="1" x14ac:dyDescent="0.25">
      <c r="B2801" s="966">
        <v>126750</v>
      </c>
      <c r="C2801" s="967">
        <v>333903000000000</v>
      </c>
      <c r="D2801" s="966" t="s">
        <v>6441</v>
      </c>
      <c r="F2801" s="969">
        <v>1008</v>
      </c>
      <c r="G2801" s="966">
        <v>0</v>
      </c>
      <c r="H2801" s="998"/>
      <c r="I2801" s="1046">
        <f>PUCFD!E2509</f>
        <v>1222.1412716217033</v>
      </c>
    </row>
    <row r="2802" spans="2:11" s="971" customFormat="1" ht="24.95" customHeight="1" x14ac:dyDescent="0.25">
      <c r="B2802" s="966">
        <v>126980</v>
      </c>
      <c r="C2802" s="967">
        <v>333903000000000</v>
      </c>
      <c r="D2802" s="966" t="s">
        <v>6904</v>
      </c>
      <c r="F2802" s="969">
        <v>1170</v>
      </c>
      <c r="G2802" s="966">
        <v>0</v>
      </c>
      <c r="H2802" s="998"/>
      <c r="I2802" s="1046">
        <f>PUCFD!E2510</f>
        <v>36.086967089990566</v>
      </c>
    </row>
    <row r="2803" spans="2:11" ht="24.95" customHeight="1" x14ac:dyDescent="0.25">
      <c r="B2803" s="973">
        <v>126760</v>
      </c>
      <c r="C2803" s="974">
        <v>333903200000000</v>
      </c>
      <c r="D2803" s="973" t="s">
        <v>6427</v>
      </c>
      <c r="E2803" s="945"/>
      <c r="F2803" s="975">
        <v>31</v>
      </c>
      <c r="G2803" s="973">
        <v>0</v>
      </c>
      <c r="I2803" s="1039">
        <f>PUCFD!E2511</f>
        <v>0.01</v>
      </c>
    </row>
    <row r="2804" spans="2:11" ht="24.95" customHeight="1" x14ac:dyDescent="0.25">
      <c r="B2804" s="973">
        <v>126780</v>
      </c>
      <c r="C2804" s="974">
        <v>333903300000000</v>
      </c>
      <c r="D2804" s="973" t="s">
        <v>6428</v>
      </c>
      <c r="E2804" s="945"/>
      <c r="F2804" s="975">
        <v>31</v>
      </c>
      <c r="G2804" s="973">
        <v>0</v>
      </c>
      <c r="I2804" s="1039">
        <f>PUCFD!E2512</f>
        <v>0.01</v>
      </c>
    </row>
    <row r="2805" spans="2:11" ht="24.95" customHeight="1" x14ac:dyDescent="0.25">
      <c r="B2805" s="973">
        <v>126790</v>
      </c>
      <c r="C2805" s="974">
        <v>333903500000000</v>
      </c>
      <c r="D2805" s="973" t="s">
        <v>6429</v>
      </c>
      <c r="E2805" s="945"/>
      <c r="F2805" s="975">
        <v>31</v>
      </c>
      <c r="G2805" s="973">
        <v>0</v>
      </c>
      <c r="I2805" s="1039">
        <f>PUCFD!E2513</f>
        <v>0.01</v>
      </c>
    </row>
    <row r="2806" spans="2:11" ht="24.95" customHeight="1" x14ac:dyDescent="0.25">
      <c r="B2806" s="973">
        <v>126800</v>
      </c>
      <c r="C2806" s="974">
        <v>333903600000000</v>
      </c>
      <c r="D2806" s="973" t="s">
        <v>6430</v>
      </c>
      <c r="E2806" s="945"/>
      <c r="F2806" s="975">
        <v>31</v>
      </c>
      <c r="G2806" s="973">
        <v>0</v>
      </c>
      <c r="I2806" s="1039">
        <f>PUCFD!E2514</f>
        <v>0.01</v>
      </c>
    </row>
    <row r="2807" spans="2:11" ht="24.95" customHeight="1" x14ac:dyDescent="0.25">
      <c r="B2807" s="973">
        <v>126830</v>
      </c>
      <c r="C2807" s="974">
        <v>333903900000000</v>
      </c>
      <c r="D2807" s="973" t="s">
        <v>6431</v>
      </c>
      <c r="E2807" s="945"/>
      <c r="F2807" s="975">
        <v>31</v>
      </c>
      <c r="G2807" s="973">
        <v>0</v>
      </c>
      <c r="I2807" s="1039">
        <f>PUCFD!E2515</f>
        <v>16477.5</v>
      </c>
    </row>
    <row r="2808" spans="2:11" s="971" customFormat="1" ht="24.95" customHeight="1" x14ac:dyDescent="0.25">
      <c r="B2808" s="966">
        <v>126860</v>
      </c>
      <c r="C2808" s="967">
        <v>333904600000000</v>
      </c>
      <c r="D2808" s="966" t="s">
        <v>6432</v>
      </c>
      <c r="F2808" s="969">
        <v>31</v>
      </c>
      <c r="G2808" s="966">
        <v>0</v>
      </c>
      <c r="H2808" s="998"/>
      <c r="I2808" s="1046">
        <f>PUCFD!E2516*(1+PUCFD!E$10)*(1+PUCFD!E$16)</f>
        <v>20389.246664881499</v>
      </c>
    </row>
    <row r="2809" spans="2:11" ht="24.95" customHeight="1" x14ac:dyDescent="0.25">
      <c r="B2809" s="973">
        <v>126870</v>
      </c>
      <c r="C2809" s="974">
        <v>333904700000000</v>
      </c>
      <c r="D2809" s="973" t="s">
        <v>6433</v>
      </c>
      <c r="E2809" s="945"/>
      <c r="F2809" s="975">
        <v>31</v>
      </c>
      <c r="G2809" s="973">
        <v>0</v>
      </c>
      <c r="I2809" s="1039">
        <f>PUCFD!E2517</f>
        <v>1</v>
      </c>
    </row>
    <row r="2810" spans="2:11" ht="24.95" customHeight="1" x14ac:dyDescent="0.25">
      <c r="B2810" s="973">
        <v>126880</v>
      </c>
      <c r="C2810" s="974">
        <v>333904900000000</v>
      </c>
      <c r="D2810" s="973" t="s">
        <v>6434</v>
      </c>
      <c r="E2810" s="945"/>
      <c r="F2810" s="975">
        <v>31</v>
      </c>
      <c r="G2810" s="973">
        <v>0</v>
      </c>
      <c r="I2810" s="1039">
        <f>PUCFD!E2518</f>
        <v>5833.92</v>
      </c>
    </row>
    <row r="2811" spans="2:11" ht="24.95" customHeight="1" x14ac:dyDescent="0.25">
      <c r="B2811" s="973">
        <v>126890</v>
      </c>
      <c r="C2811" s="974">
        <v>333909200000000</v>
      </c>
      <c r="D2811" s="973" t="s">
        <v>6435</v>
      </c>
      <c r="E2811" s="945"/>
      <c r="F2811" s="975">
        <v>31</v>
      </c>
      <c r="G2811" s="973">
        <v>0</v>
      </c>
      <c r="I2811" s="1039">
        <f>PUCFD!E2519</f>
        <v>0.01</v>
      </c>
    </row>
    <row r="2812" spans="2:11" ht="24.95" customHeight="1" x14ac:dyDescent="0.25">
      <c r="B2812" s="973">
        <v>126900</v>
      </c>
      <c r="C2812" s="974">
        <v>333909300000000</v>
      </c>
      <c r="D2812" s="973" t="s">
        <v>6436</v>
      </c>
      <c r="E2812" s="945"/>
      <c r="F2812" s="975">
        <v>31</v>
      </c>
      <c r="G2812" s="973">
        <v>0</v>
      </c>
      <c r="I2812" s="1039">
        <f>PUCFD!E2520</f>
        <v>0.01</v>
      </c>
    </row>
    <row r="2813" spans="2:11" ht="24.95" customHeight="1" x14ac:dyDescent="0.25">
      <c r="B2813" s="973">
        <v>126920</v>
      </c>
      <c r="C2813" s="974">
        <v>333933000000000</v>
      </c>
      <c r="D2813" s="973" t="s">
        <v>6437</v>
      </c>
      <c r="E2813" s="945"/>
      <c r="F2813" s="975">
        <v>31</v>
      </c>
      <c r="G2813" s="973">
        <v>0</v>
      </c>
      <c r="I2813" s="1039">
        <f>PUCFD!E2521</f>
        <v>0.01</v>
      </c>
    </row>
    <row r="2814" spans="2:11" ht="24.95" customHeight="1" x14ac:dyDescent="0.25">
      <c r="B2814" s="973">
        <v>126940</v>
      </c>
      <c r="C2814" s="974">
        <v>344905100000000</v>
      </c>
      <c r="D2814" s="973" t="s">
        <v>6438</v>
      </c>
      <c r="E2814" s="945"/>
      <c r="F2814" s="975">
        <v>31</v>
      </c>
      <c r="G2814" s="973">
        <v>0</v>
      </c>
      <c r="I2814" s="1039">
        <f>PUCFD!E2522</f>
        <v>0.01</v>
      </c>
    </row>
    <row r="2815" spans="2:11" ht="24.95" customHeight="1" x14ac:dyDescent="0.25">
      <c r="B2815" s="973">
        <v>126960</v>
      </c>
      <c r="C2815" s="974">
        <v>344905200000000</v>
      </c>
      <c r="D2815" s="973" t="s">
        <v>6439</v>
      </c>
      <c r="E2815" s="945"/>
      <c r="F2815" s="975">
        <v>31</v>
      </c>
      <c r="G2815" s="973">
        <v>0</v>
      </c>
      <c r="I2815" s="1039">
        <f>PUCFD!E2523</f>
        <v>0.01</v>
      </c>
    </row>
    <row r="2816" spans="2:11" s="946" customFormat="1" ht="24.95" customHeight="1" x14ac:dyDescent="0.25">
      <c r="B2816" s="1608" t="s">
        <v>4831</v>
      </c>
      <c r="C2816" s="1608"/>
      <c r="D2816" s="1608"/>
      <c r="E2816" s="1608"/>
      <c r="F2816" s="1608"/>
      <c r="G2816" s="1608"/>
      <c r="H2816" s="1608"/>
      <c r="I2816" s="1024">
        <f>I2791+I2777+I2763+I2738+I2728+I2782+I2768+0.01</f>
        <v>471771.72007793118</v>
      </c>
      <c r="K2816" s="1039"/>
    </row>
    <row r="2817" spans="1:12" s="946" customFormat="1" ht="24.95" customHeight="1" x14ac:dyDescent="0.25">
      <c r="B2817" s="1608" t="s">
        <v>4897</v>
      </c>
      <c r="C2817" s="1608"/>
      <c r="D2817" s="1608"/>
      <c r="E2817" s="1608"/>
      <c r="F2817" s="1608"/>
      <c r="G2817" s="1608"/>
      <c r="H2817" s="1608"/>
      <c r="I2817" s="1024">
        <f>I2816</f>
        <v>471771.72007793118</v>
      </c>
      <c r="K2817" s="1039"/>
    </row>
    <row r="2818" spans="1:12" s="955" customFormat="1" ht="24.95" customHeight="1" x14ac:dyDescent="0.25">
      <c r="B2818" s="975"/>
      <c r="C2818" s="991"/>
      <c r="D2818" s="1009"/>
      <c r="E2818" s="954" t="s">
        <v>4777</v>
      </c>
      <c r="F2818" s="960"/>
      <c r="G2818" s="960"/>
      <c r="H2818" s="958"/>
      <c r="I2818" s="1030"/>
      <c r="K2818" s="1039"/>
    </row>
    <row r="2819" spans="1:12" ht="24.95" customHeight="1" x14ac:dyDescent="0.25">
      <c r="F2819" s="949">
        <v>1</v>
      </c>
      <c r="G2819" s="945">
        <v>0</v>
      </c>
      <c r="H2819" s="950">
        <v>0</v>
      </c>
      <c r="I2819" s="951">
        <f>I2793+I2740+I2752</f>
        <v>15773.57211111761</v>
      </c>
      <c r="K2819" s="1039"/>
    </row>
    <row r="2820" spans="1:12" ht="24.95" customHeight="1" x14ac:dyDescent="0.25">
      <c r="F2820" s="949">
        <v>20</v>
      </c>
      <c r="G2820" s="945">
        <v>0</v>
      </c>
      <c r="H2820" s="950">
        <v>0</v>
      </c>
      <c r="I2820" s="951">
        <f>I2738-I2740+I2728+I2764+0.01-I2752</f>
        <v>97994.249898290233</v>
      </c>
      <c r="J2820" s="990"/>
      <c r="K2820" s="1039"/>
    </row>
    <row r="2821" spans="1:12" ht="24.95" customHeight="1" x14ac:dyDescent="0.25">
      <c r="F2821" s="949">
        <v>31</v>
      </c>
      <c r="G2821" s="945">
        <v>0</v>
      </c>
      <c r="H2821" s="950">
        <v>0</v>
      </c>
      <c r="I2821" s="951">
        <f>I2791-I2793-I2801-I2802+I2777+I2782+I2768+0.01</f>
        <v>356745.67982981168</v>
      </c>
      <c r="K2821" s="1039"/>
    </row>
    <row r="2822" spans="1:12" ht="24.95" customHeight="1" x14ac:dyDescent="0.25">
      <c r="F2822" s="949">
        <v>1008</v>
      </c>
      <c r="G2822" s="945">
        <v>0</v>
      </c>
      <c r="H2822" s="950">
        <v>0</v>
      </c>
      <c r="I2822" s="951">
        <f>I2801</f>
        <v>1222.1412716217033</v>
      </c>
    </row>
    <row r="2823" spans="1:12" ht="24.95" customHeight="1" x14ac:dyDescent="0.25">
      <c r="F2823" s="949">
        <v>1170</v>
      </c>
      <c r="G2823" s="945">
        <v>0</v>
      </c>
      <c r="H2823" s="950">
        <v>0</v>
      </c>
      <c r="I2823" s="951">
        <f>I2802</f>
        <v>36.086967089990566</v>
      </c>
    </row>
    <row r="2824" spans="1:12" s="946" customFormat="1" ht="24.95" customHeight="1" x14ac:dyDescent="0.25">
      <c r="B2824" s="946" t="s">
        <v>3088</v>
      </c>
      <c r="C2824" s="953" t="s">
        <v>4685</v>
      </c>
      <c r="E2824" s="954"/>
      <c r="F2824" s="955"/>
      <c r="H2824" s="956"/>
    </row>
    <row r="2825" spans="1:12" s="946" customFormat="1" ht="24.95" customHeight="1" x14ac:dyDescent="0.25">
      <c r="B2825" s="946" t="s">
        <v>3087</v>
      </c>
      <c r="C2825" s="953" t="s">
        <v>4830</v>
      </c>
      <c r="E2825" s="954"/>
      <c r="F2825" s="955"/>
      <c r="H2825" s="956"/>
    </row>
    <row r="2826" spans="1:12" s="946" customFormat="1" ht="24.95" customHeight="1" x14ac:dyDescent="0.25">
      <c r="B2826" s="946" t="s">
        <v>3089</v>
      </c>
      <c r="C2826" s="953" t="s">
        <v>3146</v>
      </c>
      <c r="E2826" s="954"/>
      <c r="F2826" s="955"/>
      <c r="H2826" s="956"/>
      <c r="I2826" s="957"/>
      <c r="L2826" s="1012"/>
    </row>
    <row r="2827" spans="1:12" ht="41.25" customHeight="1" x14ac:dyDescent="0.25">
      <c r="A2827" s="958"/>
      <c r="B2827" s="958" t="s">
        <v>2967</v>
      </c>
      <c r="C2827" s="959" t="s">
        <v>472</v>
      </c>
      <c r="D2827" s="958" t="s">
        <v>2968</v>
      </c>
      <c r="E2827" s="959" t="s">
        <v>3066</v>
      </c>
      <c r="F2827" s="960" t="s">
        <v>1403</v>
      </c>
      <c r="G2827" s="958" t="s">
        <v>2969</v>
      </c>
      <c r="H2827" s="958" t="s">
        <v>3065</v>
      </c>
      <c r="I2827" s="961" t="s">
        <v>2531</v>
      </c>
    </row>
    <row r="2828" spans="1:12" ht="24.95" customHeight="1" x14ac:dyDescent="0.25">
      <c r="A2828" s="958"/>
      <c r="B2828" s="962" t="s">
        <v>3138</v>
      </c>
      <c r="C2828" s="959">
        <v>12</v>
      </c>
      <c r="D2828" s="962" t="s">
        <v>4728</v>
      </c>
      <c r="E2828" s="954"/>
      <c r="F2828" s="960"/>
      <c r="G2828" s="958"/>
      <c r="H2828" s="958"/>
      <c r="I2828" s="961">
        <f>I2829</f>
        <v>6.0000000000000005E-2</v>
      </c>
    </row>
    <row r="2829" spans="1:12" ht="24.95" customHeight="1" x14ac:dyDescent="0.25">
      <c r="A2829" s="958"/>
      <c r="B2829" s="962" t="s">
        <v>3139</v>
      </c>
      <c r="C2829" s="959">
        <v>122</v>
      </c>
      <c r="D2829" s="962" t="s">
        <v>3143</v>
      </c>
      <c r="E2829" s="954"/>
      <c r="F2829" s="960"/>
      <c r="G2829" s="958"/>
      <c r="H2829" s="958"/>
      <c r="I2829" s="961">
        <f>I2831</f>
        <v>6.0000000000000005E-2</v>
      </c>
    </row>
    <row r="2830" spans="1:12" ht="24.95" customHeight="1" x14ac:dyDescent="0.25">
      <c r="A2830" s="958"/>
      <c r="B2830" s="962" t="s">
        <v>3137</v>
      </c>
      <c r="C2830" s="959">
        <v>6</v>
      </c>
      <c r="D2830" s="962" t="s">
        <v>4729</v>
      </c>
      <c r="E2830" s="954"/>
      <c r="F2830" s="960"/>
      <c r="G2830" s="958"/>
      <c r="H2830" s="958"/>
      <c r="I2830" s="961">
        <f>I2831</f>
        <v>6.0000000000000005E-2</v>
      </c>
    </row>
    <row r="2831" spans="1:12" s="946" customFormat="1" ht="24.95" customHeight="1" x14ac:dyDescent="0.25">
      <c r="B2831" s="963" t="s">
        <v>2950</v>
      </c>
      <c r="C2831" s="959">
        <v>5</v>
      </c>
      <c r="D2831" s="963" t="s">
        <v>4688</v>
      </c>
      <c r="E2831" s="954"/>
      <c r="F2831" s="955"/>
      <c r="H2831" s="956"/>
      <c r="I2831" s="957">
        <f>SUM(I2832:I2837)</f>
        <v>6.0000000000000005E-2</v>
      </c>
    </row>
    <row r="2832" spans="1:12" ht="24.95" customHeight="1" x14ac:dyDescent="0.25">
      <c r="B2832" s="973">
        <v>129000</v>
      </c>
      <c r="C2832" s="974">
        <v>333904700000000</v>
      </c>
      <c r="D2832" s="973" t="s">
        <v>5084</v>
      </c>
      <c r="E2832" s="945"/>
      <c r="F2832" s="949">
        <v>20</v>
      </c>
      <c r="G2832" s="945">
        <v>0</v>
      </c>
      <c r="H2832" s="950">
        <v>0</v>
      </c>
      <c r="I2832" s="1039">
        <f>PUCFD!E2526</f>
        <v>0.01</v>
      </c>
    </row>
    <row r="2833" spans="1:9" ht="24.95" customHeight="1" x14ac:dyDescent="0.25">
      <c r="B2833" s="973">
        <v>129020</v>
      </c>
      <c r="C2833" s="974">
        <v>344903000000000</v>
      </c>
      <c r="D2833" s="973" t="s">
        <v>5018</v>
      </c>
      <c r="E2833" s="945"/>
      <c r="F2833" s="949">
        <v>20</v>
      </c>
      <c r="G2833" s="945">
        <v>0</v>
      </c>
      <c r="H2833" s="950">
        <v>0</v>
      </c>
      <c r="I2833" s="1039">
        <f>PUCFD!E2527</f>
        <v>0.01</v>
      </c>
    </row>
    <row r="2834" spans="1:9" ht="24.95" customHeight="1" x14ac:dyDescent="0.25">
      <c r="B2834" s="973">
        <v>129040</v>
      </c>
      <c r="C2834" s="974">
        <v>344903600000000</v>
      </c>
      <c r="D2834" s="973" t="s">
        <v>6453</v>
      </c>
      <c r="E2834" s="945"/>
      <c r="F2834" s="949">
        <v>20</v>
      </c>
      <c r="G2834" s="945">
        <v>0</v>
      </c>
      <c r="H2834" s="950">
        <v>0</v>
      </c>
      <c r="I2834" s="1039">
        <f>PUCFD!E2528</f>
        <v>0.01</v>
      </c>
    </row>
    <row r="2835" spans="1:9" ht="24.95" customHeight="1" x14ac:dyDescent="0.25">
      <c r="B2835" s="973">
        <v>129060</v>
      </c>
      <c r="C2835" s="974">
        <v>344903900000000</v>
      </c>
      <c r="D2835" s="973" t="s">
        <v>6454</v>
      </c>
      <c r="E2835" s="945"/>
      <c r="F2835" s="949">
        <v>20</v>
      </c>
      <c r="G2835" s="945">
        <v>0</v>
      </c>
      <c r="H2835" s="950">
        <v>0</v>
      </c>
      <c r="I2835" s="1039">
        <f>PUCFD!E2529</f>
        <v>0.01</v>
      </c>
    </row>
    <row r="2836" spans="1:9" ht="24.95" customHeight="1" x14ac:dyDescent="0.25">
      <c r="B2836" s="973">
        <v>129080</v>
      </c>
      <c r="C2836" s="974">
        <v>344905100000000</v>
      </c>
      <c r="D2836" s="973" t="s">
        <v>5087</v>
      </c>
      <c r="E2836" s="945"/>
      <c r="F2836" s="949">
        <v>20</v>
      </c>
      <c r="G2836" s="945">
        <v>0</v>
      </c>
      <c r="H2836" s="950">
        <v>0</v>
      </c>
      <c r="I2836" s="1039">
        <f>PUCFD!E2530</f>
        <v>0.01</v>
      </c>
    </row>
    <row r="2837" spans="1:9" ht="24.95" customHeight="1" x14ac:dyDescent="0.25">
      <c r="B2837" s="973">
        <v>129100</v>
      </c>
      <c r="C2837" s="974">
        <v>344905200000000</v>
      </c>
      <c r="D2837" s="973" t="s">
        <v>5022</v>
      </c>
      <c r="E2837" s="945"/>
      <c r="F2837" s="949">
        <v>20</v>
      </c>
      <c r="G2837" s="945">
        <v>0</v>
      </c>
      <c r="H2837" s="950">
        <v>0</v>
      </c>
      <c r="I2837" s="1039">
        <f>PUCFD!E2531</f>
        <v>0.01</v>
      </c>
    </row>
    <row r="2838" spans="1:9" ht="24.95" customHeight="1" x14ac:dyDescent="0.25">
      <c r="A2838" s="958"/>
      <c r="B2838" s="962" t="s">
        <v>3138</v>
      </c>
      <c r="C2838" s="959">
        <v>12</v>
      </c>
      <c r="D2838" s="962" t="s">
        <v>4728</v>
      </c>
      <c r="E2838" s="954"/>
      <c r="F2838" s="960"/>
      <c r="G2838" s="958"/>
      <c r="H2838" s="958"/>
      <c r="I2838" s="961">
        <f>I2839</f>
        <v>476803.02678100561</v>
      </c>
    </row>
    <row r="2839" spans="1:9" ht="24.95" customHeight="1" x14ac:dyDescent="0.25">
      <c r="A2839" s="958"/>
      <c r="B2839" s="962" t="s">
        <v>3139</v>
      </c>
      <c r="C2839" s="959">
        <v>122</v>
      </c>
      <c r="D2839" s="962" t="s">
        <v>3143</v>
      </c>
      <c r="E2839" s="954"/>
      <c r="F2839" s="960"/>
      <c r="G2839" s="958"/>
      <c r="H2839" s="958"/>
      <c r="I2839" s="961">
        <f>I2841</f>
        <v>476803.02678100561</v>
      </c>
    </row>
    <row r="2840" spans="1:9" ht="24.95" customHeight="1" x14ac:dyDescent="0.25">
      <c r="A2840" s="958"/>
      <c r="B2840" s="962" t="s">
        <v>3137</v>
      </c>
      <c r="C2840" s="959">
        <v>6</v>
      </c>
      <c r="D2840" s="962" t="s">
        <v>4729</v>
      </c>
      <c r="E2840" s="954"/>
      <c r="F2840" s="960"/>
      <c r="G2840" s="958"/>
      <c r="H2840" s="958"/>
      <c r="I2840" s="961">
        <f>I2841</f>
        <v>476803.02678100561</v>
      </c>
    </row>
    <row r="2841" spans="1:9" s="946" customFormat="1" ht="24.95" customHeight="1" x14ac:dyDescent="0.25">
      <c r="B2841" s="963" t="s">
        <v>2965</v>
      </c>
      <c r="C2841" s="959">
        <v>49</v>
      </c>
      <c r="D2841" s="963" t="s">
        <v>4772</v>
      </c>
      <c r="E2841" s="954"/>
      <c r="F2841" s="960"/>
      <c r="G2841" s="963"/>
      <c r="H2841" s="958"/>
      <c r="I2841" s="957">
        <f>SUM(I2842:I2864)</f>
        <v>476803.02678100561</v>
      </c>
    </row>
    <row r="2842" spans="1:9" s="946" customFormat="1" ht="24.95" customHeight="1" x14ac:dyDescent="0.25">
      <c r="B2842" s="973">
        <v>129200</v>
      </c>
      <c r="C2842" s="974">
        <v>331900400000000</v>
      </c>
      <c r="D2842" s="973" t="s">
        <v>6364</v>
      </c>
      <c r="E2842" s="954"/>
      <c r="F2842" s="949">
        <v>31</v>
      </c>
      <c r="G2842" s="945">
        <v>0</v>
      </c>
      <c r="H2842" s="950">
        <v>0</v>
      </c>
      <c r="I2842" s="951">
        <f>SUM(PUCFD!E2534:E2536)*(1+PUCFD!E$87)-55000.16</f>
        <v>118772.88739399568</v>
      </c>
    </row>
    <row r="2843" spans="1:9" s="946" customFormat="1" ht="24.95" customHeight="1" x14ac:dyDescent="0.25">
      <c r="B2843" s="973">
        <v>129215</v>
      </c>
      <c r="C2843" s="974">
        <v>331900400000000</v>
      </c>
      <c r="D2843" s="973" t="s">
        <v>6364</v>
      </c>
      <c r="E2843" s="954"/>
      <c r="F2843" s="1433">
        <v>20</v>
      </c>
      <c r="G2843" s="945">
        <v>0</v>
      </c>
      <c r="H2843" s="1432">
        <v>0</v>
      </c>
      <c r="I2843" s="951">
        <v>55000.160000000003</v>
      </c>
    </row>
    <row r="2844" spans="1:9" s="946" customFormat="1" ht="24.95" customHeight="1" x14ac:dyDescent="0.25">
      <c r="B2844" s="1048">
        <v>129220</v>
      </c>
      <c r="C2844" s="1049">
        <v>331900800000000</v>
      </c>
      <c r="D2844" s="1048" t="s">
        <v>6455</v>
      </c>
      <c r="E2844" s="1050"/>
      <c r="F2844" s="1051">
        <v>1</v>
      </c>
      <c r="G2844" s="1052">
        <v>0</v>
      </c>
      <c r="H2844" s="1053">
        <v>0</v>
      </c>
      <c r="I2844" s="1054">
        <f>SUM(I2845+I2847+I2848)*PUCFD!E$94</f>
        <v>18551.25228121418</v>
      </c>
    </row>
    <row r="2845" spans="1:9" s="946" customFormat="1" ht="24.95" customHeight="1" x14ac:dyDescent="0.25">
      <c r="B2845" s="973">
        <v>129240</v>
      </c>
      <c r="C2845" s="974">
        <v>331901100000000</v>
      </c>
      <c r="D2845" s="973" t="s">
        <v>6456</v>
      </c>
      <c r="E2845" s="954"/>
      <c r="F2845" s="949">
        <v>20</v>
      </c>
      <c r="G2845" s="945">
        <v>0</v>
      </c>
      <c r="H2845" s="950">
        <v>0</v>
      </c>
      <c r="I2845" s="951">
        <f>SUM(PUCFD!E2539:E2548)*(1+PUCFD!E$87)</f>
        <v>117568.59718927182</v>
      </c>
    </row>
    <row r="2846" spans="1:9" s="946" customFormat="1" ht="24.95" customHeight="1" x14ac:dyDescent="0.25">
      <c r="B2846" s="973">
        <v>129280</v>
      </c>
      <c r="C2846" s="974">
        <v>331901300000000</v>
      </c>
      <c r="D2846" s="973" t="s">
        <v>6457</v>
      </c>
      <c r="E2846" s="954"/>
      <c r="F2846" s="949">
        <v>20</v>
      </c>
      <c r="G2846" s="945">
        <v>0</v>
      </c>
      <c r="H2846" s="950">
        <v>0</v>
      </c>
      <c r="I2846" s="951">
        <f>SUM(I2845+I2847+I2848)*PUCFD!E$92</f>
        <v>33758.777981412284</v>
      </c>
    </row>
    <row r="2847" spans="1:9" s="946" customFormat="1" ht="24.95" customHeight="1" x14ac:dyDescent="0.25">
      <c r="B2847" s="973">
        <v>129300</v>
      </c>
      <c r="C2847" s="974">
        <v>331901600000000</v>
      </c>
      <c r="D2847" s="973" t="s">
        <v>6367</v>
      </c>
      <c r="E2847" s="954"/>
      <c r="F2847" s="949">
        <v>20</v>
      </c>
      <c r="G2847" s="945">
        <v>0</v>
      </c>
      <c r="H2847" s="950">
        <v>0</v>
      </c>
      <c r="I2847" s="951">
        <f>PUCFD!E2550*(1+PUCFD!E$87)</f>
        <v>43187.478436500925</v>
      </c>
    </row>
    <row r="2848" spans="1:9" s="946" customFormat="1" ht="24.95" customHeight="1" x14ac:dyDescent="0.25">
      <c r="B2848" s="973">
        <v>129320</v>
      </c>
      <c r="C2848" s="974">
        <v>331903400000000</v>
      </c>
      <c r="D2848" s="973" t="s">
        <v>6458</v>
      </c>
      <c r="E2848" s="954"/>
      <c r="F2848" s="949">
        <v>20</v>
      </c>
      <c r="G2848" s="945">
        <v>0</v>
      </c>
      <c r="H2848" s="950">
        <v>0</v>
      </c>
      <c r="I2848" s="951">
        <f>PUCFD!E2551</f>
        <v>0.01</v>
      </c>
    </row>
    <row r="2849" spans="1:9" s="946" customFormat="1" ht="24.95" customHeight="1" x14ac:dyDescent="0.25">
      <c r="B2849" s="973">
        <v>129340</v>
      </c>
      <c r="C2849" s="974">
        <v>331909400000000</v>
      </c>
      <c r="D2849" s="973" t="s">
        <v>6369</v>
      </c>
      <c r="E2849" s="954"/>
      <c r="F2849" s="949">
        <v>20</v>
      </c>
      <c r="G2849" s="945">
        <v>0</v>
      </c>
      <c r="H2849" s="950">
        <v>0</v>
      </c>
      <c r="I2849" s="951">
        <f>SUM(PUCFD!E2553:E2554)*(1+PUCFD!E$87)</f>
        <v>15480.318491570586</v>
      </c>
    </row>
    <row r="2850" spans="1:9" s="946" customFormat="1" ht="24.95" customHeight="1" x14ac:dyDescent="0.25">
      <c r="B2850" s="973">
        <v>129360</v>
      </c>
      <c r="C2850" s="974">
        <v>333901400000000</v>
      </c>
      <c r="D2850" s="973" t="s">
        <v>5044</v>
      </c>
      <c r="E2850" s="954"/>
      <c r="F2850" s="949">
        <v>20</v>
      </c>
      <c r="G2850" s="945">
        <v>0</v>
      </c>
      <c r="H2850" s="950">
        <v>0</v>
      </c>
      <c r="I2850" s="951">
        <f>PUCFD!E2555</f>
        <v>1500</v>
      </c>
    </row>
    <row r="2851" spans="1:9" s="946" customFormat="1" ht="24.95" customHeight="1" x14ac:dyDescent="0.25">
      <c r="B2851" s="973">
        <v>129380</v>
      </c>
      <c r="C2851" s="974">
        <v>333903000000000</v>
      </c>
      <c r="D2851" s="973" t="s">
        <v>5018</v>
      </c>
      <c r="E2851" s="954"/>
      <c r="F2851" s="949">
        <v>20</v>
      </c>
      <c r="G2851" s="945">
        <v>0</v>
      </c>
      <c r="H2851" s="950">
        <v>0</v>
      </c>
      <c r="I2851" s="951">
        <f>PUCFD!E2556</f>
        <v>1500</v>
      </c>
    </row>
    <row r="2852" spans="1:9" s="946" customFormat="1" ht="24.95" customHeight="1" x14ac:dyDescent="0.25">
      <c r="B2852" s="973">
        <v>129420</v>
      </c>
      <c r="C2852" s="974">
        <v>333903200000000</v>
      </c>
      <c r="D2852" s="973" t="s">
        <v>6459</v>
      </c>
      <c r="E2852" s="954"/>
      <c r="F2852" s="949">
        <v>20</v>
      </c>
      <c r="G2852" s="945">
        <v>0</v>
      </c>
      <c r="H2852" s="950">
        <v>0</v>
      </c>
      <c r="I2852" s="951">
        <f>PUCFD!E2557</f>
        <v>0.01</v>
      </c>
    </row>
    <row r="2853" spans="1:9" s="946" customFormat="1" ht="24.95" customHeight="1" x14ac:dyDescent="0.25">
      <c r="B2853" s="973">
        <v>129440</v>
      </c>
      <c r="C2853" s="974">
        <v>333903300000000</v>
      </c>
      <c r="D2853" s="973" t="s">
        <v>5041</v>
      </c>
      <c r="E2853" s="954"/>
      <c r="F2853" s="949">
        <v>20</v>
      </c>
      <c r="G2853" s="945">
        <v>0</v>
      </c>
      <c r="H2853" s="950">
        <v>0</v>
      </c>
      <c r="I2853" s="951">
        <f>PUCFD!E2558</f>
        <v>500</v>
      </c>
    </row>
    <row r="2854" spans="1:9" s="946" customFormat="1" ht="24.95" customHeight="1" x14ac:dyDescent="0.25">
      <c r="B2854" s="973">
        <v>129460</v>
      </c>
      <c r="C2854" s="974">
        <v>333903500000000</v>
      </c>
      <c r="D2854" s="973" t="s">
        <v>5094</v>
      </c>
      <c r="E2854" s="954"/>
      <c r="F2854" s="949">
        <v>20</v>
      </c>
      <c r="G2854" s="945">
        <v>0</v>
      </c>
      <c r="H2854" s="950">
        <v>0</v>
      </c>
      <c r="I2854" s="951">
        <f>PUCFD!E2559</f>
        <v>0.01</v>
      </c>
    </row>
    <row r="2855" spans="1:9" s="946" customFormat="1" ht="24.95" customHeight="1" x14ac:dyDescent="0.25">
      <c r="B2855" s="973">
        <v>129480</v>
      </c>
      <c r="C2855" s="974">
        <v>333903600000000</v>
      </c>
      <c r="D2855" s="973" t="s">
        <v>6453</v>
      </c>
      <c r="E2855" s="954"/>
      <c r="F2855" s="949">
        <v>20</v>
      </c>
      <c r="G2855" s="945">
        <v>0</v>
      </c>
      <c r="H2855" s="950">
        <v>0</v>
      </c>
      <c r="I2855" s="951">
        <f>PUCFD!E2560</f>
        <v>0.01</v>
      </c>
    </row>
    <row r="2856" spans="1:9" s="946" customFormat="1" ht="24.95" customHeight="1" x14ac:dyDescent="0.25">
      <c r="B2856" s="973">
        <v>129520</v>
      </c>
      <c r="C2856" s="974">
        <v>333903900000000</v>
      </c>
      <c r="D2856" s="973" t="s">
        <v>6454</v>
      </c>
      <c r="E2856" s="954"/>
      <c r="F2856" s="949">
        <v>20</v>
      </c>
      <c r="G2856" s="945">
        <v>0</v>
      </c>
      <c r="H2856" s="950">
        <v>0</v>
      </c>
      <c r="I2856" s="951">
        <f>PUCFD!E2561-30000</f>
        <v>5701.4550000000017</v>
      </c>
    </row>
    <row r="2857" spans="1:9" s="946" customFormat="1" ht="24.95" customHeight="1" x14ac:dyDescent="0.25">
      <c r="A2857" s="996"/>
      <c r="B2857" s="966">
        <v>129560</v>
      </c>
      <c r="C2857" s="967">
        <v>333904600000000</v>
      </c>
      <c r="D2857" s="966" t="s">
        <v>5040</v>
      </c>
      <c r="E2857" s="984"/>
      <c r="F2857" s="1055">
        <v>1</v>
      </c>
      <c r="G2857" s="971">
        <v>0</v>
      </c>
      <c r="H2857" s="998">
        <v>0</v>
      </c>
      <c r="I2857" s="1046">
        <f>PUCFD!E2562*(1+PUCFD!E$10)*(1+PUCFD!E$16)</f>
        <v>46435.930007039999</v>
      </c>
    </row>
    <row r="2858" spans="1:9" s="946" customFormat="1" ht="24.95" customHeight="1" x14ac:dyDescent="0.25">
      <c r="B2858" s="973">
        <v>129580</v>
      </c>
      <c r="C2858" s="974">
        <v>333904700000000</v>
      </c>
      <c r="D2858" s="973" t="s">
        <v>5095</v>
      </c>
      <c r="E2858" s="954"/>
      <c r="F2858" s="949">
        <v>20</v>
      </c>
      <c r="G2858" s="945">
        <v>0</v>
      </c>
      <c r="H2858" s="950">
        <v>0</v>
      </c>
      <c r="I2858" s="951">
        <f>PUCFD!E2563</f>
        <v>0.01</v>
      </c>
    </row>
    <row r="2859" spans="1:9" s="946" customFormat="1" ht="24.95" customHeight="1" x14ac:dyDescent="0.25">
      <c r="B2859" s="973">
        <v>129600</v>
      </c>
      <c r="C2859" s="974">
        <v>333904900000000</v>
      </c>
      <c r="D2859" s="973" t="s">
        <v>5038</v>
      </c>
      <c r="E2859" s="954"/>
      <c r="F2859" s="949">
        <v>20</v>
      </c>
      <c r="G2859" s="945">
        <v>0</v>
      </c>
      <c r="H2859" s="950">
        <v>0</v>
      </c>
      <c r="I2859" s="951">
        <f>PUCFD!E2564</f>
        <v>18346.079999999998</v>
      </c>
    </row>
    <row r="2860" spans="1:9" s="946" customFormat="1" ht="24.95" customHeight="1" x14ac:dyDescent="0.25">
      <c r="B2860" s="973">
        <v>129620</v>
      </c>
      <c r="C2860" s="974">
        <v>333909200000000</v>
      </c>
      <c r="D2860" s="973" t="s">
        <v>5037</v>
      </c>
      <c r="E2860" s="954"/>
      <c r="F2860" s="949">
        <v>20</v>
      </c>
      <c r="G2860" s="945">
        <v>0</v>
      </c>
      <c r="H2860" s="950">
        <v>0</v>
      </c>
      <c r="I2860" s="951">
        <f>PUCFD!E2565</f>
        <v>0.01</v>
      </c>
    </row>
    <row r="2861" spans="1:9" s="946" customFormat="1" ht="24.95" customHeight="1" x14ac:dyDescent="0.25">
      <c r="B2861" s="973">
        <v>129640</v>
      </c>
      <c r="C2861" s="974">
        <v>333909300000000</v>
      </c>
      <c r="D2861" s="973" t="s">
        <v>5036</v>
      </c>
      <c r="E2861" s="954"/>
      <c r="F2861" s="949">
        <v>20</v>
      </c>
      <c r="G2861" s="945">
        <v>0</v>
      </c>
      <c r="H2861" s="950">
        <v>0</v>
      </c>
      <c r="I2861" s="951">
        <f>PUCFD!E2566</f>
        <v>500</v>
      </c>
    </row>
    <row r="2862" spans="1:9" s="946" customFormat="1" ht="24.95" customHeight="1" x14ac:dyDescent="0.25">
      <c r="B2862" s="973">
        <v>129660</v>
      </c>
      <c r="C2862" s="974">
        <v>333933000000000</v>
      </c>
      <c r="D2862" s="973" t="s">
        <v>5035</v>
      </c>
      <c r="E2862" s="954"/>
      <c r="F2862" s="949">
        <v>20</v>
      </c>
      <c r="G2862" s="945">
        <v>0</v>
      </c>
      <c r="H2862" s="950">
        <v>0</v>
      </c>
      <c r="I2862" s="951">
        <f>PUCFD!E2567</f>
        <v>0.01</v>
      </c>
    </row>
    <row r="2863" spans="1:9" s="946" customFormat="1" ht="24.95" customHeight="1" x14ac:dyDescent="0.25">
      <c r="B2863" s="973">
        <v>129680</v>
      </c>
      <c r="C2863" s="974">
        <v>344905100000000</v>
      </c>
      <c r="D2863" s="973" t="s">
        <v>5087</v>
      </c>
      <c r="E2863" s="954"/>
      <c r="F2863" s="949">
        <v>20</v>
      </c>
      <c r="G2863" s="945">
        <v>0</v>
      </c>
      <c r="H2863" s="950">
        <v>0</v>
      </c>
      <c r="I2863" s="951">
        <f>PUCFD!E2568</f>
        <v>0.01</v>
      </c>
    </row>
    <row r="2864" spans="1:9" s="946" customFormat="1" ht="24.95" customHeight="1" x14ac:dyDescent="0.25">
      <c r="B2864" s="973">
        <v>129700</v>
      </c>
      <c r="C2864" s="974">
        <v>344905200000000</v>
      </c>
      <c r="D2864" s="973" t="s">
        <v>5022</v>
      </c>
      <c r="E2864" s="954"/>
      <c r="F2864" s="949">
        <v>20</v>
      </c>
      <c r="G2864" s="945">
        <v>0</v>
      </c>
      <c r="H2864" s="950">
        <v>0</v>
      </c>
      <c r="I2864" s="951">
        <f>PUCFD!E2569</f>
        <v>0.01</v>
      </c>
    </row>
    <row r="2865" spans="1:11" ht="24.95" customHeight="1" x14ac:dyDescent="0.25">
      <c r="A2865" s="958"/>
      <c r="B2865" s="962" t="s">
        <v>3138</v>
      </c>
      <c r="C2865" s="959">
        <v>12</v>
      </c>
      <c r="D2865" s="962" t="s">
        <v>4728</v>
      </c>
      <c r="E2865" s="954"/>
      <c r="F2865" s="960"/>
      <c r="G2865" s="958"/>
      <c r="H2865" s="958"/>
      <c r="I2865" s="961">
        <f>I2866</f>
        <v>0.01</v>
      </c>
    </row>
    <row r="2866" spans="1:11" ht="24.95" customHeight="1" x14ac:dyDescent="0.25">
      <c r="A2866" s="958"/>
      <c r="B2866" s="962" t="s">
        <v>3139</v>
      </c>
      <c r="C2866" s="959">
        <v>126</v>
      </c>
      <c r="D2866" s="962" t="s">
        <v>3600</v>
      </c>
      <c r="E2866" s="954"/>
      <c r="F2866" s="960"/>
      <c r="G2866" s="958"/>
      <c r="H2866" s="958"/>
      <c r="I2866" s="961">
        <f>I2868</f>
        <v>0.01</v>
      </c>
    </row>
    <row r="2867" spans="1:11" ht="24.95" customHeight="1" x14ac:dyDescent="0.25">
      <c r="A2867" s="958"/>
      <c r="B2867" s="962" t="s">
        <v>3137</v>
      </c>
      <c r="C2867" s="959">
        <v>6</v>
      </c>
      <c r="D2867" s="962" t="s">
        <v>4729</v>
      </c>
      <c r="E2867" s="954"/>
      <c r="F2867" s="960"/>
      <c r="G2867" s="958"/>
      <c r="H2867" s="958"/>
      <c r="I2867" s="961">
        <f>I2868</f>
        <v>0.01</v>
      </c>
    </row>
    <row r="2868" spans="1:11" s="946" customFormat="1" ht="24.95" customHeight="1" x14ac:dyDescent="0.25">
      <c r="B2868" s="963" t="s">
        <v>2965</v>
      </c>
      <c r="C2868" s="959">
        <v>49</v>
      </c>
      <c r="D2868" s="963" t="s">
        <v>4772</v>
      </c>
      <c r="E2868" s="954"/>
      <c r="F2868" s="960"/>
      <c r="G2868" s="963"/>
      <c r="H2868" s="958"/>
      <c r="I2868" s="957">
        <f>I2869</f>
        <v>0.01</v>
      </c>
    </row>
    <row r="2869" spans="1:11" ht="33.75" customHeight="1" x14ac:dyDescent="0.25">
      <c r="B2869" s="973">
        <v>129750</v>
      </c>
      <c r="C2869" s="974">
        <v>333904000000000</v>
      </c>
      <c r="D2869" s="973" t="s">
        <v>5978</v>
      </c>
      <c r="F2869" s="949">
        <v>20</v>
      </c>
      <c r="G2869" s="945">
        <v>0</v>
      </c>
      <c r="H2869" s="950">
        <v>0</v>
      </c>
      <c r="I2869" s="1039">
        <f>PUCFD!E2571</f>
        <v>0.01</v>
      </c>
    </row>
    <row r="2870" spans="1:11" ht="24.95" customHeight="1" x14ac:dyDescent="0.25">
      <c r="A2870" s="958"/>
      <c r="B2870" s="962" t="s">
        <v>3138</v>
      </c>
      <c r="C2870" s="959">
        <v>12</v>
      </c>
      <c r="D2870" s="962" t="s">
        <v>4728</v>
      </c>
      <c r="E2870" s="954"/>
      <c r="F2870" s="960"/>
      <c r="G2870" s="958"/>
      <c r="H2870" s="958"/>
      <c r="I2870" s="961">
        <f>I2871</f>
        <v>0.05</v>
      </c>
    </row>
    <row r="2871" spans="1:11" ht="24.95" customHeight="1" x14ac:dyDescent="0.25">
      <c r="A2871" s="958"/>
      <c r="B2871" s="962" t="s">
        <v>3139</v>
      </c>
      <c r="C2871" s="959">
        <v>128</v>
      </c>
      <c r="D2871" s="962" t="s">
        <v>5104</v>
      </c>
      <c r="E2871" s="954"/>
      <c r="F2871" s="960"/>
      <c r="G2871" s="958"/>
      <c r="H2871" s="958"/>
      <c r="I2871" s="961">
        <f>I2873</f>
        <v>0.05</v>
      </c>
    </row>
    <row r="2872" spans="1:11" ht="24.95" customHeight="1" x14ac:dyDescent="0.25">
      <c r="A2872" s="958"/>
      <c r="B2872" s="962" t="s">
        <v>3137</v>
      </c>
      <c r="C2872" s="959">
        <v>6</v>
      </c>
      <c r="D2872" s="962" t="s">
        <v>4729</v>
      </c>
      <c r="E2872" s="954"/>
      <c r="F2872" s="960"/>
      <c r="G2872" s="958"/>
      <c r="H2872" s="958"/>
      <c r="I2872" s="961">
        <f>I2873</f>
        <v>0.05</v>
      </c>
    </row>
    <row r="2873" spans="1:11" s="946" customFormat="1" ht="24.95" customHeight="1" x14ac:dyDescent="0.25">
      <c r="B2873" s="963" t="s">
        <v>2965</v>
      </c>
      <c r="C2873" s="959">
        <v>49</v>
      </c>
      <c r="D2873" s="963" t="s">
        <v>4772</v>
      </c>
      <c r="E2873" s="954"/>
      <c r="F2873" s="960"/>
      <c r="G2873" s="963"/>
      <c r="H2873" s="958"/>
      <c r="I2873" s="957">
        <f>SUM(I2874:I2878)</f>
        <v>0.05</v>
      </c>
    </row>
    <row r="2874" spans="1:11" s="946" customFormat="1" ht="24.95" customHeight="1" x14ac:dyDescent="0.25">
      <c r="B2874" s="973">
        <v>129800</v>
      </c>
      <c r="C2874" s="974">
        <v>333901400000000</v>
      </c>
      <c r="D2874" s="973" t="s">
        <v>6460</v>
      </c>
      <c r="E2874" s="954"/>
      <c r="F2874" s="949">
        <v>20</v>
      </c>
      <c r="G2874" s="945">
        <v>0</v>
      </c>
      <c r="H2874" s="950">
        <v>0</v>
      </c>
      <c r="I2874" s="951">
        <f>PUCFD!E2573</f>
        <v>0.01</v>
      </c>
    </row>
    <row r="2875" spans="1:11" s="946" customFormat="1" ht="24.95" customHeight="1" x14ac:dyDescent="0.25">
      <c r="B2875" s="973">
        <v>129820</v>
      </c>
      <c r="C2875" s="974">
        <v>333903000000000</v>
      </c>
      <c r="D2875" s="973" t="s">
        <v>6461</v>
      </c>
      <c r="E2875" s="954"/>
      <c r="F2875" s="949"/>
      <c r="G2875" s="945"/>
      <c r="H2875" s="950"/>
      <c r="I2875" s="951">
        <f>PUCFD!E2574</f>
        <v>0.01</v>
      </c>
    </row>
    <row r="2876" spans="1:11" s="946" customFormat="1" ht="24.95" customHeight="1" x14ac:dyDescent="0.25">
      <c r="B2876" s="973">
        <v>129840</v>
      </c>
      <c r="C2876" s="974">
        <v>333903600000000</v>
      </c>
      <c r="D2876" s="973" t="s">
        <v>6462</v>
      </c>
      <c r="E2876" s="954"/>
      <c r="F2876" s="949"/>
      <c r="G2876" s="945"/>
      <c r="H2876" s="950"/>
      <c r="I2876" s="951">
        <f>PUCFD!E2575</f>
        <v>0.01</v>
      </c>
    </row>
    <row r="2877" spans="1:11" s="946" customFormat="1" ht="24.95" customHeight="1" x14ac:dyDescent="0.25">
      <c r="B2877" s="973">
        <v>129860</v>
      </c>
      <c r="C2877" s="974">
        <v>333903900000000</v>
      </c>
      <c r="D2877" s="973" t="s">
        <v>6463</v>
      </c>
      <c r="E2877" s="954"/>
      <c r="F2877" s="949">
        <v>20</v>
      </c>
      <c r="G2877" s="945">
        <v>0</v>
      </c>
      <c r="H2877" s="950">
        <v>0</v>
      </c>
      <c r="I2877" s="951">
        <f>PUCFD!E2576</f>
        <v>0.01</v>
      </c>
    </row>
    <row r="2878" spans="1:11" s="946" customFormat="1" ht="24.95" customHeight="1" x14ac:dyDescent="0.25">
      <c r="B2878" s="973">
        <v>129880</v>
      </c>
      <c r="C2878" s="974">
        <v>333904700000000</v>
      </c>
      <c r="D2878" s="973" t="s">
        <v>6464</v>
      </c>
      <c r="E2878" s="954"/>
      <c r="F2878" s="949">
        <v>20</v>
      </c>
      <c r="G2878" s="945">
        <v>0</v>
      </c>
      <c r="H2878" s="950">
        <v>0</v>
      </c>
      <c r="I2878" s="951">
        <f>PUCFD!E2577</f>
        <v>0.01</v>
      </c>
    </row>
    <row r="2879" spans="1:11" s="946" customFormat="1" ht="24.95" customHeight="1" x14ac:dyDescent="0.25">
      <c r="B2879" s="1608" t="s">
        <v>4831</v>
      </c>
      <c r="C2879" s="1608"/>
      <c r="D2879" s="1608"/>
      <c r="E2879" s="1608"/>
      <c r="F2879" s="1608"/>
      <c r="G2879" s="1608"/>
      <c r="H2879" s="1608"/>
      <c r="I2879" s="1024">
        <f>I2868+I2873+I2841+I2831</f>
        <v>476803.14678100561</v>
      </c>
      <c r="K2879" s="1039"/>
    </row>
    <row r="2880" spans="1:11" s="946" customFormat="1" ht="24.95" customHeight="1" x14ac:dyDescent="0.25">
      <c r="B2880" s="1608" t="s">
        <v>4833</v>
      </c>
      <c r="C2880" s="1608"/>
      <c r="D2880" s="1608"/>
      <c r="E2880" s="1608"/>
      <c r="F2880" s="1608"/>
      <c r="G2880" s="1608"/>
      <c r="H2880" s="1608"/>
      <c r="I2880" s="1024">
        <f>I2879</f>
        <v>476803.14678100561</v>
      </c>
      <c r="K2880" s="1039"/>
    </row>
    <row r="2881" spans="2:14" s="955" customFormat="1" ht="24.95" customHeight="1" x14ac:dyDescent="0.25">
      <c r="B2881" s="975"/>
      <c r="C2881" s="991"/>
      <c r="D2881" s="1009"/>
      <c r="E2881" s="954" t="s">
        <v>4777</v>
      </c>
      <c r="F2881" s="960"/>
      <c r="G2881" s="960"/>
      <c r="H2881" s="958"/>
      <c r="I2881" s="1030"/>
      <c r="K2881" s="1039"/>
    </row>
    <row r="2882" spans="2:14" s="955" customFormat="1" ht="24.95" customHeight="1" x14ac:dyDescent="0.25">
      <c r="B2882" s="975"/>
      <c r="C2882" s="991"/>
      <c r="D2882" s="1009"/>
      <c r="E2882" s="954"/>
      <c r="F2882" s="975">
        <v>1</v>
      </c>
      <c r="G2882" s="975">
        <v>0</v>
      </c>
      <c r="H2882" s="972">
        <v>0</v>
      </c>
      <c r="I2882" s="1056">
        <f>I2844+I2857</f>
        <v>64987.182288254175</v>
      </c>
      <c r="K2882" s="1039"/>
    </row>
    <row r="2883" spans="2:14" ht="24.95" customHeight="1" x14ac:dyDescent="0.25">
      <c r="F2883" s="949">
        <v>20</v>
      </c>
      <c r="G2883" s="945">
        <v>0</v>
      </c>
      <c r="H2883" s="950">
        <v>0</v>
      </c>
      <c r="I2883" s="951">
        <f>I2879-I2882</f>
        <v>411815.9644927514</v>
      </c>
      <c r="K2883" s="1039"/>
    </row>
    <row r="2884" spans="2:14" ht="24.95" customHeight="1" x14ac:dyDescent="0.25">
      <c r="B2884" s="946" t="s">
        <v>3088</v>
      </c>
      <c r="C2884" s="953" t="s">
        <v>4685</v>
      </c>
      <c r="D2884" s="946"/>
      <c r="E2884" s="954"/>
      <c r="F2884" s="955"/>
      <c r="G2884" s="946"/>
      <c r="H2884" s="956"/>
      <c r="I2884" s="946"/>
      <c r="L2884" s="990"/>
    </row>
    <row r="2885" spans="2:14" ht="24.95" customHeight="1" x14ac:dyDescent="0.25">
      <c r="B2885" s="946" t="s">
        <v>3087</v>
      </c>
      <c r="C2885" s="953" t="s">
        <v>5112</v>
      </c>
      <c r="D2885" s="946"/>
      <c r="E2885" s="954"/>
      <c r="F2885" s="955"/>
      <c r="G2885" s="946"/>
      <c r="H2885" s="956"/>
      <c r="I2885" s="946"/>
      <c r="J2885" s="951"/>
      <c r="K2885" s="1017"/>
      <c r="L2885" s="1017"/>
      <c r="M2885" s="1017"/>
    </row>
    <row r="2886" spans="2:14" ht="24.95" customHeight="1" x14ac:dyDescent="0.25">
      <c r="B2886" s="946" t="s">
        <v>3089</v>
      </c>
      <c r="C2886" s="953" t="s">
        <v>3146</v>
      </c>
      <c r="D2886" s="946"/>
      <c r="E2886" s="954"/>
      <c r="F2886" s="955"/>
      <c r="G2886" s="946"/>
      <c r="H2886" s="956"/>
      <c r="I2886" s="957"/>
      <c r="J2886" s="957"/>
      <c r="K2886" s="1013"/>
      <c r="L2886" s="1013"/>
      <c r="M2886" s="1013"/>
    </row>
    <row r="2887" spans="2:14" ht="34.5" customHeight="1" x14ac:dyDescent="0.25">
      <c r="B2887" s="958" t="s">
        <v>2967</v>
      </c>
      <c r="C2887" s="959" t="s">
        <v>472</v>
      </c>
      <c r="D2887" s="958" t="s">
        <v>2968</v>
      </c>
      <c r="E2887" s="954" t="s">
        <v>3066</v>
      </c>
      <c r="F2887" s="960" t="s">
        <v>1403</v>
      </c>
      <c r="G2887" s="958" t="s">
        <v>2969</v>
      </c>
      <c r="H2887" s="958" t="s">
        <v>3065</v>
      </c>
      <c r="I2887" s="961" t="s">
        <v>2531</v>
      </c>
      <c r="J2887" s="957"/>
      <c r="K2887" s="1013"/>
      <c r="L2887" s="1013"/>
      <c r="M2887" s="1013"/>
      <c r="N2887" s="990"/>
    </row>
    <row r="2888" spans="2:14" ht="24.95" customHeight="1" x14ac:dyDescent="0.25">
      <c r="B2888" s="962" t="s">
        <v>3138</v>
      </c>
      <c r="C2888" s="959">
        <v>12</v>
      </c>
      <c r="D2888" s="962" t="s">
        <v>4728</v>
      </c>
      <c r="E2888" s="958"/>
      <c r="F2888" s="960"/>
      <c r="G2888" s="958"/>
      <c r="H2888" s="956"/>
      <c r="I2888" s="957">
        <f>I2889</f>
        <v>288021.9505686445</v>
      </c>
    </row>
    <row r="2889" spans="2:14" ht="24.95" customHeight="1" x14ac:dyDescent="0.25">
      <c r="B2889" s="962" t="s">
        <v>3139</v>
      </c>
      <c r="C2889" s="959">
        <v>361</v>
      </c>
      <c r="D2889" s="962" t="s">
        <v>4731</v>
      </c>
      <c r="E2889" s="958"/>
      <c r="F2889" s="960"/>
      <c r="G2889" s="958"/>
      <c r="H2889" s="956"/>
      <c r="I2889" s="957">
        <f>I2890</f>
        <v>288021.9505686445</v>
      </c>
    </row>
    <row r="2890" spans="2:14" ht="24.95" customHeight="1" x14ac:dyDescent="0.25">
      <c r="B2890" s="962" t="s">
        <v>3137</v>
      </c>
      <c r="C2890" s="959">
        <v>13</v>
      </c>
      <c r="D2890" s="962" t="s">
        <v>4730</v>
      </c>
      <c r="E2890" s="958"/>
      <c r="F2890" s="960"/>
      <c r="G2890" s="958"/>
      <c r="H2890" s="956"/>
      <c r="I2890" s="957">
        <f>I2891</f>
        <v>288021.9505686445</v>
      </c>
    </row>
    <row r="2891" spans="2:14" ht="24.95" customHeight="1" x14ac:dyDescent="0.25">
      <c r="B2891" s="963" t="s">
        <v>2965</v>
      </c>
      <c r="C2891" s="959">
        <v>19</v>
      </c>
      <c r="D2891" s="963" t="s">
        <v>4719</v>
      </c>
      <c r="E2891" s="963"/>
      <c r="F2891" s="960"/>
      <c r="G2891" s="963"/>
      <c r="H2891" s="956"/>
      <c r="I2891" s="957">
        <f>SUM(I2892:I2893)</f>
        <v>288021.9505686445</v>
      </c>
    </row>
    <row r="2892" spans="2:14" ht="24.95" customHeight="1" x14ac:dyDescent="0.25">
      <c r="B2892" s="973">
        <v>105000</v>
      </c>
      <c r="C2892" s="1011">
        <v>333903000000000</v>
      </c>
      <c r="D2892" s="973" t="s">
        <v>6466</v>
      </c>
      <c r="E2892" s="945"/>
      <c r="F2892" s="975">
        <v>1013</v>
      </c>
      <c r="G2892" s="973">
        <v>0</v>
      </c>
      <c r="I2892" s="1039">
        <f>PUCFD!E2580</f>
        <v>20000</v>
      </c>
    </row>
    <row r="2893" spans="2:14" ht="24.95" customHeight="1" x14ac:dyDescent="0.25">
      <c r="B2893" s="973">
        <v>105100</v>
      </c>
      <c r="C2893" s="1011">
        <v>333903900000000</v>
      </c>
      <c r="D2893" s="973" t="s">
        <v>6465</v>
      </c>
      <c r="E2893" s="945"/>
      <c r="F2893" s="975">
        <v>1013</v>
      </c>
      <c r="G2893" s="973">
        <v>0</v>
      </c>
      <c r="I2893" s="1039">
        <f>PUCFD!E2581</f>
        <v>268021.9505686445</v>
      </c>
    </row>
    <row r="2894" spans="2:14" ht="24.95" customHeight="1" x14ac:dyDescent="0.25">
      <c r="B2894" s="962" t="s">
        <v>3138</v>
      </c>
      <c r="C2894" s="959">
        <v>12</v>
      </c>
      <c r="D2894" s="962" t="s">
        <v>4728</v>
      </c>
      <c r="E2894" s="946"/>
      <c r="F2894" s="960"/>
      <c r="G2894" s="958"/>
      <c r="H2894" s="958"/>
      <c r="I2894" s="957">
        <f>I2895</f>
        <v>316002.31838948198</v>
      </c>
    </row>
    <row r="2895" spans="2:14" ht="24.95" customHeight="1" x14ac:dyDescent="0.25">
      <c r="B2895" s="962" t="s">
        <v>3139</v>
      </c>
      <c r="C2895" s="959">
        <v>362</v>
      </c>
      <c r="D2895" s="962" t="s">
        <v>4838</v>
      </c>
      <c r="E2895" s="946"/>
      <c r="F2895" s="960"/>
      <c r="G2895" s="958"/>
      <c r="H2895" s="958"/>
      <c r="I2895" s="957">
        <f>I2896</f>
        <v>316002.31838948198</v>
      </c>
    </row>
    <row r="2896" spans="2:14" ht="24.95" customHeight="1" x14ac:dyDescent="0.25">
      <c r="B2896" s="962" t="s">
        <v>3137</v>
      </c>
      <c r="C2896" s="959">
        <v>18</v>
      </c>
      <c r="D2896" s="962" t="s">
        <v>4839</v>
      </c>
      <c r="E2896" s="946"/>
      <c r="F2896" s="960"/>
      <c r="G2896" s="958"/>
      <c r="H2896" s="958"/>
      <c r="I2896" s="957">
        <f>I2897</f>
        <v>316002.31838948198</v>
      </c>
    </row>
    <row r="2897" spans="2:9" ht="24.95" customHeight="1" x14ac:dyDescent="0.25">
      <c r="B2897" s="963" t="s">
        <v>2965</v>
      </c>
      <c r="C2897" s="959">
        <v>24</v>
      </c>
      <c r="D2897" s="963" t="s">
        <v>4837</v>
      </c>
      <c r="E2897" s="946"/>
      <c r="F2897" s="960"/>
      <c r="G2897" s="963"/>
      <c r="H2897" s="963"/>
      <c r="I2897" s="957">
        <f>SUM(I2898:I2899)</f>
        <v>316002.31838948198</v>
      </c>
    </row>
    <row r="2898" spans="2:9" ht="24.95" customHeight="1" x14ac:dyDescent="0.25">
      <c r="B2898" s="973">
        <v>105200</v>
      </c>
      <c r="C2898" s="1011">
        <v>333903000000000</v>
      </c>
      <c r="D2898" s="973" t="s">
        <v>6467</v>
      </c>
      <c r="E2898" s="946"/>
      <c r="F2898" s="975">
        <v>1013</v>
      </c>
      <c r="G2898" s="973">
        <v>0</v>
      </c>
      <c r="I2898" s="1039">
        <f>PUCFD!E2583</f>
        <v>20000</v>
      </c>
    </row>
    <row r="2899" spans="2:9" ht="24.95" customHeight="1" x14ac:dyDescent="0.25">
      <c r="B2899" s="973">
        <v>105300</v>
      </c>
      <c r="C2899" s="1011">
        <v>333903900000000</v>
      </c>
      <c r="D2899" s="973" t="s">
        <v>6468</v>
      </c>
      <c r="E2899" s="946"/>
      <c r="F2899" s="975">
        <v>1013</v>
      </c>
      <c r="G2899" s="973">
        <v>0</v>
      </c>
      <c r="I2899" s="1039">
        <f>PUCFD!E2584+116.99-57.33</f>
        <v>296002.31838948198</v>
      </c>
    </row>
    <row r="2900" spans="2:9" ht="24.95" customHeight="1" x14ac:dyDescent="0.25">
      <c r="B2900" s="1608" t="s">
        <v>4831</v>
      </c>
      <c r="C2900" s="1608"/>
      <c r="D2900" s="1608"/>
      <c r="E2900" s="1608"/>
      <c r="F2900" s="1608"/>
      <c r="G2900" s="1608"/>
      <c r="H2900" s="1608"/>
      <c r="I2900" s="1024">
        <f>I2897+I2891</f>
        <v>604024.26895812643</v>
      </c>
    </row>
    <row r="2901" spans="2:9" ht="24.95" customHeight="1" x14ac:dyDescent="0.25">
      <c r="B2901" s="1608" t="s">
        <v>6469</v>
      </c>
      <c r="C2901" s="1608"/>
      <c r="D2901" s="1608"/>
      <c r="E2901" s="1608"/>
      <c r="F2901" s="1608"/>
      <c r="G2901" s="1608"/>
      <c r="H2901" s="1608"/>
      <c r="I2901" s="1024">
        <f>I2900</f>
        <v>604024.26895812643</v>
      </c>
    </row>
    <row r="2902" spans="2:9" ht="24.95" customHeight="1" x14ac:dyDescent="0.25">
      <c r="B2902" s="987"/>
      <c r="C2902" s="987"/>
      <c r="D2902" s="987"/>
      <c r="E2902" s="954" t="s">
        <v>4777</v>
      </c>
      <c r="F2902" s="960"/>
      <c r="G2902" s="960"/>
      <c r="H2902" s="958"/>
      <c r="I2902" s="1030"/>
    </row>
    <row r="2903" spans="2:9" ht="24.95" customHeight="1" x14ac:dyDescent="0.25">
      <c r="B2903" s="987"/>
      <c r="C2903" s="987"/>
      <c r="D2903" s="987"/>
      <c r="F2903" s="949">
        <v>1013</v>
      </c>
      <c r="G2903" s="945">
        <v>0</v>
      </c>
      <c r="H2903" s="950">
        <v>0</v>
      </c>
      <c r="I2903" s="951">
        <f>I2901</f>
        <v>604024.26895812643</v>
      </c>
    </row>
    <row r="2905" spans="2:9" ht="24.95" customHeight="1" x14ac:dyDescent="0.25">
      <c r="B2905" s="946" t="s">
        <v>3088</v>
      </c>
      <c r="C2905" s="953" t="s">
        <v>4685</v>
      </c>
      <c r="D2905" s="946"/>
      <c r="E2905" s="954"/>
      <c r="F2905" s="955"/>
      <c r="G2905" s="946"/>
      <c r="H2905" s="956"/>
      <c r="I2905" s="946"/>
    </row>
    <row r="2906" spans="2:9" ht="24.95" customHeight="1" x14ac:dyDescent="0.25">
      <c r="B2906" s="946" t="s">
        <v>3087</v>
      </c>
      <c r="C2906" s="953" t="s">
        <v>5113</v>
      </c>
      <c r="D2906" s="946"/>
      <c r="E2906" s="954"/>
      <c r="F2906" s="955"/>
      <c r="G2906" s="946"/>
      <c r="H2906" s="956"/>
      <c r="I2906" s="946"/>
    </row>
    <row r="2907" spans="2:9" ht="24.95" customHeight="1" x14ac:dyDescent="0.25">
      <c r="B2907" s="946" t="s">
        <v>3089</v>
      </c>
      <c r="C2907" s="953" t="s">
        <v>3146</v>
      </c>
      <c r="D2907" s="946"/>
      <c r="E2907" s="954"/>
      <c r="F2907" s="955"/>
      <c r="G2907" s="946"/>
      <c r="H2907" s="956"/>
      <c r="I2907" s="957"/>
    </row>
    <row r="2908" spans="2:9" ht="35.25" customHeight="1" x14ac:dyDescent="0.25">
      <c r="B2908" s="958" t="s">
        <v>2967</v>
      </c>
      <c r="C2908" s="959" t="s">
        <v>472</v>
      </c>
      <c r="D2908" s="958" t="s">
        <v>2968</v>
      </c>
      <c r="E2908" s="954" t="s">
        <v>3066</v>
      </c>
      <c r="F2908" s="960" t="s">
        <v>1403</v>
      </c>
      <c r="G2908" s="958" t="s">
        <v>2969</v>
      </c>
      <c r="H2908" s="958" t="s">
        <v>3065</v>
      </c>
      <c r="I2908" s="961" t="s">
        <v>2531</v>
      </c>
    </row>
    <row r="2909" spans="2:9" ht="24.95" customHeight="1" x14ac:dyDescent="0.25">
      <c r="B2909" s="962" t="s">
        <v>3138</v>
      </c>
      <c r="C2909" s="959">
        <v>12</v>
      </c>
      <c r="D2909" s="962" t="s">
        <v>4728</v>
      </c>
      <c r="E2909" s="958"/>
      <c r="F2909" s="960"/>
      <c r="G2909" s="958"/>
      <c r="H2909" s="956"/>
      <c r="I2909" s="957">
        <f>I2910</f>
        <v>0.02</v>
      </c>
    </row>
    <row r="2910" spans="2:9" ht="24.95" customHeight="1" x14ac:dyDescent="0.25">
      <c r="B2910" s="962" t="s">
        <v>3139</v>
      </c>
      <c r="C2910" s="959">
        <v>361</v>
      </c>
      <c r="D2910" s="962" t="s">
        <v>4731</v>
      </c>
      <c r="E2910" s="958"/>
      <c r="F2910" s="960"/>
      <c r="G2910" s="958"/>
      <c r="H2910" s="956"/>
      <c r="I2910" s="957">
        <f>I2911</f>
        <v>0.02</v>
      </c>
    </row>
    <row r="2911" spans="2:9" ht="24.95" customHeight="1" x14ac:dyDescent="0.25">
      <c r="B2911" s="962" t="s">
        <v>3137</v>
      </c>
      <c r="C2911" s="959">
        <v>13</v>
      </c>
      <c r="D2911" s="962" t="s">
        <v>4730</v>
      </c>
      <c r="E2911" s="958"/>
      <c r="F2911" s="960"/>
      <c r="G2911" s="958"/>
      <c r="H2911" s="956"/>
      <c r="I2911" s="957">
        <f>I2912</f>
        <v>0.02</v>
      </c>
    </row>
    <row r="2912" spans="2:9" ht="24.95" customHeight="1" x14ac:dyDescent="0.25">
      <c r="B2912" s="963" t="s">
        <v>2950</v>
      </c>
      <c r="C2912" s="959">
        <v>12</v>
      </c>
      <c r="D2912" s="963" t="s">
        <v>5129</v>
      </c>
      <c r="E2912" s="963"/>
      <c r="F2912" s="960"/>
      <c r="G2912" s="963"/>
      <c r="H2912" s="956"/>
      <c r="I2912" s="957">
        <f>SUM(I2913:I2914)</f>
        <v>0.02</v>
      </c>
    </row>
    <row r="2913" spans="2:9" s="946" customFormat="1" ht="24.95" customHeight="1" x14ac:dyDescent="0.25">
      <c r="B2913" s="973">
        <v>105400</v>
      </c>
      <c r="C2913" s="974">
        <v>344905200000000</v>
      </c>
      <c r="D2913" s="973" t="s">
        <v>5156</v>
      </c>
      <c r="E2913" s="954"/>
      <c r="F2913" s="949">
        <v>31</v>
      </c>
      <c r="G2913" s="945">
        <v>0</v>
      </c>
      <c r="H2913" s="950">
        <v>0</v>
      </c>
      <c r="I2913" s="951">
        <f>PUCFD!E2587</f>
        <v>0.01</v>
      </c>
    </row>
    <row r="2914" spans="2:9" s="946" customFormat="1" ht="24.95" customHeight="1" x14ac:dyDescent="0.25">
      <c r="B2914" s="973">
        <v>105450</v>
      </c>
      <c r="C2914" s="974">
        <v>344905200000000</v>
      </c>
      <c r="D2914" s="973" t="s">
        <v>5156</v>
      </c>
      <c r="E2914" s="954"/>
      <c r="F2914" s="949">
        <v>1011</v>
      </c>
      <c r="G2914" s="945">
        <v>0</v>
      </c>
      <c r="H2914" s="950">
        <v>0</v>
      </c>
      <c r="I2914" s="951">
        <f>PUCFD!E2588</f>
        <v>0.01</v>
      </c>
    </row>
    <row r="2915" spans="2:9" ht="24.95" customHeight="1" x14ac:dyDescent="0.25">
      <c r="B2915" s="962" t="s">
        <v>3138</v>
      </c>
      <c r="C2915" s="959">
        <v>12</v>
      </c>
      <c r="D2915" s="962" t="s">
        <v>4728</v>
      </c>
      <c r="E2915" s="946"/>
      <c r="F2915" s="960"/>
      <c r="G2915" s="958"/>
      <c r="H2915" s="958"/>
      <c r="I2915" s="957">
        <f>I2916</f>
        <v>0.02</v>
      </c>
    </row>
    <row r="2916" spans="2:9" ht="24.95" customHeight="1" x14ac:dyDescent="0.25">
      <c r="B2916" s="962" t="s">
        <v>3139</v>
      </c>
      <c r="C2916" s="959">
        <v>365</v>
      </c>
      <c r="D2916" s="962" t="s">
        <v>4732</v>
      </c>
      <c r="E2916" s="946"/>
      <c r="F2916" s="960"/>
      <c r="G2916" s="958"/>
      <c r="H2916" s="958"/>
      <c r="I2916" s="957">
        <f>I2917</f>
        <v>0.02</v>
      </c>
    </row>
    <row r="2917" spans="2:9" ht="24.95" customHeight="1" x14ac:dyDescent="0.25">
      <c r="B2917" s="962" t="s">
        <v>3137</v>
      </c>
      <c r="C2917" s="959">
        <v>14</v>
      </c>
      <c r="D2917" s="962" t="s">
        <v>5115</v>
      </c>
      <c r="E2917" s="946"/>
      <c r="F2917" s="960"/>
      <c r="G2917" s="958"/>
      <c r="H2917" s="958"/>
      <c r="I2917" s="957">
        <f>I2918</f>
        <v>0.02</v>
      </c>
    </row>
    <row r="2918" spans="2:9" ht="24.95" customHeight="1" x14ac:dyDescent="0.25">
      <c r="B2918" s="963" t="s">
        <v>2950</v>
      </c>
      <c r="C2918" s="959">
        <v>13</v>
      </c>
      <c r="D2918" s="963" t="s">
        <v>5130</v>
      </c>
      <c r="E2918" s="946"/>
      <c r="F2918" s="960"/>
      <c r="G2918" s="963"/>
      <c r="H2918" s="963"/>
      <c r="I2918" s="957">
        <f>SUM(I2919:I2920)</f>
        <v>0.02</v>
      </c>
    </row>
    <row r="2919" spans="2:9" s="946" customFormat="1" ht="24.95" customHeight="1" x14ac:dyDescent="0.25">
      <c r="B2919" s="973">
        <v>105500</v>
      </c>
      <c r="C2919" s="974">
        <v>344905200000000</v>
      </c>
      <c r="D2919" s="973" t="s">
        <v>5131</v>
      </c>
      <c r="E2919" s="954"/>
      <c r="F2919" s="949">
        <v>31</v>
      </c>
      <c r="G2919" s="945">
        <v>0</v>
      </c>
      <c r="H2919" s="950">
        <v>0</v>
      </c>
      <c r="I2919" s="951">
        <f>PUCFD!E2590</f>
        <v>0.01</v>
      </c>
    </row>
    <row r="2920" spans="2:9" s="946" customFormat="1" ht="24.95" customHeight="1" x14ac:dyDescent="0.25">
      <c r="B2920" s="973">
        <v>105550</v>
      </c>
      <c r="C2920" s="974">
        <v>344905200000000</v>
      </c>
      <c r="D2920" s="973" t="s">
        <v>5131</v>
      </c>
      <c r="E2920" s="954"/>
      <c r="F2920" s="949">
        <v>1011</v>
      </c>
      <c r="G2920" s="945">
        <v>0</v>
      </c>
      <c r="H2920" s="950">
        <v>0</v>
      </c>
      <c r="I2920" s="951">
        <f>PUCFD!E2591</f>
        <v>0.01</v>
      </c>
    </row>
    <row r="2921" spans="2:9" ht="24.95" customHeight="1" x14ac:dyDescent="0.25">
      <c r="B2921" s="962" t="s">
        <v>3138</v>
      </c>
      <c r="C2921" s="959">
        <v>12</v>
      </c>
      <c r="D2921" s="962" t="s">
        <v>4728</v>
      </c>
      <c r="E2921" s="946"/>
      <c r="F2921" s="960"/>
      <c r="G2921" s="958"/>
      <c r="H2921" s="958"/>
      <c r="I2921" s="957">
        <f>I2922</f>
        <v>0.02</v>
      </c>
    </row>
    <row r="2922" spans="2:9" ht="24.95" customHeight="1" x14ac:dyDescent="0.25">
      <c r="B2922" s="962" t="s">
        <v>3139</v>
      </c>
      <c r="C2922" s="959">
        <v>366</v>
      </c>
      <c r="D2922" s="962" t="s">
        <v>4829</v>
      </c>
      <c r="E2922" s="946"/>
      <c r="F2922" s="960"/>
      <c r="G2922" s="958"/>
      <c r="H2922" s="958"/>
      <c r="I2922" s="957">
        <f>I2923</f>
        <v>0.02</v>
      </c>
    </row>
    <row r="2923" spans="2:9" ht="24.95" customHeight="1" x14ac:dyDescent="0.25">
      <c r="B2923" s="962" t="s">
        <v>3137</v>
      </c>
      <c r="C2923" s="959">
        <v>16</v>
      </c>
      <c r="D2923" s="962" t="s">
        <v>5124</v>
      </c>
      <c r="E2923" s="946"/>
      <c r="F2923" s="960"/>
      <c r="G2923" s="958"/>
      <c r="H2923" s="958"/>
      <c r="I2923" s="957">
        <f>I2924</f>
        <v>0.02</v>
      </c>
    </row>
    <row r="2924" spans="2:9" ht="24.95" customHeight="1" x14ac:dyDescent="0.25">
      <c r="B2924" s="963" t="s">
        <v>2950</v>
      </c>
      <c r="C2924" s="959">
        <v>15</v>
      </c>
      <c r="D2924" s="963" t="s">
        <v>5132</v>
      </c>
      <c r="E2924" s="946"/>
      <c r="F2924" s="960"/>
      <c r="G2924" s="963"/>
      <c r="H2924" s="963"/>
      <c r="I2924" s="957">
        <f>SUM(I2925:I2926)</f>
        <v>0.02</v>
      </c>
    </row>
    <row r="2925" spans="2:9" s="946" customFormat="1" ht="24.95" customHeight="1" x14ac:dyDescent="0.25">
      <c r="B2925" s="973">
        <v>105600</v>
      </c>
      <c r="C2925" s="974">
        <v>344905200000000</v>
      </c>
      <c r="D2925" s="973" t="s">
        <v>6471</v>
      </c>
      <c r="E2925" s="954"/>
      <c r="F2925" s="949">
        <v>31</v>
      </c>
      <c r="G2925" s="945">
        <v>0</v>
      </c>
      <c r="H2925" s="950">
        <v>0</v>
      </c>
      <c r="I2925" s="951">
        <f>PUCFD!E2593</f>
        <v>0.01</v>
      </c>
    </row>
    <row r="2926" spans="2:9" s="946" customFormat="1" ht="24.95" customHeight="1" x14ac:dyDescent="0.25">
      <c r="B2926" s="973">
        <v>105650</v>
      </c>
      <c r="C2926" s="974">
        <v>344905200000000</v>
      </c>
      <c r="D2926" s="973" t="s">
        <v>6471</v>
      </c>
      <c r="E2926" s="954"/>
      <c r="F2926" s="949">
        <v>1011</v>
      </c>
      <c r="G2926" s="945">
        <v>0</v>
      </c>
      <c r="H2926" s="950">
        <v>0</v>
      </c>
      <c r="I2926" s="951">
        <f>PUCFD!E2594</f>
        <v>0.01</v>
      </c>
    </row>
    <row r="2927" spans="2:9" ht="24.95" customHeight="1" x14ac:dyDescent="0.25">
      <c r="B2927" s="962" t="s">
        <v>3138</v>
      </c>
      <c r="C2927" s="959">
        <v>12</v>
      </c>
      <c r="D2927" s="962" t="s">
        <v>4728</v>
      </c>
      <c r="E2927" s="946"/>
      <c r="F2927" s="960"/>
      <c r="G2927" s="958"/>
      <c r="H2927" s="958"/>
      <c r="I2927" s="957">
        <f>I2928</f>
        <v>0.02</v>
      </c>
    </row>
    <row r="2928" spans="2:9" ht="24.95" customHeight="1" x14ac:dyDescent="0.25">
      <c r="B2928" s="962" t="s">
        <v>3139</v>
      </c>
      <c r="C2928" s="959">
        <v>367</v>
      </c>
      <c r="D2928" s="962" t="s">
        <v>4819</v>
      </c>
      <c r="E2928" s="946"/>
      <c r="F2928" s="960"/>
      <c r="G2928" s="958"/>
      <c r="H2928" s="958"/>
      <c r="I2928" s="957">
        <f>I2929</f>
        <v>0.02</v>
      </c>
    </row>
    <row r="2929" spans="2:9" ht="30" customHeight="1" x14ac:dyDescent="0.25">
      <c r="B2929" s="962" t="s">
        <v>3137</v>
      </c>
      <c r="C2929" s="959">
        <v>15</v>
      </c>
      <c r="D2929" s="962" t="s">
        <v>5126</v>
      </c>
      <c r="E2929" s="946"/>
      <c r="F2929" s="960"/>
      <c r="G2929" s="958"/>
      <c r="H2929" s="958"/>
      <c r="I2929" s="957">
        <f>I2930</f>
        <v>0.02</v>
      </c>
    </row>
    <row r="2930" spans="2:9" ht="24.95" customHeight="1" x14ac:dyDescent="0.25">
      <c r="B2930" s="963" t="s">
        <v>2950</v>
      </c>
      <c r="C2930" s="959">
        <v>14</v>
      </c>
      <c r="D2930" s="963" t="s">
        <v>5133</v>
      </c>
      <c r="E2930" s="946"/>
      <c r="F2930" s="960"/>
      <c r="G2930" s="963"/>
      <c r="H2930" s="963"/>
      <c r="I2930" s="957">
        <f>SUM(I2931:I2932)</f>
        <v>0.02</v>
      </c>
    </row>
    <row r="2931" spans="2:9" s="946" customFormat="1" ht="24.95" customHeight="1" x14ac:dyDescent="0.25">
      <c r="B2931" s="973">
        <v>105700</v>
      </c>
      <c r="C2931" s="974">
        <v>344905200000000</v>
      </c>
      <c r="D2931" s="973" t="s">
        <v>5136</v>
      </c>
      <c r="E2931" s="954"/>
      <c r="F2931" s="949">
        <v>31</v>
      </c>
      <c r="G2931" s="945">
        <v>0</v>
      </c>
      <c r="H2931" s="950">
        <v>0</v>
      </c>
      <c r="I2931" s="951">
        <f>PUCFD!E2596</f>
        <v>0.01</v>
      </c>
    </row>
    <row r="2932" spans="2:9" s="946" customFormat="1" ht="24.95" customHeight="1" x14ac:dyDescent="0.25">
      <c r="B2932" s="973">
        <v>105750</v>
      </c>
      <c r="C2932" s="974">
        <v>344905200000000</v>
      </c>
      <c r="D2932" s="973" t="s">
        <v>5136</v>
      </c>
      <c r="E2932" s="954"/>
      <c r="F2932" s="949">
        <v>1011</v>
      </c>
      <c r="G2932" s="945">
        <v>0</v>
      </c>
      <c r="H2932" s="950">
        <v>0</v>
      </c>
      <c r="I2932" s="951">
        <f>PUCFD!E2597</f>
        <v>0.01</v>
      </c>
    </row>
    <row r="2933" spans="2:9" ht="24.95" customHeight="1" x14ac:dyDescent="0.25">
      <c r="B2933" s="962" t="s">
        <v>3138</v>
      </c>
      <c r="C2933" s="959">
        <v>12</v>
      </c>
      <c r="D2933" s="962" t="s">
        <v>4728</v>
      </c>
      <c r="E2933" s="958"/>
      <c r="F2933" s="960"/>
      <c r="G2933" s="958"/>
      <c r="H2933" s="956"/>
      <c r="I2933" s="957">
        <f>I2934</f>
        <v>559978.19985949725</v>
      </c>
    </row>
    <row r="2934" spans="2:9" ht="24.95" customHeight="1" x14ac:dyDescent="0.25">
      <c r="B2934" s="962" t="s">
        <v>3139</v>
      </c>
      <c r="C2934" s="959">
        <v>361</v>
      </c>
      <c r="D2934" s="962" t="s">
        <v>4731</v>
      </c>
      <c r="E2934" s="958"/>
      <c r="F2934" s="960"/>
      <c r="G2934" s="958"/>
      <c r="H2934" s="956"/>
      <c r="I2934" s="957">
        <f>I2935</f>
        <v>559978.19985949725</v>
      </c>
    </row>
    <row r="2935" spans="2:9" ht="24.95" customHeight="1" x14ac:dyDescent="0.25">
      <c r="B2935" s="962" t="s">
        <v>3137</v>
      </c>
      <c r="C2935" s="959">
        <v>13</v>
      </c>
      <c r="D2935" s="962" t="s">
        <v>4730</v>
      </c>
      <c r="E2935" s="958"/>
      <c r="F2935" s="960"/>
      <c r="G2935" s="958"/>
      <c r="H2935" s="956"/>
      <c r="I2935" s="957">
        <f>I2936</f>
        <v>559978.19985949725</v>
      </c>
    </row>
    <row r="2936" spans="2:9" ht="24.95" customHeight="1" x14ac:dyDescent="0.25">
      <c r="B2936" s="963" t="s">
        <v>2965</v>
      </c>
      <c r="C2936" s="959">
        <v>19</v>
      </c>
      <c r="D2936" s="963" t="s">
        <v>4719</v>
      </c>
      <c r="E2936" s="963"/>
      <c r="F2936" s="960"/>
      <c r="G2936" s="963"/>
      <c r="H2936" s="956"/>
      <c r="I2936" s="957">
        <f>SUM(I2937:I2943)</f>
        <v>559978.19985949725</v>
      </c>
    </row>
    <row r="2937" spans="2:9" ht="24.95" customHeight="1" x14ac:dyDescent="0.25">
      <c r="B2937" s="973">
        <v>105800</v>
      </c>
      <c r="C2937" s="1011">
        <v>333903000000000</v>
      </c>
      <c r="D2937" s="973" t="s">
        <v>5119</v>
      </c>
      <c r="E2937" s="945"/>
      <c r="F2937" s="975">
        <v>31</v>
      </c>
      <c r="G2937" s="973">
        <v>0</v>
      </c>
      <c r="I2937" s="1039">
        <f>PUCFD!E2599</f>
        <v>50000</v>
      </c>
    </row>
    <row r="2938" spans="2:9" ht="24.95" customHeight="1" x14ac:dyDescent="0.25">
      <c r="B2938" s="945">
        <v>105820</v>
      </c>
      <c r="C2938" s="1011">
        <v>333903000000000</v>
      </c>
      <c r="D2938" s="973" t="s">
        <v>5119</v>
      </c>
      <c r="E2938" s="945"/>
      <c r="F2938" s="975">
        <v>1011</v>
      </c>
      <c r="G2938" s="973">
        <v>0</v>
      </c>
      <c r="I2938" s="1039">
        <f>PUCFD!E2600</f>
        <v>0.01</v>
      </c>
    </row>
    <row r="2939" spans="2:9" ht="24.95" customHeight="1" x14ac:dyDescent="0.25">
      <c r="B2939" s="945">
        <v>105840</v>
      </c>
      <c r="C2939" s="1011">
        <v>333903000000000</v>
      </c>
      <c r="D2939" s="973" t="s">
        <v>5119</v>
      </c>
      <c r="E2939" s="945"/>
      <c r="F2939" s="975">
        <v>1049</v>
      </c>
      <c r="G2939" s="973">
        <v>0</v>
      </c>
      <c r="I2939" s="1039">
        <f>PUCFD!E2601</f>
        <v>0.01</v>
      </c>
    </row>
    <row r="2940" spans="2:9" ht="24.95" customHeight="1" x14ac:dyDescent="0.25">
      <c r="B2940" s="945">
        <v>105980</v>
      </c>
      <c r="C2940" s="1011">
        <v>333903000000000</v>
      </c>
      <c r="D2940" s="973" t="s">
        <v>5119</v>
      </c>
      <c r="E2940" s="945"/>
      <c r="F2940" s="975">
        <v>1172</v>
      </c>
      <c r="G2940" s="973">
        <v>0</v>
      </c>
      <c r="I2940" s="1039">
        <f>PUCFD!E2602+1751.01-1751.02</f>
        <v>41595.389024514778</v>
      </c>
    </row>
    <row r="2941" spans="2:9" ht="24.95" customHeight="1" x14ac:dyDescent="0.25">
      <c r="B2941" s="945">
        <v>105860</v>
      </c>
      <c r="C2941" s="1011">
        <v>333903900000000</v>
      </c>
      <c r="D2941" s="973" t="s">
        <v>5118</v>
      </c>
      <c r="E2941" s="945"/>
      <c r="F2941" s="975">
        <v>31</v>
      </c>
      <c r="G2941" s="973">
        <v>0</v>
      </c>
      <c r="I2941" s="1039">
        <f>PUCFD!E2603</f>
        <v>80000</v>
      </c>
    </row>
    <row r="2942" spans="2:9" ht="24.95" customHeight="1" x14ac:dyDescent="0.25">
      <c r="B2942" s="945">
        <v>105910</v>
      </c>
      <c r="C2942" s="1011">
        <v>333903900000000</v>
      </c>
      <c r="D2942" s="973" t="s">
        <v>5118</v>
      </c>
      <c r="E2942" s="945"/>
      <c r="F2942" s="975">
        <v>1011</v>
      </c>
      <c r="G2942" s="973">
        <v>0</v>
      </c>
      <c r="I2942" s="1039">
        <f>PUCFD!E2604+55129.68</f>
        <v>251888.85336283181</v>
      </c>
    </row>
    <row r="2943" spans="2:9" ht="24.95" customHeight="1" x14ac:dyDescent="0.25">
      <c r="B2943" s="945">
        <v>105960</v>
      </c>
      <c r="C2943" s="1011">
        <v>333903900000000</v>
      </c>
      <c r="D2943" s="973" t="s">
        <v>5118</v>
      </c>
      <c r="E2943" s="945"/>
      <c r="F2943" s="975">
        <v>1049</v>
      </c>
      <c r="G2943" s="973">
        <v>0</v>
      </c>
      <c r="I2943" s="1039">
        <f>PUCFD!E2605+45.84</f>
        <v>136493.93747215063</v>
      </c>
    </row>
    <row r="2944" spans="2:9" ht="24.95" customHeight="1" x14ac:dyDescent="0.25">
      <c r="B2944" s="962" t="s">
        <v>3138</v>
      </c>
      <c r="C2944" s="959">
        <v>12</v>
      </c>
      <c r="D2944" s="962" t="s">
        <v>4728</v>
      </c>
      <c r="E2944" s="946"/>
      <c r="F2944" s="960"/>
      <c r="G2944" s="958"/>
      <c r="H2944" s="958"/>
      <c r="I2944" s="957">
        <f>I2945</f>
        <v>28249.951862179154</v>
      </c>
    </row>
    <row r="2945" spans="2:9" ht="24.95" customHeight="1" x14ac:dyDescent="0.25">
      <c r="B2945" s="962" t="s">
        <v>3139</v>
      </c>
      <c r="C2945" s="959">
        <v>362</v>
      </c>
      <c r="D2945" s="962" t="s">
        <v>4838</v>
      </c>
      <c r="E2945" s="946"/>
      <c r="F2945" s="960"/>
      <c r="G2945" s="958"/>
      <c r="H2945" s="958"/>
      <c r="I2945" s="957">
        <f>I2946</f>
        <v>28249.951862179154</v>
      </c>
    </row>
    <row r="2946" spans="2:9" ht="24.95" customHeight="1" x14ac:dyDescent="0.25">
      <c r="B2946" s="962" t="s">
        <v>3137</v>
      </c>
      <c r="C2946" s="959">
        <v>18</v>
      </c>
      <c r="D2946" s="962" t="s">
        <v>4839</v>
      </c>
      <c r="E2946" s="946"/>
      <c r="F2946" s="960"/>
      <c r="G2946" s="958"/>
      <c r="H2946" s="958"/>
      <c r="I2946" s="957">
        <f>I2947</f>
        <v>28249.951862179154</v>
      </c>
    </row>
    <row r="2947" spans="2:9" ht="24.95" customHeight="1" x14ac:dyDescent="0.25">
      <c r="B2947" s="963" t="s">
        <v>2965</v>
      </c>
      <c r="C2947" s="959">
        <v>24</v>
      </c>
      <c r="D2947" s="963" t="s">
        <v>4837</v>
      </c>
      <c r="E2947" s="946"/>
      <c r="F2947" s="960"/>
      <c r="G2947" s="963"/>
      <c r="H2947" s="963"/>
      <c r="I2947" s="957">
        <f>SUM(I2948:I2949)</f>
        <v>28249.951862179154</v>
      </c>
    </row>
    <row r="2948" spans="2:9" ht="24.95" customHeight="1" x14ac:dyDescent="0.25">
      <c r="B2948" s="973">
        <v>106000</v>
      </c>
      <c r="C2948" s="1011">
        <v>333903000000000</v>
      </c>
      <c r="D2948" s="973" t="s">
        <v>5121</v>
      </c>
      <c r="E2948" s="946"/>
      <c r="F2948" s="975">
        <v>1049</v>
      </c>
      <c r="G2948" s="973">
        <v>0</v>
      </c>
      <c r="I2948" s="1039">
        <f>PUCFD!E2607</f>
        <v>0.01</v>
      </c>
    </row>
    <row r="2949" spans="2:9" ht="24.95" customHeight="1" x14ac:dyDescent="0.25">
      <c r="B2949" s="973">
        <v>106050</v>
      </c>
      <c r="C2949" s="1011">
        <v>333903900000000</v>
      </c>
      <c r="D2949" s="973" t="s">
        <v>5120</v>
      </c>
      <c r="E2949" s="946"/>
      <c r="F2949" s="975">
        <v>1049</v>
      </c>
      <c r="G2949" s="973">
        <v>0</v>
      </c>
      <c r="I2949" s="1039">
        <f>PUCFD!E2608</f>
        <v>28249.941862179156</v>
      </c>
    </row>
    <row r="2950" spans="2:9" ht="24.95" customHeight="1" x14ac:dyDescent="0.25">
      <c r="B2950" s="962" t="s">
        <v>3138</v>
      </c>
      <c r="C2950" s="959">
        <v>12</v>
      </c>
      <c r="D2950" s="962" t="s">
        <v>4728</v>
      </c>
      <c r="E2950" s="946"/>
      <c r="F2950" s="960"/>
      <c r="G2950" s="958"/>
      <c r="H2950" s="958"/>
      <c r="I2950" s="957">
        <f>I2951</f>
        <v>80308.699603723289</v>
      </c>
    </row>
    <row r="2951" spans="2:9" ht="24.95" customHeight="1" x14ac:dyDescent="0.25">
      <c r="B2951" s="962" t="s">
        <v>3139</v>
      </c>
      <c r="C2951" s="959">
        <v>365</v>
      </c>
      <c r="D2951" s="962" t="s">
        <v>4732</v>
      </c>
      <c r="E2951" s="946"/>
      <c r="F2951" s="960"/>
      <c r="G2951" s="958"/>
      <c r="H2951" s="958"/>
      <c r="I2951" s="957">
        <f>I2952</f>
        <v>80308.699603723289</v>
      </c>
    </row>
    <row r="2952" spans="2:9" ht="24.95" customHeight="1" x14ac:dyDescent="0.25">
      <c r="B2952" s="962" t="s">
        <v>3137</v>
      </c>
      <c r="C2952" s="959">
        <v>14</v>
      </c>
      <c r="D2952" s="962" t="s">
        <v>5115</v>
      </c>
      <c r="E2952" s="946"/>
      <c r="F2952" s="960"/>
      <c r="G2952" s="958"/>
      <c r="H2952" s="958"/>
      <c r="I2952" s="957">
        <f>I2953</f>
        <v>80308.699603723289</v>
      </c>
    </row>
    <row r="2953" spans="2:9" ht="24.95" customHeight="1" x14ac:dyDescent="0.25">
      <c r="B2953" s="963" t="s">
        <v>2965</v>
      </c>
      <c r="C2953" s="959">
        <v>20</v>
      </c>
      <c r="D2953" s="963" t="s">
        <v>5114</v>
      </c>
      <c r="E2953" s="946"/>
      <c r="F2953" s="960"/>
      <c r="G2953" s="963"/>
      <c r="H2953" s="963"/>
      <c r="I2953" s="957">
        <f>SUM(I2954:I2959)</f>
        <v>80308.699603723289</v>
      </c>
    </row>
    <row r="2954" spans="2:9" ht="24.95" customHeight="1" x14ac:dyDescent="0.25">
      <c r="B2954" s="945">
        <v>106100</v>
      </c>
      <c r="C2954" s="1011">
        <v>333903000000000</v>
      </c>
      <c r="D2954" s="973" t="s">
        <v>5122</v>
      </c>
      <c r="E2954" s="945"/>
      <c r="F2954" s="975">
        <v>31</v>
      </c>
      <c r="G2954" s="973">
        <v>0</v>
      </c>
      <c r="I2954" s="1039">
        <f>PUCFD!E2610</f>
        <v>0.01</v>
      </c>
    </row>
    <row r="2955" spans="2:9" ht="24.95" customHeight="1" x14ac:dyDescent="0.25">
      <c r="B2955" s="945">
        <v>106120</v>
      </c>
      <c r="C2955" s="1011">
        <v>333903000000000</v>
      </c>
      <c r="D2955" s="973" t="s">
        <v>5122</v>
      </c>
      <c r="E2955" s="945"/>
      <c r="F2955" s="975">
        <v>1011</v>
      </c>
      <c r="G2955" s="973">
        <v>0</v>
      </c>
      <c r="I2955" s="1039">
        <f>PUCFD!E2611</f>
        <v>0.01</v>
      </c>
    </row>
    <row r="2956" spans="2:9" ht="24.95" customHeight="1" x14ac:dyDescent="0.25">
      <c r="B2956" s="945">
        <v>106140</v>
      </c>
      <c r="C2956" s="1011">
        <v>333903000000000</v>
      </c>
      <c r="D2956" s="973" t="s">
        <v>5122</v>
      </c>
      <c r="E2956" s="945"/>
      <c r="F2956" s="975">
        <v>1049</v>
      </c>
      <c r="G2956" s="973">
        <v>0</v>
      </c>
      <c r="I2956" s="1039">
        <f>PUCFD!E2612</f>
        <v>1.0999999999999999E-2</v>
      </c>
    </row>
    <row r="2957" spans="2:9" ht="24.95" customHeight="1" x14ac:dyDescent="0.25">
      <c r="B2957" s="945">
        <v>106160</v>
      </c>
      <c r="C2957" s="1011">
        <v>333903900000000</v>
      </c>
      <c r="D2957" s="973" t="s">
        <v>5123</v>
      </c>
      <c r="E2957" s="945"/>
      <c r="F2957" s="975">
        <v>31</v>
      </c>
      <c r="G2957" s="973">
        <v>0</v>
      </c>
      <c r="I2957" s="1039">
        <f>PUCFD!E2613</f>
        <v>17275.77</v>
      </c>
    </row>
    <row r="2958" spans="2:9" ht="24.95" customHeight="1" x14ac:dyDescent="0.25">
      <c r="B2958" s="945">
        <v>106210</v>
      </c>
      <c r="C2958" s="1011">
        <v>333903900000000</v>
      </c>
      <c r="D2958" s="973" t="s">
        <v>5123</v>
      </c>
      <c r="E2958" s="945"/>
      <c r="F2958" s="975">
        <v>1011</v>
      </c>
      <c r="G2958" s="973">
        <v>0</v>
      </c>
      <c r="I2958" s="1039">
        <f>PUCFD!E2614</f>
        <v>48261.668938053088</v>
      </c>
    </row>
    <row r="2959" spans="2:9" ht="24.95" customHeight="1" x14ac:dyDescent="0.25">
      <c r="B2959" s="945">
        <v>106260</v>
      </c>
      <c r="C2959" s="1011">
        <v>333903900000000</v>
      </c>
      <c r="D2959" s="973" t="s">
        <v>5123</v>
      </c>
      <c r="E2959" s="945"/>
      <c r="F2959" s="975">
        <v>1049</v>
      </c>
      <c r="G2959" s="973">
        <v>0</v>
      </c>
      <c r="I2959" s="1039">
        <f>PUCFD!E2615</f>
        <v>14771.229665670211</v>
      </c>
    </row>
    <row r="2960" spans="2:9" ht="24.95" customHeight="1" x14ac:dyDescent="0.25">
      <c r="B2960" s="962" t="s">
        <v>3138</v>
      </c>
      <c r="C2960" s="959">
        <v>12</v>
      </c>
      <c r="D2960" s="962" t="s">
        <v>4728</v>
      </c>
      <c r="E2960" s="946"/>
      <c r="F2960" s="960"/>
      <c r="G2960" s="958"/>
      <c r="H2960" s="958"/>
      <c r="I2960" s="957">
        <f>I2961</f>
        <v>22104.133510324482</v>
      </c>
    </row>
    <row r="2961" spans="2:9" ht="24.95" customHeight="1" x14ac:dyDescent="0.25">
      <c r="B2961" s="962" t="s">
        <v>3139</v>
      </c>
      <c r="C2961" s="959">
        <v>366</v>
      </c>
      <c r="D2961" s="962" t="s">
        <v>4829</v>
      </c>
      <c r="E2961" s="946"/>
      <c r="F2961" s="960"/>
      <c r="G2961" s="958"/>
      <c r="H2961" s="958"/>
      <c r="I2961" s="957">
        <f>I2962</f>
        <v>22104.133510324482</v>
      </c>
    </row>
    <row r="2962" spans="2:9" ht="24.95" customHeight="1" x14ac:dyDescent="0.25">
      <c r="B2962" s="962" t="s">
        <v>3137</v>
      </c>
      <c r="C2962" s="959">
        <v>16</v>
      </c>
      <c r="D2962" s="962" t="s">
        <v>5124</v>
      </c>
      <c r="E2962" s="946"/>
      <c r="F2962" s="960"/>
      <c r="G2962" s="958"/>
      <c r="H2962" s="958"/>
      <c r="I2962" s="957">
        <f>I2963</f>
        <v>22104.133510324482</v>
      </c>
    </row>
    <row r="2963" spans="2:9" ht="24.95" customHeight="1" x14ac:dyDescent="0.25">
      <c r="B2963" s="963" t="s">
        <v>2965</v>
      </c>
      <c r="C2963" s="959">
        <v>22</v>
      </c>
      <c r="D2963" s="963" t="s">
        <v>5125</v>
      </c>
      <c r="E2963" s="946"/>
      <c r="F2963" s="960"/>
      <c r="G2963" s="963"/>
      <c r="H2963" s="963"/>
      <c r="I2963" s="957">
        <f>SUM(I2964:I2967)</f>
        <v>22104.133510324482</v>
      </c>
    </row>
    <row r="2964" spans="2:9" ht="24.95" customHeight="1" x14ac:dyDescent="0.25">
      <c r="B2964" s="945">
        <v>106300</v>
      </c>
      <c r="C2964" s="1011">
        <v>333903000000000</v>
      </c>
      <c r="D2964" s="973" t="s">
        <v>5117</v>
      </c>
      <c r="E2964" s="945"/>
      <c r="F2964" s="975">
        <v>31</v>
      </c>
      <c r="G2964" s="973">
        <v>0</v>
      </c>
      <c r="I2964" s="1039">
        <f>PUCFD!E2617</f>
        <v>0.01</v>
      </c>
    </row>
    <row r="2965" spans="2:9" ht="24.95" customHeight="1" x14ac:dyDescent="0.25">
      <c r="B2965" s="945">
        <v>106330</v>
      </c>
      <c r="C2965" s="1011">
        <v>333903000000000</v>
      </c>
      <c r="D2965" s="973" t="s">
        <v>5117</v>
      </c>
      <c r="E2965" s="945"/>
      <c r="F2965" s="975">
        <v>1011</v>
      </c>
      <c r="G2965" s="973">
        <v>0</v>
      </c>
      <c r="I2965" s="1039">
        <f>PUCFD!E2618</f>
        <v>0.01</v>
      </c>
    </row>
    <row r="2966" spans="2:9" ht="24.95" customHeight="1" x14ac:dyDescent="0.25">
      <c r="B2966" s="945">
        <v>106360</v>
      </c>
      <c r="C2966" s="1011">
        <v>333903900000000</v>
      </c>
      <c r="D2966" s="973" t="s">
        <v>5116</v>
      </c>
      <c r="E2966" s="945"/>
      <c r="F2966" s="975">
        <v>31</v>
      </c>
      <c r="G2966" s="973">
        <v>0</v>
      </c>
      <c r="I2966" s="1039">
        <f>PUCFD!E2619</f>
        <v>6841.89</v>
      </c>
    </row>
    <row r="2967" spans="2:9" ht="24.95" customHeight="1" x14ac:dyDescent="0.25">
      <c r="B2967" s="945">
        <v>106420</v>
      </c>
      <c r="C2967" s="1011">
        <v>333903900000000</v>
      </c>
      <c r="D2967" s="973" t="s">
        <v>5116</v>
      </c>
      <c r="E2967" s="945"/>
      <c r="F2967" s="975">
        <v>1011</v>
      </c>
      <c r="G2967" s="973">
        <v>0</v>
      </c>
      <c r="I2967" s="1039">
        <f>PUCFD!E2620</f>
        <v>15262.223510324482</v>
      </c>
    </row>
    <row r="2968" spans="2:9" ht="24.95" customHeight="1" x14ac:dyDescent="0.25">
      <c r="B2968" s="962" t="s">
        <v>3138</v>
      </c>
      <c r="C2968" s="959">
        <v>12</v>
      </c>
      <c r="D2968" s="962" t="s">
        <v>4728</v>
      </c>
      <c r="E2968" s="946"/>
      <c r="F2968" s="960"/>
      <c r="G2968" s="958"/>
      <c r="H2968" s="958"/>
      <c r="I2968" s="957">
        <f>I2969</f>
        <v>25544.874188790567</v>
      </c>
    </row>
    <row r="2969" spans="2:9" ht="24.95" customHeight="1" x14ac:dyDescent="0.25">
      <c r="B2969" s="962" t="s">
        <v>3139</v>
      </c>
      <c r="C2969" s="959">
        <v>367</v>
      </c>
      <c r="D2969" s="962" t="s">
        <v>4819</v>
      </c>
      <c r="E2969" s="946"/>
      <c r="F2969" s="960"/>
      <c r="G2969" s="958"/>
      <c r="H2969" s="958"/>
      <c r="I2969" s="957">
        <f>I2970</f>
        <v>25544.874188790567</v>
      </c>
    </row>
    <row r="2970" spans="2:9" ht="36.75" customHeight="1" x14ac:dyDescent="0.25">
      <c r="B2970" s="962" t="s">
        <v>3137</v>
      </c>
      <c r="C2970" s="959">
        <v>15</v>
      </c>
      <c r="D2970" s="962" t="s">
        <v>5126</v>
      </c>
      <c r="E2970" s="946"/>
      <c r="F2970" s="960"/>
      <c r="G2970" s="958"/>
      <c r="H2970" s="958"/>
      <c r="I2970" s="957">
        <f>I2971</f>
        <v>25544.874188790567</v>
      </c>
    </row>
    <row r="2971" spans="2:9" ht="24.95" customHeight="1" x14ac:dyDescent="0.25">
      <c r="B2971" s="963" t="s">
        <v>2965</v>
      </c>
      <c r="C2971" s="959">
        <v>21</v>
      </c>
      <c r="D2971" s="963" t="s">
        <v>5127</v>
      </c>
      <c r="E2971" s="946"/>
      <c r="F2971" s="960"/>
      <c r="G2971" s="963"/>
      <c r="H2971" s="963"/>
      <c r="I2971" s="957">
        <f>SUM(I2972:I2975)</f>
        <v>25544.874188790567</v>
      </c>
    </row>
    <row r="2972" spans="2:9" ht="24.95" customHeight="1" x14ac:dyDescent="0.25">
      <c r="B2972" s="945">
        <v>106480</v>
      </c>
      <c r="C2972" s="1011">
        <v>333903000000000</v>
      </c>
      <c r="D2972" s="973" t="s">
        <v>5134</v>
      </c>
      <c r="E2972" s="945"/>
      <c r="F2972" s="975">
        <v>31</v>
      </c>
      <c r="G2972" s="973">
        <v>0</v>
      </c>
      <c r="I2972" s="1039">
        <f>PUCFD!E2622</f>
        <v>0.01</v>
      </c>
    </row>
    <row r="2973" spans="2:9" ht="24.95" customHeight="1" x14ac:dyDescent="0.25">
      <c r="B2973" s="945">
        <v>106500</v>
      </c>
      <c r="C2973" s="1011">
        <v>333903000000000</v>
      </c>
      <c r="D2973" s="973" t="s">
        <v>5134</v>
      </c>
      <c r="E2973" s="945"/>
      <c r="F2973" s="975">
        <v>1011</v>
      </c>
      <c r="G2973" s="973">
        <v>0</v>
      </c>
      <c r="I2973" s="1039">
        <f>PUCFD!E2623</f>
        <v>0.01</v>
      </c>
    </row>
    <row r="2974" spans="2:9" ht="24.95" customHeight="1" x14ac:dyDescent="0.25">
      <c r="B2974" s="945">
        <v>106530</v>
      </c>
      <c r="C2974" s="1011">
        <v>333903900000000</v>
      </c>
      <c r="D2974" s="973" t="s">
        <v>5135</v>
      </c>
      <c r="E2974" s="945"/>
      <c r="F2974" s="975">
        <v>31</v>
      </c>
      <c r="G2974" s="973">
        <v>0</v>
      </c>
      <c r="I2974" s="1039">
        <f>PUCFD!E2624</f>
        <v>6157.7</v>
      </c>
    </row>
    <row r="2975" spans="2:9" ht="24.95" customHeight="1" x14ac:dyDescent="0.25">
      <c r="B2975" s="945">
        <v>106590</v>
      </c>
      <c r="C2975" s="1011">
        <v>333903900000000</v>
      </c>
      <c r="D2975" s="973" t="s">
        <v>5135</v>
      </c>
      <c r="E2975" s="945"/>
      <c r="F2975" s="975">
        <v>1011</v>
      </c>
      <c r="G2975" s="973">
        <v>0</v>
      </c>
      <c r="I2975" s="1039">
        <f>PUCFD!E2625</f>
        <v>19387.154188790566</v>
      </c>
    </row>
    <row r="2976" spans="2:9" ht="24.95" customHeight="1" x14ac:dyDescent="0.25">
      <c r="B2976" s="1608" t="s">
        <v>4831</v>
      </c>
      <c r="C2976" s="1608"/>
      <c r="D2976" s="1608"/>
      <c r="E2976" s="1608"/>
      <c r="F2976" s="1608"/>
      <c r="G2976" s="1608"/>
      <c r="H2976" s="1608"/>
      <c r="I2976" s="1024">
        <f>I2971+I2963+I2953+I2947+I2936+I2930+I2924+I2918+I2912</f>
        <v>716185.93902451475</v>
      </c>
    </row>
    <row r="2977" spans="2:9" ht="24.95" customHeight="1" x14ac:dyDescent="0.25">
      <c r="B2977" s="1608" t="s">
        <v>6470</v>
      </c>
      <c r="C2977" s="1608"/>
      <c r="D2977" s="1608"/>
      <c r="E2977" s="1608"/>
      <c r="F2977" s="1608"/>
      <c r="G2977" s="1608"/>
      <c r="H2977" s="1608"/>
      <c r="I2977" s="1024">
        <f>I2976</f>
        <v>716185.93902451475</v>
      </c>
    </row>
    <row r="2978" spans="2:9" ht="24.95" customHeight="1" x14ac:dyDescent="0.25">
      <c r="B2978" s="987"/>
      <c r="C2978" s="987"/>
      <c r="D2978" s="987"/>
      <c r="E2978" s="954" t="s">
        <v>4777</v>
      </c>
      <c r="F2978" s="960"/>
      <c r="G2978" s="960"/>
      <c r="H2978" s="958"/>
      <c r="I2978" s="1030"/>
    </row>
    <row r="2979" spans="2:9" ht="24.95" customHeight="1" x14ac:dyDescent="0.25">
      <c r="B2979" s="987"/>
      <c r="C2979" s="987"/>
      <c r="D2979" s="987"/>
      <c r="F2979" s="949">
        <v>31</v>
      </c>
      <c r="G2979" s="945">
        <v>0</v>
      </c>
      <c r="H2979" s="950">
        <v>0</v>
      </c>
      <c r="I2979" s="951">
        <f>I2973+I2972+I2966+I2964+I2957+I2954+I2941+I2937+I2931+I2925+I2919+I2913</f>
        <v>154117.74000000005</v>
      </c>
    </row>
    <row r="2980" spans="2:9" ht="24.95" customHeight="1" x14ac:dyDescent="0.25">
      <c r="F2980" s="949">
        <v>1011</v>
      </c>
      <c r="G2980" s="945">
        <v>0</v>
      </c>
      <c r="H2980" s="950">
        <v>0</v>
      </c>
      <c r="I2980" s="951">
        <f>I2914+I2920+I2926+I2932+I2938+I2942+I2955+I2958+I2965+I2967+I2974+I2975</f>
        <v>340957.67</v>
      </c>
    </row>
    <row r="2981" spans="2:9" ht="24.95" customHeight="1" x14ac:dyDescent="0.25">
      <c r="F2981" s="949">
        <v>1049</v>
      </c>
      <c r="G2981" s="945">
        <v>0</v>
      </c>
      <c r="H2981" s="950">
        <v>0</v>
      </c>
      <c r="I2981" s="951">
        <f>I2959+I2956+I2949+I2948+I2943+I2939</f>
        <v>179515.14</v>
      </c>
    </row>
    <row r="2982" spans="2:9" ht="24.95" customHeight="1" x14ac:dyDescent="0.25">
      <c r="F2982" s="949">
        <v>1172</v>
      </c>
      <c r="G2982" s="945">
        <v>0</v>
      </c>
      <c r="H2982" s="950">
        <v>0</v>
      </c>
      <c r="I2982" s="951">
        <f>I2940</f>
        <v>41595.389024514778</v>
      </c>
    </row>
    <row r="2983" spans="2:9" ht="24.95" customHeight="1" x14ac:dyDescent="0.25">
      <c r="B2983" s="946" t="s">
        <v>3088</v>
      </c>
      <c r="C2983" s="953" t="s">
        <v>4685</v>
      </c>
      <c r="D2983" s="946"/>
      <c r="E2983" s="954"/>
      <c r="F2983" s="955"/>
      <c r="G2983" s="946"/>
      <c r="H2983" s="956"/>
      <c r="I2983" s="946"/>
    </row>
    <row r="2984" spans="2:9" ht="24.95" customHeight="1" x14ac:dyDescent="0.25">
      <c r="B2984" s="946" t="s">
        <v>3087</v>
      </c>
      <c r="C2984" s="953" t="s">
        <v>5137</v>
      </c>
      <c r="D2984" s="946"/>
      <c r="E2984" s="954"/>
      <c r="F2984" s="955"/>
      <c r="G2984" s="946"/>
      <c r="H2984" s="956"/>
      <c r="I2984" s="946"/>
    </row>
    <row r="2985" spans="2:9" ht="24.95" customHeight="1" x14ac:dyDescent="0.25">
      <c r="B2985" s="946" t="s">
        <v>3089</v>
      </c>
      <c r="C2985" s="953" t="s">
        <v>3146</v>
      </c>
      <c r="D2985" s="946"/>
      <c r="E2985" s="954"/>
      <c r="F2985" s="955"/>
      <c r="G2985" s="946"/>
      <c r="H2985" s="956"/>
      <c r="I2985" s="957"/>
    </row>
    <row r="2986" spans="2:9" ht="24.95" customHeight="1" x14ac:dyDescent="0.25">
      <c r="B2986" s="958" t="s">
        <v>2967</v>
      </c>
      <c r="C2986" s="959" t="s">
        <v>472</v>
      </c>
      <c r="D2986" s="958" t="s">
        <v>2968</v>
      </c>
      <c r="E2986" s="954" t="s">
        <v>3066</v>
      </c>
      <c r="F2986" s="960" t="s">
        <v>1403</v>
      </c>
      <c r="G2986" s="958" t="s">
        <v>2969</v>
      </c>
      <c r="H2986" s="958" t="s">
        <v>3065</v>
      </c>
      <c r="I2986" s="961" t="s">
        <v>2531</v>
      </c>
    </row>
    <row r="2987" spans="2:9" ht="24.95" customHeight="1" x14ac:dyDescent="0.25">
      <c r="B2987" s="962" t="s">
        <v>3138</v>
      </c>
      <c r="C2987" s="959">
        <v>12</v>
      </c>
      <c r="D2987" s="962" t="s">
        <v>4728</v>
      </c>
      <c r="E2987" s="958"/>
      <c r="F2987" s="960"/>
      <c r="G2987" s="958"/>
      <c r="H2987" s="956"/>
      <c r="I2987" s="957">
        <f>I2988</f>
        <v>0.02</v>
      </c>
    </row>
    <row r="2988" spans="2:9" ht="24.95" customHeight="1" x14ac:dyDescent="0.25">
      <c r="B2988" s="962" t="s">
        <v>3139</v>
      </c>
      <c r="C2988" s="959">
        <v>361</v>
      </c>
      <c r="D2988" s="962" t="s">
        <v>4731</v>
      </c>
      <c r="E2988" s="958"/>
      <c r="F2988" s="960"/>
      <c r="G2988" s="958"/>
      <c r="H2988" s="956"/>
      <c r="I2988" s="957">
        <f>I2989</f>
        <v>0.02</v>
      </c>
    </row>
    <row r="2989" spans="2:9" ht="24.95" customHeight="1" x14ac:dyDescent="0.25">
      <c r="B2989" s="962" t="s">
        <v>3137</v>
      </c>
      <c r="C2989" s="959">
        <v>13</v>
      </c>
      <c r="D2989" s="962" t="s">
        <v>4730</v>
      </c>
      <c r="E2989" s="958"/>
      <c r="F2989" s="960"/>
      <c r="G2989" s="958"/>
      <c r="H2989" s="956"/>
      <c r="I2989" s="957">
        <f>I2990</f>
        <v>0.02</v>
      </c>
    </row>
    <row r="2990" spans="2:9" ht="24.95" customHeight="1" x14ac:dyDescent="0.25">
      <c r="B2990" s="963" t="s">
        <v>2950</v>
      </c>
      <c r="C2990" s="959">
        <v>12</v>
      </c>
      <c r="D2990" s="963" t="s">
        <v>5129</v>
      </c>
      <c r="E2990" s="963"/>
      <c r="F2990" s="960"/>
      <c r="G2990" s="963"/>
      <c r="H2990" s="956"/>
      <c r="I2990" s="957">
        <f>SUM(I2991:I2992)</f>
        <v>0.02</v>
      </c>
    </row>
    <row r="2991" spans="2:9" s="946" customFormat="1" ht="24.95" customHeight="1" x14ac:dyDescent="0.25">
      <c r="B2991" s="973">
        <v>106700</v>
      </c>
      <c r="C2991" s="974">
        <v>344905200000000</v>
      </c>
      <c r="D2991" s="973" t="s">
        <v>5156</v>
      </c>
      <c r="E2991" s="954"/>
      <c r="F2991" s="949">
        <v>1</v>
      </c>
      <c r="G2991" s="945">
        <v>0</v>
      </c>
      <c r="H2991" s="950">
        <v>0</v>
      </c>
      <c r="I2991" s="951">
        <f>PUCFD!E2628</f>
        <v>0.01</v>
      </c>
    </row>
    <row r="2992" spans="2:9" s="946" customFormat="1" ht="24.95" customHeight="1" x14ac:dyDescent="0.25">
      <c r="B2992" s="973">
        <v>106730</v>
      </c>
      <c r="C2992" s="974">
        <v>344905200000000</v>
      </c>
      <c r="D2992" s="973" t="s">
        <v>5156</v>
      </c>
      <c r="E2992" s="954"/>
      <c r="F2992" s="949">
        <v>20</v>
      </c>
      <c r="G2992" s="945">
        <v>0</v>
      </c>
      <c r="H2992" s="950">
        <v>0</v>
      </c>
      <c r="I2992" s="951">
        <f>PUCFD!E2629</f>
        <v>0.01</v>
      </c>
    </row>
    <row r="2993" spans="2:9" s="946" customFormat="1" ht="24.95" customHeight="1" x14ac:dyDescent="0.25">
      <c r="B2993" s="973">
        <v>106760</v>
      </c>
      <c r="C2993" s="974">
        <v>344905200000000</v>
      </c>
      <c r="D2993" s="973" t="s">
        <v>5156</v>
      </c>
      <c r="E2993" s="954"/>
      <c r="F2993" s="949">
        <v>1036</v>
      </c>
      <c r="G2993" s="945">
        <v>0</v>
      </c>
      <c r="H2993" s="950">
        <v>0</v>
      </c>
      <c r="I2993" s="951">
        <f>PUCFD!E2630-0.97</f>
        <v>1</v>
      </c>
    </row>
    <row r="2994" spans="2:9" ht="24.95" customHeight="1" x14ac:dyDescent="0.25">
      <c r="B2994" s="962" t="s">
        <v>3138</v>
      </c>
      <c r="C2994" s="959">
        <v>12</v>
      </c>
      <c r="D2994" s="962" t="s">
        <v>4728</v>
      </c>
      <c r="E2994" s="946"/>
      <c r="F2994" s="960"/>
      <c r="G2994" s="958"/>
      <c r="H2994" s="958"/>
      <c r="I2994" s="957">
        <f>I2995</f>
        <v>2.0099999999999998</v>
      </c>
    </row>
    <row r="2995" spans="2:9" ht="24.95" customHeight="1" x14ac:dyDescent="0.25">
      <c r="B2995" s="962" t="s">
        <v>3139</v>
      </c>
      <c r="C2995" s="959">
        <v>365</v>
      </c>
      <c r="D2995" s="962" t="s">
        <v>4732</v>
      </c>
      <c r="E2995" s="946"/>
      <c r="F2995" s="960"/>
      <c r="G2995" s="958"/>
      <c r="H2995" s="958"/>
      <c r="I2995" s="957">
        <f>I2996</f>
        <v>2.0099999999999998</v>
      </c>
    </row>
    <row r="2996" spans="2:9" ht="24.95" customHeight="1" x14ac:dyDescent="0.25">
      <c r="B2996" s="962" t="s">
        <v>3137</v>
      </c>
      <c r="C2996" s="959">
        <v>14</v>
      </c>
      <c r="D2996" s="962" t="s">
        <v>5115</v>
      </c>
      <c r="E2996" s="946"/>
      <c r="F2996" s="960"/>
      <c r="G2996" s="958"/>
      <c r="H2996" s="958"/>
      <c r="I2996" s="957">
        <f>I2997</f>
        <v>2.0099999999999998</v>
      </c>
    </row>
    <row r="2997" spans="2:9" ht="24.95" customHeight="1" x14ac:dyDescent="0.25">
      <c r="B2997" s="963" t="s">
        <v>2950</v>
      </c>
      <c r="C2997" s="959">
        <v>13</v>
      </c>
      <c r="D2997" s="963" t="s">
        <v>5130</v>
      </c>
      <c r="E2997" s="946"/>
      <c r="F2997" s="960"/>
      <c r="G2997" s="963"/>
      <c r="H2997" s="963"/>
      <c r="I2997" s="957">
        <f>SUM(I2998:I3000)</f>
        <v>2.0099999999999998</v>
      </c>
    </row>
    <row r="2998" spans="2:9" s="946" customFormat="1" ht="24.95" customHeight="1" x14ac:dyDescent="0.25">
      <c r="B2998" s="973">
        <v>106800</v>
      </c>
      <c r="C2998" s="974">
        <v>344905200000000</v>
      </c>
      <c r="D2998" s="973" t="s">
        <v>6472</v>
      </c>
      <c r="E2998" s="954"/>
      <c r="F2998" s="949">
        <v>1</v>
      </c>
      <c r="G2998" s="945">
        <v>0</v>
      </c>
      <c r="H2998" s="950">
        <v>0</v>
      </c>
      <c r="I2998" s="951">
        <f>PUCFD!E2632</f>
        <v>1</v>
      </c>
    </row>
    <row r="2999" spans="2:9" s="946" customFormat="1" ht="24.95" customHeight="1" x14ac:dyDescent="0.25">
      <c r="B2999" s="973">
        <v>106850</v>
      </c>
      <c r="C2999" s="974">
        <v>344905200000000</v>
      </c>
      <c r="D2999" s="973" t="s">
        <v>6472</v>
      </c>
      <c r="E2999" s="954"/>
      <c r="F2999" s="949">
        <v>20</v>
      </c>
      <c r="G2999" s="945">
        <v>0</v>
      </c>
      <c r="H2999" s="950">
        <v>0</v>
      </c>
      <c r="I2999" s="951">
        <f>PUCFD!E2633</f>
        <v>1</v>
      </c>
    </row>
    <row r="3000" spans="2:9" s="946" customFormat="1" ht="24.95" customHeight="1" x14ac:dyDescent="0.25">
      <c r="B3000" s="973">
        <v>106870</v>
      </c>
      <c r="C3000" s="974">
        <v>344905200000000</v>
      </c>
      <c r="D3000" s="973" t="s">
        <v>6472</v>
      </c>
      <c r="E3000" s="954"/>
      <c r="F3000" s="949">
        <v>1036</v>
      </c>
      <c r="G3000" s="945">
        <v>0</v>
      </c>
      <c r="H3000" s="950">
        <v>0</v>
      </c>
      <c r="I3000" s="951">
        <f>PUCFD!E2634</f>
        <v>0.01</v>
      </c>
    </row>
    <row r="3001" spans="2:9" ht="24.95" customHeight="1" x14ac:dyDescent="0.25">
      <c r="B3001" s="962" t="s">
        <v>3138</v>
      </c>
      <c r="C3001" s="959">
        <v>12</v>
      </c>
      <c r="D3001" s="962" t="s">
        <v>4728</v>
      </c>
      <c r="E3001" s="946"/>
      <c r="F3001" s="960"/>
      <c r="G3001" s="958"/>
      <c r="H3001" s="958"/>
      <c r="I3001" s="957">
        <f>I3002</f>
        <v>2.0099999999999998</v>
      </c>
    </row>
    <row r="3002" spans="2:9" ht="24.95" customHeight="1" x14ac:dyDescent="0.25">
      <c r="B3002" s="962" t="s">
        <v>3139</v>
      </c>
      <c r="C3002" s="959">
        <v>366</v>
      </c>
      <c r="D3002" s="962" t="s">
        <v>4829</v>
      </c>
      <c r="E3002" s="946"/>
      <c r="F3002" s="960"/>
      <c r="G3002" s="958"/>
      <c r="H3002" s="958"/>
      <c r="I3002" s="957">
        <f>I3003</f>
        <v>2.0099999999999998</v>
      </c>
    </row>
    <row r="3003" spans="2:9" ht="24.95" customHeight="1" x14ac:dyDescent="0.25">
      <c r="B3003" s="962" t="s">
        <v>3137</v>
      </c>
      <c r="C3003" s="959">
        <v>16</v>
      </c>
      <c r="D3003" s="962" t="s">
        <v>5124</v>
      </c>
      <c r="E3003" s="946"/>
      <c r="F3003" s="960"/>
      <c r="G3003" s="958"/>
      <c r="H3003" s="958"/>
      <c r="I3003" s="957">
        <f>I3004</f>
        <v>2.0099999999999998</v>
      </c>
    </row>
    <row r="3004" spans="2:9" ht="24.95" customHeight="1" x14ac:dyDescent="0.25">
      <c r="B3004" s="963" t="s">
        <v>2950</v>
      </c>
      <c r="C3004" s="959">
        <v>15</v>
      </c>
      <c r="D3004" s="963" t="s">
        <v>5132</v>
      </c>
      <c r="E3004" s="946"/>
      <c r="F3004" s="960"/>
      <c r="G3004" s="963"/>
      <c r="H3004" s="963"/>
      <c r="I3004" s="957">
        <f>SUM(I3005:I3007)</f>
        <v>2.0099999999999998</v>
      </c>
    </row>
    <row r="3005" spans="2:9" s="946" customFormat="1" ht="24.95" customHeight="1" x14ac:dyDescent="0.25">
      <c r="B3005" s="973">
        <v>106900</v>
      </c>
      <c r="C3005" s="974">
        <v>344905200000000</v>
      </c>
      <c r="D3005" s="973" t="s">
        <v>6471</v>
      </c>
      <c r="E3005" s="954"/>
      <c r="F3005" s="949">
        <v>1</v>
      </c>
      <c r="G3005" s="945">
        <v>0</v>
      </c>
      <c r="H3005" s="950">
        <v>0</v>
      </c>
      <c r="I3005" s="951">
        <f>PUCFD!E2636</f>
        <v>1</v>
      </c>
    </row>
    <row r="3006" spans="2:9" s="946" customFormat="1" ht="24.95" customHeight="1" x14ac:dyDescent="0.25">
      <c r="B3006" s="973">
        <v>106950</v>
      </c>
      <c r="C3006" s="974">
        <v>344905200000000</v>
      </c>
      <c r="D3006" s="973" t="s">
        <v>6471</v>
      </c>
      <c r="E3006" s="954"/>
      <c r="F3006" s="949">
        <v>20</v>
      </c>
      <c r="G3006" s="945">
        <v>0</v>
      </c>
      <c r="H3006" s="950">
        <v>0</v>
      </c>
      <c r="I3006" s="951">
        <f>PUCFD!E2637</f>
        <v>1</v>
      </c>
    </row>
    <row r="3007" spans="2:9" s="946" customFormat="1" ht="24.95" customHeight="1" x14ac:dyDescent="0.25">
      <c r="B3007" s="973">
        <v>106970</v>
      </c>
      <c r="C3007" s="974">
        <v>344905200000000</v>
      </c>
      <c r="D3007" s="973" t="s">
        <v>6471</v>
      </c>
      <c r="E3007" s="954"/>
      <c r="F3007" s="949">
        <v>1036</v>
      </c>
      <c r="G3007" s="945">
        <v>0</v>
      </c>
      <c r="H3007" s="950">
        <v>0</v>
      </c>
      <c r="I3007" s="951">
        <f>PUCFD!E2638</f>
        <v>0.01</v>
      </c>
    </row>
    <row r="3008" spans="2:9" ht="24.95" customHeight="1" x14ac:dyDescent="0.25">
      <c r="B3008" s="962" t="s">
        <v>3138</v>
      </c>
      <c r="C3008" s="959">
        <v>12</v>
      </c>
      <c r="D3008" s="962" t="s">
        <v>4728</v>
      </c>
      <c r="E3008" s="946"/>
      <c r="F3008" s="960"/>
      <c r="G3008" s="958"/>
      <c r="H3008" s="958"/>
      <c r="I3008" s="957">
        <f>I3009</f>
        <v>2.0099999999999998</v>
      </c>
    </row>
    <row r="3009" spans="2:9" ht="24.95" customHeight="1" x14ac:dyDescent="0.25">
      <c r="B3009" s="962" t="s">
        <v>3139</v>
      </c>
      <c r="C3009" s="959">
        <v>367</v>
      </c>
      <c r="D3009" s="962" t="s">
        <v>4819</v>
      </c>
      <c r="E3009" s="946"/>
      <c r="F3009" s="960"/>
      <c r="G3009" s="958"/>
      <c r="H3009" s="958"/>
      <c r="I3009" s="957">
        <f>I3010</f>
        <v>2.0099999999999998</v>
      </c>
    </row>
    <row r="3010" spans="2:9" ht="30" customHeight="1" x14ac:dyDescent="0.25">
      <c r="B3010" s="962" t="s">
        <v>3137</v>
      </c>
      <c r="C3010" s="959">
        <v>15</v>
      </c>
      <c r="D3010" s="962" t="s">
        <v>5126</v>
      </c>
      <c r="E3010" s="946"/>
      <c r="F3010" s="960"/>
      <c r="G3010" s="958"/>
      <c r="H3010" s="958"/>
      <c r="I3010" s="957">
        <f>I3011</f>
        <v>2.0099999999999998</v>
      </c>
    </row>
    <row r="3011" spans="2:9" ht="24.95" customHeight="1" x14ac:dyDescent="0.25">
      <c r="B3011" s="963" t="s">
        <v>2950</v>
      </c>
      <c r="C3011" s="959">
        <v>14</v>
      </c>
      <c r="D3011" s="963" t="s">
        <v>5133</v>
      </c>
      <c r="E3011" s="946"/>
      <c r="F3011" s="960"/>
      <c r="G3011" s="963"/>
      <c r="H3011" s="963"/>
      <c r="I3011" s="957">
        <f>SUM(I3012:I3014)</f>
        <v>2.0099999999999998</v>
      </c>
    </row>
    <row r="3012" spans="2:9" s="946" customFormat="1" ht="24.95" customHeight="1" x14ac:dyDescent="0.25">
      <c r="B3012" s="973">
        <v>108000</v>
      </c>
      <c r="C3012" s="974">
        <v>344905200000000</v>
      </c>
      <c r="D3012" s="973" t="s">
        <v>6473</v>
      </c>
      <c r="E3012" s="954"/>
      <c r="F3012" s="949">
        <v>1</v>
      </c>
      <c r="G3012" s="945">
        <v>0</v>
      </c>
      <c r="H3012" s="950">
        <v>0</v>
      </c>
      <c r="I3012" s="951">
        <f>PUCFD!E2640</f>
        <v>1</v>
      </c>
    </row>
    <row r="3013" spans="2:9" s="946" customFormat="1" ht="24.95" customHeight="1" x14ac:dyDescent="0.25">
      <c r="B3013" s="973">
        <v>108050</v>
      </c>
      <c r="C3013" s="974">
        <v>344905200000000</v>
      </c>
      <c r="D3013" s="973" t="s">
        <v>6473</v>
      </c>
      <c r="E3013" s="954"/>
      <c r="F3013" s="949">
        <v>20</v>
      </c>
      <c r="G3013" s="945">
        <v>0</v>
      </c>
      <c r="H3013" s="950">
        <v>0</v>
      </c>
      <c r="I3013" s="951">
        <f>PUCFD!E2641</f>
        <v>1</v>
      </c>
    </row>
    <row r="3014" spans="2:9" s="946" customFormat="1" ht="24.95" customHeight="1" x14ac:dyDescent="0.25">
      <c r="B3014" s="973">
        <v>108070</v>
      </c>
      <c r="C3014" s="974">
        <v>344905200000000</v>
      </c>
      <c r="D3014" s="973" t="s">
        <v>6473</v>
      </c>
      <c r="E3014" s="954"/>
      <c r="F3014" s="949">
        <v>1036</v>
      </c>
      <c r="G3014" s="945">
        <v>0</v>
      </c>
      <c r="H3014" s="950">
        <v>0</v>
      </c>
      <c r="I3014" s="951">
        <f>PUCFD!E2642</f>
        <v>0.01</v>
      </c>
    </row>
    <row r="3015" spans="2:9" ht="24.95" customHeight="1" x14ac:dyDescent="0.25">
      <c r="B3015" s="962" t="s">
        <v>3138</v>
      </c>
      <c r="C3015" s="959">
        <v>12</v>
      </c>
      <c r="D3015" s="962" t="s">
        <v>4728</v>
      </c>
      <c r="E3015" s="958"/>
      <c r="F3015" s="960"/>
      <c r="G3015" s="958"/>
      <c r="H3015" s="956"/>
      <c r="I3015" s="957">
        <f>I3016</f>
        <v>0.04</v>
      </c>
    </row>
    <row r="3016" spans="2:9" ht="24.95" customHeight="1" x14ac:dyDescent="0.25">
      <c r="B3016" s="962" t="s">
        <v>3139</v>
      </c>
      <c r="C3016" s="959">
        <v>122</v>
      </c>
      <c r="D3016" s="962" t="s">
        <v>3143</v>
      </c>
      <c r="E3016" s="958"/>
      <c r="F3016" s="960"/>
      <c r="G3016" s="958"/>
      <c r="H3016" s="956"/>
      <c r="I3016" s="957">
        <f>I3017</f>
        <v>0.04</v>
      </c>
    </row>
    <row r="3017" spans="2:9" ht="33" customHeight="1" x14ac:dyDescent="0.25">
      <c r="B3017" s="962" t="s">
        <v>3137</v>
      </c>
      <c r="C3017" s="959">
        <v>21</v>
      </c>
      <c r="D3017" s="962" t="s">
        <v>5146</v>
      </c>
      <c r="E3017" s="958"/>
      <c r="F3017" s="960"/>
      <c r="G3017" s="958"/>
      <c r="H3017" s="956"/>
      <c r="I3017" s="957">
        <f>I3018</f>
        <v>0.04</v>
      </c>
    </row>
    <row r="3018" spans="2:9" ht="24.95" customHeight="1" x14ac:dyDescent="0.25">
      <c r="B3018" s="963" t="s">
        <v>2965</v>
      </c>
      <c r="C3018" s="959">
        <v>33</v>
      </c>
      <c r="D3018" s="963" t="s">
        <v>5147</v>
      </c>
      <c r="E3018" s="963"/>
      <c r="F3018" s="960"/>
      <c r="G3018" s="963"/>
      <c r="H3018" s="956"/>
      <c r="I3018" s="957">
        <f>SUM(I3019:I3022)</f>
        <v>0.04</v>
      </c>
    </row>
    <row r="3019" spans="2:9" ht="24.95" customHeight="1" x14ac:dyDescent="0.25">
      <c r="B3019" s="973">
        <v>108100</v>
      </c>
      <c r="C3019" s="1011">
        <v>333903000000000</v>
      </c>
      <c r="D3019" s="973" t="s">
        <v>5148</v>
      </c>
      <c r="E3019" s="945"/>
      <c r="F3019" s="975">
        <v>1</v>
      </c>
      <c r="G3019" s="973">
        <v>0</v>
      </c>
      <c r="I3019" s="1039">
        <f>PUCFD!E2645</f>
        <v>0.01</v>
      </c>
    </row>
    <row r="3020" spans="2:9" ht="24.95" customHeight="1" x14ac:dyDescent="0.25">
      <c r="B3020" s="945">
        <v>108130</v>
      </c>
      <c r="C3020" s="1011">
        <v>333903000000000</v>
      </c>
      <c r="D3020" s="973" t="s">
        <v>5149</v>
      </c>
      <c r="E3020" s="945"/>
      <c r="F3020" s="975">
        <v>20</v>
      </c>
      <c r="G3020" s="973">
        <v>0</v>
      </c>
      <c r="I3020" s="1039">
        <f>PUCFD!E2646</f>
        <v>0.01</v>
      </c>
    </row>
    <row r="3021" spans="2:9" ht="24.95" customHeight="1" x14ac:dyDescent="0.25">
      <c r="B3021" s="945">
        <v>108160</v>
      </c>
      <c r="C3021" s="1011">
        <v>333903900000000</v>
      </c>
      <c r="D3021" s="973" t="s">
        <v>5150</v>
      </c>
      <c r="E3021" s="945"/>
      <c r="F3021" s="975">
        <v>1</v>
      </c>
      <c r="G3021" s="973">
        <v>0</v>
      </c>
      <c r="I3021" s="1039">
        <f>PUCFD!E2647</f>
        <v>0.01</v>
      </c>
    </row>
    <row r="3022" spans="2:9" ht="24.95" customHeight="1" x14ac:dyDescent="0.25">
      <c r="B3022" s="945">
        <v>108190</v>
      </c>
      <c r="C3022" s="1011">
        <v>333903900000000</v>
      </c>
      <c r="D3022" s="973" t="s">
        <v>5151</v>
      </c>
      <c r="E3022" s="945"/>
      <c r="F3022" s="975">
        <v>20</v>
      </c>
      <c r="G3022" s="973">
        <v>0</v>
      </c>
      <c r="I3022" s="1039">
        <f>PUCFD!E2648</f>
        <v>0.01</v>
      </c>
    </row>
    <row r="3023" spans="2:9" s="946" customFormat="1" ht="13.5" customHeight="1" x14ac:dyDescent="0.25">
      <c r="B3023" s="973"/>
      <c r="C3023" s="974"/>
      <c r="D3023" s="973"/>
      <c r="E3023" s="954"/>
      <c r="F3023" s="949"/>
      <c r="G3023" s="945"/>
      <c r="H3023" s="950"/>
      <c r="I3023" s="951"/>
    </row>
    <row r="3024" spans="2:9" ht="24.95" customHeight="1" x14ac:dyDescent="0.25">
      <c r="B3024" s="962" t="s">
        <v>3138</v>
      </c>
      <c r="C3024" s="959">
        <v>12</v>
      </c>
      <c r="D3024" s="962" t="s">
        <v>4728</v>
      </c>
      <c r="E3024" s="958"/>
      <c r="F3024" s="960"/>
      <c r="G3024" s="958"/>
      <c r="H3024" s="956"/>
      <c r="I3024" s="957">
        <f>I3025</f>
        <v>0.04</v>
      </c>
    </row>
    <row r="3025" spans="2:9" ht="24.95" customHeight="1" x14ac:dyDescent="0.25">
      <c r="B3025" s="962" t="s">
        <v>3139</v>
      </c>
      <c r="C3025" s="959">
        <v>361</v>
      </c>
      <c r="D3025" s="962" t="s">
        <v>4731</v>
      </c>
      <c r="E3025" s="958"/>
      <c r="F3025" s="960"/>
      <c r="G3025" s="958"/>
      <c r="H3025" s="956"/>
      <c r="I3025" s="957">
        <f>I3026</f>
        <v>0.04</v>
      </c>
    </row>
    <row r="3026" spans="2:9" ht="24.95" customHeight="1" x14ac:dyDescent="0.25">
      <c r="B3026" s="962" t="s">
        <v>3137</v>
      </c>
      <c r="C3026" s="959">
        <v>13</v>
      </c>
      <c r="D3026" s="962" t="s">
        <v>4730</v>
      </c>
      <c r="E3026" s="958"/>
      <c r="F3026" s="960"/>
      <c r="G3026" s="958"/>
      <c r="H3026" s="956"/>
      <c r="I3026" s="957">
        <f>I3027</f>
        <v>0.04</v>
      </c>
    </row>
    <row r="3027" spans="2:9" ht="24.95" customHeight="1" x14ac:dyDescent="0.25">
      <c r="B3027" s="963" t="s">
        <v>2965</v>
      </c>
      <c r="C3027" s="959">
        <v>19</v>
      </c>
      <c r="D3027" s="963" t="s">
        <v>4719</v>
      </c>
      <c r="E3027" s="963"/>
      <c r="F3027" s="960"/>
      <c r="G3027" s="963"/>
      <c r="H3027" s="956"/>
      <c r="I3027" s="957">
        <f>SUM(I3028:I3031)</f>
        <v>0.04</v>
      </c>
    </row>
    <row r="3028" spans="2:9" ht="24.95" customHeight="1" x14ac:dyDescent="0.25">
      <c r="B3028" s="973">
        <v>108220</v>
      </c>
      <c r="C3028" s="1011">
        <v>333903000000000</v>
      </c>
      <c r="D3028" s="973" t="s">
        <v>5119</v>
      </c>
      <c r="E3028" s="945"/>
      <c r="F3028" s="975">
        <v>1</v>
      </c>
      <c r="G3028" s="973">
        <v>0</v>
      </c>
      <c r="I3028" s="1039">
        <f>PUCFD!E2650</f>
        <v>0.01</v>
      </c>
    </row>
    <row r="3029" spans="2:9" ht="24.95" customHeight="1" x14ac:dyDescent="0.25">
      <c r="B3029" s="945">
        <v>108240</v>
      </c>
      <c r="C3029" s="1011">
        <v>333903000000000</v>
      </c>
      <c r="D3029" s="973" t="s">
        <v>5119</v>
      </c>
      <c r="E3029" s="945"/>
      <c r="F3029" s="975">
        <v>20</v>
      </c>
      <c r="G3029" s="973">
        <v>0</v>
      </c>
      <c r="I3029" s="1039">
        <f>PUCFD!E2651</f>
        <v>0.01</v>
      </c>
    </row>
    <row r="3030" spans="2:9" ht="24.95" customHeight="1" x14ac:dyDescent="0.25">
      <c r="B3030" s="945">
        <v>108280</v>
      </c>
      <c r="C3030" s="1011">
        <v>333903900000000</v>
      </c>
      <c r="D3030" s="973" t="s">
        <v>5118</v>
      </c>
      <c r="E3030" s="945"/>
      <c r="F3030" s="975">
        <v>1</v>
      </c>
      <c r="G3030" s="973">
        <v>0</v>
      </c>
      <c r="I3030" s="1039">
        <f>PUCFD!E2652</f>
        <v>0.01</v>
      </c>
    </row>
    <row r="3031" spans="2:9" ht="24.95" customHeight="1" x14ac:dyDescent="0.25">
      <c r="B3031" s="945">
        <v>108320</v>
      </c>
      <c r="C3031" s="1011">
        <v>333903900000000</v>
      </c>
      <c r="D3031" s="973" t="s">
        <v>5118</v>
      </c>
      <c r="E3031" s="945"/>
      <c r="F3031" s="975">
        <v>20</v>
      </c>
      <c r="G3031" s="973">
        <v>0</v>
      </c>
      <c r="I3031" s="1039">
        <f>PUCFD!E2653</f>
        <v>0.01</v>
      </c>
    </row>
    <row r="3032" spans="2:9" ht="24.95" customHeight="1" x14ac:dyDescent="0.25">
      <c r="B3032" s="962" t="s">
        <v>3138</v>
      </c>
      <c r="C3032" s="959">
        <v>12</v>
      </c>
      <c r="D3032" s="962" t="s">
        <v>4728</v>
      </c>
      <c r="E3032" s="946"/>
      <c r="F3032" s="960"/>
      <c r="G3032" s="958"/>
      <c r="H3032" s="958"/>
      <c r="I3032" s="957">
        <f>I3033</f>
        <v>172293.02000000002</v>
      </c>
    </row>
    <row r="3033" spans="2:9" ht="24.95" customHeight="1" x14ac:dyDescent="0.25">
      <c r="B3033" s="962" t="s">
        <v>3139</v>
      </c>
      <c r="C3033" s="959">
        <v>362</v>
      </c>
      <c r="D3033" s="962" t="s">
        <v>4838</v>
      </c>
      <c r="E3033" s="946"/>
      <c r="F3033" s="960"/>
      <c r="G3033" s="958"/>
      <c r="H3033" s="958"/>
      <c r="I3033" s="957">
        <f>I3034</f>
        <v>172293.02000000002</v>
      </c>
    </row>
    <row r="3034" spans="2:9" ht="24.95" customHeight="1" x14ac:dyDescent="0.25">
      <c r="B3034" s="962" t="s">
        <v>3137</v>
      </c>
      <c r="C3034" s="959">
        <v>18</v>
      </c>
      <c r="D3034" s="962" t="s">
        <v>4839</v>
      </c>
      <c r="E3034" s="946"/>
      <c r="F3034" s="960"/>
      <c r="G3034" s="958"/>
      <c r="H3034" s="958"/>
      <c r="I3034" s="957">
        <f>I3035</f>
        <v>172293.02000000002</v>
      </c>
    </row>
    <row r="3035" spans="2:9" ht="24.95" customHeight="1" x14ac:dyDescent="0.25">
      <c r="B3035" s="963" t="s">
        <v>2965</v>
      </c>
      <c r="C3035" s="959">
        <v>24</v>
      </c>
      <c r="D3035" s="963" t="s">
        <v>4837</v>
      </c>
      <c r="E3035" s="946"/>
      <c r="F3035" s="960"/>
      <c r="G3035" s="963"/>
      <c r="H3035" s="963"/>
      <c r="I3035" s="957">
        <f>SUM(I3036:I3037)</f>
        <v>172293.02000000002</v>
      </c>
    </row>
    <row r="3036" spans="2:9" ht="24.95" customHeight="1" x14ac:dyDescent="0.25">
      <c r="B3036" s="973">
        <v>108360</v>
      </c>
      <c r="C3036" s="1011">
        <v>333903000000000</v>
      </c>
      <c r="D3036" s="973" t="s">
        <v>5121</v>
      </c>
      <c r="E3036" s="946"/>
      <c r="F3036" s="975">
        <v>1</v>
      </c>
      <c r="G3036" s="973">
        <v>0</v>
      </c>
      <c r="I3036" s="1039">
        <f>PUCFD!E2655</f>
        <v>0.01</v>
      </c>
    </row>
    <row r="3037" spans="2:9" ht="24.95" customHeight="1" x14ac:dyDescent="0.25">
      <c r="B3037" s="973">
        <v>108390</v>
      </c>
      <c r="C3037" s="1011">
        <v>333903900000000</v>
      </c>
      <c r="D3037" s="973" t="s">
        <v>5120</v>
      </c>
      <c r="E3037" s="946"/>
      <c r="F3037" s="975">
        <v>1</v>
      </c>
      <c r="G3037" s="973">
        <v>0</v>
      </c>
      <c r="I3037" s="1039">
        <f>PUCFD!E2656-10000+132293.01</f>
        <v>172293.01</v>
      </c>
    </row>
    <row r="3038" spans="2:9" ht="24.95" customHeight="1" x14ac:dyDescent="0.25">
      <c r="B3038" s="962" t="s">
        <v>3138</v>
      </c>
      <c r="C3038" s="959">
        <v>12</v>
      </c>
      <c r="D3038" s="962" t="s">
        <v>4728</v>
      </c>
      <c r="E3038" s="946"/>
      <c r="F3038" s="960"/>
      <c r="G3038" s="958"/>
      <c r="H3038" s="958"/>
      <c r="I3038" s="957">
        <f>I3039</f>
        <v>10000.01</v>
      </c>
    </row>
    <row r="3039" spans="2:9" ht="24.95" customHeight="1" x14ac:dyDescent="0.25">
      <c r="B3039" s="962" t="s">
        <v>3139</v>
      </c>
      <c r="C3039" s="959">
        <v>362</v>
      </c>
      <c r="D3039" s="962" t="s">
        <v>4838</v>
      </c>
      <c r="E3039" s="946"/>
      <c r="F3039" s="960"/>
      <c r="G3039" s="958"/>
      <c r="H3039" s="958"/>
      <c r="I3039" s="957">
        <f>I3040</f>
        <v>10000.01</v>
      </c>
    </row>
    <row r="3040" spans="2:9" ht="30.75" customHeight="1" x14ac:dyDescent="0.25">
      <c r="B3040" s="962" t="s">
        <v>3137</v>
      </c>
      <c r="C3040" s="959">
        <v>20</v>
      </c>
      <c r="D3040" s="962" t="s">
        <v>5142</v>
      </c>
      <c r="E3040" s="946"/>
      <c r="F3040" s="960"/>
      <c r="G3040" s="958"/>
      <c r="H3040" s="958"/>
      <c r="I3040" s="957">
        <f>I3041</f>
        <v>10000.01</v>
      </c>
    </row>
    <row r="3041" spans="2:9" ht="24.95" customHeight="1" x14ac:dyDescent="0.25">
      <c r="B3041" s="963" t="s">
        <v>2965</v>
      </c>
      <c r="C3041" s="959">
        <v>26</v>
      </c>
      <c r="D3041" s="963" t="s">
        <v>5143</v>
      </c>
      <c r="E3041" s="946"/>
      <c r="F3041" s="960"/>
      <c r="G3041" s="963"/>
      <c r="H3041" s="963"/>
      <c r="I3041" s="957">
        <f>SUM(I3042:I3043)</f>
        <v>10000.01</v>
      </c>
    </row>
    <row r="3042" spans="2:9" ht="24.95" customHeight="1" x14ac:dyDescent="0.25">
      <c r="B3042" s="973">
        <v>108420</v>
      </c>
      <c r="C3042" s="1011">
        <v>333903000000000</v>
      </c>
      <c r="D3042" s="973" t="s">
        <v>5219</v>
      </c>
      <c r="E3042" s="946"/>
      <c r="F3042" s="975">
        <v>1</v>
      </c>
      <c r="G3042" s="973">
        <v>0</v>
      </c>
      <c r="I3042" s="1039">
        <f>PUCFD!E2658</f>
        <v>0.01</v>
      </c>
    </row>
    <row r="3043" spans="2:9" ht="24.95" customHeight="1" x14ac:dyDescent="0.25">
      <c r="B3043" s="973">
        <v>108450</v>
      </c>
      <c r="C3043" s="1011">
        <v>333903900000000</v>
      </c>
      <c r="D3043" s="973" t="s">
        <v>5220</v>
      </c>
      <c r="E3043" s="946"/>
      <c r="F3043" s="975">
        <v>1</v>
      </c>
      <c r="G3043" s="973">
        <v>0</v>
      </c>
      <c r="I3043" s="1039">
        <f>PUCFD!E2659-10000</f>
        <v>10000</v>
      </c>
    </row>
    <row r="3044" spans="2:9" ht="24.95" customHeight="1" x14ac:dyDescent="0.25">
      <c r="B3044" s="962" t="s">
        <v>3138</v>
      </c>
      <c r="C3044" s="959">
        <v>12</v>
      </c>
      <c r="D3044" s="962" t="s">
        <v>4728</v>
      </c>
      <c r="E3044" s="946"/>
      <c r="F3044" s="960"/>
      <c r="G3044" s="958"/>
      <c r="H3044" s="958"/>
      <c r="I3044" s="957">
        <f>I3045</f>
        <v>20000.009999999998</v>
      </c>
    </row>
    <row r="3045" spans="2:9" ht="24.95" customHeight="1" x14ac:dyDescent="0.25">
      <c r="B3045" s="962" t="s">
        <v>3139</v>
      </c>
      <c r="C3045" s="959">
        <v>363</v>
      </c>
      <c r="D3045" s="962" t="s">
        <v>5138</v>
      </c>
      <c r="E3045" s="946"/>
      <c r="F3045" s="960"/>
      <c r="G3045" s="958"/>
      <c r="H3045" s="958"/>
      <c r="I3045" s="957">
        <f>I3046</f>
        <v>20000.009999999998</v>
      </c>
    </row>
    <row r="3046" spans="2:9" ht="24.95" customHeight="1" x14ac:dyDescent="0.25">
      <c r="B3046" s="962" t="s">
        <v>3137</v>
      </c>
      <c r="C3046" s="959">
        <v>19</v>
      </c>
      <c r="D3046" s="962" t="s">
        <v>5139</v>
      </c>
      <c r="E3046" s="946"/>
      <c r="F3046" s="960"/>
      <c r="G3046" s="958"/>
      <c r="H3046" s="958"/>
      <c r="I3046" s="957">
        <f>I3047</f>
        <v>20000.009999999998</v>
      </c>
    </row>
    <row r="3047" spans="2:9" ht="24.95" customHeight="1" x14ac:dyDescent="0.25">
      <c r="B3047" s="963" t="s">
        <v>2965</v>
      </c>
      <c r="C3047" s="959">
        <v>25</v>
      </c>
      <c r="D3047" s="963" t="s">
        <v>5140</v>
      </c>
      <c r="E3047" s="946"/>
      <c r="F3047" s="960"/>
      <c r="G3047" s="963"/>
      <c r="H3047" s="963"/>
      <c r="I3047" s="957">
        <f>SUM(I3048:I3049)</f>
        <v>20000.009999999998</v>
      </c>
    </row>
    <row r="3048" spans="2:9" ht="24.95" customHeight="1" x14ac:dyDescent="0.25">
      <c r="B3048" s="973">
        <v>108500</v>
      </c>
      <c r="C3048" s="1011">
        <v>333903000000000</v>
      </c>
      <c r="D3048" s="973" t="s">
        <v>5152</v>
      </c>
      <c r="E3048" s="946"/>
      <c r="F3048" s="975">
        <v>1</v>
      </c>
      <c r="G3048" s="973">
        <v>0</v>
      </c>
      <c r="I3048" s="1039">
        <f>PUCFD!E2661</f>
        <v>0.01</v>
      </c>
    </row>
    <row r="3049" spans="2:9" ht="24.95" customHeight="1" x14ac:dyDescent="0.25">
      <c r="B3049" s="973">
        <v>108530</v>
      </c>
      <c r="C3049" s="1011">
        <v>333903900000000</v>
      </c>
      <c r="D3049" s="973" t="s">
        <v>5153</v>
      </c>
      <c r="E3049" s="946"/>
      <c r="F3049" s="975">
        <v>1</v>
      </c>
      <c r="G3049" s="973">
        <v>0</v>
      </c>
      <c r="I3049" s="1039">
        <f>PUCFD!E2662-10000</f>
        <v>20000</v>
      </c>
    </row>
    <row r="3050" spans="2:9" ht="24.95" customHeight="1" x14ac:dyDescent="0.25">
      <c r="B3050" s="962" t="s">
        <v>3138</v>
      </c>
      <c r="C3050" s="959">
        <v>12</v>
      </c>
      <c r="D3050" s="962" t="s">
        <v>4728</v>
      </c>
      <c r="E3050" s="946"/>
      <c r="F3050" s="960"/>
      <c r="G3050" s="958"/>
      <c r="H3050" s="958"/>
      <c r="I3050" s="957">
        <f>I3051</f>
        <v>50000.01</v>
      </c>
    </row>
    <row r="3051" spans="2:9" ht="24.95" customHeight="1" x14ac:dyDescent="0.25">
      <c r="B3051" s="962" t="s">
        <v>3139</v>
      </c>
      <c r="C3051" s="959">
        <v>364</v>
      </c>
      <c r="D3051" s="962" t="s">
        <v>5141</v>
      </c>
      <c r="E3051" s="946"/>
      <c r="F3051" s="960"/>
      <c r="G3051" s="958"/>
      <c r="H3051" s="958"/>
      <c r="I3051" s="957">
        <f>I3052</f>
        <v>50000.01</v>
      </c>
    </row>
    <row r="3052" spans="2:9" ht="24.95" customHeight="1" x14ac:dyDescent="0.25">
      <c r="B3052" s="962" t="s">
        <v>3137</v>
      </c>
      <c r="C3052" s="959">
        <v>17</v>
      </c>
      <c r="D3052" s="962" t="s">
        <v>5144</v>
      </c>
      <c r="E3052" s="946"/>
      <c r="F3052" s="960"/>
      <c r="G3052" s="958"/>
      <c r="H3052" s="958"/>
      <c r="I3052" s="957">
        <f>I3053</f>
        <v>50000.01</v>
      </c>
    </row>
    <row r="3053" spans="2:9" ht="24.95" customHeight="1" x14ac:dyDescent="0.25">
      <c r="B3053" s="963" t="s">
        <v>2965</v>
      </c>
      <c r="C3053" s="959">
        <v>23</v>
      </c>
      <c r="D3053" s="963" t="s">
        <v>5145</v>
      </c>
      <c r="E3053" s="946"/>
      <c r="F3053" s="960"/>
      <c r="G3053" s="963"/>
      <c r="H3053" s="963"/>
      <c r="I3053" s="957">
        <f>SUM(I3054:I3055)</f>
        <v>50000.01</v>
      </c>
    </row>
    <row r="3054" spans="2:9" ht="24.95" customHeight="1" x14ac:dyDescent="0.25">
      <c r="B3054" s="973">
        <v>108560</v>
      </c>
      <c r="C3054" s="1011">
        <v>333903000000000</v>
      </c>
      <c r="D3054" s="973" t="s">
        <v>5154</v>
      </c>
      <c r="E3054" s="946"/>
      <c r="F3054" s="975">
        <v>1</v>
      </c>
      <c r="G3054" s="973">
        <v>0</v>
      </c>
      <c r="I3054" s="1039">
        <f>PUCFD!E2664</f>
        <v>0.01</v>
      </c>
    </row>
    <row r="3055" spans="2:9" ht="24.95" customHeight="1" x14ac:dyDescent="0.25">
      <c r="B3055" s="973">
        <v>108590</v>
      </c>
      <c r="C3055" s="1011">
        <v>333903900000000</v>
      </c>
      <c r="D3055" s="973" t="s">
        <v>5155</v>
      </c>
      <c r="E3055" s="946"/>
      <c r="F3055" s="975">
        <v>1</v>
      </c>
      <c r="G3055" s="973">
        <v>0</v>
      </c>
      <c r="I3055" s="1039">
        <f>PUCFD!E2665-20000</f>
        <v>50000</v>
      </c>
    </row>
    <row r="3056" spans="2:9" ht="24.95" customHeight="1" x14ac:dyDescent="0.25">
      <c r="B3056" s="962" t="s">
        <v>3138</v>
      </c>
      <c r="C3056" s="959">
        <v>12</v>
      </c>
      <c r="D3056" s="962" t="s">
        <v>4728</v>
      </c>
      <c r="E3056" s="946"/>
      <c r="F3056" s="960"/>
      <c r="G3056" s="958"/>
      <c r="H3056" s="958"/>
      <c r="I3056" s="957">
        <f>I3057</f>
        <v>0.04</v>
      </c>
    </row>
    <row r="3057" spans="2:9" ht="24.95" customHeight="1" x14ac:dyDescent="0.25">
      <c r="B3057" s="962" t="s">
        <v>3139</v>
      </c>
      <c r="C3057" s="959">
        <v>365</v>
      </c>
      <c r="D3057" s="962" t="s">
        <v>4732</v>
      </c>
      <c r="E3057" s="946"/>
      <c r="F3057" s="960"/>
      <c r="G3057" s="958"/>
      <c r="H3057" s="958"/>
      <c r="I3057" s="957">
        <f>I3058</f>
        <v>0.04</v>
      </c>
    </row>
    <row r="3058" spans="2:9" ht="24.95" customHeight="1" x14ac:dyDescent="0.25">
      <c r="B3058" s="962" t="s">
        <v>3137</v>
      </c>
      <c r="C3058" s="959">
        <v>14</v>
      </c>
      <c r="D3058" s="962" t="s">
        <v>5115</v>
      </c>
      <c r="E3058" s="946"/>
      <c r="F3058" s="960"/>
      <c r="G3058" s="958"/>
      <c r="H3058" s="958"/>
      <c r="I3058" s="957">
        <f>I3059</f>
        <v>0.04</v>
      </c>
    </row>
    <row r="3059" spans="2:9" ht="24.95" customHeight="1" x14ac:dyDescent="0.25">
      <c r="B3059" s="963" t="s">
        <v>2965</v>
      </c>
      <c r="C3059" s="959">
        <v>20</v>
      </c>
      <c r="D3059" s="963" t="s">
        <v>5114</v>
      </c>
      <c r="E3059" s="946"/>
      <c r="F3059" s="960"/>
      <c r="G3059" s="963"/>
      <c r="H3059" s="963"/>
      <c r="I3059" s="957">
        <f>SUM(I3060:I3063)</f>
        <v>0.04</v>
      </c>
    </row>
    <row r="3060" spans="2:9" ht="24.95" customHeight="1" x14ac:dyDescent="0.25">
      <c r="B3060" s="945">
        <v>108600</v>
      </c>
      <c r="C3060" s="1011">
        <v>333903000000000</v>
      </c>
      <c r="D3060" s="973" t="s">
        <v>5122</v>
      </c>
      <c r="E3060" s="945"/>
      <c r="F3060" s="975">
        <v>1</v>
      </c>
      <c r="G3060" s="973">
        <v>0</v>
      </c>
      <c r="I3060" s="1039">
        <f>PUCFD!E2650</f>
        <v>0.01</v>
      </c>
    </row>
    <row r="3061" spans="2:9" ht="24.95" customHeight="1" x14ac:dyDescent="0.25">
      <c r="B3061" s="945">
        <v>108630</v>
      </c>
      <c r="C3061" s="1011">
        <v>333903000000000</v>
      </c>
      <c r="D3061" s="973" t="s">
        <v>5122</v>
      </c>
      <c r="E3061" s="945"/>
      <c r="F3061" s="975">
        <v>20</v>
      </c>
      <c r="G3061" s="973">
        <v>0</v>
      </c>
      <c r="I3061" s="1039">
        <f>PUCFD!E2651</f>
        <v>0.01</v>
      </c>
    </row>
    <row r="3062" spans="2:9" ht="24.95" customHeight="1" x14ac:dyDescent="0.25">
      <c r="B3062" s="945">
        <v>108660</v>
      </c>
      <c r="C3062" s="1011">
        <v>333903900000000</v>
      </c>
      <c r="D3062" s="973" t="s">
        <v>5123</v>
      </c>
      <c r="E3062" s="945"/>
      <c r="F3062" s="975">
        <v>1</v>
      </c>
      <c r="G3062" s="973">
        <v>0</v>
      </c>
      <c r="I3062" s="1039">
        <f>PUCFD!E2652</f>
        <v>0.01</v>
      </c>
    </row>
    <row r="3063" spans="2:9" ht="24.95" customHeight="1" x14ac:dyDescent="0.25">
      <c r="B3063" s="945">
        <v>108690</v>
      </c>
      <c r="C3063" s="1011">
        <v>333903900000000</v>
      </c>
      <c r="D3063" s="973" t="s">
        <v>5123</v>
      </c>
      <c r="E3063" s="945"/>
      <c r="F3063" s="975">
        <v>20</v>
      </c>
      <c r="G3063" s="973">
        <v>0</v>
      </c>
      <c r="I3063" s="1039">
        <f>PUCFD!E2653</f>
        <v>0.01</v>
      </c>
    </row>
    <row r="3064" spans="2:9" ht="24.95" customHeight="1" x14ac:dyDescent="0.25">
      <c r="B3064" s="962" t="s">
        <v>3138</v>
      </c>
      <c r="C3064" s="959">
        <v>12</v>
      </c>
      <c r="D3064" s="962" t="s">
        <v>4728</v>
      </c>
      <c r="E3064" s="946"/>
      <c r="F3064" s="960"/>
      <c r="G3064" s="958"/>
      <c r="H3064" s="958"/>
      <c r="I3064" s="957">
        <f>I3065</f>
        <v>0.04</v>
      </c>
    </row>
    <row r="3065" spans="2:9" ht="24.95" customHeight="1" x14ac:dyDescent="0.25">
      <c r="B3065" s="962" t="s">
        <v>3139</v>
      </c>
      <c r="C3065" s="959">
        <v>366</v>
      </c>
      <c r="D3065" s="962" t="s">
        <v>4829</v>
      </c>
      <c r="E3065" s="946"/>
      <c r="F3065" s="960"/>
      <c r="G3065" s="958"/>
      <c r="H3065" s="958"/>
      <c r="I3065" s="957">
        <f>I3066</f>
        <v>0.04</v>
      </c>
    </row>
    <row r="3066" spans="2:9" ht="24.95" customHeight="1" x14ac:dyDescent="0.25">
      <c r="B3066" s="962" t="s">
        <v>3137</v>
      </c>
      <c r="C3066" s="959">
        <v>16</v>
      </c>
      <c r="D3066" s="962" t="s">
        <v>5124</v>
      </c>
      <c r="E3066" s="946"/>
      <c r="F3066" s="960"/>
      <c r="G3066" s="958"/>
      <c r="H3066" s="958"/>
      <c r="I3066" s="957">
        <f>I3067</f>
        <v>0.04</v>
      </c>
    </row>
    <row r="3067" spans="2:9" ht="24.95" customHeight="1" x14ac:dyDescent="0.25">
      <c r="B3067" s="963" t="s">
        <v>2965</v>
      </c>
      <c r="C3067" s="959">
        <v>22</v>
      </c>
      <c r="D3067" s="963" t="s">
        <v>5125</v>
      </c>
      <c r="E3067" s="946"/>
      <c r="F3067" s="960"/>
      <c r="G3067" s="963"/>
      <c r="H3067" s="963"/>
      <c r="I3067" s="957">
        <f>SUM(I3068:I3071)</f>
        <v>0.04</v>
      </c>
    </row>
    <row r="3068" spans="2:9" ht="24.95" customHeight="1" x14ac:dyDescent="0.25">
      <c r="B3068" s="945">
        <v>108780</v>
      </c>
      <c r="C3068" s="1011">
        <v>333903000000000</v>
      </c>
      <c r="D3068" s="973" t="s">
        <v>5117</v>
      </c>
      <c r="E3068" s="945"/>
      <c r="F3068" s="975">
        <v>1</v>
      </c>
      <c r="G3068" s="973">
        <v>0</v>
      </c>
      <c r="I3068" s="1039">
        <f>PUCFD!E2672</f>
        <v>0.01</v>
      </c>
    </row>
    <row r="3069" spans="2:9" ht="24.95" customHeight="1" x14ac:dyDescent="0.25">
      <c r="B3069" s="945">
        <v>108810</v>
      </c>
      <c r="C3069" s="1011">
        <v>333903000000000</v>
      </c>
      <c r="D3069" s="973" t="s">
        <v>5117</v>
      </c>
      <c r="E3069" s="945"/>
      <c r="F3069" s="975">
        <v>20</v>
      </c>
      <c r="G3069" s="973">
        <v>0</v>
      </c>
      <c r="I3069" s="1039">
        <f>PUCFD!E2673</f>
        <v>0.01</v>
      </c>
    </row>
    <row r="3070" spans="2:9" ht="24.95" customHeight="1" x14ac:dyDescent="0.25">
      <c r="B3070" s="945">
        <v>108840</v>
      </c>
      <c r="C3070" s="1011">
        <v>333903900000000</v>
      </c>
      <c r="D3070" s="973" t="s">
        <v>5116</v>
      </c>
      <c r="E3070" s="945"/>
      <c r="F3070" s="975">
        <v>1</v>
      </c>
      <c r="G3070" s="973">
        <v>0</v>
      </c>
      <c r="I3070" s="1039">
        <f>PUCFD!E2674</f>
        <v>0.01</v>
      </c>
    </row>
    <row r="3071" spans="2:9" ht="24.95" customHeight="1" x14ac:dyDescent="0.25">
      <c r="B3071" s="945">
        <v>108900</v>
      </c>
      <c r="C3071" s="1011">
        <v>333903900000000</v>
      </c>
      <c r="D3071" s="973" t="s">
        <v>5116</v>
      </c>
      <c r="E3071" s="945"/>
      <c r="F3071" s="975">
        <v>20</v>
      </c>
      <c r="G3071" s="973">
        <v>0</v>
      </c>
      <c r="I3071" s="1039">
        <f>PUCFD!E2675</f>
        <v>0.01</v>
      </c>
    </row>
    <row r="3072" spans="2:9" ht="24.95" customHeight="1" x14ac:dyDescent="0.25">
      <c r="B3072" s="962" t="s">
        <v>3138</v>
      </c>
      <c r="C3072" s="959">
        <v>12</v>
      </c>
      <c r="D3072" s="962" t="s">
        <v>4728</v>
      </c>
      <c r="E3072" s="946"/>
      <c r="F3072" s="960"/>
      <c r="G3072" s="958"/>
      <c r="H3072" s="958"/>
      <c r="I3072" s="957">
        <f>I3073</f>
        <v>0.04</v>
      </c>
    </row>
    <row r="3073" spans="2:9" ht="24.95" customHeight="1" x14ac:dyDescent="0.25">
      <c r="B3073" s="962" t="s">
        <v>3139</v>
      </c>
      <c r="C3073" s="959">
        <v>367</v>
      </c>
      <c r="D3073" s="962" t="s">
        <v>4819</v>
      </c>
      <c r="E3073" s="946"/>
      <c r="F3073" s="960"/>
      <c r="G3073" s="958"/>
      <c r="H3073" s="958"/>
      <c r="I3073" s="957">
        <f>I3074</f>
        <v>0.04</v>
      </c>
    </row>
    <row r="3074" spans="2:9" ht="36.75" customHeight="1" x14ac:dyDescent="0.25">
      <c r="B3074" s="962" t="s">
        <v>3137</v>
      </c>
      <c r="C3074" s="959">
        <v>15</v>
      </c>
      <c r="D3074" s="962" t="s">
        <v>5126</v>
      </c>
      <c r="E3074" s="946"/>
      <c r="F3074" s="960"/>
      <c r="G3074" s="958"/>
      <c r="H3074" s="958"/>
      <c r="I3074" s="957">
        <f>I3075</f>
        <v>0.04</v>
      </c>
    </row>
    <row r="3075" spans="2:9" ht="24.95" customHeight="1" x14ac:dyDescent="0.25">
      <c r="B3075" s="963" t="s">
        <v>2965</v>
      </c>
      <c r="C3075" s="959">
        <v>21</v>
      </c>
      <c r="D3075" s="963" t="s">
        <v>5127</v>
      </c>
      <c r="E3075" s="946"/>
      <c r="F3075" s="960"/>
      <c r="G3075" s="963"/>
      <c r="H3075" s="963"/>
      <c r="I3075" s="957">
        <f>SUM(I3076:I3079)</f>
        <v>0.04</v>
      </c>
    </row>
    <row r="3076" spans="2:9" ht="24.95" customHeight="1" x14ac:dyDescent="0.25">
      <c r="B3076" s="945">
        <v>108930</v>
      </c>
      <c r="C3076" s="1011">
        <v>333903000000000</v>
      </c>
      <c r="D3076" s="973" t="s">
        <v>5134</v>
      </c>
      <c r="E3076" s="945"/>
      <c r="F3076" s="975">
        <v>1</v>
      </c>
      <c r="G3076" s="973">
        <v>0</v>
      </c>
      <c r="I3076" s="1039">
        <f>PUCFD!E2677</f>
        <v>0.01</v>
      </c>
    </row>
    <row r="3077" spans="2:9" ht="24.95" customHeight="1" x14ac:dyDescent="0.25">
      <c r="B3077" s="945">
        <v>108960</v>
      </c>
      <c r="C3077" s="1011">
        <v>333903000000000</v>
      </c>
      <c r="D3077" s="973" t="s">
        <v>5134</v>
      </c>
      <c r="E3077" s="945"/>
      <c r="F3077" s="975">
        <v>20</v>
      </c>
      <c r="G3077" s="973">
        <v>0</v>
      </c>
      <c r="I3077" s="1039">
        <f>PUCFD!E2678</f>
        <v>0.01</v>
      </c>
    </row>
    <row r="3078" spans="2:9" ht="24.95" customHeight="1" x14ac:dyDescent="0.25">
      <c r="B3078" s="945">
        <v>108990</v>
      </c>
      <c r="C3078" s="1011">
        <v>333903900000000</v>
      </c>
      <c r="D3078" s="973" t="s">
        <v>5135</v>
      </c>
      <c r="E3078" s="945"/>
      <c r="F3078" s="975">
        <v>1</v>
      </c>
      <c r="G3078" s="973">
        <v>0</v>
      </c>
      <c r="I3078" s="1039">
        <f>PUCFD!E2679</f>
        <v>0.01</v>
      </c>
    </row>
    <row r="3079" spans="2:9" ht="24.95" customHeight="1" x14ac:dyDescent="0.25">
      <c r="B3079" s="945">
        <v>109020</v>
      </c>
      <c r="C3079" s="1011">
        <v>333903900000000</v>
      </c>
      <c r="D3079" s="973" t="s">
        <v>5135</v>
      </c>
      <c r="E3079" s="945"/>
      <c r="F3079" s="975">
        <v>20</v>
      </c>
      <c r="G3079" s="973">
        <v>0</v>
      </c>
      <c r="I3079" s="1039">
        <f>PUCFD!E2680</f>
        <v>0.01</v>
      </c>
    </row>
    <row r="3080" spans="2:9" ht="24.95" customHeight="1" x14ac:dyDescent="0.25">
      <c r="B3080" s="1608" t="s">
        <v>4831</v>
      </c>
      <c r="C3080" s="1608"/>
      <c r="D3080" s="1608"/>
      <c r="E3080" s="1608"/>
      <c r="F3080" s="1608"/>
      <c r="G3080" s="1608"/>
      <c r="H3080" s="1608"/>
      <c r="I3080" s="1024">
        <f>I3075+I3067+I3059+I3035+I3027+I3053+I3047+I3041+I3018+I3011+I3004+I2997+I2990</f>
        <v>252299.30000000008</v>
      </c>
    </row>
    <row r="3081" spans="2:9" ht="24.95" customHeight="1" x14ac:dyDescent="0.25">
      <c r="B3081" s="1608" t="s">
        <v>5128</v>
      </c>
      <c r="C3081" s="1608"/>
      <c r="D3081" s="1608"/>
      <c r="E3081" s="1608"/>
      <c r="F3081" s="1608"/>
      <c r="G3081" s="1608"/>
      <c r="H3081" s="1608"/>
      <c r="I3081" s="1024">
        <f>I3080</f>
        <v>252299.30000000008</v>
      </c>
    </row>
    <row r="3082" spans="2:9" ht="24.95" customHeight="1" x14ac:dyDescent="0.25">
      <c r="B3082" s="987"/>
      <c r="C3082" s="987"/>
      <c r="D3082" s="987"/>
      <c r="E3082" s="954" t="s">
        <v>4777</v>
      </c>
      <c r="F3082" s="960"/>
      <c r="G3082" s="960"/>
      <c r="H3082" s="958"/>
      <c r="I3082" s="1030"/>
    </row>
    <row r="3083" spans="2:9" ht="24.95" customHeight="1" x14ac:dyDescent="0.25">
      <c r="B3083" s="987"/>
      <c r="C3083" s="987"/>
      <c r="D3083" s="987"/>
      <c r="F3083" s="949">
        <v>1</v>
      </c>
      <c r="G3083" s="945">
        <v>0</v>
      </c>
      <c r="H3083" s="950">
        <v>0</v>
      </c>
      <c r="I3083" s="951">
        <f>I3076+I3068+I3062+I3060+I3055+I3054+I3049+I3048+I3043+I3042+I3037+I3036+I3030+I3028+I3021+I3019+I3012+I3005+I2998+I2991+I3070+I3078</f>
        <v>252296.16000000009</v>
      </c>
    </row>
    <row r="3084" spans="2:9" ht="24.95" customHeight="1" x14ac:dyDescent="0.25">
      <c r="F3084" s="949">
        <v>20</v>
      </c>
      <c r="G3084" s="945">
        <v>0</v>
      </c>
      <c r="H3084" s="950">
        <v>0</v>
      </c>
      <c r="I3084" s="951">
        <f>I3063+I3061+I3031+I3029+I3022+I3020+I3013+I3006+I2999+I2992+I3069+I3071+I3077+I3079</f>
        <v>3.109999999999999</v>
      </c>
    </row>
    <row r="3085" spans="2:9" ht="24.95" customHeight="1" x14ac:dyDescent="0.25">
      <c r="F3085" s="949">
        <v>1036</v>
      </c>
      <c r="G3085" s="945">
        <v>0</v>
      </c>
      <c r="H3085" s="950">
        <v>0</v>
      </c>
      <c r="I3085" s="951">
        <f>I2993+I3000+I3007+I3014</f>
        <v>1.03</v>
      </c>
    </row>
    <row r="3086" spans="2:9" ht="24.95" customHeight="1" x14ac:dyDescent="0.25">
      <c r="B3086" s="946" t="s">
        <v>3088</v>
      </c>
      <c r="C3086" s="953" t="s">
        <v>5289</v>
      </c>
    </row>
    <row r="3087" spans="2:9" ht="24.95" customHeight="1" x14ac:dyDescent="0.25">
      <c r="B3087" s="946" t="s">
        <v>3087</v>
      </c>
      <c r="C3087" s="953" t="s">
        <v>5244</v>
      </c>
    </row>
    <row r="3088" spans="2:9" ht="24.95" customHeight="1" x14ac:dyDescent="0.25">
      <c r="B3088" s="946" t="s">
        <v>3089</v>
      </c>
      <c r="C3088" s="953" t="s">
        <v>5245</v>
      </c>
    </row>
    <row r="3089" spans="2:9" ht="24.95" customHeight="1" x14ac:dyDescent="0.25">
      <c r="B3089" s="962" t="s">
        <v>3138</v>
      </c>
      <c r="C3089" s="959">
        <v>10</v>
      </c>
      <c r="D3089" s="962" t="s">
        <v>5246</v>
      </c>
      <c r="E3089" s="946"/>
      <c r="F3089" s="960"/>
      <c r="G3089" s="958"/>
      <c r="H3089" s="958"/>
      <c r="I3089" s="957">
        <f>I3090</f>
        <v>6.0000000000000005E-2</v>
      </c>
    </row>
    <row r="3090" spans="2:9" ht="24.95" customHeight="1" x14ac:dyDescent="0.25">
      <c r="B3090" s="962" t="s">
        <v>3139</v>
      </c>
      <c r="C3090" s="959">
        <v>122</v>
      </c>
      <c r="D3090" s="962" t="s">
        <v>3143</v>
      </c>
      <c r="E3090" s="946"/>
      <c r="F3090" s="960"/>
      <c r="G3090" s="958"/>
      <c r="H3090" s="958"/>
      <c r="I3090" s="957">
        <f>I3091</f>
        <v>6.0000000000000005E-2</v>
      </c>
    </row>
    <row r="3091" spans="2:9" ht="36.75" customHeight="1" x14ac:dyDescent="0.25">
      <c r="B3091" s="962" t="s">
        <v>3137</v>
      </c>
      <c r="C3091" s="959">
        <v>100</v>
      </c>
      <c r="D3091" s="962" t="s">
        <v>5247</v>
      </c>
      <c r="E3091" s="946"/>
      <c r="F3091" s="960"/>
      <c r="G3091" s="958"/>
      <c r="H3091" s="958"/>
      <c r="I3091" s="957">
        <f>I3092</f>
        <v>6.0000000000000005E-2</v>
      </c>
    </row>
    <row r="3092" spans="2:9" ht="24.95" customHeight="1" x14ac:dyDescent="0.25">
      <c r="B3092" s="963" t="s">
        <v>2950</v>
      </c>
      <c r="C3092" s="959">
        <v>19</v>
      </c>
      <c r="D3092" s="963" t="s">
        <v>5248</v>
      </c>
      <c r="E3092" s="946"/>
      <c r="F3092" s="960"/>
      <c r="G3092" s="963"/>
      <c r="H3092" s="963"/>
      <c r="I3092" s="957">
        <f>SUM(I3093:I3098)</f>
        <v>6.0000000000000005E-2</v>
      </c>
    </row>
    <row r="3093" spans="2:9" ht="24.95" customHeight="1" x14ac:dyDescent="0.25">
      <c r="B3093" s="973">
        <v>130000</v>
      </c>
      <c r="C3093" s="974">
        <v>333904700000000</v>
      </c>
      <c r="D3093" s="973" t="s">
        <v>5266</v>
      </c>
      <c r="E3093" s="973"/>
      <c r="F3093" s="975">
        <v>40</v>
      </c>
      <c r="G3093" s="973">
        <v>0</v>
      </c>
      <c r="I3093" s="1039">
        <f>PUCFD!E2683</f>
        <v>0.01</v>
      </c>
    </row>
    <row r="3094" spans="2:9" ht="24.95" customHeight="1" x14ac:dyDescent="0.25">
      <c r="B3094" s="973">
        <v>130100</v>
      </c>
      <c r="C3094" s="974">
        <v>344903000000000</v>
      </c>
      <c r="D3094" s="973" t="s">
        <v>5267</v>
      </c>
      <c r="E3094" s="973"/>
      <c r="F3094" s="975">
        <v>40</v>
      </c>
      <c r="G3094" s="973">
        <v>0</v>
      </c>
      <c r="I3094" s="1039">
        <f>PUCFD!E2684</f>
        <v>0.01</v>
      </c>
    </row>
    <row r="3095" spans="2:9" ht="24.95" customHeight="1" x14ac:dyDescent="0.25">
      <c r="B3095" s="973">
        <v>130200</v>
      </c>
      <c r="C3095" s="974">
        <v>344903600000000</v>
      </c>
      <c r="D3095" s="973" t="s">
        <v>6474</v>
      </c>
      <c r="E3095" s="973"/>
      <c r="F3095" s="975">
        <v>40</v>
      </c>
      <c r="G3095" s="973">
        <v>0</v>
      </c>
      <c r="I3095" s="1039">
        <f>PUCFD!E2685</f>
        <v>0.01</v>
      </c>
    </row>
    <row r="3096" spans="2:9" ht="24.95" customHeight="1" x14ac:dyDescent="0.25">
      <c r="B3096" s="973">
        <v>130300</v>
      </c>
      <c r="C3096" s="974">
        <v>344903900000000</v>
      </c>
      <c r="D3096" s="973" t="s">
        <v>6475</v>
      </c>
      <c r="E3096" s="973"/>
      <c r="F3096" s="975">
        <v>40</v>
      </c>
      <c r="G3096" s="973">
        <v>0</v>
      </c>
      <c r="I3096" s="1039">
        <f>PUCFD!E2686</f>
        <v>0.01</v>
      </c>
    </row>
    <row r="3097" spans="2:9" ht="24.95" customHeight="1" x14ac:dyDescent="0.25">
      <c r="B3097" s="973">
        <v>130400</v>
      </c>
      <c r="C3097" s="974">
        <v>344905100000000</v>
      </c>
      <c r="D3097" s="973" t="s">
        <v>5270</v>
      </c>
      <c r="E3097" s="973"/>
      <c r="F3097" s="975">
        <v>40</v>
      </c>
      <c r="G3097" s="973">
        <v>0</v>
      </c>
      <c r="I3097" s="1039">
        <f>PUCFD!E2687</f>
        <v>0.01</v>
      </c>
    </row>
    <row r="3098" spans="2:9" ht="24.95" customHeight="1" x14ac:dyDescent="0.25">
      <c r="B3098" s="973">
        <v>130500</v>
      </c>
      <c r="C3098" s="974">
        <v>344905200000000</v>
      </c>
      <c r="D3098" s="973" t="s">
        <v>5271</v>
      </c>
      <c r="E3098" s="973"/>
      <c r="F3098" s="975">
        <v>40</v>
      </c>
      <c r="G3098" s="973">
        <v>0</v>
      </c>
      <c r="I3098" s="1039">
        <f>PUCFD!E2688</f>
        <v>0.01</v>
      </c>
    </row>
    <row r="3099" spans="2:9" ht="24.95" customHeight="1" x14ac:dyDescent="0.25">
      <c r="B3099" s="962" t="s">
        <v>3138</v>
      </c>
      <c r="C3099" s="959">
        <v>10</v>
      </c>
      <c r="D3099" s="962" t="s">
        <v>5246</v>
      </c>
      <c r="E3099" s="946"/>
      <c r="F3099" s="960"/>
      <c r="G3099" s="958"/>
      <c r="H3099" s="958"/>
      <c r="I3099" s="957">
        <f>I3100</f>
        <v>485124.7404310616</v>
      </c>
    </row>
    <row r="3100" spans="2:9" ht="24.95" customHeight="1" x14ac:dyDescent="0.25">
      <c r="B3100" s="962" t="s">
        <v>3139</v>
      </c>
      <c r="C3100" s="959">
        <v>122</v>
      </c>
      <c r="D3100" s="962" t="s">
        <v>3143</v>
      </c>
      <c r="E3100" s="946"/>
      <c r="F3100" s="960"/>
      <c r="G3100" s="958"/>
      <c r="H3100" s="958"/>
      <c r="I3100" s="957">
        <f>I3101</f>
        <v>485124.7404310616</v>
      </c>
    </row>
    <row r="3101" spans="2:9" ht="36.75" customHeight="1" x14ac:dyDescent="0.25">
      <c r="B3101" s="962" t="s">
        <v>3137</v>
      </c>
      <c r="C3101" s="959">
        <v>100</v>
      </c>
      <c r="D3101" s="962" t="s">
        <v>5247</v>
      </c>
      <c r="E3101" s="946"/>
      <c r="F3101" s="960"/>
      <c r="G3101" s="958"/>
      <c r="H3101" s="958"/>
      <c r="I3101" s="957">
        <f>I3102</f>
        <v>485124.7404310616</v>
      </c>
    </row>
    <row r="3102" spans="2:9" s="946" customFormat="1" ht="24.95" customHeight="1" x14ac:dyDescent="0.25">
      <c r="B3102" s="963" t="s">
        <v>2965</v>
      </c>
      <c r="C3102" s="959">
        <v>28</v>
      </c>
      <c r="D3102" s="963" t="s">
        <v>5249</v>
      </c>
      <c r="E3102" s="954"/>
      <c r="F3102" s="955"/>
      <c r="H3102" s="956"/>
      <c r="I3102" s="957">
        <f>SUM(I3103:I3123)</f>
        <v>485124.7404310616</v>
      </c>
    </row>
    <row r="3103" spans="2:9" ht="24.95" customHeight="1" x14ac:dyDescent="0.25">
      <c r="B3103" s="973">
        <v>131000</v>
      </c>
      <c r="C3103" s="974">
        <v>331900400000000</v>
      </c>
      <c r="D3103" s="973" t="s">
        <v>6476</v>
      </c>
      <c r="E3103" s="973"/>
      <c r="F3103" s="975">
        <v>40</v>
      </c>
      <c r="G3103" s="973">
        <v>0</v>
      </c>
      <c r="I3103" s="1039">
        <f>SUM(PUCFD!E2691:E2692)*(1+PUCFD!E$87)</f>
        <v>21205.115518641978</v>
      </c>
    </row>
    <row r="3104" spans="2:9" s="971" customFormat="1" ht="24.95" customHeight="1" x14ac:dyDescent="0.25">
      <c r="B3104" s="966">
        <v>131050</v>
      </c>
      <c r="C3104" s="967">
        <v>331900800000000</v>
      </c>
      <c r="D3104" s="966" t="s">
        <v>6477</v>
      </c>
      <c r="E3104" s="966"/>
      <c r="F3104" s="969">
        <v>1</v>
      </c>
      <c r="G3104" s="966">
        <v>0</v>
      </c>
      <c r="H3104" s="998"/>
      <c r="I3104" s="1046">
        <f>(I3105+I3107+I3108)*PUCFD!E$94*(1+PUCFD!E$87)</f>
        <v>35332.324050276577</v>
      </c>
    </row>
    <row r="3105" spans="2:9" ht="24.95" customHeight="1" x14ac:dyDescent="0.25">
      <c r="B3105" s="973">
        <v>131100</v>
      </c>
      <c r="C3105" s="974">
        <v>331901100000000</v>
      </c>
      <c r="D3105" s="973" t="s">
        <v>6478</v>
      </c>
      <c r="E3105" s="973"/>
      <c r="F3105" s="975">
        <v>40</v>
      </c>
      <c r="G3105" s="973">
        <v>0</v>
      </c>
      <c r="I3105" s="1039">
        <f>PUCFD!E2696</f>
        <v>282213.11388131999</v>
      </c>
    </row>
    <row r="3106" spans="2:9" ht="24.95" customHeight="1" x14ac:dyDescent="0.25">
      <c r="B3106" s="973">
        <v>131200</v>
      </c>
      <c r="C3106" s="974">
        <v>331901300000000</v>
      </c>
      <c r="D3106" s="973" t="s">
        <v>6479</v>
      </c>
      <c r="E3106" s="973"/>
      <c r="F3106" s="975">
        <v>40</v>
      </c>
      <c r="G3106" s="973">
        <v>0</v>
      </c>
      <c r="I3106" s="1039">
        <f>(I3105+I3107+I3108)*PUCFD!E$92</f>
        <v>61235.219949127088</v>
      </c>
    </row>
    <row r="3107" spans="2:9" ht="24.95" customHeight="1" x14ac:dyDescent="0.25">
      <c r="B3107" s="973">
        <v>131300</v>
      </c>
      <c r="C3107" s="974">
        <v>331901600000000</v>
      </c>
      <c r="D3107" s="973" t="s">
        <v>6480</v>
      </c>
      <c r="E3107" s="973"/>
      <c r="F3107" s="975">
        <v>40</v>
      </c>
      <c r="G3107" s="973">
        <v>0</v>
      </c>
      <c r="I3107" s="1039">
        <f>PUCFD!E2710*(1+PUCFD!E$87)</f>
        <v>9383.1615907137711</v>
      </c>
    </row>
    <row r="3108" spans="2:9" ht="24.95" customHeight="1" x14ac:dyDescent="0.25">
      <c r="B3108" s="973">
        <v>131400</v>
      </c>
      <c r="C3108" s="974">
        <v>331903400000000</v>
      </c>
      <c r="D3108" s="973" t="s">
        <v>6482</v>
      </c>
      <c r="E3108" s="973"/>
      <c r="F3108" s="975">
        <v>40</v>
      </c>
      <c r="G3108" s="973">
        <v>0</v>
      </c>
      <c r="I3108" s="1039">
        <f>PUCFD!E2711</f>
        <v>0.01</v>
      </c>
    </row>
    <row r="3109" spans="2:9" ht="24.95" customHeight="1" x14ac:dyDescent="0.25">
      <c r="B3109" s="973">
        <v>131500</v>
      </c>
      <c r="C3109" s="974">
        <v>331909400000000</v>
      </c>
      <c r="D3109" s="973" t="s">
        <v>6481</v>
      </c>
      <c r="E3109" s="973"/>
      <c r="F3109" s="975">
        <v>40</v>
      </c>
      <c r="G3109" s="973">
        <v>0</v>
      </c>
      <c r="I3109" s="1039">
        <f>SUM(PUCFD!E2693:E2694)</f>
        <v>1854.5064759531476</v>
      </c>
    </row>
    <row r="3110" spans="2:9" ht="24.95" customHeight="1" x14ac:dyDescent="0.25">
      <c r="B3110" s="973">
        <v>131600</v>
      </c>
      <c r="C3110" s="974">
        <v>333901400000000</v>
      </c>
      <c r="D3110" s="973" t="s">
        <v>5278</v>
      </c>
      <c r="E3110" s="973"/>
      <c r="F3110" s="975">
        <v>40</v>
      </c>
      <c r="G3110" s="973">
        <v>0</v>
      </c>
      <c r="I3110" s="1039">
        <f>PUCFD!E2713-4000</f>
        <v>1000</v>
      </c>
    </row>
    <row r="3111" spans="2:9" ht="24.95" customHeight="1" x14ac:dyDescent="0.25">
      <c r="B3111" s="973">
        <v>131700</v>
      </c>
      <c r="C3111" s="974">
        <v>333903000000000</v>
      </c>
      <c r="D3111" s="973" t="s">
        <v>5279</v>
      </c>
      <c r="E3111" s="973"/>
      <c r="F3111" s="975">
        <v>40</v>
      </c>
      <c r="G3111" s="973">
        <v>0</v>
      </c>
      <c r="I3111" s="1039">
        <f>PUCFD!E2714*(1+PUCFD!E$10)*(1+PUCFD!E$16)-6000</f>
        <v>1078.1412168810002</v>
      </c>
    </row>
    <row r="3112" spans="2:9" ht="24.95" customHeight="1" x14ac:dyDescent="0.25">
      <c r="B3112" s="973">
        <v>131800</v>
      </c>
      <c r="C3112" s="974">
        <v>333903300000000</v>
      </c>
      <c r="D3112" s="973" t="s">
        <v>5280</v>
      </c>
      <c r="E3112" s="973"/>
      <c r="F3112" s="975">
        <v>40</v>
      </c>
      <c r="G3112" s="973">
        <v>0</v>
      </c>
      <c r="I3112" s="1039">
        <f>PUCFD!E2715</f>
        <v>1500</v>
      </c>
    </row>
    <row r="3113" spans="2:9" ht="24.95" customHeight="1" x14ac:dyDescent="0.25">
      <c r="B3113" s="973">
        <v>131900</v>
      </c>
      <c r="C3113" s="974">
        <v>333903500000000</v>
      </c>
      <c r="D3113" s="973" t="s">
        <v>5281</v>
      </c>
      <c r="E3113" s="973"/>
      <c r="F3113" s="975">
        <v>40</v>
      </c>
      <c r="G3113" s="973">
        <v>0</v>
      </c>
      <c r="I3113" s="1039">
        <f>PUCFD!E2716</f>
        <v>0.01</v>
      </c>
    </row>
    <row r="3114" spans="2:9" ht="24.95" customHeight="1" x14ac:dyDescent="0.25">
      <c r="B3114" s="973">
        <v>132000</v>
      </c>
      <c r="C3114" s="974">
        <v>333903600000000</v>
      </c>
      <c r="D3114" s="973" t="s">
        <v>6474</v>
      </c>
      <c r="E3114" s="973"/>
      <c r="F3114" s="975">
        <v>40</v>
      </c>
      <c r="G3114" s="973">
        <v>0</v>
      </c>
      <c r="I3114" s="1039">
        <f>PUCFD!E2717</f>
        <v>0.01</v>
      </c>
    </row>
    <row r="3115" spans="2:9" ht="24.95" customHeight="1" x14ac:dyDescent="0.25">
      <c r="B3115" s="973">
        <v>132100</v>
      </c>
      <c r="C3115" s="974">
        <v>333903900000000</v>
      </c>
      <c r="D3115" s="973" t="s">
        <v>6475</v>
      </c>
      <c r="E3115" s="973"/>
      <c r="F3115" s="975">
        <v>40</v>
      </c>
      <c r="G3115" s="973">
        <v>0</v>
      </c>
      <c r="I3115" s="1039">
        <f>PUCFD!E2718+1</f>
        <v>25324.675000000003</v>
      </c>
    </row>
    <row r="3116" spans="2:9" ht="24.95" customHeight="1" x14ac:dyDescent="0.25">
      <c r="B3116" s="973">
        <v>132200</v>
      </c>
      <c r="C3116" s="974">
        <v>333904600000000</v>
      </c>
      <c r="D3116" s="973" t="s">
        <v>5283</v>
      </c>
      <c r="E3116" s="973"/>
      <c r="F3116" s="975">
        <v>40</v>
      </c>
      <c r="G3116" s="973">
        <v>0</v>
      </c>
      <c r="I3116" s="1039">
        <f>PUCFD!E2720*(1+PUCFD!E$10)*(1+PUCFD!E$16)</f>
        <v>37725.637748147994</v>
      </c>
    </row>
    <row r="3117" spans="2:9" ht="24.95" customHeight="1" x14ac:dyDescent="0.25">
      <c r="B3117" s="973">
        <v>132300</v>
      </c>
      <c r="C3117" s="974">
        <v>333904700000000</v>
      </c>
      <c r="D3117" s="973" t="s">
        <v>5266</v>
      </c>
      <c r="E3117" s="973"/>
      <c r="F3117" s="975">
        <v>40</v>
      </c>
      <c r="G3117" s="973">
        <v>0</v>
      </c>
      <c r="I3117" s="1039">
        <f>PUCFD!E2721</f>
        <v>0.01</v>
      </c>
    </row>
    <row r="3118" spans="2:9" ht="24.95" customHeight="1" x14ac:dyDescent="0.25">
      <c r="B3118" s="973">
        <v>132400</v>
      </c>
      <c r="C3118" s="974">
        <v>333904900000000</v>
      </c>
      <c r="D3118" s="973" t="s">
        <v>5285</v>
      </c>
      <c r="E3118" s="973"/>
      <c r="F3118" s="975">
        <v>40</v>
      </c>
      <c r="G3118" s="973">
        <v>0</v>
      </c>
      <c r="I3118" s="1039">
        <f>PUCFD!E2722</f>
        <v>4856.9999999999991</v>
      </c>
    </row>
    <row r="3119" spans="2:9" ht="24.95" customHeight="1" x14ac:dyDescent="0.25">
      <c r="B3119" s="973">
        <v>132500</v>
      </c>
      <c r="C3119" s="974">
        <v>333909200000000</v>
      </c>
      <c r="D3119" s="973" t="s">
        <v>5286</v>
      </c>
      <c r="E3119" s="973"/>
      <c r="F3119" s="975">
        <v>40</v>
      </c>
      <c r="G3119" s="973">
        <v>0</v>
      </c>
      <c r="I3119" s="1039">
        <f>PUCFD!E2723</f>
        <v>1</v>
      </c>
    </row>
    <row r="3120" spans="2:9" ht="24.95" customHeight="1" x14ac:dyDescent="0.25">
      <c r="B3120" s="973">
        <v>132600</v>
      </c>
      <c r="C3120" s="974">
        <v>333909300000000</v>
      </c>
      <c r="D3120" s="973" t="s">
        <v>5287</v>
      </c>
      <c r="E3120" s="973"/>
      <c r="F3120" s="975">
        <v>40</v>
      </c>
      <c r="G3120" s="973">
        <v>0</v>
      </c>
      <c r="I3120" s="1039">
        <f>PUCFD!E2724</f>
        <v>2414.7749999999996</v>
      </c>
    </row>
    <row r="3121" spans="1:9" ht="24.95" customHeight="1" x14ac:dyDescent="0.25">
      <c r="B3121" s="973">
        <v>132700</v>
      </c>
      <c r="C3121" s="974">
        <v>333933000000000</v>
      </c>
      <c r="D3121" s="973" t="s">
        <v>5288</v>
      </c>
      <c r="E3121" s="973"/>
      <c r="F3121" s="975">
        <v>40</v>
      </c>
      <c r="G3121" s="973">
        <v>0</v>
      </c>
      <c r="I3121" s="1039">
        <f>PUCFD!E2725</f>
        <v>0.01</v>
      </c>
    </row>
    <row r="3122" spans="1:9" ht="24.95" customHeight="1" x14ac:dyDescent="0.25">
      <c r="B3122" s="973">
        <v>132800</v>
      </c>
      <c r="C3122" s="974">
        <v>344905100000000</v>
      </c>
      <c r="D3122" s="973" t="s">
        <v>5270</v>
      </c>
      <c r="E3122" s="973"/>
      <c r="F3122" s="975">
        <v>40</v>
      </c>
      <c r="G3122" s="973">
        <v>0</v>
      </c>
      <c r="I3122" s="1039">
        <f>PUCFD!E2726</f>
        <v>0.01</v>
      </c>
    </row>
    <row r="3123" spans="1:9" ht="24.95" customHeight="1" x14ac:dyDescent="0.25">
      <c r="B3123" s="973">
        <v>132900</v>
      </c>
      <c r="C3123" s="974">
        <v>344905200000000</v>
      </c>
      <c r="D3123" s="973" t="s">
        <v>5271</v>
      </c>
      <c r="E3123" s="973"/>
      <c r="F3123" s="975">
        <v>40</v>
      </c>
      <c r="G3123" s="973">
        <v>0</v>
      </c>
      <c r="I3123" s="1039">
        <f>PUCFD!E2727</f>
        <v>0.01</v>
      </c>
    </row>
    <row r="3124" spans="1:9" ht="24.95" customHeight="1" x14ac:dyDescent="0.25">
      <c r="B3124" s="962" t="s">
        <v>3138</v>
      </c>
      <c r="C3124" s="959">
        <v>10</v>
      </c>
      <c r="D3124" s="962" t="s">
        <v>5246</v>
      </c>
      <c r="E3124" s="946"/>
      <c r="F3124" s="960"/>
      <c r="G3124" s="958"/>
      <c r="H3124" s="958"/>
      <c r="I3124" s="957">
        <f>I3125</f>
        <v>16121.108647822497</v>
      </c>
    </row>
    <row r="3125" spans="1:9" ht="24.95" customHeight="1" x14ac:dyDescent="0.25">
      <c r="B3125" s="962" t="s">
        <v>3139</v>
      </c>
      <c r="C3125" s="959">
        <v>126</v>
      </c>
      <c r="D3125" s="962" t="s">
        <v>3600</v>
      </c>
      <c r="E3125" s="946"/>
      <c r="F3125" s="960"/>
      <c r="G3125" s="958"/>
      <c r="H3125" s="958"/>
      <c r="I3125" s="957">
        <f>I3126</f>
        <v>16121.108647822497</v>
      </c>
    </row>
    <row r="3126" spans="1:9" ht="36.75" customHeight="1" x14ac:dyDescent="0.25">
      <c r="B3126" s="962" t="s">
        <v>3137</v>
      </c>
      <c r="C3126" s="959">
        <v>100</v>
      </c>
      <c r="D3126" s="962" t="s">
        <v>5247</v>
      </c>
      <c r="E3126" s="946"/>
      <c r="F3126" s="960"/>
      <c r="G3126" s="958"/>
      <c r="H3126" s="958"/>
      <c r="I3126" s="957">
        <f>I3127</f>
        <v>16121.108647822497</v>
      </c>
    </row>
    <row r="3127" spans="1:9" s="946" customFormat="1" ht="24.95" customHeight="1" x14ac:dyDescent="0.25">
      <c r="B3127" s="963" t="s">
        <v>2965</v>
      </c>
      <c r="C3127" s="959">
        <v>28</v>
      </c>
      <c r="D3127" s="963" t="s">
        <v>5249</v>
      </c>
      <c r="E3127" s="954"/>
      <c r="F3127" s="955"/>
      <c r="H3127" s="956"/>
      <c r="I3127" s="957">
        <f>SUM(I3128)</f>
        <v>16121.108647822497</v>
      </c>
    </row>
    <row r="3128" spans="1:9" ht="33.75" customHeight="1" x14ac:dyDescent="0.25">
      <c r="B3128" s="973">
        <v>133000</v>
      </c>
      <c r="C3128" s="974">
        <v>333904000000000</v>
      </c>
      <c r="D3128" s="973" t="s">
        <v>5979</v>
      </c>
      <c r="E3128" s="973"/>
      <c r="F3128" s="975">
        <v>40</v>
      </c>
      <c r="G3128" s="973">
        <v>0</v>
      </c>
      <c r="I3128" s="1039">
        <f>PUCFD!E2729*(1+PUCFD!E$10)*(1+PUCFD!E$16)</f>
        <v>16121.108647822497</v>
      </c>
    </row>
    <row r="3129" spans="1:9" ht="24.95" customHeight="1" x14ac:dyDescent="0.25">
      <c r="B3129" s="962" t="s">
        <v>3138</v>
      </c>
      <c r="C3129" s="959">
        <v>10</v>
      </c>
      <c r="D3129" s="962" t="s">
        <v>5246</v>
      </c>
      <c r="E3129" s="946"/>
      <c r="F3129" s="960"/>
      <c r="G3129" s="958"/>
      <c r="H3129" s="958"/>
      <c r="I3129" s="957">
        <f>I3130</f>
        <v>2743.3726968060005</v>
      </c>
    </row>
    <row r="3130" spans="1:9" ht="24.95" customHeight="1" x14ac:dyDescent="0.25">
      <c r="A3130" s="958"/>
      <c r="B3130" s="962" t="s">
        <v>3139</v>
      </c>
      <c r="C3130" s="959">
        <v>128</v>
      </c>
      <c r="D3130" s="962" t="s">
        <v>5104</v>
      </c>
      <c r="E3130" s="954"/>
      <c r="F3130" s="960"/>
      <c r="G3130" s="958"/>
      <c r="H3130" s="958"/>
      <c r="I3130" s="961">
        <f>I3132</f>
        <v>2743.3726968060005</v>
      </c>
    </row>
    <row r="3131" spans="1:9" ht="36.75" customHeight="1" x14ac:dyDescent="0.25">
      <c r="B3131" s="962" t="s">
        <v>3137</v>
      </c>
      <c r="C3131" s="959">
        <v>100</v>
      </c>
      <c r="D3131" s="962" t="s">
        <v>5247</v>
      </c>
      <c r="E3131" s="946"/>
      <c r="F3131" s="960"/>
      <c r="G3131" s="958"/>
      <c r="H3131" s="958"/>
      <c r="I3131" s="957">
        <f>I3132</f>
        <v>2743.3726968060005</v>
      </c>
    </row>
    <row r="3132" spans="1:9" s="946" customFormat="1" ht="24.95" customHeight="1" x14ac:dyDescent="0.25">
      <c r="B3132" s="963" t="s">
        <v>2965</v>
      </c>
      <c r="C3132" s="959">
        <v>28</v>
      </c>
      <c r="D3132" s="963" t="s">
        <v>5249</v>
      </c>
      <c r="E3132" s="954"/>
      <c r="F3132" s="955"/>
      <c r="H3132" s="956"/>
      <c r="I3132" s="957">
        <f>SUM(I3133:I3137)</f>
        <v>2743.3726968060005</v>
      </c>
    </row>
    <row r="3133" spans="1:9" s="946" customFormat="1" ht="24.95" customHeight="1" x14ac:dyDescent="0.25">
      <c r="B3133" s="973">
        <v>133100</v>
      </c>
      <c r="C3133" s="974">
        <v>333901400000000</v>
      </c>
      <c r="D3133" s="973" t="s">
        <v>6483</v>
      </c>
      <c r="E3133" s="973"/>
      <c r="F3133" s="975">
        <v>40</v>
      </c>
      <c r="G3133" s="973">
        <v>0</v>
      </c>
      <c r="H3133" s="950"/>
      <c r="I3133" s="1039">
        <f>PUCFD!E2731*(1+PUCFD!E$10)*(1+PUCFD!E$16)</f>
        <v>1097.3403000000001</v>
      </c>
    </row>
    <row r="3134" spans="1:9" s="946" customFormat="1" ht="24.95" customHeight="1" x14ac:dyDescent="0.25">
      <c r="B3134" s="973">
        <v>133130</v>
      </c>
      <c r="C3134" s="974">
        <v>333903300000000</v>
      </c>
      <c r="D3134" s="973" t="s">
        <v>6484</v>
      </c>
      <c r="E3134" s="973"/>
      <c r="F3134" s="975">
        <v>40</v>
      </c>
      <c r="G3134" s="973">
        <v>0</v>
      </c>
      <c r="H3134" s="950"/>
      <c r="I3134" s="1039">
        <f>PUCFD!E2732*(1+PUCFD!E$10)*(1+PUCFD!E$16)</f>
        <v>548.67015000000004</v>
      </c>
    </row>
    <row r="3135" spans="1:9" s="946" customFormat="1" ht="24.95" customHeight="1" x14ac:dyDescent="0.25">
      <c r="B3135" s="973">
        <v>133160</v>
      </c>
      <c r="C3135" s="974">
        <v>333903600000000</v>
      </c>
      <c r="D3135" s="973" t="s">
        <v>6485</v>
      </c>
      <c r="E3135" s="973"/>
      <c r="F3135" s="975">
        <v>40</v>
      </c>
      <c r="G3135" s="973">
        <v>0</v>
      </c>
      <c r="H3135" s="950"/>
      <c r="I3135" s="1039">
        <f>PUCFD!E2733*(1+PUCFD!E$10)*(1+PUCFD!E$16)</f>
        <v>1.0973403E-2</v>
      </c>
    </row>
    <row r="3136" spans="1:9" s="946" customFormat="1" ht="24.95" customHeight="1" x14ac:dyDescent="0.25">
      <c r="B3136" s="973">
        <v>133190</v>
      </c>
      <c r="C3136" s="974">
        <v>333903900000000</v>
      </c>
      <c r="D3136" s="973" t="s">
        <v>6486</v>
      </c>
      <c r="E3136" s="973"/>
      <c r="F3136" s="975">
        <v>40</v>
      </c>
      <c r="G3136" s="973">
        <v>0</v>
      </c>
      <c r="H3136" s="950"/>
      <c r="I3136" s="1039">
        <f>PUCFD!E2734*(1+PUCFD!E$10)*(1+PUCFD!E$16)</f>
        <v>1097.3403000000001</v>
      </c>
    </row>
    <row r="3137" spans="2:9" s="946" customFormat="1" ht="24.95" customHeight="1" x14ac:dyDescent="0.25">
      <c r="B3137" s="973">
        <v>133250</v>
      </c>
      <c r="C3137" s="974">
        <v>333904700000000</v>
      </c>
      <c r="D3137" s="973" t="s">
        <v>6487</v>
      </c>
      <c r="E3137" s="973"/>
      <c r="F3137" s="975">
        <v>40</v>
      </c>
      <c r="G3137" s="973">
        <v>0</v>
      </c>
      <c r="H3137" s="950"/>
      <c r="I3137" s="1039">
        <f>PUCFD!E2735*(1+PUCFD!E$10)*(1+PUCFD!E$16)</f>
        <v>1.0973403E-2</v>
      </c>
    </row>
    <row r="3138" spans="2:9" ht="24.95" customHeight="1" x14ac:dyDescent="0.25">
      <c r="B3138" s="962" t="s">
        <v>3138</v>
      </c>
      <c r="C3138" s="959">
        <v>10</v>
      </c>
      <c r="D3138" s="962" t="s">
        <v>5246</v>
      </c>
      <c r="E3138" s="946"/>
      <c r="F3138" s="960"/>
      <c r="G3138" s="958"/>
      <c r="H3138" s="958"/>
      <c r="I3138" s="957">
        <f>I3139</f>
        <v>0.10097340299999999</v>
      </c>
    </row>
    <row r="3139" spans="2:9" ht="24.95" customHeight="1" x14ac:dyDescent="0.25">
      <c r="B3139" s="962" t="s">
        <v>3139</v>
      </c>
      <c r="C3139" s="959">
        <v>122</v>
      </c>
      <c r="D3139" s="962" t="s">
        <v>3143</v>
      </c>
      <c r="E3139" s="946"/>
      <c r="F3139" s="960"/>
      <c r="G3139" s="958"/>
      <c r="H3139" s="958"/>
      <c r="I3139" s="957">
        <f>I3140</f>
        <v>0.10097340299999999</v>
      </c>
    </row>
    <row r="3140" spans="2:9" ht="36.75" customHeight="1" x14ac:dyDescent="0.25">
      <c r="B3140" s="962" t="s">
        <v>3137</v>
      </c>
      <c r="C3140" s="959">
        <v>100</v>
      </c>
      <c r="D3140" s="962" t="s">
        <v>5247</v>
      </c>
      <c r="E3140" s="946"/>
      <c r="F3140" s="960"/>
      <c r="G3140" s="958"/>
      <c r="H3140" s="958"/>
      <c r="I3140" s="957">
        <f>I3141</f>
        <v>0.10097340299999999</v>
      </c>
    </row>
    <row r="3141" spans="2:9" s="946" customFormat="1" ht="24.95" customHeight="1" x14ac:dyDescent="0.25">
      <c r="B3141" s="963" t="s">
        <v>2965</v>
      </c>
      <c r="C3141" s="959">
        <v>45</v>
      </c>
      <c r="D3141" s="963" t="s">
        <v>5251</v>
      </c>
      <c r="E3141" s="954"/>
      <c r="F3141" s="955"/>
      <c r="H3141" s="956"/>
      <c r="I3141" s="957">
        <f>SUM(I3142:I3151)</f>
        <v>0.10097340299999999</v>
      </c>
    </row>
    <row r="3142" spans="2:9" ht="24.95" customHeight="1" x14ac:dyDescent="0.25">
      <c r="B3142" s="973">
        <v>133300</v>
      </c>
      <c r="C3142" s="974">
        <v>333901400000000</v>
      </c>
      <c r="D3142" s="973" t="s">
        <v>5256</v>
      </c>
      <c r="F3142" s="975">
        <v>40</v>
      </c>
      <c r="G3142" s="973">
        <v>0</v>
      </c>
      <c r="I3142" s="1039">
        <f>PUCFD!E2737*(1+PUCFD!E$10)*(1+PUCFD!E$16)</f>
        <v>1.0973403E-2</v>
      </c>
    </row>
    <row r="3143" spans="2:9" ht="24.95" customHeight="1" x14ac:dyDescent="0.25">
      <c r="B3143" s="973">
        <v>133320</v>
      </c>
      <c r="C3143" s="974">
        <v>333903000000000</v>
      </c>
      <c r="D3143" s="973" t="s">
        <v>5257</v>
      </c>
      <c r="F3143" s="975">
        <v>40</v>
      </c>
      <c r="G3143" s="973">
        <v>0</v>
      </c>
      <c r="I3143" s="1039">
        <f>PUCFD!E2738</f>
        <v>0.01</v>
      </c>
    </row>
    <row r="3144" spans="2:9" ht="24.95" customHeight="1" x14ac:dyDescent="0.25">
      <c r="B3144" s="973">
        <v>133340</v>
      </c>
      <c r="C3144" s="974">
        <v>333903300000000</v>
      </c>
      <c r="D3144" s="973" t="s">
        <v>6488</v>
      </c>
      <c r="F3144" s="975">
        <v>40</v>
      </c>
      <c r="G3144" s="973">
        <v>0</v>
      </c>
      <c r="I3144" s="1039">
        <f>PUCFD!E2739</f>
        <v>0.01</v>
      </c>
    </row>
    <row r="3145" spans="2:9" ht="24.95" customHeight="1" x14ac:dyDescent="0.25">
      <c r="B3145" s="973">
        <v>133360</v>
      </c>
      <c r="C3145" s="974">
        <v>333903500000000</v>
      </c>
      <c r="D3145" s="973" t="s">
        <v>5260</v>
      </c>
      <c r="F3145" s="975">
        <v>40</v>
      </c>
      <c r="G3145" s="973">
        <v>0</v>
      </c>
      <c r="I3145" s="1039">
        <f>PUCFD!E2740</f>
        <v>0.01</v>
      </c>
    </row>
    <row r="3146" spans="2:9" ht="24.95" customHeight="1" x14ac:dyDescent="0.25">
      <c r="B3146" s="973">
        <v>133380</v>
      </c>
      <c r="C3146" s="974">
        <v>333903600000000</v>
      </c>
      <c r="D3146" s="973" t="s">
        <v>6489</v>
      </c>
      <c r="F3146" s="975">
        <v>40</v>
      </c>
      <c r="G3146" s="973">
        <v>0</v>
      </c>
      <c r="I3146" s="1039">
        <f>PUCFD!E2741</f>
        <v>0.01</v>
      </c>
    </row>
    <row r="3147" spans="2:9" ht="24.95" customHeight="1" x14ac:dyDescent="0.25">
      <c r="B3147" s="973">
        <v>133400</v>
      </c>
      <c r="C3147" s="974">
        <v>333903900000000</v>
      </c>
      <c r="D3147" s="973" t="s">
        <v>6490</v>
      </c>
      <c r="F3147" s="975">
        <v>40</v>
      </c>
      <c r="G3147" s="973">
        <v>0</v>
      </c>
      <c r="I3147" s="1039">
        <f>PUCFD!E2742</f>
        <v>0.01</v>
      </c>
    </row>
    <row r="3148" spans="2:9" ht="24.95" customHeight="1" x14ac:dyDescent="0.25">
      <c r="B3148" s="973">
        <v>133420</v>
      </c>
      <c r="C3148" s="974">
        <v>333904700000000</v>
      </c>
      <c r="D3148" s="973" t="s">
        <v>5262</v>
      </c>
      <c r="F3148" s="975">
        <v>40</v>
      </c>
      <c r="G3148" s="973">
        <v>0</v>
      </c>
      <c r="I3148" s="1039">
        <f>PUCFD!E2743</f>
        <v>0.01</v>
      </c>
    </row>
    <row r="3149" spans="2:9" ht="24.95" customHeight="1" x14ac:dyDescent="0.25">
      <c r="B3149" s="973">
        <v>133440</v>
      </c>
      <c r="C3149" s="974">
        <v>333909300000000</v>
      </c>
      <c r="D3149" s="973" t="s">
        <v>5263</v>
      </c>
      <c r="F3149" s="975">
        <v>40</v>
      </c>
      <c r="G3149" s="973">
        <v>0</v>
      </c>
      <c r="I3149" s="1039">
        <f>PUCFD!E2744</f>
        <v>0.01</v>
      </c>
    </row>
    <row r="3150" spans="2:9" ht="24.95" customHeight="1" x14ac:dyDescent="0.25">
      <c r="B3150" s="973">
        <v>133460</v>
      </c>
      <c r="C3150" s="974">
        <v>344905100000000</v>
      </c>
      <c r="D3150" s="973" t="s">
        <v>5264</v>
      </c>
      <c r="F3150" s="975">
        <v>40</v>
      </c>
      <c r="G3150" s="973">
        <v>0</v>
      </c>
      <c r="I3150" s="1039">
        <f>PUCFD!E2745</f>
        <v>0.01</v>
      </c>
    </row>
    <row r="3151" spans="2:9" ht="24.95" customHeight="1" x14ac:dyDescent="0.25">
      <c r="B3151" s="973">
        <v>133480</v>
      </c>
      <c r="C3151" s="974">
        <v>344905200000000</v>
      </c>
      <c r="D3151" s="973" t="s">
        <v>6491</v>
      </c>
      <c r="F3151" s="975">
        <v>40</v>
      </c>
      <c r="G3151" s="973">
        <v>0</v>
      </c>
      <c r="I3151" s="1039">
        <f>PUCFD!E2746</f>
        <v>0.01</v>
      </c>
    </row>
    <row r="3152" spans="2:9" ht="24.95" customHeight="1" x14ac:dyDescent="0.25">
      <c r="B3152" s="962" t="s">
        <v>3138</v>
      </c>
      <c r="C3152" s="959">
        <v>10</v>
      </c>
      <c r="D3152" s="962" t="s">
        <v>5246</v>
      </c>
      <c r="E3152" s="946"/>
      <c r="F3152" s="960"/>
      <c r="G3152" s="958"/>
      <c r="H3152" s="958"/>
      <c r="I3152" s="957">
        <f>I3153</f>
        <v>0.01</v>
      </c>
    </row>
    <row r="3153" spans="1:9" ht="24.95" customHeight="1" x14ac:dyDescent="0.25">
      <c r="B3153" s="962" t="s">
        <v>3139</v>
      </c>
      <c r="C3153" s="959">
        <v>126</v>
      </c>
      <c r="D3153" s="962" t="s">
        <v>3600</v>
      </c>
      <c r="E3153" s="946"/>
      <c r="F3153" s="960"/>
      <c r="G3153" s="958"/>
      <c r="H3153" s="958"/>
      <c r="I3153" s="957">
        <f>I3154</f>
        <v>0.01</v>
      </c>
    </row>
    <row r="3154" spans="1:9" ht="36.75" customHeight="1" x14ac:dyDescent="0.25">
      <c r="B3154" s="962" t="s">
        <v>3137</v>
      </c>
      <c r="C3154" s="959">
        <v>100</v>
      </c>
      <c r="D3154" s="962" t="s">
        <v>5247</v>
      </c>
      <c r="E3154" s="946"/>
      <c r="F3154" s="960"/>
      <c r="G3154" s="958"/>
      <c r="H3154" s="958"/>
      <c r="I3154" s="957">
        <f>I3155</f>
        <v>0.01</v>
      </c>
    </row>
    <row r="3155" spans="1:9" s="946" customFormat="1" ht="24.95" customHeight="1" x14ac:dyDescent="0.25">
      <c r="B3155" s="963" t="s">
        <v>2965</v>
      </c>
      <c r="C3155" s="959">
        <v>45</v>
      </c>
      <c r="D3155" s="963" t="s">
        <v>5251</v>
      </c>
      <c r="E3155" s="954"/>
      <c r="F3155" s="955"/>
      <c r="H3155" s="956"/>
      <c r="I3155" s="957">
        <f>SUM(I3156)</f>
        <v>0.01</v>
      </c>
    </row>
    <row r="3156" spans="1:9" ht="33.75" customHeight="1" x14ac:dyDescent="0.25">
      <c r="B3156" s="973">
        <v>133500</v>
      </c>
      <c r="C3156" s="974">
        <v>333904000000000</v>
      </c>
      <c r="D3156" s="973" t="s">
        <v>6492</v>
      </c>
      <c r="E3156" s="973"/>
      <c r="F3156" s="975">
        <v>40</v>
      </c>
      <c r="G3156" s="973">
        <v>0</v>
      </c>
      <c r="I3156" s="1039">
        <f>PUCFD!E2748</f>
        <v>0.01</v>
      </c>
    </row>
    <row r="3157" spans="1:9" ht="24.95" customHeight="1" x14ac:dyDescent="0.25">
      <c r="B3157" s="962" t="s">
        <v>3138</v>
      </c>
      <c r="C3157" s="959">
        <v>10</v>
      </c>
      <c r="D3157" s="962" t="s">
        <v>5246</v>
      </c>
      <c r="E3157" s="946"/>
      <c r="F3157" s="960"/>
      <c r="G3157" s="958"/>
      <c r="H3157" s="958"/>
      <c r="I3157" s="957">
        <f>I3158</f>
        <v>0.05</v>
      </c>
    </row>
    <row r="3158" spans="1:9" ht="24.95" customHeight="1" x14ac:dyDescent="0.25">
      <c r="A3158" s="958"/>
      <c r="B3158" s="962" t="s">
        <v>3139</v>
      </c>
      <c r="C3158" s="959">
        <v>128</v>
      </c>
      <c r="D3158" s="962" t="s">
        <v>5104</v>
      </c>
      <c r="E3158" s="954"/>
      <c r="F3158" s="960"/>
      <c r="G3158" s="958"/>
      <c r="H3158" s="958"/>
      <c r="I3158" s="961">
        <f>I3160</f>
        <v>0.05</v>
      </c>
    </row>
    <row r="3159" spans="1:9" ht="36.75" customHeight="1" x14ac:dyDescent="0.25">
      <c r="B3159" s="962" t="s">
        <v>3137</v>
      </c>
      <c r="C3159" s="959">
        <v>100</v>
      </c>
      <c r="D3159" s="962" t="s">
        <v>5247</v>
      </c>
      <c r="E3159" s="946"/>
      <c r="F3159" s="960"/>
      <c r="G3159" s="958"/>
      <c r="H3159" s="958"/>
      <c r="I3159" s="957">
        <f>I3160</f>
        <v>0.05</v>
      </c>
    </row>
    <row r="3160" spans="1:9" s="946" customFormat="1" ht="24.95" customHeight="1" x14ac:dyDescent="0.25">
      <c r="B3160" s="963" t="s">
        <v>2965</v>
      </c>
      <c r="C3160" s="959">
        <v>45</v>
      </c>
      <c r="D3160" s="963" t="s">
        <v>5251</v>
      </c>
      <c r="E3160" s="954"/>
      <c r="F3160" s="955"/>
      <c r="H3160" s="956"/>
      <c r="I3160" s="957">
        <f>SUM(I3161:I3165)</f>
        <v>0.05</v>
      </c>
    </row>
    <row r="3161" spans="1:9" s="946" customFormat="1" ht="24.95" customHeight="1" x14ac:dyDescent="0.25">
      <c r="B3161" s="973">
        <v>133550</v>
      </c>
      <c r="C3161" s="974">
        <v>333901400000000</v>
      </c>
      <c r="D3161" s="973" t="s">
        <v>5252</v>
      </c>
      <c r="E3161" s="973"/>
      <c r="F3161" s="975">
        <v>40</v>
      </c>
      <c r="G3161" s="973">
        <v>0</v>
      </c>
      <c r="H3161" s="950"/>
      <c r="I3161" s="1039">
        <f>PUCFD!E2750</f>
        <v>0.01</v>
      </c>
    </row>
    <row r="3162" spans="1:9" s="946" customFormat="1" ht="34.5" customHeight="1" x14ac:dyDescent="0.25">
      <c r="B3162" s="973">
        <v>133570</v>
      </c>
      <c r="C3162" s="974">
        <v>333903300000000</v>
      </c>
      <c r="D3162" s="973" t="s">
        <v>6493</v>
      </c>
      <c r="E3162" s="973"/>
      <c r="F3162" s="975">
        <v>40</v>
      </c>
      <c r="G3162" s="973">
        <v>0</v>
      </c>
      <c r="H3162" s="950"/>
      <c r="I3162" s="1039">
        <f>PUCFD!E2751</f>
        <v>0.01</v>
      </c>
    </row>
    <row r="3163" spans="1:9" s="946" customFormat="1" ht="40.5" customHeight="1" x14ac:dyDescent="0.25">
      <c r="B3163" s="973">
        <v>133590</v>
      </c>
      <c r="C3163" s="974">
        <v>333903600000000</v>
      </c>
      <c r="D3163" s="973" t="s">
        <v>6496</v>
      </c>
      <c r="E3163" s="973"/>
      <c r="F3163" s="975">
        <v>40</v>
      </c>
      <c r="G3163" s="973">
        <v>0</v>
      </c>
      <c r="H3163" s="950"/>
      <c r="I3163" s="1039">
        <f>PUCFD!E2750</f>
        <v>0.01</v>
      </c>
    </row>
    <row r="3164" spans="1:9" s="946" customFormat="1" ht="40.5" customHeight="1" x14ac:dyDescent="0.25">
      <c r="B3164" s="973">
        <v>133610</v>
      </c>
      <c r="C3164" s="974">
        <v>333903900000000</v>
      </c>
      <c r="D3164" s="973" t="s">
        <v>6495</v>
      </c>
      <c r="E3164" s="973"/>
      <c r="F3164" s="975">
        <v>40</v>
      </c>
      <c r="G3164" s="973">
        <v>0</v>
      </c>
      <c r="H3164" s="950"/>
      <c r="I3164" s="1039">
        <f>PUCFD!E2751</f>
        <v>0.01</v>
      </c>
    </row>
    <row r="3165" spans="1:9" s="946" customFormat="1" ht="40.5" customHeight="1" x14ac:dyDescent="0.25">
      <c r="B3165" s="973">
        <v>133630</v>
      </c>
      <c r="C3165" s="974">
        <v>333904700000000</v>
      </c>
      <c r="D3165" s="973" t="s">
        <v>6494</v>
      </c>
      <c r="E3165" s="973"/>
      <c r="F3165" s="975">
        <v>40</v>
      </c>
      <c r="G3165" s="973">
        <v>0</v>
      </c>
      <c r="H3165" s="950"/>
      <c r="I3165" s="1039">
        <f>PUCFD!E2752</f>
        <v>0.01</v>
      </c>
    </row>
    <row r="3166" spans="1:9" ht="24.95" customHeight="1" x14ac:dyDescent="0.25">
      <c r="B3166" s="1608" t="s">
        <v>5290</v>
      </c>
      <c r="C3166" s="1608"/>
      <c r="D3166" s="1608"/>
      <c r="E3166" s="1608"/>
      <c r="F3166" s="1608"/>
      <c r="G3166" s="1608"/>
      <c r="H3166" s="1608"/>
      <c r="I3166" s="1024">
        <f>I3160+I3155+I3141+I3132+I3127+I3102+I3092+0.01</f>
        <v>503989.45274909312</v>
      </c>
    </row>
    <row r="3167" spans="1:9" ht="24.95" customHeight="1" x14ac:dyDescent="0.25">
      <c r="B3167" s="1608" t="s">
        <v>5291</v>
      </c>
      <c r="C3167" s="1608"/>
      <c r="D3167" s="1608"/>
      <c r="E3167" s="1608"/>
      <c r="F3167" s="1608"/>
      <c r="G3167" s="1608"/>
      <c r="H3167" s="1608"/>
      <c r="I3167" s="1024">
        <f>I3166</f>
        <v>503989.45274909312</v>
      </c>
    </row>
    <row r="3168" spans="1:9" ht="24.95" customHeight="1" x14ac:dyDescent="0.25">
      <c r="B3168" s="987"/>
      <c r="C3168" s="987"/>
      <c r="D3168" s="987"/>
      <c r="E3168" s="954" t="s">
        <v>4777</v>
      </c>
      <c r="F3168" s="960"/>
      <c r="G3168" s="960"/>
      <c r="H3168" s="958"/>
      <c r="I3168" s="1030"/>
    </row>
    <row r="3169" spans="2:9" ht="24.95" customHeight="1" x14ac:dyDescent="0.25">
      <c r="B3169" s="987"/>
      <c r="C3169" s="987"/>
      <c r="D3169" s="987"/>
      <c r="F3169" s="949">
        <v>1</v>
      </c>
      <c r="G3169" s="945">
        <v>0</v>
      </c>
      <c r="H3169" s="950">
        <v>0</v>
      </c>
      <c r="I3169" s="951">
        <f>I3104</f>
        <v>35332.324050276577</v>
      </c>
    </row>
    <row r="3170" spans="2:9" ht="24.95" customHeight="1" x14ac:dyDescent="0.25">
      <c r="F3170" s="949">
        <v>40</v>
      </c>
      <c r="G3170" s="945">
        <v>0</v>
      </c>
      <c r="H3170" s="950">
        <v>0</v>
      </c>
      <c r="I3170" s="951">
        <f>I3166-I3169</f>
        <v>468657.12869881652</v>
      </c>
    </row>
    <row r="3172" spans="2:9" ht="24.95" customHeight="1" x14ac:dyDescent="0.25">
      <c r="B3172" s="946" t="s">
        <v>3088</v>
      </c>
      <c r="C3172" s="953" t="s">
        <v>5289</v>
      </c>
    </row>
    <row r="3173" spans="2:9" ht="24.95" customHeight="1" x14ac:dyDescent="0.25">
      <c r="B3173" s="946" t="s">
        <v>3087</v>
      </c>
      <c r="C3173" s="953" t="s">
        <v>5301</v>
      </c>
    </row>
    <row r="3174" spans="2:9" ht="24.95" customHeight="1" x14ac:dyDescent="0.25">
      <c r="B3174" s="946" t="s">
        <v>3089</v>
      </c>
      <c r="C3174" s="953" t="s">
        <v>5245</v>
      </c>
    </row>
    <row r="3175" spans="2:9" ht="24.95" customHeight="1" x14ac:dyDescent="0.25">
      <c r="B3175" s="962" t="s">
        <v>3138</v>
      </c>
      <c r="C3175" s="959">
        <v>10</v>
      </c>
      <c r="D3175" s="962" t="s">
        <v>5246</v>
      </c>
      <c r="E3175" s="946"/>
      <c r="F3175" s="960"/>
      <c r="G3175" s="958"/>
      <c r="H3175" s="958"/>
      <c r="I3175" s="957">
        <f>I3176</f>
        <v>6.0000000000000005E-2</v>
      </c>
    </row>
    <row r="3176" spans="2:9" ht="24.95" customHeight="1" x14ac:dyDescent="0.25">
      <c r="B3176" s="962" t="s">
        <v>3139</v>
      </c>
      <c r="C3176" s="959">
        <v>301</v>
      </c>
      <c r="D3176" s="962" t="s">
        <v>5303</v>
      </c>
      <c r="E3176" s="946"/>
      <c r="F3176" s="960"/>
      <c r="G3176" s="958"/>
      <c r="H3176" s="958"/>
      <c r="I3176" s="957">
        <f>I3177</f>
        <v>6.0000000000000005E-2</v>
      </c>
    </row>
    <row r="3177" spans="2:9" ht="36.75" customHeight="1" x14ac:dyDescent="0.25">
      <c r="B3177" s="962" t="s">
        <v>3137</v>
      </c>
      <c r="C3177" s="959">
        <v>100</v>
      </c>
      <c r="D3177" s="962" t="s">
        <v>5247</v>
      </c>
      <c r="E3177" s="946"/>
      <c r="F3177" s="960"/>
      <c r="G3177" s="958"/>
      <c r="H3177" s="958"/>
      <c r="I3177" s="957">
        <f>I3178</f>
        <v>6.0000000000000005E-2</v>
      </c>
    </row>
    <row r="3178" spans="2:9" ht="24.95" customHeight="1" x14ac:dyDescent="0.25">
      <c r="B3178" s="963" t="s">
        <v>2950</v>
      </c>
      <c r="C3178" s="959">
        <v>25</v>
      </c>
      <c r="D3178" s="963" t="s">
        <v>5512</v>
      </c>
      <c r="E3178" s="946"/>
      <c r="F3178" s="960"/>
      <c r="G3178" s="963"/>
      <c r="H3178" s="963"/>
      <c r="I3178" s="957">
        <f>SUM(I3179:I3184)</f>
        <v>6.0000000000000005E-2</v>
      </c>
    </row>
    <row r="3179" spans="2:9" ht="24.95" customHeight="1" x14ac:dyDescent="0.25">
      <c r="B3179" s="973">
        <v>134000</v>
      </c>
      <c r="C3179" s="974">
        <v>333904700000000</v>
      </c>
      <c r="D3179" s="973" t="s">
        <v>6497</v>
      </c>
      <c r="E3179" s="946"/>
      <c r="F3179" s="975">
        <v>40</v>
      </c>
      <c r="G3179" s="973">
        <v>0</v>
      </c>
      <c r="I3179" s="1039">
        <f>PUCFD!E2755</f>
        <v>0.01</v>
      </c>
    </row>
    <row r="3180" spans="2:9" ht="24.95" customHeight="1" x14ac:dyDescent="0.25">
      <c r="B3180" s="973">
        <v>134020</v>
      </c>
      <c r="C3180" s="974">
        <v>344903000000000</v>
      </c>
      <c r="D3180" s="973" t="s">
        <v>6498</v>
      </c>
      <c r="E3180" s="946"/>
      <c r="F3180" s="975">
        <v>40</v>
      </c>
      <c r="G3180" s="973">
        <v>0</v>
      </c>
      <c r="I3180" s="1039">
        <f>PUCFD!E2756</f>
        <v>0.01</v>
      </c>
    </row>
    <row r="3181" spans="2:9" ht="24.95" customHeight="1" x14ac:dyDescent="0.25">
      <c r="B3181" s="973">
        <v>134040</v>
      </c>
      <c r="C3181" s="974">
        <v>344903600000000</v>
      </c>
      <c r="D3181" s="973" t="s">
        <v>6499</v>
      </c>
      <c r="E3181" s="946"/>
      <c r="F3181" s="975">
        <v>40</v>
      </c>
      <c r="G3181" s="973">
        <v>0</v>
      </c>
      <c r="I3181" s="1039">
        <f>PUCFD!E2757</f>
        <v>0.01</v>
      </c>
    </row>
    <row r="3182" spans="2:9" ht="24.95" customHeight="1" x14ac:dyDescent="0.25">
      <c r="B3182" s="973">
        <v>134060</v>
      </c>
      <c r="C3182" s="974">
        <v>344903900000000</v>
      </c>
      <c r="D3182" s="973" t="s">
        <v>6500</v>
      </c>
      <c r="E3182" s="946"/>
      <c r="F3182" s="975">
        <v>40</v>
      </c>
      <c r="G3182" s="973">
        <v>0</v>
      </c>
      <c r="I3182" s="1039">
        <f>PUCFD!E2758</f>
        <v>0.01</v>
      </c>
    </row>
    <row r="3183" spans="2:9" ht="24.95" customHeight="1" x14ac:dyDescent="0.25">
      <c r="B3183" s="973">
        <v>134080</v>
      </c>
      <c r="C3183" s="974">
        <v>344905100000000</v>
      </c>
      <c r="D3183" s="973" t="s">
        <v>6501</v>
      </c>
      <c r="E3183" s="946"/>
      <c r="F3183" s="975">
        <v>40</v>
      </c>
      <c r="G3183" s="973">
        <v>0</v>
      </c>
      <c r="I3183" s="1039">
        <f>PUCFD!E2759</f>
        <v>0.01</v>
      </c>
    </row>
    <row r="3184" spans="2:9" ht="24.95" customHeight="1" x14ac:dyDescent="0.25">
      <c r="B3184" s="973">
        <v>134100</v>
      </c>
      <c r="C3184" s="974">
        <v>344905200000000</v>
      </c>
      <c r="D3184" s="973" t="s">
        <v>6502</v>
      </c>
      <c r="E3184" s="946"/>
      <c r="F3184" s="975">
        <v>40</v>
      </c>
      <c r="G3184" s="973">
        <v>0</v>
      </c>
      <c r="I3184" s="1039">
        <f>PUCFD!E2760</f>
        <v>0.01</v>
      </c>
    </row>
    <row r="3185" spans="2:9" ht="24.95" customHeight="1" x14ac:dyDescent="0.25">
      <c r="B3185" s="962" t="s">
        <v>3138</v>
      </c>
      <c r="C3185" s="959">
        <v>10</v>
      </c>
      <c r="D3185" s="962" t="s">
        <v>5246</v>
      </c>
      <c r="E3185" s="946"/>
      <c r="F3185" s="960"/>
      <c r="G3185" s="958"/>
      <c r="H3185" s="958"/>
      <c r="I3185" s="957">
        <f>I3186</f>
        <v>6.0000000000000005E-2</v>
      </c>
    </row>
    <row r="3186" spans="2:9" ht="24.95" customHeight="1" x14ac:dyDescent="0.25">
      <c r="B3186" s="962" t="s">
        <v>3139</v>
      </c>
      <c r="C3186" s="959">
        <v>302</v>
      </c>
      <c r="D3186" s="962" t="s">
        <v>5304</v>
      </c>
      <c r="E3186" s="946"/>
      <c r="F3186" s="960"/>
      <c r="G3186" s="958"/>
      <c r="H3186" s="958"/>
      <c r="I3186" s="957">
        <f>I3187</f>
        <v>6.0000000000000005E-2</v>
      </c>
    </row>
    <row r="3187" spans="2:9" ht="36.75" customHeight="1" x14ac:dyDescent="0.25">
      <c r="B3187" s="962" t="s">
        <v>3137</v>
      </c>
      <c r="C3187" s="959">
        <v>100</v>
      </c>
      <c r="D3187" s="962" t="s">
        <v>5247</v>
      </c>
      <c r="E3187" s="946"/>
      <c r="F3187" s="960"/>
      <c r="G3187" s="958"/>
      <c r="H3187" s="958"/>
      <c r="I3187" s="957">
        <f>I3188</f>
        <v>6.0000000000000005E-2</v>
      </c>
    </row>
    <row r="3188" spans="2:9" ht="30.75" customHeight="1" x14ac:dyDescent="0.25">
      <c r="B3188" s="963" t="s">
        <v>2950</v>
      </c>
      <c r="C3188" s="959">
        <v>26</v>
      </c>
      <c r="D3188" s="963" t="s">
        <v>5510</v>
      </c>
      <c r="E3188" s="946"/>
      <c r="F3188" s="960"/>
      <c r="G3188" s="963"/>
      <c r="H3188" s="963"/>
      <c r="I3188" s="957">
        <f>SUM(I3189:I3194)</f>
        <v>6.0000000000000005E-2</v>
      </c>
    </row>
    <row r="3189" spans="2:9" ht="24.95" customHeight="1" x14ac:dyDescent="0.25">
      <c r="B3189" s="973">
        <v>134200</v>
      </c>
      <c r="C3189" s="974">
        <v>333904700000000</v>
      </c>
      <c r="D3189" s="973" t="s">
        <v>6503</v>
      </c>
      <c r="E3189" s="946"/>
      <c r="F3189" s="975">
        <v>40</v>
      </c>
      <c r="G3189" s="973">
        <v>0</v>
      </c>
      <c r="I3189" s="1039">
        <f>PUCFD!E2762</f>
        <v>0.01</v>
      </c>
    </row>
    <row r="3190" spans="2:9" ht="24.95" customHeight="1" x14ac:dyDescent="0.25">
      <c r="B3190" s="973">
        <v>134220</v>
      </c>
      <c r="C3190" s="974">
        <v>344903000000000</v>
      </c>
      <c r="D3190" s="973" t="s">
        <v>6504</v>
      </c>
      <c r="E3190" s="946"/>
      <c r="F3190" s="975">
        <v>40</v>
      </c>
      <c r="G3190" s="973">
        <v>0</v>
      </c>
      <c r="I3190" s="1039">
        <f>PUCFD!E2763</f>
        <v>0.01</v>
      </c>
    </row>
    <row r="3191" spans="2:9" ht="24.95" customHeight="1" x14ac:dyDescent="0.25">
      <c r="B3191" s="973">
        <v>134240</v>
      </c>
      <c r="C3191" s="974">
        <v>344903600000000</v>
      </c>
      <c r="D3191" s="973" t="s">
        <v>6505</v>
      </c>
      <c r="E3191" s="946"/>
      <c r="F3191" s="975">
        <v>40</v>
      </c>
      <c r="G3191" s="973">
        <v>0</v>
      </c>
      <c r="I3191" s="1039">
        <f>PUCFD!E2764</f>
        <v>0.01</v>
      </c>
    </row>
    <row r="3192" spans="2:9" ht="24.95" customHeight="1" x14ac:dyDescent="0.25">
      <c r="B3192" s="973">
        <v>134260</v>
      </c>
      <c r="C3192" s="974">
        <v>344903900000000</v>
      </c>
      <c r="D3192" s="973" t="s">
        <v>6506</v>
      </c>
      <c r="E3192" s="946"/>
      <c r="F3192" s="975">
        <v>40</v>
      </c>
      <c r="G3192" s="973">
        <v>0</v>
      </c>
      <c r="I3192" s="1039">
        <f>PUCFD!E2765</f>
        <v>0.01</v>
      </c>
    </row>
    <row r="3193" spans="2:9" ht="24.95" customHeight="1" x14ac:dyDescent="0.25">
      <c r="B3193" s="973">
        <v>134280</v>
      </c>
      <c r="C3193" s="974">
        <v>344905100000000</v>
      </c>
      <c r="D3193" s="973" t="s">
        <v>6507</v>
      </c>
      <c r="E3193" s="946"/>
      <c r="F3193" s="975">
        <v>40</v>
      </c>
      <c r="G3193" s="973">
        <v>0</v>
      </c>
      <c r="I3193" s="1039">
        <f>PUCFD!E2766</f>
        <v>0.01</v>
      </c>
    </row>
    <row r="3194" spans="2:9" ht="24.95" customHeight="1" x14ac:dyDescent="0.25">
      <c r="B3194" s="973">
        <v>134300</v>
      </c>
      <c r="C3194" s="974">
        <v>344905200000000</v>
      </c>
      <c r="D3194" s="973" t="s">
        <v>6508</v>
      </c>
      <c r="E3194" s="946"/>
      <c r="F3194" s="975">
        <v>40</v>
      </c>
      <c r="G3194" s="973">
        <v>0</v>
      </c>
      <c r="I3194" s="1039">
        <f>PUCFD!E2767</f>
        <v>0.01</v>
      </c>
    </row>
    <row r="3195" spans="2:9" ht="24.95" customHeight="1" x14ac:dyDescent="0.25">
      <c r="B3195" s="962" t="s">
        <v>3138</v>
      </c>
      <c r="C3195" s="959">
        <v>10</v>
      </c>
      <c r="D3195" s="962" t="s">
        <v>5246</v>
      </c>
      <c r="E3195" s="946"/>
      <c r="F3195" s="960"/>
      <c r="G3195" s="958"/>
      <c r="H3195" s="958"/>
      <c r="I3195" s="957">
        <f>I3196</f>
        <v>6.0000000000000005E-2</v>
      </c>
    </row>
    <row r="3196" spans="2:9" ht="24.95" customHeight="1" x14ac:dyDescent="0.25">
      <c r="B3196" s="962" t="s">
        <v>3139</v>
      </c>
      <c r="C3196" s="959">
        <v>304</v>
      </c>
      <c r="D3196" s="962" t="s">
        <v>5305</v>
      </c>
      <c r="E3196" s="946"/>
      <c r="F3196" s="960"/>
      <c r="G3196" s="958"/>
      <c r="H3196" s="958"/>
      <c r="I3196" s="957">
        <f>I3197</f>
        <v>6.0000000000000005E-2</v>
      </c>
    </row>
    <row r="3197" spans="2:9" ht="36.75" customHeight="1" x14ac:dyDescent="0.25">
      <c r="B3197" s="962" t="s">
        <v>3137</v>
      </c>
      <c r="C3197" s="959">
        <v>100</v>
      </c>
      <c r="D3197" s="962" t="s">
        <v>5247</v>
      </c>
      <c r="E3197" s="946"/>
      <c r="F3197" s="960"/>
      <c r="G3197" s="958"/>
      <c r="H3197" s="958"/>
      <c r="I3197" s="957">
        <f>I3198</f>
        <v>6.0000000000000005E-2</v>
      </c>
    </row>
    <row r="3198" spans="2:9" ht="24.95" customHeight="1" x14ac:dyDescent="0.25">
      <c r="B3198" s="963" t="s">
        <v>2950</v>
      </c>
      <c r="C3198" s="959">
        <v>27</v>
      </c>
      <c r="D3198" s="963" t="s">
        <v>5511</v>
      </c>
      <c r="E3198" s="946"/>
      <c r="F3198" s="960"/>
      <c r="G3198" s="963"/>
      <c r="H3198" s="963"/>
      <c r="I3198" s="957">
        <f>SUM(I3199:I3204)</f>
        <v>6.0000000000000005E-2</v>
      </c>
    </row>
    <row r="3199" spans="2:9" ht="24.95" customHeight="1" x14ac:dyDescent="0.25">
      <c r="B3199" s="973">
        <v>134400</v>
      </c>
      <c r="C3199" s="974">
        <v>333904700000000</v>
      </c>
      <c r="D3199" s="973" t="s">
        <v>6509</v>
      </c>
      <c r="E3199" s="946"/>
      <c r="F3199" s="975">
        <v>40</v>
      </c>
      <c r="G3199" s="973">
        <v>0</v>
      </c>
      <c r="I3199" s="1039">
        <f>PUCFD!E2769</f>
        <v>0.01</v>
      </c>
    </row>
    <row r="3200" spans="2:9" ht="24.95" customHeight="1" x14ac:dyDescent="0.25">
      <c r="B3200" s="973">
        <v>134420</v>
      </c>
      <c r="C3200" s="974">
        <v>344903000000000</v>
      </c>
      <c r="D3200" s="973" t="s">
        <v>6510</v>
      </c>
      <c r="E3200" s="946"/>
      <c r="F3200" s="975">
        <v>40</v>
      </c>
      <c r="G3200" s="973">
        <v>0</v>
      </c>
      <c r="I3200" s="1039">
        <f>PUCFD!E2770</f>
        <v>0.01</v>
      </c>
    </row>
    <row r="3201" spans="2:9" ht="24.95" customHeight="1" x14ac:dyDescent="0.25">
      <c r="B3201" s="973">
        <v>134440</v>
      </c>
      <c r="C3201" s="974">
        <v>344903600000000</v>
      </c>
      <c r="D3201" s="973" t="s">
        <v>6511</v>
      </c>
      <c r="E3201" s="946"/>
      <c r="F3201" s="975">
        <v>40</v>
      </c>
      <c r="G3201" s="973">
        <v>0</v>
      </c>
      <c r="I3201" s="1039">
        <f>PUCFD!E2771</f>
        <v>0.01</v>
      </c>
    </row>
    <row r="3202" spans="2:9" ht="24.95" customHeight="1" x14ac:dyDescent="0.25">
      <c r="B3202" s="973">
        <v>134460</v>
      </c>
      <c r="C3202" s="974">
        <v>344903900000000</v>
      </c>
      <c r="D3202" s="973" t="s">
        <v>6512</v>
      </c>
      <c r="E3202" s="946"/>
      <c r="F3202" s="975">
        <v>40</v>
      </c>
      <c r="G3202" s="973">
        <v>0</v>
      </c>
      <c r="I3202" s="1039">
        <f>PUCFD!E2772</f>
        <v>0.01</v>
      </c>
    </row>
    <row r="3203" spans="2:9" ht="24.95" customHeight="1" x14ac:dyDescent="0.25">
      <c r="B3203" s="973">
        <v>134480</v>
      </c>
      <c r="C3203" s="974">
        <v>344905100000000</v>
      </c>
      <c r="D3203" s="973" t="s">
        <v>6513</v>
      </c>
      <c r="E3203" s="946"/>
      <c r="F3203" s="975">
        <v>40</v>
      </c>
      <c r="G3203" s="973">
        <v>0</v>
      </c>
      <c r="I3203" s="1039">
        <f>PUCFD!E2773</f>
        <v>0.01</v>
      </c>
    </row>
    <row r="3204" spans="2:9" ht="24.95" customHeight="1" x14ac:dyDescent="0.25">
      <c r="B3204" s="973">
        <v>134500</v>
      </c>
      <c r="C3204" s="974">
        <v>344905200000000</v>
      </c>
      <c r="D3204" s="973" t="s">
        <v>6514</v>
      </c>
      <c r="E3204" s="946"/>
      <c r="F3204" s="975">
        <v>40</v>
      </c>
      <c r="G3204" s="973">
        <v>0</v>
      </c>
      <c r="I3204" s="1039">
        <f>PUCFD!E2774</f>
        <v>0.01</v>
      </c>
    </row>
    <row r="3205" spans="2:9" ht="24.95" customHeight="1" x14ac:dyDescent="0.25">
      <c r="B3205" s="962" t="s">
        <v>3138</v>
      </c>
      <c r="C3205" s="959">
        <v>10</v>
      </c>
      <c r="D3205" s="962" t="s">
        <v>5246</v>
      </c>
      <c r="E3205" s="946"/>
      <c r="F3205" s="960"/>
      <c r="G3205" s="958"/>
      <c r="H3205" s="958"/>
      <c r="I3205" s="957">
        <f>I3206</f>
        <v>6223.9050000000007</v>
      </c>
    </row>
    <row r="3206" spans="2:9" ht="24.95" customHeight="1" x14ac:dyDescent="0.25">
      <c r="B3206" s="962" t="s">
        <v>3139</v>
      </c>
      <c r="C3206" s="959">
        <v>126</v>
      </c>
      <c r="D3206" s="962" t="s">
        <v>3600</v>
      </c>
      <c r="E3206" s="946"/>
      <c r="F3206" s="960"/>
      <c r="G3206" s="958"/>
      <c r="H3206" s="958"/>
      <c r="I3206" s="957">
        <f>I3207</f>
        <v>6223.9050000000007</v>
      </c>
    </row>
    <row r="3207" spans="2:9" ht="36.75" customHeight="1" x14ac:dyDescent="0.25">
      <c r="B3207" s="962" t="s">
        <v>3137</v>
      </c>
      <c r="C3207" s="959">
        <v>100</v>
      </c>
      <c r="D3207" s="962" t="s">
        <v>5247</v>
      </c>
      <c r="E3207" s="946"/>
      <c r="F3207" s="960"/>
      <c r="G3207" s="958"/>
      <c r="H3207" s="958"/>
      <c r="I3207" s="957">
        <f>I3208</f>
        <v>6223.9050000000007</v>
      </c>
    </row>
    <row r="3208" spans="2:9" ht="24.95" customHeight="1" x14ac:dyDescent="0.25">
      <c r="B3208" s="963" t="s">
        <v>2965</v>
      </c>
      <c r="C3208" s="959">
        <v>29</v>
      </c>
      <c r="D3208" s="963" t="s">
        <v>5306</v>
      </c>
      <c r="E3208" s="946"/>
      <c r="F3208" s="960"/>
      <c r="G3208" s="963"/>
      <c r="H3208" s="963"/>
      <c r="I3208" s="957">
        <f>I3209</f>
        <v>6223.9050000000007</v>
      </c>
    </row>
    <row r="3209" spans="2:9" ht="33.75" customHeight="1" x14ac:dyDescent="0.25">
      <c r="B3209" s="973">
        <v>134600</v>
      </c>
      <c r="C3209" s="974">
        <v>333904000000000</v>
      </c>
      <c r="D3209" s="973" t="s">
        <v>6515</v>
      </c>
      <c r="E3209" s="973"/>
      <c r="F3209" s="975">
        <v>40</v>
      </c>
      <c r="G3209" s="973">
        <v>0</v>
      </c>
      <c r="I3209" s="1039">
        <f>PUCFD!E2776</f>
        <v>6223.9050000000007</v>
      </c>
    </row>
    <row r="3210" spans="2:9" ht="24.95" customHeight="1" x14ac:dyDescent="0.25">
      <c r="B3210" s="962" t="s">
        <v>3138</v>
      </c>
      <c r="C3210" s="959">
        <v>10</v>
      </c>
      <c r="D3210" s="962" t="s">
        <v>5246</v>
      </c>
      <c r="E3210" s="946"/>
      <c r="F3210" s="960"/>
      <c r="G3210" s="958"/>
      <c r="H3210" s="958"/>
      <c r="I3210" s="957">
        <f>I3211</f>
        <v>0.05</v>
      </c>
    </row>
    <row r="3211" spans="2:9" ht="24.95" customHeight="1" x14ac:dyDescent="0.25">
      <c r="B3211" s="962" t="s">
        <v>3139</v>
      </c>
      <c r="C3211" s="959">
        <v>128</v>
      </c>
      <c r="D3211" s="962" t="s">
        <v>5104</v>
      </c>
      <c r="E3211" s="946"/>
      <c r="F3211" s="960"/>
      <c r="G3211" s="958"/>
      <c r="H3211" s="958"/>
      <c r="I3211" s="957">
        <f>I3212</f>
        <v>0.05</v>
      </c>
    </row>
    <row r="3212" spans="2:9" ht="36.75" customHeight="1" x14ac:dyDescent="0.25">
      <c r="B3212" s="962" t="s">
        <v>3137</v>
      </c>
      <c r="C3212" s="959">
        <v>100</v>
      </c>
      <c r="D3212" s="962" t="s">
        <v>5247</v>
      </c>
      <c r="E3212" s="946"/>
      <c r="F3212" s="960"/>
      <c r="G3212" s="958"/>
      <c r="H3212" s="958"/>
      <c r="I3212" s="957">
        <f>I3213</f>
        <v>0.05</v>
      </c>
    </row>
    <row r="3213" spans="2:9" ht="24.95" customHeight="1" x14ac:dyDescent="0.25">
      <c r="B3213" s="963" t="s">
        <v>2965</v>
      </c>
      <c r="C3213" s="959">
        <v>29</v>
      </c>
      <c r="D3213" s="963" t="s">
        <v>5306</v>
      </c>
      <c r="E3213" s="946"/>
      <c r="F3213" s="960"/>
      <c r="G3213" s="963"/>
      <c r="H3213" s="963"/>
      <c r="I3213" s="957">
        <f>SUM(I3214:I3218)</f>
        <v>0.05</v>
      </c>
    </row>
    <row r="3214" spans="2:9" ht="24.95" customHeight="1" x14ac:dyDescent="0.25">
      <c r="B3214" s="973">
        <v>134650</v>
      </c>
      <c r="C3214" s="974">
        <v>333901400000000</v>
      </c>
      <c r="D3214" s="973" t="s">
        <v>6519</v>
      </c>
      <c r="E3214" s="973"/>
      <c r="F3214" s="975">
        <v>40</v>
      </c>
      <c r="G3214" s="973">
        <v>0</v>
      </c>
      <c r="I3214" s="1039">
        <f>PUCFD!E2778</f>
        <v>0.01</v>
      </c>
    </row>
    <row r="3215" spans="2:9" ht="24.95" customHeight="1" x14ac:dyDescent="0.25">
      <c r="B3215" s="973">
        <v>134670</v>
      </c>
      <c r="C3215" s="974">
        <v>333903300000000</v>
      </c>
      <c r="D3215" s="973" t="s">
        <v>6520</v>
      </c>
      <c r="E3215" s="973"/>
      <c r="F3215" s="975">
        <v>40</v>
      </c>
      <c r="G3215" s="973">
        <v>0</v>
      </c>
      <c r="I3215" s="1039">
        <f>PUCFD!E2779</f>
        <v>0.01</v>
      </c>
    </row>
    <row r="3216" spans="2:9" ht="34.5" customHeight="1" x14ac:dyDescent="0.25">
      <c r="B3216" s="973">
        <v>134690</v>
      </c>
      <c r="C3216" s="974">
        <v>333903600000000</v>
      </c>
      <c r="D3216" s="973" t="s">
        <v>6517</v>
      </c>
      <c r="E3216" s="973"/>
      <c r="F3216" s="975">
        <v>40</v>
      </c>
      <c r="G3216" s="973">
        <v>0</v>
      </c>
      <c r="I3216" s="1039">
        <f>PUCFD!E2780</f>
        <v>0.01</v>
      </c>
    </row>
    <row r="3217" spans="2:11" ht="36.75" customHeight="1" x14ac:dyDescent="0.25">
      <c r="B3217" s="945">
        <v>134710</v>
      </c>
      <c r="C3217" s="974">
        <v>333903900000000</v>
      </c>
      <c r="D3217" s="973" t="s">
        <v>6516</v>
      </c>
      <c r="F3217" s="975">
        <v>40</v>
      </c>
      <c r="G3217" s="973">
        <v>0</v>
      </c>
      <c r="I3217" s="1039">
        <f>PUCFD!E2781</f>
        <v>0.01</v>
      </c>
    </row>
    <row r="3218" spans="2:11" ht="39" customHeight="1" x14ac:dyDescent="0.25">
      <c r="B3218" s="973">
        <v>134730</v>
      </c>
      <c r="C3218" s="974">
        <v>333904700000000</v>
      </c>
      <c r="D3218" s="973" t="s">
        <v>6518</v>
      </c>
      <c r="E3218" s="973"/>
      <c r="F3218" s="975">
        <v>40</v>
      </c>
      <c r="G3218" s="973">
        <v>0</v>
      </c>
      <c r="I3218" s="1039">
        <f>PUCFD!E2782</f>
        <v>0.01</v>
      </c>
    </row>
    <row r="3219" spans="2:11" ht="24.95" customHeight="1" x14ac:dyDescent="0.25">
      <c r="B3219" s="962" t="s">
        <v>3138</v>
      </c>
      <c r="C3219" s="959">
        <v>10</v>
      </c>
      <c r="D3219" s="962" t="s">
        <v>5246</v>
      </c>
      <c r="E3219" s="946"/>
      <c r="F3219" s="960"/>
      <c r="G3219" s="958"/>
      <c r="H3219" s="958"/>
      <c r="I3219" s="957">
        <f>I3220</f>
        <v>3028916.6551265996</v>
      </c>
    </row>
    <row r="3220" spans="2:11" ht="24.95" customHeight="1" x14ac:dyDescent="0.25">
      <c r="B3220" s="962" t="s">
        <v>3139</v>
      </c>
      <c r="C3220" s="959">
        <v>301</v>
      </c>
      <c r="D3220" s="962" t="s">
        <v>5303</v>
      </c>
      <c r="E3220" s="946"/>
      <c r="F3220" s="960"/>
      <c r="G3220" s="958"/>
      <c r="H3220" s="958"/>
      <c r="I3220" s="957">
        <f>I3221</f>
        <v>3028916.6551265996</v>
      </c>
    </row>
    <row r="3221" spans="2:11" ht="36.75" customHeight="1" x14ac:dyDescent="0.25">
      <c r="B3221" s="962" t="s">
        <v>3137</v>
      </c>
      <c r="C3221" s="959">
        <v>100</v>
      </c>
      <c r="D3221" s="962" t="s">
        <v>5247</v>
      </c>
      <c r="E3221" s="946"/>
      <c r="F3221" s="960"/>
      <c r="G3221" s="958"/>
      <c r="H3221" s="958"/>
      <c r="I3221" s="957">
        <f>I3222</f>
        <v>3028916.6551265996</v>
      </c>
    </row>
    <row r="3222" spans="2:11" ht="24.95" customHeight="1" x14ac:dyDescent="0.25">
      <c r="B3222" s="963" t="s">
        <v>2965</v>
      </c>
      <c r="C3222" s="959">
        <v>29</v>
      </c>
      <c r="D3222" s="963" t="s">
        <v>5306</v>
      </c>
      <c r="E3222" s="946"/>
      <c r="F3222" s="960"/>
      <c r="G3222" s="963"/>
      <c r="H3222" s="963"/>
      <c r="I3222" s="957">
        <f>SUM(I3223:I3244)</f>
        <v>3028916.6551265996</v>
      </c>
    </row>
    <row r="3223" spans="2:11" ht="24.95" customHeight="1" x14ac:dyDescent="0.25">
      <c r="B3223" s="973">
        <v>134800</v>
      </c>
      <c r="C3223" s="974">
        <v>331900400000000</v>
      </c>
      <c r="D3223" s="973" t="s">
        <v>6521</v>
      </c>
      <c r="E3223" s="973"/>
      <c r="F3223" s="975">
        <v>40</v>
      </c>
      <c r="G3223" s="973">
        <v>0</v>
      </c>
      <c r="I3223" s="1039">
        <f>SUM(PUCFD!E2785:E2787)*(1+PUCFD!E$87)</f>
        <v>509553.86008592515</v>
      </c>
    </row>
    <row r="3224" spans="2:11" ht="24.95" customHeight="1" x14ac:dyDescent="0.25">
      <c r="B3224" s="973">
        <v>134850</v>
      </c>
      <c r="C3224" s="967">
        <v>331900800000000</v>
      </c>
      <c r="D3224" s="966" t="s">
        <v>6522</v>
      </c>
      <c r="E3224" s="973"/>
      <c r="F3224" s="975">
        <v>1</v>
      </c>
      <c r="G3224" s="973">
        <v>0</v>
      </c>
      <c r="I3224" s="1039">
        <f>(I3225+I3227)*PUCFD!E$94</f>
        <v>182850.60398018069</v>
      </c>
    </row>
    <row r="3225" spans="2:11" ht="24.95" customHeight="1" x14ac:dyDescent="0.25">
      <c r="B3225" s="973">
        <v>134880</v>
      </c>
      <c r="C3225" s="974">
        <v>331901100000000</v>
      </c>
      <c r="D3225" s="973" t="s">
        <v>6523</v>
      </c>
      <c r="E3225" s="973"/>
      <c r="F3225" s="975">
        <v>40</v>
      </c>
      <c r="G3225" s="973">
        <v>0</v>
      </c>
      <c r="I3225" s="1039">
        <f>PUCFD!E2791*(1+PUCFD!E$87)-58096</f>
        <v>1504728.9591040034</v>
      </c>
      <c r="J3225" s="1017"/>
      <c r="K3225" s="990"/>
    </row>
    <row r="3226" spans="2:11" ht="24.95" customHeight="1" x14ac:dyDescent="0.25">
      <c r="B3226" s="973">
        <v>134950</v>
      </c>
      <c r="C3226" s="974">
        <v>331901300000000</v>
      </c>
      <c r="D3226" s="973" t="s">
        <v>6524</v>
      </c>
      <c r="E3226" s="973"/>
      <c r="F3226" s="975">
        <v>40</v>
      </c>
      <c r="G3226" s="973">
        <v>0</v>
      </c>
      <c r="I3226" s="1039">
        <f>(I3225+I3227+I3228+I3229)*PUCFD!E$92</f>
        <v>332743.73671168578</v>
      </c>
    </row>
    <row r="3227" spans="2:11" ht="24.95" customHeight="1" x14ac:dyDescent="0.25">
      <c r="B3227" s="973">
        <v>134980</v>
      </c>
      <c r="C3227" s="974">
        <v>331901600000000</v>
      </c>
      <c r="D3227" s="973" t="s">
        <v>6525</v>
      </c>
      <c r="E3227" s="973"/>
      <c r="F3227" s="975">
        <v>40</v>
      </c>
      <c r="G3227" s="973">
        <v>0</v>
      </c>
      <c r="I3227" s="1039">
        <f>PUCFD!E2805*(1+PUCFD!E$87)-50000</f>
        <v>79765.009528411552</v>
      </c>
    </row>
    <row r="3228" spans="2:11" ht="24.95" customHeight="1" x14ac:dyDescent="0.25">
      <c r="B3228" s="973">
        <v>135010</v>
      </c>
      <c r="C3228" s="974">
        <v>331903400000000</v>
      </c>
      <c r="D3228" s="973" t="s">
        <v>6526</v>
      </c>
      <c r="E3228" s="973"/>
      <c r="F3228" s="975">
        <v>40</v>
      </c>
      <c r="G3228" s="973">
        <v>0</v>
      </c>
      <c r="I3228" s="1039">
        <f>PUCFD!E2806-46553.99</f>
        <v>1.0000000002037268E-2</v>
      </c>
    </row>
    <row r="3229" spans="2:11" ht="24.95" customHeight="1" x14ac:dyDescent="0.25">
      <c r="B3229" s="973">
        <v>135050</v>
      </c>
      <c r="C3229" s="974">
        <v>331909400000000</v>
      </c>
      <c r="D3229" s="973" t="s">
        <v>6527</v>
      </c>
      <c r="E3229" s="973"/>
      <c r="F3229" s="975">
        <v>40</v>
      </c>
      <c r="G3229" s="973">
        <v>0</v>
      </c>
      <c r="I3229" s="1039">
        <f>PUCFD!E2807-42232.03</f>
        <v>5.7089458205155097E-3</v>
      </c>
    </row>
    <row r="3230" spans="2:11" ht="24.95" customHeight="1" x14ac:dyDescent="0.25">
      <c r="B3230" s="973">
        <v>135100</v>
      </c>
      <c r="C3230" s="974">
        <v>333901400000000</v>
      </c>
      <c r="D3230" s="973" t="s">
        <v>5318</v>
      </c>
      <c r="E3230" s="973"/>
      <c r="F3230" s="975">
        <v>40</v>
      </c>
      <c r="G3230" s="973">
        <v>0</v>
      </c>
      <c r="I3230" s="1039">
        <f>PUCFD!E2808*(1+PUCFD!E10)</f>
        <v>26298.2916</v>
      </c>
    </row>
    <row r="3231" spans="2:11" ht="24.95" customHeight="1" x14ac:dyDescent="0.25">
      <c r="B3231" s="973">
        <v>135130</v>
      </c>
      <c r="C3231" s="974">
        <v>333903000000000</v>
      </c>
      <c r="D3231" s="973" t="s">
        <v>5319</v>
      </c>
      <c r="E3231" s="973"/>
      <c r="F3231" s="975">
        <v>40</v>
      </c>
      <c r="G3231" s="973">
        <v>0</v>
      </c>
      <c r="I3231" s="1039">
        <f>PUCFD!E2809*(1+PUCFD!E18)*(1+PUCFD!E19)*(1+PUCFD!E20)*(1+PUCFD!E21)+100000-50000</f>
        <v>114013.82545290174</v>
      </c>
    </row>
    <row r="3232" spans="2:11" ht="24.95" customHeight="1" x14ac:dyDescent="0.25">
      <c r="B3232" s="973">
        <v>135160</v>
      </c>
      <c r="C3232" s="974">
        <v>333903200000000</v>
      </c>
      <c r="D3232" s="973" t="s">
        <v>7758</v>
      </c>
      <c r="E3232" s="973"/>
      <c r="F3232" s="975">
        <v>40</v>
      </c>
      <c r="G3232" s="973">
        <v>0</v>
      </c>
      <c r="H3232" s="1377"/>
      <c r="I3232" s="1039">
        <f>PUCFD!E2810*(1+PUCFD!E19)*(1+PUCFD!E20)*(1+PUCFD!E21)*(1+PUCFD!E22)+100000-50000</f>
        <v>50000.010907956079</v>
      </c>
    </row>
    <row r="3233" spans="2:9" ht="24.95" customHeight="1" x14ac:dyDescent="0.25">
      <c r="B3233" s="973">
        <v>135180</v>
      </c>
      <c r="C3233" s="974">
        <v>333903300000000</v>
      </c>
      <c r="D3233" s="973" t="s">
        <v>5320</v>
      </c>
      <c r="E3233" s="973"/>
      <c r="F3233" s="975">
        <v>40</v>
      </c>
      <c r="G3233" s="973">
        <v>0</v>
      </c>
      <c r="I3233" s="1039">
        <f>PUCFD!E2811</f>
        <v>500</v>
      </c>
    </row>
    <row r="3234" spans="2:9" ht="24.95" customHeight="1" x14ac:dyDescent="0.25">
      <c r="B3234" s="973">
        <v>135210</v>
      </c>
      <c r="C3234" s="974">
        <v>333903500000000</v>
      </c>
      <c r="D3234" s="973" t="s">
        <v>5321</v>
      </c>
      <c r="E3234" s="973"/>
      <c r="F3234" s="975">
        <v>40</v>
      </c>
      <c r="G3234" s="973">
        <v>0</v>
      </c>
      <c r="I3234" s="1039">
        <f>PUCFD!E2812</f>
        <v>0.01</v>
      </c>
    </row>
    <row r="3235" spans="2:9" ht="24.95" customHeight="1" x14ac:dyDescent="0.25">
      <c r="B3235" s="973">
        <v>135250</v>
      </c>
      <c r="C3235" s="974">
        <v>333903600000000</v>
      </c>
      <c r="D3235" s="973" t="s">
        <v>5322</v>
      </c>
      <c r="E3235" s="973"/>
      <c r="F3235" s="975">
        <v>40</v>
      </c>
      <c r="G3235" s="973">
        <v>0</v>
      </c>
      <c r="I3235" s="1039">
        <f>PUCFD!E2813</f>
        <v>0.01</v>
      </c>
    </row>
    <row r="3236" spans="2:9" ht="24.95" customHeight="1" x14ac:dyDescent="0.25">
      <c r="B3236" s="973">
        <v>135300</v>
      </c>
      <c r="C3236" s="974">
        <v>333903900000000</v>
      </c>
      <c r="D3236" s="973" t="s">
        <v>5323</v>
      </c>
      <c r="E3236" s="973"/>
      <c r="F3236" s="975">
        <v>40</v>
      </c>
      <c r="G3236" s="973">
        <v>0</v>
      </c>
      <c r="I3236" s="1039">
        <f>PUCFD!E2814-100000+120937.27-100000</f>
        <v>142252.07</v>
      </c>
    </row>
    <row r="3237" spans="2:9" ht="24.95" customHeight="1" x14ac:dyDescent="0.25">
      <c r="B3237" s="973">
        <v>135380</v>
      </c>
      <c r="C3237" s="974">
        <v>333904600000000</v>
      </c>
      <c r="D3237" s="973" t="s">
        <v>5324</v>
      </c>
      <c r="E3237" s="973"/>
      <c r="F3237" s="975">
        <v>40</v>
      </c>
      <c r="G3237" s="973">
        <v>0</v>
      </c>
      <c r="I3237" s="1039">
        <f>PUCFD!E2815*(1+PUCFD!E10)*(1+PUCFD!E16)</f>
        <v>67734.76204659151</v>
      </c>
    </row>
    <row r="3238" spans="2:9" ht="24.95" customHeight="1" x14ac:dyDescent="0.25">
      <c r="B3238" s="973">
        <v>135430</v>
      </c>
      <c r="C3238" s="974">
        <v>333904700000000</v>
      </c>
      <c r="D3238" s="973" t="s">
        <v>5325</v>
      </c>
      <c r="E3238" s="973"/>
      <c r="F3238" s="975">
        <v>40</v>
      </c>
      <c r="G3238" s="973">
        <v>0</v>
      </c>
      <c r="I3238" s="1039">
        <f>PUCFD!E2816</f>
        <v>0.01</v>
      </c>
    </row>
    <row r="3239" spans="2:9" ht="24.95" customHeight="1" x14ac:dyDescent="0.25">
      <c r="B3239" s="973">
        <v>135480</v>
      </c>
      <c r="C3239" s="974">
        <v>333904900000000</v>
      </c>
      <c r="D3239" s="973" t="s">
        <v>5326</v>
      </c>
      <c r="E3239" s="973"/>
      <c r="F3239" s="975">
        <v>40</v>
      </c>
      <c r="G3239" s="973">
        <v>0</v>
      </c>
      <c r="I3239" s="1039">
        <f>PUCFD!E2817</f>
        <v>16975.439999999995</v>
      </c>
    </row>
    <row r="3240" spans="2:9" ht="24.95" customHeight="1" x14ac:dyDescent="0.25">
      <c r="B3240" s="973">
        <v>135530</v>
      </c>
      <c r="C3240" s="974">
        <v>333909200000000</v>
      </c>
      <c r="D3240" s="973" t="s">
        <v>5327</v>
      </c>
      <c r="E3240" s="973"/>
      <c r="F3240" s="975">
        <v>40</v>
      </c>
      <c r="G3240" s="973">
        <v>0</v>
      </c>
      <c r="I3240" s="1039">
        <f>PUCFD!E2818</f>
        <v>0.01</v>
      </c>
    </row>
    <row r="3241" spans="2:9" ht="24.95" customHeight="1" x14ac:dyDescent="0.25">
      <c r="B3241" s="973">
        <v>135560</v>
      </c>
      <c r="C3241" s="974">
        <v>333909300000000</v>
      </c>
      <c r="D3241" s="973" t="s">
        <v>5328</v>
      </c>
      <c r="E3241" s="973"/>
      <c r="F3241" s="975">
        <v>40</v>
      </c>
      <c r="G3241" s="973">
        <v>0</v>
      </c>
      <c r="I3241" s="1039">
        <f>PUCFD!E2819</f>
        <v>1500</v>
      </c>
    </row>
    <row r="3242" spans="2:9" ht="24.95" customHeight="1" x14ac:dyDescent="0.25">
      <c r="B3242" s="973">
        <v>135620</v>
      </c>
      <c r="C3242" s="974">
        <v>333933000000000</v>
      </c>
      <c r="D3242" s="973" t="s">
        <v>5329</v>
      </c>
      <c r="E3242" s="973"/>
      <c r="F3242" s="975">
        <v>40</v>
      </c>
      <c r="G3242" s="973">
        <v>0</v>
      </c>
      <c r="I3242" s="1039">
        <f>PUCFD!E2820</f>
        <v>0.01</v>
      </c>
    </row>
    <row r="3243" spans="2:9" ht="24.95" customHeight="1" x14ac:dyDescent="0.25">
      <c r="B3243" s="973">
        <v>135650</v>
      </c>
      <c r="C3243" s="974">
        <v>344905100000000</v>
      </c>
      <c r="D3243" s="973" t="s">
        <v>5330</v>
      </c>
      <c r="E3243" s="973"/>
      <c r="F3243" s="975">
        <v>40</v>
      </c>
      <c r="G3243" s="973">
        <v>0</v>
      </c>
      <c r="I3243" s="1039">
        <f>PUCFD!E2821</f>
        <v>0.01</v>
      </c>
    </row>
    <row r="3244" spans="2:9" ht="24.95" customHeight="1" x14ac:dyDescent="0.25">
      <c r="B3244" s="973">
        <v>135700</v>
      </c>
      <c r="C3244" s="974">
        <v>344905200000000</v>
      </c>
      <c r="D3244" s="973" t="s">
        <v>5331</v>
      </c>
      <c r="E3244" s="973"/>
      <c r="F3244" s="975">
        <v>40</v>
      </c>
      <c r="G3244" s="973">
        <v>0</v>
      </c>
      <c r="I3244" s="1039">
        <f>PUCFD!E2822</f>
        <v>0.01</v>
      </c>
    </row>
    <row r="3245" spans="2:9" ht="24.95" customHeight="1" x14ac:dyDescent="0.25">
      <c r="B3245" s="962" t="s">
        <v>3138</v>
      </c>
      <c r="C3245" s="959">
        <v>10</v>
      </c>
      <c r="D3245" s="962" t="s">
        <v>5246</v>
      </c>
      <c r="E3245" s="946"/>
      <c r="F3245" s="960"/>
      <c r="G3245" s="958"/>
      <c r="H3245" s="958"/>
      <c r="I3245" s="957">
        <f>I3246</f>
        <v>310813.25648689736</v>
      </c>
    </row>
    <row r="3246" spans="2:9" ht="24.95" customHeight="1" x14ac:dyDescent="0.25">
      <c r="B3246" s="962" t="s">
        <v>3139</v>
      </c>
      <c r="C3246" s="959">
        <v>301</v>
      </c>
      <c r="D3246" s="962" t="s">
        <v>5303</v>
      </c>
      <c r="E3246" s="946"/>
      <c r="F3246" s="960"/>
      <c r="G3246" s="958"/>
      <c r="H3246" s="958"/>
      <c r="I3246" s="957">
        <f>I3247</f>
        <v>310813.25648689736</v>
      </c>
    </row>
    <row r="3247" spans="2:9" ht="36.75" customHeight="1" x14ac:dyDescent="0.25">
      <c r="B3247" s="962" t="s">
        <v>3137</v>
      </c>
      <c r="C3247" s="959">
        <v>100</v>
      </c>
      <c r="D3247" s="962" t="s">
        <v>5247</v>
      </c>
      <c r="E3247" s="946"/>
      <c r="F3247" s="960"/>
      <c r="G3247" s="958"/>
      <c r="H3247" s="958"/>
      <c r="I3247" s="957">
        <f>I3248</f>
        <v>310813.25648689736</v>
      </c>
    </row>
    <row r="3248" spans="2:9" ht="24.95" customHeight="1" x14ac:dyDescent="0.25">
      <c r="B3248" s="963" t="s">
        <v>2965</v>
      </c>
      <c r="C3248" s="959">
        <v>29</v>
      </c>
      <c r="D3248" s="963" t="s">
        <v>5306</v>
      </c>
      <c r="E3248" s="946"/>
      <c r="F3248" s="960"/>
      <c r="G3248" s="963"/>
      <c r="H3248" s="963"/>
      <c r="I3248" s="957">
        <f>SUM(I3249:I3270)</f>
        <v>310813.25648689736</v>
      </c>
    </row>
    <row r="3249" spans="2:10" ht="24.95" customHeight="1" x14ac:dyDescent="0.25">
      <c r="B3249" s="973">
        <v>138000</v>
      </c>
      <c r="C3249" s="974">
        <v>331900400000000</v>
      </c>
      <c r="D3249" s="973" t="s">
        <v>5353</v>
      </c>
      <c r="E3249" s="973"/>
      <c r="F3249" s="975">
        <v>40</v>
      </c>
      <c r="G3249" s="973">
        <v>0</v>
      </c>
      <c r="I3249" s="1039">
        <f>PUCFD!E2824</f>
        <v>0.01</v>
      </c>
    </row>
    <row r="3250" spans="2:10" ht="24.95" customHeight="1" x14ac:dyDescent="0.25">
      <c r="B3250" s="973">
        <v>138050</v>
      </c>
      <c r="C3250" s="967">
        <v>331900800000000</v>
      </c>
      <c r="D3250" s="966" t="s">
        <v>6528</v>
      </c>
      <c r="E3250" s="973"/>
      <c r="F3250" s="975">
        <v>1</v>
      </c>
      <c r="G3250" s="973">
        <v>0</v>
      </c>
      <c r="I3250" s="1039">
        <f>(I3251+I3253)*PUCFD!E$94</f>
        <v>24807.766491555718</v>
      </c>
    </row>
    <row r="3251" spans="2:10" ht="24.95" customHeight="1" x14ac:dyDescent="0.25">
      <c r="B3251" s="973">
        <v>138080</v>
      </c>
      <c r="C3251" s="974">
        <v>331901100000000</v>
      </c>
      <c r="D3251" s="973" t="s">
        <v>6529</v>
      </c>
      <c r="E3251" s="973"/>
      <c r="F3251" s="975">
        <v>40</v>
      </c>
      <c r="G3251" s="973">
        <v>0</v>
      </c>
      <c r="I3251" s="1039">
        <f>PUCFD!E2826*(1+PUCFD!E$87)</f>
        <v>214971.96999615006</v>
      </c>
      <c r="J3251" s="1017"/>
    </row>
    <row r="3252" spans="2:10" ht="24.95" customHeight="1" x14ac:dyDescent="0.25">
      <c r="B3252" s="973">
        <v>138150</v>
      </c>
      <c r="C3252" s="974">
        <v>331901300000000</v>
      </c>
      <c r="D3252" s="973" t="s">
        <v>5356</v>
      </c>
      <c r="E3252" s="973"/>
      <c r="F3252" s="975">
        <v>40</v>
      </c>
      <c r="G3252" s="973">
        <v>0</v>
      </c>
      <c r="I3252" s="1039">
        <f>(I3251+I3253+I3254+I3255)*PUCFD!E$92</f>
        <v>45144.11999919152</v>
      </c>
    </row>
    <row r="3253" spans="2:10" ht="24.95" customHeight="1" x14ac:dyDescent="0.25">
      <c r="B3253" s="973">
        <v>138180</v>
      </c>
      <c r="C3253" s="974">
        <v>331901600000000</v>
      </c>
      <c r="D3253" s="973" t="s">
        <v>5357</v>
      </c>
      <c r="E3253" s="973"/>
      <c r="F3253" s="975">
        <v>40</v>
      </c>
      <c r="G3253" s="973">
        <v>0</v>
      </c>
      <c r="I3253" s="1039">
        <f>PUCFD!E2836</f>
        <v>0.01</v>
      </c>
    </row>
    <row r="3254" spans="2:10" ht="24.95" customHeight="1" x14ac:dyDescent="0.25">
      <c r="B3254" s="973">
        <v>138210</v>
      </c>
      <c r="C3254" s="974">
        <v>331903400000000</v>
      </c>
      <c r="D3254" s="973" t="s">
        <v>5358</v>
      </c>
      <c r="E3254" s="973"/>
      <c r="F3254" s="975">
        <v>40</v>
      </c>
      <c r="G3254" s="973">
        <v>0</v>
      </c>
      <c r="I3254" s="1039">
        <f>PUCFD!E2837</f>
        <v>0.01</v>
      </c>
    </row>
    <row r="3255" spans="2:10" ht="24.95" customHeight="1" x14ac:dyDescent="0.25">
      <c r="B3255" s="973">
        <v>138240</v>
      </c>
      <c r="C3255" s="974">
        <v>331909400000000</v>
      </c>
      <c r="D3255" s="973" t="s">
        <v>5359</v>
      </c>
      <c r="E3255" s="973"/>
      <c r="F3255" s="975">
        <v>40</v>
      </c>
      <c r="G3255" s="973">
        <v>0</v>
      </c>
      <c r="I3255" s="1039">
        <f>PUCFD!E2838</f>
        <v>0.01</v>
      </c>
    </row>
    <row r="3256" spans="2:10" ht="24.95" customHeight="1" x14ac:dyDescent="0.25">
      <c r="B3256" s="973">
        <v>138270</v>
      </c>
      <c r="C3256" s="974">
        <v>333901400000000</v>
      </c>
      <c r="D3256" s="973" t="s">
        <v>6530</v>
      </c>
      <c r="E3256" s="973"/>
      <c r="F3256" s="975">
        <v>40</v>
      </c>
      <c r="G3256" s="973">
        <v>0</v>
      </c>
      <c r="I3256" s="1039">
        <f>PUCFD!E2839</f>
        <v>1500</v>
      </c>
    </row>
    <row r="3257" spans="2:10" ht="24.95" customHeight="1" x14ac:dyDescent="0.25">
      <c r="B3257" s="973">
        <v>138300</v>
      </c>
      <c r="C3257" s="974">
        <v>333903000000000</v>
      </c>
      <c r="D3257" s="973" t="s">
        <v>6531</v>
      </c>
      <c r="E3257" s="973"/>
      <c r="F3257" s="975">
        <v>40</v>
      </c>
      <c r="G3257" s="973">
        <v>0</v>
      </c>
      <c r="I3257" s="1039">
        <f>PUCFD!E2840</f>
        <v>5000</v>
      </c>
    </row>
    <row r="3258" spans="2:10" ht="24.95" customHeight="1" x14ac:dyDescent="0.25">
      <c r="B3258" s="973">
        <v>138360</v>
      </c>
      <c r="C3258" s="974">
        <v>333903200000000</v>
      </c>
      <c r="D3258" s="973" t="s">
        <v>7762</v>
      </c>
      <c r="E3258" s="973"/>
      <c r="F3258" s="975">
        <v>40</v>
      </c>
      <c r="G3258" s="973">
        <v>0</v>
      </c>
      <c r="H3258" s="1377"/>
      <c r="I3258" s="1039">
        <f>PUCFD!E2841</f>
        <v>2000</v>
      </c>
    </row>
    <row r="3259" spans="2:10" ht="24.95" customHeight="1" x14ac:dyDescent="0.25">
      <c r="B3259" s="973">
        <v>138380</v>
      </c>
      <c r="C3259" s="974">
        <v>333903300000000</v>
      </c>
      <c r="D3259" s="973" t="s">
        <v>6532</v>
      </c>
      <c r="E3259" s="973"/>
      <c r="F3259" s="975">
        <v>40</v>
      </c>
      <c r="G3259" s="973">
        <v>0</v>
      </c>
      <c r="I3259" s="1039">
        <f>PUCFD!E2842</f>
        <v>500</v>
      </c>
    </row>
    <row r="3260" spans="2:10" ht="24.95" customHeight="1" x14ac:dyDescent="0.25">
      <c r="B3260" s="973">
        <v>138420</v>
      </c>
      <c r="C3260" s="974">
        <v>333903500000000</v>
      </c>
      <c r="D3260" s="973" t="s">
        <v>6533</v>
      </c>
      <c r="E3260" s="973"/>
      <c r="F3260" s="975">
        <v>40</v>
      </c>
      <c r="G3260" s="973">
        <v>0</v>
      </c>
      <c r="I3260" s="1039">
        <f>PUCFD!E2843</f>
        <v>0.01</v>
      </c>
    </row>
    <row r="3261" spans="2:10" ht="24.95" customHeight="1" x14ac:dyDescent="0.25">
      <c r="B3261" s="973">
        <v>138450</v>
      </c>
      <c r="C3261" s="974">
        <v>333903600000000</v>
      </c>
      <c r="D3261" s="973" t="s">
        <v>6534</v>
      </c>
      <c r="E3261" s="973"/>
      <c r="F3261" s="975">
        <v>40</v>
      </c>
      <c r="G3261" s="973">
        <v>0</v>
      </c>
      <c r="I3261" s="1039">
        <f>PUCFD!E2844</f>
        <v>0.01</v>
      </c>
    </row>
    <row r="3262" spans="2:10" ht="24.95" customHeight="1" x14ac:dyDescent="0.25">
      <c r="B3262" s="973">
        <v>138580</v>
      </c>
      <c r="C3262" s="974">
        <v>333903900000000</v>
      </c>
      <c r="D3262" s="973" t="s">
        <v>6535</v>
      </c>
      <c r="E3262" s="973"/>
      <c r="F3262" s="975">
        <v>40</v>
      </c>
      <c r="G3262" s="973">
        <v>0</v>
      </c>
      <c r="I3262" s="1039">
        <f>PUCFD!E2845</f>
        <v>10000</v>
      </c>
    </row>
    <row r="3263" spans="2:10" ht="24.95" customHeight="1" x14ac:dyDescent="0.25">
      <c r="B3263" s="973">
        <v>138630</v>
      </c>
      <c r="C3263" s="974">
        <v>333904600000000</v>
      </c>
      <c r="D3263" s="973" t="s">
        <v>6536</v>
      </c>
      <c r="E3263" s="973"/>
      <c r="F3263" s="975">
        <v>40</v>
      </c>
      <c r="G3263" s="973">
        <v>0</v>
      </c>
      <c r="I3263" s="1039">
        <f>PUCFD!E2846</f>
        <v>5360.97</v>
      </c>
    </row>
    <row r="3264" spans="2:10" ht="24.95" customHeight="1" x14ac:dyDescent="0.25">
      <c r="B3264" s="973">
        <v>138680</v>
      </c>
      <c r="C3264" s="974">
        <v>333904700000000</v>
      </c>
      <c r="D3264" s="973" t="s">
        <v>6537</v>
      </c>
      <c r="E3264" s="973"/>
      <c r="F3264" s="975">
        <v>40</v>
      </c>
      <c r="G3264" s="973">
        <v>0</v>
      </c>
      <c r="I3264" s="1039">
        <f>PUCFD!E2847</f>
        <v>0.01</v>
      </c>
    </row>
    <row r="3265" spans="2:9" ht="24.95" customHeight="1" x14ac:dyDescent="0.25">
      <c r="B3265" s="973">
        <v>138730</v>
      </c>
      <c r="C3265" s="974">
        <v>333904900000000</v>
      </c>
      <c r="D3265" s="973" t="s">
        <v>6538</v>
      </c>
      <c r="E3265" s="973"/>
      <c r="F3265" s="975">
        <v>40</v>
      </c>
      <c r="G3265" s="973">
        <v>0</v>
      </c>
      <c r="I3265" s="1039">
        <f>PUCFD!E2848</f>
        <v>1228.3200000000002</v>
      </c>
    </row>
    <row r="3266" spans="2:9" ht="24.95" customHeight="1" x14ac:dyDescent="0.25">
      <c r="B3266" s="973">
        <v>138760</v>
      </c>
      <c r="C3266" s="974">
        <v>333909200000000</v>
      </c>
      <c r="D3266" s="973" t="s">
        <v>6539</v>
      </c>
      <c r="E3266" s="973"/>
      <c r="F3266" s="975">
        <v>40</v>
      </c>
      <c r="G3266" s="973">
        <v>0</v>
      </c>
      <c r="I3266" s="1039">
        <f>PUCFD!E2849</f>
        <v>0.01</v>
      </c>
    </row>
    <row r="3267" spans="2:9" ht="24.95" customHeight="1" x14ac:dyDescent="0.25">
      <c r="B3267" s="973">
        <v>138820</v>
      </c>
      <c r="C3267" s="974">
        <v>333909300000000</v>
      </c>
      <c r="D3267" s="973" t="s">
        <v>6540</v>
      </c>
      <c r="E3267" s="973"/>
      <c r="F3267" s="975">
        <v>40</v>
      </c>
      <c r="G3267" s="973">
        <v>0</v>
      </c>
      <c r="I3267" s="1039">
        <f>PUCFD!E2850</f>
        <v>300</v>
      </c>
    </row>
    <row r="3268" spans="2:9" ht="24.95" customHeight="1" x14ac:dyDescent="0.25">
      <c r="B3268" s="973">
        <v>138850</v>
      </c>
      <c r="C3268" s="974">
        <v>333933000000000</v>
      </c>
      <c r="D3268" s="973" t="s">
        <v>6541</v>
      </c>
      <c r="E3268" s="973"/>
      <c r="F3268" s="975">
        <v>40</v>
      </c>
      <c r="G3268" s="973">
        <v>0</v>
      </c>
      <c r="I3268" s="1039">
        <f>PUCFD!E2851</f>
        <v>0.01</v>
      </c>
    </row>
    <row r="3269" spans="2:9" ht="24.95" customHeight="1" x14ac:dyDescent="0.25">
      <c r="B3269" s="973">
        <v>138880</v>
      </c>
      <c r="C3269" s="974">
        <v>344905100000000</v>
      </c>
      <c r="D3269" s="973" t="s">
        <v>6542</v>
      </c>
      <c r="E3269" s="973"/>
      <c r="F3269" s="975">
        <v>40</v>
      </c>
      <c r="G3269" s="973">
        <v>0</v>
      </c>
      <c r="I3269" s="1039">
        <f>PUCFD!E2852</f>
        <v>0.01</v>
      </c>
    </row>
    <row r="3270" spans="2:9" ht="24.95" customHeight="1" x14ac:dyDescent="0.25">
      <c r="B3270" s="973">
        <v>138930</v>
      </c>
      <c r="C3270" s="974">
        <v>344905200000000</v>
      </c>
      <c r="D3270" s="973" t="s">
        <v>6543</v>
      </c>
      <c r="E3270" s="973"/>
      <c r="F3270" s="975">
        <v>40</v>
      </c>
      <c r="G3270" s="973">
        <v>0</v>
      </c>
      <c r="I3270" s="1039">
        <f>PUCFD!E2853</f>
        <v>0.01</v>
      </c>
    </row>
    <row r="3271" spans="2:9" ht="24.95" customHeight="1" x14ac:dyDescent="0.25">
      <c r="B3271" s="962" t="s">
        <v>3138</v>
      </c>
      <c r="C3271" s="959">
        <v>10</v>
      </c>
      <c r="D3271" s="962" t="s">
        <v>5246</v>
      </c>
      <c r="E3271" s="946"/>
      <c r="F3271" s="960"/>
      <c r="G3271" s="958"/>
      <c r="H3271" s="958"/>
      <c r="I3271" s="957">
        <f>I3272</f>
        <v>84450.805047905305</v>
      </c>
    </row>
    <row r="3272" spans="2:9" ht="24.95" customHeight="1" x14ac:dyDescent="0.25">
      <c r="B3272" s="962" t="s">
        <v>3139</v>
      </c>
      <c r="C3272" s="959">
        <v>306</v>
      </c>
      <c r="D3272" s="962" t="s">
        <v>4929</v>
      </c>
      <c r="E3272" s="946"/>
      <c r="F3272" s="960"/>
      <c r="G3272" s="958"/>
      <c r="H3272" s="958"/>
      <c r="I3272" s="957">
        <f>I3273</f>
        <v>84450.805047905305</v>
      </c>
    </row>
    <row r="3273" spans="2:9" ht="36.75" customHeight="1" x14ac:dyDescent="0.25">
      <c r="B3273" s="962" t="s">
        <v>3137</v>
      </c>
      <c r="C3273" s="959">
        <v>100</v>
      </c>
      <c r="D3273" s="962" t="s">
        <v>5247</v>
      </c>
      <c r="E3273" s="946"/>
      <c r="F3273" s="960"/>
      <c r="G3273" s="958"/>
      <c r="H3273" s="958"/>
      <c r="I3273" s="957">
        <f>I3274</f>
        <v>84450.805047905305</v>
      </c>
    </row>
    <row r="3274" spans="2:9" ht="24.95" customHeight="1" x14ac:dyDescent="0.25">
      <c r="B3274" s="963" t="s">
        <v>2965</v>
      </c>
      <c r="C3274" s="959">
        <v>29</v>
      </c>
      <c r="D3274" s="963" t="s">
        <v>5306</v>
      </c>
      <c r="E3274" s="946"/>
      <c r="F3274" s="960"/>
      <c r="G3274" s="963"/>
      <c r="H3274" s="963"/>
      <c r="I3274" s="957">
        <f>SUM(I3275:I3295)</f>
        <v>84450.805047905305</v>
      </c>
    </row>
    <row r="3275" spans="2:9" ht="24.95" customHeight="1" x14ac:dyDescent="0.25">
      <c r="B3275" s="973">
        <v>139000</v>
      </c>
      <c r="C3275" s="974">
        <v>331900400000000</v>
      </c>
      <c r="D3275" s="973" t="s">
        <v>6544</v>
      </c>
      <c r="E3275" s="973"/>
      <c r="F3275" s="975">
        <v>40</v>
      </c>
      <c r="G3275" s="973">
        <v>0</v>
      </c>
      <c r="I3275" s="1039">
        <f>PUCFD!E2855</f>
        <v>0.01</v>
      </c>
    </row>
    <row r="3276" spans="2:9" ht="24.95" customHeight="1" x14ac:dyDescent="0.25">
      <c r="B3276" s="973">
        <v>139050</v>
      </c>
      <c r="C3276" s="967">
        <v>331900800000000</v>
      </c>
      <c r="D3276" s="966" t="s">
        <v>5333</v>
      </c>
      <c r="E3276" s="973"/>
      <c r="F3276" s="975">
        <v>1</v>
      </c>
      <c r="G3276" s="973">
        <v>0</v>
      </c>
      <c r="I3276" s="1039">
        <f>(I3277+I3279)*PUCFD!E$94</f>
        <v>6572.2058816419776</v>
      </c>
    </row>
    <row r="3277" spans="2:9" ht="24.95" customHeight="1" x14ac:dyDescent="0.25">
      <c r="B3277" s="973">
        <v>139100</v>
      </c>
      <c r="C3277" s="974">
        <v>331901100000000</v>
      </c>
      <c r="D3277" s="973" t="s">
        <v>6545</v>
      </c>
      <c r="E3277" s="973"/>
      <c r="F3277" s="975">
        <v>40</v>
      </c>
      <c r="G3277" s="973">
        <v>0</v>
      </c>
      <c r="I3277" s="1039">
        <f>PUCFD!E2857*(1+PUCFD!E$87)</f>
        <v>51951.52410434989</v>
      </c>
    </row>
    <row r="3278" spans="2:9" ht="24.95" customHeight="1" x14ac:dyDescent="0.25">
      <c r="B3278" s="973">
        <v>139180</v>
      </c>
      <c r="C3278" s="974">
        <v>331901300000000</v>
      </c>
      <c r="D3278" s="973" t="s">
        <v>5335</v>
      </c>
      <c r="E3278" s="973"/>
      <c r="F3278" s="975">
        <v>40</v>
      </c>
      <c r="G3278" s="973">
        <v>0</v>
      </c>
      <c r="I3278" s="1039">
        <f>(I3277+I3279+I3280+I3281)*PUCFD!E$92</f>
        <v>11960.240061913477</v>
      </c>
    </row>
    <row r="3279" spans="2:9" ht="24.95" customHeight="1" x14ac:dyDescent="0.25">
      <c r="B3279" s="973">
        <v>139230</v>
      </c>
      <c r="C3279" s="974">
        <v>331901600000000</v>
      </c>
      <c r="D3279" s="973" t="s">
        <v>5336</v>
      </c>
      <c r="E3279" s="973"/>
      <c r="F3279" s="975">
        <v>40</v>
      </c>
      <c r="G3279" s="973">
        <v>0</v>
      </c>
      <c r="I3279" s="1039">
        <f>PUCFD!E2867</f>
        <v>5000</v>
      </c>
    </row>
    <row r="3280" spans="2:9" ht="24.95" customHeight="1" x14ac:dyDescent="0.25">
      <c r="B3280" s="973">
        <v>139260</v>
      </c>
      <c r="C3280" s="974">
        <v>331903400000000</v>
      </c>
      <c r="D3280" s="973" t="s">
        <v>5337</v>
      </c>
      <c r="E3280" s="973"/>
      <c r="F3280" s="975">
        <v>40</v>
      </c>
      <c r="G3280" s="973">
        <v>0</v>
      </c>
      <c r="I3280" s="1039">
        <f>PUCFD!E2868</f>
        <v>1</v>
      </c>
    </row>
    <row r="3281" spans="2:9" ht="24.95" customHeight="1" x14ac:dyDescent="0.25">
      <c r="B3281" s="973">
        <v>139300</v>
      </c>
      <c r="C3281" s="974">
        <v>331909400000000</v>
      </c>
      <c r="D3281" s="973" t="s">
        <v>6546</v>
      </c>
      <c r="E3281" s="973"/>
      <c r="F3281" s="975">
        <v>40</v>
      </c>
      <c r="G3281" s="973">
        <v>0</v>
      </c>
      <c r="I3281" s="1039">
        <f>PUCFD!E2869</f>
        <v>1</v>
      </c>
    </row>
    <row r="3282" spans="2:9" ht="24.95" customHeight="1" x14ac:dyDescent="0.25">
      <c r="B3282" s="973">
        <v>139330</v>
      </c>
      <c r="C3282" s="974">
        <v>333901400000000</v>
      </c>
      <c r="D3282" s="973" t="s">
        <v>5339</v>
      </c>
      <c r="E3282" s="973"/>
      <c r="F3282" s="975">
        <v>40</v>
      </c>
      <c r="G3282" s="973">
        <v>0</v>
      </c>
      <c r="I3282" s="1039">
        <f>PUCFD!E2870</f>
        <v>1500</v>
      </c>
    </row>
    <row r="3283" spans="2:9" ht="24.95" customHeight="1" x14ac:dyDescent="0.25">
      <c r="B3283" s="973">
        <v>139360</v>
      </c>
      <c r="C3283" s="974">
        <v>333903000000000</v>
      </c>
      <c r="D3283" s="973" t="s">
        <v>5340</v>
      </c>
      <c r="E3283" s="973"/>
      <c r="F3283" s="975">
        <v>40</v>
      </c>
      <c r="G3283" s="973">
        <v>0</v>
      </c>
      <c r="I3283" s="1039">
        <f>PUCFD!E2871</f>
        <v>1500</v>
      </c>
    </row>
    <row r="3284" spans="2:9" ht="24.95" customHeight="1" x14ac:dyDescent="0.25">
      <c r="B3284" s="973">
        <v>139400</v>
      </c>
      <c r="C3284" s="974">
        <v>333903300000000</v>
      </c>
      <c r="D3284" s="973" t="s">
        <v>5341</v>
      </c>
      <c r="E3284" s="973"/>
      <c r="F3284" s="975">
        <v>40</v>
      </c>
      <c r="G3284" s="973">
        <v>0</v>
      </c>
      <c r="I3284" s="1039">
        <f>PUCFD!E2872</f>
        <v>300</v>
      </c>
    </row>
    <row r="3285" spans="2:9" ht="24.95" customHeight="1" x14ac:dyDescent="0.25">
      <c r="B3285" s="973">
        <v>139430</v>
      </c>
      <c r="C3285" s="974">
        <v>333903500000000</v>
      </c>
      <c r="D3285" s="973" t="s">
        <v>5342</v>
      </c>
      <c r="E3285" s="973"/>
      <c r="F3285" s="975">
        <v>40</v>
      </c>
      <c r="G3285" s="973">
        <v>0</v>
      </c>
      <c r="I3285" s="1039">
        <f>PUCFD!E2873</f>
        <v>0.01</v>
      </c>
    </row>
    <row r="3286" spans="2:9" ht="24.95" customHeight="1" x14ac:dyDescent="0.25">
      <c r="B3286" s="973">
        <v>139460</v>
      </c>
      <c r="C3286" s="974">
        <v>333903600000000</v>
      </c>
      <c r="D3286" s="973" t="s">
        <v>5343</v>
      </c>
      <c r="E3286" s="973"/>
      <c r="F3286" s="975">
        <v>40</v>
      </c>
      <c r="G3286" s="973">
        <v>0</v>
      </c>
      <c r="I3286" s="1039">
        <f>PUCFD!E2874</f>
        <v>0.01</v>
      </c>
    </row>
    <row r="3287" spans="2:9" ht="24.95" customHeight="1" x14ac:dyDescent="0.25">
      <c r="B3287" s="973">
        <v>139520</v>
      </c>
      <c r="C3287" s="974">
        <v>333903900000000</v>
      </c>
      <c r="D3287" s="973" t="s">
        <v>5344</v>
      </c>
      <c r="E3287" s="973"/>
      <c r="F3287" s="975">
        <v>40</v>
      </c>
      <c r="G3287" s="973">
        <v>0</v>
      </c>
      <c r="I3287" s="1039">
        <f>PUCFD!E2875</f>
        <v>2000</v>
      </c>
    </row>
    <row r="3288" spans="2:9" ht="24.95" customHeight="1" x14ac:dyDescent="0.25">
      <c r="B3288" s="973">
        <v>139580</v>
      </c>
      <c r="C3288" s="974">
        <v>333904600000000</v>
      </c>
      <c r="D3288" s="973" t="s">
        <v>5345</v>
      </c>
      <c r="E3288" s="973"/>
      <c r="F3288" s="975">
        <v>40</v>
      </c>
      <c r="G3288" s="973">
        <v>0</v>
      </c>
      <c r="I3288" s="1039">
        <f>PUCFD!E2876</f>
        <v>2750.5950000000003</v>
      </c>
    </row>
    <row r="3289" spans="2:9" ht="24.95" customHeight="1" x14ac:dyDescent="0.25">
      <c r="B3289" s="973">
        <v>139620</v>
      </c>
      <c r="C3289" s="974">
        <v>333904700000000</v>
      </c>
      <c r="D3289" s="973" t="s">
        <v>5346</v>
      </c>
      <c r="E3289" s="973"/>
      <c r="F3289" s="975">
        <v>40</v>
      </c>
      <c r="G3289" s="973">
        <v>0</v>
      </c>
      <c r="I3289" s="1039">
        <f>PUCFD!E2877</f>
        <v>0.01</v>
      </c>
    </row>
    <row r="3290" spans="2:9" ht="24.95" customHeight="1" x14ac:dyDescent="0.25">
      <c r="B3290" s="973">
        <v>139650</v>
      </c>
      <c r="C3290" s="974">
        <v>333904900000000</v>
      </c>
      <c r="D3290" s="973" t="s">
        <v>5347</v>
      </c>
      <c r="E3290" s="973"/>
      <c r="F3290" s="975">
        <v>40</v>
      </c>
      <c r="G3290" s="973">
        <v>0</v>
      </c>
      <c r="I3290" s="1039">
        <f>PUCFD!E2878</f>
        <v>614.16</v>
      </c>
    </row>
    <row r="3291" spans="2:9" ht="24.95" customHeight="1" x14ac:dyDescent="0.25">
      <c r="B3291" s="973">
        <v>139680</v>
      </c>
      <c r="C3291" s="974">
        <v>333909200000000</v>
      </c>
      <c r="D3291" s="973" t="s">
        <v>5348</v>
      </c>
      <c r="E3291" s="973"/>
      <c r="F3291" s="975">
        <v>40</v>
      </c>
      <c r="G3291" s="973">
        <v>0</v>
      </c>
      <c r="I3291" s="1039">
        <f>PUCFD!E2879</f>
        <v>0.01</v>
      </c>
    </row>
    <row r="3292" spans="2:9" ht="24.95" customHeight="1" x14ac:dyDescent="0.25">
      <c r="B3292" s="973">
        <v>139710</v>
      </c>
      <c r="C3292" s="974">
        <v>333909300000000</v>
      </c>
      <c r="D3292" s="973" t="s">
        <v>5349</v>
      </c>
      <c r="E3292" s="973"/>
      <c r="F3292" s="975">
        <v>40</v>
      </c>
      <c r="G3292" s="973">
        <v>0</v>
      </c>
      <c r="I3292" s="1039">
        <f>PUCFD!E2880</f>
        <v>300</v>
      </c>
    </row>
    <row r="3293" spans="2:9" ht="24.95" customHeight="1" x14ac:dyDescent="0.25">
      <c r="B3293" s="973">
        <v>139740</v>
      </c>
      <c r="C3293" s="974">
        <v>333933000000000</v>
      </c>
      <c r="D3293" s="973" t="s">
        <v>5350</v>
      </c>
      <c r="E3293" s="973"/>
      <c r="F3293" s="975">
        <v>40</v>
      </c>
      <c r="G3293" s="973">
        <v>0</v>
      </c>
      <c r="I3293" s="1039">
        <f>PUCFD!E2881</f>
        <v>0.01</v>
      </c>
    </row>
    <row r="3294" spans="2:9" ht="24.95" customHeight="1" x14ac:dyDescent="0.25">
      <c r="B3294" s="973">
        <v>139770</v>
      </c>
      <c r="C3294" s="974">
        <v>344905100000000</v>
      </c>
      <c r="D3294" s="973" t="s">
        <v>5351</v>
      </c>
      <c r="E3294" s="973"/>
      <c r="F3294" s="975">
        <v>40</v>
      </c>
      <c r="G3294" s="973">
        <v>0</v>
      </c>
      <c r="I3294" s="1039">
        <f>PUCFD!E2882</f>
        <v>0.01</v>
      </c>
    </row>
    <row r="3295" spans="2:9" ht="24.95" customHeight="1" x14ac:dyDescent="0.25">
      <c r="B3295" s="973">
        <v>139800</v>
      </c>
      <c r="C3295" s="974">
        <v>344905200000000</v>
      </c>
      <c r="D3295" s="973" t="s">
        <v>5352</v>
      </c>
      <c r="E3295" s="973"/>
      <c r="F3295" s="975">
        <v>40</v>
      </c>
      <c r="G3295" s="973">
        <v>0</v>
      </c>
      <c r="I3295" s="1039">
        <f>PUCFD!E2883</f>
        <v>0.01</v>
      </c>
    </row>
    <row r="3296" spans="2:9" ht="24.95" customHeight="1" x14ac:dyDescent="0.25">
      <c r="B3296" s="962" t="s">
        <v>3138</v>
      </c>
      <c r="C3296" s="959">
        <v>10</v>
      </c>
      <c r="D3296" s="962" t="s">
        <v>5246</v>
      </c>
      <c r="E3296" s="946"/>
      <c r="F3296" s="960"/>
      <c r="G3296" s="958"/>
      <c r="H3296" s="958"/>
      <c r="I3296" s="957">
        <f>I3297</f>
        <v>397169.9117329049</v>
      </c>
    </row>
    <row r="3297" spans="2:9" ht="24.95" customHeight="1" x14ac:dyDescent="0.25">
      <c r="B3297" s="962" t="s">
        <v>3139</v>
      </c>
      <c r="C3297" s="959">
        <v>302</v>
      </c>
      <c r="D3297" s="962" t="s">
        <v>5304</v>
      </c>
      <c r="E3297" s="946"/>
      <c r="F3297" s="960"/>
      <c r="G3297" s="958"/>
      <c r="H3297" s="958"/>
      <c r="I3297" s="957">
        <f>I3298</f>
        <v>397169.9117329049</v>
      </c>
    </row>
    <row r="3298" spans="2:9" ht="36.75" customHeight="1" x14ac:dyDescent="0.25">
      <c r="B3298" s="962" t="s">
        <v>3137</v>
      </c>
      <c r="C3298" s="959">
        <v>100</v>
      </c>
      <c r="D3298" s="962" t="s">
        <v>5247</v>
      </c>
      <c r="E3298" s="946"/>
      <c r="F3298" s="960"/>
      <c r="G3298" s="958"/>
      <c r="H3298" s="958"/>
      <c r="I3298" s="957">
        <f>I3299</f>
        <v>397169.9117329049</v>
      </c>
    </row>
    <row r="3299" spans="2:9" ht="36" customHeight="1" x14ac:dyDescent="0.25">
      <c r="B3299" s="963" t="s">
        <v>2965</v>
      </c>
      <c r="C3299" s="959">
        <v>42</v>
      </c>
      <c r="D3299" s="963" t="s">
        <v>5374</v>
      </c>
      <c r="E3299" s="946"/>
      <c r="F3299" s="960"/>
      <c r="G3299" s="963"/>
      <c r="H3299" s="963"/>
      <c r="I3299" s="957">
        <f>SUM(I3300:I3325)</f>
        <v>397169.9117329049</v>
      </c>
    </row>
    <row r="3300" spans="2:9" ht="36" customHeight="1" x14ac:dyDescent="0.25">
      <c r="B3300" s="963">
        <v>140800</v>
      </c>
      <c r="C3300" s="959">
        <v>333717000000000</v>
      </c>
      <c r="D3300" s="963" t="s">
        <v>7392</v>
      </c>
      <c r="E3300" s="946"/>
      <c r="F3300" s="960">
        <v>40</v>
      </c>
      <c r="G3300" s="963">
        <v>0</v>
      </c>
      <c r="H3300" s="963"/>
      <c r="I3300" s="957">
        <f>PUCFD!E2885</f>
        <v>15000</v>
      </c>
    </row>
    <row r="3301" spans="2:9" ht="36" customHeight="1" x14ac:dyDescent="0.25">
      <c r="B3301" s="963">
        <v>140850</v>
      </c>
      <c r="C3301" s="959">
        <v>333719200000000</v>
      </c>
      <c r="D3301" s="963" t="s">
        <v>7391</v>
      </c>
      <c r="E3301" s="946"/>
      <c r="F3301" s="960">
        <v>40</v>
      </c>
      <c r="G3301" s="963">
        <v>0</v>
      </c>
      <c r="H3301" s="963"/>
      <c r="I3301" s="957">
        <f>PUCFD!E2886</f>
        <v>0.01</v>
      </c>
    </row>
    <row r="3302" spans="2:9" ht="24.95" customHeight="1" x14ac:dyDescent="0.25">
      <c r="B3302" s="973">
        <v>141000</v>
      </c>
      <c r="C3302" s="974">
        <v>331900400000000</v>
      </c>
      <c r="D3302" s="973" t="s">
        <v>6549</v>
      </c>
      <c r="E3302" s="973"/>
      <c r="F3302" s="975">
        <v>40</v>
      </c>
      <c r="G3302" s="973">
        <v>0</v>
      </c>
      <c r="I3302" s="1039">
        <f>PUCFD!E2887*(1+PUCFD!E$87)</f>
        <v>47220.052231589318</v>
      </c>
    </row>
    <row r="3303" spans="2:9" ht="24.95" customHeight="1" x14ac:dyDescent="0.25">
      <c r="B3303" s="973">
        <v>141050</v>
      </c>
      <c r="C3303" s="967">
        <v>331900800000000</v>
      </c>
      <c r="D3303" s="966" t="s">
        <v>6548</v>
      </c>
      <c r="E3303" s="973"/>
      <c r="F3303" s="975">
        <v>1</v>
      </c>
      <c r="G3303" s="973">
        <v>0</v>
      </c>
      <c r="I3303" s="1039">
        <f>SUM(I$3304+I$3306+I$3307+I$3308)*PUCFD!E$94</f>
        <v>13644.293044915572</v>
      </c>
    </row>
    <row r="3304" spans="2:9" ht="24.95" customHeight="1" x14ac:dyDescent="0.25">
      <c r="B3304" s="973">
        <v>141100</v>
      </c>
      <c r="C3304" s="974">
        <v>331901100000000</v>
      </c>
      <c r="D3304" s="973" t="s">
        <v>6547</v>
      </c>
      <c r="E3304" s="973"/>
      <c r="F3304" s="975">
        <v>40</v>
      </c>
      <c r="G3304" s="973">
        <v>0</v>
      </c>
      <c r="I3304" s="1039">
        <f>PUCFD!E2894*(1+PUCFD!E$87)</f>
        <v>99270.724689610826</v>
      </c>
    </row>
    <row r="3305" spans="2:9" ht="24.95" customHeight="1" x14ac:dyDescent="0.25">
      <c r="B3305" s="973">
        <v>141180</v>
      </c>
      <c r="C3305" s="974">
        <v>331901300000000</v>
      </c>
      <c r="D3305" s="973" t="s">
        <v>6550</v>
      </c>
      <c r="E3305" s="973"/>
      <c r="F3305" s="975">
        <v>40</v>
      </c>
      <c r="G3305" s="973">
        <v>0</v>
      </c>
      <c r="I3305" s="1039">
        <f>SUM(I$3304+I$3306+I$3307+I$3308)*PUCFD!E$94</f>
        <v>13644.293044915572</v>
      </c>
    </row>
    <row r="3306" spans="2:9" ht="24.95" customHeight="1" x14ac:dyDescent="0.25">
      <c r="B3306" s="973">
        <v>141230</v>
      </c>
      <c r="C3306" s="974">
        <v>331901600000000</v>
      </c>
      <c r="D3306" s="973" t="s">
        <v>6551</v>
      </c>
      <c r="E3306" s="973"/>
      <c r="F3306" s="975">
        <v>40</v>
      </c>
      <c r="G3306" s="973">
        <v>0</v>
      </c>
      <c r="I3306" s="1039">
        <f>PUCFD!E2903*(1+PUCFD!E$87)-25000-25000</f>
        <v>15255.027444406391</v>
      </c>
    </row>
    <row r="3307" spans="2:9" ht="24.95" customHeight="1" x14ac:dyDescent="0.25">
      <c r="B3307" s="973">
        <v>141260</v>
      </c>
      <c r="C3307" s="974">
        <v>331903400000000</v>
      </c>
      <c r="D3307" s="973" t="s">
        <v>6552</v>
      </c>
      <c r="E3307" s="973"/>
      <c r="F3307" s="975">
        <v>40</v>
      </c>
      <c r="G3307" s="973">
        <v>0</v>
      </c>
      <c r="I3307" s="1039">
        <f>PUCFD!E2904</f>
        <v>0.01</v>
      </c>
    </row>
    <row r="3308" spans="2:9" ht="24.95" customHeight="1" x14ac:dyDescent="0.25">
      <c r="B3308" s="973">
        <v>141300</v>
      </c>
      <c r="C3308" s="974">
        <v>331909400000000</v>
      </c>
      <c r="D3308" s="973" t="s">
        <v>6553</v>
      </c>
      <c r="E3308" s="973"/>
      <c r="F3308" s="975">
        <v>40</v>
      </c>
      <c r="G3308" s="973">
        <v>0</v>
      </c>
      <c r="I3308" s="1039">
        <f>PUCFD!E2905</f>
        <v>3709.0129519062953</v>
      </c>
    </row>
    <row r="3309" spans="2:9" ht="24.95" customHeight="1" x14ac:dyDescent="0.25">
      <c r="B3309" s="973">
        <v>141360</v>
      </c>
      <c r="C3309" s="974">
        <v>333901400000000</v>
      </c>
      <c r="D3309" s="973" t="s">
        <v>5382</v>
      </c>
      <c r="E3309" s="973"/>
      <c r="F3309" s="975">
        <v>40</v>
      </c>
      <c r="G3309" s="973">
        <v>0</v>
      </c>
      <c r="I3309" s="1039">
        <f>PUCFD!E2906-15000-15000</f>
        <v>43932</v>
      </c>
    </row>
    <row r="3310" spans="2:9" ht="24.95" customHeight="1" x14ac:dyDescent="0.25">
      <c r="B3310" s="973">
        <v>141390</v>
      </c>
      <c r="C3310" s="974">
        <v>333903000000000</v>
      </c>
      <c r="D3310" s="973" t="s">
        <v>5383</v>
      </c>
      <c r="E3310" s="973"/>
      <c r="F3310" s="975">
        <v>40</v>
      </c>
      <c r="G3310" s="973">
        <v>0</v>
      </c>
      <c r="I3310" s="1039">
        <f>PUCFD!E2907-30000-50000</f>
        <v>44111.16</v>
      </c>
    </row>
    <row r="3311" spans="2:9" ht="24.95" customHeight="1" x14ac:dyDescent="0.25">
      <c r="B3311" s="973">
        <v>141450</v>
      </c>
      <c r="C3311" s="974">
        <v>333903320000000</v>
      </c>
      <c r="D3311" s="973" t="s">
        <v>5474</v>
      </c>
      <c r="E3311" s="973"/>
      <c r="F3311" s="975">
        <v>40</v>
      </c>
      <c r="G3311" s="973">
        <v>0</v>
      </c>
      <c r="I3311" s="1039">
        <f>PUCFD!E2908-25000-15000</f>
        <v>15206.164999999994</v>
      </c>
    </row>
    <row r="3312" spans="2:9" ht="24.95" customHeight="1" x14ac:dyDescent="0.25">
      <c r="B3312" s="973">
        <v>141480</v>
      </c>
      <c r="C3312" s="974">
        <v>333903300000000</v>
      </c>
      <c r="D3312" s="973" t="s">
        <v>5384</v>
      </c>
      <c r="E3312" s="973"/>
      <c r="F3312" s="975">
        <v>40</v>
      </c>
      <c r="G3312" s="973">
        <v>0</v>
      </c>
      <c r="I3312" s="1039">
        <f>PUCFD!E2909</f>
        <v>1500</v>
      </c>
    </row>
    <row r="3313" spans="2:9" ht="24.95" customHeight="1" x14ac:dyDescent="0.25">
      <c r="B3313" s="973">
        <v>141510</v>
      </c>
      <c r="C3313" s="974">
        <v>333903500000000</v>
      </c>
      <c r="D3313" s="973" t="s">
        <v>5385</v>
      </c>
      <c r="E3313" s="973"/>
      <c r="F3313" s="975">
        <v>40</v>
      </c>
      <c r="G3313" s="973">
        <v>0</v>
      </c>
      <c r="I3313" s="1039">
        <f>PUCFD!E2910</f>
        <v>0.01</v>
      </c>
    </row>
    <row r="3314" spans="2:9" ht="24.95" customHeight="1" x14ac:dyDescent="0.25">
      <c r="B3314" s="973">
        <v>141540</v>
      </c>
      <c r="C3314" s="974">
        <v>333903600000000</v>
      </c>
      <c r="D3314" s="973" t="s">
        <v>5386</v>
      </c>
      <c r="E3314" s="973"/>
      <c r="F3314" s="975">
        <v>40</v>
      </c>
      <c r="G3314" s="973">
        <v>0</v>
      </c>
      <c r="I3314" s="1039">
        <f>PUCFD!E2911</f>
        <v>1000</v>
      </c>
    </row>
    <row r="3315" spans="2:9" ht="24.95" customHeight="1" x14ac:dyDescent="0.25">
      <c r="B3315" s="973">
        <v>141600</v>
      </c>
      <c r="C3315" s="974">
        <v>333903900000000</v>
      </c>
      <c r="D3315" s="973" t="s">
        <v>5387</v>
      </c>
      <c r="E3315" s="973"/>
      <c r="F3315" s="975">
        <v>40</v>
      </c>
      <c r="G3315" s="973">
        <v>0</v>
      </c>
      <c r="I3315" s="1039">
        <f>PUCFD!E2912</f>
        <v>58148.399999999994</v>
      </c>
    </row>
    <row r="3316" spans="2:9" ht="24.95" customHeight="1" x14ac:dyDescent="0.25">
      <c r="B3316" s="973">
        <v>141680</v>
      </c>
      <c r="C3316" s="974">
        <v>333904600000000</v>
      </c>
      <c r="D3316" s="973" t="s">
        <v>5388</v>
      </c>
      <c r="E3316" s="973"/>
      <c r="F3316" s="975">
        <v>40</v>
      </c>
      <c r="G3316" s="973">
        <v>0</v>
      </c>
      <c r="I3316" s="1039">
        <f>PUCFD!E2913*(1+PUCFD!E10)*(1+PUCFD!E16)</f>
        <v>20263.343325560996</v>
      </c>
    </row>
    <row r="3317" spans="2:9" ht="24.95" customHeight="1" x14ac:dyDescent="0.25">
      <c r="B3317" s="973">
        <v>141730</v>
      </c>
      <c r="C3317" s="974">
        <v>333904700000000</v>
      </c>
      <c r="D3317" s="973" t="s">
        <v>5389</v>
      </c>
      <c r="E3317" s="973"/>
      <c r="F3317" s="975">
        <v>40</v>
      </c>
      <c r="G3317" s="973">
        <v>0</v>
      </c>
      <c r="I3317" s="1039">
        <f>PUCFD!E2914</f>
        <v>1500</v>
      </c>
    </row>
    <row r="3318" spans="2:9" ht="24.95" customHeight="1" x14ac:dyDescent="0.25">
      <c r="B3318" s="973">
        <v>141770</v>
      </c>
      <c r="C3318" s="974">
        <v>333904900000000</v>
      </c>
      <c r="D3318" s="973" t="s">
        <v>5390</v>
      </c>
      <c r="E3318" s="973"/>
      <c r="F3318" s="975">
        <v>40</v>
      </c>
      <c r="G3318" s="973">
        <v>0</v>
      </c>
      <c r="I3318" s="1039">
        <f>PUCFD!E2915</f>
        <v>2763.3600000000006</v>
      </c>
    </row>
    <row r="3319" spans="2:9" ht="24.95" customHeight="1" x14ac:dyDescent="0.25">
      <c r="B3319" s="973">
        <v>141820</v>
      </c>
      <c r="C3319" s="974">
        <v>333909200000000</v>
      </c>
      <c r="D3319" s="973" t="s">
        <v>5391</v>
      </c>
      <c r="E3319" s="973"/>
      <c r="F3319" s="975">
        <v>40</v>
      </c>
      <c r="G3319" s="973">
        <v>0</v>
      </c>
      <c r="I3319" s="1039">
        <f>PUCFD!E2916</f>
        <v>0.01</v>
      </c>
    </row>
    <row r="3320" spans="2:9" ht="24.95" customHeight="1" x14ac:dyDescent="0.25">
      <c r="B3320" s="973">
        <v>141850</v>
      </c>
      <c r="C3320" s="974">
        <v>333909300000000</v>
      </c>
      <c r="D3320" s="973" t="s">
        <v>5392</v>
      </c>
      <c r="E3320" s="973"/>
      <c r="F3320" s="975">
        <v>40</v>
      </c>
      <c r="G3320" s="973">
        <v>0</v>
      </c>
      <c r="I3320" s="1039">
        <f>PUCFD!E2917</f>
        <v>1000</v>
      </c>
    </row>
    <row r="3321" spans="2:9" ht="24.95" customHeight="1" x14ac:dyDescent="0.25">
      <c r="B3321" s="973">
        <v>141880</v>
      </c>
      <c r="C3321" s="974">
        <v>333933000000000</v>
      </c>
      <c r="D3321" s="973" t="s">
        <v>5393</v>
      </c>
      <c r="E3321" s="973"/>
      <c r="F3321" s="975">
        <v>40</v>
      </c>
      <c r="G3321" s="973">
        <v>0</v>
      </c>
      <c r="I3321" s="1039">
        <f>PUCFD!E2918</f>
        <v>0.01</v>
      </c>
    </row>
    <row r="3322" spans="2:9" ht="24.95" customHeight="1" x14ac:dyDescent="0.25">
      <c r="B3322" s="973">
        <v>141950</v>
      </c>
      <c r="C3322" s="974">
        <v>333933900000000</v>
      </c>
      <c r="D3322" s="973" t="s">
        <v>5473</v>
      </c>
      <c r="E3322" s="973"/>
      <c r="F3322" s="975">
        <v>40</v>
      </c>
      <c r="G3322" s="973">
        <v>0</v>
      </c>
      <c r="I3322" s="1039">
        <f>PUCFD!E2919</f>
        <v>0.01</v>
      </c>
    </row>
    <row r="3323" spans="2:9" ht="24.95" customHeight="1" x14ac:dyDescent="0.25">
      <c r="B3323" s="973">
        <v>141980</v>
      </c>
      <c r="C3323" s="974">
        <v>344905100000000</v>
      </c>
      <c r="D3323" s="973" t="s">
        <v>5394</v>
      </c>
      <c r="E3323" s="973"/>
      <c r="F3323" s="975">
        <v>40</v>
      </c>
      <c r="G3323" s="973">
        <v>0</v>
      </c>
      <c r="I3323" s="1039">
        <f>PUCFD!E2920</f>
        <v>0.01</v>
      </c>
    </row>
    <row r="3324" spans="2:9" ht="24.95" customHeight="1" x14ac:dyDescent="0.25">
      <c r="B3324" s="973">
        <v>142020</v>
      </c>
      <c r="C3324" s="974">
        <v>344905200000000</v>
      </c>
      <c r="D3324" s="973" t="s">
        <v>6555</v>
      </c>
      <c r="E3324" s="973"/>
      <c r="F3324" s="975">
        <v>40</v>
      </c>
      <c r="G3324" s="973">
        <v>0</v>
      </c>
      <c r="I3324" s="1039">
        <f>PUCFD!E2921</f>
        <v>0.01</v>
      </c>
    </row>
    <row r="3325" spans="2:9" ht="24.95" customHeight="1" x14ac:dyDescent="0.25">
      <c r="B3325" s="973">
        <v>142080</v>
      </c>
      <c r="C3325" s="974">
        <v>344915200000000</v>
      </c>
      <c r="D3325" s="973" t="s">
        <v>6554</v>
      </c>
      <c r="E3325" s="973"/>
      <c r="F3325" s="975">
        <v>4002</v>
      </c>
      <c r="G3325" s="973">
        <v>0</v>
      </c>
      <c r="I3325" s="1039">
        <f>PUCFD!E2922</f>
        <v>2</v>
      </c>
    </row>
    <row r="3326" spans="2:9" ht="24.95" customHeight="1" x14ac:dyDescent="0.25">
      <c r="B3326" s="962" t="s">
        <v>3138</v>
      </c>
      <c r="C3326" s="959">
        <v>10</v>
      </c>
      <c r="D3326" s="962" t="s">
        <v>5246</v>
      </c>
      <c r="E3326" s="946"/>
      <c r="F3326" s="960"/>
      <c r="G3326" s="958"/>
      <c r="H3326" s="958"/>
      <c r="I3326" s="957">
        <f>I3327</f>
        <v>126608.80363845766</v>
      </c>
    </row>
    <row r="3327" spans="2:9" ht="24.95" customHeight="1" x14ac:dyDescent="0.25">
      <c r="B3327" s="962" t="s">
        <v>3139</v>
      </c>
      <c r="C3327" s="959">
        <v>303</v>
      </c>
      <c r="D3327" s="962" t="s">
        <v>5418</v>
      </c>
      <c r="E3327" s="946"/>
      <c r="F3327" s="960"/>
      <c r="G3327" s="958"/>
      <c r="H3327" s="958"/>
      <c r="I3327" s="957">
        <f>I3328</f>
        <v>126608.80363845766</v>
      </c>
    </row>
    <row r="3328" spans="2:9" ht="36.75" customHeight="1" x14ac:dyDescent="0.25">
      <c r="B3328" s="962" t="s">
        <v>3137</v>
      </c>
      <c r="C3328" s="959">
        <v>100</v>
      </c>
      <c r="D3328" s="962" t="s">
        <v>5247</v>
      </c>
      <c r="E3328" s="946"/>
      <c r="F3328" s="960"/>
      <c r="G3328" s="958"/>
      <c r="H3328" s="958"/>
      <c r="I3328" s="957">
        <f>I3329</f>
        <v>126608.80363845766</v>
      </c>
    </row>
    <row r="3329" spans="2:9" ht="29.25" customHeight="1" x14ac:dyDescent="0.25">
      <c r="B3329" s="963" t="s">
        <v>2965</v>
      </c>
      <c r="C3329" s="959">
        <v>43</v>
      </c>
      <c r="D3329" s="963" t="s">
        <v>5419</v>
      </c>
      <c r="E3329" s="946"/>
      <c r="F3329" s="960"/>
      <c r="G3329" s="963"/>
      <c r="H3329" s="963"/>
      <c r="I3329" s="957">
        <f>SUM(I3330:I3351)</f>
        <v>126608.80363845766</v>
      </c>
    </row>
    <row r="3330" spans="2:9" ht="24.95" customHeight="1" x14ac:dyDescent="0.25">
      <c r="B3330" s="973">
        <v>143000</v>
      </c>
      <c r="C3330" s="974">
        <v>331900400000000</v>
      </c>
      <c r="D3330" s="973" t="s">
        <v>6556</v>
      </c>
      <c r="E3330" s="973"/>
      <c r="F3330" s="975">
        <v>40</v>
      </c>
      <c r="G3330" s="973">
        <v>0</v>
      </c>
      <c r="I3330" s="1039">
        <f>PUCFD!E2924*(1+PUCFD!E$87)</f>
        <v>94244.95786063101</v>
      </c>
    </row>
    <row r="3331" spans="2:9" ht="24.95" customHeight="1" x14ac:dyDescent="0.25">
      <c r="B3331" s="973">
        <v>143050</v>
      </c>
      <c r="C3331" s="967">
        <v>331900800000000</v>
      </c>
      <c r="D3331" s="966" t="s">
        <v>6557</v>
      </c>
      <c r="E3331" s="973"/>
      <c r="F3331" s="975">
        <v>1</v>
      </c>
      <c r="G3331" s="973">
        <v>0</v>
      </c>
      <c r="I3331" s="1039">
        <f>SUM(I3332+I3334+I3335+I3336)*PUCFD!E94</f>
        <v>971.44249729997296</v>
      </c>
    </row>
    <row r="3332" spans="2:9" ht="24.95" customHeight="1" x14ac:dyDescent="0.25">
      <c r="B3332" s="973">
        <v>143100</v>
      </c>
      <c r="C3332" s="974">
        <v>331901100000000</v>
      </c>
      <c r="D3332" s="973" t="s">
        <v>6560</v>
      </c>
      <c r="E3332" s="973"/>
      <c r="F3332" s="975">
        <v>40</v>
      </c>
      <c r="G3332" s="973">
        <v>0</v>
      </c>
      <c r="I3332" s="1039">
        <f>PUCFD!E2931</f>
        <v>0.01</v>
      </c>
    </row>
    <row r="3333" spans="2:9" ht="24.95" customHeight="1" x14ac:dyDescent="0.25">
      <c r="B3333" s="973">
        <v>143180</v>
      </c>
      <c r="C3333" s="974">
        <v>331901300000000</v>
      </c>
      <c r="D3333" s="973" t="s">
        <v>6559</v>
      </c>
      <c r="E3333" s="973"/>
      <c r="F3333" s="975">
        <v>40</v>
      </c>
      <c r="G3333" s="973">
        <v>0</v>
      </c>
      <c r="I3333" s="1039">
        <f>SUM(I3332+I3334+I3335+I3336)*PUCFD!E92</f>
        <v>1767.789639800644</v>
      </c>
    </row>
    <row r="3334" spans="2:9" ht="24.95" customHeight="1" x14ac:dyDescent="0.25">
      <c r="B3334" s="973">
        <v>143230</v>
      </c>
      <c r="C3334" s="974">
        <v>331901600000000</v>
      </c>
      <c r="D3334" s="973" t="s">
        <v>6558</v>
      </c>
      <c r="E3334" s="973"/>
      <c r="F3334" s="975">
        <v>40</v>
      </c>
      <c r="G3334" s="973">
        <v>0</v>
      </c>
      <c r="I3334" s="1039">
        <f>PUCFD!E2933</f>
        <v>1000</v>
      </c>
    </row>
    <row r="3335" spans="2:9" ht="24.95" customHeight="1" x14ac:dyDescent="0.25">
      <c r="B3335" s="973">
        <v>143260</v>
      </c>
      <c r="C3335" s="974">
        <v>331903400000000</v>
      </c>
      <c r="D3335" s="973" t="s">
        <v>5425</v>
      </c>
      <c r="E3335" s="973"/>
      <c r="F3335" s="975">
        <v>40</v>
      </c>
      <c r="G3335" s="973">
        <v>0</v>
      </c>
      <c r="I3335" s="1039">
        <f>PUCFD!E2934</f>
        <v>0.01</v>
      </c>
    </row>
    <row r="3336" spans="2:9" ht="24.95" customHeight="1" x14ac:dyDescent="0.25">
      <c r="B3336" s="973">
        <v>143290</v>
      </c>
      <c r="C3336" s="974">
        <v>331909400000000</v>
      </c>
      <c r="D3336" s="973" t="s">
        <v>6561</v>
      </c>
      <c r="E3336" s="973"/>
      <c r="F3336" s="975">
        <v>40</v>
      </c>
      <c r="G3336" s="973">
        <v>0</v>
      </c>
      <c r="I3336" s="1039">
        <f>PUCFD!E2935</f>
        <v>7418.0259038125905</v>
      </c>
    </row>
    <row r="3337" spans="2:9" ht="24.95" customHeight="1" x14ac:dyDescent="0.25">
      <c r="B3337" s="973">
        <v>143350</v>
      </c>
      <c r="C3337" s="974">
        <v>333901400000000</v>
      </c>
      <c r="D3337" s="973" t="s">
        <v>5427</v>
      </c>
      <c r="E3337" s="973"/>
      <c r="F3337" s="975">
        <v>40</v>
      </c>
      <c r="G3337" s="973">
        <v>0</v>
      </c>
      <c r="I3337" s="1039">
        <f>PUCFD!E2936</f>
        <v>1500</v>
      </c>
    </row>
    <row r="3338" spans="2:9" ht="24.95" customHeight="1" x14ac:dyDescent="0.25">
      <c r="B3338" s="973">
        <v>143380</v>
      </c>
      <c r="C3338" s="974">
        <v>333903000000000</v>
      </c>
      <c r="D3338" s="973" t="s">
        <v>5428</v>
      </c>
      <c r="E3338" s="973"/>
      <c r="F3338" s="975">
        <v>40</v>
      </c>
      <c r="G3338" s="973">
        <v>0</v>
      </c>
      <c r="I3338" s="1039">
        <v>5000</v>
      </c>
    </row>
    <row r="3339" spans="2:9" ht="24.95" customHeight="1" x14ac:dyDescent="0.25">
      <c r="B3339" s="973">
        <v>143430</v>
      </c>
      <c r="C3339" s="974">
        <v>333903200000000</v>
      </c>
      <c r="D3339" s="973" t="s">
        <v>5476</v>
      </c>
      <c r="E3339" s="973"/>
      <c r="F3339" s="975">
        <v>40</v>
      </c>
      <c r="G3339" s="973">
        <v>0</v>
      </c>
      <c r="I3339" s="1039">
        <v>5000</v>
      </c>
    </row>
    <row r="3340" spans="2:9" ht="24.95" customHeight="1" x14ac:dyDescent="0.25">
      <c r="B3340" s="973">
        <v>143460</v>
      </c>
      <c r="C3340" s="974">
        <v>333903300000000</v>
      </c>
      <c r="D3340" s="973" t="s">
        <v>5429</v>
      </c>
      <c r="E3340" s="973"/>
      <c r="F3340" s="975">
        <v>40</v>
      </c>
      <c r="G3340" s="973">
        <v>0</v>
      </c>
      <c r="I3340" s="1039">
        <f>PUCFD!E2939</f>
        <v>1500</v>
      </c>
    </row>
    <row r="3341" spans="2:9" ht="24.95" customHeight="1" x14ac:dyDescent="0.25">
      <c r="B3341" s="973">
        <v>143490</v>
      </c>
      <c r="C3341" s="974">
        <v>333903500000000</v>
      </c>
      <c r="D3341" s="973" t="s">
        <v>5430</v>
      </c>
      <c r="E3341" s="973"/>
      <c r="F3341" s="975">
        <v>40</v>
      </c>
      <c r="G3341" s="973">
        <v>0</v>
      </c>
      <c r="I3341" s="1039">
        <f>PUCFD!E2940</f>
        <v>0.01</v>
      </c>
    </row>
    <row r="3342" spans="2:9" ht="24.95" customHeight="1" x14ac:dyDescent="0.25">
      <c r="B3342" s="973">
        <v>143520</v>
      </c>
      <c r="C3342" s="974">
        <v>333903600000000</v>
      </c>
      <c r="D3342" s="973" t="s">
        <v>5431</v>
      </c>
      <c r="E3342" s="973"/>
      <c r="F3342" s="975">
        <v>40</v>
      </c>
      <c r="G3342" s="973">
        <v>0</v>
      </c>
      <c r="I3342" s="1039">
        <f>PUCFD!E2941</f>
        <v>0.01</v>
      </c>
    </row>
    <row r="3343" spans="2:9" ht="24.95" customHeight="1" x14ac:dyDescent="0.25">
      <c r="B3343" s="973">
        <v>143580</v>
      </c>
      <c r="C3343" s="974">
        <v>333903900000000</v>
      </c>
      <c r="D3343" s="973" t="s">
        <v>5432</v>
      </c>
      <c r="E3343" s="973"/>
      <c r="F3343" s="975">
        <v>40</v>
      </c>
      <c r="G3343" s="973">
        <v>0</v>
      </c>
      <c r="I3343" s="1039">
        <f>PUCFD!E2942</f>
        <v>5000</v>
      </c>
    </row>
    <row r="3344" spans="2:9" ht="24.95" customHeight="1" x14ac:dyDescent="0.25">
      <c r="B3344" s="973">
        <v>143680</v>
      </c>
      <c r="C3344" s="974">
        <v>333904600000000</v>
      </c>
      <c r="D3344" s="973" t="s">
        <v>5433</v>
      </c>
      <c r="E3344" s="973"/>
      <c r="F3344" s="975">
        <v>40</v>
      </c>
      <c r="G3344" s="973">
        <v>0</v>
      </c>
      <c r="I3344" s="1039">
        <f>PUCFD!E2943*(1+PUCFD!E10)*(1+PUCFD!E16)</f>
        <v>3206.4777369134999</v>
      </c>
    </row>
    <row r="3345" spans="2:9" ht="24.95" customHeight="1" x14ac:dyDescent="0.25">
      <c r="B3345" s="973">
        <v>143720</v>
      </c>
      <c r="C3345" s="974">
        <v>333904700000000</v>
      </c>
      <c r="D3345" s="973" t="s">
        <v>5434</v>
      </c>
      <c r="E3345" s="973"/>
      <c r="F3345" s="975">
        <v>40</v>
      </c>
      <c r="G3345" s="973">
        <v>0</v>
      </c>
      <c r="I3345" s="1039">
        <f>PUCFD!E2944</f>
        <v>0.01</v>
      </c>
    </row>
    <row r="3346" spans="2:9" ht="24.95" customHeight="1" x14ac:dyDescent="0.25">
      <c r="B3346" s="973">
        <v>143740</v>
      </c>
      <c r="C3346" s="974">
        <v>333904900000000</v>
      </c>
      <c r="D3346" s="973" t="s">
        <v>5435</v>
      </c>
      <c r="E3346" s="973"/>
      <c r="F3346" s="975">
        <v>40</v>
      </c>
      <c r="G3346" s="973">
        <v>0</v>
      </c>
      <c r="I3346" s="1039">
        <f>PUCFD!E2945</f>
        <v>0.01</v>
      </c>
    </row>
    <row r="3347" spans="2:9" ht="24.95" customHeight="1" x14ac:dyDescent="0.25">
      <c r="B3347" s="973">
        <v>143760</v>
      </c>
      <c r="C3347" s="974">
        <v>333909200000000</v>
      </c>
      <c r="D3347" s="973" t="s">
        <v>5436</v>
      </c>
      <c r="E3347" s="973"/>
      <c r="F3347" s="975">
        <v>40</v>
      </c>
      <c r="G3347" s="973">
        <v>0</v>
      </c>
      <c r="I3347" s="1039">
        <f>PUCFD!E2946</f>
        <v>0.01</v>
      </c>
    </row>
    <row r="3348" spans="2:9" ht="24.95" customHeight="1" x14ac:dyDescent="0.25">
      <c r="B3348" s="973">
        <v>143780</v>
      </c>
      <c r="C3348" s="974">
        <v>333909300000000</v>
      </c>
      <c r="D3348" s="973" t="s">
        <v>5437</v>
      </c>
      <c r="E3348" s="973"/>
      <c r="F3348" s="975">
        <v>40</v>
      </c>
      <c r="G3348" s="973">
        <v>0</v>
      </c>
      <c r="I3348" s="1039">
        <f>PUCFD!E2947</f>
        <v>0.01</v>
      </c>
    </row>
    <row r="3349" spans="2:9" ht="24.95" customHeight="1" x14ac:dyDescent="0.25">
      <c r="B3349" s="973">
        <v>143800</v>
      </c>
      <c r="C3349" s="974">
        <v>333933000000000</v>
      </c>
      <c r="D3349" s="973" t="s">
        <v>5438</v>
      </c>
      <c r="E3349" s="973"/>
      <c r="F3349" s="975">
        <v>40</v>
      </c>
      <c r="G3349" s="973">
        <v>0</v>
      </c>
      <c r="I3349" s="1039">
        <f>PUCFD!E2948</f>
        <v>0.01</v>
      </c>
    </row>
    <row r="3350" spans="2:9" ht="24.95" customHeight="1" x14ac:dyDescent="0.25">
      <c r="B3350" s="973">
        <v>143820</v>
      </c>
      <c r="C3350" s="974">
        <v>344905100000000</v>
      </c>
      <c r="D3350" s="973" t="s">
        <v>5439</v>
      </c>
      <c r="E3350" s="973"/>
      <c r="F3350" s="975">
        <v>40</v>
      </c>
      <c r="G3350" s="973">
        <v>0</v>
      </c>
      <c r="I3350" s="1039">
        <f>PUCFD!E2949</f>
        <v>0.01</v>
      </c>
    </row>
    <row r="3351" spans="2:9" ht="24.95" customHeight="1" x14ac:dyDescent="0.25">
      <c r="B3351" s="973">
        <v>143840</v>
      </c>
      <c r="C3351" s="974">
        <v>344905200000000</v>
      </c>
      <c r="D3351" s="973" t="s">
        <v>5440</v>
      </c>
      <c r="E3351" s="973"/>
      <c r="F3351" s="975">
        <v>40</v>
      </c>
      <c r="G3351" s="973">
        <v>0</v>
      </c>
      <c r="I3351" s="1039">
        <f>PUCFD!E2950</f>
        <v>0.01</v>
      </c>
    </row>
    <row r="3352" spans="2:9" ht="24.95" customHeight="1" x14ac:dyDescent="0.25">
      <c r="B3352" s="962" t="s">
        <v>3138</v>
      </c>
      <c r="C3352" s="959">
        <v>10</v>
      </c>
      <c r="D3352" s="962" t="s">
        <v>5246</v>
      </c>
      <c r="E3352" s="946"/>
      <c r="F3352" s="960"/>
      <c r="G3352" s="958"/>
      <c r="H3352" s="958"/>
      <c r="I3352" s="957">
        <f>I3353</f>
        <v>0.22000000000000006</v>
      </c>
    </row>
    <row r="3353" spans="2:9" ht="24.95" customHeight="1" x14ac:dyDescent="0.25">
      <c r="B3353" s="962" t="s">
        <v>3139</v>
      </c>
      <c r="C3353" s="959">
        <v>304</v>
      </c>
      <c r="D3353" s="962" t="s">
        <v>5305</v>
      </c>
      <c r="E3353" s="946"/>
      <c r="F3353" s="960"/>
      <c r="G3353" s="958"/>
      <c r="H3353" s="958"/>
      <c r="I3353" s="957">
        <f>I3354</f>
        <v>0.22000000000000006</v>
      </c>
    </row>
    <row r="3354" spans="2:9" ht="36.75" customHeight="1" x14ac:dyDescent="0.25">
      <c r="B3354" s="962" t="s">
        <v>3137</v>
      </c>
      <c r="C3354" s="959">
        <v>100</v>
      </c>
      <c r="D3354" s="962" t="s">
        <v>5247</v>
      </c>
      <c r="E3354" s="946"/>
      <c r="F3354" s="960"/>
      <c r="G3354" s="958"/>
      <c r="H3354" s="958"/>
      <c r="I3354" s="957">
        <f>I3355</f>
        <v>0.22000000000000006</v>
      </c>
    </row>
    <row r="3355" spans="2:9" ht="29.25" customHeight="1" x14ac:dyDescent="0.25">
      <c r="B3355" s="963" t="s">
        <v>2965</v>
      </c>
      <c r="C3355" s="959">
        <v>46</v>
      </c>
      <c r="D3355" s="963" t="s">
        <v>5396</v>
      </c>
      <c r="E3355" s="946"/>
      <c r="F3355" s="960"/>
      <c r="G3355" s="963"/>
      <c r="H3355" s="963"/>
      <c r="I3355" s="957">
        <f>SUM(I3356:I3377)</f>
        <v>0.22000000000000006</v>
      </c>
    </row>
    <row r="3356" spans="2:9" ht="24.95" customHeight="1" x14ac:dyDescent="0.25">
      <c r="B3356" s="973">
        <v>144500</v>
      </c>
      <c r="C3356" s="974">
        <v>331900400000000</v>
      </c>
      <c r="D3356" s="973" t="s">
        <v>6562</v>
      </c>
      <c r="E3356" s="973"/>
      <c r="F3356" s="975">
        <v>40</v>
      </c>
      <c r="G3356" s="973">
        <v>0</v>
      </c>
      <c r="I3356" s="1039">
        <f>PUCFD!E2952</f>
        <v>0.01</v>
      </c>
    </row>
    <row r="3357" spans="2:9" ht="24.95" customHeight="1" x14ac:dyDescent="0.25">
      <c r="B3357" s="973">
        <v>144550</v>
      </c>
      <c r="C3357" s="967">
        <v>331900800000000</v>
      </c>
      <c r="D3357" s="966" t="s">
        <v>6563</v>
      </c>
      <c r="E3357" s="973"/>
      <c r="F3357" s="975">
        <v>1</v>
      </c>
      <c r="G3357" s="973">
        <v>0</v>
      </c>
      <c r="I3357" s="1039">
        <f>PUCFD!E2953</f>
        <v>0.01</v>
      </c>
    </row>
    <row r="3358" spans="2:9" ht="24.95" customHeight="1" x14ac:dyDescent="0.25">
      <c r="B3358" s="973">
        <v>144580</v>
      </c>
      <c r="C3358" s="974">
        <v>331901100000000</v>
      </c>
      <c r="D3358" s="973" t="s">
        <v>6564</v>
      </c>
      <c r="E3358" s="973"/>
      <c r="F3358" s="975">
        <v>40</v>
      </c>
      <c r="G3358" s="973">
        <v>0</v>
      </c>
      <c r="I3358" s="1039">
        <f>PUCFD!E2954</f>
        <v>0.01</v>
      </c>
    </row>
    <row r="3359" spans="2:9" ht="24.95" customHeight="1" x14ac:dyDescent="0.25">
      <c r="B3359" s="973">
        <v>144660</v>
      </c>
      <c r="C3359" s="974">
        <v>331901300000000</v>
      </c>
      <c r="D3359" s="973" t="s">
        <v>6565</v>
      </c>
      <c r="E3359" s="973"/>
      <c r="F3359" s="975">
        <v>40</v>
      </c>
      <c r="G3359" s="973">
        <v>0</v>
      </c>
      <c r="I3359" s="1039">
        <f>PUCFD!E2955</f>
        <v>0.01</v>
      </c>
    </row>
    <row r="3360" spans="2:9" ht="24.95" customHeight="1" x14ac:dyDescent="0.25">
      <c r="B3360" s="973">
        <v>144690</v>
      </c>
      <c r="C3360" s="974">
        <v>331901600000000</v>
      </c>
      <c r="D3360" s="973" t="s">
        <v>6566</v>
      </c>
      <c r="E3360" s="973"/>
      <c r="F3360" s="975">
        <v>40</v>
      </c>
      <c r="G3360" s="973">
        <v>0</v>
      </c>
      <c r="I3360" s="1039">
        <f>PUCFD!E2956</f>
        <v>0.01</v>
      </c>
    </row>
    <row r="3361" spans="2:9" ht="24.95" customHeight="1" x14ac:dyDescent="0.25">
      <c r="B3361" s="973">
        <v>144730</v>
      </c>
      <c r="C3361" s="974">
        <v>331903400000000</v>
      </c>
      <c r="D3361" s="973" t="s">
        <v>5402</v>
      </c>
      <c r="E3361" s="973"/>
      <c r="F3361" s="975">
        <v>40</v>
      </c>
      <c r="G3361" s="973">
        <v>0</v>
      </c>
      <c r="I3361" s="1039">
        <f>PUCFD!E2957</f>
        <v>0.01</v>
      </c>
    </row>
    <row r="3362" spans="2:9" ht="24.95" customHeight="1" x14ac:dyDescent="0.25">
      <c r="B3362" s="973">
        <v>144760</v>
      </c>
      <c r="C3362" s="974">
        <v>331909400000000</v>
      </c>
      <c r="D3362" s="973" t="s">
        <v>6567</v>
      </c>
      <c r="E3362" s="973"/>
      <c r="F3362" s="975">
        <v>40</v>
      </c>
      <c r="G3362" s="973">
        <v>0</v>
      </c>
      <c r="I3362" s="1039">
        <f>PUCFD!E2958</f>
        <v>0.01</v>
      </c>
    </row>
    <row r="3363" spans="2:9" ht="24.95" customHeight="1" x14ac:dyDescent="0.25">
      <c r="B3363" s="973">
        <v>144790</v>
      </c>
      <c r="C3363" s="974">
        <v>333901400000000</v>
      </c>
      <c r="D3363" s="973" t="s">
        <v>5404</v>
      </c>
      <c r="E3363" s="973"/>
      <c r="F3363" s="975">
        <v>40</v>
      </c>
      <c r="G3363" s="973">
        <v>0</v>
      </c>
      <c r="I3363" s="1039">
        <f>PUCFD!E2959</f>
        <v>0.01</v>
      </c>
    </row>
    <row r="3364" spans="2:9" ht="24.95" customHeight="1" x14ac:dyDescent="0.25">
      <c r="B3364" s="973">
        <v>144840</v>
      </c>
      <c r="C3364" s="974">
        <v>333903000000000</v>
      </c>
      <c r="D3364" s="973" t="s">
        <v>5405</v>
      </c>
      <c r="E3364" s="973"/>
      <c r="F3364" s="975">
        <v>40</v>
      </c>
      <c r="G3364" s="973">
        <v>0</v>
      </c>
      <c r="I3364" s="1039">
        <f>PUCFD!E2960</f>
        <v>0.01</v>
      </c>
    </row>
    <row r="3365" spans="2:9" ht="24.95" customHeight="1" x14ac:dyDescent="0.25">
      <c r="B3365" s="973">
        <v>144900</v>
      </c>
      <c r="C3365" s="974">
        <v>333903200000000</v>
      </c>
      <c r="D3365" s="973" t="s">
        <v>5477</v>
      </c>
      <c r="E3365" s="973"/>
      <c r="F3365" s="975">
        <v>40</v>
      </c>
      <c r="G3365" s="973">
        <v>0</v>
      </c>
      <c r="I3365" s="1039">
        <f>PUCFD!E2961</f>
        <v>0.01</v>
      </c>
    </row>
    <row r="3366" spans="2:9" ht="24.95" customHeight="1" x14ac:dyDescent="0.25">
      <c r="B3366" s="973">
        <v>144930</v>
      </c>
      <c r="C3366" s="974">
        <v>333903300000000</v>
      </c>
      <c r="D3366" s="973" t="s">
        <v>5406</v>
      </c>
      <c r="E3366" s="973"/>
      <c r="F3366" s="975">
        <v>40</v>
      </c>
      <c r="G3366" s="973">
        <v>0</v>
      </c>
      <c r="I3366" s="1039">
        <f>PUCFD!E2962</f>
        <v>0.01</v>
      </c>
    </row>
    <row r="3367" spans="2:9" ht="24.95" customHeight="1" x14ac:dyDescent="0.25">
      <c r="B3367" s="973">
        <v>144960</v>
      </c>
      <c r="C3367" s="974">
        <v>333903500000000</v>
      </c>
      <c r="D3367" s="973" t="s">
        <v>5407</v>
      </c>
      <c r="E3367" s="973"/>
      <c r="F3367" s="975">
        <v>40</v>
      </c>
      <c r="G3367" s="973">
        <v>0</v>
      </c>
      <c r="I3367" s="1039">
        <f>PUCFD!E2963</f>
        <v>0.01</v>
      </c>
    </row>
    <row r="3368" spans="2:9" ht="24.95" customHeight="1" x14ac:dyDescent="0.25">
      <c r="B3368" s="973">
        <v>144990</v>
      </c>
      <c r="C3368" s="974">
        <v>333903600000000</v>
      </c>
      <c r="D3368" s="973" t="s">
        <v>5408</v>
      </c>
      <c r="E3368" s="973"/>
      <c r="F3368" s="975">
        <v>40</v>
      </c>
      <c r="G3368" s="973">
        <v>0</v>
      </c>
      <c r="I3368" s="1039">
        <f>PUCFD!E2964</f>
        <v>0.01</v>
      </c>
    </row>
    <row r="3369" spans="2:9" ht="24.95" customHeight="1" x14ac:dyDescent="0.25">
      <c r="B3369" s="973">
        <v>145090</v>
      </c>
      <c r="C3369" s="974">
        <v>333903900000000</v>
      </c>
      <c r="D3369" s="973" t="s">
        <v>5409</v>
      </c>
      <c r="E3369" s="973"/>
      <c r="F3369" s="975">
        <v>40</v>
      </c>
      <c r="G3369" s="973">
        <v>0</v>
      </c>
      <c r="I3369" s="1039">
        <f>PUCFD!E2965</f>
        <v>0.01</v>
      </c>
    </row>
    <row r="3370" spans="2:9" ht="24.95" customHeight="1" x14ac:dyDescent="0.25">
      <c r="B3370" s="973">
        <v>145190</v>
      </c>
      <c r="C3370" s="974">
        <v>333904600000000</v>
      </c>
      <c r="D3370" s="973" t="s">
        <v>5410</v>
      </c>
      <c r="E3370" s="973"/>
      <c r="F3370" s="975">
        <v>40</v>
      </c>
      <c r="G3370" s="973">
        <v>0</v>
      </c>
      <c r="I3370" s="1039">
        <f>PUCFD!E2966</f>
        <v>0.01</v>
      </c>
    </row>
    <row r="3371" spans="2:9" ht="24.95" customHeight="1" x14ac:dyDescent="0.25">
      <c r="B3371" s="973">
        <v>145230</v>
      </c>
      <c r="C3371" s="974">
        <v>333904700000000</v>
      </c>
      <c r="D3371" s="973" t="s">
        <v>5411</v>
      </c>
      <c r="E3371" s="973"/>
      <c r="F3371" s="975">
        <v>40</v>
      </c>
      <c r="G3371" s="973">
        <v>0</v>
      </c>
      <c r="I3371" s="1039">
        <f>PUCFD!E2967</f>
        <v>0.01</v>
      </c>
    </row>
    <row r="3372" spans="2:9" ht="24.95" customHeight="1" x14ac:dyDescent="0.25">
      <c r="B3372" s="973">
        <v>145260</v>
      </c>
      <c r="C3372" s="974">
        <v>333904900000000</v>
      </c>
      <c r="D3372" s="973" t="s">
        <v>5412</v>
      </c>
      <c r="E3372" s="973"/>
      <c r="F3372" s="975">
        <v>40</v>
      </c>
      <c r="G3372" s="973">
        <v>0</v>
      </c>
      <c r="I3372" s="1039">
        <f>PUCFD!E2968</f>
        <v>0.01</v>
      </c>
    </row>
    <row r="3373" spans="2:9" ht="24.95" customHeight="1" x14ac:dyDescent="0.25">
      <c r="B3373" s="973">
        <v>145290</v>
      </c>
      <c r="C3373" s="974">
        <v>333909200000000</v>
      </c>
      <c r="D3373" s="973" t="s">
        <v>5413</v>
      </c>
      <c r="E3373" s="973"/>
      <c r="F3373" s="975">
        <v>40</v>
      </c>
      <c r="G3373" s="973">
        <v>0</v>
      </c>
      <c r="I3373" s="1039">
        <f>PUCFD!E2969</f>
        <v>0.01</v>
      </c>
    </row>
    <row r="3374" spans="2:9" ht="24.95" customHeight="1" x14ac:dyDescent="0.25">
      <c r="B3374" s="973">
        <v>145330</v>
      </c>
      <c r="C3374" s="974">
        <v>333909300000000</v>
      </c>
      <c r="D3374" s="973" t="s">
        <v>5414</v>
      </c>
      <c r="E3374" s="973"/>
      <c r="F3374" s="975">
        <v>40</v>
      </c>
      <c r="G3374" s="973">
        <v>0</v>
      </c>
      <c r="I3374" s="1039">
        <f>PUCFD!E2970</f>
        <v>0.01</v>
      </c>
    </row>
    <row r="3375" spans="2:9" ht="24.95" customHeight="1" x14ac:dyDescent="0.25">
      <c r="B3375" s="973">
        <v>145360</v>
      </c>
      <c r="C3375" s="974">
        <v>333933000000000</v>
      </c>
      <c r="D3375" s="973" t="s">
        <v>5415</v>
      </c>
      <c r="E3375" s="973"/>
      <c r="F3375" s="975">
        <v>40</v>
      </c>
      <c r="G3375" s="973">
        <v>0</v>
      </c>
      <c r="I3375" s="1039">
        <f>PUCFD!E2971</f>
        <v>0.01</v>
      </c>
    </row>
    <row r="3376" spans="2:9" ht="24.95" customHeight="1" x14ac:dyDescent="0.25">
      <c r="B3376" s="973">
        <v>145390</v>
      </c>
      <c r="C3376" s="974">
        <v>344905100000000</v>
      </c>
      <c r="D3376" s="973" t="s">
        <v>5416</v>
      </c>
      <c r="E3376" s="973"/>
      <c r="F3376" s="975">
        <v>40</v>
      </c>
      <c r="G3376" s="973">
        <v>0</v>
      </c>
      <c r="I3376" s="1039">
        <f>PUCFD!E2972</f>
        <v>0.01</v>
      </c>
    </row>
    <row r="3377" spans="2:9" ht="24.95" customHeight="1" x14ac:dyDescent="0.25">
      <c r="B3377" s="973">
        <v>145420</v>
      </c>
      <c r="C3377" s="974">
        <v>344905200000000</v>
      </c>
      <c r="D3377" s="973" t="s">
        <v>5417</v>
      </c>
      <c r="E3377" s="973"/>
      <c r="F3377" s="975">
        <v>40</v>
      </c>
      <c r="G3377" s="973">
        <v>0</v>
      </c>
      <c r="I3377" s="1039">
        <f>PUCFD!E2973</f>
        <v>0.01</v>
      </c>
    </row>
    <row r="3378" spans="2:9" ht="24.95" customHeight="1" x14ac:dyDescent="0.25">
      <c r="B3378" s="962" t="s">
        <v>3138</v>
      </c>
      <c r="C3378" s="959">
        <v>10</v>
      </c>
      <c r="D3378" s="962" t="s">
        <v>5246</v>
      </c>
      <c r="E3378" s="946"/>
      <c r="F3378" s="960"/>
      <c r="G3378" s="958"/>
      <c r="H3378" s="958"/>
      <c r="I3378" s="957">
        <f>I3379</f>
        <v>0.22000000000000006</v>
      </c>
    </row>
    <row r="3379" spans="2:9" ht="24.95" customHeight="1" x14ac:dyDescent="0.25">
      <c r="B3379" s="962" t="s">
        <v>3139</v>
      </c>
      <c r="C3379" s="959">
        <v>305</v>
      </c>
      <c r="D3379" s="962" t="s">
        <v>5441</v>
      </c>
      <c r="E3379" s="946"/>
      <c r="F3379" s="960"/>
      <c r="G3379" s="958"/>
      <c r="H3379" s="958"/>
      <c r="I3379" s="957">
        <f>I3380</f>
        <v>0.22000000000000006</v>
      </c>
    </row>
    <row r="3380" spans="2:9" ht="36.75" customHeight="1" x14ac:dyDescent="0.25">
      <c r="B3380" s="962" t="s">
        <v>3137</v>
      </c>
      <c r="C3380" s="959">
        <v>100</v>
      </c>
      <c r="D3380" s="962" t="s">
        <v>5247</v>
      </c>
      <c r="E3380" s="946"/>
      <c r="F3380" s="960"/>
      <c r="G3380" s="958"/>
      <c r="H3380" s="958"/>
      <c r="I3380" s="957">
        <f>I3381</f>
        <v>0.22000000000000006</v>
      </c>
    </row>
    <row r="3381" spans="2:9" ht="29.25" customHeight="1" x14ac:dyDescent="0.25">
      <c r="B3381" s="963" t="s">
        <v>2965</v>
      </c>
      <c r="C3381" s="959">
        <v>46</v>
      </c>
      <c r="D3381" s="963" t="s">
        <v>5396</v>
      </c>
      <c r="E3381" s="946"/>
      <c r="F3381" s="960"/>
      <c r="G3381" s="963"/>
      <c r="H3381" s="963"/>
      <c r="I3381" s="957">
        <f>SUM(I3382:I3403)</f>
        <v>0.22000000000000006</v>
      </c>
    </row>
    <row r="3382" spans="2:9" ht="24.95" customHeight="1" x14ac:dyDescent="0.25">
      <c r="B3382" s="973">
        <v>147000</v>
      </c>
      <c r="C3382" s="974">
        <v>331900400000000</v>
      </c>
      <c r="D3382" s="973" t="s">
        <v>6568</v>
      </c>
      <c r="E3382" s="973"/>
      <c r="F3382" s="975">
        <v>40</v>
      </c>
      <c r="G3382" s="973">
        <v>0</v>
      </c>
      <c r="I3382" s="1039">
        <f>PUCFD!E2975</f>
        <v>0.01</v>
      </c>
    </row>
    <row r="3383" spans="2:9" ht="24.95" customHeight="1" x14ac:dyDescent="0.25">
      <c r="B3383" s="973">
        <v>147050</v>
      </c>
      <c r="C3383" s="967">
        <v>331900800000000</v>
      </c>
      <c r="D3383" s="966" t="s">
        <v>6569</v>
      </c>
      <c r="E3383" s="973"/>
      <c r="F3383" s="975">
        <v>1</v>
      </c>
      <c r="G3383" s="973">
        <v>0</v>
      </c>
      <c r="I3383" s="1039">
        <f>PUCFD!E2976</f>
        <v>0.01</v>
      </c>
    </row>
    <row r="3384" spans="2:9" ht="24.95" customHeight="1" x14ac:dyDescent="0.25">
      <c r="B3384" s="973">
        <v>147100</v>
      </c>
      <c r="C3384" s="974">
        <v>331901100000000</v>
      </c>
      <c r="D3384" s="973" t="s">
        <v>6573</v>
      </c>
      <c r="E3384" s="973"/>
      <c r="F3384" s="975">
        <v>40</v>
      </c>
      <c r="G3384" s="973">
        <v>0</v>
      </c>
      <c r="I3384" s="1039">
        <f>PUCFD!E2977</f>
        <v>0.01</v>
      </c>
    </row>
    <row r="3385" spans="2:9" ht="24.95" customHeight="1" x14ac:dyDescent="0.25">
      <c r="B3385" s="973">
        <v>147200</v>
      </c>
      <c r="C3385" s="974">
        <v>331901300000000</v>
      </c>
      <c r="D3385" s="973" t="s">
        <v>6570</v>
      </c>
      <c r="E3385" s="973"/>
      <c r="F3385" s="975">
        <v>40</v>
      </c>
      <c r="G3385" s="973">
        <v>0</v>
      </c>
      <c r="I3385" s="1039">
        <f>PUCFD!E2978</f>
        <v>0.01</v>
      </c>
    </row>
    <row r="3386" spans="2:9" ht="24.95" customHeight="1" x14ac:dyDescent="0.25">
      <c r="B3386" s="973">
        <v>147250</v>
      </c>
      <c r="C3386" s="974">
        <v>331901600000000</v>
      </c>
      <c r="D3386" s="973" t="s">
        <v>6571</v>
      </c>
      <c r="E3386" s="973"/>
      <c r="F3386" s="975">
        <v>40</v>
      </c>
      <c r="G3386" s="973">
        <v>0</v>
      </c>
      <c r="I3386" s="1039">
        <f>PUCFD!E2979</f>
        <v>0.01</v>
      </c>
    </row>
    <row r="3387" spans="2:9" ht="24.95" customHeight="1" x14ac:dyDescent="0.25">
      <c r="B3387" s="973">
        <v>147300</v>
      </c>
      <c r="C3387" s="974">
        <v>331903400000000</v>
      </c>
      <c r="D3387" s="973" t="s">
        <v>5447</v>
      </c>
      <c r="E3387" s="973"/>
      <c r="F3387" s="975">
        <v>40</v>
      </c>
      <c r="G3387" s="973">
        <v>0</v>
      </c>
      <c r="I3387" s="1039">
        <f>PUCFD!E2980</f>
        <v>0.01</v>
      </c>
    </row>
    <row r="3388" spans="2:9" ht="24.95" customHeight="1" x14ac:dyDescent="0.25">
      <c r="B3388" s="973">
        <v>147350</v>
      </c>
      <c r="C3388" s="974">
        <v>331909400000000</v>
      </c>
      <c r="D3388" s="973" t="s">
        <v>6572</v>
      </c>
      <c r="E3388" s="973"/>
      <c r="F3388" s="975">
        <v>40</v>
      </c>
      <c r="G3388" s="973">
        <v>0</v>
      </c>
      <c r="I3388" s="1039">
        <f>PUCFD!E2981</f>
        <v>0.01</v>
      </c>
    </row>
    <row r="3389" spans="2:9" ht="24.95" customHeight="1" x14ac:dyDescent="0.25">
      <c r="B3389" s="973">
        <v>147400</v>
      </c>
      <c r="C3389" s="974">
        <v>333901400000000</v>
      </c>
      <c r="D3389" s="973" t="s">
        <v>5449</v>
      </c>
      <c r="E3389" s="973"/>
      <c r="F3389" s="975">
        <v>40</v>
      </c>
      <c r="G3389" s="973">
        <v>0</v>
      </c>
      <c r="I3389" s="1039">
        <f>PUCFD!E2982</f>
        <v>0.01</v>
      </c>
    </row>
    <row r="3390" spans="2:9" ht="24.95" customHeight="1" x14ac:dyDescent="0.25">
      <c r="B3390" s="973">
        <v>147450</v>
      </c>
      <c r="C3390" s="974">
        <v>333903000000000</v>
      </c>
      <c r="D3390" s="973" t="s">
        <v>5450</v>
      </c>
      <c r="E3390" s="973"/>
      <c r="F3390" s="975">
        <v>40</v>
      </c>
      <c r="G3390" s="973">
        <v>0</v>
      </c>
      <c r="I3390" s="1039">
        <f>PUCFD!E2983</f>
        <v>0.01</v>
      </c>
    </row>
    <row r="3391" spans="2:9" ht="24.95" customHeight="1" x14ac:dyDescent="0.25">
      <c r="B3391" s="973">
        <v>147500</v>
      </c>
      <c r="C3391" s="974">
        <v>333903200000000</v>
      </c>
      <c r="D3391" s="973" t="s">
        <v>5479</v>
      </c>
      <c r="E3391" s="973"/>
      <c r="F3391" s="975">
        <v>40</v>
      </c>
      <c r="G3391" s="973">
        <v>0</v>
      </c>
      <c r="I3391" s="1039">
        <f>PUCFD!E2984</f>
        <v>0.01</v>
      </c>
    </row>
    <row r="3392" spans="2:9" ht="24.95" customHeight="1" x14ac:dyDescent="0.25">
      <c r="B3392" s="973">
        <v>147550</v>
      </c>
      <c r="C3392" s="974">
        <v>333903300000000</v>
      </c>
      <c r="D3392" s="973" t="s">
        <v>5451</v>
      </c>
      <c r="E3392" s="973"/>
      <c r="F3392" s="975">
        <v>40</v>
      </c>
      <c r="G3392" s="973">
        <v>0</v>
      </c>
      <c r="I3392" s="1039">
        <f>PUCFD!E2985</f>
        <v>0.01</v>
      </c>
    </row>
    <row r="3393" spans="2:9" ht="24.95" customHeight="1" x14ac:dyDescent="0.25">
      <c r="B3393" s="973">
        <v>147600</v>
      </c>
      <c r="C3393" s="974">
        <v>333903500000000</v>
      </c>
      <c r="D3393" s="973" t="s">
        <v>5452</v>
      </c>
      <c r="E3393" s="973"/>
      <c r="F3393" s="975">
        <v>40</v>
      </c>
      <c r="G3393" s="973">
        <v>0</v>
      </c>
      <c r="I3393" s="1039">
        <f>PUCFD!E2986</f>
        <v>0.01</v>
      </c>
    </row>
    <row r="3394" spans="2:9" ht="24.95" customHeight="1" x14ac:dyDescent="0.25">
      <c r="B3394" s="973">
        <v>147650</v>
      </c>
      <c r="C3394" s="974">
        <v>333903600000000</v>
      </c>
      <c r="D3394" s="973" t="s">
        <v>5453</v>
      </c>
      <c r="E3394" s="973"/>
      <c r="F3394" s="975">
        <v>40</v>
      </c>
      <c r="G3394" s="973">
        <v>0</v>
      </c>
      <c r="I3394" s="1039">
        <f>PUCFD!E2987</f>
        <v>0.01</v>
      </c>
    </row>
    <row r="3395" spans="2:9" ht="24.95" customHeight="1" x14ac:dyDescent="0.25">
      <c r="B3395" s="973">
        <v>147750</v>
      </c>
      <c r="C3395" s="974">
        <v>333903900000000</v>
      </c>
      <c r="D3395" s="973" t="s">
        <v>5454</v>
      </c>
      <c r="E3395" s="973"/>
      <c r="F3395" s="975">
        <v>40</v>
      </c>
      <c r="G3395" s="973">
        <v>0</v>
      </c>
      <c r="I3395" s="1039">
        <f>PUCFD!E2988</f>
        <v>0.01</v>
      </c>
    </row>
    <row r="3396" spans="2:9" ht="24.95" customHeight="1" x14ac:dyDescent="0.25">
      <c r="B3396" s="973">
        <v>147850</v>
      </c>
      <c r="C3396" s="974">
        <v>333904600000000</v>
      </c>
      <c r="D3396" s="973" t="s">
        <v>5455</v>
      </c>
      <c r="E3396" s="973"/>
      <c r="F3396" s="975">
        <v>40</v>
      </c>
      <c r="G3396" s="973">
        <v>0</v>
      </c>
      <c r="I3396" s="1039">
        <f>PUCFD!E2989</f>
        <v>0.01</v>
      </c>
    </row>
    <row r="3397" spans="2:9" ht="24.95" customHeight="1" x14ac:dyDescent="0.25">
      <c r="B3397" s="973">
        <v>147900</v>
      </c>
      <c r="C3397" s="974">
        <v>333904700000000</v>
      </c>
      <c r="D3397" s="973" t="s">
        <v>5456</v>
      </c>
      <c r="E3397" s="973"/>
      <c r="F3397" s="975">
        <v>40</v>
      </c>
      <c r="G3397" s="973">
        <v>0</v>
      </c>
      <c r="I3397" s="1039">
        <f>PUCFD!E2990</f>
        <v>0.01</v>
      </c>
    </row>
    <row r="3398" spans="2:9" ht="24.95" customHeight="1" x14ac:dyDescent="0.25">
      <c r="B3398" s="973">
        <v>147950</v>
      </c>
      <c r="C3398" s="974">
        <v>333904900000000</v>
      </c>
      <c r="D3398" s="973" t="s">
        <v>5457</v>
      </c>
      <c r="E3398" s="973"/>
      <c r="F3398" s="975">
        <v>40</v>
      </c>
      <c r="G3398" s="973">
        <v>0</v>
      </c>
      <c r="I3398" s="1039">
        <f>PUCFD!E2991</f>
        <v>0.01</v>
      </c>
    </row>
    <row r="3399" spans="2:9" ht="24.95" customHeight="1" x14ac:dyDescent="0.25">
      <c r="B3399" s="973">
        <v>148000</v>
      </c>
      <c r="C3399" s="974">
        <v>333909200000000</v>
      </c>
      <c r="D3399" s="973" t="s">
        <v>5458</v>
      </c>
      <c r="E3399" s="973"/>
      <c r="F3399" s="975">
        <v>40</v>
      </c>
      <c r="G3399" s="973">
        <v>0</v>
      </c>
      <c r="I3399" s="1039">
        <f>PUCFD!E2992</f>
        <v>0.01</v>
      </c>
    </row>
    <row r="3400" spans="2:9" ht="24.95" customHeight="1" x14ac:dyDescent="0.25">
      <c r="B3400" s="973">
        <v>148050</v>
      </c>
      <c r="C3400" s="974">
        <v>333909300000000</v>
      </c>
      <c r="D3400" s="973" t="s">
        <v>5459</v>
      </c>
      <c r="E3400" s="973"/>
      <c r="F3400" s="975">
        <v>40</v>
      </c>
      <c r="G3400" s="973">
        <v>0</v>
      </c>
      <c r="I3400" s="1039">
        <f>PUCFD!E2993</f>
        <v>0.01</v>
      </c>
    </row>
    <row r="3401" spans="2:9" ht="24.95" customHeight="1" x14ac:dyDescent="0.25">
      <c r="B3401" s="973">
        <v>148100</v>
      </c>
      <c r="C3401" s="974">
        <v>333933000000000</v>
      </c>
      <c r="D3401" s="973" t="s">
        <v>5460</v>
      </c>
      <c r="E3401" s="973"/>
      <c r="F3401" s="975">
        <v>40</v>
      </c>
      <c r="G3401" s="973">
        <v>0</v>
      </c>
      <c r="I3401" s="1039">
        <f>PUCFD!E2994</f>
        <v>0.01</v>
      </c>
    </row>
    <row r="3402" spans="2:9" ht="24.95" customHeight="1" x14ac:dyDescent="0.25">
      <c r="B3402" s="973">
        <v>148150</v>
      </c>
      <c r="C3402" s="974">
        <v>344905100000000</v>
      </c>
      <c r="D3402" s="973" t="s">
        <v>5461</v>
      </c>
      <c r="E3402" s="973"/>
      <c r="F3402" s="975">
        <v>40</v>
      </c>
      <c r="G3402" s="973">
        <v>0</v>
      </c>
      <c r="I3402" s="1039">
        <f>PUCFD!E2995</f>
        <v>0.01</v>
      </c>
    </row>
    <row r="3403" spans="2:9" ht="24.95" customHeight="1" x14ac:dyDescent="0.25">
      <c r="B3403" s="973">
        <v>148200</v>
      </c>
      <c r="C3403" s="974">
        <v>344905200000000</v>
      </c>
      <c r="D3403" s="973" t="s">
        <v>5462</v>
      </c>
      <c r="E3403" s="973"/>
      <c r="F3403" s="975">
        <v>40</v>
      </c>
      <c r="G3403" s="973">
        <v>0</v>
      </c>
      <c r="I3403" s="1039">
        <f>PUCFD!E2996</f>
        <v>0.01</v>
      </c>
    </row>
    <row r="3404" spans="2:9" ht="24.95" customHeight="1" x14ac:dyDescent="0.25">
      <c r="B3404" s="1608" t="s">
        <v>5290</v>
      </c>
      <c r="C3404" s="1608"/>
      <c r="D3404" s="1608"/>
      <c r="E3404" s="1608"/>
      <c r="F3404" s="1608"/>
      <c r="G3404" s="1608"/>
      <c r="H3404" s="1608"/>
      <c r="I3404" s="1024">
        <f>I3222+I3213+I3208+I3198+I3188+I3178+I3274+I3299+I3329+I3355+I3381+I3248</f>
        <v>3954184.0070327651</v>
      </c>
    </row>
    <row r="3405" spans="2:9" ht="24.95" customHeight="1" x14ac:dyDescent="0.25">
      <c r="B3405" s="1608" t="s">
        <v>5302</v>
      </c>
      <c r="C3405" s="1608"/>
      <c r="D3405" s="1608"/>
      <c r="E3405" s="1608"/>
      <c r="F3405" s="1608"/>
      <c r="G3405" s="1608"/>
      <c r="H3405" s="1608"/>
      <c r="I3405" s="1024">
        <f>I3404</f>
        <v>3954184.0070327651</v>
      </c>
    </row>
    <row r="3406" spans="2:9" ht="24.95" customHeight="1" x14ac:dyDescent="0.25">
      <c r="B3406" s="987"/>
      <c r="C3406" s="987"/>
      <c r="D3406" s="987"/>
      <c r="E3406" s="954" t="s">
        <v>4777</v>
      </c>
      <c r="F3406" s="960"/>
      <c r="G3406" s="960"/>
      <c r="H3406" s="958"/>
      <c r="I3406" s="1030"/>
    </row>
    <row r="3407" spans="2:9" ht="24.95" customHeight="1" x14ac:dyDescent="0.25">
      <c r="B3407" s="987"/>
      <c r="C3407" s="987"/>
      <c r="D3407" s="987"/>
      <c r="F3407" s="949">
        <v>1</v>
      </c>
      <c r="G3407" s="945">
        <v>0</v>
      </c>
      <c r="H3407" s="950">
        <v>0</v>
      </c>
      <c r="I3407" s="951">
        <f>I3224+I3250+I3276+I3303+I3331+I3357+I3383</f>
        <v>228846.33189559396</v>
      </c>
    </row>
    <row r="3408" spans="2:9" ht="24.95" customHeight="1" x14ac:dyDescent="0.25">
      <c r="F3408" s="949">
        <v>40</v>
      </c>
      <c r="G3408" s="945">
        <v>0</v>
      </c>
      <c r="H3408" s="950">
        <v>0</v>
      </c>
      <c r="I3408" s="951">
        <f>I3404-I3407-I3409</f>
        <v>3725337.6751371711</v>
      </c>
    </row>
    <row r="3409" spans="2:10" ht="24.95" customHeight="1" x14ac:dyDescent="0.25">
      <c r="F3409" s="949">
        <v>4002</v>
      </c>
      <c r="G3409" s="945">
        <v>0</v>
      </c>
      <c r="H3409" s="950">
        <v>0</v>
      </c>
    </row>
    <row r="3410" spans="2:10" ht="24.95" customHeight="1" x14ac:dyDescent="0.25">
      <c r="B3410" s="946" t="s">
        <v>3088</v>
      </c>
      <c r="C3410" s="953" t="s">
        <v>5289</v>
      </c>
      <c r="J3410" s="990"/>
    </row>
    <row r="3411" spans="2:10" ht="24.95" customHeight="1" x14ac:dyDescent="0.25">
      <c r="B3411" s="946" t="s">
        <v>3087</v>
      </c>
      <c r="C3411" s="953" t="s">
        <v>5480</v>
      </c>
      <c r="J3411" s="990"/>
    </row>
    <row r="3412" spans="2:10" ht="24.95" customHeight="1" x14ac:dyDescent="0.25">
      <c r="B3412" s="946" t="s">
        <v>3089</v>
      </c>
      <c r="C3412" s="953" t="s">
        <v>5245</v>
      </c>
    </row>
    <row r="3413" spans="2:10" ht="24.95" customHeight="1" x14ac:dyDescent="0.25">
      <c r="B3413" s="962" t="s">
        <v>3138</v>
      </c>
      <c r="C3413" s="959">
        <v>10</v>
      </c>
      <c r="D3413" s="962" t="s">
        <v>5246</v>
      </c>
      <c r="E3413" s="946"/>
      <c r="F3413" s="960"/>
      <c r="G3413" s="958"/>
      <c r="H3413" s="958"/>
      <c r="I3413" s="957">
        <f>I3414</f>
        <v>2</v>
      </c>
    </row>
    <row r="3414" spans="2:10" ht="24.95" customHeight="1" x14ac:dyDescent="0.25">
      <c r="B3414" s="962" t="s">
        <v>3139</v>
      </c>
      <c r="C3414" s="959">
        <v>301</v>
      </c>
      <c r="D3414" s="962" t="s">
        <v>5303</v>
      </c>
      <c r="E3414" s="946"/>
      <c r="F3414" s="960"/>
      <c r="G3414" s="958"/>
      <c r="H3414" s="958"/>
      <c r="I3414" s="957">
        <f>I3415</f>
        <v>2</v>
      </c>
    </row>
    <row r="3415" spans="2:10" ht="36.75" customHeight="1" x14ac:dyDescent="0.25">
      <c r="B3415" s="962" t="s">
        <v>3137</v>
      </c>
      <c r="C3415" s="959">
        <v>100</v>
      </c>
      <c r="D3415" s="962" t="s">
        <v>5247</v>
      </c>
      <c r="E3415" s="946"/>
      <c r="F3415" s="960"/>
      <c r="G3415" s="958"/>
      <c r="H3415" s="958"/>
      <c r="I3415" s="957">
        <f>I3416</f>
        <v>2</v>
      </c>
    </row>
    <row r="3416" spans="2:10" ht="24.95" customHeight="1" x14ac:dyDescent="0.25">
      <c r="B3416" s="963" t="s">
        <v>2950</v>
      </c>
      <c r="C3416" s="959">
        <v>25</v>
      </c>
      <c r="D3416" s="963" t="s">
        <v>5513</v>
      </c>
      <c r="E3416" s="946"/>
      <c r="F3416" s="960"/>
      <c r="G3416" s="963"/>
      <c r="H3416" s="963"/>
      <c r="I3416" s="957">
        <f>SUM(I3417:I3422)</f>
        <v>2</v>
      </c>
    </row>
    <row r="3417" spans="2:10" ht="24.95" customHeight="1" x14ac:dyDescent="0.25">
      <c r="B3417" s="973">
        <v>150000</v>
      </c>
      <c r="C3417" s="974">
        <v>333904700000000</v>
      </c>
      <c r="D3417" s="973" t="s">
        <v>5489</v>
      </c>
      <c r="E3417" s="946"/>
      <c r="F3417" s="975">
        <v>4294</v>
      </c>
      <c r="G3417" s="973">
        <v>0</v>
      </c>
      <c r="I3417" s="1039">
        <f>PUCFD!E2999</f>
        <v>0.01</v>
      </c>
    </row>
    <row r="3418" spans="2:10" ht="24.95" customHeight="1" x14ac:dyDescent="0.25">
      <c r="B3418" s="973">
        <v>150050</v>
      </c>
      <c r="C3418" s="974">
        <v>344903000000000</v>
      </c>
      <c r="D3418" s="973" t="s">
        <v>5490</v>
      </c>
      <c r="E3418" s="946"/>
      <c r="F3418" s="975">
        <v>4294</v>
      </c>
      <c r="G3418" s="973">
        <v>0</v>
      </c>
      <c r="I3418" s="1039">
        <f>PUCFD!E3000</f>
        <v>0.01</v>
      </c>
    </row>
    <row r="3419" spans="2:10" ht="24.95" customHeight="1" x14ac:dyDescent="0.25">
      <c r="B3419" s="973">
        <v>150100</v>
      </c>
      <c r="C3419" s="974">
        <v>344903600000000</v>
      </c>
      <c r="D3419" s="973" t="s">
        <v>5491</v>
      </c>
      <c r="E3419" s="946"/>
      <c r="F3419" s="975">
        <v>4294</v>
      </c>
      <c r="G3419" s="973">
        <v>0</v>
      </c>
      <c r="I3419" s="1039">
        <f>PUCFD!E3001</f>
        <v>0.01</v>
      </c>
    </row>
    <row r="3420" spans="2:10" ht="24.95" customHeight="1" x14ac:dyDescent="0.25">
      <c r="B3420" s="973">
        <v>150150</v>
      </c>
      <c r="C3420" s="974">
        <v>344903900000000</v>
      </c>
      <c r="D3420" s="973" t="s">
        <v>5492</v>
      </c>
      <c r="E3420" s="946"/>
      <c r="F3420" s="975">
        <v>4294</v>
      </c>
      <c r="G3420" s="973">
        <v>0</v>
      </c>
      <c r="I3420" s="1039">
        <f>PUCFD!E3002</f>
        <v>0.01</v>
      </c>
    </row>
    <row r="3421" spans="2:10" ht="24.95" customHeight="1" x14ac:dyDescent="0.25">
      <c r="B3421" s="973">
        <v>150200</v>
      </c>
      <c r="C3421" s="974">
        <v>344905100000000</v>
      </c>
      <c r="D3421" s="973" t="s">
        <v>5493</v>
      </c>
      <c r="E3421" s="946"/>
      <c r="F3421" s="975">
        <v>4294</v>
      </c>
      <c r="G3421" s="973">
        <v>0</v>
      </c>
      <c r="I3421" s="1039">
        <f>PUCFD!E3003</f>
        <v>1.95</v>
      </c>
    </row>
    <row r="3422" spans="2:10" ht="24.95" customHeight="1" x14ac:dyDescent="0.25">
      <c r="B3422" s="973">
        <v>150250</v>
      </c>
      <c r="C3422" s="974">
        <v>344905200000000</v>
      </c>
      <c r="D3422" s="973" t="s">
        <v>5494</v>
      </c>
      <c r="E3422" s="946"/>
      <c r="F3422" s="975">
        <v>4294</v>
      </c>
      <c r="G3422" s="973">
        <v>0</v>
      </c>
      <c r="I3422" s="1039">
        <f>PUCFD!E3004</f>
        <v>0.01</v>
      </c>
    </row>
    <row r="3423" spans="2:10" ht="24.95" customHeight="1" x14ac:dyDescent="0.25">
      <c r="B3423" s="962" t="s">
        <v>3138</v>
      </c>
      <c r="C3423" s="959">
        <v>10</v>
      </c>
      <c r="D3423" s="962" t="s">
        <v>5246</v>
      </c>
      <c r="E3423" s="946"/>
      <c r="F3423" s="975"/>
      <c r="G3423" s="973"/>
      <c r="I3423" s="1024">
        <f>I3424</f>
        <v>6.0000000000000005E-2</v>
      </c>
    </row>
    <row r="3424" spans="2:10" ht="24.95" customHeight="1" x14ac:dyDescent="0.25">
      <c r="B3424" s="962" t="s">
        <v>3139</v>
      </c>
      <c r="C3424" s="959">
        <v>301</v>
      </c>
      <c r="D3424" s="962" t="s">
        <v>5303</v>
      </c>
      <c r="E3424" s="946"/>
      <c r="F3424" s="975"/>
      <c r="G3424" s="973"/>
      <c r="I3424" s="1024">
        <f>I3425</f>
        <v>6.0000000000000005E-2</v>
      </c>
    </row>
    <row r="3425" spans="2:9" ht="24.95" customHeight="1" x14ac:dyDescent="0.25">
      <c r="B3425" s="963" t="s">
        <v>2950</v>
      </c>
      <c r="C3425" s="959">
        <v>25</v>
      </c>
      <c r="D3425" s="963" t="s">
        <v>5512</v>
      </c>
      <c r="E3425" s="946"/>
      <c r="F3425" s="960"/>
      <c r="G3425" s="963"/>
      <c r="H3425" s="963"/>
      <c r="I3425" s="957">
        <f>SUM(I3426:I3431)</f>
        <v>6.0000000000000005E-2</v>
      </c>
    </row>
    <row r="3426" spans="2:9" ht="24.95" customHeight="1" x14ac:dyDescent="0.25">
      <c r="B3426" s="973">
        <v>151000</v>
      </c>
      <c r="C3426" s="974">
        <v>333904700000000</v>
      </c>
      <c r="D3426" s="973" t="s">
        <v>5489</v>
      </c>
      <c r="E3426" s="946"/>
      <c r="F3426" s="975">
        <v>4011</v>
      </c>
      <c r="G3426" s="973">
        <v>0</v>
      </c>
      <c r="I3426" s="1039">
        <f>PUCFD!E3006</f>
        <v>0.01</v>
      </c>
    </row>
    <row r="3427" spans="2:9" ht="24.95" customHeight="1" x14ac:dyDescent="0.25">
      <c r="B3427" s="973">
        <v>151050</v>
      </c>
      <c r="C3427" s="974">
        <v>344903000000000</v>
      </c>
      <c r="D3427" s="973" t="s">
        <v>5490</v>
      </c>
      <c r="E3427" s="946"/>
      <c r="F3427" s="975">
        <v>4011</v>
      </c>
      <c r="G3427" s="973">
        <v>0</v>
      </c>
      <c r="I3427" s="1039">
        <f>PUCFD!E3007</f>
        <v>0.01</v>
      </c>
    </row>
    <row r="3428" spans="2:9" ht="24.95" customHeight="1" x14ac:dyDescent="0.25">
      <c r="B3428" s="973">
        <v>151100</v>
      </c>
      <c r="C3428" s="974">
        <v>344903600000000</v>
      </c>
      <c r="D3428" s="973" t="s">
        <v>5491</v>
      </c>
      <c r="E3428" s="946"/>
      <c r="F3428" s="975">
        <v>4011</v>
      </c>
      <c r="G3428" s="973">
        <v>0</v>
      </c>
      <c r="I3428" s="1039">
        <f>PUCFD!E3008</f>
        <v>0.01</v>
      </c>
    </row>
    <row r="3429" spans="2:9" ht="24.95" customHeight="1" x14ac:dyDescent="0.25">
      <c r="B3429" s="973">
        <v>151150</v>
      </c>
      <c r="C3429" s="974">
        <v>344903900000000</v>
      </c>
      <c r="D3429" s="973" t="s">
        <v>5492</v>
      </c>
      <c r="E3429" s="946"/>
      <c r="F3429" s="975">
        <v>4011</v>
      </c>
      <c r="G3429" s="973">
        <v>0</v>
      </c>
      <c r="I3429" s="1039">
        <f>PUCFD!E3009</f>
        <v>0.01</v>
      </c>
    </row>
    <row r="3430" spans="2:9" ht="24.95" customHeight="1" x14ac:dyDescent="0.25">
      <c r="B3430" s="973">
        <v>151200</v>
      </c>
      <c r="C3430" s="974">
        <v>344905100000000</v>
      </c>
      <c r="D3430" s="973" t="s">
        <v>5493</v>
      </c>
      <c r="E3430" s="946"/>
      <c r="F3430" s="975">
        <v>4011</v>
      </c>
      <c r="G3430" s="973">
        <v>0</v>
      </c>
      <c r="I3430" s="1039">
        <f>PUCFD!E3010</f>
        <v>0.01</v>
      </c>
    </row>
    <row r="3431" spans="2:9" ht="24.95" customHeight="1" x14ac:dyDescent="0.25">
      <c r="B3431" s="973">
        <v>151250</v>
      </c>
      <c r="C3431" s="974">
        <v>344905200000000</v>
      </c>
      <c r="D3431" s="973" t="s">
        <v>5494</v>
      </c>
      <c r="E3431" s="946"/>
      <c r="F3431" s="975">
        <v>4011</v>
      </c>
      <c r="G3431" s="973">
        <v>0</v>
      </c>
      <c r="I3431" s="1039">
        <f>PUCFD!E3011</f>
        <v>0.01</v>
      </c>
    </row>
    <row r="3432" spans="2:9" ht="24.95" customHeight="1" x14ac:dyDescent="0.25">
      <c r="B3432" s="962" t="s">
        <v>3138</v>
      </c>
      <c r="C3432" s="959">
        <v>10</v>
      </c>
      <c r="D3432" s="962" t="s">
        <v>5246</v>
      </c>
      <c r="E3432" s="946"/>
      <c r="F3432" s="975"/>
      <c r="G3432" s="973"/>
      <c r="I3432" s="1024">
        <f>I3433</f>
        <v>85167.37201749513</v>
      </c>
    </row>
    <row r="3433" spans="2:9" ht="24.95" customHeight="1" x14ac:dyDescent="0.25">
      <c r="B3433" s="962" t="s">
        <v>3139</v>
      </c>
      <c r="C3433" s="959">
        <v>301</v>
      </c>
      <c r="D3433" s="962" t="s">
        <v>5303</v>
      </c>
      <c r="E3433" s="946"/>
      <c r="F3433" s="975"/>
      <c r="G3433" s="973"/>
      <c r="I3433" s="1024">
        <f>I3434</f>
        <v>85167.37201749513</v>
      </c>
    </row>
    <row r="3434" spans="2:9" ht="24.95" customHeight="1" x14ac:dyDescent="0.25">
      <c r="B3434" s="963" t="s">
        <v>2965</v>
      </c>
      <c r="C3434" s="959">
        <v>29</v>
      </c>
      <c r="D3434" s="963" t="s">
        <v>5495</v>
      </c>
      <c r="E3434" s="946"/>
      <c r="F3434" s="960"/>
      <c r="G3434" s="963"/>
      <c r="H3434" s="963"/>
      <c r="I3434" s="957">
        <f>SUM(I3435:I3447)</f>
        <v>85167.37201749513</v>
      </c>
    </row>
    <row r="3435" spans="2:9" ht="24.95" customHeight="1" x14ac:dyDescent="0.25">
      <c r="B3435" s="973">
        <v>153000</v>
      </c>
      <c r="C3435" s="974">
        <v>331900400000000</v>
      </c>
      <c r="D3435" s="973" t="s">
        <v>6574</v>
      </c>
      <c r="F3435" s="949">
        <v>4070</v>
      </c>
      <c r="G3435" s="945">
        <v>0</v>
      </c>
      <c r="I3435" s="1039">
        <f>PUCFD!E3013</f>
        <v>0.01</v>
      </c>
    </row>
    <row r="3436" spans="2:9" ht="24.95" customHeight="1" x14ac:dyDescent="0.25">
      <c r="B3436" s="973">
        <v>153050</v>
      </c>
      <c r="C3436" s="967">
        <v>331900800000000</v>
      </c>
      <c r="D3436" s="966" t="s">
        <v>6575</v>
      </c>
      <c r="E3436" s="973"/>
      <c r="F3436" s="975">
        <v>1</v>
      </c>
      <c r="G3436" s="973">
        <v>0</v>
      </c>
      <c r="I3436" s="1039">
        <f>PUCFD!E3014</f>
        <v>0.01</v>
      </c>
    </row>
    <row r="3437" spans="2:9" ht="24.95" customHeight="1" x14ac:dyDescent="0.25">
      <c r="B3437" s="973">
        <v>153100</v>
      </c>
      <c r="C3437" s="974">
        <v>331901100000000</v>
      </c>
      <c r="D3437" s="973" t="s">
        <v>6576</v>
      </c>
      <c r="F3437" s="949">
        <v>4070</v>
      </c>
      <c r="G3437" s="945">
        <v>0</v>
      </c>
      <c r="I3437" s="1039">
        <f>PUCFD!E3015</f>
        <v>0.01</v>
      </c>
    </row>
    <row r="3438" spans="2:9" ht="24.95" customHeight="1" x14ac:dyDescent="0.25">
      <c r="B3438" s="973">
        <v>153200</v>
      </c>
      <c r="C3438" s="974">
        <v>331901300000000</v>
      </c>
      <c r="D3438" s="973" t="s">
        <v>6577</v>
      </c>
      <c r="F3438" s="949">
        <v>4070</v>
      </c>
      <c r="G3438" s="945">
        <v>0</v>
      </c>
      <c r="I3438" s="1039">
        <f>PUCFD!E3016</f>
        <v>0.01</v>
      </c>
    </row>
    <row r="3439" spans="2:9" ht="24.95" customHeight="1" x14ac:dyDescent="0.25">
      <c r="B3439" s="973">
        <v>153300</v>
      </c>
      <c r="C3439" s="974">
        <v>331901600000000</v>
      </c>
      <c r="D3439" s="973" t="s">
        <v>6578</v>
      </c>
      <c r="F3439" s="949">
        <v>4070</v>
      </c>
      <c r="G3439" s="945">
        <v>0</v>
      </c>
      <c r="I3439" s="1039">
        <f>PUCFD!E3017</f>
        <v>0.01</v>
      </c>
    </row>
    <row r="3440" spans="2:9" ht="31.5" customHeight="1" x14ac:dyDescent="0.25">
      <c r="B3440" s="973">
        <v>153400</v>
      </c>
      <c r="C3440" s="974">
        <v>331903400000000</v>
      </c>
      <c r="D3440" s="973" t="s">
        <v>6579</v>
      </c>
      <c r="F3440" s="949">
        <v>4070</v>
      </c>
      <c r="G3440" s="945">
        <v>0</v>
      </c>
      <c r="I3440" s="1039">
        <f>PUCFD!E3018</f>
        <v>0.01</v>
      </c>
    </row>
    <row r="3441" spans="2:9" ht="24.95" customHeight="1" x14ac:dyDescent="0.25">
      <c r="B3441" s="973">
        <v>153500</v>
      </c>
      <c r="C3441" s="974">
        <v>331909400000000</v>
      </c>
      <c r="D3441" s="973" t="s">
        <v>6580</v>
      </c>
      <c r="F3441" s="949">
        <v>4070</v>
      </c>
      <c r="G3441" s="945">
        <v>0</v>
      </c>
      <c r="I3441" s="1039">
        <f>PUCFD!E3019</f>
        <v>0.01</v>
      </c>
    </row>
    <row r="3442" spans="2:9" ht="24.95" customHeight="1" x14ac:dyDescent="0.25">
      <c r="B3442" s="973">
        <v>153600</v>
      </c>
      <c r="C3442" s="974">
        <v>333901400000000</v>
      </c>
      <c r="D3442" s="973" t="s">
        <v>6581</v>
      </c>
      <c r="F3442" s="975">
        <v>4070</v>
      </c>
      <c r="G3442" s="945">
        <v>0</v>
      </c>
      <c r="I3442" s="1039">
        <f>PUCFD!E3020</f>
        <v>0.01</v>
      </c>
    </row>
    <row r="3443" spans="2:9" ht="24.95" customHeight="1" x14ac:dyDescent="0.25">
      <c r="B3443" s="973">
        <v>153700</v>
      </c>
      <c r="C3443" s="974">
        <v>333903000000000</v>
      </c>
      <c r="D3443" s="973" t="s">
        <v>6582</v>
      </c>
      <c r="F3443" s="975">
        <v>4070</v>
      </c>
      <c r="G3443" s="945">
        <v>0</v>
      </c>
      <c r="I3443" s="1039">
        <f>PUCFD!E3021</f>
        <v>1.0999999999999999E-2</v>
      </c>
    </row>
    <row r="3444" spans="2:9" ht="24.95" customHeight="1" x14ac:dyDescent="0.25">
      <c r="B3444" s="973">
        <v>153800</v>
      </c>
      <c r="C3444" s="974">
        <v>333903900000000</v>
      </c>
      <c r="D3444" s="973" t="s">
        <v>6583</v>
      </c>
      <c r="F3444" s="975">
        <v>4070</v>
      </c>
      <c r="G3444" s="945">
        <v>0</v>
      </c>
      <c r="I3444" s="1039">
        <f>PUCFD!E3022+3582.02-3582.02</f>
        <v>85167.251017495146</v>
      </c>
    </row>
    <row r="3445" spans="2:9" ht="24.95" customHeight="1" x14ac:dyDescent="0.25">
      <c r="B3445" s="973">
        <v>153900</v>
      </c>
      <c r="C3445" s="974">
        <v>333904600000000</v>
      </c>
      <c r="D3445" s="973" t="s">
        <v>6584</v>
      </c>
      <c r="F3445" s="975">
        <v>4070</v>
      </c>
      <c r="G3445" s="945">
        <v>0</v>
      </c>
      <c r="I3445" s="1039">
        <f>PUCFD!E3023</f>
        <v>0.01</v>
      </c>
    </row>
    <row r="3446" spans="2:9" ht="24.95" customHeight="1" x14ac:dyDescent="0.25">
      <c r="B3446" s="973">
        <v>154000</v>
      </c>
      <c r="C3446" s="974">
        <v>333904900000000</v>
      </c>
      <c r="D3446" s="973" t="s">
        <v>6585</v>
      </c>
      <c r="F3446" s="975">
        <v>4070</v>
      </c>
      <c r="G3446" s="945">
        <v>0</v>
      </c>
      <c r="I3446" s="1039">
        <f>PUCFD!E3024</f>
        <v>0.01</v>
      </c>
    </row>
    <row r="3447" spans="2:9" ht="24.95" customHeight="1" x14ac:dyDescent="0.25">
      <c r="B3447" s="973">
        <v>154100</v>
      </c>
      <c r="C3447" s="974">
        <v>344905200000000</v>
      </c>
      <c r="D3447" s="973" t="s">
        <v>6586</v>
      </c>
      <c r="F3447" s="975">
        <v>4070</v>
      </c>
      <c r="G3447" s="945">
        <v>0</v>
      </c>
      <c r="I3447" s="1039">
        <f>PUCFD!E3025</f>
        <v>0.01</v>
      </c>
    </row>
    <row r="3448" spans="2:9" ht="24.95" customHeight="1" x14ac:dyDescent="0.25">
      <c r="B3448" s="962" t="s">
        <v>3138</v>
      </c>
      <c r="C3448" s="959">
        <v>10</v>
      </c>
      <c r="D3448" s="962" t="s">
        <v>5246</v>
      </c>
      <c r="E3448" s="946"/>
      <c r="F3448" s="975"/>
      <c r="G3448" s="973"/>
      <c r="I3448" s="1024">
        <f>I3449</f>
        <v>93943.26999999999</v>
      </c>
    </row>
    <row r="3449" spans="2:9" ht="24.95" customHeight="1" x14ac:dyDescent="0.25">
      <c r="B3449" s="962" t="s">
        <v>3139</v>
      </c>
      <c r="C3449" s="959">
        <v>301</v>
      </c>
      <c r="D3449" s="962" t="s">
        <v>5303</v>
      </c>
      <c r="E3449" s="946"/>
      <c r="F3449" s="975"/>
      <c r="G3449" s="973"/>
      <c r="I3449" s="1024">
        <f>I3450</f>
        <v>93943.26999999999</v>
      </c>
    </row>
    <row r="3450" spans="2:9" ht="24.95" customHeight="1" x14ac:dyDescent="0.25">
      <c r="B3450" s="963" t="s">
        <v>2965</v>
      </c>
      <c r="C3450" s="959">
        <v>29</v>
      </c>
      <c r="D3450" s="963" t="s">
        <v>5495</v>
      </c>
      <c r="E3450" s="946"/>
      <c r="F3450" s="960"/>
      <c r="G3450" s="963"/>
      <c r="H3450" s="963"/>
      <c r="I3450" s="957">
        <f>SUM(I3451:I3459)</f>
        <v>93943.26999999999</v>
      </c>
    </row>
    <row r="3451" spans="2:9" ht="24.95" customHeight="1" x14ac:dyDescent="0.25">
      <c r="B3451" s="945">
        <v>156000</v>
      </c>
      <c r="C3451" s="974">
        <v>331903400000000</v>
      </c>
      <c r="D3451" s="973" t="s">
        <v>5496</v>
      </c>
      <c r="F3451" s="949">
        <v>4011</v>
      </c>
      <c r="G3451" s="945">
        <v>0</v>
      </c>
      <c r="I3451" s="951">
        <f>PUCFD!E3027</f>
        <v>15000</v>
      </c>
    </row>
    <row r="3452" spans="2:9" ht="24.95" customHeight="1" x14ac:dyDescent="0.25">
      <c r="B3452" s="973">
        <v>156100</v>
      </c>
      <c r="C3452" s="974">
        <v>333901400000000</v>
      </c>
      <c r="D3452" s="973" t="s">
        <v>6590</v>
      </c>
      <c r="F3452" s="975">
        <v>4011</v>
      </c>
      <c r="G3452" s="945">
        <v>0</v>
      </c>
      <c r="I3452" s="951">
        <f>PUCFD!E3028</f>
        <v>5000</v>
      </c>
    </row>
    <row r="3453" spans="2:9" ht="24.95" customHeight="1" x14ac:dyDescent="0.25">
      <c r="B3453" s="973">
        <v>156200</v>
      </c>
      <c r="C3453" s="974">
        <v>333903000000000</v>
      </c>
      <c r="D3453" s="973" t="s">
        <v>6587</v>
      </c>
      <c r="F3453" s="975">
        <v>4011</v>
      </c>
      <c r="G3453" s="945">
        <v>0</v>
      </c>
      <c r="I3453" s="951">
        <f>PUCFD!E3029</f>
        <v>25000</v>
      </c>
    </row>
    <row r="3454" spans="2:9" ht="24.95" customHeight="1" x14ac:dyDescent="0.25">
      <c r="B3454" s="973">
        <v>156300</v>
      </c>
      <c r="C3454" s="974">
        <v>333903200000000</v>
      </c>
      <c r="D3454" s="973" t="s">
        <v>6591</v>
      </c>
      <c r="F3454" s="975">
        <v>4011</v>
      </c>
      <c r="G3454" s="945">
        <v>0</v>
      </c>
      <c r="I3454" s="951">
        <f>PUCFD!E3030+5348.71</f>
        <v>31941.269999999997</v>
      </c>
    </row>
    <row r="3455" spans="2:9" ht="24.95" customHeight="1" x14ac:dyDescent="0.25">
      <c r="B3455" s="973">
        <v>156400</v>
      </c>
      <c r="C3455" s="974">
        <v>333903600000000</v>
      </c>
      <c r="D3455" s="973" t="s">
        <v>6588</v>
      </c>
      <c r="F3455" s="975">
        <v>4011</v>
      </c>
      <c r="G3455" s="945">
        <v>0</v>
      </c>
      <c r="I3455" s="951">
        <f>PUCFD!E3031</f>
        <v>10000</v>
      </c>
    </row>
    <row r="3456" spans="2:9" ht="24.95" customHeight="1" x14ac:dyDescent="0.25">
      <c r="B3456" s="973">
        <v>156500</v>
      </c>
      <c r="C3456" s="974">
        <v>333903900000000</v>
      </c>
      <c r="D3456" s="973" t="s">
        <v>6589</v>
      </c>
      <c r="F3456" s="975">
        <v>4011</v>
      </c>
      <c r="G3456" s="945">
        <v>0</v>
      </c>
      <c r="I3456" s="951">
        <f>PUCFD!E3032</f>
        <v>5000</v>
      </c>
    </row>
    <row r="3457" spans="2:9" ht="24.95" customHeight="1" x14ac:dyDescent="0.25">
      <c r="B3457" s="973">
        <v>156600</v>
      </c>
      <c r="C3457" s="974">
        <v>333904700000000</v>
      </c>
      <c r="D3457" s="973" t="s">
        <v>6592</v>
      </c>
      <c r="F3457" s="975">
        <v>4011</v>
      </c>
      <c r="G3457" s="945">
        <v>0</v>
      </c>
      <c r="I3457" s="951">
        <f>PUCFD!E3033</f>
        <v>2000</v>
      </c>
    </row>
    <row r="3458" spans="2:9" ht="24.95" customHeight="1" x14ac:dyDescent="0.25">
      <c r="B3458" s="973">
        <v>156700</v>
      </c>
      <c r="C3458" s="974">
        <v>344905100000000</v>
      </c>
      <c r="D3458" s="973" t="s">
        <v>6593</v>
      </c>
      <c r="F3458" s="975">
        <v>4011</v>
      </c>
      <c r="G3458" s="945">
        <v>0</v>
      </c>
      <c r="I3458" s="951">
        <f>PUCFD!E3034</f>
        <v>1</v>
      </c>
    </row>
    <row r="3459" spans="2:9" ht="24.95" customHeight="1" x14ac:dyDescent="0.25">
      <c r="B3459" s="973">
        <v>156800</v>
      </c>
      <c r="C3459" s="974">
        <v>344905200000000</v>
      </c>
      <c r="D3459" s="973" t="s">
        <v>6594</v>
      </c>
      <c r="F3459" s="975">
        <v>4011</v>
      </c>
      <c r="G3459" s="945">
        <v>0</v>
      </c>
      <c r="I3459" s="951">
        <f>PUCFD!E3035</f>
        <v>1</v>
      </c>
    </row>
    <row r="3460" spans="2:9" ht="24.95" customHeight="1" x14ac:dyDescent="0.25">
      <c r="B3460" s="962" t="s">
        <v>3138</v>
      </c>
      <c r="C3460" s="959">
        <v>10</v>
      </c>
      <c r="D3460" s="962" t="s">
        <v>5246</v>
      </c>
      <c r="E3460" s="946"/>
      <c r="F3460" s="975"/>
      <c r="G3460" s="973"/>
      <c r="I3460" s="1024">
        <f>I3461</f>
        <v>1090.6100000000001</v>
      </c>
    </row>
    <row r="3461" spans="2:9" ht="24.95" customHeight="1" x14ac:dyDescent="0.25">
      <c r="B3461" s="962" t="s">
        <v>3139</v>
      </c>
      <c r="C3461" s="959">
        <v>301</v>
      </c>
      <c r="D3461" s="962" t="s">
        <v>5303</v>
      </c>
      <c r="E3461" s="946"/>
      <c r="F3461" s="975"/>
      <c r="G3461" s="973"/>
      <c r="I3461" s="1024">
        <f>I3462</f>
        <v>1090.6100000000001</v>
      </c>
    </row>
    <row r="3462" spans="2:9" ht="24.95" customHeight="1" x14ac:dyDescent="0.25">
      <c r="B3462" s="963" t="s">
        <v>2965</v>
      </c>
      <c r="C3462" s="959">
        <v>29</v>
      </c>
      <c r="D3462" s="963" t="s">
        <v>5495</v>
      </c>
      <c r="E3462" s="946"/>
      <c r="F3462" s="960"/>
      <c r="G3462" s="963"/>
      <c r="H3462" s="963"/>
      <c r="I3462" s="957">
        <f>I3463</f>
        <v>1090.6100000000001</v>
      </c>
    </row>
    <row r="3463" spans="2:9" ht="24.95" customHeight="1" x14ac:dyDescent="0.25">
      <c r="B3463" s="973">
        <v>156850</v>
      </c>
      <c r="C3463" s="974">
        <v>333309300000000</v>
      </c>
      <c r="D3463" s="973" t="s">
        <v>5500</v>
      </c>
      <c r="F3463" s="975">
        <v>4090</v>
      </c>
      <c r="G3463" s="945">
        <v>0</v>
      </c>
      <c r="I3463" s="1039">
        <f>PUCFD!E3037-359.33</f>
        <v>1090.6100000000001</v>
      </c>
    </row>
    <row r="3464" spans="2:9" s="946" customFormat="1" ht="24.95" customHeight="1" x14ac:dyDescent="0.25">
      <c r="B3464" s="962" t="s">
        <v>3138</v>
      </c>
      <c r="C3464" s="959">
        <v>10</v>
      </c>
      <c r="D3464" s="962" t="s">
        <v>5246</v>
      </c>
      <c r="E3464" s="954"/>
      <c r="F3464" s="960"/>
      <c r="H3464" s="956"/>
      <c r="I3464" s="1024">
        <f>I3465</f>
        <v>33248.39</v>
      </c>
    </row>
    <row r="3465" spans="2:9" s="946" customFormat="1" ht="24.95" customHeight="1" x14ac:dyDescent="0.25">
      <c r="B3465" s="962" t="s">
        <v>3139</v>
      </c>
      <c r="C3465" s="959">
        <v>302</v>
      </c>
      <c r="D3465" s="962" t="s">
        <v>5304</v>
      </c>
      <c r="E3465" s="954"/>
      <c r="F3465" s="960"/>
      <c r="H3465" s="956"/>
      <c r="I3465" s="1024">
        <f>I3466</f>
        <v>33248.39</v>
      </c>
    </row>
    <row r="3466" spans="2:9" s="946" customFormat="1" ht="24.95" customHeight="1" x14ac:dyDescent="0.25">
      <c r="B3466" s="963" t="s">
        <v>2965</v>
      </c>
      <c r="C3466" s="959">
        <v>42</v>
      </c>
      <c r="D3466" s="963" t="s">
        <v>5497</v>
      </c>
      <c r="E3466" s="954"/>
      <c r="F3466" s="960"/>
      <c r="H3466" s="956"/>
      <c r="I3466" s="957">
        <f>SUM(I3467:I3477)</f>
        <v>33248.39</v>
      </c>
    </row>
    <row r="3467" spans="2:9" ht="24.95" customHeight="1" x14ac:dyDescent="0.25">
      <c r="B3467" s="973">
        <v>158000</v>
      </c>
      <c r="C3467" s="974">
        <v>331901300000000</v>
      </c>
      <c r="D3467" s="973" t="s">
        <v>6596</v>
      </c>
      <c r="F3467" s="975">
        <v>4011</v>
      </c>
      <c r="G3467" s="945">
        <v>0</v>
      </c>
      <c r="I3467" s="1039">
        <f>PUCFD!E3039</f>
        <v>1</v>
      </c>
    </row>
    <row r="3468" spans="2:9" ht="24.95" customHeight="1" x14ac:dyDescent="0.25">
      <c r="B3468" s="973">
        <v>158100</v>
      </c>
      <c r="C3468" s="974">
        <v>331903400000000</v>
      </c>
      <c r="D3468" s="973" t="s">
        <v>5503</v>
      </c>
      <c r="F3468" s="975">
        <v>4011</v>
      </c>
      <c r="G3468" s="945">
        <v>0</v>
      </c>
      <c r="I3468" s="1039">
        <f>PUCFD!E3040</f>
        <v>10000</v>
      </c>
    </row>
    <row r="3469" spans="2:9" ht="24.95" customHeight="1" x14ac:dyDescent="0.25">
      <c r="B3469" s="973">
        <v>158200</v>
      </c>
      <c r="C3469" s="974">
        <v>333901400000000</v>
      </c>
      <c r="D3469" s="973" t="s">
        <v>5504</v>
      </c>
      <c r="F3469" s="975">
        <v>4011</v>
      </c>
      <c r="G3469" s="945">
        <v>0</v>
      </c>
      <c r="I3469" s="1039">
        <f>PUCFD!E3041</f>
        <v>1000</v>
      </c>
    </row>
    <row r="3470" spans="2:9" ht="24.95" customHeight="1" x14ac:dyDescent="0.25">
      <c r="B3470" s="973">
        <v>158300</v>
      </c>
      <c r="C3470" s="974">
        <v>333903000000000</v>
      </c>
      <c r="D3470" s="973" t="s">
        <v>5383</v>
      </c>
      <c r="F3470" s="975">
        <v>4011</v>
      </c>
      <c r="G3470" s="945">
        <v>0</v>
      </c>
      <c r="I3470" s="1039">
        <f>PUCFD!E3042</f>
        <v>10000</v>
      </c>
    </row>
    <row r="3471" spans="2:9" ht="24.95" customHeight="1" x14ac:dyDescent="0.25">
      <c r="B3471" s="973">
        <v>158400</v>
      </c>
      <c r="C3471" s="974">
        <v>333903200000000</v>
      </c>
      <c r="D3471" s="973" t="s">
        <v>6597</v>
      </c>
      <c r="F3471" s="975">
        <v>4011</v>
      </c>
      <c r="G3471" s="945">
        <v>0</v>
      </c>
      <c r="I3471" s="1039">
        <f>PUCFD!E3043</f>
        <v>7242.3899999999994</v>
      </c>
    </row>
    <row r="3472" spans="2:9" ht="24.95" customHeight="1" x14ac:dyDescent="0.25">
      <c r="B3472" s="973">
        <v>158500</v>
      </c>
      <c r="C3472" s="974">
        <v>333903600000000</v>
      </c>
      <c r="D3472" s="973" t="s">
        <v>5505</v>
      </c>
      <c r="F3472" s="975">
        <v>4011</v>
      </c>
      <c r="G3472" s="945">
        <v>0</v>
      </c>
      <c r="I3472" s="1039">
        <f>PUCFD!E3044</f>
        <v>1</v>
      </c>
    </row>
    <row r="3473" spans="2:9" ht="24.95" customHeight="1" x14ac:dyDescent="0.25">
      <c r="B3473" s="973">
        <v>158600</v>
      </c>
      <c r="C3473" s="974">
        <v>333903900000000</v>
      </c>
      <c r="D3473" s="973" t="s">
        <v>5506</v>
      </c>
      <c r="F3473" s="975">
        <v>4011</v>
      </c>
      <c r="G3473" s="945">
        <v>0</v>
      </c>
      <c r="I3473" s="1039">
        <f>PUCFD!E3045</f>
        <v>5000</v>
      </c>
    </row>
    <row r="3474" spans="2:9" ht="24.95" customHeight="1" x14ac:dyDescent="0.25">
      <c r="B3474" s="973">
        <v>158700</v>
      </c>
      <c r="C3474" s="974">
        <v>333904600000000</v>
      </c>
      <c r="D3474" s="973" t="s">
        <v>6595</v>
      </c>
      <c r="F3474" s="975">
        <v>4011</v>
      </c>
      <c r="G3474" s="945">
        <v>0</v>
      </c>
      <c r="I3474" s="1039">
        <f>PUCFD!E3046</f>
        <v>1</v>
      </c>
    </row>
    <row r="3475" spans="2:9" ht="24.95" customHeight="1" x14ac:dyDescent="0.25">
      <c r="B3475" s="973">
        <v>158800</v>
      </c>
      <c r="C3475" s="974">
        <v>333904700000000</v>
      </c>
      <c r="D3475" s="973" t="s">
        <v>5507</v>
      </c>
      <c r="F3475" s="975">
        <v>4011</v>
      </c>
      <c r="G3475" s="945">
        <v>0</v>
      </c>
      <c r="I3475" s="1039">
        <f>PUCFD!E3047</f>
        <v>1</v>
      </c>
    </row>
    <row r="3476" spans="2:9" ht="24.95" customHeight="1" x14ac:dyDescent="0.25">
      <c r="B3476" s="973">
        <v>158900</v>
      </c>
      <c r="C3476" s="974">
        <v>344905100000000</v>
      </c>
      <c r="D3476" s="973" t="s">
        <v>5394</v>
      </c>
      <c r="F3476" s="975">
        <v>4011</v>
      </c>
      <c r="G3476" s="945">
        <v>0</v>
      </c>
      <c r="I3476" s="1039">
        <f>PUCFD!E3048</f>
        <v>1</v>
      </c>
    </row>
    <row r="3477" spans="2:9" ht="24.95" customHeight="1" x14ac:dyDescent="0.25">
      <c r="B3477" s="973">
        <v>159000</v>
      </c>
      <c r="C3477" s="974">
        <v>344905100000000</v>
      </c>
      <c r="D3477" s="973" t="s">
        <v>6555</v>
      </c>
      <c r="F3477" s="975">
        <v>4011</v>
      </c>
      <c r="G3477" s="945">
        <v>0</v>
      </c>
      <c r="I3477" s="1039">
        <f>PUCFD!E3049</f>
        <v>1</v>
      </c>
    </row>
    <row r="3478" spans="2:9" s="946" customFormat="1" ht="24.95" customHeight="1" x14ac:dyDescent="0.25">
      <c r="B3478" s="962" t="s">
        <v>3138</v>
      </c>
      <c r="C3478" s="959">
        <v>10</v>
      </c>
      <c r="D3478" s="962" t="s">
        <v>5246</v>
      </c>
      <c r="E3478" s="954"/>
      <c r="F3478" s="960"/>
      <c r="H3478" s="956"/>
      <c r="I3478" s="1024">
        <f>I3479</f>
        <v>1.0440484557497482</v>
      </c>
    </row>
    <row r="3479" spans="2:9" s="946" customFormat="1" ht="24.95" customHeight="1" x14ac:dyDescent="0.25">
      <c r="B3479" s="962" t="s">
        <v>3139</v>
      </c>
      <c r="C3479" s="959">
        <v>302</v>
      </c>
      <c r="D3479" s="962" t="s">
        <v>5304</v>
      </c>
      <c r="E3479" s="954"/>
      <c r="F3479" s="960"/>
      <c r="H3479" s="956"/>
      <c r="I3479" s="1024">
        <f>I3480</f>
        <v>1.0440484557497482</v>
      </c>
    </row>
    <row r="3480" spans="2:9" s="946" customFormat="1" ht="24.95" customHeight="1" x14ac:dyDescent="0.25">
      <c r="B3480" s="963" t="s">
        <v>2965</v>
      </c>
      <c r="C3480" s="959">
        <v>42</v>
      </c>
      <c r="D3480" s="963" t="s">
        <v>5497</v>
      </c>
      <c r="E3480" s="954"/>
      <c r="F3480" s="960"/>
      <c r="H3480" s="956"/>
      <c r="I3480" s="957">
        <f>SUM(I3481:I3485)</f>
        <v>1.0440484557497482</v>
      </c>
    </row>
    <row r="3481" spans="2:9" ht="24.95" customHeight="1" x14ac:dyDescent="0.25">
      <c r="B3481" s="973">
        <v>159100</v>
      </c>
      <c r="C3481" s="974">
        <v>333903000000000</v>
      </c>
      <c r="D3481" s="973" t="s">
        <v>5383</v>
      </c>
      <c r="F3481" s="975">
        <v>4230</v>
      </c>
      <c r="G3481" s="945">
        <v>0</v>
      </c>
      <c r="I3481" s="1039">
        <f>PUCFD!E3051</f>
        <v>0.01</v>
      </c>
    </row>
    <row r="3482" spans="2:9" ht="24.95" customHeight="1" x14ac:dyDescent="0.25">
      <c r="B3482" s="973">
        <v>159130</v>
      </c>
      <c r="C3482" s="974">
        <v>333903200000000</v>
      </c>
      <c r="D3482" s="973" t="s">
        <v>6597</v>
      </c>
      <c r="F3482" s="975">
        <v>4230</v>
      </c>
      <c r="G3482" s="945">
        <v>0</v>
      </c>
      <c r="I3482" s="1039">
        <f>PUCFD!E3052</f>
        <v>0.01</v>
      </c>
    </row>
    <row r="3483" spans="2:9" ht="24.95" customHeight="1" x14ac:dyDescent="0.25">
      <c r="B3483" s="973">
        <v>159160</v>
      </c>
      <c r="C3483" s="974">
        <v>333903600000000</v>
      </c>
      <c r="D3483" s="973" t="s">
        <v>5505</v>
      </c>
      <c r="F3483" s="975">
        <v>4230</v>
      </c>
      <c r="G3483" s="945">
        <v>0</v>
      </c>
      <c r="I3483" s="1039">
        <f>PUCFD!E3053</f>
        <v>0.01</v>
      </c>
    </row>
    <row r="3484" spans="2:9" ht="24.95" customHeight="1" x14ac:dyDescent="0.25">
      <c r="B3484" s="973">
        <v>159190</v>
      </c>
      <c r="C3484" s="974">
        <v>333903900000000</v>
      </c>
      <c r="D3484" s="973" t="s">
        <v>5506</v>
      </c>
      <c r="F3484" s="975">
        <v>4230</v>
      </c>
      <c r="G3484" s="945">
        <v>0</v>
      </c>
      <c r="I3484" s="1039">
        <f>PUCFD!E3054</f>
        <v>1.0040484557497482</v>
      </c>
    </row>
    <row r="3485" spans="2:9" ht="24.95" customHeight="1" x14ac:dyDescent="0.25">
      <c r="B3485" s="973">
        <v>159210</v>
      </c>
      <c r="C3485" s="974">
        <v>333904700000000</v>
      </c>
      <c r="D3485" s="973" t="s">
        <v>5507</v>
      </c>
      <c r="F3485" s="975">
        <v>4230</v>
      </c>
      <c r="G3485" s="945">
        <v>0</v>
      </c>
      <c r="I3485" s="1039">
        <f>PUCFD!E3055</f>
        <v>0.01</v>
      </c>
    </row>
    <row r="3486" spans="2:9" ht="24.95" customHeight="1" x14ac:dyDescent="0.25">
      <c r="B3486" s="962" t="s">
        <v>3138</v>
      </c>
      <c r="C3486" s="959">
        <v>10</v>
      </c>
      <c r="D3486" s="962" t="s">
        <v>5246</v>
      </c>
      <c r="F3486" s="975"/>
      <c r="I3486" s="1024">
        <f>I3487</f>
        <v>11094.791107133206</v>
      </c>
    </row>
    <row r="3487" spans="2:9" ht="24.95" customHeight="1" x14ac:dyDescent="0.25">
      <c r="B3487" s="962" t="s">
        <v>3139</v>
      </c>
      <c r="C3487" s="959">
        <v>303</v>
      </c>
      <c r="D3487" s="962" t="s">
        <v>5418</v>
      </c>
      <c r="F3487" s="975"/>
      <c r="I3487" s="1024">
        <f>I3488</f>
        <v>11094.791107133206</v>
      </c>
    </row>
    <row r="3488" spans="2:9" s="946" customFormat="1" ht="24.95" customHeight="1" x14ac:dyDescent="0.25">
      <c r="B3488" s="963" t="s">
        <v>2965</v>
      </c>
      <c r="C3488" s="959">
        <v>43</v>
      </c>
      <c r="D3488" s="963" t="s">
        <v>5498</v>
      </c>
      <c r="E3488" s="954"/>
      <c r="F3488" s="960"/>
      <c r="H3488" s="956"/>
      <c r="I3488" s="957">
        <f>I3489+I3490</f>
        <v>11094.791107133206</v>
      </c>
    </row>
    <row r="3489" spans="2:9" ht="33.75" customHeight="1" x14ac:dyDescent="0.25">
      <c r="B3489" s="973">
        <v>160000</v>
      </c>
      <c r="C3489" s="974">
        <v>333903000000000</v>
      </c>
      <c r="D3489" s="973" t="s">
        <v>6599</v>
      </c>
      <c r="F3489" s="975">
        <v>4050</v>
      </c>
      <c r="G3489" s="945">
        <v>0</v>
      </c>
      <c r="I3489" s="1039">
        <f>PUCFD!E3057</f>
        <v>0.01</v>
      </c>
    </row>
    <row r="3490" spans="2:9" ht="32.25" customHeight="1" x14ac:dyDescent="0.25">
      <c r="B3490" s="973">
        <v>160100</v>
      </c>
      <c r="C3490" s="974">
        <v>333903200000000</v>
      </c>
      <c r="D3490" s="973" t="s">
        <v>6598</v>
      </c>
      <c r="F3490" s="975">
        <v>4050</v>
      </c>
      <c r="G3490" s="945">
        <v>0</v>
      </c>
      <c r="I3490" s="1039">
        <f>PUCFD!E3058+466.22-466.23</f>
        <v>11094.781107133205</v>
      </c>
    </row>
    <row r="3491" spans="2:9" ht="24.95" customHeight="1" x14ac:dyDescent="0.25">
      <c r="B3491" s="962" t="s">
        <v>3138</v>
      </c>
      <c r="C3491" s="959">
        <v>10</v>
      </c>
      <c r="D3491" s="962" t="s">
        <v>5246</v>
      </c>
      <c r="F3491" s="975"/>
      <c r="I3491" s="1024">
        <f>I3492</f>
        <v>11508.400828872211</v>
      </c>
    </row>
    <row r="3492" spans="2:9" ht="24.95" customHeight="1" x14ac:dyDescent="0.25">
      <c r="B3492" s="962" t="s">
        <v>3139</v>
      </c>
      <c r="C3492" s="959">
        <v>303</v>
      </c>
      <c r="D3492" s="962" t="s">
        <v>5418</v>
      </c>
      <c r="F3492" s="975"/>
      <c r="I3492" s="1024">
        <f>I3493</f>
        <v>11508.400828872211</v>
      </c>
    </row>
    <row r="3493" spans="2:9" s="946" customFormat="1" ht="24.95" customHeight="1" x14ac:dyDescent="0.25">
      <c r="B3493" s="963" t="s">
        <v>2965</v>
      </c>
      <c r="C3493" s="959">
        <v>43</v>
      </c>
      <c r="D3493" s="963" t="s">
        <v>5498</v>
      </c>
      <c r="E3493" s="954"/>
      <c r="F3493" s="960"/>
      <c r="H3493" s="956"/>
      <c r="I3493" s="957">
        <f>I3494+I3495</f>
        <v>11508.400828872211</v>
      </c>
    </row>
    <row r="3494" spans="2:9" ht="24.95" customHeight="1" x14ac:dyDescent="0.25">
      <c r="B3494" s="973">
        <v>160200</v>
      </c>
      <c r="C3494" s="974">
        <v>333903000000000</v>
      </c>
      <c r="D3494" s="973" t="s">
        <v>6600</v>
      </c>
      <c r="F3494" s="975">
        <v>4051</v>
      </c>
      <c r="G3494" s="945">
        <v>0</v>
      </c>
      <c r="I3494" s="1039">
        <f>PUCFD!E3060</f>
        <v>0.01</v>
      </c>
    </row>
    <row r="3495" spans="2:9" ht="33" customHeight="1" x14ac:dyDescent="0.25">
      <c r="B3495" s="973">
        <v>160300</v>
      </c>
      <c r="C3495" s="974">
        <v>333903200000000</v>
      </c>
      <c r="D3495" s="973" t="s">
        <v>6601</v>
      </c>
      <c r="F3495" s="975">
        <v>4051</v>
      </c>
      <c r="G3495" s="945">
        <v>0</v>
      </c>
      <c r="I3495" s="1039">
        <f>PUCFD!E3061+482.92-482.92</f>
        <v>11508.39082887221</v>
      </c>
    </row>
    <row r="3496" spans="2:9" ht="24.95" customHeight="1" x14ac:dyDescent="0.25">
      <c r="B3496" s="962" t="s">
        <v>3138</v>
      </c>
      <c r="C3496" s="959">
        <v>10</v>
      </c>
      <c r="D3496" s="962" t="s">
        <v>5246</v>
      </c>
      <c r="F3496" s="975"/>
      <c r="I3496" s="1024">
        <f>I3497</f>
        <v>3.1705912952378981</v>
      </c>
    </row>
    <row r="3497" spans="2:9" ht="24.95" customHeight="1" x14ac:dyDescent="0.25">
      <c r="B3497" s="962" t="s">
        <v>3139</v>
      </c>
      <c r="C3497" s="959">
        <v>305</v>
      </c>
      <c r="D3497" s="962" t="s">
        <v>5441</v>
      </c>
      <c r="F3497" s="975"/>
      <c r="I3497" s="1024">
        <f>I3498</f>
        <v>3.1705912952378981</v>
      </c>
    </row>
    <row r="3498" spans="2:9" s="946" customFormat="1" ht="24.95" customHeight="1" x14ac:dyDescent="0.25">
      <c r="B3498" s="963" t="s">
        <v>2965</v>
      </c>
      <c r="C3498" s="959">
        <v>46</v>
      </c>
      <c r="D3498" s="963" t="s">
        <v>5499</v>
      </c>
      <c r="E3498" s="954"/>
      <c r="F3498" s="960"/>
      <c r="H3498" s="956"/>
      <c r="I3498" s="957">
        <f>SUM(I3499:I3505)</f>
        <v>3.1705912952378981</v>
      </c>
    </row>
    <row r="3499" spans="2:9" ht="24.95" customHeight="1" x14ac:dyDescent="0.25">
      <c r="B3499" s="973">
        <v>161000</v>
      </c>
      <c r="C3499" s="974">
        <v>333901400000000</v>
      </c>
      <c r="D3499" s="973" t="s">
        <v>5501</v>
      </c>
      <c r="F3499" s="975">
        <v>4190</v>
      </c>
      <c r="G3499" s="945">
        <v>0</v>
      </c>
      <c r="I3499" s="1039">
        <f>PUCFD!E3063</f>
        <v>0.01</v>
      </c>
    </row>
    <row r="3500" spans="2:9" ht="24.95" customHeight="1" x14ac:dyDescent="0.25">
      <c r="B3500" s="973">
        <v>161100</v>
      </c>
      <c r="C3500" s="974">
        <v>333903000000000</v>
      </c>
      <c r="D3500" s="973" t="s">
        <v>5450</v>
      </c>
      <c r="F3500" s="975">
        <v>4190</v>
      </c>
      <c r="G3500" s="945">
        <v>0</v>
      </c>
      <c r="I3500" s="1039">
        <f>PUCFD!E3064+0.1-0.11</f>
        <v>3.1105912952378993</v>
      </c>
    </row>
    <row r="3501" spans="2:9" ht="24.95" customHeight="1" x14ac:dyDescent="0.25">
      <c r="B3501" s="973">
        <v>161200</v>
      </c>
      <c r="C3501" s="974">
        <v>333903600000000</v>
      </c>
      <c r="D3501" s="973" t="s">
        <v>5453</v>
      </c>
      <c r="F3501" s="975">
        <v>4190</v>
      </c>
      <c r="G3501" s="945">
        <v>0</v>
      </c>
      <c r="I3501" s="1039">
        <f>PUCFD!E3065</f>
        <v>0.01</v>
      </c>
    </row>
    <row r="3502" spans="2:9" ht="24.95" customHeight="1" x14ac:dyDescent="0.25">
      <c r="B3502" s="973">
        <v>161300</v>
      </c>
      <c r="C3502" s="974">
        <v>333903900000000</v>
      </c>
      <c r="D3502" s="973" t="s">
        <v>5454</v>
      </c>
      <c r="F3502" s="975">
        <v>4190</v>
      </c>
      <c r="G3502" s="945">
        <v>0</v>
      </c>
      <c r="I3502" s="1039">
        <f>PUCFD!E3066</f>
        <v>0.01</v>
      </c>
    </row>
    <row r="3503" spans="2:9" ht="33.75" customHeight="1" x14ac:dyDescent="0.25">
      <c r="B3503" s="973">
        <v>161400</v>
      </c>
      <c r="C3503" s="974">
        <v>333904700000000</v>
      </c>
      <c r="D3503" s="973" t="s">
        <v>6602</v>
      </c>
      <c r="F3503" s="975">
        <v>4190</v>
      </c>
      <c r="G3503" s="945">
        <v>0</v>
      </c>
      <c r="I3503" s="1039">
        <f>PUCFD!E3067</f>
        <v>0.01</v>
      </c>
    </row>
    <row r="3504" spans="2:9" ht="24.95" customHeight="1" x14ac:dyDescent="0.25">
      <c r="B3504" s="973">
        <v>161500</v>
      </c>
      <c r="C3504" s="974">
        <v>344905100000000</v>
      </c>
      <c r="D3504" s="973" t="s">
        <v>5461</v>
      </c>
      <c r="F3504" s="975">
        <v>4190</v>
      </c>
      <c r="G3504" s="945">
        <v>0</v>
      </c>
      <c r="I3504" s="1039">
        <f>PUCFD!E3068</f>
        <v>0.01</v>
      </c>
    </row>
    <row r="3505" spans="2:10" ht="24.95" customHeight="1" x14ac:dyDescent="0.25">
      <c r="B3505" s="973">
        <v>161600</v>
      </c>
      <c r="C3505" s="974">
        <v>344905200000000</v>
      </c>
      <c r="D3505" s="973" t="s">
        <v>5462</v>
      </c>
      <c r="F3505" s="975">
        <v>4190</v>
      </c>
      <c r="G3505" s="945">
        <v>0</v>
      </c>
      <c r="I3505" s="1039">
        <f>PUCFD!E3069</f>
        <v>0.01</v>
      </c>
    </row>
    <row r="3506" spans="2:10" ht="24.95" customHeight="1" x14ac:dyDescent="0.25">
      <c r="B3506" s="1608" t="s">
        <v>5290</v>
      </c>
      <c r="C3506" s="1608"/>
      <c r="D3506" s="1608"/>
      <c r="E3506" s="1608"/>
      <c r="F3506" s="1608"/>
      <c r="G3506" s="1608"/>
      <c r="H3506" s="1608"/>
      <c r="I3506" s="1024">
        <f>I3416+I3425+I3434+I3450+I3462+I3466+I3488+I3493+I3498+I3480</f>
        <v>236059.10859325153</v>
      </c>
    </row>
    <row r="3507" spans="2:10" ht="24.95" customHeight="1" x14ac:dyDescent="0.25">
      <c r="B3507" s="1608" t="s">
        <v>5502</v>
      </c>
      <c r="C3507" s="1608"/>
      <c r="D3507" s="1608"/>
      <c r="E3507" s="1608"/>
      <c r="F3507" s="1608"/>
      <c r="G3507" s="1608"/>
      <c r="H3507" s="1608"/>
      <c r="I3507" s="1024">
        <f>I3506</f>
        <v>236059.10859325153</v>
      </c>
    </row>
    <row r="3508" spans="2:10" ht="24.95" customHeight="1" x14ac:dyDescent="0.25">
      <c r="B3508" s="987"/>
      <c r="C3508" s="987"/>
      <c r="D3508" s="987"/>
      <c r="E3508" s="954" t="s">
        <v>4777</v>
      </c>
      <c r="F3508" s="960"/>
      <c r="G3508" s="960"/>
      <c r="H3508" s="958"/>
      <c r="I3508" s="1030"/>
    </row>
    <row r="3509" spans="2:10" ht="24.95" customHeight="1" x14ac:dyDescent="0.25">
      <c r="B3509" s="987"/>
      <c r="C3509" s="987"/>
      <c r="D3509" s="987"/>
      <c r="F3509" s="949">
        <v>1</v>
      </c>
      <c r="G3509" s="945">
        <v>0</v>
      </c>
      <c r="H3509" s="950">
        <v>0</v>
      </c>
      <c r="I3509" s="951">
        <f>I3436</f>
        <v>0.01</v>
      </c>
    </row>
    <row r="3510" spans="2:10" ht="24.95" customHeight="1" x14ac:dyDescent="0.25">
      <c r="F3510" s="949">
        <v>4011</v>
      </c>
      <c r="G3510" s="945">
        <v>0</v>
      </c>
      <c r="H3510" s="950">
        <v>0</v>
      </c>
      <c r="I3510" s="951">
        <f>I3466+I3450+I3425</f>
        <v>127191.71999999999</v>
      </c>
      <c r="J3510" s="990"/>
    </row>
    <row r="3511" spans="2:10" ht="24.95" customHeight="1" x14ac:dyDescent="0.25">
      <c r="F3511" s="949">
        <v>4050</v>
      </c>
      <c r="G3511" s="945">
        <v>0</v>
      </c>
      <c r="H3511" s="950">
        <v>0</v>
      </c>
      <c r="I3511" s="951">
        <f>I3488</f>
        <v>11094.791107133206</v>
      </c>
    </row>
    <row r="3512" spans="2:10" ht="24.95" customHeight="1" x14ac:dyDescent="0.25">
      <c r="F3512" s="949">
        <v>4051</v>
      </c>
      <c r="G3512" s="945">
        <v>0</v>
      </c>
      <c r="H3512" s="950">
        <v>0</v>
      </c>
      <c r="I3512" s="951">
        <f>I3493</f>
        <v>11508.400828872211</v>
      </c>
    </row>
    <row r="3513" spans="2:10" ht="24.95" customHeight="1" x14ac:dyDescent="0.25">
      <c r="F3513" s="949">
        <v>4070</v>
      </c>
      <c r="G3513" s="945">
        <v>0</v>
      </c>
      <c r="H3513" s="950">
        <v>0</v>
      </c>
      <c r="I3513" s="951">
        <f>I3434-I3436</f>
        <v>85167.362017495136</v>
      </c>
    </row>
    <row r="3514" spans="2:10" ht="24.95" customHeight="1" x14ac:dyDescent="0.25">
      <c r="F3514" s="949">
        <v>4090</v>
      </c>
      <c r="G3514" s="945">
        <v>0</v>
      </c>
      <c r="H3514" s="950">
        <v>0</v>
      </c>
      <c r="I3514" s="951">
        <f>I3462</f>
        <v>1090.6100000000001</v>
      </c>
    </row>
    <row r="3515" spans="2:10" ht="24.95" customHeight="1" x14ac:dyDescent="0.25">
      <c r="F3515" s="949">
        <v>4190</v>
      </c>
      <c r="G3515" s="945">
        <v>0</v>
      </c>
      <c r="H3515" s="950">
        <v>0</v>
      </c>
      <c r="I3515" s="951">
        <f>I3498</f>
        <v>3.1705912952378981</v>
      </c>
    </row>
    <row r="3516" spans="2:10" ht="24.95" customHeight="1" x14ac:dyDescent="0.25">
      <c r="F3516" s="949">
        <v>4230</v>
      </c>
      <c r="G3516" s="945">
        <v>0</v>
      </c>
      <c r="H3516" s="950">
        <v>0</v>
      </c>
      <c r="I3516" s="951">
        <f>I3480</f>
        <v>1.0440484557497482</v>
      </c>
    </row>
    <row r="3517" spans="2:10" ht="24.95" customHeight="1" x14ac:dyDescent="0.25">
      <c r="F3517" s="949">
        <v>4294</v>
      </c>
      <c r="G3517" s="945">
        <v>0</v>
      </c>
      <c r="H3517" s="950">
        <v>0</v>
      </c>
      <c r="I3517" s="951">
        <f>I3416</f>
        <v>2</v>
      </c>
    </row>
    <row r="3520" spans="2:10" ht="24.95" customHeight="1" x14ac:dyDescent="0.25">
      <c r="B3520" s="946" t="s">
        <v>3088</v>
      </c>
      <c r="C3520" s="953" t="s">
        <v>5289</v>
      </c>
    </row>
    <row r="3521" spans="2:9" ht="24.95" customHeight="1" x14ac:dyDescent="0.25">
      <c r="B3521" s="946" t="s">
        <v>3087</v>
      </c>
      <c r="C3521" s="953" t="s">
        <v>5536</v>
      </c>
    </row>
    <row r="3522" spans="2:9" ht="24.95" customHeight="1" x14ac:dyDescent="0.25">
      <c r="B3522" s="946" t="s">
        <v>3089</v>
      </c>
      <c r="C3522" s="953" t="s">
        <v>5245</v>
      </c>
    </row>
    <row r="3523" spans="2:9" ht="24.95" customHeight="1" x14ac:dyDescent="0.25">
      <c r="B3523" s="962" t="s">
        <v>3138</v>
      </c>
      <c r="C3523" s="959">
        <v>10</v>
      </c>
      <c r="D3523" s="962" t="s">
        <v>5246</v>
      </c>
      <c r="E3523" s="946"/>
      <c r="F3523" s="960"/>
      <c r="G3523" s="958"/>
      <c r="H3523" s="958"/>
      <c r="I3523" s="957">
        <f>I3524</f>
        <v>1</v>
      </c>
    </row>
    <row r="3524" spans="2:9" ht="24.95" customHeight="1" x14ac:dyDescent="0.25">
      <c r="B3524" s="962" t="s">
        <v>3139</v>
      </c>
      <c r="C3524" s="959">
        <v>122</v>
      </c>
      <c r="D3524" s="962" t="s">
        <v>3143</v>
      </c>
      <c r="E3524" s="946"/>
      <c r="F3524" s="960"/>
      <c r="G3524" s="958"/>
      <c r="H3524" s="958"/>
      <c r="I3524" s="957">
        <f>I3525</f>
        <v>1</v>
      </c>
    </row>
    <row r="3525" spans="2:9" ht="36.75" customHeight="1" x14ac:dyDescent="0.25">
      <c r="B3525" s="962" t="s">
        <v>3137</v>
      </c>
      <c r="C3525" s="959">
        <v>100</v>
      </c>
      <c r="D3525" s="962" t="s">
        <v>5247</v>
      </c>
      <c r="E3525" s="946"/>
      <c r="F3525" s="960"/>
      <c r="G3525" s="958"/>
      <c r="H3525" s="958"/>
      <c r="I3525" s="957">
        <f>I3526</f>
        <v>1</v>
      </c>
    </row>
    <row r="3526" spans="2:9" ht="24.95" customHeight="1" x14ac:dyDescent="0.25">
      <c r="B3526" s="963" t="s">
        <v>2950</v>
      </c>
      <c r="C3526" s="959">
        <v>25</v>
      </c>
      <c r="D3526" s="963" t="s">
        <v>5513</v>
      </c>
      <c r="E3526" s="946"/>
      <c r="F3526" s="960"/>
      <c r="G3526" s="963"/>
      <c r="H3526" s="963"/>
      <c r="I3526" s="957">
        <f>SUM(I3527:I3533)</f>
        <v>1</v>
      </c>
    </row>
    <row r="3527" spans="2:9" ht="24.95" customHeight="1" x14ac:dyDescent="0.25">
      <c r="B3527" s="973">
        <v>162000</v>
      </c>
      <c r="C3527" s="974">
        <v>333904700000000</v>
      </c>
      <c r="D3527" s="973" t="s">
        <v>6603</v>
      </c>
      <c r="F3527" s="975">
        <v>4509</v>
      </c>
      <c r="G3527" s="945">
        <v>0</v>
      </c>
      <c r="I3527" s="1039">
        <f>PUCFD!E3072</f>
        <v>0.01</v>
      </c>
    </row>
    <row r="3528" spans="2:9" ht="24.95" customHeight="1" x14ac:dyDescent="0.25">
      <c r="B3528" s="973">
        <v>162100</v>
      </c>
      <c r="C3528" s="974">
        <v>344209300000000</v>
      </c>
      <c r="D3528" s="973" t="s">
        <v>5597</v>
      </c>
      <c r="F3528" s="975">
        <v>4509</v>
      </c>
      <c r="G3528" s="945">
        <v>0</v>
      </c>
      <c r="I3528" s="1039">
        <f>PUCFD!E3073</f>
        <v>0.01</v>
      </c>
    </row>
    <row r="3529" spans="2:9" ht="24.95" customHeight="1" x14ac:dyDescent="0.25">
      <c r="B3529" s="973">
        <v>162200</v>
      </c>
      <c r="C3529" s="974">
        <v>344903000000000</v>
      </c>
      <c r="D3529" s="973" t="s">
        <v>6604</v>
      </c>
      <c r="F3529" s="975">
        <v>4509</v>
      </c>
      <c r="G3529" s="945">
        <v>0</v>
      </c>
      <c r="I3529" s="1039">
        <f>PUCFD!E3074</f>
        <v>0.01</v>
      </c>
    </row>
    <row r="3530" spans="2:9" ht="24.95" customHeight="1" x14ac:dyDescent="0.25">
      <c r="B3530" s="973">
        <v>162300</v>
      </c>
      <c r="C3530" s="974">
        <v>344903600000000</v>
      </c>
      <c r="D3530" s="973" t="s">
        <v>6605</v>
      </c>
      <c r="F3530" s="975">
        <v>4509</v>
      </c>
      <c r="G3530" s="945">
        <v>0</v>
      </c>
      <c r="I3530" s="1039">
        <f>PUCFD!E3075</f>
        <v>1.0999999999999999E-2</v>
      </c>
    </row>
    <row r="3531" spans="2:9" ht="24.95" customHeight="1" x14ac:dyDescent="0.25">
      <c r="B3531" s="973">
        <v>162400</v>
      </c>
      <c r="C3531" s="974">
        <v>344903900000000</v>
      </c>
      <c r="D3531" s="973" t="s">
        <v>6606</v>
      </c>
      <c r="F3531" s="975">
        <v>4509</v>
      </c>
      <c r="G3531" s="945">
        <v>0</v>
      </c>
      <c r="I3531" s="1039">
        <f>PUCFD!E3076</f>
        <v>0.01</v>
      </c>
    </row>
    <row r="3532" spans="2:9" ht="24.95" customHeight="1" x14ac:dyDescent="0.25">
      <c r="B3532" s="973">
        <v>162500</v>
      </c>
      <c r="C3532" s="974">
        <v>344905100000000</v>
      </c>
      <c r="D3532" s="973" t="s">
        <v>5598</v>
      </c>
      <c r="F3532" s="975">
        <v>4509</v>
      </c>
      <c r="G3532" s="945">
        <v>0</v>
      </c>
      <c r="I3532" s="1039">
        <f>PUCFD!E3077</f>
        <v>0.01</v>
      </c>
    </row>
    <row r="3533" spans="2:9" ht="24.95" customHeight="1" x14ac:dyDescent="0.25">
      <c r="B3533" s="973">
        <v>162600</v>
      </c>
      <c r="C3533" s="974">
        <v>344905200000000</v>
      </c>
      <c r="D3533" s="973" t="s">
        <v>5599</v>
      </c>
      <c r="F3533" s="975">
        <v>4509</v>
      </c>
      <c r="G3533" s="945">
        <v>0</v>
      </c>
      <c r="I3533" s="1039">
        <f>PUCFD!E3078</f>
        <v>0.93899999999999995</v>
      </c>
    </row>
    <row r="3534" spans="2:9" ht="24.95" customHeight="1" x14ac:dyDescent="0.25">
      <c r="B3534" s="962" t="s">
        <v>3138</v>
      </c>
      <c r="C3534" s="959">
        <v>10</v>
      </c>
      <c r="D3534" s="962" t="s">
        <v>5246</v>
      </c>
      <c r="E3534" s="946"/>
      <c r="F3534" s="960"/>
      <c r="G3534" s="958"/>
      <c r="H3534" s="958"/>
      <c r="I3534" s="957">
        <f>I3535</f>
        <v>1</v>
      </c>
    </row>
    <row r="3535" spans="2:9" ht="24.95" customHeight="1" x14ac:dyDescent="0.25">
      <c r="B3535" s="962" t="s">
        <v>3139</v>
      </c>
      <c r="C3535" s="959">
        <v>126</v>
      </c>
      <c r="D3535" s="962" t="s">
        <v>3600</v>
      </c>
      <c r="E3535" s="946"/>
      <c r="F3535" s="960"/>
      <c r="G3535" s="958"/>
      <c r="H3535" s="958"/>
      <c r="I3535" s="957">
        <f>I3536</f>
        <v>1</v>
      </c>
    </row>
    <row r="3536" spans="2:9" ht="36.75" customHeight="1" x14ac:dyDescent="0.25">
      <c r="B3536" s="962" t="s">
        <v>3137</v>
      </c>
      <c r="C3536" s="959">
        <v>100</v>
      </c>
      <c r="D3536" s="962" t="s">
        <v>5247</v>
      </c>
      <c r="E3536" s="946"/>
      <c r="F3536" s="960"/>
      <c r="G3536" s="958"/>
      <c r="H3536" s="958"/>
      <c r="I3536" s="957">
        <f>I3537</f>
        <v>1</v>
      </c>
    </row>
    <row r="3537" spans="2:9" ht="24.95" customHeight="1" x14ac:dyDescent="0.25">
      <c r="B3537" s="963" t="s">
        <v>2950</v>
      </c>
      <c r="C3537" s="959">
        <v>25</v>
      </c>
      <c r="D3537" s="963" t="s">
        <v>5513</v>
      </c>
      <c r="E3537" s="946"/>
      <c r="F3537" s="960"/>
      <c r="G3537" s="963"/>
      <c r="H3537" s="963"/>
      <c r="I3537" s="957">
        <f>SUM(I3538:I3544)</f>
        <v>1</v>
      </c>
    </row>
    <row r="3538" spans="2:9" ht="24.95" customHeight="1" x14ac:dyDescent="0.25">
      <c r="B3538" s="973">
        <v>162700</v>
      </c>
      <c r="C3538" s="974">
        <v>333904700000000</v>
      </c>
      <c r="D3538" s="973" t="s">
        <v>6607</v>
      </c>
      <c r="F3538" s="975">
        <v>4508</v>
      </c>
      <c r="G3538" s="945">
        <v>0</v>
      </c>
      <c r="I3538" s="1039">
        <f>PUCFD!E3080</f>
        <v>0.01</v>
      </c>
    </row>
    <row r="3539" spans="2:9" ht="24.95" customHeight="1" x14ac:dyDescent="0.25">
      <c r="B3539" s="973">
        <v>162800</v>
      </c>
      <c r="C3539" s="974">
        <v>344209300000000</v>
      </c>
      <c r="D3539" s="973" t="s">
        <v>6608</v>
      </c>
      <c r="F3539" s="975">
        <v>4508</v>
      </c>
      <c r="G3539" s="945">
        <v>0</v>
      </c>
      <c r="I3539" s="1039">
        <f>PUCFD!E3081</f>
        <v>0.01</v>
      </c>
    </row>
    <row r="3540" spans="2:9" ht="24.95" customHeight="1" x14ac:dyDescent="0.25">
      <c r="B3540" s="973">
        <v>162900</v>
      </c>
      <c r="C3540" s="974">
        <v>344903000000000</v>
      </c>
      <c r="D3540" s="973" t="s">
        <v>6609</v>
      </c>
      <c r="F3540" s="975">
        <v>4508</v>
      </c>
      <c r="G3540" s="945">
        <v>0</v>
      </c>
      <c r="I3540" s="1039">
        <f>PUCFD!E3082</f>
        <v>0.01</v>
      </c>
    </row>
    <row r="3541" spans="2:9" ht="24.95" customHeight="1" x14ac:dyDescent="0.25">
      <c r="B3541" s="973">
        <v>163000</v>
      </c>
      <c r="C3541" s="974">
        <v>344903600000000</v>
      </c>
      <c r="D3541" s="973" t="s">
        <v>6612</v>
      </c>
      <c r="F3541" s="975">
        <v>4508</v>
      </c>
      <c r="G3541" s="945">
        <v>0</v>
      </c>
      <c r="I3541" s="1039">
        <f>PUCFD!E3083</f>
        <v>0.01</v>
      </c>
    </row>
    <row r="3542" spans="2:9" ht="24.95" customHeight="1" x14ac:dyDescent="0.25">
      <c r="B3542" s="973">
        <v>163100</v>
      </c>
      <c r="C3542" s="974">
        <v>344903900000000</v>
      </c>
      <c r="D3542" s="973" t="s">
        <v>6613</v>
      </c>
      <c r="F3542" s="975">
        <v>4508</v>
      </c>
      <c r="G3542" s="945">
        <v>0</v>
      </c>
      <c r="I3542" s="1039">
        <f>PUCFD!E3084</f>
        <v>0.01</v>
      </c>
    </row>
    <row r="3543" spans="2:9" ht="24.95" customHeight="1" x14ac:dyDescent="0.25">
      <c r="B3543" s="973">
        <v>163200</v>
      </c>
      <c r="C3543" s="974">
        <v>344905100000000</v>
      </c>
      <c r="D3543" s="973" t="s">
        <v>6610</v>
      </c>
      <c r="F3543" s="975">
        <v>4508</v>
      </c>
      <c r="G3543" s="945">
        <v>0</v>
      </c>
      <c r="I3543" s="1039">
        <f>PUCFD!E3085</f>
        <v>0.01</v>
      </c>
    </row>
    <row r="3544" spans="2:9" ht="24.95" customHeight="1" x14ac:dyDescent="0.25">
      <c r="B3544" s="945">
        <v>163300</v>
      </c>
      <c r="C3544" s="974">
        <v>344905200000000</v>
      </c>
      <c r="D3544" s="973" t="s">
        <v>6611</v>
      </c>
      <c r="F3544" s="975">
        <v>4508</v>
      </c>
      <c r="G3544" s="945">
        <v>0</v>
      </c>
      <c r="I3544" s="1039">
        <f>PUCFD!E3086</f>
        <v>0.94</v>
      </c>
    </row>
    <row r="3545" spans="2:9" ht="24.95" customHeight="1" x14ac:dyDescent="0.25">
      <c r="B3545" s="962" t="s">
        <v>3138</v>
      </c>
      <c r="C3545" s="959">
        <v>10</v>
      </c>
      <c r="D3545" s="962" t="s">
        <v>5246</v>
      </c>
      <c r="E3545" s="946"/>
      <c r="F3545" s="960"/>
      <c r="G3545" s="958"/>
      <c r="H3545" s="958"/>
      <c r="I3545" s="957">
        <f>I3546</f>
        <v>5.0200000000000014</v>
      </c>
    </row>
    <row r="3546" spans="2:9" ht="24.95" customHeight="1" x14ac:dyDescent="0.25">
      <c r="B3546" s="962" t="s">
        <v>3139</v>
      </c>
      <c r="C3546" s="959">
        <v>301</v>
      </c>
      <c r="D3546" s="962" t="s">
        <v>5303</v>
      </c>
      <c r="E3546" s="946"/>
      <c r="F3546" s="960"/>
      <c r="G3546" s="958"/>
      <c r="H3546" s="958"/>
      <c r="I3546" s="957">
        <f>I3547</f>
        <v>5.0200000000000014</v>
      </c>
    </row>
    <row r="3547" spans="2:9" ht="36.75" customHeight="1" x14ac:dyDescent="0.25">
      <c r="B3547" s="962" t="s">
        <v>3137</v>
      </c>
      <c r="C3547" s="959">
        <v>100</v>
      </c>
      <c r="D3547" s="962" t="s">
        <v>5247</v>
      </c>
      <c r="E3547" s="946"/>
      <c r="F3547" s="960"/>
      <c r="G3547" s="958"/>
      <c r="H3547" s="958"/>
      <c r="I3547" s="957">
        <f>I3548</f>
        <v>5.0200000000000014</v>
      </c>
    </row>
    <row r="3548" spans="2:9" ht="24.95" customHeight="1" x14ac:dyDescent="0.25">
      <c r="B3548" s="963" t="s">
        <v>2950</v>
      </c>
      <c r="C3548" s="959">
        <v>25</v>
      </c>
      <c r="D3548" s="963" t="s">
        <v>5513</v>
      </c>
      <c r="E3548" s="946"/>
      <c r="F3548" s="960"/>
      <c r="G3548" s="963"/>
      <c r="H3548" s="963"/>
      <c r="I3548" s="957">
        <f>SUM(I3549:I3557)</f>
        <v>5.0200000000000014</v>
      </c>
    </row>
    <row r="3549" spans="2:9" ht="24.95" customHeight="1" x14ac:dyDescent="0.25">
      <c r="B3549" s="973">
        <v>165000</v>
      </c>
      <c r="C3549" s="974">
        <v>333904700000000</v>
      </c>
      <c r="D3549" s="973" t="s">
        <v>5514</v>
      </c>
      <c r="F3549" s="975">
        <v>4512</v>
      </c>
      <c r="G3549" s="945">
        <v>0</v>
      </c>
      <c r="I3549" s="1039">
        <f>PUCFD!E3088</f>
        <v>0.01</v>
      </c>
    </row>
    <row r="3550" spans="2:9" ht="24.95" customHeight="1" x14ac:dyDescent="0.25">
      <c r="B3550" s="973">
        <v>165100</v>
      </c>
      <c r="C3550" s="974">
        <v>344209300000000</v>
      </c>
      <c r="D3550" s="973" t="s">
        <v>5515</v>
      </c>
      <c r="F3550" s="975">
        <v>4512</v>
      </c>
      <c r="G3550" s="945">
        <v>0</v>
      </c>
      <c r="I3550" s="1039">
        <f>PUCFD!E3089</f>
        <v>0.01</v>
      </c>
    </row>
    <row r="3551" spans="2:9" ht="24.95" customHeight="1" x14ac:dyDescent="0.25">
      <c r="B3551" s="973">
        <v>165200</v>
      </c>
      <c r="C3551" s="974">
        <v>344903000000000</v>
      </c>
      <c r="D3551" s="973" t="s">
        <v>5516</v>
      </c>
      <c r="F3551" s="975">
        <v>4512</v>
      </c>
      <c r="G3551" s="945">
        <v>0</v>
      </c>
      <c r="I3551" s="1039">
        <f>PUCFD!E3090</f>
        <v>0.01</v>
      </c>
    </row>
    <row r="3552" spans="2:9" ht="24.95" customHeight="1" x14ac:dyDescent="0.25">
      <c r="B3552" s="973">
        <v>165300</v>
      </c>
      <c r="C3552" s="974">
        <v>344903600000000</v>
      </c>
      <c r="D3552" s="973" t="s">
        <v>6614</v>
      </c>
      <c r="F3552" s="975">
        <v>4512</v>
      </c>
      <c r="G3552" s="945">
        <v>0</v>
      </c>
      <c r="I3552" s="1039">
        <f>PUCFD!E3091</f>
        <v>0.01</v>
      </c>
    </row>
    <row r="3553" spans="2:9" ht="24.95" customHeight="1" x14ac:dyDescent="0.25">
      <c r="B3553" s="973">
        <v>165400</v>
      </c>
      <c r="C3553" s="974">
        <v>344903900000000</v>
      </c>
      <c r="D3553" s="973" t="s">
        <v>6615</v>
      </c>
      <c r="F3553" s="975">
        <v>4512</v>
      </c>
      <c r="G3553" s="945">
        <v>0</v>
      </c>
      <c r="I3553" s="1039">
        <f>PUCFD!E3092</f>
        <v>0.01</v>
      </c>
    </row>
    <row r="3554" spans="2:9" ht="24.95" customHeight="1" x14ac:dyDescent="0.25">
      <c r="B3554" s="973">
        <v>165500</v>
      </c>
      <c r="C3554" s="974">
        <v>344905100000000</v>
      </c>
      <c r="D3554" s="973" t="s">
        <v>5600</v>
      </c>
      <c r="F3554" s="975">
        <v>4512</v>
      </c>
      <c r="G3554" s="945">
        <v>0</v>
      </c>
      <c r="I3554" s="1039">
        <f>PUCFD!E3093</f>
        <v>0.01</v>
      </c>
    </row>
    <row r="3555" spans="2:9" ht="24.95" customHeight="1" x14ac:dyDescent="0.25">
      <c r="B3555" s="973">
        <v>165600</v>
      </c>
      <c r="C3555" s="974">
        <v>344905100000000</v>
      </c>
      <c r="D3555" s="973" t="s">
        <v>5508</v>
      </c>
      <c r="F3555" s="975">
        <v>40</v>
      </c>
      <c r="G3555" s="945">
        <v>0</v>
      </c>
      <c r="I3555" s="1039">
        <f>PUCFD!E3094</f>
        <v>0.01</v>
      </c>
    </row>
    <row r="3556" spans="2:9" ht="24.95" customHeight="1" x14ac:dyDescent="0.25">
      <c r="B3556" s="973">
        <v>165700</v>
      </c>
      <c r="C3556" s="974">
        <v>344905200000000</v>
      </c>
      <c r="D3556" s="973" t="s">
        <v>6616</v>
      </c>
      <c r="F3556" s="975">
        <v>40</v>
      </c>
      <c r="G3556" s="945">
        <v>0</v>
      </c>
      <c r="I3556" s="1039">
        <f>PUCFD!E3095</f>
        <v>0.01</v>
      </c>
    </row>
    <row r="3557" spans="2:9" ht="24.95" customHeight="1" x14ac:dyDescent="0.25">
      <c r="B3557" s="973">
        <v>165800</v>
      </c>
      <c r="C3557" s="974">
        <v>344905200000000</v>
      </c>
      <c r="D3557" s="973" t="s">
        <v>6617</v>
      </c>
      <c r="F3557" s="975">
        <v>4512</v>
      </c>
      <c r="G3557" s="945">
        <v>0</v>
      </c>
      <c r="I3557" s="1039">
        <f>PUCFD!E3096</f>
        <v>4.9400000000000013</v>
      </c>
    </row>
    <row r="3558" spans="2:9" ht="24.95" customHeight="1" x14ac:dyDescent="0.25">
      <c r="B3558" s="962" t="s">
        <v>3138</v>
      </c>
      <c r="C3558" s="959">
        <v>10</v>
      </c>
      <c r="D3558" s="962" t="s">
        <v>5246</v>
      </c>
      <c r="I3558" s="957">
        <f>I3559</f>
        <v>2</v>
      </c>
    </row>
    <row r="3559" spans="2:9" ht="24.95" customHeight="1" x14ac:dyDescent="0.25">
      <c r="B3559" s="962" t="s">
        <v>3139</v>
      </c>
      <c r="C3559" s="959">
        <v>301</v>
      </c>
      <c r="D3559" s="962" t="s">
        <v>5303</v>
      </c>
      <c r="I3559" s="957">
        <f>I3560</f>
        <v>2</v>
      </c>
    </row>
    <row r="3560" spans="2:9" ht="24.95" customHeight="1" x14ac:dyDescent="0.25">
      <c r="B3560" s="963" t="s">
        <v>2950</v>
      </c>
      <c r="C3560" s="959">
        <v>25</v>
      </c>
      <c r="D3560" s="963" t="s">
        <v>5513</v>
      </c>
      <c r="I3560" s="957">
        <f>SUM(I3561:I3566)</f>
        <v>2</v>
      </c>
    </row>
    <row r="3561" spans="2:9" ht="24.95" customHeight="1" x14ac:dyDescent="0.25">
      <c r="B3561" s="973">
        <v>167000</v>
      </c>
      <c r="C3561" s="974">
        <v>333904700000000</v>
      </c>
      <c r="D3561" s="973" t="s">
        <v>6620</v>
      </c>
      <c r="F3561" s="949">
        <v>4505</v>
      </c>
      <c r="G3561" s="945">
        <v>0</v>
      </c>
      <c r="I3561" s="1039">
        <f>PUCFD!E3098</f>
        <v>0.01</v>
      </c>
    </row>
    <row r="3562" spans="2:9" ht="24.95" customHeight="1" x14ac:dyDescent="0.25">
      <c r="B3562" s="973">
        <v>167100</v>
      </c>
      <c r="C3562" s="974">
        <v>344903000000000</v>
      </c>
      <c r="D3562" s="973" t="s">
        <v>6618</v>
      </c>
      <c r="F3562" s="949">
        <v>4505</v>
      </c>
      <c r="G3562" s="945">
        <v>0</v>
      </c>
      <c r="I3562" s="1039">
        <f>PUCFD!E3099</f>
        <v>0.01</v>
      </c>
    </row>
    <row r="3563" spans="2:9" ht="24.95" customHeight="1" x14ac:dyDescent="0.25">
      <c r="B3563" s="973">
        <v>167200</v>
      </c>
      <c r="C3563" s="974">
        <v>344903600000000</v>
      </c>
      <c r="D3563" s="973" t="s">
        <v>6621</v>
      </c>
      <c r="F3563" s="949">
        <v>4505</v>
      </c>
      <c r="G3563" s="945">
        <v>0</v>
      </c>
      <c r="I3563" s="1039">
        <f>PUCFD!E3100</f>
        <v>0.01</v>
      </c>
    </row>
    <row r="3564" spans="2:9" ht="24.95" customHeight="1" x14ac:dyDescent="0.25">
      <c r="B3564" s="973">
        <v>167300</v>
      </c>
      <c r="C3564" s="974">
        <v>344903900000000</v>
      </c>
      <c r="D3564" s="973" t="s">
        <v>6622</v>
      </c>
      <c r="F3564" s="949">
        <v>4505</v>
      </c>
      <c r="G3564" s="945">
        <v>0</v>
      </c>
      <c r="I3564" s="1039">
        <f>PUCFD!E3101</f>
        <v>0.01</v>
      </c>
    </row>
    <row r="3565" spans="2:9" ht="24.95" customHeight="1" x14ac:dyDescent="0.25">
      <c r="B3565" s="973">
        <v>167400</v>
      </c>
      <c r="C3565" s="974">
        <v>344905100000000</v>
      </c>
      <c r="D3565" s="973" t="s">
        <v>6619</v>
      </c>
      <c r="F3565" s="949">
        <v>4505</v>
      </c>
      <c r="G3565" s="945">
        <v>0</v>
      </c>
      <c r="I3565" s="1039">
        <f>PUCFD!E3102</f>
        <v>0.01</v>
      </c>
    </row>
    <row r="3566" spans="2:9" ht="24.95" customHeight="1" x14ac:dyDescent="0.25">
      <c r="B3566" s="973">
        <v>167500</v>
      </c>
      <c r="C3566" s="974">
        <v>344905200000000</v>
      </c>
      <c r="D3566" s="973" t="s">
        <v>6623</v>
      </c>
      <c r="F3566" s="949">
        <v>4505</v>
      </c>
      <c r="G3566" s="945">
        <v>0</v>
      </c>
      <c r="I3566" s="1039">
        <f>PUCFD!E3103</f>
        <v>1.95</v>
      </c>
    </row>
    <row r="3567" spans="2:9" ht="24.95" customHeight="1" x14ac:dyDescent="0.25">
      <c r="B3567" s="962" t="s">
        <v>3138</v>
      </c>
      <c r="C3567" s="959">
        <v>10</v>
      </c>
      <c r="D3567" s="962" t="s">
        <v>5246</v>
      </c>
      <c r="I3567" s="957">
        <f>I3568</f>
        <v>1</v>
      </c>
    </row>
    <row r="3568" spans="2:9" ht="24.95" customHeight="1" x14ac:dyDescent="0.25">
      <c r="B3568" s="962" t="s">
        <v>3139</v>
      </c>
      <c r="C3568" s="959">
        <v>302</v>
      </c>
      <c r="D3568" s="962" t="s">
        <v>5304</v>
      </c>
      <c r="I3568" s="957">
        <f>I3569</f>
        <v>1</v>
      </c>
    </row>
    <row r="3569" spans="2:9" ht="31.5" customHeight="1" x14ac:dyDescent="0.25">
      <c r="B3569" s="963" t="s">
        <v>2950</v>
      </c>
      <c r="C3569" s="959">
        <v>26</v>
      </c>
      <c r="D3569" s="963" t="s">
        <v>5510</v>
      </c>
      <c r="I3569" s="957">
        <f>SUM(I3570:I3575)</f>
        <v>1</v>
      </c>
    </row>
    <row r="3570" spans="2:9" ht="24.95" customHeight="1" x14ac:dyDescent="0.25">
      <c r="B3570" s="973">
        <v>169000</v>
      </c>
      <c r="C3570" s="974">
        <v>333904700000000</v>
      </c>
      <c r="D3570" s="973" t="s">
        <v>6628</v>
      </c>
      <c r="F3570" s="949">
        <v>4506</v>
      </c>
      <c r="G3570" s="945">
        <v>0</v>
      </c>
      <c r="I3570" s="1039">
        <f>PUCFD!E3105</f>
        <v>0.01</v>
      </c>
    </row>
    <row r="3571" spans="2:9" ht="24.95" customHeight="1" x14ac:dyDescent="0.25">
      <c r="B3571" s="973">
        <v>169100</v>
      </c>
      <c r="C3571" s="974">
        <v>344903000000000</v>
      </c>
      <c r="D3571" s="973" t="s">
        <v>6627</v>
      </c>
      <c r="F3571" s="949">
        <v>4506</v>
      </c>
      <c r="G3571" s="945">
        <v>0</v>
      </c>
      <c r="I3571" s="1039">
        <f>PUCFD!E3106</f>
        <v>0.01</v>
      </c>
    </row>
    <row r="3572" spans="2:9" ht="24.95" customHeight="1" x14ac:dyDescent="0.25">
      <c r="B3572" s="973">
        <v>169200</v>
      </c>
      <c r="C3572" s="974">
        <v>344903600000000</v>
      </c>
      <c r="D3572" s="973" t="s">
        <v>6626</v>
      </c>
      <c r="F3572" s="949">
        <v>4506</v>
      </c>
      <c r="G3572" s="945">
        <v>0</v>
      </c>
      <c r="I3572" s="1039">
        <f>PUCFD!E3107</f>
        <v>0.01</v>
      </c>
    </row>
    <row r="3573" spans="2:9" ht="24.95" customHeight="1" x14ac:dyDescent="0.25">
      <c r="B3573" s="973">
        <v>169300</v>
      </c>
      <c r="C3573" s="974">
        <v>344903900000000</v>
      </c>
      <c r="D3573" s="973" t="s">
        <v>6629</v>
      </c>
      <c r="F3573" s="949">
        <v>4506</v>
      </c>
      <c r="G3573" s="945">
        <v>0</v>
      </c>
      <c r="I3573" s="1039">
        <f>PUCFD!E3108</f>
        <v>0.01</v>
      </c>
    </row>
    <row r="3574" spans="2:9" ht="24.95" customHeight="1" x14ac:dyDescent="0.25">
      <c r="B3574" s="973">
        <v>169400</v>
      </c>
      <c r="C3574" s="974">
        <v>344905100000000</v>
      </c>
      <c r="D3574" s="973" t="s">
        <v>6624</v>
      </c>
      <c r="F3574" s="949">
        <v>4506</v>
      </c>
      <c r="G3574" s="945">
        <v>0</v>
      </c>
      <c r="I3574" s="1039">
        <f>PUCFD!E3109</f>
        <v>0.01</v>
      </c>
    </row>
    <row r="3575" spans="2:9" ht="24.95" customHeight="1" x14ac:dyDescent="0.25">
      <c r="B3575" s="973">
        <v>169500</v>
      </c>
      <c r="C3575" s="974">
        <v>344905200000000</v>
      </c>
      <c r="D3575" s="973" t="s">
        <v>6625</v>
      </c>
      <c r="F3575" s="949">
        <v>4506</v>
      </c>
      <c r="G3575" s="945">
        <v>0</v>
      </c>
      <c r="I3575" s="1039">
        <f>PUCFD!E3110</f>
        <v>0.95</v>
      </c>
    </row>
    <row r="3576" spans="2:9" ht="24.95" customHeight="1" x14ac:dyDescent="0.25">
      <c r="B3576" s="962" t="s">
        <v>3138</v>
      </c>
      <c r="C3576" s="959">
        <v>10</v>
      </c>
      <c r="D3576" s="962" t="s">
        <v>5246</v>
      </c>
      <c r="I3576" s="957">
        <f>I3577</f>
        <v>1</v>
      </c>
    </row>
    <row r="3577" spans="2:9" ht="24.95" customHeight="1" x14ac:dyDescent="0.25">
      <c r="B3577" s="962" t="s">
        <v>3139</v>
      </c>
      <c r="C3577" s="959">
        <v>304</v>
      </c>
      <c r="D3577" s="962" t="s">
        <v>5418</v>
      </c>
      <c r="I3577" s="957">
        <f>I3578</f>
        <v>1</v>
      </c>
    </row>
    <row r="3578" spans="2:9" ht="24.95" customHeight="1" x14ac:dyDescent="0.25">
      <c r="B3578" s="963" t="s">
        <v>2950</v>
      </c>
      <c r="C3578" s="959">
        <v>27</v>
      </c>
      <c r="D3578" s="963" t="s">
        <v>5511</v>
      </c>
      <c r="I3578" s="957">
        <f>SUM(I3579:I3584)</f>
        <v>1</v>
      </c>
    </row>
    <row r="3579" spans="2:9" ht="24.95" customHeight="1" x14ac:dyDescent="0.25">
      <c r="B3579" s="973">
        <v>171000</v>
      </c>
      <c r="C3579" s="974">
        <v>333904700000000</v>
      </c>
      <c r="D3579" s="973" t="s">
        <v>6630</v>
      </c>
      <c r="F3579" s="949">
        <v>4507</v>
      </c>
      <c r="G3579" s="945">
        <v>0</v>
      </c>
      <c r="I3579" s="1039">
        <f>PUCFD!E3112</f>
        <v>0.01</v>
      </c>
    </row>
    <row r="3580" spans="2:9" ht="24.95" customHeight="1" x14ac:dyDescent="0.25">
      <c r="B3580" s="973">
        <v>171100</v>
      </c>
      <c r="C3580" s="974">
        <v>344903000000000</v>
      </c>
      <c r="D3580" s="973" t="s">
        <v>6631</v>
      </c>
      <c r="F3580" s="949">
        <v>4507</v>
      </c>
      <c r="G3580" s="945">
        <v>0</v>
      </c>
      <c r="I3580" s="1039">
        <f>PUCFD!E3113</f>
        <v>0.01</v>
      </c>
    </row>
    <row r="3581" spans="2:9" ht="24.95" customHeight="1" x14ac:dyDescent="0.25">
      <c r="B3581" s="973">
        <v>171200</v>
      </c>
      <c r="C3581" s="974">
        <v>344903600000000</v>
      </c>
      <c r="D3581" s="973" t="s">
        <v>6632</v>
      </c>
      <c r="F3581" s="949">
        <v>4507</v>
      </c>
      <c r="G3581" s="945">
        <v>0</v>
      </c>
      <c r="I3581" s="1039">
        <f>PUCFD!E3114</f>
        <v>0.01</v>
      </c>
    </row>
    <row r="3582" spans="2:9" ht="24.95" customHeight="1" x14ac:dyDescent="0.25">
      <c r="B3582" s="973">
        <v>171300</v>
      </c>
      <c r="C3582" s="974">
        <v>344903900000000</v>
      </c>
      <c r="D3582" s="973" t="s">
        <v>6633</v>
      </c>
      <c r="F3582" s="949">
        <v>4507</v>
      </c>
      <c r="G3582" s="945">
        <v>0</v>
      </c>
      <c r="I3582" s="1039">
        <f>PUCFD!E3115</f>
        <v>0.01</v>
      </c>
    </row>
    <row r="3583" spans="2:9" ht="24.95" customHeight="1" x14ac:dyDescent="0.25">
      <c r="B3583" s="973">
        <v>171400</v>
      </c>
      <c r="C3583" s="974">
        <v>344905100000000</v>
      </c>
      <c r="D3583" s="973" t="s">
        <v>6634</v>
      </c>
      <c r="F3583" s="949">
        <v>4507</v>
      </c>
      <c r="G3583" s="945">
        <v>0</v>
      </c>
      <c r="I3583" s="1039">
        <f>PUCFD!E3116</f>
        <v>0.01</v>
      </c>
    </row>
    <row r="3584" spans="2:9" ht="24.95" customHeight="1" x14ac:dyDescent="0.25">
      <c r="B3584" s="973">
        <v>171500</v>
      </c>
      <c r="C3584" s="974">
        <v>344905200000000</v>
      </c>
      <c r="D3584" s="973" t="s">
        <v>6635</v>
      </c>
      <c r="F3584" s="949">
        <v>4507</v>
      </c>
      <c r="G3584" s="945">
        <v>0</v>
      </c>
      <c r="I3584" s="1039">
        <f>PUCFD!E3117</f>
        <v>0.95</v>
      </c>
    </row>
    <row r="3585" spans="2:9" ht="24.95" customHeight="1" x14ac:dyDescent="0.25">
      <c r="B3585" s="962" t="s">
        <v>3138</v>
      </c>
      <c r="C3585" s="959">
        <v>10</v>
      </c>
      <c r="D3585" s="962" t="s">
        <v>5246</v>
      </c>
      <c r="I3585" s="957">
        <f>I3586</f>
        <v>1.1122248199102067</v>
      </c>
    </row>
    <row r="3586" spans="2:9" ht="24.95" customHeight="1" x14ac:dyDescent="0.25">
      <c r="B3586" s="962" t="s">
        <v>3139</v>
      </c>
      <c r="C3586" s="959">
        <v>122</v>
      </c>
      <c r="D3586" s="962" t="s">
        <v>3143</v>
      </c>
      <c r="I3586" s="957">
        <f>I3587</f>
        <v>1.1122248199102067</v>
      </c>
    </row>
    <row r="3587" spans="2:9" ht="24.95" customHeight="1" x14ac:dyDescent="0.25">
      <c r="B3587" s="963" t="s">
        <v>2965</v>
      </c>
      <c r="C3587" s="959">
        <v>44</v>
      </c>
      <c r="D3587" s="963" t="s">
        <v>5528</v>
      </c>
      <c r="I3587" s="957">
        <f>SUM(I3588:I3594)</f>
        <v>1.1122248199102067</v>
      </c>
    </row>
    <row r="3588" spans="2:9" ht="24.95" customHeight="1" x14ac:dyDescent="0.25">
      <c r="B3588" s="973">
        <v>173000</v>
      </c>
      <c r="C3588" s="974">
        <v>333901400000000</v>
      </c>
      <c r="D3588" s="973" t="s">
        <v>6830</v>
      </c>
      <c r="F3588" s="975">
        <v>4504</v>
      </c>
      <c r="G3588" s="945">
        <v>0</v>
      </c>
      <c r="I3588" s="1039">
        <f>PUCFD!E3119</f>
        <v>0.01</v>
      </c>
    </row>
    <row r="3589" spans="2:9" ht="24.95" customHeight="1" x14ac:dyDescent="0.25">
      <c r="B3589" s="973">
        <v>173100</v>
      </c>
      <c r="C3589" s="974">
        <v>333903000000000</v>
      </c>
      <c r="D3589" s="973" t="s">
        <v>6831</v>
      </c>
      <c r="F3589" s="975">
        <v>4504</v>
      </c>
      <c r="G3589" s="945">
        <v>0</v>
      </c>
      <c r="I3589" s="1039">
        <f>PUCFD!E3120</f>
        <v>0.01</v>
      </c>
    </row>
    <row r="3590" spans="2:9" ht="24.95" customHeight="1" x14ac:dyDescent="0.25">
      <c r="B3590" s="973">
        <v>173200</v>
      </c>
      <c r="C3590" s="974">
        <v>333903600000000</v>
      </c>
      <c r="D3590" s="973" t="s">
        <v>6832</v>
      </c>
      <c r="F3590" s="975">
        <v>4504</v>
      </c>
      <c r="G3590" s="945">
        <v>0</v>
      </c>
      <c r="I3590" s="1039">
        <f>PUCFD!E3121</f>
        <v>0.01</v>
      </c>
    </row>
    <row r="3591" spans="2:9" ht="24.95" customHeight="1" x14ac:dyDescent="0.25">
      <c r="B3591" s="973">
        <v>173300</v>
      </c>
      <c r="C3591" s="974">
        <v>333903900000000</v>
      </c>
      <c r="D3591" s="973" t="s">
        <v>6833</v>
      </c>
      <c r="F3591" s="975">
        <v>4504</v>
      </c>
      <c r="G3591" s="945">
        <v>0</v>
      </c>
      <c r="I3591" s="1039">
        <f>PUCFD!E3122</f>
        <v>0.01</v>
      </c>
    </row>
    <row r="3592" spans="2:9" ht="33.75" customHeight="1" x14ac:dyDescent="0.25">
      <c r="B3592" s="973">
        <v>173400</v>
      </c>
      <c r="C3592" s="974">
        <v>333904700000000</v>
      </c>
      <c r="D3592" s="973" t="s">
        <v>6834</v>
      </c>
      <c r="F3592" s="975">
        <v>4504</v>
      </c>
      <c r="G3592" s="945">
        <v>0</v>
      </c>
      <c r="I3592" s="1039">
        <f>PUCFD!E3123</f>
        <v>0.01</v>
      </c>
    </row>
    <row r="3593" spans="2:9" ht="24.95" customHeight="1" x14ac:dyDescent="0.25">
      <c r="B3593" s="973">
        <v>173500</v>
      </c>
      <c r="C3593" s="974">
        <v>344905100000000</v>
      </c>
      <c r="D3593" s="973" t="s">
        <v>6835</v>
      </c>
      <c r="F3593" s="975">
        <v>4504</v>
      </c>
      <c r="G3593" s="945">
        <v>0</v>
      </c>
      <c r="I3593" s="1039">
        <f>PUCFD!E3124</f>
        <v>0.01</v>
      </c>
    </row>
    <row r="3594" spans="2:9" ht="24.95" customHeight="1" x14ac:dyDescent="0.25">
      <c r="B3594" s="973">
        <v>173600</v>
      </c>
      <c r="C3594" s="974">
        <v>344905200000000</v>
      </c>
      <c r="D3594" s="973" t="s">
        <v>6836</v>
      </c>
      <c r="F3594" s="975">
        <v>4504</v>
      </c>
      <c r="G3594" s="945">
        <v>0</v>
      </c>
      <c r="I3594" s="1039">
        <f>PUCFD!E3125</f>
        <v>1.0522248199102067</v>
      </c>
    </row>
    <row r="3595" spans="2:9" ht="24.95" customHeight="1" x14ac:dyDescent="0.25">
      <c r="B3595" s="962" t="s">
        <v>3138</v>
      </c>
      <c r="C3595" s="959">
        <v>10</v>
      </c>
      <c r="D3595" s="962" t="s">
        <v>5246</v>
      </c>
      <c r="I3595" s="957">
        <f>I3596</f>
        <v>318514.05657192611</v>
      </c>
    </row>
    <row r="3596" spans="2:9" ht="24.95" customHeight="1" x14ac:dyDescent="0.25">
      <c r="B3596" s="962" t="s">
        <v>3139</v>
      </c>
      <c r="C3596" s="959">
        <v>301</v>
      </c>
      <c r="D3596" s="962" t="s">
        <v>5303</v>
      </c>
      <c r="I3596" s="957">
        <f>I3597</f>
        <v>318514.05657192611</v>
      </c>
    </row>
    <row r="3597" spans="2:9" ht="24.95" customHeight="1" x14ac:dyDescent="0.25">
      <c r="B3597" s="963" t="s">
        <v>2965</v>
      </c>
      <c r="C3597" s="959">
        <v>29</v>
      </c>
      <c r="D3597" s="963" t="s">
        <v>5306</v>
      </c>
      <c r="I3597" s="957">
        <f>SUM(I3598:I3605)</f>
        <v>318514.05657192611</v>
      </c>
    </row>
    <row r="3598" spans="2:9" ht="24.95" customHeight="1" x14ac:dyDescent="0.25">
      <c r="B3598" s="973">
        <v>175000</v>
      </c>
      <c r="C3598" s="974">
        <v>333901400000000</v>
      </c>
      <c r="D3598" s="973" t="s">
        <v>5529</v>
      </c>
      <c r="F3598" s="975">
        <v>4500</v>
      </c>
      <c r="G3598" s="945">
        <v>0</v>
      </c>
      <c r="I3598" s="1039">
        <f>PUCFD!E3127</f>
        <v>20000</v>
      </c>
    </row>
    <row r="3599" spans="2:9" ht="24.95" customHeight="1" x14ac:dyDescent="0.25">
      <c r="B3599" s="973">
        <v>175100</v>
      </c>
      <c r="C3599" s="974">
        <v>333903000000000</v>
      </c>
      <c r="D3599" s="973" t="s">
        <v>5530</v>
      </c>
      <c r="F3599" s="975">
        <v>4500</v>
      </c>
      <c r="G3599" s="945">
        <v>0</v>
      </c>
      <c r="I3599" s="1039">
        <f>PUCFD!E3128+19097.03</f>
        <v>69097.03</v>
      </c>
    </row>
    <row r="3600" spans="2:9" ht="24.95" customHeight="1" x14ac:dyDescent="0.25">
      <c r="B3600" s="973">
        <v>175150</v>
      </c>
      <c r="C3600" s="974">
        <v>333903200000000</v>
      </c>
      <c r="D3600" s="973" t="s">
        <v>7767</v>
      </c>
      <c r="F3600" s="975">
        <v>4500</v>
      </c>
      <c r="G3600" s="945">
        <v>0</v>
      </c>
      <c r="H3600" s="1380"/>
      <c r="I3600" s="1039">
        <f>PUCFD!E3129</f>
        <v>50000</v>
      </c>
    </row>
    <row r="3601" spans="2:9" ht="24.95" customHeight="1" x14ac:dyDescent="0.25">
      <c r="B3601" s="973">
        <v>175200</v>
      </c>
      <c r="C3601" s="974">
        <v>333903600000000</v>
      </c>
      <c r="D3601" s="973" t="s">
        <v>6637</v>
      </c>
      <c r="F3601" s="975">
        <v>4500</v>
      </c>
      <c r="G3601" s="945">
        <v>0</v>
      </c>
      <c r="I3601" s="1039">
        <f>PUCFD!E3130</f>
        <v>50000</v>
      </c>
    </row>
    <row r="3602" spans="2:9" ht="24.95" customHeight="1" x14ac:dyDescent="0.25">
      <c r="B3602" s="973">
        <v>175300</v>
      </c>
      <c r="C3602" s="974">
        <v>333903900000000</v>
      </c>
      <c r="D3602" s="973" t="s">
        <v>6638</v>
      </c>
      <c r="F3602" s="975">
        <v>4500</v>
      </c>
      <c r="G3602" s="945">
        <v>0</v>
      </c>
      <c r="I3602" s="1039">
        <f>PUCFD!E3131</f>
        <v>100319.97</v>
      </c>
    </row>
    <row r="3603" spans="2:9" ht="33.75" customHeight="1" x14ac:dyDescent="0.25">
      <c r="B3603" s="973">
        <v>175400</v>
      </c>
      <c r="C3603" s="974">
        <v>333904700000000</v>
      </c>
      <c r="D3603" s="973" t="s">
        <v>6636</v>
      </c>
      <c r="F3603" s="975">
        <v>4500</v>
      </c>
      <c r="G3603" s="945">
        <v>0</v>
      </c>
      <c r="I3603" s="1039">
        <f>PUCFD!E3132</f>
        <v>10000</v>
      </c>
    </row>
    <row r="3604" spans="2:9" ht="24.95" customHeight="1" x14ac:dyDescent="0.25">
      <c r="B3604" s="973">
        <v>175500</v>
      </c>
      <c r="C3604" s="974">
        <v>344905100000000</v>
      </c>
      <c r="D3604" s="973" t="s">
        <v>5534</v>
      </c>
      <c r="F3604" s="975">
        <v>4500</v>
      </c>
      <c r="G3604" s="945">
        <v>0</v>
      </c>
      <c r="I3604" s="1039">
        <f>PUCFD!E3133</f>
        <v>0.01</v>
      </c>
    </row>
    <row r="3605" spans="2:9" ht="24.95" customHeight="1" x14ac:dyDescent="0.25">
      <c r="B3605" s="973">
        <v>175600</v>
      </c>
      <c r="C3605" s="974">
        <v>344905200000000</v>
      </c>
      <c r="D3605" s="973" t="s">
        <v>6639</v>
      </c>
      <c r="F3605" s="975">
        <v>4500</v>
      </c>
      <c r="G3605" s="945">
        <v>0</v>
      </c>
      <c r="I3605" s="1039">
        <f>PUCFD!E3134</f>
        <v>19097.046571926079</v>
      </c>
    </row>
    <row r="3606" spans="2:9" ht="24.95" customHeight="1" x14ac:dyDescent="0.25">
      <c r="B3606" s="962" t="s">
        <v>3138</v>
      </c>
      <c r="C3606" s="959">
        <v>10</v>
      </c>
      <c r="D3606" s="962" t="s">
        <v>5246</v>
      </c>
      <c r="F3606" s="975"/>
      <c r="I3606" s="957">
        <f>I3607</f>
        <v>1.1122248199102067</v>
      </c>
    </row>
    <row r="3607" spans="2:9" ht="24.95" customHeight="1" x14ac:dyDescent="0.25">
      <c r="B3607" s="962" t="s">
        <v>3139</v>
      </c>
      <c r="C3607" s="959">
        <v>302</v>
      </c>
      <c r="D3607" s="962" t="s">
        <v>5304</v>
      </c>
      <c r="F3607" s="975"/>
      <c r="I3607" s="957">
        <f>I3608</f>
        <v>1.1122248199102067</v>
      </c>
    </row>
    <row r="3608" spans="2:9" s="946" customFormat="1" ht="24.95" customHeight="1" x14ac:dyDescent="0.25">
      <c r="B3608" s="963" t="s">
        <v>2965</v>
      </c>
      <c r="C3608" s="959">
        <v>42</v>
      </c>
      <c r="D3608" s="963" t="s">
        <v>5497</v>
      </c>
      <c r="E3608" s="954"/>
      <c r="F3608" s="960"/>
      <c r="H3608" s="956"/>
      <c r="I3608" s="957">
        <f>SUM(I3609:I3617)</f>
        <v>1.1122248199102067</v>
      </c>
    </row>
    <row r="3609" spans="2:9" ht="24.95" customHeight="1" x14ac:dyDescent="0.25">
      <c r="B3609" s="973">
        <v>177000</v>
      </c>
      <c r="C3609" s="974">
        <v>331901300000000</v>
      </c>
      <c r="D3609" s="973" t="s">
        <v>6640</v>
      </c>
      <c r="F3609" s="975">
        <v>4501</v>
      </c>
      <c r="G3609" s="945">
        <v>0</v>
      </c>
      <c r="I3609" s="1039">
        <f>PUCFD!E3136</f>
        <v>0.01</v>
      </c>
    </row>
    <row r="3610" spans="2:9" ht="24.95" customHeight="1" x14ac:dyDescent="0.25">
      <c r="B3610" s="973">
        <v>177100</v>
      </c>
      <c r="C3610" s="974">
        <v>331903400000000</v>
      </c>
      <c r="D3610" s="973" t="s">
        <v>5503</v>
      </c>
      <c r="F3610" s="975">
        <v>4501</v>
      </c>
      <c r="G3610" s="945">
        <v>0</v>
      </c>
      <c r="I3610" s="1039">
        <f>PUCFD!E3137</f>
        <v>0.01</v>
      </c>
    </row>
    <row r="3611" spans="2:9" ht="24.95" customHeight="1" x14ac:dyDescent="0.25">
      <c r="B3611" s="973">
        <v>177200</v>
      </c>
      <c r="C3611" s="974">
        <v>333901400000000</v>
      </c>
      <c r="D3611" s="973" t="s">
        <v>5504</v>
      </c>
      <c r="F3611" s="975">
        <v>4501</v>
      </c>
      <c r="G3611" s="945">
        <v>0</v>
      </c>
      <c r="I3611" s="1039">
        <f>PUCFD!E3138</f>
        <v>0.01</v>
      </c>
    </row>
    <row r="3612" spans="2:9" ht="24.95" customHeight="1" x14ac:dyDescent="0.25">
      <c r="B3612" s="973">
        <v>177300</v>
      </c>
      <c r="C3612" s="974">
        <v>333903000000000</v>
      </c>
      <c r="D3612" s="973" t="s">
        <v>5383</v>
      </c>
      <c r="F3612" s="975">
        <v>4501</v>
      </c>
      <c r="G3612" s="945">
        <v>0</v>
      </c>
      <c r="I3612" s="1039">
        <f>PUCFD!E3139</f>
        <v>0.01</v>
      </c>
    </row>
    <row r="3613" spans="2:9" ht="24.95" customHeight="1" x14ac:dyDescent="0.25">
      <c r="B3613" s="973">
        <v>177400</v>
      </c>
      <c r="C3613" s="974">
        <v>333903600000000</v>
      </c>
      <c r="D3613" s="973" t="s">
        <v>5505</v>
      </c>
      <c r="F3613" s="975">
        <v>4501</v>
      </c>
      <c r="G3613" s="945">
        <v>0</v>
      </c>
      <c r="I3613" s="1039">
        <f>PUCFD!E3140</f>
        <v>0.01</v>
      </c>
    </row>
    <row r="3614" spans="2:9" ht="24.95" customHeight="1" x14ac:dyDescent="0.25">
      <c r="B3614" s="973">
        <v>177500</v>
      </c>
      <c r="C3614" s="974">
        <v>333903900000000</v>
      </c>
      <c r="D3614" s="973" t="s">
        <v>5506</v>
      </c>
      <c r="F3614" s="975">
        <v>4501</v>
      </c>
      <c r="G3614" s="945">
        <v>0</v>
      </c>
      <c r="I3614" s="1039">
        <f>PUCFD!E3141</f>
        <v>0.01</v>
      </c>
    </row>
    <row r="3615" spans="2:9" ht="24.95" customHeight="1" x14ac:dyDescent="0.25">
      <c r="B3615" s="973">
        <v>177600</v>
      </c>
      <c r="C3615" s="974">
        <v>333904700000000</v>
      </c>
      <c r="D3615" s="973" t="s">
        <v>6641</v>
      </c>
      <c r="F3615" s="975">
        <v>4501</v>
      </c>
      <c r="G3615" s="945">
        <v>0</v>
      </c>
      <c r="I3615" s="1039">
        <f>PUCFD!E3142</f>
        <v>0.01</v>
      </c>
    </row>
    <row r="3616" spans="2:9" ht="24.95" customHeight="1" x14ac:dyDescent="0.25">
      <c r="B3616" s="973">
        <v>177700</v>
      </c>
      <c r="C3616" s="974">
        <v>344905100000000</v>
      </c>
      <c r="D3616" s="973" t="s">
        <v>5394</v>
      </c>
      <c r="F3616" s="975">
        <v>4501</v>
      </c>
      <c r="G3616" s="945">
        <v>0</v>
      </c>
      <c r="I3616" s="1039">
        <f>PUCFD!E3143</f>
        <v>0.01</v>
      </c>
    </row>
    <row r="3617" spans="2:9" ht="24.95" customHeight="1" x14ac:dyDescent="0.25">
      <c r="B3617" s="973">
        <v>177800</v>
      </c>
      <c r="C3617" s="974">
        <v>344905200000000</v>
      </c>
      <c r="D3617" s="973" t="s">
        <v>6555</v>
      </c>
      <c r="F3617" s="975">
        <v>4501</v>
      </c>
      <c r="G3617" s="945">
        <v>0</v>
      </c>
      <c r="I3617" s="1039">
        <f>PUCFD!E3144</f>
        <v>1.0322248199102066</v>
      </c>
    </row>
    <row r="3618" spans="2:9" ht="24.95" customHeight="1" x14ac:dyDescent="0.25">
      <c r="B3618" s="962" t="s">
        <v>3138</v>
      </c>
      <c r="C3618" s="959">
        <v>10</v>
      </c>
      <c r="D3618" s="962" t="s">
        <v>5246</v>
      </c>
      <c r="E3618" s="946"/>
      <c r="F3618" s="960"/>
      <c r="G3618" s="958"/>
      <c r="H3618" s="958"/>
      <c r="I3618" s="957">
        <f>I3619</f>
        <v>37893.235543623494</v>
      </c>
    </row>
    <row r="3619" spans="2:9" ht="24.95" customHeight="1" x14ac:dyDescent="0.25">
      <c r="B3619" s="962" t="s">
        <v>3139</v>
      </c>
      <c r="C3619" s="959">
        <v>303</v>
      </c>
      <c r="D3619" s="962" t="s">
        <v>5418</v>
      </c>
      <c r="E3619" s="946"/>
      <c r="F3619" s="960"/>
      <c r="G3619" s="958"/>
      <c r="H3619" s="958"/>
      <c r="I3619" s="957">
        <f>I3620</f>
        <v>37893.235543623494</v>
      </c>
    </row>
    <row r="3620" spans="2:9" ht="24.95" customHeight="1" x14ac:dyDescent="0.25">
      <c r="B3620" s="962" t="s">
        <v>3137</v>
      </c>
      <c r="C3620" s="959">
        <v>100</v>
      </c>
      <c r="D3620" s="962" t="s">
        <v>5247</v>
      </c>
      <c r="E3620" s="946"/>
      <c r="F3620" s="960"/>
      <c r="G3620" s="958"/>
      <c r="H3620" s="958"/>
      <c r="I3620" s="957">
        <f>SUM(I3621:I3621)</f>
        <v>37893.235543623494</v>
      </c>
    </row>
    <row r="3621" spans="2:9" ht="24.95" customHeight="1" x14ac:dyDescent="0.25">
      <c r="B3621" s="963" t="s">
        <v>2965</v>
      </c>
      <c r="C3621" s="959">
        <v>43</v>
      </c>
      <c r="D3621" s="963" t="s">
        <v>5419</v>
      </c>
      <c r="E3621" s="946"/>
      <c r="F3621" s="960"/>
      <c r="G3621" s="963"/>
      <c r="H3621" s="963"/>
      <c r="I3621" s="957">
        <f>SUM(I3623:I3624,I3623)</f>
        <v>37893.235543623494</v>
      </c>
    </row>
    <row r="3622" spans="2:9" ht="24.95" customHeight="1" x14ac:dyDescent="0.25">
      <c r="B3622" s="963">
        <v>177850</v>
      </c>
      <c r="C3622" s="974">
        <v>331900400000000</v>
      </c>
      <c r="D3622" s="973" t="s">
        <v>5420</v>
      </c>
      <c r="E3622" s="946"/>
      <c r="F3622" s="960">
        <v>4503</v>
      </c>
      <c r="G3622" s="963">
        <v>0</v>
      </c>
      <c r="H3622" s="963"/>
      <c r="I3622" s="957">
        <v>2093.59</v>
      </c>
    </row>
    <row r="3623" spans="2:9" ht="24.95" customHeight="1" x14ac:dyDescent="0.25">
      <c r="B3623" s="973">
        <v>179000</v>
      </c>
      <c r="C3623" s="974">
        <v>333903000000000</v>
      </c>
      <c r="D3623" s="973" t="s">
        <v>5428</v>
      </c>
      <c r="E3623" s="973"/>
      <c r="F3623" s="975">
        <v>4503</v>
      </c>
      <c r="G3623" s="973">
        <v>0</v>
      </c>
      <c r="I3623" s="1039">
        <f>PUCFD!E3146</f>
        <v>7493.4127718117488</v>
      </c>
    </row>
    <row r="3624" spans="2:9" ht="24.95" customHeight="1" x14ac:dyDescent="0.25">
      <c r="B3624" s="973">
        <v>179100</v>
      </c>
      <c r="C3624" s="974">
        <v>333903200000000</v>
      </c>
      <c r="D3624" s="973" t="s">
        <v>5476</v>
      </c>
      <c r="E3624" s="973"/>
      <c r="F3624" s="975">
        <v>4503</v>
      </c>
      <c r="G3624" s="973">
        <v>0</v>
      </c>
      <c r="I3624" s="1039">
        <f>PUCFD!E3147-2093.59</f>
        <v>22906.41</v>
      </c>
    </row>
    <row r="3625" spans="2:9" ht="24.95" customHeight="1" x14ac:dyDescent="0.25">
      <c r="B3625" s="962" t="s">
        <v>3138</v>
      </c>
      <c r="C3625" s="959">
        <v>10</v>
      </c>
      <c r="D3625" s="962" t="s">
        <v>5246</v>
      </c>
      <c r="E3625" s="946"/>
      <c r="F3625" s="960"/>
      <c r="G3625" s="958"/>
      <c r="H3625" s="958"/>
      <c r="I3625" s="957">
        <f>I3626</f>
        <v>37697.624903675685</v>
      </c>
    </row>
    <row r="3626" spans="2:9" ht="24.95" customHeight="1" x14ac:dyDescent="0.25">
      <c r="B3626" s="962" t="s">
        <v>3139</v>
      </c>
      <c r="C3626" s="959">
        <v>304</v>
      </c>
      <c r="D3626" s="962" t="s">
        <v>5305</v>
      </c>
      <c r="E3626" s="946"/>
      <c r="F3626" s="960"/>
      <c r="G3626" s="958"/>
      <c r="H3626" s="958"/>
      <c r="I3626" s="957">
        <f>I3627</f>
        <v>37697.624903675685</v>
      </c>
    </row>
    <row r="3627" spans="2:9" ht="24.95" customHeight="1" x14ac:dyDescent="0.25">
      <c r="B3627" s="962" t="s">
        <v>3137</v>
      </c>
      <c r="C3627" s="959">
        <v>100</v>
      </c>
      <c r="D3627" s="962" t="s">
        <v>5247</v>
      </c>
      <c r="E3627" s="946"/>
      <c r="F3627" s="960"/>
      <c r="G3627" s="958"/>
      <c r="H3627" s="958"/>
      <c r="I3627" s="957">
        <f>I3628</f>
        <v>37697.624903675685</v>
      </c>
    </row>
    <row r="3628" spans="2:9" ht="24.95" customHeight="1" x14ac:dyDescent="0.25">
      <c r="B3628" s="963" t="s">
        <v>2965</v>
      </c>
      <c r="C3628" s="959">
        <v>46</v>
      </c>
      <c r="D3628" s="963" t="s">
        <v>5396</v>
      </c>
      <c r="E3628" s="946"/>
      <c r="F3628" s="960"/>
      <c r="G3628" s="963"/>
      <c r="H3628" s="963"/>
      <c r="I3628" s="957">
        <f>SUM(I3629:I3650)</f>
        <v>37697.624903675685</v>
      </c>
    </row>
    <row r="3629" spans="2:9" ht="24.95" customHeight="1" x14ac:dyDescent="0.25">
      <c r="B3629" s="973">
        <v>181000</v>
      </c>
      <c r="C3629" s="974">
        <v>331900400000000</v>
      </c>
      <c r="D3629" s="973" t="s">
        <v>5397</v>
      </c>
      <c r="E3629" s="973"/>
      <c r="F3629" s="975">
        <v>4502</v>
      </c>
      <c r="G3629" s="973">
        <v>0</v>
      </c>
      <c r="I3629" s="1039">
        <f>PUCFD!E3149</f>
        <v>0.01</v>
      </c>
    </row>
    <row r="3630" spans="2:9" ht="24.95" customHeight="1" x14ac:dyDescent="0.25">
      <c r="B3630" s="973">
        <v>181100</v>
      </c>
      <c r="C3630" s="967">
        <v>331900800000000</v>
      </c>
      <c r="D3630" s="966" t="s">
        <v>5398</v>
      </c>
      <c r="E3630" s="973"/>
      <c r="F3630" s="969">
        <v>1</v>
      </c>
      <c r="G3630" s="966">
        <v>0</v>
      </c>
      <c r="H3630" s="998"/>
      <c r="I3630" s="1039">
        <f>PUCFD!E3150</f>
        <v>0.01</v>
      </c>
    </row>
    <row r="3631" spans="2:9" ht="24.95" customHeight="1" x14ac:dyDescent="0.25">
      <c r="B3631" s="973">
        <v>181200</v>
      </c>
      <c r="C3631" s="974">
        <v>331901100000000</v>
      </c>
      <c r="D3631" s="973" t="s">
        <v>6643</v>
      </c>
      <c r="E3631" s="973"/>
      <c r="F3631" s="975">
        <v>4502</v>
      </c>
      <c r="G3631" s="973">
        <v>0</v>
      </c>
      <c r="I3631" s="1039">
        <f>PUCFD!E3151</f>
        <v>1.0999999999999999E-2</v>
      </c>
    </row>
    <row r="3632" spans="2:9" ht="24.95" customHeight="1" x14ac:dyDescent="0.25">
      <c r="B3632" s="973">
        <v>181300</v>
      </c>
      <c r="C3632" s="974">
        <v>331901300000000</v>
      </c>
      <c r="D3632" s="973" t="s">
        <v>5400</v>
      </c>
      <c r="E3632" s="973"/>
      <c r="F3632" s="975">
        <v>4502</v>
      </c>
      <c r="G3632" s="973">
        <v>0</v>
      </c>
      <c r="I3632" s="1039">
        <f>PUCFD!E3152</f>
        <v>0.01</v>
      </c>
    </row>
    <row r="3633" spans="2:9" ht="24.95" customHeight="1" x14ac:dyDescent="0.25">
      <c r="B3633" s="973">
        <v>181400</v>
      </c>
      <c r="C3633" s="974">
        <v>331901600000000</v>
      </c>
      <c r="D3633" s="973" t="s">
        <v>5401</v>
      </c>
      <c r="E3633" s="973"/>
      <c r="F3633" s="975">
        <v>4502</v>
      </c>
      <c r="G3633" s="973">
        <v>0</v>
      </c>
      <c r="I3633" s="1039">
        <f>PUCFD!E3153</f>
        <v>0.01</v>
      </c>
    </row>
    <row r="3634" spans="2:9" ht="24.95" customHeight="1" x14ac:dyDescent="0.25">
      <c r="B3634" s="973">
        <v>181500</v>
      </c>
      <c r="C3634" s="974">
        <v>331903400000000</v>
      </c>
      <c r="D3634" s="973" t="s">
        <v>6644</v>
      </c>
      <c r="E3634" s="973"/>
      <c r="F3634" s="975">
        <v>4502</v>
      </c>
      <c r="G3634" s="973">
        <v>0</v>
      </c>
      <c r="I3634" s="1039">
        <f>PUCFD!E3154</f>
        <v>1.0999999999999999E-2</v>
      </c>
    </row>
    <row r="3635" spans="2:9" ht="24.95" customHeight="1" x14ac:dyDescent="0.25">
      <c r="B3635" s="973">
        <v>181600</v>
      </c>
      <c r="C3635" s="974">
        <v>331909400000000</v>
      </c>
      <c r="D3635" s="973" t="s">
        <v>5403</v>
      </c>
      <c r="E3635" s="973"/>
      <c r="F3635" s="975">
        <v>4502</v>
      </c>
      <c r="G3635" s="973">
        <v>0</v>
      </c>
      <c r="I3635" s="1039">
        <f>PUCFD!E3155</f>
        <v>1.0999999999999999E-2</v>
      </c>
    </row>
    <row r="3636" spans="2:9" ht="24.95" customHeight="1" x14ac:dyDescent="0.25">
      <c r="B3636" s="973">
        <v>181700</v>
      </c>
      <c r="C3636" s="974">
        <v>333901400000000</v>
      </c>
      <c r="D3636" s="973" t="s">
        <v>5404</v>
      </c>
      <c r="E3636" s="973"/>
      <c r="F3636" s="975">
        <v>4502</v>
      </c>
      <c r="G3636" s="973">
        <v>0</v>
      </c>
      <c r="I3636" s="1039">
        <f>PUCFD!E3156</f>
        <v>1500</v>
      </c>
    </row>
    <row r="3637" spans="2:9" ht="24.95" customHeight="1" x14ac:dyDescent="0.25">
      <c r="B3637" s="973">
        <v>181800</v>
      </c>
      <c r="C3637" s="974">
        <v>333903000000000</v>
      </c>
      <c r="D3637" s="973" t="s">
        <v>5405</v>
      </c>
      <c r="E3637" s="973"/>
      <c r="F3637" s="975">
        <v>4502</v>
      </c>
      <c r="G3637" s="973">
        <v>0</v>
      </c>
      <c r="I3637" s="1039">
        <f>PUCFD!E3157+0.01</f>
        <v>31197.430903675682</v>
      </c>
    </row>
    <row r="3638" spans="2:9" ht="24.95" customHeight="1" x14ac:dyDescent="0.25">
      <c r="B3638" s="973">
        <v>181900</v>
      </c>
      <c r="C3638" s="974">
        <v>333903200000000</v>
      </c>
      <c r="D3638" s="973" t="s">
        <v>5477</v>
      </c>
      <c r="E3638" s="973"/>
      <c r="F3638" s="975">
        <v>4502</v>
      </c>
      <c r="G3638" s="973">
        <v>0</v>
      </c>
      <c r="I3638" s="1039">
        <f>PUCFD!E3158</f>
        <v>0.01</v>
      </c>
    </row>
    <row r="3639" spans="2:9" ht="24.95" customHeight="1" x14ac:dyDescent="0.25">
      <c r="B3639" s="973">
        <v>182000</v>
      </c>
      <c r="C3639" s="974">
        <v>333903300000000</v>
      </c>
      <c r="D3639" s="973" t="s">
        <v>5406</v>
      </c>
      <c r="E3639" s="973"/>
      <c r="F3639" s="975">
        <v>4502</v>
      </c>
      <c r="G3639" s="973">
        <v>0</v>
      </c>
      <c r="I3639" s="1039">
        <f>PUCFD!E3159</f>
        <v>0.01</v>
      </c>
    </row>
    <row r="3640" spans="2:9" ht="24.95" customHeight="1" x14ac:dyDescent="0.25">
      <c r="B3640" s="973">
        <v>182100</v>
      </c>
      <c r="C3640" s="974">
        <v>333903500000000</v>
      </c>
      <c r="D3640" s="973" t="s">
        <v>5407</v>
      </c>
      <c r="E3640" s="973"/>
      <c r="F3640" s="975">
        <v>4502</v>
      </c>
      <c r="G3640" s="973">
        <v>0</v>
      </c>
      <c r="I3640" s="1039">
        <f>PUCFD!E3160</f>
        <v>0.01</v>
      </c>
    </row>
    <row r="3641" spans="2:9" ht="24.95" customHeight="1" x14ac:dyDescent="0.25">
      <c r="B3641" s="973">
        <v>182200</v>
      </c>
      <c r="C3641" s="974">
        <v>333903600000000</v>
      </c>
      <c r="D3641" s="973" t="s">
        <v>5408</v>
      </c>
      <c r="E3641" s="973"/>
      <c r="F3641" s="975">
        <v>4502</v>
      </c>
      <c r="G3641" s="973">
        <v>0</v>
      </c>
      <c r="I3641" s="1039">
        <f>PUCFD!E3161</f>
        <v>0.01</v>
      </c>
    </row>
    <row r="3642" spans="2:9" ht="24.95" customHeight="1" x14ac:dyDescent="0.25">
      <c r="B3642" s="973">
        <v>182300</v>
      </c>
      <c r="C3642" s="974">
        <v>333903900000000</v>
      </c>
      <c r="D3642" s="973" t="s">
        <v>5409</v>
      </c>
      <c r="E3642" s="973"/>
      <c r="F3642" s="975">
        <v>4502</v>
      </c>
      <c r="G3642" s="973">
        <v>0</v>
      </c>
      <c r="I3642" s="1039">
        <f>PUCFD!E3162</f>
        <v>5000</v>
      </c>
    </row>
    <row r="3643" spans="2:9" ht="24.95" customHeight="1" x14ac:dyDescent="0.25">
      <c r="B3643" s="973">
        <v>182400</v>
      </c>
      <c r="C3643" s="974">
        <v>333904600000000</v>
      </c>
      <c r="D3643" s="973" t="s">
        <v>5410</v>
      </c>
      <c r="E3643" s="973"/>
      <c r="F3643" s="975">
        <v>4502</v>
      </c>
      <c r="G3643" s="973">
        <v>0</v>
      </c>
      <c r="I3643" s="1039">
        <f>PUCFD!E3163</f>
        <v>1.0999999999999999E-2</v>
      </c>
    </row>
    <row r="3644" spans="2:9" ht="24.95" customHeight="1" x14ac:dyDescent="0.25">
      <c r="B3644" s="973">
        <v>182500</v>
      </c>
      <c r="C3644" s="974">
        <v>333904700000000</v>
      </c>
      <c r="D3644" s="973" t="s">
        <v>6642</v>
      </c>
      <c r="E3644" s="973"/>
      <c r="F3644" s="975">
        <v>4502</v>
      </c>
      <c r="G3644" s="973">
        <v>0</v>
      </c>
      <c r="I3644" s="1039">
        <f>PUCFD!E3164</f>
        <v>0.01</v>
      </c>
    </row>
    <row r="3645" spans="2:9" ht="24.95" customHeight="1" x14ac:dyDescent="0.25">
      <c r="B3645" s="973">
        <v>182600</v>
      </c>
      <c r="C3645" s="974">
        <v>333904900000000</v>
      </c>
      <c r="D3645" s="973" t="s">
        <v>5412</v>
      </c>
      <c r="E3645" s="973"/>
      <c r="F3645" s="975">
        <v>4502</v>
      </c>
      <c r="G3645" s="973">
        <v>0</v>
      </c>
      <c r="I3645" s="1039">
        <f>PUCFD!E3165</f>
        <v>0.01</v>
      </c>
    </row>
    <row r="3646" spans="2:9" ht="24.95" customHeight="1" x14ac:dyDescent="0.25">
      <c r="B3646" s="973">
        <v>182700</v>
      </c>
      <c r="C3646" s="974">
        <v>333909200000000</v>
      </c>
      <c r="D3646" s="973" t="s">
        <v>5413</v>
      </c>
      <c r="E3646" s="973"/>
      <c r="F3646" s="975">
        <v>4502</v>
      </c>
      <c r="G3646" s="973">
        <v>0</v>
      </c>
      <c r="I3646" s="1039">
        <f>PUCFD!E3166</f>
        <v>0.01</v>
      </c>
    </row>
    <row r="3647" spans="2:9" ht="24.95" customHeight="1" x14ac:dyDescent="0.25">
      <c r="B3647" s="973">
        <v>182800</v>
      </c>
      <c r="C3647" s="974">
        <v>333909300000000</v>
      </c>
      <c r="D3647" s="973" t="s">
        <v>5414</v>
      </c>
      <c r="E3647" s="973"/>
      <c r="F3647" s="975">
        <v>4502</v>
      </c>
      <c r="G3647" s="973">
        <v>0</v>
      </c>
      <c r="I3647" s="1039">
        <f>PUCFD!E3167</f>
        <v>0.01</v>
      </c>
    </row>
    <row r="3648" spans="2:9" ht="24.95" customHeight="1" x14ac:dyDescent="0.25">
      <c r="B3648" s="973">
        <v>182900</v>
      </c>
      <c r="C3648" s="974">
        <v>333933000000000</v>
      </c>
      <c r="D3648" s="973" t="s">
        <v>5415</v>
      </c>
      <c r="E3648" s="973"/>
      <c r="F3648" s="975">
        <v>4502</v>
      </c>
      <c r="G3648" s="973">
        <v>0</v>
      </c>
      <c r="I3648" s="1039">
        <f>PUCFD!E3168</f>
        <v>0.01</v>
      </c>
    </row>
    <row r="3649" spans="2:9" ht="24.95" customHeight="1" x14ac:dyDescent="0.25">
      <c r="B3649" s="973">
        <v>183000</v>
      </c>
      <c r="C3649" s="974">
        <v>344905100000000</v>
      </c>
      <c r="D3649" s="973" t="s">
        <v>5416</v>
      </c>
      <c r="E3649" s="973"/>
      <c r="F3649" s="975">
        <v>4502</v>
      </c>
      <c r="G3649" s="973">
        <v>0</v>
      </c>
      <c r="I3649" s="1039">
        <f>PUCFD!E3169</f>
        <v>0.01</v>
      </c>
    </row>
    <row r="3650" spans="2:9" ht="24.95" customHeight="1" x14ac:dyDescent="0.25">
      <c r="B3650" s="973">
        <v>183100</v>
      </c>
      <c r="C3650" s="974">
        <v>344905200000000</v>
      </c>
      <c r="D3650" s="973" t="s">
        <v>5417</v>
      </c>
      <c r="E3650" s="973"/>
      <c r="F3650" s="975">
        <v>4502</v>
      </c>
      <c r="G3650" s="973">
        <v>0</v>
      </c>
      <c r="I3650" s="1039">
        <f>PUCFD!E3170</f>
        <v>0.01</v>
      </c>
    </row>
    <row r="3651" spans="2:9" ht="24.95" customHeight="1" x14ac:dyDescent="0.25">
      <c r="B3651" s="1608" t="s">
        <v>5290</v>
      </c>
      <c r="C3651" s="1608"/>
      <c r="D3651" s="1608"/>
      <c r="E3651" s="1608"/>
      <c r="F3651" s="1608"/>
      <c r="G3651" s="1608"/>
      <c r="H3651" s="1608"/>
      <c r="I3651" s="1024">
        <f>I3526+I3537+I3548+I3560+I3569+I3578+I3587+I3597+I3608+I3621+I3628</f>
        <v>394118.16146886512</v>
      </c>
    </row>
    <row r="3652" spans="2:9" ht="24.95" customHeight="1" x14ac:dyDescent="0.25">
      <c r="B3652" s="1608" t="s">
        <v>5537</v>
      </c>
      <c r="C3652" s="1608"/>
      <c r="D3652" s="1608"/>
      <c r="E3652" s="1608"/>
      <c r="F3652" s="1608"/>
      <c r="G3652" s="1608"/>
      <c r="H3652" s="1608"/>
      <c r="I3652" s="1024">
        <f>I3651</f>
        <v>394118.16146886512</v>
      </c>
    </row>
    <row r="3653" spans="2:9" ht="24.95" customHeight="1" x14ac:dyDescent="0.25">
      <c r="B3653" s="987"/>
      <c r="C3653" s="987"/>
      <c r="D3653" s="987"/>
      <c r="E3653" s="954" t="s">
        <v>4777</v>
      </c>
      <c r="F3653" s="960"/>
      <c r="G3653" s="960"/>
      <c r="H3653" s="958"/>
      <c r="I3653" s="1030"/>
    </row>
    <row r="3654" spans="2:9" ht="24.95" customHeight="1" x14ac:dyDescent="0.25">
      <c r="B3654" s="987"/>
      <c r="C3654" s="987"/>
      <c r="D3654" s="987"/>
      <c r="F3654" s="949">
        <v>1</v>
      </c>
      <c r="G3654" s="945">
        <v>0</v>
      </c>
      <c r="H3654" s="950">
        <v>0</v>
      </c>
      <c r="I3654" s="951">
        <f>I3630</f>
        <v>0.01</v>
      </c>
    </row>
    <row r="3655" spans="2:9" ht="24.95" customHeight="1" x14ac:dyDescent="0.25">
      <c r="F3655" s="949">
        <v>40</v>
      </c>
      <c r="G3655" s="945">
        <v>0</v>
      </c>
      <c r="H3655" s="950">
        <v>0</v>
      </c>
      <c r="I3655" s="951">
        <f>I3555+I3556</f>
        <v>0.02</v>
      </c>
    </row>
    <row r="3656" spans="2:9" ht="24.95" customHeight="1" x14ac:dyDescent="0.25">
      <c r="F3656" s="949">
        <v>4500</v>
      </c>
      <c r="G3656" s="945">
        <v>0</v>
      </c>
      <c r="H3656" s="950">
        <v>0</v>
      </c>
      <c r="I3656" s="951">
        <f>I3597</f>
        <v>318514.05657192611</v>
      </c>
    </row>
    <row r="3657" spans="2:9" ht="24.95" customHeight="1" x14ac:dyDescent="0.25">
      <c r="F3657" s="949">
        <v>4501</v>
      </c>
      <c r="G3657" s="945">
        <v>0</v>
      </c>
      <c r="H3657" s="950">
        <v>0</v>
      </c>
      <c r="I3657" s="951">
        <f>I3608</f>
        <v>1.1122248199102067</v>
      </c>
    </row>
    <row r="3658" spans="2:9" ht="24.95" customHeight="1" x14ac:dyDescent="0.25">
      <c r="F3658" s="949">
        <v>4502</v>
      </c>
      <c r="G3658" s="945">
        <v>0</v>
      </c>
      <c r="H3658" s="950">
        <v>0</v>
      </c>
      <c r="I3658" s="951">
        <f>I3628-I3630</f>
        <v>37697.614903675683</v>
      </c>
    </row>
    <row r="3659" spans="2:9" ht="24.95" customHeight="1" x14ac:dyDescent="0.25">
      <c r="F3659" s="949">
        <v>4503</v>
      </c>
      <c r="G3659" s="945">
        <v>0</v>
      </c>
      <c r="H3659" s="950">
        <v>0</v>
      </c>
      <c r="I3659" s="951">
        <f>I3621</f>
        <v>37893.235543623494</v>
      </c>
    </row>
    <row r="3660" spans="2:9" ht="24.95" customHeight="1" x14ac:dyDescent="0.25">
      <c r="F3660" s="949">
        <v>4504</v>
      </c>
      <c r="G3660" s="945">
        <v>0</v>
      </c>
      <c r="H3660" s="950">
        <v>0</v>
      </c>
      <c r="I3660" s="951">
        <f>I3587</f>
        <v>1.1122248199102067</v>
      </c>
    </row>
    <row r="3661" spans="2:9" ht="24.95" customHeight="1" x14ac:dyDescent="0.25">
      <c r="F3661" s="949">
        <v>4505</v>
      </c>
      <c r="G3661" s="945">
        <v>0</v>
      </c>
      <c r="H3661" s="950">
        <v>0</v>
      </c>
      <c r="I3661" s="951">
        <f>I3560</f>
        <v>2</v>
      </c>
    </row>
    <row r="3662" spans="2:9" ht="24.95" customHeight="1" x14ac:dyDescent="0.25">
      <c r="F3662" s="949">
        <v>4506</v>
      </c>
      <c r="G3662" s="945">
        <v>0</v>
      </c>
      <c r="H3662" s="950">
        <v>0</v>
      </c>
      <c r="I3662" s="951">
        <f>I3569</f>
        <v>1</v>
      </c>
    </row>
    <row r="3663" spans="2:9" ht="24.95" customHeight="1" x14ac:dyDescent="0.25">
      <c r="F3663" s="949">
        <v>4507</v>
      </c>
      <c r="G3663" s="945">
        <v>0</v>
      </c>
      <c r="H3663" s="950">
        <v>0</v>
      </c>
      <c r="I3663" s="951">
        <f>I3578</f>
        <v>1</v>
      </c>
    </row>
    <row r="3664" spans="2:9" ht="24.95" customHeight="1" x14ac:dyDescent="0.25">
      <c r="F3664" s="949">
        <v>4508</v>
      </c>
      <c r="G3664" s="945">
        <v>0</v>
      </c>
      <c r="H3664" s="950">
        <v>0</v>
      </c>
      <c r="I3664" s="951">
        <f>I3537</f>
        <v>1</v>
      </c>
    </row>
    <row r="3665" spans="2:9" ht="24.95" customHeight="1" x14ac:dyDescent="0.25">
      <c r="F3665" s="949">
        <v>4509</v>
      </c>
      <c r="G3665" s="945">
        <v>0</v>
      </c>
      <c r="H3665" s="950">
        <v>0</v>
      </c>
      <c r="I3665" s="951">
        <f>I3526</f>
        <v>1</v>
      </c>
    </row>
    <row r="3666" spans="2:9" ht="24.95" customHeight="1" x14ac:dyDescent="0.25">
      <c r="F3666" s="949">
        <v>4512</v>
      </c>
      <c r="G3666" s="945">
        <v>0</v>
      </c>
      <c r="H3666" s="950">
        <v>0</v>
      </c>
      <c r="I3666" s="951">
        <f>I3548-I3555-I3556</f>
        <v>5.0000000000000018</v>
      </c>
    </row>
    <row r="3668" spans="2:9" ht="24.95" customHeight="1" x14ac:dyDescent="0.25">
      <c r="B3668" s="946" t="s">
        <v>3088</v>
      </c>
      <c r="C3668" s="953" t="s">
        <v>5538</v>
      </c>
    </row>
    <row r="3669" spans="2:9" ht="24.95" customHeight="1" x14ac:dyDescent="0.25">
      <c r="B3669" s="946" t="s">
        <v>3087</v>
      </c>
      <c r="C3669" s="953" t="s">
        <v>5244</v>
      </c>
    </row>
    <row r="3670" spans="2:9" ht="24.95" customHeight="1" x14ac:dyDescent="0.25">
      <c r="B3670" s="946" t="s">
        <v>3089</v>
      </c>
      <c r="C3670" s="953" t="s">
        <v>5539</v>
      </c>
    </row>
    <row r="3671" spans="2:9" ht="24.95" customHeight="1" x14ac:dyDescent="0.25">
      <c r="B3671" s="962" t="s">
        <v>3138</v>
      </c>
      <c r="C3671" s="959">
        <v>8</v>
      </c>
      <c r="D3671" s="962" t="s">
        <v>6646</v>
      </c>
      <c r="I3671" s="957">
        <f>I3672</f>
        <v>6.0000000000000005E-2</v>
      </c>
    </row>
    <row r="3672" spans="2:9" ht="24.95" customHeight="1" x14ac:dyDescent="0.25">
      <c r="B3672" s="962" t="s">
        <v>3139</v>
      </c>
      <c r="C3672" s="959">
        <v>122</v>
      </c>
      <c r="D3672" s="962" t="s">
        <v>3143</v>
      </c>
      <c r="I3672" s="957">
        <f>I3673</f>
        <v>6.0000000000000005E-2</v>
      </c>
    </row>
    <row r="3673" spans="2:9" ht="24.95" customHeight="1" x14ac:dyDescent="0.25">
      <c r="B3673" s="962" t="s">
        <v>3137</v>
      </c>
      <c r="C3673" s="959">
        <v>12</v>
      </c>
      <c r="D3673" s="962" t="s">
        <v>5545</v>
      </c>
      <c r="I3673" s="957">
        <f>I3674</f>
        <v>6.0000000000000005E-2</v>
      </c>
    </row>
    <row r="3674" spans="2:9" s="946" customFormat="1" ht="24.95" customHeight="1" x14ac:dyDescent="0.25">
      <c r="B3674" s="963" t="s">
        <v>2950</v>
      </c>
      <c r="C3674" s="959" t="s">
        <v>5540</v>
      </c>
      <c r="D3674" s="963" t="s">
        <v>5541</v>
      </c>
      <c r="E3674" s="954"/>
      <c r="F3674" s="955"/>
      <c r="H3674" s="956"/>
      <c r="I3674" s="957">
        <f>SUM(I3675:I3680)</f>
        <v>6.0000000000000005E-2</v>
      </c>
    </row>
    <row r="3675" spans="2:9" ht="24.95" customHeight="1" x14ac:dyDescent="0.25">
      <c r="B3675" s="973">
        <v>185000</v>
      </c>
      <c r="C3675" s="974">
        <v>333904700000000</v>
      </c>
      <c r="D3675" s="973" t="s">
        <v>6645</v>
      </c>
      <c r="F3675" s="949">
        <v>1</v>
      </c>
      <c r="G3675" s="945">
        <v>0</v>
      </c>
      <c r="H3675" s="950">
        <v>0</v>
      </c>
      <c r="I3675" s="951">
        <f>PUCFD!E3173</f>
        <v>0.01</v>
      </c>
    </row>
    <row r="3676" spans="2:9" ht="24.95" customHeight="1" x14ac:dyDescent="0.25">
      <c r="B3676" s="973">
        <v>185100</v>
      </c>
      <c r="C3676" s="974">
        <v>344903000000000</v>
      </c>
      <c r="D3676" s="973" t="s">
        <v>3562</v>
      </c>
      <c r="F3676" s="949">
        <v>1</v>
      </c>
      <c r="G3676" s="945">
        <v>0</v>
      </c>
      <c r="H3676" s="950">
        <v>0</v>
      </c>
      <c r="I3676" s="951">
        <f>PUCFD!E3174</f>
        <v>0.01</v>
      </c>
    </row>
    <row r="3677" spans="2:9" ht="24.95" customHeight="1" x14ac:dyDescent="0.25">
      <c r="B3677" s="973">
        <v>185200</v>
      </c>
      <c r="C3677" s="974">
        <v>344903600000000</v>
      </c>
      <c r="D3677" s="973" t="s">
        <v>4161</v>
      </c>
      <c r="F3677" s="949">
        <v>1</v>
      </c>
      <c r="G3677" s="945">
        <v>0</v>
      </c>
      <c r="H3677" s="950">
        <v>0</v>
      </c>
      <c r="I3677" s="951">
        <f>PUCFD!E3175</f>
        <v>0.01</v>
      </c>
    </row>
    <row r="3678" spans="2:9" ht="24.95" customHeight="1" x14ac:dyDescent="0.25">
      <c r="B3678" s="973">
        <v>185300</v>
      </c>
      <c r="C3678" s="974">
        <v>344903900000000</v>
      </c>
      <c r="D3678" s="973" t="s">
        <v>4165</v>
      </c>
      <c r="F3678" s="949">
        <v>1</v>
      </c>
      <c r="G3678" s="945">
        <v>0</v>
      </c>
      <c r="H3678" s="950">
        <v>0</v>
      </c>
      <c r="I3678" s="951">
        <f>PUCFD!E3176</f>
        <v>0.01</v>
      </c>
    </row>
    <row r="3679" spans="2:9" ht="24.95" customHeight="1" x14ac:dyDescent="0.25">
      <c r="B3679" s="973">
        <v>185400</v>
      </c>
      <c r="C3679" s="974">
        <v>344905100000000</v>
      </c>
      <c r="D3679" s="973" t="s">
        <v>4494</v>
      </c>
      <c r="F3679" s="949">
        <v>1</v>
      </c>
      <c r="G3679" s="945">
        <v>0</v>
      </c>
      <c r="H3679" s="950">
        <v>0</v>
      </c>
      <c r="I3679" s="951">
        <f>PUCFD!E3177</f>
        <v>0.01</v>
      </c>
    </row>
    <row r="3680" spans="2:9" ht="24.95" customHeight="1" x14ac:dyDescent="0.25">
      <c r="B3680" s="973">
        <v>185500</v>
      </c>
      <c r="C3680" s="974">
        <v>344905200000000</v>
      </c>
      <c r="D3680" s="973" t="s">
        <v>3152</v>
      </c>
      <c r="F3680" s="949">
        <v>1</v>
      </c>
      <c r="G3680" s="945">
        <v>0</v>
      </c>
      <c r="H3680" s="950">
        <v>0</v>
      </c>
      <c r="I3680" s="951">
        <f>PUCFD!E3178</f>
        <v>0.01</v>
      </c>
    </row>
    <row r="3681" spans="2:9" ht="24.95" customHeight="1" x14ac:dyDescent="0.25">
      <c r="B3681" s="962" t="s">
        <v>3138</v>
      </c>
      <c r="C3681" s="959">
        <v>8</v>
      </c>
      <c r="D3681" s="962" t="s">
        <v>6646</v>
      </c>
      <c r="I3681" s="957">
        <f>I3682</f>
        <v>6.0000000000000005E-2</v>
      </c>
    </row>
    <row r="3682" spans="2:9" ht="24.95" customHeight="1" x14ac:dyDescent="0.25">
      <c r="B3682" s="962" t="s">
        <v>3139</v>
      </c>
      <c r="C3682" s="959">
        <v>122</v>
      </c>
      <c r="D3682" s="962" t="s">
        <v>3143</v>
      </c>
      <c r="I3682" s="957">
        <f>I3683</f>
        <v>6.0000000000000005E-2</v>
      </c>
    </row>
    <row r="3683" spans="2:9" ht="24.95" customHeight="1" x14ac:dyDescent="0.25">
      <c r="B3683" s="962" t="s">
        <v>3137</v>
      </c>
      <c r="C3683" s="959">
        <v>12</v>
      </c>
      <c r="D3683" s="962" t="s">
        <v>5545</v>
      </c>
      <c r="I3683" s="957">
        <f>I3684</f>
        <v>6.0000000000000005E-2</v>
      </c>
    </row>
    <row r="3684" spans="2:9" s="946" customFormat="1" ht="24.95" customHeight="1" x14ac:dyDescent="0.25">
      <c r="B3684" s="963" t="s">
        <v>2950</v>
      </c>
      <c r="C3684" s="959" t="s">
        <v>5540</v>
      </c>
      <c r="D3684" s="963" t="s">
        <v>5541</v>
      </c>
      <c r="E3684" s="954"/>
      <c r="F3684" s="955"/>
      <c r="H3684" s="956"/>
      <c r="I3684" s="957">
        <f>SUM(I3685:I3690)</f>
        <v>6.0000000000000005E-2</v>
      </c>
    </row>
    <row r="3685" spans="2:9" s="946" customFormat="1" ht="24.95" customHeight="1" x14ac:dyDescent="0.25">
      <c r="B3685" s="973">
        <v>187000</v>
      </c>
      <c r="C3685" s="974">
        <v>333904700000000</v>
      </c>
      <c r="D3685" s="973" t="s">
        <v>6648</v>
      </c>
      <c r="E3685" s="948"/>
      <c r="F3685" s="949">
        <v>1</v>
      </c>
      <c r="G3685" s="945">
        <v>0</v>
      </c>
      <c r="H3685" s="950">
        <v>0</v>
      </c>
      <c r="I3685" s="951">
        <f>PUCFD!E3180</f>
        <v>0.01</v>
      </c>
    </row>
    <row r="3686" spans="2:9" s="946" customFormat="1" ht="24.95" customHeight="1" x14ac:dyDescent="0.25">
      <c r="B3686" s="973">
        <v>187100</v>
      </c>
      <c r="C3686" s="974">
        <v>344903000000000</v>
      </c>
      <c r="D3686" s="973" t="s">
        <v>5612</v>
      </c>
      <c r="E3686" s="948"/>
      <c r="F3686" s="949">
        <v>1</v>
      </c>
      <c r="G3686" s="945">
        <v>0</v>
      </c>
      <c r="H3686" s="950">
        <v>0</v>
      </c>
      <c r="I3686" s="951">
        <f>PUCFD!E3181</f>
        <v>0.01</v>
      </c>
    </row>
    <row r="3687" spans="2:9" s="946" customFormat="1" ht="24.95" customHeight="1" x14ac:dyDescent="0.25">
      <c r="B3687" s="973">
        <v>187200</v>
      </c>
      <c r="C3687" s="974">
        <v>344903600000000</v>
      </c>
      <c r="D3687" s="973" t="s">
        <v>5613</v>
      </c>
      <c r="E3687" s="948"/>
      <c r="F3687" s="949">
        <v>1</v>
      </c>
      <c r="G3687" s="945">
        <v>0</v>
      </c>
      <c r="H3687" s="950">
        <v>0</v>
      </c>
      <c r="I3687" s="951">
        <f>PUCFD!E3182</f>
        <v>0.01</v>
      </c>
    </row>
    <row r="3688" spans="2:9" s="946" customFormat="1" ht="24.95" customHeight="1" x14ac:dyDescent="0.25">
      <c r="B3688" s="973">
        <v>187300</v>
      </c>
      <c r="C3688" s="974">
        <v>344903900000000</v>
      </c>
      <c r="D3688" s="973" t="s">
        <v>5614</v>
      </c>
      <c r="E3688" s="948"/>
      <c r="F3688" s="949">
        <v>1</v>
      </c>
      <c r="G3688" s="945">
        <v>0</v>
      </c>
      <c r="H3688" s="950">
        <v>0</v>
      </c>
      <c r="I3688" s="951">
        <f>PUCFD!E3183</f>
        <v>0.01</v>
      </c>
    </row>
    <row r="3689" spans="2:9" s="946" customFormat="1" ht="24.95" customHeight="1" x14ac:dyDescent="0.25">
      <c r="B3689" s="973">
        <v>187400</v>
      </c>
      <c r="C3689" s="974">
        <v>344905100000000</v>
      </c>
      <c r="D3689" s="973" t="s">
        <v>5615</v>
      </c>
      <c r="E3689" s="948"/>
      <c r="F3689" s="949">
        <v>1</v>
      </c>
      <c r="G3689" s="945">
        <v>0</v>
      </c>
      <c r="H3689" s="950">
        <v>0</v>
      </c>
      <c r="I3689" s="951">
        <f>PUCFD!E3184</f>
        <v>0.01</v>
      </c>
    </row>
    <row r="3690" spans="2:9" s="946" customFormat="1" ht="24.95" customHeight="1" x14ac:dyDescent="0.25">
      <c r="B3690" s="973">
        <v>187500</v>
      </c>
      <c r="C3690" s="974">
        <v>344905200000000</v>
      </c>
      <c r="D3690" s="973" t="s">
        <v>6647</v>
      </c>
      <c r="E3690" s="948"/>
      <c r="F3690" s="949">
        <v>1</v>
      </c>
      <c r="G3690" s="945">
        <v>0</v>
      </c>
      <c r="H3690" s="950">
        <v>0</v>
      </c>
      <c r="I3690" s="951">
        <f>PUCFD!E3185</f>
        <v>0.01</v>
      </c>
    </row>
    <row r="3691" spans="2:9" ht="24.95" customHeight="1" x14ac:dyDescent="0.25">
      <c r="B3691" s="962" t="s">
        <v>3138</v>
      </c>
      <c r="C3691" s="959">
        <v>8</v>
      </c>
      <c r="D3691" s="962" t="s">
        <v>6646</v>
      </c>
      <c r="I3691" s="957">
        <f>I3692</f>
        <v>428162.77447597287</v>
      </c>
    </row>
    <row r="3692" spans="2:9" ht="24.95" customHeight="1" x14ac:dyDescent="0.25">
      <c r="B3692" s="962" t="s">
        <v>3139</v>
      </c>
      <c r="C3692" s="959">
        <v>122</v>
      </c>
      <c r="D3692" s="962" t="s">
        <v>3143</v>
      </c>
      <c r="I3692" s="957">
        <f>I3693</f>
        <v>428162.77447597287</v>
      </c>
    </row>
    <row r="3693" spans="2:9" ht="24.95" customHeight="1" x14ac:dyDescent="0.25">
      <c r="B3693" s="962" t="s">
        <v>3137</v>
      </c>
      <c r="C3693" s="959">
        <v>12</v>
      </c>
      <c r="D3693" s="962" t="s">
        <v>5545</v>
      </c>
      <c r="I3693" s="957">
        <f>I3694</f>
        <v>428162.77447597287</v>
      </c>
    </row>
    <row r="3694" spans="2:9" s="946" customFormat="1" ht="24.95" customHeight="1" x14ac:dyDescent="0.25">
      <c r="B3694" s="963" t="s">
        <v>2965</v>
      </c>
      <c r="C3694" s="959">
        <v>12</v>
      </c>
      <c r="D3694" s="963" t="s">
        <v>5542</v>
      </c>
      <c r="E3694" s="954"/>
      <c r="F3694" s="955"/>
      <c r="H3694" s="956"/>
      <c r="I3694" s="957">
        <f>SUM(I3695:I3715)</f>
        <v>428162.77447597287</v>
      </c>
    </row>
    <row r="3695" spans="2:9" ht="24.95" customHeight="1" x14ac:dyDescent="0.25">
      <c r="B3695" s="973">
        <v>189000</v>
      </c>
      <c r="C3695" s="974">
        <v>331900400000000</v>
      </c>
      <c r="D3695" s="973" t="s">
        <v>6650</v>
      </c>
      <c r="F3695" s="949">
        <v>1</v>
      </c>
      <c r="G3695" s="945">
        <v>0</v>
      </c>
      <c r="H3695" s="950">
        <v>0</v>
      </c>
      <c r="I3695" s="951">
        <f>PUCFD!E3187*(1+PUCFD!E$87)</f>
        <v>75649.103572014763</v>
      </c>
    </row>
    <row r="3696" spans="2:9" s="971" customFormat="1" ht="24.95" customHeight="1" x14ac:dyDescent="0.25">
      <c r="B3696" s="966">
        <v>189100</v>
      </c>
      <c r="C3696" s="967">
        <v>331900800000000</v>
      </c>
      <c r="D3696" s="966" t="s">
        <v>6649</v>
      </c>
      <c r="E3696" s="966"/>
      <c r="F3696" s="969">
        <v>1</v>
      </c>
      <c r="G3696" s="966">
        <v>0</v>
      </c>
      <c r="H3696" s="998"/>
      <c r="I3696" s="1046">
        <f>PUCFD!E3192</f>
        <v>17501.159024028853</v>
      </c>
    </row>
    <row r="3697" spans="2:9" ht="24.95" customHeight="1" x14ac:dyDescent="0.25">
      <c r="B3697" s="973">
        <v>189200</v>
      </c>
      <c r="C3697" s="974">
        <v>331901100000000</v>
      </c>
      <c r="D3697" s="973" t="s">
        <v>6651</v>
      </c>
      <c r="F3697" s="949">
        <v>1</v>
      </c>
      <c r="G3697" s="945">
        <v>0</v>
      </c>
      <c r="H3697" s="950">
        <v>0</v>
      </c>
      <c r="I3697" s="951">
        <f>PUCFD!E3193*(1+PUCFD!E$87)</f>
        <v>152286.36113060638</v>
      </c>
    </row>
    <row r="3698" spans="2:9" ht="24.95" customHeight="1" x14ac:dyDescent="0.25">
      <c r="B3698" s="973">
        <v>189300</v>
      </c>
      <c r="C3698" s="974">
        <v>331901300000000</v>
      </c>
      <c r="D3698" s="973" t="s">
        <v>6652</v>
      </c>
      <c r="F3698" s="949">
        <v>1</v>
      </c>
      <c r="G3698" s="945">
        <v>0</v>
      </c>
      <c r="H3698" s="950">
        <v>0</v>
      </c>
      <c r="I3698" s="951">
        <f>PUCFD!E3200</f>
        <v>31847.865141993581</v>
      </c>
    </row>
    <row r="3699" spans="2:9" ht="24.95" customHeight="1" x14ac:dyDescent="0.25">
      <c r="B3699" s="973">
        <v>189400</v>
      </c>
      <c r="C3699" s="974">
        <v>331901600000000</v>
      </c>
      <c r="D3699" s="973" t="s">
        <v>6653</v>
      </c>
      <c r="F3699" s="949">
        <v>1</v>
      </c>
      <c r="G3699" s="945">
        <v>0</v>
      </c>
      <c r="H3699" s="950">
        <v>0</v>
      </c>
      <c r="I3699" s="951">
        <f>PUCFD!E3201*(1+PUCFD!E$87)</f>
        <v>6951.160981932203</v>
      </c>
    </row>
    <row r="3700" spans="2:9" ht="24.95" customHeight="1" x14ac:dyDescent="0.25">
      <c r="B3700" s="973">
        <v>189500</v>
      </c>
      <c r="C3700" s="974">
        <v>331903400000000</v>
      </c>
      <c r="D3700" s="973" t="s">
        <v>5630</v>
      </c>
      <c r="F3700" s="949">
        <v>1</v>
      </c>
      <c r="G3700" s="945">
        <v>0</v>
      </c>
      <c r="H3700" s="950">
        <v>0</v>
      </c>
      <c r="I3700" s="951">
        <f>PUCFD!E3202</f>
        <v>0.01</v>
      </c>
    </row>
    <row r="3701" spans="2:9" ht="24.95" customHeight="1" x14ac:dyDescent="0.25">
      <c r="B3701" s="973">
        <v>189600</v>
      </c>
      <c r="C3701" s="974">
        <v>331909400000000</v>
      </c>
      <c r="D3701" s="973" t="s">
        <v>6654</v>
      </c>
      <c r="F3701" s="949">
        <v>1</v>
      </c>
      <c r="G3701" s="945">
        <v>0</v>
      </c>
      <c r="H3701" s="950">
        <v>0</v>
      </c>
      <c r="I3701" s="951">
        <f>PUCFD!E3203</f>
        <v>6490.772665836017</v>
      </c>
    </row>
    <row r="3702" spans="2:9" ht="24.95" customHeight="1" x14ac:dyDescent="0.25">
      <c r="B3702" s="973">
        <v>189700</v>
      </c>
      <c r="C3702" s="974">
        <v>333901400000000</v>
      </c>
      <c r="D3702" s="973" t="s">
        <v>5631</v>
      </c>
      <c r="F3702" s="949">
        <v>1</v>
      </c>
      <c r="G3702" s="945">
        <v>0</v>
      </c>
      <c r="H3702" s="950">
        <v>0</v>
      </c>
      <c r="I3702" s="951">
        <f>PUCFD!E3204</f>
        <v>11922</v>
      </c>
    </row>
    <row r="3703" spans="2:9" ht="24.95" customHeight="1" x14ac:dyDescent="0.25">
      <c r="B3703" s="973">
        <v>189800</v>
      </c>
      <c r="C3703" s="974">
        <v>333903000000000</v>
      </c>
      <c r="D3703" s="973" t="s">
        <v>5632</v>
      </c>
      <c r="F3703" s="949">
        <v>1</v>
      </c>
      <c r="G3703" s="945">
        <v>0</v>
      </c>
      <c r="H3703" s="950">
        <v>0</v>
      </c>
      <c r="I3703" s="951">
        <f>PUCFD!E3205-10000</f>
        <v>24585.934999999998</v>
      </c>
    </row>
    <row r="3704" spans="2:9" ht="24.95" customHeight="1" x14ac:dyDescent="0.25">
      <c r="B3704" s="973">
        <v>189900</v>
      </c>
      <c r="C3704" s="974">
        <v>333903300000000</v>
      </c>
      <c r="D3704" s="973" t="s">
        <v>5633</v>
      </c>
      <c r="F3704" s="949">
        <v>1</v>
      </c>
      <c r="G3704" s="945">
        <v>0</v>
      </c>
      <c r="H3704" s="950">
        <v>0</v>
      </c>
      <c r="I3704" s="951">
        <f>PUCFD!E3206</f>
        <v>1000</v>
      </c>
    </row>
    <row r="3705" spans="2:9" ht="24.95" customHeight="1" x14ac:dyDescent="0.25">
      <c r="B3705" s="973">
        <v>190000</v>
      </c>
      <c r="C3705" s="974">
        <v>333903500000000</v>
      </c>
      <c r="D3705" s="973" t="s">
        <v>5634</v>
      </c>
      <c r="F3705" s="949">
        <v>1</v>
      </c>
      <c r="G3705" s="945">
        <v>0</v>
      </c>
      <c r="H3705" s="950">
        <v>0</v>
      </c>
      <c r="I3705" s="951">
        <f>PUCFD!E3207</f>
        <v>0.01</v>
      </c>
    </row>
    <row r="3706" spans="2:9" ht="24.95" customHeight="1" x14ac:dyDescent="0.25">
      <c r="B3706" s="973">
        <v>190100</v>
      </c>
      <c r="C3706" s="974">
        <v>333903600000000</v>
      </c>
      <c r="D3706" s="973" t="s">
        <v>5635</v>
      </c>
      <c r="F3706" s="949">
        <v>1</v>
      </c>
      <c r="G3706" s="945">
        <v>0</v>
      </c>
      <c r="H3706" s="950">
        <v>0</v>
      </c>
      <c r="I3706" s="951">
        <f>PUCFD!E3208</f>
        <v>44088.090000000004</v>
      </c>
    </row>
    <row r="3707" spans="2:9" ht="24.95" customHeight="1" x14ac:dyDescent="0.25">
      <c r="B3707" s="973">
        <v>190200</v>
      </c>
      <c r="C3707" s="974">
        <v>333903900000000</v>
      </c>
      <c r="D3707" s="973" t="s">
        <v>5636</v>
      </c>
      <c r="F3707" s="949">
        <v>1</v>
      </c>
      <c r="G3707" s="945">
        <v>0</v>
      </c>
      <c r="H3707" s="950">
        <v>0</v>
      </c>
      <c r="I3707" s="951">
        <f>PUCFD!E3209-10000</f>
        <v>35180.404999999999</v>
      </c>
    </row>
    <row r="3708" spans="2:9" ht="24.95" customHeight="1" x14ac:dyDescent="0.25">
      <c r="B3708" s="973">
        <v>190300</v>
      </c>
      <c r="C3708" s="974">
        <v>333904600000000</v>
      </c>
      <c r="D3708" s="973" t="s">
        <v>5637</v>
      </c>
      <c r="F3708" s="949">
        <v>1</v>
      </c>
      <c r="G3708" s="945">
        <v>0</v>
      </c>
      <c r="H3708" s="950">
        <v>0</v>
      </c>
      <c r="I3708" s="951">
        <f>PUCFD!E3210*(1+PUCFD!E10)*(1+PUCFD!E16)</f>
        <v>14535.226959560998</v>
      </c>
    </row>
    <row r="3709" spans="2:9" ht="24.95" customHeight="1" x14ac:dyDescent="0.25">
      <c r="B3709" s="973">
        <v>190400</v>
      </c>
      <c r="C3709" s="974">
        <v>333904700000000</v>
      </c>
      <c r="D3709" s="973" t="s">
        <v>6655</v>
      </c>
      <c r="F3709" s="949">
        <v>1</v>
      </c>
      <c r="G3709" s="945">
        <v>0</v>
      </c>
      <c r="H3709" s="950">
        <v>0</v>
      </c>
      <c r="I3709" s="951">
        <f>PUCFD!E3211</f>
        <v>1500</v>
      </c>
    </row>
    <row r="3710" spans="2:9" ht="24.95" customHeight="1" x14ac:dyDescent="0.25">
      <c r="B3710" s="973">
        <v>190500</v>
      </c>
      <c r="C3710" s="974">
        <v>333904900000000</v>
      </c>
      <c r="D3710" s="973" t="s">
        <v>5638</v>
      </c>
      <c r="F3710" s="949">
        <v>1</v>
      </c>
      <c r="G3710" s="945">
        <v>0</v>
      </c>
      <c r="H3710" s="950">
        <v>0</v>
      </c>
      <c r="I3710" s="951">
        <f>PUCFD!E3212</f>
        <v>4324.6350000000002</v>
      </c>
    </row>
    <row r="3711" spans="2:9" ht="24.95" customHeight="1" x14ac:dyDescent="0.25">
      <c r="B3711" s="973">
        <v>190600</v>
      </c>
      <c r="C3711" s="974">
        <v>333909200000000</v>
      </c>
      <c r="D3711" s="973" t="s">
        <v>5639</v>
      </c>
      <c r="F3711" s="949">
        <v>1</v>
      </c>
      <c r="G3711" s="945">
        <v>0</v>
      </c>
      <c r="H3711" s="950">
        <v>0</v>
      </c>
      <c r="I3711" s="951">
        <f>PUCFD!E3213</f>
        <v>0.01</v>
      </c>
    </row>
    <row r="3712" spans="2:9" ht="24.95" customHeight="1" x14ac:dyDescent="0.25">
      <c r="B3712" s="973">
        <v>190700</v>
      </c>
      <c r="C3712" s="974">
        <v>333909300000000</v>
      </c>
      <c r="D3712" s="973" t="s">
        <v>5640</v>
      </c>
      <c r="F3712" s="949">
        <v>1</v>
      </c>
      <c r="G3712" s="945">
        <v>0</v>
      </c>
      <c r="H3712" s="950">
        <v>0</v>
      </c>
      <c r="I3712" s="951">
        <f>PUCFD!E3214</f>
        <v>300</v>
      </c>
    </row>
    <row r="3713" spans="2:9" ht="24.95" customHeight="1" x14ac:dyDescent="0.25">
      <c r="B3713" s="973">
        <v>190800</v>
      </c>
      <c r="C3713" s="974">
        <v>333933000000000</v>
      </c>
      <c r="D3713" s="973" t="s">
        <v>5641</v>
      </c>
      <c r="F3713" s="949">
        <v>1</v>
      </c>
      <c r="G3713" s="945">
        <v>0</v>
      </c>
      <c r="H3713" s="950">
        <v>0</v>
      </c>
      <c r="I3713" s="951">
        <f>PUCFD!E3215</f>
        <v>0.01</v>
      </c>
    </row>
    <row r="3714" spans="2:9" ht="24.95" customHeight="1" x14ac:dyDescent="0.25">
      <c r="B3714" s="973">
        <v>190900</v>
      </c>
      <c r="C3714" s="974">
        <v>344905100000000</v>
      </c>
      <c r="D3714" s="973" t="s">
        <v>5642</v>
      </c>
      <c r="F3714" s="949">
        <v>1</v>
      </c>
      <c r="G3714" s="945">
        <v>0</v>
      </c>
      <c r="H3714" s="950">
        <v>0</v>
      </c>
      <c r="I3714" s="951">
        <f>PUCFD!E3216</f>
        <v>0.01</v>
      </c>
    </row>
    <row r="3715" spans="2:9" ht="24.95" customHeight="1" x14ac:dyDescent="0.25">
      <c r="B3715" s="973">
        <v>191000</v>
      </c>
      <c r="C3715" s="974">
        <v>344905200000000</v>
      </c>
      <c r="D3715" s="973" t="s">
        <v>5629</v>
      </c>
      <c r="F3715" s="949">
        <v>1</v>
      </c>
      <c r="G3715" s="945">
        <v>0</v>
      </c>
      <c r="H3715" s="950">
        <v>0</v>
      </c>
      <c r="I3715" s="951">
        <f>PUCFD!E3217</f>
        <v>0.01</v>
      </c>
    </row>
    <row r="3716" spans="2:9" ht="24.95" customHeight="1" x14ac:dyDescent="0.25">
      <c r="B3716" s="962" t="s">
        <v>3138</v>
      </c>
      <c r="C3716" s="959">
        <v>8</v>
      </c>
      <c r="D3716" s="962" t="s">
        <v>6646</v>
      </c>
      <c r="I3716" s="957">
        <f>I3717</f>
        <v>226045.07515495436</v>
      </c>
    </row>
    <row r="3717" spans="2:9" ht="24.95" customHeight="1" x14ac:dyDescent="0.25">
      <c r="B3717" s="962" t="s">
        <v>3139</v>
      </c>
      <c r="C3717" s="959">
        <v>122</v>
      </c>
      <c r="D3717" s="962" t="s">
        <v>3143</v>
      </c>
      <c r="I3717" s="957">
        <f>I3718</f>
        <v>226045.07515495436</v>
      </c>
    </row>
    <row r="3718" spans="2:9" ht="24.95" customHeight="1" x14ac:dyDescent="0.25">
      <c r="B3718" s="962" t="s">
        <v>3137</v>
      </c>
      <c r="C3718" s="959">
        <v>12</v>
      </c>
      <c r="D3718" s="962" t="s">
        <v>5545</v>
      </c>
      <c r="I3718" s="957">
        <f>I3719</f>
        <v>226045.07515495436</v>
      </c>
    </row>
    <row r="3719" spans="2:9" ht="24.95" customHeight="1" x14ac:dyDescent="0.25">
      <c r="B3719" s="963" t="s">
        <v>2965</v>
      </c>
      <c r="C3719" s="959">
        <v>13</v>
      </c>
      <c r="D3719" s="963" t="s">
        <v>5617</v>
      </c>
      <c r="E3719" s="954"/>
      <c r="F3719" s="955"/>
      <c r="G3719" s="946"/>
      <c r="H3719" s="956"/>
      <c r="I3719" s="957">
        <f>SUM(I3720:I3742)</f>
        <v>226045.07515495436</v>
      </c>
    </row>
    <row r="3720" spans="2:9" ht="24.95" customHeight="1" x14ac:dyDescent="0.25">
      <c r="B3720" s="973">
        <v>193000</v>
      </c>
      <c r="C3720" s="974">
        <v>331900400000000</v>
      </c>
      <c r="D3720" s="973" t="s">
        <v>6657</v>
      </c>
      <c r="F3720" s="949">
        <v>1</v>
      </c>
      <c r="G3720" s="945">
        <v>0</v>
      </c>
      <c r="H3720" s="950">
        <v>0</v>
      </c>
      <c r="I3720" s="951">
        <f>PUCFD!E3220</f>
        <v>0.02</v>
      </c>
    </row>
    <row r="3721" spans="2:9" s="971" customFormat="1" ht="24.95" customHeight="1" x14ac:dyDescent="0.25">
      <c r="B3721" s="966">
        <v>193100</v>
      </c>
      <c r="C3721" s="967">
        <v>331900800000000</v>
      </c>
      <c r="D3721" s="966" t="s">
        <v>6660</v>
      </c>
      <c r="E3721" s="966"/>
      <c r="F3721" s="969">
        <v>1</v>
      </c>
      <c r="G3721" s="966">
        <v>0</v>
      </c>
      <c r="H3721" s="998"/>
      <c r="I3721" s="1046">
        <f>(I3722+I3724)*PUCFD!E94</f>
        <v>15729.837076495589</v>
      </c>
    </row>
    <row r="3722" spans="2:9" ht="24.95" customHeight="1" x14ac:dyDescent="0.25">
      <c r="B3722" s="973">
        <v>193200</v>
      </c>
      <c r="C3722" s="974">
        <v>331901100000000</v>
      </c>
      <c r="D3722" s="973" t="s">
        <v>6661</v>
      </c>
      <c r="F3722" s="949">
        <v>1</v>
      </c>
      <c r="G3722" s="945">
        <v>0</v>
      </c>
      <c r="H3722" s="950">
        <v>0</v>
      </c>
      <c r="I3722" s="951">
        <f>PUCFD!E3226*(1+PUCFD!E$87)</f>
        <v>135257.09220899071</v>
      </c>
    </row>
    <row r="3723" spans="2:9" ht="24.95" customHeight="1" x14ac:dyDescent="0.25">
      <c r="B3723" s="973">
        <v>193300</v>
      </c>
      <c r="C3723" s="974">
        <v>331901300000000</v>
      </c>
      <c r="D3723" s="973" t="s">
        <v>5618</v>
      </c>
      <c r="F3723" s="949">
        <v>1</v>
      </c>
      <c r="G3723" s="945">
        <v>0</v>
      </c>
      <c r="H3723" s="950">
        <v>0</v>
      </c>
      <c r="I3723" s="951">
        <f>(I3722+I3724)*PUCFD!E92</f>
        <v>28624.486880971173</v>
      </c>
    </row>
    <row r="3724" spans="2:9" ht="24.95" customHeight="1" x14ac:dyDescent="0.25">
      <c r="B3724" s="973">
        <v>193400</v>
      </c>
      <c r="C3724" s="974">
        <v>331901600000000</v>
      </c>
      <c r="D3724" s="973" t="s">
        <v>6658</v>
      </c>
      <c r="F3724" s="949">
        <v>1</v>
      </c>
      <c r="G3724" s="945">
        <v>0</v>
      </c>
      <c r="H3724" s="950">
        <v>0</v>
      </c>
      <c r="I3724" s="951">
        <f>PUCFD!E3234*(1+PUCFD!E$87)</f>
        <v>1049.9881765863015</v>
      </c>
    </row>
    <row r="3725" spans="2:9" ht="24.95" customHeight="1" x14ac:dyDescent="0.25">
      <c r="B3725" s="973">
        <v>193500</v>
      </c>
      <c r="C3725" s="974">
        <v>331903400000000</v>
      </c>
      <c r="D3725" s="973" t="s">
        <v>6662</v>
      </c>
      <c r="F3725" s="949">
        <v>1</v>
      </c>
      <c r="G3725" s="945">
        <v>0</v>
      </c>
      <c r="H3725" s="950">
        <v>0</v>
      </c>
      <c r="I3725" s="951">
        <f>PUCFD!E3235</f>
        <v>0.01</v>
      </c>
    </row>
    <row r="3726" spans="2:9" ht="24.95" customHeight="1" x14ac:dyDescent="0.25">
      <c r="B3726" s="973">
        <v>193600</v>
      </c>
      <c r="C3726" s="974">
        <v>331909400000000</v>
      </c>
      <c r="D3726" s="973" t="s">
        <v>6659</v>
      </c>
      <c r="F3726" s="949">
        <v>1</v>
      </c>
      <c r="G3726" s="945">
        <v>0</v>
      </c>
      <c r="H3726" s="950">
        <v>0</v>
      </c>
      <c r="I3726" s="951">
        <f>PUCFD!E3236</f>
        <v>0.01</v>
      </c>
    </row>
    <row r="3727" spans="2:9" ht="24.95" customHeight="1" x14ac:dyDescent="0.25">
      <c r="B3727" s="973">
        <v>193700</v>
      </c>
      <c r="C3727" s="974">
        <v>333901400000000</v>
      </c>
      <c r="D3727" s="973" t="s">
        <v>5619</v>
      </c>
      <c r="F3727" s="949">
        <v>1</v>
      </c>
      <c r="G3727" s="945">
        <v>0</v>
      </c>
      <c r="H3727" s="950">
        <v>0</v>
      </c>
      <c r="I3727" s="951">
        <f>PUCFD!E3237</f>
        <v>1500</v>
      </c>
    </row>
    <row r="3728" spans="2:9" ht="24.95" customHeight="1" x14ac:dyDescent="0.25">
      <c r="B3728" s="973">
        <v>193800</v>
      </c>
      <c r="C3728" s="974">
        <v>333903000000000</v>
      </c>
      <c r="D3728" s="973" t="s">
        <v>5620</v>
      </c>
      <c r="F3728" s="949">
        <v>1</v>
      </c>
      <c r="G3728" s="945">
        <v>0</v>
      </c>
      <c r="H3728" s="950">
        <v>0</v>
      </c>
      <c r="I3728" s="951">
        <f>PUCFD!E3238</f>
        <v>5000</v>
      </c>
    </row>
    <row r="3729" spans="2:9" ht="24.95" customHeight="1" x14ac:dyDescent="0.25">
      <c r="B3729" s="973">
        <v>193900</v>
      </c>
      <c r="C3729" s="974">
        <v>333903200000000</v>
      </c>
      <c r="D3729" s="973" t="s">
        <v>6663</v>
      </c>
      <c r="F3729" s="949">
        <v>1</v>
      </c>
      <c r="G3729" s="945">
        <v>0</v>
      </c>
      <c r="H3729" s="950">
        <v>0</v>
      </c>
      <c r="I3729" s="951">
        <f>PUCFD!E3239</f>
        <v>5000</v>
      </c>
    </row>
    <row r="3730" spans="2:9" ht="24.95" customHeight="1" x14ac:dyDescent="0.25">
      <c r="B3730" s="973">
        <v>194000</v>
      </c>
      <c r="C3730" s="974">
        <v>333903300000000</v>
      </c>
      <c r="D3730" s="973" t="s">
        <v>5621</v>
      </c>
      <c r="F3730" s="949">
        <v>1</v>
      </c>
      <c r="G3730" s="945">
        <v>0</v>
      </c>
      <c r="H3730" s="950">
        <v>0</v>
      </c>
      <c r="I3730" s="951">
        <f>PUCFD!E3240</f>
        <v>500</v>
      </c>
    </row>
    <row r="3731" spans="2:9" ht="24.95" customHeight="1" x14ac:dyDescent="0.25">
      <c r="B3731" s="973">
        <v>194100</v>
      </c>
      <c r="C3731" s="974">
        <v>333903500000000</v>
      </c>
      <c r="D3731" s="973" t="s">
        <v>5622</v>
      </c>
      <c r="F3731" s="949">
        <v>1</v>
      </c>
      <c r="G3731" s="945">
        <v>0</v>
      </c>
      <c r="H3731" s="950">
        <v>0</v>
      </c>
      <c r="I3731" s="951">
        <f>PUCFD!E3241</f>
        <v>0.01</v>
      </c>
    </row>
    <row r="3732" spans="2:9" ht="24.95" customHeight="1" x14ac:dyDescent="0.25">
      <c r="B3732" s="973">
        <v>194200</v>
      </c>
      <c r="C3732" s="974">
        <v>333903600000000</v>
      </c>
      <c r="D3732" s="973" t="s">
        <v>5613</v>
      </c>
      <c r="F3732" s="949">
        <v>1</v>
      </c>
      <c r="G3732" s="945">
        <v>0</v>
      </c>
      <c r="H3732" s="950">
        <v>0</v>
      </c>
      <c r="I3732" s="951">
        <f>PUCFD!E3242</f>
        <v>5000</v>
      </c>
    </row>
    <row r="3733" spans="2:9" ht="24.95" customHeight="1" x14ac:dyDescent="0.25">
      <c r="B3733" s="973">
        <v>194300</v>
      </c>
      <c r="C3733" s="974">
        <v>333903900000000</v>
      </c>
      <c r="D3733" s="973" t="s">
        <v>5614</v>
      </c>
      <c r="F3733" s="949">
        <v>1</v>
      </c>
      <c r="G3733" s="945">
        <v>0</v>
      </c>
      <c r="H3733" s="950">
        <v>0</v>
      </c>
      <c r="I3733" s="951">
        <f>PUCFD!E3243</f>
        <v>10944</v>
      </c>
    </row>
    <row r="3734" spans="2:9" ht="24.95" customHeight="1" x14ac:dyDescent="0.25">
      <c r="B3734" s="973">
        <v>194400</v>
      </c>
      <c r="C3734" s="974">
        <v>333904600000000</v>
      </c>
      <c r="D3734" s="973" t="s">
        <v>5623</v>
      </c>
      <c r="F3734" s="949">
        <v>1</v>
      </c>
      <c r="G3734" s="945">
        <v>0</v>
      </c>
      <c r="H3734" s="950">
        <v>0</v>
      </c>
      <c r="I3734" s="951">
        <f>PUCFD!E3244</f>
        <v>12454.850811910499</v>
      </c>
    </row>
    <row r="3735" spans="2:9" ht="24.95" customHeight="1" x14ac:dyDescent="0.25">
      <c r="B3735" s="973">
        <v>194500</v>
      </c>
      <c r="C3735" s="974">
        <v>333904700000000</v>
      </c>
      <c r="D3735" s="973" t="s">
        <v>6648</v>
      </c>
      <c r="F3735" s="949">
        <v>1</v>
      </c>
      <c r="G3735" s="945">
        <v>0</v>
      </c>
      <c r="H3735" s="950">
        <v>0</v>
      </c>
      <c r="I3735" s="951">
        <f>PUCFD!E3245</f>
        <v>1000</v>
      </c>
    </row>
    <row r="3736" spans="2:9" ht="24.95" customHeight="1" x14ac:dyDescent="0.25">
      <c r="B3736" s="973">
        <v>194600</v>
      </c>
      <c r="C3736" s="974">
        <v>333904900000000</v>
      </c>
      <c r="D3736" s="973" t="s">
        <v>5624</v>
      </c>
      <c r="F3736" s="949">
        <v>1</v>
      </c>
      <c r="G3736" s="945">
        <v>0</v>
      </c>
      <c r="H3736" s="950">
        <v>0</v>
      </c>
      <c r="I3736" s="951">
        <f>PUCFD!E3246</f>
        <v>3684.7200000000003</v>
      </c>
    </row>
    <row r="3737" spans="2:9" ht="24.95" customHeight="1" x14ac:dyDescent="0.25">
      <c r="B3737" s="973">
        <v>194700</v>
      </c>
      <c r="C3737" s="974">
        <v>333909200000000</v>
      </c>
      <c r="D3737" s="973" t="s">
        <v>5625</v>
      </c>
      <c r="F3737" s="949">
        <v>1</v>
      </c>
      <c r="G3737" s="945">
        <v>0</v>
      </c>
      <c r="H3737" s="950">
        <v>0</v>
      </c>
      <c r="I3737" s="951">
        <f>PUCFD!E3247</f>
        <v>0.01</v>
      </c>
    </row>
    <row r="3738" spans="2:9" ht="24.95" customHeight="1" x14ac:dyDescent="0.25">
      <c r="B3738" s="973">
        <v>194800</v>
      </c>
      <c r="C3738" s="974">
        <v>333909300000000</v>
      </c>
      <c r="D3738" s="973" t="s">
        <v>5626</v>
      </c>
      <c r="F3738" s="949">
        <v>1</v>
      </c>
      <c r="G3738" s="945">
        <v>0</v>
      </c>
      <c r="H3738" s="950">
        <v>0</v>
      </c>
      <c r="I3738" s="951">
        <f>PUCFD!E3248</f>
        <v>300</v>
      </c>
    </row>
    <row r="3739" spans="2:9" ht="24.95" customHeight="1" x14ac:dyDescent="0.25">
      <c r="B3739" s="973">
        <v>194900</v>
      </c>
      <c r="C3739" s="974">
        <v>333933000000000</v>
      </c>
      <c r="D3739" s="973" t="s">
        <v>5627</v>
      </c>
      <c r="F3739" s="949">
        <v>1</v>
      </c>
      <c r="G3739" s="945">
        <v>0</v>
      </c>
      <c r="H3739" s="950">
        <v>0</v>
      </c>
      <c r="I3739" s="951">
        <f>PUCFD!E3249</f>
        <v>0.01</v>
      </c>
    </row>
    <row r="3740" spans="2:9" ht="24.95" customHeight="1" x14ac:dyDescent="0.25">
      <c r="B3740" s="973">
        <v>195000</v>
      </c>
      <c r="C3740" s="974">
        <v>344905100000000</v>
      </c>
      <c r="D3740" s="973" t="s">
        <v>5615</v>
      </c>
      <c r="F3740" s="949">
        <v>1</v>
      </c>
      <c r="G3740" s="945">
        <v>0</v>
      </c>
      <c r="H3740" s="950">
        <v>0</v>
      </c>
      <c r="I3740" s="951">
        <f>PUCFD!E3250</f>
        <v>0.01</v>
      </c>
    </row>
    <row r="3741" spans="2:9" ht="24.95" customHeight="1" x14ac:dyDescent="0.25">
      <c r="B3741" s="973">
        <v>195100</v>
      </c>
      <c r="C3741" s="974">
        <v>344905200000000</v>
      </c>
      <c r="D3741" s="973" t="s">
        <v>6647</v>
      </c>
      <c r="F3741" s="949">
        <v>1</v>
      </c>
      <c r="G3741" s="945">
        <v>0</v>
      </c>
      <c r="H3741" s="950">
        <v>0</v>
      </c>
      <c r="I3741" s="951">
        <f>PUCFD!E3251</f>
        <v>0.01</v>
      </c>
    </row>
    <row r="3742" spans="2:9" ht="24.95" customHeight="1" x14ac:dyDescent="0.25">
      <c r="B3742" s="945">
        <v>195200</v>
      </c>
      <c r="C3742" s="974">
        <v>344915200000000</v>
      </c>
      <c r="D3742" s="973" t="s">
        <v>6656</v>
      </c>
      <c r="F3742" s="949">
        <v>1</v>
      </c>
      <c r="G3742" s="945">
        <v>0</v>
      </c>
      <c r="H3742" s="950">
        <v>0</v>
      </c>
      <c r="I3742" s="951">
        <f>PUCFD!E3252</f>
        <v>0.01</v>
      </c>
    </row>
    <row r="3743" spans="2:9" ht="24.95" customHeight="1" x14ac:dyDescent="0.25">
      <c r="B3743" s="962" t="s">
        <v>3138</v>
      </c>
      <c r="C3743" s="959">
        <v>8</v>
      </c>
      <c r="D3743" s="962" t="s">
        <v>6646</v>
      </c>
      <c r="I3743" s="957">
        <f>I3744</f>
        <v>1657.0500000000002</v>
      </c>
    </row>
    <row r="3744" spans="2:9" ht="24.95" customHeight="1" x14ac:dyDescent="0.25">
      <c r="B3744" s="962" t="s">
        <v>3139</v>
      </c>
      <c r="C3744" s="959">
        <v>126</v>
      </c>
      <c r="D3744" s="962" t="s">
        <v>3600</v>
      </c>
      <c r="I3744" s="957">
        <f>I3745</f>
        <v>1657.0500000000002</v>
      </c>
    </row>
    <row r="3745" spans="2:9" ht="24.95" customHeight="1" x14ac:dyDescent="0.25">
      <c r="B3745" s="962" t="s">
        <v>3137</v>
      </c>
      <c r="C3745" s="959">
        <v>12</v>
      </c>
      <c r="D3745" s="962" t="s">
        <v>5545</v>
      </c>
      <c r="I3745" s="957">
        <f>I3746</f>
        <v>1657.0500000000002</v>
      </c>
    </row>
    <row r="3746" spans="2:9" s="946" customFormat="1" ht="24.95" customHeight="1" x14ac:dyDescent="0.25">
      <c r="B3746" s="963" t="s">
        <v>2965</v>
      </c>
      <c r="C3746" s="959">
        <v>12</v>
      </c>
      <c r="D3746" s="963" t="s">
        <v>5542</v>
      </c>
      <c r="E3746" s="954"/>
      <c r="F3746" s="955"/>
      <c r="H3746" s="956"/>
      <c r="I3746" s="957">
        <f>I3747</f>
        <v>1657.0500000000002</v>
      </c>
    </row>
    <row r="3747" spans="2:9" ht="24.95" customHeight="1" x14ac:dyDescent="0.25">
      <c r="B3747" s="973">
        <v>197000</v>
      </c>
      <c r="C3747" s="974">
        <v>333904000000000</v>
      </c>
      <c r="D3747" s="973" t="s">
        <v>5643</v>
      </c>
      <c r="F3747" s="949">
        <v>1</v>
      </c>
      <c r="G3747" s="945">
        <v>0</v>
      </c>
      <c r="H3747" s="950">
        <v>0</v>
      </c>
      <c r="I3747" s="951">
        <f>PUCFD!E3254</f>
        <v>1657.0500000000002</v>
      </c>
    </row>
    <row r="3748" spans="2:9" ht="24.95" customHeight="1" x14ac:dyDescent="0.25">
      <c r="B3748" s="962" t="s">
        <v>3138</v>
      </c>
      <c r="C3748" s="959">
        <v>8</v>
      </c>
      <c r="D3748" s="962" t="s">
        <v>6646</v>
      </c>
      <c r="I3748" s="957">
        <f>I3749</f>
        <v>1893.2550000000001</v>
      </c>
    </row>
    <row r="3749" spans="2:9" ht="24.95" customHeight="1" x14ac:dyDescent="0.25">
      <c r="B3749" s="962" t="s">
        <v>3139</v>
      </c>
      <c r="C3749" s="959">
        <v>126</v>
      </c>
      <c r="D3749" s="962" t="s">
        <v>3600</v>
      </c>
      <c r="I3749" s="957">
        <f>I3750</f>
        <v>1893.2550000000001</v>
      </c>
    </row>
    <row r="3750" spans="2:9" ht="24.95" customHeight="1" x14ac:dyDescent="0.25">
      <c r="B3750" s="962" t="s">
        <v>3137</v>
      </c>
      <c r="C3750" s="959">
        <v>12</v>
      </c>
      <c r="D3750" s="962" t="s">
        <v>5545</v>
      </c>
      <c r="I3750" s="957">
        <f>I3751</f>
        <v>1893.2550000000001</v>
      </c>
    </row>
    <row r="3751" spans="2:9" s="946" customFormat="1" ht="24.95" customHeight="1" x14ac:dyDescent="0.25">
      <c r="B3751" s="963" t="s">
        <v>2965</v>
      </c>
      <c r="C3751" s="959">
        <v>13</v>
      </c>
      <c r="D3751" s="963" t="s">
        <v>5617</v>
      </c>
      <c r="E3751" s="954"/>
      <c r="F3751" s="955"/>
      <c r="H3751" s="956"/>
      <c r="I3751" s="957">
        <f>I3752</f>
        <v>1893.2550000000001</v>
      </c>
    </row>
    <row r="3752" spans="2:9" ht="24.95" customHeight="1" x14ac:dyDescent="0.25">
      <c r="B3752" s="973">
        <v>198000</v>
      </c>
      <c r="C3752" s="974">
        <v>333904000000000</v>
      </c>
      <c r="D3752" s="973" t="s">
        <v>5628</v>
      </c>
      <c r="F3752" s="949">
        <v>1</v>
      </c>
      <c r="G3752" s="945">
        <v>0</v>
      </c>
      <c r="H3752" s="950">
        <v>0</v>
      </c>
      <c r="I3752" s="951">
        <f>PUCFD!E3256</f>
        <v>1893.2550000000001</v>
      </c>
    </row>
    <row r="3753" spans="2:9" ht="24.95" customHeight="1" x14ac:dyDescent="0.25">
      <c r="B3753" s="962" t="s">
        <v>3138</v>
      </c>
      <c r="C3753" s="959">
        <v>8</v>
      </c>
      <c r="D3753" s="962" t="s">
        <v>6646</v>
      </c>
      <c r="I3753" s="957">
        <f>I3754</f>
        <v>0.05</v>
      </c>
    </row>
    <row r="3754" spans="2:9" ht="24.95" customHeight="1" x14ac:dyDescent="0.25">
      <c r="B3754" s="962" t="s">
        <v>3139</v>
      </c>
      <c r="C3754" s="959">
        <v>128</v>
      </c>
      <c r="D3754" s="962" t="s">
        <v>5104</v>
      </c>
      <c r="I3754" s="957">
        <f>I3755</f>
        <v>0.05</v>
      </c>
    </row>
    <row r="3755" spans="2:9" ht="24.95" customHeight="1" x14ac:dyDescent="0.25">
      <c r="B3755" s="962" t="s">
        <v>3137</v>
      </c>
      <c r="C3755" s="959">
        <v>12</v>
      </c>
      <c r="D3755" s="962" t="s">
        <v>5545</v>
      </c>
      <c r="I3755" s="957">
        <f>I3756</f>
        <v>0.05</v>
      </c>
    </row>
    <row r="3756" spans="2:9" s="946" customFormat="1" ht="24.95" customHeight="1" x14ac:dyDescent="0.25">
      <c r="B3756" s="963" t="s">
        <v>2965</v>
      </c>
      <c r="C3756" s="959">
        <v>12</v>
      </c>
      <c r="D3756" s="963" t="s">
        <v>5542</v>
      </c>
      <c r="E3756" s="954"/>
      <c r="F3756" s="955"/>
      <c r="H3756" s="956"/>
      <c r="I3756" s="957">
        <f>SUM(I3757:I3761)</f>
        <v>0.05</v>
      </c>
    </row>
    <row r="3757" spans="2:9" ht="24.95" customHeight="1" x14ac:dyDescent="0.25">
      <c r="B3757" s="973">
        <v>199000</v>
      </c>
      <c r="C3757" s="974">
        <v>333901400000000</v>
      </c>
      <c r="D3757" s="973" t="s">
        <v>6664</v>
      </c>
      <c r="F3757" s="949">
        <v>1</v>
      </c>
      <c r="G3757" s="945">
        <v>0</v>
      </c>
      <c r="H3757" s="950">
        <v>0</v>
      </c>
      <c r="I3757" s="951">
        <f>PUCFD!E3258</f>
        <v>0.01</v>
      </c>
    </row>
    <row r="3758" spans="2:9" ht="24.95" customHeight="1" x14ac:dyDescent="0.25">
      <c r="B3758" s="973">
        <v>199100</v>
      </c>
      <c r="C3758" s="974">
        <v>333903300000000</v>
      </c>
      <c r="D3758" s="973" t="s">
        <v>6665</v>
      </c>
      <c r="F3758" s="949">
        <v>1</v>
      </c>
      <c r="G3758" s="945">
        <v>0</v>
      </c>
      <c r="H3758" s="950">
        <v>0</v>
      </c>
      <c r="I3758" s="951">
        <f>PUCFD!E3259</f>
        <v>0.01</v>
      </c>
    </row>
    <row r="3759" spans="2:9" ht="24.95" customHeight="1" x14ac:dyDescent="0.25">
      <c r="B3759" s="973">
        <v>199200</v>
      </c>
      <c r="C3759" s="974">
        <v>333903600000000</v>
      </c>
      <c r="D3759" s="973" t="s">
        <v>6668</v>
      </c>
      <c r="I3759" s="951">
        <f>PUCFD!E3260</f>
        <v>0.01</v>
      </c>
    </row>
    <row r="3760" spans="2:9" ht="24.95" customHeight="1" x14ac:dyDescent="0.25">
      <c r="B3760" s="945">
        <v>199300</v>
      </c>
      <c r="C3760" s="974">
        <v>333903900000000</v>
      </c>
      <c r="D3760" s="973" t="s">
        <v>6666</v>
      </c>
      <c r="F3760" s="949">
        <v>1</v>
      </c>
      <c r="G3760" s="945">
        <v>0</v>
      </c>
      <c r="H3760" s="950">
        <v>0</v>
      </c>
      <c r="I3760" s="951">
        <f>PUCFD!E3261</f>
        <v>0.01</v>
      </c>
    </row>
    <row r="3761" spans="2:9" ht="24.95" customHeight="1" x14ac:dyDescent="0.25">
      <c r="B3761" s="945">
        <v>199400</v>
      </c>
      <c r="C3761" s="974">
        <v>333904700000000</v>
      </c>
      <c r="D3761" s="973" t="s">
        <v>6667</v>
      </c>
      <c r="F3761" s="949">
        <v>1</v>
      </c>
      <c r="G3761" s="945">
        <v>0</v>
      </c>
      <c r="H3761" s="950">
        <v>0</v>
      </c>
      <c r="I3761" s="951">
        <f>PUCFD!E3262</f>
        <v>0.01</v>
      </c>
    </row>
    <row r="3762" spans="2:9" ht="24.95" customHeight="1" x14ac:dyDescent="0.25">
      <c r="B3762" s="962" t="s">
        <v>3138</v>
      </c>
      <c r="C3762" s="959">
        <v>8</v>
      </c>
      <c r="D3762" s="962" t="s">
        <v>6646</v>
      </c>
      <c r="I3762" s="957">
        <f>I3763</f>
        <v>0.14100000000000001</v>
      </c>
    </row>
    <row r="3763" spans="2:9" ht="24.95" customHeight="1" x14ac:dyDescent="0.25">
      <c r="B3763" s="962" t="s">
        <v>3139</v>
      </c>
      <c r="C3763" s="959">
        <v>128</v>
      </c>
      <c r="D3763" s="962" t="s">
        <v>5104</v>
      </c>
      <c r="I3763" s="957">
        <f>I3764</f>
        <v>0.14100000000000001</v>
      </c>
    </row>
    <row r="3764" spans="2:9" ht="24.95" customHeight="1" x14ac:dyDescent="0.25">
      <c r="B3764" s="962" t="s">
        <v>3137</v>
      </c>
      <c r="C3764" s="959">
        <v>12</v>
      </c>
      <c r="D3764" s="962" t="s">
        <v>5545</v>
      </c>
      <c r="I3764" s="957">
        <f>I3765</f>
        <v>0.14100000000000001</v>
      </c>
    </row>
    <row r="3765" spans="2:9" s="946" customFormat="1" ht="24.95" customHeight="1" x14ac:dyDescent="0.25">
      <c r="B3765" s="963" t="s">
        <v>2965</v>
      </c>
      <c r="C3765" s="959">
        <v>13</v>
      </c>
      <c r="D3765" s="963" t="s">
        <v>5617</v>
      </c>
      <c r="E3765" s="954"/>
      <c r="F3765" s="955"/>
      <c r="H3765" s="956"/>
      <c r="I3765" s="957">
        <f>SUM(I3766:I3770)</f>
        <v>0.14100000000000001</v>
      </c>
    </row>
    <row r="3766" spans="2:9" ht="24.95" customHeight="1" x14ac:dyDescent="0.25">
      <c r="B3766" s="973">
        <v>200000</v>
      </c>
      <c r="C3766" s="974">
        <v>333901400000000</v>
      </c>
      <c r="D3766" s="973" t="s">
        <v>6669</v>
      </c>
      <c r="F3766" s="949">
        <v>1</v>
      </c>
      <c r="G3766" s="945">
        <v>0</v>
      </c>
      <c r="H3766" s="950">
        <v>0</v>
      </c>
      <c r="I3766" s="951">
        <f>PUCFD!E3264</f>
        <v>0.01</v>
      </c>
    </row>
    <row r="3767" spans="2:9" ht="24.95" customHeight="1" x14ac:dyDescent="0.25">
      <c r="B3767" s="973">
        <v>200100</v>
      </c>
      <c r="C3767" s="974">
        <v>333903300000000</v>
      </c>
      <c r="D3767" s="973" t="s">
        <v>6670</v>
      </c>
      <c r="F3767" s="949">
        <v>1</v>
      </c>
      <c r="G3767" s="945">
        <v>0</v>
      </c>
      <c r="H3767" s="950">
        <v>0</v>
      </c>
      <c r="I3767" s="951">
        <f>PUCFD!E3265</f>
        <v>0.1</v>
      </c>
    </row>
    <row r="3768" spans="2:9" ht="24.95" customHeight="1" x14ac:dyDescent="0.25">
      <c r="B3768" s="945">
        <v>200200</v>
      </c>
      <c r="C3768" s="974">
        <v>333903600000000</v>
      </c>
      <c r="D3768" s="973" t="s">
        <v>6672</v>
      </c>
      <c r="F3768" s="949">
        <v>1</v>
      </c>
      <c r="G3768" s="945">
        <v>0</v>
      </c>
      <c r="H3768" s="950">
        <v>0</v>
      </c>
      <c r="I3768" s="951">
        <f>PUCFD!E3266</f>
        <v>0.01</v>
      </c>
    </row>
    <row r="3769" spans="2:9" ht="24.95" customHeight="1" x14ac:dyDescent="0.25">
      <c r="B3769" s="945">
        <v>200300</v>
      </c>
      <c r="C3769" s="974">
        <v>333903900000000</v>
      </c>
      <c r="D3769" s="973" t="s">
        <v>6671</v>
      </c>
      <c r="F3769" s="949">
        <v>1</v>
      </c>
      <c r="G3769" s="945">
        <v>0</v>
      </c>
      <c r="H3769" s="950">
        <v>0</v>
      </c>
      <c r="I3769" s="951">
        <f>PUCFD!E3267</f>
        <v>1.0999999999999999E-2</v>
      </c>
    </row>
    <row r="3770" spans="2:9" ht="24.95" customHeight="1" x14ac:dyDescent="0.25">
      <c r="B3770" s="945">
        <v>200400</v>
      </c>
      <c r="C3770" s="974">
        <v>333904700000000</v>
      </c>
      <c r="D3770" s="973" t="s">
        <v>6673</v>
      </c>
      <c r="F3770" s="949">
        <v>1</v>
      </c>
      <c r="G3770" s="945">
        <v>0</v>
      </c>
      <c r="H3770" s="950">
        <v>0</v>
      </c>
      <c r="I3770" s="951">
        <f>PUCFD!E3268</f>
        <v>0.01</v>
      </c>
    </row>
    <row r="3771" spans="2:9" ht="24.95" customHeight="1" x14ac:dyDescent="0.25">
      <c r="B3771" s="1608" t="s">
        <v>5546</v>
      </c>
      <c r="C3771" s="1608"/>
      <c r="D3771" s="1608"/>
      <c r="E3771" s="1608"/>
      <c r="F3771" s="1608"/>
      <c r="G3771" s="1608"/>
      <c r="H3771" s="1608"/>
      <c r="I3771" s="1024">
        <f>I3765+I3756+I3751+I3746+I3719+I3694+I3684+I3674</f>
        <v>657758.46563092736</v>
      </c>
    </row>
    <row r="3772" spans="2:9" ht="24.95" customHeight="1" x14ac:dyDescent="0.25">
      <c r="B3772" s="1608" t="s">
        <v>5291</v>
      </c>
      <c r="C3772" s="1608"/>
      <c r="D3772" s="1608"/>
      <c r="E3772" s="1608"/>
      <c r="F3772" s="1608"/>
      <c r="G3772" s="1608"/>
      <c r="H3772" s="1608"/>
      <c r="I3772" s="1024">
        <f>I3771</f>
        <v>657758.46563092736</v>
      </c>
    </row>
    <row r="3773" spans="2:9" ht="24.95" customHeight="1" x14ac:dyDescent="0.25">
      <c r="B3773" s="987"/>
      <c r="C3773" s="987"/>
      <c r="D3773" s="987"/>
      <c r="E3773" s="954" t="s">
        <v>4777</v>
      </c>
      <c r="F3773" s="960"/>
      <c r="G3773" s="960"/>
      <c r="H3773" s="958"/>
      <c r="I3773" s="1030"/>
    </row>
    <row r="3774" spans="2:9" ht="24.95" customHeight="1" x14ac:dyDescent="0.25">
      <c r="B3774" s="987"/>
      <c r="C3774" s="987"/>
      <c r="D3774" s="987"/>
      <c r="F3774" s="949">
        <v>1</v>
      </c>
      <c r="G3774" s="945">
        <v>0</v>
      </c>
      <c r="H3774" s="950">
        <v>0</v>
      </c>
      <c r="I3774" s="951">
        <f>I3771</f>
        <v>657758.46563092736</v>
      </c>
    </row>
    <row r="3776" spans="2:9" ht="24.95" customHeight="1" x14ac:dyDescent="0.25">
      <c r="B3776" s="946" t="s">
        <v>3088</v>
      </c>
      <c r="C3776" s="953" t="s">
        <v>5538</v>
      </c>
    </row>
    <row r="3777" spans="2:9" ht="24.95" customHeight="1" x14ac:dyDescent="0.25">
      <c r="B3777" s="946" t="s">
        <v>3087</v>
      </c>
      <c r="C3777" s="953" t="s">
        <v>5547</v>
      </c>
    </row>
    <row r="3778" spans="2:9" ht="24.95" customHeight="1" x14ac:dyDescent="0.25">
      <c r="B3778" s="946" t="s">
        <v>3089</v>
      </c>
      <c r="C3778" s="953" t="s">
        <v>5539</v>
      </c>
    </row>
    <row r="3779" spans="2:9" ht="24.95" customHeight="1" x14ac:dyDescent="0.25">
      <c r="B3779" s="962" t="s">
        <v>3138</v>
      </c>
      <c r="C3779" s="959">
        <v>8</v>
      </c>
      <c r="D3779" s="962" t="s">
        <v>6646</v>
      </c>
      <c r="I3779" s="957">
        <f>I3780</f>
        <v>20000.049999999996</v>
      </c>
    </row>
    <row r="3780" spans="2:9" ht="24.95" customHeight="1" x14ac:dyDescent="0.25">
      <c r="B3780" s="962" t="s">
        <v>3139</v>
      </c>
      <c r="C3780" s="959">
        <v>241</v>
      </c>
      <c r="D3780" s="962" t="s">
        <v>5571</v>
      </c>
      <c r="I3780" s="957">
        <f>I3781</f>
        <v>20000.049999999996</v>
      </c>
    </row>
    <row r="3781" spans="2:9" ht="24.95" customHeight="1" x14ac:dyDescent="0.25">
      <c r="B3781" s="962" t="s">
        <v>3137</v>
      </c>
      <c r="C3781" s="959">
        <v>12</v>
      </c>
      <c r="D3781" s="962" t="s">
        <v>5545</v>
      </c>
      <c r="I3781" s="957">
        <f>I3782</f>
        <v>20000.049999999996</v>
      </c>
    </row>
    <row r="3782" spans="2:9" s="946" customFormat="1" ht="24.95" customHeight="1" x14ac:dyDescent="0.25">
      <c r="B3782" s="963" t="s">
        <v>2965</v>
      </c>
      <c r="C3782" s="959">
        <v>13</v>
      </c>
      <c r="D3782" s="963" t="s">
        <v>5570</v>
      </c>
      <c r="E3782" s="954"/>
      <c r="F3782" s="955"/>
      <c r="H3782" s="956"/>
      <c r="I3782" s="957">
        <f>SUM(I3783:I3792)</f>
        <v>20000.049999999996</v>
      </c>
    </row>
    <row r="3783" spans="2:9" ht="24.95" customHeight="1" x14ac:dyDescent="0.25">
      <c r="B3783" s="973">
        <v>202000</v>
      </c>
      <c r="C3783" s="974">
        <v>333900800000000</v>
      </c>
      <c r="D3783" s="973" t="s">
        <v>5574</v>
      </c>
      <c r="E3783" s="973"/>
      <c r="F3783" s="949">
        <v>1</v>
      </c>
      <c r="G3783" s="945">
        <v>0</v>
      </c>
      <c r="H3783" s="950">
        <v>0</v>
      </c>
      <c r="I3783" s="951">
        <f>PUCFD!E3271</f>
        <v>3000</v>
      </c>
    </row>
    <row r="3784" spans="2:9" ht="24.95" customHeight="1" x14ac:dyDescent="0.25">
      <c r="B3784" s="973">
        <v>202100</v>
      </c>
      <c r="C3784" s="974">
        <v>333901400000000</v>
      </c>
      <c r="D3784" s="973" t="s">
        <v>6675</v>
      </c>
      <c r="E3784" s="973"/>
      <c r="F3784" s="949">
        <v>1</v>
      </c>
      <c r="G3784" s="945">
        <v>0</v>
      </c>
      <c r="H3784" s="950">
        <v>0</v>
      </c>
      <c r="I3784" s="951">
        <f>PUCFD!E3272</f>
        <v>3000</v>
      </c>
    </row>
    <row r="3785" spans="2:9" ht="24.95" customHeight="1" x14ac:dyDescent="0.25">
      <c r="B3785" s="973">
        <v>202200</v>
      </c>
      <c r="C3785" s="974">
        <v>333903000000000</v>
      </c>
      <c r="D3785" s="973" t="s">
        <v>6676</v>
      </c>
      <c r="E3785" s="973"/>
      <c r="F3785" s="949">
        <v>1</v>
      </c>
      <c r="G3785" s="945">
        <v>0</v>
      </c>
      <c r="H3785" s="950">
        <v>0</v>
      </c>
      <c r="I3785" s="951">
        <f>PUCFD!E3273-8000</f>
        <v>2000</v>
      </c>
    </row>
    <row r="3786" spans="2:9" ht="24.95" customHeight="1" x14ac:dyDescent="0.25">
      <c r="B3786" s="973">
        <v>202300</v>
      </c>
      <c r="C3786" s="974">
        <v>333903200000000</v>
      </c>
      <c r="D3786" s="973" t="s">
        <v>6677</v>
      </c>
      <c r="E3786" s="973"/>
      <c r="F3786" s="949">
        <v>1</v>
      </c>
      <c r="G3786" s="945">
        <v>0</v>
      </c>
      <c r="H3786" s="950">
        <v>0</v>
      </c>
      <c r="I3786" s="951">
        <f>PUCFD!E3274-8000</f>
        <v>2000</v>
      </c>
    </row>
    <row r="3787" spans="2:9" ht="24.95" customHeight="1" x14ac:dyDescent="0.25">
      <c r="B3787" s="973">
        <v>202400</v>
      </c>
      <c r="C3787" s="974">
        <v>333903600000000</v>
      </c>
      <c r="D3787" s="973" t="s">
        <v>5555</v>
      </c>
      <c r="E3787" s="973"/>
      <c r="F3787" s="949">
        <v>1</v>
      </c>
      <c r="G3787" s="945">
        <v>0</v>
      </c>
      <c r="H3787" s="950">
        <v>0</v>
      </c>
      <c r="I3787" s="951">
        <f>PUCFD!E3275</f>
        <v>0.01</v>
      </c>
    </row>
    <row r="3788" spans="2:9" ht="24.95" customHeight="1" x14ac:dyDescent="0.25">
      <c r="B3788" s="973">
        <v>202500</v>
      </c>
      <c r="C3788" s="974">
        <v>333903900000000</v>
      </c>
      <c r="D3788" s="973" t="s">
        <v>5558</v>
      </c>
      <c r="E3788" s="973"/>
      <c r="F3788" s="949">
        <v>1</v>
      </c>
      <c r="G3788" s="945">
        <v>0</v>
      </c>
      <c r="H3788" s="950">
        <v>0</v>
      </c>
      <c r="I3788" s="951">
        <f>PUCFD!E3276-5000</f>
        <v>10000</v>
      </c>
    </row>
    <row r="3789" spans="2:9" ht="24.95" customHeight="1" x14ac:dyDescent="0.25">
      <c r="B3789" s="973">
        <v>202600</v>
      </c>
      <c r="C3789" s="974">
        <v>333904700000000</v>
      </c>
      <c r="D3789" s="973" t="s">
        <v>6674</v>
      </c>
      <c r="E3789" s="973"/>
      <c r="F3789" s="949">
        <v>1</v>
      </c>
      <c r="G3789" s="945">
        <v>0</v>
      </c>
      <c r="H3789" s="950">
        <v>0</v>
      </c>
      <c r="I3789" s="951">
        <f>PUCFD!E3277</f>
        <v>0.01</v>
      </c>
    </row>
    <row r="3790" spans="2:9" ht="24.95" customHeight="1" x14ac:dyDescent="0.25">
      <c r="B3790" s="973">
        <v>202700</v>
      </c>
      <c r="C3790" s="974">
        <v>333909200000000</v>
      </c>
      <c r="D3790" s="973" t="s">
        <v>5561</v>
      </c>
      <c r="E3790" s="973"/>
      <c r="F3790" s="949">
        <v>1</v>
      </c>
      <c r="G3790" s="945">
        <v>0</v>
      </c>
      <c r="H3790" s="950">
        <v>0</v>
      </c>
      <c r="I3790" s="951">
        <f>PUCFD!E3278</f>
        <v>0.01</v>
      </c>
    </row>
    <row r="3791" spans="2:9" ht="24.95" customHeight="1" x14ac:dyDescent="0.25">
      <c r="B3791" s="973">
        <v>202800</v>
      </c>
      <c r="C3791" s="974">
        <v>344905100000000</v>
      </c>
      <c r="D3791" s="973" t="s">
        <v>5564</v>
      </c>
      <c r="E3791" s="973"/>
      <c r="F3791" s="949">
        <v>1</v>
      </c>
      <c r="G3791" s="945">
        <v>0</v>
      </c>
      <c r="H3791" s="950">
        <v>0</v>
      </c>
      <c r="I3791" s="951">
        <f>PUCFD!E3279</f>
        <v>0.01</v>
      </c>
    </row>
    <row r="3792" spans="2:9" ht="24.95" customHeight="1" x14ac:dyDescent="0.25">
      <c r="B3792" s="973">
        <v>202900</v>
      </c>
      <c r="C3792" s="974">
        <v>344905200000000</v>
      </c>
      <c r="D3792" s="973" t="s">
        <v>5567</v>
      </c>
      <c r="E3792" s="973"/>
      <c r="F3792" s="949">
        <v>1</v>
      </c>
      <c r="G3792" s="945">
        <v>0</v>
      </c>
      <c r="H3792" s="950">
        <v>0</v>
      </c>
      <c r="I3792" s="951">
        <f>PUCFD!E3280</f>
        <v>0.01</v>
      </c>
    </row>
    <row r="3793" spans="2:9" ht="24.95" customHeight="1" x14ac:dyDescent="0.25">
      <c r="B3793" s="962" t="s">
        <v>3138</v>
      </c>
      <c r="C3793" s="959">
        <v>8</v>
      </c>
      <c r="D3793" s="962" t="s">
        <v>6646</v>
      </c>
      <c r="I3793" s="957">
        <f>I3794</f>
        <v>85178.68799999998</v>
      </c>
    </row>
    <row r="3794" spans="2:9" ht="24.95" customHeight="1" x14ac:dyDescent="0.25">
      <c r="B3794" s="962" t="s">
        <v>3139</v>
      </c>
      <c r="C3794" s="959">
        <v>242</v>
      </c>
      <c r="D3794" s="962" t="s">
        <v>5572</v>
      </c>
      <c r="I3794" s="957">
        <f>I3795</f>
        <v>85178.68799999998</v>
      </c>
    </row>
    <row r="3795" spans="2:9" ht="24.95" customHeight="1" x14ac:dyDescent="0.25">
      <c r="B3795" s="962" t="s">
        <v>3137</v>
      </c>
      <c r="C3795" s="959">
        <v>12</v>
      </c>
      <c r="D3795" s="962" t="s">
        <v>5545</v>
      </c>
      <c r="I3795" s="957">
        <f>I3796</f>
        <v>85178.68799999998</v>
      </c>
    </row>
    <row r="3796" spans="2:9" s="946" customFormat="1" ht="24.95" customHeight="1" x14ac:dyDescent="0.25">
      <c r="B3796" s="963" t="s">
        <v>2965</v>
      </c>
      <c r="C3796" s="959">
        <v>13</v>
      </c>
      <c r="D3796" s="963" t="s">
        <v>5570</v>
      </c>
      <c r="E3796" s="954"/>
      <c r="F3796" s="955"/>
      <c r="H3796" s="956"/>
      <c r="I3796" s="957">
        <f>SUM(I3797:I3806)</f>
        <v>85178.68799999998</v>
      </c>
    </row>
    <row r="3797" spans="2:9" ht="24.95" customHeight="1" x14ac:dyDescent="0.25">
      <c r="B3797" s="973">
        <v>203000</v>
      </c>
      <c r="C3797" s="974">
        <v>333504300000000</v>
      </c>
      <c r="D3797" s="973" t="s">
        <v>5548</v>
      </c>
      <c r="E3797" s="973"/>
      <c r="F3797" s="949">
        <v>1</v>
      </c>
      <c r="G3797" s="945">
        <v>0</v>
      </c>
      <c r="H3797" s="950">
        <v>0</v>
      </c>
      <c r="I3797" s="951">
        <f>PUCFD!E3282*(1+PUCFD!E10)+(1+PUCFD!E16)</f>
        <v>65178.637999999999</v>
      </c>
    </row>
    <row r="3798" spans="2:9" ht="24.95" customHeight="1" x14ac:dyDescent="0.25">
      <c r="B3798" s="973">
        <v>203100</v>
      </c>
      <c r="C3798" s="974">
        <v>333900800000000</v>
      </c>
      <c r="D3798" s="973" t="s">
        <v>5549</v>
      </c>
      <c r="E3798" s="973"/>
      <c r="F3798" s="949">
        <v>1</v>
      </c>
      <c r="G3798" s="945">
        <v>0</v>
      </c>
      <c r="H3798" s="950">
        <v>0</v>
      </c>
      <c r="I3798" s="951">
        <f>PUCFD!E3283</f>
        <v>2000</v>
      </c>
    </row>
    <row r="3799" spans="2:9" ht="24.95" customHeight="1" x14ac:dyDescent="0.25">
      <c r="B3799" s="973">
        <v>203200</v>
      </c>
      <c r="C3799" s="974">
        <v>333903000000000</v>
      </c>
      <c r="D3799" s="973" t="s">
        <v>5551</v>
      </c>
      <c r="E3799" s="973"/>
      <c r="F3799" s="949">
        <v>1</v>
      </c>
      <c r="G3799" s="945">
        <v>0</v>
      </c>
      <c r="H3799" s="950">
        <v>0</v>
      </c>
      <c r="I3799" s="951">
        <f>PUCFD!E3284</f>
        <v>5000</v>
      </c>
    </row>
    <row r="3800" spans="2:9" ht="24.95" customHeight="1" x14ac:dyDescent="0.25">
      <c r="B3800" s="973">
        <v>203300</v>
      </c>
      <c r="C3800" s="974">
        <v>333903200000000</v>
      </c>
      <c r="D3800" s="973" t="s">
        <v>5553</v>
      </c>
      <c r="E3800" s="973"/>
      <c r="F3800" s="949">
        <v>1</v>
      </c>
      <c r="G3800" s="945">
        <v>0</v>
      </c>
      <c r="H3800" s="950">
        <v>0</v>
      </c>
      <c r="I3800" s="951">
        <f>PUCFD!E3285-5000</f>
        <v>5000</v>
      </c>
    </row>
    <row r="3801" spans="2:9" ht="24.95" customHeight="1" x14ac:dyDescent="0.25">
      <c r="B3801" s="973">
        <v>203400</v>
      </c>
      <c r="C3801" s="974">
        <v>333903600000000</v>
      </c>
      <c r="D3801" s="973" t="s">
        <v>5556</v>
      </c>
      <c r="E3801" s="973"/>
      <c r="F3801" s="949">
        <v>1</v>
      </c>
      <c r="G3801" s="945">
        <v>0</v>
      </c>
      <c r="H3801" s="950">
        <v>0</v>
      </c>
      <c r="I3801" s="951">
        <f>PUCFD!E3286</f>
        <v>0.01</v>
      </c>
    </row>
    <row r="3802" spans="2:9" ht="24.95" customHeight="1" x14ac:dyDescent="0.25">
      <c r="B3802" s="973">
        <v>203500</v>
      </c>
      <c r="C3802" s="974">
        <v>333903900000000</v>
      </c>
      <c r="D3802" s="973" t="s">
        <v>5559</v>
      </c>
      <c r="E3802" s="973"/>
      <c r="F3802" s="949">
        <v>1</v>
      </c>
      <c r="G3802" s="945">
        <v>0</v>
      </c>
      <c r="H3802" s="950">
        <v>0</v>
      </c>
      <c r="I3802" s="951">
        <f>PUCFD!E3287-2000</f>
        <v>8000</v>
      </c>
    </row>
    <row r="3803" spans="2:9" ht="24.95" customHeight="1" x14ac:dyDescent="0.25">
      <c r="B3803" s="973">
        <v>203600</v>
      </c>
      <c r="C3803" s="974">
        <v>333904700000000</v>
      </c>
      <c r="D3803" s="973" t="s">
        <v>6678</v>
      </c>
      <c r="E3803" s="973"/>
      <c r="F3803" s="949">
        <v>1</v>
      </c>
      <c r="G3803" s="945">
        <v>0</v>
      </c>
      <c r="H3803" s="950">
        <v>0</v>
      </c>
      <c r="I3803" s="951">
        <f>PUCFD!E3288</f>
        <v>0.01</v>
      </c>
    </row>
    <row r="3804" spans="2:9" ht="24.95" customHeight="1" x14ac:dyDescent="0.25">
      <c r="B3804" s="973">
        <v>203700</v>
      </c>
      <c r="C3804" s="974">
        <v>333909200000000</v>
      </c>
      <c r="D3804" s="973" t="s">
        <v>5562</v>
      </c>
      <c r="E3804" s="973"/>
      <c r="F3804" s="949">
        <v>1</v>
      </c>
      <c r="G3804" s="945">
        <v>0</v>
      </c>
      <c r="H3804" s="950">
        <v>0</v>
      </c>
      <c r="I3804" s="951">
        <f>PUCFD!E3289</f>
        <v>0.01</v>
      </c>
    </row>
    <row r="3805" spans="2:9" ht="24.95" customHeight="1" x14ac:dyDescent="0.25">
      <c r="B3805" s="973">
        <v>203800</v>
      </c>
      <c r="C3805" s="974">
        <v>344905100000000</v>
      </c>
      <c r="D3805" s="973" t="s">
        <v>5565</v>
      </c>
      <c r="E3805" s="973"/>
      <c r="F3805" s="949">
        <v>1</v>
      </c>
      <c r="G3805" s="945">
        <v>0</v>
      </c>
      <c r="H3805" s="950">
        <v>0</v>
      </c>
      <c r="I3805" s="951">
        <f>PUCFD!E3290</f>
        <v>0.01</v>
      </c>
    </row>
    <row r="3806" spans="2:9" ht="24.95" customHeight="1" x14ac:dyDescent="0.25">
      <c r="B3806" s="973">
        <v>203900</v>
      </c>
      <c r="C3806" s="974">
        <v>344905200000000</v>
      </c>
      <c r="D3806" s="973" t="s">
        <v>5568</v>
      </c>
      <c r="E3806" s="973"/>
      <c r="F3806" s="949">
        <v>1</v>
      </c>
      <c r="G3806" s="945">
        <v>0</v>
      </c>
      <c r="H3806" s="950">
        <v>0</v>
      </c>
      <c r="I3806" s="951">
        <f>PUCFD!E3291</f>
        <v>0.01</v>
      </c>
    </row>
    <row r="3807" spans="2:9" ht="24.95" customHeight="1" x14ac:dyDescent="0.25">
      <c r="B3807" s="962" t="s">
        <v>3138</v>
      </c>
      <c r="C3807" s="959">
        <v>8</v>
      </c>
      <c r="D3807" s="962" t="s">
        <v>6646</v>
      </c>
      <c r="I3807" s="957">
        <f>I3808</f>
        <v>0.10099999999999999</v>
      </c>
    </row>
    <row r="3808" spans="2:9" ht="24.95" customHeight="1" x14ac:dyDescent="0.25">
      <c r="B3808" s="962" t="s">
        <v>3139</v>
      </c>
      <c r="C3808" s="959">
        <v>243</v>
      </c>
      <c r="D3808" s="962" t="s">
        <v>5573</v>
      </c>
      <c r="I3808" s="957">
        <f>I3809</f>
        <v>0.10099999999999999</v>
      </c>
    </row>
    <row r="3809" spans="2:9" ht="24.95" customHeight="1" x14ac:dyDescent="0.25">
      <c r="B3809" s="962" t="s">
        <v>3137</v>
      </c>
      <c r="C3809" s="959">
        <v>12</v>
      </c>
      <c r="D3809" s="962" t="s">
        <v>5545</v>
      </c>
      <c r="I3809" s="957">
        <f>I3810</f>
        <v>0.10099999999999999</v>
      </c>
    </row>
    <row r="3810" spans="2:9" s="946" customFormat="1" ht="24.95" customHeight="1" x14ac:dyDescent="0.25">
      <c r="B3810" s="963" t="s">
        <v>2965</v>
      </c>
      <c r="C3810" s="959">
        <v>13</v>
      </c>
      <c r="D3810" s="963" t="s">
        <v>5570</v>
      </c>
      <c r="E3810" s="954"/>
      <c r="F3810" s="955"/>
      <c r="H3810" s="956"/>
      <c r="I3810" s="957">
        <f>SUM(I3811:I3820)</f>
        <v>0.10099999999999999</v>
      </c>
    </row>
    <row r="3811" spans="2:9" ht="24.95" customHeight="1" x14ac:dyDescent="0.25">
      <c r="B3811" s="973">
        <v>205000</v>
      </c>
      <c r="C3811" s="974">
        <v>333504300000000</v>
      </c>
      <c r="D3811" s="973" t="s">
        <v>6838</v>
      </c>
      <c r="E3811" s="973"/>
      <c r="F3811" s="949">
        <v>1</v>
      </c>
      <c r="G3811" s="945">
        <v>0</v>
      </c>
      <c r="H3811" s="950">
        <v>0</v>
      </c>
      <c r="I3811" s="951">
        <f>PUCFD!E3293</f>
        <v>0.01</v>
      </c>
    </row>
    <row r="3812" spans="2:9" ht="24.95" customHeight="1" x14ac:dyDescent="0.25">
      <c r="B3812" s="973">
        <v>205100</v>
      </c>
      <c r="C3812" s="974">
        <v>333900800000000</v>
      </c>
      <c r="D3812" s="973" t="s">
        <v>5550</v>
      </c>
      <c r="E3812" s="973"/>
      <c r="F3812" s="949">
        <v>1</v>
      </c>
      <c r="G3812" s="945">
        <v>0</v>
      </c>
      <c r="H3812" s="950">
        <v>0</v>
      </c>
      <c r="I3812" s="951">
        <f>PUCFD!E3294</f>
        <v>0.01</v>
      </c>
    </row>
    <row r="3813" spans="2:9" ht="24.95" customHeight="1" x14ac:dyDescent="0.25">
      <c r="B3813" s="973">
        <v>205200</v>
      </c>
      <c r="C3813" s="974">
        <v>333903000000000</v>
      </c>
      <c r="D3813" s="973" t="s">
        <v>5552</v>
      </c>
      <c r="E3813" s="973"/>
      <c r="F3813" s="949">
        <v>1</v>
      </c>
      <c r="G3813" s="945">
        <v>0</v>
      </c>
      <c r="H3813" s="950">
        <v>0</v>
      </c>
      <c r="I3813" s="951">
        <f>PUCFD!E3295</f>
        <v>0.01</v>
      </c>
    </row>
    <row r="3814" spans="2:9" ht="24.95" customHeight="1" x14ac:dyDescent="0.25">
      <c r="B3814" s="973">
        <v>205300</v>
      </c>
      <c r="C3814" s="974">
        <v>333903200000000</v>
      </c>
      <c r="D3814" s="973" t="s">
        <v>5554</v>
      </c>
      <c r="E3814" s="973"/>
      <c r="F3814" s="949">
        <v>1</v>
      </c>
      <c r="G3814" s="945">
        <v>0</v>
      </c>
      <c r="H3814" s="950">
        <v>0</v>
      </c>
      <c r="I3814" s="951">
        <f>PUCFD!E3296</f>
        <v>0.01</v>
      </c>
    </row>
    <row r="3815" spans="2:9" ht="24.95" customHeight="1" x14ac:dyDescent="0.25">
      <c r="B3815" s="973">
        <v>205400</v>
      </c>
      <c r="C3815" s="974">
        <v>333903600000000</v>
      </c>
      <c r="D3815" s="973" t="s">
        <v>5557</v>
      </c>
      <c r="E3815" s="973"/>
      <c r="F3815" s="949">
        <v>1</v>
      </c>
      <c r="G3815" s="945">
        <v>0</v>
      </c>
      <c r="H3815" s="950">
        <v>0</v>
      </c>
      <c r="I3815" s="951">
        <f>PUCFD!E3297</f>
        <v>0.01</v>
      </c>
    </row>
    <row r="3816" spans="2:9" ht="24.95" customHeight="1" x14ac:dyDescent="0.25">
      <c r="B3816" s="973">
        <v>205500</v>
      </c>
      <c r="C3816" s="974">
        <v>333903900000000</v>
      </c>
      <c r="D3816" s="973" t="s">
        <v>5560</v>
      </c>
      <c r="E3816" s="973"/>
      <c r="F3816" s="949">
        <v>1</v>
      </c>
      <c r="G3816" s="945">
        <v>0</v>
      </c>
      <c r="H3816" s="950">
        <v>0</v>
      </c>
      <c r="I3816" s="951">
        <f>PUCFD!E3298</f>
        <v>0.01</v>
      </c>
    </row>
    <row r="3817" spans="2:9" ht="24.95" customHeight="1" x14ac:dyDescent="0.25">
      <c r="B3817" s="973">
        <v>205600</v>
      </c>
      <c r="C3817" s="974">
        <v>333904700000000</v>
      </c>
      <c r="D3817" s="973" t="s">
        <v>6679</v>
      </c>
      <c r="E3817" s="973"/>
      <c r="F3817" s="949">
        <v>1</v>
      </c>
      <c r="G3817" s="945">
        <v>0</v>
      </c>
      <c r="H3817" s="950">
        <v>0</v>
      </c>
      <c r="I3817" s="951">
        <f>PUCFD!E3299</f>
        <v>0.01</v>
      </c>
    </row>
    <row r="3818" spans="2:9" ht="24.95" customHeight="1" x14ac:dyDescent="0.25">
      <c r="B3818" s="973">
        <v>205700</v>
      </c>
      <c r="C3818" s="974">
        <v>333909200000000</v>
      </c>
      <c r="D3818" s="973" t="s">
        <v>5563</v>
      </c>
      <c r="E3818" s="973"/>
      <c r="F3818" s="949">
        <v>1</v>
      </c>
      <c r="G3818" s="945">
        <v>0</v>
      </c>
      <c r="H3818" s="950">
        <v>0</v>
      </c>
      <c r="I3818" s="951">
        <f>PUCFD!E3300</f>
        <v>0.01</v>
      </c>
    </row>
    <row r="3819" spans="2:9" ht="24.95" customHeight="1" x14ac:dyDescent="0.25">
      <c r="B3819" s="973">
        <v>205800</v>
      </c>
      <c r="C3819" s="974">
        <v>344905100000000</v>
      </c>
      <c r="D3819" s="973" t="s">
        <v>5566</v>
      </c>
      <c r="E3819" s="973"/>
      <c r="F3819" s="949">
        <v>1</v>
      </c>
      <c r="G3819" s="945">
        <v>0</v>
      </c>
      <c r="H3819" s="950">
        <v>0</v>
      </c>
      <c r="I3819" s="951">
        <f>PUCFD!E3301</f>
        <v>0.01</v>
      </c>
    </row>
    <row r="3820" spans="2:9" ht="24.95" customHeight="1" x14ac:dyDescent="0.25">
      <c r="B3820" s="973">
        <v>205900</v>
      </c>
      <c r="C3820" s="974">
        <v>344905200000000</v>
      </c>
      <c r="D3820" s="973" t="s">
        <v>5569</v>
      </c>
      <c r="E3820" s="973"/>
      <c r="F3820" s="949">
        <v>1</v>
      </c>
      <c r="G3820" s="945">
        <v>0</v>
      </c>
      <c r="H3820" s="950">
        <v>0</v>
      </c>
      <c r="I3820" s="951">
        <f>PUCFD!E3302</f>
        <v>1.0999999999999999E-2</v>
      </c>
    </row>
    <row r="3821" spans="2:9" ht="24.95" customHeight="1" x14ac:dyDescent="0.25">
      <c r="B3821" s="962" t="s">
        <v>3138</v>
      </c>
      <c r="C3821" s="959">
        <v>8</v>
      </c>
      <c r="D3821" s="962" t="s">
        <v>6646</v>
      </c>
      <c r="I3821" s="957">
        <f>I3822</f>
        <v>46000.05000000001</v>
      </c>
    </row>
    <row r="3822" spans="2:9" ht="24.95" customHeight="1" x14ac:dyDescent="0.25">
      <c r="B3822" s="962" t="s">
        <v>3139</v>
      </c>
      <c r="C3822" s="959">
        <v>244</v>
      </c>
      <c r="D3822" s="962" t="s">
        <v>5595</v>
      </c>
      <c r="I3822" s="957">
        <f>I3823</f>
        <v>46000.05000000001</v>
      </c>
    </row>
    <row r="3823" spans="2:9" ht="24.95" customHeight="1" x14ac:dyDescent="0.25">
      <c r="B3823" s="962" t="s">
        <v>3137</v>
      </c>
      <c r="C3823" s="959">
        <v>12</v>
      </c>
      <c r="D3823" s="962" t="s">
        <v>5545</v>
      </c>
      <c r="I3823" s="957">
        <f>I3824</f>
        <v>46000.05000000001</v>
      </c>
    </row>
    <row r="3824" spans="2:9" s="946" customFormat="1" ht="24.95" customHeight="1" x14ac:dyDescent="0.25">
      <c r="B3824" s="963" t="s">
        <v>2965</v>
      </c>
      <c r="C3824" s="959">
        <v>17</v>
      </c>
      <c r="D3824" s="963" t="s">
        <v>5575</v>
      </c>
      <c r="E3824" s="954"/>
      <c r="F3824" s="955"/>
      <c r="H3824" s="956"/>
      <c r="I3824" s="957">
        <f>SUM(I3825:I3834)</f>
        <v>46000.05000000001</v>
      </c>
    </row>
    <row r="3825" spans="2:9" ht="30.75" customHeight="1" x14ac:dyDescent="0.25">
      <c r="B3825" s="973">
        <v>207000</v>
      </c>
      <c r="C3825" s="974">
        <v>333504300000000</v>
      </c>
      <c r="D3825" s="973" t="s">
        <v>5576</v>
      </c>
      <c r="E3825" s="973"/>
      <c r="F3825" s="949">
        <v>1</v>
      </c>
      <c r="G3825" s="945">
        <v>0</v>
      </c>
      <c r="H3825" s="950">
        <v>0</v>
      </c>
      <c r="I3825" s="951">
        <f>PUCFD!E3304</f>
        <v>0.01</v>
      </c>
    </row>
    <row r="3826" spans="2:9" ht="24.95" customHeight="1" x14ac:dyDescent="0.25">
      <c r="B3826" s="973">
        <v>207100</v>
      </c>
      <c r="C3826" s="974">
        <v>333900800000000</v>
      </c>
      <c r="D3826" s="973" t="s">
        <v>5577</v>
      </c>
      <c r="E3826" s="973"/>
      <c r="F3826" s="949">
        <v>1</v>
      </c>
      <c r="G3826" s="945">
        <v>0</v>
      </c>
      <c r="H3826" s="950">
        <v>0</v>
      </c>
      <c r="I3826" s="951">
        <f>PUCFD!E3305-5000</f>
        <v>10000</v>
      </c>
    </row>
    <row r="3827" spans="2:9" ht="24.95" customHeight="1" x14ac:dyDescent="0.25">
      <c r="B3827" s="973">
        <v>207200</v>
      </c>
      <c r="C3827" s="974">
        <v>333903000000000</v>
      </c>
      <c r="D3827" s="973" t="s">
        <v>5578</v>
      </c>
      <c r="E3827" s="973"/>
      <c r="F3827" s="949">
        <v>1</v>
      </c>
      <c r="G3827" s="945">
        <v>0</v>
      </c>
      <c r="H3827" s="950">
        <v>0</v>
      </c>
      <c r="I3827" s="951">
        <f>PUCFD!E3306-5000</f>
        <v>5000</v>
      </c>
    </row>
    <row r="3828" spans="2:9" ht="24.95" customHeight="1" x14ac:dyDescent="0.25">
      <c r="B3828" s="973">
        <v>207300</v>
      </c>
      <c r="C3828" s="974">
        <v>333903200000000</v>
      </c>
      <c r="D3828" s="973" t="s">
        <v>5579</v>
      </c>
      <c r="E3828" s="973"/>
      <c r="F3828" s="949">
        <v>1</v>
      </c>
      <c r="G3828" s="945">
        <v>0</v>
      </c>
      <c r="H3828" s="950">
        <v>0</v>
      </c>
      <c r="I3828" s="951">
        <f>PUCFD!E3307-15000</f>
        <v>15000</v>
      </c>
    </row>
    <row r="3829" spans="2:9" ht="24.95" customHeight="1" x14ac:dyDescent="0.25">
      <c r="B3829" s="973">
        <v>207400</v>
      </c>
      <c r="C3829" s="974">
        <v>333903600000000</v>
      </c>
      <c r="D3829" s="973" t="s">
        <v>5580</v>
      </c>
      <c r="E3829" s="973"/>
      <c r="F3829" s="949">
        <v>1</v>
      </c>
      <c r="G3829" s="945">
        <v>0</v>
      </c>
      <c r="H3829" s="950">
        <v>0</v>
      </c>
      <c r="I3829" s="951">
        <f>PUCFD!E3308</f>
        <v>0.01</v>
      </c>
    </row>
    <row r="3830" spans="2:9" ht="24.95" customHeight="1" x14ac:dyDescent="0.25">
      <c r="B3830" s="973">
        <v>207500</v>
      </c>
      <c r="C3830" s="974">
        <v>333903900000000</v>
      </c>
      <c r="D3830" s="973" t="s">
        <v>5581</v>
      </c>
      <c r="E3830" s="973"/>
      <c r="F3830" s="949">
        <v>1</v>
      </c>
      <c r="G3830" s="945">
        <v>0</v>
      </c>
      <c r="H3830" s="950">
        <v>0</v>
      </c>
      <c r="I3830" s="951">
        <f>PUCFD!E3309-15000</f>
        <v>15000</v>
      </c>
    </row>
    <row r="3831" spans="2:9" ht="24.95" customHeight="1" x14ac:dyDescent="0.25">
      <c r="B3831" s="973">
        <v>207600</v>
      </c>
      <c r="C3831" s="974">
        <v>333904700000000</v>
      </c>
      <c r="D3831" s="973" t="s">
        <v>5582</v>
      </c>
      <c r="E3831" s="973"/>
      <c r="F3831" s="949">
        <v>1</v>
      </c>
      <c r="G3831" s="945">
        <v>0</v>
      </c>
      <c r="H3831" s="950">
        <v>0</v>
      </c>
      <c r="I3831" s="951">
        <f>PUCFD!E3310</f>
        <v>1000</v>
      </c>
    </row>
    <row r="3832" spans="2:9" ht="24.95" customHeight="1" x14ac:dyDescent="0.25">
      <c r="B3832" s="973">
        <v>207700</v>
      </c>
      <c r="C3832" s="974">
        <v>333909200000000</v>
      </c>
      <c r="D3832" s="973" t="s">
        <v>5583</v>
      </c>
      <c r="E3832" s="973"/>
      <c r="F3832" s="949">
        <v>1</v>
      </c>
      <c r="G3832" s="945">
        <v>0</v>
      </c>
      <c r="H3832" s="950">
        <v>0</v>
      </c>
      <c r="I3832" s="951">
        <f>PUCFD!E3311</f>
        <v>0.01</v>
      </c>
    </row>
    <row r="3833" spans="2:9" ht="24.95" customHeight="1" x14ac:dyDescent="0.25">
      <c r="B3833" s="973">
        <v>207800</v>
      </c>
      <c r="C3833" s="974">
        <v>344905100000000</v>
      </c>
      <c r="D3833" s="973" t="s">
        <v>5584</v>
      </c>
      <c r="E3833" s="973"/>
      <c r="F3833" s="949">
        <v>1</v>
      </c>
      <c r="G3833" s="945">
        <v>0</v>
      </c>
      <c r="H3833" s="950">
        <v>0</v>
      </c>
      <c r="I3833" s="951">
        <f>PUCFD!E3312</f>
        <v>0.01</v>
      </c>
    </row>
    <row r="3834" spans="2:9" ht="24.95" customHeight="1" x14ac:dyDescent="0.25">
      <c r="B3834" s="973">
        <v>207900</v>
      </c>
      <c r="C3834" s="974">
        <v>344905200000000</v>
      </c>
      <c r="D3834" s="973" t="s">
        <v>5585</v>
      </c>
      <c r="E3834" s="973"/>
      <c r="F3834" s="949">
        <v>1</v>
      </c>
      <c r="G3834" s="945">
        <v>0</v>
      </c>
      <c r="H3834" s="950">
        <v>0</v>
      </c>
      <c r="I3834" s="951">
        <f>PUCFD!E3313</f>
        <v>0.01</v>
      </c>
    </row>
    <row r="3835" spans="2:9" ht="24.95" customHeight="1" x14ac:dyDescent="0.25">
      <c r="B3835" s="1608" t="s">
        <v>5546</v>
      </c>
      <c r="C3835" s="1608"/>
      <c r="D3835" s="1608"/>
      <c r="E3835" s="1608"/>
      <c r="F3835" s="1608"/>
      <c r="G3835" s="1608"/>
      <c r="H3835" s="1608"/>
      <c r="I3835" s="1024">
        <f>I3824+I3810+I3796+I3782</f>
        <v>151178.88899999997</v>
      </c>
    </row>
    <row r="3836" spans="2:9" ht="24.95" customHeight="1" x14ac:dyDescent="0.25">
      <c r="B3836" s="1608" t="s">
        <v>5586</v>
      </c>
      <c r="C3836" s="1608"/>
      <c r="D3836" s="1608"/>
      <c r="E3836" s="1608"/>
      <c r="F3836" s="1608"/>
      <c r="G3836" s="1608"/>
      <c r="H3836" s="1608"/>
      <c r="I3836" s="1024">
        <f>I3835</f>
        <v>151178.88899999997</v>
      </c>
    </row>
    <row r="3837" spans="2:9" ht="24.95" customHeight="1" x14ac:dyDescent="0.25">
      <c r="B3837" s="987"/>
      <c r="C3837" s="987"/>
      <c r="D3837" s="987"/>
      <c r="E3837" s="954" t="s">
        <v>4777</v>
      </c>
      <c r="F3837" s="960"/>
      <c r="G3837" s="960"/>
      <c r="H3837" s="958"/>
      <c r="I3837" s="1030"/>
    </row>
    <row r="3838" spans="2:9" ht="24.95" customHeight="1" x14ac:dyDescent="0.25">
      <c r="B3838" s="987"/>
      <c r="C3838" s="987"/>
      <c r="D3838" s="987"/>
      <c r="F3838" s="949">
        <v>1</v>
      </c>
      <c r="G3838" s="945">
        <v>0</v>
      </c>
      <c r="H3838" s="950">
        <v>0</v>
      </c>
      <c r="I3838" s="951">
        <f>I3836</f>
        <v>151178.88899999997</v>
      </c>
    </row>
    <row r="3840" spans="2:9" ht="24.95" customHeight="1" x14ac:dyDescent="0.25">
      <c r="B3840" s="946" t="s">
        <v>3088</v>
      </c>
      <c r="C3840" s="953" t="s">
        <v>5538</v>
      </c>
    </row>
    <row r="3841" spans="2:9" ht="24.95" customHeight="1" x14ac:dyDescent="0.25">
      <c r="B3841" s="946" t="s">
        <v>3087</v>
      </c>
      <c r="C3841" s="953" t="s">
        <v>5587</v>
      </c>
    </row>
    <row r="3842" spans="2:9" ht="24.95" customHeight="1" x14ac:dyDescent="0.25">
      <c r="B3842" s="946" t="s">
        <v>3089</v>
      </c>
      <c r="C3842" s="953" t="s">
        <v>5539</v>
      </c>
    </row>
    <row r="3843" spans="2:9" ht="24.95" customHeight="1" x14ac:dyDescent="0.25">
      <c r="B3843" s="962" t="s">
        <v>3138</v>
      </c>
      <c r="C3843" s="959">
        <v>8</v>
      </c>
      <c r="D3843" s="962" t="s">
        <v>6646</v>
      </c>
      <c r="I3843" s="957">
        <f>I3844</f>
        <v>48100.338626446515</v>
      </c>
    </row>
    <row r="3844" spans="2:9" ht="24.95" customHeight="1" x14ac:dyDescent="0.25">
      <c r="B3844" s="962" t="s">
        <v>3139</v>
      </c>
      <c r="C3844" s="959">
        <v>244</v>
      </c>
      <c r="D3844" s="962" t="s">
        <v>5595</v>
      </c>
      <c r="I3844" s="957">
        <f>I3845</f>
        <v>48100.338626446515</v>
      </c>
    </row>
    <row r="3845" spans="2:9" ht="24.95" customHeight="1" x14ac:dyDescent="0.25">
      <c r="B3845" s="962" t="s">
        <v>3137</v>
      </c>
      <c r="C3845" s="959">
        <v>12</v>
      </c>
      <c r="D3845" s="962" t="s">
        <v>5545</v>
      </c>
      <c r="I3845" s="957">
        <f>I3846</f>
        <v>48100.338626446515</v>
      </c>
    </row>
    <row r="3846" spans="2:9" s="946" customFormat="1" ht="24.95" customHeight="1" x14ac:dyDescent="0.25">
      <c r="B3846" s="963" t="s">
        <v>2965</v>
      </c>
      <c r="C3846" s="959">
        <v>13</v>
      </c>
      <c r="D3846" s="963" t="s">
        <v>5570</v>
      </c>
      <c r="E3846" s="954"/>
      <c r="F3846" s="955"/>
      <c r="H3846" s="956"/>
      <c r="I3846" s="957">
        <f>SUM(I3847:I3850)</f>
        <v>48100.338626446515</v>
      </c>
    </row>
    <row r="3847" spans="2:9" ht="24.95" customHeight="1" x14ac:dyDescent="0.25">
      <c r="B3847" s="973">
        <v>208800</v>
      </c>
      <c r="C3847" s="974">
        <v>34430930000000</v>
      </c>
      <c r="D3847" s="973" t="s">
        <v>6905</v>
      </c>
      <c r="F3847" s="949">
        <v>1173</v>
      </c>
      <c r="G3847" s="945">
        <v>0</v>
      </c>
      <c r="H3847" s="950">
        <v>0</v>
      </c>
      <c r="I3847" s="951">
        <f>PUCFD!E3316</f>
        <v>0.01</v>
      </c>
    </row>
    <row r="3848" spans="2:9" ht="24.95" customHeight="1" x14ac:dyDescent="0.25">
      <c r="B3848" s="973">
        <v>208820</v>
      </c>
      <c r="C3848" s="974">
        <v>34490300000000</v>
      </c>
      <c r="D3848" s="973" t="s">
        <v>6906</v>
      </c>
      <c r="F3848" s="949">
        <v>1173</v>
      </c>
      <c r="G3848" s="945">
        <v>0</v>
      </c>
      <c r="H3848" s="950">
        <v>0</v>
      </c>
      <c r="I3848" s="951">
        <f>PUCFD!E3317</f>
        <v>0.01</v>
      </c>
    </row>
    <row r="3849" spans="2:9" ht="24.95" customHeight="1" x14ac:dyDescent="0.25">
      <c r="B3849" s="973">
        <v>208840</v>
      </c>
      <c r="C3849" s="974">
        <v>34490390000000</v>
      </c>
      <c r="D3849" s="973" t="s">
        <v>6907</v>
      </c>
      <c r="F3849" s="949">
        <v>1173</v>
      </c>
      <c r="G3849" s="945">
        <v>0</v>
      </c>
      <c r="H3849" s="950">
        <v>0</v>
      </c>
      <c r="I3849" s="951">
        <f>PUCFD!E3318</f>
        <v>0.01</v>
      </c>
    </row>
    <row r="3850" spans="2:9" ht="24.95" customHeight="1" x14ac:dyDescent="0.25">
      <c r="B3850" s="973">
        <v>208880</v>
      </c>
      <c r="C3850" s="974">
        <v>34490520000000</v>
      </c>
      <c r="D3850" s="973" t="s">
        <v>6908</v>
      </c>
      <c r="F3850" s="949">
        <v>1173</v>
      </c>
      <c r="G3850" s="945">
        <v>0</v>
      </c>
      <c r="H3850" s="950">
        <v>0</v>
      </c>
      <c r="I3850" s="951">
        <f>PUCFD!E3319+34.83-34.83</f>
        <v>48100.308626446516</v>
      </c>
    </row>
    <row r="3851" spans="2:9" ht="24.95" customHeight="1" x14ac:dyDescent="0.25">
      <c r="B3851" s="962" t="s">
        <v>3138</v>
      </c>
      <c r="C3851" s="959">
        <v>8</v>
      </c>
      <c r="D3851" s="962" t="s">
        <v>6646</v>
      </c>
      <c r="I3851" s="957">
        <f>I3852</f>
        <v>26.606247530855235</v>
      </c>
    </row>
    <row r="3852" spans="2:9" ht="24.95" customHeight="1" x14ac:dyDescent="0.25">
      <c r="B3852" s="962" t="s">
        <v>3139</v>
      </c>
      <c r="C3852" s="959">
        <v>244</v>
      </c>
      <c r="D3852" s="962" t="s">
        <v>5595</v>
      </c>
      <c r="I3852" s="957">
        <f>I3853</f>
        <v>26.606247530855235</v>
      </c>
    </row>
    <row r="3853" spans="2:9" ht="24.95" customHeight="1" x14ac:dyDescent="0.25">
      <c r="B3853" s="962" t="s">
        <v>3137</v>
      </c>
      <c r="C3853" s="959">
        <v>12</v>
      </c>
      <c r="D3853" s="962" t="s">
        <v>5545</v>
      </c>
      <c r="I3853" s="957">
        <f>I3854</f>
        <v>26.606247530855235</v>
      </c>
    </row>
    <row r="3854" spans="2:9" s="946" customFormat="1" ht="24.95" customHeight="1" x14ac:dyDescent="0.25">
      <c r="B3854" s="963" t="s">
        <v>2965</v>
      </c>
      <c r="C3854" s="959">
        <v>13</v>
      </c>
      <c r="D3854" s="963" t="s">
        <v>5570</v>
      </c>
      <c r="E3854" s="954"/>
      <c r="F3854" s="955"/>
      <c r="H3854" s="956"/>
      <c r="I3854" s="957">
        <f>I3855</f>
        <v>26.606247530855235</v>
      </c>
    </row>
    <row r="3855" spans="2:9" ht="24.95" customHeight="1" x14ac:dyDescent="0.25">
      <c r="B3855" s="973">
        <v>209000</v>
      </c>
      <c r="C3855" s="974">
        <v>344905200000000</v>
      </c>
      <c r="D3855" s="973" t="s">
        <v>5588</v>
      </c>
      <c r="E3855" s="973"/>
      <c r="F3855" s="949">
        <v>1099</v>
      </c>
      <c r="G3855" s="945">
        <v>0</v>
      </c>
      <c r="H3855" s="950">
        <v>0</v>
      </c>
      <c r="I3855" s="951">
        <f>PUCFD!E3321</f>
        <v>26.606247530855235</v>
      </c>
    </row>
    <row r="3856" spans="2:9" ht="24.95" customHeight="1" x14ac:dyDescent="0.25">
      <c r="B3856" s="1608" t="s">
        <v>5546</v>
      </c>
      <c r="C3856" s="1608"/>
      <c r="D3856" s="1608"/>
      <c r="E3856" s="1608"/>
      <c r="F3856" s="1608"/>
      <c r="G3856" s="1608"/>
      <c r="H3856" s="1608"/>
      <c r="I3856" s="1024">
        <f>I3855+I3846</f>
        <v>48126.944873977372</v>
      </c>
    </row>
    <row r="3857" spans="2:9" ht="24.95" customHeight="1" x14ac:dyDescent="0.25">
      <c r="B3857" s="1608" t="s">
        <v>5589</v>
      </c>
      <c r="C3857" s="1608"/>
      <c r="D3857" s="1608"/>
      <c r="E3857" s="1608"/>
      <c r="F3857" s="1608"/>
      <c r="G3857" s="1608"/>
      <c r="H3857" s="1608"/>
      <c r="I3857" s="1024">
        <f>I3856</f>
        <v>48126.944873977372</v>
      </c>
    </row>
    <row r="3858" spans="2:9" ht="24.95" customHeight="1" x14ac:dyDescent="0.25">
      <c r="B3858" s="987"/>
      <c r="C3858" s="987"/>
      <c r="D3858" s="987"/>
      <c r="E3858" s="954" t="s">
        <v>4777</v>
      </c>
      <c r="F3858" s="960"/>
      <c r="G3858" s="960"/>
      <c r="H3858" s="958"/>
      <c r="I3858" s="1030"/>
    </row>
    <row r="3859" spans="2:9" ht="24.95" customHeight="1" x14ac:dyDescent="0.25">
      <c r="B3859" s="987"/>
      <c r="C3859" s="987"/>
      <c r="D3859" s="987"/>
      <c r="F3859" s="949">
        <v>1099</v>
      </c>
      <c r="G3859" s="945">
        <v>0</v>
      </c>
      <c r="H3859" s="950">
        <v>0</v>
      </c>
      <c r="I3859" s="951">
        <f>I3855</f>
        <v>26.606247530855235</v>
      </c>
    </row>
    <row r="3860" spans="2:9" ht="24.95" customHeight="1" x14ac:dyDescent="0.25">
      <c r="C3860" s="945"/>
      <c r="F3860" s="949">
        <v>1173</v>
      </c>
      <c r="G3860" s="945">
        <v>0</v>
      </c>
      <c r="H3860" s="950">
        <v>0</v>
      </c>
      <c r="I3860" s="951">
        <f>I3846</f>
        <v>48100.338626446515</v>
      </c>
    </row>
    <row r="3861" spans="2:9" ht="24.95" customHeight="1" x14ac:dyDescent="0.25">
      <c r="B3861" s="1381"/>
      <c r="C3861" s="959"/>
      <c r="D3861" s="958"/>
      <c r="E3861" s="959"/>
      <c r="F3861" s="958"/>
      <c r="G3861" s="958"/>
      <c r="H3861" s="958"/>
      <c r="I3861" s="1061"/>
    </row>
    <row r="3862" spans="2:9" ht="24.95" customHeight="1" x14ac:dyDescent="0.25">
      <c r="B3862" s="946" t="s">
        <v>3088</v>
      </c>
      <c r="C3862" s="953" t="s">
        <v>5538</v>
      </c>
      <c r="F3862" s="1382"/>
      <c r="H3862" s="1380"/>
    </row>
    <row r="3863" spans="2:9" ht="24.95" customHeight="1" x14ac:dyDescent="0.25">
      <c r="B3863" s="946" t="s">
        <v>3087</v>
      </c>
      <c r="C3863" s="953" t="s">
        <v>5590</v>
      </c>
    </row>
    <row r="3864" spans="2:9" ht="24.95" customHeight="1" x14ac:dyDescent="0.25">
      <c r="B3864" s="946" t="s">
        <v>3089</v>
      </c>
      <c r="C3864" s="953" t="s">
        <v>5539</v>
      </c>
    </row>
    <row r="3865" spans="2:9" ht="24.95" customHeight="1" x14ac:dyDescent="0.25">
      <c r="B3865" s="1381" t="s">
        <v>2967</v>
      </c>
      <c r="C3865" s="959" t="s">
        <v>472</v>
      </c>
      <c r="D3865" s="958" t="s">
        <v>2968</v>
      </c>
      <c r="E3865" s="959" t="s">
        <v>3066</v>
      </c>
      <c r="F3865" s="958" t="s">
        <v>1403</v>
      </c>
      <c r="G3865" s="958" t="s">
        <v>2969</v>
      </c>
      <c r="H3865" s="958" t="s">
        <v>3065</v>
      </c>
      <c r="I3865" s="1061" t="s">
        <v>2531</v>
      </c>
    </row>
    <row r="3866" spans="2:9" ht="24.95" customHeight="1" x14ac:dyDescent="0.25">
      <c r="B3866" s="962" t="s">
        <v>3138</v>
      </c>
      <c r="C3866" s="959">
        <v>8</v>
      </c>
      <c r="D3866" s="962" t="s">
        <v>6646</v>
      </c>
      <c r="I3866" s="957">
        <f>I3867</f>
        <v>10753.872000000001</v>
      </c>
    </row>
    <row r="3867" spans="2:9" ht="24.95" customHeight="1" x14ac:dyDescent="0.25">
      <c r="B3867" s="962" t="s">
        <v>3139</v>
      </c>
      <c r="C3867" s="959">
        <v>241</v>
      </c>
      <c r="D3867" s="962" t="s">
        <v>5571</v>
      </c>
      <c r="I3867" s="957">
        <f>I3868</f>
        <v>10753.872000000001</v>
      </c>
    </row>
    <row r="3868" spans="2:9" ht="24.95" customHeight="1" x14ac:dyDescent="0.25">
      <c r="B3868" s="962" t="s">
        <v>3137</v>
      </c>
      <c r="C3868" s="959">
        <v>12</v>
      </c>
      <c r="D3868" s="962" t="s">
        <v>5545</v>
      </c>
      <c r="I3868" s="957">
        <f>I3869</f>
        <v>10753.872000000001</v>
      </c>
    </row>
    <row r="3869" spans="2:9" s="946" customFormat="1" ht="24.95" customHeight="1" x14ac:dyDescent="0.25">
      <c r="B3869" s="963" t="s">
        <v>2965</v>
      </c>
      <c r="C3869" s="959">
        <v>13</v>
      </c>
      <c r="D3869" s="963" t="s">
        <v>5570</v>
      </c>
      <c r="E3869" s="954"/>
      <c r="F3869" s="955"/>
      <c r="H3869" s="956"/>
      <c r="I3869" s="957">
        <f>SUM(I3870:I3879)</f>
        <v>10753.872000000001</v>
      </c>
    </row>
    <row r="3870" spans="2:9" ht="24.95" customHeight="1" x14ac:dyDescent="0.25">
      <c r="B3870" s="973">
        <v>211000</v>
      </c>
      <c r="C3870" s="974">
        <v>333900800000000</v>
      </c>
      <c r="D3870" s="973" t="s">
        <v>6743</v>
      </c>
      <c r="E3870" s="973"/>
      <c r="F3870" s="949">
        <v>1161</v>
      </c>
      <c r="G3870" s="945">
        <v>0</v>
      </c>
      <c r="H3870" s="950">
        <v>0</v>
      </c>
      <c r="I3870" s="951">
        <f>PUCFD!E3323</f>
        <v>0.01</v>
      </c>
    </row>
    <row r="3871" spans="2:9" ht="24.95" customHeight="1" x14ac:dyDescent="0.25">
      <c r="B3871" s="973">
        <v>211100</v>
      </c>
      <c r="C3871" s="974">
        <v>333901400000000</v>
      </c>
      <c r="D3871" s="973" t="s">
        <v>6744</v>
      </c>
      <c r="E3871" s="973"/>
      <c r="F3871" s="949">
        <v>1161</v>
      </c>
      <c r="G3871" s="945">
        <v>0</v>
      </c>
      <c r="H3871" s="950">
        <v>0</v>
      </c>
      <c r="I3871" s="951">
        <f>PUCFD!E3324</f>
        <v>0.01</v>
      </c>
    </row>
    <row r="3872" spans="2:9" ht="24.95" customHeight="1" x14ac:dyDescent="0.25">
      <c r="B3872" s="973">
        <v>211200</v>
      </c>
      <c r="C3872" s="974">
        <v>333903000000000</v>
      </c>
      <c r="D3872" s="973" t="s">
        <v>6745</v>
      </c>
      <c r="E3872" s="973"/>
      <c r="F3872" s="949">
        <v>1161</v>
      </c>
      <c r="G3872" s="945">
        <v>0</v>
      </c>
      <c r="H3872" s="950">
        <v>0</v>
      </c>
      <c r="I3872" s="951">
        <f>PUCFD!E3325+5253.8</f>
        <v>6253.8</v>
      </c>
    </row>
    <row r="3873" spans="2:9" ht="24.95" customHeight="1" x14ac:dyDescent="0.25">
      <c r="B3873" s="973">
        <v>211300</v>
      </c>
      <c r="C3873" s="974">
        <v>333903200000000</v>
      </c>
      <c r="D3873" s="973" t="s">
        <v>6746</v>
      </c>
      <c r="E3873" s="973"/>
      <c r="F3873" s="949">
        <v>1161</v>
      </c>
      <c r="G3873" s="945">
        <v>0</v>
      </c>
      <c r="H3873" s="950">
        <v>0</v>
      </c>
      <c r="I3873" s="951">
        <f>PUCFD!E3326</f>
        <v>2000</v>
      </c>
    </row>
    <row r="3874" spans="2:9" ht="24.95" customHeight="1" x14ac:dyDescent="0.25">
      <c r="B3874" s="973">
        <v>211400</v>
      </c>
      <c r="C3874" s="974">
        <v>333903600000000</v>
      </c>
      <c r="D3874" s="973" t="s">
        <v>6747</v>
      </c>
      <c r="E3874" s="973"/>
      <c r="F3874" s="949">
        <v>1161</v>
      </c>
      <c r="G3874" s="945">
        <v>0</v>
      </c>
      <c r="H3874" s="950">
        <v>0</v>
      </c>
      <c r="I3874" s="951">
        <f>PUCFD!E3327</f>
        <v>0.01</v>
      </c>
    </row>
    <row r="3875" spans="2:9" ht="24.95" customHeight="1" x14ac:dyDescent="0.25">
      <c r="B3875" s="973">
        <v>211500</v>
      </c>
      <c r="C3875" s="974">
        <v>333903900000000</v>
      </c>
      <c r="D3875" s="973" t="s">
        <v>6748</v>
      </c>
      <c r="E3875" s="973"/>
      <c r="F3875" s="949">
        <v>1161</v>
      </c>
      <c r="G3875" s="945">
        <v>0</v>
      </c>
      <c r="H3875" s="950">
        <v>0</v>
      </c>
      <c r="I3875" s="951">
        <f>PUCFD!E3328</f>
        <v>2500</v>
      </c>
    </row>
    <row r="3876" spans="2:9" ht="24.95" customHeight="1" x14ac:dyDescent="0.25">
      <c r="B3876" s="973">
        <v>211600</v>
      </c>
      <c r="C3876" s="974">
        <v>333904700000000</v>
      </c>
      <c r="D3876" s="973" t="s">
        <v>6749</v>
      </c>
      <c r="E3876" s="973"/>
      <c r="F3876" s="949">
        <v>1161</v>
      </c>
      <c r="G3876" s="945">
        <v>0</v>
      </c>
      <c r="H3876" s="950">
        <v>0</v>
      </c>
      <c r="I3876" s="951">
        <f>PUCFD!E3329</f>
        <v>0.01</v>
      </c>
    </row>
    <row r="3877" spans="2:9" ht="24.95" customHeight="1" x14ac:dyDescent="0.25">
      <c r="B3877" s="973">
        <v>211700</v>
      </c>
      <c r="C3877" s="974">
        <v>333909200000000</v>
      </c>
      <c r="D3877" s="973" t="s">
        <v>6750</v>
      </c>
      <c r="E3877" s="973"/>
      <c r="F3877" s="949">
        <v>1161</v>
      </c>
      <c r="G3877" s="945">
        <v>0</v>
      </c>
      <c r="H3877" s="950">
        <v>0</v>
      </c>
      <c r="I3877" s="951">
        <f>PUCFD!E3330</f>
        <v>0.01</v>
      </c>
    </row>
    <row r="3878" spans="2:9" ht="24.95" customHeight="1" x14ac:dyDescent="0.25">
      <c r="B3878" s="973">
        <v>211800</v>
      </c>
      <c r="C3878" s="974">
        <v>344905100000000</v>
      </c>
      <c r="D3878" s="973" t="s">
        <v>6751</v>
      </c>
      <c r="E3878" s="973"/>
      <c r="F3878" s="949">
        <v>1161</v>
      </c>
      <c r="G3878" s="945">
        <v>0</v>
      </c>
      <c r="H3878" s="950">
        <v>0</v>
      </c>
      <c r="I3878" s="951">
        <f>PUCFD!E3331</f>
        <v>1.0999999999999999E-2</v>
      </c>
    </row>
    <row r="3879" spans="2:9" ht="24.95" customHeight="1" x14ac:dyDescent="0.25">
      <c r="B3879" s="973">
        <v>211900</v>
      </c>
      <c r="C3879" s="974">
        <v>344905200000000</v>
      </c>
      <c r="D3879" s="973" t="s">
        <v>6752</v>
      </c>
      <c r="E3879" s="973"/>
      <c r="F3879" s="949">
        <v>1161</v>
      </c>
      <c r="G3879" s="945">
        <v>0</v>
      </c>
      <c r="H3879" s="950">
        <v>0</v>
      </c>
      <c r="I3879" s="951">
        <f>PUCFD!E3332</f>
        <v>1.0999999999999999E-2</v>
      </c>
    </row>
    <row r="3880" spans="2:9" ht="24.95" customHeight="1" x14ac:dyDescent="0.25">
      <c r="B3880" s="962" t="s">
        <v>3138</v>
      </c>
      <c r="C3880" s="959">
        <v>8</v>
      </c>
      <c r="D3880" s="962" t="s">
        <v>6646</v>
      </c>
      <c r="I3880" s="957">
        <f>I3881</f>
        <v>3000.0710000000004</v>
      </c>
    </row>
    <row r="3881" spans="2:9" ht="24.95" customHeight="1" x14ac:dyDescent="0.25">
      <c r="B3881" s="962" t="s">
        <v>3139</v>
      </c>
      <c r="C3881" s="959">
        <v>242</v>
      </c>
      <c r="D3881" s="962" t="s">
        <v>5572</v>
      </c>
      <c r="I3881" s="957">
        <f>I3882</f>
        <v>3000.0710000000004</v>
      </c>
    </row>
    <row r="3882" spans="2:9" ht="24.95" customHeight="1" x14ac:dyDescent="0.25">
      <c r="B3882" s="962" t="s">
        <v>3137</v>
      </c>
      <c r="C3882" s="959">
        <v>12</v>
      </c>
      <c r="D3882" s="962" t="s">
        <v>5545</v>
      </c>
      <c r="I3882" s="957">
        <f>I3883</f>
        <v>3000.0710000000004</v>
      </c>
    </row>
    <row r="3883" spans="2:9" ht="24.95" customHeight="1" x14ac:dyDescent="0.25">
      <c r="B3883" s="963" t="s">
        <v>2965</v>
      </c>
      <c r="C3883" s="959">
        <v>13</v>
      </c>
      <c r="D3883" s="963" t="s">
        <v>5570</v>
      </c>
      <c r="E3883" s="954"/>
      <c r="F3883" s="955"/>
      <c r="G3883" s="946"/>
      <c r="H3883" s="956"/>
      <c r="I3883" s="957">
        <f>SUM(I3884:I3892)</f>
        <v>3000.0710000000004</v>
      </c>
    </row>
    <row r="3884" spans="2:9" ht="24.95" customHeight="1" x14ac:dyDescent="0.25">
      <c r="B3884" s="973">
        <v>213000</v>
      </c>
      <c r="C3884" s="974">
        <v>333900800000000</v>
      </c>
      <c r="D3884" s="973" t="s">
        <v>6753</v>
      </c>
      <c r="E3884" s="973"/>
      <c r="F3884" s="949">
        <v>1161</v>
      </c>
      <c r="G3884" s="945">
        <v>0</v>
      </c>
      <c r="H3884" s="950">
        <v>0</v>
      </c>
      <c r="I3884" s="951">
        <f>PUCFD!E3334</f>
        <v>0.01</v>
      </c>
    </row>
    <row r="3885" spans="2:9" ht="24.95" customHeight="1" x14ac:dyDescent="0.25">
      <c r="B3885" s="973">
        <v>213100</v>
      </c>
      <c r="C3885" s="974">
        <v>333903000000000</v>
      </c>
      <c r="D3885" s="973" t="s">
        <v>6754</v>
      </c>
      <c r="E3885" s="973"/>
      <c r="F3885" s="949">
        <v>1161</v>
      </c>
      <c r="G3885" s="945">
        <v>0</v>
      </c>
      <c r="H3885" s="950">
        <v>0</v>
      </c>
      <c r="I3885" s="951">
        <f>PUCFD!E3335</f>
        <v>0.01</v>
      </c>
    </row>
    <row r="3886" spans="2:9" ht="24.95" customHeight="1" x14ac:dyDescent="0.25">
      <c r="B3886" s="973">
        <v>213200</v>
      </c>
      <c r="C3886" s="974">
        <v>333903200000000</v>
      </c>
      <c r="D3886" s="973" t="s">
        <v>6755</v>
      </c>
      <c r="E3886" s="973"/>
      <c r="F3886" s="949">
        <v>1161</v>
      </c>
      <c r="G3886" s="945">
        <v>0</v>
      </c>
      <c r="H3886" s="950">
        <v>0</v>
      </c>
      <c r="I3886" s="951">
        <f>PUCFD!E3336</f>
        <v>1000</v>
      </c>
    </row>
    <row r="3887" spans="2:9" ht="24.95" customHeight="1" x14ac:dyDescent="0.25">
      <c r="B3887" s="973">
        <v>213300</v>
      </c>
      <c r="C3887" s="974">
        <v>333903600000000</v>
      </c>
      <c r="D3887" s="973" t="s">
        <v>6756</v>
      </c>
      <c r="E3887" s="973"/>
      <c r="F3887" s="949">
        <v>1161</v>
      </c>
      <c r="G3887" s="945">
        <v>0</v>
      </c>
      <c r="H3887" s="950">
        <v>0</v>
      </c>
      <c r="I3887" s="951">
        <f>PUCFD!E3337</f>
        <v>0.01</v>
      </c>
    </row>
    <row r="3888" spans="2:9" ht="24.95" customHeight="1" x14ac:dyDescent="0.25">
      <c r="B3888" s="973">
        <v>213400</v>
      </c>
      <c r="C3888" s="974">
        <v>333903900000000</v>
      </c>
      <c r="D3888" s="973" t="s">
        <v>6757</v>
      </c>
      <c r="E3888" s="973"/>
      <c r="F3888" s="949">
        <v>1161</v>
      </c>
      <c r="G3888" s="945">
        <v>0</v>
      </c>
      <c r="H3888" s="950">
        <v>0</v>
      </c>
      <c r="I3888" s="951">
        <f>PUCFD!E3338</f>
        <v>2000</v>
      </c>
    </row>
    <row r="3889" spans="2:9" ht="24.95" customHeight="1" x14ac:dyDescent="0.25">
      <c r="B3889" s="973">
        <v>213500</v>
      </c>
      <c r="C3889" s="974">
        <v>333904700000000</v>
      </c>
      <c r="D3889" s="973" t="s">
        <v>6758</v>
      </c>
      <c r="E3889" s="973"/>
      <c r="F3889" s="949">
        <v>1161</v>
      </c>
      <c r="G3889" s="945">
        <v>0</v>
      </c>
      <c r="H3889" s="950">
        <v>0</v>
      </c>
      <c r="I3889" s="951">
        <f>PUCFD!E3339</f>
        <v>0.01</v>
      </c>
    </row>
    <row r="3890" spans="2:9" ht="24.95" customHeight="1" x14ac:dyDescent="0.25">
      <c r="B3890" s="973">
        <v>213600</v>
      </c>
      <c r="C3890" s="974">
        <v>333909200000000</v>
      </c>
      <c r="D3890" s="973" t="s">
        <v>6759</v>
      </c>
      <c r="E3890" s="973"/>
      <c r="F3890" s="949">
        <v>1161</v>
      </c>
      <c r="G3890" s="945">
        <v>0</v>
      </c>
      <c r="H3890" s="950">
        <v>0</v>
      </c>
      <c r="I3890" s="951">
        <f>PUCFD!E3340</f>
        <v>0.01</v>
      </c>
    </row>
    <row r="3891" spans="2:9" ht="24.95" customHeight="1" x14ac:dyDescent="0.25">
      <c r="B3891" s="973">
        <v>213700</v>
      </c>
      <c r="C3891" s="974">
        <v>344905100000000</v>
      </c>
      <c r="D3891" s="973" t="s">
        <v>6760</v>
      </c>
      <c r="E3891" s="973"/>
      <c r="F3891" s="949">
        <v>1161</v>
      </c>
      <c r="G3891" s="945">
        <v>0</v>
      </c>
      <c r="H3891" s="950">
        <v>0</v>
      </c>
      <c r="I3891" s="951">
        <f>PUCFD!E3341</f>
        <v>1.0999999999999999E-2</v>
      </c>
    </row>
    <row r="3892" spans="2:9" ht="24.95" customHeight="1" x14ac:dyDescent="0.25">
      <c r="B3892" s="973">
        <v>213800</v>
      </c>
      <c r="C3892" s="974">
        <v>344905200000000</v>
      </c>
      <c r="D3892" s="973" t="s">
        <v>6761</v>
      </c>
      <c r="E3892" s="973"/>
      <c r="F3892" s="949">
        <v>1161</v>
      </c>
      <c r="G3892" s="945">
        <v>0</v>
      </c>
      <c r="H3892" s="950">
        <v>0</v>
      </c>
      <c r="I3892" s="951">
        <f>PUCFD!E3342</f>
        <v>0.01</v>
      </c>
    </row>
    <row r="3893" spans="2:9" ht="24.95" customHeight="1" x14ac:dyDescent="0.25">
      <c r="B3893" s="962" t="s">
        <v>3138</v>
      </c>
      <c r="C3893" s="959">
        <v>8</v>
      </c>
      <c r="D3893" s="962" t="s">
        <v>6646</v>
      </c>
      <c r="I3893" s="957">
        <f>I3894</f>
        <v>5000.0700000000015</v>
      </c>
    </row>
    <row r="3894" spans="2:9" ht="24.95" customHeight="1" x14ac:dyDescent="0.25">
      <c r="B3894" s="962" t="s">
        <v>3139</v>
      </c>
      <c r="C3894" s="959">
        <v>243</v>
      </c>
      <c r="D3894" s="962" t="s">
        <v>5573</v>
      </c>
      <c r="I3894" s="957">
        <f>I3895</f>
        <v>5000.0700000000015</v>
      </c>
    </row>
    <row r="3895" spans="2:9" ht="24.95" customHeight="1" x14ac:dyDescent="0.25">
      <c r="B3895" s="962" t="s">
        <v>3137</v>
      </c>
      <c r="C3895" s="959">
        <v>12</v>
      </c>
      <c r="D3895" s="962" t="s">
        <v>5545</v>
      </c>
      <c r="I3895" s="957">
        <f>I3896</f>
        <v>5000.0700000000015</v>
      </c>
    </row>
    <row r="3896" spans="2:9" ht="24.95" customHeight="1" x14ac:dyDescent="0.25">
      <c r="B3896" s="963" t="s">
        <v>2965</v>
      </c>
      <c r="C3896" s="959">
        <v>13</v>
      </c>
      <c r="D3896" s="963" t="s">
        <v>5570</v>
      </c>
      <c r="E3896" s="954"/>
      <c r="F3896" s="955"/>
      <c r="G3896" s="946"/>
      <c r="H3896" s="956"/>
      <c r="I3896" s="957">
        <f>SUM(I3897:I3905)</f>
        <v>5000.0700000000015</v>
      </c>
    </row>
    <row r="3897" spans="2:9" ht="24.95" customHeight="1" x14ac:dyDescent="0.25">
      <c r="B3897" s="973">
        <v>215000</v>
      </c>
      <c r="C3897" s="974">
        <v>333900800000000</v>
      </c>
      <c r="D3897" s="973" t="s">
        <v>6762</v>
      </c>
      <c r="E3897" s="973"/>
      <c r="F3897" s="949">
        <v>1161</v>
      </c>
      <c r="G3897" s="945">
        <v>0</v>
      </c>
      <c r="H3897" s="950">
        <v>0</v>
      </c>
      <c r="I3897" s="951">
        <f>PUCFD!E3344</f>
        <v>0.01</v>
      </c>
    </row>
    <row r="3898" spans="2:9" ht="24.95" customHeight="1" x14ac:dyDescent="0.25">
      <c r="B3898" s="973">
        <v>215100</v>
      </c>
      <c r="C3898" s="974">
        <v>333903000000000</v>
      </c>
      <c r="D3898" s="973" t="s">
        <v>6763</v>
      </c>
      <c r="E3898" s="973"/>
      <c r="F3898" s="949">
        <v>1161</v>
      </c>
      <c r="G3898" s="945">
        <v>0</v>
      </c>
      <c r="H3898" s="950">
        <v>0</v>
      </c>
      <c r="I3898" s="951">
        <f>PUCFD!E3345</f>
        <v>0.01</v>
      </c>
    </row>
    <row r="3899" spans="2:9" ht="24.95" customHeight="1" x14ac:dyDescent="0.25">
      <c r="B3899" s="973">
        <v>215200</v>
      </c>
      <c r="C3899" s="974">
        <v>333903200000000</v>
      </c>
      <c r="D3899" s="973" t="s">
        <v>6764</v>
      </c>
      <c r="E3899" s="973"/>
      <c r="F3899" s="949">
        <v>1161</v>
      </c>
      <c r="G3899" s="945">
        <v>0</v>
      </c>
      <c r="H3899" s="950">
        <v>0</v>
      </c>
      <c r="I3899" s="951">
        <f>PUCFD!E3346</f>
        <v>3000</v>
      </c>
    </row>
    <row r="3900" spans="2:9" ht="24.95" customHeight="1" x14ac:dyDescent="0.25">
      <c r="B3900" s="973">
        <v>215300</v>
      </c>
      <c r="C3900" s="974">
        <v>333903600000000</v>
      </c>
      <c r="D3900" s="973" t="s">
        <v>6765</v>
      </c>
      <c r="E3900" s="973"/>
      <c r="F3900" s="949">
        <v>1161</v>
      </c>
      <c r="G3900" s="945">
        <v>0</v>
      </c>
      <c r="H3900" s="950">
        <v>0</v>
      </c>
      <c r="I3900" s="951">
        <f>PUCFD!E3347</f>
        <v>0.01</v>
      </c>
    </row>
    <row r="3901" spans="2:9" ht="24.95" customHeight="1" x14ac:dyDescent="0.25">
      <c r="B3901" s="973">
        <v>215400</v>
      </c>
      <c r="C3901" s="974">
        <v>333903900000000</v>
      </c>
      <c r="D3901" s="973" t="s">
        <v>6766</v>
      </c>
      <c r="E3901" s="973"/>
      <c r="F3901" s="949">
        <v>1161</v>
      </c>
      <c r="G3901" s="945">
        <v>0</v>
      </c>
      <c r="H3901" s="950">
        <v>0</v>
      </c>
      <c r="I3901" s="951">
        <f>PUCFD!E3348</f>
        <v>2000</v>
      </c>
    </row>
    <row r="3902" spans="2:9" ht="24.95" customHeight="1" x14ac:dyDescent="0.25">
      <c r="B3902" s="973">
        <v>215500</v>
      </c>
      <c r="C3902" s="974">
        <v>333904700000000</v>
      </c>
      <c r="D3902" s="973" t="s">
        <v>6767</v>
      </c>
      <c r="E3902" s="973"/>
      <c r="F3902" s="949">
        <v>1161</v>
      </c>
      <c r="G3902" s="945">
        <v>0</v>
      </c>
      <c r="H3902" s="950">
        <v>0</v>
      </c>
      <c r="I3902" s="951">
        <f>PUCFD!E3349</f>
        <v>0.01</v>
      </c>
    </row>
    <row r="3903" spans="2:9" ht="24.95" customHeight="1" x14ac:dyDescent="0.25">
      <c r="B3903" s="973">
        <v>215600</v>
      </c>
      <c r="C3903" s="974">
        <v>333909200000000</v>
      </c>
      <c r="D3903" s="973" t="s">
        <v>6768</v>
      </c>
      <c r="E3903" s="973"/>
      <c r="F3903" s="949">
        <v>1161</v>
      </c>
      <c r="G3903" s="945">
        <v>0</v>
      </c>
      <c r="H3903" s="950">
        <v>0</v>
      </c>
      <c r="I3903" s="951">
        <f>PUCFD!E3350</f>
        <v>0.01</v>
      </c>
    </row>
    <row r="3904" spans="2:9" ht="24.95" customHeight="1" x14ac:dyDescent="0.25">
      <c r="B3904" s="973">
        <v>215700</v>
      </c>
      <c r="C3904" s="974">
        <v>344905100000000</v>
      </c>
      <c r="D3904" s="973" t="s">
        <v>6769</v>
      </c>
      <c r="E3904" s="973"/>
      <c r="F3904" s="949">
        <v>1161</v>
      </c>
      <c r="G3904" s="945">
        <v>0</v>
      </c>
      <c r="H3904" s="950">
        <v>0</v>
      </c>
      <c r="I3904" s="951">
        <f>PUCFD!E3351</f>
        <v>0.01</v>
      </c>
    </row>
    <row r="3905" spans="2:9" ht="24.95" customHeight="1" x14ac:dyDescent="0.25">
      <c r="B3905" s="973">
        <v>215800</v>
      </c>
      <c r="C3905" s="974">
        <v>344905200000000</v>
      </c>
      <c r="D3905" s="973" t="s">
        <v>6770</v>
      </c>
      <c r="E3905" s="973"/>
      <c r="F3905" s="949">
        <v>1161</v>
      </c>
      <c r="G3905" s="945">
        <v>0</v>
      </c>
      <c r="H3905" s="950">
        <v>0</v>
      </c>
      <c r="I3905" s="951">
        <f>PUCFD!E3352</f>
        <v>0.01</v>
      </c>
    </row>
    <row r="3906" spans="2:9" ht="24.95" customHeight="1" x14ac:dyDescent="0.25">
      <c r="B3906" s="962" t="s">
        <v>3138</v>
      </c>
      <c r="C3906" s="959">
        <v>8</v>
      </c>
      <c r="D3906" s="962" t="s">
        <v>6646</v>
      </c>
      <c r="E3906" s="973"/>
      <c r="I3906" s="957">
        <f>I3907</f>
        <v>548846.18952959997</v>
      </c>
    </row>
    <row r="3907" spans="2:9" ht="24.95" customHeight="1" x14ac:dyDescent="0.25">
      <c r="B3907" s="962" t="s">
        <v>3139</v>
      </c>
      <c r="C3907" s="959">
        <v>244</v>
      </c>
      <c r="D3907" s="962" t="s">
        <v>5595</v>
      </c>
      <c r="I3907" s="957">
        <f>I3908</f>
        <v>548846.18952959997</v>
      </c>
    </row>
    <row r="3908" spans="2:9" ht="24.95" customHeight="1" x14ac:dyDescent="0.25">
      <c r="B3908" s="962" t="s">
        <v>3137</v>
      </c>
      <c r="C3908" s="959">
        <v>12</v>
      </c>
      <c r="D3908" s="962" t="s">
        <v>5545</v>
      </c>
      <c r="I3908" s="957">
        <f>I3909</f>
        <v>548846.18952959997</v>
      </c>
    </row>
    <row r="3909" spans="2:9" s="946" customFormat="1" ht="24.95" customHeight="1" x14ac:dyDescent="0.25">
      <c r="B3909" s="963" t="s">
        <v>2965</v>
      </c>
      <c r="C3909" s="959">
        <v>13</v>
      </c>
      <c r="D3909" s="963" t="s">
        <v>5570</v>
      </c>
      <c r="E3909" s="954"/>
      <c r="F3909" s="955"/>
      <c r="H3909" s="956"/>
      <c r="I3909" s="957">
        <f>SUM(I3910:I3932)</f>
        <v>548846.18952959997</v>
      </c>
    </row>
    <row r="3910" spans="2:9" ht="24.95" customHeight="1" x14ac:dyDescent="0.25">
      <c r="B3910" s="973">
        <v>217000</v>
      </c>
      <c r="C3910" s="974">
        <v>331900400000000</v>
      </c>
      <c r="D3910" s="973" t="s">
        <v>6742</v>
      </c>
      <c r="F3910" s="975">
        <v>1161</v>
      </c>
      <c r="G3910" s="945">
        <v>0</v>
      </c>
      <c r="H3910" s="950">
        <v>0</v>
      </c>
      <c r="I3910" s="951">
        <f>PUCFD!E3354</f>
        <v>29040</v>
      </c>
    </row>
    <row r="3911" spans="2:9" ht="24.95" customHeight="1" x14ac:dyDescent="0.25">
      <c r="B3911" s="973">
        <v>217100</v>
      </c>
      <c r="C3911" s="974">
        <v>331900800000000</v>
      </c>
      <c r="D3911" s="973" t="s">
        <v>6771</v>
      </c>
      <c r="F3911" s="975">
        <v>1</v>
      </c>
      <c r="G3911" s="945">
        <v>0</v>
      </c>
      <c r="H3911" s="950">
        <v>0</v>
      </c>
      <c r="I3911" s="951">
        <f>PUCFD!E3359</f>
        <v>0.01</v>
      </c>
    </row>
    <row r="3912" spans="2:9" ht="24.95" customHeight="1" x14ac:dyDescent="0.25">
      <c r="B3912" s="973">
        <v>217200</v>
      </c>
      <c r="C3912" s="974">
        <v>331901100000000</v>
      </c>
      <c r="D3912" s="973" t="s">
        <v>6772</v>
      </c>
      <c r="F3912" s="975">
        <v>1161</v>
      </c>
      <c r="G3912" s="945">
        <v>0</v>
      </c>
      <c r="H3912" s="950">
        <v>0</v>
      </c>
      <c r="I3912" s="951">
        <f>PUCFD!E3360</f>
        <v>0.01</v>
      </c>
    </row>
    <row r="3913" spans="2:9" ht="24.95" customHeight="1" x14ac:dyDescent="0.25">
      <c r="B3913" s="973">
        <v>217300</v>
      </c>
      <c r="C3913" s="974">
        <v>331901300000000</v>
      </c>
      <c r="D3913" s="973" t="s">
        <v>6775</v>
      </c>
      <c r="F3913" s="975">
        <v>1161</v>
      </c>
      <c r="G3913" s="945">
        <v>0</v>
      </c>
      <c r="H3913" s="950">
        <v>0</v>
      </c>
      <c r="I3913" s="951">
        <f>PUCFD!E3361</f>
        <v>0.01</v>
      </c>
    </row>
    <row r="3914" spans="2:9" ht="24.95" customHeight="1" x14ac:dyDescent="0.25">
      <c r="B3914" s="973">
        <v>217400</v>
      </c>
      <c r="C3914" s="974">
        <v>331901600000000</v>
      </c>
      <c r="D3914" s="973" t="s">
        <v>6773</v>
      </c>
      <c r="F3914" s="975">
        <v>1161</v>
      </c>
      <c r="G3914" s="945">
        <v>0</v>
      </c>
      <c r="H3914" s="950">
        <v>0</v>
      </c>
      <c r="I3914" s="951">
        <f>PUCFD!E3362</f>
        <v>0.01</v>
      </c>
    </row>
    <row r="3915" spans="2:9" ht="24.95" customHeight="1" x14ac:dyDescent="0.25">
      <c r="B3915" s="973">
        <v>217500</v>
      </c>
      <c r="C3915" s="974">
        <v>331903400000000</v>
      </c>
      <c r="D3915" s="973" t="s">
        <v>6680</v>
      </c>
      <c r="F3915" s="975">
        <v>1161</v>
      </c>
      <c r="G3915" s="945">
        <v>0</v>
      </c>
      <c r="H3915" s="950">
        <v>0</v>
      </c>
      <c r="I3915" s="951">
        <f>PUCFD!E3363</f>
        <v>0.01</v>
      </c>
    </row>
    <row r="3916" spans="2:9" ht="24.95" customHeight="1" x14ac:dyDescent="0.25">
      <c r="B3916" s="973">
        <v>217600</v>
      </c>
      <c r="C3916" s="974">
        <v>331909400000000</v>
      </c>
      <c r="D3916" s="973" t="s">
        <v>6774</v>
      </c>
      <c r="F3916" s="975">
        <v>1161</v>
      </c>
      <c r="G3916" s="945">
        <v>0</v>
      </c>
      <c r="H3916" s="950">
        <v>0</v>
      </c>
      <c r="I3916" s="951">
        <f>PUCFD!E3364</f>
        <v>0.01</v>
      </c>
    </row>
    <row r="3917" spans="2:9" ht="24.95" customHeight="1" x14ac:dyDescent="0.25">
      <c r="B3917" s="973">
        <v>217700</v>
      </c>
      <c r="C3917" s="974">
        <v>333901400000000</v>
      </c>
      <c r="D3917" s="973" t="s">
        <v>6681</v>
      </c>
      <c r="F3917" s="975">
        <v>1161</v>
      </c>
      <c r="G3917" s="945">
        <v>0</v>
      </c>
      <c r="H3917" s="950">
        <v>0</v>
      </c>
      <c r="I3917" s="951">
        <f>PUCFD!E3365</f>
        <v>0.01</v>
      </c>
    </row>
    <row r="3918" spans="2:9" ht="24.95" customHeight="1" x14ac:dyDescent="0.25">
      <c r="B3918" s="973">
        <v>217800</v>
      </c>
      <c r="C3918" s="974">
        <v>333903000000000</v>
      </c>
      <c r="D3918" s="973" t="s">
        <v>6682</v>
      </c>
      <c r="F3918" s="975">
        <v>1161</v>
      </c>
      <c r="G3918" s="945">
        <v>0</v>
      </c>
      <c r="H3918" s="950">
        <v>0</v>
      </c>
      <c r="I3918" s="951">
        <f>PUCFD!E3366</f>
        <v>5000</v>
      </c>
    </row>
    <row r="3919" spans="2:9" ht="24.95" customHeight="1" x14ac:dyDescent="0.25">
      <c r="B3919" s="973">
        <v>217900</v>
      </c>
      <c r="C3919" s="974">
        <v>333903300000000</v>
      </c>
      <c r="D3919" s="973" t="s">
        <v>6683</v>
      </c>
      <c r="F3919" s="975">
        <v>1161</v>
      </c>
      <c r="G3919" s="945">
        <v>0</v>
      </c>
      <c r="H3919" s="950">
        <v>0</v>
      </c>
      <c r="I3919" s="951">
        <f>PUCFD!E3367</f>
        <v>0.01</v>
      </c>
    </row>
    <row r="3920" spans="2:9" ht="24.95" customHeight="1" x14ac:dyDescent="0.25">
      <c r="B3920" s="973">
        <v>218000</v>
      </c>
      <c r="C3920" s="974">
        <v>333903600000000</v>
      </c>
      <c r="D3920" s="973" t="s">
        <v>6684</v>
      </c>
      <c r="F3920" s="975">
        <v>1161</v>
      </c>
      <c r="G3920" s="945">
        <v>0</v>
      </c>
      <c r="H3920" s="950">
        <v>0</v>
      </c>
      <c r="I3920" s="951">
        <f>PUCFD!E3368</f>
        <v>0.01</v>
      </c>
    </row>
    <row r="3921" spans="2:12" ht="24.95" customHeight="1" x14ac:dyDescent="0.25">
      <c r="B3921" s="973">
        <v>218100</v>
      </c>
      <c r="C3921" s="974">
        <v>333903900000000</v>
      </c>
      <c r="D3921" s="973" t="s">
        <v>6685</v>
      </c>
      <c r="F3921" s="975">
        <v>1161</v>
      </c>
      <c r="G3921" s="945">
        <v>0</v>
      </c>
      <c r="H3921" s="950">
        <v>0</v>
      </c>
      <c r="I3921" s="951">
        <f>PUCFD!E3369</f>
        <v>19382.329999999998</v>
      </c>
    </row>
    <row r="3922" spans="2:12" ht="24.95" customHeight="1" x14ac:dyDescent="0.25">
      <c r="B3922" s="973">
        <v>218200</v>
      </c>
      <c r="C3922" s="974">
        <v>333904600000000</v>
      </c>
      <c r="D3922" s="973" t="s">
        <v>6686</v>
      </c>
      <c r="F3922" s="975">
        <v>1161</v>
      </c>
      <c r="G3922" s="945">
        <v>0</v>
      </c>
      <c r="H3922" s="950">
        <v>0</v>
      </c>
      <c r="I3922" s="951">
        <f>PUCFD!E3370</f>
        <v>9691.7095295999989</v>
      </c>
    </row>
    <row r="3923" spans="2:12" ht="24.95" customHeight="1" x14ac:dyDescent="0.25">
      <c r="B3923" s="973">
        <v>218300</v>
      </c>
      <c r="C3923" s="974">
        <v>333904700000000</v>
      </c>
      <c r="D3923" s="973" t="s">
        <v>6776</v>
      </c>
      <c r="F3923" s="975">
        <v>1161</v>
      </c>
      <c r="G3923" s="945">
        <v>0</v>
      </c>
      <c r="H3923" s="950">
        <v>0</v>
      </c>
      <c r="I3923" s="951">
        <f>PUCFD!E3371</f>
        <v>600</v>
      </c>
    </row>
    <row r="3924" spans="2:12" ht="24.95" customHeight="1" x14ac:dyDescent="0.25">
      <c r="B3924" s="973">
        <v>218400</v>
      </c>
      <c r="C3924" s="974">
        <v>333904900000000</v>
      </c>
      <c r="D3924" s="973" t="s">
        <v>6687</v>
      </c>
      <c r="F3924" s="975">
        <v>1161</v>
      </c>
      <c r="G3924" s="945">
        <v>0</v>
      </c>
      <c r="H3924" s="950">
        <v>0</v>
      </c>
      <c r="I3924" s="951">
        <f>PUCFD!E3372</f>
        <v>0.01</v>
      </c>
    </row>
    <row r="3925" spans="2:12" ht="24.95" customHeight="1" x14ac:dyDescent="0.25">
      <c r="B3925" s="973">
        <v>218500</v>
      </c>
      <c r="C3925" s="974">
        <v>333909200000000</v>
      </c>
      <c r="D3925" s="973" t="s">
        <v>6688</v>
      </c>
      <c r="F3925" s="975">
        <v>1161</v>
      </c>
      <c r="G3925" s="945">
        <v>0</v>
      </c>
      <c r="H3925" s="950">
        <v>0</v>
      </c>
      <c r="I3925" s="951">
        <f>PUCFD!E3373</f>
        <v>0.01</v>
      </c>
    </row>
    <row r="3926" spans="2:12" ht="24.95" customHeight="1" x14ac:dyDescent="0.25">
      <c r="B3926" s="973">
        <v>218600</v>
      </c>
      <c r="C3926" s="974">
        <v>333909300000000</v>
      </c>
      <c r="D3926" s="973" t="s">
        <v>6689</v>
      </c>
      <c r="F3926" s="975">
        <v>1161</v>
      </c>
      <c r="G3926" s="945">
        <v>0</v>
      </c>
      <c r="H3926" s="950">
        <v>0</v>
      </c>
      <c r="I3926" s="951">
        <f>PUCFD!E3374</f>
        <v>500</v>
      </c>
    </row>
    <row r="3927" spans="2:12" ht="24.95" customHeight="1" x14ac:dyDescent="0.25">
      <c r="B3927" s="973">
        <v>218700</v>
      </c>
      <c r="C3927" s="974">
        <v>344905100000000</v>
      </c>
      <c r="D3927" s="973" t="s">
        <v>6690</v>
      </c>
      <c r="F3927" s="975">
        <v>1161</v>
      </c>
      <c r="G3927" s="945">
        <v>0</v>
      </c>
      <c r="H3927" s="950">
        <v>0</v>
      </c>
      <c r="I3927" s="951">
        <f>PUCFD!E3375</f>
        <v>0.01</v>
      </c>
    </row>
    <row r="3928" spans="2:12" ht="24.95" customHeight="1" x14ac:dyDescent="0.25">
      <c r="B3928" s="973">
        <v>218800</v>
      </c>
      <c r="C3928" s="974">
        <v>344905100000000</v>
      </c>
      <c r="D3928" s="973" t="s">
        <v>5591</v>
      </c>
      <c r="F3928" s="975">
        <v>1</v>
      </c>
      <c r="G3928" s="945">
        <v>0</v>
      </c>
      <c r="H3928" s="950">
        <v>0</v>
      </c>
      <c r="I3928" s="951">
        <f>PUCFD!E3376</f>
        <v>0.01</v>
      </c>
    </row>
    <row r="3929" spans="2:12" ht="24.95" customHeight="1" x14ac:dyDescent="0.25">
      <c r="B3929" s="973">
        <v>218900</v>
      </c>
      <c r="C3929" s="974">
        <v>344905100000000</v>
      </c>
      <c r="D3929" s="973" t="s">
        <v>5592</v>
      </c>
      <c r="F3929" s="975">
        <v>1167</v>
      </c>
      <c r="G3929" s="945">
        <v>0</v>
      </c>
      <c r="H3929" s="950">
        <v>0</v>
      </c>
      <c r="I3929" s="951">
        <f>PUCFD!E3377</f>
        <v>484631.99</v>
      </c>
    </row>
    <row r="3930" spans="2:12" ht="24.95" customHeight="1" x14ac:dyDescent="0.25">
      <c r="B3930" s="973">
        <v>219000</v>
      </c>
      <c r="C3930" s="974">
        <v>344905200000000</v>
      </c>
      <c r="D3930" s="973" t="s">
        <v>6691</v>
      </c>
      <c r="F3930" s="975">
        <v>1161</v>
      </c>
      <c r="G3930" s="945">
        <v>0</v>
      </c>
      <c r="H3930" s="950">
        <v>0</v>
      </c>
      <c r="I3930" s="951">
        <f>PUCFD!E3378</f>
        <v>0.01</v>
      </c>
    </row>
    <row r="3931" spans="2:12" ht="24.95" customHeight="1" x14ac:dyDescent="0.25">
      <c r="B3931" s="973">
        <v>219100</v>
      </c>
      <c r="C3931" s="974">
        <v>344905200000000</v>
      </c>
      <c r="D3931" s="973" t="s">
        <v>5593</v>
      </c>
      <c r="F3931" s="975">
        <v>1</v>
      </c>
      <c r="G3931" s="945">
        <v>0</v>
      </c>
      <c r="H3931" s="950">
        <v>0</v>
      </c>
      <c r="I3931" s="951">
        <f>PUCFD!E3379</f>
        <v>0.01</v>
      </c>
    </row>
    <row r="3932" spans="2:12" ht="24.95" customHeight="1" x14ac:dyDescent="0.25">
      <c r="B3932" s="973">
        <v>219200</v>
      </c>
      <c r="C3932" s="974">
        <v>344905200000000</v>
      </c>
      <c r="D3932" s="973" t="s">
        <v>5594</v>
      </c>
      <c r="F3932" s="975">
        <v>1167</v>
      </c>
      <c r="G3932" s="945">
        <v>0</v>
      </c>
      <c r="H3932" s="950">
        <v>0</v>
      </c>
      <c r="I3932" s="951">
        <f>PUCFD!E3380</f>
        <v>0.01</v>
      </c>
    </row>
    <row r="3933" spans="2:12" ht="35.25" customHeight="1" x14ac:dyDescent="0.2">
      <c r="B3933" s="1606" t="s">
        <v>6692</v>
      </c>
      <c r="C3933" s="1606"/>
      <c r="D3933" s="1606"/>
      <c r="E3933" s="1606"/>
      <c r="F3933" s="1606"/>
      <c r="G3933" s="1606"/>
      <c r="H3933" s="1606"/>
      <c r="I3933" s="1606"/>
      <c r="J3933" s="1057"/>
      <c r="K3933" s="1057"/>
      <c r="L3933" s="1057"/>
    </row>
    <row r="3934" spans="2:12" ht="16.5" customHeight="1" x14ac:dyDescent="0.25">
      <c r="B3934" s="1058"/>
      <c r="C3934" s="1058"/>
      <c r="D3934" s="1058"/>
      <c r="E3934" s="1058"/>
      <c r="F3934" s="1059"/>
      <c r="G3934" s="1058"/>
      <c r="H3934" s="1058"/>
      <c r="I3934" s="1058"/>
    </row>
    <row r="3935" spans="2:12" ht="24.95" customHeight="1" x14ac:dyDescent="0.25">
      <c r="B3935" s="962" t="s">
        <v>3138</v>
      </c>
      <c r="C3935" s="959">
        <v>8</v>
      </c>
      <c r="D3935" s="962" t="s">
        <v>6646</v>
      </c>
      <c r="I3935" s="957">
        <f>I3936</f>
        <v>9.9999999999999992E-2</v>
      </c>
    </row>
    <row r="3936" spans="2:12" ht="24.95" customHeight="1" x14ac:dyDescent="0.25">
      <c r="B3936" s="962" t="s">
        <v>3139</v>
      </c>
      <c r="C3936" s="959">
        <v>241</v>
      </c>
      <c r="D3936" s="962" t="s">
        <v>5571</v>
      </c>
      <c r="I3936" s="957">
        <f>I3937</f>
        <v>9.9999999999999992E-2</v>
      </c>
    </row>
    <row r="3937" spans="2:9" ht="24.95" customHeight="1" x14ac:dyDescent="0.25">
      <c r="B3937" s="962" t="s">
        <v>3137</v>
      </c>
      <c r="C3937" s="959">
        <v>12</v>
      </c>
      <c r="D3937" s="962" t="s">
        <v>5545</v>
      </c>
      <c r="I3937" s="957">
        <f>I3938</f>
        <v>9.9999999999999992E-2</v>
      </c>
    </row>
    <row r="3938" spans="2:9" s="946" customFormat="1" ht="24.95" customHeight="1" x14ac:dyDescent="0.25">
      <c r="B3938" s="963" t="s">
        <v>2965</v>
      </c>
      <c r="C3938" s="959">
        <v>14</v>
      </c>
      <c r="D3938" s="963" t="s">
        <v>6702</v>
      </c>
      <c r="E3938" s="954"/>
      <c r="F3938" s="955"/>
      <c r="H3938" s="956"/>
      <c r="I3938" s="957">
        <f>SUM(I3939:I3948)</f>
        <v>9.9999999999999992E-2</v>
      </c>
    </row>
    <row r="3939" spans="2:9" ht="24.95" customHeight="1" x14ac:dyDescent="0.25">
      <c r="B3939" s="973">
        <v>221000</v>
      </c>
      <c r="C3939" s="974">
        <v>333900800000000</v>
      </c>
      <c r="D3939" s="973" t="s">
        <v>6777</v>
      </c>
      <c r="E3939" s="973"/>
      <c r="F3939" s="949">
        <v>1162</v>
      </c>
      <c r="G3939" s="945">
        <v>0</v>
      </c>
      <c r="H3939" s="950">
        <v>0</v>
      </c>
      <c r="I3939" s="951">
        <f>PUCFD!E3382</f>
        <v>0.01</v>
      </c>
    </row>
    <row r="3940" spans="2:9" ht="24.95" customHeight="1" x14ac:dyDescent="0.25">
      <c r="B3940" s="973">
        <v>221100</v>
      </c>
      <c r="C3940" s="974">
        <v>333901400000000</v>
      </c>
      <c r="D3940" s="973" t="s">
        <v>6778</v>
      </c>
      <c r="E3940" s="973"/>
      <c r="F3940" s="949">
        <v>1162</v>
      </c>
      <c r="G3940" s="945">
        <v>0</v>
      </c>
      <c r="H3940" s="950">
        <v>0</v>
      </c>
      <c r="I3940" s="951">
        <f>PUCFD!E3383</f>
        <v>0.01</v>
      </c>
    </row>
    <row r="3941" spans="2:9" ht="24.95" customHeight="1" x14ac:dyDescent="0.25">
      <c r="B3941" s="973">
        <v>221200</v>
      </c>
      <c r="C3941" s="974">
        <v>333903000000000</v>
      </c>
      <c r="D3941" s="973" t="s">
        <v>6779</v>
      </c>
      <c r="E3941" s="973"/>
      <c r="F3941" s="949">
        <v>1162</v>
      </c>
      <c r="G3941" s="945">
        <v>0</v>
      </c>
      <c r="H3941" s="950">
        <v>0</v>
      </c>
      <c r="I3941" s="951">
        <f>PUCFD!E3384</f>
        <v>0.01</v>
      </c>
    </row>
    <row r="3942" spans="2:9" ht="24.95" customHeight="1" x14ac:dyDescent="0.25">
      <c r="B3942" s="973">
        <v>221300</v>
      </c>
      <c r="C3942" s="974">
        <v>333903200000000</v>
      </c>
      <c r="D3942" s="973" t="s">
        <v>6786</v>
      </c>
      <c r="E3942" s="973"/>
      <c r="F3942" s="949">
        <v>1162</v>
      </c>
      <c r="G3942" s="945">
        <v>0</v>
      </c>
      <c r="H3942" s="950">
        <v>0</v>
      </c>
      <c r="I3942" s="951">
        <f>PUCFD!E3385</f>
        <v>0.01</v>
      </c>
    </row>
    <row r="3943" spans="2:9" ht="24.95" customHeight="1" x14ac:dyDescent="0.25">
      <c r="B3943" s="973">
        <v>221400</v>
      </c>
      <c r="C3943" s="974">
        <v>333903600000000</v>
      </c>
      <c r="D3943" s="973" t="s">
        <v>6780</v>
      </c>
      <c r="E3943" s="973"/>
      <c r="F3943" s="949">
        <v>1162</v>
      </c>
      <c r="G3943" s="945">
        <v>0</v>
      </c>
      <c r="H3943" s="950">
        <v>0</v>
      </c>
      <c r="I3943" s="951">
        <f>PUCFD!E3386</f>
        <v>0.01</v>
      </c>
    </row>
    <row r="3944" spans="2:9" ht="24.95" customHeight="1" x14ac:dyDescent="0.25">
      <c r="B3944" s="973">
        <v>221500</v>
      </c>
      <c r="C3944" s="974">
        <v>333903900000000</v>
      </c>
      <c r="D3944" s="973" t="s">
        <v>6781</v>
      </c>
      <c r="E3944" s="973"/>
      <c r="F3944" s="949">
        <v>1162</v>
      </c>
      <c r="G3944" s="945">
        <v>0</v>
      </c>
      <c r="H3944" s="950">
        <v>0</v>
      </c>
      <c r="I3944" s="951">
        <f>PUCFD!E3387</f>
        <v>0.01</v>
      </c>
    </row>
    <row r="3945" spans="2:9" ht="24.95" customHeight="1" x14ac:dyDescent="0.25">
      <c r="B3945" s="973">
        <v>221600</v>
      </c>
      <c r="C3945" s="974">
        <v>333904700000000</v>
      </c>
      <c r="D3945" s="973" t="s">
        <v>6782</v>
      </c>
      <c r="E3945" s="973"/>
      <c r="F3945" s="949">
        <v>1162</v>
      </c>
      <c r="G3945" s="945">
        <v>0</v>
      </c>
      <c r="H3945" s="950">
        <v>0</v>
      </c>
      <c r="I3945" s="951">
        <f>PUCFD!E3388</f>
        <v>0.01</v>
      </c>
    </row>
    <row r="3946" spans="2:9" ht="24.95" customHeight="1" x14ac:dyDescent="0.25">
      <c r="B3946" s="973">
        <v>221700</v>
      </c>
      <c r="C3946" s="974">
        <v>333909200000000</v>
      </c>
      <c r="D3946" s="973" t="s">
        <v>6783</v>
      </c>
      <c r="E3946" s="973"/>
      <c r="F3946" s="949">
        <v>1162</v>
      </c>
      <c r="G3946" s="945">
        <v>0</v>
      </c>
      <c r="H3946" s="950">
        <v>0</v>
      </c>
      <c r="I3946" s="951">
        <f>PUCFD!E3389</f>
        <v>0.01</v>
      </c>
    </row>
    <row r="3947" spans="2:9" ht="24.95" customHeight="1" x14ac:dyDescent="0.25">
      <c r="B3947" s="973">
        <v>221800</v>
      </c>
      <c r="C3947" s="974">
        <v>344905100000000</v>
      </c>
      <c r="D3947" s="973" t="s">
        <v>6784</v>
      </c>
      <c r="E3947" s="973"/>
      <c r="F3947" s="949">
        <v>1162</v>
      </c>
      <c r="G3947" s="945">
        <v>0</v>
      </c>
      <c r="H3947" s="950">
        <v>0</v>
      </c>
      <c r="I3947" s="951">
        <f>PUCFD!E3390</f>
        <v>0.01</v>
      </c>
    </row>
    <row r="3948" spans="2:9" ht="24.95" customHeight="1" x14ac:dyDescent="0.25">
      <c r="B3948" s="973">
        <v>221900</v>
      </c>
      <c r="C3948" s="974">
        <v>344905200000000</v>
      </c>
      <c r="D3948" s="973" t="s">
        <v>6785</v>
      </c>
      <c r="E3948" s="973"/>
      <c r="F3948" s="949">
        <v>1162</v>
      </c>
      <c r="G3948" s="945">
        <v>0</v>
      </c>
      <c r="H3948" s="950">
        <v>0</v>
      </c>
      <c r="I3948" s="951">
        <f>PUCFD!E3391</f>
        <v>0.01</v>
      </c>
    </row>
    <row r="3949" spans="2:9" ht="24.95" customHeight="1" x14ac:dyDescent="0.25">
      <c r="B3949" s="962" t="s">
        <v>3138</v>
      </c>
      <c r="C3949" s="959">
        <v>8</v>
      </c>
      <c r="D3949" s="962" t="s">
        <v>6646</v>
      </c>
      <c r="I3949" s="957">
        <f>I3950</f>
        <v>0.09</v>
      </c>
    </row>
    <row r="3950" spans="2:9" ht="24.95" customHeight="1" x14ac:dyDescent="0.25">
      <c r="B3950" s="962" t="s">
        <v>3139</v>
      </c>
      <c r="C3950" s="959">
        <v>242</v>
      </c>
      <c r="D3950" s="962" t="s">
        <v>5572</v>
      </c>
      <c r="I3950" s="957">
        <f>I3951</f>
        <v>0.09</v>
      </c>
    </row>
    <row r="3951" spans="2:9" ht="24.95" customHeight="1" x14ac:dyDescent="0.25">
      <c r="B3951" s="962" t="s">
        <v>3137</v>
      </c>
      <c r="C3951" s="959">
        <v>12</v>
      </c>
      <c r="D3951" s="962" t="s">
        <v>5545</v>
      </c>
      <c r="I3951" s="957">
        <f>I3952</f>
        <v>0.09</v>
      </c>
    </row>
    <row r="3952" spans="2:9" ht="24.95" customHeight="1" x14ac:dyDescent="0.25">
      <c r="B3952" s="963" t="s">
        <v>2965</v>
      </c>
      <c r="C3952" s="959">
        <v>14</v>
      </c>
      <c r="D3952" s="963" t="s">
        <v>6702</v>
      </c>
      <c r="E3952" s="954"/>
      <c r="F3952" s="955"/>
      <c r="G3952" s="946"/>
      <c r="H3952" s="956"/>
      <c r="I3952" s="957">
        <f>SUM(I3953:I3961)</f>
        <v>0.09</v>
      </c>
    </row>
    <row r="3953" spans="2:9" ht="24.95" customHeight="1" x14ac:dyDescent="0.25">
      <c r="B3953" s="945">
        <v>223000</v>
      </c>
      <c r="C3953" s="974">
        <v>333900800000000</v>
      </c>
      <c r="D3953" s="973" t="s">
        <v>6787</v>
      </c>
      <c r="E3953" s="973"/>
      <c r="F3953" s="949">
        <v>1162</v>
      </c>
      <c r="G3953" s="945">
        <v>0</v>
      </c>
      <c r="H3953" s="950">
        <v>0</v>
      </c>
      <c r="I3953" s="951">
        <f>PUCFD!E3393</f>
        <v>0.01</v>
      </c>
    </row>
    <row r="3954" spans="2:9" ht="24.95" customHeight="1" x14ac:dyDescent="0.25">
      <c r="B3954" s="973">
        <v>223100</v>
      </c>
      <c r="C3954" s="974">
        <v>333903000000000</v>
      </c>
      <c r="D3954" s="973" t="s">
        <v>6788</v>
      </c>
      <c r="E3954" s="973"/>
      <c r="F3954" s="949">
        <v>1162</v>
      </c>
      <c r="G3954" s="945">
        <v>0</v>
      </c>
      <c r="H3954" s="950">
        <v>0</v>
      </c>
      <c r="I3954" s="951">
        <f>PUCFD!E3394</f>
        <v>0.01</v>
      </c>
    </row>
    <row r="3955" spans="2:9" ht="24.95" customHeight="1" x14ac:dyDescent="0.25">
      <c r="B3955" s="973">
        <v>223200</v>
      </c>
      <c r="C3955" s="974">
        <v>333903200000000</v>
      </c>
      <c r="D3955" s="973" t="s">
        <v>6795</v>
      </c>
      <c r="E3955" s="973"/>
      <c r="F3955" s="949">
        <v>1162</v>
      </c>
      <c r="G3955" s="945">
        <v>0</v>
      </c>
      <c r="H3955" s="950">
        <v>0</v>
      </c>
      <c r="I3955" s="951">
        <f>PUCFD!E3395</f>
        <v>0.01</v>
      </c>
    </row>
    <row r="3956" spans="2:9" ht="24.95" customHeight="1" x14ac:dyDescent="0.25">
      <c r="B3956" s="973">
        <v>223300</v>
      </c>
      <c r="C3956" s="974">
        <v>333903600000000</v>
      </c>
      <c r="D3956" s="973" t="s">
        <v>6789</v>
      </c>
      <c r="E3956" s="973"/>
      <c r="F3956" s="949">
        <v>1162</v>
      </c>
      <c r="G3956" s="945">
        <v>0</v>
      </c>
      <c r="H3956" s="950">
        <v>0</v>
      </c>
      <c r="I3956" s="951">
        <f>PUCFD!E3396</f>
        <v>0.01</v>
      </c>
    </row>
    <row r="3957" spans="2:9" ht="24.95" customHeight="1" x14ac:dyDescent="0.25">
      <c r="B3957" s="973">
        <v>223400</v>
      </c>
      <c r="C3957" s="974">
        <v>333903900000000</v>
      </c>
      <c r="D3957" s="973" t="s">
        <v>6790</v>
      </c>
      <c r="E3957" s="973"/>
      <c r="F3957" s="949">
        <v>1162</v>
      </c>
      <c r="G3957" s="945">
        <v>0</v>
      </c>
      <c r="H3957" s="950">
        <v>0</v>
      </c>
      <c r="I3957" s="951">
        <f>PUCFD!E3397</f>
        <v>0.01</v>
      </c>
    </row>
    <row r="3958" spans="2:9" ht="24.95" customHeight="1" x14ac:dyDescent="0.25">
      <c r="B3958" s="973">
        <v>223500</v>
      </c>
      <c r="C3958" s="974">
        <v>333904700000000</v>
      </c>
      <c r="D3958" s="973" t="s">
        <v>6791</v>
      </c>
      <c r="E3958" s="973"/>
      <c r="F3958" s="949">
        <v>1162</v>
      </c>
      <c r="G3958" s="945">
        <v>0</v>
      </c>
      <c r="H3958" s="950">
        <v>0</v>
      </c>
      <c r="I3958" s="951">
        <f>PUCFD!E3398</f>
        <v>0.01</v>
      </c>
    </row>
    <row r="3959" spans="2:9" ht="24.95" customHeight="1" x14ac:dyDescent="0.25">
      <c r="B3959" s="973">
        <v>223600</v>
      </c>
      <c r="C3959" s="974">
        <v>333909200000000</v>
      </c>
      <c r="D3959" s="973" t="s">
        <v>6792</v>
      </c>
      <c r="E3959" s="973"/>
      <c r="F3959" s="949">
        <v>1162</v>
      </c>
      <c r="G3959" s="945">
        <v>0</v>
      </c>
      <c r="H3959" s="950">
        <v>0</v>
      </c>
      <c r="I3959" s="951">
        <f>PUCFD!E3399</f>
        <v>0.01</v>
      </c>
    </row>
    <row r="3960" spans="2:9" ht="24.95" customHeight="1" x14ac:dyDescent="0.25">
      <c r="B3960" s="973">
        <v>223700</v>
      </c>
      <c r="C3960" s="974">
        <v>344905100000000</v>
      </c>
      <c r="D3960" s="973" t="s">
        <v>6793</v>
      </c>
      <c r="E3960" s="973"/>
      <c r="F3960" s="949">
        <v>1162</v>
      </c>
      <c r="G3960" s="945">
        <v>0</v>
      </c>
      <c r="H3960" s="950">
        <v>0</v>
      </c>
      <c r="I3960" s="951">
        <f>PUCFD!E3400</f>
        <v>0.01</v>
      </c>
    </row>
    <row r="3961" spans="2:9" ht="24.95" customHeight="1" x14ac:dyDescent="0.25">
      <c r="B3961" s="973">
        <v>223800</v>
      </c>
      <c r="C3961" s="974">
        <v>344905200000000</v>
      </c>
      <c r="D3961" s="973" t="s">
        <v>6794</v>
      </c>
      <c r="E3961" s="973"/>
      <c r="F3961" s="949">
        <v>1162</v>
      </c>
      <c r="G3961" s="945">
        <v>0</v>
      </c>
      <c r="H3961" s="950">
        <v>0</v>
      </c>
      <c r="I3961" s="951">
        <f>PUCFD!E3401</f>
        <v>0.01</v>
      </c>
    </row>
    <row r="3962" spans="2:9" ht="24.95" customHeight="1" x14ac:dyDescent="0.25">
      <c r="B3962" s="962" t="s">
        <v>3138</v>
      </c>
      <c r="C3962" s="959">
        <v>8</v>
      </c>
      <c r="D3962" s="962" t="s">
        <v>6646</v>
      </c>
      <c r="I3962" s="957">
        <f>I3963</f>
        <v>0.09</v>
      </c>
    </row>
    <row r="3963" spans="2:9" ht="24.95" customHeight="1" x14ac:dyDescent="0.25">
      <c r="B3963" s="962" t="s">
        <v>3139</v>
      </c>
      <c r="C3963" s="959">
        <v>243</v>
      </c>
      <c r="D3963" s="962" t="s">
        <v>5573</v>
      </c>
      <c r="I3963" s="957">
        <f>I3964</f>
        <v>0.09</v>
      </c>
    </row>
    <row r="3964" spans="2:9" ht="24.95" customHeight="1" x14ac:dyDescent="0.25">
      <c r="B3964" s="962" t="s">
        <v>3137</v>
      </c>
      <c r="C3964" s="959">
        <v>12</v>
      </c>
      <c r="D3964" s="962" t="s">
        <v>5545</v>
      </c>
      <c r="I3964" s="957">
        <f>I3965</f>
        <v>0.09</v>
      </c>
    </row>
    <row r="3965" spans="2:9" ht="24.95" customHeight="1" x14ac:dyDescent="0.25">
      <c r="B3965" s="963" t="s">
        <v>2965</v>
      </c>
      <c r="C3965" s="959">
        <v>14</v>
      </c>
      <c r="D3965" s="963" t="s">
        <v>6702</v>
      </c>
      <c r="E3965" s="954"/>
      <c r="F3965" s="955"/>
      <c r="G3965" s="946"/>
      <c r="H3965" s="956"/>
      <c r="I3965" s="957">
        <f>SUM(I3966:I3974)</f>
        <v>0.09</v>
      </c>
    </row>
    <row r="3966" spans="2:9" ht="24.95" customHeight="1" x14ac:dyDescent="0.25">
      <c r="B3966" s="973">
        <v>225000</v>
      </c>
      <c r="C3966" s="974">
        <v>333900800000000</v>
      </c>
      <c r="D3966" s="973" t="s">
        <v>6796</v>
      </c>
      <c r="E3966" s="973"/>
      <c r="F3966" s="949">
        <v>1162</v>
      </c>
      <c r="G3966" s="945">
        <v>0</v>
      </c>
      <c r="H3966" s="950">
        <v>0</v>
      </c>
      <c r="I3966" s="951">
        <f>PUCFD!E3403</f>
        <v>0.01</v>
      </c>
    </row>
    <row r="3967" spans="2:9" ht="24.95" customHeight="1" x14ac:dyDescent="0.25">
      <c r="B3967" s="973">
        <v>225100</v>
      </c>
      <c r="C3967" s="974">
        <v>333903000000000</v>
      </c>
      <c r="D3967" s="973" t="s">
        <v>6797</v>
      </c>
      <c r="E3967" s="973"/>
      <c r="F3967" s="949">
        <v>1162</v>
      </c>
      <c r="G3967" s="945">
        <v>0</v>
      </c>
      <c r="H3967" s="950">
        <v>0</v>
      </c>
      <c r="I3967" s="951">
        <f>PUCFD!E3404</f>
        <v>0.01</v>
      </c>
    </row>
    <row r="3968" spans="2:9" ht="24.95" customHeight="1" x14ac:dyDescent="0.25">
      <c r="B3968" s="973">
        <v>225200</v>
      </c>
      <c r="C3968" s="974">
        <v>333903200000000</v>
      </c>
      <c r="D3968" s="973" t="s">
        <v>6803</v>
      </c>
      <c r="E3968" s="973"/>
      <c r="F3968" s="949">
        <v>1162</v>
      </c>
      <c r="G3968" s="945">
        <v>0</v>
      </c>
      <c r="H3968" s="950">
        <v>0</v>
      </c>
      <c r="I3968" s="951">
        <f>PUCFD!E3405</f>
        <v>0.01</v>
      </c>
    </row>
    <row r="3969" spans="2:9" ht="24.95" customHeight="1" x14ac:dyDescent="0.25">
      <c r="B3969" s="973">
        <v>225300</v>
      </c>
      <c r="C3969" s="974">
        <v>333903600000000</v>
      </c>
      <c r="D3969" s="973" t="s">
        <v>6798</v>
      </c>
      <c r="E3969" s="973"/>
      <c r="F3969" s="949">
        <v>1162</v>
      </c>
      <c r="G3969" s="945">
        <v>0</v>
      </c>
      <c r="H3969" s="950">
        <v>0</v>
      </c>
      <c r="I3969" s="951">
        <f>PUCFD!E3406</f>
        <v>0.01</v>
      </c>
    </row>
    <row r="3970" spans="2:9" ht="24.95" customHeight="1" x14ac:dyDescent="0.25">
      <c r="B3970" s="973">
        <v>225400</v>
      </c>
      <c r="C3970" s="974">
        <v>333903900000000</v>
      </c>
      <c r="D3970" s="973" t="s">
        <v>6799</v>
      </c>
      <c r="E3970" s="973"/>
      <c r="F3970" s="949">
        <v>1162</v>
      </c>
      <c r="G3970" s="945">
        <v>0</v>
      </c>
      <c r="H3970" s="950">
        <v>0</v>
      </c>
      <c r="I3970" s="951">
        <f>PUCFD!E3407</f>
        <v>0.01</v>
      </c>
    </row>
    <row r="3971" spans="2:9" ht="24.95" customHeight="1" x14ac:dyDescent="0.25">
      <c r="B3971" s="973">
        <v>225500</v>
      </c>
      <c r="C3971" s="974">
        <v>333904700000000</v>
      </c>
      <c r="D3971" s="973" t="s">
        <v>6800</v>
      </c>
      <c r="E3971" s="973"/>
      <c r="F3971" s="949">
        <v>1162</v>
      </c>
      <c r="G3971" s="945">
        <v>0</v>
      </c>
      <c r="H3971" s="950">
        <v>0</v>
      </c>
      <c r="I3971" s="951">
        <f>PUCFD!E3408</f>
        <v>0.01</v>
      </c>
    </row>
    <row r="3972" spans="2:9" ht="24.95" customHeight="1" x14ac:dyDescent="0.25">
      <c r="B3972" s="973">
        <v>225600</v>
      </c>
      <c r="C3972" s="974">
        <v>333909200000000</v>
      </c>
      <c r="D3972" s="973" t="s">
        <v>6801</v>
      </c>
      <c r="E3972" s="973"/>
      <c r="F3972" s="949">
        <v>1162</v>
      </c>
      <c r="G3972" s="945">
        <v>0</v>
      </c>
      <c r="H3972" s="950">
        <v>0</v>
      </c>
      <c r="I3972" s="951">
        <f>PUCFD!E3409</f>
        <v>0.01</v>
      </c>
    </row>
    <row r="3973" spans="2:9" ht="24.95" customHeight="1" x14ac:dyDescent="0.25">
      <c r="B3973" s="973">
        <v>225700</v>
      </c>
      <c r="C3973" s="974">
        <v>344905100000000</v>
      </c>
      <c r="D3973" s="973" t="s">
        <v>6802</v>
      </c>
      <c r="E3973" s="973"/>
      <c r="F3973" s="949">
        <v>1162</v>
      </c>
      <c r="G3973" s="945">
        <v>0</v>
      </c>
      <c r="H3973" s="950">
        <v>0</v>
      </c>
      <c r="I3973" s="951">
        <f>PUCFD!E3410</f>
        <v>0.01</v>
      </c>
    </row>
    <row r="3974" spans="2:9" ht="24.95" customHeight="1" x14ac:dyDescent="0.25">
      <c r="B3974" s="973">
        <v>225800</v>
      </c>
      <c r="C3974" s="974">
        <v>344905200000000</v>
      </c>
      <c r="D3974" s="973" t="s">
        <v>6804</v>
      </c>
      <c r="E3974" s="973"/>
      <c r="F3974" s="949">
        <v>1162</v>
      </c>
      <c r="G3974" s="945">
        <v>0</v>
      </c>
      <c r="H3974" s="950">
        <v>0</v>
      </c>
      <c r="I3974" s="951">
        <f>PUCFD!E3411</f>
        <v>0.01</v>
      </c>
    </row>
    <row r="3975" spans="2:9" ht="24.95" customHeight="1" x14ac:dyDescent="0.25">
      <c r="B3975" s="962" t="s">
        <v>3138</v>
      </c>
      <c r="C3975" s="959">
        <v>8</v>
      </c>
      <c r="D3975" s="962" t="s">
        <v>6646</v>
      </c>
      <c r="I3975" s="957">
        <f>I3976</f>
        <v>1125.0803217482267</v>
      </c>
    </row>
    <row r="3976" spans="2:9" ht="24.95" customHeight="1" x14ac:dyDescent="0.25">
      <c r="B3976" s="962" t="s">
        <v>3139</v>
      </c>
      <c r="C3976" s="959">
        <v>244</v>
      </c>
      <c r="D3976" s="962" t="s">
        <v>5595</v>
      </c>
      <c r="I3976" s="957">
        <f>I3977</f>
        <v>1125.0803217482267</v>
      </c>
    </row>
    <row r="3977" spans="2:9" ht="24.95" customHeight="1" x14ac:dyDescent="0.25">
      <c r="B3977" s="962" t="s">
        <v>3137</v>
      </c>
      <c r="C3977" s="959">
        <v>12</v>
      </c>
      <c r="D3977" s="962" t="s">
        <v>5545</v>
      </c>
      <c r="I3977" s="957">
        <f>I3978</f>
        <v>1125.0803217482267</v>
      </c>
    </row>
    <row r="3978" spans="2:9" s="946" customFormat="1" ht="24.95" customHeight="1" x14ac:dyDescent="0.25">
      <c r="B3978" s="963" t="s">
        <v>2965</v>
      </c>
      <c r="C3978" s="959">
        <v>14</v>
      </c>
      <c r="D3978" s="963" t="s">
        <v>6702</v>
      </c>
      <c r="E3978" s="954"/>
      <c r="F3978" s="955"/>
      <c r="H3978" s="956"/>
      <c r="I3978" s="957">
        <f>SUM(I3979:I3999)</f>
        <v>1125.0803217482267</v>
      </c>
    </row>
    <row r="3979" spans="2:9" ht="24.95" customHeight="1" x14ac:dyDescent="0.25">
      <c r="B3979" s="973">
        <v>227000</v>
      </c>
      <c r="C3979" s="974">
        <v>331900400000000</v>
      </c>
      <c r="D3979" s="973" t="s">
        <v>6703</v>
      </c>
      <c r="F3979" s="975">
        <v>1162</v>
      </c>
      <c r="G3979" s="945">
        <v>0</v>
      </c>
      <c r="H3979" s="950">
        <v>0</v>
      </c>
      <c r="I3979" s="951">
        <f>PUCFD!E3413</f>
        <v>0.01</v>
      </c>
    </row>
    <row r="3980" spans="2:9" ht="24.95" customHeight="1" x14ac:dyDescent="0.25">
      <c r="B3980" s="973">
        <v>227100</v>
      </c>
      <c r="C3980" s="974">
        <v>331900800000000</v>
      </c>
      <c r="D3980" s="973" t="s">
        <v>6805</v>
      </c>
      <c r="F3980" s="975">
        <v>1</v>
      </c>
      <c r="G3980" s="945">
        <v>0</v>
      </c>
      <c r="H3980" s="950">
        <v>0</v>
      </c>
      <c r="I3980" s="951">
        <f>PUCFD!E3414</f>
        <v>0.01</v>
      </c>
    </row>
    <row r="3981" spans="2:9" ht="24.95" customHeight="1" x14ac:dyDescent="0.25">
      <c r="B3981" s="973">
        <v>227200</v>
      </c>
      <c r="C3981" s="974">
        <v>331901100000000</v>
      </c>
      <c r="D3981" s="973" t="s">
        <v>6704</v>
      </c>
      <c r="F3981" s="975">
        <v>1162</v>
      </c>
      <c r="G3981" s="945">
        <v>0</v>
      </c>
      <c r="H3981" s="950">
        <v>0</v>
      </c>
      <c r="I3981" s="951">
        <f>PUCFD!E3415</f>
        <v>0.01</v>
      </c>
    </row>
    <row r="3982" spans="2:9" ht="24.95" customHeight="1" x14ac:dyDescent="0.25">
      <c r="B3982" s="973">
        <v>227300</v>
      </c>
      <c r="C3982" s="974">
        <v>331901300000000</v>
      </c>
      <c r="D3982" s="973" t="s">
        <v>6806</v>
      </c>
      <c r="F3982" s="975">
        <v>1162</v>
      </c>
      <c r="G3982" s="945">
        <v>0</v>
      </c>
      <c r="H3982" s="950">
        <v>0</v>
      </c>
      <c r="I3982" s="951">
        <f>PUCFD!E3416</f>
        <v>0.01</v>
      </c>
    </row>
    <row r="3983" spans="2:9" ht="24.95" customHeight="1" x14ac:dyDescent="0.25">
      <c r="B3983" s="973">
        <v>227400</v>
      </c>
      <c r="C3983" s="974">
        <v>331901600000000</v>
      </c>
      <c r="D3983" s="973" t="s">
        <v>6705</v>
      </c>
      <c r="F3983" s="975">
        <v>1162</v>
      </c>
      <c r="G3983" s="945">
        <v>0</v>
      </c>
      <c r="H3983" s="950">
        <v>0</v>
      </c>
      <c r="I3983" s="951">
        <f>PUCFD!E3417</f>
        <v>0.01</v>
      </c>
    </row>
    <row r="3984" spans="2:9" ht="24.95" customHeight="1" x14ac:dyDescent="0.25">
      <c r="B3984" s="973">
        <v>227500</v>
      </c>
      <c r="C3984" s="974">
        <v>331903400000000</v>
      </c>
      <c r="D3984" s="973" t="s">
        <v>6707</v>
      </c>
      <c r="F3984" s="975">
        <v>1162</v>
      </c>
      <c r="G3984" s="945">
        <v>0</v>
      </c>
      <c r="H3984" s="950">
        <v>0</v>
      </c>
      <c r="I3984" s="951">
        <f>PUCFD!E3418</f>
        <v>0.01</v>
      </c>
    </row>
    <row r="3985" spans="2:12" ht="24.95" customHeight="1" x14ac:dyDescent="0.25">
      <c r="B3985" s="973">
        <v>227600</v>
      </c>
      <c r="C3985" s="974">
        <v>331909400000000</v>
      </c>
      <c r="D3985" s="973" t="s">
        <v>6706</v>
      </c>
      <c r="F3985" s="975">
        <v>1162</v>
      </c>
      <c r="G3985" s="945">
        <v>0</v>
      </c>
      <c r="H3985" s="950">
        <v>0</v>
      </c>
      <c r="I3985" s="951">
        <f>PUCFD!E3419</f>
        <v>0.01</v>
      </c>
    </row>
    <row r="3986" spans="2:12" ht="24.95" customHeight="1" x14ac:dyDescent="0.25">
      <c r="B3986" s="973">
        <v>227700</v>
      </c>
      <c r="C3986" s="974">
        <v>333504300000000</v>
      </c>
      <c r="D3986" s="973" t="s">
        <v>6709</v>
      </c>
      <c r="F3986" s="975">
        <v>1162</v>
      </c>
      <c r="G3986" s="945">
        <v>0</v>
      </c>
      <c r="H3986" s="950">
        <v>0</v>
      </c>
      <c r="I3986" s="951">
        <f>PUCFD!E3420</f>
        <v>0.01</v>
      </c>
    </row>
    <row r="3987" spans="2:12" ht="24.95" customHeight="1" x14ac:dyDescent="0.25">
      <c r="B3987" s="973">
        <v>227800</v>
      </c>
      <c r="C3987" s="974">
        <v>333901400000000</v>
      </c>
      <c r="D3987" s="973" t="s">
        <v>6693</v>
      </c>
      <c r="F3987" s="975">
        <v>1162</v>
      </c>
      <c r="G3987" s="945">
        <v>0</v>
      </c>
      <c r="H3987" s="950">
        <v>0</v>
      </c>
      <c r="I3987" s="951">
        <f>PUCFD!E3421</f>
        <v>0.01</v>
      </c>
    </row>
    <row r="3988" spans="2:12" ht="24.95" customHeight="1" x14ac:dyDescent="0.25">
      <c r="B3988" s="973">
        <v>227900</v>
      </c>
      <c r="C3988" s="974">
        <v>333903000000000</v>
      </c>
      <c r="D3988" s="973" t="s">
        <v>6694</v>
      </c>
      <c r="F3988" s="975">
        <v>1162</v>
      </c>
      <c r="G3988" s="945">
        <v>0</v>
      </c>
      <c r="H3988" s="950">
        <v>0</v>
      </c>
      <c r="I3988" s="951">
        <f>PUCFD!E3422</f>
        <v>0.01</v>
      </c>
    </row>
    <row r="3989" spans="2:12" ht="24.95" customHeight="1" x14ac:dyDescent="0.25">
      <c r="B3989" s="973">
        <v>228000</v>
      </c>
      <c r="C3989" s="974">
        <v>333903200000000</v>
      </c>
      <c r="D3989" s="973" t="s">
        <v>6807</v>
      </c>
      <c r="E3989" s="973"/>
      <c r="F3989" s="949">
        <v>1162</v>
      </c>
      <c r="G3989" s="945">
        <v>0</v>
      </c>
      <c r="H3989" s="950">
        <v>0</v>
      </c>
      <c r="I3989" s="951">
        <f>ER!E671-I3939-I3940-I3941-I3942-I3943-I3944-I3945-I3946-I3947-I3948-I3953-I3954-I3955-I3956-I3957-I3958-I3959-I3960-I3961-I3966-I3967-I3968-I3969-I3970-I3971-I3972-I3973-I3974-I3979-I3981-I3982-I3983-I3984-I3985-I3986-I3987-I3988-I3990-I3991-I3992-I3993-I3994-I3995-I3996-I3997-I3998-I3999+67.89-67.89</f>
        <v>1124.8803217482268</v>
      </c>
    </row>
    <row r="3990" spans="2:12" ht="24.95" customHeight="1" x14ac:dyDescent="0.25">
      <c r="B3990" s="973">
        <v>228100</v>
      </c>
      <c r="C3990" s="974">
        <v>333903300000000</v>
      </c>
      <c r="D3990" s="973" t="s">
        <v>6695</v>
      </c>
      <c r="F3990" s="975">
        <v>1162</v>
      </c>
      <c r="G3990" s="945">
        <v>0</v>
      </c>
      <c r="H3990" s="950">
        <v>0</v>
      </c>
      <c r="I3990" s="951">
        <f>PUCFD!E3424</f>
        <v>0.01</v>
      </c>
    </row>
    <row r="3991" spans="2:12" ht="24.95" customHeight="1" x14ac:dyDescent="0.25">
      <c r="B3991" s="973">
        <v>228200</v>
      </c>
      <c r="C3991" s="974">
        <v>333903600000000</v>
      </c>
      <c r="D3991" s="973" t="s">
        <v>6696</v>
      </c>
      <c r="F3991" s="975">
        <v>1162</v>
      </c>
      <c r="G3991" s="945">
        <v>0</v>
      </c>
      <c r="H3991" s="950">
        <v>0</v>
      </c>
      <c r="I3991" s="951">
        <f>PUCFD!E3425</f>
        <v>0.01</v>
      </c>
    </row>
    <row r="3992" spans="2:12" ht="24.95" customHeight="1" x14ac:dyDescent="0.25">
      <c r="B3992" s="973">
        <v>228300</v>
      </c>
      <c r="C3992" s="974">
        <v>333903900000000</v>
      </c>
      <c r="D3992" s="973" t="s">
        <v>6697</v>
      </c>
      <c r="F3992" s="975">
        <v>1162</v>
      </c>
      <c r="G3992" s="945">
        <v>0</v>
      </c>
      <c r="H3992" s="950">
        <v>0</v>
      </c>
      <c r="I3992" s="951">
        <f>PUCFD!E3426</f>
        <v>0.01</v>
      </c>
    </row>
    <row r="3993" spans="2:12" ht="24.95" customHeight="1" x14ac:dyDescent="0.25">
      <c r="B3993" s="973">
        <v>228400</v>
      </c>
      <c r="C3993" s="974">
        <v>333904600000000</v>
      </c>
      <c r="D3993" s="973" t="s">
        <v>6808</v>
      </c>
      <c r="F3993" s="975">
        <v>1162</v>
      </c>
      <c r="G3993" s="945">
        <v>0</v>
      </c>
      <c r="H3993" s="950">
        <v>0</v>
      </c>
      <c r="I3993" s="951">
        <f>PUCFD!E3427</f>
        <v>0.01</v>
      </c>
    </row>
    <row r="3994" spans="2:12" ht="24.95" customHeight="1" x14ac:dyDescent="0.25">
      <c r="B3994" s="973">
        <v>228500</v>
      </c>
      <c r="C3994" s="974">
        <v>333904700000000</v>
      </c>
      <c r="D3994" s="973" t="s">
        <v>6809</v>
      </c>
      <c r="F3994" s="975">
        <v>1162</v>
      </c>
      <c r="G3994" s="945">
        <v>0</v>
      </c>
      <c r="H3994" s="950">
        <v>0</v>
      </c>
      <c r="I3994" s="951">
        <f>PUCFD!E3428</f>
        <v>0.01</v>
      </c>
    </row>
    <row r="3995" spans="2:12" ht="24.95" customHeight="1" x14ac:dyDescent="0.25">
      <c r="B3995" s="973">
        <v>228600</v>
      </c>
      <c r="C3995" s="974">
        <v>333904900000000</v>
      </c>
      <c r="D3995" s="973" t="s">
        <v>6698</v>
      </c>
      <c r="F3995" s="975">
        <v>1162</v>
      </c>
      <c r="G3995" s="945">
        <v>0</v>
      </c>
      <c r="H3995" s="950">
        <v>0</v>
      </c>
      <c r="I3995" s="951">
        <f>PUCFD!E3429</f>
        <v>0.01</v>
      </c>
    </row>
    <row r="3996" spans="2:12" ht="24.95" customHeight="1" x14ac:dyDescent="0.25">
      <c r="B3996" s="973">
        <v>228700</v>
      </c>
      <c r="C3996" s="974">
        <v>333909200000000</v>
      </c>
      <c r="D3996" s="973" t="s">
        <v>6699</v>
      </c>
      <c r="F3996" s="975">
        <v>1162</v>
      </c>
      <c r="G3996" s="945">
        <v>0</v>
      </c>
      <c r="H3996" s="950">
        <v>0</v>
      </c>
      <c r="I3996" s="951">
        <f>PUCFD!E3430</f>
        <v>0.01</v>
      </c>
    </row>
    <row r="3997" spans="2:12" ht="24.95" customHeight="1" x14ac:dyDescent="0.25">
      <c r="B3997" s="973">
        <v>228800</v>
      </c>
      <c r="C3997" s="974">
        <v>333909300000000</v>
      </c>
      <c r="D3997" s="973" t="s">
        <v>6700</v>
      </c>
      <c r="F3997" s="975">
        <v>1162</v>
      </c>
      <c r="G3997" s="945">
        <v>0</v>
      </c>
      <c r="H3997" s="950">
        <v>0</v>
      </c>
      <c r="I3997" s="951">
        <f>PUCFD!E3431</f>
        <v>0.01</v>
      </c>
    </row>
    <row r="3998" spans="2:12" ht="24.95" customHeight="1" x14ac:dyDescent="0.25">
      <c r="B3998" s="973">
        <v>228900</v>
      </c>
      <c r="C3998" s="974">
        <v>344905100000000</v>
      </c>
      <c r="D3998" s="973" t="s">
        <v>6701</v>
      </c>
      <c r="F3998" s="975">
        <v>1162</v>
      </c>
      <c r="G3998" s="945">
        <v>0</v>
      </c>
      <c r="H3998" s="950">
        <v>0</v>
      </c>
      <c r="I3998" s="951">
        <f>PUCFD!E3432</f>
        <v>0.01</v>
      </c>
    </row>
    <row r="3999" spans="2:12" ht="24.95" customHeight="1" x14ac:dyDescent="0.25">
      <c r="B3999" s="973">
        <v>229000</v>
      </c>
      <c r="C3999" s="974">
        <v>344905200000000</v>
      </c>
      <c r="D3999" s="973" t="s">
        <v>6708</v>
      </c>
      <c r="F3999" s="975">
        <v>1162</v>
      </c>
      <c r="G3999" s="945">
        <v>0</v>
      </c>
      <c r="H3999" s="950">
        <v>0</v>
      </c>
      <c r="I3999" s="951">
        <f>PUCFD!E3433</f>
        <v>0.01</v>
      </c>
    </row>
    <row r="4000" spans="2:12" ht="59.25" customHeight="1" x14ac:dyDescent="0.2">
      <c r="B4000" s="1607" t="s">
        <v>6710</v>
      </c>
      <c r="C4000" s="1607"/>
      <c r="D4000" s="1607"/>
      <c r="E4000" s="1607"/>
      <c r="F4000" s="1607"/>
      <c r="G4000" s="1607"/>
      <c r="H4000" s="1607"/>
      <c r="I4000" s="1607"/>
      <c r="J4000" s="1057"/>
      <c r="K4000" s="1057"/>
      <c r="L4000" s="1057"/>
    </row>
    <row r="4001" spans="2:12" ht="24.95" customHeight="1" x14ac:dyDescent="0.25">
      <c r="B4001" s="962" t="s">
        <v>3138</v>
      </c>
      <c r="C4001" s="959">
        <v>8</v>
      </c>
      <c r="D4001" s="962" t="s">
        <v>6646</v>
      </c>
      <c r="I4001" s="957">
        <f>I4002</f>
        <v>21967.589548911572</v>
      </c>
    </row>
    <row r="4002" spans="2:12" ht="24.95" customHeight="1" x14ac:dyDescent="0.25">
      <c r="B4002" s="962" t="s">
        <v>3139</v>
      </c>
      <c r="C4002" s="959">
        <v>244</v>
      </c>
      <c r="D4002" s="962" t="s">
        <v>5595</v>
      </c>
      <c r="I4002" s="957">
        <f>I4003</f>
        <v>21967.589548911572</v>
      </c>
    </row>
    <row r="4003" spans="2:12" ht="24.95" customHeight="1" x14ac:dyDescent="0.25">
      <c r="B4003" s="962" t="s">
        <v>3137</v>
      </c>
      <c r="C4003" s="959">
        <v>12</v>
      </c>
      <c r="D4003" s="962" t="s">
        <v>5545</v>
      </c>
      <c r="I4003" s="957">
        <f>I4004</f>
        <v>21967.589548911572</v>
      </c>
    </row>
    <row r="4004" spans="2:12" s="946" customFormat="1" ht="24.95" customHeight="1" x14ac:dyDescent="0.25">
      <c r="B4004" s="963" t="s">
        <v>2965</v>
      </c>
      <c r="C4004" s="959">
        <v>15</v>
      </c>
      <c r="D4004" s="963" t="s">
        <v>6712</v>
      </c>
      <c r="E4004" s="954"/>
      <c r="F4004" s="955"/>
      <c r="H4004" s="956"/>
      <c r="I4004" s="957">
        <f>SUM(I4005:I4011)</f>
        <v>21967.589548911572</v>
      </c>
    </row>
    <row r="4005" spans="2:12" ht="24.95" customHeight="1" x14ac:dyDescent="0.25">
      <c r="B4005" s="973">
        <v>231000</v>
      </c>
      <c r="C4005" s="974">
        <v>333901400000000</v>
      </c>
      <c r="D4005" s="973" t="s">
        <v>6714</v>
      </c>
      <c r="F4005" s="975">
        <v>1163</v>
      </c>
      <c r="G4005" s="945">
        <v>0</v>
      </c>
      <c r="H4005" s="950">
        <v>0</v>
      </c>
      <c r="I4005" s="951">
        <f>PUCFD!E3435</f>
        <v>1500</v>
      </c>
    </row>
    <row r="4006" spans="2:12" ht="24.95" customHeight="1" x14ac:dyDescent="0.25">
      <c r="B4006" s="973">
        <v>231100</v>
      </c>
      <c r="C4006" s="974">
        <v>333903000000000</v>
      </c>
      <c r="D4006" s="973" t="s">
        <v>6715</v>
      </c>
      <c r="F4006" s="975">
        <v>1163</v>
      </c>
      <c r="G4006" s="945">
        <v>0</v>
      </c>
      <c r="H4006" s="950">
        <v>0</v>
      </c>
      <c r="I4006" s="951">
        <f>PUCFD!E3436+1292.58</f>
        <v>11292.58</v>
      </c>
    </row>
    <row r="4007" spans="2:12" ht="24.95" customHeight="1" x14ac:dyDescent="0.25">
      <c r="B4007" s="973">
        <v>231200</v>
      </c>
      <c r="C4007" s="974">
        <v>333903300000000</v>
      </c>
      <c r="D4007" s="973" t="s">
        <v>6716</v>
      </c>
      <c r="F4007" s="975">
        <v>1163</v>
      </c>
      <c r="G4007" s="945">
        <v>0</v>
      </c>
      <c r="H4007" s="950">
        <v>0</v>
      </c>
      <c r="I4007" s="951">
        <f>PUCFD!E3437</f>
        <v>0.01</v>
      </c>
    </row>
    <row r="4008" spans="2:12" ht="24.95" customHeight="1" x14ac:dyDescent="0.25">
      <c r="B4008" s="973">
        <v>231300</v>
      </c>
      <c r="C4008" s="974">
        <v>333903600000000</v>
      </c>
      <c r="D4008" s="973" t="s">
        <v>6717</v>
      </c>
      <c r="F4008" s="975">
        <v>1163</v>
      </c>
      <c r="G4008" s="945">
        <v>0</v>
      </c>
      <c r="H4008" s="950">
        <v>0</v>
      </c>
      <c r="I4008" s="951">
        <f>PUCFD!E3438</f>
        <v>0.01</v>
      </c>
    </row>
    <row r="4009" spans="2:12" ht="24.95" customHeight="1" x14ac:dyDescent="0.25">
      <c r="B4009" s="973">
        <v>231400</v>
      </c>
      <c r="C4009" s="974">
        <v>333903900000000</v>
      </c>
      <c r="D4009" s="973" t="s">
        <v>6718</v>
      </c>
      <c r="F4009" s="975">
        <v>1163</v>
      </c>
      <c r="G4009" s="945">
        <v>0</v>
      </c>
      <c r="H4009" s="950">
        <v>0</v>
      </c>
      <c r="I4009" s="951">
        <f>PUCFD!E3439</f>
        <v>9174.9695489115729</v>
      </c>
    </row>
    <row r="4010" spans="2:12" ht="24.95" customHeight="1" x14ac:dyDescent="0.25">
      <c r="B4010" s="973">
        <v>231500</v>
      </c>
      <c r="C4010" s="974">
        <v>333904700000000</v>
      </c>
      <c r="D4010" s="973" t="s">
        <v>6810</v>
      </c>
      <c r="F4010" s="975">
        <v>1163</v>
      </c>
      <c r="G4010" s="945">
        <v>0</v>
      </c>
      <c r="H4010" s="950">
        <v>0</v>
      </c>
      <c r="I4010" s="951">
        <f>PUCFD!E3440</f>
        <v>0.01</v>
      </c>
    </row>
    <row r="4011" spans="2:12" ht="24.95" customHeight="1" x14ac:dyDescent="0.25">
      <c r="B4011" s="973">
        <v>231600</v>
      </c>
      <c r="C4011" s="974">
        <v>344905200000000</v>
      </c>
      <c r="D4011" s="973" t="s">
        <v>6719</v>
      </c>
      <c r="F4011" s="975">
        <v>1163</v>
      </c>
      <c r="G4011" s="945">
        <v>0</v>
      </c>
      <c r="H4011" s="950">
        <v>0</v>
      </c>
      <c r="I4011" s="951">
        <f>PUCFD!E3441</f>
        <v>0.01</v>
      </c>
    </row>
    <row r="4012" spans="2:12" ht="54.75" customHeight="1" x14ac:dyDescent="0.2">
      <c r="B4012" s="1607" t="s">
        <v>6711</v>
      </c>
      <c r="C4012" s="1607"/>
      <c r="D4012" s="1607"/>
      <c r="E4012" s="1607"/>
      <c r="F4012" s="1607"/>
      <c r="G4012" s="1607"/>
      <c r="H4012" s="1607"/>
      <c r="I4012" s="1607"/>
      <c r="J4012" s="1057"/>
      <c r="K4012" s="1057"/>
      <c r="L4012" s="1057"/>
    </row>
    <row r="4013" spans="2:12" ht="24.95" customHeight="1" x14ac:dyDescent="0.25">
      <c r="B4013" s="962" t="s">
        <v>3138</v>
      </c>
      <c r="C4013" s="959">
        <v>8</v>
      </c>
      <c r="D4013" s="962" t="s">
        <v>6646</v>
      </c>
      <c r="I4013" s="957">
        <f>I4014</f>
        <v>4924.0428625473423</v>
      </c>
    </row>
    <row r="4014" spans="2:12" ht="24.95" customHeight="1" x14ac:dyDescent="0.25">
      <c r="B4014" s="962" t="s">
        <v>3139</v>
      </c>
      <c r="C4014" s="959">
        <v>244</v>
      </c>
      <c r="D4014" s="962" t="s">
        <v>5595</v>
      </c>
      <c r="I4014" s="957">
        <f>I4015</f>
        <v>4924.0428625473423</v>
      </c>
    </row>
    <row r="4015" spans="2:12" ht="24.95" customHeight="1" x14ac:dyDescent="0.25">
      <c r="B4015" s="962" t="s">
        <v>3137</v>
      </c>
      <c r="C4015" s="959">
        <v>12</v>
      </c>
      <c r="D4015" s="962" t="s">
        <v>5545</v>
      </c>
      <c r="I4015" s="957">
        <f>I4016</f>
        <v>4924.0428625473423</v>
      </c>
    </row>
    <row r="4016" spans="2:12" s="946" customFormat="1" ht="24.95" customHeight="1" x14ac:dyDescent="0.25">
      <c r="B4016" s="963" t="s">
        <v>2965</v>
      </c>
      <c r="C4016" s="959">
        <v>16</v>
      </c>
      <c r="D4016" s="963" t="s">
        <v>6713</v>
      </c>
      <c r="E4016" s="954"/>
      <c r="F4016" s="955"/>
      <c r="H4016" s="956"/>
      <c r="I4016" s="957">
        <f>SUM(I4017:I4023)</f>
        <v>4924.0428625473423</v>
      </c>
    </row>
    <row r="4017" spans="2:12" ht="24.95" customHeight="1" x14ac:dyDescent="0.25">
      <c r="B4017" s="973">
        <v>233000</v>
      </c>
      <c r="C4017" s="974">
        <v>333901400000000</v>
      </c>
      <c r="D4017" s="973" t="s">
        <v>6721</v>
      </c>
      <c r="F4017" s="975">
        <v>1164</v>
      </c>
      <c r="G4017" s="945">
        <v>0</v>
      </c>
      <c r="H4017" s="950">
        <v>0</v>
      </c>
      <c r="I4017" s="951">
        <f>PUCFD!E3443</f>
        <v>1000</v>
      </c>
    </row>
    <row r="4018" spans="2:12" ht="24.95" customHeight="1" x14ac:dyDescent="0.25">
      <c r="B4018" s="973">
        <v>233100</v>
      </c>
      <c r="C4018" s="974">
        <v>333903000000000</v>
      </c>
      <c r="D4018" s="973" t="s">
        <v>6722</v>
      </c>
      <c r="F4018" s="975">
        <v>1164</v>
      </c>
      <c r="G4018" s="945">
        <v>0</v>
      </c>
      <c r="H4018" s="950">
        <v>0</v>
      </c>
      <c r="I4018" s="951">
        <f>PUCFD!E3444+303.02-303.01</f>
        <v>3424.0028625473415</v>
      </c>
    </row>
    <row r="4019" spans="2:12" ht="24.95" customHeight="1" x14ac:dyDescent="0.25">
      <c r="B4019" s="973">
        <v>233200</v>
      </c>
      <c r="C4019" s="974">
        <v>333903300000000</v>
      </c>
      <c r="D4019" s="973" t="s">
        <v>6723</v>
      </c>
      <c r="F4019" s="975">
        <v>1164</v>
      </c>
      <c r="G4019" s="945">
        <v>0</v>
      </c>
      <c r="H4019" s="950">
        <v>0</v>
      </c>
      <c r="I4019" s="951">
        <f>PUCFD!E3445</f>
        <v>0.01</v>
      </c>
    </row>
    <row r="4020" spans="2:12" ht="24.95" customHeight="1" x14ac:dyDescent="0.25">
      <c r="B4020" s="973">
        <v>233300</v>
      </c>
      <c r="C4020" s="974">
        <v>333903600000000</v>
      </c>
      <c r="D4020" s="973" t="s">
        <v>6724</v>
      </c>
      <c r="F4020" s="975">
        <v>1164</v>
      </c>
      <c r="G4020" s="945">
        <v>0</v>
      </c>
      <c r="H4020" s="950">
        <v>0</v>
      </c>
      <c r="I4020" s="951">
        <f>PUCFD!E3446</f>
        <v>0.01</v>
      </c>
    </row>
    <row r="4021" spans="2:12" ht="24.95" customHeight="1" x14ac:dyDescent="0.25">
      <c r="B4021" s="973">
        <v>233400</v>
      </c>
      <c r="C4021" s="974">
        <v>333903900000000</v>
      </c>
      <c r="D4021" s="973" t="s">
        <v>6725</v>
      </c>
      <c r="F4021" s="975">
        <v>1164</v>
      </c>
      <c r="G4021" s="945">
        <v>0</v>
      </c>
      <c r="H4021" s="950">
        <v>0</v>
      </c>
      <c r="I4021" s="951">
        <f>PUCFD!E3447</f>
        <v>500</v>
      </c>
    </row>
    <row r="4022" spans="2:12" ht="24.95" customHeight="1" x14ac:dyDescent="0.25">
      <c r="B4022" s="973">
        <v>233500</v>
      </c>
      <c r="C4022" s="974">
        <v>333904700000000</v>
      </c>
      <c r="D4022" s="973" t="s">
        <v>6811</v>
      </c>
      <c r="F4022" s="975">
        <v>1164</v>
      </c>
      <c r="G4022" s="945">
        <v>0</v>
      </c>
      <c r="H4022" s="950">
        <v>0</v>
      </c>
      <c r="I4022" s="951">
        <f>PUCFD!E3448</f>
        <v>0.01</v>
      </c>
    </row>
    <row r="4023" spans="2:12" ht="24.95" customHeight="1" x14ac:dyDescent="0.25">
      <c r="B4023" s="973">
        <v>233600</v>
      </c>
      <c r="C4023" s="974">
        <v>344905200000000</v>
      </c>
      <c r="D4023" s="973" t="s">
        <v>6726</v>
      </c>
      <c r="F4023" s="975">
        <v>1164</v>
      </c>
      <c r="G4023" s="945">
        <v>0</v>
      </c>
      <c r="H4023" s="950">
        <v>0</v>
      </c>
      <c r="I4023" s="951">
        <f>PUCFD!E3449</f>
        <v>0.01</v>
      </c>
    </row>
    <row r="4024" spans="2:12" ht="106.5" customHeight="1" x14ac:dyDescent="0.2">
      <c r="B4024" s="1607" t="s">
        <v>6720</v>
      </c>
      <c r="C4024" s="1607"/>
      <c r="D4024" s="1607"/>
      <c r="E4024" s="1607"/>
      <c r="F4024" s="1607"/>
      <c r="G4024" s="1607"/>
      <c r="H4024" s="1607"/>
      <c r="I4024" s="1607"/>
      <c r="J4024" s="1057"/>
      <c r="K4024" s="1057"/>
      <c r="L4024" s="1057"/>
    </row>
    <row r="4026" spans="2:12" ht="24.95" customHeight="1" x14ac:dyDescent="0.25">
      <c r="B4026" s="962" t="s">
        <v>3138</v>
      </c>
      <c r="C4026" s="959">
        <v>8</v>
      </c>
      <c r="D4026" s="962" t="s">
        <v>6646</v>
      </c>
      <c r="I4026" s="957">
        <f>I4027</f>
        <v>582.32469944065849</v>
      </c>
    </row>
    <row r="4027" spans="2:12" ht="24.95" customHeight="1" x14ac:dyDescent="0.25">
      <c r="B4027" s="962" t="s">
        <v>3139</v>
      </c>
      <c r="C4027" s="959">
        <v>244</v>
      </c>
      <c r="D4027" s="962" t="s">
        <v>5595</v>
      </c>
      <c r="I4027" s="957">
        <f>I4028</f>
        <v>582.32469944065849</v>
      </c>
    </row>
    <row r="4028" spans="2:12" ht="24.95" customHeight="1" x14ac:dyDescent="0.25">
      <c r="B4028" s="962" t="s">
        <v>3137</v>
      </c>
      <c r="C4028" s="959">
        <v>12</v>
      </c>
      <c r="D4028" s="962" t="s">
        <v>5545</v>
      </c>
      <c r="I4028" s="957">
        <f>I4029</f>
        <v>582.32469944065849</v>
      </c>
    </row>
    <row r="4029" spans="2:12" s="946" customFormat="1" ht="24.95" customHeight="1" x14ac:dyDescent="0.25">
      <c r="B4029" s="963" t="s">
        <v>2965</v>
      </c>
      <c r="C4029" s="959">
        <v>16</v>
      </c>
      <c r="D4029" s="963" t="s">
        <v>6713</v>
      </c>
      <c r="E4029" s="954"/>
      <c r="F4029" s="955"/>
      <c r="H4029" s="956"/>
      <c r="I4029" s="957">
        <f>SUM(I4030:I4032)</f>
        <v>582.32469944065849</v>
      </c>
    </row>
    <row r="4030" spans="2:12" ht="24.95" customHeight="1" x14ac:dyDescent="0.25">
      <c r="B4030" s="973">
        <v>235000</v>
      </c>
      <c r="C4030" s="974">
        <v>333903000000000</v>
      </c>
      <c r="D4030" s="973" t="s">
        <v>6728</v>
      </c>
      <c r="F4030" s="975">
        <v>1149</v>
      </c>
      <c r="G4030" s="945">
        <v>0</v>
      </c>
      <c r="H4030" s="950">
        <v>0</v>
      </c>
      <c r="I4030" s="951">
        <f>PUCFD!E3451</f>
        <v>0.01</v>
      </c>
    </row>
    <row r="4031" spans="2:12" ht="24.95" customHeight="1" x14ac:dyDescent="0.25">
      <c r="B4031" s="973">
        <v>235100</v>
      </c>
      <c r="C4031" s="974">
        <v>333903900000000</v>
      </c>
      <c r="D4031" s="973" t="s">
        <v>6727</v>
      </c>
      <c r="F4031" s="975">
        <v>1149</v>
      </c>
      <c r="G4031" s="945">
        <v>0</v>
      </c>
      <c r="H4031" s="950">
        <v>0</v>
      </c>
      <c r="I4031" s="951">
        <f>PUCFD!E3452+13.73-13.73</f>
        <v>582.30469944065851</v>
      </c>
    </row>
    <row r="4032" spans="2:12" ht="24.95" customHeight="1" x14ac:dyDescent="0.25">
      <c r="B4032" s="973">
        <v>235200</v>
      </c>
      <c r="C4032" s="974">
        <v>344905200000000</v>
      </c>
      <c r="D4032" s="973" t="s">
        <v>6729</v>
      </c>
      <c r="F4032" s="975">
        <v>1149</v>
      </c>
      <c r="G4032" s="945">
        <v>0</v>
      </c>
      <c r="H4032" s="950">
        <v>0</v>
      </c>
      <c r="I4032" s="951">
        <f>PUCFD!E3453</f>
        <v>0.01</v>
      </c>
    </row>
    <row r="4033" spans="2:12" ht="126.75" customHeight="1" x14ac:dyDescent="0.2">
      <c r="B4033" s="1607" t="s">
        <v>6720</v>
      </c>
      <c r="C4033" s="1607"/>
      <c r="D4033" s="1607"/>
      <c r="E4033" s="1607"/>
      <c r="F4033" s="1607"/>
      <c r="G4033" s="1607"/>
      <c r="H4033" s="1607"/>
      <c r="I4033" s="1607"/>
      <c r="J4033" s="1057"/>
      <c r="K4033" s="1057"/>
      <c r="L4033" s="1057"/>
    </row>
    <row r="4034" spans="2:12" ht="24.95" customHeight="1" x14ac:dyDescent="0.25">
      <c r="B4034" s="1608" t="s">
        <v>5546</v>
      </c>
      <c r="C4034" s="1608"/>
      <c r="D4034" s="1608"/>
      <c r="E4034" s="1608"/>
      <c r="F4034" s="1608"/>
      <c r="G4034" s="1608"/>
      <c r="H4034" s="1608"/>
      <c r="I4034" s="1024">
        <f>I4029+I4016+I4004+I3978+I3965+I3952+I3938+I3909+I3896+I3883+I3869</f>
        <v>596199.51996224769</v>
      </c>
    </row>
    <row r="4035" spans="2:12" ht="24.95" customHeight="1" x14ac:dyDescent="0.25">
      <c r="B4035" s="1608" t="s">
        <v>6730</v>
      </c>
      <c r="C4035" s="1608"/>
      <c r="D4035" s="1608"/>
      <c r="E4035" s="1608"/>
      <c r="F4035" s="1608"/>
      <c r="G4035" s="1608"/>
      <c r="H4035" s="1608"/>
      <c r="I4035" s="1024">
        <f>I4034</f>
        <v>596199.51996224769</v>
      </c>
    </row>
    <row r="4036" spans="2:12" ht="24.95" customHeight="1" x14ac:dyDescent="0.25">
      <c r="B4036" s="987"/>
      <c r="C4036" s="987"/>
      <c r="D4036" s="987"/>
      <c r="E4036" s="954" t="s">
        <v>4777</v>
      </c>
      <c r="F4036" s="960"/>
      <c r="G4036" s="960"/>
      <c r="H4036" s="958"/>
      <c r="I4036" s="1030"/>
    </row>
    <row r="4037" spans="2:12" ht="24.95" customHeight="1" x14ac:dyDescent="0.25">
      <c r="B4037" s="987"/>
      <c r="C4037" s="987"/>
      <c r="D4037" s="987"/>
      <c r="F4037" s="949">
        <v>1</v>
      </c>
      <c r="G4037" s="945">
        <v>0</v>
      </c>
      <c r="H4037" s="950">
        <v>0</v>
      </c>
      <c r="I4037" s="951">
        <f>I3980+I3931+I3928+I3911</f>
        <v>0.04</v>
      </c>
    </row>
    <row r="4038" spans="2:12" ht="24.95" customHeight="1" x14ac:dyDescent="0.25">
      <c r="B4038" s="987"/>
      <c r="C4038" s="987"/>
      <c r="D4038" s="987"/>
      <c r="F4038" s="949">
        <v>1149</v>
      </c>
      <c r="G4038" s="945">
        <v>0</v>
      </c>
      <c r="H4038" s="950">
        <v>0</v>
      </c>
      <c r="I4038" s="951">
        <f>I4030+I4031+I4032</f>
        <v>582.32469944065849</v>
      </c>
      <c r="J4038" s="990"/>
    </row>
    <row r="4039" spans="2:12" ht="24.95" customHeight="1" x14ac:dyDescent="0.25">
      <c r="F4039" s="949">
        <v>1161</v>
      </c>
      <c r="G4039" s="945">
        <v>0</v>
      </c>
      <c r="H4039" s="950">
        <v>0</v>
      </c>
      <c r="I4039" s="951">
        <f>I3870+I3871+I3872+I3873+I3874+I3875+I3876+I3877+I3878+I3879+I3884+I3885+I3886+I3887+I3888+I3889+I3890+I3891+I3892+I3897+I3898+I3899+I3900+I3901+I3902+I3903+I3904+I3905+I3910+I3912+I3913+I3914+I3915+I3916+I3917+I3918+I3919+I3920+I3921+I3922+I3923+I3924+I3925+I3926+I3927+I3930</f>
        <v>82968.172529599993</v>
      </c>
      <c r="J4039" s="990"/>
      <c r="K4039" s="990"/>
    </row>
    <row r="4040" spans="2:12" ht="24.95" customHeight="1" x14ac:dyDescent="0.25">
      <c r="F4040" s="949">
        <v>1162</v>
      </c>
      <c r="G4040" s="945">
        <v>0</v>
      </c>
      <c r="H4040" s="950">
        <v>0</v>
      </c>
      <c r="I4040" s="951">
        <f>I3939+I3940+I3941+I3942+I3943+I3944+I3945+I3946+I3947+I3948+I3953+I3954+I3955+I3956+I3957+I3958+I3959+I3960+I3961+I3966+I3967+I3968+I3969+I3970+I3971+I3972+I3973+I3974+I3979+I3981+I3982+I3983+I3984+I3985+I3986+I3987+I3988+I3989+I3990+I3991+I3992+I3993+I3994+I3995+I3996+I3997+I3998+I3999</f>
        <v>1125.3503217482266</v>
      </c>
      <c r="J4040" s="990"/>
    </row>
    <row r="4041" spans="2:12" ht="24.95" customHeight="1" x14ac:dyDescent="0.25">
      <c r="F4041" s="949">
        <v>1163</v>
      </c>
      <c r="G4041" s="945">
        <v>0</v>
      </c>
      <c r="H4041" s="950">
        <v>0</v>
      </c>
      <c r="I4041" s="951">
        <f>I4005+I4006+I4007+I4008+I4009+I4010+I4011</f>
        <v>21967.589548911572</v>
      </c>
      <c r="J4041" s="990"/>
    </row>
    <row r="4042" spans="2:12" ht="24.95" customHeight="1" x14ac:dyDescent="0.25">
      <c r="F4042" s="949">
        <v>1164</v>
      </c>
      <c r="G4042" s="945">
        <v>0</v>
      </c>
      <c r="H4042" s="950">
        <v>0</v>
      </c>
      <c r="I4042" s="951">
        <f>I4017+I4018+I4019+I4020+I4021+I4022+I4023</f>
        <v>4924.0428625473423</v>
      </c>
      <c r="J4042" s="990"/>
    </row>
    <row r="4043" spans="2:12" ht="24.95" customHeight="1" x14ac:dyDescent="0.25">
      <c r="F4043" s="949">
        <v>1167</v>
      </c>
      <c r="G4043" s="945">
        <v>0</v>
      </c>
      <c r="H4043" s="950">
        <v>0</v>
      </c>
      <c r="I4043" s="951">
        <f>I3932+I3929</f>
        <v>484632</v>
      </c>
    </row>
    <row r="4045" spans="2:12" ht="24.95" customHeight="1" x14ac:dyDescent="0.25">
      <c r="B4045" s="946" t="s">
        <v>3088</v>
      </c>
      <c r="C4045" s="953" t="s">
        <v>5538</v>
      </c>
    </row>
    <row r="4046" spans="2:12" ht="24.95" customHeight="1" x14ac:dyDescent="0.25">
      <c r="B4046" s="946" t="s">
        <v>3087</v>
      </c>
      <c r="C4046" s="1060" t="s">
        <v>6739</v>
      </c>
    </row>
    <row r="4047" spans="2:12" ht="24.95" customHeight="1" x14ac:dyDescent="0.25">
      <c r="B4047" s="946" t="s">
        <v>3089</v>
      </c>
      <c r="C4047" s="953" t="s">
        <v>5539</v>
      </c>
    </row>
    <row r="4048" spans="2:12" ht="24.95" customHeight="1" x14ac:dyDescent="0.25">
      <c r="B4048" s="962" t="s">
        <v>3138</v>
      </c>
      <c r="C4048" s="959">
        <v>8</v>
      </c>
      <c r="D4048" s="962" t="s">
        <v>6646</v>
      </c>
      <c r="I4048" s="957">
        <f>I4049</f>
        <v>3000.0600000000013</v>
      </c>
    </row>
    <row r="4049" spans="2:9" ht="24.95" customHeight="1" x14ac:dyDescent="0.25">
      <c r="B4049" s="962" t="s">
        <v>3139</v>
      </c>
      <c r="C4049" s="959">
        <v>244</v>
      </c>
      <c r="D4049" s="962" t="s">
        <v>5595</v>
      </c>
      <c r="I4049" s="957">
        <f>I4050</f>
        <v>3000.0600000000013</v>
      </c>
    </row>
    <row r="4050" spans="2:9" ht="24.95" customHeight="1" x14ac:dyDescent="0.25">
      <c r="B4050" s="962" t="s">
        <v>3137</v>
      </c>
      <c r="C4050" s="959">
        <v>12</v>
      </c>
      <c r="D4050" s="962" t="s">
        <v>5545</v>
      </c>
      <c r="I4050" s="957">
        <f>I4051</f>
        <v>3000.0600000000013</v>
      </c>
    </row>
    <row r="4051" spans="2:9" s="946" customFormat="1" ht="24.95" customHeight="1" x14ac:dyDescent="0.25">
      <c r="B4051" s="963" t="s">
        <v>2965</v>
      </c>
      <c r="C4051" s="959">
        <v>18</v>
      </c>
      <c r="D4051" s="963" t="s">
        <v>6822</v>
      </c>
      <c r="E4051" s="954"/>
      <c r="F4051" s="955"/>
      <c r="H4051" s="956"/>
      <c r="I4051" s="957">
        <f>SUM(I4052:I4059)</f>
        <v>3000.0600000000013</v>
      </c>
    </row>
    <row r="4052" spans="2:9" ht="24.95" customHeight="1" x14ac:dyDescent="0.25">
      <c r="B4052" s="945">
        <v>237000</v>
      </c>
      <c r="C4052" s="974">
        <v>333901400000000</v>
      </c>
      <c r="D4052" s="973" t="s">
        <v>6812</v>
      </c>
      <c r="F4052" s="975">
        <v>1</v>
      </c>
      <c r="G4052" s="945">
        <v>0</v>
      </c>
      <c r="H4052" s="950">
        <v>0</v>
      </c>
      <c r="I4052" s="951">
        <f>PUCFD!E3456</f>
        <v>1000</v>
      </c>
    </row>
    <row r="4053" spans="2:9" ht="24.95" customHeight="1" x14ac:dyDescent="0.25">
      <c r="B4053" s="945">
        <v>237100</v>
      </c>
      <c r="C4053" s="974">
        <v>333903000000000</v>
      </c>
      <c r="D4053" s="973" t="s">
        <v>6813</v>
      </c>
      <c r="F4053" s="975">
        <v>1</v>
      </c>
      <c r="G4053" s="945">
        <v>0</v>
      </c>
      <c r="H4053" s="950">
        <v>0</v>
      </c>
      <c r="I4053" s="951">
        <f>PUCFD!E3457</f>
        <v>2000</v>
      </c>
    </row>
    <row r="4054" spans="2:9" ht="24.95" customHeight="1" x14ac:dyDescent="0.25">
      <c r="B4054" s="945">
        <v>237200</v>
      </c>
      <c r="C4054" s="974">
        <v>333903300000000</v>
      </c>
      <c r="D4054" s="973" t="s">
        <v>6814</v>
      </c>
      <c r="F4054" s="975">
        <v>1</v>
      </c>
      <c r="G4054" s="945">
        <v>0</v>
      </c>
      <c r="H4054" s="950">
        <v>0</v>
      </c>
      <c r="I4054" s="951">
        <f>PUCFD!E3458</f>
        <v>0.01</v>
      </c>
    </row>
    <row r="4055" spans="2:9" ht="24.95" customHeight="1" x14ac:dyDescent="0.25">
      <c r="B4055" s="945">
        <v>237300</v>
      </c>
      <c r="C4055" s="974">
        <v>333903600000000</v>
      </c>
      <c r="D4055" s="973" t="s">
        <v>6815</v>
      </c>
      <c r="F4055" s="975">
        <v>1</v>
      </c>
      <c r="G4055" s="945">
        <v>0</v>
      </c>
      <c r="H4055" s="950">
        <v>0</v>
      </c>
      <c r="I4055" s="951">
        <f>PUCFD!E3459</f>
        <v>0.01</v>
      </c>
    </row>
    <row r="4056" spans="2:9" ht="24.95" customHeight="1" x14ac:dyDescent="0.25">
      <c r="B4056" s="945">
        <v>237400</v>
      </c>
      <c r="C4056" s="974">
        <v>333903900000000</v>
      </c>
      <c r="D4056" s="973" t="s">
        <v>6816</v>
      </c>
      <c r="F4056" s="975">
        <v>1</v>
      </c>
      <c r="G4056" s="945">
        <v>0</v>
      </c>
      <c r="H4056" s="950">
        <v>0</v>
      </c>
      <c r="I4056" s="951">
        <f>PUCFD!E3460</f>
        <v>0.01</v>
      </c>
    </row>
    <row r="4057" spans="2:9" ht="24.95" customHeight="1" x14ac:dyDescent="0.25">
      <c r="B4057" s="945">
        <v>237500</v>
      </c>
      <c r="C4057" s="974">
        <v>333904700000000</v>
      </c>
      <c r="D4057" s="973" t="s">
        <v>6817</v>
      </c>
      <c r="F4057" s="975">
        <v>1</v>
      </c>
      <c r="G4057" s="945">
        <v>0</v>
      </c>
      <c r="H4057" s="950">
        <v>0</v>
      </c>
      <c r="I4057" s="951">
        <f>PUCFD!E3461</f>
        <v>0.01</v>
      </c>
    </row>
    <row r="4058" spans="2:9" ht="24.95" customHeight="1" x14ac:dyDescent="0.25">
      <c r="B4058" s="945">
        <v>237600</v>
      </c>
      <c r="C4058" s="974">
        <v>344905100000000</v>
      </c>
      <c r="D4058" s="973" t="s">
        <v>6818</v>
      </c>
      <c r="F4058" s="975">
        <v>1</v>
      </c>
      <c r="G4058" s="945">
        <v>0</v>
      </c>
      <c r="H4058" s="950">
        <v>0</v>
      </c>
      <c r="I4058" s="951">
        <f>PUCFD!E3462</f>
        <v>0.01</v>
      </c>
    </row>
    <row r="4059" spans="2:9" ht="24.95" customHeight="1" x14ac:dyDescent="0.25">
      <c r="B4059" s="945">
        <v>237700</v>
      </c>
      <c r="C4059" s="974">
        <v>344905200000000</v>
      </c>
      <c r="D4059" s="973" t="s">
        <v>6819</v>
      </c>
      <c r="F4059" s="975">
        <v>1</v>
      </c>
      <c r="G4059" s="945">
        <v>0</v>
      </c>
      <c r="H4059" s="950">
        <v>0</v>
      </c>
      <c r="I4059" s="951">
        <f>PUCFD!E3463</f>
        <v>0.01</v>
      </c>
    </row>
    <row r="4060" spans="2:9" ht="24.95" customHeight="1" x14ac:dyDescent="0.25">
      <c r="B4060" s="962" t="s">
        <v>3138</v>
      </c>
      <c r="C4060" s="959">
        <v>8</v>
      </c>
      <c r="D4060" s="962" t="s">
        <v>6646</v>
      </c>
      <c r="I4060" s="957">
        <f>I4061</f>
        <v>1</v>
      </c>
    </row>
    <row r="4061" spans="2:9" ht="24.95" customHeight="1" x14ac:dyDescent="0.25">
      <c r="B4061" s="962" t="s">
        <v>3139</v>
      </c>
      <c r="C4061" s="959">
        <v>244</v>
      </c>
      <c r="D4061" s="962" t="s">
        <v>5595</v>
      </c>
      <c r="I4061" s="957">
        <f>I4062</f>
        <v>1</v>
      </c>
    </row>
    <row r="4062" spans="2:9" ht="24.95" customHeight="1" x14ac:dyDescent="0.25">
      <c r="B4062" s="962" t="s">
        <v>3137</v>
      </c>
      <c r="C4062" s="959">
        <v>12</v>
      </c>
      <c r="D4062" s="962" t="s">
        <v>5545</v>
      </c>
      <c r="I4062" s="957">
        <f>I4063</f>
        <v>1</v>
      </c>
    </row>
    <row r="4063" spans="2:9" s="946" customFormat="1" ht="24.95" customHeight="1" x14ac:dyDescent="0.25">
      <c r="B4063" s="963" t="s">
        <v>2965</v>
      </c>
      <c r="C4063" s="959">
        <v>51</v>
      </c>
      <c r="D4063" s="963" t="s">
        <v>6856</v>
      </c>
      <c r="E4063" s="954"/>
      <c r="F4063" s="955"/>
      <c r="H4063" s="956"/>
      <c r="I4063" s="957">
        <f>SUM(I4064:I4069)</f>
        <v>1</v>
      </c>
    </row>
    <row r="4064" spans="2:9" s="946" customFormat="1" ht="24.95" customHeight="1" x14ac:dyDescent="0.25">
      <c r="B4064" s="973">
        <v>237800</v>
      </c>
      <c r="C4064" s="974">
        <v>333903000000000</v>
      </c>
      <c r="D4064" s="973" t="s">
        <v>6857</v>
      </c>
      <c r="E4064" s="948"/>
      <c r="F4064" s="975">
        <v>1</v>
      </c>
      <c r="G4064" s="945">
        <v>0</v>
      </c>
      <c r="H4064" s="950">
        <v>0</v>
      </c>
      <c r="I4064" s="951">
        <f>PUCFD!E3465</f>
        <v>0.95</v>
      </c>
    </row>
    <row r="4065" spans="2:9" s="946" customFormat="1" ht="24.95" customHeight="1" x14ac:dyDescent="0.25">
      <c r="B4065" s="973">
        <v>237820</v>
      </c>
      <c r="C4065" s="974">
        <v>333903200000000</v>
      </c>
      <c r="D4065" s="973" t="s">
        <v>6858</v>
      </c>
      <c r="E4065" s="948"/>
      <c r="F4065" s="975">
        <v>1</v>
      </c>
      <c r="G4065" s="945">
        <v>0</v>
      </c>
      <c r="H4065" s="950">
        <v>0</v>
      </c>
      <c r="I4065" s="951">
        <f>PUCFD!E3466</f>
        <v>0.01</v>
      </c>
    </row>
    <row r="4066" spans="2:9" s="946" customFormat="1" ht="24.95" customHeight="1" x14ac:dyDescent="0.25">
      <c r="B4066" s="973">
        <v>237840</v>
      </c>
      <c r="C4066" s="974">
        <v>333903300000000</v>
      </c>
      <c r="D4066" s="973" t="s">
        <v>6859</v>
      </c>
      <c r="E4066" s="948"/>
      <c r="F4066" s="975">
        <v>1</v>
      </c>
      <c r="G4066" s="945">
        <v>0</v>
      </c>
      <c r="H4066" s="950">
        <v>0</v>
      </c>
      <c r="I4066" s="951">
        <f>PUCFD!E3467</f>
        <v>0.01</v>
      </c>
    </row>
    <row r="4067" spans="2:9" s="946" customFormat="1" ht="24.95" customHeight="1" x14ac:dyDescent="0.25">
      <c r="B4067" s="973">
        <v>237860</v>
      </c>
      <c r="C4067" s="974">
        <v>333903600000000</v>
      </c>
      <c r="D4067" s="973" t="s">
        <v>6860</v>
      </c>
      <c r="E4067" s="948"/>
      <c r="F4067" s="975">
        <v>1</v>
      </c>
      <c r="G4067" s="945">
        <v>0</v>
      </c>
      <c r="H4067" s="950">
        <v>0</v>
      </c>
      <c r="I4067" s="951">
        <f>PUCFD!E3468</f>
        <v>0.01</v>
      </c>
    </row>
    <row r="4068" spans="2:9" ht="24.95" customHeight="1" x14ac:dyDescent="0.25">
      <c r="B4068" s="945">
        <v>237880</v>
      </c>
      <c r="C4068" s="974">
        <v>333903900000000</v>
      </c>
      <c r="D4068" s="973" t="s">
        <v>6861</v>
      </c>
      <c r="F4068" s="975">
        <v>1</v>
      </c>
      <c r="G4068" s="945">
        <v>0</v>
      </c>
      <c r="H4068" s="950">
        <v>0</v>
      </c>
      <c r="I4068" s="951">
        <f>PUCFD!E3469</f>
        <v>0.01</v>
      </c>
    </row>
    <row r="4069" spans="2:9" ht="24.95" customHeight="1" x14ac:dyDescent="0.25">
      <c r="B4069" s="945">
        <v>237900</v>
      </c>
      <c r="C4069" s="974">
        <v>333904700000000</v>
      </c>
      <c r="D4069" s="973" t="s">
        <v>6862</v>
      </c>
      <c r="F4069" s="975">
        <v>1</v>
      </c>
      <c r="G4069" s="945">
        <v>0</v>
      </c>
      <c r="H4069" s="950">
        <v>0</v>
      </c>
      <c r="I4069" s="951">
        <f>PUCFD!E3470</f>
        <v>0.01</v>
      </c>
    </row>
    <row r="4070" spans="2:9" ht="24.95" customHeight="1" x14ac:dyDescent="0.25">
      <c r="B4070" s="962" t="s">
        <v>3138</v>
      </c>
      <c r="C4070" s="959">
        <v>8</v>
      </c>
      <c r="D4070" s="962" t="s">
        <v>6646</v>
      </c>
      <c r="I4070" s="957">
        <f>I4071</f>
        <v>1</v>
      </c>
    </row>
    <row r="4071" spans="2:9" ht="24.95" customHeight="1" x14ac:dyDescent="0.25">
      <c r="B4071" s="962" t="s">
        <v>3139</v>
      </c>
      <c r="C4071" s="959">
        <v>244</v>
      </c>
      <c r="D4071" s="962" t="s">
        <v>5595</v>
      </c>
      <c r="I4071" s="957">
        <f>I4072</f>
        <v>1</v>
      </c>
    </row>
    <row r="4072" spans="2:9" ht="24.95" customHeight="1" x14ac:dyDescent="0.25">
      <c r="B4072" s="962" t="s">
        <v>3137</v>
      </c>
      <c r="C4072" s="959">
        <v>12</v>
      </c>
      <c r="D4072" s="962" t="s">
        <v>5545</v>
      </c>
      <c r="I4072" s="957">
        <f>I4073</f>
        <v>1</v>
      </c>
    </row>
    <row r="4073" spans="2:9" s="946" customFormat="1" ht="24.95" customHeight="1" x14ac:dyDescent="0.25">
      <c r="B4073" s="963" t="s">
        <v>2965</v>
      </c>
      <c r="C4073" s="959">
        <v>52</v>
      </c>
      <c r="D4073" s="963" t="s">
        <v>6881</v>
      </c>
      <c r="E4073" s="954"/>
      <c r="F4073" s="955"/>
      <c r="H4073" s="956"/>
      <c r="I4073" s="957">
        <f>SUM(I4074:I4082)</f>
        <v>1</v>
      </c>
    </row>
    <row r="4074" spans="2:9" s="946" customFormat="1" ht="24.95" customHeight="1" x14ac:dyDescent="0.25">
      <c r="B4074" s="973">
        <v>238000</v>
      </c>
      <c r="C4074" s="974">
        <v>333901400000000</v>
      </c>
      <c r="D4074" s="973" t="s">
        <v>6863</v>
      </c>
      <c r="E4074" s="954"/>
      <c r="F4074" s="949">
        <v>1</v>
      </c>
      <c r="G4074" s="945">
        <v>0</v>
      </c>
      <c r="H4074" s="950">
        <v>0</v>
      </c>
      <c r="I4074" s="951">
        <f>PUCFD!E3472</f>
        <v>0.01</v>
      </c>
    </row>
    <row r="4075" spans="2:9" s="946" customFormat="1" ht="24.95" customHeight="1" x14ac:dyDescent="0.25">
      <c r="B4075" s="973">
        <v>238020</v>
      </c>
      <c r="C4075" s="974">
        <v>333903000000000</v>
      </c>
      <c r="D4075" s="973" t="s">
        <v>6864</v>
      </c>
      <c r="E4075" s="954"/>
      <c r="F4075" s="949">
        <v>1</v>
      </c>
      <c r="G4075" s="945">
        <v>0</v>
      </c>
      <c r="H4075" s="950">
        <v>0</v>
      </c>
      <c r="I4075" s="951">
        <f>PUCFD!E3473</f>
        <v>0.91999999999999993</v>
      </c>
    </row>
    <row r="4076" spans="2:9" s="946" customFormat="1" ht="24.95" customHeight="1" x14ac:dyDescent="0.25">
      <c r="B4076" s="973">
        <v>238040</v>
      </c>
      <c r="C4076" s="974">
        <v>333903200000000</v>
      </c>
      <c r="D4076" s="973" t="s">
        <v>6871</v>
      </c>
      <c r="E4076" s="954"/>
      <c r="F4076" s="949">
        <v>1</v>
      </c>
      <c r="G4076" s="945">
        <v>0</v>
      </c>
      <c r="H4076" s="950">
        <v>0</v>
      </c>
      <c r="I4076" s="951">
        <f>PUCFD!E3474</f>
        <v>0.01</v>
      </c>
    </row>
    <row r="4077" spans="2:9" s="946" customFormat="1" ht="24.95" customHeight="1" x14ac:dyDescent="0.25">
      <c r="B4077" s="973">
        <v>238060</v>
      </c>
      <c r="C4077" s="974">
        <v>333903300000000</v>
      </c>
      <c r="D4077" s="973" t="s">
        <v>6865</v>
      </c>
      <c r="E4077" s="954"/>
      <c r="F4077" s="949">
        <v>1</v>
      </c>
      <c r="G4077" s="945">
        <v>0</v>
      </c>
      <c r="H4077" s="950">
        <v>0</v>
      </c>
      <c r="I4077" s="951">
        <f>PUCFD!E3475</f>
        <v>0.01</v>
      </c>
    </row>
    <row r="4078" spans="2:9" s="946" customFormat="1" ht="24.95" customHeight="1" x14ac:dyDescent="0.25">
      <c r="B4078" s="973">
        <v>238080</v>
      </c>
      <c r="C4078" s="974">
        <v>333903600000000</v>
      </c>
      <c r="D4078" s="973" t="s">
        <v>6866</v>
      </c>
      <c r="E4078" s="954"/>
      <c r="F4078" s="949">
        <v>1</v>
      </c>
      <c r="G4078" s="945">
        <v>0</v>
      </c>
      <c r="H4078" s="950">
        <v>0</v>
      </c>
      <c r="I4078" s="951">
        <f>PUCFD!E3476</f>
        <v>0.01</v>
      </c>
    </row>
    <row r="4079" spans="2:9" s="946" customFormat="1" ht="24.95" customHeight="1" x14ac:dyDescent="0.25">
      <c r="B4079" s="973">
        <v>238100</v>
      </c>
      <c r="C4079" s="974">
        <v>333903900000000</v>
      </c>
      <c r="D4079" s="973" t="s">
        <v>6867</v>
      </c>
      <c r="E4079" s="954"/>
      <c r="F4079" s="949">
        <v>1</v>
      </c>
      <c r="G4079" s="945">
        <v>0</v>
      </c>
      <c r="H4079" s="950">
        <v>0</v>
      </c>
      <c r="I4079" s="951">
        <f>PUCFD!E3477</f>
        <v>0.01</v>
      </c>
    </row>
    <row r="4080" spans="2:9" ht="24.95" customHeight="1" x14ac:dyDescent="0.25">
      <c r="B4080" s="945">
        <v>238120</v>
      </c>
      <c r="C4080" s="974">
        <v>333904700000000</v>
      </c>
      <c r="D4080" s="973" t="s">
        <v>6868</v>
      </c>
      <c r="F4080" s="949">
        <v>1</v>
      </c>
      <c r="G4080" s="945">
        <v>0</v>
      </c>
      <c r="H4080" s="950">
        <v>0</v>
      </c>
      <c r="I4080" s="951">
        <f>PUCFD!E3478</f>
        <v>0.01</v>
      </c>
    </row>
    <row r="4081" spans="2:9" ht="24.95" customHeight="1" x14ac:dyDescent="0.25">
      <c r="B4081" s="945">
        <v>238140</v>
      </c>
      <c r="C4081" s="974">
        <v>333905100000000</v>
      </c>
      <c r="D4081" s="973" t="s">
        <v>6869</v>
      </c>
      <c r="F4081" s="949">
        <v>1</v>
      </c>
      <c r="G4081" s="945">
        <v>0</v>
      </c>
      <c r="H4081" s="950">
        <v>0</v>
      </c>
      <c r="I4081" s="951">
        <f>PUCFD!E3479</f>
        <v>0.01</v>
      </c>
    </row>
    <row r="4082" spans="2:9" ht="24.95" customHeight="1" x14ac:dyDescent="0.25">
      <c r="B4082" s="945">
        <v>238160</v>
      </c>
      <c r="C4082" s="974">
        <v>333905200000000</v>
      </c>
      <c r="D4082" s="973" t="s">
        <v>6870</v>
      </c>
      <c r="F4082" s="949">
        <v>1</v>
      </c>
      <c r="G4082" s="945">
        <v>0</v>
      </c>
      <c r="H4082" s="950">
        <v>0</v>
      </c>
      <c r="I4082" s="951">
        <f>PUCFD!E3480</f>
        <v>0.01</v>
      </c>
    </row>
    <row r="4083" spans="2:9" ht="24.95" customHeight="1" x14ac:dyDescent="0.25">
      <c r="B4083" s="962" t="s">
        <v>3138</v>
      </c>
      <c r="C4083" s="959">
        <v>8</v>
      </c>
      <c r="D4083" s="962" t="s">
        <v>6646</v>
      </c>
      <c r="I4083" s="957">
        <f>I4084</f>
        <v>1</v>
      </c>
    </row>
    <row r="4084" spans="2:9" ht="24.95" customHeight="1" x14ac:dyDescent="0.25">
      <c r="B4084" s="962" t="s">
        <v>3139</v>
      </c>
      <c r="C4084" s="959">
        <v>244</v>
      </c>
      <c r="D4084" s="962" t="s">
        <v>5595</v>
      </c>
      <c r="I4084" s="957">
        <f>I4085</f>
        <v>1</v>
      </c>
    </row>
    <row r="4085" spans="2:9" ht="24.95" customHeight="1" x14ac:dyDescent="0.25">
      <c r="B4085" s="962" t="s">
        <v>3137</v>
      </c>
      <c r="C4085" s="959">
        <v>12</v>
      </c>
      <c r="D4085" s="962" t="s">
        <v>5545</v>
      </c>
      <c r="I4085" s="957">
        <f>I4086</f>
        <v>1</v>
      </c>
    </row>
    <row r="4086" spans="2:9" s="946" customFormat="1" ht="24.95" customHeight="1" x14ac:dyDescent="0.25">
      <c r="B4086" s="963" t="s">
        <v>2965</v>
      </c>
      <c r="C4086" s="959">
        <v>53</v>
      </c>
      <c r="D4086" s="963" t="s">
        <v>6882</v>
      </c>
      <c r="E4086" s="954"/>
      <c r="F4086" s="955"/>
      <c r="H4086" s="956"/>
      <c r="I4086" s="957">
        <f>SUM(I4087:I4095)</f>
        <v>1</v>
      </c>
    </row>
    <row r="4087" spans="2:9" s="946" customFormat="1" ht="24.95" customHeight="1" x14ac:dyDescent="0.25">
      <c r="B4087" s="973">
        <v>238300</v>
      </c>
      <c r="C4087" s="974">
        <v>333901400000000</v>
      </c>
      <c r="D4087" s="973" t="s">
        <v>6872</v>
      </c>
      <c r="E4087" s="954"/>
      <c r="F4087" s="949">
        <v>1</v>
      </c>
      <c r="G4087" s="945">
        <v>0</v>
      </c>
      <c r="H4087" s="950">
        <v>0</v>
      </c>
      <c r="I4087" s="951">
        <f>PUCFD!E3482</f>
        <v>0.01</v>
      </c>
    </row>
    <row r="4088" spans="2:9" s="946" customFormat="1" ht="24.95" customHeight="1" x14ac:dyDescent="0.25">
      <c r="B4088" s="973">
        <v>238320</v>
      </c>
      <c r="C4088" s="974">
        <v>333903000000000</v>
      </c>
      <c r="D4088" s="973" t="s">
        <v>6873</v>
      </c>
      <c r="E4088" s="954"/>
      <c r="F4088" s="949">
        <v>1</v>
      </c>
      <c r="G4088" s="945">
        <v>0</v>
      </c>
      <c r="H4088" s="950">
        <v>0</v>
      </c>
      <c r="I4088" s="951">
        <f>PUCFD!E3483</f>
        <v>0.91999999999999993</v>
      </c>
    </row>
    <row r="4089" spans="2:9" s="946" customFormat="1" ht="24.95" customHeight="1" x14ac:dyDescent="0.25">
      <c r="B4089" s="973">
        <v>238340</v>
      </c>
      <c r="C4089" s="974">
        <v>333903200000000</v>
      </c>
      <c r="D4089" s="973" t="s">
        <v>6874</v>
      </c>
      <c r="E4089" s="954"/>
      <c r="F4089" s="949">
        <v>1</v>
      </c>
      <c r="G4089" s="945">
        <v>0</v>
      </c>
      <c r="H4089" s="950">
        <v>0</v>
      </c>
      <c r="I4089" s="951">
        <f>PUCFD!E3484</f>
        <v>0.01</v>
      </c>
    </row>
    <row r="4090" spans="2:9" s="946" customFormat="1" ht="24.95" customHeight="1" x14ac:dyDescent="0.25">
      <c r="B4090" s="973">
        <v>238360</v>
      </c>
      <c r="C4090" s="974">
        <v>333903300000000</v>
      </c>
      <c r="D4090" s="973" t="s">
        <v>6875</v>
      </c>
      <c r="E4090" s="954"/>
      <c r="F4090" s="949">
        <v>1</v>
      </c>
      <c r="G4090" s="945">
        <v>0</v>
      </c>
      <c r="H4090" s="950">
        <v>0</v>
      </c>
      <c r="I4090" s="951">
        <f>PUCFD!E3485</f>
        <v>0.01</v>
      </c>
    </row>
    <row r="4091" spans="2:9" s="946" customFormat="1" ht="24.95" customHeight="1" x14ac:dyDescent="0.25">
      <c r="B4091" s="973">
        <v>238380</v>
      </c>
      <c r="C4091" s="974">
        <v>333903600000000</v>
      </c>
      <c r="D4091" s="973" t="s">
        <v>6876</v>
      </c>
      <c r="E4091" s="954"/>
      <c r="F4091" s="949">
        <v>1</v>
      </c>
      <c r="G4091" s="945">
        <v>0</v>
      </c>
      <c r="H4091" s="950">
        <v>0</v>
      </c>
      <c r="I4091" s="951">
        <f>PUCFD!E3486</f>
        <v>0.01</v>
      </c>
    </row>
    <row r="4092" spans="2:9" s="946" customFormat="1" ht="24.95" customHeight="1" x14ac:dyDescent="0.25">
      <c r="B4092" s="973">
        <v>238400</v>
      </c>
      <c r="C4092" s="974">
        <v>333903900000000</v>
      </c>
      <c r="D4092" s="973" t="s">
        <v>6877</v>
      </c>
      <c r="E4092" s="954"/>
      <c r="F4092" s="949">
        <v>1</v>
      </c>
      <c r="G4092" s="945">
        <v>0</v>
      </c>
      <c r="H4092" s="950">
        <v>0</v>
      </c>
      <c r="I4092" s="951">
        <f>PUCFD!E3487</f>
        <v>0.01</v>
      </c>
    </row>
    <row r="4093" spans="2:9" s="946" customFormat="1" ht="24.95" customHeight="1" x14ac:dyDescent="0.25">
      <c r="B4093" s="973">
        <v>238420</v>
      </c>
      <c r="C4093" s="974">
        <v>333904700000000</v>
      </c>
      <c r="D4093" s="973" t="s">
        <v>6878</v>
      </c>
      <c r="E4093" s="954"/>
      <c r="F4093" s="949">
        <v>1</v>
      </c>
      <c r="G4093" s="945">
        <v>0</v>
      </c>
      <c r="H4093" s="950">
        <v>0</v>
      </c>
      <c r="I4093" s="951">
        <f>PUCFD!E3488</f>
        <v>0.01</v>
      </c>
    </row>
    <row r="4094" spans="2:9" s="946" customFormat="1" ht="24.95" customHeight="1" x14ac:dyDescent="0.25">
      <c r="B4094" s="973">
        <v>238440</v>
      </c>
      <c r="C4094" s="974">
        <v>333905100000000</v>
      </c>
      <c r="D4094" s="973" t="s">
        <v>6879</v>
      </c>
      <c r="E4094" s="954"/>
      <c r="F4094" s="949">
        <v>1</v>
      </c>
      <c r="G4094" s="945">
        <v>0</v>
      </c>
      <c r="H4094" s="950">
        <v>0</v>
      </c>
      <c r="I4094" s="951">
        <f>PUCFD!E3489</f>
        <v>0.01</v>
      </c>
    </row>
    <row r="4095" spans="2:9" s="946" customFormat="1" ht="24.95" customHeight="1" x14ac:dyDescent="0.25">
      <c r="B4095" s="973">
        <v>238460</v>
      </c>
      <c r="C4095" s="974">
        <v>333905200000000</v>
      </c>
      <c r="D4095" s="973" t="s">
        <v>6880</v>
      </c>
      <c r="E4095" s="954"/>
      <c r="F4095" s="949">
        <v>1</v>
      </c>
      <c r="G4095" s="945">
        <v>0</v>
      </c>
      <c r="H4095" s="950">
        <v>0</v>
      </c>
      <c r="I4095" s="951">
        <f>PUCFD!E3490</f>
        <v>0.01</v>
      </c>
    </row>
    <row r="4096" spans="2:9" ht="24.95" customHeight="1" x14ac:dyDescent="0.25">
      <c r="B4096" s="1608" t="s">
        <v>5546</v>
      </c>
      <c r="C4096" s="1608"/>
      <c r="D4096" s="1608"/>
      <c r="E4096" s="1608"/>
      <c r="F4096" s="1608"/>
      <c r="G4096" s="1608"/>
      <c r="H4096" s="1608"/>
      <c r="I4096" s="1024">
        <f>I4051+I4063+I4073+I4086</f>
        <v>3003.0600000000013</v>
      </c>
    </row>
    <row r="4097" spans="2:9" ht="24.95" customHeight="1" x14ac:dyDescent="0.25">
      <c r="B4097" s="1602" t="s">
        <v>6740</v>
      </c>
      <c r="C4097" s="1608"/>
      <c r="D4097" s="1608"/>
      <c r="E4097" s="1608"/>
      <c r="F4097" s="1608"/>
      <c r="G4097" s="1608"/>
      <c r="H4097" s="1608"/>
      <c r="I4097" s="1024">
        <f>I4096</f>
        <v>3003.0600000000013</v>
      </c>
    </row>
    <row r="4098" spans="2:9" ht="24.95" customHeight="1" x14ac:dyDescent="0.25">
      <c r="B4098" s="987"/>
      <c r="C4098" s="987"/>
      <c r="D4098" s="987"/>
      <c r="E4098" s="954" t="s">
        <v>4777</v>
      </c>
      <c r="F4098" s="960"/>
      <c r="G4098" s="960"/>
      <c r="H4098" s="958"/>
      <c r="I4098" s="1030"/>
    </row>
    <row r="4099" spans="2:9" ht="24.95" customHeight="1" x14ac:dyDescent="0.25">
      <c r="B4099" s="987"/>
      <c r="C4099" s="987"/>
      <c r="D4099" s="987"/>
      <c r="F4099" s="949">
        <v>1</v>
      </c>
      <c r="G4099" s="945">
        <v>0</v>
      </c>
      <c r="H4099" s="950">
        <v>0</v>
      </c>
      <c r="I4099" s="951">
        <f>I4097</f>
        <v>3003.0600000000013</v>
      </c>
    </row>
    <row r="4101" spans="2:9" ht="24.95" customHeight="1" x14ac:dyDescent="0.25">
      <c r="B4101" s="946" t="s">
        <v>3088</v>
      </c>
      <c r="C4101" s="953" t="s">
        <v>5538</v>
      </c>
    </row>
    <row r="4102" spans="2:9" ht="24.95" customHeight="1" x14ac:dyDescent="0.25">
      <c r="B4102" s="946" t="s">
        <v>3087</v>
      </c>
      <c r="C4102" s="953" t="s">
        <v>6738</v>
      </c>
    </row>
    <row r="4103" spans="2:9" ht="24.95" customHeight="1" x14ac:dyDescent="0.25">
      <c r="B4103" s="946" t="s">
        <v>3089</v>
      </c>
      <c r="C4103" s="953" t="s">
        <v>5539</v>
      </c>
    </row>
    <row r="4104" spans="2:9" ht="24.95" customHeight="1" x14ac:dyDescent="0.25">
      <c r="B4104" s="962" t="s">
        <v>3138</v>
      </c>
      <c r="C4104" s="959">
        <v>8</v>
      </c>
      <c r="D4104" s="962" t="s">
        <v>5246</v>
      </c>
      <c r="I4104" s="957">
        <f>I4105</f>
        <v>0.08</v>
      </c>
    </row>
    <row r="4105" spans="2:9" ht="24.95" customHeight="1" x14ac:dyDescent="0.25">
      <c r="B4105" s="962" t="s">
        <v>3139</v>
      </c>
      <c r="C4105" s="959">
        <v>125</v>
      </c>
      <c r="D4105" s="962" t="s">
        <v>6821</v>
      </c>
      <c r="I4105" s="957">
        <f>I4106</f>
        <v>0.08</v>
      </c>
    </row>
    <row r="4106" spans="2:9" ht="24.95" customHeight="1" x14ac:dyDescent="0.25">
      <c r="B4106" s="962" t="s">
        <v>3137</v>
      </c>
      <c r="C4106" s="959">
        <v>12</v>
      </c>
      <c r="D4106" s="962" t="s">
        <v>5545</v>
      </c>
      <c r="I4106" s="957">
        <f>I4107</f>
        <v>0.08</v>
      </c>
    </row>
    <row r="4107" spans="2:9" s="946" customFormat="1" ht="24.95" customHeight="1" x14ac:dyDescent="0.25">
      <c r="B4107" s="963" t="s">
        <v>2965</v>
      </c>
      <c r="C4107" s="959">
        <v>12</v>
      </c>
      <c r="D4107" s="963" t="s">
        <v>5542</v>
      </c>
      <c r="E4107" s="954"/>
      <c r="F4107" s="955"/>
      <c r="H4107" s="956"/>
      <c r="I4107" s="957">
        <f>SUM(I4108:I4115)</f>
        <v>0.08</v>
      </c>
    </row>
    <row r="4108" spans="2:9" ht="24.95" customHeight="1" x14ac:dyDescent="0.25">
      <c r="B4108" s="945">
        <v>239000</v>
      </c>
      <c r="C4108" s="974">
        <v>333901400000000</v>
      </c>
      <c r="D4108" s="973" t="s">
        <v>6731</v>
      </c>
      <c r="F4108" s="975">
        <v>1</v>
      </c>
      <c r="G4108" s="945">
        <v>0</v>
      </c>
      <c r="H4108" s="950">
        <v>0</v>
      </c>
      <c r="I4108" s="951">
        <f>PUCFD!E3493</f>
        <v>0.01</v>
      </c>
    </row>
    <row r="4109" spans="2:9" ht="24.95" customHeight="1" x14ac:dyDescent="0.25">
      <c r="B4109" s="945">
        <v>239100</v>
      </c>
      <c r="C4109" s="974">
        <v>333903000000000</v>
      </c>
      <c r="D4109" s="973" t="s">
        <v>6732</v>
      </c>
      <c r="F4109" s="975">
        <v>1</v>
      </c>
      <c r="G4109" s="945">
        <v>0</v>
      </c>
      <c r="H4109" s="950">
        <v>0</v>
      </c>
      <c r="I4109" s="951">
        <f>PUCFD!E3494</f>
        <v>0.01</v>
      </c>
    </row>
    <row r="4110" spans="2:9" ht="24.95" customHeight="1" x14ac:dyDescent="0.25">
      <c r="B4110" s="945">
        <v>239200</v>
      </c>
      <c r="C4110" s="974">
        <v>333903300000000</v>
      </c>
      <c r="D4110" s="973" t="s">
        <v>6733</v>
      </c>
      <c r="F4110" s="975">
        <v>1</v>
      </c>
      <c r="G4110" s="945">
        <v>0</v>
      </c>
      <c r="H4110" s="950">
        <v>0</v>
      </c>
      <c r="I4110" s="951">
        <f>PUCFD!E3495</f>
        <v>0.01</v>
      </c>
    </row>
    <row r="4111" spans="2:9" ht="24.95" customHeight="1" x14ac:dyDescent="0.25">
      <c r="B4111" s="945">
        <v>239300</v>
      </c>
      <c r="C4111" s="974">
        <v>333903600000000</v>
      </c>
      <c r="D4111" s="973" t="s">
        <v>6734</v>
      </c>
      <c r="F4111" s="975">
        <v>1</v>
      </c>
      <c r="G4111" s="945">
        <v>0</v>
      </c>
      <c r="H4111" s="950">
        <v>0</v>
      </c>
      <c r="I4111" s="951">
        <f>PUCFD!E3496</f>
        <v>0.01</v>
      </c>
    </row>
    <row r="4112" spans="2:9" ht="24.95" customHeight="1" x14ac:dyDescent="0.25">
      <c r="B4112" s="945">
        <v>239400</v>
      </c>
      <c r="C4112" s="974">
        <v>333903900000000</v>
      </c>
      <c r="D4112" s="973" t="s">
        <v>6735</v>
      </c>
      <c r="F4112" s="975">
        <v>1</v>
      </c>
      <c r="G4112" s="945">
        <v>0</v>
      </c>
      <c r="H4112" s="950">
        <v>0</v>
      </c>
      <c r="I4112" s="951">
        <f>PUCFD!E3497</f>
        <v>0.01</v>
      </c>
    </row>
    <row r="4113" spans="2:9" ht="24.95" customHeight="1" x14ac:dyDescent="0.25">
      <c r="B4113" s="945">
        <v>239500</v>
      </c>
      <c r="C4113" s="974">
        <v>333904700000000</v>
      </c>
      <c r="D4113" s="973" t="s">
        <v>6820</v>
      </c>
      <c r="F4113" s="975">
        <v>1</v>
      </c>
      <c r="G4113" s="945">
        <v>0</v>
      </c>
      <c r="H4113" s="950">
        <v>0</v>
      </c>
      <c r="I4113" s="951">
        <f>PUCFD!E3498</f>
        <v>0.01</v>
      </c>
    </row>
    <row r="4114" spans="2:9" ht="24.95" customHeight="1" x14ac:dyDescent="0.25">
      <c r="B4114" s="945">
        <v>239600</v>
      </c>
      <c r="C4114" s="974">
        <v>344905100000000</v>
      </c>
      <c r="D4114" s="973" t="s">
        <v>6736</v>
      </c>
      <c r="F4114" s="975">
        <v>1</v>
      </c>
      <c r="G4114" s="945">
        <v>0</v>
      </c>
      <c r="H4114" s="950">
        <v>0</v>
      </c>
      <c r="I4114" s="951">
        <f>PUCFD!E3499</f>
        <v>0.01</v>
      </c>
    </row>
    <row r="4115" spans="2:9" ht="24.95" customHeight="1" x14ac:dyDescent="0.25">
      <c r="B4115" s="945">
        <v>239700</v>
      </c>
      <c r="C4115" s="974">
        <v>344905200000000</v>
      </c>
      <c r="D4115" s="973" t="s">
        <v>6737</v>
      </c>
      <c r="F4115" s="975">
        <v>1</v>
      </c>
      <c r="G4115" s="945">
        <v>0</v>
      </c>
      <c r="H4115" s="950">
        <v>0</v>
      </c>
      <c r="I4115" s="951">
        <f>PUCFD!E3500</f>
        <v>0.01</v>
      </c>
    </row>
    <row r="4116" spans="2:9" ht="24.95" customHeight="1" x14ac:dyDescent="0.25">
      <c r="B4116" s="1608" t="s">
        <v>5546</v>
      </c>
      <c r="C4116" s="1608"/>
      <c r="D4116" s="1608"/>
      <c r="E4116" s="1608"/>
      <c r="F4116" s="1608"/>
      <c r="G4116" s="1608"/>
      <c r="H4116" s="1608"/>
      <c r="I4116" s="1024">
        <f>I4107</f>
        <v>0.08</v>
      </c>
    </row>
    <row r="4117" spans="2:9" ht="24.95" customHeight="1" x14ac:dyDescent="0.25">
      <c r="B4117" s="1608" t="s">
        <v>6741</v>
      </c>
      <c r="C4117" s="1608"/>
      <c r="D4117" s="1608"/>
      <c r="E4117" s="1608"/>
      <c r="F4117" s="1608"/>
      <c r="G4117" s="1608"/>
      <c r="H4117" s="1608"/>
      <c r="I4117" s="1024">
        <f>I4116</f>
        <v>0.08</v>
      </c>
    </row>
    <row r="4118" spans="2:9" ht="24.95" customHeight="1" x14ac:dyDescent="0.25">
      <c r="B4118" s="987"/>
      <c r="C4118" s="987"/>
      <c r="D4118" s="987"/>
      <c r="E4118" s="954" t="s">
        <v>4777</v>
      </c>
      <c r="F4118" s="960"/>
      <c r="G4118" s="960"/>
      <c r="H4118" s="958"/>
      <c r="I4118" s="1030"/>
    </row>
    <row r="4119" spans="2:9" ht="24.95" customHeight="1" x14ac:dyDescent="0.25">
      <c r="B4119" s="987"/>
      <c r="C4119" s="987"/>
      <c r="D4119" s="987"/>
      <c r="F4119" s="949">
        <v>1</v>
      </c>
      <c r="G4119" s="945">
        <v>0</v>
      </c>
      <c r="H4119" s="950">
        <v>0</v>
      </c>
      <c r="I4119" s="951">
        <f>I4116</f>
        <v>0.08</v>
      </c>
    </row>
    <row r="4123" spans="2:9" ht="24.95" customHeight="1" x14ac:dyDescent="0.25">
      <c r="E4123" s="976"/>
    </row>
    <row r="4124" spans="2:9" ht="24.95" customHeight="1" x14ac:dyDescent="0.25">
      <c r="E4124" s="976"/>
    </row>
    <row r="4125" spans="2:9" ht="24.95" customHeight="1" x14ac:dyDescent="0.25">
      <c r="E4125" s="976"/>
    </row>
    <row r="4126" spans="2:9" ht="24.95" customHeight="1" x14ac:dyDescent="0.25">
      <c r="E4126" s="976"/>
    </row>
    <row r="4127" spans="2:9" ht="24.95" customHeight="1" x14ac:dyDescent="0.25">
      <c r="E4127" s="976"/>
    </row>
  </sheetData>
  <autoFilter ref="B1861:I2326"/>
  <mergeCells count="159">
    <mergeCell ref="J2329:K2329"/>
    <mergeCell ref="B1855:H1855"/>
    <mergeCell ref="B1679:H1679"/>
    <mergeCell ref="B1680:H1680"/>
    <mergeCell ref="B1695:H1695"/>
    <mergeCell ref="B1696:H1696"/>
    <mergeCell ref="B1765:H1765"/>
    <mergeCell ref="B2062:H2062"/>
    <mergeCell ref="B2063:H2063"/>
    <mergeCell ref="B1854:H1854"/>
    <mergeCell ref="B1766:H1766"/>
    <mergeCell ref="F1789:F1794"/>
    <mergeCell ref="E1789:E1794"/>
    <mergeCell ref="B1779:B1781"/>
    <mergeCell ref="D1789:D1794"/>
    <mergeCell ref="C1789:C1794"/>
    <mergeCell ref="B1789:B1794"/>
    <mergeCell ref="G1779:G1781"/>
    <mergeCell ref="F1779:F1781"/>
    <mergeCell ref="E1779:E1781"/>
    <mergeCell ref="D1779:D1781"/>
    <mergeCell ref="C1779:C1781"/>
    <mergeCell ref="B1782:B1784"/>
    <mergeCell ref="C1782:C1784"/>
    <mergeCell ref="B104:D104"/>
    <mergeCell ref="B494:H494"/>
    <mergeCell ref="B495:H495"/>
    <mergeCell ref="B1660:H1660"/>
    <mergeCell ref="B1661:H1661"/>
    <mergeCell ref="B1618:H1618"/>
    <mergeCell ref="B641:H641"/>
    <mergeCell ref="B642:H642"/>
    <mergeCell ref="B362:H362"/>
    <mergeCell ref="B363:H363"/>
    <mergeCell ref="B1124:H1124"/>
    <mergeCell ref="B1125:H1125"/>
    <mergeCell ref="B1241:H1241"/>
    <mergeCell ref="B1242:H1242"/>
    <mergeCell ref="D1263:E1263"/>
    <mergeCell ref="B1576:H1576"/>
    <mergeCell ref="B1596:H1596"/>
    <mergeCell ref="B1597:H1597"/>
    <mergeCell ref="B1617:H1617"/>
    <mergeCell ref="D1316:E1316"/>
    <mergeCell ref="D1298:E1298"/>
    <mergeCell ref="B1441:H1441"/>
    <mergeCell ref="B1442:H1442"/>
    <mergeCell ref="B1575:H1575"/>
    <mergeCell ref="F103:H103"/>
    <mergeCell ref="B1:I1"/>
    <mergeCell ref="B3:I3"/>
    <mergeCell ref="B5:I5"/>
    <mergeCell ref="B103:D103"/>
    <mergeCell ref="B102:D102"/>
    <mergeCell ref="B101:D101"/>
    <mergeCell ref="B95:H95"/>
    <mergeCell ref="B96:H96"/>
    <mergeCell ref="F101:H101"/>
    <mergeCell ref="F102:H102"/>
    <mergeCell ref="D1307:E1307"/>
    <mergeCell ref="B2677:H2677"/>
    <mergeCell ref="B2678:H2678"/>
    <mergeCell ref="B2716:H2716"/>
    <mergeCell ref="B2717:H2717"/>
    <mergeCell ref="B2879:H2879"/>
    <mergeCell ref="B2817:H2817"/>
    <mergeCell ref="B2336:H2336"/>
    <mergeCell ref="B2337:H2337"/>
    <mergeCell ref="B2321:H2321"/>
    <mergeCell ref="B2322:H2322"/>
    <mergeCell ref="B2816:H2816"/>
    <mergeCell ref="B2355:H2355"/>
    <mergeCell ref="B2356:H2356"/>
    <mergeCell ref="B2403:H2403"/>
    <mergeCell ref="B2404:H2404"/>
    <mergeCell ref="B2486:H2486"/>
    <mergeCell ref="B2487:H2487"/>
    <mergeCell ref="B2582:H2582"/>
    <mergeCell ref="B2583:H2583"/>
    <mergeCell ref="E1807:E1809"/>
    <mergeCell ref="F1807:F1809"/>
    <mergeCell ref="G1789:G1794"/>
    <mergeCell ref="D1782:D1784"/>
    <mergeCell ref="B3835:H3835"/>
    <mergeCell ref="B3836:H3836"/>
    <mergeCell ref="B3856:H3856"/>
    <mergeCell ref="B3857:H3857"/>
    <mergeCell ref="B3651:H3651"/>
    <mergeCell ref="B3652:H3652"/>
    <mergeCell ref="B3771:H3771"/>
    <mergeCell ref="B3772:H3772"/>
    <mergeCell ref="B2880:H2880"/>
    <mergeCell ref="B2900:H2900"/>
    <mergeCell ref="B2901:H2901"/>
    <mergeCell ref="B2976:H2976"/>
    <mergeCell ref="B2977:H2977"/>
    <mergeCell ref="B3080:H3080"/>
    <mergeCell ref="B3506:H3506"/>
    <mergeCell ref="B3507:H3507"/>
    <mergeCell ref="B3081:H3081"/>
    <mergeCell ref="B3166:H3166"/>
    <mergeCell ref="B3167:H3167"/>
    <mergeCell ref="B3404:H3404"/>
    <mergeCell ref="B3405:H3405"/>
    <mergeCell ref="B3933:I3933"/>
    <mergeCell ref="B4000:I4000"/>
    <mergeCell ref="B4012:I4012"/>
    <mergeCell ref="B4024:I4024"/>
    <mergeCell ref="B4033:I4033"/>
    <mergeCell ref="B4034:H4034"/>
    <mergeCell ref="B4035:H4035"/>
    <mergeCell ref="B4116:H4116"/>
    <mergeCell ref="B4117:H4117"/>
    <mergeCell ref="B4096:H4096"/>
    <mergeCell ref="B4097:H4097"/>
    <mergeCell ref="E1782:E1784"/>
    <mergeCell ref="F1782:F1784"/>
    <mergeCell ref="G1782:G1784"/>
    <mergeCell ref="B1785:B1787"/>
    <mergeCell ref="C1785:C1787"/>
    <mergeCell ref="D1785:D1787"/>
    <mergeCell ref="E1785:E1787"/>
    <mergeCell ref="F1785:F1787"/>
    <mergeCell ref="G1785:G1787"/>
    <mergeCell ref="B1849:B1850"/>
    <mergeCell ref="C1849:C1850"/>
    <mergeCell ref="D1849:D1850"/>
    <mergeCell ref="E1849:E1850"/>
    <mergeCell ref="F1849:F1850"/>
    <mergeCell ref="G1849:G1850"/>
    <mergeCell ref="B1837:B1839"/>
    <mergeCell ref="C1837:C1839"/>
    <mergeCell ref="D1837:D1839"/>
    <mergeCell ref="E1837:E1839"/>
    <mergeCell ref="F1837:F1839"/>
    <mergeCell ref="G1826:G1831"/>
    <mergeCell ref="D1846:E1846"/>
    <mergeCell ref="B1795:B1800"/>
    <mergeCell ref="C1795:C1800"/>
    <mergeCell ref="D1795:D1800"/>
    <mergeCell ref="E1795:E1800"/>
    <mergeCell ref="F1795:F1800"/>
    <mergeCell ref="G1795:G1800"/>
    <mergeCell ref="B1826:B1831"/>
    <mergeCell ref="C1826:C1831"/>
    <mergeCell ref="D1826:D1831"/>
    <mergeCell ref="E1826:E1831"/>
    <mergeCell ref="F1826:F1831"/>
    <mergeCell ref="B1815:B1820"/>
    <mergeCell ref="C1815:C1820"/>
    <mergeCell ref="D1815:D1820"/>
    <mergeCell ref="E1815:E1820"/>
    <mergeCell ref="F1815:F1820"/>
    <mergeCell ref="G1815:G1820"/>
    <mergeCell ref="G1837:G1839"/>
    <mergeCell ref="G1807:G1809"/>
    <mergeCell ref="B1807:B1809"/>
    <mergeCell ref="C1807:C1809"/>
    <mergeCell ref="D1807:D1809"/>
  </mergeCells>
  <pageMargins left="0.51181102362204722" right="0.31496062992125984" top="0.78740157480314965" bottom="0.39370078740157483" header="0.31496062992125984" footer="0.31496062992125984"/>
  <pageSetup paperSize="9" scale="50" orientation="portrait" r:id="rId1"/>
  <ignoredErrors>
    <ignoredError sqref="I602 I658 I876 I894 I1233 I1284 I1306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1454"/>
  <sheetViews>
    <sheetView tabSelected="1" topLeftCell="A1396" workbookViewId="0">
      <selection activeCell="G72" sqref="G72:G73"/>
    </sheetView>
  </sheetViews>
  <sheetFormatPr defaultRowHeight="15" x14ac:dyDescent="0.25"/>
  <cols>
    <col min="1" max="1" width="2" customWidth="1"/>
    <col min="2" max="2" width="9.85546875" style="752" customWidth="1"/>
    <col min="3" max="3" width="5.140625" style="751" customWidth="1"/>
    <col min="4" max="4" width="49.85546875" customWidth="1"/>
    <col min="5" max="5" width="10.7109375" style="752" customWidth="1"/>
    <col min="6" max="6" width="7.42578125" customWidth="1"/>
    <col min="7" max="7" width="41.42578125" customWidth="1"/>
    <col min="8" max="8" width="11.42578125" style="752" customWidth="1"/>
    <col min="9" max="9" width="7" customWidth="1"/>
    <col min="10" max="10" width="56.42578125" customWidth="1"/>
    <col min="260" max="260" width="86.7109375" customWidth="1"/>
    <col min="261" max="261" width="18.85546875" customWidth="1"/>
    <col min="262" max="262" width="14.5703125" customWidth="1"/>
    <col min="263" max="263" width="17.85546875" customWidth="1"/>
    <col min="516" max="516" width="86.7109375" customWidth="1"/>
    <col min="517" max="517" width="18.85546875" customWidth="1"/>
    <col min="518" max="518" width="14.5703125" customWidth="1"/>
    <col min="519" max="519" width="17.85546875" customWidth="1"/>
    <col min="772" max="772" width="86.7109375" customWidth="1"/>
    <col min="773" max="773" width="18.85546875" customWidth="1"/>
    <col min="774" max="774" width="14.5703125" customWidth="1"/>
    <col min="775" max="775" width="17.85546875" customWidth="1"/>
    <col min="1028" max="1028" width="86.7109375" customWidth="1"/>
    <col min="1029" max="1029" width="18.85546875" customWidth="1"/>
    <col min="1030" max="1030" width="14.5703125" customWidth="1"/>
    <col min="1031" max="1031" width="17.85546875" customWidth="1"/>
    <col min="1284" max="1284" width="86.7109375" customWidth="1"/>
    <col min="1285" max="1285" width="18.85546875" customWidth="1"/>
    <col min="1286" max="1286" width="14.5703125" customWidth="1"/>
    <col min="1287" max="1287" width="17.85546875" customWidth="1"/>
    <col min="1540" max="1540" width="86.7109375" customWidth="1"/>
    <col min="1541" max="1541" width="18.85546875" customWidth="1"/>
    <col min="1542" max="1542" width="14.5703125" customWidth="1"/>
    <col min="1543" max="1543" width="17.85546875" customWidth="1"/>
    <col min="1796" max="1796" width="86.7109375" customWidth="1"/>
    <col min="1797" max="1797" width="18.85546875" customWidth="1"/>
    <col min="1798" max="1798" width="14.5703125" customWidth="1"/>
    <col min="1799" max="1799" width="17.85546875" customWidth="1"/>
    <col min="2052" max="2052" width="86.7109375" customWidth="1"/>
    <col min="2053" max="2053" width="18.85546875" customWidth="1"/>
    <col min="2054" max="2054" width="14.5703125" customWidth="1"/>
    <col min="2055" max="2055" width="17.85546875" customWidth="1"/>
    <col min="2308" max="2308" width="86.7109375" customWidth="1"/>
    <col min="2309" max="2309" width="18.85546875" customWidth="1"/>
    <col min="2310" max="2310" width="14.5703125" customWidth="1"/>
    <col min="2311" max="2311" width="17.85546875" customWidth="1"/>
    <col min="2564" max="2564" width="86.7109375" customWidth="1"/>
    <col min="2565" max="2565" width="18.85546875" customWidth="1"/>
    <col min="2566" max="2566" width="14.5703125" customWidth="1"/>
    <col min="2567" max="2567" width="17.85546875" customWidth="1"/>
    <col min="2820" max="2820" width="86.7109375" customWidth="1"/>
    <col min="2821" max="2821" width="18.85546875" customWidth="1"/>
    <col min="2822" max="2822" width="14.5703125" customWidth="1"/>
    <col min="2823" max="2823" width="17.85546875" customWidth="1"/>
    <col min="3076" max="3076" width="86.7109375" customWidth="1"/>
    <col min="3077" max="3077" width="18.85546875" customWidth="1"/>
    <col min="3078" max="3078" width="14.5703125" customWidth="1"/>
    <col min="3079" max="3079" width="17.85546875" customWidth="1"/>
    <col min="3332" max="3332" width="86.7109375" customWidth="1"/>
    <col min="3333" max="3333" width="18.85546875" customWidth="1"/>
    <col min="3334" max="3334" width="14.5703125" customWidth="1"/>
    <col min="3335" max="3335" width="17.85546875" customWidth="1"/>
    <col min="3588" max="3588" width="86.7109375" customWidth="1"/>
    <col min="3589" max="3589" width="18.85546875" customWidth="1"/>
    <col min="3590" max="3590" width="14.5703125" customWidth="1"/>
    <col min="3591" max="3591" width="17.85546875" customWidth="1"/>
    <col min="3844" max="3844" width="86.7109375" customWidth="1"/>
    <col min="3845" max="3845" width="18.85546875" customWidth="1"/>
    <col min="3846" max="3846" width="14.5703125" customWidth="1"/>
    <col min="3847" max="3847" width="17.85546875" customWidth="1"/>
    <col min="4100" max="4100" width="86.7109375" customWidth="1"/>
    <col min="4101" max="4101" width="18.85546875" customWidth="1"/>
    <col min="4102" max="4102" width="14.5703125" customWidth="1"/>
    <col min="4103" max="4103" width="17.85546875" customWidth="1"/>
    <col min="4356" max="4356" width="86.7109375" customWidth="1"/>
    <col min="4357" max="4357" width="18.85546875" customWidth="1"/>
    <col min="4358" max="4358" width="14.5703125" customWidth="1"/>
    <col min="4359" max="4359" width="17.85546875" customWidth="1"/>
    <col min="4612" max="4612" width="86.7109375" customWidth="1"/>
    <col min="4613" max="4613" width="18.85546875" customWidth="1"/>
    <col min="4614" max="4614" width="14.5703125" customWidth="1"/>
    <col min="4615" max="4615" width="17.85546875" customWidth="1"/>
    <col min="4868" max="4868" width="86.7109375" customWidth="1"/>
    <col min="4869" max="4869" width="18.85546875" customWidth="1"/>
    <col min="4870" max="4870" width="14.5703125" customWidth="1"/>
    <col min="4871" max="4871" width="17.85546875" customWidth="1"/>
    <col min="5124" max="5124" width="86.7109375" customWidth="1"/>
    <col min="5125" max="5125" width="18.85546875" customWidth="1"/>
    <col min="5126" max="5126" width="14.5703125" customWidth="1"/>
    <col min="5127" max="5127" width="17.85546875" customWidth="1"/>
    <col min="5380" max="5380" width="86.7109375" customWidth="1"/>
    <col min="5381" max="5381" width="18.85546875" customWidth="1"/>
    <col min="5382" max="5382" width="14.5703125" customWidth="1"/>
    <col min="5383" max="5383" width="17.85546875" customWidth="1"/>
    <col min="5636" max="5636" width="86.7109375" customWidth="1"/>
    <col min="5637" max="5637" width="18.85546875" customWidth="1"/>
    <col min="5638" max="5638" width="14.5703125" customWidth="1"/>
    <col min="5639" max="5639" width="17.85546875" customWidth="1"/>
    <col min="5892" max="5892" width="86.7109375" customWidth="1"/>
    <col min="5893" max="5893" width="18.85546875" customWidth="1"/>
    <col min="5894" max="5894" width="14.5703125" customWidth="1"/>
    <col min="5895" max="5895" width="17.85546875" customWidth="1"/>
    <col min="6148" max="6148" width="86.7109375" customWidth="1"/>
    <col min="6149" max="6149" width="18.85546875" customWidth="1"/>
    <col min="6150" max="6150" width="14.5703125" customWidth="1"/>
    <col min="6151" max="6151" width="17.85546875" customWidth="1"/>
    <col min="6404" max="6404" width="86.7109375" customWidth="1"/>
    <col min="6405" max="6405" width="18.85546875" customWidth="1"/>
    <col min="6406" max="6406" width="14.5703125" customWidth="1"/>
    <col min="6407" max="6407" width="17.85546875" customWidth="1"/>
    <col min="6660" max="6660" width="86.7109375" customWidth="1"/>
    <col min="6661" max="6661" width="18.85546875" customWidth="1"/>
    <col min="6662" max="6662" width="14.5703125" customWidth="1"/>
    <col min="6663" max="6663" width="17.85546875" customWidth="1"/>
    <col min="6916" max="6916" width="86.7109375" customWidth="1"/>
    <col min="6917" max="6917" width="18.85546875" customWidth="1"/>
    <col min="6918" max="6918" width="14.5703125" customWidth="1"/>
    <col min="6919" max="6919" width="17.85546875" customWidth="1"/>
    <col min="7172" max="7172" width="86.7109375" customWidth="1"/>
    <col min="7173" max="7173" width="18.85546875" customWidth="1"/>
    <col min="7174" max="7174" width="14.5703125" customWidth="1"/>
    <col min="7175" max="7175" width="17.85546875" customWidth="1"/>
    <col min="7428" max="7428" width="86.7109375" customWidth="1"/>
    <col min="7429" max="7429" width="18.85546875" customWidth="1"/>
    <col min="7430" max="7430" width="14.5703125" customWidth="1"/>
    <col min="7431" max="7431" width="17.85546875" customWidth="1"/>
    <col min="7684" max="7684" width="86.7109375" customWidth="1"/>
    <col min="7685" max="7685" width="18.85546875" customWidth="1"/>
    <col min="7686" max="7686" width="14.5703125" customWidth="1"/>
    <col min="7687" max="7687" width="17.85546875" customWidth="1"/>
    <col min="7940" max="7940" width="86.7109375" customWidth="1"/>
    <col min="7941" max="7941" width="18.85546875" customWidth="1"/>
    <col min="7942" max="7942" width="14.5703125" customWidth="1"/>
    <col min="7943" max="7943" width="17.85546875" customWidth="1"/>
    <col min="8196" max="8196" width="86.7109375" customWidth="1"/>
    <col min="8197" max="8197" width="18.85546875" customWidth="1"/>
    <col min="8198" max="8198" width="14.5703125" customWidth="1"/>
    <col min="8199" max="8199" width="17.85546875" customWidth="1"/>
    <col min="8452" max="8452" width="86.7109375" customWidth="1"/>
    <col min="8453" max="8453" width="18.85546875" customWidth="1"/>
    <col min="8454" max="8454" width="14.5703125" customWidth="1"/>
    <col min="8455" max="8455" width="17.85546875" customWidth="1"/>
    <col min="8708" max="8708" width="86.7109375" customWidth="1"/>
    <col min="8709" max="8709" width="18.85546875" customWidth="1"/>
    <col min="8710" max="8710" width="14.5703125" customWidth="1"/>
    <col min="8711" max="8711" width="17.85546875" customWidth="1"/>
    <col min="8964" max="8964" width="86.7109375" customWidth="1"/>
    <col min="8965" max="8965" width="18.85546875" customWidth="1"/>
    <col min="8966" max="8966" width="14.5703125" customWidth="1"/>
    <col min="8967" max="8967" width="17.85546875" customWidth="1"/>
    <col min="9220" max="9220" width="86.7109375" customWidth="1"/>
    <col min="9221" max="9221" width="18.85546875" customWidth="1"/>
    <col min="9222" max="9222" width="14.5703125" customWidth="1"/>
    <col min="9223" max="9223" width="17.85546875" customWidth="1"/>
    <col min="9476" max="9476" width="86.7109375" customWidth="1"/>
    <col min="9477" max="9477" width="18.85546875" customWidth="1"/>
    <col min="9478" max="9478" width="14.5703125" customWidth="1"/>
    <col min="9479" max="9479" width="17.85546875" customWidth="1"/>
    <col min="9732" max="9732" width="86.7109375" customWidth="1"/>
    <col min="9733" max="9733" width="18.85546875" customWidth="1"/>
    <col min="9734" max="9734" width="14.5703125" customWidth="1"/>
    <col min="9735" max="9735" width="17.85546875" customWidth="1"/>
    <col min="9988" max="9988" width="86.7109375" customWidth="1"/>
    <col min="9989" max="9989" width="18.85546875" customWidth="1"/>
    <col min="9990" max="9990" width="14.5703125" customWidth="1"/>
    <col min="9991" max="9991" width="17.85546875" customWidth="1"/>
    <col min="10244" max="10244" width="86.7109375" customWidth="1"/>
    <col min="10245" max="10245" width="18.85546875" customWidth="1"/>
    <col min="10246" max="10246" width="14.5703125" customWidth="1"/>
    <col min="10247" max="10247" width="17.85546875" customWidth="1"/>
    <col min="10500" max="10500" width="86.7109375" customWidth="1"/>
    <col min="10501" max="10501" width="18.85546875" customWidth="1"/>
    <col min="10502" max="10502" width="14.5703125" customWidth="1"/>
    <col min="10503" max="10503" width="17.85546875" customWidth="1"/>
    <col min="10756" max="10756" width="86.7109375" customWidth="1"/>
    <col min="10757" max="10757" width="18.85546875" customWidth="1"/>
    <col min="10758" max="10758" width="14.5703125" customWidth="1"/>
    <col min="10759" max="10759" width="17.85546875" customWidth="1"/>
    <col min="11012" max="11012" width="86.7109375" customWidth="1"/>
    <col min="11013" max="11013" width="18.85546875" customWidth="1"/>
    <col min="11014" max="11014" width="14.5703125" customWidth="1"/>
    <col min="11015" max="11015" width="17.85546875" customWidth="1"/>
    <col min="11268" max="11268" width="86.7109375" customWidth="1"/>
    <col min="11269" max="11269" width="18.85546875" customWidth="1"/>
    <col min="11270" max="11270" width="14.5703125" customWidth="1"/>
    <col min="11271" max="11271" width="17.85546875" customWidth="1"/>
    <col min="11524" max="11524" width="86.7109375" customWidth="1"/>
    <col min="11525" max="11525" width="18.85546875" customWidth="1"/>
    <col min="11526" max="11526" width="14.5703125" customWidth="1"/>
    <col min="11527" max="11527" width="17.85546875" customWidth="1"/>
    <col min="11780" max="11780" width="86.7109375" customWidth="1"/>
    <col min="11781" max="11781" width="18.85546875" customWidth="1"/>
    <col min="11782" max="11782" width="14.5703125" customWidth="1"/>
    <col min="11783" max="11783" width="17.85546875" customWidth="1"/>
    <col min="12036" max="12036" width="86.7109375" customWidth="1"/>
    <col min="12037" max="12037" width="18.85546875" customWidth="1"/>
    <col min="12038" max="12038" width="14.5703125" customWidth="1"/>
    <col min="12039" max="12039" width="17.85546875" customWidth="1"/>
    <col min="12292" max="12292" width="86.7109375" customWidth="1"/>
    <col min="12293" max="12293" width="18.85546875" customWidth="1"/>
    <col min="12294" max="12294" width="14.5703125" customWidth="1"/>
    <col min="12295" max="12295" width="17.85546875" customWidth="1"/>
    <col min="12548" max="12548" width="86.7109375" customWidth="1"/>
    <col min="12549" max="12549" width="18.85546875" customWidth="1"/>
    <col min="12550" max="12550" width="14.5703125" customWidth="1"/>
    <col min="12551" max="12551" width="17.85546875" customWidth="1"/>
    <col min="12804" max="12804" width="86.7109375" customWidth="1"/>
    <col min="12805" max="12805" width="18.85546875" customWidth="1"/>
    <col min="12806" max="12806" width="14.5703125" customWidth="1"/>
    <col min="12807" max="12807" width="17.85546875" customWidth="1"/>
    <col min="13060" max="13060" width="86.7109375" customWidth="1"/>
    <col min="13061" max="13061" width="18.85546875" customWidth="1"/>
    <col min="13062" max="13062" width="14.5703125" customWidth="1"/>
    <col min="13063" max="13063" width="17.85546875" customWidth="1"/>
    <col min="13316" max="13316" width="86.7109375" customWidth="1"/>
    <col min="13317" max="13317" width="18.85546875" customWidth="1"/>
    <col min="13318" max="13318" width="14.5703125" customWidth="1"/>
    <col min="13319" max="13319" width="17.85546875" customWidth="1"/>
    <col min="13572" max="13572" width="86.7109375" customWidth="1"/>
    <col min="13573" max="13573" width="18.85546875" customWidth="1"/>
    <col min="13574" max="13574" width="14.5703125" customWidth="1"/>
    <col min="13575" max="13575" width="17.85546875" customWidth="1"/>
    <col min="13828" max="13828" width="86.7109375" customWidth="1"/>
    <col min="13829" max="13829" width="18.85546875" customWidth="1"/>
    <col min="13830" max="13830" width="14.5703125" customWidth="1"/>
    <col min="13831" max="13831" width="17.85546875" customWidth="1"/>
    <col min="14084" max="14084" width="86.7109375" customWidth="1"/>
    <col min="14085" max="14085" width="18.85546875" customWidth="1"/>
    <col min="14086" max="14086" width="14.5703125" customWidth="1"/>
    <col min="14087" max="14087" width="17.85546875" customWidth="1"/>
    <col min="14340" max="14340" width="86.7109375" customWidth="1"/>
    <col min="14341" max="14341" width="18.85546875" customWidth="1"/>
    <col min="14342" max="14342" width="14.5703125" customWidth="1"/>
    <col min="14343" max="14343" width="17.85546875" customWidth="1"/>
    <col min="14596" max="14596" width="86.7109375" customWidth="1"/>
    <col min="14597" max="14597" width="18.85546875" customWidth="1"/>
    <col min="14598" max="14598" width="14.5703125" customWidth="1"/>
    <col min="14599" max="14599" width="17.85546875" customWidth="1"/>
    <col min="14852" max="14852" width="86.7109375" customWidth="1"/>
    <col min="14853" max="14853" width="18.85546875" customWidth="1"/>
    <col min="14854" max="14854" width="14.5703125" customWidth="1"/>
    <col min="14855" max="14855" width="17.85546875" customWidth="1"/>
    <col min="15108" max="15108" width="86.7109375" customWidth="1"/>
    <col min="15109" max="15109" width="18.85546875" customWidth="1"/>
    <col min="15110" max="15110" width="14.5703125" customWidth="1"/>
    <col min="15111" max="15111" width="17.85546875" customWidth="1"/>
    <col min="15364" max="15364" width="86.7109375" customWidth="1"/>
    <col min="15365" max="15365" width="18.85546875" customWidth="1"/>
    <col min="15366" max="15366" width="14.5703125" customWidth="1"/>
    <col min="15367" max="15367" width="17.85546875" customWidth="1"/>
    <col min="15620" max="15620" width="86.7109375" customWidth="1"/>
    <col min="15621" max="15621" width="18.85546875" customWidth="1"/>
    <col min="15622" max="15622" width="14.5703125" customWidth="1"/>
    <col min="15623" max="15623" width="17.85546875" customWidth="1"/>
    <col min="15876" max="15876" width="86.7109375" customWidth="1"/>
    <col min="15877" max="15877" width="18.85546875" customWidth="1"/>
    <col min="15878" max="15878" width="14.5703125" customWidth="1"/>
    <col min="15879" max="15879" width="17.85546875" customWidth="1"/>
    <col min="16132" max="16132" width="86.7109375" customWidth="1"/>
    <col min="16133" max="16133" width="18.85546875" customWidth="1"/>
    <col min="16134" max="16134" width="14.5703125" customWidth="1"/>
    <col min="16135" max="16135" width="17.85546875" customWidth="1"/>
  </cols>
  <sheetData>
    <row r="1" spans="2:63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13"/>
      <c r="BK1" s="413"/>
    </row>
    <row r="2" spans="2:63" s="410" customFormat="1" ht="12.75" customHeight="1" x14ac:dyDescent="0.35">
      <c r="B2" s="766"/>
      <c r="C2" s="411"/>
      <c r="E2" s="766"/>
      <c r="G2" s="412"/>
      <c r="H2" s="771"/>
      <c r="I2" s="411"/>
      <c r="L2" s="412"/>
      <c r="U2" s="412"/>
      <c r="V2" s="411"/>
      <c r="Y2" s="412"/>
      <c r="AR2" s="412"/>
      <c r="AS2" s="411"/>
      <c r="AV2" s="412"/>
    </row>
    <row r="3" spans="2:63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  <c r="BI3" s="413"/>
      <c r="BJ3" s="413"/>
      <c r="BK3" s="413"/>
    </row>
    <row r="4" spans="2:63" s="410" customFormat="1" ht="10.5" customHeight="1" x14ac:dyDescent="0.35">
      <c r="B4" s="766"/>
      <c r="C4" s="411"/>
      <c r="E4" s="766"/>
      <c r="G4" s="412"/>
      <c r="H4" s="771"/>
      <c r="I4" s="411"/>
      <c r="L4" s="412"/>
      <c r="U4" s="412"/>
      <c r="V4" s="411"/>
      <c r="Y4" s="412"/>
      <c r="AR4" s="412"/>
      <c r="AS4" s="411"/>
      <c r="AV4" s="412"/>
    </row>
    <row r="5" spans="2:63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  <c r="BI5" s="414"/>
      <c r="BJ5" s="414"/>
      <c r="BK5" s="414"/>
    </row>
    <row r="6" spans="2:63" ht="18" x14ac:dyDescent="0.25">
      <c r="B6" s="767"/>
      <c r="C6" s="355"/>
    </row>
    <row r="7" spans="2:63" ht="18" customHeight="1" x14ac:dyDescent="0.25">
      <c r="B7" s="1639" t="s">
        <v>6938</v>
      </c>
      <c r="C7" s="1639"/>
      <c r="D7" s="1639"/>
      <c r="E7" s="1639"/>
      <c r="F7" s="1639"/>
      <c r="G7" s="1639"/>
      <c r="H7" s="1639"/>
      <c r="I7" s="1639"/>
      <c r="J7" s="1639"/>
    </row>
    <row r="8" spans="2:63" s="1" customFormat="1" ht="18" customHeight="1" x14ac:dyDescent="0.25">
      <c r="B8" s="1631" t="s">
        <v>6927</v>
      </c>
      <c r="C8" s="1631"/>
      <c r="D8" s="755" t="str">
        <f>DESPORC!C6</f>
        <v>01 - CÂMARA MUNICIPAL DE VEREADORES</v>
      </c>
      <c r="E8" s="770"/>
      <c r="F8" s="753"/>
      <c r="G8" s="753"/>
      <c r="H8" s="770"/>
      <c r="I8" s="753"/>
      <c r="J8" s="753"/>
    </row>
    <row r="9" spans="2:63" s="1" customFormat="1" ht="15.75" thickBot="1" x14ac:dyDescent="0.3">
      <c r="B9" s="1632" t="s">
        <v>3087</v>
      </c>
      <c r="C9" s="1632"/>
      <c r="D9" s="756" t="str">
        <f>DESPORC!C7</f>
        <v>01 - CÂMARA MUNICIPAL DE VEREADORES</v>
      </c>
      <c r="E9" s="770"/>
      <c r="F9" s="36"/>
      <c r="H9" s="772"/>
    </row>
    <row r="10" spans="2:63" s="1" customFormat="1" ht="15" customHeight="1" thickBot="1" x14ac:dyDescent="0.3">
      <c r="B10" s="1633" t="s">
        <v>6943</v>
      </c>
      <c r="C10" s="1634"/>
      <c r="D10" s="1635"/>
      <c r="E10" s="1633" t="s">
        <v>7070</v>
      </c>
      <c r="F10" s="1634"/>
      <c r="G10" s="1635"/>
      <c r="H10" s="1633" t="s">
        <v>7069</v>
      </c>
      <c r="I10" s="1634"/>
      <c r="J10" s="1635"/>
    </row>
    <row r="11" spans="2:63" s="1" customFormat="1" ht="15" customHeight="1" x14ac:dyDescent="0.25">
      <c r="B11" s="1628" t="s">
        <v>3137</v>
      </c>
      <c r="C11" s="1615" t="str">
        <f>'[3]Anexo I - Programas'!$B$9</f>
        <v>001</v>
      </c>
      <c r="D11" s="1629" t="str">
        <f>'[3]Anexo I - Programas'!$C$9</f>
        <v>GESTÃO, COORDENAÇÃO, PLANEJAMENTO E APOIO AO PROCESSO LEGISLATIVO</v>
      </c>
      <c r="E11" s="1628" t="s">
        <v>3137</v>
      </c>
      <c r="F11" s="1615" t="str">
        <f>C11</f>
        <v>001</v>
      </c>
      <c r="G11" s="1617" t="str">
        <f>D11</f>
        <v>GESTÃO, COORDENAÇÃO, PLANEJAMENTO E APOIO AO PROCESSO LEGISLATIVO</v>
      </c>
      <c r="H11" s="773" t="s">
        <v>3138</v>
      </c>
      <c r="I11" s="757">
        <f>DESPORC!C10</f>
        <v>1</v>
      </c>
      <c r="J11" s="758" t="str">
        <f>DESPORC!D10</f>
        <v>Legislativa</v>
      </c>
    </row>
    <row r="12" spans="2:63" s="1" customFormat="1" ht="15" customHeight="1" x14ac:dyDescent="0.25">
      <c r="B12" s="1619"/>
      <c r="C12" s="1616"/>
      <c r="D12" s="1630"/>
      <c r="E12" s="1619"/>
      <c r="F12" s="1616"/>
      <c r="G12" s="1618"/>
      <c r="H12" s="774" t="s">
        <v>6940</v>
      </c>
      <c r="I12" s="759">
        <f>DESPORC!C11</f>
        <v>31</v>
      </c>
      <c r="J12" s="760" t="str">
        <f>DESPORC!D11</f>
        <v>Ação Legislativa</v>
      </c>
    </row>
    <row r="13" spans="2:63" s="634" customFormat="1" ht="33.75" customHeight="1" x14ac:dyDescent="0.25">
      <c r="B13" s="1619" t="s">
        <v>6941</v>
      </c>
      <c r="C13" s="1616">
        <f>'[3]Anexo I - Programas'!$C$18</f>
        <v>1001</v>
      </c>
      <c r="D13" s="1622" t="str">
        <f>'[3]Anexo I - Programas'!$D$18</f>
        <v>Realização de Novos Investimentos do Poder Legislativo</v>
      </c>
      <c r="E13" s="1619" t="s">
        <v>6941</v>
      </c>
      <c r="F13" s="1616">
        <f>C13</f>
        <v>1001</v>
      </c>
      <c r="G13" s="1618" t="str">
        <f>D13</f>
        <v>Realização de Novos Investimentos do Poder Legislativo</v>
      </c>
      <c r="H13" s="775" t="s">
        <v>3137</v>
      </c>
      <c r="I13" s="761" t="str">
        <f>F11</f>
        <v>001</v>
      </c>
      <c r="J13" s="762" t="str">
        <f>G11</f>
        <v>GESTÃO, COORDENAÇÃO, PLANEJAMENTO E APOIO AO PROCESSO LEGISLATIVO</v>
      </c>
    </row>
    <row r="14" spans="2:63" s="634" customFormat="1" ht="26.25" customHeight="1" thickBot="1" x14ac:dyDescent="0.3">
      <c r="B14" s="1620"/>
      <c r="C14" s="1621"/>
      <c r="D14" s="1623"/>
      <c r="E14" s="1620"/>
      <c r="F14" s="1621"/>
      <c r="G14" s="1624"/>
      <c r="H14" s="776" t="s">
        <v>6941</v>
      </c>
      <c r="I14" s="763">
        <f>F13</f>
        <v>1001</v>
      </c>
      <c r="J14" s="764" t="str">
        <f>G13</f>
        <v>Realização de Novos Investimentos do Poder Legislativo</v>
      </c>
    </row>
    <row r="15" spans="2:63" s="274" customFormat="1" x14ac:dyDescent="0.25">
      <c r="B15" s="768" t="s">
        <v>6939</v>
      </c>
      <c r="C15" s="1636">
        <f>'[3]Anexo I - Programas'!$H$19</f>
        <v>618897.80000000005</v>
      </c>
      <c r="D15" s="1638"/>
      <c r="E15" s="768" t="s">
        <v>6939</v>
      </c>
      <c r="F15" s="1636">
        <f>'[3]Anexo I - Programas'!$J$19</f>
        <v>147607.1153</v>
      </c>
      <c r="G15" s="1637"/>
      <c r="H15" s="777" t="s">
        <v>6939</v>
      </c>
      <c r="I15" s="1636">
        <f>DESPORC!I13</f>
        <v>43402.642999999989</v>
      </c>
      <c r="J15" s="1637"/>
    </row>
    <row r="16" spans="2:63" s="1" customFormat="1" x14ac:dyDescent="0.25">
      <c r="B16" s="1619" t="s">
        <v>3137</v>
      </c>
      <c r="C16" s="1616" t="str">
        <f>'[3]Anexo I - Programas'!$B$9</f>
        <v>001</v>
      </c>
      <c r="D16" s="1630" t="str">
        <f>'[3]Anexo I - Programas'!$C$9</f>
        <v>GESTÃO, COORDENAÇÃO, PLANEJAMENTO E APOIO AO PROCESSO LEGISLATIVO</v>
      </c>
      <c r="E16" s="1619" t="s">
        <v>3137</v>
      </c>
      <c r="F16" s="1616" t="str">
        <f>C16</f>
        <v>001</v>
      </c>
      <c r="G16" s="1618" t="str">
        <f>D16</f>
        <v>GESTÃO, COORDENAÇÃO, PLANEJAMENTO E APOIO AO PROCESSO LEGISLATIVO</v>
      </c>
      <c r="H16" s="774" t="s">
        <v>3138</v>
      </c>
      <c r="I16" s="759">
        <f>DESPORC!C24</f>
        <v>1</v>
      </c>
      <c r="J16" s="760" t="str">
        <f>DESPORC!D15</f>
        <v>Custo de Aquis.:Material De Consumo</v>
      </c>
    </row>
    <row r="17" spans="2:10" s="1" customFormat="1" x14ac:dyDescent="0.25">
      <c r="B17" s="1619"/>
      <c r="C17" s="1616"/>
      <c r="D17" s="1630"/>
      <c r="E17" s="1619"/>
      <c r="F17" s="1616"/>
      <c r="G17" s="1618"/>
      <c r="H17" s="774" t="s">
        <v>6940</v>
      </c>
      <c r="I17" s="759">
        <f>DESPORC!C25</f>
        <v>31</v>
      </c>
      <c r="J17" s="760" t="str">
        <f>DESPORC!D16</f>
        <v>Custo de Aquis.: Servicos - Pessoa Fisica</v>
      </c>
    </row>
    <row r="18" spans="2:10" s="1" customFormat="1" x14ac:dyDescent="0.25">
      <c r="B18" s="1619" t="s">
        <v>6941</v>
      </c>
      <c r="C18" s="1616">
        <f>'[3]Anexo I - Programas'!$C$23</f>
        <v>2001</v>
      </c>
      <c r="D18" s="1622" t="str">
        <f>'[3]Anexo I - Programas'!$D$23</f>
        <v>APOIO E MANUTENÇÃO AO PROCESSO LEGISLATIVO</v>
      </c>
      <c r="E18" s="1619" t="s">
        <v>6941</v>
      </c>
      <c r="F18" s="1616">
        <f>C18</f>
        <v>2001</v>
      </c>
      <c r="G18" s="1618" t="str">
        <f>D18</f>
        <v>APOIO E MANUTENÇÃO AO PROCESSO LEGISLATIVO</v>
      </c>
      <c r="H18" s="775" t="s">
        <v>3137</v>
      </c>
      <c r="I18" s="761">
        <f>DESPORC!C26</f>
        <v>1</v>
      </c>
      <c r="J18" s="762" t="str">
        <f>DESPORC!D26</f>
        <v>GESTÃO, COOR., PLAN. E APOIO AO PROC. LEGISLATIVO</v>
      </c>
    </row>
    <row r="19" spans="2:10" s="1" customFormat="1" x14ac:dyDescent="0.25">
      <c r="B19" s="1619"/>
      <c r="C19" s="1616"/>
      <c r="D19" s="1622"/>
      <c r="E19" s="1619"/>
      <c r="F19" s="1616"/>
      <c r="G19" s="1618"/>
      <c r="H19" s="775" t="s">
        <v>6941</v>
      </c>
      <c r="I19" s="761">
        <f>F18</f>
        <v>2001</v>
      </c>
      <c r="J19" s="762" t="str">
        <f>G18</f>
        <v>APOIO E MANUTENÇÃO AO PROCESSO LEGISLATIVO</v>
      </c>
    </row>
    <row r="20" spans="2:10" s="1" customFormat="1" ht="15.75" thickBot="1" x14ac:dyDescent="0.3">
      <c r="B20" s="769" t="s">
        <v>6939</v>
      </c>
      <c r="C20" s="1625">
        <f>'[3]Anexo I - Programas'!$H$24</f>
        <v>2475591.2000000002</v>
      </c>
      <c r="D20" s="1626"/>
      <c r="E20" s="769" t="s">
        <v>6939</v>
      </c>
      <c r="F20" s="1625">
        <f>'[3]Anexo I - Programas'!$J$24</f>
        <v>618897.80000000005</v>
      </c>
      <c r="G20" s="1627"/>
      <c r="H20" s="778" t="s">
        <v>6939</v>
      </c>
      <c r="I20" s="1625">
        <f>DESPORC!I27</f>
        <v>965758.12239815353</v>
      </c>
      <c r="J20" s="1627"/>
    </row>
    <row r="22" spans="2:10" x14ac:dyDescent="0.25">
      <c r="B22" s="787"/>
      <c r="C22" s="788"/>
      <c r="E22" s="787"/>
      <c r="H22" s="787"/>
    </row>
    <row r="23" spans="2:10" x14ac:dyDescent="0.25">
      <c r="B23" s="787"/>
      <c r="C23" s="788"/>
      <c r="E23" s="787"/>
      <c r="H23" s="787"/>
    </row>
    <row r="24" spans="2:10" s="1" customFormat="1" ht="18" customHeight="1" x14ac:dyDescent="0.25">
      <c r="B24" s="1631" t="s">
        <v>6927</v>
      </c>
      <c r="C24" s="1631"/>
      <c r="D24" s="755" t="str">
        <f>DESPORC!C105</f>
        <v>02 - PREFEITURA MUNICIPAL DE CHUVISCA</v>
      </c>
      <c r="E24" s="770"/>
      <c r="F24" s="753"/>
      <c r="G24" s="753"/>
      <c r="H24" s="770"/>
      <c r="I24" s="753"/>
      <c r="J24" s="753"/>
    </row>
    <row r="25" spans="2:10" s="1" customFormat="1" ht="15.75" thickBot="1" x14ac:dyDescent="0.3">
      <c r="B25" s="1632" t="s">
        <v>3087</v>
      </c>
      <c r="C25" s="1632"/>
      <c r="D25" s="755" t="str">
        <f>DESPORC!C106</f>
        <v>01 - Gabinte do Prefeito</v>
      </c>
      <c r="E25" s="770"/>
      <c r="F25" s="36"/>
      <c r="H25" s="772"/>
    </row>
    <row r="26" spans="2:10" s="1" customFormat="1" ht="15" customHeight="1" thickBot="1" x14ac:dyDescent="0.3">
      <c r="B26" s="1633" t="str">
        <f>B$10</f>
        <v>PPA LEI MUNICIPAL N.º 1091  DE 16 DE JUNHO DE 2017.</v>
      </c>
      <c r="C26" s="1634"/>
      <c r="D26" s="1635"/>
      <c r="E26" s="1633" t="str">
        <f>E$10</f>
        <v>LDO LEI MUNICIPAL N.º 1166  DE 10 DE OUTUBRO DE 2019.</v>
      </c>
      <c r="F26" s="1634"/>
      <c r="G26" s="1635"/>
      <c r="H26" s="1633" t="str">
        <f>H$10</f>
        <v>LOA 2020</v>
      </c>
      <c r="I26" s="1634"/>
      <c r="J26" s="1635"/>
    </row>
    <row r="27" spans="2:10" s="1" customFormat="1" ht="15" customHeight="1" x14ac:dyDescent="0.25">
      <c r="B27" s="1628" t="s">
        <v>3137</v>
      </c>
      <c r="C27" s="1615" t="str">
        <f>'[3]Anexo I - Programas'!$B$60</f>
        <v>003</v>
      </c>
      <c r="D27" s="1629" t="str">
        <f>'[3]Anexo I - Programas'!$C$60</f>
        <v xml:space="preserve">GESTÃO, COORDENAÇÃO E PLANEJAMENTO </v>
      </c>
      <c r="E27" s="1628" t="s">
        <v>3137</v>
      </c>
      <c r="F27" s="1615" t="str">
        <f>C27</f>
        <v>003</v>
      </c>
      <c r="G27" s="1617" t="str">
        <f>D27</f>
        <v xml:space="preserve">GESTÃO, COORDENAÇÃO E PLANEJAMENTO </v>
      </c>
      <c r="H27" s="773" t="s">
        <v>3138</v>
      </c>
      <c r="I27" s="757">
        <f>DESPORC!C109</f>
        <v>4</v>
      </c>
      <c r="J27" s="765" t="str">
        <f>DESPORC!D109</f>
        <v>Administração</v>
      </c>
    </row>
    <row r="28" spans="2:10" s="1" customFormat="1" ht="15" customHeight="1" x14ac:dyDescent="0.25">
      <c r="B28" s="1619"/>
      <c r="C28" s="1616"/>
      <c r="D28" s="1630"/>
      <c r="E28" s="1619"/>
      <c r="F28" s="1616"/>
      <c r="G28" s="1618"/>
      <c r="H28" s="774" t="s">
        <v>6940</v>
      </c>
      <c r="I28" s="757">
        <f>DESPORC!C110</f>
        <v>122</v>
      </c>
      <c r="J28" s="765" t="str">
        <f>DESPORC!D110</f>
        <v>Administração Geral</v>
      </c>
    </row>
    <row r="29" spans="2:10" s="634" customFormat="1" ht="33.75" customHeight="1" x14ac:dyDescent="0.25">
      <c r="B29" s="1619" t="s">
        <v>6941</v>
      </c>
      <c r="C29" s="1616">
        <f>'[3]Anexo I - Programas'!$C$69</f>
        <v>1002</v>
      </c>
      <c r="D29" s="1622" t="str">
        <f>'[3]Anexo I - Programas'!$D$69</f>
        <v>Realização de Novos Investimentos do Poder Executivo</v>
      </c>
      <c r="E29" s="1619" t="s">
        <v>6941</v>
      </c>
      <c r="F29" s="1616">
        <f>C29</f>
        <v>1002</v>
      </c>
      <c r="G29" s="1618" t="str">
        <f>D29</f>
        <v>Realização de Novos Investimentos do Poder Executivo</v>
      </c>
      <c r="H29" s="775" t="s">
        <v>3137</v>
      </c>
      <c r="I29" s="761" t="str">
        <f>F27</f>
        <v>003</v>
      </c>
      <c r="J29" s="762" t="str">
        <f>G27</f>
        <v xml:space="preserve">GESTÃO, COORDENAÇÃO E PLANEJAMENTO </v>
      </c>
    </row>
    <row r="30" spans="2:10" s="634" customFormat="1" ht="26.25" customHeight="1" x14ac:dyDescent="0.25">
      <c r="B30" s="1620"/>
      <c r="C30" s="1621"/>
      <c r="D30" s="1623"/>
      <c r="E30" s="1620"/>
      <c r="F30" s="1621"/>
      <c r="G30" s="1624"/>
      <c r="H30" s="776" t="s">
        <v>6941</v>
      </c>
      <c r="I30" s="763">
        <f>F29</f>
        <v>1002</v>
      </c>
      <c r="J30" s="764" t="str">
        <f>G29</f>
        <v>Realização de Novos Investimentos do Poder Executivo</v>
      </c>
    </row>
    <row r="31" spans="2:10" s="274" customFormat="1" ht="15.75" thickBot="1" x14ac:dyDescent="0.3">
      <c r="B31" s="769" t="s">
        <v>6939</v>
      </c>
      <c r="C31" s="1625">
        <f>'[3]Anexo I - Programas'!$H$70</f>
        <v>1600000</v>
      </c>
      <c r="D31" s="1626"/>
      <c r="E31" s="769" t="s">
        <v>6939</v>
      </c>
      <c r="F31" s="1625">
        <f>'[3]Anexo I - Programas'!$J$70</f>
        <v>400000</v>
      </c>
      <c r="G31" s="1627"/>
      <c r="H31" s="778" t="s">
        <v>6939</v>
      </c>
      <c r="I31" s="1625">
        <f>DESPORC!I112</f>
        <v>7.5999999999999998E-2</v>
      </c>
      <c r="J31" s="1627"/>
    </row>
    <row r="32" spans="2:10" s="1" customFormat="1" x14ac:dyDescent="0.25">
      <c r="B32" s="1628" t="s">
        <v>3137</v>
      </c>
      <c r="C32" s="1615" t="str">
        <f>'[3]Anexo I - Programas'!$B$685</f>
        <v>22</v>
      </c>
      <c r="D32" s="1629" t="str">
        <f>'[3]Anexo I - Programas'!$C$685</f>
        <v>GESTÃO E DESENVOLVIMENTO DA PROTEÇÃO E SEGURANÇA DA POPULACAO</v>
      </c>
      <c r="E32" s="1628" t="s">
        <v>3137</v>
      </c>
      <c r="F32" s="1615" t="str">
        <f>C32</f>
        <v>22</v>
      </c>
      <c r="G32" s="1617" t="str">
        <f>D32</f>
        <v>GESTÃO E DESENVOLVIMENTO DA PROTEÇÃO E SEGURANÇA DA POPULACAO</v>
      </c>
      <c r="H32" s="773" t="s">
        <v>3138</v>
      </c>
      <c r="I32" s="757">
        <f>DESPORC!C119</f>
        <v>4</v>
      </c>
      <c r="J32" s="758" t="str">
        <f>DESPORC!D119</f>
        <v>Administração</v>
      </c>
    </row>
    <row r="33" spans="2:10" s="1" customFormat="1" x14ac:dyDescent="0.25">
      <c r="B33" s="1619"/>
      <c r="C33" s="1616"/>
      <c r="D33" s="1630"/>
      <c r="E33" s="1619"/>
      <c r="F33" s="1616"/>
      <c r="G33" s="1618"/>
      <c r="H33" s="774" t="s">
        <v>6940</v>
      </c>
      <c r="I33" s="759">
        <f>DESPORC!C120</f>
        <v>122</v>
      </c>
      <c r="J33" s="760" t="str">
        <f>DESPORC!D120</f>
        <v>Administração Geral</v>
      </c>
    </row>
    <row r="34" spans="2:10" s="1" customFormat="1" ht="30" x14ac:dyDescent="0.25">
      <c r="B34" s="1619" t="s">
        <v>6941</v>
      </c>
      <c r="C34" s="1616">
        <f>'[3]Anexo I - Programas'!$C$694</f>
        <v>1017</v>
      </c>
      <c r="D34" s="1622" t="str">
        <f>'[3]Anexo I - Programas'!$D$694</f>
        <v>Novos Investimentos em Proteção e Segurança</v>
      </c>
      <c r="E34" s="1619" t="s">
        <v>6941</v>
      </c>
      <c r="F34" s="1616">
        <f>C34</f>
        <v>1017</v>
      </c>
      <c r="G34" s="1618" t="str">
        <f>D34</f>
        <v>Novos Investimentos em Proteção e Segurança</v>
      </c>
      <c r="H34" s="775" t="s">
        <v>3137</v>
      </c>
      <c r="I34" s="761" t="str">
        <f>F32</f>
        <v>22</v>
      </c>
      <c r="J34" s="762" t="str">
        <f>G32</f>
        <v>GESTÃO E DESENVOLVIMENTO DA PROTEÇÃO E SEGURANÇA DA POPULACAO</v>
      </c>
    </row>
    <row r="35" spans="2:10" s="1" customFormat="1" x14ac:dyDescent="0.25">
      <c r="B35" s="1619"/>
      <c r="C35" s="1616"/>
      <c r="D35" s="1622"/>
      <c r="E35" s="1619"/>
      <c r="F35" s="1616"/>
      <c r="G35" s="1618"/>
      <c r="H35" s="775" t="s">
        <v>6941</v>
      </c>
      <c r="I35" s="761">
        <f>F34</f>
        <v>1017</v>
      </c>
      <c r="J35" s="762" t="str">
        <f>G34</f>
        <v>Novos Investimentos em Proteção e Segurança</v>
      </c>
    </row>
    <row r="36" spans="2:10" s="1" customFormat="1" ht="15.75" thickBot="1" x14ac:dyDescent="0.3">
      <c r="B36" s="769" t="s">
        <v>6939</v>
      </c>
      <c r="C36" s="1625">
        <f>'[3]Anexo I - Programas'!$H$695</f>
        <v>50000</v>
      </c>
      <c r="D36" s="1626"/>
      <c r="E36" s="769" t="s">
        <v>6939</v>
      </c>
      <c r="F36" s="1625">
        <f>'[3]Anexo I - Programas'!$J$695</f>
        <v>12500</v>
      </c>
      <c r="G36" s="1627"/>
      <c r="H36" s="778" t="s">
        <v>6939</v>
      </c>
      <c r="I36" s="1625">
        <f>DESPORC!I122+DESPORC!I133</f>
        <v>0.14599999999999999</v>
      </c>
      <c r="J36" s="1627"/>
    </row>
    <row r="37" spans="2:10" x14ac:dyDescent="0.25">
      <c r="B37" s="1619" t="s">
        <v>3137</v>
      </c>
      <c r="C37" s="1616" t="str">
        <f>'[3]Anexo I - Programas'!$B$60</f>
        <v>003</v>
      </c>
      <c r="D37" s="1630" t="str">
        <f>'[3]Anexo I - Programas'!$C$60</f>
        <v xml:space="preserve">GESTÃO, COORDENAÇÃO E PLANEJAMENTO </v>
      </c>
      <c r="E37" s="1619" t="s">
        <v>3137</v>
      </c>
      <c r="F37" s="1616" t="str">
        <f>C37</f>
        <v>003</v>
      </c>
      <c r="G37" s="1618" t="str">
        <f>D37</f>
        <v xml:space="preserve">GESTÃO, COORDENAÇÃO E PLANEJAMENTO </v>
      </c>
      <c r="H37" s="774" t="s">
        <v>3138</v>
      </c>
      <c r="I37" s="759">
        <f>DESPORC!C140</f>
        <v>4</v>
      </c>
      <c r="J37" s="760" t="str">
        <f>DESPORC!D140</f>
        <v>Administração</v>
      </c>
    </row>
    <row r="38" spans="2:10" x14ac:dyDescent="0.25">
      <c r="B38" s="1619"/>
      <c r="C38" s="1616"/>
      <c r="D38" s="1630"/>
      <c r="E38" s="1619"/>
      <c r="F38" s="1616"/>
      <c r="G38" s="1618"/>
      <c r="H38" s="774" t="s">
        <v>6940</v>
      </c>
      <c r="I38" s="759">
        <f>DESPORC!C141</f>
        <v>122</v>
      </c>
      <c r="J38" s="760" t="str">
        <f>DESPORC!D141</f>
        <v>Administração Geral</v>
      </c>
    </row>
    <row r="39" spans="2:10" x14ac:dyDescent="0.25">
      <c r="B39" s="1619" t="s">
        <v>6941</v>
      </c>
      <c r="C39" s="1616">
        <f>'[3]Anexo I - Programas'!$C$74</f>
        <v>2002</v>
      </c>
      <c r="D39" s="1622" t="str">
        <f>'[3]Anexo I - Programas'!$D$74</f>
        <v xml:space="preserve">GESTÃO , APOIO E MANUTENÇÃO , COORDENAÇÃO E PLANEJAMENTO </v>
      </c>
      <c r="E39" s="1619" t="s">
        <v>6941</v>
      </c>
      <c r="F39" s="1616">
        <f>C39</f>
        <v>2002</v>
      </c>
      <c r="G39" s="1618" t="str">
        <f>D39</f>
        <v xml:space="preserve">GESTÃO , APOIO E MANUTENÇÃO , COORDENAÇÃO E PLANEJAMENTO </v>
      </c>
      <c r="H39" s="775" t="s">
        <v>3137</v>
      </c>
      <c r="I39" s="761" t="str">
        <f>F37</f>
        <v>003</v>
      </c>
      <c r="J39" s="762" t="str">
        <f>G37</f>
        <v xml:space="preserve">GESTÃO, COORDENAÇÃO E PLANEJAMENTO </v>
      </c>
    </row>
    <row r="40" spans="2:10" ht="30" x14ac:dyDescent="0.25">
      <c r="B40" s="1619"/>
      <c r="C40" s="1616"/>
      <c r="D40" s="1622"/>
      <c r="E40" s="1619"/>
      <c r="F40" s="1616"/>
      <c r="G40" s="1618"/>
      <c r="H40" s="775" t="s">
        <v>6941</v>
      </c>
      <c r="I40" s="761">
        <f>F39</f>
        <v>2002</v>
      </c>
      <c r="J40" s="762" t="str">
        <f>G39</f>
        <v xml:space="preserve">GESTÃO , APOIO E MANUTENÇÃO , COORDENAÇÃO E PLANEJAMENTO </v>
      </c>
    </row>
    <row r="41" spans="2:10" ht="15.75" thickBot="1" x14ac:dyDescent="0.3">
      <c r="B41" s="769" t="s">
        <v>6939</v>
      </c>
      <c r="C41" s="1625">
        <f>'[3]Anexo I - Programas'!$H$75</f>
        <v>10370000</v>
      </c>
      <c r="D41" s="1626"/>
      <c r="E41" s="769" t="s">
        <v>6939</v>
      </c>
      <c r="F41" s="1625">
        <f>'[3]Anexo I - Programas'!$J$75</f>
        <v>2592500</v>
      </c>
      <c r="G41" s="1627"/>
      <c r="H41" s="778" t="s">
        <v>6939</v>
      </c>
      <c r="I41" s="1625">
        <f>DESPORC!I143</f>
        <v>444043.30915756017</v>
      </c>
      <c r="J41" s="1627"/>
    </row>
    <row r="42" spans="2:10" x14ac:dyDescent="0.25">
      <c r="B42" s="1619" t="s">
        <v>3137</v>
      </c>
      <c r="C42" s="1616" t="str">
        <f>'[3]Anexo I - Programas'!$B$60</f>
        <v>003</v>
      </c>
      <c r="D42" s="1630" t="str">
        <f>'[3]Anexo I - Programas'!$C$60</f>
        <v xml:space="preserve">GESTÃO, COORDENAÇÃO E PLANEJAMENTO </v>
      </c>
      <c r="E42" s="1619" t="s">
        <v>3137</v>
      </c>
      <c r="F42" s="1616" t="str">
        <f>C42</f>
        <v>003</v>
      </c>
      <c r="G42" s="1618" t="str">
        <f>D42</f>
        <v xml:space="preserve">GESTÃO, COORDENAÇÃO E PLANEJAMENTO </v>
      </c>
      <c r="H42" s="774" t="s">
        <v>3138</v>
      </c>
      <c r="I42" s="759">
        <f>DESPORC!C207</f>
        <v>4</v>
      </c>
      <c r="J42" s="760" t="str">
        <f>DESPORC!D207</f>
        <v>Administração</v>
      </c>
    </row>
    <row r="43" spans="2:10" x14ac:dyDescent="0.25">
      <c r="B43" s="1619"/>
      <c r="C43" s="1616"/>
      <c r="D43" s="1630"/>
      <c r="E43" s="1619"/>
      <c r="F43" s="1616"/>
      <c r="G43" s="1618"/>
      <c r="H43" s="774" t="s">
        <v>6940</v>
      </c>
      <c r="I43" s="759">
        <f>DESPORC!C208</f>
        <v>124</v>
      </c>
      <c r="J43" s="760" t="str">
        <f>DESPORC!D208</f>
        <v>Controle Interno</v>
      </c>
    </row>
    <row r="44" spans="2:10" x14ac:dyDescent="0.25">
      <c r="B44" s="1619" t="s">
        <v>6941</v>
      </c>
      <c r="C44" s="1616">
        <f>'[3]Anexo I - Programas'!$C$74</f>
        <v>2002</v>
      </c>
      <c r="D44" s="1622" t="str">
        <f>'[3]Anexo I - Programas'!$D$74</f>
        <v xml:space="preserve">GESTÃO , APOIO E MANUTENÇÃO , COORDENAÇÃO E PLANEJAMENTO </v>
      </c>
      <c r="E44" s="1619" t="s">
        <v>6941</v>
      </c>
      <c r="F44" s="1616">
        <f>C44</f>
        <v>2002</v>
      </c>
      <c r="G44" s="1618" t="str">
        <f>D44</f>
        <v xml:space="preserve">GESTÃO , APOIO E MANUTENÇÃO , COORDENAÇÃO E PLANEJAMENTO </v>
      </c>
      <c r="H44" s="775" t="s">
        <v>3137</v>
      </c>
      <c r="I44" s="761" t="str">
        <f>F42</f>
        <v>003</v>
      </c>
      <c r="J44" s="762" t="str">
        <f>G42</f>
        <v xml:space="preserve">GESTÃO, COORDENAÇÃO E PLANEJAMENTO </v>
      </c>
    </row>
    <row r="45" spans="2:10" ht="30" x14ac:dyDescent="0.25">
      <c r="B45" s="1619"/>
      <c r="C45" s="1616"/>
      <c r="D45" s="1622"/>
      <c r="E45" s="1619"/>
      <c r="F45" s="1616"/>
      <c r="G45" s="1618"/>
      <c r="H45" s="775" t="s">
        <v>6941</v>
      </c>
      <c r="I45" s="761">
        <f>F44</f>
        <v>2002</v>
      </c>
      <c r="J45" s="762" t="str">
        <f>G44</f>
        <v xml:space="preserve">GESTÃO , APOIO E MANUTENÇÃO , COORDENAÇÃO E PLANEJAMENTO </v>
      </c>
    </row>
    <row r="46" spans="2:10" ht="15.75" thickBot="1" x14ac:dyDescent="0.3">
      <c r="B46" s="769" t="s">
        <v>6939</v>
      </c>
      <c r="C46" s="1625">
        <f>'[3]Anexo I - Programas'!$H$75</f>
        <v>10370000</v>
      </c>
      <c r="D46" s="1626"/>
      <c r="E46" s="769" t="s">
        <v>6939</v>
      </c>
      <c r="F46" s="1625">
        <f>'[3]Anexo I - Programas'!$J$75</f>
        <v>2592500</v>
      </c>
      <c r="G46" s="1627"/>
      <c r="H46" s="778" t="s">
        <v>6939</v>
      </c>
      <c r="I46" s="1625">
        <f>DESPORC!I210</f>
        <v>26265.189111475935</v>
      </c>
      <c r="J46" s="1627"/>
    </row>
    <row r="47" spans="2:10" x14ac:dyDescent="0.25">
      <c r="B47" s="1619" t="s">
        <v>3137</v>
      </c>
      <c r="C47" s="1616" t="str">
        <f>'[3]Anexo I - Programas'!$B$60</f>
        <v>003</v>
      </c>
      <c r="D47" s="1630" t="str">
        <f>'[3]Anexo I - Programas'!$C$60</f>
        <v xml:space="preserve">GESTÃO, COORDENAÇÃO E PLANEJAMENTO </v>
      </c>
      <c r="E47" s="1619" t="s">
        <v>3137</v>
      </c>
      <c r="F47" s="1616" t="str">
        <f>C47</f>
        <v>003</v>
      </c>
      <c r="G47" s="1618" t="str">
        <f>D47</f>
        <v xml:space="preserve">GESTÃO, COORDENAÇÃO E PLANEJAMENTO </v>
      </c>
      <c r="H47" s="774" t="s">
        <v>3138</v>
      </c>
      <c r="I47" s="759">
        <f>DESPORC!C226</f>
        <v>4</v>
      </c>
      <c r="J47" s="760" t="str">
        <f>DESPORC!D226</f>
        <v>Administração</v>
      </c>
    </row>
    <row r="48" spans="2:10" x14ac:dyDescent="0.25">
      <c r="B48" s="1619"/>
      <c r="C48" s="1616"/>
      <c r="D48" s="1630"/>
      <c r="E48" s="1619"/>
      <c r="F48" s="1616"/>
      <c r="G48" s="1618"/>
      <c r="H48" s="774" t="s">
        <v>6940</v>
      </c>
      <c r="I48" s="759">
        <f>DESPORC!C227</f>
        <v>126</v>
      </c>
      <c r="J48" s="760" t="str">
        <f>DESPORC!D227</f>
        <v>Tecnologia da Informação</v>
      </c>
    </row>
    <row r="49" spans="2:10" x14ac:dyDescent="0.25">
      <c r="B49" s="1619" t="s">
        <v>6941</v>
      </c>
      <c r="C49" s="1616">
        <f>'[3]Anexo I - Programas'!$C$74</f>
        <v>2002</v>
      </c>
      <c r="D49" s="1622" t="str">
        <f>'[3]Anexo I - Programas'!$D$74</f>
        <v xml:space="preserve">GESTÃO , APOIO E MANUTENÇÃO , COORDENAÇÃO E PLANEJAMENTO </v>
      </c>
      <c r="E49" s="1619" t="s">
        <v>6941</v>
      </c>
      <c r="F49" s="1616">
        <f>C49</f>
        <v>2002</v>
      </c>
      <c r="G49" s="1618" t="str">
        <f>D49</f>
        <v xml:space="preserve">GESTÃO , APOIO E MANUTENÇÃO , COORDENAÇÃO E PLANEJAMENTO </v>
      </c>
      <c r="H49" s="775" t="s">
        <v>3137</v>
      </c>
      <c r="I49" s="761" t="str">
        <f>F47</f>
        <v>003</v>
      </c>
      <c r="J49" s="762" t="str">
        <f>G47</f>
        <v xml:space="preserve">GESTÃO, COORDENAÇÃO E PLANEJAMENTO </v>
      </c>
    </row>
    <row r="50" spans="2:10" ht="30" x14ac:dyDescent="0.25">
      <c r="B50" s="1619"/>
      <c r="C50" s="1616"/>
      <c r="D50" s="1622"/>
      <c r="E50" s="1619"/>
      <c r="F50" s="1616"/>
      <c r="G50" s="1618"/>
      <c r="H50" s="775" t="s">
        <v>6941</v>
      </c>
      <c r="I50" s="761">
        <f>F49</f>
        <v>2002</v>
      </c>
      <c r="J50" s="762" t="str">
        <f>G49</f>
        <v xml:space="preserve">GESTÃO , APOIO E MANUTENÇÃO , COORDENAÇÃO E PLANEJAMENTO </v>
      </c>
    </row>
    <row r="51" spans="2:10" ht="15.75" thickBot="1" x14ac:dyDescent="0.3">
      <c r="B51" s="769" t="s">
        <v>6939</v>
      </c>
      <c r="C51" s="1625">
        <f>'[3]Anexo I - Programas'!$H$75</f>
        <v>10370000</v>
      </c>
      <c r="D51" s="1626"/>
      <c r="E51" s="769" t="s">
        <v>6939</v>
      </c>
      <c r="F51" s="1625">
        <f>'[3]Anexo I - Programas'!$J$75</f>
        <v>2592500</v>
      </c>
      <c r="G51" s="1627"/>
      <c r="H51" s="778" t="s">
        <v>6939</v>
      </c>
      <c r="I51" s="1625">
        <f>DESPORC!I229</f>
        <v>4.3893611999999999E-2</v>
      </c>
      <c r="J51" s="1627"/>
    </row>
    <row r="52" spans="2:10" x14ac:dyDescent="0.25">
      <c r="B52" s="1619" t="s">
        <v>3137</v>
      </c>
      <c r="C52" s="1616" t="str">
        <f>'[3]Anexo I - Programas'!$B$60</f>
        <v>003</v>
      </c>
      <c r="D52" s="1630" t="str">
        <f>'[3]Anexo I - Programas'!$C$60</f>
        <v xml:space="preserve">GESTÃO, COORDENAÇÃO E PLANEJAMENTO </v>
      </c>
      <c r="E52" s="1619" t="s">
        <v>3137</v>
      </c>
      <c r="F52" s="1616" t="str">
        <f>C52</f>
        <v>003</v>
      </c>
      <c r="G52" s="1618" t="str">
        <f>D52</f>
        <v xml:space="preserve">GESTÃO, COORDENAÇÃO E PLANEJAMENTO </v>
      </c>
      <c r="H52" s="774" t="s">
        <v>3138</v>
      </c>
      <c r="I52" s="759">
        <f>DESPORC!C235</f>
        <v>4</v>
      </c>
      <c r="J52" s="760" t="str">
        <f>DESPORC!D235</f>
        <v>Administração</v>
      </c>
    </row>
    <row r="53" spans="2:10" x14ac:dyDescent="0.25">
      <c r="B53" s="1619"/>
      <c r="C53" s="1616"/>
      <c r="D53" s="1630"/>
      <c r="E53" s="1619"/>
      <c r="F53" s="1616"/>
      <c r="G53" s="1618"/>
      <c r="H53" s="774" t="s">
        <v>6940</v>
      </c>
      <c r="I53" s="759">
        <f>DESPORC!C236</f>
        <v>128</v>
      </c>
      <c r="J53" s="760" t="str">
        <f>DESPORC!D236</f>
        <v>Formação de Recursos Humanos</v>
      </c>
    </row>
    <row r="54" spans="2:10" x14ac:dyDescent="0.25">
      <c r="B54" s="1619" t="s">
        <v>6941</v>
      </c>
      <c r="C54" s="1616">
        <f>'[3]Anexo I - Programas'!$C$74</f>
        <v>2002</v>
      </c>
      <c r="D54" s="1622" t="str">
        <f>'[3]Anexo I - Programas'!$D$74</f>
        <v xml:space="preserve">GESTÃO , APOIO E MANUTENÇÃO , COORDENAÇÃO E PLANEJAMENTO </v>
      </c>
      <c r="E54" s="1619" t="s">
        <v>6941</v>
      </c>
      <c r="F54" s="1616">
        <f>C54</f>
        <v>2002</v>
      </c>
      <c r="G54" s="1618" t="str">
        <f>D54</f>
        <v xml:space="preserve">GESTÃO , APOIO E MANUTENÇÃO , COORDENAÇÃO E PLANEJAMENTO </v>
      </c>
      <c r="H54" s="775" t="s">
        <v>3137</v>
      </c>
      <c r="I54" s="761" t="str">
        <f>F52</f>
        <v>003</v>
      </c>
      <c r="J54" s="762" t="str">
        <f>G52</f>
        <v xml:space="preserve">GESTÃO, COORDENAÇÃO E PLANEJAMENTO </v>
      </c>
    </row>
    <row r="55" spans="2:10" ht="30" x14ac:dyDescent="0.25">
      <c r="B55" s="1619"/>
      <c r="C55" s="1616"/>
      <c r="D55" s="1622"/>
      <c r="E55" s="1619"/>
      <c r="F55" s="1616"/>
      <c r="G55" s="1618"/>
      <c r="H55" s="775" t="s">
        <v>6941</v>
      </c>
      <c r="I55" s="761">
        <f>F54</f>
        <v>2002</v>
      </c>
      <c r="J55" s="762" t="str">
        <f>G54</f>
        <v xml:space="preserve">GESTÃO , APOIO E MANUTENÇÃO , COORDENAÇÃO E PLANEJAMENTO </v>
      </c>
    </row>
    <row r="56" spans="2:10" ht="15.75" thickBot="1" x14ac:dyDescent="0.3">
      <c r="B56" s="769" t="s">
        <v>6939</v>
      </c>
      <c r="C56" s="1625">
        <f>'[3]Anexo I - Programas'!$H$75</f>
        <v>10370000</v>
      </c>
      <c r="D56" s="1626"/>
      <c r="E56" s="769" t="s">
        <v>6939</v>
      </c>
      <c r="F56" s="1625">
        <f>'[3]Anexo I - Programas'!$J$75</f>
        <v>2592500</v>
      </c>
      <c r="G56" s="1627"/>
      <c r="H56" s="778" t="s">
        <v>6939</v>
      </c>
      <c r="I56" s="1625">
        <f>DESPORC!I238</f>
        <v>0.03</v>
      </c>
      <c r="J56" s="1627"/>
    </row>
    <row r="57" spans="2:10" x14ac:dyDescent="0.25">
      <c r="B57" s="1628" t="s">
        <v>3137</v>
      </c>
      <c r="C57" s="1615" t="str">
        <f>'[3]Anexo I - Programas'!$B$685</f>
        <v>22</v>
      </c>
      <c r="D57" s="1629" t="str">
        <f>'[3]Anexo I - Programas'!$C$685</f>
        <v>GESTÃO E DESENVOLVIMENTO DA PROTEÇÃO E SEGURANÇA DA POPULACAO</v>
      </c>
      <c r="E57" s="1628" t="s">
        <v>3137</v>
      </c>
      <c r="F57" s="1615" t="str">
        <f>C57</f>
        <v>22</v>
      </c>
      <c r="G57" s="1617" t="str">
        <f>D57</f>
        <v>GESTÃO E DESENVOLVIMENTO DA PROTEÇÃO E SEGURANÇA DA POPULACAO</v>
      </c>
      <c r="H57" s="773" t="s">
        <v>3138</v>
      </c>
      <c r="I57" s="757">
        <f>DESPORC!C242</f>
        <v>4</v>
      </c>
      <c r="J57" s="758" t="str">
        <f>DESPORC!D242</f>
        <v>Administração</v>
      </c>
    </row>
    <row r="58" spans="2:10" x14ac:dyDescent="0.25">
      <c r="B58" s="1619"/>
      <c r="C58" s="1616"/>
      <c r="D58" s="1630"/>
      <c r="E58" s="1619"/>
      <c r="F58" s="1616"/>
      <c r="G58" s="1618"/>
      <c r="H58" s="774" t="s">
        <v>6940</v>
      </c>
      <c r="I58" s="759">
        <f>DESPORC!C243</f>
        <v>122</v>
      </c>
      <c r="J58" s="760" t="str">
        <f>DESPORC!D243</f>
        <v>Administração Geral</v>
      </c>
    </row>
    <row r="59" spans="2:10" ht="30" x14ac:dyDescent="0.25">
      <c r="B59" s="1619" t="s">
        <v>6941</v>
      </c>
      <c r="C59" s="1616">
        <f>'[3]Anexo I - Programas'!$C$711</f>
        <v>2032</v>
      </c>
      <c r="D59" s="1622" t="str">
        <f>'[3]Anexo I - Programas'!$D$711</f>
        <v>Apoio ao Conselho Tutelar</v>
      </c>
      <c r="E59" s="1619" t="s">
        <v>6941</v>
      </c>
      <c r="F59" s="1616">
        <f>C59</f>
        <v>2032</v>
      </c>
      <c r="G59" s="1618" t="str">
        <f>D59</f>
        <v>Apoio ao Conselho Tutelar</v>
      </c>
      <c r="H59" s="775" t="s">
        <v>3137</v>
      </c>
      <c r="I59" s="761" t="str">
        <f>F57</f>
        <v>22</v>
      </c>
      <c r="J59" s="762" t="str">
        <f>G57</f>
        <v>GESTÃO E DESENVOLVIMENTO DA PROTEÇÃO E SEGURANÇA DA POPULACAO</v>
      </c>
    </row>
    <row r="60" spans="2:10" x14ac:dyDescent="0.25">
      <c r="B60" s="1619"/>
      <c r="C60" s="1616"/>
      <c r="D60" s="1622"/>
      <c r="E60" s="1619"/>
      <c r="F60" s="1616"/>
      <c r="G60" s="1618"/>
      <c r="H60" s="775" t="s">
        <v>6941</v>
      </c>
      <c r="I60" s="761">
        <f>F59</f>
        <v>2032</v>
      </c>
      <c r="J60" s="762" t="str">
        <f>G59</f>
        <v>Apoio ao Conselho Tutelar</v>
      </c>
    </row>
    <row r="61" spans="2:10" ht="15.75" thickBot="1" x14ac:dyDescent="0.3">
      <c r="B61" s="769" t="s">
        <v>6939</v>
      </c>
      <c r="C61" s="1625">
        <f>'[3]Anexo I - Programas'!$H$712</f>
        <v>300000</v>
      </c>
      <c r="D61" s="1626"/>
      <c r="E61" s="769" t="s">
        <v>6939</v>
      </c>
      <c r="F61" s="1625">
        <f>'[3]Anexo I - Programas'!$J$712</f>
        <v>75000</v>
      </c>
      <c r="G61" s="1627"/>
      <c r="H61" s="778" t="s">
        <v>6939</v>
      </c>
      <c r="I61" s="1625">
        <f>DESPORC!I245</f>
        <v>182236.63309139688</v>
      </c>
      <c r="J61" s="1627"/>
    </row>
    <row r="62" spans="2:10" x14ac:dyDescent="0.25">
      <c r="B62" s="1628" t="s">
        <v>3137</v>
      </c>
      <c r="C62" s="1615" t="str">
        <f>'[3]Anexo I - Programas'!$B$685</f>
        <v>22</v>
      </c>
      <c r="D62" s="1629" t="str">
        <f>'[3]Anexo I - Programas'!$C$685</f>
        <v>GESTÃO E DESENVOLVIMENTO DA PROTEÇÃO E SEGURANÇA DA POPULACAO</v>
      </c>
      <c r="E62" s="1628" t="s">
        <v>3137</v>
      </c>
      <c r="F62" s="1615" t="str">
        <f>C62</f>
        <v>22</v>
      </c>
      <c r="G62" s="1617" t="str">
        <f>D62</f>
        <v>GESTÃO E DESENVOLVIMENTO DA PROTEÇÃO E SEGURANÇA DA POPULACAO</v>
      </c>
      <c r="H62" s="773" t="s">
        <v>3138</v>
      </c>
      <c r="I62" s="757">
        <f>DESPORC!C292</f>
        <v>4</v>
      </c>
      <c r="J62" s="758" t="str">
        <f>DESPORC!D292</f>
        <v>Administração</v>
      </c>
    </row>
    <row r="63" spans="2:10" x14ac:dyDescent="0.25">
      <c r="B63" s="1619"/>
      <c r="C63" s="1616"/>
      <c r="D63" s="1630"/>
      <c r="E63" s="1619"/>
      <c r="F63" s="1616"/>
      <c r="G63" s="1618"/>
      <c r="H63" s="774" t="s">
        <v>6940</v>
      </c>
      <c r="I63" s="759">
        <f>DESPORC!C293</f>
        <v>126</v>
      </c>
      <c r="J63" s="760" t="str">
        <f>DESPORC!D293</f>
        <v>Tecnologia da Informação</v>
      </c>
    </row>
    <row r="64" spans="2:10" ht="30" x14ac:dyDescent="0.25">
      <c r="B64" s="1619" t="s">
        <v>6941</v>
      </c>
      <c r="C64" s="1616">
        <f>'[3]Anexo I - Programas'!$C$711</f>
        <v>2032</v>
      </c>
      <c r="D64" s="1622" t="str">
        <f>'[3]Anexo I - Programas'!$D$711</f>
        <v>Apoio ao Conselho Tutelar</v>
      </c>
      <c r="E64" s="1619" t="s">
        <v>6941</v>
      </c>
      <c r="F64" s="1616">
        <f>C64</f>
        <v>2032</v>
      </c>
      <c r="G64" s="1618" t="str">
        <f>D64</f>
        <v>Apoio ao Conselho Tutelar</v>
      </c>
      <c r="H64" s="775" t="s">
        <v>3137</v>
      </c>
      <c r="I64" s="761" t="str">
        <f>F62</f>
        <v>22</v>
      </c>
      <c r="J64" s="762" t="str">
        <f>G62</f>
        <v>GESTÃO E DESENVOLVIMENTO DA PROTEÇÃO E SEGURANÇA DA POPULACAO</v>
      </c>
    </row>
    <row r="65" spans="2:10" x14ac:dyDescent="0.25">
      <c r="B65" s="1619"/>
      <c r="C65" s="1616"/>
      <c r="D65" s="1622"/>
      <c r="E65" s="1619"/>
      <c r="F65" s="1616"/>
      <c r="G65" s="1618"/>
      <c r="H65" s="775" t="s">
        <v>6941</v>
      </c>
      <c r="I65" s="761">
        <f>F64</f>
        <v>2032</v>
      </c>
      <c r="J65" s="762" t="str">
        <f>G64</f>
        <v>Apoio ao Conselho Tutelar</v>
      </c>
    </row>
    <row r="66" spans="2:10" ht="15.75" thickBot="1" x14ac:dyDescent="0.3">
      <c r="B66" s="769" t="s">
        <v>6939</v>
      </c>
      <c r="C66" s="1625">
        <f>'[3]Anexo I - Programas'!$H$712</f>
        <v>300000</v>
      </c>
      <c r="D66" s="1626"/>
      <c r="E66" s="769" t="s">
        <v>6939</v>
      </c>
      <c r="F66" s="1625">
        <f>'[3]Anexo I - Programas'!$J$712</f>
        <v>75000</v>
      </c>
      <c r="G66" s="1627"/>
      <c r="H66" s="778" t="s">
        <v>6939</v>
      </c>
      <c r="I66" s="1625">
        <f>DESPORC!I296</f>
        <v>1337.3834906249999</v>
      </c>
      <c r="J66" s="1627"/>
    </row>
    <row r="67" spans="2:10" x14ac:dyDescent="0.25">
      <c r="B67" s="1628" t="s">
        <v>3137</v>
      </c>
      <c r="C67" s="1615" t="str">
        <f>'[3]Anexo I - Programas'!$B$685</f>
        <v>22</v>
      </c>
      <c r="D67" s="1629" t="str">
        <f>'[3]Anexo I - Programas'!$C$685</f>
        <v>GESTÃO E DESENVOLVIMENTO DA PROTEÇÃO E SEGURANÇA DA POPULACAO</v>
      </c>
      <c r="E67" s="1628" t="s">
        <v>3137</v>
      </c>
      <c r="F67" s="1615" t="str">
        <f>C67</f>
        <v>22</v>
      </c>
      <c r="G67" s="1617" t="str">
        <f>D67</f>
        <v>GESTÃO E DESENVOLVIMENTO DA PROTEÇÃO E SEGURANÇA DA POPULACAO</v>
      </c>
      <c r="H67" s="773" t="s">
        <v>3138</v>
      </c>
      <c r="I67" s="757">
        <f>DESPORC!C301</f>
        <v>4</v>
      </c>
      <c r="J67" s="758" t="str">
        <f>DESPORC!D301</f>
        <v>Administração</v>
      </c>
    </row>
    <row r="68" spans="2:10" x14ac:dyDescent="0.25">
      <c r="B68" s="1619"/>
      <c r="C68" s="1616"/>
      <c r="D68" s="1630"/>
      <c r="E68" s="1619"/>
      <c r="F68" s="1616"/>
      <c r="G68" s="1618"/>
      <c r="H68" s="774" t="s">
        <v>6940</v>
      </c>
      <c r="I68" s="759">
        <f>DESPORC!C302</f>
        <v>128</v>
      </c>
      <c r="J68" s="760" t="str">
        <f>DESPORC!D302</f>
        <v>Formação de Recursos Humanos</v>
      </c>
    </row>
    <row r="69" spans="2:10" ht="30" x14ac:dyDescent="0.25">
      <c r="B69" s="1619" t="s">
        <v>6941</v>
      </c>
      <c r="C69" s="1616">
        <f>'[3]Anexo I - Programas'!$C$711</f>
        <v>2032</v>
      </c>
      <c r="D69" s="1622" t="str">
        <f>'[3]Anexo I - Programas'!$D$711</f>
        <v>Apoio ao Conselho Tutelar</v>
      </c>
      <c r="E69" s="1619" t="s">
        <v>6941</v>
      </c>
      <c r="F69" s="1616">
        <f>C69</f>
        <v>2032</v>
      </c>
      <c r="G69" s="1618" t="str">
        <f>D69</f>
        <v>Apoio ao Conselho Tutelar</v>
      </c>
      <c r="H69" s="775" t="s">
        <v>3137</v>
      </c>
      <c r="I69" s="761" t="str">
        <f>F67</f>
        <v>22</v>
      </c>
      <c r="J69" s="762" t="str">
        <f>G67</f>
        <v>GESTÃO E DESENVOLVIMENTO DA PROTEÇÃO E SEGURANÇA DA POPULACAO</v>
      </c>
    </row>
    <row r="70" spans="2:10" x14ac:dyDescent="0.25">
      <c r="B70" s="1619"/>
      <c r="C70" s="1616"/>
      <c r="D70" s="1622"/>
      <c r="E70" s="1619"/>
      <c r="F70" s="1616"/>
      <c r="G70" s="1618"/>
      <c r="H70" s="775" t="s">
        <v>6941</v>
      </c>
      <c r="I70" s="761">
        <f>F69</f>
        <v>2032</v>
      </c>
      <c r="J70" s="762" t="str">
        <f>G69</f>
        <v>Apoio ao Conselho Tutelar</v>
      </c>
    </row>
    <row r="71" spans="2:10" ht="15.75" thickBot="1" x14ac:dyDescent="0.3">
      <c r="B71" s="769" t="s">
        <v>6939</v>
      </c>
      <c r="C71" s="1625">
        <f>'[3]Anexo I - Programas'!$H$712</f>
        <v>300000</v>
      </c>
      <c r="D71" s="1626"/>
      <c r="E71" s="769" t="s">
        <v>6939</v>
      </c>
      <c r="F71" s="1625">
        <f>'[3]Anexo I - Programas'!$J$712</f>
        <v>75000</v>
      </c>
      <c r="G71" s="1627"/>
      <c r="H71" s="778" t="s">
        <v>6939</v>
      </c>
      <c r="I71" s="1625">
        <f>DESPORC!I304</f>
        <v>0.03</v>
      </c>
      <c r="J71" s="1627"/>
    </row>
    <row r="72" spans="2:10" x14ac:dyDescent="0.25">
      <c r="B72" s="1628" t="s">
        <v>3137</v>
      </c>
      <c r="C72" s="1615" t="str">
        <f>'[3]Anexo I - Programas'!$B$685</f>
        <v>22</v>
      </c>
      <c r="D72" s="1629" t="str">
        <f>'[3]Anexo I - Programas'!$C$685</f>
        <v>GESTÃO E DESENVOLVIMENTO DA PROTEÇÃO E SEGURANÇA DA POPULACAO</v>
      </c>
      <c r="E72" s="1628" t="s">
        <v>3137</v>
      </c>
      <c r="F72" s="1615" t="str">
        <f>C72</f>
        <v>22</v>
      </c>
      <c r="G72" s="1617" t="str">
        <f>D72</f>
        <v>GESTÃO E DESENVOLVIMENTO DA PROTEÇÃO E SEGURANÇA DA POPULACAO</v>
      </c>
      <c r="H72" s="773" t="s">
        <v>3138</v>
      </c>
      <c r="I72" s="757">
        <f>DESPORC!C308</f>
        <v>4</v>
      </c>
      <c r="J72" s="758" t="str">
        <f>DESPORC!D308</f>
        <v>Administração</v>
      </c>
    </row>
    <row r="73" spans="2:10" x14ac:dyDescent="0.25">
      <c r="B73" s="1619"/>
      <c r="C73" s="1616"/>
      <c r="D73" s="1630"/>
      <c r="E73" s="1619"/>
      <c r="F73" s="1616"/>
      <c r="G73" s="1618"/>
      <c r="H73" s="774" t="s">
        <v>6940</v>
      </c>
      <c r="I73" s="759">
        <f>DESPORC!C309</f>
        <v>126</v>
      </c>
      <c r="J73" s="760" t="str">
        <f>DESPORC!D309</f>
        <v>Tecnologia da Informação</v>
      </c>
    </row>
    <row r="74" spans="2:10" ht="30" x14ac:dyDescent="0.25">
      <c r="B74" s="1619" t="s">
        <v>6941</v>
      </c>
      <c r="C74" s="1616">
        <f>'[3]Anexo I - Programas'!$C$699</f>
        <v>2030</v>
      </c>
      <c r="D74" s="1622" t="str">
        <f>'[3]Anexo I - Programas'!$D$699</f>
        <v xml:space="preserve">Apoio a Segurança Pública </v>
      </c>
      <c r="E74" s="1619" t="s">
        <v>6941</v>
      </c>
      <c r="F74" s="1616">
        <f>C74</f>
        <v>2030</v>
      </c>
      <c r="G74" s="1618" t="str">
        <f>D74</f>
        <v xml:space="preserve">Apoio a Segurança Pública </v>
      </c>
      <c r="H74" s="775" t="s">
        <v>3137</v>
      </c>
      <c r="I74" s="761" t="str">
        <f>F72</f>
        <v>22</v>
      </c>
      <c r="J74" s="762" t="str">
        <f>G72</f>
        <v>GESTÃO E DESENVOLVIMENTO DA PROTEÇÃO E SEGURANÇA DA POPULACAO</v>
      </c>
    </row>
    <row r="75" spans="2:10" x14ac:dyDescent="0.25">
      <c r="B75" s="1619"/>
      <c r="C75" s="1616"/>
      <c r="D75" s="1622"/>
      <c r="E75" s="1619"/>
      <c r="F75" s="1616"/>
      <c r="G75" s="1618"/>
      <c r="H75" s="775" t="s">
        <v>6941</v>
      </c>
      <c r="I75" s="761">
        <f>F74</f>
        <v>2030</v>
      </c>
      <c r="J75" s="762" t="str">
        <f>G74</f>
        <v xml:space="preserve">Apoio a Segurança Pública </v>
      </c>
    </row>
    <row r="76" spans="2:10" ht="15.75" thickBot="1" x14ac:dyDescent="0.3">
      <c r="B76" s="769" t="s">
        <v>6939</v>
      </c>
      <c r="C76" s="1625">
        <f>'[3]Anexo I - Programas'!$H$700</f>
        <v>80000</v>
      </c>
      <c r="D76" s="1626"/>
      <c r="E76" s="769" t="s">
        <v>6939</v>
      </c>
      <c r="F76" s="1625">
        <f>'[3]Anexo I - Programas'!$J$700</f>
        <v>20000</v>
      </c>
      <c r="G76" s="1627"/>
      <c r="H76" s="778" t="s">
        <v>6939</v>
      </c>
      <c r="I76" s="1625">
        <f>DESPORC!I311</f>
        <v>1678.5411031935</v>
      </c>
      <c r="J76" s="1627"/>
    </row>
    <row r="77" spans="2:10" x14ac:dyDescent="0.25">
      <c r="B77" s="1628" t="s">
        <v>3137</v>
      </c>
      <c r="C77" s="1615" t="str">
        <f>'[3]Anexo I - Programas'!$B$685</f>
        <v>22</v>
      </c>
      <c r="D77" s="1629" t="str">
        <f>'[3]Anexo I - Programas'!$C$685</f>
        <v>GESTÃO E DESENVOLVIMENTO DA PROTEÇÃO E SEGURANÇA DA POPULACAO</v>
      </c>
      <c r="E77" s="1628" t="s">
        <v>3137</v>
      </c>
      <c r="F77" s="1615" t="str">
        <f>C77</f>
        <v>22</v>
      </c>
      <c r="G77" s="1617" t="str">
        <f>D77</f>
        <v>GESTÃO E DESENVOLVIMENTO DA PROTEÇÃO E SEGURANÇA DA POPULACAO</v>
      </c>
      <c r="H77" s="773" t="s">
        <v>3138</v>
      </c>
      <c r="I77" s="757">
        <f>DESPORC!C316</f>
        <v>4</v>
      </c>
      <c r="J77" s="758" t="str">
        <f>DESPORC!D316</f>
        <v>Administração</v>
      </c>
    </row>
    <row r="78" spans="2:10" x14ac:dyDescent="0.25">
      <c r="B78" s="1619"/>
      <c r="C78" s="1616"/>
      <c r="D78" s="1630"/>
      <c r="E78" s="1619"/>
      <c r="F78" s="1616"/>
      <c r="G78" s="1618"/>
      <c r="H78" s="774" t="s">
        <v>6940</v>
      </c>
      <c r="I78" s="759">
        <f>DESPORC!C317</f>
        <v>181</v>
      </c>
      <c r="J78" s="760" t="str">
        <f>DESPORC!D317</f>
        <v>Policiamento</v>
      </c>
    </row>
    <row r="79" spans="2:10" ht="30" x14ac:dyDescent="0.25">
      <c r="B79" s="1619" t="s">
        <v>6941</v>
      </c>
      <c r="C79" s="1616">
        <f>'[3]Anexo I - Programas'!$C$699</f>
        <v>2030</v>
      </c>
      <c r="D79" s="1622" t="str">
        <f>'[3]Anexo I - Programas'!$D$699</f>
        <v xml:space="preserve">Apoio a Segurança Pública </v>
      </c>
      <c r="E79" s="1619" t="s">
        <v>6941</v>
      </c>
      <c r="F79" s="1616">
        <f>C79</f>
        <v>2030</v>
      </c>
      <c r="G79" s="1618" t="str">
        <f>D79</f>
        <v xml:space="preserve">Apoio a Segurança Pública </v>
      </c>
      <c r="H79" s="775" t="s">
        <v>3137</v>
      </c>
      <c r="I79" s="761" t="str">
        <f>F77</f>
        <v>22</v>
      </c>
      <c r="J79" s="762" t="str">
        <f>G77</f>
        <v>GESTÃO E DESENVOLVIMENTO DA PROTEÇÃO E SEGURANÇA DA POPULACAO</v>
      </c>
    </row>
    <row r="80" spans="2:10" x14ac:dyDescent="0.25">
      <c r="B80" s="1619"/>
      <c r="C80" s="1616"/>
      <c r="D80" s="1622"/>
      <c r="E80" s="1619"/>
      <c r="F80" s="1616"/>
      <c r="G80" s="1618"/>
      <c r="H80" s="775" t="s">
        <v>6941</v>
      </c>
      <c r="I80" s="761">
        <f>F79</f>
        <v>2030</v>
      </c>
      <c r="J80" s="762" t="str">
        <f>G79</f>
        <v xml:space="preserve">Apoio a Segurança Pública </v>
      </c>
    </row>
    <row r="81" spans="2:10" ht="15.75" thickBot="1" x14ac:dyDescent="0.3">
      <c r="B81" s="769" t="s">
        <v>6939</v>
      </c>
      <c r="C81" s="1625">
        <f>'[3]Anexo I - Programas'!$H$700</f>
        <v>80000</v>
      </c>
      <c r="D81" s="1626"/>
      <c r="E81" s="769" t="s">
        <v>6939</v>
      </c>
      <c r="F81" s="1625">
        <f>'[3]Anexo I - Programas'!$J$700</f>
        <v>20000</v>
      </c>
      <c r="G81" s="1627"/>
      <c r="H81" s="778" t="s">
        <v>6939</v>
      </c>
      <c r="I81" s="1625">
        <f>DESPORC!I319</f>
        <v>22118.708544803154</v>
      </c>
      <c r="J81" s="1627"/>
    </row>
    <row r="82" spans="2:10" ht="15.75" thickBot="1" x14ac:dyDescent="0.3">
      <c r="B82" s="801"/>
      <c r="C82" s="802"/>
      <c r="D82" s="803"/>
      <c r="E82" s="801"/>
      <c r="F82" s="802"/>
      <c r="G82" s="803"/>
      <c r="H82" s="801"/>
      <c r="I82" s="802"/>
      <c r="J82" s="803"/>
    </row>
    <row r="83" spans="2:10" x14ac:dyDescent="0.25">
      <c r="B83" s="1628" t="s">
        <v>3137</v>
      </c>
      <c r="C83" s="1615" t="str">
        <f>'[3]Anexo I - Programas'!$B$685</f>
        <v>22</v>
      </c>
      <c r="D83" s="1629" t="str">
        <f>'[3]Anexo I - Programas'!$C$685</f>
        <v>GESTÃO E DESENVOLVIMENTO DA PROTEÇÃO E SEGURANÇA DA POPULACAO</v>
      </c>
      <c r="E83" s="1628" t="s">
        <v>3137</v>
      </c>
      <c r="F83" s="1615" t="str">
        <f>C83</f>
        <v>22</v>
      </c>
      <c r="G83" s="1617" t="str">
        <f>D83</f>
        <v>GESTÃO E DESENVOLVIMENTO DA PROTEÇÃO E SEGURANÇA DA POPULACAO</v>
      </c>
      <c r="H83" s="773" t="s">
        <v>3138</v>
      </c>
      <c r="I83" s="757">
        <f>DESPORC!C339</f>
        <v>4</v>
      </c>
      <c r="J83" s="758" t="str">
        <f>DESPORC!D339</f>
        <v>Administração</v>
      </c>
    </row>
    <row r="84" spans="2:10" x14ac:dyDescent="0.25">
      <c r="B84" s="1619"/>
      <c r="C84" s="1616"/>
      <c r="D84" s="1630"/>
      <c r="E84" s="1619"/>
      <c r="F84" s="1616"/>
      <c r="G84" s="1618"/>
      <c r="H84" s="774" t="s">
        <v>6940</v>
      </c>
      <c r="I84" s="759">
        <f>DESPORC!C340</f>
        <v>128</v>
      </c>
      <c r="J84" s="760" t="str">
        <f>DESPORC!D340</f>
        <v>Formação de Recursos Humanos</v>
      </c>
    </row>
    <row r="85" spans="2:10" ht="30" x14ac:dyDescent="0.25">
      <c r="B85" s="1619" t="s">
        <v>6941</v>
      </c>
      <c r="C85" s="1616">
        <f>'[3]Anexo I - Programas'!$C$705</f>
        <v>2031</v>
      </c>
      <c r="D85" s="1622" t="str">
        <f>'[3]Anexo I - Programas'!$D$705</f>
        <v>Promoção da Defesa Civil</v>
      </c>
      <c r="E85" s="1619" t="s">
        <v>6941</v>
      </c>
      <c r="F85" s="1616">
        <f>C85</f>
        <v>2031</v>
      </c>
      <c r="G85" s="1618" t="str">
        <f>D85</f>
        <v>Promoção da Defesa Civil</v>
      </c>
      <c r="H85" s="775" t="s">
        <v>3137</v>
      </c>
      <c r="I85" s="761" t="str">
        <f>F83</f>
        <v>22</v>
      </c>
      <c r="J85" s="762" t="str">
        <f>G83</f>
        <v>GESTÃO E DESENVOLVIMENTO DA PROTEÇÃO E SEGURANÇA DA POPULACAO</v>
      </c>
    </row>
    <row r="86" spans="2:10" x14ac:dyDescent="0.25">
      <c r="B86" s="1619"/>
      <c r="C86" s="1616"/>
      <c r="D86" s="1622"/>
      <c r="E86" s="1619"/>
      <c r="F86" s="1616"/>
      <c r="G86" s="1618"/>
      <c r="H86" s="775" t="s">
        <v>6941</v>
      </c>
      <c r="I86" s="761">
        <f>F85</f>
        <v>2031</v>
      </c>
      <c r="J86" s="762" t="str">
        <f>G85</f>
        <v>Promoção da Defesa Civil</v>
      </c>
    </row>
    <row r="87" spans="2:10" ht="15.75" thickBot="1" x14ac:dyDescent="0.3">
      <c r="B87" s="769" t="s">
        <v>6939</v>
      </c>
      <c r="C87" s="1625">
        <f>'[3]Anexo I - Programas'!$H$706</f>
        <v>500000</v>
      </c>
      <c r="D87" s="1626"/>
      <c r="E87" s="769" t="s">
        <v>6939</v>
      </c>
      <c r="F87" s="1625">
        <f>'[3]Anexo I - Programas'!$J$706</f>
        <v>125000</v>
      </c>
      <c r="G87" s="1627"/>
      <c r="H87" s="778" t="s">
        <v>6939</v>
      </c>
      <c r="I87" s="1625">
        <f>DESPORC!I342</f>
        <v>0.03</v>
      </c>
      <c r="J87" s="1627"/>
    </row>
    <row r="88" spans="2:10" x14ac:dyDescent="0.25">
      <c r="B88" s="1628" t="s">
        <v>3137</v>
      </c>
      <c r="C88" s="1615" t="str">
        <f>'[3]Anexo I - Programas'!$B$685</f>
        <v>22</v>
      </c>
      <c r="D88" s="1629" t="str">
        <f>'[3]Anexo I - Programas'!$C$685</f>
        <v>GESTÃO E DESENVOLVIMENTO DA PROTEÇÃO E SEGURANÇA DA POPULACAO</v>
      </c>
      <c r="E88" s="1628" t="s">
        <v>3137</v>
      </c>
      <c r="F88" s="1615" t="str">
        <f>C88</f>
        <v>22</v>
      </c>
      <c r="G88" s="1617" t="str">
        <f>D88</f>
        <v>GESTÃO E DESENVOLVIMENTO DA PROTEÇÃO E SEGURANÇA DA POPULACAO</v>
      </c>
      <c r="H88" s="773" t="s">
        <v>3138</v>
      </c>
      <c r="I88" s="757">
        <f>DESPORC!C346</f>
        <v>4</v>
      </c>
      <c r="J88" s="758" t="str">
        <f>DESPORC!D346</f>
        <v>Administração</v>
      </c>
    </row>
    <row r="89" spans="2:10" x14ac:dyDescent="0.25">
      <c r="B89" s="1619"/>
      <c r="C89" s="1616"/>
      <c r="D89" s="1630"/>
      <c r="E89" s="1619"/>
      <c r="F89" s="1616"/>
      <c r="G89" s="1618"/>
      <c r="H89" s="774" t="s">
        <v>6940</v>
      </c>
      <c r="I89" s="759">
        <f>DESPORC!C347</f>
        <v>181</v>
      </c>
      <c r="J89" s="760" t="str">
        <f>DESPORC!D347</f>
        <v>Policiamento</v>
      </c>
    </row>
    <row r="90" spans="2:10" ht="30" x14ac:dyDescent="0.25">
      <c r="B90" s="1619" t="s">
        <v>6941</v>
      </c>
      <c r="C90" s="1616">
        <f>'[3]Anexo I - Programas'!$C$705</f>
        <v>2031</v>
      </c>
      <c r="D90" s="1622" t="str">
        <f>'[3]Anexo I - Programas'!$D$705</f>
        <v>Promoção da Defesa Civil</v>
      </c>
      <c r="E90" s="1619" t="s">
        <v>6941</v>
      </c>
      <c r="F90" s="1616">
        <f>C90</f>
        <v>2031</v>
      </c>
      <c r="G90" s="1618" t="str">
        <f>D90</f>
        <v>Promoção da Defesa Civil</v>
      </c>
      <c r="H90" s="775" t="s">
        <v>3137</v>
      </c>
      <c r="I90" s="761" t="str">
        <f>F88</f>
        <v>22</v>
      </c>
      <c r="J90" s="762" t="str">
        <f>G88</f>
        <v>GESTÃO E DESENVOLVIMENTO DA PROTEÇÃO E SEGURANÇA DA POPULACAO</v>
      </c>
    </row>
    <row r="91" spans="2:10" x14ac:dyDescent="0.25">
      <c r="B91" s="1619"/>
      <c r="C91" s="1616"/>
      <c r="D91" s="1622"/>
      <c r="E91" s="1619"/>
      <c r="F91" s="1616"/>
      <c r="G91" s="1618"/>
      <c r="H91" s="775" t="s">
        <v>6941</v>
      </c>
      <c r="I91" s="761">
        <f>F90</f>
        <v>2031</v>
      </c>
      <c r="J91" s="762" t="str">
        <f>G90</f>
        <v>Promoção da Defesa Civil</v>
      </c>
    </row>
    <row r="92" spans="2:10" ht="15.75" thickBot="1" x14ac:dyDescent="0.3">
      <c r="B92" s="769" t="s">
        <v>6939</v>
      </c>
      <c r="C92" s="1625">
        <f>'[3]Anexo I - Programas'!$H$706</f>
        <v>500000</v>
      </c>
      <c r="D92" s="1626"/>
      <c r="E92" s="769" t="s">
        <v>6939</v>
      </c>
      <c r="F92" s="1625">
        <f>'[3]Anexo I - Programas'!$J$706</f>
        <v>125000</v>
      </c>
      <c r="G92" s="1627"/>
      <c r="H92" s="778" t="s">
        <v>6939</v>
      </c>
      <c r="I92" s="1625">
        <f>DESPORC!I349</f>
        <v>0.10973402999999998</v>
      </c>
      <c r="J92" s="1627"/>
    </row>
    <row r="93" spans="2:10" x14ac:dyDescent="0.25">
      <c r="J93" s="15"/>
    </row>
    <row r="94" spans="2:10" x14ac:dyDescent="0.25">
      <c r="B94" s="1631" t="s">
        <v>6927</v>
      </c>
      <c r="C94" s="1631"/>
      <c r="D94" s="755" t="str">
        <f>DESPORC!C368</f>
        <v>02 - PREFEITURA MUNICIPAL DE CHUVISCA</v>
      </c>
      <c r="E94" s="770"/>
      <c r="F94" s="753"/>
      <c r="G94" s="753"/>
      <c r="H94" s="770"/>
      <c r="I94" s="753"/>
      <c r="J94" s="753"/>
    </row>
    <row r="95" spans="2:10" ht="15.75" thickBot="1" x14ac:dyDescent="0.3">
      <c r="B95" s="1632" t="s">
        <v>3087</v>
      </c>
      <c r="C95" s="1632"/>
      <c r="D95" s="755" t="str">
        <f>DESPORC!C369</f>
        <v>02 - SECRETARIA MUNICIPAL DA ADMINISTRAÇÃO</v>
      </c>
      <c r="E95" s="770"/>
      <c r="F95" s="36"/>
      <c r="G95" s="1"/>
      <c r="H95" s="772"/>
      <c r="I95" s="1"/>
      <c r="J95" s="1"/>
    </row>
    <row r="96" spans="2:10" ht="15.75" thickBot="1" x14ac:dyDescent="0.3">
      <c r="B96" s="1633" t="str">
        <f>B$10</f>
        <v>PPA LEI MUNICIPAL N.º 1091  DE 16 DE JUNHO DE 2017.</v>
      </c>
      <c r="C96" s="1634"/>
      <c r="D96" s="1635"/>
      <c r="E96" s="1633" t="str">
        <f>E$10</f>
        <v>LDO LEI MUNICIPAL N.º 1166  DE 10 DE OUTUBRO DE 2019.</v>
      </c>
      <c r="F96" s="1634"/>
      <c r="G96" s="1635"/>
      <c r="H96" s="1633" t="str">
        <f>H$10</f>
        <v>LOA 2020</v>
      </c>
      <c r="I96" s="1634"/>
      <c r="J96" s="1635"/>
    </row>
    <row r="97" spans="2:10" x14ac:dyDescent="0.25">
      <c r="B97" s="1628" t="s">
        <v>3137</v>
      </c>
      <c r="C97" s="1615" t="str">
        <f>'[3]Anexo I - Programas'!$B$60</f>
        <v>003</v>
      </c>
      <c r="D97" s="1629" t="str">
        <f>'[3]Anexo I - Programas'!$C$60</f>
        <v xml:space="preserve">GESTÃO, COORDENAÇÃO E PLANEJAMENTO </v>
      </c>
      <c r="E97" s="1628" t="s">
        <v>3137</v>
      </c>
      <c r="F97" s="1615" t="str">
        <f>C97</f>
        <v>003</v>
      </c>
      <c r="G97" s="1617" t="str">
        <f>D97</f>
        <v xml:space="preserve">GESTÃO, COORDENAÇÃO E PLANEJAMENTO </v>
      </c>
      <c r="H97" s="773" t="s">
        <v>3138</v>
      </c>
      <c r="I97" s="757">
        <f>DESPORC!C372</f>
        <v>4</v>
      </c>
      <c r="J97" s="765" t="str">
        <f>DESPORC!D372</f>
        <v>Administração</v>
      </c>
    </row>
    <row r="98" spans="2:10" x14ac:dyDescent="0.25">
      <c r="B98" s="1619"/>
      <c r="C98" s="1616"/>
      <c r="D98" s="1630"/>
      <c r="E98" s="1619"/>
      <c r="F98" s="1616"/>
      <c r="G98" s="1618"/>
      <c r="H98" s="774" t="s">
        <v>6940</v>
      </c>
      <c r="I98" s="757">
        <f>DESPORC!C373</f>
        <v>122</v>
      </c>
      <c r="J98" s="765" t="str">
        <f>DESPORC!D373</f>
        <v>Administração Geral</v>
      </c>
    </row>
    <row r="99" spans="2:10" x14ac:dyDescent="0.25">
      <c r="B99" s="1619" t="s">
        <v>6941</v>
      </c>
      <c r="C99" s="1616">
        <f>'[3]Anexo I - Programas'!$C$69</f>
        <v>1002</v>
      </c>
      <c r="D99" s="1622" t="str">
        <f>'[3]Anexo I - Programas'!$D$69</f>
        <v>Realização de Novos Investimentos do Poder Executivo</v>
      </c>
      <c r="E99" s="1619" t="s">
        <v>6941</v>
      </c>
      <c r="F99" s="1616">
        <f>C99</f>
        <v>1002</v>
      </c>
      <c r="G99" s="1618" t="str">
        <f>D99</f>
        <v>Realização de Novos Investimentos do Poder Executivo</v>
      </c>
      <c r="H99" s="775" t="s">
        <v>3137</v>
      </c>
      <c r="I99" s="761" t="str">
        <f>F97</f>
        <v>003</v>
      </c>
      <c r="J99" s="762" t="str">
        <f>G97</f>
        <v xml:space="preserve">GESTÃO, COORDENAÇÃO E PLANEJAMENTO </v>
      </c>
    </row>
    <row r="100" spans="2:10" x14ac:dyDescent="0.25">
      <c r="B100" s="1620"/>
      <c r="C100" s="1621"/>
      <c r="D100" s="1623"/>
      <c r="E100" s="1620"/>
      <c r="F100" s="1621"/>
      <c r="G100" s="1624"/>
      <c r="H100" s="776" t="s">
        <v>6941</v>
      </c>
      <c r="I100" s="763">
        <f>F99</f>
        <v>1002</v>
      </c>
      <c r="J100" s="764" t="str">
        <f>G99</f>
        <v>Realização de Novos Investimentos do Poder Executivo</v>
      </c>
    </row>
    <row r="101" spans="2:10" ht="15.75" thickBot="1" x14ac:dyDescent="0.3">
      <c r="B101" s="769" t="s">
        <v>6939</v>
      </c>
      <c r="C101" s="1625">
        <f>'[3]Anexo I - Programas'!$H$70</f>
        <v>1600000</v>
      </c>
      <c r="D101" s="1626"/>
      <c r="E101" s="769" t="s">
        <v>6939</v>
      </c>
      <c r="F101" s="1625">
        <f>'[3]Anexo I - Programas'!$J$70</f>
        <v>400000</v>
      </c>
      <c r="G101" s="1627"/>
      <c r="H101" s="778" t="s">
        <v>6939</v>
      </c>
      <c r="I101" s="1625">
        <f>DESPORC!I375</f>
        <v>0.11534466879999999</v>
      </c>
      <c r="J101" s="1627"/>
    </row>
    <row r="102" spans="2:10" x14ac:dyDescent="0.25">
      <c r="B102" s="1628" t="s">
        <v>3137</v>
      </c>
      <c r="C102" s="1615" t="str">
        <f>'[3]Anexo I - Programas'!$B$60</f>
        <v>003</v>
      </c>
      <c r="D102" s="1629" t="str">
        <f>'[3]Anexo I - Programas'!$C$60</f>
        <v xml:space="preserve">GESTÃO, COORDENAÇÃO E PLANEJAMENTO </v>
      </c>
      <c r="E102" s="1628" t="s">
        <v>3137</v>
      </c>
      <c r="F102" s="1615" t="str">
        <f>C102</f>
        <v>003</v>
      </c>
      <c r="G102" s="1617" t="str">
        <f>D102</f>
        <v xml:space="preserve">GESTÃO, COORDENAÇÃO E PLANEJAMENTO </v>
      </c>
      <c r="H102" s="773" t="s">
        <v>3138</v>
      </c>
      <c r="I102" s="757">
        <f>DESPORC!C385</f>
        <v>4</v>
      </c>
      <c r="J102" s="765" t="str">
        <f>DESPORC!D385</f>
        <v>Administração</v>
      </c>
    </row>
    <row r="103" spans="2:10" x14ac:dyDescent="0.25">
      <c r="B103" s="1619"/>
      <c r="C103" s="1616"/>
      <c r="D103" s="1630"/>
      <c r="E103" s="1619"/>
      <c r="F103" s="1616"/>
      <c r="G103" s="1618"/>
      <c r="H103" s="774" t="s">
        <v>6940</v>
      </c>
      <c r="I103" s="757">
        <f>DESPORC!C386</f>
        <v>122</v>
      </c>
      <c r="J103" s="765" t="str">
        <f>DESPORC!D386</f>
        <v>Administração Geral</v>
      </c>
    </row>
    <row r="104" spans="2:10" x14ac:dyDescent="0.25">
      <c r="B104" s="1619" t="s">
        <v>6941</v>
      </c>
      <c r="C104" s="1616">
        <f>'[3]Anexo I - Programas'!$C$74</f>
        <v>2002</v>
      </c>
      <c r="D104" s="1622" t="str">
        <f>'[3]Anexo I - Programas'!$D$74</f>
        <v xml:space="preserve">GESTÃO , APOIO E MANUTENÇÃO , COORDENAÇÃO E PLANEJAMENTO </v>
      </c>
      <c r="E104" s="1619" t="s">
        <v>6941</v>
      </c>
      <c r="F104" s="1616">
        <f>C104</f>
        <v>2002</v>
      </c>
      <c r="G104" s="1618" t="str">
        <f>D104</f>
        <v xml:space="preserve">GESTÃO , APOIO E MANUTENÇÃO , COORDENAÇÃO E PLANEJAMENTO </v>
      </c>
      <c r="H104" s="775" t="s">
        <v>3137</v>
      </c>
      <c r="I104" s="761" t="str">
        <f>F102</f>
        <v>003</v>
      </c>
      <c r="J104" s="762" t="str">
        <f>G102</f>
        <v xml:space="preserve">GESTÃO, COORDENAÇÃO E PLANEJAMENTO </v>
      </c>
    </row>
    <row r="105" spans="2:10" ht="30" x14ac:dyDescent="0.25">
      <c r="B105" s="1620"/>
      <c r="C105" s="1621"/>
      <c r="D105" s="1623"/>
      <c r="E105" s="1620"/>
      <c r="F105" s="1621"/>
      <c r="G105" s="1624"/>
      <c r="H105" s="776" t="s">
        <v>6941</v>
      </c>
      <c r="I105" s="763">
        <f>F104</f>
        <v>2002</v>
      </c>
      <c r="J105" s="764" t="str">
        <f>G104</f>
        <v xml:space="preserve">GESTÃO , APOIO E MANUTENÇÃO , COORDENAÇÃO E PLANEJAMENTO </v>
      </c>
    </row>
    <row r="106" spans="2:10" ht="15.75" thickBot="1" x14ac:dyDescent="0.3">
      <c r="B106" s="769" t="s">
        <v>6939</v>
      </c>
      <c r="C106" s="1625">
        <f>'[3]Anexo I - Programas'!$H$75</f>
        <v>10370000</v>
      </c>
      <c r="D106" s="1626"/>
      <c r="E106" s="769" t="s">
        <v>6939</v>
      </c>
      <c r="F106" s="1625">
        <f>'[3]Anexo I - Programas'!$J$75</f>
        <v>2592500</v>
      </c>
      <c r="G106" s="1627"/>
      <c r="H106" s="778" t="s">
        <v>6939</v>
      </c>
      <c r="I106" s="1625">
        <f>DESPORC!I388</f>
        <v>582719.50239757216</v>
      </c>
      <c r="J106" s="1627"/>
    </row>
    <row r="107" spans="2:10" x14ac:dyDescent="0.25">
      <c r="B107" s="1628" t="s">
        <v>3137</v>
      </c>
      <c r="C107" s="1615" t="str">
        <f>'[3]Anexo I - Programas'!$B$60</f>
        <v>003</v>
      </c>
      <c r="D107" s="1629" t="str">
        <f>'[3]Anexo I - Programas'!$C$60</f>
        <v xml:space="preserve">GESTÃO, COORDENAÇÃO E PLANEJAMENTO </v>
      </c>
      <c r="E107" s="1628" t="s">
        <v>3137</v>
      </c>
      <c r="F107" s="1615" t="str">
        <f>C107</f>
        <v>003</v>
      </c>
      <c r="G107" s="1617" t="str">
        <f>D107</f>
        <v xml:space="preserve">GESTÃO, COORDENAÇÃO E PLANEJAMENTO </v>
      </c>
      <c r="H107" s="773" t="s">
        <v>3138</v>
      </c>
      <c r="I107" s="757">
        <f>DESPORC!C476</f>
        <v>4</v>
      </c>
      <c r="J107" s="765" t="str">
        <f>DESPORC!D476</f>
        <v>Administração</v>
      </c>
    </row>
    <row r="108" spans="2:10" x14ac:dyDescent="0.25">
      <c r="B108" s="1619"/>
      <c r="C108" s="1616"/>
      <c r="D108" s="1630"/>
      <c r="E108" s="1619"/>
      <c r="F108" s="1616"/>
      <c r="G108" s="1618"/>
      <c r="H108" s="774" t="s">
        <v>6940</v>
      </c>
      <c r="I108" s="757">
        <f>DESPORC!C477</f>
        <v>126</v>
      </c>
      <c r="J108" s="765" t="str">
        <f>DESPORC!D477</f>
        <v>Tecnologia da Informação</v>
      </c>
    </row>
    <row r="109" spans="2:10" x14ac:dyDescent="0.25">
      <c r="B109" s="1619" t="s">
        <v>6941</v>
      </c>
      <c r="C109" s="1616">
        <f>'[3]Anexo I - Programas'!$C$74</f>
        <v>2002</v>
      </c>
      <c r="D109" s="1622" t="str">
        <f>'[3]Anexo I - Programas'!$D$74</f>
        <v xml:space="preserve">GESTÃO , APOIO E MANUTENÇÃO , COORDENAÇÃO E PLANEJAMENTO </v>
      </c>
      <c r="E109" s="1619" t="s">
        <v>6941</v>
      </c>
      <c r="F109" s="1616">
        <f>C109</f>
        <v>2002</v>
      </c>
      <c r="G109" s="1618" t="str">
        <f>D109</f>
        <v xml:space="preserve">GESTÃO , APOIO E MANUTENÇÃO , COORDENAÇÃO E PLANEJAMENTO </v>
      </c>
      <c r="H109" s="775" t="s">
        <v>3137</v>
      </c>
      <c r="I109" s="761" t="str">
        <f>F107</f>
        <v>003</v>
      </c>
      <c r="J109" s="762" t="str">
        <f>G107</f>
        <v xml:space="preserve">GESTÃO, COORDENAÇÃO E PLANEJAMENTO </v>
      </c>
    </row>
    <row r="110" spans="2:10" ht="30" x14ac:dyDescent="0.25">
      <c r="B110" s="1620"/>
      <c r="C110" s="1621"/>
      <c r="D110" s="1623"/>
      <c r="E110" s="1620"/>
      <c r="F110" s="1621"/>
      <c r="G110" s="1624"/>
      <c r="H110" s="776" t="s">
        <v>6941</v>
      </c>
      <c r="I110" s="763">
        <f>F109</f>
        <v>2002</v>
      </c>
      <c r="J110" s="764" t="str">
        <f>G109</f>
        <v xml:space="preserve">GESTÃO , APOIO E MANUTENÇÃO , COORDENAÇÃO E PLANEJAMENTO </v>
      </c>
    </row>
    <row r="111" spans="2:10" ht="15.75" thickBot="1" x14ac:dyDescent="0.3">
      <c r="B111" s="769" t="s">
        <v>6939</v>
      </c>
      <c r="C111" s="1625">
        <f>'[3]Anexo I - Programas'!$H$75</f>
        <v>10370000</v>
      </c>
      <c r="D111" s="1626"/>
      <c r="E111" s="769" t="s">
        <v>6939</v>
      </c>
      <c r="F111" s="1625">
        <f>'[3]Anexo I - Programas'!$J$75</f>
        <v>2592500</v>
      </c>
      <c r="G111" s="1627"/>
      <c r="H111" s="778" t="s">
        <v>6939</v>
      </c>
      <c r="I111" s="1625">
        <f>DESPORC!I479</f>
        <v>3840.7020234029997</v>
      </c>
      <c r="J111" s="1627"/>
    </row>
    <row r="112" spans="2:10" x14ac:dyDescent="0.25">
      <c r="B112" s="1628" t="s">
        <v>3137</v>
      </c>
      <c r="C112" s="1615" t="str">
        <f>'[3]Anexo I - Programas'!$B$60</f>
        <v>003</v>
      </c>
      <c r="D112" s="1629" t="str">
        <f>'[3]Anexo I - Programas'!$C$60</f>
        <v xml:space="preserve">GESTÃO, COORDENAÇÃO E PLANEJAMENTO </v>
      </c>
      <c r="E112" s="1628" t="s">
        <v>3137</v>
      </c>
      <c r="F112" s="1615" t="str">
        <f>C112</f>
        <v>003</v>
      </c>
      <c r="G112" s="1617" t="str">
        <f>D112</f>
        <v xml:space="preserve">GESTÃO, COORDENAÇÃO E PLANEJAMENTO </v>
      </c>
      <c r="H112" s="773" t="s">
        <v>3138</v>
      </c>
      <c r="I112" s="757">
        <f>DESPORC!C485</f>
        <v>4</v>
      </c>
      <c r="J112" s="765" t="str">
        <f>DESPORC!D485</f>
        <v>Administração</v>
      </c>
    </row>
    <row r="113" spans="2:10" x14ac:dyDescent="0.25">
      <c r="B113" s="1619"/>
      <c r="C113" s="1616"/>
      <c r="D113" s="1630"/>
      <c r="E113" s="1619"/>
      <c r="F113" s="1616"/>
      <c r="G113" s="1618"/>
      <c r="H113" s="774" t="s">
        <v>6940</v>
      </c>
      <c r="I113" s="757">
        <f>DESPORC!C486</f>
        <v>128</v>
      </c>
      <c r="J113" s="765" t="str">
        <f>DESPORC!D486</f>
        <v>Formação de Recursos Humanos</v>
      </c>
    </row>
    <row r="114" spans="2:10" x14ac:dyDescent="0.25">
      <c r="B114" s="1619" t="s">
        <v>6941</v>
      </c>
      <c r="C114" s="1616">
        <f>'[3]Anexo I - Programas'!$C$74</f>
        <v>2002</v>
      </c>
      <c r="D114" s="1622" t="str">
        <f>'[3]Anexo I - Programas'!$D$74</f>
        <v xml:space="preserve">GESTÃO , APOIO E MANUTENÇÃO , COORDENAÇÃO E PLANEJAMENTO </v>
      </c>
      <c r="E114" s="1619" t="s">
        <v>6941</v>
      </c>
      <c r="F114" s="1616">
        <f>C114</f>
        <v>2002</v>
      </c>
      <c r="G114" s="1618" t="str">
        <f>D114</f>
        <v xml:space="preserve">GESTÃO , APOIO E MANUTENÇÃO , COORDENAÇÃO E PLANEJAMENTO </v>
      </c>
      <c r="H114" s="775" t="s">
        <v>3137</v>
      </c>
      <c r="I114" s="761" t="str">
        <f>F112</f>
        <v>003</v>
      </c>
      <c r="J114" s="762" t="str">
        <f>G112</f>
        <v xml:space="preserve">GESTÃO, COORDENAÇÃO E PLANEJAMENTO </v>
      </c>
    </row>
    <row r="115" spans="2:10" ht="30" x14ac:dyDescent="0.25">
      <c r="B115" s="1620"/>
      <c r="C115" s="1621"/>
      <c r="D115" s="1623"/>
      <c r="E115" s="1620"/>
      <c r="F115" s="1621"/>
      <c r="G115" s="1624"/>
      <c r="H115" s="776" t="s">
        <v>6941</v>
      </c>
      <c r="I115" s="763">
        <f>F114</f>
        <v>2002</v>
      </c>
      <c r="J115" s="764" t="str">
        <f>G114</f>
        <v xml:space="preserve">GESTÃO , APOIO E MANUTENÇÃO , COORDENAÇÃO E PLANEJAMENTO </v>
      </c>
    </row>
    <row r="116" spans="2:10" ht="15.75" thickBot="1" x14ac:dyDescent="0.3">
      <c r="B116" s="769" t="s">
        <v>6939</v>
      </c>
      <c r="C116" s="1625">
        <f>'[3]Anexo I - Programas'!$H$75</f>
        <v>10370000</v>
      </c>
      <c r="D116" s="1626"/>
      <c r="E116" s="769" t="s">
        <v>6939</v>
      </c>
      <c r="F116" s="1625">
        <f>'[3]Anexo I - Programas'!$J$75</f>
        <v>2592500</v>
      </c>
      <c r="G116" s="1627"/>
      <c r="H116" s="778" t="s">
        <v>6939</v>
      </c>
      <c r="I116" s="1625">
        <f>DESPORC!I488</f>
        <v>0.05</v>
      </c>
      <c r="J116" s="1627"/>
    </row>
    <row r="118" spans="2:10" x14ac:dyDescent="0.25">
      <c r="B118" s="787"/>
      <c r="C118" s="788"/>
      <c r="E118" s="787"/>
      <c r="H118" s="787"/>
    </row>
    <row r="119" spans="2:10" x14ac:dyDescent="0.25">
      <c r="B119" s="787"/>
      <c r="C119" s="788"/>
      <c r="E119" s="787"/>
      <c r="H119" s="787"/>
    </row>
    <row r="120" spans="2:10" x14ac:dyDescent="0.25">
      <c r="B120" s="787"/>
      <c r="C120" s="788"/>
      <c r="E120" s="787"/>
      <c r="H120" s="787"/>
    </row>
    <row r="121" spans="2:10" x14ac:dyDescent="0.25">
      <c r="B121" s="787"/>
      <c r="C121" s="788"/>
      <c r="E121" s="787"/>
      <c r="H121" s="787"/>
    </row>
    <row r="122" spans="2:10" x14ac:dyDescent="0.25">
      <c r="B122" s="787"/>
      <c r="C122" s="788"/>
      <c r="E122" s="787"/>
      <c r="H122" s="787"/>
    </row>
    <row r="123" spans="2:10" x14ac:dyDescent="0.25">
      <c r="B123" s="787"/>
      <c r="C123" s="788"/>
      <c r="E123" s="787"/>
      <c r="H123" s="787"/>
    </row>
    <row r="124" spans="2:10" x14ac:dyDescent="0.25">
      <c r="B124" s="787"/>
      <c r="C124" s="788"/>
      <c r="E124" s="787"/>
      <c r="H124" s="787"/>
    </row>
    <row r="125" spans="2:10" x14ac:dyDescent="0.25">
      <c r="B125" s="787"/>
      <c r="C125" s="788"/>
      <c r="E125" s="787"/>
      <c r="H125" s="787"/>
    </row>
    <row r="126" spans="2:10" x14ac:dyDescent="0.25">
      <c r="B126" s="1631" t="s">
        <v>6927</v>
      </c>
      <c r="C126" s="1631"/>
      <c r="D126" s="755" t="str">
        <f>DESPORC!C499</f>
        <v>02 - PREFEITURA MUNICIPAL DE CHUVISCA</v>
      </c>
      <c r="E126" s="770"/>
      <c r="F126" s="753"/>
      <c r="G126" s="753"/>
      <c r="H126" s="770"/>
      <c r="I126" s="753"/>
      <c r="J126" s="753"/>
    </row>
    <row r="127" spans="2:10" ht="15.75" thickBot="1" x14ac:dyDescent="0.3">
      <c r="B127" s="1632" t="s">
        <v>3087</v>
      </c>
      <c r="C127" s="1632"/>
      <c r="D127" s="755" t="str">
        <f>DESPORC!C500</f>
        <v>03 - SECRETARIA MUNICIPAL DA FAZENDA</v>
      </c>
      <c r="E127" s="770"/>
      <c r="F127" s="36"/>
      <c r="G127" s="1"/>
      <c r="H127" s="772"/>
      <c r="I127" s="1"/>
      <c r="J127" s="1"/>
    </row>
    <row r="128" spans="2:10" ht="15.75" thickBot="1" x14ac:dyDescent="0.3">
      <c r="B128" s="1633" t="str">
        <f>B$10</f>
        <v>PPA LEI MUNICIPAL N.º 1091  DE 16 DE JUNHO DE 2017.</v>
      </c>
      <c r="C128" s="1634"/>
      <c r="D128" s="1635"/>
      <c r="E128" s="1633" t="str">
        <f>E$10</f>
        <v>LDO LEI MUNICIPAL N.º 1166  DE 10 DE OUTUBRO DE 2019.</v>
      </c>
      <c r="F128" s="1634"/>
      <c r="G128" s="1635"/>
      <c r="H128" s="1633" t="str">
        <f>H$10</f>
        <v>LOA 2020</v>
      </c>
      <c r="I128" s="1634"/>
      <c r="J128" s="1635"/>
    </row>
    <row r="129" spans="2:10" x14ac:dyDescent="0.25">
      <c r="B129" s="1628" t="s">
        <v>3137</v>
      </c>
      <c r="C129" s="1615" t="str">
        <f>'[3]Anexo I - Programas'!$B$60</f>
        <v>003</v>
      </c>
      <c r="D129" s="1629" t="str">
        <f>'[3]Anexo I - Programas'!$C$60</f>
        <v xml:space="preserve">GESTÃO, COORDENAÇÃO E PLANEJAMENTO </v>
      </c>
      <c r="E129" s="1628" t="s">
        <v>3137</v>
      </c>
      <c r="F129" s="1615" t="str">
        <f>C129</f>
        <v>003</v>
      </c>
      <c r="G129" s="1617" t="str">
        <f>D129</f>
        <v xml:space="preserve">GESTÃO, COORDENAÇÃO E PLANEJAMENTO </v>
      </c>
      <c r="H129" s="773" t="s">
        <v>3138</v>
      </c>
      <c r="I129" s="757">
        <f>DESPORC!C503</f>
        <v>4</v>
      </c>
      <c r="J129" s="765" t="str">
        <f>DESPORC!D503</f>
        <v>Administração</v>
      </c>
    </row>
    <row r="130" spans="2:10" x14ac:dyDescent="0.25">
      <c r="B130" s="1619"/>
      <c r="C130" s="1616"/>
      <c r="D130" s="1630"/>
      <c r="E130" s="1619"/>
      <c r="F130" s="1616"/>
      <c r="G130" s="1618"/>
      <c r="H130" s="774" t="s">
        <v>6940</v>
      </c>
      <c r="I130" s="757">
        <f>DESPORC!C504</f>
        <v>123</v>
      </c>
      <c r="J130" s="765" t="str">
        <f>DESPORC!D504</f>
        <v>Administração Financeira</v>
      </c>
    </row>
    <row r="131" spans="2:10" x14ac:dyDescent="0.25">
      <c r="B131" s="1619" t="s">
        <v>6941</v>
      </c>
      <c r="C131" s="1616">
        <f>'[3]Anexo I - Programas'!$C$69</f>
        <v>1002</v>
      </c>
      <c r="D131" s="1622" t="str">
        <f>'[3]Anexo I - Programas'!$D$69</f>
        <v>Realização de Novos Investimentos do Poder Executivo</v>
      </c>
      <c r="E131" s="1619" t="s">
        <v>6941</v>
      </c>
      <c r="F131" s="1616">
        <f>C131</f>
        <v>1002</v>
      </c>
      <c r="G131" s="1618" t="str">
        <f>D131</f>
        <v>Realização de Novos Investimentos do Poder Executivo</v>
      </c>
      <c r="H131" s="775" t="s">
        <v>3137</v>
      </c>
      <c r="I131" s="761" t="str">
        <f>F129</f>
        <v>003</v>
      </c>
      <c r="J131" s="762" t="str">
        <f>G129</f>
        <v xml:space="preserve">GESTÃO, COORDENAÇÃO E PLANEJAMENTO </v>
      </c>
    </row>
    <row r="132" spans="2:10" x14ac:dyDescent="0.25">
      <c r="B132" s="1620"/>
      <c r="C132" s="1621"/>
      <c r="D132" s="1623"/>
      <c r="E132" s="1620"/>
      <c r="F132" s="1621"/>
      <c r="G132" s="1624"/>
      <c r="H132" s="776" t="s">
        <v>6941</v>
      </c>
      <c r="I132" s="763">
        <f>F131</f>
        <v>1002</v>
      </c>
      <c r="J132" s="764" t="str">
        <f>G131</f>
        <v>Realização de Novos Investimentos do Poder Executivo</v>
      </c>
    </row>
    <row r="133" spans="2:10" ht="15.75" thickBot="1" x14ac:dyDescent="0.3">
      <c r="B133" s="769" t="s">
        <v>6939</v>
      </c>
      <c r="C133" s="1625">
        <f>'[3]Anexo I - Programas'!$H$70</f>
        <v>1600000</v>
      </c>
      <c r="D133" s="1626"/>
      <c r="E133" s="769" t="s">
        <v>6939</v>
      </c>
      <c r="F133" s="1625">
        <f>'[3]Anexo I - Programas'!$J$70</f>
        <v>400000</v>
      </c>
      <c r="G133" s="1627"/>
      <c r="H133" s="778" t="s">
        <v>6939</v>
      </c>
      <c r="I133" s="1625">
        <f>DESPORC!I506</f>
        <v>8.33978628E-2</v>
      </c>
      <c r="J133" s="1627"/>
    </row>
    <row r="134" spans="2:10" x14ac:dyDescent="0.25">
      <c r="B134" s="1628" t="s">
        <v>3137</v>
      </c>
      <c r="C134" s="1615" t="str">
        <f>'[3]Anexo I - Programas'!$B$60</f>
        <v>003</v>
      </c>
      <c r="D134" s="1629" t="str">
        <f>'[3]Anexo I - Programas'!$C$60</f>
        <v xml:space="preserve">GESTÃO, COORDENAÇÃO E PLANEJAMENTO </v>
      </c>
      <c r="E134" s="1628" t="s">
        <v>3137</v>
      </c>
      <c r="F134" s="1615" t="str">
        <f>C134</f>
        <v>003</v>
      </c>
      <c r="G134" s="1617" t="str">
        <f>D134</f>
        <v xml:space="preserve">GESTÃO, COORDENAÇÃO E PLANEJAMENTO </v>
      </c>
      <c r="H134" s="773" t="s">
        <v>3138</v>
      </c>
      <c r="I134" s="757">
        <f>DESPORC!C516</f>
        <v>4</v>
      </c>
      <c r="J134" s="765" t="str">
        <f>DESPORC!D516</f>
        <v>Administração</v>
      </c>
    </row>
    <row r="135" spans="2:10" x14ac:dyDescent="0.25">
      <c r="B135" s="1619"/>
      <c r="C135" s="1616"/>
      <c r="D135" s="1630"/>
      <c r="E135" s="1619"/>
      <c r="F135" s="1616"/>
      <c r="G135" s="1618"/>
      <c r="H135" s="774" t="s">
        <v>6940</v>
      </c>
      <c r="I135" s="757">
        <f>DESPORC!C517</f>
        <v>123</v>
      </c>
      <c r="J135" s="765" t="str">
        <f>DESPORC!D517</f>
        <v>Administração Financeira</v>
      </c>
    </row>
    <row r="136" spans="2:10" x14ac:dyDescent="0.25">
      <c r="B136" s="1619" t="s">
        <v>6941</v>
      </c>
      <c r="C136" s="1616">
        <f>'[3]Anexo I - Programas'!$C$74</f>
        <v>2002</v>
      </c>
      <c r="D136" s="1622" t="str">
        <f>'[3]Anexo I - Programas'!$D$74</f>
        <v xml:space="preserve">GESTÃO , APOIO E MANUTENÇÃO , COORDENAÇÃO E PLANEJAMENTO </v>
      </c>
      <c r="E136" s="1619" t="s">
        <v>6941</v>
      </c>
      <c r="F136" s="1616">
        <f>C136</f>
        <v>2002</v>
      </c>
      <c r="G136" s="1618" t="str">
        <f>D136</f>
        <v xml:space="preserve">GESTÃO , APOIO E MANUTENÇÃO , COORDENAÇÃO E PLANEJAMENTO </v>
      </c>
      <c r="H136" s="775" t="s">
        <v>3137</v>
      </c>
      <c r="I136" s="761" t="str">
        <f>F134</f>
        <v>003</v>
      </c>
      <c r="J136" s="762" t="str">
        <f>G134</f>
        <v xml:space="preserve">GESTÃO, COORDENAÇÃO E PLANEJAMENTO </v>
      </c>
    </row>
    <row r="137" spans="2:10" ht="30" x14ac:dyDescent="0.25">
      <c r="B137" s="1620"/>
      <c r="C137" s="1621"/>
      <c r="D137" s="1623"/>
      <c r="E137" s="1620"/>
      <c r="F137" s="1621"/>
      <c r="G137" s="1624"/>
      <c r="H137" s="776" t="s">
        <v>6941</v>
      </c>
      <c r="I137" s="763">
        <f>F136</f>
        <v>2002</v>
      </c>
      <c r="J137" s="764" t="str">
        <f>G136</f>
        <v xml:space="preserve">GESTÃO , APOIO E MANUTENÇÃO , COORDENAÇÃO E PLANEJAMENTO </v>
      </c>
    </row>
    <row r="138" spans="2:10" ht="15.75" thickBot="1" x14ac:dyDescent="0.3">
      <c r="B138" s="769" t="s">
        <v>6939</v>
      </c>
      <c r="C138" s="1625">
        <f>'[3]Anexo I - Programas'!$H$75</f>
        <v>10370000</v>
      </c>
      <c r="D138" s="1626"/>
      <c r="E138" s="769" t="s">
        <v>6939</v>
      </c>
      <c r="F138" s="1625">
        <f>'[3]Anexo I - Programas'!$J$75</f>
        <v>2592500</v>
      </c>
      <c r="G138" s="1627"/>
      <c r="H138" s="778" t="s">
        <v>6939</v>
      </c>
      <c r="I138" s="1625">
        <f>DESPORC!I519</f>
        <v>873677.75982649461</v>
      </c>
      <c r="J138" s="1627"/>
    </row>
    <row r="139" spans="2:10" x14ac:dyDescent="0.25">
      <c r="B139" s="1628" t="s">
        <v>3137</v>
      </c>
      <c r="C139" s="1615" t="str">
        <f>'[3]Anexo I - Programas'!$B$60</f>
        <v>003</v>
      </c>
      <c r="D139" s="1629" t="str">
        <f>'[3]Anexo I - Programas'!$C$60</f>
        <v xml:space="preserve">GESTÃO, COORDENAÇÃO E PLANEJAMENTO </v>
      </c>
      <c r="E139" s="1628" t="s">
        <v>3137</v>
      </c>
      <c r="F139" s="1615" t="str">
        <f>C139</f>
        <v>003</v>
      </c>
      <c r="G139" s="1617" t="str">
        <f>D139</f>
        <v xml:space="preserve">GESTÃO, COORDENAÇÃO E PLANEJAMENTO </v>
      </c>
      <c r="H139" s="773" t="s">
        <v>3138</v>
      </c>
      <c r="I139" s="757">
        <f>DESPORC!C592</f>
        <v>4</v>
      </c>
      <c r="J139" s="765" t="str">
        <f>DESPORC!D592</f>
        <v>Administração</v>
      </c>
    </row>
    <row r="140" spans="2:10" x14ac:dyDescent="0.25">
      <c r="B140" s="1619"/>
      <c r="C140" s="1616"/>
      <c r="D140" s="1630"/>
      <c r="E140" s="1619"/>
      <c r="F140" s="1616"/>
      <c r="G140" s="1618"/>
      <c r="H140" s="774" t="s">
        <v>6940</v>
      </c>
      <c r="I140" s="757">
        <f>DESPORC!C593</f>
        <v>126</v>
      </c>
      <c r="J140" s="765" t="str">
        <f>DESPORC!D593</f>
        <v>Tecnologia da Informação</v>
      </c>
    </row>
    <row r="141" spans="2:10" x14ac:dyDescent="0.25">
      <c r="B141" s="1619" t="s">
        <v>6941</v>
      </c>
      <c r="C141" s="1616">
        <f>'[3]Anexo I - Programas'!$C$74</f>
        <v>2002</v>
      </c>
      <c r="D141" s="1622" t="str">
        <f>'[3]Anexo I - Programas'!$D$74</f>
        <v xml:space="preserve">GESTÃO , APOIO E MANUTENÇÃO , COORDENAÇÃO E PLANEJAMENTO </v>
      </c>
      <c r="E141" s="1619" t="s">
        <v>6941</v>
      </c>
      <c r="F141" s="1616">
        <f>C141</f>
        <v>2002</v>
      </c>
      <c r="G141" s="1618" t="str">
        <f>D141</f>
        <v xml:space="preserve">GESTÃO , APOIO E MANUTENÇÃO , COORDENAÇÃO E PLANEJAMENTO </v>
      </c>
      <c r="H141" s="775" t="s">
        <v>3137</v>
      </c>
      <c r="I141" s="761" t="str">
        <f>F139</f>
        <v>003</v>
      </c>
      <c r="J141" s="762" t="str">
        <f>G139</f>
        <v xml:space="preserve">GESTÃO, COORDENAÇÃO E PLANEJAMENTO </v>
      </c>
    </row>
    <row r="142" spans="2:10" ht="30" x14ac:dyDescent="0.25">
      <c r="B142" s="1620"/>
      <c r="C142" s="1621"/>
      <c r="D142" s="1623"/>
      <c r="E142" s="1620"/>
      <c r="F142" s="1621"/>
      <c r="G142" s="1624"/>
      <c r="H142" s="776" t="s">
        <v>6941</v>
      </c>
      <c r="I142" s="763">
        <f>F141</f>
        <v>2002</v>
      </c>
      <c r="J142" s="764" t="str">
        <f>G141</f>
        <v xml:space="preserve">GESTÃO , APOIO E MANUTENÇÃO , COORDENAÇÃO E PLANEJAMENTO </v>
      </c>
    </row>
    <row r="143" spans="2:10" ht="15.75" thickBot="1" x14ac:dyDescent="0.3">
      <c r="B143" s="769" t="s">
        <v>6939</v>
      </c>
      <c r="C143" s="1625">
        <f>'[3]Anexo I - Programas'!$H$75</f>
        <v>10370000</v>
      </c>
      <c r="D143" s="1626"/>
      <c r="E143" s="769" t="s">
        <v>6939</v>
      </c>
      <c r="F143" s="1625">
        <f>'[3]Anexo I - Programas'!$J$75</f>
        <v>2592500</v>
      </c>
      <c r="G143" s="1627"/>
      <c r="H143" s="778" t="s">
        <v>6939</v>
      </c>
      <c r="I143" s="1625">
        <f>DESPORC!I595</f>
        <v>12070.744273402999</v>
      </c>
      <c r="J143" s="1627"/>
    </row>
    <row r="144" spans="2:10" x14ac:dyDescent="0.25">
      <c r="B144" s="1628" t="s">
        <v>3137</v>
      </c>
      <c r="C144" s="1615" t="str">
        <f>'[3]Anexo I - Programas'!$B$60</f>
        <v>003</v>
      </c>
      <c r="D144" s="1629" t="str">
        <f>'[3]Anexo I - Programas'!$C$60</f>
        <v xml:space="preserve">GESTÃO, COORDENAÇÃO E PLANEJAMENTO </v>
      </c>
      <c r="E144" s="1628" t="s">
        <v>3137</v>
      </c>
      <c r="F144" s="1615" t="str">
        <f>C144</f>
        <v>003</v>
      </c>
      <c r="G144" s="1617" t="str">
        <f>D144</f>
        <v xml:space="preserve">GESTÃO, COORDENAÇÃO E PLANEJAMENTO </v>
      </c>
      <c r="H144" s="773" t="s">
        <v>3138</v>
      </c>
      <c r="I144" s="757">
        <f>DESPORC!C601</f>
        <v>4</v>
      </c>
      <c r="J144" s="765" t="str">
        <f>DESPORC!D601</f>
        <v>Administração</v>
      </c>
    </row>
    <row r="145" spans="2:10" x14ac:dyDescent="0.25">
      <c r="B145" s="1619"/>
      <c r="C145" s="1616"/>
      <c r="D145" s="1630"/>
      <c r="E145" s="1619"/>
      <c r="F145" s="1616"/>
      <c r="G145" s="1618"/>
      <c r="H145" s="774" t="s">
        <v>6940</v>
      </c>
      <c r="I145" s="757">
        <f>DESPORC!C602</f>
        <v>128</v>
      </c>
      <c r="J145" s="765" t="str">
        <f>DESPORC!D602</f>
        <v>Formação de Recursos Humanos</v>
      </c>
    </row>
    <row r="146" spans="2:10" x14ac:dyDescent="0.25">
      <c r="B146" s="1619" t="s">
        <v>6941</v>
      </c>
      <c r="C146" s="1616">
        <f>'[3]Anexo I - Programas'!$C$74</f>
        <v>2002</v>
      </c>
      <c r="D146" s="1622" t="str">
        <f>'[3]Anexo I - Programas'!$D$74</f>
        <v xml:space="preserve">GESTÃO , APOIO E MANUTENÇÃO , COORDENAÇÃO E PLANEJAMENTO </v>
      </c>
      <c r="E146" s="1619" t="s">
        <v>6941</v>
      </c>
      <c r="F146" s="1616">
        <f>C146</f>
        <v>2002</v>
      </c>
      <c r="G146" s="1618" t="str">
        <f>D146</f>
        <v xml:space="preserve">GESTÃO , APOIO E MANUTENÇÃO , COORDENAÇÃO E PLANEJAMENTO </v>
      </c>
      <c r="H146" s="775" t="s">
        <v>3137</v>
      </c>
      <c r="I146" s="761" t="str">
        <f>F144</f>
        <v>003</v>
      </c>
      <c r="J146" s="762" t="str">
        <f>G144</f>
        <v xml:space="preserve">GESTÃO, COORDENAÇÃO E PLANEJAMENTO </v>
      </c>
    </row>
    <row r="147" spans="2:10" ht="30" x14ac:dyDescent="0.25">
      <c r="B147" s="1620"/>
      <c r="C147" s="1621"/>
      <c r="D147" s="1623"/>
      <c r="E147" s="1620"/>
      <c r="F147" s="1621"/>
      <c r="G147" s="1624"/>
      <c r="H147" s="776" t="s">
        <v>6941</v>
      </c>
      <c r="I147" s="763">
        <f>F146</f>
        <v>2002</v>
      </c>
      <c r="J147" s="764" t="str">
        <f>G146</f>
        <v xml:space="preserve">GESTÃO , APOIO E MANUTENÇÃO , COORDENAÇÃO E PLANEJAMENTO </v>
      </c>
    </row>
    <row r="148" spans="2:10" ht="15.75" thickBot="1" x14ac:dyDescent="0.3">
      <c r="B148" s="769" t="s">
        <v>6939</v>
      </c>
      <c r="C148" s="1625">
        <f>'[3]Anexo I - Programas'!$H$75</f>
        <v>10370000</v>
      </c>
      <c r="D148" s="1626"/>
      <c r="E148" s="769" t="s">
        <v>6939</v>
      </c>
      <c r="F148" s="1625">
        <f>'[3]Anexo I - Programas'!$J$75</f>
        <v>2592500</v>
      </c>
      <c r="G148" s="1627"/>
      <c r="H148" s="778" t="s">
        <v>6939</v>
      </c>
      <c r="I148" s="1625">
        <f>DESPORC!I604</f>
        <v>0.05</v>
      </c>
      <c r="J148" s="1627"/>
    </row>
    <row r="149" spans="2:10" x14ac:dyDescent="0.25">
      <c r="B149" s="1628" t="s">
        <v>3137</v>
      </c>
      <c r="C149" s="1615" t="str">
        <f>'[3]Anexo I - Programas'!$B$60</f>
        <v>003</v>
      </c>
      <c r="D149" s="1629" t="str">
        <f>'[3]Anexo I - Programas'!$C$60</f>
        <v xml:space="preserve">GESTÃO, COORDENAÇÃO E PLANEJAMENTO </v>
      </c>
      <c r="E149" s="1628" t="s">
        <v>3137</v>
      </c>
      <c r="F149" s="1615" t="str">
        <f>C149</f>
        <v>003</v>
      </c>
      <c r="G149" s="1617" t="str">
        <f>D149</f>
        <v xml:space="preserve">GESTÃO, COORDENAÇÃO E PLANEJAMENTO </v>
      </c>
      <c r="H149" s="773" t="s">
        <v>3138</v>
      </c>
      <c r="I149" s="757">
        <f>DESPORC!C610</f>
        <v>4</v>
      </c>
      <c r="J149" s="765" t="str">
        <f>DESPORC!D610</f>
        <v>Administração</v>
      </c>
    </row>
    <row r="150" spans="2:10" x14ac:dyDescent="0.25">
      <c r="B150" s="1619"/>
      <c r="C150" s="1616"/>
      <c r="D150" s="1630"/>
      <c r="E150" s="1619"/>
      <c r="F150" s="1616"/>
      <c r="G150" s="1618"/>
      <c r="H150" s="774" t="s">
        <v>6940</v>
      </c>
      <c r="I150" s="757">
        <f>DESPORC!C611</f>
        <v>123</v>
      </c>
      <c r="J150" s="765" t="str">
        <f>DESPORC!D611</f>
        <v>Administração Financeira</v>
      </c>
    </row>
    <row r="151" spans="2:10" x14ac:dyDescent="0.25">
      <c r="B151" s="1619" t="s">
        <v>6941</v>
      </c>
      <c r="C151" s="1616">
        <f>'[3]Anexo I - Programas'!$C$80</f>
        <v>2055</v>
      </c>
      <c r="D151" s="1622" t="str">
        <f>'[3]Anexo I - Programas'!$D$80</f>
        <v>GESTÃO PROGRAMA EDUC. FISC. E INT. TRIBUTARIA</v>
      </c>
      <c r="E151" s="1619" t="s">
        <v>6941</v>
      </c>
      <c r="F151" s="1616">
        <f>C151</f>
        <v>2055</v>
      </c>
      <c r="G151" s="1618" t="str">
        <f>D151</f>
        <v>GESTÃO PROGRAMA EDUC. FISC. E INT. TRIBUTARIA</v>
      </c>
      <c r="H151" s="775" t="s">
        <v>3137</v>
      </c>
      <c r="I151" s="850" t="str">
        <f>F149</f>
        <v>003</v>
      </c>
      <c r="J151" s="762" t="str">
        <f>G149</f>
        <v xml:space="preserve">GESTÃO, COORDENAÇÃO E PLANEJAMENTO </v>
      </c>
    </row>
    <row r="152" spans="2:10" x14ac:dyDescent="0.25">
      <c r="B152" s="1620"/>
      <c r="C152" s="1621"/>
      <c r="D152" s="1623"/>
      <c r="E152" s="1620"/>
      <c r="F152" s="1621"/>
      <c r="G152" s="1624"/>
      <c r="H152" s="776" t="s">
        <v>6941</v>
      </c>
      <c r="I152" s="851">
        <f>F151</f>
        <v>2055</v>
      </c>
      <c r="J152" s="764" t="str">
        <f>G151</f>
        <v>GESTÃO PROGRAMA EDUC. FISC. E INT. TRIBUTARIA</v>
      </c>
    </row>
    <row r="153" spans="2:10" ht="15.75" thickBot="1" x14ac:dyDescent="0.3">
      <c r="B153" s="769" t="s">
        <v>6939</v>
      </c>
      <c r="C153" s="1625">
        <f>'[3]Anexo I - Programas'!$H$81</f>
        <v>200000</v>
      </c>
      <c r="D153" s="1626"/>
      <c r="E153" s="769" t="s">
        <v>6939</v>
      </c>
      <c r="F153" s="1625">
        <f>'[3]Anexo I - Programas'!$J$81</f>
        <v>50000</v>
      </c>
      <c r="G153" s="1627"/>
      <c r="H153" s="778" t="s">
        <v>6939</v>
      </c>
      <c r="I153" s="1625">
        <f>DESPORC!I613</f>
        <v>15000.110000000002</v>
      </c>
      <c r="J153" s="1627"/>
    </row>
    <row r="154" spans="2:10" x14ac:dyDescent="0.25">
      <c r="B154" s="1628" t="s">
        <v>3137</v>
      </c>
      <c r="C154" s="1615" t="str">
        <f>'[3]Anexo I - Programas'!$B$60</f>
        <v>003</v>
      </c>
      <c r="D154" s="1629" t="str">
        <f>'[3]Anexo I - Programas'!$C$60</f>
        <v xml:space="preserve">GESTÃO, COORDENAÇÃO E PLANEJAMENTO </v>
      </c>
      <c r="E154" s="1628" t="s">
        <v>3137</v>
      </c>
      <c r="F154" s="1615" t="str">
        <f>C154</f>
        <v>003</v>
      </c>
      <c r="G154" s="1617" t="str">
        <f>D154</f>
        <v xml:space="preserve">GESTÃO, COORDENAÇÃO E PLANEJAMENTO </v>
      </c>
      <c r="H154" s="773" t="s">
        <v>3138</v>
      </c>
      <c r="I154" s="757">
        <f>DESPORC!C627</f>
        <v>4</v>
      </c>
      <c r="J154" s="765" t="str">
        <f>DESPORC!D627</f>
        <v>Administração</v>
      </c>
    </row>
    <row r="155" spans="2:10" x14ac:dyDescent="0.25">
      <c r="B155" s="1619"/>
      <c r="C155" s="1616"/>
      <c r="D155" s="1630"/>
      <c r="E155" s="1619"/>
      <c r="F155" s="1616"/>
      <c r="G155" s="1618"/>
      <c r="H155" s="774" t="s">
        <v>6940</v>
      </c>
      <c r="I155" s="757">
        <f>DESPORC!C628</f>
        <v>126</v>
      </c>
      <c r="J155" s="765" t="str">
        <f>DESPORC!D628</f>
        <v>Tecnologia da Informação</v>
      </c>
    </row>
    <row r="156" spans="2:10" x14ac:dyDescent="0.25">
      <c r="B156" s="1619" t="s">
        <v>6941</v>
      </c>
      <c r="C156" s="1616">
        <f>'[3]Anexo I - Programas'!$C$80</f>
        <v>2055</v>
      </c>
      <c r="D156" s="1622" t="str">
        <f>'[3]Anexo I - Programas'!$D$80</f>
        <v>GESTÃO PROGRAMA EDUC. FISC. E INT. TRIBUTARIA</v>
      </c>
      <c r="E156" s="1619" t="s">
        <v>6941</v>
      </c>
      <c r="F156" s="1616">
        <f>C156</f>
        <v>2055</v>
      </c>
      <c r="G156" s="1618" t="str">
        <f>D156</f>
        <v>GESTÃO PROGRAMA EDUC. FISC. E INT. TRIBUTARIA</v>
      </c>
      <c r="H156" s="775" t="s">
        <v>3137</v>
      </c>
      <c r="I156" s="850" t="str">
        <f>F154</f>
        <v>003</v>
      </c>
      <c r="J156" s="762" t="str">
        <f>G154</f>
        <v xml:space="preserve">GESTÃO, COORDENAÇÃO E PLANEJAMENTO </v>
      </c>
    </row>
    <row r="157" spans="2:10" x14ac:dyDescent="0.25">
      <c r="B157" s="1620"/>
      <c r="C157" s="1621"/>
      <c r="D157" s="1623"/>
      <c r="E157" s="1620"/>
      <c r="F157" s="1621"/>
      <c r="G157" s="1624"/>
      <c r="H157" s="776" t="s">
        <v>6941</v>
      </c>
      <c r="I157" s="851">
        <f>F156</f>
        <v>2055</v>
      </c>
      <c r="J157" s="764" t="str">
        <f>G156</f>
        <v>GESTÃO PROGRAMA EDUC. FISC. E INT. TRIBUTARIA</v>
      </c>
    </row>
    <row r="158" spans="2:10" ht="15.75" thickBot="1" x14ac:dyDescent="0.3">
      <c r="B158" s="769" t="s">
        <v>6939</v>
      </c>
      <c r="C158" s="1625">
        <f>'[3]Anexo I - Programas'!$H$81</f>
        <v>200000</v>
      </c>
      <c r="D158" s="1626"/>
      <c r="E158" s="769" t="s">
        <v>6939</v>
      </c>
      <c r="F158" s="1625">
        <f>'[3]Anexo I - Programas'!$J$81</f>
        <v>50000</v>
      </c>
      <c r="G158" s="1627"/>
      <c r="H158" s="778" t="s">
        <v>6939</v>
      </c>
      <c r="I158" s="1625">
        <f>DESPORC!I630</f>
        <v>0.01</v>
      </c>
      <c r="J158" s="1627"/>
    </row>
    <row r="159" spans="2:10" x14ac:dyDescent="0.25">
      <c r="B159" s="1628" t="s">
        <v>3137</v>
      </c>
      <c r="C159" s="1615" t="str">
        <f>'[3]Anexo I - Programas'!$B$60</f>
        <v>003</v>
      </c>
      <c r="D159" s="1629" t="str">
        <f>'[3]Anexo I - Programas'!$C$60</f>
        <v xml:space="preserve">GESTÃO, COORDENAÇÃO E PLANEJAMENTO </v>
      </c>
      <c r="E159" s="1628" t="s">
        <v>3137</v>
      </c>
      <c r="F159" s="1615" t="str">
        <f>C159</f>
        <v>003</v>
      </c>
      <c r="G159" s="1617" t="str">
        <f>D159</f>
        <v xml:space="preserve">GESTÃO, COORDENAÇÃO E PLANEJAMENTO </v>
      </c>
      <c r="H159" s="773" t="s">
        <v>3138</v>
      </c>
      <c r="I159" s="757">
        <f>DESPORC!C632</f>
        <v>4</v>
      </c>
      <c r="J159" s="765" t="str">
        <f>DESPORC!D632</f>
        <v>Administração</v>
      </c>
    </row>
    <row r="160" spans="2:10" x14ac:dyDescent="0.25">
      <c r="B160" s="1619"/>
      <c r="C160" s="1616"/>
      <c r="D160" s="1630"/>
      <c r="E160" s="1619"/>
      <c r="F160" s="1616"/>
      <c r="G160" s="1618"/>
      <c r="H160" s="774" t="s">
        <v>6940</v>
      </c>
      <c r="I160" s="757">
        <f>DESPORC!C633</f>
        <v>128</v>
      </c>
      <c r="J160" s="765" t="str">
        <f>DESPORC!D633</f>
        <v>Formação de Recursos Humanos</v>
      </c>
    </row>
    <row r="161" spans="2:10" x14ac:dyDescent="0.25">
      <c r="B161" s="1619" t="s">
        <v>6941</v>
      </c>
      <c r="C161" s="1616">
        <f>'[3]Anexo I - Programas'!$C$80</f>
        <v>2055</v>
      </c>
      <c r="D161" s="1622" t="str">
        <f>'[3]Anexo I - Programas'!$D$80</f>
        <v>GESTÃO PROGRAMA EDUC. FISC. E INT. TRIBUTARIA</v>
      </c>
      <c r="E161" s="1619" t="s">
        <v>6941</v>
      </c>
      <c r="F161" s="1616">
        <f>C161</f>
        <v>2055</v>
      </c>
      <c r="G161" s="1618" t="str">
        <f>D161</f>
        <v>GESTÃO PROGRAMA EDUC. FISC. E INT. TRIBUTARIA</v>
      </c>
      <c r="H161" s="775" t="s">
        <v>3137</v>
      </c>
      <c r="I161" s="850" t="str">
        <f>F159</f>
        <v>003</v>
      </c>
      <c r="J161" s="762" t="str">
        <f>G159</f>
        <v xml:space="preserve">GESTÃO, COORDENAÇÃO E PLANEJAMENTO </v>
      </c>
    </row>
    <row r="162" spans="2:10" x14ac:dyDescent="0.25">
      <c r="B162" s="1620"/>
      <c r="C162" s="1621"/>
      <c r="D162" s="1623"/>
      <c r="E162" s="1620"/>
      <c r="F162" s="1621"/>
      <c r="G162" s="1624"/>
      <c r="H162" s="776" t="s">
        <v>6941</v>
      </c>
      <c r="I162" s="851">
        <f>F161</f>
        <v>2055</v>
      </c>
      <c r="J162" s="764" t="str">
        <f>G161</f>
        <v>GESTÃO PROGRAMA EDUC. FISC. E INT. TRIBUTARIA</v>
      </c>
    </row>
    <row r="163" spans="2:10" ht="15.75" thickBot="1" x14ac:dyDescent="0.3">
      <c r="B163" s="769" t="s">
        <v>6939</v>
      </c>
      <c r="C163" s="1625">
        <f>'[3]Anexo I - Programas'!$H$81</f>
        <v>200000</v>
      </c>
      <c r="D163" s="1626"/>
      <c r="E163" s="769" t="s">
        <v>6939</v>
      </c>
      <c r="F163" s="1625">
        <f>'[3]Anexo I - Programas'!$J$81</f>
        <v>50000</v>
      </c>
      <c r="G163" s="1627"/>
      <c r="H163" s="778" t="s">
        <v>6939</v>
      </c>
      <c r="I163" s="1625">
        <f>DESPORC!I635</f>
        <v>0.05</v>
      </c>
      <c r="J163" s="1627"/>
    </row>
    <row r="164" spans="2:10" x14ac:dyDescent="0.25">
      <c r="B164" s="846"/>
      <c r="C164" s="848"/>
      <c r="E164" s="846"/>
      <c r="H164" s="846"/>
    </row>
    <row r="165" spans="2:10" x14ac:dyDescent="0.25">
      <c r="B165" s="1631" t="s">
        <v>6927</v>
      </c>
      <c r="C165" s="1631"/>
      <c r="D165" s="755" t="str">
        <f>DESPORC!C647</f>
        <v>02 - PREFEITURA MUNICIPAL DE CHUVISCA</v>
      </c>
      <c r="E165" s="770"/>
      <c r="F165" s="753"/>
      <c r="G165" s="753"/>
      <c r="H165" s="770"/>
      <c r="I165" s="753"/>
      <c r="J165" s="753"/>
    </row>
    <row r="166" spans="2:10" ht="15.75" thickBot="1" x14ac:dyDescent="0.3">
      <c r="B166" s="1632" t="s">
        <v>3087</v>
      </c>
      <c r="C166" s="1632"/>
      <c r="D166" s="755" t="str">
        <f>DESPORC!C648</f>
        <v>04 - SECRETARIA MUN. DE OBRAS, VIAÇÃO E SERV. URBANOS</v>
      </c>
      <c r="E166" s="770"/>
      <c r="F166" s="36"/>
      <c r="G166" s="1"/>
      <c r="H166" s="772"/>
      <c r="I166" s="1"/>
      <c r="J166" s="1"/>
    </row>
    <row r="167" spans="2:10" ht="15.75" thickBot="1" x14ac:dyDescent="0.3">
      <c r="B167" s="1633" t="str">
        <f>B$10</f>
        <v>PPA LEI MUNICIPAL N.º 1091  DE 16 DE JUNHO DE 2017.</v>
      </c>
      <c r="C167" s="1634"/>
      <c r="D167" s="1635"/>
      <c r="E167" s="1633" t="str">
        <f>E$10</f>
        <v>LDO LEI MUNICIPAL N.º 1166  DE 10 DE OUTUBRO DE 2019.</v>
      </c>
      <c r="F167" s="1634"/>
      <c r="G167" s="1635"/>
      <c r="H167" s="1633" t="str">
        <f>H$10</f>
        <v>LOA 2020</v>
      </c>
      <c r="I167" s="1634"/>
      <c r="J167" s="1635"/>
    </row>
    <row r="168" spans="2:10" x14ac:dyDescent="0.25">
      <c r="B168" s="1628" t="s">
        <v>3137</v>
      </c>
      <c r="C168" s="1615" t="str">
        <f>'[3]Anexo I - Programas'!$B$97</f>
        <v>4</v>
      </c>
      <c r="D168" s="1629" t="str">
        <f>'[3]Anexo I - Programas'!$C$97</f>
        <v xml:space="preserve">PROMOÇÃO E DESENVOLVIMENTO DA INFRAESTRUTURA </v>
      </c>
      <c r="E168" s="1628" t="s">
        <v>3137</v>
      </c>
      <c r="F168" s="1615" t="str">
        <f>C168</f>
        <v>4</v>
      </c>
      <c r="G168" s="1617" t="str">
        <f>D168</f>
        <v xml:space="preserve">PROMOÇÃO E DESENVOLVIMENTO DA INFRAESTRUTURA </v>
      </c>
      <c r="H168" s="773" t="s">
        <v>3138</v>
      </c>
      <c r="I168" s="757">
        <f>DESPORC!C651</f>
        <v>15</v>
      </c>
      <c r="J168" s="765" t="str">
        <f>DESPORC!D651</f>
        <v>Administração</v>
      </c>
    </row>
    <row r="169" spans="2:10" x14ac:dyDescent="0.25">
      <c r="B169" s="1619"/>
      <c r="C169" s="1616"/>
      <c r="D169" s="1630"/>
      <c r="E169" s="1619"/>
      <c r="F169" s="1616"/>
      <c r="G169" s="1618"/>
      <c r="H169" s="774" t="s">
        <v>6940</v>
      </c>
      <c r="I169" s="757">
        <f>DESPORC!C652</f>
        <v>451</v>
      </c>
      <c r="J169" s="765" t="str">
        <f>DESPORC!D652</f>
        <v>Infra-Estrutura-Urbana</v>
      </c>
    </row>
    <row r="170" spans="2:10" x14ac:dyDescent="0.25">
      <c r="B170" s="1619" t="s">
        <v>6941</v>
      </c>
      <c r="C170" s="1616">
        <f>'[3]Anexo I - Programas'!$C$106</f>
        <v>1003</v>
      </c>
      <c r="D170" s="1622" t="str">
        <f>'[3]Anexo I - Programas'!$D$106</f>
        <v>Novos Investimentos em Infraestrutura</v>
      </c>
      <c r="E170" s="1619" t="s">
        <v>6941</v>
      </c>
      <c r="F170" s="1616">
        <f>C170</f>
        <v>1003</v>
      </c>
      <c r="G170" s="1618" t="str">
        <f>D170</f>
        <v>Novos Investimentos em Infraestrutura</v>
      </c>
      <c r="H170" s="775" t="s">
        <v>3137</v>
      </c>
      <c r="I170" s="761" t="str">
        <f>F168</f>
        <v>4</v>
      </c>
      <c r="J170" s="762" t="str">
        <f>G168</f>
        <v xml:space="preserve">PROMOÇÃO E DESENVOLVIMENTO DA INFRAESTRUTURA </v>
      </c>
    </row>
    <row r="171" spans="2:10" x14ac:dyDescent="0.25">
      <c r="B171" s="1620"/>
      <c r="C171" s="1621"/>
      <c r="D171" s="1623"/>
      <c r="E171" s="1620"/>
      <c r="F171" s="1621"/>
      <c r="G171" s="1624"/>
      <c r="H171" s="776" t="s">
        <v>6941</v>
      </c>
      <c r="I171" s="763">
        <f>F170</f>
        <v>1003</v>
      </c>
      <c r="J171" s="764" t="str">
        <f>G170</f>
        <v>Novos Investimentos em Infraestrutura</v>
      </c>
    </row>
    <row r="172" spans="2:10" ht="15.75" thickBot="1" x14ac:dyDescent="0.3">
      <c r="B172" s="769" t="s">
        <v>6939</v>
      </c>
      <c r="C172" s="1625">
        <f>'[3]Anexo I - Programas'!$H$107</f>
        <v>700000</v>
      </c>
      <c r="D172" s="1626"/>
      <c r="E172" s="769" t="s">
        <v>6939</v>
      </c>
      <c r="F172" s="1625">
        <f>'[3]Anexo I - Programas'!$J$107</f>
        <v>175000</v>
      </c>
      <c r="G172" s="1627"/>
      <c r="H172" s="778" t="s">
        <v>6939</v>
      </c>
      <c r="I172" s="1625">
        <f>DESPORC!I654</f>
        <v>8.4371265800000012E-2</v>
      </c>
      <c r="J172" s="1627"/>
    </row>
    <row r="173" spans="2:10" x14ac:dyDescent="0.25">
      <c r="B173" s="1628" t="s">
        <v>3137</v>
      </c>
      <c r="C173" s="1615" t="str">
        <f>'[3]Anexo I - Programas'!$B$97</f>
        <v>4</v>
      </c>
      <c r="D173" s="1629" t="str">
        <f>'[3]Anexo I - Programas'!$C$97</f>
        <v xml:space="preserve">PROMOÇÃO E DESENVOLVIMENTO DA INFRAESTRUTURA </v>
      </c>
      <c r="E173" s="1628" t="s">
        <v>3137</v>
      </c>
      <c r="F173" s="1615" t="str">
        <f>C173</f>
        <v>4</v>
      </c>
      <c r="G173" s="1617" t="str">
        <f>D173</f>
        <v xml:space="preserve">PROMOÇÃO E DESENVOLVIMENTO DA INFRAESTRUTURA </v>
      </c>
      <c r="H173" s="773" t="s">
        <v>3138</v>
      </c>
      <c r="I173" s="757">
        <f>DESPORC!C665</f>
        <v>15</v>
      </c>
      <c r="J173" s="765" t="str">
        <f>DESPORC!D665</f>
        <v>Administração</v>
      </c>
    </row>
    <row r="174" spans="2:10" x14ac:dyDescent="0.25">
      <c r="B174" s="1619"/>
      <c r="C174" s="1616"/>
      <c r="D174" s="1630"/>
      <c r="E174" s="1619"/>
      <c r="F174" s="1616"/>
      <c r="G174" s="1618"/>
      <c r="H174" s="774" t="s">
        <v>6940</v>
      </c>
      <c r="I174" s="757">
        <f>DESPORC!C666</f>
        <v>452</v>
      </c>
      <c r="J174" s="765" t="str">
        <f>DESPORC!D666</f>
        <v>Serviços Urbanos</v>
      </c>
    </row>
    <row r="175" spans="2:10" x14ac:dyDescent="0.25">
      <c r="B175" s="1619" t="s">
        <v>6941</v>
      </c>
      <c r="C175" s="1616">
        <f>'[3]Anexo I - Programas'!$C$106</f>
        <v>1003</v>
      </c>
      <c r="D175" s="1622" t="str">
        <f>'[3]Anexo I - Programas'!$D$106</f>
        <v>Novos Investimentos em Infraestrutura</v>
      </c>
      <c r="E175" s="1619" t="s">
        <v>6941</v>
      </c>
      <c r="F175" s="1616">
        <f>C175</f>
        <v>1003</v>
      </c>
      <c r="G175" s="1618" t="str">
        <f>D175</f>
        <v>Novos Investimentos em Infraestrutura</v>
      </c>
      <c r="H175" s="775" t="s">
        <v>3137</v>
      </c>
      <c r="I175" s="761" t="str">
        <f>F173</f>
        <v>4</v>
      </c>
      <c r="J175" s="762" t="str">
        <f>G173</f>
        <v xml:space="preserve">PROMOÇÃO E DESENVOLVIMENTO DA INFRAESTRUTURA </v>
      </c>
    </row>
    <row r="176" spans="2:10" x14ac:dyDescent="0.25">
      <c r="B176" s="1620"/>
      <c r="C176" s="1621"/>
      <c r="D176" s="1623"/>
      <c r="E176" s="1620"/>
      <c r="F176" s="1621"/>
      <c r="G176" s="1624"/>
      <c r="H176" s="776" t="s">
        <v>6941</v>
      </c>
      <c r="I176" s="763">
        <f>F175</f>
        <v>1003</v>
      </c>
      <c r="J176" s="764" t="str">
        <f>G175</f>
        <v>Novos Investimentos em Infraestrutura</v>
      </c>
    </row>
    <row r="177" spans="2:10" ht="15.75" thickBot="1" x14ac:dyDescent="0.3">
      <c r="B177" s="769" t="s">
        <v>6939</v>
      </c>
      <c r="C177" s="1625">
        <f>'[3]Anexo I - Programas'!$H$107</f>
        <v>700000</v>
      </c>
      <c r="D177" s="1626"/>
      <c r="E177" s="769" t="s">
        <v>6939</v>
      </c>
      <c r="F177" s="1625">
        <f>'[3]Anexo I - Programas'!$J$107</f>
        <v>175000</v>
      </c>
      <c r="G177" s="1627"/>
      <c r="H177" s="778" t="s">
        <v>6939</v>
      </c>
      <c r="I177" s="1625">
        <f>DESPORC!I668</f>
        <v>308694.25</v>
      </c>
      <c r="J177" s="1627"/>
    </row>
    <row r="178" spans="2:10" x14ac:dyDescent="0.25">
      <c r="B178" s="1628" t="s">
        <v>3137</v>
      </c>
      <c r="C178" s="1615" t="str">
        <f>'[3]Anexo I - Programas'!$B$60</f>
        <v>003</v>
      </c>
      <c r="D178" s="1629" t="str">
        <f>'[3]Anexo I - Programas'!$C$60</f>
        <v xml:space="preserve">GESTÃO, COORDENAÇÃO E PLANEJAMENTO </v>
      </c>
      <c r="E178" s="1628" t="s">
        <v>3137</v>
      </c>
      <c r="F178" s="1615" t="str">
        <f>C178</f>
        <v>003</v>
      </c>
      <c r="G178" s="1617" t="str">
        <f>D178</f>
        <v xml:space="preserve">GESTÃO, COORDENAÇÃO E PLANEJAMENTO </v>
      </c>
      <c r="H178" s="773" t="s">
        <v>3138</v>
      </c>
      <c r="I178" s="757">
        <f>DESPORC!C678</f>
        <v>26</v>
      </c>
      <c r="J178" s="765" t="str">
        <f>DESPORC!D678</f>
        <v>Transporte</v>
      </c>
    </row>
    <row r="179" spans="2:10" x14ac:dyDescent="0.25">
      <c r="B179" s="1619"/>
      <c r="C179" s="1616"/>
      <c r="D179" s="1630"/>
      <c r="E179" s="1619"/>
      <c r="F179" s="1616"/>
      <c r="G179" s="1618"/>
      <c r="H179" s="774" t="s">
        <v>6940</v>
      </c>
      <c r="I179" s="757">
        <f>DESPORC!C679</f>
        <v>122</v>
      </c>
      <c r="J179" s="765" t="str">
        <f>DESPORC!D679</f>
        <v>Administração Geral</v>
      </c>
    </row>
    <row r="180" spans="2:10" x14ac:dyDescent="0.25">
      <c r="B180" s="1619" t="s">
        <v>6941</v>
      </c>
      <c r="C180" s="1616">
        <f>'[3]Anexo I - Programas'!$C$69</f>
        <v>1002</v>
      </c>
      <c r="D180" s="1622" t="str">
        <f>'[3]Anexo I - Programas'!$D$69</f>
        <v>Realização de Novos Investimentos do Poder Executivo</v>
      </c>
      <c r="E180" s="1619" t="s">
        <v>6941</v>
      </c>
      <c r="F180" s="1616">
        <f>C180</f>
        <v>1002</v>
      </c>
      <c r="G180" s="1618" t="str">
        <f>D180</f>
        <v>Realização de Novos Investimentos do Poder Executivo</v>
      </c>
      <c r="H180" s="775" t="s">
        <v>3137</v>
      </c>
      <c r="I180" s="761" t="str">
        <f>F178</f>
        <v>003</v>
      </c>
      <c r="J180" s="762" t="str">
        <f>G178</f>
        <v xml:space="preserve">GESTÃO, COORDENAÇÃO E PLANEJAMENTO </v>
      </c>
    </row>
    <row r="181" spans="2:10" x14ac:dyDescent="0.25">
      <c r="B181" s="1620"/>
      <c r="C181" s="1621"/>
      <c r="D181" s="1623"/>
      <c r="E181" s="1620"/>
      <c r="F181" s="1621"/>
      <c r="G181" s="1624"/>
      <c r="H181" s="776" t="s">
        <v>6941</v>
      </c>
      <c r="I181" s="763">
        <f>F180</f>
        <v>1002</v>
      </c>
      <c r="J181" s="764" t="str">
        <f>G180</f>
        <v>Realização de Novos Investimentos do Poder Executivo</v>
      </c>
    </row>
    <row r="182" spans="2:10" ht="15.75" thickBot="1" x14ac:dyDescent="0.3">
      <c r="B182" s="769" t="s">
        <v>6939</v>
      </c>
      <c r="C182" s="1625">
        <f>'[3]Anexo I - Programas'!$H$70</f>
        <v>1600000</v>
      </c>
      <c r="D182" s="1626"/>
      <c r="E182" s="769" t="s">
        <v>6939</v>
      </c>
      <c r="F182" s="1625">
        <f>'[3]Anexo I - Programas'!$J$70</f>
        <v>400000</v>
      </c>
      <c r="G182" s="1627"/>
      <c r="H182" s="778" t="s">
        <v>6939</v>
      </c>
      <c r="I182" s="1625">
        <f>DESPORC!I681</f>
        <v>0.10631807180000001</v>
      </c>
      <c r="J182" s="1627"/>
    </row>
    <row r="183" spans="2:10" x14ac:dyDescent="0.25">
      <c r="B183" s="1628" t="s">
        <v>3137</v>
      </c>
      <c r="C183" s="1615" t="str">
        <f>'[3]Anexo I - Programas'!$B$97</f>
        <v>4</v>
      </c>
      <c r="D183" s="1629" t="str">
        <f>'[3]Anexo I - Programas'!$C$97</f>
        <v xml:space="preserve">PROMOÇÃO E DESENVOLVIMENTO DA INFRAESTRUTURA </v>
      </c>
      <c r="E183" s="1628" t="s">
        <v>3137</v>
      </c>
      <c r="F183" s="1615" t="str">
        <f>C183</f>
        <v>4</v>
      </c>
      <c r="G183" s="1617" t="str">
        <f>D183</f>
        <v xml:space="preserve">PROMOÇÃO E DESENVOLVIMENTO DA INFRAESTRUTURA </v>
      </c>
      <c r="H183" s="773" t="s">
        <v>3138</v>
      </c>
      <c r="I183" s="757">
        <f>DESPORC!C692</f>
        <v>26</v>
      </c>
      <c r="J183" s="765" t="str">
        <f>DESPORC!D692</f>
        <v>Transporte</v>
      </c>
    </row>
    <row r="184" spans="2:10" x14ac:dyDescent="0.25">
      <c r="B184" s="1619"/>
      <c r="C184" s="1616"/>
      <c r="D184" s="1630"/>
      <c r="E184" s="1619"/>
      <c r="F184" s="1616"/>
      <c r="G184" s="1618"/>
      <c r="H184" s="774" t="s">
        <v>6940</v>
      </c>
      <c r="I184" s="757">
        <f>DESPORC!C693</f>
        <v>782</v>
      </c>
      <c r="J184" s="765" t="str">
        <f>DESPORC!D693</f>
        <v>Transporte Rodoviário</v>
      </c>
    </row>
    <row r="185" spans="2:10" x14ac:dyDescent="0.25">
      <c r="B185" s="1619" t="s">
        <v>6941</v>
      </c>
      <c r="C185" s="1616">
        <f>'[3]Anexo I - Programas'!$C$106</f>
        <v>1003</v>
      </c>
      <c r="D185" s="1622" t="str">
        <f>'[3]Anexo I - Programas'!$D$106</f>
        <v>Novos Investimentos em Infraestrutura</v>
      </c>
      <c r="E185" s="1619" t="s">
        <v>6941</v>
      </c>
      <c r="F185" s="1616">
        <f>C185</f>
        <v>1003</v>
      </c>
      <c r="G185" s="1618" t="str">
        <f>D185</f>
        <v>Novos Investimentos em Infraestrutura</v>
      </c>
      <c r="H185" s="775" t="s">
        <v>3137</v>
      </c>
      <c r="I185" s="761" t="str">
        <f>F183</f>
        <v>4</v>
      </c>
      <c r="J185" s="762" t="str">
        <f>G183</f>
        <v xml:space="preserve">PROMOÇÃO E DESENVOLVIMENTO DA INFRAESTRUTURA </v>
      </c>
    </row>
    <row r="186" spans="2:10" x14ac:dyDescent="0.25">
      <c r="B186" s="1620"/>
      <c r="C186" s="1621"/>
      <c r="D186" s="1623"/>
      <c r="E186" s="1620"/>
      <c r="F186" s="1621"/>
      <c r="G186" s="1624"/>
      <c r="H186" s="776" t="s">
        <v>6941</v>
      </c>
      <c r="I186" s="763">
        <f>F185</f>
        <v>1003</v>
      </c>
      <c r="J186" s="764" t="str">
        <f>G185</f>
        <v>Novos Investimentos em Infraestrutura</v>
      </c>
    </row>
    <row r="187" spans="2:10" ht="15.75" thickBot="1" x14ac:dyDescent="0.3">
      <c r="B187" s="769" t="s">
        <v>6939</v>
      </c>
      <c r="C187" s="1625">
        <f>'[3]Anexo I - Programas'!$H$107</f>
        <v>700000</v>
      </c>
      <c r="D187" s="1626"/>
      <c r="E187" s="769" t="s">
        <v>6939</v>
      </c>
      <c r="F187" s="1625">
        <f>'[3]Anexo I - Programas'!$J$107</f>
        <v>175000</v>
      </c>
      <c r="G187" s="1627"/>
      <c r="H187" s="778" t="s">
        <v>6939</v>
      </c>
      <c r="I187" s="1625">
        <f>DESPORC!I695</f>
        <v>1.1099999999999999</v>
      </c>
      <c r="J187" s="1627"/>
    </row>
    <row r="188" spans="2:10" x14ac:dyDescent="0.25">
      <c r="B188" s="1628" t="s">
        <v>3137</v>
      </c>
      <c r="C188" s="1615" t="str">
        <f>'[3]Anexo I - Programas'!$B$97</f>
        <v>4</v>
      </c>
      <c r="D188" s="1629" t="str">
        <f>'[3]Anexo I - Programas'!$C$97</f>
        <v xml:space="preserve">PROMOÇÃO E DESENVOLVIMENTO DA INFRAESTRUTURA </v>
      </c>
      <c r="E188" s="1628" t="s">
        <v>3137</v>
      </c>
      <c r="F188" s="1615" t="str">
        <f>C188</f>
        <v>4</v>
      </c>
      <c r="G188" s="1617" t="str">
        <f>D188</f>
        <v xml:space="preserve">PROMOÇÃO E DESENVOLVIMENTO DA INFRAESTRUTURA </v>
      </c>
      <c r="H188" s="773" t="s">
        <v>3138</v>
      </c>
      <c r="I188" s="757">
        <f>DESPORC!C712</f>
        <v>15</v>
      </c>
      <c r="J188" s="765" t="str">
        <f>DESPORC!D712</f>
        <v>Urbanismo</v>
      </c>
    </row>
    <row r="189" spans="2:10" x14ac:dyDescent="0.25">
      <c r="B189" s="1619"/>
      <c r="C189" s="1616"/>
      <c r="D189" s="1630"/>
      <c r="E189" s="1619"/>
      <c r="F189" s="1616"/>
      <c r="G189" s="1618"/>
      <c r="H189" s="774" t="s">
        <v>6940</v>
      </c>
      <c r="I189" s="757">
        <f>DESPORC!C713</f>
        <v>451</v>
      </c>
      <c r="J189" s="765" t="str">
        <f>DESPORC!D713</f>
        <v>Infra-Estrutura-Urbana</v>
      </c>
    </row>
    <row r="190" spans="2:10" x14ac:dyDescent="0.25">
      <c r="B190" s="1619" t="s">
        <v>6941</v>
      </c>
      <c r="C190" s="1616">
        <f>'[3]Anexo I - Programas'!$C$106</f>
        <v>1003</v>
      </c>
      <c r="D190" s="1622" t="str">
        <f>'[3]Anexo I - Programas'!$D$106</f>
        <v>Novos Investimentos em Infraestrutura</v>
      </c>
      <c r="E190" s="1619" t="s">
        <v>6941</v>
      </c>
      <c r="F190" s="1616">
        <f>C190</f>
        <v>1003</v>
      </c>
      <c r="G190" s="1618" t="str">
        <f>D190</f>
        <v>Novos Investimentos em Infraestrutura</v>
      </c>
      <c r="H190" s="775" t="s">
        <v>3137</v>
      </c>
      <c r="I190" s="761" t="str">
        <f>F188</f>
        <v>4</v>
      </c>
      <c r="J190" s="762" t="str">
        <f>G188</f>
        <v xml:space="preserve">PROMOÇÃO E DESENVOLVIMENTO DA INFRAESTRUTURA </v>
      </c>
    </row>
    <row r="191" spans="2:10" x14ac:dyDescent="0.25">
      <c r="B191" s="1620"/>
      <c r="C191" s="1621"/>
      <c r="D191" s="1623"/>
      <c r="E191" s="1620"/>
      <c r="F191" s="1621"/>
      <c r="G191" s="1624"/>
      <c r="H191" s="776" t="s">
        <v>6941</v>
      </c>
      <c r="I191" s="763">
        <f>F190</f>
        <v>1003</v>
      </c>
      <c r="J191" s="764" t="str">
        <f>G190</f>
        <v>Novos Investimentos em Infraestrutura</v>
      </c>
    </row>
    <row r="192" spans="2:10" ht="15.75" thickBot="1" x14ac:dyDescent="0.3">
      <c r="B192" s="769" t="s">
        <v>6939</v>
      </c>
      <c r="C192" s="1625">
        <f>'[3]Anexo I - Programas'!$H$107</f>
        <v>700000</v>
      </c>
      <c r="D192" s="1626"/>
      <c r="E192" s="769" t="s">
        <v>6939</v>
      </c>
      <c r="F192" s="1625">
        <f>'[3]Anexo I - Programas'!$J$107</f>
        <v>175000</v>
      </c>
      <c r="G192" s="1627"/>
      <c r="H192" s="778" t="s">
        <v>6939</v>
      </c>
      <c r="I192" s="1625">
        <f>DESPORC!I715</f>
        <v>107456.56128266663</v>
      </c>
      <c r="J192" s="1627"/>
    </row>
    <row r="193" spans="2:10" x14ac:dyDescent="0.25">
      <c r="B193" s="1628" t="s">
        <v>3137</v>
      </c>
      <c r="C193" s="1615" t="str">
        <f>'[3]Anexo I - Programas'!$B$97</f>
        <v>4</v>
      </c>
      <c r="D193" s="1629" t="str">
        <f>'[3]Anexo I - Programas'!$C$97</f>
        <v xml:space="preserve">PROMOÇÃO E DESENVOLVIMENTO DA INFRAESTRUTURA </v>
      </c>
      <c r="E193" s="1628" t="s">
        <v>3137</v>
      </c>
      <c r="F193" s="1615" t="str">
        <f>C193</f>
        <v>4</v>
      </c>
      <c r="G193" s="1617" t="str">
        <f>D193</f>
        <v xml:space="preserve">PROMOÇÃO E DESENVOLVIMENTO DA INFRAESTRUTURA </v>
      </c>
      <c r="H193" s="773" t="s">
        <v>3138</v>
      </c>
      <c r="I193" s="757">
        <f>DESPORC!C748</f>
        <v>15</v>
      </c>
      <c r="J193" s="765" t="str">
        <f>DESPORC!D748</f>
        <v>Urbanismo</v>
      </c>
    </row>
    <row r="194" spans="2:10" x14ac:dyDescent="0.25">
      <c r="B194" s="1619"/>
      <c r="C194" s="1616"/>
      <c r="D194" s="1630"/>
      <c r="E194" s="1619"/>
      <c r="F194" s="1616"/>
      <c r="G194" s="1618"/>
      <c r="H194" s="774" t="s">
        <v>6940</v>
      </c>
      <c r="I194" s="757">
        <f>DESPORC!C749</f>
        <v>452</v>
      </c>
      <c r="J194" s="765" t="str">
        <f>DESPORC!D749</f>
        <v>Serviços Urbanos</v>
      </c>
    </row>
    <row r="195" spans="2:10" x14ac:dyDescent="0.25">
      <c r="B195" s="1619" t="s">
        <v>6941</v>
      </c>
      <c r="C195" s="1616">
        <f>'[3]Anexo I - Programas'!$C$111</f>
        <v>2003</v>
      </c>
      <c r="D195" s="1622" t="str">
        <f>'[3]Anexo I - Programas'!$D$111</f>
        <v>Apoio a Manutenção em Infraestrutura</v>
      </c>
      <c r="E195" s="1619" t="s">
        <v>6941</v>
      </c>
      <c r="F195" s="1616">
        <f>C195</f>
        <v>2003</v>
      </c>
      <c r="G195" s="1618" t="str">
        <f>D195</f>
        <v>Apoio a Manutenção em Infraestrutura</v>
      </c>
      <c r="H195" s="775" t="s">
        <v>3137</v>
      </c>
      <c r="I195" s="761" t="str">
        <f>F193</f>
        <v>4</v>
      </c>
      <c r="J195" s="762" t="str">
        <f>G193</f>
        <v xml:space="preserve">PROMOÇÃO E DESENVOLVIMENTO DA INFRAESTRUTURA </v>
      </c>
    </row>
    <row r="196" spans="2:10" x14ac:dyDescent="0.25">
      <c r="B196" s="1620"/>
      <c r="C196" s="1621"/>
      <c r="D196" s="1623"/>
      <c r="E196" s="1620"/>
      <c r="F196" s="1621"/>
      <c r="G196" s="1624"/>
      <c r="H196" s="776" t="s">
        <v>6941</v>
      </c>
      <c r="I196" s="763">
        <f>F195</f>
        <v>2003</v>
      </c>
      <c r="J196" s="764" t="str">
        <f>G195</f>
        <v>Apoio a Manutenção em Infraestrutura</v>
      </c>
    </row>
    <row r="197" spans="2:10" ht="15.75" thickBot="1" x14ac:dyDescent="0.3">
      <c r="B197" s="769" t="s">
        <v>6939</v>
      </c>
      <c r="C197" s="1625">
        <f>'[3]Anexo I - Programas'!$H$112</f>
        <v>3400000</v>
      </c>
      <c r="D197" s="1626"/>
      <c r="E197" s="769" t="s">
        <v>6939</v>
      </c>
      <c r="F197" s="1625">
        <f>'[3]Anexo I - Programas'!$J$112</f>
        <v>850000</v>
      </c>
      <c r="G197" s="1627"/>
      <c r="H197" s="778" t="s">
        <v>6939</v>
      </c>
      <c r="I197" s="1625">
        <f>DESPORC!I751</f>
        <v>60550.464587672395</v>
      </c>
      <c r="J197" s="1627"/>
    </row>
    <row r="198" spans="2:10" x14ac:dyDescent="0.25">
      <c r="B198" s="1628" t="s">
        <v>3137</v>
      </c>
      <c r="C198" s="1615" t="str">
        <f>'[3]Anexo I - Programas'!$B$60</f>
        <v>003</v>
      </c>
      <c r="D198" s="1629" t="str">
        <f>'[3]Anexo I - Programas'!$C$60</f>
        <v xml:space="preserve">GESTÃO, COORDENAÇÃO E PLANEJAMENTO </v>
      </c>
      <c r="E198" s="1628" t="s">
        <v>3137</v>
      </c>
      <c r="F198" s="1615" t="str">
        <f>C198</f>
        <v>003</v>
      </c>
      <c r="G198" s="1617" t="str">
        <f>D198</f>
        <v xml:space="preserve">GESTÃO, COORDENAÇÃO E PLANEJAMENTO </v>
      </c>
      <c r="H198" s="773" t="s">
        <v>3138</v>
      </c>
      <c r="I198" s="757">
        <f>DESPORC!C783</f>
        <v>26</v>
      </c>
      <c r="J198" s="765" t="str">
        <f>DESPORC!D783</f>
        <v>Transporte</v>
      </c>
    </row>
    <row r="199" spans="2:10" x14ac:dyDescent="0.25">
      <c r="B199" s="1619"/>
      <c r="C199" s="1616"/>
      <c r="D199" s="1630"/>
      <c r="E199" s="1619"/>
      <c r="F199" s="1616"/>
      <c r="G199" s="1618"/>
      <c r="H199" s="774" t="s">
        <v>6940</v>
      </c>
      <c r="I199" s="757">
        <f>DESPORC!C784</f>
        <v>122</v>
      </c>
      <c r="J199" s="765" t="str">
        <f>DESPORC!D784</f>
        <v>Administração Geral</v>
      </c>
    </row>
    <row r="200" spans="2:10" x14ac:dyDescent="0.25">
      <c r="B200" s="1619" t="s">
        <v>6941</v>
      </c>
      <c r="C200" s="1616">
        <f>'[3]Anexo I - Programas'!$C$74</f>
        <v>2002</v>
      </c>
      <c r="D200" s="1622" t="str">
        <f>'[3]Anexo I - Programas'!$D$74</f>
        <v xml:space="preserve">GESTÃO , APOIO E MANUTENÇÃO , COORDENAÇÃO E PLANEJAMENTO </v>
      </c>
      <c r="E200" s="1619" t="s">
        <v>6941</v>
      </c>
      <c r="F200" s="1616">
        <f>C200</f>
        <v>2002</v>
      </c>
      <c r="G200" s="1618" t="str">
        <f>D200</f>
        <v xml:space="preserve">GESTÃO , APOIO E MANUTENÇÃO , COORDENAÇÃO E PLANEJAMENTO </v>
      </c>
      <c r="H200" s="775" t="s">
        <v>3137</v>
      </c>
      <c r="I200" s="761" t="str">
        <f>F198</f>
        <v>003</v>
      </c>
      <c r="J200" s="762" t="str">
        <f>G198</f>
        <v xml:space="preserve">GESTÃO, COORDENAÇÃO E PLANEJAMENTO </v>
      </c>
    </row>
    <row r="201" spans="2:10" ht="30" x14ac:dyDescent="0.25">
      <c r="B201" s="1620"/>
      <c r="C201" s="1621"/>
      <c r="D201" s="1623"/>
      <c r="E201" s="1620"/>
      <c r="F201" s="1621"/>
      <c r="G201" s="1624"/>
      <c r="H201" s="776" t="s">
        <v>6941</v>
      </c>
      <c r="I201" s="763">
        <f>F200</f>
        <v>2002</v>
      </c>
      <c r="J201" s="764" t="str">
        <f>G200</f>
        <v xml:space="preserve">GESTÃO , APOIO E MANUTENÇÃO , COORDENAÇÃO E PLANEJAMENTO </v>
      </c>
    </row>
    <row r="202" spans="2:10" ht="15.75" thickBot="1" x14ac:dyDescent="0.3">
      <c r="B202" s="769" t="s">
        <v>6939</v>
      </c>
      <c r="C202" s="1625">
        <f>'[3]Anexo I - Programas'!$H$75</f>
        <v>10370000</v>
      </c>
      <c r="D202" s="1626"/>
      <c r="E202" s="769" t="s">
        <v>6939</v>
      </c>
      <c r="F202" s="1625">
        <f>'[3]Anexo I - Programas'!$J$75</f>
        <v>2592500</v>
      </c>
      <c r="G202" s="1627"/>
      <c r="H202" s="778" t="s">
        <v>6939</v>
      </c>
      <c r="I202" s="1625">
        <f>DESPORC!I786</f>
        <v>217392.33869990709</v>
      </c>
      <c r="J202" s="1627"/>
    </row>
    <row r="203" spans="2:10" x14ac:dyDescent="0.25">
      <c r="B203" s="1628" t="s">
        <v>3137</v>
      </c>
      <c r="C203" s="1615" t="str">
        <f>'[3]Anexo I - Programas'!$B$60</f>
        <v>003</v>
      </c>
      <c r="D203" s="1629" t="str">
        <f>'[3]Anexo I - Programas'!$C$60</f>
        <v xml:space="preserve">GESTÃO, COORDENAÇÃO E PLANEJAMENTO </v>
      </c>
      <c r="E203" s="1628" t="s">
        <v>3137</v>
      </c>
      <c r="F203" s="1615" t="str">
        <f>C203</f>
        <v>003</v>
      </c>
      <c r="G203" s="1617" t="str">
        <f>D203</f>
        <v xml:space="preserve">GESTÃO, COORDENAÇÃO E PLANEJAMENTO </v>
      </c>
      <c r="H203" s="773" t="s">
        <v>3138</v>
      </c>
      <c r="I203" s="757">
        <f>DESPORC!C866</f>
        <v>26</v>
      </c>
      <c r="J203" s="765" t="str">
        <f>DESPORC!D866</f>
        <v>Transporte</v>
      </c>
    </row>
    <row r="204" spans="2:10" x14ac:dyDescent="0.25">
      <c r="B204" s="1619"/>
      <c r="C204" s="1616"/>
      <c r="D204" s="1630"/>
      <c r="E204" s="1619"/>
      <c r="F204" s="1616"/>
      <c r="G204" s="1618"/>
      <c r="H204" s="774" t="s">
        <v>6940</v>
      </c>
      <c r="I204" s="757">
        <f>DESPORC!C867</f>
        <v>126</v>
      </c>
      <c r="J204" s="765" t="str">
        <f>DESPORC!D867</f>
        <v>Tecnologia da Informação</v>
      </c>
    </row>
    <row r="205" spans="2:10" x14ac:dyDescent="0.25">
      <c r="B205" s="1619" t="s">
        <v>6941</v>
      </c>
      <c r="C205" s="1616">
        <f>'[3]Anexo I - Programas'!$C$74</f>
        <v>2002</v>
      </c>
      <c r="D205" s="1622" t="str">
        <f>'[3]Anexo I - Programas'!$D$74</f>
        <v xml:space="preserve">GESTÃO , APOIO E MANUTENÇÃO , COORDENAÇÃO E PLANEJAMENTO </v>
      </c>
      <c r="E205" s="1619" t="s">
        <v>6941</v>
      </c>
      <c r="F205" s="1616">
        <f>C205</f>
        <v>2002</v>
      </c>
      <c r="G205" s="1618" t="str">
        <f>D205</f>
        <v xml:space="preserve">GESTÃO , APOIO E MANUTENÇÃO , COORDENAÇÃO E PLANEJAMENTO </v>
      </c>
      <c r="H205" s="775" t="s">
        <v>3137</v>
      </c>
      <c r="I205" s="761" t="str">
        <f>F203</f>
        <v>003</v>
      </c>
      <c r="J205" s="762" t="str">
        <f>G203</f>
        <v xml:space="preserve">GESTÃO, COORDENAÇÃO E PLANEJAMENTO </v>
      </c>
    </row>
    <row r="206" spans="2:10" ht="30" x14ac:dyDescent="0.25">
      <c r="B206" s="1620"/>
      <c r="C206" s="1621"/>
      <c r="D206" s="1623"/>
      <c r="E206" s="1620"/>
      <c r="F206" s="1621"/>
      <c r="G206" s="1624"/>
      <c r="H206" s="776" t="s">
        <v>6941</v>
      </c>
      <c r="I206" s="763">
        <f>F205</f>
        <v>2002</v>
      </c>
      <c r="J206" s="764" t="str">
        <f>G205</f>
        <v xml:space="preserve">GESTÃO , APOIO E MANUTENÇÃO , COORDENAÇÃO E PLANEJAMENTO </v>
      </c>
    </row>
    <row r="207" spans="2:10" ht="15.75" thickBot="1" x14ac:dyDescent="0.3">
      <c r="B207" s="769" t="s">
        <v>6939</v>
      </c>
      <c r="C207" s="1625">
        <f>'[3]Anexo I - Programas'!$H$75</f>
        <v>10370000</v>
      </c>
      <c r="D207" s="1626"/>
      <c r="E207" s="769" t="s">
        <v>6939</v>
      </c>
      <c r="F207" s="1625">
        <f>'[3]Anexo I - Programas'!$J$75</f>
        <v>2592500</v>
      </c>
      <c r="G207" s="1627"/>
      <c r="H207" s="778" t="s">
        <v>6939</v>
      </c>
      <c r="I207" s="1625">
        <f>DESPORC!I869</f>
        <v>1646.0433702089999</v>
      </c>
      <c r="J207" s="1627"/>
    </row>
    <row r="208" spans="2:10" x14ac:dyDescent="0.25">
      <c r="B208" s="1628" t="s">
        <v>3137</v>
      </c>
      <c r="C208" s="1615" t="str">
        <f>'[3]Anexo I - Programas'!$B$60</f>
        <v>003</v>
      </c>
      <c r="D208" s="1629" t="str">
        <f>'[3]Anexo I - Programas'!$C$60</f>
        <v xml:space="preserve">GESTÃO, COORDENAÇÃO E PLANEJAMENTO </v>
      </c>
      <c r="E208" s="1628" t="s">
        <v>3137</v>
      </c>
      <c r="F208" s="1615" t="str">
        <f>C208</f>
        <v>003</v>
      </c>
      <c r="G208" s="1617" t="str">
        <f>D208</f>
        <v xml:space="preserve">GESTÃO, COORDENAÇÃO E PLANEJAMENTO </v>
      </c>
      <c r="H208" s="773" t="s">
        <v>3138</v>
      </c>
      <c r="I208" s="757">
        <f>DESPORC!C875</f>
        <v>26</v>
      </c>
      <c r="J208" s="765" t="str">
        <f>DESPORC!D875</f>
        <v>Administração</v>
      </c>
    </row>
    <row r="209" spans="2:10" x14ac:dyDescent="0.25">
      <c r="B209" s="1619"/>
      <c r="C209" s="1616"/>
      <c r="D209" s="1630"/>
      <c r="E209" s="1619"/>
      <c r="F209" s="1616"/>
      <c r="G209" s="1618"/>
      <c r="H209" s="774" t="s">
        <v>6940</v>
      </c>
      <c r="I209" s="757">
        <f>DESPORC!C876</f>
        <v>128</v>
      </c>
      <c r="J209" s="765" t="str">
        <f>DESPORC!D876</f>
        <v>Formação de Recursos Humanos</v>
      </c>
    </row>
    <row r="210" spans="2:10" x14ac:dyDescent="0.25">
      <c r="B210" s="1619" t="s">
        <v>6941</v>
      </c>
      <c r="C210" s="1616">
        <f>'[3]Anexo I - Programas'!$C$74</f>
        <v>2002</v>
      </c>
      <c r="D210" s="1622" t="str">
        <f>'[3]Anexo I - Programas'!$D$74</f>
        <v xml:space="preserve">GESTÃO , APOIO E MANUTENÇÃO , COORDENAÇÃO E PLANEJAMENTO </v>
      </c>
      <c r="E210" s="1619" t="s">
        <v>6941</v>
      </c>
      <c r="F210" s="1616">
        <f>C210</f>
        <v>2002</v>
      </c>
      <c r="G210" s="1618" t="str">
        <f>D210</f>
        <v xml:space="preserve">GESTÃO , APOIO E MANUTENÇÃO , COORDENAÇÃO E PLANEJAMENTO </v>
      </c>
      <c r="H210" s="775" t="s">
        <v>3137</v>
      </c>
      <c r="I210" s="761" t="str">
        <f>F208</f>
        <v>003</v>
      </c>
      <c r="J210" s="762" t="str">
        <f>G208</f>
        <v xml:space="preserve">GESTÃO, COORDENAÇÃO E PLANEJAMENTO </v>
      </c>
    </row>
    <row r="211" spans="2:10" ht="30" x14ac:dyDescent="0.25">
      <c r="B211" s="1620"/>
      <c r="C211" s="1621"/>
      <c r="D211" s="1623"/>
      <c r="E211" s="1620"/>
      <c r="F211" s="1621"/>
      <c r="G211" s="1624"/>
      <c r="H211" s="776" t="s">
        <v>6941</v>
      </c>
      <c r="I211" s="763">
        <f>F210</f>
        <v>2002</v>
      </c>
      <c r="J211" s="764" t="str">
        <f>G210</f>
        <v xml:space="preserve">GESTÃO , APOIO E MANUTENÇÃO , COORDENAÇÃO E PLANEJAMENTO </v>
      </c>
    </row>
    <row r="212" spans="2:10" ht="15.75" thickBot="1" x14ac:dyDescent="0.3">
      <c r="B212" s="769" t="s">
        <v>6939</v>
      </c>
      <c r="C212" s="1625">
        <f>'[3]Anexo I - Programas'!$H$75</f>
        <v>10370000</v>
      </c>
      <c r="D212" s="1626"/>
      <c r="E212" s="769" t="s">
        <v>6939</v>
      </c>
      <c r="F212" s="1625">
        <f>'[3]Anexo I - Programas'!$J$75</f>
        <v>2592500</v>
      </c>
      <c r="G212" s="1627"/>
      <c r="H212" s="778" t="s">
        <v>6939</v>
      </c>
      <c r="I212" s="1625">
        <f>DESPORC!I878</f>
        <v>0.05</v>
      </c>
      <c r="J212" s="1627"/>
    </row>
    <row r="213" spans="2:10" x14ac:dyDescent="0.25">
      <c r="B213" s="1628" t="s">
        <v>3137</v>
      </c>
      <c r="C213" s="1615" t="str">
        <f>'[3]Anexo I - Programas'!$B$97</f>
        <v>4</v>
      </c>
      <c r="D213" s="1629" t="str">
        <f>'[3]Anexo I - Programas'!$C$97</f>
        <v xml:space="preserve">PROMOÇÃO E DESENVOLVIMENTO DA INFRAESTRUTURA </v>
      </c>
      <c r="E213" s="1628" t="s">
        <v>3137</v>
      </c>
      <c r="F213" s="1615" t="str">
        <f>C213</f>
        <v>4</v>
      </c>
      <c r="G213" s="1617" t="str">
        <f>D213</f>
        <v xml:space="preserve">PROMOÇÃO E DESENVOLVIMENTO DA INFRAESTRUTURA </v>
      </c>
      <c r="H213" s="773" t="s">
        <v>3138</v>
      </c>
      <c r="I213" s="757">
        <f>DESPORC!C884</f>
        <v>26</v>
      </c>
      <c r="J213" s="765" t="str">
        <f>DESPORC!D884</f>
        <v>Transporte</v>
      </c>
    </row>
    <row r="214" spans="2:10" x14ac:dyDescent="0.25">
      <c r="B214" s="1619"/>
      <c r="C214" s="1616"/>
      <c r="D214" s="1630"/>
      <c r="E214" s="1619"/>
      <c r="F214" s="1616"/>
      <c r="G214" s="1618"/>
      <c r="H214" s="774" t="s">
        <v>6940</v>
      </c>
      <c r="I214" s="757">
        <f>DESPORC!C885</f>
        <v>126</v>
      </c>
      <c r="J214" s="765" t="str">
        <f>DESPORC!D885</f>
        <v>Tecnologia da Informação</v>
      </c>
    </row>
    <row r="215" spans="2:10" x14ac:dyDescent="0.25">
      <c r="B215" s="1619" t="s">
        <v>6941</v>
      </c>
      <c r="C215" s="1616">
        <f>'[3]Anexo I - Programas'!$C$111</f>
        <v>2003</v>
      </c>
      <c r="D215" s="1622" t="str">
        <f>'[3]Anexo I - Programas'!$D$111</f>
        <v>Apoio a Manutenção em Infraestrutura</v>
      </c>
      <c r="E215" s="1619" t="s">
        <v>6941</v>
      </c>
      <c r="F215" s="1616">
        <f>C215</f>
        <v>2003</v>
      </c>
      <c r="G215" s="1618" t="str">
        <f>D215</f>
        <v>Apoio a Manutenção em Infraestrutura</v>
      </c>
      <c r="H215" s="775" t="s">
        <v>3137</v>
      </c>
      <c r="I215" s="761" t="str">
        <f>F213</f>
        <v>4</v>
      </c>
      <c r="J215" s="762" t="str">
        <f>G213</f>
        <v xml:space="preserve">PROMOÇÃO E DESENVOLVIMENTO DA INFRAESTRUTURA </v>
      </c>
    </row>
    <row r="216" spans="2:10" x14ac:dyDescent="0.25">
      <c r="B216" s="1620"/>
      <c r="C216" s="1621"/>
      <c r="D216" s="1623"/>
      <c r="E216" s="1620"/>
      <c r="F216" s="1621"/>
      <c r="G216" s="1624"/>
      <c r="H216" s="776" t="s">
        <v>6941</v>
      </c>
      <c r="I216" s="763">
        <f>F215</f>
        <v>2003</v>
      </c>
      <c r="J216" s="764" t="str">
        <f>G215</f>
        <v>Apoio a Manutenção em Infraestrutura</v>
      </c>
    </row>
    <row r="217" spans="2:10" ht="15.75" thickBot="1" x14ac:dyDescent="0.3">
      <c r="B217" s="769" t="s">
        <v>6939</v>
      </c>
      <c r="C217" s="1625">
        <f>'[3]Anexo I - Programas'!$H$112</f>
        <v>3400000</v>
      </c>
      <c r="D217" s="1626"/>
      <c r="E217" s="769" t="s">
        <v>6939</v>
      </c>
      <c r="F217" s="1625">
        <f>'[3]Anexo I - Programas'!$J$112</f>
        <v>850000</v>
      </c>
      <c r="G217" s="1627"/>
      <c r="H217" s="778" t="s">
        <v>6939</v>
      </c>
      <c r="I217" s="1625">
        <f>DESPORC!I887</f>
        <v>0.04</v>
      </c>
      <c r="J217" s="1627"/>
    </row>
    <row r="218" spans="2:10" x14ac:dyDescent="0.25">
      <c r="B218" s="1628" t="s">
        <v>3137</v>
      </c>
      <c r="C218" s="1615" t="str">
        <f>'[3]Anexo I - Programas'!$B$97</f>
        <v>4</v>
      </c>
      <c r="D218" s="1629" t="str">
        <f>'[3]Anexo I - Programas'!$C$97</f>
        <v xml:space="preserve">PROMOÇÃO E DESENVOLVIMENTO DA INFRAESTRUTURA </v>
      </c>
      <c r="E218" s="1628" t="s">
        <v>3137</v>
      </c>
      <c r="F218" s="1615" t="str">
        <f>C218</f>
        <v>4</v>
      </c>
      <c r="G218" s="1617" t="str">
        <f>D218</f>
        <v xml:space="preserve">PROMOÇÃO E DESENVOLVIMENTO DA INFRAESTRUTURA </v>
      </c>
      <c r="H218" s="773" t="s">
        <v>3138</v>
      </c>
      <c r="I218" s="757">
        <f>DESPORC!C893</f>
        <v>26</v>
      </c>
      <c r="J218" s="765" t="str">
        <f>DESPORC!D893</f>
        <v>Transporte</v>
      </c>
    </row>
    <row r="219" spans="2:10" x14ac:dyDescent="0.25">
      <c r="B219" s="1619"/>
      <c r="C219" s="1616"/>
      <c r="D219" s="1630"/>
      <c r="E219" s="1619"/>
      <c r="F219" s="1616"/>
      <c r="G219" s="1618"/>
      <c r="H219" s="774" t="s">
        <v>6940</v>
      </c>
      <c r="I219" s="757">
        <f>DESPORC!C894</f>
        <v>128</v>
      </c>
      <c r="J219" s="765" t="str">
        <f>DESPORC!D894</f>
        <v>Formação de Recursos Humanos</v>
      </c>
    </row>
    <row r="220" spans="2:10" x14ac:dyDescent="0.25">
      <c r="B220" s="1619" t="s">
        <v>6941</v>
      </c>
      <c r="C220" s="1616">
        <f>'[3]Anexo I - Programas'!$C$111</f>
        <v>2003</v>
      </c>
      <c r="D220" s="1622" t="str">
        <f>'[3]Anexo I - Programas'!$D$111</f>
        <v>Apoio a Manutenção em Infraestrutura</v>
      </c>
      <c r="E220" s="1619" t="s">
        <v>6941</v>
      </c>
      <c r="F220" s="1616">
        <f>C220</f>
        <v>2003</v>
      </c>
      <c r="G220" s="1618" t="str">
        <f>D220</f>
        <v>Apoio a Manutenção em Infraestrutura</v>
      </c>
      <c r="H220" s="775" t="s">
        <v>3137</v>
      </c>
      <c r="I220" s="761" t="str">
        <f>F218</f>
        <v>4</v>
      </c>
      <c r="J220" s="762" t="str">
        <f>G218</f>
        <v xml:space="preserve">PROMOÇÃO E DESENVOLVIMENTO DA INFRAESTRUTURA </v>
      </c>
    </row>
    <row r="221" spans="2:10" x14ac:dyDescent="0.25">
      <c r="B221" s="1620"/>
      <c r="C221" s="1621"/>
      <c r="D221" s="1623"/>
      <c r="E221" s="1620"/>
      <c r="F221" s="1621"/>
      <c r="G221" s="1624"/>
      <c r="H221" s="776" t="s">
        <v>6941</v>
      </c>
      <c r="I221" s="763">
        <f>F220</f>
        <v>2003</v>
      </c>
      <c r="J221" s="764" t="str">
        <f>G220</f>
        <v>Apoio a Manutenção em Infraestrutura</v>
      </c>
    </row>
    <row r="222" spans="2:10" ht="15.75" thickBot="1" x14ac:dyDescent="0.3">
      <c r="B222" s="769" t="s">
        <v>6939</v>
      </c>
      <c r="C222" s="1625">
        <f>'[3]Anexo I - Programas'!$H$112</f>
        <v>3400000</v>
      </c>
      <c r="D222" s="1626"/>
      <c r="E222" s="769" t="s">
        <v>6939</v>
      </c>
      <c r="F222" s="1625">
        <f>'[3]Anexo I - Programas'!$J$112</f>
        <v>850000</v>
      </c>
      <c r="G222" s="1627"/>
      <c r="H222" s="778" t="s">
        <v>6939</v>
      </c>
      <c r="I222" s="1625">
        <f>DESPORC!I896</f>
        <v>0.05</v>
      </c>
      <c r="J222" s="1627"/>
    </row>
    <row r="223" spans="2:10" ht="15.75" thickBot="1" x14ac:dyDescent="0.3">
      <c r="B223" s="801"/>
      <c r="C223" s="802"/>
      <c r="D223" s="803"/>
      <c r="E223" s="801"/>
      <c r="F223" s="802"/>
      <c r="G223" s="803"/>
      <c r="H223" s="801"/>
      <c r="I223" s="802"/>
      <c r="J223" s="803"/>
    </row>
    <row r="224" spans="2:10" x14ac:dyDescent="0.25">
      <c r="B224" s="1628" t="s">
        <v>3137</v>
      </c>
      <c r="C224" s="1615" t="str">
        <f>'[3]Anexo I - Programas'!$B$97</f>
        <v>4</v>
      </c>
      <c r="D224" s="1629" t="str">
        <f>'[3]Anexo I - Programas'!$C$97</f>
        <v xml:space="preserve">PROMOÇÃO E DESENVOLVIMENTO DA INFRAESTRUTURA </v>
      </c>
      <c r="E224" s="1628" t="s">
        <v>3137</v>
      </c>
      <c r="F224" s="1615" t="str">
        <f>C224</f>
        <v>4</v>
      </c>
      <c r="G224" s="1617" t="str">
        <f>D224</f>
        <v xml:space="preserve">PROMOÇÃO E DESENVOLVIMENTO DA INFRAESTRUTURA </v>
      </c>
      <c r="H224" s="773" t="s">
        <v>3138</v>
      </c>
      <c r="I224" s="757">
        <f>DESPORC!C902</f>
        <v>26</v>
      </c>
      <c r="J224" s="765" t="str">
        <f>DESPORC!D902</f>
        <v>Transporte</v>
      </c>
    </row>
    <row r="225" spans="2:10" x14ac:dyDescent="0.25">
      <c r="B225" s="1619"/>
      <c r="C225" s="1616"/>
      <c r="D225" s="1630"/>
      <c r="E225" s="1619"/>
      <c r="F225" s="1616"/>
      <c r="G225" s="1618"/>
      <c r="H225" s="774" t="s">
        <v>6940</v>
      </c>
      <c r="I225" s="757">
        <f>DESPORC!C903</f>
        <v>782</v>
      </c>
      <c r="J225" s="765" t="str">
        <f>DESPORC!D903</f>
        <v>Transporte Rodoviário</v>
      </c>
    </row>
    <row r="226" spans="2:10" x14ac:dyDescent="0.25">
      <c r="B226" s="1619" t="s">
        <v>6941</v>
      </c>
      <c r="C226" s="1616">
        <f>'[3]Anexo I - Programas'!$C$111</f>
        <v>2003</v>
      </c>
      <c r="D226" s="1622" t="str">
        <f>'[3]Anexo I - Programas'!$D$111</f>
        <v>Apoio a Manutenção em Infraestrutura</v>
      </c>
      <c r="E226" s="1619" t="s">
        <v>6941</v>
      </c>
      <c r="F226" s="1616">
        <f>C226</f>
        <v>2003</v>
      </c>
      <c r="G226" s="1618" t="str">
        <f>D226</f>
        <v>Apoio a Manutenção em Infraestrutura</v>
      </c>
      <c r="H226" s="775" t="s">
        <v>3137</v>
      </c>
      <c r="I226" s="761" t="str">
        <f>F224</f>
        <v>4</v>
      </c>
      <c r="J226" s="762" t="str">
        <f>G224</f>
        <v xml:space="preserve">PROMOÇÃO E DESENVOLVIMENTO DA INFRAESTRUTURA </v>
      </c>
    </row>
    <row r="227" spans="2:10" x14ac:dyDescent="0.25">
      <c r="B227" s="1620"/>
      <c r="C227" s="1621"/>
      <c r="D227" s="1623"/>
      <c r="E227" s="1620"/>
      <c r="F227" s="1621"/>
      <c r="G227" s="1624"/>
      <c r="H227" s="776" t="s">
        <v>6941</v>
      </c>
      <c r="I227" s="763">
        <f>F226</f>
        <v>2003</v>
      </c>
      <c r="J227" s="764" t="str">
        <f>G226</f>
        <v>Apoio a Manutenção em Infraestrutura</v>
      </c>
    </row>
    <row r="228" spans="2:10" ht="15.75" thickBot="1" x14ac:dyDescent="0.3">
      <c r="B228" s="769" t="s">
        <v>6939</v>
      </c>
      <c r="C228" s="1625">
        <f>'[3]Anexo I - Programas'!$H$112</f>
        <v>3400000</v>
      </c>
      <c r="D228" s="1626"/>
      <c r="E228" s="769" t="s">
        <v>6939</v>
      </c>
      <c r="F228" s="1625">
        <f>'[3]Anexo I - Programas'!$J$112</f>
        <v>850000</v>
      </c>
      <c r="G228" s="1627"/>
      <c r="H228" s="778" t="s">
        <v>6939</v>
      </c>
      <c r="I228" s="1625">
        <f>DESPORC!I905</f>
        <v>1334131.7266243289</v>
      </c>
      <c r="J228" s="1627"/>
    </row>
    <row r="229" spans="2:10" x14ac:dyDescent="0.25">
      <c r="B229" s="1628" t="s">
        <v>3137</v>
      </c>
      <c r="C229" s="1615" t="str">
        <f>'[3]Anexo I - Programas'!$B$97</f>
        <v>4</v>
      </c>
      <c r="D229" s="1629" t="str">
        <f>'[3]Anexo I - Programas'!$C$97</f>
        <v xml:space="preserve">PROMOÇÃO E DESENVOLVIMENTO DA INFRAESTRUTURA </v>
      </c>
      <c r="E229" s="1628" t="s">
        <v>3137</v>
      </c>
      <c r="F229" s="1615" t="str">
        <f>C229</f>
        <v>4</v>
      </c>
      <c r="G229" s="1617" t="str">
        <f>D229</f>
        <v xml:space="preserve">PROMOÇÃO E DESENVOLVIMENTO DA INFRAESTRUTURA </v>
      </c>
      <c r="H229" s="773" t="s">
        <v>3138</v>
      </c>
      <c r="I229" s="757">
        <f>DESPORC!C1078</f>
        <v>26</v>
      </c>
      <c r="J229" s="765" t="str">
        <f>DESPORC!D1078</f>
        <v>Transporte</v>
      </c>
    </row>
    <row r="230" spans="2:10" x14ac:dyDescent="0.25">
      <c r="B230" s="1619"/>
      <c r="C230" s="1616"/>
      <c r="D230" s="1630"/>
      <c r="E230" s="1619"/>
      <c r="F230" s="1616"/>
      <c r="G230" s="1618"/>
      <c r="H230" s="774" t="s">
        <v>6940</v>
      </c>
      <c r="I230" s="757">
        <f>DESPORC!C1079</f>
        <v>782</v>
      </c>
      <c r="J230" s="765" t="str">
        <f>DESPORC!D1079</f>
        <v>Transporte Rodoviário</v>
      </c>
    </row>
    <row r="231" spans="2:10" x14ac:dyDescent="0.25">
      <c r="B231" s="1619" t="s">
        <v>6941</v>
      </c>
      <c r="C231" s="1616">
        <f>'[3]Anexo I - Programas'!$C$123</f>
        <v>2050</v>
      </c>
      <c r="D231" s="1622" t="str">
        <f>'[3]Anexo I - Programas'!$D$123</f>
        <v>PROMOÇÃO DE ACESSO A RESIDENCIAS E PROPRIEDADES</v>
      </c>
      <c r="E231" s="1619" t="s">
        <v>6941</v>
      </c>
      <c r="F231" s="1616">
        <f>C231</f>
        <v>2050</v>
      </c>
      <c r="G231" s="1618" t="str">
        <f>D231</f>
        <v>PROMOÇÃO DE ACESSO A RESIDENCIAS E PROPRIEDADES</v>
      </c>
      <c r="H231" s="775" t="s">
        <v>3137</v>
      </c>
      <c r="I231" s="761" t="str">
        <f>F229</f>
        <v>4</v>
      </c>
      <c r="J231" s="762" t="str">
        <f>G229</f>
        <v xml:space="preserve">PROMOÇÃO E DESENVOLVIMENTO DA INFRAESTRUTURA </v>
      </c>
    </row>
    <row r="232" spans="2:10" x14ac:dyDescent="0.25">
      <c r="B232" s="1620"/>
      <c r="C232" s="1621"/>
      <c r="D232" s="1623"/>
      <c r="E232" s="1620"/>
      <c r="F232" s="1621"/>
      <c r="G232" s="1624"/>
      <c r="H232" s="776" t="s">
        <v>6941</v>
      </c>
      <c r="I232" s="763">
        <f>F231</f>
        <v>2050</v>
      </c>
      <c r="J232" s="764" t="str">
        <f>G231</f>
        <v>PROMOÇÃO DE ACESSO A RESIDENCIAS E PROPRIEDADES</v>
      </c>
    </row>
    <row r="233" spans="2:10" ht="15.75" thickBot="1" x14ac:dyDescent="0.3">
      <c r="B233" s="769" t="s">
        <v>6939</v>
      </c>
      <c r="C233" s="1625">
        <f>'[3]Anexo I - Programas'!$H$124</f>
        <v>300000</v>
      </c>
      <c r="D233" s="1626"/>
      <c r="E233" s="769" t="s">
        <v>6939</v>
      </c>
      <c r="F233" s="1625">
        <f>'[3]Anexo I - Programas'!$J$124</f>
        <v>850000</v>
      </c>
      <c r="G233" s="1627"/>
      <c r="H233" s="778" t="s">
        <v>6939</v>
      </c>
      <c r="I233" s="1625">
        <f>DESPORC!I1081</f>
        <v>7.0000000000000007E-2</v>
      </c>
      <c r="J233" s="1627"/>
    </row>
    <row r="234" spans="2:10" x14ac:dyDescent="0.25">
      <c r="B234" s="1628" t="s">
        <v>3137</v>
      </c>
      <c r="C234" s="1615" t="str">
        <f>'[3]Anexo I - Programas'!$B$97</f>
        <v>4</v>
      </c>
      <c r="D234" s="1629" t="str">
        <f>'[3]Anexo I - Programas'!$C$97</f>
        <v xml:space="preserve">PROMOÇÃO E DESENVOLVIMENTO DA INFRAESTRUTURA </v>
      </c>
      <c r="E234" s="1628" t="s">
        <v>3137</v>
      </c>
      <c r="F234" s="1615" t="str">
        <f>C234</f>
        <v>4</v>
      </c>
      <c r="G234" s="1617" t="str">
        <f>D234</f>
        <v xml:space="preserve">PROMOÇÃO E DESENVOLVIMENTO DA INFRAESTRUTURA </v>
      </c>
      <c r="H234" s="773" t="s">
        <v>3138</v>
      </c>
      <c r="I234" s="757">
        <f>DESPORC!C1089</f>
        <v>26</v>
      </c>
      <c r="J234" s="765" t="str">
        <f>DESPORC!D1089</f>
        <v>Transporte</v>
      </c>
    </row>
    <row r="235" spans="2:10" x14ac:dyDescent="0.25">
      <c r="B235" s="1619"/>
      <c r="C235" s="1616"/>
      <c r="D235" s="1630"/>
      <c r="E235" s="1619"/>
      <c r="F235" s="1616"/>
      <c r="G235" s="1618"/>
      <c r="H235" s="774" t="s">
        <v>6940</v>
      </c>
      <c r="I235" s="757">
        <f>DESPORC!C1090</f>
        <v>126</v>
      </c>
      <c r="J235" s="765" t="str">
        <f>DESPORC!D1090</f>
        <v>Tecnologia da Informação</v>
      </c>
    </row>
    <row r="236" spans="2:10" x14ac:dyDescent="0.25">
      <c r="B236" s="1619" t="s">
        <v>6941</v>
      </c>
      <c r="C236" s="1616">
        <f>'[3]Anexo I - Programas'!$C$128</f>
        <v>2056</v>
      </c>
      <c r="D236" s="1622" t="str">
        <f>'[3]Anexo I - Programas'!$D$128</f>
        <v>Gestao e Apoio Departamento de Engenharia</v>
      </c>
      <c r="E236" s="1619" t="s">
        <v>6941</v>
      </c>
      <c r="F236" s="1616">
        <f>C236</f>
        <v>2056</v>
      </c>
      <c r="G236" s="1618" t="str">
        <f>D236</f>
        <v>Gestao e Apoio Departamento de Engenharia</v>
      </c>
      <c r="H236" s="775" t="s">
        <v>3137</v>
      </c>
      <c r="I236" s="850" t="str">
        <f>F234</f>
        <v>4</v>
      </c>
      <c r="J236" s="762" t="str">
        <f>G234</f>
        <v xml:space="preserve">PROMOÇÃO E DESENVOLVIMENTO DA INFRAESTRUTURA </v>
      </c>
    </row>
    <row r="237" spans="2:10" x14ac:dyDescent="0.25">
      <c r="B237" s="1620"/>
      <c r="C237" s="1621"/>
      <c r="D237" s="1623"/>
      <c r="E237" s="1620"/>
      <c r="F237" s="1621"/>
      <c r="G237" s="1624"/>
      <c r="H237" s="776" t="s">
        <v>6941</v>
      </c>
      <c r="I237" s="851">
        <f>F236</f>
        <v>2056</v>
      </c>
      <c r="J237" s="764" t="str">
        <f>G236</f>
        <v>Gestao e Apoio Departamento de Engenharia</v>
      </c>
    </row>
    <row r="238" spans="2:10" ht="15.75" thickBot="1" x14ac:dyDescent="0.3">
      <c r="B238" s="769" t="s">
        <v>6939</v>
      </c>
      <c r="C238" s="1625">
        <f>'[3]Anexo I - Programas'!$H$129</f>
        <v>300000</v>
      </c>
      <c r="D238" s="1626"/>
      <c r="E238" s="769" t="s">
        <v>6939</v>
      </c>
      <c r="F238" s="1625">
        <f>'[3]Anexo I - Programas'!$J$129</f>
        <v>850000</v>
      </c>
      <c r="G238" s="1627"/>
      <c r="H238" s="778" t="s">
        <v>6939</v>
      </c>
      <c r="I238" s="1625">
        <f>DESPORC!I1092</f>
        <v>1500</v>
      </c>
      <c r="J238" s="1627"/>
    </row>
    <row r="239" spans="2:10" x14ac:dyDescent="0.25">
      <c r="B239" s="1628" t="s">
        <v>3137</v>
      </c>
      <c r="C239" s="1615" t="str">
        <f>'[3]Anexo I - Programas'!$B$97</f>
        <v>4</v>
      </c>
      <c r="D239" s="1629" t="str">
        <f>'[3]Anexo I - Programas'!$C$97</f>
        <v xml:space="preserve">PROMOÇÃO E DESENVOLVIMENTO DA INFRAESTRUTURA </v>
      </c>
      <c r="E239" s="1628" t="s">
        <v>3137</v>
      </c>
      <c r="F239" s="1615" t="str">
        <f>C239</f>
        <v>4</v>
      </c>
      <c r="G239" s="1617" t="str">
        <f>D239</f>
        <v xml:space="preserve">PROMOÇÃO E DESENVOLVIMENTO DA INFRAESTRUTURA </v>
      </c>
      <c r="H239" s="773" t="s">
        <v>3138</v>
      </c>
      <c r="I239" s="757">
        <f>DESPORC!C1094</f>
        <v>26</v>
      </c>
      <c r="J239" s="765" t="str">
        <f>DESPORC!D1094</f>
        <v>Transporte</v>
      </c>
    </row>
    <row r="240" spans="2:10" x14ac:dyDescent="0.25">
      <c r="B240" s="1619"/>
      <c r="C240" s="1616"/>
      <c r="D240" s="1630"/>
      <c r="E240" s="1619"/>
      <c r="F240" s="1616"/>
      <c r="G240" s="1618"/>
      <c r="H240" s="774" t="s">
        <v>6940</v>
      </c>
      <c r="I240" s="757">
        <f>DESPORC!C1095</f>
        <v>128</v>
      </c>
      <c r="J240" s="765" t="str">
        <f>DESPORC!D1095</f>
        <v>Formação de Recursos Humanos</v>
      </c>
    </row>
    <row r="241" spans="2:10" x14ac:dyDescent="0.25">
      <c r="B241" s="1619" t="s">
        <v>6941</v>
      </c>
      <c r="C241" s="1616">
        <f>'[3]Anexo I - Programas'!$C$128</f>
        <v>2056</v>
      </c>
      <c r="D241" s="1622" t="str">
        <f>'[3]Anexo I - Programas'!$D$128</f>
        <v>Gestao e Apoio Departamento de Engenharia</v>
      </c>
      <c r="E241" s="1619" t="s">
        <v>6941</v>
      </c>
      <c r="F241" s="1616">
        <f>C241</f>
        <v>2056</v>
      </c>
      <c r="G241" s="1618" t="str">
        <f>D241</f>
        <v>Gestao e Apoio Departamento de Engenharia</v>
      </c>
      <c r="H241" s="775" t="s">
        <v>3137</v>
      </c>
      <c r="I241" s="850" t="str">
        <f>F239</f>
        <v>4</v>
      </c>
      <c r="J241" s="762" t="str">
        <f>G239</f>
        <v xml:space="preserve">PROMOÇÃO E DESENVOLVIMENTO DA INFRAESTRUTURA </v>
      </c>
    </row>
    <row r="242" spans="2:10" x14ac:dyDescent="0.25">
      <c r="B242" s="1620"/>
      <c r="C242" s="1621"/>
      <c r="D242" s="1623"/>
      <c r="E242" s="1620"/>
      <c r="F242" s="1621"/>
      <c r="G242" s="1624"/>
      <c r="H242" s="776" t="s">
        <v>6941</v>
      </c>
      <c r="I242" s="851">
        <f>F241</f>
        <v>2056</v>
      </c>
      <c r="J242" s="764" t="str">
        <f>G241</f>
        <v>Gestao e Apoio Departamento de Engenharia</v>
      </c>
    </row>
    <row r="243" spans="2:10" ht="15.75" thickBot="1" x14ac:dyDescent="0.3">
      <c r="B243" s="769" t="s">
        <v>6939</v>
      </c>
      <c r="C243" s="1625">
        <f>'[3]Anexo I - Programas'!$H$129</f>
        <v>300000</v>
      </c>
      <c r="D243" s="1626"/>
      <c r="E243" s="769" t="s">
        <v>6939</v>
      </c>
      <c r="F243" s="1625">
        <f>'[3]Anexo I - Programas'!$J$129</f>
        <v>850000</v>
      </c>
      <c r="G243" s="1627"/>
      <c r="H243" s="778" t="s">
        <v>6939</v>
      </c>
      <c r="I243" s="1625">
        <f>DESPORC!I1097</f>
        <v>2300.0200000000004</v>
      </c>
      <c r="J243" s="1627"/>
    </row>
    <row r="244" spans="2:10" x14ac:dyDescent="0.25">
      <c r="B244" s="1628" t="s">
        <v>3137</v>
      </c>
      <c r="C244" s="1615" t="str">
        <f>'[3]Anexo I - Programas'!$B$97</f>
        <v>4</v>
      </c>
      <c r="D244" s="1629" t="str">
        <f>'[3]Anexo I - Programas'!$C$97</f>
        <v xml:space="preserve">PROMOÇÃO E DESENVOLVIMENTO DA INFRAESTRUTURA </v>
      </c>
      <c r="E244" s="1628" t="s">
        <v>3137</v>
      </c>
      <c r="F244" s="1615" t="str">
        <f>C244</f>
        <v>4</v>
      </c>
      <c r="G244" s="1617" t="str">
        <f>D244</f>
        <v xml:space="preserve">PROMOÇÃO E DESENVOLVIMENTO DA INFRAESTRUTURA </v>
      </c>
      <c r="H244" s="773" t="s">
        <v>3138</v>
      </c>
      <c r="I244" s="757">
        <f>DESPORC!C1103</f>
        <v>26</v>
      </c>
      <c r="J244" s="765" t="str">
        <f>DESPORC!D1103</f>
        <v>Transporte</v>
      </c>
    </row>
    <row r="245" spans="2:10" x14ac:dyDescent="0.25">
      <c r="B245" s="1619"/>
      <c r="C245" s="1616"/>
      <c r="D245" s="1630"/>
      <c r="E245" s="1619"/>
      <c r="F245" s="1616"/>
      <c r="G245" s="1618"/>
      <c r="H245" s="774" t="s">
        <v>6940</v>
      </c>
      <c r="I245" s="757">
        <f>DESPORC!C1104</f>
        <v>782</v>
      </c>
      <c r="J245" s="765" t="str">
        <f>DESPORC!D1104</f>
        <v>Transporte Rodoviário</v>
      </c>
    </row>
    <row r="246" spans="2:10" x14ac:dyDescent="0.25">
      <c r="B246" s="1619" t="s">
        <v>6941</v>
      </c>
      <c r="C246" s="1616">
        <f>'[3]Anexo I - Programas'!$C$128</f>
        <v>2056</v>
      </c>
      <c r="D246" s="1622" t="str">
        <f>'[3]Anexo I - Programas'!$D$128</f>
        <v>Gestao e Apoio Departamento de Engenharia</v>
      </c>
      <c r="E246" s="1619" t="s">
        <v>6941</v>
      </c>
      <c r="F246" s="1616">
        <f>C246</f>
        <v>2056</v>
      </c>
      <c r="G246" s="1618" t="str">
        <f>D246</f>
        <v>Gestao e Apoio Departamento de Engenharia</v>
      </c>
      <c r="H246" s="775" t="s">
        <v>3137</v>
      </c>
      <c r="I246" s="850" t="str">
        <f>F244</f>
        <v>4</v>
      </c>
      <c r="J246" s="762" t="str">
        <f>G244</f>
        <v xml:space="preserve">PROMOÇÃO E DESENVOLVIMENTO DA INFRAESTRUTURA </v>
      </c>
    </row>
    <row r="247" spans="2:10" x14ac:dyDescent="0.25">
      <c r="B247" s="1620"/>
      <c r="C247" s="1621"/>
      <c r="D247" s="1623"/>
      <c r="E247" s="1620"/>
      <c r="F247" s="1621"/>
      <c r="G247" s="1624"/>
      <c r="H247" s="776" t="s">
        <v>6941</v>
      </c>
      <c r="I247" s="851">
        <f>F246</f>
        <v>2056</v>
      </c>
      <c r="J247" s="764" t="str">
        <f>G246</f>
        <v>Gestao e Apoio Departamento de Engenharia</v>
      </c>
    </row>
    <row r="248" spans="2:10" ht="15.75" thickBot="1" x14ac:dyDescent="0.3">
      <c r="B248" s="769" t="s">
        <v>6939</v>
      </c>
      <c r="C248" s="1625">
        <f>'[3]Anexo I - Programas'!$H$129</f>
        <v>300000</v>
      </c>
      <c r="D248" s="1626"/>
      <c r="E248" s="769" t="s">
        <v>6939</v>
      </c>
      <c r="F248" s="1625">
        <f>'[3]Anexo I - Programas'!$J$129</f>
        <v>850000</v>
      </c>
      <c r="G248" s="1627"/>
      <c r="H248" s="778" t="s">
        <v>6939</v>
      </c>
      <c r="I248" s="1625">
        <f>DESPORC!I1106</f>
        <v>285779.19569625834</v>
      </c>
      <c r="J248" s="1627"/>
    </row>
    <row r="249" spans="2:10" x14ac:dyDescent="0.25">
      <c r="B249" s="267"/>
      <c r="C249" s="807"/>
      <c r="D249" s="257"/>
      <c r="E249" s="267"/>
      <c r="F249" s="807"/>
      <c r="G249" s="257"/>
      <c r="H249" s="267"/>
      <c r="I249" s="807"/>
      <c r="J249" s="257"/>
    </row>
    <row r="250" spans="2:10" x14ac:dyDescent="0.25">
      <c r="B250" s="267"/>
      <c r="C250" s="807"/>
      <c r="D250" s="257"/>
      <c r="E250" s="267"/>
      <c r="F250" s="807"/>
      <c r="G250" s="257"/>
      <c r="H250" s="267"/>
      <c r="I250" s="807"/>
      <c r="J250" s="257"/>
    </row>
    <row r="251" spans="2:10" x14ac:dyDescent="0.25">
      <c r="B251" s="267"/>
      <c r="C251" s="807"/>
      <c r="D251" s="257"/>
      <c r="E251" s="267"/>
      <c r="F251" s="807"/>
      <c r="G251" s="257"/>
      <c r="H251" s="267"/>
      <c r="I251" s="807"/>
      <c r="J251" s="257"/>
    </row>
    <row r="252" spans="2:10" x14ac:dyDescent="0.25">
      <c r="B252" s="267"/>
      <c r="C252" s="807"/>
      <c r="D252" s="257"/>
      <c r="E252" s="267"/>
      <c r="F252" s="807"/>
      <c r="G252" s="257"/>
      <c r="H252" s="267"/>
      <c r="I252" s="807"/>
      <c r="J252" s="257"/>
    </row>
    <row r="254" spans="2:10" x14ac:dyDescent="0.25">
      <c r="B254" s="1631" t="s">
        <v>6927</v>
      </c>
      <c r="C254" s="1631"/>
      <c r="D254" s="755" t="str">
        <f>DESPORC!C1132</f>
        <v>02 - PREFEITURA MUNICIPAL DE CHUVISCA</v>
      </c>
      <c r="E254" s="770"/>
      <c r="F254" s="753"/>
      <c r="G254" s="753"/>
      <c r="H254" s="770"/>
      <c r="I254" s="753"/>
      <c r="J254" s="753"/>
    </row>
    <row r="255" spans="2:10" ht="15.75" thickBot="1" x14ac:dyDescent="0.3">
      <c r="B255" s="1632" t="s">
        <v>3087</v>
      </c>
      <c r="C255" s="1632"/>
      <c r="D255" s="755" t="str">
        <f>DESPORC!C1133</f>
        <v>05 - SECRETARIA MUN. DE AGRICULTURA E MEIO AMBIENTE</v>
      </c>
      <c r="E255" s="770"/>
      <c r="F255" s="36"/>
      <c r="G255" s="1"/>
      <c r="H255" s="772"/>
      <c r="I255" s="1"/>
      <c r="J255" s="1"/>
    </row>
    <row r="256" spans="2:10" ht="15.75" thickBot="1" x14ac:dyDescent="0.3">
      <c r="B256" s="1633" t="str">
        <f>B$10</f>
        <v>PPA LEI MUNICIPAL N.º 1091  DE 16 DE JUNHO DE 2017.</v>
      </c>
      <c r="C256" s="1634"/>
      <c r="D256" s="1635"/>
      <c r="E256" s="1633" t="str">
        <f>E$10</f>
        <v>LDO LEI MUNICIPAL N.º 1166  DE 10 DE OUTUBRO DE 2019.</v>
      </c>
      <c r="F256" s="1634"/>
      <c r="G256" s="1635"/>
      <c r="H256" s="1633" t="str">
        <f>H$10</f>
        <v>LOA 2020</v>
      </c>
      <c r="I256" s="1634"/>
      <c r="J256" s="1635"/>
    </row>
    <row r="257" spans="2:10" x14ac:dyDescent="0.25">
      <c r="B257" s="1628" t="s">
        <v>3137</v>
      </c>
      <c r="C257" s="1615" t="str">
        <f>'[3]Anexo I - Programas'!$B$60</f>
        <v>003</v>
      </c>
      <c r="D257" s="1629" t="str">
        <f>'[3]Anexo I - Programas'!$C$60</f>
        <v xml:space="preserve">GESTÃO, COORDENAÇÃO E PLANEJAMENTO </v>
      </c>
      <c r="E257" s="1628" t="s">
        <v>3137</v>
      </c>
      <c r="F257" s="1615" t="str">
        <f>C257</f>
        <v>003</v>
      </c>
      <c r="G257" s="1617" t="str">
        <f>D257</f>
        <v xml:space="preserve">GESTÃO, COORDENAÇÃO E PLANEJAMENTO </v>
      </c>
      <c r="H257" s="773" t="s">
        <v>3138</v>
      </c>
      <c r="I257" s="757">
        <f>DESPORC!C1136</f>
        <v>20</v>
      </c>
      <c r="J257" s="765" t="str">
        <f>DESPORC!D1136</f>
        <v>Agricultura</v>
      </c>
    </row>
    <row r="258" spans="2:10" x14ac:dyDescent="0.25">
      <c r="B258" s="1619"/>
      <c r="C258" s="1616"/>
      <c r="D258" s="1630"/>
      <c r="E258" s="1619"/>
      <c r="F258" s="1616"/>
      <c r="G258" s="1618"/>
      <c r="H258" s="774" t="s">
        <v>6940</v>
      </c>
      <c r="I258" s="757">
        <f>DESPORC!C1137</f>
        <v>122</v>
      </c>
      <c r="J258" s="765" t="str">
        <f>DESPORC!D1137</f>
        <v>Administração Geral</v>
      </c>
    </row>
    <row r="259" spans="2:10" x14ac:dyDescent="0.25">
      <c r="B259" s="1619" t="s">
        <v>6941</v>
      </c>
      <c r="C259" s="1616">
        <f>'[3]Anexo I - Programas'!$C$74</f>
        <v>2002</v>
      </c>
      <c r="D259" s="1622" t="str">
        <f>'[3]Anexo I - Programas'!$D$74</f>
        <v xml:space="preserve">GESTÃO , APOIO E MANUTENÇÃO , COORDENAÇÃO E PLANEJAMENTO </v>
      </c>
      <c r="E259" s="1619" t="s">
        <v>6941</v>
      </c>
      <c r="F259" s="1616">
        <f>C259</f>
        <v>2002</v>
      </c>
      <c r="G259" s="1618" t="str">
        <f>D259</f>
        <v xml:space="preserve">GESTÃO , APOIO E MANUTENÇÃO , COORDENAÇÃO E PLANEJAMENTO </v>
      </c>
      <c r="H259" s="775" t="s">
        <v>3137</v>
      </c>
      <c r="I259" s="761" t="str">
        <f>F257</f>
        <v>003</v>
      </c>
      <c r="J259" s="762" t="str">
        <f>G257</f>
        <v xml:space="preserve">GESTÃO, COORDENAÇÃO E PLANEJAMENTO </v>
      </c>
    </row>
    <row r="260" spans="2:10" ht="30" x14ac:dyDescent="0.25">
      <c r="B260" s="1620"/>
      <c r="C260" s="1621"/>
      <c r="D260" s="1623"/>
      <c r="E260" s="1620"/>
      <c r="F260" s="1621"/>
      <c r="G260" s="1624"/>
      <c r="H260" s="776" t="s">
        <v>6941</v>
      </c>
      <c r="I260" s="763">
        <f>F259</f>
        <v>2002</v>
      </c>
      <c r="J260" s="764" t="str">
        <f>G259</f>
        <v xml:space="preserve">GESTÃO , APOIO E MANUTENÇÃO , COORDENAÇÃO E PLANEJAMENTO </v>
      </c>
    </row>
    <row r="261" spans="2:10" ht="15.75" thickBot="1" x14ac:dyDescent="0.3">
      <c r="B261" s="769" t="s">
        <v>6939</v>
      </c>
      <c r="C261" s="1625">
        <f>'[3]Anexo I - Programas'!$H$75</f>
        <v>10370000</v>
      </c>
      <c r="D261" s="1626"/>
      <c r="E261" s="769" t="s">
        <v>6939</v>
      </c>
      <c r="F261" s="1625">
        <f>'[3]Anexo I - Programas'!$J$75</f>
        <v>2592500</v>
      </c>
      <c r="G261" s="1627"/>
      <c r="H261" s="778" t="s">
        <v>6939</v>
      </c>
      <c r="I261" s="1625">
        <f>DESPORC!I1139</f>
        <v>8.6813820999999999E-2</v>
      </c>
      <c r="J261" s="1627"/>
    </row>
    <row r="262" spans="2:10" x14ac:dyDescent="0.25">
      <c r="B262" s="1628" t="s">
        <v>3137</v>
      </c>
      <c r="C262" s="1615" t="str">
        <f>'[3]Anexo I - Programas'!$B$60</f>
        <v>003</v>
      </c>
      <c r="D262" s="1629" t="str">
        <f>'[3]Anexo I - Programas'!$C$60</f>
        <v xml:space="preserve">GESTÃO, COORDENAÇÃO E PLANEJAMENTO </v>
      </c>
      <c r="E262" s="1628" t="s">
        <v>3137</v>
      </c>
      <c r="F262" s="1615" t="str">
        <f>C262</f>
        <v>003</v>
      </c>
      <c r="G262" s="1617" t="str">
        <f>D262</f>
        <v xml:space="preserve">GESTÃO, COORDENAÇÃO E PLANEJAMENTO </v>
      </c>
      <c r="H262" s="773" t="s">
        <v>3138</v>
      </c>
      <c r="I262" s="757">
        <f>DESPORC!C1148</f>
        <v>20</v>
      </c>
      <c r="J262" s="765" t="str">
        <f>DESPORC!D1148</f>
        <v>Agricultura</v>
      </c>
    </row>
    <row r="263" spans="2:10" x14ac:dyDescent="0.25">
      <c r="B263" s="1619"/>
      <c r="C263" s="1616"/>
      <c r="D263" s="1630"/>
      <c r="E263" s="1619"/>
      <c r="F263" s="1616"/>
      <c r="G263" s="1618"/>
      <c r="H263" s="774" t="s">
        <v>6940</v>
      </c>
      <c r="I263" s="757">
        <f>DESPORC!C1149</f>
        <v>122</v>
      </c>
      <c r="J263" s="765" t="str">
        <f>DESPORC!D1149</f>
        <v>Administração Geral</v>
      </c>
    </row>
    <row r="264" spans="2:10" x14ac:dyDescent="0.25">
      <c r="B264" s="1619" t="s">
        <v>6941</v>
      </c>
      <c r="C264" s="1616">
        <f>'[3]Anexo I - Programas'!$C$74</f>
        <v>2002</v>
      </c>
      <c r="D264" s="1622" t="str">
        <f>'[3]Anexo I - Programas'!$D$74</f>
        <v xml:space="preserve">GESTÃO , APOIO E MANUTENÇÃO , COORDENAÇÃO E PLANEJAMENTO </v>
      </c>
      <c r="E264" s="1619" t="s">
        <v>6941</v>
      </c>
      <c r="F264" s="1616">
        <f>C264</f>
        <v>2002</v>
      </c>
      <c r="G264" s="1618" t="str">
        <f>D264</f>
        <v xml:space="preserve">GESTÃO , APOIO E MANUTENÇÃO , COORDENAÇÃO E PLANEJAMENTO </v>
      </c>
      <c r="H264" s="775" t="s">
        <v>3137</v>
      </c>
      <c r="I264" s="761" t="str">
        <f>F262</f>
        <v>003</v>
      </c>
      <c r="J264" s="762" t="str">
        <f>G262</f>
        <v xml:space="preserve">GESTÃO, COORDENAÇÃO E PLANEJAMENTO </v>
      </c>
    </row>
    <row r="265" spans="2:10" ht="30" x14ac:dyDescent="0.25">
      <c r="B265" s="1620"/>
      <c r="C265" s="1621"/>
      <c r="D265" s="1623"/>
      <c r="E265" s="1620"/>
      <c r="F265" s="1621"/>
      <c r="G265" s="1624"/>
      <c r="H265" s="776" t="s">
        <v>6941</v>
      </c>
      <c r="I265" s="763">
        <f>F264</f>
        <v>2002</v>
      </c>
      <c r="J265" s="764" t="str">
        <f>G264</f>
        <v xml:space="preserve">GESTÃO , APOIO E MANUTENÇÃO , COORDENAÇÃO E PLANEJAMENTO </v>
      </c>
    </row>
    <row r="266" spans="2:10" ht="15.75" thickBot="1" x14ac:dyDescent="0.3">
      <c r="B266" s="769" t="s">
        <v>6939</v>
      </c>
      <c r="C266" s="1625">
        <f>'[3]Anexo I - Programas'!$H$75</f>
        <v>10370000</v>
      </c>
      <c r="D266" s="1626"/>
      <c r="E266" s="769" t="s">
        <v>6939</v>
      </c>
      <c r="F266" s="1625">
        <f>'[3]Anexo I - Programas'!$J$75</f>
        <v>2592500</v>
      </c>
      <c r="G266" s="1627"/>
      <c r="H266" s="778" t="s">
        <v>6939</v>
      </c>
      <c r="I266" s="1625">
        <f>DESPORC!I1151</f>
        <v>180855.05919120173</v>
      </c>
      <c r="J266" s="1627"/>
    </row>
    <row r="267" spans="2:10" x14ac:dyDescent="0.25">
      <c r="B267" s="1628" t="s">
        <v>3137</v>
      </c>
      <c r="C267" s="1615" t="str">
        <f>'[3]Anexo I - Programas'!$B$60</f>
        <v>003</v>
      </c>
      <c r="D267" s="1629" t="str">
        <f>'[3]Anexo I - Programas'!$C$60</f>
        <v xml:space="preserve">GESTÃO, COORDENAÇÃO E PLANEJAMENTO </v>
      </c>
      <c r="E267" s="1628" t="s">
        <v>3137</v>
      </c>
      <c r="F267" s="1615" t="str">
        <f>C267</f>
        <v>003</v>
      </c>
      <c r="G267" s="1617" t="str">
        <f>D267</f>
        <v xml:space="preserve">GESTÃO, COORDENAÇÃO E PLANEJAMENTO </v>
      </c>
      <c r="H267" s="773" t="s">
        <v>3138</v>
      </c>
      <c r="I267" s="757">
        <f>DESPORC!C1223</f>
        <v>20</v>
      </c>
      <c r="J267" s="765" t="str">
        <f>DESPORC!D1223</f>
        <v>Agricultura</v>
      </c>
    </row>
    <row r="268" spans="2:10" x14ac:dyDescent="0.25">
      <c r="B268" s="1619"/>
      <c r="C268" s="1616"/>
      <c r="D268" s="1630"/>
      <c r="E268" s="1619"/>
      <c r="F268" s="1616"/>
      <c r="G268" s="1618"/>
      <c r="H268" s="774" t="s">
        <v>6940</v>
      </c>
      <c r="I268" s="757">
        <f>DESPORC!C1224</f>
        <v>126</v>
      </c>
      <c r="J268" s="765" t="str">
        <f>DESPORC!D1224</f>
        <v>Tecnologia da Informação</v>
      </c>
    </row>
    <row r="269" spans="2:10" x14ac:dyDescent="0.25">
      <c r="B269" s="1619" t="s">
        <v>6941</v>
      </c>
      <c r="C269" s="1616">
        <f>'[3]Anexo I - Programas'!$C$74</f>
        <v>2002</v>
      </c>
      <c r="D269" s="1622" t="str">
        <f>'[3]Anexo I - Programas'!$D$74</f>
        <v xml:space="preserve">GESTÃO , APOIO E MANUTENÇÃO , COORDENAÇÃO E PLANEJAMENTO </v>
      </c>
      <c r="E269" s="1619" t="s">
        <v>6941</v>
      </c>
      <c r="F269" s="1616">
        <f>C269</f>
        <v>2002</v>
      </c>
      <c r="G269" s="1618" t="str">
        <f>D269</f>
        <v xml:space="preserve">GESTÃO , APOIO E MANUTENÇÃO , COORDENAÇÃO E PLANEJAMENTO </v>
      </c>
      <c r="H269" s="775" t="s">
        <v>3137</v>
      </c>
      <c r="I269" s="761" t="str">
        <f>F267</f>
        <v>003</v>
      </c>
      <c r="J269" s="762" t="str">
        <f>G267</f>
        <v xml:space="preserve">GESTÃO, COORDENAÇÃO E PLANEJAMENTO </v>
      </c>
    </row>
    <row r="270" spans="2:10" ht="30" x14ac:dyDescent="0.25">
      <c r="B270" s="1620"/>
      <c r="C270" s="1621"/>
      <c r="D270" s="1623"/>
      <c r="E270" s="1620"/>
      <c r="F270" s="1621"/>
      <c r="G270" s="1624"/>
      <c r="H270" s="776" t="s">
        <v>6941</v>
      </c>
      <c r="I270" s="763">
        <f>F269</f>
        <v>2002</v>
      </c>
      <c r="J270" s="764" t="str">
        <f>G269</f>
        <v xml:space="preserve">GESTÃO , APOIO E MANUTENÇÃO , COORDENAÇÃO E PLANEJAMENTO </v>
      </c>
    </row>
    <row r="271" spans="2:10" ht="15.75" thickBot="1" x14ac:dyDescent="0.3">
      <c r="B271" s="769" t="s">
        <v>6939</v>
      </c>
      <c r="C271" s="1625">
        <f>'[3]Anexo I - Programas'!$H$75</f>
        <v>10370000</v>
      </c>
      <c r="D271" s="1626"/>
      <c r="E271" s="769" t="s">
        <v>6939</v>
      </c>
      <c r="F271" s="1625">
        <f>'[3]Anexo I - Programas'!$J$75</f>
        <v>2592500</v>
      </c>
      <c r="G271" s="1627"/>
      <c r="H271" s="778" t="s">
        <v>6939</v>
      </c>
      <c r="I271" s="1625">
        <f>DESPORC!I1226</f>
        <v>1646.0433702089999</v>
      </c>
      <c r="J271" s="1627"/>
    </row>
    <row r="272" spans="2:10" x14ac:dyDescent="0.25">
      <c r="B272" s="1628" t="s">
        <v>3137</v>
      </c>
      <c r="C272" s="1615" t="str">
        <f>'[3]Anexo I - Programas'!$B$60</f>
        <v>003</v>
      </c>
      <c r="D272" s="1629" t="str">
        <f>'[3]Anexo I - Programas'!$C$60</f>
        <v xml:space="preserve">GESTÃO, COORDENAÇÃO E PLANEJAMENTO </v>
      </c>
      <c r="E272" s="1628" t="s">
        <v>3137</v>
      </c>
      <c r="F272" s="1615" t="str">
        <f>C272</f>
        <v>003</v>
      </c>
      <c r="G272" s="1617" t="str">
        <f>D272</f>
        <v xml:space="preserve">GESTÃO, COORDENAÇÃO E PLANEJAMENTO </v>
      </c>
      <c r="H272" s="773" t="s">
        <v>3138</v>
      </c>
      <c r="I272" s="757">
        <f>DESPORC!C1232</f>
        <v>20</v>
      </c>
      <c r="J272" s="765" t="str">
        <f>DESPORC!D1232</f>
        <v>Agricultura</v>
      </c>
    </row>
    <row r="273" spans="2:10" x14ac:dyDescent="0.25">
      <c r="B273" s="1619"/>
      <c r="C273" s="1616"/>
      <c r="D273" s="1630"/>
      <c r="E273" s="1619"/>
      <c r="F273" s="1616"/>
      <c r="G273" s="1618"/>
      <c r="H273" s="774" t="s">
        <v>6940</v>
      </c>
      <c r="I273" s="757">
        <f>DESPORC!C1233</f>
        <v>128</v>
      </c>
      <c r="J273" s="765" t="str">
        <f>DESPORC!D1233</f>
        <v>Formação de Recursos Humanos</v>
      </c>
    </row>
    <row r="274" spans="2:10" x14ac:dyDescent="0.25">
      <c r="B274" s="1619" t="s">
        <v>6941</v>
      </c>
      <c r="C274" s="1616">
        <f>'[3]Anexo I - Programas'!$C$74</f>
        <v>2002</v>
      </c>
      <c r="D274" s="1622" t="str">
        <f>'[3]Anexo I - Programas'!$D$74</f>
        <v xml:space="preserve">GESTÃO , APOIO E MANUTENÇÃO , COORDENAÇÃO E PLANEJAMENTO </v>
      </c>
      <c r="E274" s="1619" t="s">
        <v>6941</v>
      </c>
      <c r="F274" s="1616">
        <f>C274</f>
        <v>2002</v>
      </c>
      <c r="G274" s="1618" t="str">
        <f>D274</f>
        <v xml:space="preserve">GESTÃO , APOIO E MANUTENÇÃO , COORDENAÇÃO E PLANEJAMENTO </v>
      </c>
      <c r="H274" s="775" t="s">
        <v>3137</v>
      </c>
      <c r="I274" s="761" t="str">
        <f>F272</f>
        <v>003</v>
      </c>
      <c r="J274" s="762" t="str">
        <f>G272</f>
        <v xml:space="preserve">GESTÃO, COORDENAÇÃO E PLANEJAMENTO </v>
      </c>
    </row>
    <row r="275" spans="2:10" ht="30" x14ac:dyDescent="0.25">
      <c r="B275" s="1620"/>
      <c r="C275" s="1621"/>
      <c r="D275" s="1623"/>
      <c r="E275" s="1620"/>
      <c r="F275" s="1621"/>
      <c r="G275" s="1624"/>
      <c r="H275" s="776" t="s">
        <v>6941</v>
      </c>
      <c r="I275" s="763">
        <f>F274</f>
        <v>2002</v>
      </c>
      <c r="J275" s="764" t="str">
        <f>G274</f>
        <v xml:space="preserve">GESTÃO , APOIO E MANUTENÇÃO , COORDENAÇÃO E PLANEJAMENTO </v>
      </c>
    </row>
    <row r="276" spans="2:10" ht="15.75" thickBot="1" x14ac:dyDescent="0.3">
      <c r="B276" s="769" t="s">
        <v>6939</v>
      </c>
      <c r="C276" s="1625">
        <f>'[3]Anexo I - Programas'!$H$75</f>
        <v>10370000</v>
      </c>
      <c r="D276" s="1626"/>
      <c r="E276" s="769" t="s">
        <v>6939</v>
      </c>
      <c r="F276" s="1625">
        <f>'[3]Anexo I - Programas'!$J$75</f>
        <v>2592500</v>
      </c>
      <c r="G276" s="1627"/>
      <c r="H276" s="778" t="s">
        <v>6939</v>
      </c>
      <c r="I276" s="1625">
        <f>DESPORC!I1235</f>
        <v>0.05</v>
      </c>
      <c r="J276" s="1627"/>
    </row>
    <row r="278" spans="2:10" x14ac:dyDescent="0.25">
      <c r="B278" s="787"/>
      <c r="C278" s="788"/>
      <c r="E278" s="787"/>
      <c r="H278" s="787"/>
    </row>
    <row r="279" spans="2:10" x14ac:dyDescent="0.25">
      <c r="B279" s="787"/>
      <c r="C279" s="788"/>
      <c r="E279" s="787"/>
      <c r="H279" s="787"/>
    </row>
    <row r="280" spans="2:10" x14ac:dyDescent="0.25">
      <c r="B280" s="787"/>
      <c r="C280" s="788"/>
      <c r="E280" s="787"/>
      <c r="H280" s="787"/>
    </row>
    <row r="281" spans="2:10" x14ac:dyDescent="0.25">
      <c r="B281" s="787"/>
      <c r="C281" s="788"/>
      <c r="E281" s="787"/>
      <c r="H281" s="787"/>
    </row>
    <row r="282" spans="2:10" x14ac:dyDescent="0.25">
      <c r="B282" s="787"/>
      <c r="C282" s="788"/>
      <c r="E282" s="787"/>
      <c r="H282" s="787"/>
    </row>
    <row r="283" spans="2:10" x14ac:dyDescent="0.25">
      <c r="B283" s="787"/>
      <c r="C283" s="788"/>
      <c r="E283" s="787"/>
      <c r="H283" s="787"/>
    </row>
    <row r="284" spans="2:10" x14ac:dyDescent="0.25">
      <c r="B284" s="787"/>
      <c r="C284" s="788"/>
      <c r="E284" s="787"/>
      <c r="H284" s="787"/>
    </row>
    <row r="285" spans="2:10" x14ac:dyDescent="0.25">
      <c r="B285" s="1631" t="s">
        <v>6927</v>
      </c>
      <c r="C285" s="1631"/>
      <c r="D285" s="755" t="str">
        <f>DESPORC!C1247</f>
        <v>02 - PREFEITURA MUNICIPAL DE CHUVISCA</v>
      </c>
      <c r="E285" s="770"/>
      <c r="F285" s="753"/>
      <c r="G285" s="753"/>
      <c r="H285" s="770"/>
      <c r="I285" s="753"/>
      <c r="J285" s="753"/>
    </row>
    <row r="286" spans="2:10" ht="15.75" thickBot="1" x14ac:dyDescent="0.3">
      <c r="B286" s="1632" t="s">
        <v>3087</v>
      </c>
      <c r="C286" s="1632"/>
      <c r="D286" s="755" t="str">
        <f>DESPORC!C1248</f>
        <v>06 - FUNDO MUNICIPAL DE AGRICULTURA</v>
      </c>
      <c r="E286" s="770"/>
      <c r="F286" s="36"/>
      <c r="G286" s="1"/>
      <c r="H286" s="772"/>
      <c r="I286" s="1"/>
      <c r="J286" s="1"/>
    </row>
    <row r="287" spans="2:10" ht="15.75" thickBot="1" x14ac:dyDescent="0.3">
      <c r="B287" s="1633" t="str">
        <f>B$10</f>
        <v>PPA LEI MUNICIPAL N.º 1091  DE 16 DE JUNHO DE 2017.</v>
      </c>
      <c r="C287" s="1634"/>
      <c r="D287" s="1635"/>
      <c r="E287" s="1633" t="str">
        <f>E$10</f>
        <v>LDO LEI MUNICIPAL N.º 1166  DE 10 DE OUTUBRO DE 2019.</v>
      </c>
      <c r="F287" s="1634"/>
      <c r="G287" s="1635"/>
      <c r="H287" s="1633" t="str">
        <f>H$10</f>
        <v>LOA 2020</v>
      </c>
      <c r="I287" s="1634"/>
      <c r="J287" s="1635"/>
    </row>
    <row r="288" spans="2:10" ht="15" customHeight="1" x14ac:dyDescent="0.25">
      <c r="B288" s="1628" t="s">
        <v>3137</v>
      </c>
      <c r="C288" s="1615" t="str">
        <f>'[3]Anexo I - Programas'!$B$97</f>
        <v>4</v>
      </c>
      <c r="D288" s="1629" t="str">
        <f>'[3]Anexo I - Programas'!$C$97</f>
        <v xml:space="preserve">PROMOÇÃO E DESENVOLVIMENTO DA INFRAESTRUTURA </v>
      </c>
      <c r="E288" s="1628" t="s">
        <v>3137</v>
      </c>
      <c r="F288" s="1615" t="str">
        <f>C288</f>
        <v>4</v>
      </c>
      <c r="G288" s="1617" t="str">
        <f>D288</f>
        <v xml:space="preserve">PROMOÇÃO E DESENVOLVIMENTO DA INFRAESTRUTURA </v>
      </c>
      <c r="H288" s="773" t="s">
        <v>3138</v>
      </c>
      <c r="I288" s="757">
        <f>DESPORC!C1251</f>
        <v>20</v>
      </c>
      <c r="J288" s="765" t="str">
        <f>DESPORC!D1251</f>
        <v>Agricultura</v>
      </c>
    </row>
    <row r="289" spans="2:10" x14ac:dyDescent="0.25">
      <c r="B289" s="1619"/>
      <c r="C289" s="1616"/>
      <c r="D289" s="1630"/>
      <c r="E289" s="1619"/>
      <c r="F289" s="1616"/>
      <c r="G289" s="1618"/>
      <c r="H289" s="774" t="s">
        <v>6940</v>
      </c>
      <c r="I289" s="757">
        <f>DESPORC!C1252</f>
        <v>608</v>
      </c>
      <c r="J289" s="765" t="str">
        <f>DESPORC!D1252</f>
        <v>Promoção da Produção Agropecuária</v>
      </c>
    </row>
    <row r="290" spans="2:10" ht="15" customHeight="1" x14ac:dyDescent="0.25">
      <c r="B290" s="1619" t="s">
        <v>6941</v>
      </c>
      <c r="C290" s="1616">
        <f>'[3]Anexo I - Programas'!$C$106</f>
        <v>1003</v>
      </c>
      <c r="D290" s="1622" t="str">
        <f>'[3]Anexo I - Programas'!$D$106</f>
        <v>Novos Investimentos em Infraestrutura</v>
      </c>
      <c r="E290" s="1619" t="s">
        <v>6941</v>
      </c>
      <c r="F290" s="1616">
        <f>C290</f>
        <v>1003</v>
      </c>
      <c r="G290" s="1618" t="str">
        <f>D290</f>
        <v>Novos Investimentos em Infraestrutura</v>
      </c>
      <c r="H290" s="775" t="s">
        <v>3137</v>
      </c>
      <c r="I290" s="761" t="str">
        <f>F288</f>
        <v>4</v>
      </c>
      <c r="J290" s="762" t="str">
        <f>G288</f>
        <v xml:space="preserve">PROMOÇÃO E DESENVOLVIMENTO DA INFRAESTRUTURA </v>
      </c>
    </row>
    <row r="291" spans="2:10" x14ac:dyDescent="0.25">
      <c r="B291" s="1620"/>
      <c r="C291" s="1621"/>
      <c r="D291" s="1623"/>
      <c r="E291" s="1620"/>
      <c r="F291" s="1621"/>
      <c r="G291" s="1624"/>
      <c r="H291" s="776" t="s">
        <v>6941</v>
      </c>
      <c r="I291" s="763">
        <f>F290</f>
        <v>1003</v>
      </c>
      <c r="J291" s="764" t="str">
        <f>G290</f>
        <v>Novos Investimentos em Infraestrutura</v>
      </c>
    </row>
    <row r="292" spans="2:10" ht="15.75" thickBot="1" x14ac:dyDescent="0.3">
      <c r="B292" s="769" t="s">
        <v>6939</v>
      </c>
      <c r="C292" s="1625">
        <f>'[3]Anexo I - Programas'!$H$107</f>
        <v>700000</v>
      </c>
      <c r="D292" s="1626"/>
      <c r="E292" s="769" t="s">
        <v>6939</v>
      </c>
      <c r="F292" s="1625">
        <f>'[3]Anexo I - Programas'!$J$107</f>
        <v>175000</v>
      </c>
      <c r="G292" s="1627"/>
      <c r="H292" s="778" t="s">
        <v>6939</v>
      </c>
      <c r="I292" s="1625">
        <f>DESPORC!I1254</f>
        <v>6.5840417999999998E-2</v>
      </c>
      <c r="J292" s="1627"/>
    </row>
    <row r="293" spans="2:10" x14ac:dyDescent="0.25">
      <c r="B293" s="1628" t="s">
        <v>3137</v>
      </c>
      <c r="C293" s="1615" t="str">
        <f>'[3]Anexo I - Programas'!$B$141</f>
        <v>5</v>
      </c>
      <c r="D293" s="1629" t="str">
        <f>'[3]Anexo I - Programas'!$C$141</f>
        <v xml:space="preserve">DESENVOLVIMENTO DA AGRICULTURA FAMILIAR E DO AGRONEGÓCIO </v>
      </c>
      <c r="E293" s="1628" t="s">
        <v>3137</v>
      </c>
      <c r="F293" s="1615" t="str">
        <f>C293</f>
        <v>5</v>
      </c>
      <c r="G293" s="1617" t="str">
        <f>D293</f>
        <v xml:space="preserve">DESENVOLVIMENTO DA AGRICULTURA FAMILIAR E DO AGRONEGÓCIO </v>
      </c>
      <c r="H293" s="773" t="s">
        <v>3138</v>
      </c>
      <c r="I293" s="757">
        <f>DESPORC!C1261</f>
        <v>20</v>
      </c>
      <c r="J293" s="765" t="str">
        <f>DESPORC!D1261</f>
        <v>Agricultura</v>
      </c>
    </row>
    <row r="294" spans="2:10" x14ac:dyDescent="0.25">
      <c r="B294" s="1619"/>
      <c r="C294" s="1616"/>
      <c r="D294" s="1630"/>
      <c r="E294" s="1619"/>
      <c r="F294" s="1616"/>
      <c r="G294" s="1618"/>
      <c r="H294" s="774" t="s">
        <v>6940</v>
      </c>
      <c r="I294" s="757">
        <f>DESPORC!C1262</f>
        <v>608</v>
      </c>
      <c r="J294" s="765" t="str">
        <f>DESPORC!D1262</f>
        <v>Promoção da Produção Agropecuária</v>
      </c>
    </row>
    <row r="295" spans="2:10" ht="30" x14ac:dyDescent="0.25">
      <c r="B295" s="1619" t="s">
        <v>6941</v>
      </c>
      <c r="C295" s="1616">
        <f>'[3]Anexo I - Programas'!$C$150</f>
        <v>1004</v>
      </c>
      <c r="D295" s="1622" t="str">
        <f>'[3]Anexo I - Programas'!$D$150</f>
        <v>Novos Investimentos para Desenvolv. da Agric. Familiar e do Agronegócio</v>
      </c>
      <c r="E295" s="1619" t="s">
        <v>6941</v>
      </c>
      <c r="F295" s="1616">
        <f>C295</f>
        <v>1004</v>
      </c>
      <c r="G295" s="1618" t="str">
        <f>D295</f>
        <v>Novos Investimentos para Desenvolv. da Agric. Familiar e do Agronegócio</v>
      </c>
      <c r="H295" s="775" t="s">
        <v>3137</v>
      </c>
      <c r="I295" s="761" t="str">
        <f>F293</f>
        <v>5</v>
      </c>
      <c r="J295" s="762" t="str">
        <f>G293</f>
        <v xml:space="preserve">DESENVOLVIMENTO DA AGRICULTURA FAMILIAR E DO AGRONEGÓCIO </v>
      </c>
    </row>
    <row r="296" spans="2:10" ht="30" x14ac:dyDescent="0.25">
      <c r="B296" s="1620"/>
      <c r="C296" s="1621"/>
      <c r="D296" s="1623"/>
      <c r="E296" s="1620"/>
      <c r="F296" s="1621"/>
      <c r="G296" s="1624"/>
      <c r="H296" s="776" t="s">
        <v>6941</v>
      </c>
      <c r="I296" s="763">
        <f>F295</f>
        <v>1004</v>
      </c>
      <c r="J296" s="764" t="str">
        <f>G295</f>
        <v>Novos Investimentos para Desenvolv. da Agric. Familiar e do Agronegócio</v>
      </c>
    </row>
    <row r="297" spans="2:10" ht="15.75" thickBot="1" x14ac:dyDescent="0.3">
      <c r="B297" s="769" t="s">
        <v>6939</v>
      </c>
      <c r="C297" s="1625">
        <f>'[3]Anexo I - Programas'!$H$151</f>
        <v>1000000</v>
      </c>
      <c r="D297" s="1626"/>
      <c r="E297" s="769" t="s">
        <v>6939</v>
      </c>
      <c r="F297" s="1625">
        <f>'[3]Anexo I - Programas'!$J$151</f>
        <v>250000</v>
      </c>
      <c r="G297" s="1627"/>
      <c r="H297" s="778" t="s">
        <v>6939</v>
      </c>
      <c r="I297" s="1625" t="e">
        <f>DESPORC!I1264+DESPORC!#REF!</f>
        <v>#REF!</v>
      </c>
      <c r="J297" s="1627"/>
    </row>
    <row r="298" spans="2:10" x14ac:dyDescent="0.25">
      <c r="B298" s="1628" t="s">
        <v>3137</v>
      </c>
      <c r="C298" s="1615" t="str">
        <f>'[3]Anexo I - Programas'!$B$141</f>
        <v>5</v>
      </c>
      <c r="D298" s="1629" t="str">
        <f>'[3]Anexo I - Programas'!$C$141</f>
        <v xml:space="preserve">DESENVOLVIMENTO DA AGRICULTURA FAMILIAR E DO AGRONEGÓCIO </v>
      </c>
      <c r="E298" s="1628" t="s">
        <v>3137</v>
      </c>
      <c r="F298" s="1615" t="str">
        <f>C298</f>
        <v>5</v>
      </c>
      <c r="G298" s="1617" t="str">
        <f>D298</f>
        <v xml:space="preserve">DESENVOLVIMENTO DA AGRICULTURA FAMILIAR E DO AGRONEGÓCIO </v>
      </c>
      <c r="H298" s="773" t="s">
        <v>3138</v>
      </c>
      <c r="I298" s="757">
        <f>DESPORC!C1296</f>
        <v>20</v>
      </c>
      <c r="J298" s="765" t="str">
        <f>DESPORC!D1296</f>
        <v>Agricultura</v>
      </c>
    </row>
    <row r="299" spans="2:10" x14ac:dyDescent="0.25">
      <c r="B299" s="1619"/>
      <c r="C299" s="1616"/>
      <c r="D299" s="1630"/>
      <c r="E299" s="1619"/>
      <c r="F299" s="1616"/>
      <c r="G299" s="1618"/>
      <c r="H299" s="774" t="s">
        <v>6940</v>
      </c>
      <c r="I299" s="757">
        <f>DESPORC!C1297</f>
        <v>126</v>
      </c>
      <c r="J299" s="765" t="str">
        <f>DESPORC!D1297</f>
        <v>Tecnologia da Informação</v>
      </c>
    </row>
    <row r="300" spans="2:10" ht="30" x14ac:dyDescent="0.25">
      <c r="B300" s="1619" t="s">
        <v>6941</v>
      </c>
      <c r="C300" s="1616">
        <f>'[3]Anexo I - Programas'!$C$155</f>
        <v>2004</v>
      </c>
      <c r="D300" s="1622" t="str">
        <f>'[3]Anexo I - Programas'!$D$155</f>
        <v>Promoção e Apoio a Agic. Fam. e do Agronegócio</v>
      </c>
      <c r="E300" s="1619" t="s">
        <v>6941</v>
      </c>
      <c r="F300" s="1616">
        <f>C300</f>
        <v>2004</v>
      </c>
      <c r="G300" s="1618" t="str">
        <f>D300</f>
        <v>Promoção e Apoio a Agic. Fam. e do Agronegócio</v>
      </c>
      <c r="H300" s="775" t="s">
        <v>3137</v>
      </c>
      <c r="I300" s="761" t="str">
        <f>F298</f>
        <v>5</v>
      </c>
      <c r="J300" s="762" t="str">
        <f>G298</f>
        <v xml:space="preserve">DESENVOLVIMENTO DA AGRICULTURA FAMILIAR E DO AGRONEGÓCIO </v>
      </c>
    </row>
    <row r="301" spans="2:10" x14ac:dyDescent="0.25">
      <c r="B301" s="1620"/>
      <c r="C301" s="1621"/>
      <c r="D301" s="1623"/>
      <c r="E301" s="1620"/>
      <c r="F301" s="1621"/>
      <c r="G301" s="1624"/>
      <c r="H301" s="776" t="s">
        <v>6941</v>
      </c>
      <c r="I301" s="763">
        <f>F300</f>
        <v>2004</v>
      </c>
      <c r="J301" s="764" t="str">
        <f>G300</f>
        <v>Promoção e Apoio a Agic. Fam. e do Agronegócio</v>
      </c>
    </row>
    <row r="302" spans="2:10" ht="15.75" thickBot="1" x14ac:dyDescent="0.3">
      <c r="B302" s="769" t="s">
        <v>6939</v>
      </c>
      <c r="C302" s="1625">
        <f>'[3]Anexo I - Programas'!$H$156</f>
        <v>3000000</v>
      </c>
      <c r="D302" s="1626"/>
      <c r="E302" s="769" t="s">
        <v>6939</v>
      </c>
      <c r="F302" s="1625">
        <f>'[3]Anexo I - Programas'!$J$156</f>
        <v>750000</v>
      </c>
      <c r="G302" s="1627"/>
      <c r="H302" s="778" t="s">
        <v>6939</v>
      </c>
      <c r="I302" s="1625">
        <f>DESPORC!I1299</f>
        <v>1099.5359540030001</v>
      </c>
      <c r="J302" s="1627"/>
    </row>
    <row r="303" spans="2:10" x14ac:dyDescent="0.25">
      <c r="B303" s="1628" t="s">
        <v>3137</v>
      </c>
      <c r="C303" s="1615" t="str">
        <f>'[3]Anexo I - Programas'!$B$141</f>
        <v>5</v>
      </c>
      <c r="D303" s="1629" t="str">
        <f>'[3]Anexo I - Programas'!$C$141</f>
        <v xml:space="preserve">DESENVOLVIMENTO DA AGRICULTURA FAMILIAR E DO AGRONEGÓCIO </v>
      </c>
      <c r="E303" s="1628" t="s">
        <v>3137</v>
      </c>
      <c r="F303" s="1615" t="str">
        <f>C303</f>
        <v>5</v>
      </c>
      <c r="G303" s="1617" t="str">
        <f>D303</f>
        <v xml:space="preserve">DESENVOLVIMENTO DA AGRICULTURA FAMILIAR E DO AGRONEGÓCIO </v>
      </c>
      <c r="H303" s="773" t="s">
        <v>3138</v>
      </c>
      <c r="I303" s="757">
        <f>DESPORC!C1305</f>
        <v>20</v>
      </c>
      <c r="J303" s="765" t="str">
        <f>DESPORC!D1305</f>
        <v>Agricultura</v>
      </c>
    </row>
    <row r="304" spans="2:10" x14ac:dyDescent="0.25">
      <c r="B304" s="1619"/>
      <c r="C304" s="1616"/>
      <c r="D304" s="1630"/>
      <c r="E304" s="1619"/>
      <c r="F304" s="1616"/>
      <c r="G304" s="1618"/>
      <c r="H304" s="774" t="s">
        <v>6940</v>
      </c>
      <c r="I304" s="757">
        <f>DESPORC!C1306</f>
        <v>128</v>
      </c>
      <c r="J304" s="765" t="str">
        <f>DESPORC!D1306</f>
        <v>Formação de Recursos Humanos</v>
      </c>
    </row>
    <row r="305" spans="2:10" ht="30" x14ac:dyDescent="0.25">
      <c r="B305" s="1619" t="s">
        <v>6941</v>
      </c>
      <c r="C305" s="1616">
        <f>'[3]Anexo I - Programas'!$C$155</f>
        <v>2004</v>
      </c>
      <c r="D305" s="1622" t="str">
        <f>'[3]Anexo I - Programas'!$D$155</f>
        <v>Promoção e Apoio a Agic. Fam. e do Agronegócio</v>
      </c>
      <c r="E305" s="1619" t="s">
        <v>6941</v>
      </c>
      <c r="F305" s="1616">
        <f>C305</f>
        <v>2004</v>
      </c>
      <c r="G305" s="1618" t="str">
        <f>D305</f>
        <v>Promoção e Apoio a Agic. Fam. e do Agronegócio</v>
      </c>
      <c r="H305" s="775" t="s">
        <v>3137</v>
      </c>
      <c r="I305" s="761" t="str">
        <f>F303</f>
        <v>5</v>
      </c>
      <c r="J305" s="762" t="str">
        <f>G303</f>
        <v xml:space="preserve">DESENVOLVIMENTO DA AGRICULTURA FAMILIAR E DO AGRONEGÓCIO </v>
      </c>
    </row>
    <row r="306" spans="2:10" x14ac:dyDescent="0.25">
      <c r="B306" s="1620"/>
      <c r="C306" s="1621"/>
      <c r="D306" s="1623"/>
      <c r="E306" s="1620"/>
      <c r="F306" s="1621"/>
      <c r="G306" s="1624"/>
      <c r="H306" s="776" t="s">
        <v>6941</v>
      </c>
      <c r="I306" s="763">
        <f>F305</f>
        <v>2004</v>
      </c>
      <c r="J306" s="764" t="str">
        <f>G305</f>
        <v>Promoção e Apoio a Agic. Fam. e do Agronegócio</v>
      </c>
    </row>
    <row r="307" spans="2:10" ht="15.75" thickBot="1" x14ac:dyDescent="0.3">
      <c r="B307" s="769" t="s">
        <v>6939</v>
      </c>
      <c r="C307" s="1625">
        <f>'[3]Anexo I - Programas'!$H$156</f>
        <v>3000000</v>
      </c>
      <c r="D307" s="1626"/>
      <c r="E307" s="769" t="s">
        <v>6939</v>
      </c>
      <c r="F307" s="1625">
        <f>'[3]Anexo I - Programas'!$J$156</f>
        <v>750000</v>
      </c>
      <c r="G307" s="1627"/>
      <c r="H307" s="778" t="s">
        <v>6939</v>
      </c>
      <c r="I307" s="1625">
        <f>DESPORC!I1308</f>
        <v>0.05</v>
      </c>
      <c r="J307" s="1627"/>
    </row>
    <row r="308" spans="2:10" x14ac:dyDescent="0.25">
      <c r="B308" s="1628" t="s">
        <v>3137</v>
      </c>
      <c r="C308" s="1615" t="str">
        <f>'[3]Anexo I - Programas'!$B$141</f>
        <v>5</v>
      </c>
      <c r="D308" s="1629" t="str">
        <f>'[3]Anexo I - Programas'!$C$141</f>
        <v xml:space="preserve">DESENVOLVIMENTO DA AGRICULTURA FAMILIAR E DO AGRONEGÓCIO </v>
      </c>
      <c r="E308" s="1628" t="s">
        <v>3137</v>
      </c>
      <c r="F308" s="1615" t="str">
        <f>C308</f>
        <v>5</v>
      </c>
      <c r="G308" s="1617" t="str">
        <f>D308</f>
        <v xml:space="preserve">DESENVOLVIMENTO DA AGRICULTURA FAMILIAR E DO AGRONEGÓCIO </v>
      </c>
      <c r="H308" s="773" t="s">
        <v>3138</v>
      </c>
      <c r="I308" s="757">
        <f>DESPORC!C1314</f>
        <v>20</v>
      </c>
      <c r="J308" s="765" t="str">
        <f>DESPORC!D1314</f>
        <v>Agricultura</v>
      </c>
    </row>
    <row r="309" spans="2:10" x14ac:dyDescent="0.25">
      <c r="B309" s="1619"/>
      <c r="C309" s="1616"/>
      <c r="D309" s="1630"/>
      <c r="E309" s="1619"/>
      <c r="F309" s="1616"/>
      <c r="G309" s="1618"/>
      <c r="H309" s="774" t="s">
        <v>6940</v>
      </c>
      <c r="I309" s="757">
        <f>DESPORC!C1315</f>
        <v>608</v>
      </c>
      <c r="J309" s="765" t="str">
        <f>DESPORC!D1315</f>
        <v>Promoção da Produção Agropecuária</v>
      </c>
    </row>
    <row r="310" spans="2:10" ht="30" x14ac:dyDescent="0.25">
      <c r="B310" s="1619" t="s">
        <v>6941</v>
      </c>
      <c r="C310" s="1616">
        <f>'[3]Anexo I - Programas'!$C$155</f>
        <v>2004</v>
      </c>
      <c r="D310" s="1622" t="str">
        <f>'[3]Anexo I - Programas'!$D$155</f>
        <v>Promoção e Apoio a Agic. Fam. e do Agronegócio</v>
      </c>
      <c r="E310" s="1619" t="s">
        <v>6941</v>
      </c>
      <c r="F310" s="1616">
        <f>C310</f>
        <v>2004</v>
      </c>
      <c r="G310" s="1618" t="str">
        <f>D310</f>
        <v>Promoção e Apoio a Agic. Fam. e do Agronegócio</v>
      </c>
      <c r="H310" s="775" t="s">
        <v>3137</v>
      </c>
      <c r="I310" s="761" t="str">
        <f>F308</f>
        <v>5</v>
      </c>
      <c r="J310" s="762" t="str">
        <f>G308</f>
        <v xml:space="preserve">DESENVOLVIMENTO DA AGRICULTURA FAMILIAR E DO AGRONEGÓCIO </v>
      </c>
    </row>
    <row r="311" spans="2:10" x14ac:dyDescent="0.25">
      <c r="B311" s="1620"/>
      <c r="C311" s="1621"/>
      <c r="D311" s="1623"/>
      <c r="E311" s="1620"/>
      <c r="F311" s="1621"/>
      <c r="G311" s="1624"/>
      <c r="H311" s="776" t="s">
        <v>6941</v>
      </c>
      <c r="I311" s="763">
        <f>F310</f>
        <v>2004</v>
      </c>
      <c r="J311" s="764" t="str">
        <f>G310</f>
        <v>Promoção e Apoio a Agic. Fam. e do Agronegócio</v>
      </c>
    </row>
    <row r="312" spans="2:10" ht="15.75" thickBot="1" x14ac:dyDescent="0.3">
      <c r="B312" s="769" t="s">
        <v>6939</v>
      </c>
      <c r="C312" s="1625">
        <f>'[3]Anexo I - Programas'!$H$156</f>
        <v>3000000</v>
      </c>
      <c r="D312" s="1626"/>
      <c r="E312" s="769" t="s">
        <v>6939</v>
      </c>
      <c r="F312" s="1625">
        <f>'[3]Anexo I - Programas'!$J$156</f>
        <v>750000</v>
      </c>
      <c r="G312" s="1627"/>
      <c r="H312" s="778" t="s">
        <v>6939</v>
      </c>
      <c r="I312" s="1625">
        <f>DESPORC!I1317</f>
        <v>850160.19529746706</v>
      </c>
      <c r="J312" s="1627"/>
    </row>
    <row r="314" spans="2:10" x14ac:dyDescent="0.25">
      <c r="B314" s="1631" t="s">
        <v>6927</v>
      </c>
      <c r="C314" s="1631"/>
      <c r="D314" s="755" t="str">
        <f>DESPORC!C1452</f>
        <v>02 - PREFEITURA MUNICIPAL DE CHUVISCA</v>
      </c>
      <c r="E314" s="770"/>
      <c r="F314" s="754"/>
      <c r="G314" s="754"/>
      <c r="H314" s="770"/>
      <c r="I314" s="754"/>
      <c r="J314" s="754"/>
    </row>
    <row r="315" spans="2:10" ht="15.75" thickBot="1" x14ac:dyDescent="0.3">
      <c r="B315" s="1632" t="s">
        <v>3087</v>
      </c>
      <c r="C315" s="1632"/>
      <c r="D315" s="755" t="str">
        <f>DESPORC!C1453</f>
        <v>07 - FUNDO MUNICIPAL DO MEIO AMBIENTE</v>
      </c>
      <c r="E315" s="770"/>
      <c r="F315" s="36"/>
      <c r="G315" s="1"/>
      <c r="H315" s="772"/>
      <c r="I315" s="1"/>
      <c r="J315" s="1"/>
    </row>
    <row r="316" spans="2:10" ht="15.75" thickBot="1" x14ac:dyDescent="0.3">
      <c r="B316" s="1633" t="str">
        <f>B$10</f>
        <v>PPA LEI MUNICIPAL N.º 1091  DE 16 DE JUNHO DE 2017.</v>
      </c>
      <c r="C316" s="1634"/>
      <c r="D316" s="1635"/>
      <c r="E316" s="1633" t="str">
        <f>E$10</f>
        <v>LDO LEI MUNICIPAL N.º 1166  DE 10 DE OUTUBRO DE 2019.</v>
      </c>
      <c r="F316" s="1634"/>
      <c r="G316" s="1635"/>
      <c r="H316" s="1633" t="str">
        <f>H$10</f>
        <v>LOA 2020</v>
      </c>
      <c r="I316" s="1634"/>
      <c r="J316" s="1635"/>
    </row>
    <row r="317" spans="2:10" x14ac:dyDescent="0.25">
      <c r="B317" s="1628" t="s">
        <v>3137</v>
      </c>
      <c r="C317" s="1615" t="str">
        <f>'[3]Anexo I - Programas'!$B$359</f>
        <v>11</v>
      </c>
      <c r="D317" s="1629" t="str">
        <f>'[3]Anexo I - Programas'!$C$359</f>
        <v>PROMOÇÃO E DESENVOLVIMENTO DO MEIO AMBIENTE</v>
      </c>
      <c r="E317" s="1628" t="s">
        <v>3137</v>
      </c>
      <c r="F317" s="1615" t="str">
        <f>C317</f>
        <v>11</v>
      </c>
      <c r="G317" s="1617" t="str">
        <f>D317</f>
        <v>PROMOÇÃO E DESENVOLVIMENTO DO MEIO AMBIENTE</v>
      </c>
      <c r="H317" s="773" t="s">
        <v>3138</v>
      </c>
      <c r="I317" s="757">
        <f>DESPORC!C1456</f>
        <v>17</v>
      </c>
      <c r="J317" s="765" t="str">
        <f>DESPORC!D1456</f>
        <v>Saneamento</v>
      </c>
    </row>
    <row r="318" spans="2:10" x14ac:dyDescent="0.25">
      <c r="B318" s="1619"/>
      <c r="C318" s="1616"/>
      <c r="D318" s="1630"/>
      <c r="E318" s="1619"/>
      <c r="F318" s="1616"/>
      <c r="G318" s="1618"/>
      <c r="H318" s="774" t="s">
        <v>6940</v>
      </c>
      <c r="I318" s="757">
        <f>DESPORC!C1457</f>
        <v>511</v>
      </c>
      <c r="J318" s="765" t="str">
        <f>DESPORC!D1457</f>
        <v>Saneamento Básico Rural</v>
      </c>
    </row>
    <row r="319" spans="2:10" x14ac:dyDescent="0.25">
      <c r="B319" s="1619" t="s">
        <v>6941</v>
      </c>
      <c r="C319" s="1616">
        <f>'[3]Anexo I - Programas'!$C$368</f>
        <v>1010</v>
      </c>
      <c r="D319" s="1622" t="str">
        <f>'[3]Anexo I - Programas'!$D$368</f>
        <v>Novos Investimentos em Meio Ambiente</v>
      </c>
      <c r="E319" s="1619" t="s">
        <v>6941</v>
      </c>
      <c r="F319" s="1616">
        <f>C319</f>
        <v>1010</v>
      </c>
      <c r="G319" s="1618" t="str">
        <f>D319</f>
        <v>Novos Investimentos em Meio Ambiente</v>
      </c>
      <c r="H319" s="775" t="s">
        <v>3137</v>
      </c>
      <c r="I319" s="761" t="str">
        <f>F317</f>
        <v>11</v>
      </c>
      <c r="J319" s="762" t="str">
        <f>G317</f>
        <v>PROMOÇÃO E DESENVOLVIMENTO DO MEIO AMBIENTE</v>
      </c>
    </row>
    <row r="320" spans="2:10" x14ac:dyDescent="0.25">
      <c r="B320" s="1620"/>
      <c r="C320" s="1621"/>
      <c r="D320" s="1623"/>
      <c r="E320" s="1620"/>
      <c r="F320" s="1621"/>
      <c r="G320" s="1624"/>
      <c r="H320" s="776" t="s">
        <v>6941</v>
      </c>
      <c r="I320" s="763">
        <f>F319</f>
        <v>1010</v>
      </c>
      <c r="J320" s="764" t="str">
        <f>G319</f>
        <v>Novos Investimentos em Meio Ambiente</v>
      </c>
    </row>
    <row r="321" spans="2:10" ht="15.75" thickBot="1" x14ac:dyDescent="0.3">
      <c r="B321" s="769" t="s">
        <v>6939</v>
      </c>
      <c r="C321" s="1625">
        <f>'[3]Anexo I - Programas'!$H$369</f>
        <v>500000</v>
      </c>
      <c r="D321" s="1626"/>
      <c r="E321" s="769" t="s">
        <v>6939</v>
      </c>
      <c r="F321" s="1625">
        <f>'[3]Anexo I - Programas'!$J$369</f>
        <v>125000</v>
      </c>
      <c r="G321" s="1627"/>
      <c r="H321" s="778" t="s">
        <v>6939</v>
      </c>
      <c r="I321" s="1625">
        <f>DESPORC!I1459</f>
        <v>346801.06</v>
      </c>
      <c r="J321" s="1627"/>
    </row>
    <row r="322" spans="2:10" x14ac:dyDescent="0.25">
      <c r="B322" s="1628" t="s">
        <v>3137</v>
      </c>
      <c r="C322" s="1615" t="str">
        <f>'[3]Anexo I - Programas'!$B$359</f>
        <v>11</v>
      </c>
      <c r="D322" s="1629" t="str">
        <f>'[3]Anexo I - Programas'!$C$359</f>
        <v>PROMOÇÃO E DESENVOLVIMENTO DO MEIO AMBIENTE</v>
      </c>
      <c r="E322" s="1628" t="s">
        <v>3137</v>
      </c>
      <c r="F322" s="1615" t="str">
        <f>C322</f>
        <v>11</v>
      </c>
      <c r="G322" s="1617" t="str">
        <f>D322</f>
        <v>PROMOÇÃO E DESENVOLVIMENTO DO MEIO AMBIENTE</v>
      </c>
      <c r="H322" s="773" t="s">
        <v>3138</v>
      </c>
      <c r="I322" s="757">
        <f>DESPORC!C1470</f>
        <v>18</v>
      </c>
      <c r="J322" s="765" t="str">
        <f>DESPORC!D1470</f>
        <v>Gestão Ambiental</v>
      </c>
    </row>
    <row r="323" spans="2:10" x14ac:dyDescent="0.25">
      <c r="B323" s="1619"/>
      <c r="C323" s="1616"/>
      <c r="D323" s="1630"/>
      <c r="E323" s="1619"/>
      <c r="F323" s="1616"/>
      <c r="G323" s="1618"/>
      <c r="H323" s="774" t="s">
        <v>6940</v>
      </c>
      <c r="I323" s="757">
        <f>DESPORC!C1471</f>
        <v>126</v>
      </c>
      <c r="J323" s="765" t="str">
        <f>DESPORC!D1471</f>
        <v>Tecnologia da Informação</v>
      </c>
    </row>
    <row r="324" spans="2:10" x14ac:dyDescent="0.25">
      <c r="B324" s="1619" t="s">
        <v>6941</v>
      </c>
      <c r="C324" s="1616">
        <f>'[3]Anexo I - Programas'!$C$373</f>
        <v>2011</v>
      </c>
      <c r="D324" s="1622" t="str">
        <f>'[3]Anexo I - Programas'!$D$373</f>
        <v>Gestão e Promoção do Meio Ambiente</v>
      </c>
      <c r="E324" s="1619" t="s">
        <v>6941</v>
      </c>
      <c r="F324" s="1616">
        <f>C324</f>
        <v>2011</v>
      </c>
      <c r="G324" s="1618" t="str">
        <f>D324</f>
        <v>Gestão e Promoção do Meio Ambiente</v>
      </c>
      <c r="H324" s="775" t="s">
        <v>3137</v>
      </c>
      <c r="I324" s="761" t="str">
        <f>F322</f>
        <v>11</v>
      </c>
      <c r="J324" s="762" t="str">
        <f>G322</f>
        <v>PROMOÇÃO E DESENVOLVIMENTO DO MEIO AMBIENTE</v>
      </c>
    </row>
    <row r="325" spans="2:10" x14ac:dyDescent="0.25">
      <c r="B325" s="1620"/>
      <c r="C325" s="1621"/>
      <c r="D325" s="1623"/>
      <c r="E325" s="1620"/>
      <c r="F325" s="1621"/>
      <c r="G325" s="1624"/>
      <c r="H325" s="776" t="s">
        <v>6941</v>
      </c>
      <c r="I325" s="763">
        <f>F324</f>
        <v>2011</v>
      </c>
      <c r="J325" s="764" t="str">
        <f>G324</f>
        <v>Gestão e Promoção do Meio Ambiente</v>
      </c>
    </row>
    <row r="326" spans="2:10" ht="15.75" thickBot="1" x14ac:dyDescent="0.3">
      <c r="B326" s="769" t="s">
        <v>6939</v>
      </c>
      <c r="C326" s="1625">
        <f>'[3]Anexo I - Programas'!$H$374</f>
        <v>600000</v>
      </c>
      <c r="D326" s="1626"/>
      <c r="E326" s="769" t="s">
        <v>6939</v>
      </c>
      <c r="F326" s="1625">
        <f>'[3]Anexo I - Programas'!$J$374</f>
        <v>150000</v>
      </c>
      <c r="G326" s="1627"/>
      <c r="H326" s="778" t="s">
        <v>6939</v>
      </c>
      <c r="I326" s="1625">
        <f>DESPORC!I1473</f>
        <v>1646.0333702089999</v>
      </c>
      <c r="J326" s="1627"/>
    </row>
    <row r="327" spans="2:10" x14ac:dyDescent="0.25">
      <c r="B327" s="1628" t="s">
        <v>3137</v>
      </c>
      <c r="C327" s="1615" t="str">
        <f>'[3]Anexo I - Programas'!$B$359</f>
        <v>11</v>
      </c>
      <c r="D327" s="1629" t="str">
        <f>'[3]Anexo I - Programas'!$C$359</f>
        <v>PROMOÇÃO E DESENVOLVIMENTO DO MEIO AMBIENTE</v>
      </c>
      <c r="E327" s="1628" t="s">
        <v>3137</v>
      </c>
      <c r="F327" s="1615" t="str">
        <f>C327</f>
        <v>11</v>
      </c>
      <c r="G327" s="1617" t="str">
        <f>D327</f>
        <v>PROMOÇÃO E DESENVOLVIMENTO DO MEIO AMBIENTE</v>
      </c>
      <c r="H327" s="773" t="s">
        <v>3138</v>
      </c>
      <c r="I327" s="757">
        <f>DESPORC!C1479</f>
        <v>18</v>
      </c>
      <c r="J327" s="765" t="str">
        <f>DESPORC!D1479</f>
        <v>Gestão Ambiental</v>
      </c>
    </row>
    <row r="328" spans="2:10" x14ac:dyDescent="0.25">
      <c r="B328" s="1619"/>
      <c r="C328" s="1616"/>
      <c r="D328" s="1630"/>
      <c r="E328" s="1619"/>
      <c r="F328" s="1616"/>
      <c r="G328" s="1618"/>
      <c r="H328" s="774" t="s">
        <v>6940</v>
      </c>
      <c r="I328" s="757">
        <f>DESPORC!C1480</f>
        <v>128</v>
      </c>
      <c r="J328" s="765" t="str">
        <f>DESPORC!D1480</f>
        <v>Formação de Recursos Humanos</v>
      </c>
    </row>
    <row r="329" spans="2:10" x14ac:dyDescent="0.25">
      <c r="B329" s="1619" t="s">
        <v>6941</v>
      </c>
      <c r="C329" s="1616">
        <f>'[3]Anexo I - Programas'!$C$373</f>
        <v>2011</v>
      </c>
      <c r="D329" s="1622" t="str">
        <f>'[3]Anexo I - Programas'!$D$373</f>
        <v>Gestão e Promoção do Meio Ambiente</v>
      </c>
      <c r="E329" s="1619" t="s">
        <v>6941</v>
      </c>
      <c r="F329" s="1616">
        <f>C329</f>
        <v>2011</v>
      </c>
      <c r="G329" s="1618" t="str">
        <f>D329</f>
        <v>Gestão e Promoção do Meio Ambiente</v>
      </c>
      <c r="H329" s="775" t="s">
        <v>3137</v>
      </c>
      <c r="I329" s="761" t="str">
        <f>F327</f>
        <v>11</v>
      </c>
      <c r="J329" s="762" t="str">
        <f>G327</f>
        <v>PROMOÇÃO E DESENVOLVIMENTO DO MEIO AMBIENTE</v>
      </c>
    </row>
    <row r="330" spans="2:10" x14ac:dyDescent="0.25">
      <c r="B330" s="1620"/>
      <c r="C330" s="1621"/>
      <c r="D330" s="1623"/>
      <c r="E330" s="1620"/>
      <c r="F330" s="1621"/>
      <c r="G330" s="1624"/>
      <c r="H330" s="776" t="s">
        <v>6941</v>
      </c>
      <c r="I330" s="763">
        <f>F329</f>
        <v>2011</v>
      </c>
      <c r="J330" s="764" t="str">
        <f>G329</f>
        <v>Gestão e Promoção do Meio Ambiente</v>
      </c>
    </row>
    <row r="331" spans="2:10" ht="15.75" thickBot="1" x14ac:dyDescent="0.3">
      <c r="B331" s="769" t="s">
        <v>6939</v>
      </c>
      <c r="C331" s="1625">
        <f>'[3]Anexo I - Programas'!$H$374</f>
        <v>600000</v>
      </c>
      <c r="D331" s="1626"/>
      <c r="E331" s="769" t="s">
        <v>6939</v>
      </c>
      <c r="F331" s="1625">
        <f>'[3]Anexo I - Programas'!$J$374</f>
        <v>150000</v>
      </c>
      <c r="G331" s="1627"/>
      <c r="H331" s="778" t="s">
        <v>6939</v>
      </c>
      <c r="I331" s="1625">
        <f>DESPORC!I1482</f>
        <v>0.05</v>
      </c>
      <c r="J331" s="1627"/>
    </row>
    <row r="332" spans="2:10" x14ac:dyDescent="0.25">
      <c r="B332" s="1628" t="s">
        <v>3137</v>
      </c>
      <c r="C332" s="1615" t="str">
        <f>'[3]Anexo I - Programas'!$B$359</f>
        <v>11</v>
      </c>
      <c r="D332" s="1629" t="str">
        <f>'[3]Anexo I - Programas'!$C$359</f>
        <v>PROMOÇÃO E DESENVOLVIMENTO DO MEIO AMBIENTE</v>
      </c>
      <c r="E332" s="1628" t="s">
        <v>3137</v>
      </c>
      <c r="F332" s="1615" t="str">
        <f>C332</f>
        <v>11</v>
      </c>
      <c r="G332" s="1617" t="str">
        <f>D332</f>
        <v>PROMOÇÃO E DESENVOLVIMENTO DO MEIO AMBIENTE</v>
      </c>
      <c r="H332" s="773" t="s">
        <v>3138</v>
      </c>
      <c r="I332" s="757">
        <f>DESPORC!C1488</f>
        <v>18</v>
      </c>
      <c r="J332" s="765" t="str">
        <f>DESPORC!D1488</f>
        <v>Gestão Ambiental</v>
      </c>
    </row>
    <row r="333" spans="2:10" x14ac:dyDescent="0.25">
      <c r="B333" s="1619"/>
      <c r="C333" s="1616"/>
      <c r="D333" s="1630"/>
      <c r="E333" s="1619"/>
      <c r="F333" s="1616"/>
      <c r="G333" s="1618"/>
      <c r="H333" s="774" t="s">
        <v>6940</v>
      </c>
      <c r="I333" s="757">
        <f>DESPORC!C1489</f>
        <v>541</v>
      </c>
      <c r="J333" s="765" t="str">
        <f>DESPORC!D1489</f>
        <v>Preservação e Conservação Ambiental</v>
      </c>
    </row>
    <row r="334" spans="2:10" x14ac:dyDescent="0.25">
      <c r="B334" s="1619" t="s">
        <v>6941</v>
      </c>
      <c r="C334" s="1616">
        <f>'[3]Anexo I - Programas'!$C$373</f>
        <v>2011</v>
      </c>
      <c r="D334" s="1622" t="str">
        <f>'[3]Anexo I - Programas'!$D$373</f>
        <v>Gestão e Promoção do Meio Ambiente</v>
      </c>
      <c r="E334" s="1619" t="s">
        <v>6941</v>
      </c>
      <c r="F334" s="1616">
        <f>C334</f>
        <v>2011</v>
      </c>
      <c r="G334" s="1618" t="str">
        <f>D334</f>
        <v>Gestão e Promoção do Meio Ambiente</v>
      </c>
      <c r="H334" s="775" t="s">
        <v>3137</v>
      </c>
      <c r="I334" s="761" t="str">
        <f>F332</f>
        <v>11</v>
      </c>
      <c r="J334" s="762" t="str">
        <f>G332</f>
        <v>PROMOÇÃO E DESENVOLVIMENTO DO MEIO AMBIENTE</v>
      </c>
    </row>
    <row r="335" spans="2:10" x14ac:dyDescent="0.25">
      <c r="B335" s="1620"/>
      <c r="C335" s="1621"/>
      <c r="D335" s="1623"/>
      <c r="E335" s="1620"/>
      <c r="F335" s="1621"/>
      <c r="G335" s="1624"/>
      <c r="H335" s="776" t="s">
        <v>6941</v>
      </c>
      <c r="I335" s="763">
        <f>F334</f>
        <v>2011</v>
      </c>
      <c r="J335" s="764" t="str">
        <f>G334</f>
        <v>Gestão e Promoção do Meio Ambiente</v>
      </c>
    </row>
    <row r="336" spans="2:10" ht="15.75" thickBot="1" x14ac:dyDescent="0.3">
      <c r="B336" s="769" t="s">
        <v>6939</v>
      </c>
      <c r="C336" s="1625">
        <f>'[3]Anexo I - Programas'!$H$374</f>
        <v>600000</v>
      </c>
      <c r="D336" s="1626"/>
      <c r="E336" s="769" t="s">
        <v>6939</v>
      </c>
      <c r="F336" s="1625">
        <f>'[3]Anexo I - Programas'!$J$374</f>
        <v>150000</v>
      </c>
      <c r="G336" s="1627"/>
      <c r="H336" s="778" t="s">
        <v>6939</v>
      </c>
      <c r="I336" s="1625">
        <f>DESPORC!I1491</f>
        <v>185859.64634463619</v>
      </c>
      <c r="J336" s="1627"/>
    </row>
    <row r="337" spans="2:10" x14ac:dyDescent="0.25">
      <c r="B337" s="1628" t="s">
        <v>3137</v>
      </c>
      <c r="C337" s="1615" t="str">
        <f>'[3]Anexo I - Programas'!$B$359</f>
        <v>11</v>
      </c>
      <c r="D337" s="1629" t="str">
        <f>'[3]Anexo I - Programas'!$C$359</f>
        <v>PROMOÇÃO E DESENVOLVIMENTO DO MEIO AMBIENTE</v>
      </c>
      <c r="E337" s="1628" t="s">
        <v>3137</v>
      </c>
      <c r="F337" s="1615" t="str">
        <f>C337</f>
        <v>11</v>
      </c>
      <c r="G337" s="1617" t="str">
        <f>D337</f>
        <v>PROMOÇÃO E DESENVOLVIMENTO DO MEIO AMBIENTE</v>
      </c>
      <c r="H337" s="773" t="s">
        <v>3138</v>
      </c>
      <c r="I337" s="757">
        <f>DESPORC!C1539</f>
        <v>17</v>
      </c>
      <c r="J337" s="765" t="str">
        <f>DESPORC!D1539</f>
        <v>Saneamento</v>
      </c>
    </row>
    <row r="338" spans="2:10" x14ac:dyDescent="0.25">
      <c r="B338" s="1619"/>
      <c r="C338" s="1616"/>
      <c r="D338" s="1630"/>
      <c r="E338" s="1619"/>
      <c r="F338" s="1616"/>
      <c r="G338" s="1618"/>
      <c r="H338" s="774" t="s">
        <v>6940</v>
      </c>
      <c r="I338" s="757">
        <f>DESPORC!C1540</f>
        <v>511</v>
      </c>
      <c r="J338" s="765" t="str">
        <f>DESPORC!D1540</f>
        <v>Saneamento Básico Rural</v>
      </c>
    </row>
    <row r="339" spans="2:10" x14ac:dyDescent="0.25">
      <c r="B339" s="1619" t="s">
        <v>6941</v>
      </c>
      <c r="C339" s="1616">
        <f>'[3]Anexo I - Programas'!$C$379</f>
        <v>2034</v>
      </c>
      <c r="D339" s="1622" t="str">
        <f>'[3]Anexo I - Programas'!$D$379</f>
        <v>Gestão e Promoção do Saneamento Básico</v>
      </c>
      <c r="E339" s="1619" t="s">
        <v>6941</v>
      </c>
      <c r="F339" s="1616">
        <f>C339</f>
        <v>2034</v>
      </c>
      <c r="G339" s="1618" t="str">
        <f>D339</f>
        <v>Gestão e Promoção do Saneamento Básico</v>
      </c>
      <c r="H339" s="775" t="s">
        <v>3137</v>
      </c>
      <c r="I339" s="761" t="str">
        <f>F337</f>
        <v>11</v>
      </c>
      <c r="J339" s="762" t="str">
        <f>G337</f>
        <v>PROMOÇÃO E DESENVOLVIMENTO DO MEIO AMBIENTE</v>
      </c>
    </row>
    <row r="340" spans="2:10" x14ac:dyDescent="0.25">
      <c r="B340" s="1620"/>
      <c r="C340" s="1621"/>
      <c r="D340" s="1623"/>
      <c r="E340" s="1620"/>
      <c r="F340" s="1621"/>
      <c r="G340" s="1624"/>
      <c r="H340" s="776" t="s">
        <v>6941</v>
      </c>
      <c r="I340" s="763">
        <f>F339</f>
        <v>2034</v>
      </c>
      <c r="J340" s="764" t="str">
        <f>G339</f>
        <v>Gestão e Promoção do Saneamento Básico</v>
      </c>
    </row>
    <row r="341" spans="2:10" ht="15.75" thickBot="1" x14ac:dyDescent="0.3">
      <c r="B341" s="769" t="s">
        <v>6939</v>
      </c>
      <c r="C341" s="1625">
        <f>'[3]Anexo I - Programas'!$H$380</f>
        <v>100000</v>
      </c>
      <c r="D341" s="1626"/>
      <c r="E341" s="769" t="s">
        <v>6939</v>
      </c>
      <c r="F341" s="1625">
        <f>'[3]Anexo I - Programas'!$J$380</f>
        <v>25000</v>
      </c>
      <c r="G341" s="1627"/>
      <c r="H341" s="778" t="s">
        <v>6939</v>
      </c>
      <c r="I341" s="1625">
        <f>DESPORC!I1542</f>
        <v>9876.1065936119976</v>
      </c>
      <c r="J341" s="1627"/>
    </row>
    <row r="342" spans="2:10" x14ac:dyDescent="0.25">
      <c r="B342" s="1628" t="s">
        <v>3137</v>
      </c>
      <c r="C342" s="1615" t="str">
        <f>'[3]Anexo I - Programas'!$B$359</f>
        <v>11</v>
      </c>
      <c r="D342" s="1629" t="str">
        <f>'[3]Anexo I - Programas'!$C$359</f>
        <v>PROMOÇÃO E DESENVOLVIMENTO DO MEIO AMBIENTE</v>
      </c>
      <c r="E342" s="1628" t="s">
        <v>3137</v>
      </c>
      <c r="F342" s="1615" t="str">
        <f>C342</f>
        <v>11</v>
      </c>
      <c r="G342" s="1617" t="str">
        <f>D342</f>
        <v>PROMOÇÃO E DESENVOLVIMENTO DO MEIO AMBIENTE</v>
      </c>
      <c r="H342" s="773" t="s">
        <v>3138</v>
      </c>
      <c r="I342" s="757">
        <f>DESPORC!C1554</f>
        <v>17</v>
      </c>
      <c r="J342" s="765" t="str">
        <f>DESPORC!D1554</f>
        <v>Saneamento</v>
      </c>
    </row>
    <row r="343" spans="2:10" x14ac:dyDescent="0.25">
      <c r="B343" s="1619"/>
      <c r="C343" s="1616"/>
      <c r="D343" s="1630"/>
      <c r="E343" s="1619"/>
      <c r="F343" s="1616"/>
      <c r="G343" s="1618"/>
      <c r="H343" s="774" t="s">
        <v>6940</v>
      </c>
      <c r="I343" s="757">
        <f>DESPORC!C1555</f>
        <v>511</v>
      </c>
      <c r="J343" s="765" t="str">
        <f>DESPORC!D1555</f>
        <v>Saneamento Básico Rural</v>
      </c>
    </row>
    <row r="344" spans="2:10" x14ac:dyDescent="0.25">
      <c r="B344" s="1619" t="s">
        <v>6941</v>
      </c>
      <c r="C344" s="1616">
        <f>'[3]Anexo I - Programas'!$C$379</f>
        <v>2034</v>
      </c>
      <c r="D344" s="1622" t="str">
        <f>'[3]Anexo I - Programas'!$D$379</f>
        <v>Gestão e Promoção do Saneamento Básico</v>
      </c>
      <c r="E344" s="1619" t="s">
        <v>6941</v>
      </c>
      <c r="F344" s="1616">
        <f>C344</f>
        <v>2034</v>
      </c>
      <c r="G344" s="1618" t="str">
        <f>D344</f>
        <v>Gestão e Promoção do Saneamento Básico</v>
      </c>
      <c r="H344" s="775" t="s">
        <v>3137</v>
      </c>
      <c r="I344" s="761" t="str">
        <f>F342</f>
        <v>11</v>
      </c>
      <c r="J344" s="762" t="str">
        <f>G342</f>
        <v>PROMOÇÃO E DESENVOLVIMENTO DO MEIO AMBIENTE</v>
      </c>
    </row>
    <row r="345" spans="2:10" x14ac:dyDescent="0.25">
      <c r="B345" s="1620"/>
      <c r="C345" s="1621"/>
      <c r="D345" s="1623"/>
      <c r="E345" s="1620"/>
      <c r="F345" s="1621"/>
      <c r="G345" s="1624"/>
      <c r="H345" s="776" t="s">
        <v>6941</v>
      </c>
      <c r="I345" s="763">
        <f>F344</f>
        <v>2034</v>
      </c>
      <c r="J345" s="764" t="str">
        <f>G344</f>
        <v>Gestão e Promoção do Saneamento Básico</v>
      </c>
    </row>
    <row r="346" spans="2:10" ht="15.75" thickBot="1" x14ac:dyDescent="0.3">
      <c r="B346" s="769" t="s">
        <v>6939</v>
      </c>
      <c r="C346" s="1625">
        <f>'[3]Anexo I - Programas'!$H$380</f>
        <v>100000</v>
      </c>
      <c r="D346" s="1626"/>
      <c r="E346" s="769" t="s">
        <v>6939</v>
      </c>
      <c r="F346" s="1625">
        <f>'[3]Anexo I - Programas'!$J$380</f>
        <v>25000</v>
      </c>
      <c r="G346" s="1627"/>
      <c r="H346" s="778" t="s">
        <v>6939</v>
      </c>
      <c r="I346" s="1625">
        <f>DESPORC!I1557</f>
        <v>1.01</v>
      </c>
      <c r="J346" s="1627"/>
    </row>
    <row r="347" spans="2:10" x14ac:dyDescent="0.25">
      <c r="B347" s="1628" t="s">
        <v>3137</v>
      </c>
      <c r="C347" s="1615" t="str">
        <f>'[3]Anexo I - Programas'!$B$359</f>
        <v>11</v>
      </c>
      <c r="D347" s="1629" t="str">
        <f>'[3]Anexo I - Programas'!$C$359</f>
        <v>PROMOÇÃO E DESENVOLVIMENTO DO MEIO AMBIENTE</v>
      </c>
      <c r="E347" s="1628" t="s">
        <v>3137</v>
      </c>
      <c r="F347" s="1615" t="str">
        <f>C347</f>
        <v>11</v>
      </c>
      <c r="G347" s="1617" t="str">
        <f>D347</f>
        <v>PROMOÇÃO E DESENVOLVIMENTO DO MEIO AMBIENTE</v>
      </c>
      <c r="H347" s="773" t="s">
        <v>3138</v>
      </c>
      <c r="I347" s="757">
        <f>DESPORC!C1565</f>
        <v>17</v>
      </c>
      <c r="J347" s="765" t="str">
        <f>DESPORC!D1565</f>
        <v>Saneamento</v>
      </c>
    </row>
    <row r="348" spans="2:10" x14ac:dyDescent="0.25">
      <c r="B348" s="1619"/>
      <c r="C348" s="1616"/>
      <c r="D348" s="1630"/>
      <c r="E348" s="1619"/>
      <c r="F348" s="1616"/>
      <c r="G348" s="1618"/>
      <c r="H348" s="774" t="s">
        <v>6940</v>
      </c>
      <c r="I348" s="757">
        <f>DESPORC!C1566</f>
        <v>512</v>
      </c>
      <c r="J348" s="765" t="str">
        <f>DESPORC!D1566</f>
        <v>Saneamento Básico Urbano</v>
      </c>
    </row>
    <row r="349" spans="2:10" x14ac:dyDescent="0.25">
      <c r="B349" s="1619" t="s">
        <v>6941</v>
      </c>
      <c r="C349" s="1616">
        <f>'[3]Anexo I - Programas'!$C$379</f>
        <v>2034</v>
      </c>
      <c r="D349" s="1622" t="str">
        <f>'[3]Anexo I - Programas'!$D$379</f>
        <v>Gestão e Promoção do Saneamento Básico</v>
      </c>
      <c r="E349" s="1619" t="s">
        <v>6941</v>
      </c>
      <c r="F349" s="1616">
        <f>C349</f>
        <v>2034</v>
      </c>
      <c r="G349" s="1618" t="str">
        <f>D349</f>
        <v>Gestão e Promoção do Saneamento Básico</v>
      </c>
      <c r="H349" s="775" t="s">
        <v>3137</v>
      </c>
      <c r="I349" s="761" t="str">
        <f>F347</f>
        <v>11</v>
      </c>
      <c r="J349" s="762" t="str">
        <f>G347</f>
        <v>PROMOÇÃO E DESENVOLVIMENTO DO MEIO AMBIENTE</v>
      </c>
    </row>
    <row r="350" spans="2:10" x14ac:dyDescent="0.25">
      <c r="B350" s="1620"/>
      <c r="C350" s="1621"/>
      <c r="D350" s="1623"/>
      <c r="E350" s="1620"/>
      <c r="F350" s="1621"/>
      <c r="G350" s="1624"/>
      <c r="H350" s="776" t="s">
        <v>6941</v>
      </c>
      <c r="I350" s="763">
        <f>F349</f>
        <v>2034</v>
      </c>
      <c r="J350" s="764" t="str">
        <f>G349</f>
        <v>Gestão e Promoção do Saneamento Básico</v>
      </c>
    </row>
    <row r="351" spans="2:10" ht="15.75" thickBot="1" x14ac:dyDescent="0.3">
      <c r="B351" s="769" t="s">
        <v>6939</v>
      </c>
      <c r="C351" s="1625">
        <f>'[3]Anexo I - Programas'!$H$380</f>
        <v>100000</v>
      </c>
      <c r="D351" s="1626"/>
      <c r="E351" s="769" t="s">
        <v>6939</v>
      </c>
      <c r="F351" s="1625">
        <f>'[3]Anexo I - Programas'!$J$380</f>
        <v>25000</v>
      </c>
      <c r="G351" s="1627"/>
      <c r="H351" s="778" t="s">
        <v>6939</v>
      </c>
      <c r="I351" s="1625">
        <f>DESPORC!I1568</f>
        <v>6.0000000000000005E-2</v>
      </c>
      <c r="J351" s="1627"/>
    </row>
    <row r="353" spans="2:10" x14ac:dyDescent="0.25">
      <c r="B353" s="1631" t="s">
        <v>6927</v>
      </c>
      <c r="C353" s="1631"/>
      <c r="D353" s="755" t="str">
        <f>DESPORC!C1581</f>
        <v>02 - PREFEITURA MUNICIPAL DE CHUVISCA</v>
      </c>
      <c r="E353" s="770"/>
      <c r="F353" s="754"/>
      <c r="G353" s="754"/>
      <c r="H353" s="770"/>
      <c r="I353" s="754"/>
      <c r="J353" s="754"/>
    </row>
    <row r="354" spans="2:10" ht="15.75" thickBot="1" x14ac:dyDescent="0.3">
      <c r="B354" s="1632" t="s">
        <v>3087</v>
      </c>
      <c r="C354" s="1632"/>
      <c r="D354" s="755" t="str">
        <f>DESPORC!C1582</f>
        <v>08 - FUNDO DE HABITAÇÃO E DE INTERESSE SOCIAL</v>
      </c>
      <c r="E354" s="770"/>
      <c r="F354" s="36"/>
      <c r="G354" s="1"/>
      <c r="H354" s="772"/>
      <c r="I354" s="1"/>
      <c r="J354" s="1"/>
    </row>
    <row r="355" spans="2:10" ht="15.75" thickBot="1" x14ac:dyDescent="0.3">
      <c r="B355" s="1633" t="str">
        <f>B$10</f>
        <v>PPA LEI MUNICIPAL N.º 1091  DE 16 DE JUNHO DE 2017.</v>
      </c>
      <c r="C355" s="1634"/>
      <c r="D355" s="1635"/>
      <c r="E355" s="1633" t="str">
        <f>E$10</f>
        <v>LDO LEI MUNICIPAL N.º 1166  DE 10 DE OUTUBRO DE 2019.</v>
      </c>
      <c r="F355" s="1634"/>
      <c r="G355" s="1635"/>
      <c r="H355" s="1633" t="str">
        <f>H$10</f>
        <v>LOA 2020</v>
      </c>
      <c r="I355" s="1634"/>
      <c r="J355" s="1635"/>
    </row>
    <row r="356" spans="2:10" x14ac:dyDescent="0.25">
      <c r="B356" s="1628" t="s">
        <v>3137</v>
      </c>
      <c r="C356" s="1615" t="str">
        <f>'[3]Anexo I - Programas'!$B$97</f>
        <v>4</v>
      </c>
      <c r="D356" s="1629" t="str">
        <f>'[3]Anexo I - Programas'!$C$97</f>
        <v xml:space="preserve">PROMOÇÃO E DESENVOLVIMENTO DA INFRAESTRUTURA </v>
      </c>
      <c r="E356" s="1628" t="s">
        <v>3137</v>
      </c>
      <c r="F356" s="1615" t="str">
        <f>C356</f>
        <v>4</v>
      </c>
      <c r="G356" s="1617" t="str">
        <f>D356</f>
        <v xml:space="preserve">PROMOÇÃO E DESENVOLVIMENTO DA INFRAESTRUTURA </v>
      </c>
      <c r="H356" s="773" t="s">
        <v>3138</v>
      </c>
      <c r="I356" s="757">
        <f>DESPORC!C1585</f>
        <v>16</v>
      </c>
      <c r="J356" s="765" t="str">
        <f>DESPORC!D1585</f>
        <v>Habitação</v>
      </c>
    </row>
    <row r="357" spans="2:10" x14ac:dyDescent="0.25">
      <c r="B357" s="1619"/>
      <c r="C357" s="1616"/>
      <c r="D357" s="1630"/>
      <c r="E357" s="1619"/>
      <c r="F357" s="1616"/>
      <c r="G357" s="1618"/>
      <c r="H357" s="774" t="s">
        <v>6940</v>
      </c>
      <c r="I357" s="757">
        <f>DESPORC!C1586</f>
        <v>481</v>
      </c>
      <c r="J357" s="765" t="str">
        <f>DESPORC!D1586</f>
        <v>Habitação Rural</v>
      </c>
    </row>
    <row r="358" spans="2:10" x14ac:dyDescent="0.25">
      <c r="B358" s="1619" t="s">
        <v>6941</v>
      </c>
      <c r="C358" s="1616">
        <f>'[3]Anexo I - Programas'!$C$117</f>
        <v>2035</v>
      </c>
      <c r="D358" s="1622" t="str">
        <f>'[3]Anexo I - Programas'!$D$117</f>
        <v>Promoção do Acesso a Moradia</v>
      </c>
      <c r="E358" s="1619" t="s">
        <v>6941</v>
      </c>
      <c r="F358" s="1616">
        <f>C358</f>
        <v>2035</v>
      </c>
      <c r="G358" s="1618" t="str">
        <f>D358</f>
        <v>Promoção do Acesso a Moradia</v>
      </c>
      <c r="H358" s="775" t="s">
        <v>3137</v>
      </c>
      <c r="I358" s="761" t="str">
        <f>F356</f>
        <v>4</v>
      </c>
      <c r="J358" s="762" t="str">
        <f>G356</f>
        <v xml:space="preserve">PROMOÇÃO E DESENVOLVIMENTO DA INFRAESTRUTURA </v>
      </c>
    </row>
    <row r="359" spans="2:10" x14ac:dyDescent="0.25">
      <c r="B359" s="1620"/>
      <c r="C359" s="1621"/>
      <c r="D359" s="1623"/>
      <c r="E359" s="1620"/>
      <c r="F359" s="1621"/>
      <c r="G359" s="1624"/>
      <c r="H359" s="776" t="s">
        <v>6941</v>
      </c>
      <c r="I359" s="763">
        <f>F358</f>
        <v>2035</v>
      </c>
      <c r="J359" s="764" t="str">
        <f>G358</f>
        <v>Promoção do Acesso a Moradia</v>
      </c>
    </row>
    <row r="360" spans="2:10" ht="15.75" thickBot="1" x14ac:dyDescent="0.3">
      <c r="B360" s="769" t="s">
        <v>6939</v>
      </c>
      <c r="C360" s="1625">
        <f>'[3]Anexo I - Programas'!$H$118</f>
        <v>300000</v>
      </c>
      <c r="D360" s="1626"/>
      <c r="E360" s="769" t="s">
        <v>6939</v>
      </c>
      <c r="F360" s="1625">
        <f>'[3]Anexo I - Programas'!$J$118</f>
        <v>850000</v>
      </c>
      <c r="G360" s="1627"/>
      <c r="H360" s="778" t="s">
        <v>6939</v>
      </c>
      <c r="I360" s="1625">
        <f>DESPORC!I1588</f>
        <v>1.06</v>
      </c>
      <c r="J360" s="1627"/>
    </row>
    <row r="363" spans="2:10" x14ac:dyDescent="0.25">
      <c r="B363" s="1631" t="s">
        <v>6927</v>
      </c>
      <c r="C363" s="1631"/>
      <c r="D363" s="755" t="str">
        <f>DESPORC!C1602</f>
        <v>02 - PREFEITURA MUNICIPAL DE CHUVISCA</v>
      </c>
      <c r="E363" s="770"/>
      <c r="F363" s="754"/>
      <c r="G363" s="754"/>
      <c r="H363" s="770"/>
      <c r="I363" s="754"/>
      <c r="J363" s="754"/>
    </row>
    <row r="364" spans="2:10" x14ac:dyDescent="0.25">
      <c r="B364" s="791"/>
      <c r="C364" s="791"/>
      <c r="D364" s="755"/>
      <c r="E364" s="791"/>
      <c r="F364" s="792"/>
      <c r="G364" s="792"/>
      <c r="H364" s="791"/>
      <c r="I364" s="792"/>
      <c r="J364" s="792"/>
    </row>
    <row r="365" spans="2:10" x14ac:dyDescent="0.25">
      <c r="B365" s="791"/>
      <c r="C365" s="791"/>
      <c r="D365" s="755"/>
      <c r="E365" s="791"/>
      <c r="F365" s="792"/>
      <c r="G365" s="792"/>
      <c r="H365" s="791"/>
      <c r="I365" s="792"/>
      <c r="J365" s="792"/>
    </row>
    <row r="366" spans="2:10" x14ac:dyDescent="0.25">
      <c r="B366" s="791"/>
      <c r="C366" s="791"/>
      <c r="D366" s="755"/>
      <c r="E366" s="791"/>
      <c r="F366" s="792"/>
      <c r="G366" s="792"/>
      <c r="H366" s="791"/>
      <c r="I366" s="792"/>
      <c r="J366" s="792"/>
    </row>
    <row r="367" spans="2:10" x14ac:dyDescent="0.25">
      <c r="B367" s="791"/>
      <c r="C367" s="791"/>
      <c r="D367" s="755"/>
      <c r="E367" s="791"/>
      <c r="F367" s="792"/>
      <c r="G367" s="792"/>
      <c r="H367" s="791"/>
      <c r="I367" s="792"/>
      <c r="J367" s="792"/>
    </row>
    <row r="368" spans="2:10" x14ac:dyDescent="0.25">
      <c r="B368" s="791"/>
      <c r="C368" s="791"/>
      <c r="D368" s="755"/>
      <c r="E368" s="791"/>
      <c r="F368" s="792"/>
      <c r="G368" s="792"/>
      <c r="H368" s="791"/>
      <c r="I368" s="792"/>
      <c r="J368" s="792"/>
    </row>
    <row r="369" spans="2:10" x14ac:dyDescent="0.25">
      <c r="B369" s="791"/>
      <c r="C369" s="791"/>
      <c r="D369" s="755"/>
      <c r="E369" s="791"/>
      <c r="F369" s="792"/>
      <c r="G369" s="792"/>
      <c r="H369" s="791"/>
      <c r="I369" s="792"/>
      <c r="J369" s="792"/>
    </row>
    <row r="370" spans="2:10" ht="15.75" thickBot="1" x14ac:dyDescent="0.3">
      <c r="B370" s="1632" t="s">
        <v>3087</v>
      </c>
      <c r="C370" s="1632"/>
      <c r="D370" s="755" t="str">
        <f>DESPORC!C1603</f>
        <v>09 - CONSELHOS MUNICIPAIS</v>
      </c>
      <c r="E370" s="770"/>
      <c r="F370" s="36"/>
      <c r="G370" s="1"/>
      <c r="H370" s="772"/>
      <c r="I370" s="1"/>
      <c r="J370" s="1"/>
    </row>
    <row r="371" spans="2:10" ht="15.75" thickBot="1" x14ac:dyDescent="0.3">
      <c r="B371" s="1633" t="str">
        <f>B$10</f>
        <v>PPA LEI MUNICIPAL N.º 1091  DE 16 DE JUNHO DE 2017.</v>
      </c>
      <c r="C371" s="1634"/>
      <c r="D371" s="1635"/>
      <c r="E371" s="1633" t="str">
        <f>E$10</f>
        <v>LDO LEI MUNICIPAL N.º 1166  DE 10 DE OUTUBRO DE 2019.</v>
      </c>
      <c r="F371" s="1634"/>
      <c r="G371" s="1635"/>
      <c r="H371" s="1633" t="str">
        <f>H$10</f>
        <v>LOA 2020</v>
      </c>
      <c r="I371" s="1634"/>
      <c r="J371" s="1635"/>
    </row>
    <row r="372" spans="2:10" x14ac:dyDescent="0.25">
      <c r="B372" s="1628" t="s">
        <v>3137</v>
      </c>
      <c r="C372" s="1615" t="str">
        <f>'[3]Anexo I - Programas'!$B$60</f>
        <v>003</v>
      </c>
      <c r="D372" s="1629" t="str">
        <f>'[3]Anexo I - Programas'!$C$60</f>
        <v xml:space="preserve">GESTÃO, COORDENAÇÃO E PLANEJAMENTO </v>
      </c>
      <c r="E372" s="1628" t="s">
        <v>3137</v>
      </c>
      <c r="F372" s="1615" t="str">
        <f>C372</f>
        <v>003</v>
      </c>
      <c r="G372" s="1617" t="str">
        <f>D372</f>
        <v xml:space="preserve">GESTÃO, COORDENAÇÃO E PLANEJAMENTO </v>
      </c>
      <c r="H372" s="773" t="s">
        <v>3138</v>
      </c>
      <c r="I372" s="757">
        <f>DESPORC!C1606</f>
        <v>4</v>
      </c>
      <c r="J372" s="765" t="str">
        <f>DESPORC!D1606</f>
        <v>Administração</v>
      </c>
    </row>
    <row r="373" spans="2:10" x14ac:dyDescent="0.25">
      <c r="B373" s="1619"/>
      <c r="C373" s="1616"/>
      <c r="D373" s="1630"/>
      <c r="E373" s="1619"/>
      <c r="F373" s="1616"/>
      <c r="G373" s="1618"/>
      <c r="H373" s="774" t="s">
        <v>6940</v>
      </c>
      <c r="I373" s="757">
        <f>DESPORC!C1607</f>
        <v>122</v>
      </c>
      <c r="J373" s="765" t="str">
        <f>DESPORC!D1607</f>
        <v>Administração Geral</v>
      </c>
    </row>
    <row r="374" spans="2:10" x14ac:dyDescent="0.25">
      <c r="B374" s="1619" t="s">
        <v>6941</v>
      </c>
      <c r="C374" s="1616">
        <f>'[3]Anexo I - Programas'!$C$74</f>
        <v>2002</v>
      </c>
      <c r="D374" s="1622" t="str">
        <f>'[3]Anexo I - Programas'!$D$74</f>
        <v xml:space="preserve">GESTÃO , APOIO E MANUTENÇÃO , COORDENAÇÃO E PLANEJAMENTO </v>
      </c>
      <c r="E374" s="1619" t="s">
        <v>6941</v>
      </c>
      <c r="F374" s="1616">
        <f>C374</f>
        <v>2002</v>
      </c>
      <c r="G374" s="1618" t="str">
        <f>D374</f>
        <v xml:space="preserve">GESTÃO , APOIO E MANUTENÇÃO , COORDENAÇÃO E PLANEJAMENTO </v>
      </c>
      <c r="H374" s="775" t="s">
        <v>3137</v>
      </c>
      <c r="I374" s="761" t="str">
        <f>F372</f>
        <v>003</v>
      </c>
      <c r="J374" s="762" t="str">
        <f>G372</f>
        <v xml:space="preserve">GESTÃO, COORDENAÇÃO E PLANEJAMENTO </v>
      </c>
    </row>
    <row r="375" spans="2:10" ht="30" x14ac:dyDescent="0.25">
      <c r="B375" s="1620"/>
      <c r="C375" s="1621"/>
      <c r="D375" s="1623"/>
      <c r="E375" s="1620"/>
      <c r="F375" s="1621"/>
      <c r="G375" s="1624"/>
      <c r="H375" s="776" t="s">
        <v>6941</v>
      </c>
      <c r="I375" s="763">
        <f>F374</f>
        <v>2002</v>
      </c>
      <c r="J375" s="764" t="str">
        <f>G374</f>
        <v xml:space="preserve">GESTÃO , APOIO E MANUTENÇÃO , COORDENAÇÃO E PLANEJAMENTO </v>
      </c>
    </row>
    <row r="376" spans="2:10" ht="15.75" thickBot="1" x14ac:dyDescent="0.3">
      <c r="B376" s="769" t="s">
        <v>6939</v>
      </c>
      <c r="C376" s="1625">
        <f>'[3]Anexo I - Programas'!$H$75</f>
        <v>10370000</v>
      </c>
      <c r="D376" s="1626"/>
      <c r="E376" s="769" t="s">
        <v>6939</v>
      </c>
      <c r="F376" s="1625">
        <f>'[3]Anexo I - Programas'!$J$75</f>
        <v>2592500</v>
      </c>
      <c r="G376" s="1627"/>
      <c r="H376" s="778" t="s">
        <v>6939</v>
      </c>
      <c r="I376" s="1625">
        <f>DESPORC!I1609</f>
        <v>7.0000000000000007E-2</v>
      </c>
      <c r="J376" s="1627"/>
    </row>
    <row r="378" spans="2:10" x14ac:dyDescent="0.25">
      <c r="B378" s="1631" t="s">
        <v>6927</v>
      </c>
      <c r="C378" s="1631"/>
      <c r="D378" s="755" t="str">
        <f>DESPORC!C1623</f>
        <v>02 - PREFEITURA MUNICIPAL DE CHUVISCA</v>
      </c>
      <c r="E378" s="770"/>
      <c r="F378" s="754"/>
      <c r="G378" s="754"/>
      <c r="H378" s="770"/>
      <c r="I378" s="754"/>
      <c r="J378" s="754"/>
    </row>
    <row r="379" spans="2:10" ht="15.75" thickBot="1" x14ac:dyDescent="0.3">
      <c r="B379" s="1632" t="s">
        <v>3087</v>
      </c>
      <c r="C379" s="1632"/>
      <c r="D379" s="755" t="str">
        <f>DESPORC!C1624</f>
        <v>10 - ENCARGOS ESPECIAIS</v>
      </c>
      <c r="E379" s="770"/>
      <c r="F379" s="36"/>
      <c r="G379" s="1"/>
      <c r="H379" s="772"/>
      <c r="I379" s="1"/>
      <c r="J379" s="1"/>
    </row>
    <row r="380" spans="2:10" ht="15.75" thickBot="1" x14ac:dyDescent="0.3">
      <c r="B380" s="1633" t="str">
        <f>B$10</f>
        <v>PPA LEI MUNICIPAL N.º 1091  DE 16 DE JUNHO DE 2017.</v>
      </c>
      <c r="C380" s="1634"/>
      <c r="D380" s="1635"/>
      <c r="E380" s="1633" t="str">
        <f>E$10</f>
        <v>LDO LEI MUNICIPAL N.º 1166  DE 10 DE OUTUBRO DE 2019.</v>
      </c>
      <c r="F380" s="1634"/>
      <c r="G380" s="1635"/>
      <c r="H380" s="1633" t="str">
        <f>H$10</f>
        <v>LOA 2020</v>
      </c>
      <c r="I380" s="1634"/>
      <c r="J380" s="1635"/>
    </row>
    <row r="381" spans="2:10" x14ac:dyDescent="0.25">
      <c r="B381" s="1628" t="s">
        <v>3137</v>
      </c>
      <c r="C381" s="1615" t="str">
        <f>'[3]Anexo I - Programas'!$B$40</f>
        <v>000</v>
      </c>
      <c r="D381" s="1629" t="str">
        <f>'[3]Anexo I - Programas'!$C$40</f>
        <v>GESTÃO DE ENCARGOS ESPECIAIS</v>
      </c>
      <c r="E381" s="1628" t="s">
        <v>3137</v>
      </c>
      <c r="F381" s="1615" t="str">
        <f>C381</f>
        <v>000</v>
      </c>
      <c r="G381" s="1617" t="str">
        <f>D381</f>
        <v>GESTÃO DE ENCARGOS ESPECIAIS</v>
      </c>
      <c r="H381" s="773" t="s">
        <v>3138</v>
      </c>
      <c r="I381" s="757">
        <f>DESPORC!C1627</f>
        <v>28</v>
      </c>
      <c r="J381" s="765" t="str">
        <f>DESPORC!D1627</f>
        <v>Encargos Especiais</v>
      </c>
    </row>
    <row r="382" spans="2:10" x14ac:dyDescent="0.25">
      <c r="B382" s="1619"/>
      <c r="C382" s="1616"/>
      <c r="D382" s="1630"/>
      <c r="E382" s="1619"/>
      <c r="F382" s="1616"/>
      <c r="G382" s="1618"/>
      <c r="H382" s="774" t="s">
        <v>6940</v>
      </c>
      <c r="I382" s="757">
        <f>DESPORC!C1628</f>
        <v>846</v>
      </c>
      <c r="J382" s="765" t="str">
        <f>DESPORC!D1628</f>
        <v>Outros Encargos Especiais</v>
      </c>
    </row>
    <row r="383" spans="2:10" x14ac:dyDescent="0.25">
      <c r="B383" s="1619" t="s">
        <v>6941</v>
      </c>
      <c r="C383" s="1616">
        <f>'[3]Anexo I - Programas'!$C$49</f>
        <v>1</v>
      </c>
      <c r="D383" s="1622" t="str">
        <f>'[3]Anexo I - Programas'!$D$49</f>
        <v xml:space="preserve">Encargos Gerais </v>
      </c>
      <c r="E383" s="1619" t="s">
        <v>6941</v>
      </c>
      <c r="F383" s="1616">
        <f>C383</f>
        <v>1</v>
      </c>
      <c r="G383" s="1618" t="str">
        <f>D383</f>
        <v xml:space="preserve">Encargos Gerais </v>
      </c>
      <c r="H383" s="775" t="s">
        <v>3137</v>
      </c>
      <c r="I383" s="761" t="str">
        <f>F381</f>
        <v>000</v>
      </c>
      <c r="J383" s="762" t="str">
        <f>G381</f>
        <v>GESTÃO DE ENCARGOS ESPECIAIS</v>
      </c>
    </row>
    <row r="384" spans="2:10" x14ac:dyDescent="0.25">
      <c r="B384" s="1620"/>
      <c r="C384" s="1621"/>
      <c r="D384" s="1623"/>
      <c r="E384" s="1620"/>
      <c r="F384" s="1621"/>
      <c r="G384" s="1624"/>
      <c r="H384" s="776" t="s">
        <v>6941</v>
      </c>
      <c r="I384" s="763">
        <f>F383</f>
        <v>1</v>
      </c>
      <c r="J384" s="764" t="str">
        <f>G383</f>
        <v xml:space="preserve">Encargos Gerais </v>
      </c>
    </row>
    <row r="385" spans="2:10" ht="15.75" thickBot="1" x14ac:dyDescent="0.3">
      <c r="B385" s="769" t="s">
        <v>6939</v>
      </c>
      <c r="C385" s="1625">
        <f>'[3]Anexo I - Programas'!$H$50</f>
        <v>1200000</v>
      </c>
      <c r="D385" s="1626"/>
      <c r="E385" s="769" t="s">
        <v>6939</v>
      </c>
      <c r="F385" s="1625">
        <f>'[3]Anexo I - Programas'!$J$50</f>
        <v>300000</v>
      </c>
      <c r="G385" s="1627"/>
      <c r="H385" s="778" t="s">
        <v>6939</v>
      </c>
      <c r="I385" s="1625">
        <f>DESPORC!I1630</f>
        <v>761482.163782157</v>
      </c>
      <c r="J385" s="1627"/>
    </row>
    <row r="387" spans="2:10" x14ac:dyDescent="0.25">
      <c r="B387" s="1631" t="s">
        <v>6927</v>
      </c>
      <c r="C387" s="1631"/>
      <c r="D387" s="755" t="str">
        <f>DESPORC!C1666</f>
        <v>02 - PREFEITURA MUNICIPAL DE CHUVISCA</v>
      </c>
      <c r="E387" s="770"/>
      <c r="F387" s="754"/>
      <c r="G387" s="754"/>
      <c r="H387" s="770"/>
      <c r="I387" s="754"/>
      <c r="J387" s="754"/>
    </row>
    <row r="388" spans="2:10" ht="15.75" thickBot="1" x14ac:dyDescent="0.3">
      <c r="B388" s="1632" t="s">
        <v>3087</v>
      </c>
      <c r="C388" s="1632"/>
      <c r="D388" s="755" t="str">
        <f>DESPORC!C1667</f>
        <v>11 - RESERVA DE CONTINGÊNCIA</v>
      </c>
      <c r="E388" s="770"/>
      <c r="F388" s="36"/>
      <c r="G388" s="1"/>
      <c r="H388" s="772"/>
      <c r="I388" s="1"/>
      <c r="J388" s="1"/>
    </row>
    <row r="389" spans="2:10" ht="15.75" thickBot="1" x14ac:dyDescent="0.3">
      <c r="B389" s="1633" t="str">
        <f>B$10</f>
        <v>PPA LEI MUNICIPAL N.º 1091  DE 16 DE JUNHO DE 2017.</v>
      </c>
      <c r="C389" s="1634"/>
      <c r="D389" s="1635"/>
      <c r="E389" s="1633" t="str">
        <f>E$10</f>
        <v>LDO LEI MUNICIPAL N.º 1166  DE 10 DE OUTUBRO DE 2019.</v>
      </c>
      <c r="F389" s="1634"/>
      <c r="G389" s="1635"/>
      <c r="H389" s="1633" t="str">
        <f>H$10</f>
        <v>LOA 2020</v>
      </c>
      <c r="I389" s="1634"/>
      <c r="J389" s="1635"/>
    </row>
    <row r="390" spans="2:10" x14ac:dyDescent="0.25">
      <c r="B390" s="1628" t="s">
        <v>3137</v>
      </c>
      <c r="C390" s="1615" t="str">
        <f>'[3]Anexo I - Programas'!$B$668</f>
        <v>099</v>
      </c>
      <c r="D390" s="1629" t="str">
        <f>'[3]Anexo I - Programas'!$C$668</f>
        <v>RESERVA DE CONTINGENCIA</v>
      </c>
      <c r="E390" s="1628" t="s">
        <v>3137</v>
      </c>
      <c r="F390" s="1615" t="str">
        <f>C390</f>
        <v>099</v>
      </c>
      <c r="G390" s="1617" t="str">
        <f>D390</f>
        <v>RESERVA DE CONTINGENCIA</v>
      </c>
      <c r="H390" s="773" t="s">
        <v>3138</v>
      </c>
      <c r="I390" s="757">
        <f>DESPORC!C1670</f>
        <v>99</v>
      </c>
      <c r="J390" s="765" t="str">
        <f>DESPORC!D1670</f>
        <v>RESERVA DE CONTINGÊNCIA</v>
      </c>
    </row>
    <row r="391" spans="2:10" x14ac:dyDescent="0.25">
      <c r="B391" s="1619"/>
      <c r="C391" s="1616"/>
      <c r="D391" s="1630"/>
      <c r="E391" s="1619"/>
      <c r="F391" s="1616"/>
      <c r="G391" s="1618"/>
      <c r="H391" s="774" t="s">
        <v>6940</v>
      </c>
      <c r="I391" s="757">
        <f>DESPORC!C1671</f>
        <v>99</v>
      </c>
      <c r="J391" s="765" t="str">
        <f>DESPORC!D1671</f>
        <v>RESERVA DE CONTINGÊNCIA</v>
      </c>
    </row>
    <row r="392" spans="2:10" x14ac:dyDescent="0.25">
      <c r="B392" s="1619" t="s">
        <v>6941</v>
      </c>
      <c r="C392" s="1616">
        <f>'[3]Anexo I - Programas'!$C$677</f>
        <v>2027</v>
      </c>
      <c r="D392" s="1622" t="str">
        <f>'[3]Anexo I - Programas'!$D$677</f>
        <v>Reserva de Contingencia</v>
      </c>
      <c r="E392" s="1619" t="s">
        <v>6941</v>
      </c>
      <c r="F392" s="1616">
        <f>C392</f>
        <v>2027</v>
      </c>
      <c r="G392" s="1618" t="str">
        <f>D392</f>
        <v>Reserva de Contingencia</v>
      </c>
      <c r="H392" s="775" t="s">
        <v>3137</v>
      </c>
      <c r="I392" s="761" t="str">
        <f>F390</f>
        <v>099</v>
      </c>
      <c r="J392" s="762" t="str">
        <f>G390</f>
        <v>RESERVA DE CONTINGENCIA</v>
      </c>
    </row>
    <row r="393" spans="2:10" x14ac:dyDescent="0.25">
      <c r="B393" s="1620"/>
      <c r="C393" s="1621"/>
      <c r="D393" s="1623"/>
      <c r="E393" s="1620"/>
      <c r="F393" s="1621"/>
      <c r="G393" s="1624"/>
      <c r="H393" s="776" t="s">
        <v>6941</v>
      </c>
      <c r="I393" s="763">
        <f>F392</f>
        <v>2027</v>
      </c>
      <c r="J393" s="764" t="str">
        <f>G392</f>
        <v>Reserva de Contingencia</v>
      </c>
    </row>
    <row r="394" spans="2:10" ht="15.75" thickBot="1" x14ac:dyDescent="0.3">
      <c r="B394" s="769" t="s">
        <v>6939</v>
      </c>
      <c r="C394" s="1625">
        <f>'[3]Anexo I - Programas'!$H$678</f>
        <v>1400000</v>
      </c>
      <c r="D394" s="1626"/>
      <c r="E394" s="769" t="s">
        <v>6939</v>
      </c>
      <c r="F394" s="1625">
        <f>'[3]Anexo I - Programas'!$J$678</f>
        <v>350000</v>
      </c>
      <c r="G394" s="1627"/>
      <c r="H394" s="778" t="s">
        <v>6939</v>
      </c>
      <c r="I394" s="1625">
        <f>DESPORC!I1673</f>
        <v>754762.35576939746</v>
      </c>
      <c r="J394" s="1627"/>
    </row>
    <row r="396" spans="2:10" x14ac:dyDescent="0.25">
      <c r="B396" s="1631" t="s">
        <v>6927</v>
      </c>
      <c r="C396" s="1631"/>
      <c r="D396" s="755" t="str">
        <f>DESPORC!C1685</f>
        <v>02 - PREFEITURA MUNICIPAL DE CHUVISCA</v>
      </c>
      <c r="E396" s="770"/>
      <c r="F396" s="754"/>
      <c r="G396" s="754"/>
      <c r="H396" s="770"/>
      <c r="I396" s="754"/>
      <c r="J396" s="754"/>
    </row>
    <row r="397" spans="2:10" ht="15.75" thickBot="1" x14ac:dyDescent="0.3">
      <c r="B397" s="1632" t="s">
        <v>3087</v>
      </c>
      <c r="C397" s="1632"/>
      <c r="D397" s="755" t="str">
        <f>DESPORC!C1686</f>
        <v>12 - GESTÃO E COORDENAÇÃO DE CONVENIOS UNIAO E ESTADO</v>
      </c>
      <c r="E397" s="770"/>
      <c r="F397" s="36"/>
      <c r="G397" s="1"/>
      <c r="H397" s="772"/>
      <c r="I397" s="1"/>
      <c r="J397" s="1"/>
    </row>
    <row r="398" spans="2:10" ht="15.75" thickBot="1" x14ac:dyDescent="0.3">
      <c r="B398" s="1633" t="str">
        <f>B$10</f>
        <v>PPA LEI MUNICIPAL N.º 1091  DE 16 DE JUNHO DE 2017.</v>
      </c>
      <c r="C398" s="1634"/>
      <c r="D398" s="1635"/>
      <c r="E398" s="1633" t="str">
        <f>E$10</f>
        <v>LDO LEI MUNICIPAL N.º 1166  DE 10 DE OUTUBRO DE 2019.</v>
      </c>
      <c r="F398" s="1634"/>
      <c r="G398" s="1635"/>
      <c r="H398" s="1633" t="str">
        <f>H$10</f>
        <v>LOA 2020</v>
      </c>
      <c r="I398" s="1634"/>
      <c r="J398" s="1635"/>
    </row>
    <row r="399" spans="2:10" ht="15" customHeight="1" x14ac:dyDescent="0.25">
      <c r="B399" s="1628" t="s">
        <v>3137</v>
      </c>
      <c r="C399" s="1615" t="str">
        <f>'[3]Anexo I - Programas'!$B$359</f>
        <v>11</v>
      </c>
      <c r="D399" s="1629" t="str">
        <f>'[3]Anexo I - Programas'!$C$359</f>
        <v>PROMOÇÃO E DESENVOLVIMENTO DO MEIO AMBIENTE</v>
      </c>
      <c r="E399" s="1628" t="s">
        <v>3137</v>
      </c>
      <c r="F399" s="1615" t="str">
        <f>C399</f>
        <v>11</v>
      </c>
      <c r="G399" s="1617" t="str">
        <f>D399</f>
        <v>PROMOÇÃO E DESENVOLVIMENTO DO MEIO AMBIENTE</v>
      </c>
      <c r="H399" s="773" t="s">
        <v>3138</v>
      </c>
      <c r="I399" s="757">
        <f>DESPORC!C1689</f>
        <v>17</v>
      </c>
      <c r="J399" s="765" t="str">
        <f>DESPORC!D1689</f>
        <v>Saneamento</v>
      </c>
    </row>
    <row r="400" spans="2:10" x14ac:dyDescent="0.25">
      <c r="B400" s="1619"/>
      <c r="C400" s="1616"/>
      <c r="D400" s="1630"/>
      <c r="E400" s="1619"/>
      <c r="F400" s="1616"/>
      <c r="G400" s="1618"/>
      <c r="H400" s="774" t="s">
        <v>6940</v>
      </c>
      <c r="I400" s="757">
        <f>DESPORC!C1690</f>
        <v>511</v>
      </c>
      <c r="J400" s="765" t="str">
        <f>DESPORC!D1690</f>
        <v>Saneamento Básico Rural</v>
      </c>
    </row>
    <row r="401" spans="2:10" x14ac:dyDescent="0.25">
      <c r="B401" s="1619" t="s">
        <v>6941</v>
      </c>
      <c r="C401" s="1616">
        <f>'[3]Anexo I - Programas'!$C$379</f>
        <v>2034</v>
      </c>
      <c r="D401" s="1622" t="str">
        <f>'[3]Anexo I - Programas'!$D$379</f>
        <v>Gestão e Promoção do Saneamento Básico</v>
      </c>
      <c r="E401" s="1619" t="s">
        <v>6941</v>
      </c>
      <c r="F401" s="1616">
        <f>C401</f>
        <v>2034</v>
      </c>
      <c r="G401" s="1618" t="str">
        <f>D401</f>
        <v>Gestão e Promoção do Saneamento Básico</v>
      </c>
      <c r="H401" s="775" t="s">
        <v>3137</v>
      </c>
      <c r="I401" s="761" t="str">
        <f>F399</f>
        <v>11</v>
      </c>
      <c r="J401" s="762" t="str">
        <f>G399</f>
        <v>PROMOÇÃO E DESENVOLVIMENTO DO MEIO AMBIENTE</v>
      </c>
    </row>
    <row r="402" spans="2:10" x14ac:dyDescent="0.25">
      <c r="B402" s="1620"/>
      <c r="C402" s="1621"/>
      <c r="D402" s="1623"/>
      <c r="E402" s="1620"/>
      <c r="F402" s="1621"/>
      <c r="G402" s="1624"/>
      <c r="H402" s="776" t="s">
        <v>6941</v>
      </c>
      <c r="I402" s="763">
        <f>F401</f>
        <v>2034</v>
      </c>
      <c r="J402" s="764" t="str">
        <f>G401</f>
        <v>Gestão e Promoção do Saneamento Básico</v>
      </c>
    </row>
    <row r="403" spans="2:10" ht="15.75" thickBot="1" x14ac:dyDescent="0.3">
      <c r="B403" s="769" t="s">
        <v>6939</v>
      </c>
      <c r="C403" s="1625">
        <f>'[3]Anexo I - Programas'!$H$380</f>
        <v>100000</v>
      </c>
      <c r="D403" s="1626"/>
      <c r="E403" s="769" t="s">
        <v>6939</v>
      </c>
      <c r="F403" s="1625">
        <f>'[3]Anexo I - Programas'!$J$380</f>
        <v>25000</v>
      </c>
      <c r="G403" s="1627"/>
      <c r="H403" s="778" t="s">
        <v>6939</v>
      </c>
      <c r="I403" s="1625">
        <f>DESPORC!I1692</f>
        <v>1</v>
      </c>
      <c r="J403" s="1627"/>
    </row>
    <row r="405" spans="2:10" x14ac:dyDescent="0.25">
      <c r="B405" s="787"/>
      <c r="C405" s="788"/>
      <c r="E405" s="787"/>
      <c r="H405" s="787"/>
    </row>
    <row r="406" spans="2:10" x14ac:dyDescent="0.25">
      <c r="B406" s="787"/>
      <c r="C406" s="788"/>
      <c r="E406" s="787"/>
      <c r="H406" s="787"/>
    </row>
    <row r="407" spans="2:10" x14ac:dyDescent="0.25">
      <c r="B407" s="787"/>
      <c r="C407" s="788"/>
      <c r="E407" s="787"/>
      <c r="H407" s="787"/>
    </row>
    <row r="408" spans="2:10" x14ac:dyDescent="0.25">
      <c r="B408" s="787"/>
      <c r="C408" s="788"/>
      <c r="E408" s="787"/>
      <c r="H408" s="787"/>
    </row>
    <row r="409" spans="2:10" x14ac:dyDescent="0.25">
      <c r="B409" s="787"/>
      <c r="C409" s="788"/>
      <c r="E409" s="787"/>
      <c r="H409" s="787"/>
    </row>
    <row r="410" spans="2:10" x14ac:dyDescent="0.25">
      <c r="B410" s="787"/>
      <c r="C410" s="788"/>
      <c r="E410" s="787"/>
      <c r="H410" s="787"/>
    </row>
    <row r="411" spans="2:10" x14ac:dyDescent="0.25">
      <c r="B411" s="787"/>
      <c r="C411" s="788"/>
      <c r="E411" s="787"/>
      <c r="H411" s="787"/>
    </row>
    <row r="412" spans="2:10" x14ac:dyDescent="0.25">
      <c r="B412" s="787"/>
      <c r="C412" s="788"/>
      <c r="E412" s="787"/>
      <c r="H412" s="787"/>
    </row>
    <row r="413" spans="2:10" x14ac:dyDescent="0.25">
      <c r="B413" s="787"/>
      <c r="C413" s="788"/>
      <c r="E413" s="787"/>
      <c r="H413" s="787"/>
    </row>
    <row r="414" spans="2:10" x14ac:dyDescent="0.25">
      <c r="B414" s="787"/>
      <c r="C414" s="788"/>
      <c r="E414" s="787"/>
      <c r="H414" s="787"/>
    </row>
    <row r="415" spans="2:10" x14ac:dyDescent="0.25">
      <c r="B415" s="787"/>
      <c r="C415" s="788"/>
      <c r="E415" s="787"/>
      <c r="H415" s="787"/>
    </row>
    <row r="416" spans="2:10" x14ac:dyDescent="0.25">
      <c r="B416" s="787"/>
      <c r="C416" s="788"/>
      <c r="E416" s="787"/>
      <c r="H416" s="787"/>
    </row>
    <row r="417" spans="2:10" x14ac:dyDescent="0.25">
      <c r="B417" s="1631" t="s">
        <v>6927</v>
      </c>
      <c r="C417" s="1631"/>
      <c r="D417" s="755" t="str">
        <f>DESPORC!C1700</f>
        <v>02 - PREFEITURA MUNICIPAL DE CHUVISCA</v>
      </c>
      <c r="E417" s="770"/>
      <c r="F417" s="754"/>
      <c r="G417" s="754"/>
      <c r="H417" s="770"/>
      <c r="I417" s="754"/>
      <c r="J417" s="754"/>
    </row>
    <row r="418" spans="2:10" ht="15.75" thickBot="1" x14ac:dyDescent="0.3">
      <c r="B418" s="1632" t="s">
        <v>3087</v>
      </c>
      <c r="C418" s="1632"/>
      <c r="D418" s="755" t="str">
        <f>DESPORC!C1701</f>
        <v>13 - GABINETE DO VICE PREFEITO</v>
      </c>
      <c r="E418" s="770"/>
      <c r="F418" s="36"/>
      <c r="G418" s="1"/>
      <c r="H418" s="772"/>
      <c r="I418" s="1"/>
      <c r="J418" s="1"/>
    </row>
    <row r="419" spans="2:10" ht="15.75" thickBot="1" x14ac:dyDescent="0.3">
      <c r="B419" s="1633" t="str">
        <f>B$10</f>
        <v>PPA LEI MUNICIPAL N.º 1091  DE 16 DE JUNHO DE 2017.</v>
      </c>
      <c r="C419" s="1634"/>
      <c r="D419" s="1635"/>
      <c r="E419" s="1633" t="str">
        <f>E$10</f>
        <v>LDO LEI MUNICIPAL N.º 1166  DE 10 DE OUTUBRO DE 2019.</v>
      </c>
      <c r="F419" s="1634"/>
      <c r="G419" s="1635"/>
      <c r="H419" s="1633" t="str">
        <f>H$10</f>
        <v>LOA 2020</v>
      </c>
      <c r="I419" s="1634"/>
      <c r="J419" s="1635"/>
    </row>
    <row r="420" spans="2:10" x14ac:dyDescent="0.25">
      <c r="B420" s="1628" t="s">
        <v>3137</v>
      </c>
      <c r="C420" s="1615" t="str">
        <f>'[3]Anexo I - Programas'!$B$60</f>
        <v>003</v>
      </c>
      <c r="D420" s="1629" t="str">
        <f>'[3]Anexo I - Programas'!$C$60</f>
        <v xml:space="preserve">GESTÃO, COORDENAÇÃO E PLANEJAMENTO </v>
      </c>
      <c r="E420" s="1628" t="s">
        <v>3137</v>
      </c>
      <c r="F420" s="1615" t="str">
        <f>C420</f>
        <v>003</v>
      </c>
      <c r="G420" s="1617" t="str">
        <f>D420</f>
        <v xml:space="preserve">GESTÃO, COORDENAÇÃO E PLANEJAMENTO </v>
      </c>
      <c r="H420" s="773" t="s">
        <v>3138</v>
      </c>
      <c r="I420" s="757">
        <f>DESPORC!C1704</f>
        <v>4</v>
      </c>
      <c r="J420" s="765" t="str">
        <f>DESPORC!D1704</f>
        <v>Administração</v>
      </c>
    </row>
    <row r="421" spans="2:10" x14ac:dyDescent="0.25">
      <c r="B421" s="1619"/>
      <c r="C421" s="1616"/>
      <c r="D421" s="1630"/>
      <c r="E421" s="1619"/>
      <c r="F421" s="1616"/>
      <c r="G421" s="1618"/>
      <c r="H421" s="774" t="s">
        <v>6940</v>
      </c>
      <c r="I421" s="757">
        <f>DESPORC!C1705</f>
        <v>122</v>
      </c>
      <c r="J421" s="765" t="str">
        <f>DESPORC!D1705</f>
        <v>Administração Geral</v>
      </c>
    </row>
    <row r="422" spans="2:10" x14ac:dyDescent="0.25">
      <c r="B422" s="1619" t="s">
        <v>6941</v>
      </c>
      <c r="C422" s="1616">
        <f>'[3]Anexo I - Programas'!$C$69</f>
        <v>1002</v>
      </c>
      <c r="D422" s="1622" t="str">
        <f>'[3]Anexo I - Programas'!$D$69</f>
        <v>Realização de Novos Investimentos do Poder Executivo</v>
      </c>
      <c r="E422" s="1619" t="s">
        <v>6941</v>
      </c>
      <c r="F422" s="1616">
        <f>C422</f>
        <v>1002</v>
      </c>
      <c r="G422" s="1618" t="str">
        <f>D422</f>
        <v>Realização de Novos Investimentos do Poder Executivo</v>
      </c>
      <c r="H422" s="775" t="s">
        <v>3137</v>
      </c>
      <c r="I422" s="761" t="str">
        <f>F420</f>
        <v>003</v>
      </c>
      <c r="J422" s="762" t="str">
        <f>G420</f>
        <v xml:space="preserve">GESTÃO, COORDENAÇÃO E PLANEJAMENTO </v>
      </c>
    </row>
    <row r="423" spans="2:10" x14ac:dyDescent="0.25">
      <c r="B423" s="1620"/>
      <c r="C423" s="1621"/>
      <c r="D423" s="1623"/>
      <c r="E423" s="1620"/>
      <c r="F423" s="1621"/>
      <c r="G423" s="1624"/>
      <c r="H423" s="776" t="s">
        <v>6941</v>
      </c>
      <c r="I423" s="763">
        <f>F422</f>
        <v>1002</v>
      </c>
      <c r="J423" s="764" t="str">
        <f>G422</f>
        <v>Realização de Novos Investimentos do Poder Executivo</v>
      </c>
    </row>
    <row r="424" spans="2:10" ht="15.75" thickBot="1" x14ac:dyDescent="0.3">
      <c r="B424" s="769" t="s">
        <v>6939</v>
      </c>
      <c r="C424" s="1625">
        <f>'[3]Anexo I - Programas'!$H$70</f>
        <v>1600000</v>
      </c>
      <c r="D424" s="1626"/>
      <c r="E424" s="769" t="s">
        <v>6939</v>
      </c>
      <c r="F424" s="1625">
        <f>'[3]Anexo I - Programas'!$J$70</f>
        <v>400000</v>
      </c>
      <c r="G424" s="1627"/>
      <c r="H424" s="778" t="s">
        <v>6939</v>
      </c>
      <c r="I424" s="1625">
        <f>DESPORC!I1707</f>
        <v>6.0000000000000005E-2</v>
      </c>
      <c r="J424" s="1627"/>
    </row>
    <row r="425" spans="2:10" x14ac:dyDescent="0.25">
      <c r="B425" s="1628" t="s">
        <v>3137</v>
      </c>
      <c r="C425" s="1615" t="str">
        <f>'[3]Anexo I - Programas'!$B$60</f>
        <v>003</v>
      </c>
      <c r="D425" s="1629" t="str">
        <f>'[3]Anexo I - Programas'!$C$60</f>
        <v xml:space="preserve">GESTÃO, COORDENAÇÃO E PLANEJAMENTO </v>
      </c>
      <c r="E425" s="1628" t="s">
        <v>3137</v>
      </c>
      <c r="F425" s="1615" t="str">
        <f>C425</f>
        <v>003</v>
      </c>
      <c r="G425" s="1617" t="str">
        <f>D425</f>
        <v xml:space="preserve">GESTÃO, COORDENAÇÃO E PLANEJAMENTO </v>
      </c>
      <c r="H425" s="773" t="s">
        <v>3138</v>
      </c>
      <c r="I425" s="757">
        <f>DESPORC!C1714</f>
        <v>4</v>
      </c>
      <c r="J425" s="765" t="str">
        <f>DESPORC!D1714</f>
        <v>Administração</v>
      </c>
    </row>
    <row r="426" spans="2:10" x14ac:dyDescent="0.25">
      <c r="B426" s="1619"/>
      <c r="C426" s="1616"/>
      <c r="D426" s="1630"/>
      <c r="E426" s="1619"/>
      <c r="F426" s="1616"/>
      <c r="G426" s="1618"/>
      <c r="H426" s="774" t="s">
        <v>6940</v>
      </c>
      <c r="I426" s="757">
        <f>DESPORC!C1715</f>
        <v>122</v>
      </c>
      <c r="J426" s="765" t="str">
        <f>DESPORC!D1715</f>
        <v>Administração Geral</v>
      </c>
    </row>
    <row r="427" spans="2:10" x14ac:dyDescent="0.25">
      <c r="B427" s="1619" t="s">
        <v>6941</v>
      </c>
      <c r="C427" s="1616">
        <f>'[3]Anexo I - Programas'!$C$74</f>
        <v>2002</v>
      </c>
      <c r="D427" s="1622" t="str">
        <f>'[3]Anexo I - Programas'!$D$74</f>
        <v xml:space="preserve">GESTÃO , APOIO E MANUTENÇÃO , COORDENAÇÃO E PLANEJAMENTO </v>
      </c>
      <c r="E427" s="1619" t="s">
        <v>6941</v>
      </c>
      <c r="F427" s="1616">
        <f>C427</f>
        <v>2002</v>
      </c>
      <c r="G427" s="1618" t="str">
        <f>D427</f>
        <v xml:space="preserve">GESTÃO , APOIO E MANUTENÇÃO , COORDENAÇÃO E PLANEJAMENTO </v>
      </c>
      <c r="H427" s="775" t="s">
        <v>3137</v>
      </c>
      <c r="I427" s="761" t="str">
        <f>F425</f>
        <v>003</v>
      </c>
      <c r="J427" s="762" t="str">
        <f>G425</f>
        <v xml:space="preserve">GESTÃO, COORDENAÇÃO E PLANEJAMENTO </v>
      </c>
    </row>
    <row r="428" spans="2:10" ht="30" x14ac:dyDescent="0.25">
      <c r="B428" s="1620"/>
      <c r="C428" s="1621"/>
      <c r="D428" s="1623"/>
      <c r="E428" s="1620"/>
      <c r="F428" s="1621"/>
      <c r="G428" s="1624"/>
      <c r="H428" s="776" t="s">
        <v>6941</v>
      </c>
      <c r="I428" s="763">
        <f>F427</f>
        <v>2002</v>
      </c>
      <c r="J428" s="764" t="str">
        <f>G427</f>
        <v xml:space="preserve">GESTÃO , APOIO E MANUTENÇÃO , COORDENAÇÃO E PLANEJAMENTO </v>
      </c>
    </row>
    <row r="429" spans="2:10" ht="15.75" thickBot="1" x14ac:dyDescent="0.3">
      <c r="B429" s="769" t="s">
        <v>6939</v>
      </c>
      <c r="C429" s="1625">
        <f>'[3]Anexo I - Programas'!$H$75</f>
        <v>10370000</v>
      </c>
      <c r="D429" s="1626"/>
      <c r="E429" s="769" t="s">
        <v>6939</v>
      </c>
      <c r="F429" s="1625">
        <f>'[3]Anexo I - Programas'!$J$75</f>
        <v>2592500</v>
      </c>
      <c r="G429" s="1627"/>
      <c r="H429" s="778" t="s">
        <v>6939</v>
      </c>
      <c r="I429" s="1625">
        <f>DESPORC!I1717</f>
        <v>113834.89417271547</v>
      </c>
      <c r="J429" s="1627"/>
    </row>
    <row r="430" spans="2:10" x14ac:dyDescent="0.25">
      <c r="B430" s="1628" t="s">
        <v>3137</v>
      </c>
      <c r="C430" s="1615" t="str">
        <f>'[3]Anexo I - Programas'!$B$60</f>
        <v>003</v>
      </c>
      <c r="D430" s="1629" t="str">
        <f>'[3]Anexo I - Programas'!$C$60</f>
        <v xml:space="preserve">GESTÃO, COORDENAÇÃO E PLANEJAMENTO </v>
      </c>
      <c r="E430" s="1628" t="s">
        <v>3137</v>
      </c>
      <c r="F430" s="1615" t="str">
        <f>C430</f>
        <v>003</v>
      </c>
      <c r="G430" s="1617" t="str">
        <f>D430</f>
        <v xml:space="preserve">GESTÃO, COORDENAÇÃO E PLANEJAMENTO </v>
      </c>
      <c r="H430" s="773" t="s">
        <v>3138</v>
      </c>
      <c r="I430" s="757">
        <f>DESPORC!C1747</f>
        <v>4</v>
      </c>
      <c r="J430" s="765" t="str">
        <f>DESPORC!D1747</f>
        <v>Administração</v>
      </c>
    </row>
    <row r="431" spans="2:10" x14ac:dyDescent="0.25">
      <c r="B431" s="1619"/>
      <c r="C431" s="1616"/>
      <c r="D431" s="1630"/>
      <c r="E431" s="1619"/>
      <c r="F431" s="1616"/>
      <c r="G431" s="1618"/>
      <c r="H431" s="774" t="s">
        <v>6940</v>
      </c>
      <c r="I431" s="757">
        <f>DESPORC!C1748</f>
        <v>126</v>
      </c>
      <c r="J431" s="765" t="str">
        <f>DESPORC!D1748</f>
        <v>Tecnologia da Informação</v>
      </c>
    </row>
    <row r="432" spans="2:10" x14ac:dyDescent="0.25">
      <c r="B432" s="1619" t="s">
        <v>6941</v>
      </c>
      <c r="C432" s="1616">
        <f>'[3]Anexo I - Programas'!$C$74</f>
        <v>2002</v>
      </c>
      <c r="D432" s="1622" t="str">
        <f>'[3]Anexo I - Programas'!$D$74</f>
        <v xml:space="preserve">GESTÃO , APOIO E MANUTENÇÃO , COORDENAÇÃO E PLANEJAMENTO </v>
      </c>
      <c r="E432" s="1619" t="s">
        <v>6941</v>
      </c>
      <c r="F432" s="1616">
        <f>C432</f>
        <v>2002</v>
      </c>
      <c r="G432" s="1618" t="str">
        <f>D432</f>
        <v xml:space="preserve">GESTÃO , APOIO E MANUTENÇÃO , COORDENAÇÃO E PLANEJAMENTO </v>
      </c>
      <c r="H432" s="775" t="s">
        <v>3137</v>
      </c>
      <c r="I432" s="761" t="str">
        <f>F430</f>
        <v>003</v>
      </c>
      <c r="J432" s="762" t="str">
        <f>G430</f>
        <v xml:space="preserve">GESTÃO, COORDENAÇÃO E PLANEJAMENTO </v>
      </c>
    </row>
    <row r="433" spans="2:10" ht="30" x14ac:dyDescent="0.25">
      <c r="B433" s="1620"/>
      <c r="C433" s="1621"/>
      <c r="D433" s="1623"/>
      <c r="E433" s="1620"/>
      <c r="F433" s="1621"/>
      <c r="G433" s="1624"/>
      <c r="H433" s="776" t="s">
        <v>6941</v>
      </c>
      <c r="I433" s="763">
        <f>F432</f>
        <v>2002</v>
      </c>
      <c r="J433" s="764" t="str">
        <f>G432</f>
        <v xml:space="preserve">GESTÃO , APOIO E MANUTENÇÃO , COORDENAÇÃO E PLANEJAMENTO </v>
      </c>
    </row>
    <row r="434" spans="2:10" ht="15.75" thickBot="1" x14ac:dyDescent="0.3">
      <c r="B434" s="769" t="s">
        <v>6939</v>
      </c>
      <c r="C434" s="1625">
        <f>'[3]Anexo I - Programas'!$H$75</f>
        <v>10370000</v>
      </c>
      <c r="D434" s="1626"/>
      <c r="E434" s="769" t="s">
        <v>6939</v>
      </c>
      <c r="F434" s="1625">
        <f>'[3]Anexo I - Programas'!$J$75</f>
        <v>2592500</v>
      </c>
      <c r="G434" s="1627"/>
      <c r="H434" s="778" t="s">
        <v>6939</v>
      </c>
      <c r="I434" s="1625">
        <f>DESPORC!I1750</f>
        <v>0.04</v>
      </c>
      <c r="J434" s="1627"/>
    </row>
    <row r="435" spans="2:10" x14ac:dyDescent="0.25">
      <c r="B435" s="1628" t="s">
        <v>3137</v>
      </c>
      <c r="C435" s="1615" t="str">
        <f>'[3]Anexo I - Programas'!$B$60</f>
        <v>003</v>
      </c>
      <c r="D435" s="1629" t="str">
        <f>'[3]Anexo I - Programas'!$C$60</f>
        <v xml:space="preserve">GESTÃO, COORDENAÇÃO E PLANEJAMENTO </v>
      </c>
      <c r="E435" s="1628" t="s">
        <v>3137</v>
      </c>
      <c r="F435" s="1615" t="str">
        <f>C435</f>
        <v>003</v>
      </c>
      <c r="G435" s="1617" t="str">
        <f>D435</f>
        <v xml:space="preserve">GESTÃO, COORDENAÇÃO E PLANEJAMENTO </v>
      </c>
      <c r="H435" s="773" t="s">
        <v>3138</v>
      </c>
      <c r="I435" s="757">
        <f>DESPORC!C1756</f>
        <v>4</v>
      </c>
      <c r="J435" s="765" t="str">
        <f>DESPORC!D1756</f>
        <v>Administração</v>
      </c>
    </row>
    <row r="436" spans="2:10" x14ac:dyDescent="0.25">
      <c r="B436" s="1619"/>
      <c r="C436" s="1616"/>
      <c r="D436" s="1630"/>
      <c r="E436" s="1619"/>
      <c r="F436" s="1616"/>
      <c r="G436" s="1618"/>
      <c r="H436" s="774" t="s">
        <v>6940</v>
      </c>
      <c r="I436" s="757">
        <f>DESPORC!C1757</f>
        <v>128</v>
      </c>
      <c r="J436" s="765" t="str">
        <f>DESPORC!D1757</f>
        <v>Formação de Recursos Humanos</v>
      </c>
    </row>
    <row r="437" spans="2:10" x14ac:dyDescent="0.25">
      <c r="B437" s="1619" t="s">
        <v>6941</v>
      </c>
      <c r="C437" s="1616">
        <f>'[3]Anexo I - Programas'!$C$74</f>
        <v>2002</v>
      </c>
      <c r="D437" s="1622" t="str">
        <f>'[3]Anexo I - Programas'!$D$74</f>
        <v xml:space="preserve">GESTÃO , APOIO E MANUTENÇÃO , COORDENAÇÃO E PLANEJAMENTO </v>
      </c>
      <c r="E437" s="1619" t="s">
        <v>6941</v>
      </c>
      <c r="F437" s="1616">
        <f>C437</f>
        <v>2002</v>
      </c>
      <c r="G437" s="1618" t="str">
        <f>D437</f>
        <v xml:space="preserve">GESTÃO , APOIO E MANUTENÇÃO , COORDENAÇÃO E PLANEJAMENTO </v>
      </c>
      <c r="H437" s="775" t="s">
        <v>3137</v>
      </c>
      <c r="I437" s="761" t="str">
        <f>F435</f>
        <v>003</v>
      </c>
      <c r="J437" s="762" t="str">
        <f>G435</f>
        <v xml:space="preserve">GESTÃO, COORDENAÇÃO E PLANEJAMENTO </v>
      </c>
    </row>
    <row r="438" spans="2:10" ht="30" x14ac:dyDescent="0.25">
      <c r="B438" s="1620"/>
      <c r="C438" s="1621"/>
      <c r="D438" s="1623"/>
      <c r="E438" s="1620"/>
      <c r="F438" s="1621"/>
      <c r="G438" s="1624"/>
      <c r="H438" s="776" t="s">
        <v>6941</v>
      </c>
      <c r="I438" s="763">
        <f>F437</f>
        <v>2002</v>
      </c>
      <c r="J438" s="764" t="str">
        <f>G437</f>
        <v xml:space="preserve">GESTÃO , APOIO E MANUTENÇÃO , COORDENAÇÃO E PLANEJAMENTO </v>
      </c>
    </row>
    <row r="439" spans="2:10" ht="15.75" thickBot="1" x14ac:dyDescent="0.3">
      <c r="B439" s="769" t="s">
        <v>6939</v>
      </c>
      <c r="C439" s="1625">
        <f>'[3]Anexo I - Programas'!$H$75</f>
        <v>10370000</v>
      </c>
      <c r="D439" s="1626"/>
      <c r="E439" s="769" t="s">
        <v>6939</v>
      </c>
      <c r="F439" s="1625">
        <f>'[3]Anexo I - Programas'!$J$75</f>
        <v>2592500</v>
      </c>
      <c r="G439" s="1627"/>
      <c r="H439" s="778" t="s">
        <v>6939</v>
      </c>
      <c r="I439" s="1625">
        <f>DESPORC!I1759</f>
        <v>0.05</v>
      </c>
      <c r="J439" s="1627"/>
    </row>
    <row r="441" spans="2:10" x14ac:dyDescent="0.25">
      <c r="B441" s="1631" t="s">
        <v>6927</v>
      </c>
      <c r="C441" s="1631"/>
      <c r="D441" s="755" t="str">
        <f>DESPORC!C1770</f>
        <v>02 - PREFEITURA MUNICIPAL DE CHUVISCA</v>
      </c>
      <c r="E441" s="770"/>
      <c r="F441" s="754"/>
      <c r="G441" s="754"/>
      <c r="H441" s="770"/>
      <c r="I441" s="754"/>
      <c r="J441" s="754"/>
    </row>
    <row r="442" spans="2:10" ht="15.75" thickBot="1" x14ac:dyDescent="0.3">
      <c r="B442" s="1632" t="s">
        <v>3087</v>
      </c>
      <c r="C442" s="1632"/>
      <c r="D442" s="755" t="str">
        <f>DESPORC!C1771</f>
        <v>14 - GESTAO E.P.E.C. 86-2015</v>
      </c>
      <c r="E442" s="770"/>
      <c r="F442" s="36"/>
      <c r="G442" s="1"/>
      <c r="H442" s="772"/>
      <c r="I442" s="1"/>
      <c r="J442" s="1"/>
    </row>
    <row r="443" spans="2:10" ht="15.75" thickBot="1" x14ac:dyDescent="0.3">
      <c r="B443" s="1633" t="str">
        <f>B$10</f>
        <v>PPA LEI MUNICIPAL N.º 1091  DE 16 DE JUNHO DE 2017.</v>
      </c>
      <c r="C443" s="1634"/>
      <c r="D443" s="1635"/>
      <c r="E443" s="1633" t="str">
        <f>E$10</f>
        <v>LDO LEI MUNICIPAL N.º 1166  DE 10 DE OUTUBRO DE 2019.</v>
      </c>
      <c r="F443" s="1634"/>
      <c r="G443" s="1635"/>
      <c r="H443" s="1633" t="str">
        <f>H$10</f>
        <v>LOA 2020</v>
      </c>
      <c r="I443" s="1634"/>
      <c r="J443" s="1635"/>
    </row>
    <row r="444" spans="2:10" x14ac:dyDescent="0.25">
      <c r="B444" s="1628" t="s">
        <v>3137</v>
      </c>
      <c r="C444" s="1615" t="str">
        <f>'[3]Anexo I - Programas'!$B$60</f>
        <v>003</v>
      </c>
      <c r="D444" s="1629" t="str">
        <f>'[3]Anexo I - Programas'!$C$60</f>
        <v xml:space="preserve">GESTÃO, COORDENAÇÃO E PLANEJAMENTO </v>
      </c>
      <c r="E444" s="1628" t="s">
        <v>3137</v>
      </c>
      <c r="F444" s="1615" t="str">
        <f>C444</f>
        <v>003</v>
      </c>
      <c r="G444" s="1617" t="str">
        <f>D444</f>
        <v xml:space="preserve">GESTÃO, COORDENAÇÃO E PLANEJAMENTO </v>
      </c>
      <c r="H444" s="773" t="s">
        <v>3138</v>
      </c>
      <c r="I444" s="757"/>
      <c r="J444" s="765"/>
    </row>
    <row r="445" spans="2:10" x14ac:dyDescent="0.25">
      <c r="B445" s="1619"/>
      <c r="C445" s="1616"/>
      <c r="D445" s="1630"/>
      <c r="E445" s="1619"/>
      <c r="F445" s="1616"/>
      <c r="G445" s="1618"/>
      <c r="H445" s="774" t="s">
        <v>6940</v>
      </c>
      <c r="I445" s="757"/>
      <c r="J445" s="765"/>
    </row>
    <row r="446" spans="2:10" x14ac:dyDescent="0.25">
      <c r="B446" s="1619" t="s">
        <v>6941</v>
      </c>
      <c r="C446" s="1616">
        <f>'[3]Anexo I - Programas'!$C$69</f>
        <v>1002</v>
      </c>
      <c r="D446" s="1622" t="str">
        <f>'[3]Anexo I - Programas'!$D$69</f>
        <v>Realização de Novos Investimentos do Poder Executivo</v>
      </c>
      <c r="E446" s="1619" t="s">
        <v>6941</v>
      </c>
      <c r="F446" s="1616">
        <f>C446</f>
        <v>1002</v>
      </c>
      <c r="G446" s="1618" t="str">
        <f>D446</f>
        <v>Realização de Novos Investimentos do Poder Executivo</v>
      </c>
      <c r="H446" s="775" t="s">
        <v>3137</v>
      </c>
      <c r="I446" s="761" t="str">
        <f>F444</f>
        <v>003</v>
      </c>
      <c r="J446" s="762" t="str">
        <f>G444</f>
        <v xml:space="preserve">GESTÃO, COORDENAÇÃO E PLANEJAMENTO </v>
      </c>
    </row>
    <row r="447" spans="2:10" x14ac:dyDescent="0.25">
      <c r="B447" s="1620"/>
      <c r="C447" s="1621"/>
      <c r="D447" s="1623"/>
      <c r="E447" s="1620"/>
      <c r="F447" s="1621"/>
      <c r="G447" s="1624"/>
      <c r="H447" s="776" t="s">
        <v>6941</v>
      </c>
      <c r="I447" s="763">
        <f>F446</f>
        <v>1002</v>
      </c>
      <c r="J447" s="764" t="str">
        <f>G446</f>
        <v>Realização de Novos Investimentos do Poder Executivo</v>
      </c>
    </row>
    <row r="448" spans="2:10" ht="15.75" thickBot="1" x14ac:dyDescent="0.3">
      <c r="B448" s="769" t="s">
        <v>6939</v>
      </c>
      <c r="C448" s="1625">
        <f>'[3]Anexo I - Programas'!$H$70</f>
        <v>1600000</v>
      </c>
      <c r="D448" s="1626"/>
      <c r="E448" s="769" t="s">
        <v>6939</v>
      </c>
      <c r="F448" s="1625">
        <f>'[3]Anexo I - Programas'!$J$70</f>
        <v>400000</v>
      </c>
      <c r="G448" s="1627"/>
      <c r="H448" s="778" t="s">
        <v>6939</v>
      </c>
      <c r="I448" s="1625">
        <v>0</v>
      </c>
      <c r="J448" s="1627"/>
    </row>
    <row r="450" spans="2:10" x14ac:dyDescent="0.25">
      <c r="B450" s="787"/>
      <c r="C450" s="788"/>
      <c r="E450" s="787"/>
      <c r="H450" s="787"/>
    </row>
    <row r="451" spans="2:10" x14ac:dyDescent="0.25">
      <c r="B451" s="787"/>
      <c r="C451" s="788"/>
      <c r="E451" s="787"/>
      <c r="H451" s="787"/>
    </row>
    <row r="452" spans="2:10" x14ac:dyDescent="0.25">
      <c r="B452" s="787"/>
      <c r="C452" s="788"/>
      <c r="E452" s="787"/>
      <c r="H452" s="787"/>
    </row>
    <row r="453" spans="2:10" x14ac:dyDescent="0.25">
      <c r="B453" s="787"/>
      <c r="C453" s="788"/>
      <c r="E453" s="787"/>
      <c r="H453" s="787"/>
    </row>
    <row r="454" spans="2:10" x14ac:dyDescent="0.25">
      <c r="B454" s="787"/>
      <c r="C454" s="788"/>
      <c r="E454" s="787"/>
      <c r="H454" s="787"/>
    </row>
    <row r="455" spans="2:10" x14ac:dyDescent="0.25">
      <c r="B455" s="787"/>
      <c r="C455" s="788"/>
      <c r="E455" s="787"/>
      <c r="H455" s="787"/>
    </row>
    <row r="456" spans="2:10" x14ac:dyDescent="0.25">
      <c r="B456" s="787"/>
      <c r="C456" s="788"/>
      <c r="E456" s="787"/>
      <c r="H456" s="787"/>
    </row>
    <row r="457" spans="2:10" x14ac:dyDescent="0.25">
      <c r="B457" s="787"/>
      <c r="C457" s="788"/>
      <c r="E457" s="787"/>
      <c r="H457" s="787"/>
    </row>
    <row r="458" spans="2:10" x14ac:dyDescent="0.25">
      <c r="B458" s="787"/>
      <c r="C458" s="788"/>
      <c r="E458" s="787"/>
      <c r="H458" s="787"/>
    </row>
    <row r="459" spans="2:10" x14ac:dyDescent="0.25">
      <c r="B459" s="787"/>
      <c r="C459" s="788"/>
      <c r="E459" s="787"/>
      <c r="H459" s="787"/>
    </row>
    <row r="460" spans="2:10" x14ac:dyDescent="0.25">
      <c r="B460" s="787"/>
      <c r="C460" s="788"/>
      <c r="E460" s="787"/>
      <c r="H460" s="787"/>
    </row>
    <row r="461" spans="2:10" x14ac:dyDescent="0.25">
      <c r="B461" s="1631" t="s">
        <v>6927</v>
      </c>
      <c r="C461" s="1631"/>
      <c r="D461" s="755" t="str">
        <f>DESPORC!C1858</f>
        <v>03 - SECRETARIA MUNICIPAL DE EDUCAÇÃO, CULT. E DESPORTO</v>
      </c>
      <c r="E461" s="770"/>
      <c r="F461" s="754"/>
      <c r="G461" s="754"/>
      <c r="H461" s="770"/>
      <c r="I461" s="754"/>
      <c r="J461" s="754"/>
    </row>
    <row r="462" spans="2:10" ht="15.75" thickBot="1" x14ac:dyDescent="0.3">
      <c r="B462" s="1632" t="s">
        <v>3087</v>
      </c>
      <c r="C462" s="1632"/>
      <c r="D462" s="755" t="str">
        <f>DESPORC!C1859</f>
        <v>01 - GESTÃO COORD. E PLANEJ. , MANUT. E DES. DO ENSINO</v>
      </c>
      <c r="E462" s="770"/>
      <c r="F462" s="36"/>
      <c r="G462" s="1"/>
      <c r="H462" s="772"/>
      <c r="I462" s="1"/>
      <c r="J462" s="1"/>
    </row>
    <row r="463" spans="2:10" ht="15.75" thickBot="1" x14ac:dyDescent="0.3">
      <c r="B463" s="1633" t="str">
        <f>B$10</f>
        <v>PPA LEI MUNICIPAL N.º 1091  DE 16 DE JUNHO DE 2017.</v>
      </c>
      <c r="C463" s="1634"/>
      <c r="D463" s="1635"/>
      <c r="E463" s="1633" t="str">
        <f>E$10</f>
        <v>LDO LEI MUNICIPAL N.º 1166  DE 10 DE OUTUBRO DE 2019.</v>
      </c>
      <c r="F463" s="1634"/>
      <c r="G463" s="1635"/>
      <c r="H463" s="1633" t="str">
        <f>H$10</f>
        <v>LOA 2020</v>
      </c>
      <c r="I463" s="1634"/>
      <c r="J463" s="1635"/>
    </row>
    <row r="464" spans="2:10" x14ac:dyDescent="0.25">
      <c r="B464" s="1628" t="s">
        <v>3137</v>
      </c>
      <c r="C464" s="1615" t="str">
        <f>'[3]Anexo I - Programas'!$B$173</f>
        <v>6</v>
      </c>
      <c r="D464" s="1629" t="str">
        <f>'[3]Anexo I - Programas'!$C$173</f>
        <v>PROMOÇÃO E DESENVOLVIMENTO DA EDUCAÇÃO</v>
      </c>
      <c r="E464" s="1628" t="s">
        <v>3137</v>
      </c>
      <c r="F464" s="1615" t="str">
        <f>C464</f>
        <v>6</v>
      </c>
      <c r="G464" s="1617" t="str">
        <f>D464</f>
        <v>PROMOÇÃO E DESENVOLVIMENTO DA EDUCAÇÃO</v>
      </c>
      <c r="H464" s="773" t="s">
        <v>3138</v>
      </c>
      <c r="I464" s="757">
        <f>DESPORC!C1862</f>
        <v>12</v>
      </c>
      <c r="J464" s="765" t="str">
        <f>DESPORC!D1862</f>
        <v>Educação</v>
      </c>
    </row>
    <row r="465" spans="2:10" x14ac:dyDescent="0.25">
      <c r="B465" s="1619"/>
      <c r="C465" s="1616"/>
      <c r="D465" s="1630"/>
      <c r="E465" s="1619"/>
      <c r="F465" s="1616"/>
      <c r="G465" s="1618"/>
      <c r="H465" s="774" t="s">
        <v>6940</v>
      </c>
      <c r="I465" s="757">
        <f>DESPORC!C1863</f>
        <v>122</v>
      </c>
      <c r="J465" s="765" t="str">
        <f>DESPORC!D1863</f>
        <v>Administração Geral</v>
      </c>
    </row>
    <row r="466" spans="2:10" x14ac:dyDescent="0.25">
      <c r="B466" s="1619" t="s">
        <v>6941</v>
      </c>
      <c r="C466" s="1616">
        <f>'[3]Anexo I - Programas'!$C$182</f>
        <v>1005</v>
      </c>
      <c r="D466" s="1622" t="str">
        <f>'[3]Anexo I - Programas'!$D$182</f>
        <v>Novos Investimentos em Educação</v>
      </c>
      <c r="E466" s="1619" t="s">
        <v>6941</v>
      </c>
      <c r="F466" s="1616">
        <f>C466</f>
        <v>1005</v>
      </c>
      <c r="G466" s="1618" t="str">
        <f>D466</f>
        <v>Novos Investimentos em Educação</v>
      </c>
      <c r="H466" s="775" t="s">
        <v>3137</v>
      </c>
      <c r="I466" s="761" t="str">
        <f>F464</f>
        <v>6</v>
      </c>
      <c r="J466" s="762" t="str">
        <f>G464</f>
        <v>PROMOÇÃO E DESENVOLVIMENTO DA EDUCAÇÃO</v>
      </c>
    </row>
    <row r="467" spans="2:10" x14ac:dyDescent="0.25">
      <c r="B467" s="1620"/>
      <c r="C467" s="1621"/>
      <c r="D467" s="1623"/>
      <c r="E467" s="1620"/>
      <c r="F467" s="1621"/>
      <c r="G467" s="1624"/>
      <c r="H467" s="776" t="s">
        <v>6941</v>
      </c>
      <c r="I467" s="763">
        <f>F466</f>
        <v>1005</v>
      </c>
      <c r="J467" s="764" t="str">
        <f>G466</f>
        <v>Novos Investimentos em Educação</v>
      </c>
    </row>
    <row r="468" spans="2:10" ht="15.75" thickBot="1" x14ac:dyDescent="0.3">
      <c r="B468" s="769" t="s">
        <v>6939</v>
      </c>
      <c r="C468" s="1625">
        <f>'[3]Anexo I - Programas'!$H$183</f>
        <v>200000</v>
      </c>
      <c r="D468" s="1626"/>
      <c r="E468" s="769" t="s">
        <v>6939</v>
      </c>
      <c r="F468" s="1625">
        <f>'[3]Anexo I - Programas'!$J$183</f>
        <v>50000</v>
      </c>
      <c r="G468" s="1627"/>
      <c r="H468" s="778" t="s">
        <v>6939</v>
      </c>
      <c r="I468" s="1625">
        <f>DESPORC!I1865+DESPORC!I1875</f>
        <v>1.0900000000000001</v>
      </c>
      <c r="J468" s="1627"/>
    </row>
    <row r="469" spans="2:10" x14ac:dyDescent="0.25">
      <c r="B469" s="1628" t="s">
        <v>3137</v>
      </c>
      <c r="C469" s="1615" t="str">
        <f>'[3]Anexo I - Programas'!$B$173</f>
        <v>6</v>
      </c>
      <c r="D469" s="1629" t="str">
        <f>'[3]Anexo I - Programas'!$C$173</f>
        <v>PROMOÇÃO E DESENVOLVIMENTO DA EDUCAÇÃO</v>
      </c>
      <c r="E469" s="1628" t="s">
        <v>3137</v>
      </c>
      <c r="F469" s="1615" t="str">
        <f>C469</f>
        <v>6</v>
      </c>
      <c r="G469" s="1617" t="str">
        <f>D469</f>
        <v>PROMOÇÃO E DESENVOLVIMENTO DA EDUCAÇÃO</v>
      </c>
      <c r="H469" s="773" t="s">
        <v>3138</v>
      </c>
      <c r="I469" s="757">
        <f>DESPORC!C1883</f>
        <v>12</v>
      </c>
      <c r="J469" s="765" t="str">
        <f>DESPORC!D1883</f>
        <v>Educação</v>
      </c>
    </row>
    <row r="470" spans="2:10" x14ac:dyDescent="0.25">
      <c r="B470" s="1619"/>
      <c r="C470" s="1616"/>
      <c r="D470" s="1630"/>
      <c r="E470" s="1619"/>
      <c r="F470" s="1616"/>
      <c r="G470" s="1618"/>
      <c r="H470" s="774" t="s">
        <v>6940</v>
      </c>
      <c r="I470" s="757">
        <f>DESPORC!C1884</f>
        <v>122</v>
      </c>
      <c r="J470" s="765" t="str">
        <f>DESPORC!D1884</f>
        <v>Administração Geral</v>
      </c>
    </row>
    <row r="471" spans="2:10" x14ac:dyDescent="0.25">
      <c r="B471" s="1619" t="s">
        <v>6941</v>
      </c>
      <c r="C471" s="1616">
        <f>'[3]Anexo I - Programas'!$C$192</f>
        <v>2005</v>
      </c>
      <c r="D471" s="1622" t="str">
        <f>'[3]Anexo I - Programas'!$D$192</f>
        <v>Gestão, Coordenação, e Planejamento Educacional</v>
      </c>
      <c r="E471" s="1619" t="s">
        <v>6941</v>
      </c>
      <c r="F471" s="1616">
        <f>C471</f>
        <v>2005</v>
      </c>
      <c r="G471" s="1618" t="str">
        <f>D471</f>
        <v>Gestão, Coordenação, e Planejamento Educacional</v>
      </c>
      <c r="H471" s="775" t="s">
        <v>3137</v>
      </c>
      <c r="I471" s="761" t="str">
        <f>F469</f>
        <v>6</v>
      </c>
      <c r="J471" s="762" t="str">
        <f>G469</f>
        <v>PROMOÇÃO E DESENVOLVIMENTO DA EDUCAÇÃO</v>
      </c>
    </row>
    <row r="472" spans="2:10" x14ac:dyDescent="0.25">
      <c r="B472" s="1620"/>
      <c r="C472" s="1621"/>
      <c r="D472" s="1623"/>
      <c r="E472" s="1620"/>
      <c r="F472" s="1621"/>
      <c r="G472" s="1624"/>
      <c r="H472" s="776" t="s">
        <v>6941</v>
      </c>
      <c r="I472" s="763">
        <f>F471</f>
        <v>2005</v>
      </c>
      <c r="J472" s="764" t="str">
        <f>G471</f>
        <v>Gestão, Coordenação, e Planejamento Educacional</v>
      </c>
    </row>
    <row r="473" spans="2:10" ht="15.75" thickBot="1" x14ac:dyDescent="0.3">
      <c r="B473" s="769" t="s">
        <v>6939</v>
      </c>
      <c r="C473" s="1625">
        <f>'[3]Anexo I - Programas'!$H$193</f>
        <v>750000</v>
      </c>
      <c r="D473" s="1626"/>
      <c r="E473" s="769" t="s">
        <v>6939</v>
      </c>
      <c r="F473" s="1625">
        <f>'[3]Anexo I - Programas'!$J$193</f>
        <v>187500</v>
      </c>
      <c r="G473" s="1627"/>
      <c r="H473" s="778" t="s">
        <v>6939</v>
      </c>
      <c r="I473" s="1625">
        <f>DESPORC!I1886</f>
        <v>805624.32256947644</v>
      </c>
      <c r="J473" s="1627"/>
    </row>
    <row r="474" spans="2:10" x14ac:dyDescent="0.25">
      <c r="B474" s="1628" t="s">
        <v>3137</v>
      </c>
      <c r="C474" s="1615" t="str">
        <f>'[3]Anexo I - Programas'!$B$173</f>
        <v>6</v>
      </c>
      <c r="D474" s="1629" t="str">
        <f>'[3]Anexo I - Programas'!$C$173</f>
        <v>PROMOÇÃO E DESENVOLVIMENTO DA EDUCAÇÃO</v>
      </c>
      <c r="E474" s="1628" t="s">
        <v>3137</v>
      </c>
      <c r="F474" s="1615" t="str">
        <f>C474</f>
        <v>6</v>
      </c>
      <c r="G474" s="1617" t="str">
        <f>D474</f>
        <v>PROMOÇÃO E DESENVOLVIMENTO DA EDUCAÇÃO</v>
      </c>
      <c r="H474" s="773" t="s">
        <v>3138</v>
      </c>
      <c r="I474" s="757">
        <f>DESPORC!C1909</f>
        <v>12</v>
      </c>
      <c r="J474" s="765" t="str">
        <f>DESPORC!D1909</f>
        <v>Educação</v>
      </c>
    </row>
    <row r="475" spans="2:10" x14ac:dyDescent="0.25">
      <c r="B475" s="1619"/>
      <c r="C475" s="1616"/>
      <c r="D475" s="1630"/>
      <c r="E475" s="1619"/>
      <c r="F475" s="1616"/>
      <c r="G475" s="1618"/>
      <c r="H475" s="774" t="s">
        <v>6940</v>
      </c>
      <c r="I475" s="757">
        <f>DESPORC!C1910</f>
        <v>126</v>
      </c>
      <c r="J475" s="765" t="str">
        <f>DESPORC!D1910</f>
        <v>Tecnologia da Informação</v>
      </c>
    </row>
    <row r="476" spans="2:10" x14ac:dyDescent="0.25">
      <c r="B476" s="1619" t="s">
        <v>6941</v>
      </c>
      <c r="C476" s="1616">
        <f>'[3]Anexo I - Programas'!$C$192</f>
        <v>2005</v>
      </c>
      <c r="D476" s="1622" t="str">
        <f>'[3]Anexo I - Programas'!$D$192</f>
        <v>Gestão, Coordenação, e Planejamento Educacional</v>
      </c>
      <c r="E476" s="1619" t="s">
        <v>6941</v>
      </c>
      <c r="F476" s="1616">
        <f>C476</f>
        <v>2005</v>
      </c>
      <c r="G476" s="1618" t="str">
        <f>D476</f>
        <v>Gestão, Coordenação, e Planejamento Educacional</v>
      </c>
      <c r="H476" s="775" t="s">
        <v>3137</v>
      </c>
      <c r="I476" s="761" t="str">
        <f>F474</f>
        <v>6</v>
      </c>
      <c r="J476" s="762" t="str">
        <f>G474</f>
        <v>PROMOÇÃO E DESENVOLVIMENTO DA EDUCAÇÃO</v>
      </c>
    </row>
    <row r="477" spans="2:10" x14ac:dyDescent="0.25">
      <c r="B477" s="1620"/>
      <c r="C477" s="1621"/>
      <c r="D477" s="1623"/>
      <c r="E477" s="1620"/>
      <c r="F477" s="1621"/>
      <c r="G477" s="1624"/>
      <c r="H477" s="776" t="s">
        <v>6941</v>
      </c>
      <c r="I477" s="763">
        <f>F476</f>
        <v>2005</v>
      </c>
      <c r="J477" s="764" t="str">
        <f>G476</f>
        <v>Gestão, Coordenação, e Planejamento Educacional</v>
      </c>
    </row>
    <row r="478" spans="2:10" ht="15.75" thickBot="1" x14ac:dyDescent="0.3">
      <c r="B478" s="769" t="s">
        <v>6939</v>
      </c>
      <c r="C478" s="1625">
        <f>'[3]Anexo I - Programas'!$H$193</f>
        <v>750000</v>
      </c>
      <c r="D478" s="1626"/>
      <c r="E478" s="769" t="s">
        <v>6939</v>
      </c>
      <c r="F478" s="1625">
        <f>'[3]Anexo I - Programas'!$J$193</f>
        <v>187500</v>
      </c>
      <c r="G478" s="1627"/>
      <c r="H478" s="778" t="s">
        <v>6939</v>
      </c>
      <c r="I478" s="1625">
        <f>DESPORC!I1912</f>
        <v>10000</v>
      </c>
      <c r="J478" s="1627"/>
    </row>
    <row r="479" spans="2:10" x14ac:dyDescent="0.25">
      <c r="B479" s="1628" t="s">
        <v>3137</v>
      </c>
      <c r="C479" s="1615" t="str">
        <f>'[3]Anexo I - Programas'!$B$173</f>
        <v>6</v>
      </c>
      <c r="D479" s="1629" t="str">
        <f>'[3]Anexo I - Programas'!$C$173</f>
        <v>PROMOÇÃO E DESENVOLVIMENTO DA EDUCAÇÃO</v>
      </c>
      <c r="E479" s="1628" t="s">
        <v>3137</v>
      </c>
      <c r="F479" s="1615" t="str">
        <f>C479</f>
        <v>6</v>
      </c>
      <c r="G479" s="1617" t="str">
        <f>D479</f>
        <v>PROMOÇÃO E DESENVOLVIMENTO DA EDUCAÇÃO</v>
      </c>
      <c r="H479" s="773" t="s">
        <v>3138</v>
      </c>
      <c r="I479" s="757">
        <f>DESPORC!C1918</f>
        <v>12</v>
      </c>
      <c r="J479" s="765" t="str">
        <f>DESPORC!D1918</f>
        <v>Educação</v>
      </c>
    </row>
    <row r="480" spans="2:10" x14ac:dyDescent="0.25">
      <c r="B480" s="1619"/>
      <c r="C480" s="1616"/>
      <c r="D480" s="1630"/>
      <c r="E480" s="1619"/>
      <c r="F480" s="1616"/>
      <c r="G480" s="1618"/>
      <c r="H480" s="774" t="s">
        <v>6940</v>
      </c>
      <c r="I480" s="757">
        <f>DESPORC!C1919</f>
        <v>128</v>
      </c>
      <c r="J480" s="765" t="str">
        <f>DESPORC!D1919</f>
        <v>Formação de Recursos Humanos</v>
      </c>
    </row>
    <row r="481" spans="2:10" x14ac:dyDescent="0.25">
      <c r="B481" s="1619" t="s">
        <v>6941</v>
      </c>
      <c r="C481" s="1616">
        <f>'[3]Anexo I - Programas'!$C$192</f>
        <v>2005</v>
      </c>
      <c r="D481" s="1622" t="str">
        <f>'[3]Anexo I - Programas'!$D$192</f>
        <v>Gestão, Coordenação, e Planejamento Educacional</v>
      </c>
      <c r="E481" s="1619" t="s">
        <v>6941</v>
      </c>
      <c r="F481" s="1616">
        <f>C481</f>
        <v>2005</v>
      </c>
      <c r="G481" s="1618" t="str">
        <f>D481</f>
        <v>Gestão, Coordenação, e Planejamento Educacional</v>
      </c>
      <c r="H481" s="775" t="s">
        <v>3137</v>
      </c>
      <c r="I481" s="779" t="str">
        <f>F479</f>
        <v>6</v>
      </c>
      <c r="J481" s="762" t="str">
        <f>G479</f>
        <v>PROMOÇÃO E DESENVOLVIMENTO DA EDUCAÇÃO</v>
      </c>
    </row>
    <row r="482" spans="2:10" x14ac:dyDescent="0.25">
      <c r="B482" s="1620"/>
      <c r="C482" s="1621"/>
      <c r="D482" s="1623"/>
      <c r="E482" s="1620"/>
      <c r="F482" s="1621"/>
      <c r="G482" s="1624"/>
      <c r="H482" s="776" t="s">
        <v>6941</v>
      </c>
      <c r="I482" s="780">
        <f>F481</f>
        <v>2005</v>
      </c>
      <c r="J482" s="764" t="str">
        <f>G481</f>
        <v>Gestão, Coordenação, e Planejamento Educacional</v>
      </c>
    </row>
    <row r="483" spans="2:10" ht="15.75" thickBot="1" x14ac:dyDescent="0.3">
      <c r="B483" s="769" t="s">
        <v>6939</v>
      </c>
      <c r="C483" s="1625">
        <f>'[3]Anexo I - Programas'!$H$193</f>
        <v>750000</v>
      </c>
      <c r="D483" s="1626"/>
      <c r="E483" s="769" t="s">
        <v>6939</v>
      </c>
      <c r="F483" s="1625">
        <f>'[3]Anexo I - Programas'!$J$193</f>
        <v>187500</v>
      </c>
      <c r="G483" s="1627"/>
      <c r="H483" s="778" t="s">
        <v>6939</v>
      </c>
      <c r="I483" s="1625">
        <f>DESPORC!I1921</f>
        <v>0.05</v>
      </c>
      <c r="J483" s="1627"/>
    </row>
    <row r="484" spans="2:10" x14ac:dyDescent="0.25">
      <c r="B484" s="1628" t="s">
        <v>3137</v>
      </c>
      <c r="C484" s="1615" t="str">
        <f>'[3]Anexo I - Programas'!$B$173</f>
        <v>6</v>
      </c>
      <c r="D484" s="1629" t="str">
        <f>'[3]Anexo I - Programas'!$C$173</f>
        <v>PROMOÇÃO E DESENVOLVIMENTO DA EDUCAÇÃO</v>
      </c>
      <c r="E484" s="1628" t="s">
        <v>3137</v>
      </c>
      <c r="F484" s="1615" t="str">
        <f>C484</f>
        <v>6</v>
      </c>
      <c r="G484" s="1617" t="str">
        <f>D484</f>
        <v>PROMOÇÃO E DESENVOLVIMENTO DA EDUCAÇÃO</v>
      </c>
      <c r="H484" s="773" t="s">
        <v>3138</v>
      </c>
      <c r="I484" s="757">
        <f>DESPORC!C1927</f>
        <v>12</v>
      </c>
      <c r="J484" s="765" t="str">
        <f>DESPORC!D1927</f>
        <v>Educação</v>
      </c>
    </row>
    <row r="485" spans="2:10" x14ac:dyDescent="0.25">
      <c r="B485" s="1619"/>
      <c r="C485" s="1616"/>
      <c r="D485" s="1630"/>
      <c r="E485" s="1619"/>
      <c r="F485" s="1616"/>
      <c r="G485" s="1618"/>
      <c r="H485" s="774" t="s">
        <v>6940</v>
      </c>
      <c r="I485" s="757">
        <f>DESPORC!C1928</f>
        <v>122</v>
      </c>
      <c r="J485" s="765" t="str">
        <f>DESPORC!D1928</f>
        <v>Administração Geral</v>
      </c>
    </row>
    <row r="486" spans="2:10" x14ac:dyDescent="0.25">
      <c r="B486" s="1619" t="s">
        <v>6941</v>
      </c>
      <c r="C486" s="1616">
        <f>'[3]Anexo I - Programas'!$C$234</f>
        <v>2047</v>
      </c>
      <c r="D486" s="1622" t="str">
        <f>'[3]Anexo I - Programas'!$D$234</f>
        <v>GESTAO E COORDENAÇÃO ESCOLAS MUNICIPAIS</v>
      </c>
      <c r="E486" s="1619" t="s">
        <v>6941</v>
      </c>
      <c r="F486" s="1616">
        <f>C486</f>
        <v>2047</v>
      </c>
      <c r="G486" s="1618" t="str">
        <f>D486</f>
        <v>GESTAO E COORDENAÇÃO ESCOLAS MUNICIPAIS</v>
      </c>
      <c r="H486" s="775" t="s">
        <v>3137</v>
      </c>
      <c r="I486" s="779" t="str">
        <f>F484</f>
        <v>6</v>
      </c>
      <c r="J486" s="762" t="str">
        <f>G484</f>
        <v>PROMOÇÃO E DESENVOLVIMENTO DA EDUCAÇÃO</v>
      </c>
    </row>
    <row r="487" spans="2:10" x14ac:dyDescent="0.25">
      <c r="B487" s="1620"/>
      <c r="C487" s="1621"/>
      <c r="D487" s="1623"/>
      <c r="E487" s="1620"/>
      <c r="F487" s="1621"/>
      <c r="G487" s="1624"/>
      <c r="H487" s="776" t="s">
        <v>6941</v>
      </c>
      <c r="I487" s="780">
        <f>F486</f>
        <v>2047</v>
      </c>
      <c r="J487" s="764" t="str">
        <f>G486</f>
        <v>GESTAO E COORDENAÇÃO ESCOLAS MUNICIPAIS</v>
      </c>
    </row>
    <row r="488" spans="2:10" ht="15.75" thickBot="1" x14ac:dyDescent="0.3">
      <c r="B488" s="769" t="s">
        <v>6939</v>
      </c>
      <c r="C488" s="1625">
        <f>'[3]Anexo I - Programas'!$H$235</f>
        <v>450000</v>
      </c>
      <c r="D488" s="1626"/>
      <c r="E488" s="769" t="s">
        <v>6939</v>
      </c>
      <c r="F488" s="1625">
        <f>'[3]Anexo I - Programas'!$J$235</f>
        <v>112500</v>
      </c>
      <c r="G488" s="1627"/>
      <c r="H488" s="778" t="s">
        <v>6939</v>
      </c>
      <c r="I488" s="1625">
        <f>DESPORC!I1930</f>
        <v>877816.46458400215</v>
      </c>
      <c r="J488" s="1627"/>
    </row>
    <row r="489" spans="2:10" x14ac:dyDescent="0.25">
      <c r="B489" s="1628" t="s">
        <v>3137</v>
      </c>
      <c r="C489" s="1615" t="str">
        <f>'[3]Anexo I - Programas'!$B$173</f>
        <v>6</v>
      </c>
      <c r="D489" s="1629" t="str">
        <f>'[3]Anexo I - Programas'!$C$173</f>
        <v>PROMOÇÃO E DESENVOLVIMENTO DA EDUCAÇÃO</v>
      </c>
      <c r="E489" s="1628" t="s">
        <v>3137</v>
      </c>
      <c r="F489" s="1615" t="str">
        <f>C489</f>
        <v>6</v>
      </c>
      <c r="G489" s="1617" t="str">
        <f>D489</f>
        <v>PROMOÇÃO E DESENVOLVIMENTO DA EDUCAÇÃO</v>
      </c>
      <c r="H489" s="773" t="s">
        <v>3138</v>
      </c>
      <c r="I489" s="757">
        <f>DESPORC!C1954</f>
        <v>12</v>
      </c>
      <c r="J489" s="765" t="str">
        <f>DESPORC!D1954</f>
        <v>Educação</v>
      </c>
    </row>
    <row r="490" spans="2:10" x14ac:dyDescent="0.25">
      <c r="B490" s="1619"/>
      <c r="C490" s="1616"/>
      <c r="D490" s="1630"/>
      <c r="E490" s="1619"/>
      <c r="F490" s="1616"/>
      <c r="G490" s="1618"/>
      <c r="H490" s="774" t="s">
        <v>6940</v>
      </c>
      <c r="I490" s="757">
        <f>DESPORC!C1955</f>
        <v>126</v>
      </c>
      <c r="J490" s="765" t="str">
        <f>DESPORC!D1955</f>
        <v>Tecnologia da Informação</v>
      </c>
    </row>
    <row r="491" spans="2:10" x14ac:dyDescent="0.25">
      <c r="B491" s="1619" t="s">
        <v>6941</v>
      </c>
      <c r="C491" s="1616">
        <f>'[3]Anexo I - Programas'!$C$234</f>
        <v>2047</v>
      </c>
      <c r="D491" s="1622" t="str">
        <f>'[3]Anexo I - Programas'!$D$234</f>
        <v>GESTAO E COORDENAÇÃO ESCOLAS MUNICIPAIS</v>
      </c>
      <c r="E491" s="1619" t="s">
        <v>6941</v>
      </c>
      <c r="F491" s="1616">
        <f>C491</f>
        <v>2047</v>
      </c>
      <c r="G491" s="1618" t="str">
        <f>D491</f>
        <v>GESTAO E COORDENAÇÃO ESCOLAS MUNICIPAIS</v>
      </c>
      <c r="H491" s="775" t="s">
        <v>3137</v>
      </c>
      <c r="I491" s="779" t="str">
        <f>F489</f>
        <v>6</v>
      </c>
      <c r="J491" s="762" t="str">
        <f>G489</f>
        <v>PROMOÇÃO E DESENVOLVIMENTO DA EDUCAÇÃO</v>
      </c>
    </row>
    <row r="492" spans="2:10" x14ac:dyDescent="0.25">
      <c r="B492" s="1620"/>
      <c r="C492" s="1621"/>
      <c r="D492" s="1623"/>
      <c r="E492" s="1620"/>
      <c r="F492" s="1621"/>
      <c r="G492" s="1624"/>
      <c r="H492" s="776" t="s">
        <v>6941</v>
      </c>
      <c r="I492" s="780">
        <f>F491</f>
        <v>2047</v>
      </c>
      <c r="J492" s="764" t="str">
        <f>G491</f>
        <v>GESTAO E COORDENAÇÃO ESCOLAS MUNICIPAIS</v>
      </c>
    </row>
    <row r="493" spans="2:10" ht="15.75" thickBot="1" x14ac:dyDescent="0.3">
      <c r="B493" s="769" t="s">
        <v>6939</v>
      </c>
      <c r="C493" s="1625">
        <f>'[3]Anexo I - Programas'!$H$235</f>
        <v>450000</v>
      </c>
      <c r="D493" s="1626"/>
      <c r="E493" s="769" t="s">
        <v>6939</v>
      </c>
      <c r="F493" s="1625">
        <f>'[3]Anexo I - Programas'!$J$235</f>
        <v>112500</v>
      </c>
      <c r="G493" s="1627"/>
      <c r="H493" s="778" t="s">
        <v>6939</v>
      </c>
      <c r="I493" s="1625">
        <f>DESPORC!I1957</f>
        <v>22395.344999999998</v>
      </c>
      <c r="J493" s="1627"/>
    </row>
    <row r="494" spans="2:10" x14ac:dyDescent="0.25">
      <c r="B494" s="1628" t="s">
        <v>3137</v>
      </c>
      <c r="C494" s="1615" t="str">
        <f>'[3]Anexo I - Programas'!$B$173</f>
        <v>6</v>
      </c>
      <c r="D494" s="1629" t="str">
        <f>'[3]Anexo I - Programas'!$C$173</f>
        <v>PROMOÇÃO E DESENVOLVIMENTO DA EDUCAÇÃO</v>
      </c>
      <c r="E494" s="1628" t="s">
        <v>3137</v>
      </c>
      <c r="F494" s="1615" t="str">
        <f>C494</f>
        <v>6</v>
      </c>
      <c r="G494" s="1617" t="str">
        <f>D494</f>
        <v>PROMOÇÃO E DESENVOLVIMENTO DA EDUCAÇÃO</v>
      </c>
      <c r="H494" s="773" t="s">
        <v>3138</v>
      </c>
      <c r="I494" s="757">
        <f>DESPORC!C1959</f>
        <v>12</v>
      </c>
      <c r="J494" s="765" t="str">
        <f>DESPORC!D1959</f>
        <v>Educação</v>
      </c>
    </row>
    <row r="495" spans="2:10" x14ac:dyDescent="0.25">
      <c r="B495" s="1619"/>
      <c r="C495" s="1616"/>
      <c r="D495" s="1630"/>
      <c r="E495" s="1619"/>
      <c r="F495" s="1616"/>
      <c r="G495" s="1618"/>
      <c r="H495" s="774" t="s">
        <v>6940</v>
      </c>
      <c r="I495" s="757">
        <f>DESPORC!C1960</f>
        <v>128</v>
      </c>
      <c r="J495" s="765" t="str">
        <f>DESPORC!D1960</f>
        <v>Formação de Recursos Humanos</v>
      </c>
    </row>
    <row r="496" spans="2:10" x14ac:dyDescent="0.25">
      <c r="B496" s="1619" t="s">
        <v>6941</v>
      </c>
      <c r="C496" s="1616">
        <f>'[3]Anexo I - Programas'!$C$234</f>
        <v>2047</v>
      </c>
      <c r="D496" s="1622" t="str">
        <f>'[3]Anexo I - Programas'!$D$234</f>
        <v>GESTAO E COORDENAÇÃO ESCOLAS MUNICIPAIS</v>
      </c>
      <c r="E496" s="1619" t="s">
        <v>6941</v>
      </c>
      <c r="F496" s="1616">
        <f>C496</f>
        <v>2047</v>
      </c>
      <c r="G496" s="1618" t="str">
        <f>D496</f>
        <v>GESTAO E COORDENAÇÃO ESCOLAS MUNICIPAIS</v>
      </c>
      <c r="H496" s="775" t="s">
        <v>3137</v>
      </c>
      <c r="I496" s="779" t="str">
        <f>F494</f>
        <v>6</v>
      </c>
      <c r="J496" s="762" t="str">
        <f>G494</f>
        <v>PROMOÇÃO E DESENVOLVIMENTO DA EDUCAÇÃO</v>
      </c>
    </row>
    <row r="497" spans="2:10" x14ac:dyDescent="0.25">
      <c r="B497" s="1620"/>
      <c r="C497" s="1621"/>
      <c r="D497" s="1623"/>
      <c r="E497" s="1620"/>
      <c r="F497" s="1621"/>
      <c r="G497" s="1624"/>
      <c r="H497" s="776" t="s">
        <v>6941</v>
      </c>
      <c r="I497" s="780">
        <f>F496</f>
        <v>2047</v>
      </c>
      <c r="J497" s="764" t="str">
        <f>G496</f>
        <v>GESTAO E COORDENAÇÃO ESCOLAS MUNICIPAIS</v>
      </c>
    </row>
    <row r="498" spans="2:10" ht="15.75" thickBot="1" x14ac:dyDescent="0.3">
      <c r="B498" s="769" t="s">
        <v>6939</v>
      </c>
      <c r="C498" s="1625">
        <f>'[3]Anexo I - Programas'!$H$235</f>
        <v>450000</v>
      </c>
      <c r="D498" s="1626"/>
      <c r="E498" s="769" t="s">
        <v>6939</v>
      </c>
      <c r="F498" s="1625">
        <f>'[3]Anexo I - Programas'!$J$235</f>
        <v>112500</v>
      </c>
      <c r="G498" s="1627"/>
      <c r="H498" s="778" t="s">
        <v>6939</v>
      </c>
      <c r="I498" s="1625">
        <f>DESPORC!I1962</f>
        <v>5.0999999999999997E-2</v>
      </c>
      <c r="J498" s="1627"/>
    </row>
    <row r="499" spans="2:10" x14ac:dyDescent="0.25">
      <c r="B499" s="1628" t="s">
        <v>3137</v>
      </c>
      <c r="C499" s="1615" t="str">
        <f>'[3]Anexo I - Programas'!$B$173</f>
        <v>6</v>
      </c>
      <c r="D499" s="1629" t="str">
        <f>'[3]Anexo I - Programas'!$C$173</f>
        <v>PROMOÇÃO E DESENVOLVIMENTO DA EDUCAÇÃO</v>
      </c>
      <c r="E499" s="1628" t="s">
        <v>3137</v>
      </c>
      <c r="F499" s="1615" t="str">
        <f>C499</f>
        <v>6</v>
      </c>
      <c r="G499" s="1617" t="str">
        <f>D499</f>
        <v>PROMOÇÃO E DESENVOLVIMENTO DA EDUCAÇÃO</v>
      </c>
      <c r="H499" s="773" t="s">
        <v>3138</v>
      </c>
      <c r="I499" s="757">
        <f>DESPORC!C1968</f>
        <v>12</v>
      </c>
      <c r="J499" s="765" t="str">
        <f>DESPORC!D1968</f>
        <v>Educação</v>
      </c>
    </row>
    <row r="500" spans="2:10" x14ac:dyDescent="0.25">
      <c r="B500" s="1619"/>
      <c r="C500" s="1616"/>
      <c r="D500" s="1630"/>
      <c r="E500" s="1619"/>
      <c r="F500" s="1616"/>
      <c r="G500" s="1618"/>
      <c r="H500" s="774" t="s">
        <v>6940</v>
      </c>
      <c r="I500" s="757">
        <f>DESPORC!C1969</f>
        <v>126</v>
      </c>
      <c r="J500" s="765" t="str">
        <f>DESPORC!D1969</f>
        <v>Tecnologia da Informação</v>
      </c>
    </row>
    <row r="501" spans="2:10" x14ac:dyDescent="0.25">
      <c r="B501" s="1619" t="s">
        <v>6941</v>
      </c>
      <c r="C501" s="1616">
        <f>'[3]Anexo I - Programas'!$C$198</f>
        <v>2006</v>
      </c>
      <c r="D501" s="1622" t="str">
        <f>'[3]Anexo I - Programas'!$D$198</f>
        <v>Promoção e Desenvolvimento do Ensino fundamental</v>
      </c>
      <c r="E501" s="1619" t="s">
        <v>6941</v>
      </c>
      <c r="F501" s="1616">
        <f>C501</f>
        <v>2006</v>
      </c>
      <c r="G501" s="1618" t="str">
        <f>D501</f>
        <v>Promoção e Desenvolvimento do Ensino fundamental</v>
      </c>
      <c r="H501" s="775" t="s">
        <v>3137</v>
      </c>
      <c r="I501" s="779" t="str">
        <f>F499</f>
        <v>6</v>
      </c>
      <c r="J501" s="762" t="str">
        <f>G499</f>
        <v>PROMOÇÃO E DESENVOLVIMENTO DA EDUCAÇÃO</v>
      </c>
    </row>
    <row r="502" spans="2:10" x14ac:dyDescent="0.25">
      <c r="B502" s="1620"/>
      <c r="C502" s="1621"/>
      <c r="D502" s="1623"/>
      <c r="E502" s="1620"/>
      <c r="F502" s="1621"/>
      <c r="G502" s="1624"/>
      <c r="H502" s="776" t="s">
        <v>6941</v>
      </c>
      <c r="I502" s="780">
        <f>F501</f>
        <v>2006</v>
      </c>
      <c r="J502" s="764" t="str">
        <f>G501</f>
        <v>Promoção e Desenvolvimento do Ensino fundamental</v>
      </c>
    </row>
    <row r="503" spans="2:10" ht="15.75" thickBot="1" x14ac:dyDescent="0.3">
      <c r="B503" s="769" t="s">
        <v>6939</v>
      </c>
      <c r="C503" s="1625">
        <f>'[3]Anexo I - Programas'!$H$199</f>
        <v>9200000</v>
      </c>
      <c r="D503" s="1626"/>
      <c r="E503" s="769" t="s">
        <v>6939</v>
      </c>
      <c r="F503" s="1625">
        <f>'[3]Anexo I - Programas'!$J$199</f>
        <v>2300000</v>
      </c>
      <c r="G503" s="1627"/>
      <c r="H503" s="778" t="s">
        <v>6939</v>
      </c>
      <c r="I503" s="1625">
        <f>DESPORC!I1971</f>
        <v>0.05</v>
      </c>
      <c r="J503" s="1627"/>
    </row>
    <row r="504" spans="2:10" x14ac:dyDescent="0.25">
      <c r="B504" s="804"/>
      <c r="C504" s="805"/>
      <c r="D504" s="806"/>
      <c r="E504" s="804"/>
      <c r="F504" s="805"/>
      <c r="G504" s="806"/>
      <c r="H504" s="804"/>
      <c r="I504" s="805"/>
      <c r="J504" s="806"/>
    </row>
    <row r="505" spans="2:10" x14ac:dyDescent="0.25">
      <c r="B505" s="267"/>
      <c r="C505" s="807"/>
      <c r="D505" s="257"/>
      <c r="E505" s="267"/>
      <c r="F505" s="807"/>
      <c r="G505" s="257"/>
      <c r="H505" s="267"/>
      <c r="I505" s="807"/>
      <c r="J505" s="257"/>
    </row>
    <row r="506" spans="2:10" x14ac:dyDescent="0.25">
      <c r="B506" s="267"/>
      <c r="C506" s="807"/>
      <c r="D506" s="257"/>
      <c r="E506" s="267"/>
      <c r="F506" s="807"/>
      <c r="G506" s="257"/>
      <c r="H506" s="267"/>
      <c r="I506" s="807"/>
      <c r="J506" s="257"/>
    </row>
    <row r="507" spans="2:10" x14ac:dyDescent="0.25">
      <c r="B507" s="267"/>
      <c r="C507" s="807"/>
      <c r="D507" s="257"/>
      <c r="E507" s="267"/>
      <c r="F507" s="807"/>
      <c r="G507" s="257"/>
      <c r="H507" s="267"/>
      <c r="I507" s="807"/>
      <c r="J507" s="257"/>
    </row>
    <row r="508" spans="2:10" ht="15.75" thickBot="1" x14ac:dyDescent="0.3">
      <c r="B508" s="808"/>
      <c r="C508" s="809"/>
      <c r="D508" s="810"/>
      <c r="E508" s="808"/>
      <c r="F508" s="809"/>
      <c r="G508" s="810"/>
      <c r="H508" s="808"/>
      <c r="I508" s="809"/>
      <c r="J508" s="810"/>
    </row>
    <row r="509" spans="2:10" x14ac:dyDescent="0.25">
      <c r="B509" s="1628" t="s">
        <v>3137</v>
      </c>
      <c r="C509" s="1615" t="str">
        <f>'[3]Anexo I - Programas'!$B$173</f>
        <v>6</v>
      </c>
      <c r="D509" s="1629" t="str">
        <f>'[3]Anexo I - Programas'!$C$173</f>
        <v>PROMOÇÃO E DESENVOLVIMENTO DA EDUCAÇÃO</v>
      </c>
      <c r="E509" s="1628" t="s">
        <v>3137</v>
      </c>
      <c r="F509" s="1615" t="str">
        <f>C509</f>
        <v>6</v>
      </c>
      <c r="G509" s="1617" t="str">
        <f>D509</f>
        <v>PROMOÇÃO E DESENVOLVIMENTO DA EDUCAÇÃO</v>
      </c>
      <c r="H509" s="773" t="s">
        <v>3138</v>
      </c>
      <c r="I509" s="757">
        <f>DESPORC!C1973</f>
        <v>12</v>
      </c>
      <c r="J509" s="765" t="str">
        <f>DESPORC!D1973</f>
        <v>Educação</v>
      </c>
    </row>
    <row r="510" spans="2:10" x14ac:dyDescent="0.25">
      <c r="B510" s="1619"/>
      <c r="C510" s="1616"/>
      <c r="D510" s="1630"/>
      <c r="E510" s="1619"/>
      <c r="F510" s="1616"/>
      <c r="G510" s="1618"/>
      <c r="H510" s="774" t="s">
        <v>6940</v>
      </c>
      <c r="I510" s="757">
        <f>DESPORC!C1974</f>
        <v>128</v>
      </c>
      <c r="J510" s="765" t="str">
        <f>DESPORC!D1974</f>
        <v>Formação de Recursos Humanos</v>
      </c>
    </row>
    <row r="511" spans="2:10" x14ac:dyDescent="0.25">
      <c r="B511" s="1619" t="s">
        <v>6941</v>
      </c>
      <c r="C511" s="1616">
        <f>'[3]Anexo I - Programas'!$C$198</f>
        <v>2006</v>
      </c>
      <c r="D511" s="1622" t="str">
        <f>'[3]Anexo I - Programas'!$D$198</f>
        <v>Promoção e Desenvolvimento do Ensino fundamental</v>
      </c>
      <c r="E511" s="1619" t="s">
        <v>6941</v>
      </c>
      <c r="F511" s="1616">
        <f>C511</f>
        <v>2006</v>
      </c>
      <c r="G511" s="1618" t="str">
        <f>D511</f>
        <v>Promoção e Desenvolvimento do Ensino fundamental</v>
      </c>
      <c r="H511" s="775" t="s">
        <v>3137</v>
      </c>
      <c r="I511" s="779" t="str">
        <f>F509</f>
        <v>6</v>
      </c>
      <c r="J511" s="762" t="str">
        <f>G509</f>
        <v>PROMOÇÃO E DESENVOLVIMENTO DA EDUCAÇÃO</v>
      </c>
    </row>
    <row r="512" spans="2:10" x14ac:dyDescent="0.25">
      <c r="B512" s="1620"/>
      <c r="C512" s="1621"/>
      <c r="D512" s="1623"/>
      <c r="E512" s="1620"/>
      <c r="F512" s="1621"/>
      <c r="G512" s="1624"/>
      <c r="H512" s="776" t="s">
        <v>6941</v>
      </c>
      <c r="I512" s="780">
        <f>F511</f>
        <v>2006</v>
      </c>
      <c r="J512" s="764" t="str">
        <f>G511</f>
        <v>Promoção e Desenvolvimento do Ensino fundamental</v>
      </c>
    </row>
    <row r="513" spans="2:10" ht="15.75" thickBot="1" x14ac:dyDescent="0.3">
      <c r="B513" s="769" t="s">
        <v>6939</v>
      </c>
      <c r="C513" s="1625">
        <f>'[3]Anexo I - Programas'!$H$199</f>
        <v>9200000</v>
      </c>
      <c r="D513" s="1626"/>
      <c r="E513" s="769" t="s">
        <v>6939</v>
      </c>
      <c r="F513" s="1625">
        <f>'[3]Anexo I - Programas'!$J$199</f>
        <v>2300000</v>
      </c>
      <c r="G513" s="1627"/>
      <c r="H513" s="778" t="s">
        <v>6939</v>
      </c>
      <c r="I513" s="1625">
        <f>DESPORC!I1976</f>
        <v>0.05</v>
      </c>
      <c r="J513" s="1627"/>
    </row>
    <row r="514" spans="2:10" x14ac:dyDescent="0.25">
      <c r="B514" s="1628" t="s">
        <v>3137</v>
      </c>
      <c r="C514" s="1615" t="str">
        <f>'[3]Anexo I - Programas'!$B$173</f>
        <v>6</v>
      </c>
      <c r="D514" s="1629" t="str">
        <f>'[3]Anexo I - Programas'!$C$173</f>
        <v>PROMOÇÃO E DESENVOLVIMENTO DA EDUCAÇÃO</v>
      </c>
      <c r="E514" s="1628" t="s">
        <v>3137</v>
      </c>
      <c r="F514" s="1615" t="str">
        <f>C514</f>
        <v>6</v>
      </c>
      <c r="G514" s="1617" t="str">
        <f>D514</f>
        <v>PROMOÇÃO E DESENVOLVIMENTO DA EDUCAÇÃO</v>
      </c>
      <c r="H514" s="773" t="s">
        <v>3138</v>
      </c>
      <c r="I514" s="757">
        <f>DESPORC!C1982</f>
        <v>12</v>
      </c>
      <c r="J514" s="765" t="str">
        <f>DESPORC!D1982</f>
        <v>Educação</v>
      </c>
    </row>
    <row r="515" spans="2:10" x14ac:dyDescent="0.25">
      <c r="B515" s="1619"/>
      <c r="C515" s="1616"/>
      <c r="D515" s="1630"/>
      <c r="E515" s="1619"/>
      <c r="F515" s="1616"/>
      <c r="G515" s="1618"/>
      <c r="H515" s="774" t="s">
        <v>6940</v>
      </c>
      <c r="I515" s="757">
        <f>DESPORC!C1983</f>
        <v>361</v>
      </c>
      <c r="J515" s="765" t="str">
        <f>DESPORC!D1983</f>
        <v>Ensino Fundamental</v>
      </c>
    </row>
    <row r="516" spans="2:10" x14ac:dyDescent="0.25">
      <c r="B516" s="1619" t="s">
        <v>6941</v>
      </c>
      <c r="C516" s="1616">
        <f>'[3]Anexo I - Programas'!$C$198</f>
        <v>2006</v>
      </c>
      <c r="D516" s="1622" t="str">
        <f>'[3]Anexo I - Programas'!$D$198</f>
        <v>Promoção e Desenvolvimento do Ensino fundamental</v>
      </c>
      <c r="E516" s="1619" t="s">
        <v>6941</v>
      </c>
      <c r="F516" s="1616">
        <f>C516</f>
        <v>2006</v>
      </c>
      <c r="G516" s="1618" t="str">
        <f>D516</f>
        <v>Promoção e Desenvolvimento do Ensino fundamental</v>
      </c>
      <c r="H516" s="775" t="s">
        <v>3137</v>
      </c>
      <c r="I516" s="779" t="str">
        <f>F514</f>
        <v>6</v>
      </c>
      <c r="J516" s="762" t="str">
        <f>G514</f>
        <v>PROMOÇÃO E DESENVOLVIMENTO DA EDUCAÇÃO</v>
      </c>
    </row>
    <row r="517" spans="2:10" x14ac:dyDescent="0.25">
      <c r="B517" s="1620"/>
      <c r="C517" s="1621"/>
      <c r="D517" s="1623"/>
      <c r="E517" s="1620"/>
      <c r="F517" s="1621"/>
      <c r="G517" s="1624"/>
      <c r="H517" s="776" t="s">
        <v>6941</v>
      </c>
      <c r="I517" s="780">
        <f>F516</f>
        <v>2006</v>
      </c>
      <c r="J517" s="764" t="str">
        <f>G516</f>
        <v>Promoção e Desenvolvimento do Ensino fundamental</v>
      </c>
    </row>
    <row r="518" spans="2:10" ht="15.75" thickBot="1" x14ac:dyDescent="0.3">
      <c r="B518" s="769" t="s">
        <v>6939</v>
      </c>
      <c r="C518" s="1625">
        <f>'[3]Anexo I - Programas'!$H$199</f>
        <v>9200000</v>
      </c>
      <c r="D518" s="1626"/>
      <c r="E518" s="769" t="s">
        <v>6939</v>
      </c>
      <c r="F518" s="1625">
        <f>'[3]Anexo I - Programas'!$J$199</f>
        <v>2300000</v>
      </c>
      <c r="G518" s="1627"/>
      <c r="H518" s="778" t="s">
        <v>6939</v>
      </c>
      <c r="I518" s="1625">
        <f>DESPORC!I1985</f>
        <v>0.23000000000000004</v>
      </c>
      <c r="J518" s="1627"/>
    </row>
    <row r="519" spans="2:10" x14ac:dyDescent="0.25">
      <c r="B519" s="1628" t="s">
        <v>3137</v>
      </c>
      <c r="C519" s="1615" t="str">
        <f>'[3]Anexo I - Programas'!$B$173</f>
        <v>6</v>
      </c>
      <c r="D519" s="1629" t="str">
        <f>'[3]Anexo I - Programas'!$C$173</f>
        <v>PROMOÇÃO E DESENVOLVIMENTO DA EDUCAÇÃO</v>
      </c>
      <c r="E519" s="1628" t="s">
        <v>3137</v>
      </c>
      <c r="F519" s="1615" t="str">
        <f>C519</f>
        <v>6</v>
      </c>
      <c r="G519" s="1617" t="str">
        <f>D519</f>
        <v>PROMOÇÃO E DESENVOLVIMENTO DA EDUCAÇÃO</v>
      </c>
      <c r="H519" s="773" t="s">
        <v>3138</v>
      </c>
      <c r="I519" s="757">
        <f>DESPORC!C2009</f>
        <v>12</v>
      </c>
      <c r="J519" s="765" t="str">
        <f>DESPORC!D2009</f>
        <v>Educação</v>
      </c>
    </row>
    <row r="520" spans="2:10" x14ac:dyDescent="0.25">
      <c r="B520" s="1619"/>
      <c r="C520" s="1616"/>
      <c r="D520" s="1630"/>
      <c r="E520" s="1619"/>
      <c r="F520" s="1616"/>
      <c r="G520" s="1618"/>
      <c r="H520" s="774" t="s">
        <v>6940</v>
      </c>
      <c r="I520" s="757">
        <f>DESPORC!C2010</f>
        <v>126</v>
      </c>
      <c r="J520" s="765" t="str">
        <f>DESPORC!D2010</f>
        <v>Tecnologia da Informação</v>
      </c>
    </row>
    <row r="521" spans="2:10" x14ac:dyDescent="0.25">
      <c r="B521" s="1619" t="s">
        <v>6941</v>
      </c>
      <c r="C521" s="1616">
        <f>'[3]Anexo I - Programas'!$C$204</f>
        <v>2036</v>
      </c>
      <c r="D521" s="1622" t="str">
        <f>'[3]Anexo I - Programas'!$D$204</f>
        <v>Promoção e Desenvolvimento da Educação Infantil</v>
      </c>
      <c r="E521" s="1619" t="s">
        <v>6941</v>
      </c>
      <c r="F521" s="1616">
        <f>C521</f>
        <v>2036</v>
      </c>
      <c r="G521" s="1618" t="str">
        <f>D521</f>
        <v>Promoção e Desenvolvimento da Educação Infantil</v>
      </c>
      <c r="H521" s="775" t="s">
        <v>3137</v>
      </c>
      <c r="I521" s="779" t="str">
        <f>F519</f>
        <v>6</v>
      </c>
      <c r="J521" s="762" t="str">
        <f>G519</f>
        <v>PROMOÇÃO E DESENVOLVIMENTO DA EDUCAÇÃO</v>
      </c>
    </row>
    <row r="522" spans="2:10" x14ac:dyDescent="0.25">
      <c r="B522" s="1620"/>
      <c r="C522" s="1621"/>
      <c r="D522" s="1623"/>
      <c r="E522" s="1620"/>
      <c r="F522" s="1621"/>
      <c r="G522" s="1624"/>
      <c r="H522" s="776" t="s">
        <v>6941</v>
      </c>
      <c r="I522" s="780">
        <f>F521</f>
        <v>2036</v>
      </c>
      <c r="J522" s="764" t="str">
        <f>G521</f>
        <v>Promoção e Desenvolvimento da Educação Infantil</v>
      </c>
    </row>
    <row r="523" spans="2:10" ht="15.75" thickBot="1" x14ac:dyDescent="0.3">
      <c r="B523" s="769" t="s">
        <v>6939</v>
      </c>
      <c r="C523" s="1625">
        <f>'[3]Anexo I - Programas'!$H$205</f>
        <v>1000000</v>
      </c>
      <c r="D523" s="1626"/>
      <c r="E523" s="769" t="s">
        <v>6939</v>
      </c>
      <c r="F523" s="1625">
        <f>'[3]Anexo I - Programas'!$J$205</f>
        <v>250000</v>
      </c>
      <c r="G523" s="1627"/>
      <c r="H523" s="778" t="s">
        <v>6939</v>
      </c>
      <c r="I523" s="1625">
        <f>DESPORC!I2012</f>
        <v>0.05</v>
      </c>
      <c r="J523" s="1627"/>
    </row>
    <row r="524" spans="2:10" x14ac:dyDescent="0.25">
      <c r="B524" s="1628" t="s">
        <v>3137</v>
      </c>
      <c r="C524" s="1615" t="str">
        <f>'[3]Anexo I - Programas'!$B$173</f>
        <v>6</v>
      </c>
      <c r="D524" s="1629" t="str">
        <f>'[3]Anexo I - Programas'!$C$173</f>
        <v>PROMOÇÃO E DESENVOLVIMENTO DA EDUCAÇÃO</v>
      </c>
      <c r="E524" s="1628" t="s">
        <v>3137</v>
      </c>
      <c r="F524" s="1615" t="str">
        <f>C524</f>
        <v>6</v>
      </c>
      <c r="G524" s="1617" t="str">
        <f>D524</f>
        <v>PROMOÇÃO E DESENVOLVIMENTO DA EDUCAÇÃO</v>
      </c>
      <c r="H524" s="773" t="s">
        <v>3138</v>
      </c>
      <c r="I524" s="757">
        <f>DESPORC!C2014</f>
        <v>12</v>
      </c>
      <c r="J524" s="765" t="str">
        <f>DESPORC!D2014</f>
        <v>Educação</v>
      </c>
    </row>
    <row r="525" spans="2:10" x14ac:dyDescent="0.25">
      <c r="B525" s="1619"/>
      <c r="C525" s="1616"/>
      <c r="D525" s="1630"/>
      <c r="E525" s="1619"/>
      <c r="F525" s="1616"/>
      <c r="G525" s="1618"/>
      <c r="H525" s="774" t="s">
        <v>6940</v>
      </c>
      <c r="I525" s="757">
        <f>DESPORC!C2015</f>
        <v>128</v>
      </c>
      <c r="J525" s="765" t="str">
        <f>DESPORC!D2015</f>
        <v>Formação de Recursos Humanos</v>
      </c>
    </row>
    <row r="526" spans="2:10" x14ac:dyDescent="0.25">
      <c r="B526" s="1619" t="s">
        <v>6941</v>
      </c>
      <c r="C526" s="1616">
        <f>'[3]Anexo I - Programas'!$C$204</f>
        <v>2036</v>
      </c>
      <c r="D526" s="1622" t="str">
        <f>'[3]Anexo I - Programas'!$D$204</f>
        <v>Promoção e Desenvolvimento da Educação Infantil</v>
      </c>
      <c r="E526" s="1619" t="s">
        <v>6941</v>
      </c>
      <c r="F526" s="1616">
        <f>C526</f>
        <v>2036</v>
      </c>
      <c r="G526" s="1618" t="str">
        <f>D526</f>
        <v>Promoção e Desenvolvimento da Educação Infantil</v>
      </c>
      <c r="H526" s="775" t="s">
        <v>3137</v>
      </c>
      <c r="I526" s="779" t="str">
        <f>F524</f>
        <v>6</v>
      </c>
      <c r="J526" s="762" t="str">
        <f>G524</f>
        <v>PROMOÇÃO E DESENVOLVIMENTO DA EDUCAÇÃO</v>
      </c>
    </row>
    <row r="527" spans="2:10" x14ac:dyDescent="0.25">
      <c r="B527" s="1620"/>
      <c r="C527" s="1621"/>
      <c r="D527" s="1623"/>
      <c r="E527" s="1620"/>
      <c r="F527" s="1621"/>
      <c r="G527" s="1624"/>
      <c r="H527" s="776" t="s">
        <v>6941</v>
      </c>
      <c r="I527" s="780">
        <f>F526</f>
        <v>2036</v>
      </c>
      <c r="J527" s="764" t="str">
        <f>G526</f>
        <v>Promoção e Desenvolvimento da Educação Infantil</v>
      </c>
    </row>
    <row r="528" spans="2:10" ht="15.75" thickBot="1" x14ac:dyDescent="0.3">
      <c r="B528" s="769" t="s">
        <v>6939</v>
      </c>
      <c r="C528" s="1625">
        <f>'[3]Anexo I - Programas'!$H$205</f>
        <v>1000000</v>
      </c>
      <c r="D528" s="1626"/>
      <c r="E528" s="769" t="s">
        <v>6939</v>
      </c>
      <c r="F528" s="1625">
        <f>'[3]Anexo I - Programas'!$J$205</f>
        <v>250000</v>
      </c>
      <c r="G528" s="1627"/>
      <c r="H528" s="778" t="s">
        <v>6939</v>
      </c>
      <c r="I528" s="1625">
        <f>DESPORC!I2017</f>
        <v>0.05</v>
      </c>
      <c r="J528" s="1627"/>
    </row>
    <row r="529" spans="2:10" x14ac:dyDescent="0.25">
      <c r="B529" s="1628" t="s">
        <v>3137</v>
      </c>
      <c r="C529" s="1615" t="str">
        <f>'[3]Anexo I - Programas'!$B$173</f>
        <v>6</v>
      </c>
      <c r="D529" s="1629" t="str">
        <f>'[3]Anexo I - Programas'!$C$173</f>
        <v>PROMOÇÃO E DESENVOLVIMENTO DA EDUCAÇÃO</v>
      </c>
      <c r="E529" s="1628" t="s">
        <v>3137</v>
      </c>
      <c r="F529" s="1615" t="str">
        <f>C529</f>
        <v>6</v>
      </c>
      <c r="G529" s="1617" t="str">
        <f>D529</f>
        <v>PROMOÇÃO E DESENVOLVIMENTO DA EDUCAÇÃO</v>
      </c>
      <c r="H529" s="773" t="s">
        <v>3138</v>
      </c>
      <c r="I529" s="757">
        <f>DESPORC!C2023</f>
        <v>12</v>
      </c>
      <c r="J529" s="765" t="str">
        <f>DESPORC!D2023</f>
        <v>Educação</v>
      </c>
    </row>
    <row r="530" spans="2:10" x14ac:dyDescent="0.25">
      <c r="B530" s="1619"/>
      <c r="C530" s="1616"/>
      <c r="D530" s="1630"/>
      <c r="E530" s="1619"/>
      <c r="F530" s="1616"/>
      <c r="G530" s="1618"/>
      <c r="H530" s="774" t="s">
        <v>6940</v>
      </c>
      <c r="I530" s="757">
        <f>DESPORC!C2024</f>
        <v>365</v>
      </c>
      <c r="J530" s="765" t="str">
        <f>DESPORC!D2024</f>
        <v>Educação Infantil</v>
      </c>
    </row>
    <row r="531" spans="2:10" x14ac:dyDescent="0.25">
      <c r="B531" s="1619" t="s">
        <v>6941</v>
      </c>
      <c r="C531" s="1616">
        <f>'[3]Anexo I - Programas'!$C$204</f>
        <v>2036</v>
      </c>
      <c r="D531" s="1622" t="str">
        <f>'[3]Anexo I - Programas'!$D$204</f>
        <v>Promoção e Desenvolvimento da Educação Infantil</v>
      </c>
      <c r="E531" s="1619" t="s">
        <v>6941</v>
      </c>
      <c r="F531" s="1616">
        <f>C531</f>
        <v>2036</v>
      </c>
      <c r="G531" s="1618" t="str">
        <f>D531</f>
        <v>Promoção e Desenvolvimento da Educação Infantil</v>
      </c>
      <c r="H531" s="775" t="s">
        <v>3137</v>
      </c>
      <c r="I531" s="779" t="str">
        <f>F529</f>
        <v>6</v>
      </c>
      <c r="J531" s="762" t="str">
        <f>G529</f>
        <v>PROMOÇÃO E DESENVOLVIMENTO DA EDUCAÇÃO</v>
      </c>
    </row>
    <row r="532" spans="2:10" x14ac:dyDescent="0.25">
      <c r="B532" s="1620"/>
      <c r="C532" s="1621"/>
      <c r="D532" s="1623"/>
      <c r="E532" s="1620"/>
      <c r="F532" s="1621"/>
      <c r="G532" s="1624"/>
      <c r="H532" s="776" t="s">
        <v>6941</v>
      </c>
      <c r="I532" s="780">
        <f>F531</f>
        <v>2036</v>
      </c>
      <c r="J532" s="764" t="str">
        <f>G531</f>
        <v>Promoção e Desenvolvimento da Educação Infantil</v>
      </c>
    </row>
    <row r="533" spans="2:10" ht="15.75" thickBot="1" x14ac:dyDescent="0.3">
      <c r="B533" s="769" t="s">
        <v>6939</v>
      </c>
      <c r="C533" s="1625">
        <f>'[3]Anexo I - Programas'!$H$205</f>
        <v>1000000</v>
      </c>
      <c r="D533" s="1626"/>
      <c r="E533" s="769" t="s">
        <v>6939</v>
      </c>
      <c r="F533" s="1625">
        <f>'[3]Anexo I - Programas'!$J$205</f>
        <v>250000</v>
      </c>
      <c r="G533" s="1627"/>
      <c r="H533" s="778" t="s">
        <v>6939</v>
      </c>
      <c r="I533" s="1625">
        <f>DESPORC!I2026</f>
        <v>0.22000000000000006</v>
      </c>
      <c r="J533" s="1627"/>
    </row>
    <row r="534" spans="2:10" x14ac:dyDescent="0.25">
      <c r="B534" s="1628" t="s">
        <v>3137</v>
      </c>
      <c r="C534" s="1615" t="str">
        <f>'[3]Anexo I - Programas'!$B$173</f>
        <v>6</v>
      </c>
      <c r="D534" s="1629" t="str">
        <f>'[3]Anexo I - Programas'!$C$173</f>
        <v>PROMOÇÃO E DESENVOLVIMENTO DA EDUCAÇÃO</v>
      </c>
      <c r="E534" s="1628" t="s">
        <v>3137</v>
      </c>
      <c r="F534" s="1615" t="str">
        <f>C534</f>
        <v>6</v>
      </c>
      <c r="G534" s="1617" t="str">
        <f>D534</f>
        <v>PROMOÇÃO E DESENVOLVIMENTO DA EDUCAÇÃO</v>
      </c>
      <c r="H534" s="773" t="s">
        <v>3138</v>
      </c>
      <c r="I534" s="757">
        <f>DESPORC!C2050</f>
        <v>12</v>
      </c>
      <c r="J534" s="765" t="str">
        <f>DESPORC!D2050</f>
        <v>Educação</v>
      </c>
    </row>
    <row r="535" spans="2:10" x14ac:dyDescent="0.25">
      <c r="B535" s="1619"/>
      <c r="C535" s="1616"/>
      <c r="D535" s="1630"/>
      <c r="E535" s="1619"/>
      <c r="F535" s="1616"/>
      <c r="G535" s="1618"/>
      <c r="H535" s="774" t="s">
        <v>6940</v>
      </c>
      <c r="I535" s="757">
        <f>DESPORC!C2051</f>
        <v>122</v>
      </c>
      <c r="J535" s="765" t="str">
        <f>DESPORC!D2051</f>
        <v>Administração Geral</v>
      </c>
    </row>
    <row r="536" spans="2:10" x14ac:dyDescent="0.25">
      <c r="B536" s="1619" t="s">
        <v>6941</v>
      </c>
      <c r="C536" s="1616">
        <f>'[3]Anexo I - Programas'!$C$245</f>
        <v>2054</v>
      </c>
      <c r="D536" s="1622" t="str">
        <f>'[3]Anexo I - Programas'!$D$245</f>
        <v>GESTAO E  APOIO AO COSELHO MUNICIPAL DE EDUCACAO</v>
      </c>
      <c r="E536" s="1619" t="s">
        <v>6941</v>
      </c>
      <c r="F536" s="1616">
        <f>C536</f>
        <v>2054</v>
      </c>
      <c r="G536" s="1618" t="str">
        <f>D536</f>
        <v>GESTAO E  APOIO AO COSELHO MUNICIPAL DE EDUCACAO</v>
      </c>
      <c r="H536" s="775" t="s">
        <v>3137</v>
      </c>
      <c r="I536" s="779" t="str">
        <f>F534</f>
        <v>6</v>
      </c>
      <c r="J536" s="762" t="str">
        <f>G534</f>
        <v>PROMOÇÃO E DESENVOLVIMENTO DA EDUCAÇÃO</v>
      </c>
    </row>
    <row r="537" spans="2:10" x14ac:dyDescent="0.25">
      <c r="B537" s="1620"/>
      <c r="C537" s="1621"/>
      <c r="D537" s="1623"/>
      <c r="E537" s="1620"/>
      <c r="F537" s="1621"/>
      <c r="G537" s="1624"/>
      <c r="H537" s="776" t="s">
        <v>6941</v>
      </c>
      <c r="I537" s="780">
        <f>F536</f>
        <v>2054</v>
      </c>
      <c r="J537" s="764" t="str">
        <f>G536</f>
        <v>GESTAO E  APOIO AO COSELHO MUNICIPAL DE EDUCACAO</v>
      </c>
    </row>
    <row r="538" spans="2:10" ht="15.75" thickBot="1" x14ac:dyDescent="0.3">
      <c r="B538" s="769" t="s">
        <v>6939</v>
      </c>
      <c r="C538" s="1625">
        <f>'[3]Anexo I - Programas'!$H$246</f>
        <v>150000</v>
      </c>
      <c r="D538" s="1626"/>
      <c r="E538" s="769" t="s">
        <v>6939</v>
      </c>
      <c r="F538" s="1625">
        <f>'[3]Anexo I - Programas'!$J$246</f>
        <v>37500</v>
      </c>
      <c r="G538" s="1627"/>
      <c r="H538" s="778" t="s">
        <v>6939</v>
      </c>
      <c r="I538" s="1625">
        <f>DESPORC!I2053</f>
        <v>0.08</v>
      </c>
      <c r="J538" s="1627"/>
    </row>
    <row r="541" spans="2:10" x14ac:dyDescent="0.25">
      <c r="B541" s="787"/>
      <c r="C541" s="788"/>
      <c r="E541" s="787"/>
      <c r="H541" s="787"/>
    </row>
    <row r="542" spans="2:10" x14ac:dyDescent="0.25">
      <c r="B542" s="787"/>
      <c r="C542" s="788"/>
      <c r="E542" s="787"/>
      <c r="H542" s="787"/>
    </row>
    <row r="543" spans="2:10" x14ac:dyDescent="0.25">
      <c r="B543" s="787"/>
      <c r="C543" s="788"/>
      <c r="E543" s="787"/>
      <c r="H543" s="787"/>
    </row>
    <row r="544" spans="2:10" x14ac:dyDescent="0.25">
      <c r="B544" s="787"/>
      <c r="C544" s="788"/>
      <c r="E544" s="787"/>
      <c r="H544" s="787"/>
    </row>
    <row r="545" spans="2:10" x14ac:dyDescent="0.25">
      <c r="B545" s="787"/>
      <c r="C545" s="788"/>
      <c r="E545" s="787"/>
      <c r="H545" s="787"/>
    </row>
    <row r="546" spans="2:10" x14ac:dyDescent="0.25">
      <c r="B546" s="787"/>
      <c r="C546" s="788"/>
      <c r="E546" s="787"/>
      <c r="H546" s="787"/>
    </row>
    <row r="547" spans="2:10" x14ac:dyDescent="0.25">
      <c r="B547" s="787"/>
      <c r="C547" s="788"/>
      <c r="E547" s="787"/>
      <c r="H547" s="787"/>
    </row>
    <row r="548" spans="2:10" x14ac:dyDescent="0.25">
      <c r="B548" s="787"/>
      <c r="C548" s="788"/>
      <c r="E548" s="787"/>
      <c r="H548" s="787"/>
    </row>
    <row r="549" spans="2:10" x14ac:dyDescent="0.25">
      <c r="B549" s="787"/>
      <c r="C549" s="788"/>
      <c r="E549" s="787"/>
      <c r="H549" s="787"/>
    </row>
    <row r="550" spans="2:10" x14ac:dyDescent="0.25">
      <c r="B550" s="787"/>
      <c r="C550" s="788"/>
      <c r="E550" s="787"/>
      <c r="H550" s="787"/>
    </row>
    <row r="551" spans="2:10" x14ac:dyDescent="0.25">
      <c r="B551" s="787"/>
      <c r="C551" s="788"/>
      <c r="E551" s="787"/>
      <c r="H551" s="787"/>
    </row>
    <row r="552" spans="2:10" x14ac:dyDescent="0.25">
      <c r="B552" s="787"/>
      <c r="C552" s="788"/>
      <c r="E552" s="787"/>
      <c r="H552" s="787"/>
    </row>
    <row r="553" spans="2:10" x14ac:dyDescent="0.25">
      <c r="B553" s="787"/>
      <c r="C553" s="788"/>
      <c r="E553" s="787"/>
      <c r="H553" s="787"/>
    </row>
    <row r="554" spans="2:10" x14ac:dyDescent="0.25">
      <c r="B554" s="787"/>
      <c r="C554" s="788"/>
      <c r="E554" s="787"/>
      <c r="H554" s="787"/>
    </row>
    <row r="555" spans="2:10" x14ac:dyDescent="0.25">
      <c r="B555" s="1631" t="s">
        <v>6927</v>
      </c>
      <c r="C555" s="1631"/>
      <c r="D555" s="755" t="str">
        <f>DESPORC!C2068</f>
        <v>03 - SECRETARIA MUNICIPAL DE EDUCAÇÃO, CULT. E DESPORTO</v>
      </c>
      <c r="E555" s="781"/>
      <c r="F555" s="782"/>
      <c r="G555" s="782"/>
      <c r="H555" s="781"/>
      <c r="I555" s="782"/>
      <c r="J555" s="782"/>
    </row>
    <row r="556" spans="2:10" ht="15.75" thickBot="1" x14ac:dyDescent="0.3">
      <c r="B556" s="1632" t="s">
        <v>3087</v>
      </c>
      <c r="C556" s="1632"/>
      <c r="D556" s="755" t="str">
        <f>DESPORC!C2069</f>
        <v>02 - DESENVOLVIMENTO DO ENSINO - FUNDEB</v>
      </c>
      <c r="E556" s="781"/>
      <c r="F556" s="36"/>
      <c r="G556" s="1"/>
      <c r="H556" s="772"/>
      <c r="I556" s="1"/>
      <c r="J556" s="1"/>
    </row>
    <row r="557" spans="2:10" ht="15.75" thickBot="1" x14ac:dyDescent="0.3">
      <c r="B557" s="1633" t="str">
        <f>B$10</f>
        <v>PPA LEI MUNICIPAL N.º 1091  DE 16 DE JUNHO DE 2017.</v>
      </c>
      <c r="C557" s="1634"/>
      <c r="D557" s="1635"/>
      <c r="E557" s="1633" t="str">
        <f>E$10</f>
        <v>LDO LEI MUNICIPAL N.º 1166  DE 10 DE OUTUBRO DE 2019.</v>
      </c>
      <c r="F557" s="1634"/>
      <c r="G557" s="1635"/>
      <c r="H557" s="1633" t="str">
        <f>H$10</f>
        <v>LOA 2020</v>
      </c>
      <c r="I557" s="1634"/>
      <c r="J557" s="1635"/>
    </row>
    <row r="558" spans="2:10" x14ac:dyDescent="0.25">
      <c r="B558" s="1628" t="s">
        <v>3137</v>
      </c>
      <c r="C558" s="1615" t="str">
        <f>'[3]Anexo I - Programas'!$B$173</f>
        <v>6</v>
      </c>
      <c r="D558" s="1629" t="str">
        <f>'[3]Anexo I - Programas'!$C$173</f>
        <v>PROMOÇÃO E DESENVOLVIMENTO DA EDUCAÇÃO</v>
      </c>
      <c r="E558" s="1628" t="s">
        <v>3137</v>
      </c>
      <c r="F558" s="1615" t="str">
        <f>C558</f>
        <v>6</v>
      </c>
      <c r="G558" s="1617" t="str">
        <f>D558</f>
        <v>PROMOÇÃO E DESENVOLVIMENTO DA EDUCAÇÃO</v>
      </c>
      <c r="H558" s="773" t="s">
        <v>3138</v>
      </c>
      <c r="I558" s="757">
        <f>DESPORC!C2072</f>
        <v>12</v>
      </c>
      <c r="J558" s="765" t="str">
        <f>DESPORC!D2072</f>
        <v>Educação</v>
      </c>
    </row>
    <row r="559" spans="2:10" x14ac:dyDescent="0.25">
      <c r="B559" s="1619"/>
      <c r="C559" s="1616"/>
      <c r="D559" s="1630"/>
      <c r="E559" s="1619"/>
      <c r="F559" s="1616"/>
      <c r="G559" s="1618"/>
      <c r="H559" s="774" t="s">
        <v>6940</v>
      </c>
      <c r="I559" s="757">
        <f>DESPORC!C2073</f>
        <v>122</v>
      </c>
      <c r="J559" s="765" t="str">
        <f>DESPORC!D2073</f>
        <v>Administração Geral</v>
      </c>
    </row>
    <row r="560" spans="2:10" x14ac:dyDescent="0.25">
      <c r="B560" s="1619" t="s">
        <v>6941</v>
      </c>
      <c r="C560" s="1616">
        <f>'[3]Anexo I - Programas'!$C$182</f>
        <v>1005</v>
      </c>
      <c r="D560" s="1622" t="str">
        <f>'[3]Anexo I - Programas'!$D$182</f>
        <v>Novos Investimentos em Educação</v>
      </c>
      <c r="E560" s="1619" t="s">
        <v>6941</v>
      </c>
      <c r="F560" s="1616">
        <f>C560</f>
        <v>1005</v>
      </c>
      <c r="G560" s="1618" t="str">
        <f>D560</f>
        <v>Novos Investimentos em Educação</v>
      </c>
      <c r="H560" s="775" t="s">
        <v>3137</v>
      </c>
      <c r="I560" s="779" t="str">
        <f>F558</f>
        <v>6</v>
      </c>
      <c r="J560" s="762" t="str">
        <f>G558</f>
        <v>PROMOÇÃO E DESENVOLVIMENTO DA EDUCAÇÃO</v>
      </c>
    </row>
    <row r="561" spans="2:10" x14ac:dyDescent="0.25">
      <c r="B561" s="1620"/>
      <c r="C561" s="1621"/>
      <c r="D561" s="1623"/>
      <c r="E561" s="1620"/>
      <c r="F561" s="1621"/>
      <c r="G561" s="1624"/>
      <c r="H561" s="776" t="s">
        <v>6941</v>
      </c>
      <c r="I561" s="780">
        <f>F560</f>
        <v>1005</v>
      </c>
      <c r="J561" s="764" t="str">
        <f>G560</f>
        <v>Novos Investimentos em Educação</v>
      </c>
    </row>
    <row r="562" spans="2:10" ht="15.75" thickBot="1" x14ac:dyDescent="0.3">
      <c r="B562" s="769" t="s">
        <v>6939</v>
      </c>
      <c r="C562" s="1625">
        <f>'[3]Anexo I - Programas'!$H$183</f>
        <v>200000</v>
      </c>
      <c r="D562" s="1626"/>
      <c r="E562" s="769" t="s">
        <v>6939</v>
      </c>
      <c r="F562" s="1625">
        <f>'[3]Anexo I - Programas'!$J$183</f>
        <v>50000</v>
      </c>
      <c r="G562" s="1627"/>
      <c r="H562" s="778" t="s">
        <v>6939</v>
      </c>
      <c r="I562" s="1625">
        <f>DESPORC!I1940+DESPORC!I2075+DESPORC!I2085</f>
        <v>14185.114999999996</v>
      </c>
      <c r="J562" s="1627"/>
    </row>
    <row r="563" spans="2:10" x14ac:dyDescent="0.25">
      <c r="B563" s="1628" t="s">
        <v>3137</v>
      </c>
      <c r="C563" s="1615" t="str">
        <f>'[3]Anexo I - Programas'!$B$173</f>
        <v>6</v>
      </c>
      <c r="D563" s="1629" t="str">
        <f>'[3]Anexo I - Programas'!$C$173</f>
        <v>PROMOÇÃO E DESENVOLVIMENTO DA EDUCAÇÃO</v>
      </c>
      <c r="E563" s="1628" t="s">
        <v>3137</v>
      </c>
      <c r="F563" s="1615" t="str">
        <f>C563</f>
        <v>6</v>
      </c>
      <c r="G563" s="1617" t="str">
        <f>D563</f>
        <v>PROMOÇÃO E DESENVOLVIMENTO DA EDUCAÇÃO</v>
      </c>
      <c r="H563" s="773" t="s">
        <v>3138</v>
      </c>
      <c r="I563" s="757">
        <f>DESPORC!C2089</f>
        <v>12</v>
      </c>
      <c r="J563" s="765" t="str">
        <f>DESPORC!D2089</f>
        <v>Educação</v>
      </c>
    </row>
    <row r="564" spans="2:10" x14ac:dyDescent="0.25">
      <c r="B564" s="1619"/>
      <c r="C564" s="1616"/>
      <c r="D564" s="1630"/>
      <c r="E564" s="1619"/>
      <c r="F564" s="1616"/>
      <c r="G564" s="1618"/>
      <c r="H564" s="774" t="s">
        <v>6940</v>
      </c>
      <c r="I564" s="757">
        <f>DESPORC!C2090</f>
        <v>361</v>
      </c>
      <c r="J564" s="765" t="str">
        <f>DESPORC!D2090</f>
        <v>Ensino Fundamental</v>
      </c>
    </row>
    <row r="565" spans="2:10" x14ac:dyDescent="0.25">
      <c r="B565" s="1619" t="s">
        <v>6941</v>
      </c>
      <c r="C565" s="1616">
        <f>'[3]Anexo I - Programas'!$C$182</f>
        <v>1005</v>
      </c>
      <c r="D565" s="1622" t="str">
        <f>'[3]Anexo I - Programas'!$D$182</f>
        <v>Novos Investimentos em Educação</v>
      </c>
      <c r="E565" s="1619" t="s">
        <v>6941</v>
      </c>
      <c r="F565" s="1616">
        <f>C565</f>
        <v>1005</v>
      </c>
      <c r="G565" s="1618" t="str">
        <f>D565</f>
        <v>Novos Investimentos em Educação</v>
      </c>
      <c r="H565" s="775" t="s">
        <v>3137</v>
      </c>
      <c r="I565" s="779" t="str">
        <f>F563</f>
        <v>6</v>
      </c>
      <c r="J565" s="762" t="str">
        <f>G563</f>
        <v>PROMOÇÃO E DESENVOLVIMENTO DA EDUCAÇÃO</v>
      </c>
    </row>
    <row r="566" spans="2:10" x14ac:dyDescent="0.25">
      <c r="B566" s="1620"/>
      <c r="C566" s="1621"/>
      <c r="D566" s="1623"/>
      <c r="E566" s="1620"/>
      <c r="F566" s="1621"/>
      <c r="G566" s="1624"/>
      <c r="H566" s="776" t="s">
        <v>6941</v>
      </c>
      <c r="I566" s="780">
        <f>F565</f>
        <v>1005</v>
      </c>
      <c r="J566" s="764" t="str">
        <f>G565</f>
        <v>Novos Investimentos em Educação</v>
      </c>
    </row>
    <row r="567" spans="2:10" ht="15.75" thickBot="1" x14ac:dyDescent="0.3">
      <c r="B567" s="769" t="s">
        <v>6939</v>
      </c>
      <c r="C567" s="1625">
        <f>'[3]Anexo I - Programas'!$H$183</f>
        <v>200000</v>
      </c>
      <c r="D567" s="1626"/>
      <c r="E567" s="769" t="s">
        <v>6939</v>
      </c>
      <c r="F567" s="1625">
        <f>'[3]Anexo I - Programas'!$J$183</f>
        <v>50000</v>
      </c>
      <c r="G567" s="1627"/>
      <c r="H567" s="778" t="s">
        <v>6939</v>
      </c>
      <c r="I567" s="1625">
        <f>DESPORC!I1945+DESPORC!I2092</f>
        <v>15265.760000000011</v>
      </c>
      <c r="J567" s="1627"/>
    </row>
    <row r="568" spans="2:10" x14ac:dyDescent="0.25">
      <c r="B568" s="1628" t="s">
        <v>3137</v>
      </c>
      <c r="C568" s="1615" t="str">
        <f>'[3]Anexo I - Programas'!$B$173</f>
        <v>6</v>
      </c>
      <c r="D568" s="1629" t="str">
        <f>'[3]Anexo I - Programas'!$C$173</f>
        <v>PROMOÇÃO E DESENVOLVIMENTO DA EDUCAÇÃO</v>
      </c>
      <c r="E568" s="1628" t="s">
        <v>3137</v>
      </c>
      <c r="F568" s="1615" t="str">
        <f>C568</f>
        <v>6</v>
      </c>
      <c r="G568" s="1617" t="str">
        <f>D568</f>
        <v>PROMOÇÃO E DESENVOLVIMENTO DA EDUCAÇÃO</v>
      </c>
      <c r="H568" s="773" t="s">
        <v>3138</v>
      </c>
      <c r="I568" s="757">
        <f>DESPORC!C2099</f>
        <v>12</v>
      </c>
      <c r="J568" s="765" t="str">
        <f>DESPORC!D2099</f>
        <v>Educação</v>
      </c>
    </row>
    <row r="569" spans="2:10" x14ac:dyDescent="0.25">
      <c r="B569" s="1619"/>
      <c r="C569" s="1616"/>
      <c r="D569" s="1630"/>
      <c r="E569" s="1619"/>
      <c r="F569" s="1616"/>
      <c r="G569" s="1618"/>
      <c r="H569" s="774" t="s">
        <v>6940</v>
      </c>
      <c r="I569" s="757">
        <f>DESPORC!C2100</f>
        <v>365</v>
      </c>
      <c r="J569" s="765" t="str">
        <f>DESPORC!D2100</f>
        <v>Educação Infantil</v>
      </c>
    </row>
    <row r="570" spans="2:10" x14ac:dyDescent="0.25">
      <c r="B570" s="1619" t="s">
        <v>6941</v>
      </c>
      <c r="C570" s="1616">
        <f>'[3]Anexo I - Programas'!$C$182</f>
        <v>1005</v>
      </c>
      <c r="D570" s="1622" t="str">
        <f>'[3]Anexo I - Programas'!$D$182</f>
        <v>Novos Investimentos em Educação</v>
      </c>
      <c r="E570" s="1619" t="s">
        <v>6941</v>
      </c>
      <c r="F570" s="1616">
        <f>C570</f>
        <v>1005</v>
      </c>
      <c r="G570" s="1618" t="str">
        <f>D570</f>
        <v>Novos Investimentos em Educação</v>
      </c>
      <c r="H570" s="775" t="s">
        <v>3137</v>
      </c>
      <c r="I570" s="779" t="str">
        <f>F568</f>
        <v>6</v>
      </c>
      <c r="J570" s="762" t="str">
        <f>G568</f>
        <v>PROMOÇÃO E DESENVOLVIMENTO DA EDUCAÇÃO</v>
      </c>
    </row>
    <row r="571" spans="2:10" x14ac:dyDescent="0.25">
      <c r="B571" s="1620"/>
      <c r="C571" s="1621"/>
      <c r="D571" s="1623"/>
      <c r="E571" s="1620"/>
      <c r="F571" s="1621"/>
      <c r="G571" s="1624"/>
      <c r="H571" s="776" t="s">
        <v>6941</v>
      </c>
      <c r="I571" s="780">
        <f>F570</f>
        <v>1005</v>
      </c>
      <c r="J571" s="764" t="str">
        <f>G570</f>
        <v>Novos Investimentos em Educação</v>
      </c>
    </row>
    <row r="572" spans="2:10" ht="15.75" thickBot="1" x14ac:dyDescent="0.3">
      <c r="B572" s="769" t="s">
        <v>6939</v>
      </c>
      <c r="C572" s="1625">
        <f>'[3]Anexo I - Programas'!$H$183</f>
        <v>200000</v>
      </c>
      <c r="D572" s="1626"/>
      <c r="E572" s="769" t="s">
        <v>6939</v>
      </c>
      <c r="F572" s="1625">
        <f>'[3]Anexo I - Programas'!$J$183</f>
        <v>50000</v>
      </c>
      <c r="G572" s="1627"/>
      <c r="H572" s="778" t="s">
        <v>6939</v>
      </c>
      <c r="I572" s="1625">
        <f>DESPORC!I2002</f>
        <v>0.01</v>
      </c>
      <c r="J572" s="1627"/>
    </row>
    <row r="573" spans="2:10" x14ac:dyDescent="0.25">
      <c r="B573" s="1628" t="s">
        <v>3137</v>
      </c>
      <c r="C573" s="1615" t="str">
        <f>'[3]Anexo I - Programas'!$B$173</f>
        <v>6</v>
      </c>
      <c r="D573" s="1629" t="str">
        <f>'[3]Anexo I - Programas'!$C$173</f>
        <v>PROMOÇÃO E DESENVOLVIMENTO DA EDUCAÇÃO</v>
      </c>
      <c r="E573" s="1628" t="s">
        <v>3137</v>
      </c>
      <c r="F573" s="1615" t="str">
        <f>C573</f>
        <v>6</v>
      </c>
      <c r="G573" s="1617" t="str">
        <f>D573</f>
        <v>PROMOÇÃO E DESENVOLVIMENTO DA EDUCAÇÃO</v>
      </c>
      <c r="H573" s="773" t="s">
        <v>3138</v>
      </c>
      <c r="I573" s="757">
        <f>DESPORC!C2109</f>
        <v>12</v>
      </c>
      <c r="J573" s="765" t="str">
        <f>DESPORC!D2109</f>
        <v>Educação</v>
      </c>
    </row>
    <row r="574" spans="2:10" x14ac:dyDescent="0.25">
      <c r="B574" s="1619"/>
      <c r="C574" s="1616"/>
      <c r="D574" s="1630"/>
      <c r="E574" s="1619"/>
      <c r="F574" s="1616"/>
      <c r="G574" s="1618"/>
      <c r="H574" s="774" t="s">
        <v>6940</v>
      </c>
      <c r="I574" s="757">
        <f>DESPORC!C2110</f>
        <v>122</v>
      </c>
      <c r="J574" s="765" t="str">
        <f>DESPORC!D2110</f>
        <v>Administração Geral</v>
      </c>
    </row>
    <row r="575" spans="2:10" x14ac:dyDescent="0.25">
      <c r="B575" s="1619" t="s">
        <v>6941</v>
      </c>
      <c r="C575" s="1616">
        <f>'[3]Anexo I - Programas'!$C$234</f>
        <v>2047</v>
      </c>
      <c r="D575" s="1622" t="str">
        <f>'[3]Anexo I - Programas'!$D$234</f>
        <v>GESTAO E COORDENAÇÃO ESCOLAS MUNICIPAIS</v>
      </c>
      <c r="E575" s="1619" t="s">
        <v>6941</v>
      </c>
      <c r="F575" s="1616">
        <f>C575</f>
        <v>2047</v>
      </c>
      <c r="G575" s="1618" t="str">
        <f>D575</f>
        <v>GESTAO E COORDENAÇÃO ESCOLAS MUNICIPAIS</v>
      </c>
      <c r="H575" s="775" t="s">
        <v>3137</v>
      </c>
      <c r="I575" s="779" t="str">
        <f>F573</f>
        <v>6</v>
      </c>
      <c r="J575" s="762" t="str">
        <f>G573</f>
        <v>PROMOÇÃO E DESENVOLVIMENTO DA EDUCAÇÃO</v>
      </c>
    </row>
    <row r="576" spans="2:10" x14ac:dyDescent="0.25">
      <c r="B576" s="1620"/>
      <c r="C576" s="1621"/>
      <c r="D576" s="1623"/>
      <c r="E576" s="1620"/>
      <c r="F576" s="1621"/>
      <c r="G576" s="1624"/>
      <c r="H576" s="776" t="s">
        <v>6941</v>
      </c>
      <c r="I576" s="780">
        <f>F575</f>
        <v>2047</v>
      </c>
      <c r="J576" s="764" t="str">
        <f>G575</f>
        <v>GESTAO E COORDENAÇÃO ESCOLAS MUNICIPAIS</v>
      </c>
    </row>
    <row r="577" spans="2:10" ht="15.75" thickBot="1" x14ac:dyDescent="0.3">
      <c r="B577" s="769" t="s">
        <v>6939</v>
      </c>
      <c r="C577" s="1625">
        <f>'[3]Anexo I - Programas'!$H$235</f>
        <v>450000</v>
      </c>
      <c r="D577" s="1626"/>
      <c r="E577" s="769" t="s">
        <v>6939</v>
      </c>
      <c r="F577" s="1625">
        <f>'[3]Anexo I - Programas'!$J$235</f>
        <v>112500</v>
      </c>
      <c r="G577" s="1627"/>
      <c r="H577" s="778" t="s">
        <v>6939</v>
      </c>
      <c r="I577" s="1625">
        <f>DESPORC!I2012</f>
        <v>0.05</v>
      </c>
      <c r="J577" s="1627"/>
    </row>
    <row r="578" spans="2:10" x14ac:dyDescent="0.25">
      <c r="B578" s="1628" t="s">
        <v>3137</v>
      </c>
      <c r="C578" s="1615" t="str">
        <f>'[3]Anexo I - Programas'!$B$173</f>
        <v>6</v>
      </c>
      <c r="D578" s="1629" t="str">
        <f>'[3]Anexo I - Programas'!$C$173</f>
        <v>PROMOÇÃO E DESENVOLVIMENTO DA EDUCAÇÃO</v>
      </c>
      <c r="E578" s="1628" t="s">
        <v>3137</v>
      </c>
      <c r="F578" s="1615" t="str">
        <f>C578</f>
        <v>6</v>
      </c>
      <c r="G578" s="1617" t="str">
        <f>D578</f>
        <v>PROMOÇÃO E DESENVOLVIMENTO DA EDUCAÇÃO</v>
      </c>
      <c r="H578" s="773" t="s">
        <v>3138</v>
      </c>
      <c r="I578" s="757">
        <f>DESPORC!C2138</f>
        <v>12</v>
      </c>
      <c r="J578" s="765" t="str">
        <f>DESPORC!D2138</f>
        <v>Educação</v>
      </c>
    </row>
    <row r="579" spans="2:10" x14ac:dyDescent="0.25">
      <c r="B579" s="1619"/>
      <c r="C579" s="1616"/>
      <c r="D579" s="1630"/>
      <c r="E579" s="1619"/>
      <c r="F579" s="1616"/>
      <c r="G579" s="1618"/>
      <c r="H579" s="774" t="s">
        <v>6940</v>
      </c>
      <c r="I579" s="757">
        <f>DESPORC!C2139</f>
        <v>126</v>
      </c>
      <c r="J579" s="765" t="str">
        <f>DESPORC!D2139</f>
        <v>Tecnologia da Informação</v>
      </c>
    </row>
    <row r="580" spans="2:10" x14ac:dyDescent="0.25">
      <c r="B580" s="1619" t="s">
        <v>6941</v>
      </c>
      <c r="C580" s="1616">
        <f>'[3]Anexo I - Programas'!$C$234</f>
        <v>2047</v>
      </c>
      <c r="D580" s="1622" t="str">
        <f>'[3]Anexo I - Programas'!$D$234</f>
        <v>GESTAO E COORDENAÇÃO ESCOLAS MUNICIPAIS</v>
      </c>
      <c r="E580" s="1619" t="s">
        <v>6941</v>
      </c>
      <c r="F580" s="1616">
        <f>C580</f>
        <v>2047</v>
      </c>
      <c r="G580" s="1618" t="str">
        <f>D580</f>
        <v>GESTAO E COORDENAÇÃO ESCOLAS MUNICIPAIS</v>
      </c>
      <c r="H580" s="775" t="s">
        <v>3137</v>
      </c>
      <c r="I580" s="779" t="str">
        <f>F578</f>
        <v>6</v>
      </c>
      <c r="J580" s="762" t="str">
        <f>G578</f>
        <v>PROMOÇÃO E DESENVOLVIMENTO DA EDUCAÇÃO</v>
      </c>
    </row>
    <row r="581" spans="2:10" x14ac:dyDescent="0.25">
      <c r="B581" s="1620"/>
      <c r="C581" s="1621"/>
      <c r="D581" s="1623"/>
      <c r="E581" s="1620"/>
      <c r="F581" s="1621"/>
      <c r="G581" s="1624"/>
      <c r="H581" s="776" t="s">
        <v>6941</v>
      </c>
      <c r="I581" s="780">
        <f>F580</f>
        <v>2047</v>
      </c>
      <c r="J581" s="764" t="str">
        <f>G580</f>
        <v>GESTAO E COORDENAÇÃO ESCOLAS MUNICIPAIS</v>
      </c>
    </row>
    <row r="582" spans="2:10" ht="15.75" thickBot="1" x14ac:dyDescent="0.3">
      <c r="B582" s="769" t="s">
        <v>6939</v>
      </c>
      <c r="C582" s="1625">
        <f>'[3]Anexo I - Programas'!$H$235</f>
        <v>450000</v>
      </c>
      <c r="D582" s="1626"/>
      <c r="E582" s="769" t="s">
        <v>6939</v>
      </c>
      <c r="F582" s="1625">
        <f>'[3]Anexo I - Programas'!$J$235</f>
        <v>112500</v>
      </c>
      <c r="G582" s="1627"/>
      <c r="H582" s="778" t="s">
        <v>6939</v>
      </c>
      <c r="I582" s="1625">
        <f>DESPORC!I2141</f>
        <v>8001</v>
      </c>
      <c r="J582" s="1627"/>
    </row>
    <row r="583" spans="2:10" x14ac:dyDescent="0.25">
      <c r="B583" s="1628" t="s">
        <v>3137</v>
      </c>
      <c r="C583" s="1615" t="str">
        <f>'[3]Anexo I - Programas'!$B$173</f>
        <v>6</v>
      </c>
      <c r="D583" s="1629" t="str">
        <f>'[3]Anexo I - Programas'!$C$173</f>
        <v>PROMOÇÃO E DESENVOLVIMENTO DA EDUCAÇÃO</v>
      </c>
      <c r="E583" s="1628" t="s">
        <v>3137</v>
      </c>
      <c r="F583" s="1615" t="str">
        <f>C583</f>
        <v>6</v>
      </c>
      <c r="G583" s="1617" t="str">
        <f>D583</f>
        <v>PROMOÇÃO E DESENVOLVIMENTO DA EDUCAÇÃO</v>
      </c>
      <c r="H583" s="773" t="s">
        <v>3138</v>
      </c>
      <c r="I583" s="757">
        <f>DESPORC!C2143</f>
        <v>12</v>
      </c>
      <c r="J583" s="765" t="str">
        <f>DESPORC!D2143</f>
        <v>Educação</v>
      </c>
    </row>
    <row r="584" spans="2:10" x14ac:dyDescent="0.25">
      <c r="B584" s="1619"/>
      <c r="C584" s="1616"/>
      <c r="D584" s="1630"/>
      <c r="E584" s="1619"/>
      <c r="F584" s="1616"/>
      <c r="G584" s="1618"/>
      <c r="H584" s="774" t="s">
        <v>6940</v>
      </c>
      <c r="I584" s="757">
        <f>DESPORC!C2144</f>
        <v>128</v>
      </c>
      <c r="J584" s="765" t="str">
        <f>DESPORC!D2144</f>
        <v>Formação de Recursos Humanos</v>
      </c>
    </row>
    <row r="585" spans="2:10" x14ac:dyDescent="0.25">
      <c r="B585" s="1619" t="s">
        <v>6941</v>
      </c>
      <c r="C585" s="1616">
        <f>'[3]Anexo I - Programas'!$C$234</f>
        <v>2047</v>
      </c>
      <c r="D585" s="1622" t="str">
        <f>'[3]Anexo I - Programas'!$D$234</f>
        <v>GESTAO E COORDENAÇÃO ESCOLAS MUNICIPAIS</v>
      </c>
      <c r="E585" s="1619" t="s">
        <v>6941</v>
      </c>
      <c r="F585" s="1616">
        <f>C585</f>
        <v>2047</v>
      </c>
      <c r="G585" s="1618" t="str">
        <f>D585</f>
        <v>GESTAO E COORDENAÇÃO ESCOLAS MUNICIPAIS</v>
      </c>
      <c r="H585" s="775" t="s">
        <v>3137</v>
      </c>
      <c r="I585" s="779" t="str">
        <f>F583</f>
        <v>6</v>
      </c>
      <c r="J585" s="762" t="str">
        <f>G583</f>
        <v>PROMOÇÃO E DESENVOLVIMENTO DA EDUCAÇÃO</v>
      </c>
    </row>
    <row r="586" spans="2:10" x14ac:dyDescent="0.25">
      <c r="B586" s="1620"/>
      <c r="C586" s="1621"/>
      <c r="D586" s="1623"/>
      <c r="E586" s="1620"/>
      <c r="F586" s="1621"/>
      <c r="G586" s="1624"/>
      <c r="H586" s="776" t="s">
        <v>6941</v>
      </c>
      <c r="I586" s="780">
        <f>F585</f>
        <v>2047</v>
      </c>
      <c r="J586" s="764" t="str">
        <f>G585</f>
        <v>GESTAO E COORDENAÇÃO ESCOLAS MUNICIPAIS</v>
      </c>
    </row>
    <row r="587" spans="2:10" ht="15.75" thickBot="1" x14ac:dyDescent="0.3">
      <c r="B587" s="769" t="s">
        <v>6939</v>
      </c>
      <c r="C587" s="1625">
        <f>'[3]Anexo I - Programas'!$H$235</f>
        <v>450000</v>
      </c>
      <c r="D587" s="1626"/>
      <c r="E587" s="769" t="s">
        <v>6939</v>
      </c>
      <c r="F587" s="1625">
        <f>'[3]Anexo I - Programas'!$J$235</f>
        <v>112500</v>
      </c>
      <c r="G587" s="1627"/>
      <c r="H587" s="778" t="s">
        <v>6939</v>
      </c>
      <c r="I587" s="1625">
        <f>DESPORC!I2146</f>
        <v>0.05</v>
      </c>
      <c r="J587" s="1627"/>
    </row>
    <row r="588" spans="2:10" x14ac:dyDescent="0.25">
      <c r="B588" s="1628" t="s">
        <v>3137</v>
      </c>
      <c r="C588" s="1615" t="str">
        <f>'[3]Anexo I - Programas'!$B$173</f>
        <v>6</v>
      </c>
      <c r="D588" s="1629" t="str">
        <f>'[3]Anexo I - Programas'!$C$173</f>
        <v>PROMOÇÃO E DESENVOLVIMENTO DA EDUCAÇÃO</v>
      </c>
      <c r="E588" s="1628" t="s">
        <v>3137</v>
      </c>
      <c r="F588" s="1615" t="str">
        <f>C588</f>
        <v>6</v>
      </c>
      <c r="G588" s="1617" t="str">
        <f>D588</f>
        <v>PROMOÇÃO E DESENVOLVIMENTO DA EDUCAÇÃO</v>
      </c>
      <c r="H588" s="773" t="s">
        <v>3138</v>
      </c>
      <c r="I588" s="757">
        <f>DESPORC!C2152</f>
        <v>12</v>
      </c>
      <c r="J588" s="765" t="str">
        <f>DESPORC!D2152</f>
        <v>Educação</v>
      </c>
    </row>
    <row r="589" spans="2:10" x14ac:dyDescent="0.25">
      <c r="B589" s="1619"/>
      <c r="C589" s="1616"/>
      <c r="D589" s="1630"/>
      <c r="E589" s="1619"/>
      <c r="F589" s="1616"/>
      <c r="G589" s="1618"/>
      <c r="H589" s="774" t="s">
        <v>6940</v>
      </c>
      <c r="I589" s="757">
        <f>DESPORC!C2153</f>
        <v>126</v>
      </c>
      <c r="J589" s="765" t="str">
        <f>DESPORC!D2153</f>
        <v>Tecnologia da Informação</v>
      </c>
    </row>
    <row r="590" spans="2:10" x14ac:dyDescent="0.25">
      <c r="B590" s="1619" t="s">
        <v>6941</v>
      </c>
      <c r="C590" s="1616">
        <f>'[3]Anexo I - Programas'!$C$198</f>
        <v>2006</v>
      </c>
      <c r="D590" s="1622" t="str">
        <f>'[3]Anexo I - Programas'!$D$198</f>
        <v>Promoção e Desenvolvimento do Ensino fundamental</v>
      </c>
      <c r="E590" s="1619" t="s">
        <v>6941</v>
      </c>
      <c r="F590" s="1616">
        <f>C590</f>
        <v>2006</v>
      </c>
      <c r="G590" s="1618" t="str">
        <f>D590</f>
        <v>Promoção e Desenvolvimento do Ensino fundamental</v>
      </c>
      <c r="H590" s="775" t="s">
        <v>3137</v>
      </c>
      <c r="I590" s="779" t="str">
        <f>F588</f>
        <v>6</v>
      </c>
      <c r="J590" s="762" t="str">
        <f>G588</f>
        <v>PROMOÇÃO E DESENVOLVIMENTO DA EDUCAÇÃO</v>
      </c>
    </row>
    <row r="591" spans="2:10" x14ac:dyDescent="0.25">
      <c r="B591" s="1620"/>
      <c r="C591" s="1621"/>
      <c r="D591" s="1623"/>
      <c r="E591" s="1620"/>
      <c r="F591" s="1621"/>
      <c r="G591" s="1624"/>
      <c r="H591" s="776" t="s">
        <v>6941</v>
      </c>
      <c r="I591" s="780">
        <f>F590</f>
        <v>2006</v>
      </c>
      <c r="J591" s="764" t="str">
        <f>G590</f>
        <v>Promoção e Desenvolvimento do Ensino fundamental</v>
      </c>
    </row>
    <row r="592" spans="2:10" ht="15.75" thickBot="1" x14ac:dyDescent="0.3">
      <c r="B592" s="769" t="s">
        <v>6939</v>
      </c>
      <c r="C592" s="1625">
        <f>'[3]Anexo I - Programas'!$H$199</f>
        <v>9200000</v>
      </c>
      <c r="D592" s="1626"/>
      <c r="E592" s="769" t="s">
        <v>6939</v>
      </c>
      <c r="F592" s="1625">
        <f>'[3]Anexo I - Programas'!$J$199</f>
        <v>2300000</v>
      </c>
      <c r="G592" s="1627"/>
      <c r="H592" s="778" t="s">
        <v>6939</v>
      </c>
      <c r="I592" s="1625">
        <f>DESPORC!I2155</f>
        <v>8000</v>
      </c>
      <c r="J592" s="1627"/>
    </row>
    <row r="593" spans="2:10" x14ac:dyDescent="0.25">
      <c r="B593" s="1628" t="s">
        <v>3137</v>
      </c>
      <c r="C593" s="1615" t="str">
        <f>'[3]Anexo I - Programas'!$B$173</f>
        <v>6</v>
      </c>
      <c r="D593" s="1629" t="str">
        <f>'[3]Anexo I - Programas'!$C$173</f>
        <v>PROMOÇÃO E DESENVOLVIMENTO DA EDUCAÇÃO</v>
      </c>
      <c r="E593" s="1628" t="s">
        <v>3137</v>
      </c>
      <c r="F593" s="1615" t="str">
        <f>C593</f>
        <v>6</v>
      </c>
      <c r="G593" s="1617" t="str">
        <f>D593</f>
        <v>PROMOÇÃO E DESENVOLVIMENTO DA EDUCAÇÃO</v>
      </c>
      <c r="H593" s="773" t="s">
        <v>3138</v>
      </c>
      <c r="I593" s="757">
        <f>DESPORC!C2157</f>
        <v>12</v>
      </c>
      <c r="J593" s="765" t="str">
        <f>DESPORC!D2157</f>
        <v>Educação</v>
      </c>
    </row>
    <row r="594" spans="2:10" x14ac:dyDescent="0.25">
      <c r="B594" s="1619"/>
      <c r="C594" s="1616"/>
      <c r="D594" s="1630"/>
      <c r="E594" s="1619"/>
      <c r="F594" s="1616"/>
      <c r="G594" s="1618"/>
      <c r="H594" s="774" t="s">
        <v>6940</v>
      </c>
      <c r="I594" s="757">
        <f>DESPORC!C2158</f>
        <v>128</v>
      </c>
      <c r="J594" s="765" t="str">
        <f>DESPORC!D2158</f>
        <v>Formação de Recursos Humanos</v>
      </c>
    </row>
    <row r="595" spans="2:10" x14ac:dyDescent="0.25">
      <c r="B595" s="1619" t="s">
        <v>6941</v>
      </c>
      <c r="C595" s="1616">
        <f>'[3]Anexo I - Programas'!$C$198</f>
        <v>2006</v>
      </c>
      <c r="D595" s="1622" t="str">
        <f>'[3]Anexo I - Programas'!$D$198</f>
        <v>Promoção e Desenvolvimento do Ensino fundamental</v>
      </c>
      <c r="E595" s="1619" t="s">
        <v>6941</v>
      </c>
      <c r="F595" s="1616">
        <f>C595</f>
        <v>2006</v>
      </c>
      <c r="G595" s="1618" t="str">
        <f>D595</f>
        <v>Promoção e Desenvolvimento do Ensino fundamental</v>
      </c>
      <c r="H595" s="775" t="s">
        <v>3137</v>
      </c>
      <c r="I595" s="779" t="str">
        <f>F593</f>
        <v>6</v>
      </c>
      <c r="J595" s="762" t="str">
        <f>G593</f>
        <v>PROMOÇÃO E DESENVOLVIMENTO DA EDUCAÇÃO</v>
      </c>
    </row>
    <row r="596" spans="2:10" x14ac:dyDescent="0.25">
      <c r="B596" s="1620"/>
      <c r="C596" s="1621"/>
      <c r="D596" s="1623"/>
      <c r="E596" s="1620"/>
      <c r="F596" s="1621"/>
      <c r="G596" s="1624"/>
      <c r="H596" s="776" t="s">
        <v>6941</v>
      </c>
      <c r="I596" s="780">
        <f>F595</f>
        <v>2006</v>
      </c>
      <c r="J596" s="764" t="str">
        <f>G595</f>
        <v>Promoção e Desenvolvimento do Ensino fundamental</v>
      </c>
    </row>
    <row r="597" spans="2:10" ht="15.75" thickBot="1" x14ac:dyDescent="0.3">
      <c r="B597" s="769" t="s">
        <v>6939</v>
      </c>
      <c r="C597" s="1625">
        <f>'[3]Anexo I - Programas'!$H$199</f>
        <v>9200000</v>
      </c>
      <c r="D597" s="1626"/>
      <c r="E597" s="769" t="s">
        <v>6939</v>
      </c>
      <c r="F597" s="1625">
        <f>'[3]Anexo I - Programas'!$J$199</f>
        <v>2300000</v>
      </c>
      <c r="G597" s="1627"/>
      <c r="H597" s="778" t="s">
        <v>6939</v>
      </c>
      <c r="I597" s="1625">
        <f>DESPORC!I2160</f>
        <v>0.05</v>
      </c>
      <c r="J597" s="1627"/>
    </row>
    <row r="598" spans="2:10" x14ac:dyDescent="0.25">
      <c r="B598" s="804"/>
      <c r="C598" s="805"/>
      <c r="D598" s="806"/>
      <c r="E598" s="804"/>
      <c r="F598" s="805"/>
      <c r="G598" s="806"/>
      <c r="H598" s="804"/>
      <c r="I598" s="805"/>
      <c r="J598" s="806"/>
    </row>
    <row r="599" spans="2:10" x14ac:dyDescent="0.25">
      <c r="B599" s="267"/>
      <c r="C599" s="807"/>
      <c r="D599" s="257"/>
      <c r="E599" s="267"/>
      <c r="F599" s="807"/>
      <c r="G599" s="257"/>
      <c r="H599" s="267"/>
      <c r="I599" s="807"/>
      <c r="J599" s="257"/>
    </row>
    <row r="600" spans="2:10" x14ac:dyDescent="0.25">
      <c r="B600" s="267"/>
      <c r="C600" s="807"/>
      <c r="D600" s="257"/>
      <c r="E600" s="267"/>
      <c r="F600" s="807"/>
      <c r="G600" s="257"/>
      <c r="H600" s="267"/>
      <c r="I600" s="807"/>
      <c r="J600" s="257"/>
    </row>
    <row r="601" spans="2:10" ht="15.75" thickBot="1" x14ac:dyDescent="0.3">
      <c r="B601" s="808"/>
      <c r="C601" s="809"/>
      <c r="D601" s="810"/>
      <c r="E601" s="808"/>
      <c r="F601" s="809"/>
      <c r="G601" s="810"/>
      <c r="H601" s="808"/>
      <c r="I601" s="809"/>
      <c r="J601" s="810"/>
    </row>
    <row r="602" spans="2:10" x14ac:dyDescent="0.25">
      <c r="B602" s="1628" t="s">
        <v>3137</v>
      </c>
      <c r="C602" s="1615" t="str">
        <f>'[3]Anexo I - Programas'!$B$173</f>
        <v>6</v>
      </c>
      <c r="D602" s="1629" t="str">
        <f>'[3]Anexo I - Programas'!$C$173</f>
        <v>PROMOÇÃO E DESENVOLVIMENTO DA EDUCAÇÃO</v>
      </c>
      <c r="E602" s="1628" t="s">
        <v>3137</v>
      </c>
      <c r="F602" s="1615" t="str">
        <f>C602</f>
        <v>6</v>
      </c>
      <c r="G602" s="1617" t="str">
        <f>D602</f>
        <v>PROMOÇÃO E DESENVOLVIMENTO DA EDUCAÇÃO</v>
      </c>
      <c r="H602" s="773" t="s">
        <v>3138</v>
      </c>
      <c r="I602" s="757">
        <f>DESPORC!C2166</f>
        <v>12</v>
      </c>
      <c r="J602" s="765" t="str">
        <f>DESPORC!D2166</f>
        <v>Educação</v>
      </c>
    </row>
    <row r="603" spans="2:10" x14ac:dyDescent="0.25">
      <c r="B603" s="1619"/>
      <c r="C603" s="1616"/>
      <c r="D603" s="1630"/>
      <c r="E603" s="1619"/>
      <c r="F603" s="1616"/>
      <c r="G603" s="1618"/>
      <c r="H603" s="774" t="s">
        <v>6940</v>
      </c>
      <c r="I603" s="757">
        <f>DESPORC!C2167</f>
        <v>361</v>
      </c>
      <c r="J603" s="765" t="str">
        <f>DESPORC!D2167</f>
        <v>Ensino Fundamental</v>
      </c>
    </row>
    <row r="604" spans="2:10" x14ac:dyDescent="0.25">
      <c r="B604" s="1619" t="s">
        <v>6941</v>
      </c>
      <c r="C604" s="1616">
        <f>'[3]Anexo I - Programas'!$C$198</f>
        <v>2006</v>
      </c>
      <c r="D604" s="1622" t="str">
        <f>'[3]Anexo I - Programas'!$D$198</f>
        <v>Promoção e Desenvolvimento do Ensino fundamental</v>
      </c>
      <c r="E604" s="1619" t="s">
        <v>6941</v>
      </c>
      <c r="F604" s="1616">
        <f>C604</f>
        <v>2006</v>
      </c>
      <c r="G604" s="1618" t="str">
        <f>D604</f>
        <v>Promoção e Desenvolvimento do Ensino fundamental</v>
      </c>
      <c r="H604" s="775" t="s">
        <v>3137</v>
      </c>
      <c r="I604" s="779" t="str">
        <f>F602</f>
        <v>6</v>
      </c>
      <c r="J604" s="762" t="str">
        <f>G602</f>
        <v>PROMOÇÃO E DESENVOLVIMENTO DA EDUCAÇÃO</v>
      </c>
    </row>
    <row r="605" spans="2:10" x14ac:dyDescent="0.25">
      <c r="B605" s="1620"/>
      <c r="C605" s="1621"/>
      <c r="D605" s="1623"/>
      <c r="E605" s="1620"/>
      <c r="F605" s="1621"/>
      <c r="G605" s="1624"/>
      <c r="H605" s="776" t="s">
        <v>6941</v>
      </c>
      <c r="I605" s="780">
        <f>F604</f>
        <v>2006</v>
      </c>
      <c r="J605" s="764" t="str">
        <f>G604</f>
        <v>Promoção e Desenvolvimento do Ensino fundamental</v>
      </c>
    </row>
    <row r="606" spans="2:10" ht="15.75" thickBot="1" x14ac:dyDescent="0.3">
      <c r="B606" s="769" t="s">
        <v>6939</v>
      </c>
      <c r="C606" s="1625">
        <f>'[3]Anexo I - Programas'!$H$199</f>
        <v>9200000</v>
      </c>
      <c r="D606" s="1626"/>
      <c r="E606" s="769" t="s">
        <v>6939</v>
      </c>
      <c r="F606" s="1625">
        <f>'[3]Anexo I - Programas'!$J$199</f>
        <v>2300000</v>
      </c>
      <c r="G606" s="1627"/>
      <c r="H606" s="778" t="s">
        <v>6939</v>
      </c>
      <c r="I606" s="1625">
        <f>DESPORC!I2169</f>
        <v>2649620.0934469053</v>
      </c>
      <c r="J606" s="1627"/>
    </row>
    <row r="607" spans="2:10" x14ac:dyDescent="0.25">
      <c r="B607" s="1628" t="s">
        <v>3137</v>
      </c>
      <c r="C607" s="1615" t="str">
        <f>'[3]Anexo I - Programas'!$B$173</f>
        <v>6</v>
      </c>
      <c r="D607" s="1629" t="str">
        <f>'[3]Anexo I - Programas'!$C$173</f>
        <v>PROMOÇÃO E DESENVOLVIMENTO DA EDUCAÇÃO</v>
      </c>
      <c r="E607" s="1628" t="s">
        <v>3137</v>
      </c>
      <c r="F607" s="1615" t="str">
        <f>C607</f>
        <v>6</v>
      </c>
      <c r="G607" s="1617" t="str">
        <f>D607</f>
        <v>PROMOÇÃO E DESENVOLVIMENTO DA EDUCAÇÃO</v>
      </c>
      <c r="H607" s="773" t="s">
        <v>3138</v>
      </c>
      <c r="I607" s="757">
        <f>DESPORC!C2195</f>
        <v>12</v>
      </c>
      <c r="J607" s="765" t="str">
        <f>DESPORC!D2195</f>
        <v>Educação</v>
      </c>
    </row>
    <row r="608" spans="2:10" x14ac:dyDescent="0.25">
      <c r="B608" s="1619"/>
      <c r="C608" s="1616"/>
      <c r="D608" s="1630"/>
      <c r="E608" s="1619"/>
      <c r="F608" s="1616"/>
      <c r="G608" s="1618"/>
      <c r="H608" s="774" t="s">
        <v>6940</v>
      </c>
      <c r="I608" s="757">
        <f>DESPORC!C2196</f>
        <v>126</v>
      </c>
      <c r="J608" s="765" t="str">
        <f>DESPORC!D2196</f>
        <v>Tecnologia da Informação</v>
      </c>
    </row>
    <row r="609" spans="2:10" x14ac:dyDescent="0.25">
      <c r="B609" s="1619" t="s">
        <v>6941</v>
      </c>
      <c r="C609" s="1616">
        <f>'[3]Anexo I - Programas'!$C$204</f>
        <v>2036</v>
      </c>
      <c r="D609" s="1622" t="str">
        <f>'[3]Anexo I - Programas'!$D$204</f>
        <v>Promoção e Desenvolvimento da Educação Infantil</v>
      </c>
      <c r="E609" s="1619" t="s">
        <v>6941</v>
      </c>
      <c r="F609" s="1616">
        <f>C609</f>
        <v>2036</v>
      </c>
      <c r="G609" s="1618" t="str">
        <f>D609</f>
        <v>Promoção e Desenvolvimento da Educação Infantil</v>
      </c>
      <c r="H609" s="775" t="s">
        <v>3137</v>
      </c>
      <c r="I609" s="779" t="str">
        <f>F607</f>
        <v>6</v>
      </c>
      <c r="J609" s="762" t="str">
        <f>G607</f>
        <v>PROMOÇÃO E DESENVOLVIMENTO DA EDUCAÇÃO</v>
      </c>
    </row>
    <row r="610" spans="2:10" x14ac:dyDescent="0.25">
      <c r="B610" s="1620"/>
      <c r="C610" s="1621"/>
      <c r="D610" s="1623"/>
      <c r="E610" s="1620"/>
      <c r="F610" s="1621"/>
      <c r="G610" s="1624"/>
      <c r="H610" s="776" t="s">
        <v>6941</v>
      </c>
      <c r="I610" s="780">
        <f>F609</f>
        <v>2036</v>
      </c>
      <c r="J610" s="764" t="str">
        <f>G609</f>
        <v>Promoção e Desenvolvimento da Educação Infantil</v>
      </c>
    </row>
    <row r="611" spans="2:10" ht="15.75" thickBot="1" x14ac:dyDescent="0.3">
      <c r="B611" s="769" t="s">
        <v>6939</v>
      </c>
      <c r="C611" s="1625">
        <f>'[3]Anexo I - Programas'!$H$205</f>
        <v>1000000</v>
      </c>
      <c r="D611" s="1626"/>
      <c r="E611" s="769" t="s">
        <v>6939</v>
      </c>
      <c r="F611" s="1625">
        <f>'[3]Anexo I - Programas'!$J$205</f>
        <v>250000</v>
      </c>
      <c r="G611" s="1627"/>
      <c r="H611" s="778" t="s">
        <v>6939</v>
      </c>
      <c r="I611" s="1625">
        <f>DESPORC!I2198</f>
        <v>4.3893611999999999E-2</v>
      </c>
      <c r="J611" s="1627"/>
    </row>
    <row r="612" spans="2:10" x14ac:dyDescent="0.25">
      <c r="B612" s="1628" t="s">
        <v>3137</v>
      </c>
      <c r="C612" s="1615" t="str">
        <f>'[3]Anexo I - Programas'!$B$173</f>
        <v>6</v>
      </c>
      <c r="D612" s="1629" t="str">
        <f>'[3]Anexo I - Programas'!$C$173</f>
        <v>PROMOÇÃO E DESENVOLVIMENTO DA EDUCAÇÃO</v>
      </c>
      <c r="E612" s="1628" t="s">
        <v>3137</v>
      </c>
      <c r="F612" s="1615" t="str">
        <f>C612</f>
        <v>6</v>
      </c>
      <c r="G612" s="1617" t="str">
        <f>D612</f>
        <v>PROMOÇÃO E DESENVOLVIMENTO DA EDUCAÇÃO</v>
      </c>
      <c r="H612" s="773" t="s">
        <v>3138</v>
      </c>
      <c r="I612" s="757">
        <f>DESPORC!C2200</f>
        <v>12</v>
      </c>
      <c r="J612" s="765" t="str">
        <f>DESPORC!D2200</f>
        <v>Educação</v>
      </c>
    </row>
    <row r="613" spans="2:10" x14ac:dyDescent="0.25">
      <c r="B613" s="1619"/>
      <c r="C613" s="1616"/>
      <c r="D613" s="1630"/>
      <c r="E613" s="1619"/>
      <c r="F613" s="1616"/>
      <c r="G613" s="1618"/>
      <c r="H613" s="774" t="s">
        <v>6940</v>
      </c>
      <c r="I613" s="757">
        <f>DESPORC!C2201</f>
        <v>128</v>
      </c>
      <c r="J613" s="765" t="str">
        <f>DESPORC!D2201</f>
        <v>Formação de Recursos Humanos</v>
      </c>
    </row>
    <row r="614" spans="2:10" x14ac:dyDescent="0.25">
      <c r="B614" s="1619" t="s">
        <v>6941</v>
      </c>
      <c r="C614" s="1616">
        <f>'[3]Anexo I - Programas'!$C$204</f>
        <v>2036</v>
      </c>
      <c r="D614" s="1622" t="str">
        <f>'[3]Anexo I - Programas'!$D$204</f>
        <v>Promoção e Desenvolvimento da Educação Infantil</v>
      </c>
      <c r="E614" s="1619" t="s">
        <v>6941</v>
      </c>
      <c r="F614" s="1616">
        <f>C614</f>
        <v>2036</v>
      </c>
      <c r="G614" s="1618" t="str">
        <f>D614</f>
        <v>Promoção e Desenvolvimento da Educação Infantil</v>
      </c>
      <c r="H614" s="775" t="s">
        <v>3137</v>
      </c>
      <c r="I614" s="779" t="str">
        <f>F612</f>
        <v>6</v>
      </c>
      <c r="J614" s="762" t="str">
        <f>G612</f>
        <v>PROMOÇÃO E DESENVOLVIMENTO DA EDUCAÇÃO</v>
      </c>
    </row>
    <row r="615" spans="2:10" x14ac:dyDescent="0.25">
      <c r="B615" s="1620"/>
      <c r="C615" s="1621"/>
      <c r="D615" s="1623"/>
      <c r="E615" s="1620"/>
      <c r="F615" s="1621"/>
      <c r="G615" s="1624"/>
      <c r="H615" s="776" t="s">
        <v>6941</v>
      </c>
      <c r="I615" s="780">
        <f>F614</f>
        <v>2036</v>
      </c>
      <c r="J615" s="764" t="str">
        <f>G614</f>
        <v>Promoção e Desenvolvimento da Educação Infantil</v>
      </c>
    </row>
    <row r="616" spans="2:10" ht="15.75" thickBot="1" x14ac:dyDescent="0.3">
      <c r="B616" s="769" t="s">
        <v>6939</v>
      </c>
      <c r="C616" s="1625">
        <f>'[3]Anexo I - Programas'!$H$205</f>
        <v>1000000</v>
      </c>
      <c r="D616" s="1626"/>
      <c r="E616" s="769" t="s">
        <v>6939</v>
      </c>
      <c r="F616" s="1625">
        <f>'[3]Anexo I - Programas'!$J$205</f>
        <v>250000</v>
      </c>
      <c r="G616" s="1627"/>
      <c r="H616" s="778" t="s">
        <v>6939</v>
      </c>
      <c r="I616" s="1625">
        <f>DESPORC!I2203</f>
        <v>5.1000000000000004E-2</v>
      </c>
      <c r="J616" s="1627"/>
    </row>
    <row r="617" spans="2:10" x14ac:dyDescent="0.25">
      <c r="B617" s="1628" t="s">
        <v>3137</v>
      </c>
      <c r="C617" s="1615" t="str">
        <f>'[3]Anexo I - Programas'!$B$173</f>
        <v>6</v>
      </c>
      <c r="D617" s="1629" t="str">
        <f>'[3]Anexo I - Programas'!$C$173</f>
        <v>PROMOÇÃO E DESENVOLVIMENTO DA EDUCAÇÃO</v>
      </c>
      <c r="E617" s="1628" t="s">
        <v>3137</v>
      </c>
      <c r="F617" s="1615" t="str">
        <f>C617</f>
        <v>6</v>
      </c>
      <c r="G617" s="1617" t="str">
        <f>D617</f>
        <v>PROMOÇÃO E DESENVOLVIMENTO DA EDUCAÇÃO</v>
      </c>
      <c r="H617" s="773" t="s">
        <v>3138</v>
      </c>
      <c r="I617" s="757">
        <f>DESPORC!C2209</f>
        <v>12</v>
      </c>
      <c r="J617" s="765" t="str">
        <f>DESPORC!D2209</f>
        <v>Educação</v>
      </c>
    </row>
    <row r="618" spans="2:10" x14ac:dyDescent="0.25">
      <c r="B618" s="1619"/>
      <c r="C618" s="1616"/>
      <c r="D618" s="1630"/>
      <c r="E618" s="1619"/>
      <c r="F618" s="1616"/>
      <c r="G618" s="1618"/>
      <c r="H618" s="774" t="s">
        <v>6940</v>
      </c>
      <c r="I618" s="757">
        <f>DESPORC!C2210</f>
        <v>365</v>
      </c>
      <c r="J618" s="765" t="str">
        <f>DESPORC!D2210</f>
        <v>Educação Infantil</v>
      </c>
    </row>
    <row r="619" spans="2:10" x14ac:dyDescent="0.25">
      <c r="B619" s="1619" t="s">
        <v>6941</v>
      </c>
      <c r="C619" s="1616">
        <f>'[3]Anexo I - Programas'!$C$204</f>
        <v>2036</v>
      </c>
      <c r="D619" s="1622" t="str">
        <f>'[3]Anexo I - Programas'!$D$204</f>
        <v>Promoção e Desenvolvimento da Educação Infantil</v>
      </c>
      <c r="E619" s="1619" t="s">
        <v>6941</v>
      </c>
      <c r="F619" s="1616">
        <f>C619</f>
        <v>2036</v>
      </c>
      <c r="G619" s="1618" t="str">
        <f>D619</f>
        <v>Promoção e Desenvolvimento da Educação Infantil</v>
      </c>
      <c r="H619" s="775" t="s">
        <v>3137</v>
      </c>
      <c r="I619" s="779" t="str">
        <f>F617</f>
        <v>6</v>
      </c>
      <c r="J619" s="762" t="str">
        <f>G617</f>
        <v>PROMOÇÃO E DESENVOLVIMENTO DA EDUCAÇÃO</v>
      </c>
    </row>
    <row r="620" spans="2:10" x14ac:dyDescent="0.25">
      <c r="B620" s="1620"/>
      <c r="C620" s="1621"/>
      <c r="D620" s="1623"/>
      <c r="E620" s="1620"/>
      <c r="F620" s="1621"/>
      <c r="G620" s="1624"/>
      <c r="H620" s="776" t="s">
        <v>6941</v>
      </c>
      <c r="I620" s="780">
        <f>F619</f>
        <v>2036</v>
      </c>
      <c r="J620" s="764" t="str">
        <f>G619</f>
        <v>Promoção e Desenvolvimento da Educação Infantil</v>
      </c>
    </row>
    <row r="621" spans="2:10" ht="15.75" thickBot="1" x14ac:dyDescent="0.3">
      <c r="B621" s="769" t="s">
        <v>6939</v>
      </c>
      <c r="C621" s="1625">
        <f>'[3]Anexo I - Programas'!$H$205</f>
        <v>1000000</v>
      </c>
      <c r="D621" s="1626"/>
      <c r="E621" s="769" t="s">
        <v>6939</v>
      </c>
      <c r="F621" s="1625">
        <f>'[3]Anexo I - Programas'!$J$205</f>
        <v>250000</v>
      </c>
      <c r="G621" s="1627"/>
      <c r="H621" s="778" t="s">
        <v>6939</v>
      </c>
      <c r="I621" s="1625">
        <f>DESPORC!I2212</f>
        <v>271063.63520145993</v>
      </c>
      <c r="J621" s="1627"/>
    </row>
    <row r="622" spans="2:10" x14ac:dyDescent="0.25">
      <c r="B622" s="1628" t="s">
        <v>3137</v>
      </c>
      <c r="C622" s="1615" t="str">
        <f>'[3]Anexo I - Programas'!$B$173</f>
        <v>6</v>
      </c>
      <c r="D622" s="1629" t="str">
        <f>'[3]Anexo I - Programas'!$C$173</f>
        <v>PROMOÇÃO E DESENVOLVIMENTO DA EDUCAÇÃO</v>
      </c>
      <c r="E622" s="1628" t="s">
        <v>3137</v>
      </c>
      <c r="F622" s="1615" t="str">
        <f>C622</f>
        <v>6</v>
      </c>
      <c r="G622" s="1617" t="str">
        <f>D622</f>
        <v>PROMOÇÃO E DESENVOLVIMENTO DA EDUCAÇÃO</v>
      </c>
      <c r="H622" s="773" t="s">
        <v>3138</v>
      </c>
      <c r="I622" s="757">
        <f>DESPORC!C2237</f>
        <v>12</v>
      </c>
      <c r="J622" s="765" t="str">
        <f>DESPORC!D2237</f>
        <v>Educação</v>
      </c>
    </row>
    <row r="623" spans="2:10" x14ac:dyDescent="0.25">
      <c r="B623" s="1619"/>
      <c r="C623" s="1616"/>
      <c r="D623" s="1630"/>
      <c r="E623" s="1619"/>
      <c r="F623" s="1616"/>
      <c r="G623" s="1618"/>
      <c r="H623" s="774" t="s">
        <v>6940</v>
      </c>
      <c r="I623" s="757">
        <f>DESPORC!C2238</f>
        <v>126</v>
      </c>
      <c r="J623" s="765" t="str">
        <f>DESPORC!D2238</f>
        <v>Tecnologia da Informação</v>
      </c>
    </row>
    <row r="624" spans="2:10" x14ac:dyDescent="0.25">
      <c r="B624" s="1619" t="s">
        <v>6941</v>
      </c>
      <c r="C624" s="1616">
        <f>'[3]Anexo I - Programas'!$C$216</f>
        <v>2039</v>
      </c>
      <c r="D624" s="1622" t="str">
        <f>'[3]Anexo I - Programas'!$D$216</f>
        <v>Promoção e Desenvolvimento da Educação de Jovens e Adultos</v>
      </c>
      <c r="E624" s="1619" t="s">
        <v>6941</v>
      </c>
      <c r="F624" s="1616">
        <f>C624</f>
        <v>2039</v>
      </c>
      <c r="G624" s="1618" t="str">
        <f>D624</f>
        <v>Promoção e Desenvolvimento da Educação de Jovens e Adultos</v>
      </c>
      <c r="H624" s="775" t="s">
        <v>3137</v>
      </c>
      <c r="I624" s="779" t="str">
        <f>F622</f>
        <v>6</v>
      </c>
      <c r="J624" s="762" t="str">
        <f>G622</f>
        <v>PROMOÇÃO E DESENVOLVIMENTO DA EDUCAÇÃO</v>
      </c>
    </row>
    <row r="625" spans="2:10" ht="30" x14ac:dyDescent="0.25">
      <c r="B625" s="1620"/>
      <c r="C625" s="1621"/>
      <c r="D625" s="1623"/>
      <c r="E625" s="1620"/>
      <c r="F625" s="1621"/>
      <c r="G625" s="1624"/>
      <c r="H625" s="776" t="s">
        <v>6941</v>
      </c>
      <c r="I625" s="780">
        <f>F624</f>
        <v>2039</v>
      </c>
      <c r="J625" s="764" t="str">
        <f>G624</f>
        <v>Promoção e Desenvolvimento da Educação de Jovens e Adultos</v>
      </c>
    </row>
    <row r="626" spans="2:10" ht="15.75" thickBot="1" x14ac:dyDescent="0.3">
      <c r="B626" s="769" t="s">
        <v>6939</v>
      </c>
      <c r="C626" s="1625">
        <f>'[3]Anexo I - Programas'!$H$217</f>
        <v>800000</v>
      </c>
      <c r="D626" s="1626"/>
      <c r="E626" s="769" t="s">
        <v>6939</v>
      </c>
      <c r="F626" s="1625">
        <f>'[3]Anexo I - Programas'!$J$217</f>
        <v>200000</v>
      </c>
      <c r="G626" s="1627"/>
      <c r="H626" s="778" t="s">
        <v>6939</v>
      </c>
      <c r="I626" s="1625">
        <f>DESPORC!I2240</f>
        <v>1.0973403E-2</v>
      </c>
      <c r="J626" s="1627"/>
    </row>
    <row r="627" spans="2:10" x14ac:dyDescent="0.25">
      <c r="B627" s="1628" t="s">
        <v>3137</v>
      </c>
      <c r="C627" s="1615" t="str">
        <f>'[3]Anexo I - Programas'!$B$173</f>
        <v>6</v>
      </c>
      <c r="D627" s="1629" t="str">
        <f>'[3]Anexo I - Programas'!$C$173</f>
        <v>PROMOÇÃO E DESENVOLVIMENTO DA EDUCAÇÃO</v>
      </c>
      <c r="E627" s="1628" t="s">
        <v>3137</v>
      </c>
      <c r="F627" s="1615" t="str">
        <f>C627</f>
        <v>6</v>
      </c>
      <c r="G627" s="1617" t="str">
        <f>D627</f>
        <v>PROMOÇÃO E DESENVOLVIMENTO DA EDUCAÇÃO</v>
      </c>
      <c r="H627" s="773" t="s">
        <v>3138</v>
      </c>
      <c r="I627" s="757">
        <f>DESPORC!C2242</f>
        <v>12</v>
      </c>
      <c r="J627" s="765" t="str">
        <f>DESPORC!D2242</f>
        <v>Educação</v>
      </c>
    </row>
    <row r="628" spans="2:10" x14ac:dyDescent="0.25">
      <c r="B628" s="1619"/>
      <c r="C628" s="1616"/>
      <c r="D628" s="1630"/>
      <c r="E628" s="1619"/>
      <c r="F628" s="1616"/>
      <c r="G628" s="1618"/>
      <c r="H628" s="774" t="s">
        <v>6940</v>
      </c>
      <c r="I628" s="757">
        <f>DESPORC!C2243</f>
        <v>128</v>
      </c>
      <c r="J628" s="765" t="str">
        <f>DESPORC!D2243</f>
        <v>Formação de Recursos Humanos</v>
      </c>
    </row>
    <row r="629" spans="2:10" x14ac:dyDescent="0.25">
      <c r="B629" s="1619" t="s">
        <v>6941</v>
      </c>
      <c r="C629" s="1616">
        <f>'[3]Anexo I - Programas'!$C$216</f>
        <v>2039</v>
      </c>
      <c r="D629" s="1622" t="str">
        <f>'[3]Anexo I - Programas'!$D$216</f>
        <v>Promoção e Desenvolvimento da Educação de Jovens e Adultos</v>
      </c>
      <c r="E629" s="1619" t="s">
        <v>6941</v>
      </c>
      <c r="F629" s="1616">
        <f>C629</f>
        <v>2039</v>
      </c>
      <c r="G629" s="1618" t="str">
        <f>D629</f>
        <v>Promoção e Desenvolvimento da Educação de Jovens e Adultos</v>
      </c>
      <c r="H629" s="775" t="s">
        <v>3137</v>
      </c>
      <c r="I629" s="779" t="str">
        <f>F627</f>
        <v>6</v>
      </c>
      <c r="J629" s="762" t="str">
        <f>G627</f>
        <v>PROMOÇÃO E DESENVOLVIMENTO DA EDUCAÇÃO</v>
      </c>
    </row>
    <row r="630" spans="2:10" ht="30" x14ac:dyDescent="0.25">
      <c r="B630" s="1620"/>
      <c r="C630" s="1621"/>
      <c r="D630" s="1623"/>
      <c r="E630" s="1620"/>
      <c r="F630" s="1621"/>
      <c r="G630" s="1624"/>
      <c r="H630" s="776" t="s">
        <v>6941</v>
      </c>
      <c r="I630" s="780">
        <f>F629</f>
        <v>2039</v>
      </c>
      <c r="J630" s="764" t="str">
        <f>G629</f>
        <v>Promoção e Desenvolvimento da Educação de Jovens e Adultos</v>
      </c>
    </row>
    <row r="631" spans="2:10" ht="15.75" thickBot="1" x14ac:dyDescent="0.3">
      <c r="B631" s="769" t="s">
        <v>6939</v>
      </c>
      <c r="C631" s="1625">
        <f>'[3]Anexo I - Programas'!$H$217</f>
        <v>800000</v>
      </c>
      <c r="D631" s="1626"/>
      <c r="E631" s="769" t="s">
        <v>6939</v>
      </c>
      <c r="F631" s="1625">
        <f>'[3]Anexo I - Programas'!$J$217</f>
        <v>200000</v>
      </c>
      <c r="G631" s="1627"/>
      <c r="H631" s="778" t="s">
        <v>6939</v>
      </c>
      <c r="I631" s="1625">
        <f>DESPORC!I2245</f>
        <v>0.05</v>
      </c>
      <c r="J631" s="1627"/>
    </row>
    <row r="632" spans="2:10" x14ac:dyDescent="0.25">
      <c r="B632" s="1628" t="s">
        <v>3137</v>
      </c>
      <c r="C632" s="1615" t="str">
        <f>'[3]Anexo I - Programas'!$B$173</f>
        <v>6</v>
      </c>
      <c r="D632" s="1629" t="str">
        <f>'[3]Anexo I - Programas'!$C$173</f>
        <v>PROMOÇÃO E DESENVOLVIMENTO DA EDUCAÇÃO</v>
      </c>
      <c r="E632" s="1628" t="s">
        <v>3137</v>
      </c>
      <c r="F632" s="1615" t="str">
        <f>C632</f>
        <v>6</v>
      </c>
      <c r="G632" s="1617" t="str">
        <f>D632</f>
        <v>PROMOÇÃO E DESENVOLVIMENTO DA EDUCAÇÃO</v>
      </c>
      <c r="H632" s="773" t="s">
        <v>3138</v>
      </c>
      <c r="I632" s="757">
        <f>DESPORC!C2251</f>
        <v>12</v>
      </c>
      <c r="J632" s="765" t="str">
        <f>DESPORC!D2251</f>
        <v>Educação</v>
      </c>
    </row>
    <row r="633" spans="2:10" x14ac:dyDescent="0.25">
      <c r="B633" s="1619"/>
      <c r="C633" s="1616"/>
      <c r="D633" s="1630"/>
      <c r="E633" s="1619"/>
      <c r="F633" s="1616"/>
      <c r="G633" s="1618"/>
      <c r="H633" s="774" t="s">
        <v>6940</v>
      </c>
      <c r="I633" s="757">
        <f>DESPORC!C2252</f>
        <v>366</v>
      </c>
      <c r="J633" s="765" t="str">
        <f>DESPORC!D2252</f>
        <v>Educação de Jovens e Adultos</v>
      </c>
    </row>
    <row r="634" spans="2:10" x14ac:dyDescent="0.25">
      <c r="B634" s="1619" t="s">
        <v>6941</v>
      </c>
      <c r="C634" s="1616">
        <f>'[3]Anexo I - Programas'!$C$216</f>
        <v>2039</v>
      </c>
      <c r="D634" s="1622" t="str">
        <f>'[3]Anexo I - Programas'!$D$216</f>
        <v>Promoção e Desenvolvimento da Educação de Jovens e Adultos</v>
      </c>
      <c r="E634" s="1619" t="s">
        <v>6941</v>
      </c>
      <c r="F634" s="1616">
        <f>C634</f>
        <v>2039</v>
      </c>
      <c r="G634" s="1618" t="str">
        <f>D634</f>
        <v>Promoção e Desenvolvimento da Educação de Jovens e Adultos</v>
      </c>
      <c r="H634" s="775" t="s">
        <v>3137</v>
      </c>
      <c r="I634" s="779" t="str">
        <f>F632</f>
        <v>6</v>
      </c>
      <c r="J634" s="762" t="str">
        <f>G632</f>
        <v>PROMOÇÃO E DESENVOLVIMENTO DA EDUCAÇÃO</v>
      </c>
    </row>
    <row r="635" spans="2:10" ht="30" x14ac:dyDescent="0.25">
      <c r="B635" s="1620"/>
      <c r="C635" s="1621"/>
      <c r="D635" s="1623"/>
      <c r="E635" s="1620"/>
      <c r="F635" s="1621"/>
      <c r="G635" s="1624"/>
      <c r="H635" s="776" t="s">
        <v>6941</v>
      </c>
      <c r="I635" s="780">
        <f>F634</f>
        <v>2039</v>
      </c>
      <c r="J635" s="764" t="str">
        <f>G634</f>
        <v>Promoção e Desenvolvimento da Educação de Jovens e Adultos</v>
      </c>
    </row>
    <row r="636" spans="2:10" ht="15.75" thickBot="1" x14ac:dyDescent="0.3">
      <c r="B636" s="769" t="s">
        <v>6939</v>
      </c>
      <c r="C636" s="1625">
        <f>'[3]Anexo I - Programas'!$H$217</f>
        <v>800000</v>
      </c>
      <c r="D636" s="1626"/>
      <c r="E636" s="769" t="s">
        <v>6939</v>
      </c>
      <c r="F636" s="1625">
        <f>'[3]Anexo I - Programas'!$J$217</f>
        <v>200000</v>
      </c>
      <c r="G636" s="1627"/>
      <c r="H636" s="778" t="s">
        <v>6939</v>
      </c>
      <c r="I636" s="1625">
        <f>DESPORC!I2254</f>
        <v>309601.86314592429</v>
      </c>
      <c r="J636" s="1627"/>
    </row>
    <row r="637" spans="2:10" x14ac:dyDescent="0.25">
      <c r="B637" s="1628" t="s">
        <v>3137</v>
      </c>
      <c r="C637" s="1615" t="str">
        <f>'[3]Anexo I - Programas'!$B$173</f>
        <v>6</v>
      </c>
      <c r="D637" s="1629" t="str">
        <f>'[3]Anexo I - Programas'!$C$173</f>
        <v>PROMOÇÃO E DESENVOLVIMENTO DA EDUCAÇÃO</v>
      </c>
      <c r="E637" s="1628" t="s">
        <v>3137</v>
      </c>
      <c r="F637" s="1615" t="str">
        <f>C637</f>
        <v>6</v>
      </c>
      <c r="G637" s="1617" t="str">
        <f>D637</f>
        <v>PROMOÇÃO E DESENVOLVIMENTO DA EDUCAÇÃO</v>
      </c>
      <c r="H637" s="773" t="s">
        <v>3138</v>
      </c>
      <c r="I637" s="757">
        <f>DESPORC!C2279</f>
        <v>12</v>
      </c>
      <c r="J637" s="765" t="str">
        <f>DESPORC!D2279</f>
        <v>Educação</v>
      </c>
    </row>
    <row r="638" spans="2:10" x14ac:dyDescent="0.25">
      <c r="B638" s="1619"/>
      <c r="C638" s="1616"/>
      <c r="D638" s="1630"/>
      <c r="E638" s="1619"/>
      <c r="F638" s="1616"/>
      <c r="G638" s="1618"/>
      <c r="H638" s="774" t="s">
        <v>6940</v>
      </c>
      <c r="I638" s="757">
        <f>DESPORC!C2280</f>
        <v>126</v>
      </c>
      <c r="J638" s="765" t="str">
        <f>DESPORC!D2280</f>
        <v>Tecnologia da Informação</v>
      </c>
    </row>
    <row r="639" spans="2:10" x14ac:dyDescent="0.25">
      <c r="B639" s="1619" t="s">
        <v>6941</v>
      </c>
      <c r="C639" s="1616">
        <f>'[3]Anexo I - Programas'!$C$210</f>
        <v>2038</v>
      </c>
      <c r="D639" s="1622" t="str">
        <f>'[3]Anexo I - Programas'!$D$210</f>
        <v>Promoção e Desenvolvimento da Educação Especial</v>
      </c>
      <c r="E639" s="1619" t="s">
        <v>6941</v>
      </c>
      <c r="F639" s="1616">
        <f>C639</f>
        <v>2038</v>
      </c>
      <c r="G639" s="1618" t="str">
        <f>D639</f>
        <v>Promoção e Desenvolvimento da Educação Especial</v>
      </c>
      <c r="H639" s="775" t="s">
        <v>3137</v>
      </c>
      <c r="I639" s="779" t="str">
        <f>F637</f>
        <v>6</v>
      </c>
      <c r="J639" s="762" t="str">
        <f>G637</f>
        <v>PROMOÇÃO E DESENVOLVIMENTO DA EDUCAÇÃO</v>
      </c>
    </row>
    <row r="640" spans="2:10" x14ac:dyDescent="0.25">
      <c r="B640" s="1620"/>
      <c r="C640" s="1621"/>
      <c r="D640" s="1623"/>
      <c r="E640" s="1620"/>
      <c r="F640" s="1621"/>
      <c r="G640" s="1624"/>
      <c r="H640" s="776" t="s">
        <v>6941</v>
      </c>
      <c r="I640" s="780">
        <f>F639</f>
        <v>2038</v>
      </c>
      <c r="J640" s="764" t="str">
        <f>G639</f>
        <v>Promoção e Desenvolvimento da Educação Especial</v>
      </c>
    </row>
    <row r="641" spans="2:10" ht="15.75" thickBot="1" x14ac:dyDescent="0.3">
      <c r="B641" s="769" t="s">
        <v>6939</v>
      </c>
      <c r="C641" s="1625">
        <f>'[3]Anexo I - Programas'!$H$211</f>
        <v>1000000</v>
      </c>
      <c r="D641" s="1626"/>
      <c r="E641" s="769" t="s">
        <v>6939</v>
      </c>
      <c r="F641" s="1625">
        <f>'[3]Anexo I - Programas'!$J$211</f>
        <v>250000</v>
      </c>
      <c r="G641" s="1627"/>
      <c r="H641" s="778" t="s">
        <v>6939</v>
      </c>
      <c r="I641" s="1625">
        <f>DESPORC!I2282</f>
        <v>1.0973403E-2</v>
      </c>
      <c r="J641" s="1627"/>
    </row>
    <row r="642" spans="2:10" x14ac:dyDescent="0.25">
      <c r="B642" s="1628" t="s">
        <v>3137</v>
      </c>
      <c r="C642" s="1615" t="str">
        <f>'[3]Anexo I - Programas'!$B$173</f>
        <v>6</v>
      </c>
      <c r="D642" s="1629" t="str">
        <f>'[3]Anexo I - Programas'!$C$173</f>
        <v>PROMOÇÃO E DESENVOLVIMENTO DA EDUCAÇÃO</v>
      </c>
      <c r="E642" s="1628" t="s">
        <v>3137</v>
      </c>
      <c r="F642" s="1615" t="str">
        <f>C642</f>
        <v>6</v>
      </c>
      <c r="G642" s="1617" t="str">
        <f>D642</f>
        <v>PROMOÇÃO E DESENVOLVIMENTO DA EDUCAÇÃO</v>
      </c>
      <c r="H642" s="773" t="s">
        <v>3138</v>
      </c>
      <c r="I642" s="757">
        <f>DESPORC!C2284</f>
        <v>12</v>
      </c>
      <c r="J642" s="765" t="str">
        <f>DESPORC!D2284</f>
        <v>Educação</v>
      </c>
    </row>
    <row r="643" spans="2:10" x14ac:dyDescent="0.25">
      <c r="B643" s="1619"/>
      <c r="C643" s="1616"/>
      <c r="D643" s="1630"/>
      <c r="E643" s="1619"/>
      <c r="F643" s="1616"/>
      <c r="G643" s="1618"/>
      <c r="H643" s="774" t="s">
        <v>6940</v>
      </c>
      <c r="I643" s="757">
        <f>DESPORC!C2285</f>
        <v>128</v>
      </c>
      <c r="J643" s="765" t="str">
        <f>DESPORC!D2285</f>
        <v>Formação de Recursos Humanos</v>
      </c>
    </row>
    <row r="644" spans="2:10" x14ac:dyDescent="0.25">
      <c r="B644" s="1619" t="s">
        <v>6941</v>
      </c>
      <c r="C644" s="1616">
        <f>'[3]Anexo I - Programas'!$C$210</f>
        <v>2038</v>
      </c>
      <c r="D644" s="1622" t="str">
        <f>'[3]Anexo I - Programas'!$D$210</f>
        <v>Promoção e Desenvolvimento da Educação Especial</v>
      </c>
      <c r="E644" s="1619" t="s">
        <v>6941</v>
      </c>
      <c r="F644" s="1616">
        <f>C644</f>
        <v>2038</v>
      </c>
      <c r="G644" s="1618" t="str">
        <f>D644</f>
        <v>Promoção e Desenvolvimento da Educação Especial</v>
      </c>
      <c r="H644" s="775" t="s">
        <v>3137</v>
      </c>
      <c r="I644" s="779" t="str">
        <f>F642</f>
        <v>6</v>
      </c>
      <c r="J644" s="762" t="str">
        <f>G642</f>
        <v>PROMOÇÃO E DESENVOLVIMENTO DA EDUCAÇÃO</v>
      </c>
    </row>
    <row r="645" spans="2:10" x14ac:dyDescent="0.25">
      <c r="B645" s="1620"/>
      <c r="C645" s="1621"/>
      <c r="D645" s="1623"/>
      <c r="E645" s="1620"/>
      <c r="F645" s="1621"/>
      <c r="G645" s="1624"/>
      <c r="H645" s="776" t="s">
        <v>6941</v>
      </c>
      <c r="I645" s="780">
        <f>F644</f>
        <v>2038</v>
      </c>
      <c r="J645" s="764" t="str">
        <f>G644</f>
        <v>Promoção e Desenvolvimento da Educação Especial</v>
      </c>
    </row>
    <row r="646" spans="2:10" ht="15.75" thickBot="1" x14ac:dyDescent="0.3">
      <c r="B646" s="769" t="s">
        <v>6939</v>
      </c>
      <c r="C646" s="1625">
        <f>'[3]Anexo I - Programas'!$H$211</f>
        <v>1000000</v>
      </c>
      <c r="D646" s="1626"/>
      <c r="E646" s="769" t="s">
        <v>6939</v>
      </c>
      <c r="F646" s="1625">
        <f>'[3]Anexo I - Programas'!$J$211</f>
        <v>250000</v>
      </c>
      <c r="G646" s="1627"/>
      <c r="H646" s="778" t="s">
        <v>6939</v>
      </c>
      <c r="I646" s="1625">
        <f>DESPORC!I2287</f>
        <v>0.05</v>
      </c>
      <c r="J646" s="1627"/>
    </row>
    <row r="647" spans="2:10" x14ac:dyDescent="0.25">
      <c r="B647" s="1628" t="s">
        <v>3137</v>
      </c>
      <c r="C647" s="1615" t="str">
        <f>'[3]Anexo I - Programas'!$B$173</f>
        <v>6</v>
      </c>
      <c r="D647" s="1629" t="str">
        <f>'[3]Anexo I - Programas'!$C$173</f>
        <v>PROMOÇÃO E DESENVOLVIMENTO DA EDUCAÇÃO</v>
      </c>
      <c r="E647" s="1628" t="s">
        <v>3137</v>
      </c>
      <c r="F647" s="1615" t="str">
        <f>C647</f>
        <v>6</v>
      </c>
      <c r="G647" s="1617" t="str">
        <f>D647</f>
        <v>PROMOÇÃO E DESENVOLVIMENTO DA EDUCAÇÃO</v>
      </c>
      <c r="H647" s="773" t="s">
        <v>3138</v>
      </c>
      <c r="I647" s="757">
        <f>DESPORC!C2293</f>
        <v>12</v>
      </c>
      <c r="J647" s="765" t="str">
        <f>DESPORC!D2293</f>
        <v>Educação</v>
      </c>
    </row>
    <row r="648" spans="2:10" x14ac:dyDescent="0.25">
      <c r="B648" s="1619"/>
      <c r="C648" s="1616"/>
      <c r="D648" s="1630"/>
      <c r="E648" s="1619"/>
      <c r="F648" s="1616"/>
      <c r="G648" s="1618"/>
      <c r="H648" s="774" t="s">
        <v>6940</v>
      </c>
      <c r="I648" s="757">
        <f>DESPORC!C2294</f>
        <v>367</v>
      </c>
      <c r="J648" s="765" t="str">
        <f>DESPORC!D2294</f>
        <v>Educação Especial</v>
      </c>
    </row>
    <row r="649" spans="2:10" x14ac:dyDescent="0.25">
      <c r="B649" s="1619" t="s">
        <v>6941</v>
      </c>
      <c r="C649" s="1616">
        <f>'[3]Anexo I - Programas'!$C$210</f>
        <v>2038</v>
      </c>
      <c r="D649" s="1622" t="str">
        <f>'[3]Anexo I - Programas'!$D$210</f>
        <v>Promoção e Desenvolvimento da Educação Especial</v>
      </c>
      <c r="E649" s="1619" t="s">
        <v>6941</v>
      </c>
      <c r="F649" s="1616">
        <f>C649</f>
        <v>2038</v>
      </c>
      <c r="G649" s="1618" t="str">
        <f>D649</f>
        <v>Promoção e Desenvolvimento da Educação Especial</v>
      </c>
      <c r="H649" s="775" t="s">
        <v>3137</v>
      </c>
      <c r="I649" s="779" t="str">
        <f>F647</f>
        <v>6</v>
      </c>
      <c r="J649" s="762" t="str">
        <f>G647</f>
        <v>PROMOÇÃO E DESENVOLVIMENTO DA EDUCAÇÃO</v>
      </c>
    </row>
    <row r="650" spans="2:10" x14ac:dyDescent="0.25">
      <c r="B650" s="1620"/>
      <c r="C650" s="1621"/>
      <c r="D650" s="1623"/>
      <c r="E650" s="1620"/>
      <c r="F650" s="1621"/>
      <c r="G650" s="1624"/>
      <c r="H650" s="776" t="s">
        <v>6941</v>
      </c>
      <c r="I650" s="780">
        <f>F649</f>
        <v>2038</v>
      </c>
      <c r="J650" s="764" t="str">
        <f>G649</f>
        <v>Promoção e Desenvolvimento da Educação Especial</v>
      </c>
    </row>
    <row r="651" spans="2:10" ht="15.75" thickBot="1" x14ac:dyDescent="0.3">
      <c r="B651" s="769" t="s">
        <v>6939</v>
      </c>
      <c r="C651" s="1625">
        <f>'[3]Anexo I - Programas'!$H$211</f>
        <v>1000000</v>
      </c>
      <c r="D651" s="1626"/>
      <c r="E651" s="769" t="s">
        <v>6939</v>
      </c>
      <c r="F651" s="1625">
        <f>'[3]Anexo I - Programas'!$J$211</f>
        <v>250000</v>
      </c>
      <c r="G651" s="1627"/>
      <c r="H651" s="778" t="s">
        <v>6939</v>
      </c>
      <c r="I651" s="1625">
        <f>DESPORC!I2296</f>
        <v>136093.65246089059</v>
      </c>
      <c r="J651" s="1627"/>
    </row>
    <row r="653" spans="2:10" x14ac:dyDescent="0.25">
      <c r="B653" s="1631" t="s">
        <v>6927</v>
      </c>
      <c r="C653" s="1631"/>
      <c r="D653" s="755" t="str">
        <f>DESPORC!C2340</f>
        <v>03 - SECRETARIA MUNICIPAL DE EDUCAÇÃO, CULT. E DESPORTO</v>
      </c>
      <c r="E653" s="785"/>
      <c r="F653" s="786"/>
      <c r="G653" s="786"/>
      <c r="H653" s="785"/>
      <c r="I653" s="786"/>
      <c r="J653" s="786"/>
    </row>
    <row r="654" spans="2:10" ht="15.75" thickBot="1" x14ac:dyDescent="0.3">
      <c r="B654" s="1632" t="s">
        <v>3087</v>
      </c>
      <c r="C654" s="1632"/>
      <c r="D654" s="755" t="str">
        <f>DESPORC!C2341</f>
        <v>04 - DESENVOLVIMENTO DO ENSINO - PROGRAMAS FEDERAIS</v>
      </c>
      <c r="E654" s="785"/>
      <c r="F654" s="36"/>
      <c r="G654" s="1"/>
      <c r="H654" s="772"/>
      <c r="I654" s="1"/>
      <c r="J654" s="1"/>
    </row>
    <row r="655" spans="2:10" ht="15.75" thickBot="1" x14ac:dyDescent="0.3">
      <c r="B655" s="1633" t="str">
        <f>B$10</f>
        <v>PPA LEI MUNICIPAL N.º 1091  DE 16 DE JUNHO DE 2017.</v>
      </c>
      <c r="C655" s="1634"/>
      <c r="D655" s="1635"/>
      <c r="E655" s="1633" t="str">
        <f>E$10</f>
        <v>LDO LEI MUNICIPAL N.º 1166  DE 10 DE OUTUBRO DE 2019.</v>
      </c>
      <c r="F655" s="1634"/>
      <c r="G655" s="1635"/>
      <c r="H655" s="1633" t="str">
        <f>H$10</f>
        <v>LOA 2020</v>
      </c>
      <c r="I655" s="1634"/>
      <c r="J655" s="1635"/>
    </row>
    <row r="656" spans="2:10" x14ac:dyDescent="0.25">
      <c r="B656" s="1628" t="s">
        <v>3137</v>
      </c>
      <c r="C656" s="1615" t="str">
        <f>'[3]Anexo I - Programas'!$B$173</f>
        <v>6</v>
      </c>
      <c r="D656" s="1629" t="str">
        <f>'[3]Anexo I - Programas'!$C$173</f>
        <v>PROMOÇÃO E DESENVOLVIMENTO DA EDUCAÇÃO</v>
      </c>
      <c r="E656" s="1628" t="s">
        <v>3137</v>
      </c>
      <c r="F656" s="1615" t="str">
        <f>C656</f>
        <v>6</v>
      </c>
      <c r="G656" s="1617" t="str">
        <f>D656</f>
        <v>PROMOÇÃO E DESENVOLVIMENTO DA EDUCAÇÃO</v>
      </c>
      <c r="H656" s="773" t="s">
        <v>3138</v>
      </c>
      <c r="I656" s="757">
        <f>DESPORC!C2344</f>
        <v>12</v>
      </c>
      <c r="J656" s="765" t="str">
        <f>DESPORC!D2344</f>
        <v>Educação</v>
      </c>
    </row>
    <row r="657" spans="2:10" x14ac:dyDescent="0.25">
      <c r="B657" s="1619"/>
      <c r="C657" s="1616"/>
      <c r="D657" s="1630"/>
      <c r="E657" s="1619"/>
      <c r="F657" s="1616"/>
      <c r="G657" s="1618"/>
      <c r="H657" s="774" t="s">
        <v>6940</v>
      </c>
      <c r="I657" s="757">
        <f>DESPORC!C2345</f>
        <v>122</v>
      </c>
      <c r="J657" s="765" t="str">
        <f>DESPORC!D2345</f>
        <v>Administração Geral</v>
      </c>
    </row>
    <row r="658" spans="2:10" x14ac:dyDescent="0.25">
      <c r="B658" s="1619" t="s">
        <v>6941</v>
      </c>
      <c r="C658" s="1616">
        <f>'[3]Anexo I - Programas'!$C$182</f>
        <v>1005</v>
      </c>
      <c r="D658" s="1622" t="str">
        <f>'[3]Anexo I - Programas'!$D$182</f>
        <v>Novos Investimentos em Educação</v>
      </c>
      <c r="E658" s="1619" t="s">
        <v>6941</v>
      </c>
      <c r="F658" s="1616">
        <f>C658</f>
        <v>1005</v>
      </c>
      <c r="G658" s="1618" t="str">
        <f>D658</f>
        <v>Novos Investimentos em Educação</v>
      </c>
      <c r="H658" s="775" t="s">
        <v>3137</v>
      </c>
      <c r="I658" s="783" t="str">
        <f>F656</f>
        <v>6</v>
      </c>
      <c r="J658" s="762" t="str">
        <f>G656</f>
        <v>PROMOÇÃO E DESENVOLVIMENTO DA EDUCAÇÃO</v>
      </c>
    </row>
    <row r="659" spans="2:10" x14ac:dyDescent="0.25">
      <c r="B659" s="1620"/>
      <c r="C659" s="1621"/>
      <c r="D659" s="1623"/>
      <c r="E659" s="1620"/>
      <c r="F659" s="1621"/>
      <c r="G659" s="1624"/>
      <c r="H659" s="776" t="s">
        <v>6941</v>
      </c>
      <c r="I659" s="784">
        <f>F658</f>
        <v>1005</v>
      </c>
      <c r="J659" s="764" t="str">
        <f>G658</f>
        <v>Novos Investimentos em Educação</v>
      </c>
    </row>
    <row r="660" spans="2:10" ht="15.75" thickBot="1" x14ac:dyDescent="0.3">
      <c r="B660" s="769" t="s">
        <v>6939</v>
      </c>
      <c r="C660" s="1625">
        <f>'[3]Anexo I - Programas'!$H$183</f>
        <v>200000</v>
      </c>
      <c r="D660" s="1626"/>
      <c r="E660" s="769" t="s">
        <v>6939</v>
      </c>
      <c r="F660" s="1625">
        <f>'[3]Anexo I - Programas'!$J$183</f>
        <v>50000</v>
      </c>
      <c r="G660" s="1627"/>
      <c r="H660" s="778" t="s">
        <v>6939</v>
      </c>
      <c r="I660" s="1625">
        <f>DESPORC!I2347</f>
        <v>1.01</v>
      </c>
      <c r="J660" s="1627"/>
    </row>
    <row r="662" spans="2:10" x14ac:dyDescent="0.25">
      <c r="B662" s="1631" t="s">
        <v>6927</v>
      </c>
      <c r="C662" s="1631"/>
      <c r="D662" s="755" t="str">
        <f>DESPORC!C2361</f>
        <v>03 - SECRETARIA MUNICIPAL DE EDUCAÇÃO, CULT. E DESPORTO</v>
      </c>
      <c r="E662" s="785"/>
      <c r="F662" s="786"/>
      <c r="G662" s="786"/>
      <c r="H662" s="785"/>
      <c r="I662" s="786"/>
      <c r="J662" s="786"/>
    </row>
    <row r="663" spans="2:10" ht="15.75" thickBot="1" x14ac:dyDescent="0.3">
      <c r="B663" s="1632" t="s">
        <v>3087</v>
      </c>
      <c r="C663" s="1632"/>
      <c r="D663" s="755" t="str">
        <f>DESPORC!C2362</f>
        <v>05 - DESENVOLVIMENTO DO ENSINO - RECURSOS LIVRES</v>
      </c>
      <c r="E663" s="785"/>
      <c r="F663" s="36"/>
      <c r="G663" s="1"/>
      <c r="H663" s="772"/>
      <c r="I663" s="1"/>
      <c r="J663" s="1"/>
    </row>
    <row r="664" spans="2:10" ht="15.75" thickBot="1" x14ac:dyDescent="0.3">
      <c r="B664" s="1633" t="str">
        <f>B$10</f>
        <v>PPA LEI MUNICIPAL N.º 1091  DE 16 DE JUNHO DE 2017.</v>
      </c>
      <c r="C664" s="1634"/>
      <c r="D664" s="1635"/>
      <c r="E664" s="1633" t="str">
        <f>E$10</f>
        <v>LDO LEI MUNICIPAL N.º 1166  DE 10 DE OUTUBRO DE 2019.</v>
      </c>
      <c r="F664" s="1634"/>
      <c r="G664" s="1635"/>
      <c r="H664" s="1633" t="str">
        <f>H$10</f>
        <v>LOA 2020</v>
      </c>
      <c r="I664" s="1634"/>
      <c r="J664" s="1635"/>
    </row>
    <row r="665" spans="2:10" x14ac:dyDescent="0.25">
      <c r="B665" s="1628" t="s">
        <v>3137</v>
      </c>
      <c r="C665" s="1615" t="str">
        <f>'[3]Anexo I - Programas'!$B$173</f>
        <v>6</v>
      </c>
      <c r="D665" s="1629" t="str">
        <f>'[3]Anexo I - Programas'!$C$173</f>
        <v>PROMOÇÃO E DESENVOLVIMENTO DA EDUCAÇÃO</v>
      </c>
      <c r="E665" s="1628" t="s">
        <v>3137</v>
      </c>
      <c r="F665" s="1615" t="str">
        <f>C665</f>
        <v>6</v>
      </c>
      <c r="G665" s="1617" t="str">
        <f>D665</f>
        <v>PROMOÇÃO E DESENVOLVIMENTO DA EDUCAÇÃO</v>
      </c>
      <c r="H665" s="773" t="s">
        <v>3138</v>
      </c>
      <c r="I665" s="757">
        <f>DESPORC!C2365</f>
        <v>12</v>
      </c>
      <c r="J665" s="765" t="str">
        <f>DESPORC!D2365</f>
        <v>Educação</v>
      </c>
    </row>
    <row r="666" spans="2:10" x14ac:dyDescent="0.25">
      <c r="B666" s="1619"/>
      <c r="C666" s="1616"/>
      <c r="D666" s="1630"/>
      <c r="E666" s="1619"/>
      <c r="F666" s="1616"/>
      <c r="G666" s="1618"/>
      <c r="H666" s="774" t="s">
        <v>6940</v>
      </c>
      <c r="I666" s="757">
        <f>DESPORC!C2366</f>
        <v>122</v>
      </c>
      <c r="J666" s="765" t="str">
        <f>DESPORC!D2366</f>
        <v>Administração Geral</v>
      </c>
    </row>
    <row r="667" spans="2:10" x14ac:dyDescent="0.25">
      <c r="B667" s="1619" t="s">
        <v>6941</v>
      </c>
      <c r="C667" s="1616">
        <f>'[3]Anexo I - Programas'!$C$182</f>
        <v>1005</v>
      </c>
      <c r="D667" s="1622" t="str">
        <f>'[3]Anexo I - Programas'!$D$182</f>
        <v>Novos Investimentos em Educação</v>
      </c>
      <c r="E667" s="1619" t="s">
        <v>6941</v>
      </c>
      <c r="F667" s="1616">
        <f>C667</f>
        <v>1005</v>
      </c>
      <c r="G667" s="1618" t="str">
        <f>D667</f>
        <v>Novos Investimentos em Educação</v>
      </c>
      <c r="H667" s="775" t="s">
        <v>3137</v>
      </c>
      <c r="I667" s="783" t="str">
        <f>F665</f>
        <v>6</v>
      </c>
      <c r="J667" s="762" t="str">
        <f>G665</f>
        <v>PROMOÇÃO E DESENVOLVIMENTO DA EDUCAÇÃO</v>
      </c>
    </row>
    <row r="668" spans="2:10" x14ac:dyDescent="0.25">
      <c r="B668" s="1620"/>
      <c r="C668" s="1621"/>
      <c r="D668" s="1623"/>
      <c r="E668" s="1620"/>
      <c r="F668" s="1621"/>
      <c r="G668" s="1624"/>
      <c r="H668" s="776" t="s">
        <v>6941</v>
      </c>
      <c r="I668" s="784">
        <f>F667</f>
        <v>1005</v>
      </c>
      <c r="J668" s="764" t="str">
        <f>G667</f>
        <v>Novos Investimentos em Educação</v>
      </c>
    </row>
    <row r="669" spans="2:10" ht="15.75" thickBot="1" x14ac:dyDescent="0.3">
      <c r="B669" s="769" t="s">
        <v>6939</v>
      </c>
      <c r="C669" s="1625">
        <f>'[3]Anexo I - Programas'!$H$183</f>
        <v>200000</v>
      </c>
      <c r="D669" s="1626"/>
      <c r="E669" s="769" t="s">
        <v>6939</v>
      </c>
      <c r="F669" s="1625">
        <f>'[3]Anexo I - Programas'!$J$183</f>
        <v>50000</v>
      </c>
      <c r="G669" s="1627"/>
      <c r="H669" s="778" t="s">
        <v>6939</v>
      </c>
      <c r="I669" s="1625">
        <f>DESPORC!I2367</f>
        <v>81189.728340404501</v>
      </c>
      <c r="J669" s="1627"/>
    </row>
    <row r="670" spans="2:10" x14ac:dyDescent="0.25">
      <c r="B670" s="1628" t="s">
        <v>3137</v>
      </c>
      <c r="C670" s="1615" t="str">
        <f>'[3]Anexo I - Programas'!$B$173</f>
        <v>6</v>
      </c>
      <c r="D670" s="1629" t="str">
        <f>'[3]Anexo I - Programas'!$C$173</f>
        <v>PROMOÇÃO E DESENVOLVIMENTO DA EDUCAÇÃO</v>
      </c>
      <c r="E670" s="1628" t="s">
        <v>3137</v>
      </c>
      <c r="F670" s="1615" t="str">
        <f>C670</f>
        <v>6</v>
      </c>
      <c r="G670" s="1617" t="str">
        <f>D670</f>
        <v>PROMOÇÃO E DESENVOLVIMENTO DA EDUCAÇÃO</v>
      </c>
      <c r="H670" s="773" t="s">
        <v>3138</v>
      </c>
      <c r="I670" s="757">
        <f>DESPORC!C2389</f>
        <v>12</v>
      </c>
      <c r="J670" s="765" t="str">
        <f>DESPORC!D2389</f>
        <v>Educação</v>
      </c>
    </row>
    <row r="671" spans="2:10" x14ac:dyDescent="0.25">
      <c r="B671" s="1619"/>
      <c r="C671" s="1616"/>
      <c r="D671" s="1630"/>
      <c r="E671" s="1619"/>
      <c r="F671" s="1616"/>
      <c r="G671" s="1618"/>
      <c r="H671" s="774" t="s">
        <v>6940</v>
      </c>
      <c r="I671" s="757">
        <f>DESPORC!C2390</f>
        <v>126</v>
      </c>
      <c r="J671" s="765" t="str">
        <f>DESPORC!D2390</f>
        <v>Tecnologia da Informação</v>
      </c>
    </row>
    <row r="672" spans="2:10" x14ac:dyDescent="0.25">
      <c r="B672" s="1619" t="s">
        <v>6941</v>
      </c>
      <c r="C672" s="1616">
        <f>'[3]Anexo I - Programas'!$C$192</f>
        <v>2005</v>
      </c>
      <c r="D672" s="1622" t="str">
        <f>'[3]Anexo I - Programas'!$D$192</f>
        <v>Gestão, Coordenação, e Planejamento Educacional</v>
      </c>
      <c r="E672" s="1619" t="s">
        <v>6941</v>
      </c>
      <c r="F672" s="1616">
        <f>C672</f>
        <v>2005</v>
      </c>
      <c r="G672" s="1618" t="str">
        <f>D672</f>
        <v>Gestão, Coordenação, e Planejamento Educacional</v>
      </c>
      <c r="H672" s="775" t="s">
        <v>3137</v>
      </c>
      <c r="I672" s="783" t="str">
        <f>F670</f>
        <v>6</v>
      </c>
      <c r="J672" s="762" t="str">
        <f>G670</f>
        <v>PROMOÇÃO E DESENVOLVIMENTO DA EDUCAÇÃO</v>
      </c>
    </row>
    <row r="673" spans="2:10" x14ac:dyDescent="0.25">
      <c r="B673" s="1620"/>
      <c r="C673" s="1621"/>
      <c r="D673" s="1623"/>
      <c r="E673" s="1620"/>
      <c r="F673" s="1621"/>
      <c r="G673" s="1624"/>
      <c r="H673" s="776" t="s">
        <v>6941</v>
      </c>
      <c r="I673" s="784">
        <f>F672</f>
        <v>2005</v>
      </c>
      <c r="J673" s="764" t="str">
        <f>G672</f>
        <v>Gestão, Coordenação, e Planejamento Educacional</v>
      </c>
    </row>
    <row r="674" spans="2:10" ht="15.75" thickBot="1" x14ac:dyDescent="0.3">
      <c r="B674" s="769" t="s">
        <v>6939</v>
      </c>
      <c r="C674" s="1625">
        <f>'[3]Anexo I - Programas'!$H$193</f>
        <v>750000</v>
      </c>
      <c r="D674" s="1626"/>
      <c r="E674" s="769" t="s">
        <v>6939</v>
      </c>
      <c r="F674" s="1625">
        <f>'[3]Anexo I - Programas'!$J$193</f>
        <v>187500</v>
      </c>
      <c r="G674" s="1627"/>
      <c r="H674" s="778" t="s">
        <v>6939</v>
      </c>
      <c r="I674" s="1625">
        <f>DESPORC!I2392</f>
        <v>0.01</v>
      </c>
      <c r="J674" s="1627"/>
    </row>
    <row r="675" spans="2:10" x14ac:dyDescent="0.25">
      <c r="B675" s="1628" t="s">
        <v>3137</v>
      </c>
      <c r="C675" s="1615" t="str">
        <f>'[3]Anexo I - Programas'!$B$173</f>
        <v>6</v>
      </c>
      <c r="D675" s="1629" t="str">
        <f>'[3]Anexo I - Programas'!$C$173</f>
        <v>PROMOÇÃO E DESENVOLVIMENTO DA EDUCAÇÃO</v>
      </c>
      <c r="E675" s="1628" t="s">
        <v>3137</v>
      </c>
      <c r="F675" s="1615" t="str">
        <f>C675</f>
        <v>6</v>
      </c>
      <c r="G675" s="1617" t="str">
        <f>D675</f>
        <v>PROMOÇÃO E DESENVOLVIMENTO DA EDUCAÇÃO</v>
      </c>
      <c r="H675" s="773" t="s">
        <v>3138</v>
      </c>
      <c r="I675" s="757">
        <f>DESPORC!C2394</f>
        <v>12</v>
      </c>
      <c r="J675" s="765" t="str">
        <f>DESPORC!D2394</f>
        <v>Educação</v>
      </c>
    </row>
    <row r="676" spans="2:10" x14ac:dyDescent="0.25">
      <c r="B676" s="1619"/>
      <c r="C676" s="1616"/>
      <c r="D676" s="1630"/>
      <c r="E676" s="1619"/>
      <c r="F676" s="1616"/>
      <c r="G676" s="1618"/>
      <c r="H676" s="774" t="s">
        <v>6940</v>
      </c>
      <c r="I676" s="757">
        <f>DESPORC!C2395</f>
        <v>128</v>
      </c>
      <c r="J676" s="765" t="str">
        <f>DESPORC!D2395</f>
        <v>Formação de Recursos Humanos</v>
      </c>
    </row>
    <row r="677" spans="2:10" x14ac:dyDescent="0.25">
      <c r="B677" s="1619" t="s">
        <v>6941</v>
      </c>
      <c r="C677" s="1616">
        <f>'[3]Anexo I - Programas'!$C$192</f>
        <v>2005</v>
      </c>
      <c r="D677" s="1622" t="str">
        <f>'[3]Anexo I - Programas'!$D$192</f>
        <v>Gestão, Coordenação, e Planejamento Educacional</v>
      </c>
      <c r="E677" s="1619" t="s">
        <v>6941</v>
      </c>
      <c r="F677" s="1616">
        <f>C677</f>
        <v>2005</v>
      </c>
      <c r="G677" s="1618" t="str">
        <f>D677</f>
        <v>Gestão, Coordenação, e Planejamento Educacional</v>
      </c>
      <c r="H677" s="775" t="s">
        <v>3137</v>
      </c>
      <c r="I677" s="783" t="str">
        <f>F675</f>
        <v>6</v>
      </c>
      <c r="J677" s="762" t="str">
        <f>G675</f>
        <v>PROMOÇÃO E DESENVOLVIMENTO DA EDUCAÇÃO</v>
      </c>
    </row>
    <row r="678" spans="2:10" x14ac:dyDescent="0.25">
      <c r="B678" s="1620"/>
      <c r="C678" s="1621"/>
      <c r="D678" s="1623"/>
      <c r="E678" s="1620"/>
      <c r="F678" s="1621"/>
      <c r="G678" s="1624"/>
      <c r="H678" s="776" t="s">
        <v>6941</v>
      </c>
      <c r="I678" s="784">
        <f>F677</f>
        <v>2005</v>
      </c>
      <c r="J678" s="764" t="str">
        <f>G677</f>
        <v>Gestão, Coordenação, e Planejamento Educacional</v>
      </c>
    </row>
    <row r="679" spans="2:10" ht="15.75" thickBot="1" x14ac:dyDescent="0.3">
      <c r="B679" s="769" t="s">
        <v>6939</v>
      </c>
      <c r="C679" s="1625">
        <f>'[3]Anexo I - Programas'!$H$193</f>
        <v>750000</v>
      </c>
      <c r="D679" s="1626"/>
      <c r="E679" s="769" t="s">
        <v>6939</v>
      </c>
      <c r="F679" s="1625">
        <f>'[3]Anexo I - Programas'!$J$193</f>
        <v>187500</v>
      </c>
      <c r="G679" s="1627"/>
      <c r="H679" s="778" t="s">
        <v>6939</v>
      </c>
      <c r="I679" s="1625">
        <f>DESPORC!I2397</f>
        <v>0.05</v>
      </c>
      <c r="J679" s="1627"/>
    </row>
    <row r="680" spans="2:10" x14ac:dyDescent="0.25">
      <c r="J680" s="15"/>
    </row>
    <row r="681" spans="2:10" x14ac:dyDescent="0.25">
      <c r="B681" s="787"/>
      <c r="C681" s="788"/>
      <c r="E681" s="787"/>
      <c r="H681" s="787"/>
      <c r="J681" s="15"/>
    </row>
    <row r="682" spans="2:10" x14ac:dyDescent="0.25">
      <c r="B682" s="787"/>
      <c r="C682" s="788"/>
      <c r="E682" s="787"/>
      <c r="H682" s="787"/>
      <c r="J682" s="15"/>
    </row>
    <row r="683" spans="2:10" x14ac:dyDescent="0.25">
      <c r="B683" s="787"/>
      <c r="C683" s="788"/>
      <c r="E683" s="787"/>
      <c r="H683" s="787"/>
      <c r="J683" s="15"/>
    </row>
    <row r="684" spans="2:10" x14ac:dyDescent="0.25">
      <c r="B684" s="787"/>
      <c r="C684" s="788"/>
      <c r="E684" s="787"/>
      <c r="H684" s="787"/>
      <c r="J684" s="15"/>
    </row>
    <row r="685" spans="2:10" x14ac:dyDescent="0.25">
      <c r="B685" s="787"/>
      <c r="C685" s="788"/>
      <c r="E685" s="787"/>
      <c r="H685" s="787"/>
      <c r="J685" s="15"/>
    </row>
    <row r="686" spans="2:10" x14ac:dyDescent="0.25">
      <c r="B686" s="787"/>
      <c r="C686" s="788"/>
      <c r="E686" s="787"/>
      <c r="H686" s="787"/>
      <c r="J686" s="15"/>
    </row>
    <row r="687" spans="2:10" x14ac:dyDescent="0.25">
      <c r="B687" s="787"/>
      <c r="C687" s="788"/>
      <c r="E687" s="787"/>
      <c r="H687" s="787"/>
      <c r="J687" s="15"/>
    </row>
    <row r="688" spans="2:10" x14ac:dyDescent="0.25">
      <c r="B688" s="787"/>
      <c r="C688" s="788"/>
      <c r="E688" s="787"/>
      <c r="H688" s="787"/>
      <c r="J688" s="15"/>
    </row>
    <row r="689" spans="2:10" x14ac:dyDescent="0.25">
      <c r="B689" s="787"/>
      <c r="C689" s="788"/>
      <c r="E689" s="787"/>
      <c r="H689" s="787"/>
      <c r="J689" s="15"/>
    </row>
    <row r="690" spans="2:10" x14ac:dyDescent="0.25">
      <c r="B690" s="787"/>
      <c r="C690" s="788"/>
      <c r="E690" s="787"/>
      <c r="H690" s="787"/>
      <c r="J690" s="15"/>
    </row>
    <row r="691" spans="2:10" x14ac:dyDescent="0.25">
      <c r="B691" s="787"/>
      <c r="C691" s="788"/>
      <c r="E691" s="787"/>
      <c r="H691" s="787"/>
      <c r="J691" s="15"/>
    </row>
    <row r="692" spans="2:10" x14ac:dyDescent="0.25">
      <c r="B692" s="787"/>
      <c r="C692" s="788"/>
      <c r="E692" s="787"/>
      <c r="H692" s="787"/>
      <c r="J692" s="15"/>
    </row>
    <row r="693" spans="2:10" x14ac:dyDescent="0.25">
      <c r="B693" s="787"/>
      <c r="C693" s="788"/>
      <c r="E693" s="787"/>
      <c r="H693" s="787"/>
      <c r="J693" s="15"/>
    </row>
    <row r="694" spans="2:10" x14ac:dyDescent="0.25">
      <c r="B694" s="787"/>
      <c r="C694" s="788"/>
      <c r="E694" s="787"/>
      <c r="H694" s="787"/>
      <c r="J694" s="15"/>
    </row>
    <row r="695" spans="2:10" x14ac:dyDescent="0.25">
      <c r="B695" s="787"/>
      <c r="C695" s="788"/>
      <c r="E695" s="787"/>
      <c r="H695" s="787"/>
      <c r="J695" s="15"/>
    </row>
    <row r="696" spans="2:10" x14ac:dyDescent="0.25">
      <c r="B696" s="1631" t="s">
        <v>6927</v>
      </c>
      <c r="C696" s="1631"/>
      <c r="D696" s="755" t="str">
        <f>DESPORC!C2408</f>
        <v>03 - SECRETARIA MUNICIPAL DE EDUCAÇÃO, CULT. E DESPORTO</v>
      </c>
      <c r="E696" s="785"/>
      <c r="F696" s="786"/>
      <c r="G696" s="786"/>
      <c r="H696" s="785"/>
      <c r="I696" s="786"/>
      <c r="J696" s="786"/>
    </row>
    <row r="697" spans="2:10" ht="15.75" thickBot="1" x14ac:dyDescent="0.3">
      <c r="B697" s="1632" t="s">
        <v>3087</v>
      </c>
      <c r="C697" s="1632"/>
      <c r="D697" s="755" t="str">
        <f>DESPORC!C2409</f>
        <v>06 - DEPARTAMENTO DE ALIMENTAÇÃO E NUTRIÇÃO ESCOLAR</v>
      </c>
      <c r="E697" s="785"/>
      <c r="F697" s="36"/>
      <c r="G697" s="1"/>
      <c r="H697" s="772"/>
      <c r="I697" s="1"/>
      <c r="J697" s="1"/>
    </row>
    <row r="698" spans="2:10" ht="15.75" thickBot="1" x14ac:dyDescent="0.3">
      <c r="B698" s="1633" t="str">
        <f>B$10</f>
        <v>PPA LEI MUNICIPAL N.º 1091  DE 16 DE JUNHO DE 2017.</v>
      </c>
      <c r="C698" s="1634"/>
      <c r="D698" s="1635"/>
      <c r="E698" s="1633" t="str">
        <f>E$10</f>
        <v>LDO LEI MUNICIPAL N.º 1166  DE 10 DE OUTUBRO DE 2019.</v>
      </c>
      <c r="F698" s="1634"/>
      <c r="G698" s="1635"/>
      <c r="H698" s="1633" t="str">
        <f>H$10</f>
        <v>LOA 2020</v>
      </c>
      <c r="I698" s="1634"/>
      <c r="J698" s="1635"/>
    </row>
    <row r="699" spans="2:10" x14ac:dyDescent="0.25">
      <c r="B699" s="1628" t="s">
        <v>3137</v>
      </c>
      <c r="C699" s="1615" t="str">
        <f>'[3]Anexo I - Programas'!$B$173</f>
        <v>6</v>
      </c>
      <c r="D699" s="1629" t="str">
        <f>'[3]Anexo I - Programas'!$C$173</f>
        <v>PROMOÇÃO E DESENVOLVIMENTO DA EDUCAÇÃO</v>
      </c>
      <c r="E699" s="1628" t="s">
        <v>3137</v>
      </c>
      <c r="F699" s="1615" t="str">
        <f>C699</f>
        <v>6</v>
      </c>
      <c r="G699" s="1617" t="str">
        <f>D699</f>
        <v>PROMOÇÃO E DESENVOLVIMENTO DA EDUCAÇÃO</v>
      </c>
      <c r="H699" s="773" t="s">
        <v>3138</v>
      </c>
      <c r="I699" s="757">
        <f>DESPORC!C2412</f>
        <v>12</v>
      </c>
      <c r="J699" s="765" t="str">
        <f>DESPORC!D2412</f>
        <v>Educação</v>
      </c>
    </row>
    <row r="700" spans="2:10" x14ac:dyDescent="0.25">
      <c r="B700" s="1619"/>
      <c r="C700" s="1616"/>
      <c r="D700" s="1630"/>
      <c r="E700" s="1619"/>
      <c r="F700" s="1616"/>
      <c r="G700" s="1618"/>
      <c r="H700" s="774" t="s">
        <v>6940</v>
      </c>
      <c r="I700" s="757">
        <f>DESPORC!C2413</f>
        <v>122</v>
      </c>
      <c r="J700" s="765" t="str">
        <f>DESPORC!D2413</f>
        <v>Administração Geral</v>
      </c>
    </row>
    <row r="701" spans="2:10" x14ac:dyDescent="0.25">
      <c r="B701" s="1619" t="s">
        <v>6941</v>
      </c>
      <c r="C701" s="1616">
        <f>'[3]Anexo I - Programas'!$C$182</f>
        <v>1005</v>
      </c>
      <c r="D701" s="1622" t="str">
        <f>'[3]Anexo I - Programas'!$D$182</f>
        <v>Novos Investimentos em Educação</v>
      </c>
      <c r="E701" s="1619" t="s">
        <v>6941</v>
      </c>
      <c r="F701" s="1616">
        <f>C701</f>
        <v>1005</v>
      </c>
      <c r="G701" s="1618" t="str">
        <f>D701</f>
        <v>Novos Investimentos em Educação</v>
      </c>
      <c r="H701" s="775" t="s">
        <v>3137</v>
      </c>
      <c r="I701" s="783" t="str">
        <f>F699</f>
        <v>6</v>
      </c>
      <c r="J701" s="762" t="str">
        <f>G699</f>
        <v>PROMOÇÃO E DESENVOLVIMENTO DA EDUCAÇÃO</v>
      </c>
    </row>
    <row r="702" spans="2:10" x14ac:dyDescent="0.25">
      <c r="B702" s="1620"/>
      <c r="C702" s="1621"/>
      <c r="D702" s="1623"/>
      <c r="E702" s="1620"/>
      <c r="F702" s="1621"/>
      <c r="G702" s="1624"/>
      <c r="H702" s="776" t="s">
        <v>6941</v>
      </c>
      <c r="I702" s="784">
        <f>F701</f>
        <v>1005</v>
      </c>
      <c r="J702" s="764" t="str">
        <f>G701</f>
        <v>Novos Investimentos em Educação</v>
      </c>
    </row>
    <row r="703" spans="2:10" ht="15.75" thickBot="1" x14ac:dyDescent="0.3">
      <c r="B703" s="769" t="s">
        <v>6939</v>
      </c>
      <c r="C703" s="1625">
        <f>'[3]Anexo I - Programas'!$H$183</f>
        <v>200000</v>
      </c>
      <c r="D703" s="1626"/>
      <c r="E703" s="769" t="s">
        <v>6939</v>
      </c>
      <c r="F703" s="1625">
        <f>'[3]Anexo I - Programas'!$J$183</f>
        <v>50000</v>
      </c>
      <c r="G703" s="1627"/>
      <c r="H703" s="778" t="s">
        <v>6939</v>
      </c>
      <c r="I703" s="1625">
        <f>DESPORC!I2415</f>
        <v>6.0000000000000005E-2</v>
      </c>
      <c r="J703" s="1627"/>
    </row>
    <row r="704" spans="2:10" x14ac:dyDescent="0.25">
      <c r="B704" s="1628" t="s">
        <v>3137</v>
      </c>
      <c r="C704" s="1615" t="str">
        <f>'[3]Anexo I - Programas'!$B$261</f>
        <v>7</v>
      </c>
      <c r="D704" s="1629" t="str">
        <f>'[3]Anexo I - Programas'!$C$261</f>
        <v xml:space="preserve">PROGRAMA DE NUTRIÇÃO E ALIMENTAÇÃO ESCOLAR </v>
      </c>
      <c r="E704" s="1628" t="s">
        <v>3137</v>
      </c>
      <c r="F704" s="1615" t="str">
        <f>C704</f>
        <v>7</v>
      </c>
      <c r="G704" s="1617" t="str">
        <f>D704</f>
        <v xml:space="preserve">PROGRAMA DE NUTRIÇÃO E ALIMENTAÇÃO ESCOLAR </v>
      </c>
      <c r="H704" s="773" t="s">
        <v>3138</v>
      </c>
      <c r="I704" s="757">
        <f>DESPORC!C2422</f>
        <v>12</v>
      </c>
      <c r="J704" s="765" t="str">
        <f>DESPORC!D2422</f>
        <v>Educação</v>
      </c>
    </row>
    <row r="705" spans="2:10" x14ac:dyDescent="0.25">
      <c r="B705" s="1619"/>
      <c r="C705" s="1616"/>
      <c r="D705" s="1630"/>
      <c r="E705" s="1619"/>
      <c r="F705" s="1616"/>
      <c r="G705" s="1618"/>
      <c r="H705" s="774" t="s">
        <v>6940</v>
      </c>
      <c r="I705" s="757">
        <f>DESPORC!C2423</f>
        <v>306</v>
      </c>
      <c r="J705" s="765" t="str">
        <f>DESPORC!D2423</f>
        <v>Alimentação e Nutrição</v>
      </c>
    </row>
    <row r="706" spans="2:10" x14ac:dyDescent="0.25">
      <c r="B706" s="1619" t="s">
        <v>6941</v>
      </c>
      <c r="C706" s="1616">
        <f>'[3]Anexo I - Programas'!$C$270</f>
        <v>1006</v>
      </c>
      <c r="D706" s="1622" t="str">
        <f>'[3]Anexo I - Programas'!$D$270</f>
        <v>Novos Investimentos em  Alimentação e Nutrição</v>
      </c>
      <c r="E706" s="1619" t="s">
        <v>6941</v>
      </c>
      <c r="F706" s="1616">
        <f>C706</f>
        <v>1006</v>
      </c>
      <c r="G706" s="1618" t="str">
        <f>D706</f>
        <v>Novos Investimentos em  Alimentação e Nutrição</v>
      </c>
      <c r="H706" s="775" t="s">
        <v>3137</v>
      </c>
      <c r="I706" s="783" t="str">
        <f>F704</f>
        <v>7</v>
      </c>
      <c r="J706" s="762" t="str">
        <f>G704</f>
        <v xml:space="preserve">PROGRAMA DE NUTRIÇÃO E ALIMENTAÇÃO ESCOLAR </v>
      </c>
    </row>
    <row r="707" spans="2:10" x14ac:dyDescent="0.25">
      <c r="B707" s="1620"/>
      <c r="C707" s="1621"/>
      <c r="D707" s="1623"/>
      <c r="E707" s="1620"/>
      <c r="F707" s="1621"/>
      <c r="G707" s="1624"/>
      <c r="H707" s="776" t="s">
        <v>6941</v>
      </c>
      <c r="I707" s="784">
        <f>F706</f>
        <v>1006</v>
      </c>
      <c r="J707" s="764" t="str">
        <f>G706</f>
        <v>Novos Investimentos em  Alimentação e Nutrição</v>
      </c>
    </row>
    <row r="708" spans="2:10" ht="15.75" thickBot="1" x14ac:dyDescent="0.3">
      <c r="B708" s="769" t="s">
        <v>6939</v>
      </c>
      <c r="C708" s="1625">
        <f>'[3]Anexo I - Programas'!$H$271</f>
        <v>50000</v>
      </c>
      <c r="D708" s="1626"/>
      <c r="E708" s="769" t="s">
        <v>6939</v>
      </c>
      <c r="F708" s="1625">
        <f>'[3]Anexo I - Programas'!$J$271</f>
        <v>12500</v>
      </c>
      <c r="G708" s="1627"/>
      <c r="H708" s="778" t="s">
        <v>6939</v>
      </c>
      <c r="I708" s="1625">
        <f>DESPORC!I2425</f>
        <v>6.0000000000000005E-2</v>
      </c>
      <c r="J708" s="1627"/>
    </row>
    <row r="709" spans="2:10" x14ac:dyDescent="0.25">
      <c r="B709" s="1628" t="s">
        <v>3137</v>
      </c>
      <c r="C709" s="1615" t="str">
        <f>'[3]Anexo I - Programas'!$B$261</f>
        <v>7</v>
      </c>
      <c r="D709" s="1629" t="str">
        <f>'[3]Anexo I - Programas'!$C$261</f>
        <v xml:space="preserve">PROGRAMA DE NUTRIÇÃO E ALIMENTAÇÃO ESCOLAR </v>
      </c>
      <c r="E709" s="1628" t="s">
        <v>3137</v>
      </c>
      <c r="F709" s="1615" t="str">
        <f>C709</f>
        <v>7</v>
      </c>
      <c r="G709" s="1617" t="str">
        <f>D709</f>
        <v xml:space="preserve">PROGRAMA DE NUTRIÇÃO E ALIMENTAÇÃO ESCOLAR </v>
      </c>
      <c r="H709" s="773" t="s">
        <v>3138</v>
      </c>
      <c r="I709" s="757">
        <f>DESPORC!C2432</f>
        <v>12</v>
      </c>
      <c r="J709" s="765" t="str">
        <f>DESPORC!D2432</f>
        <v>Educação</v>
      </c>
    </row>
    <row r="710" spans="2:10" x14ac:dyDescent="0.25">
      <c r="B710" s="1619"/>
      <c r="C710" s="1616"/>
      <c r="D710" s="1630"/>
      <c r="E710" s="1619"/>
      <c r="F710" s="1616"/>
      <c r="G710" s="1618"/>
      <c r="H710" s="774" t="s">
        <v>6940</v>
      </c>
      <c r="I710" s="757">
        <f>DESPORC!C2433</f>
        <v>122</v>
      </c>
      <c r="J710" s="765" t="str">
        <f>DESPORC!D2433</f>
        <v>Administração Geral</v>
      </c>
    </row>
    <row r="711" spans="2:10" x14ac:dyDescent="0.25">
      <c r="B711" s="1619" t="s">
        <v>6941</v>
      </c>
      <c r="C711" s="1616">
        <f>'[3]Anexo I - Programas'!$C$275</f>
        <v>2007</v>
      </c>
      <c r="D711" s="1622" t="str">
        <f>'[3]Anexo I - Programas'!$D$275</f>
        <v>Promoção e Desenvolvimento da Alimentação Escolar</v>
      </c>
      <c r="E711" s="1619" t="s">
        <v>6941</v>
      </c>
      <c r="F711" s="1616">
        <f>C711</f>
        <v>2007</v>
      </c>
      <c r="G711" s="1618" t="str">
        <f>D711</f>
        <v>Promoção e Desenvolvimento da Alimentação Escolar</v>
      </c>
      <c r="H711" s="775" t="s">
        <v>3137</v>
      </c>
      <c r="I711" s="783" t="str">
        <f>F709</f>
        <v>7</v>
      </c>
      <c r="J711" s="762" t="str">
        <f>G709</f>
        <v xml:space="preserve">PROGRAMA DE NUTRIÇÃO E ALIMENTAÇÃO ESCOLAR </v>
      </c>
    </row>
    <row r="712" spans="2:10" x14ac:dyDescent="0.25">
      <c r="B712" s="1620"/>
      <c r="C712" s="1621"/>
      <c r="D712" s="1623"/>
      <c r="E712" s="1620"/>
      <c r="F712" s="1621"/>
      <c r="G712" s="1624"/>
      <c r="H712" s="776" t="s">
        <v>6941</v>
      </c>
      <c r="I712" s="784">
        <f>F711</f>
        <v>2007</v>
      </c>
      <c r="J712" s="764" t="str">
        <f>G711</f>
        <v>Promoção e Desenvolvimento da Alimentação Escolar</v>
      </c>
    </row>
    <row r="713" spans="2:10" ht="15.75" thickBot="1" x14ac:dyDescent="0.3">
      <c r="B713" s="769" t="s">
        <v>6939</v>
      </c>
      <c r="C713" s="1625">
        <f>'[3]Anexo I - Programas'!$H$276</f>
        <v>800000</v>
      </c>
      <c r="D713" s="1626"/>
      <c r="E713" s="769" t="s">
        <v>6939</v>
      </c>
      <c r="F713" s="1625">
        <f>'[3]Anexo I - Programas'!$J$276</f>
        <v>200000</v>
      </c>
      <c r="G713" s="1627"/>
      <c r="H713" s="778" t="s">
        <v>6939</v>
      </c>
      <c r="I713" s="1625">
        <f>DESPORC!I2435</f>
        <v>70267.094339348201</v>
      </c>
      <c r="J713" s="1627"/>
    </row>
    <row r="714" spans="2:10" x14ac:dyDescent="0.25">
      <c r="B714" s="1628" t="s">
        <v>3137</v>
      </c>
      <c r="C714" s="1615" t="str">
        <f>'[3]Anexo I - Programas'!$B$261</f>
        <v>7</v>
      </c>
      <c r="D714" s="1629" t="str">
        <f>'[3]Anexo I - Programas'!$C$261</f>
        <v xml:space="preserve">PROGRAMA DE NUTRIÇÃO E ALIMENTAÇÃO ESCOLAR </v>
      </c>
      <c r="E714" s="1628" t="s">
        <v>3137</v>
      </c>
      <c r="F714" s="1615" t="str">
        <f>C714</f>
        <v>7</v>
      </c>
      <c r="G714" s="1617" t="str">
        <f>D714</f>
        <v xml:space="preserve">PROGRAMA DE NUTRIÇÃO E ALIMENTAÇÃO ESCOLAR </v>
      </c>
      <c r="H714" s="773" t="s">
        <v>3138</v>
      </c>
      <c r="I714" s="757">
        <f>DESPORC!C2456</f>
        <v>12</v>
      </c>
      <c r="J714" s="765" t="str">
        <f>DESPORC!D2456</f>
        <v>Educação</v>
      </c>
    </row>
    <row r="715" spans="2:10" x14ac:dyDescent="0.25">
      <c r="B715" s="1619"/>
      <c r="C715" s="1616"/>
      <c r="D715" s="1630"/>
      <c r="E715" s="1619"/>
      <c r="F715" s="1616"/>
      <c r="G715" s="1618"/>
      <c r="H715" s="774" t="s">
        <v>6940</v>
      </c>
      <c r="I715" s="757">
        <f>DESPORC!C2457</f>
        <v>126</v>
      </c>
      <c r="J715" s="765" t="str">
        <f>DESPORC!D2457</f>
        <v>Tecnologia da Informação</v>
      </c>
    </row>
    <row r="716" spans="2:10" x14ac:dyDescent="0.25">
      <c r="B716" s="1619" t="s">
        <v>6941</v>
      </c>
      <c r="C716" s="1616">
        <f>'[3]Anexo I - Programas'!$C$275</f>
        <v>2007</v>
      </c>
      <c r="D716" s="1622" t="str">
        <f>'[3]Anexo I - Programas'!$D$275</f>
        <v>Promoção e Desenvolvimento da Alimentação Escolar</v>
      </c>
      <c r="E716" s="1619" t="s">
        <v>6941</v>
      </c>
      <c r="F716" s="1616">
        <f>C716</f>
        <v>2007</v>
      </c>
      <c r="G716" s="1618" t="str">
        <f>D716</f>
        <v>Promoção e Desenvolvimento da Alimentação Escolar</v>
      </c>
      <c r="H716" s="775" t="s">
        <v>3137</v>
      </c>
      <c r="I716" s="783" t="str">
        <f>F714</f>
        <v>7</v>
      </c>
      <c r="J716" s="762" t="str">
        <f>G714</f>
        <v xml:space="preserve">PROGRAMA DE NUTRIÇÃO E ALIMENTAÇÃO ESCOLAR </v>
      </c>
    </row>
    <row r="717" spans="2:10" x14ac:dyDescent="0.25">
      <c r="B717" s="1620"/>
      <c r="C717" s="1621"/>
      <c r="D717" s="1623"/>
      <c r="E717" s="1620"/>
      <c r="F717" s="1621"/>
      <c r="G717" s="1624"/>
      <c r="H717" s="776" t="s">
        <v>6941</v>
      </c>
      <c r="I717" s="784">
        <f>F716</f>
        <v>2007</v>
      </c>
      <c r="J717" s="764" t="str">
        <f>G716</f>
        <v>Promoção e Desenvolvimento da Alimentação Escolar</v>
      </c>
    </row>
    <row r="718" spans="2:10" ht="15.75" thickBot="1" x14ac:dyDescent="0.3">
      <c r="B718" s="769" t="s">
        <v>6939</v>
      </c>
      <c r="C718" s="1625">
        <f>'[3]Anexo I - Programas'!$H$276</f>
        <v>800000</v>
      </c>
      <c r="D718" s="1626"/>
      <c r="E718" s="769" t="s">
        <v>6939</v>
      </c>
      <c r="F718" s="1625">
        <f>'[3]Anexo I - Programas'!$J$276</f>
        <v>200000</v>
      </c>
      <c r="G718" s="1627"/>
      <c r="H718" s="778" t="s">
        <v>6939</v>
      </c>
      <c r="I718" s="1625">
        <f>DESPORC!I2455</f>
        <v>0.01</v>
      </c>
      <c r="J718" s="1627"/>
    </row>
    <row r="719" spans="2:10" x14ac:dyDescent="0.25">
      <c r="B719" s="1628" t="s">
        <v>3137</v>
      </c>
      <c r="C719" s="1615" t="str">
        <f>'[3]Anexo I - Programas'!$B$261</f>
        <v>7</v>
      </c>
      <c r="D719" s="1629" t="str">
        <f>'[3]Anexo I - Programas'!$C$261</f>
        <v xml:space="preserve">PROGRAMA DE NUTRIÇÃO E ALIMENTAÇÃO ESCOLAR </v>
      </c>
      <c r="E719" s="1628" t="s">
        <v>3137</v>
      </c>
      <c r="F719" s="1615" t="str">
        <f>C719</f>
        <v>7</v>
      </c>
      <c r="G719" s="1617" t="str">
        <f>D719</f>
        <v xml:space="preserve">PROGRAMA DE NUTRIÇÃO E ALIMENTAÇÃO ESCOLAR </v>
      </c>
      <c r="H719" s="773" t="s">
        <v>3138</v>
      </c>
      <c r="I719" s="757">
        <f>DESPORC!C2461</f>
        <v>12</v>
      </c>
      <c r="J719" s="765" t="str">
        <f>DESPORC!D2461</f>
        <v>Educação</v>
      </c>
    </row>
    <row r="720" spans="2:10" x14ac:dyDescent="0.25">
      <c r="B720" s="1619"/>
      <c r="C720" s="1616"/>
      <c r="D720" s="1630"/>
      <c r="E720" s="1619"/>
      <c r="F720" s="1616"/>
      <c r="G720" s="1618"/>
      <c r="H720" s="774" t="s">
        <v>6940</v>
      </c>
      <c r="I720" s="757">
        <f>DESPORC!C2462</f>
        <v>128</v>
      </c>
      <c r="J720" s="765" t="str">
        <f>DESPORC!D2462</f>
        <v>Formação de Recursos Humanos</v>
      </c>
    </row>
    <row r="721" spans="2:10" x14ac:dyDescent="0.25">
      <c r="B721" s="1619" t="s">
        <v>6941</v>
      </c>
      <c r="C721" s="1616">
        <f>'[3]Anexo I - Programas'!$C$275</f>
        <v>2007</v>
      </c>
      <c r="D721" s="1622" t="str">
        <f>'[3]Anexo I - Programas'!$D$275</f>
        <v>Promoção e Desenvolvimento da Alimentação Escolar</v>
      </c>
      <c r="E721" s="1619" t="s">
        <v>6941</v>
      </c>
      <c r="F721" s="1616">
        <f>C721</f>
        <v>2007</v>
      </c>
      <c r="G721" s="1618" t="str">
        <f>D721</f>
        <v>Promoção e Desenvolvimento da Alimentação Escolar</v>
      </c>
      <c r="H721" s="775" t="s">
        <v>3137</v>
      </c>
      <c r="I721" s="783" t="str">
        <f>F719</f>
        <v>7</v>
      </c>
      <c r="J721" s="762" t="str">
        <f>G719</f>
        <v xml:space="preserve">PROGRAMA DE NUTRIÇÃO E ALIMENTAÇÃO ESCOLAR </v>
      </c>
    </row>
    <row r="722" spans="2:10" x14ac:dyDescent="0.25">
      <c r="B722" s="1620"/>
      <c r="C722" s="1621"/>
      <c r="D722" s="1623"/>
      <c r="E722" s="1620"/>
      <c r="F722" s="1621"/>
      <c r="G722" s="1624"/>
      <c r="H722" s="776" t="s">
        <v>6941</v>
      </c>
      <c r="I722" s="784">
        <f>F721</f>
        <v>2007</v>
      </c>
      <c r="J722" s="764" t="str">
        <f>G721</f>
        <v>Promoção e Desenvolvimento da Alimentação Escolar</v>
      </c>
    </row>
    <row r="723" spans="2:10" ht="15.75" thickBot="1" x14ac:dyDescent="0.3">
      <c r="B723" s="769" t="s">
        <v>6939</v>
      </c>
      <c r="C723" s="1625">
        <f>'[3]Anexo I - Programas'!$H$276</f>
        <v>800000</v>
      </c>
      <c r="D723" s="1626"/>
      <c r="E723" s="769" t="s">
        <v>6939</v>
      </c>
      <c r="F723" s="1625">
        <f>'[3]Anexo I - Programas'!$J$276</f>
        <v>200000</v>
      </c>
      <c r="G723" s="1627"/>
      <c r="H723" s="778" t="s">
        <v>6939</v>
      </c>
      <c r="I723" s="1625">
        <f>DESPORC!I2464</f>
        <v>0.05</v>
      </c>
      <c r="J723" s="1627"/>
    </row>
    <row r="724" spans="2:10" x14ac:dyDescent="0.25">
      <c r="B724" s="1628" t="s">
        <v>3137</v>
      </c>
      <c r="C724" s="1615" t="str">
        <f>'[3]Anexo I - Programas'!$B$261</f>
        <v>7</v>
      </c>
      <c r="D724" s="1629" t="str">
        <f>'[3]Anexo I - Programas'!$C$261</f>
        <v xml:space="preserve">PROGRAMA DE NUTRIÇÃO E ALIMENTAÇÃO ESCOLAR </v>
      </c>
      <c r="E724" s="1628" t="s">
        <v>3137</v>
      </c>
      <c r="F724" s="1615" t="str">
        <f>C724</f>
        <v>7</v>
      </c>
      <c r="G724" s="1617" t="str">
        <f>D724</f>
        <v xml:space="preserve">PROGRAMA DE NUTRIÇÃO E ALIMENTAÇÃO ESCOLAR </v>
      </c>
      <c r="H724" s="773" t="s">
        <v>3138</v>
      </c>
      <c r="I724" s="757">
        <f>DESPORC!C2470</f>
        <v>12</v>
      </c>
      <c r="J724" s="765" t="str">
        <f>DESPORC!D2470</f>
        <v>Educação</v>
      </c>
    </row>
    <row r="725" spans="2:10" x14ac:dyDescent="0.25">
      <c r="B725" s="1619"/>
      <c r="C725" s="1616"/>
      <c r="D725" s="1630"/>
      <c r="E725" s="1619"/>
      <c r="F725" s="1616"/>
      <c r="G725" s="1618"/>
      <c r="H725" s="774" t="s">
        <v>6940</v>
      </c>
      <c r="I725" s="757">
        <f>DESPORC!C2471</f>
        <v>306</v>
      </c>
      <c r="J725" s="765" t="str">
        <f>DESPORC!D2471</f>
        <v>Alimentação e Nutrição</v>
      </c>
    </row>
    <row r="726" spans="2:10" x14ac:dyDescent="0.25">
      <c r="B726" s="1619" t="s">
        <v>6941</v>
      </c>
      <c r="C726" s="1616">
        <f>'[3]Anexo I - Programas'!$C$275</f>
        <v>2007</v>
      </c>
      <c r="D726" s="1622" t="str">
        <f>'[3]Anexo I - Programas'!$D$275</f>
        <v>Promoção e Desenvolvimento da Alimentação Escolar</v>
      </c>
      <c r="E726" s="1619" t="s">
        <v>6941</v>
      </c>
      <c r="F726" s="1616">
        <f>C726</f>
        <v>2007</v>
      </c>
      <c r="G726" s="1618" t="str">
        <f>D726</f>
        <v>Promoção e Desenvolvimento da Alimentação Escolar</v>
      </c>
      <c r="H726" s="775" t="s">
        <v>3137</v>
      </c>
      <c r="I726" s="783" t="str">
        <f>F724</f>
        <v>7</v>
      </c>
      <c r="J726" s="762" t="str">
        <f>G724</f>
        <v xml:space="preserve">PROGRAMA DE NUTRIÇÃO E ALIMENTAÇÃO ESCOLAR </v>
      </c>
    </row>
    <row r="727" spans="2:10" x14ac:dyDescent="0.25">
      <c r="B727" s="1620"/>
      <c r="C727" s="1621"/>
      <c r="D727" s="1623"/>
      <c r="E727" s="1620"/>
      <c r="F727" s="1621"/>
      <c r="G727" s="1624"/>
      <c r="H727" s="776" t="s">
        <v>6941</v>
      </c>
      <c r="I727" s="784">
        <f>F726</f>
        <v>2007</v>
      </c>
      <c r="J727" s="764" t="str">
        <f>G726</f>
        <v>Promoção e Desenvolvimento da Alimentação Escolar</v>
      </c>
    </row>
    <row r="728" spans="2:10" ht="15.75" thickBot="1" x14ac:dyDescent="0.3">
      <c r="B728" s="769" t="s">
        <v>6939</v>
      </c>
      <c r="C728" s="1625">
        <f>'[3]Anexo I - Programas'!$H$276</f>
        <v>800000</v>
      </c>
      <c r="D728" s="1626"/>
      <c r="E728" s="769" t="s">
        <v>6939</v>
      </c>
      <c r="F728" s="1625">
        <f>'[3]Anexo I - Programas'!$J$276</f>
        <v>200000</v>
      </c>
      <c r="G728" s="1627"/>
      <c r="H728" s="778" t="s">
        <v>6939</v>
      </c>
      <c r="I728" s="1625">
        <f>DESPORC!I2473</f>
        <v>127691.10199611956</v>
      </c>
      <c r="J728" s="1627"/>
    </row>
    <row r="729" spans="2:10" x14ac:dyDescent="0.25">
      <c r="J729" s="15"/>
    </row>
    <row r="731" spans="2:10" x14ac:dyDescent="0.25">
      <c r="B731" s="787"/>
      <c r="C731" s="788"/>
      <c r="E731" s="787"/>
      <c r="H731" s="787"/>
    </row>
    <row r="732" spans="2:10" x14ac:dyDescent="0.25">
      <c r="B732" s="787"/>
      <c r="C732" s="788"/>
      <c r="E732" s="787"/>
      <c r="H732" s="787"/>
    </row>
    <row r="733" spans="2:10" x14ac:dyDescent="0.25">
      <c r="B733" s="787"/>
      <c r="C733" s="788"/>
      <c r="E733" s="787"/>
      <c r="H733" s="787"/>
    </row>
    <row r="734" spans="2:10" x14ac:dyDescent="0.25">
      <c r="B734" s="787"/>
      <c r="C734" s="788"/>
      <c r="E734" s="787"/>
      <c r="H734" s="787"/>
    </row>
    <row r="735" spans="2:10" x14ac:dyDescent="0.25">
      <c r="B735" s="787"/>
      <c r="C735" s="788"/>
      <c r="E735" s="787"/>
      <c r="H735" s="787"/>
    </row>
    <row r="736" spans="2:10" x14ac:dyDescent="0.25">
      <c r="B736" s="787"/>
      <c r="C736" s="788"/>
      <c r="E736" s="787"/>
      <c r="H736" s="787"/>
    </row>
    <row r="737" spans="2:10" x14ac:dyDescent="0.25">
      <c r="B737" s="787"/>
      <c r="C737" s="788"/>
      <c r="E737" s="787"/>
      <c r="H737" s="787"/>
    </row>
    <row r="738" spans="2:10" x14ac:dyDescent="0.25">
      <c r="B738" s="787"/>
      <c r="C738" s="788"/>
      <c r="E738" s="787"/>
      <c r="H738" s="787"/>
    </row>
    <row r="739" spans="2:10" x14ac:dyDescent="0.25">
      <c r="B739" s="787"/>
      <c r="C739" s="788"/>
      <c r="E739" s="787"/>
      <c r="H739" s="787"/>
    </row>
    <row r="740" spans="2:10" x14ac:dyDescent="0.25">
      <c r="B740" s="787"/>
      <c r="C740" s="788"/>
      <c r="E740" s="787"/>
      <c r="H740" s="787"/>
    </row>
    <row r="741" spans="2:10" x14ac:dyDescent="0.25">
      <c r="B741" s="1631" t="s">
        <v>6927</v>
      </c>
      <c r="C741" s="1631"/>
      <c r="D741" s="755" t="str">
        <f>DESPORC!C2491</f>
        <v>03 - SECRETARIA MUNICIPAL DE EDUCAÇÃO, CULT. E DESPORTO</v>
      </c>
      <c r="E741" s="785"/>
      <c r="F741" s="786"/>
      <c r="G741" s="786"/>
      <c r="H741" s="785"/>
      <c r="I741" s="786"/>
      <c r="J741" s="786"/>
    </row>
    <row r="742" spans="2:10" ht="15.75" thickBot="1" x14ac:dyDescent="0.3">
      <c r="B742" s="1632" t="s">
        <v>3087</v>
      </c>
      <c r="C742" s="1632"/>
      <c r="D742" s="755" t="str">
        <f>DESPORC!C2492</f>
        <v>07 - DEPARTAMENTO DE CULTURA</v>
      </c>
      <c r="E742" s="785"/>
      <c r="F742" s="36"/>
      <c r="G742" s="1"/>
      <c r="H742" s="772"/>
      <c r="I742" s="1"/>
      <c r="J742" s="1"/>
    </row>
    <row r="743" spans="2:10" ht="15.75" thickBot="1" x14ac:dyDescent="0.3">
      <c r="B743" s="1633" t="str">
        <f>B$10</f>
        <v>PPA LEI MUNICIPAL N.º 1091  DE 16 DE JUNHO DE 2017.</v>
      </c>
      <c r="C743" s="1634"/>
      <c r="D743" s="1635"/>
      <c r="E743" s="1633" t="str">
        <f>E$10</f>
        <v>LDO LEI MUNICIPAL N.º 1166  DE 10 DE OUTUBRO DE 2019.</v>
      </c>
      <c r="F743" s="1634"/>
      <c r="G743" s="1635"/>
      <c r="H743" s="1633" t="str">
        <f>H$10</f>
        <v>LOA 2020</v>
      </c>
      <c r="I743" s="1634"/>
      <c r="J743" s="1635"/>
    </row>
    <row r="744" spans="2:10" x14ac:dyDescent="0.25">
      <c r="B744" s="1628" t="s">
        <v>3137</v>
      </c>
      <c r="C744" s="1615" t="str">
        <f>'[3]Anexo I - Programas'!$B$285</f>
        <v>8</v>
      </c>
      <c r="D744" s="1629" t="str">
        <f>'[3]Anexo I - Programas'!$C$285</f>
        <v>PROMOÇÃO E DESENVOLVIMENTO CULTURAL</v>
      </c>
      <c r="E744" s="1628" t="s">
        <v>3137</v>
      </c>
      <c r="F744" s="1615" t="str">
        <f>C744</f>
        <v>8</v>
      </c>
      <c r="G744" s="1617" t="str">
        <f>D744</f>
        <v>PROMOÇÃO E DESENVOLVIMENTO CULTURAL</v>
      </c>
      <c r="H744" s="773" t="s">
        <v>3138</v>
      </c>
      <c r="I744" s="757">
        <f>DESPORC!C2495</f>
        <v>13</v>
      </c>
      <c r="J744" s="765" t="str">
        <f>DESPORC!D2495</f>
        <v>Cultura</v>
      </c>
    </row>
    <row r="745" spans="2:10" x14ac:dyDescent="0.25">
      <c r="B745" s="1619"/>
      <c r="C745" s="1616"/>
      <c r="D745" s="1630"/>
      <c r="E745" s="1619"/>
      <c r="F745" s="1616"/>
      <c r="G745" s="1618"/>
      <c r="H745" s="774" t="s">
        <v>6940</v>
      </c>
      <c r="I745" s="757">
        <f>DESPORC!C2496</f>
        <v>122</v>
      </c>
      <c r="J745" s="765" t="str">
        <f>DESPORC!D2496</f>
        <v>Administração Geral</v>
      </c>
    </row>
    <row r="746" spans="2:10" x14ac:dyDescent="0.25">
      <c r="B746" s="1619" t="s">
        <v>6941</v>
      </c>
      <c r="C746" s="1616">
        <f>'[3]Anexo I - Programas'!$C$294</f>
        <v>1007</v>
      </c>
      <c r="D746" s="1622" t="str">
        <f>'[3]Anexo I - Programas'!$D$294</f>
        <v>Novos Investimentos em Cultura</v>
      </c>
      <c r="E746" s="1619" t="s">
        <v>6941</v>
      </c>
      <c r="F746" s="1616">
        <f>C746</f>
        <v>1007</v>
      </c>
      <c r="G746" s="1618" t="str">
        <f>D746</f>
        <v>Novos Investimentos em Cultura</v>
      </c>
      <c r="H746" s="775" t="s">
        <v>3137</v>
      </c>
      <c r="I746" s="783" t="str">
        <f>F744</f>
        <v>8</v>
      </c>
      <c r="J746" s="762" t="str">
        <f>G744</f>
        <v>PROMOÇÃO E DESENVOLVIMENTO CULTURAL</v>
      </c>
    </row>
    <row r="747" spans="2:10" x14ac:dyDescent="0.25">
      <c r="B747" s="1620"/>
      <c r="C747" s="1621"/>
      <c r="D747" s="1623"/>
      <c r="E747" s="1620"/>
      <c r="F747" s="1621"/>
      <c r="G747" s="1624"/>
      <c r="H747" s="776" t="s">
        <v>6941</v>
      </c>
      <c r="I747" s="784">
        <f>F746</f>
        <v>1007</v>
      </c>
      <c r="J747" s="764" t="str">
        <f>G746</f>
        <v>Novos Investimentos em Cultura</v>
      </c>
    </row>
    <row r="748" spans="2:10" ht="15.75" thickBot="1" x14ac:dyDescent="0.3">
      <c r="B748" s="769" t="s">
        <v>6939</v>
      </c>
      <c r="C748" s="1625">
        <f>'[3]Anexo I - Programas'!$H$295</f>
        <v>50000</v>
      </c>
      <c r="D748" s="1626"/>
      <c r="E748" s="769" t="s">
        <v>6939</v>
      </c>
      <c r="F748" s="1625">
        <f>'[3]Anexo I - Programas'!$J$295</f>
        <v>12500</v>
      </c>
      <c r="G748" s="1627"/>
      <c r="H748" s="778" t="s">
        <v>6939</v>
      </c>
      <c r="I748" s="1625">
        <f>DESPORC!I2498</f>
        <v>6.0000000000000005E-2</v>
      </c>
      <c r="J748" s="1627"/>
    </row>
    <row r="749" spans="2:10" x14ac:dyDescent="0.25">
      <c r="B749" s="1628" t="s">
        <v>3137</v>
      </c>
      <c r="C749" s="1615" t="str">
        <f>'[3]Anexo I - Programas'!$B$285</f>
        <v>8</v>
      </c>
      <c r="D749" s="1629" t="str">
        <f>'[3]Anexo I - Programas'!$C$285</f>
        <v>PROMOÇÃO E DESENVOLVIMENTO CULTURAL</v>
      </c>
      <c r="E749" s="1628" t="s">
        <v>3137</v>
      </c>
      <c r="F749" s="1615" t="str">
        <f>C749</f>
        <v>8</v>
      </c>
      <c r="G749" s="1617" t="str">
        <f>D749</f>
        <v>PROMOÇÃO E DESENVOLVIMENTO CULTURAL</v>
      </c>
      <c r="H749" s="773" t="s">
        <v>3138</v>
      </c>
      <c r="I749" s="757">
        <f>DESPORC!C2505</f>
        <v>13</v>
      </c>
      <c r="J749" s="765" t="str">
        <f>DESPORC!D2505</f>
        <v>Cultura</v>
      </c>
    </row>
    <row r="750" spans="2:10" x14ac:dyDescent="0.25">
      <c r="B750" s="1619"/>
      <c r="C750" s="1616"/>
      <c r="D750" s="1630"/>
      <c r="E750" s="1619"/>
      <c r="F750" s="1616"/>
      <c r="G750" s="1618"/>
      <c r="H750" s="774" t="s">
        <v>6940</v>
      </c>
      <c r="I750" s="757">
        <f>DESPORC!C2506</f>
        <v>392</v>
      </c>
      <c r="J750" s="765" t="str">
        <f>DESPORC!D2506</f>
        <v>Difusão Cultural</v>
      </c>
    </row>
    <row r="751" spans="2:10" x14ac:dyDescent="0.25">
      <c r="B751" s="1619" t="s">
        <v>6941</v>
      </c>
      <c r="C751" s="1616">
        <f>'[3]Anexo I - Programas'!$C$294</f>
        <v>1007</v>
      </c>
      <c r="D751" s="1622" t="str">
        <f>'[3]Anexo I - Programas'!$D$294</f>
        <v>Novos Investimentos em Cultura</v>
      </c>
      <c r="E751" s="1619" t="s">
        <v>6941</v>
      </c>
      <c r="F751" s="1616">
        <f>C751</f>
        <v>1007</v>
      </c>
      <c r="G751" s="1618" t="str">
        <f>D751</f>
        <v>Novos Investimentos em Cultura</v>
      </c>
      <c r="H751" s="775" t="s">
        <v>3137</v>
      </c>
      <c r="I751" s="783" t="str">
        <f>F749</f>
        <v>8</v>
      </c>
      <c r="J751" s="762" t="str">
        <f>G749</f>
        <v>PROMOÇÃO E DESENVOLVIMENTO CULTURAL</v>
      </c>
    </row>
    <row r="752" spans="2:10" x14ac:dyDescent="0.25">
      <c r="B752" s="1620"/>
      <c r="C752" s="1621"/>
      <c r="D752" s="1623"/>
      <c r="E752" s="1620"/>
      <c r="F752" s="1621"/>
      <c r="G752" s="1624"/>
      <c r="H752" s="776" t="s">
        <v>6941</v>
      </c>
      <c r="I752" s="784">
        <f>F751</f>
        <v>1007</v>
      </c>
      <c r="J752" s="764" t="str">
        <f>G751</f>
        <v>Novos Investimentos em Cultura</v>
      </c>
    </row>
    <row r="753" spans="2:10" ht="15.75" thickBot="1" x14ac:dyDescent="0.3">
      <c r="B753" s="769" t="s">
        <v>6939</v>
      </c>
      <c r="C753" s="1625">
        <f>'[3]Anexo I - Programas'!$H$295</f>
        <v>50000</v>
      </c>
      <c r="D753" s="1626"/>
      <c r="E753" s="769" t="s">
        <v>6939</v>
      </c>
      <c r="F753" s="1625">
        <f>'[3]Anexo I - Programas'!$J$295</f>
        <v>12500</v>
      </c>
      <c r="G753" s="1627"/>
      <c r="H753" s="778" t="s">
        <v>6939</v>
      </c>
      <c r="I753" s="1625">
        <f>DESPORC!I2508</f>
        <v>1306500.06</v>
      </c>
      <c r="J753" s="1627"/>
    </row>
    <row r="754" spans="2:10" x14ac:dyDescent="0.25">
      <c r="B754" s="1628" t="s">
        <v>3137</v>
      </c>
      <c r="C754" s="1615" t="str">
        <f>'[3]Anexo I - Programas'!$B$285</f>
        <v>8</v>
      </c>
      <c r="D754" s="1629" t="str">
        <f>'[3]Anexo I - Programas'!$C$285</f>
        <v>PROMOÇÃO E DESENVOLVIMENTO CULTURAL</v>
      </c>
      <c r="E754" s="1628" t="s">
        <v>3137</v>
      </c>
      <c r="F754" s="1615" t="str">
        <f>C754</f>
        <v>8</v>
      </c>
      <c r="G754" s="1617" t="str">
        <f>D754</f>
        <v>PROMOÇÃO E DESENVOLVIMENTO CULTURAL</v>
      </c>
      <c r="H754" s="773" t="s">
        <v>3138</v>
      </c>
      <c r="I754" s="757">
        <f>DESPORC!C2516</f>
        <v>13</v>
      </c>
      <c r="J754" s="765" t="str">
        <f>DESPORC!D2516</f>
        <v>Cultura</v>
      </c>
    </row>
    <row r="755" spans="2:10" x14ac:dyDescent="0.25">
      <c r="B755" s="1619"/>
      <c r="C755" s="1616"/>
      <c r="D755" s="1630"/>
      <c r="E755" s="1619"/>
      <c r="F755" s="1616"/>
      <c r="G755" s="1618"/>
      <c r="H755" s="774" t="s">
        <v>6940</v>
      </c>
      <c r="I755" s="757">
        <f>DESPORC!C2517</f>
        <v>122</v>
      </c>
      <c r="J755" s="765" t="str">
        <f>DESPORC!D2517</f>
        <v>Administração Geral</v>
      </c>
    </row>
    <row r="756" spans="2:10" x14ac:dyDescent="0.25">
      <c r="B756" s="1619" t="s">
        <v>6941</v>
      </c>
      <c r="C756" s="1616">
        <f>'[3]Anexo I - Programas'!$C$299</f>
        <v>2008</v>
      </c>
      <c r="D756" s="1622" t="str">
        <f>'[3]Anexo I - Programas'!$D$299</f>
        <v>Gesão, Coordenação e Planejamento e Realização de Eventos Culturais</v>
      </c>
      <c r="E756" s="1619" t="s">
        <v>6941</v>
      </c>
      <c r="F756" s="1616">
        <f>C756</f>
        <v>2008</v>
      </c>
      <c r="G756" s="1618" t="str">
        <f>D756</f>
        <v>Gesão, Coordenação e Planejamento e Realização de Eventos Culturais</v>
      </c>
      <c r="H756" s="775" t="s">
        <v>3137</v>
      </c>
      <c r="I756" s="783" t="str">
        <f>F754</f>
        <v>8</v>
      </c>
      <c r="J756" s="762" t="str">
        <f>G754</f>
        <v>PROMOÇÃO E DESENVOLVIMENTO CULTURAL</v>
      </c>
    </row>
    <row r="757" spans="2:10" ht="30" x14ac:dyDescent="0.25">
      <c r="B757" s="1620"/>
      <c r="C757" s="1621"/>
      <c r="D757" s="1623"/>
      <c r="E757" s="1620"/>
      <c r="F757" s="1621"/>
      <c r="G757" s="1624"/>
      <c r="H757" s="776" t="s">
        <v>6941</v>
      </c>
      <c r="I757" s="784">
        <f>F756</f>
        <v>2008</v>
      </c>
      <c r="J757" s="764" t="str">
        <f>G756</f>
        <v>Gesão, Coordenação e Planejamento e Realização de Eventos Culturais</v>
      </c>
    </row>
    <row r="758" spans="2:10" ht="15.75" thickBot="1" x14ac:dyDescent="0.3">
      <c r="B758" s="769" t="s">
        <v>6939</v>
      </c>
      <c r="C758" s="1625">
        <f>'[3]Anexo I - Programas'!$H$300</f>
        <v>350000</v>
      </c>
      <c r="D758" s="1626"/>
      <c r="E758" s="769" t="s">
        <v>6939</v>
      </c>
      <c r="F758" s="1625">
        <f>'[3]Anexo I - Programas'!$J$300</f>
        <v>87500</v>
      </c>
      <c r="G758" s="1627"/>
      <c r="H758" s="778" t="s">
        <v>6939</v>
      </c>
      <c r="I758" s="1625">
        <f>DESPORC!I2519</f>
        <v>50153.034914333926</v>
      </c>
      <c r="J758" s="1627"/>
    </row>
    <row r="759" spans="2:10" x14ac:dyDescent="0.25">
      <c r="B759" s="1628" t="s">
        <v>3137</v>
      </c>
      <c r="C759" s="1615" t="str">
        <f>'[3]Anexo I - Programas'!$B$285</f>
        <v>8</v>
      </c>
      <c r="D759" s="1629" t="str">
        <f>'[3]Anexo I - Programas'!$C$285</f>
        <v>PROMOÇÃO E DESENVOLVIMENTO CULTURAL</v>
      </c>
      <c r="E759" s="1628" t="s">
        <v>3137</v>
      </c>
      <c r="F759" s="1615" t="str">
        <f>C759</f>
        <v>8</v>
      </c>
      <c r="G759" s="1617" t="str">
        <f>D759</f>
        <v>PROMOÇÃO E DESENVOLVIMENTO CULTURAL</v>
      </c>
      <c r="H759" s="773" t="s">
        <v>3138</v>
      </c>
      <c r="I759" s="757">
        <f>DESPORC!C2541</f>
        <v>13</v>
      </c>
      <c r="J759" s="765" t="str">
        <f>DESPORC!D2541</f>
        <v>Cultura</v>
      </c>
    </row>
    <row r="760" spans="2:10" x14ac:dyDescent="0.25">
      <c r="B760" s="1619"/>
      <c r="C760" s="1616"/>
      <c r="D760" s="1630"/>
      <c r="E760" s="1619"/>
      <c r="F760" s="1616"/>
      <c r="G760" s="1618"/>
      <c r="H760" s="774" t="s">
        <v>6940</v>
      </c>
      <c r="I760" s="757">
        <f>DESPORC!C2542</f>
        <v>126</v>
      </c>
      <c r="J760" s="765" t="str">
        <f>DESPORC!D2542</f>
        <v>Tecnologia da Informação</v>
      </c>
    </row>
    <row r="761" spans="2:10" x14ac:dyDescent="0.25">
      <c r="B761" s="1619" t="s">
        <v>6941</v>
      </c>
      <c r="C761" s="1616">
        <f>'[3]Anexo I - Programas'!$C$299</f>
        <v>2008</v>
      </c>
      <c r="D761" s="1622" t="str">
        <f>'[3]Anexo I - Programas'!$D$299</f>
        <v>Gesão, Coordenação e Planejamento e Realização de Eventos Culturais</v>
      </c>
      <c r="E761" s="1619" t="s">
        <v>6941</v>
      </c>
      <c r="F761" s="1616">
        <f>C761</f>
        <v>2008</v>
      </c>
      <c r="G761" s="1618" t="str">
        <f>D761</f>
        <v>Gesão, Coordenação e Planejamento e Realização de Eventos Culturais</v>
      </c>
      <c r="H761" s="775" t="s">
        <v>3137</v>
      </c>
      <c r="I761" s="783" t="str">
        <f>F759</f>
        <v>8</v>
      </c>
      <c r="J761" s="762" t="str">
        <f>G759</f>
        <v>PROMOÇÃO E DESENVOLVIMENTO CULTURAL</v>
      </c>
    </row>
    <row r="762" spans="2:10" ht="30" x14ac:dyDescent="0.25">
      <c r="B762" s="1620"/>
      <c r="C762" s="1621"/>
      <c r="D762" s="1623"/>
      <c r="E762" s="1620"/>
      <c r="F762" s="1621"/>
      <c r="G762" s="1624"/>
      <c r="H762" s="776" t="s">
        <v>6941</v>
      </c>
      <c r="I762" s="784">
        <f>F761</f>
        <v>2008</v>
      </c>
      <c r="J762" s="764" t="str">
        <f>G761</f>
        <v>Gesão, Coordenação e Planejamento e Realização de Eventos Culturais</v>
      </c>
    </row>
    <row r="763" spans="2:10" ht="15.75" thickBot="1" x14ac:dyDescent="0.3">
      <c r="B763" s="769" t="s">
        <v>6939</v>
      </c>
      <c r="C763" s="1625">
        <f>'[3]Anexo I - Programas'!$H$300</f>
        <v>350000</v>
      </c>
      <c r="D763" s="1626"/>
      <c r="E763" s="769" t="s">
        <v>6939</v>
      </c>
      <c r="F763" s="1625">
        <f>'[3]Anexo I - Programas'!$J$300</f>
        <v>87500</v>
      </c>
      <c r="G763" s="1627"/>
      <c r="H763" s="778" t="s">
        <v>6939</v>
      </c>
      <c r="I763" s="1625">
        <f>DESPORC!I2544</f>
        <v>0.02</v>
      </c>
      <c r="J763" s="1627"/>
    </row>
    <row r="764" spans="2:10" x14ac:dyDescent="0.25">
      <c r="B764" s="1628" t="s">
        <v>3137</v>
      </c>
      <c r="C764" s="1615" t="str">
        <f>'[3]Anexo I - Programas'!$B$285</f>
        <v>8</v>
      </c>
      <c r="D764" s="1629" t="str">
        <f>'[3]Anexo I - Programas'!$C$285</f>
        <v>PROMOÇÃO E DESENVOLVIMENTO CULTURAL</v>
      </c>
      <c r="E764" s="1628" t="s">
        <v>3137</v>
      </c>
      <c r="F764" s="1615" t="str">
        <f>C764</f>
        <v>8</v>
      </c>
      <c r="G764" s="1617" t="str">
        <f>D764</f>
        <v>PROMOÇÃO E DESENVOLVIMENTO CULTURAL</v>
      </c>
      <c r="H764" s="773" t="s">
        <v>3138</v>
      </c>
      <c r="I764" s="757">
        <f>DESPORC!C2547</f>
        <v>13</v>
      </c>
      <c r="J764" s="765" t="str">
        <f>DESPORC!D2547</f>
        <v>Cultura</v>
      </c>
    </row>
    <row r="765" spans="2:10" x14ac:dyDescent="0.25">
      <c r="B765" s="1619"/>
      <c r="C765" s="1616"/>
      <c r="D765" s="1630"/>
      <c r="E765" s="1619"/>
      <c r="F765" s="1616"/>
      <c r="G765" s="1618"/>
      <c r="H765" s="774" t="s">
        <v>6940</v>
      </c>
      <c r="I765" s="757">
        <f>DESPORC!C2548</f>
        <v>128</v>
      </c>
      <c r="J765" s="765" t="str">
        <f>DESPORC!D2548</f>
        <v>Formação de Recursos Humanos</v>
      </c>
    </row>
    <row r="766" spans="2:10" x14ac:dyDescent="0.25">
      <c r="B766" s="1619" t="s">
        <v>6941</v>
      </c>
      <c r="C766" s="1616">
        <f>'[3]Anexo I - Programas'!$C$299</f>
        <v>2008</v>
      </c>
      <c r="D766" s="1622" t="str">
        <f>'[3]Anexo I - Programas'!$D$299</f>
        <v>Gesão, Coordenação e Planejamento e Realização de Eventos Culturais</v>
      </c>
      <c r="E766" s="1619" t="s">
        <v>6941</v>
      </c>
      <c r="F766" s="1616">
        <f>C766</f>
        <v>2008</v>
      </c>
      <c r="G766" s="1618" t="str">
        <f>D766</f>
        <v>Gesão, Coordenação e Planejamento e Realização de Eventos Culturais</v>
      </c>
      <c r="H766" s="775" t="s">
        <v>3137</v>
      </c>
      <c r="I766" s="783" t="str">
        <f>F764</f>
        <v>8</v>
      </c>
      <c r="J766" s="762" t="str">
        <f>G764</f>
        <v>PROMOÇÃO E DESENVOLVIMENTO CULTURAL</v>
      </c>
    </row>
    <row r="767" spans="2:10" ht="30" x14ac:dyDescent="0.25">
      <c r="B767" s="1620"/>
      <c r="C767" s="1621"/>
      <c r="D767" s="1623"/>
      <c r="E767" s="1620"/>
      <c r="F767" s="1621"/>
      <c r="G767" s="1624"/>
      <c r="H767" s="776" t="s">
        <v>6941</v>
      </c>
      <c r="I767" s="784">
        <f>F766</f>
        <v>2008</v>
      </c>
      <c r="J767" s="764" t="str">
        <f>G766</f>
        <v>Gesão, Coordenação e Planejamento e Realização de Eventos Culturais</v>
      </c>
    </row>
    <row r="768" spans="2:10" ht="15.75" thickBot="1" x14ac:dyDescent="0.3">
      <c r="B768" s="769" t="s">
        <v>6939</v>
      </c>
      <c r="C768" s="1625">
        <f>'[3]Anexo I - Programas'!$H$300</f>
        <v>350000</v>
      </c>
      <c r="D768" s="1626"/>
      <c r="E768" s="769" t="s">
        <v>6939</v>
      </c>
      <c r="F768" s="1625">
        <f>'[3]Anexo I - Programas'!$J$300</f>
        <v>87500</v>
      </c>
      <c r="G768" s="1627"/>
      <c r="H768" s="778" t="s">
        <v>6939</v>
      </c>
      <c r="I768" s="1625">
        <f>DESPORC!I2550</f>
        <v>0.05</v>
      </c>
      <c r="J768" s="1627"/>
    </row>
    <row r="769" spans="2:10" x14ac:dyDescent="0.25">
      <c r="B769" s="1628" t="s">
        <v>3137</v>
      </c>
      <c r="C769" s="1615" t="str">
        <f>'[3]Anexo I - Programas'!$B$285</f>
        <v>8</v>
      </c>
      <c r="D769" s="1629" t="str">
        <f>'[3]Anexo I - Programas'!$C$285</f>
        <v>PROMOÇÃO E DESENVOLVIMENTO CULTURAL</v>
      </c>
      <c r="E769" s="1628" t="s">
        <v>3137</v>
      </c>
      <c r="F769" s="1615" t="str">
        <f>C769</f>
        <v>8</v>
      </c>
      <c r="G769" s="1617" t="str">
        <f>D769</f>
        <v>PROMOÇÃO E DESENVOLVIMENTO CULTURAL</v>
      </c>
      <c r="H769" s="773" t="s">
        <v>3138</v>
      </c>
      <c r="I769" s="757">
        <f>DESPORC!C2556</f>
        <v>13</v>
      </c>
      <c r="J769" s="765" t="str">
        <f>DESPORC!D2556</f>
        <v>Cultura</v>
      </c>
    </row>
    <row r="770" spans="2:10" x14ac:dyDescent="0.25">
      <c r="B770" s="1619"/>
      <c r="C770" s="1616"/>
      <c r="D770" s="1630"/>
      <c r="E770" s="1619"/>
      <c r="F770" s="1616"/>
      <c r="G770" s="1618"/>
      <c r="H770" s="774" t="s">
        <v>6940</v>
      </c>
      <c r="I770" s="757">
        <f>DESPORC!C2557</f>
        <v>392</v>
      </c>
      <c r="J770" s="765" t="str">
        <f>DESPORC!D2557</f>
        <v>Difusão Cultural</v>
      </c>
    </row>
    <row r="771" spans="2:10" x14ac:dyDescent="0.25">
      <c r="B771" s="1619" t="s">
        <v>6941</v>
      </c>
      <c r="C771" s="1616">
        <f>'[3]Anexo I - Programas'!$C$299</f>
        <v>2008</v>
      </c>
      <c r="D771" s="1622" t="str">
        <f>'[3]Anexo I - Programas'!$D$299</f>
        <v>Gesão, Coordenação e Planejamento e Realização de Eventos Culturais</v>
      </c>
      <c r="E771" s="1619" t="s">
        <v>6941</v>
      </c>
      <c r="F771" s="1616">
        <f>C771</f>
        <v>2008</v>
      </c>
      <c r="G771" s="1618" t="str">
        <f>D771</f>
        <v>Gesão, Coordenação e Planejamento e Realização de Eventos Culturais</v>
      </c>
      <c r="H771" s="775" t="s">
        <v>3137</v>
      </c>
      <c r="I771" s="783" t="str">
        <f>F769</f>
        <v>8</v>
      </c>
      <c r="J771" s="762" t="str">
        <f>G769</f>
        <v>PROMOÇÃO E DESENVOLVIMENTO CULTURAL</v>
      </c>
    </row>
    <row r="772" spans="2:10" ht="30" x14ac:dyDescent="0.25">
      <c r="B772" s="1620"/>
      <c r="C772" s="1621"/>
      <c r="D772" s="1623"/>
      <c r="E772" s="1620"/>
      <c r="F772" s="1621"/>
      <c r="G772" s="1624"/>
      <c r="H772" s="776" t="s">
        <v>6941</v>
      </c>
      <c r="I772" s="784">
        <f>F771</f>
        <v>2008</v>
      </c>
      <c r="J772" s="764" t="str">
        <f>G771</f>
        <v>Gesão, Coordenação e Planejamento e Realização de Eventos Culturais</v>
      </c>
    </row>
    <row r="773" spans="2:10" ht="15.75" thickBot="1" x14ac:dyDescent="0.3">
      <c r="B773" s="769" t="s">
        <v>6939</v>
      </c>
      <c r="C773" s="1625">
        <f>'[3]Anexo I - Programas'!$H$300</f>
        <v>350000</v>
      </c>
      <c r="D773" s="1626"/>
      <c r="E773" s="769" t="s">
        <v>6939</v>
      </c>
      <c r="F773" s="1625">
        <f>'[3]Anexo I - Programas'!$J$300</f>
        <v>87500</v>
      </c>
      <c r="G773" s="1627"/>
      <c r="H773" s="778" t="s">
        <v>6939</v>
      </c>
      <c r="I773" s="1625">
        <f>DESPORC!I2559</f>
        <v>263737.72548295755</v>
      </c>
      <c r="J773" s="1627"/>
    </row>
    <row r="774" spans="2:10" x14ac:dyDescent="0.25">
      <c r="J774" s="15"/>
    </row>
    <row r="776" spans="2:10" x14ac:dyDescent="0.25">
      <c r="B776" s="787"/>
      <c r="C776" s="788"/>
      <c r="E776" s="787"/>
      <c r="H776" s="787"/>
    </row>
    <row r="777" spans="2:10" x14ac:dyDescent="0.25">
      <c r="B777" s="787"/>
      <c r="C777" s="788"/>
      <c r="E777" s="787"/>
      <c r="H777" s="787"/>
    </row>
    <row r="778" spans="2:10" x14ac:dyDescent="0.25">
      <c r="B778" s="787"/>
      <c r="C778" s="788"/>
      <c r="E778" s="787"/>
      <c r="H778" s="787"/>
    </row>
    <row r="779" spans="2:10" x14ac:dyDescent="0.25">
      <c r="B779" s="787"/>
      <c r="C779" s="788"/>
      <c r="E779" s="787"/>
      <c r="H779" s="787"/>
    </row>
    <row r="780" spans="2:10" x14ac:dyDescent="0.25">
      <c r="B780" s="787"/>
      <c r="C780" s="788"/>
      <c r="E780" s="787"/>
      <c r="H780" s="787"/>
    </row>
    <row r="781" spans="2:10" x14ac:dyDescent="0.25">
      <c r="B781" s="787"/>
      <c r="C781" s="788"/>
      <c r="E781" s="787"/>
      <c r="H781" s="787"/>
    </row>
    <row r="782" spans="2:10" x14ac:dyDescent="0.25">
      <c r="B782" s="787"/>
      <c r="C782" s="788"/>
      <c r="E782" s="787"/>
      <c r="H782" s="787"/>
    </row>
    <row r="783" spans="2:10" x14ac:dyDescent="0.25">
      <c r="B783" s="787"/>
      <c r="C783" s="788"/>
      <c r="E783" s="787"/>
      <c r="H783" s="787"/>
    </row>
    <row r="784" spans="2:10" x14ac:dyDescent="0.25">
      <c r="B784" s="787"/>
      <c r="C784" s="788"/>
      <c r="E784" s="787"/>
      <c r="H784" s="787"/>
    </row>
    <row r="785" spans="2:10" x14ac:dyDescent="0.25">
      <c r="B785" s="787"/>
      <c r="C785" s="788"/>
      <c r="E785" s="787"/>
      <c r="H785" s="787"/>
    </row>
    <row r="786" spans="2:10" x14ac:dyDescent="0.25">
      <c r="B786" s="1631" t="s">
        <v>6927</v>
      </c>
      <c r="C786" s="1631"/>
      <c r="D786" s="755" t="str">
        <f>DESPORC!C2587</f>
        <v>03 - SECRETARIA MUNICIPAL DE EDUCAÇÃO, CULT. E DESPORTO</v>
      </c>
      <c r="E786" s="785"/>
      <c r="F786" s="786"/>
      <c r="G786" s="786"/>
      <c r="H786" s="785"/>
      <c r="I786" s="786"/>
      <c r="J786" s="786"/>
    </row>
    <row r="787" spans="2:10" ht="15.75" thickBot="1" x14ac:dyDescent="0.3">
      <c r="B787" s="1632" t="s">
        <v>3087</v>
      </c>
      <c r="C787" s="1632"/>
      <c r="D787" s="755" t="str">
        <f>DESPORC!C2588</f>
        <v>08 - DEPARTAMENTO DE DESPORTO</v>
      </c>
      <c r="E787" s="785"/>
      <c r="F787" s="36"/>
      <c r="G787" s="1"/>
      <c r="H787" s="772"/>
      <c r="I787" s="1"/>
      <c r="J787" s="1"/>
    </row>
    <row r="788" spans="2:10" ht="15.75" thickBot="1" x14ac:dyDescent="0.3">
      <c r="B788" s="1633" t="str">
        <f>B$10</f>
        <v>PPA LEI MUNICIPAL N.º 1091  DE 16 DE JUNHO DE 2017.</v>
      </c>
      <c r="C788" s="1634"/>
      <c r="D788" s="1635"/>
      <c r="E788" s="1633" t="str">
        <f>E$10</f>
        <v>LDO LEI MUNICIPAL N.º 1166  DE 10 DE OUTUBRO DE 2019.</v>
      </c>
      <c r="F788" s="1634"/>
      <c r="G788" s="1635"/>
      <c r="H788" s="1633" t="str">
        <f>H$10</f>
        <v>LOA 2020</v>
      </c>
      <c r="I788" s="1634"/>
      <c r="J788" s="1635"/>
    </row>
    <row r="789" spans="2:10" x14ac:dyDescent="0.25">
      <c r="B789" s="1628" t="s">
        <v>3137</v>
      </c>
      <c r="C789" s="1615" t="str">
        <f>'[3]Anexo I - Programas'!$B$334</f>
        <v>010</v>
      </c>
      <c r="D789" s="1629" t="str">
        <f>'[3]Anexo I - Programas'!$C$334</f>
        <v>PROMOÇÃO E DESENVOLVIMENTO DO ESPORTE E LAZER</v>
      </c>
      <c r="E789" s="1628" t="s">
        <v>3137</v>
      </c>
      <c r="F789" s="1615" t="str">
        <f>C789</f>
        <v>010</v>
      </c>
      <c r="G789" s="1617" t="str">
        <f>D789</f>
        <v>PROMOÇÃO E DESENVOLVIMENTO DO ESPORTE E LAZER</v>
      </c>
      <c r="H789" s="773" t="s">
        <v>3138</v>
      </c>
      <c r="I789" s="757">
        <f>DESPORC!C2591</f>
        <v>27</v>
      </c>
      <c r="J789" s="765" t="str">
        <f>DESPORC!D2591</f>
        <v>Desporto e Lazer</v>
      </c>
    </row>
    <row r="790" spans="2:10" x14ac:dyDescent="0.25">
      <c r="B790" s="1619"/>
      <c r="C790" s="1616"/>
      <c r="D790" s="1630"/>
      <c r="E790" s="1619"/>
      <c r="F790" s="1616"/>
      <c r="G790" s="1618"/>
      <c r="H790" s="774" t="s">
        <v>6940</v>
      </c>
      <c r="I790" s="757">
        <f>DESPORC!C2592</f>
        <v>122</v>
      </c>
      <c r="J790" s="765" t="str">
        <f>DESPORC!D2592</f>
        <v>Administração Geral</v>
      </c>
    </row>
    <row r="791" spans="2:10" x14ac:dyDescent="0.25">
      <c r="B791" s="1619" t="s">
        <v>6941</v>
      </c>
      <c r="C791" s="1616">
        <f>'[3]Anexo I - Programas'!$C$343</f>
        <v>1009</v>
      </c>
      <c r="D791" s="1622" t="str">
        <f>'[3]Anexo I - Programas'!$D$343</f>
        <v>Novos Investimentos em Desporto e Lazer</v>
      </c>
      <c r="E791" s="1619" t="s">
        <v>6941</v>
      </c>
      <c r="F791" s="1616">
        <f>C791</f>
        <v>1009</v>
      </c>
      <c r="G791" s="1618" t="str">
        <f>D791</f>
        <v>Novos Investimentos em Desporto e Lazer</v>
      </c>
      <c r="H791" s="775" t="s">
        <v>3137</v>
      </c>
      <c r="I791" s="783" t="str">
        <f>F789</f>
        <v>010</v>
      </c>
      <c r="J791" s="762" t="str">
        <f>G789</f>
        <v>PROMOÇÃO E DESENVOLVIMENTO DO ESPORTE E LAZER</v>
      </c>
    </row>
    <row r="792" spans="2:10" x14ac:dyDescent="0.25">
      <c r="B792" s="1620"/>
      <c r="C792" s="1621"/>
      <c r="D792" s="1623"/>
      <c r="E792" s="1620"/>
      <c r="F792" s="1621"/>
      <c r="G792" s="1624"/>
      <c r="H792" s="776" t="s">
        <v>6941</v>
      </c>
      <c r="I792" s="784">
        <f>F791</f>
        <v>1009</v>
      </c>
      <c r="J792" s="764" t="str">
        <f>G791</f>
        <v>Novos Investimentos em Desporto e Lazer</v>
      </c>
    </row>
    <row r="793" spans="2:10" ht="15.75" thickBot="1" x14ac:dyDescent="0.3">
      <c r="B793" s="769" t="s">
        <v>6939</v>
      </c>
      <c r="C793" s="1625">
        <f>'[3]Anexo I - Programas'!$H$344</f>
        <v>350000</v>
      </c>
      <c r="D793" s="1626"/>
      <c r="E793" s="769" t="s">
        <v>6939</v>
      </c>
      <c r="F793" s="1625">
        <f>'[3]Anexo I - Programas'!$J$344</f>
        <v>87500</v>
      </c>
      <c r="G793" s="1627"/>
      <c r="H793" s="778" t="s">
        <v>6939</v>
      </c>
      <c r="I793" s="1625">
        <f>DESPORC!I2594</f>
        <v>6.0000000000000005E-2</v>
      </c>
      <c r="J793" s="1627"/>
    </row>
    <row r="794" spans="2:10" x14ac:dyDescent="0.25">
      <c r="B794" s="1628" t="s">
        <v>3137</v>
      </c>
      <c r="C794" s="1615" t="str">
        <f>'[3]Anexo I - Programas'!$B$334</f>
        <v>010</v>
      </c>
      <c r="D794" s="1629" t="str">
        <f>'[3]Anexo I - Programas'!$C$334</f>
        <v>PROMOÇÃO E DESENVOLVIMENTO DO ESPORTE E LAZER</v>
      </c>
      <c r="E794" s="1628" t="s">
        <v>3137</v>
      </c>
      <c r="F794" s="1615" t="str">
        <f>C794</f>
        <v>010</v>
      </c>
      <c r="G794" s="1617" t="str">
        <f>D794</f>
        <v>PROMOÇÃO E DESENVOLVIMENTO DO ESPORTE E LAZER</v>
      </c>
      <c r="H794" s="773" t="s">
        <v>3138</v>
      </c>
      <c r="I794" s="757">
        <f>DESPORC!C2601</f>
        <v>27</v>
      </c>
      <c r="J794" s="765" t="str">
        <f>DESPORC!D2601</f>
        <v>Desporto e Lazer</v>
      </c>
    </row>
    <row r="795" spans="2:10" x14ac:dyDescent="0.25">
      <c r="B795" s="1619"/>
      <c r="C795" s="1616"/>
      <c r="D795" s="1630"/>
      <c r="E795" s="1619"/>
      <c r="F795" s="1616"/>
      <c r="G795" s="1618"/>
      <c r="H795" s="774" t="s">
        <v>6940</v>
      </c>
      <c r="I795" s="757">
        <f>DESPORC!C2602</f>
        <v>812</v>
      </c>
      <c r="J795" s="765" t="str">
        <f>DESPORC!D2602</f>
        <v>Desporto Comunitário</v>
      </c>
    </row>
    <row r="796" spans="2:10" x14ac:dyDescent="0.25">
      <c r="B796" s="1619" t="s">
        <v>6941</v>
      </c>
      <c r="C796" s="1616">
        <f>'[3]Anexo I - Programas'!$C$343</f>
        <v>1009</v>
      </c>
      <c r="D796" s="1622" t="str">
        <f>'[3]Anexo I - Programas'!$D$343</f>
        <v>Novos Investimentos em Desporto e Lazer</v>
      </c>
      <c r="E796" s="1619" t="s">
        <v>6941</v>
      </c>
      <c r="F796" s="1616">
        <f>C796</f>
        <v>1009</v>
      </c>
      <c r="G796" s="1618" t="str">
        <f>D796</f>
        <v>Novos Investimentos em Desporto e Lazer</v>
      </c>
      <c r="H796" s="775" t="s">
        <v>3137</v>
      </c>
      <c r="I796" s="783" t="str">
        <f>F794</f>
        <v>010</v>
      </c>
      <c r="J796" s="762" t="str">
        <f>G794</f>
        <v>PROMOÇÃO E DESENVOLVIMENTO DO ESPORTE E LAZER</v>
      </c>
    </row>
    <row r="797" spans="2:10" x14ac:dyDescent="0.25">
      <c r="B797" s="1620"/>
      <c r="C797" s="1621"/>
      <c r="D797" s="1623"/>
      <c r="E797" s="1620"/>
      <c r="F797" s="1621"/>
      <c r="G797" s="1624"/>
      <c r="H797" s="776" t="s">
        <v>6941</v>
      </c>
      <c r="I797" s="784">
        <f>F796</f>
        <v>1009</v>
      </c>
      <c r="J797" s="764" t="str">
        <f>G796</f>
        <v>Novos Investimentos em Desporto e Lazer</v>
      </c>
    </row>
    <row r="798" spans="2:10" ht="15.75" thickBot="1" x14ac:dyDescent="0.3">
      <c r="B798" s="769" t="s">
        <v>6939</v>
      </c>
      <c r="C798" s="1625">
        <f>'[3]Anexo I - Programas'!$H$344</f>
        <v>350000</v>
      </c>
      <c r="D798" s="1626"/>
      <c r="E798" s="769" t="s">
        <v>6939</v>
      </c>
      <c r="F798" s="1625">
        <f>'[3]Anexo I - Programas'!$J$344</f>
        <v>87500</v>
      </c>
      <c r="G798" s="1627"/>
      <c r="H798" s="778" t="s">
        <v>6939</v>
      </c>
      <c r="I798" s="1625">
        <f>DESPORC!I2604</f>
        <v>6.0000000000000005E-2</v>
      </c>
      <c r="J798" s="1627"/>
    </row>
    <row r="799" spans="2:10" x14ac:dyDescent="0.25">
      <c r="B799" s="1628" t="s">
        <v>3137</v>
      </c>
      <c r="C799" s="1615" t="str">
        <f>'[3]Anexo I - Programas'!$B$334</f>
        <v>010</v>
      </c>
      <c r="D799" s="1629" t="str">
        <f>'[3]Anexo I - Programas'!$C$334</f>
        <v>PROMOÇÃO E DESENVOLVIMENTO DO ESPORTE E LAZER</v>
      </c>
      <c r="E799" s="1628" t="s">
        <v>3137</v>
      </c>
      <c r="F799" s="1615" t="str">
        <f>C799</f>
        <v>010</v>
      </c>
      <c r="G799" s="1617" t="str">
        <f>D799</f>
        <v>PROMOÇÃO E DESENVOLVIMENTO DO ESPORTE E LAZER</v>
      </c>
      <c r="H799" s="773" t="s">
        <v>3138</v>
      </c>
      <c r="I799" s="757">
        <f>DESPORC!C2611</f>
        <v>27</v>
      </c>
      <c r="J799" s="765" t="str">
        <f>DESPORC!D2611</f>
        <v>Desporto e Lazer</v>
      </c>
    </row>
    <row r="800" spans="2:10" x14ac:dyDescent="0.25">
      <c r="B800" s="1619"/>
      <c r="C800" s="1616"/>
      <c r="D800" s="1630"/>
      <c r="E800" s="1619"/>
      <c r="F800" s="1616"/>
      <c r="G800" s="1618"/>
      <c r="H800" s="774" t="s">
        <v>6940</v>
      </c>
      <c r="I800" s="757">
        <f>DESPORC!C2612</f>
        <v>122</v>
      </c>
      <c r="J800" s="765" t="str">
        <f>DESPORC!D2612</f>
        <v>Administração Geral</v>
      </c>
    </row>
    <row r="801" spans="2:10" x14ac:dyDescent="0.25">
      <c r="B801" s="1619" t="s">
        <v>6941</v>
      </c>
      <c r="C801" s="1616">
        <f>'[3]Anexo I - Programas'!$C$348</f>
        <v>2010</v>
      </c>
      <c r="D801" s="1622" t="str">
        <f>'[3]Anexo I - Programas'!$D$348</f>
        <v>Gestão e Prom. de Even. Esport. e Lazer</v>
      </c>
      <c r="E801" s="1619" t="s">
        <v>6941</v>
      </c>
      <c r="F801" s="1616">
        <f>C801</f>
        <v>2010</v>
      </c>
      <c r="G801" s="1618" t="str">
        <f>D801</f>
        <v>Gestão e Prom. de Even. Esport. e Lazer</v>
      </c>
      <c r="H801" s="775" t="s">
        <v>3137</v>
      </c>
      <c r="I801" s="783" t="str">
        <f>F799</f>
        <v>010</v>
      </c>
      <c r="J801" s="762" t="str">
        <f>G799</f>
        <v>PROMOÇÃO E DESENVOLVIMENTO DO ESPORTE E LAZER</v>
      </c>
    </row>
    <row r="802" spans="2:10" x14ac:dyDescent="0.25">
      <c r="B802" s="1620"/>
      <c r="C802" s="1621"/>
      <c r="D802" s="1623"/>
      <c r="E802" s="1620"/>
      <c r="F802" s="1621"/>
      <c r="G802" s="1624"/>
      <c r="H802" s="776" t="s">
        <v>6941</v>
      </c>
      <c r="I802" s="784">
        <f>F801</f>
        <v>2010</v>
      </c>
      <c r="J802" s="764" t="str">
        <f>G801</f>
        <v>Gestão e Prom. de Even. Esport. e Lazer</v>
      </c>
    </row>
    <row r="803" spans="2:10" ht="15.75" thickBot="1" x14ac:dyDescent="0.3">
      <c r="B803" s="769" t="s">
        <v>6939</v>
      </c>
      <c r="C803" s="1625">
        <f>'[3]Anexo I - Programas'!$H$349</f>
        <v>400000</v>
      </c>
      <c r="D803" s="1626"/>
      <c r="E803" s="769" t="s">
        <v>6939</v>
      </c>
      <c r="F803" s="1625">
        <f>'[3]Anexo I - Programas'!$J$349</f>
        <v>100000</v>
      </c>
      <c r="G803" s="1627"/>
      <c r="H803" s="778" t="s">
        <v>6939</v>
      </c>
      <c r="I803" s="1625">
        <f>DESPORC!I2614</f>
        <v>53482.287190835974</v>
      </c>
      <c r="J803" s="1627"/>
    </row>
    <row r="804" spans="2:10" x14ac:dyDescent="0.25">
      <c r="B804" s="1628" t="s">
        <v>3137</v>
      </c>
      <c r="C804" s="1615" t="str">
        <f>'[3]Anexo I - Programas'!$B$334</f>
        <v>010</v>
      </c>
      <c r="D804" s="1629" t="str">
        <f>'[3]Anexo I - Programas'!$C$334</f>
        <v>PROMOÇÃO E DESENVOLVIMENTO DO ESPORTE E LAZER</v>
      </c>
      <c r="E804" s="1628" t="s">
        <v>3137</v>
      </c>
      <c r="F804" s="1615" t="str">
        <f>C804</f>
        <v>010</v>
      </c>
      <c r="G804" s="1617" t="str">
        <f>D804</f>
        <v>PROMOÇÃO E DESENVOLVIMENTO DO ESPORTE E LAZER</v>
      </c>
      <c r="H804" s="773" t="s">
        <v>3138</v>
      </c>
      <c r="I804" s="757">
        <f>DESPORC!C2636</f>
        <v>27</v>
      </c>
      <c r="J804" s="765" t="str">
        <f>DESPORC!D2636</f>
        <v>Desporto e Lazer</v>
      </c>
    </row>
    <row r="805" spans="2:10" x14ac:dyDescent="0.25">
      <c r="B805" s="1619"/>
      <c r="C805" s="1616"/>
      <c r="D805" s="1630"/>
      <c r="E805" s="1619"/>
      <c r="F805" s="1616"/>
      <c r="G805" s="1618"/>
      <c r="H805" s="774" t="s">
        <v>6940</v>
      </c>
      <c r="I805" s="757">
        <f>DESPORC!C2637</f>
        <v>126</v>
      </c>
      <c r="J805" s="765" t="str">
        <f>DESPORC!D2637</f>
        <v>Tecnologia da Informação</v>
      </c>
    </row>
    <row r="806" spans="2:10" x14ac:dyDescent="0.25">
      <c r="B806" s="1619" t="s">
        <v>6941</v>
      </c>
      <c r="C806" s="1616">
        <f>'[3]Anexo I - Programas'!$C$348</f>
        <v>2010</v>
      </c>
      <c r="D806" s="1622" t="str">
        <f>'[3]Anexo I - Programas'!$D$348</f>
        <v>Gestão e Prom. de Even. Esport. e Lazer</v>
      </c>
      <c r="E806" s="1619" t="s">
        <v>6941</v>
      </c>
      <c r="F806" s="1616">
        <f>C806</f>
        <v>2010</v>
      </c>
      <c r="G806" s="1618" t="str">
        <f>D806</f>
        <v>Gestão e Prom. de Even. Esport. e Lazer</v>
      </c>
      <c r="H806" s="775" t="s">
        <v>3137</v>
      </c>
      <c r="I806" s="783" t="str">
        <f>F804</f>
        <v>010</v>
      </c>
      <c r="J806" s="762" t="str">
        <f>G804</f>
        <v>PROMOÇÃO E DESENVOLVIMENTO DO ESPORTE E LAZER</v>
      </c>
    </row>
    <row r="807" spans="2:10" x14ac:dyDescent="0.25">
      <c r="B807" s="1620"/>
      <c r="C807" s="1621"/>
      <c r="D807" s="1623"/>
      <c r="E807" s="1620"/>
      <c r="F807" s="1621"/>
      <c r="G807" s="1624"/>
      <c r="H807" s="776" t="s">
        <v>6941</v>
      </c>
      <c r="I807" s="784">
        <f>F806</f>
        <v>2010</v>
      </c>
      <c r="J807" s="764" t="str">
        <f>G806</f>
        <v>Gestão e Prom. de Even. Esport. e Lazer</v>
      </c>
    </row>
    <row r="808" spans="2:10" ht="15.75" thickBot="1" x14ac:dyDescent="0.3">
      <c r="B808" s="769" t="s">
        <v>6939</v>
      </c>
      <c r="C808" s="1625">
        <f>'[3]Anexo I - Programas'!$H$349</f>
        <v>400000</v>
      </c>
      <c r="D808" s="1626"/>
      <c r="E808" s="769" t="s">
        <v>6939</v>
      </c>
      <c r="F808" s="1625">
        <f>'[3]Anexo I - Programas'!$J$349</f>
        <v>100000</v>
      </c>
      <c r="G808" s="1627"/>
      <c r="H808" s="778" t="s">
        <v>6939</v>
      </c>
      <c r="I808" s="1625">
        <f>DESPORC!I2639</f>
        <v>0.02</v>
      </c>
      <c r="J808" s="1627"/>
    </row>
    <row r="809" spans="2:10" x14ac:dyDescent="0.25">
      <c r="B809" s="1628" t="s">
        <v>3137</v>
      </c>
      <c r="C809" s="1615" t="str">
        <f>'[3]Anexo I - Programas'!$B$334</f>
        <v>010</v>
      </c>
      <c r="D809" s="1629" t="str">
        <f>'[3]Anexo I - Programas'!$C$334</f>
        <v>PROMOÇÃO E DESENVOLVIMENTO DO ESPORTE E LAZER</v>
      </c>
      <c r="E809" s="1628" t="s">
        <v>3137</v>
      </c>
      <c r="F809" s="1615" t="str">
        <f>C809</f>
        <v>010</v>
      </c>
      <c r="G809" s="1617" t="str">
        <f>D809</f>
        <v>PROMOÇÃO E DESENVOLVIMENTO DO ESPORTE E LAZER</v>
      </c>
      <c r="H809" s="773" t="s">
        <v>3138</v>
      </c>
      <c r="I809" s="757">
        <f>DESPORC!C2642</f>
        <v>27</v>
      </c>
      <c r="J809" s="765" t="str">
        <f>DESPORC!D2642</f>
        <v>Desporto e Lazer</v>
      </c>
    </row>
    <row r="810" spans="2:10" x14ac:dyDescent="0.25">
      <c r="B810" s="1619"/>
      <c r="C810" s="1616"/>
      <c r="D810" s="1630"/>
      <c r="E810" s="1619"/>
      <c r="F810" s="1616"/>
      <c r="G810" s="1618"/>
      <c r="H810" s="774" t="s">
        <v>6940</v>
      </c>
      <c r="I810" s="757">
        <f>DESPORC!C2643</f>
        <v>128</v>
      </c>
      <c r="J810" s="765" t="str">
        <f>DESPORC!D2643</f>
        <v>Formação de Recursos Humanos</v>
      </c>
    </row>
    <row r="811" spans="2:10" x14ac:dyDescent="0.25">
      <c r="B811" s="1619" t="s">
        <v>6941</v>
      </c>
      <c r="C811" s="1616">
        <f>'[3]Anexo I - Programas'!$C$348</f>
        <v>2010</v>
      </c>
      <c r="D811" s="1622" t="str">
        <f>'[3]Anexo I - Programas'!$D$348</f>
        <v>Gestão e Prom. de Even. Esport. e Lazer</v>
      </c>
      <c r="E811" s="1619" t="s">
        <v>6941</v>
      </c>
      <c r="F811" s="1616">
        <f>C811</f>
        <v>2010</v>
      </c>
      <c r="G811" s="1618" t="str">
        <f>D811</f>
        <v>Gestão e Prom. de Even. Esport. e Lazer</v>
      </c>
      <c r="H811" s="775" t="s">
        <v>3137</v>
      </c>
      <c r="I811" s="783" t="str">
        <f>F809</f>
        <v>010</v>
      </c>
      <c r="J811" s="762" t="str">
        <f>G809</f>
        <v>PROMOÇÃO E DESENVOLVIMENTO DO ESPORTE E LAZER</v>
      </c>
    </row>
    <row r="812" spans="2:10" x14ac:dyDescent="0.25">
      <c r="B812" s="1620"/>
      <c r="C812" s="1621"/>
      <c r="D812" s="1623"/>
      <c r="E812" s="1620"/>
      <c r="F812" s="1621"/>
      <c r="G812" s="1624"/>
      <c r="H812" s="776" t="s">
        <v>6941</v>
      </c>
      <c r="I812" s="784">
        <f>F811</f>
        <v>2010</v>
      </c>
      <c r="J812" s="764" t="str">
        <f>G811</f>
        <v>Gestão e Prom. de Even. Esport. e Lazer</v>
      </c>
    </row>
    <row r="813" spans="2:10" ht="15.75" thickBot="1" x14ac:dyDescent="0.3">
      <c r="B813" s="769" t="s">
        <v>6939</v>
      </c>
      <c r="C813" s="1625">
        <f>'[3]Anexo I - Programas'!$H$349</f>
        <v>400000</v>
      </c>
      <c r="D813" s="1626"/>
      <c r="E813" s="769" t="s">
        <v>6939</v>
      </c>
      <c r="F813" s="1625">
        <f>'[3]Anexo I - Programas'!$J$349</f>
        <v>100000</v>
      </c>
      <c r="G813" s="1627"/>
      <c r="H813" s="778" t="s">
        <v>6939</v>
      </c>
      <c r="I813" s="1625">
        <f>DESPORC!I2645</f>
        <v>0.05</v>
      </c>
      <c r="J813" s="1627"/>
    </row>
    <row r="814" spans="2:10" x14ac:dyDescent="0.25">
      <c r="B814" s="1628" t="s">
        <v>3137</v>
      </c>
      <c r="C814" s="1615" t="str">
        <f>'[3]Anexo I - Programas'!$B$334</f>
        <v>010</v>
      </c>
      <c r="D814" s="1629" t="str">
        <f>'[3]Anexo I - Programas'!$C$334</f>
        <v>PROMOÇÃO E DESENVOLVIMENTO DO ESPORTE E LAZER</v>
      </c>
      <c r="E814" s="1628" t="s">
        <v>3137</v>
      </c>
      <c r="F814" s="1615" t="str">
        <f>C814</f>
        <v>010</v>
      </c>
      <c r="G814" s="1617" t="str">
        <f>D814</f>
        <v>PROMOÇÃO E DESENVOLVIMENTO DO ESPORTE E LAZER</v>
      </c>
      <c r="H814" s="773" t="s">
        <v>3138</v>
      </c>
      <c r="I814" s="757">
        <f>DESPORC!C2651</f>
        <v>27</v>
      </c>
      <c r="J814" s="765" t="str">
        <f>DESPORC!D2651</f>
        <v>Desporto e Lazer</v>
      </c>
    </row>
    <row r="815" spans="2:10" x14ac:dyDescent="0.25">
      <c r="B815" s="1619"/>
      <c r="C815" s="1616"/>
      <c r="D815" s="1630"/>
      <c r="E815" s="1619"/>
      <c r="F815" s="1616"/>
      <c r="G815" s="1618"/>
      <c r="H815" s="774" t="s">
        <v>6940</v>
      </c>
      <c r="I815" s="757">
        <f>DESPORC!C2652</f>
        <v>812</v>
      </c>
      <c r="J815" s="765" t="str">
        <f>DESPORC!D2652</f>
        <v>Desporto Comunitário</v>
      </c>
    </row>
    <row r="816" spans="2:10" x14ac:dyDescent="0.25">
      <c r="B816" s="1619" t="s">
        <v>6941</v>
      </c>
      <c r="C816" s="1616">
        <f>'[3]Anexo I - Programas'!$C$348</f>
        <v>2010</v>
      </c>
      <c r="D816" s="1622" t="str">
        <f>'[3]Anexo I - Programas'!$D$348</f>
        <v>Gestão e Prom. de Even. Esport. e Lazer</v>
      </c>
      <c r="E816" s="1619" t="s">
        <v>6941</v>
      </c>
      <c r="F816" s="1616">
        <f>C816</f>
        <v>2010</v>
      </c>
      <c r="G816" s="1618" t="str">
        <f>D816</f>
        <v>Gestão e Prom. de Even. Esport. e Lazer</v>
      </c>
      <c r="H816" s="775" t="s">
        <v>3137</v>
      </c>
      <c r="I816" s="783" t="str">
        <f>F814</f>
        <v>010</v>
      </c>
      <c r="J816" s="762" t="str">
        <f>G814</f>
        <v>PROMOÇÃO E DESENVOLVIMENTO DO ESPORTE E LAZER</v>
      </c>
    </row>
    <row r="817" spans="2:10" x14ac:dyDescent="0.25">
      <c r="B817" s="1620"/>
      <c r="C817" s="1621"/>
      <c r="D817" s="1623"/>
      <c r="E817" s="1620"/>
      <c r="F817" s="1621"/>
      <c r="G817" s="1624"/>
      <c r="H817" s="776" t="s">
        <v>6941</v>
      </c>
      <c r="I817" s="784">
        <f>F816</f>
        <v>2010</v>
      </c>
      <c r="J817" s="764" t="str">
        <f>G816</f>
        <v>Gestão e Prom. de Even. Esport. e Lazer</v>
      </c>
    </row>
    <row r="818" spans="2:10" ht="15.75" thickBot="1" x14ac:dyDescent="0.3">
      <c r="B818" s="769" t="s">
        <v>6939</v>
      </c>
      <c r="C818" s="1625">
        <f>'[3]Anexo I - Programas'!$H$349</f>
        <v>400000</v>
      </c>
      <c r="D818" s="1626"/>
      <c r="E818" s="769" t="s">
        <v>6939</v>
      </c>
      <c r="F818" s="1625">
        <f>'[3]Anexo I - Programas'!$J$349</f>
        <v>100000</v>
      </c>
      <c r="G818" s="1627"/>
      <c r="H818" s="778" t="s">
        <v>6939</v>
      </c>
      <c r="I818" s="1625">
        <f>DESPORC!I2654</f>
        <v>176801.12000000005</v>
      </c>
      <c r="J818" s="1627"/>
    </row>
    <row r="821" spans="2:10" x14ac:dyDescent="0.25">
      <c r="B821" s="787"/>
      <c r="C821" s="788"/>
      <c r="E821" s="787"/>
      <c r="H821" s="787"/>
    </row>
    <row r="822" spans="2:10" x14ac:dyDescent="0.25">
      <c r="B822" s="787"/>
      <c r="C822" s="788"/>
      <c r="E822" s="787"/>
      <c r="H822" s="787"/>
    </row>
    <row r="823" spans="2:10" x14ac:dyDescent="0.25">
      <c r="B823" s="787"/>
      <c r="C823" s="788"/>
      <c r="E823" s="787"/>
      <c r="H823" s="787"/>
    </row>
    <row r="824" spans="2:10" x14ac:dyDescent="0.25">
      <c r="B824" s="787"/>
      <c r="C824" s="788"/>
      <c r="E824" s="787"/>
      <c r="H824" s="787"/>
    </row>
    <row r="825" spans="2:10" x14ac:dyDescent="0.25">
      <c r="B825" s="787"/>
      <c r="C825" s="788"/>
      <c r="E825" s="787"/>
      <c r="H825" s="787"/>
    </row>
    <row r="826" spans="2:10" x14ac:dyDescent="0.25">
      <c r="B826" s="787"/>
      <c r="C826" s="788"/>
      <c r="E826" s="787"/>
      <c r="H826" s="787"/>
    </row>
    <row r="827" spans="2:10" x14ac:dyDescent="0.25">
      <c r="B827" s="787"/>
      <c r="C827" s="788"/>
      <c r="E827" s="787"/>
      <c r="H827" s="787"/>
    </row>
    <row r="828" spans="2:10" x14ac:dyDescent="0.25">
      <c r="B828" s="787"/>
      <c r="C828" s="788"/>
      <c r="E828" s="787"/>
      <c r="H828" s="787"/>
    </row>
    <row r="829" spans="2:10" x14ac:dyDescent="0.25">
      <c r="B829" s="1631" t="s">
        <v>6927</v>
      </c>
      <c r="C829" s="1631"/>
      <c r="D829" s="755" t="str">
        <f>DESPORC!C2681</f>
        <v>03 - SECRETARIA MUNICIPAL DE EDUCAÇÃO, CULT. E DESPORTO</v>
      </c>
      <c r="E829" s="785"/>
      <c r="F829" s="786"/>
      <c r="G829" s="786"/>
      <c r="H829" s="785"/>
      <c r="I829" s="786"/>
      <c r="J829" s="786"/>
    </row>
    <row r="830" spans="2:10" ht="15.75" thickBot="1" x14ac:dyDescent="0.3">
      <c r="B830" s="1632" t="s">
        <v>3087</v>
      </c>
      <c r="C830" s="1632"/>
      <c r="D830" s="755" t="str">
        <f>DESPORC!C2682</f>
        <v>09 - DEPARTAMENTO DE TURISMO</v>
      </c>
      <c r="E830" s="785"/>
      <c r="F830" s="36"/>
      <c r="G830" s="1"/>
      <c r="H830" s="772"/>
      <c r="I830" s="1"/>
      <c r="J830" s="1"/>
    </row>
    <row r="831" spans="2:10" ht="15.75" thickBot="1" x14ac:dyDescent="0.3">
      <c r="B831" s="1633" t="str">
        <f>B$10</f>
        <v>PPA LEI MUNICIPAL N.º 1091  DE 16 DE JUNHO DE 2017.</v>
      </c>
      <c r="C831" s="1634"/>
      <c r="D831" s="1635"/>
      <c r="E831" s="1633" t="str">
        <f>E$10</f>
        <v>LDO LEI MUNICIPAL N.º 1166  DE 10 DE OUTUBRO DE 2019.</v>
      </c>
      <c r="F831" s="1634"/>
      <c r="G831" s="1635"/>
      <c r="H831" s="1633" t="str">
        <f>H$10</f>
        <v>LOA 2020</v>
      </c>
      <c r="I831" s="1634"/>
      <c r="J831" s="1635"/>
    </row>
    <row r="832" spans="2:10" x14ac:dyDescent="0.25">
      <c r="B832" s="1628" t="s">
        <v>3137</v>
      </c>
      <c r="C832" s="1615" t="str">
        <f>'[3]Anexo I - Programas'!$B$310</f>
        <v>9</v>
      </c>
      <c r="D832" s="1629" t="str">
        <f>'[3]Anexo I - Programas'!$C$310</f>
        <v>PROMOÇÃO E DESENVIMENTO DO TURISMO</v>
      </c>
      <c r="E832" s="1628" t="s">
        <v>3137</v>
      </c>
      <c r="F832" s="1615" t="str">
        <f>C832</f>
        <v>9</v>
      </c>
      <c r="G832" s="1617" t="str">
        <f>D832</f>
        <v>PROMOÇÃO E DESENVIMENTO DO TURISMO</v>
      </c>
      <c r="H832" s="773" t="s">
        <v>3138</v>
      </c>
      <c r="I832" s="757">
        <f>DESPORC!C2685</f>
        <v>13</v>
      </c>
      <c r="J832" s="765" t="str">
        <f>DESPORC!D2685</f>
        <v>Cultura</v>
      </c>
    </row>
    <row r="833" spans="2:10" x14ac:dyDescent="0.25">
      <c r="B833" s="1619"/>
      <c r="C833" s="1616"/>
      <c r="D833" s="1630"/>
      <c r="E833" s="1619"/>
      <c r="F833" s="1616"/>
      <c r="G833" s="1618"/>
      <c r="H833" s="774" t="s">
        <v>6940</v>
      </c>
      <c r="I833" s="757">
        <f>DESPORC!C2686</f>
        <v>695</v>
      </c>
      <c r="J833" s="765" t="str">
        <f>DESPORC!D2686</f>
        <v>Turismo</v>
      </c>
    </row>
    <row r="834" spans="2:10" x14ac:dyDescent="0.25">
      <c r="B834" s="1619" t="s">
        <v>6941</v>
      </c>
      <c r="C834" s="1616">
        <f>'[3]Anexo I - Programas'!$C$319</f>
        <v>1008</v>
      </c>
      <c r="D834" s="1622" t="str">
        <f>'[3]Anexo I - Programas'!$D$319</f>
        <v>Novos Investimentos em Turismo</v>
      </c>
      <c r="E834" s="1619" t="s">
        <v>6941</v>
      </c>
      <c r="F834" s="1616">
        <f>C834</f>
        <v>1008</v>
      </c>
      <c r="G834" s="1618" t="str">
        <f>D834</f>
        <v>Novos Investimentos em Turismo</v>
      </c>
      <c r="H834" s="775" t="s">
        <v>3137</v>
      </c>
      <c r="I834" s="783" t="str">
        <f>F832</f>
        <v>9</v>
      </c>
      <c r="J834" s="762" t="str">
        <f>G832</f>
        <v>PROMOÇÃO E DESENVIMENTO DO TURISMO</v>
      </c>
    </row>
    <row r="835" spans="2:10" x14ac:dyDescent="0.25">
      <c r="B835" s="1620"/>
      <c r="C835" s="1621"/>
      <c r="D835" s="1623"/>
      <c r="E835" s="1620"/>
      <c r="F835" s="1621"/>
      <c r="G835" s="1624"/>
      <c r="H835" s="776" t="s">
        <v>6941</v>
      </c>
      <c r="I835" s="784">
        <f>F834</f>
        <v>1008</v>
      </c>
      <c r="J835" s="764" t="str">
        <f>G834</f>
        <v>Novos Investimentos em Turismo</v>
      </c>
    </row>
    <row r="836" spans="2:10" ht="15.75" thickBot="1" x14ac:dyDescent="0.3">
      <c r="B836" s="769" t="s">
        <v>6939</v>
      </c>
      <c r="C836" s="1625">
        <f>'[3]Anexo I - Programas'!$H$320</f>
        <v>200000</v>
      </c>
      <c r="D836" s="1626"/>
      <c r="E836" s="769" t="s">
        <v>6939</v>
      </c>
      <c r="F836" s="1625">
        <f>'[3]Anexo I - Programas'!$J$320</f>
        <v>50000</v>
      </c>
      <c r="G836" s="1627"/>
      <c r="H836" s="778" t="s">
        <v>6939</v>
      </c>
      <c r="I836" s="1625">
        <f>DESPORC!I2688</f>
        <v>6.0000000000000005E-2</v>
      </c>
      <c r="J836" s="1627"/>
    </row>
    <row r="837" spans="2:10" x14ac:dyDescent="0.25">
      <c r="B837" s="1628" t="s">
        <v>3137</v>
      </c>
      <c r="C837" s="1615" t="str">
        <f>'[3]Anexo I - Programas'!$B$310</f>
        <v>9</v>
      </c>
      <c r="D837" s="1629" t="str">
        <f>'[3]Anexo I - Programas'!$C$310</f>
        <v>PROMOÇÃO E DESENVIMENTO DO TURISMO</v>
      </c>
      <c r="E837" s="1628" t="s">
        <v>3137</v>
      </c>
      <c r="F837" s="1615" t="str">
        <f>C837</f>
        <v>9</v>
      </c>
      <c r="G837" s="1617" t="str">
        <f>D837</f>
        <v>PROMOÇÃO E DESENVIMENTO DO TURISMO</v>
      </c>
      <c r="H837" s="773" t="s">
        <v>3138</v>
      </c>
      <c r="I837" s="757">
        <f>DESPORC!C2695</f>
        <v>13</v>
      </c>
      <c r="J837" s="765" t="str">
        <f>DESPORC!D2695</f>
        <v>Cultura</v>
      </c>
    </row>
    <row r="838" spans="2:10" x14ac:dyDescent="0.25">
      <c r="B838" s="1619"/>
      <c r="C838" s="1616"/>
      <c r="D838" s="1630"/>
      <c r="E838" s="1619"/>
      <c r="F838" s="1616"/>
      <c r="G838" s="1618"/>
      <c r="H838" s="774" t="s">
        <v>6940</v>
      </c>
      <c r="I838" s="757">
        <f>DESPORC!C2696</f>
        <v>126</v>
      </c>
      <c r="J838" s="765" t="str">
        <f>DESPORC!D2696</f>
        <v>Tecnologia da Informação</v>
      </c>
    </row>
    <row r="839" spans="2:10" x14ac:dyDescent="0.25">
      <c r="B839" s="1619" t="s">
        <v>6941</v>
      </c>
      <c r="C839" s="1616">
        <f>'[3]Anexo I - Programas'!$C$324</f>
        <v>2009</v>
      </c>
      <c r="D839" s="1622" t="str">
        <f>'[3]Anexo I - Programas'!$D$324</f>
        <v>Promoção e Desenvolvimento do Turismo</v>
      </c>
      <c r="E839" s="1619" t="s">
        <v>6941</v>
      </c>
      <c r="F839" s="1616">
        <f>C839</f>
        <v>2009</v>
      </c>
      <c r="G839" s="1618" t="str">
        <f>D839</f>
        <v>Promoção e Desenvolvimento do Turismo</v>
      </c>
      <c r="H839" s="775" t="s">
        <v>3137</v>
      </c>
      <c r="I839" s="783" t="str">
        <f>F837</f>
        <v>9</v>
      </c>
      <c r="J839" s="762" t="str">
        <f>G837</f>
        <v>PROMOÇÃO E DESENVIMENTO DO TURISMO</v>
      </c>
    </row>
    <row r="840" spans="2:10" x14ac:dyDescent="0.25">
      <c r="B840" s="1620"/>
      <c r="C840" s="1621"/>
      <c r="D840" s="1623"/>
      <c r="E840" s="1620"/>
      <c r="F840" s="1621"/>
      <c r="G840" s="1624"/>
      <c r="H840" s="776" t="s">
        <v>6941</v>
      </c>
      <c r="I840" s="784">
        <f>F839</f>
        <v>2009</v>
      </c>
      <c r="J840" s="764" t="str">
        <f>G839</f>
        <v>Promoção e Desenvolvimento do Turismo</v>
      </c>
    </row>
    <row r="841" spans="2:10" ht="15.75" thickBot="1" x14ac:dyDescent="0.3">
      <c r="B841" s="769" t="s">
        <v>6939</v>
      </c>
      <c r="C841" s="1625">
        <f>'[3]Anexo I - Programas'!$H$325</f>
        <v>400000</v>
      </c>
      <c r="D841" s="1626"/>
      <c r="E841" s="769" t="s">
        <v>6939</v>
      </c>
      <c r="F841" s="1625">
        <f>'[3]Anexo I - Programas'!$J$325</f>
        <v>100000</v>
      </c>
      <c r="G841" s="1627"/>
      <c r="H841" s="778" t="s">
        <v>6939</v>
      </c>
      <c r="I841" s="1625">
        <f>DESPORC!I2698</f>
        <v>0.01</v>
      </c>
      <c r="J841" s="1627"/>
    </row>
    <row r="842" spans="2:10" x14ac:dyDescent="0.25">
      <c r="B842" s="1628" t="s">
        <v>3137</v>
      </c>
      <c r="C842" s="1615" t="str">
        <f>'[3]Anexo I - Programas'!$B$310</f>
        <v>9</v>
      </c>
      <c r="D842" s="1629" t="str">
        <f>'[3]Anexo I - Programas'!$C$310</f>
        <v>PROMOÇÃO E DESENVIMENTO DO TURISMO</v>
      </c>
      <c r="E842" s="1628" t="s">
        <v>3137</v>
      </c>
      <c r="F842" s="1615" t="str">
        <f>C842</f>
        <v>9</v>
      </c>
      <c r="G842" s="1617" t="str">
        <f>D842</f>
        <v>PROMOÇÃO E DESENVIMENTO DO TURISMO</v>
      </c>
      <c r="H842" s="773" t="s">
        <v>3138</v>
      </c>
      <c r="I842" s="757">
        <f>DESPORC!C2700</f>
        <v>13</v>
      </c>
      <c r="J842" s="765" t="str">
        <f>DESPORC!D2700</f>
        <v>Cultura</v>
      </c>
    </row>
    <row r="843" spans="2:10" x14ac:dyDescent="0.25">
      <c r="B843" s="1619"/>
      <c r="C843" s="1616"/>
      <c r="D843" s="1630"/>
      <c r="E843" s="1619"/>
      <c r="F843" s="1616"/>
      <c r="G843" s="1618"/>
      <c r="H843" s="774" t="s">
        <v>6940</v>
      </c>
      <c r="I843" s="757">
        <f>DESPORC!C2701</f>
        <v>695</v>
      </c>
      <c r="J843" s="765" t="str">
        <f>DESPORC!D2701</f>
        <v>Turismo</v>
      </c>
    </row>
    <row r="844" spans="2:10" x14ac:dyDescent="0.25">
      <c r="B844" s="1619" t="s">
        <v>6941</v>
      </c>
      <c r="C844" s="1616">
        <f>'[3]Anexo I - Programas'!$C$324</f>
        <v>2009</v>
      </c>
      <c r="D844" s="1622" t="str">
        <f>'[3]Anexo I - Programas'!$D$324</f>
        <v>Promoção e Desenvolvimento do Turismo</v>
      </c>
      <c r="E844" s="1619" t="s">
        <v>6941</v>
      </c>
      <c r="F844" s="1616">
        <f>C844</f>
        <v>2009</v>
      </c>
      <c r="G844" s="1618" t="str">
        <f>D844</f>
        <v>Promoção e Desenvolvimento do Turismo</v>
      </c>
      <c r="H844" s="775" t="s">
        <v>3137</v>
      </c>
      <c r="I844" s="783" t="str">
        <f>F842</f>
        <v>9</v>
      </c>
      <c r="J844" s="762" t="str">
        <f>G842</f>
        <v>PROMOÇÃO E DESENVIMENTO DO TURISMO</v>
      </c>
    </row>
    <row r="845" spans="2:10" x14ac:dyDescent="0.25">
      <c r="B845" s="1620"/>
      <c r="C845" s="1621"/>
      <c r="D845" s="1623"/>
      <c r="E845" s="1620"/>
      <c r="F845" s="1621"/>
      <c r="G845" s="1624"/>
      <c r="H845" s="776" t="s">
        <v>6941</v>
      </c>
      <c r="I845" s="784">
        <f>F844</f>
        <v>2009</v>
      </c>
      <c r="J845" s="764" t="str">
        <f>G844</f>
        <v>Promoção e Desenvolvimento do Turismo</v>
      </c>
    </row>
    <row r="846" spans="2:10" ht="15.75" thickBot="1" x14ac:dyDescent="0.3">
      <c r="B846" s="769" t="s">
        <v>6939</v>
      </c>
      <c r="C846" s="1625">
        <f>'[3]Anexo I - Programas'!$H$325</f>
        <v>400000</v>
      </c>
      <c r="D846" s="1626"/>
      <c r="E846" s="769" t="s">
        <v>6939</v>
      </c>
      <c r="F846" s="1625">
        <f>'[3]Anexo I - Programas'!$J$325</f>
        <v>100000</v>
      </c>
      <c r="G846" s="1627"/>
      <c r="H846" s="778" t="s">
        <v>6939</v>
      </c>
      <c r="I846" s="1625">
        <f>DESPORC!I2703</f>
        <v>114501.03999999998</v>
      </c>
      <c r="J846" s="1627"/>
    </row>
    <row r="848" spans="2:10" x14ac:dyDescent="0.25">
      <c r="B848" s="1631" t="s">
        <v>6927</v>
      </c>
      <c r="C848" s="1631"/>
      <c r="D848" s="755" t="str">
        <f>DESPORC!C2721</f>
        <v>03 - SECRETARIA MUNICIPAL DE EDUCAÇÃO, CULT. E DESPORTO</v>
      </c>
      <c r="E848" s="785"/>
      <c r="F848" s="786"/>
      <c r="G848" s="786"/>
      <c r="H848" s="785"/>
      <c r="I848" s="786"/>
      <c r="J848" s="786"/>
    </row>
    <row r="849" spans="2:10" ht="15.75" thickBot="1" x14ac:dyDescent="0.3">
      <c r="B849" s="1632" t="s">
        <v>3087</v>
      </c>
      <c r="C849" s="1632"/>
      <c r="D849" s="755" t="str">
        <f>DESPORC!C2722</f>
        <v>10 - GESTÃO, COORD., PLAN. E MAN. EMEI SONHO DE CRIANÇA</v>
      </c>
      <c r="E849" s="785"/>
      <c r="F849" s="36"/>
      <c r="G849" s="1"/>
      <c r="H849" s="772"/>
      <c r="I849" s="1"/>
      <c r="J849" s="1"/>
    </row>
    <row r="850" spans="2:10" ht="15.75" thickBot="1" x14ac:dyDescent="0.3">
      <c r="B850" s="1633" t="str">
        <f>B$10</f>
        <v>PPA LEI MUNICIPAL N.º 1091  DE 16 DE JUNHO DE 2017.</v>
      </c>
      <c r="C850" s="1634"/>
      <c r="D850" s="1635"/>
      <c r="E850" s="1633" t="str">
        <f>E$10</f>
        <v>LDO LEI MUNICIPAL N.º 1166  DE 10 DE OUTUBRO DE 2019.</v>
      </c>
      <c r="F850" s="1634"/>
      <c r="G850" s="1635"/>
      <c r="H850" s="1633" t="str">
        <f>H$10</f>
        <v>LOA 2020</v>
      </c>
      <c r="I850" s="1634"/>
      <c r="J850" s="1635"/>
    </row>
    <row r="851" spans="2:10" x14ac:dyDescent="0.25">
      <c r="B851" s="1628" t="s">
        <v>3137</v>
      </c>
      <c r="C851" s="1615" t="str">
        <f>'[3]Anexo I - Programas'!$B$173</f>
        <v>6</v>
      </c>
      <c r="D851" s="1629" t="str">
        <f>'[3]Anexo I - Programas'!$C$173</f>
        <v>PROMOÇÃO E DESENVOLVIMENTO DA EDUCAÇÃO</v>
      </c>
      <c r="E851" s="1628" t="s">
        <v>3137</v>
      </c>
      <c r="F851" s="1615" t="str">
        <f>C851</f>
        <v>6</v>
      </c>
      <c r="G851" s="1617" t="str">
        <f>D851</f>
        <v>PROMOÇÃO E DESENVOLVIMENTO DA EDUCAÇÃO</v>
      </c>
      <c r="H851" s="773" t="s">
        <v>3138</v>
      </c>
      <c r="I851" s="757">
        <f>DESPORC!C2725</f>
        <v>12</v>
      </c>
      <c r="J851" s="765" t="str">
        <f>DESPORC!D2725</f>
        <v>Educação</v>
      </c>
    </row>
    <row r="852" spans="2:10" x14ac:dyDescent="0.25">
      <c r="B852" s="1619"/>
      <c r="C852" s="1616"/>
      <c r="D852" s="1630"/>
      <c r="E852" s="1619"/>
      <c r="F852" s="1616"/>
      <c r="G852" s="1618"/>
      <c r="H852" s="774" t="s">
        <v>6940</v>
      </c>
      <c r="I852" s="757">
        <f>DESPORC!C2726</f>
        <v>365</v>
      </c>
      <c r="J852" s="765" t="str">
        <f>DESPORC!D2726</f>
        <v>Educação Infantil</v>
      </c>
    </row>
    <row r="853" spans="2:10" x14ac:dyDescent="0.25">
      <c r="B853" s="1619" t="s">
        <v>6941</v>
      </c>
      <c r="C853" s="1616">
        <f>'[3]Anexo I - Programas'!$C$187</f>
        <v>1018</v>
      </c>
      <c r="D853" s="1622" t="str">
        <f>'[3]Anexo I - Programas'!$D$187</f>
        <v>Novos Investimentos EMEI Sonho Criança</v>
      </c>
      <c r="E853" s="1619" t="s">
        <v>6941</v>
      </c>
      <c r="F853" s="1616">
        <f>C853</f>
        <v>1018</v>
      </c>
      <c r="G853" s="1618" t="str">
        <f>D853</f>
        <v>Novos Investimentos EMEI Sonho Criança</v>
      </c>
      <c r="H853" s="775" t="s">
        <v>3137</v>
      </c>
      <c r="I853" s="783" t="str">
        <f>F851</f>
        <v>6</v>
      </c>
      <c r="J853" s="762" t="str">
        <f>G851</f>
        <v>PROMOÇÃO E DESENVOLVIMENTO DA EDUCAÇÃO</v>
      </c>
    </row>
    <row r="854" spans="2:10" x14ac:dyDescent="0.25">
      <c r="B854" s="1620"/>
      <c r="C854" s="1621"/>
      <c r="D854" s="1623"/>
      <c r="E854" s="1620"/>
      <c r="F854" s="1621"/>
      <c r="G854" s="1624"/>
      <c r="H854" s="776" t="s">
        <v>6941</v>
      </c>
      <c r="I854" s="784">
        <f>F853</f>
        <v>1018</v>
      </c>
      <c r="J854" s="764" t="str">
        <f>G853</f>
        <v>Novos Investimentos EMEI Sonho Criança</v>
      </c>
    </row>
    <row r="855" spans="2:10" ht="15.75" thickBot="1" x14ac:dyDescent="0.3">
      <c r="B855" s="769" t="s">
        <v>6939</v>
      </c>
      <c r="C855" s="1625">
        <f>'[3]Anexo I - Programas'!$H$188</f>
        <v>150000</v>
      </c>
      <c r="D855" s="1626"/>
      <c r="E855" s="769" t="s">
        <v>6939</v>
      </c>
      <c r="F855" s="1625">
        <f>'[3]Anexo I - Programas'!$J$188</f>
        <v>37500</v>
      </c>
      <c r="G855" s="1627"/>
      <c r="H855" s="778" t="s">
        <v>6939</v>
      </c>
      <c r="I855" s="1625">
        <f>DESPORC!I2728</f>
        <v>6.0000000000000005E-2</v>
      </c>
      <c r="J855" s="1627"/>
    </row>
    <row r="856" spans="2:10" x14ac:dyDescent="0.25">
      <c r="B856" s="1628" t="s">
        <v>3137</v>
      </c>
      <c r="C856" s="1615" t="str">
        <f>'[3]Anexo I - Programas'!$B$173</f>
        <v>6</v>
      </c>
      <c r="D856" s="1629" t="str">
        <f>'[3]Anexo I - Programas'!$C$173</f>
        <v>PROMOÇÃO E DESENVOLVIMENTO DA EDUCAÇÃO</v>
      </c>
      <c r="E856" s="1628" t="s">
        <v>3137</v>
      </c>
      <c r="F856" s="1615" t="str">
        <f>C856</f>
        <v>6</v>
      </c>
      <c r="G856" s="1617" t="str">
        <f>D856</f>
        <v>PROMOÇÃO E DESENVOLVIMENTO DA EDUCAÇÃO</v>
      </c>
      <c r="H856" s="773" t="s">
        <v>3138</v>
      </c>
      <c r="I856" s="757">
        <f>DESPORC!C2735</f>
        <v>12</v>
      </c>
      <c r="J856" s="765" t="str">
        <f>DESPORC!D2735</f>
        <v>Educação</v>
      </c>
    </row>
    <row r="857" spans="2:10" x14ac:dyDescent="0.25">
      <c r="B857" s="1619"/>
      <c r="C857" s="1616"/>
      <c r="D857" s="1630"/>
      <c r="E857" s="1619"/>
      <c r="F857" s="1616"/>
      <c r="G857" s="1618"/>
      <c r="H857" s="774" t="s">
        <v>6940</v>
      </c>
      <c r="I857" s="757">
        <f>DESPORC!C2736</f>
        <v>122</v>
      </c>
      <c r="J857" s="765" t="str">
        <f>DESPORC!D2736</f>
        <v>Administração Geral</v>
      </c>
    </row>
    <row r="858" spans="2:10" x14ac:dyDescent="0.25">
      <c r="B858" s="1619" t="s">
        <v>6941</v>
      </c>
      <c r="C858" s="1616">
        <f>'[3]Anexo I - Programas'!$C$222</f>
        <v>2040</v>
      </c>
      <c r="D858" s="1622" t="str">
        <f>'[3]Anexo I - Programas'!$D$222</f>
        <v xml:space="preserve">Gestão, Coordenação e  Planejamento E.M.E.I. Sonho de Criança </v>
      </c>
      <c r="E858" s="1619" t="s">
        <v>6941</v>
      </c>
      <c r="F858" s="1616">
        <f>C858</f>
        <v>2040</v>
      </c>
      <c r="G858" s="1618" t="str">
        <f>D858</f>
        <v xml:space="preserve">Gestão, Coordenação e  Planejamento E.M.E.I. Sonho de Criança </v>
      </c>
      <c r="H858" s="775" t="s">
        <v>3137</v>
      </c>
      <c r="I858" s="783" t="str">
        <f>F856</f>
        <v>6</v>
      </c>
      <c r="J858" s="762" t="str">
        <f>G856</f>
        <v>PROMOÇÃO E DESENVOLVIMENTO DA EDUCAÇÃO</v>
      </c>
    </row>
    <row r="859" spans="2:10" ht="30" x14ac:dyDescent="0.25">
      <c r="B859" s="1620"/>
      <c r="C859" s="1621"/>
      <c r="D859" s="1623"/>
      <c r="E859" s="1620"/>
      <c r="F859" s="1621"/>
      <c r="G859" s="1624"/>
      <c r="H859" s="776" t="s">
        <v>6941</v>
      </c>
      <c r="I859" s="784">
        <f>F858</f>
        <v>2040</v>
      </c>
      <c r="J859" s="764" t="str">
        <f>G858</f>
        <v xml:space="preserve">Gestão, Coordenação e  Planejamento E.M.E.I. Sonho de Criança </v>
      </c>
    </row>
    <row r="860" spans="2:10" ht="15.75" thickBot="1" x14ac:dyDescent="0.3">
      <c r="B860" s="769" t="s">
        <v>6939</v>
      </c>
      <c r="C860" s="1625">
        <f>'[3]Anexo I - Programas'!$H$223</f>
        <v>1000000</v>
      </c>
      <c r="D860" s="1626"/>
      <c r="E860" s="769" t="s">
        <v>6939</v>
      </c>
      <c r="F860" s="1625">
        <f>'[3]Anexo I - Programas'!$J$223</f>
        <v>250000</v>
      </c>
      <c r="G860" s="1627"/>
      <c r="H860" s="778" t="s">
        <v>6939</v>
      </c>
      <c r="I860" s="1625">
        <f>DESPORC!I2738</f>
        <v>107860.54050483269</v>
      </c>
      <c r="J860" s="1627"/>
    </row>
    <row r="861" spans="2:10" x14ac:dyDescent="0.25">
      <c r="B861" s="1628" t="s">
        <v>3137</v>
      </c>
      <c r="C861" s="1615" t="str">
        <f>'[3]Anexo I - Programas'!$B$173</f>
        <v>6</v>
      </c>
      <c r="D861" s="1629" t="str">
        <f>'[3]Anexo I - Programas'!$C$173</f>
        <v>PROMOÇÃO E DESENVOLVIMENTO DA EDUCAÇÃO</v>
      </c>
      <c r="E861" s="1628" t="s">
        <v>3137</v>
      </c>
      <c r="F861" s="1615" t="str">
        <f>C861</f>
        <v>6</v>
      </c>
      <c r="G861" s="1617" t="str">
        <f>D861</f>
        <v>PROMOÇÃO E DESENVOLVIMENTO DA EDUCAÇÃO</v>
      </c>
      <c r="H861" s="773" t="s">
        <v>3138</v>
      </c>
      <c r="I861" s="757">
        <f>DESPORC!C2760</f>
        <v>12</v>
      </c>
      <c r="J861" s="765" t="str">
        <f>DESPORC!D2760</f>
        <v>Educação</v>
      </c>
    </row>
    <row r="862" spans="2:10" x14ac:dyDescent="0.25">
      <c r="B862" s="1619"/>
      <c r="C862" s="1616"/>
      <c r="D862" s="1630"/>
      <c r="E862" s="1619"/>
      <c r="F862" s="1616"/>
      <c r="G862" s="1618"/>
      <c r="H862" s="774" t="s">
        <v>6940</v>
      </c>
      <c r="I862" s="757">
        <f>DESPORC!C2761</f>
        <v>126</v>
      </c>
      <c r="J862" s="765" t="str">
        <f>DESPORC!D2761</f>
        <v>Tecnologia da Informação</v>
      </c>
    </row>
    <row r="863" spans="2:10" x14ac:dyDescent="0.25">
      <c r="B863" s="1619" t="s">
        <v>6941</v>
      </c>
      <c r="C863" s="1616">
        <f>'[3]Anexo I - Programas'!$C$222</f>
        <v>2040</v>
      </c>
      <c r="D863" s="1622" t="str">
        <f>'[3]Anexo I - Programas'!$D$222</f>
        <v xml:space="preserve">Gestão, Coordenação e  Planejamento E.M.E.I. Sonho de Criança </v>
      </c>
      <c r="E863" s="1619" t="s">
        <v>6941</v>
      </c>
      <c r="F863" s="1616">
        <f>C863</f>
        <v>2040</v>
      </c>
      <c r="G863" s="1618" t="str">
        <f>D863</f>
        <v xml:space="preserve">Gestão, Coordenação e  Planejamento E.M.E.I. Sonho de Criança </v>
      </c>
      <c r="H863" s="775" t="s">
        <v>3137</v>
      </c>
      <c r="I863" s="783" t="str">
        <f>F861</f>
        <v>6</v>
      </c>
      <c r="J863" s="762" t="str">
        <f>G861</f>
        <v>PROMOÇÃO E DESENVOLVIMENTO DA EDUCAÇÃO</v>
      </c>
    </row>
    <row r="864" spans="2:10" ht="30" x14ac:dyDescent="0.25">
      <c r="B864" s="1620"/>
      <c r="C864" s="1621"/>
      <c r="D864" s="1623"/>
      <c r="E864" s="1620"/>
      <c r="F864" s="1621"/>
      <c r="G864" s="1624"/>
      <c r="H864" s="776" t="s">
        <v>6941</v>
      </c>
      <c r="I864" s="784">
        <f>F863</f>
        <v>2040</v>
      </c>
      <c r="J864" s="764" t="str">
        <f>G863</f>
        <v xml:space="preserve">Gestão, Coordenação e  Planejamento E.M.E.I. Sonho de Criança </v>
      </c>
    </row>
    <row r="865" spans="2:10" ht="15.75" thickBot="1" x14ac:dyDescent="0.3">
      <c r="B865" s="769" t="s">
        <v>6939</v>
      </c>
      <c r="C865" s="1625">
        <f>'[3]Anexo I - Programas'!$H$223</f>
        <v>1000000</v>
      </c>
      <c r="D865" s="1626"/>
      <c r="E865" s="769" t="s">
        <v>6939</v>
      </c>
      <c r="F865" s="1625">
        <f>'[3]Anexo I - Programas'!$J$223</f>
        <v>250000</v>
      </c>
      <c r="G865" s="1627"/>
      <c r="H865" s="778" t="s">
        <v>6939</v>
      </c>
      <c r="I865" s="1625">
        <f>DESPORC!I2763</f>
        <v>1.0973403E-2</v>
      </c>
      <c r="J865" s="1627"/>
    </row>
    <row r="866" spans="2:10" ht="15" customHeight="1" x14ac:dyDescent="0.25">
      <c r="B866" s="1628" t="s">
        <v>3137</v>
      </c>
      <c r="C866" s="1615" t="str">
        <f>'[3]Anexo I - Programas'!$B$173</f>
        <v>6</v>
      </c>
      <c r="D866" s="1629" t="str">
        <f>'[3]Anexo I - Programas'!$C$173</f>
        <v>PROMOÇÃO E DESENVOLVIMENTO DA EDUCAÇÃO</v>
      </c>
      <c r="E866" s="1628" t="s">
        <v>3137</v>
      </c>
      <c r="F866" s="1615" t="str">
        <f>C866</f>
        <v>6</v>
      </c>
      <c r="G866" s="1617" t="str">
        <f>D866</f>
        <v>PROMOÇÃO E DESENVOLVIMENTO DA EDUCAÇÃO</v>
      </c>
      <c r="H866" s="773" t="s">
        <v>3138</v>
      </c>
      <c r="I866" s="757">
        <f>DESPORC!C2765</f>
        <v>12</v>
      </c>
      <c r="J866" s="765" t="str">
        <f>DESPORC!D2765</f>
        <v>Educação</v>
      </c>
    </row>
    <row r="867" spans="2:10" x14ac:dyDescent="0.25">
      <c r="B867" s="1619"/>
      <c r="C867" s="1616"/>
      <c r="D867" s="1630"/>
      <c r="E867" s="1619"/>
      <c r="F867" s="1616"/>
      <c r="G867" s="1618"/>
      <c r="H867" s="774" t="s">
        <v>6940</v>
      </c>
      <c r="I867" s="757">
        <f>DESPORC!C2766</f>
        <v>128</v>
      </c>
      <c r="J867" s="765" t="str">
        <f>DESPORC!D2766</f>
        <v>Formação de Recursos Humanos</v>
      </c>
    </row>
    <row r="868" spans="2:10" ht="15" customHeight="1" x14ac:dyDescent="0.25">
      <c r="B868" s="1619" t="s">
        <v>6941</v>
      </c>
      <c r="C868" s="1616">
        <f>'[3]Anexo I - Programas'!$C$222</f>
        <v>2040</v>
      </c>
      <c r="D868" s="1622" t="str">
        <f>'[3]Anexo I - Programas'!$D$222</f>
        <v xml:space="preserve">Gestão, Coordenação e  Planejamento E.M.E.I. Sonho de Criança </v>
      </c>
      <c r="E868" s="1619" t="s">
        <v>6941</v>
      </c>
      <c r="F868" s="1616">
        <f>C868</f>
        <v>2040</v>
      </c>
      <c r="G868" s="1618" t="str">
        <f>D868</f>
        <v xml:space="preserve">Gestão, Coordenação e  Planejamento E.M.E.I. Sonho de Criança </v>
      </c>
      <c r="H868" s="775" t="s">
        <v>3137</v>
      </c>
      <c r="I868" s="783" t="str">
        <f>F866</f>
        <v>6</v>
      </c>
      <c r="J868" s="762" t="str">
        <f>G866</f>
        <v>PROMOÇÃO E DESENVOLVIMENTO DA EDUCAÇÃO</v>
      </c>
    </row>
    <row r="869" spans="2:10" ht="30" x14ac:dyDescent="0.25">
      <c r="B869" s="1620"/>
      <c r="C869" s="1621"/>
      <c r="D869" s="1623"/>
      <c r="E869" s="1620"/>
      <c r="F869" s="1621"/>
      <c r="G869" s="1624"/>
      <c r="H869" s="776" t="s">
        <v>6941</v>
      </c>
      <c r="I869" s="784">
        <f>F868</f>
        <v>2040</v>
      </c>
      <c r="J869" s="764" t="str">
        <f>G868</f>
        <v xml:space="preserve">Gestão, Coordenação e  Planejamento E.M.E.I. Sonho de Criança </v>
      </c>
    </row>
    <row r="870" spans="2:10" ht="15.75" thickBot="1" x14ac:dyDescent="0.3">
      <c r="B870" s="769" t="s">
        <v>6939</v>
      </c>
      <c r="C870" s="1625">
        <f>'[3]Anexo I - Programas'!$H$223</f>
        <v>1000000</v>
      </c>
      <c r="D870" s="1626"/>
      <c r="E870" s="769" t="s">
        <v>6939</v>
      </c>
      <c r="F870" s="1625">
        <f>'[3]Anexo I - Programas'!$J$223</f>
        <v>250000</v>
      </c>
      <c r="G870" s="1627"/>
      <c r="H870" s="778" t="s">
        <v>6939</v>
      </c>
      <c r="I870" s="1625">
        <f>DESPORC!I2768</f>
        <v>0.05</v>
      </c>
      <c r="J870" s="1627"/>
    </row>
    <row r="871" spans="2:10" x14ac:dyDescent="0.25">
      <c r="B871" s="804"/>
      <c r="C871" s="805"/>
      <c r="D871" s="806"/>
      <c r="E871" s="804"/>
      <c r="F871" s="805"/>
      <c r="G871" s="806"/>
      <c r="H871" s="804"/>
      <c r="I871" s="805"/>
      <c r="J871" s="806"/>
    </row>
    <row r="872" spans="2:10" x14ac:dyDescent="0.25">
      <c r="B872" s="267"/>
      <c r="C872" s="807"/>
      <c r="D872" s="257"/>
      <c r="E872" s="267"/>
      <c r="F872" s="807"/>
      <c r="G872" s="257"/>
      <c r="H872" s="267"/>
      <c r="I872" s="807"/>
      <c r="J872" s="257"/>
    </row>
    <row r="873" spans="2:10" x14ac:dyDescent="0.25">
      <c r="B873" s="267"/>
      <c r="C873" s="807"/>
      <c r="D873" s="257"/>
      <c r="E873" s="267"/>
      <c r="F873" s="807"/>
      <c r="G873" s="257"/>
      <c r="H873" s="267"/>
      <c r="I873" s="807"/>
      <c r="J873" s="257"/>
    </row>
    <row r="874" spans="2:10" ht="15.75" thickBot="1" x14ac:dyDescent="0.3">
      <c r="B874" s="808"/>
      <c r="C874" s="809"/>
      <c r="D874" s="810"/>
      <c r="E874" s="808"/>
      <c r="F874" s="809"/>
      <c r="G874" s="810"/>
      <c r="H874" s="808"/>
      <c r="I874" s="809"/>
      <c r="J874" s="810"/>
    </row>
    <row r="875" spans="2:10" x14ac:dyDescent="0.25">
      <c r="B875" s="1628" t="s">
        <v>3137</v>
      </c>
      <c r="C875" s="1615" t="str">
        <f>'[3]Anexo I - Programas'!$B$173</f>
        <v>6</v>
      </c>
      <c r="D875" s="1629" t="str">
        <f>'[3]Anexo I - Programas'!$C$173</f>
        <v>PROMOÇÃO E DESENVOLVIMENTO DA EDUCAÇÃO</v>
      </c>
      <c r="E875" s="1628" t="s">
        <v>3137</v>
      </c>
      <c r="F875" s="1615" t="str">
        <f>C875</f>
        <v>6</v>
      </c>
      <c r="G875" s="1617" t="str">
        <f>D875</f>
        <v>PROMOÇÃO E DESENVOLVIMENTO DA EDUCAÇÃO</v>
      </c>
      <c r="H875" s="773" t="s">
        <v>3138</v>
      </c>
      <c r="I875" s="757">
        <f>DESPORC!C2774</f>
        <v>12</v>
      </c>
      <c r="J875" s="765" t="str">
        <f>DESPORC!D2774</f>
        <v>Educação</v>
      </c>
    </row>
    <row r="876" spans="2:10" x14ac:dyDescent="0.25">
      <c r="B876" s="1619"/>
      <c r="C876" s="1616"/>
      <c r="D876" s="1630"/>
      <c r="E876" s="1619"/>
      <c r="F876" s="1616"/>
      <c r="G876" s="1618"/>
      <c r="H876" s="774" t="s">
        <v>6940</v>
      </c>
      <c r="I876" s="757">
        <f>DESPORC!C2775</f>
        <v>126</v>
      </c>
      <c r="J876" s="765" t="str">
        <f>DESPORC!D2775</f>
        <v>Tecnologia da Informação</v>
      </c>
    </row>
    <row r="877" spans="2:10" x14ac:dyDescent="0.25">
      <c r="B877" s="1619" t="s">
        <v>6941</v>
      </c>
      <c r="C877" s="1616">
        <f>'[3]Anexo I - Programas'!$C$228</f>
        <v>2041</v>
      </c>
      <c r="D877" s="1622" t="str">
        <f>'[3]Anexo I - Programas'!$D$228</f>
        <v xml:space="preserve">Gestão e Desenvolvimento da Ed. Infantil da E.M.E.I. Sonho de Criança </v>
      </c>
      <c r="E877" s="1619" t="s">
        <v>6941</v>
      </c>
      <c r="F877" s="1616">
        <f>C877</f>
        <v>2041</v>
      </c>
      <c r="G877" s="1618" t="str">
        <f>D877</f>
        <v xml:space="preserve">Gestão e Desenvolvimento da Ed. Infantil da E.M.E.I. Sonho de Criança </v>
      </c>
      <c r="H877" s="775" t="s">
        <v>3137</v>
      </c>
      <c r="I877" s="783" t="str">
        <f>F875</f>
        <v>6</v>
      </c>
      <c r="J877" s="762" t="str">
        <f>G875</f>
        <v>PROMOÇÃO E DESENVOLVIMENTO DA EDUCAÇÃO</v>
      </c>
    </row>
    <row r="878" spans="2:10" ht="30" x14ac:dyDescent="0.25">
      <c r="B878" s="1620"/>
      <c r="C878" s="1621"/>
      <c r="D878" s="1623"/>
      <c r="E878" s="1620"/>
      <c r="F878" s="1621"/>
      <c r="G878" s="1624"/>
      <c r="H878" s="776" t="s">
        <v>6941</v>
      </c>
      <c r="I878" s="784">
        <f>F877</f>
        <v>2041</v>
      </c>
      <c r="J878" s="764" t="str">
        <f>G877</f>
        <v xml:space="preserve">Gestão e Desenvolvimento da Ed. Infantil da E.M.E.I. Sonho de Criança </v>
      </c>
    </row>
    <row r="879" spans="2:10" ht="15.75" thickBot="1" x14ac:dyDescent="0.3">
      <c r="B879" s="769" t="s">
        <v>6939</v>
      </c>
      <c r="C879" s="1625">
        <f>'[3]Anexo I - Programas'!$H$229</f>
        <v>1000000</v>
      </c>
      <c r="D879" s="1626"/>
      <c r="E879" s="769" t="s">
        <v>6939</v>
      </c>
      <c r="F879" s="1625">
        <f>'[3]Anexo I - Programas'!$J$229</f>
        <v>250000</v>
      </c>
      <c r="G879" s="1627"/>
      <c r="H879" s="778" t="s">
        <v>6939</v>
      </c>
      <c r="I879" s="1625">
        <f>DESPORC!I2777</f>
        <v>3292.0209</v>
      </c>
      <c r="J879" s="1627"/>
    </row>
    <row r="880" spans="2:10" x14ac:dyDescent="0.25">
      <c r="B880" s="1628" t="s">
        <v>3137</v>
      </c>
      <c r="C880" s="1615" t="str">
        <f>'[3]Anexo I - Programas'!$B$173</f>
        <v>6</v>
      </c>
      <c r="D880" s="1629" t="str">
        <f>'[3]Anexo I - Programas'!$C$173</f>
        <v>PROMOÇÃO E DESENVOLVIMENTO DA EDUCAÇÃO</v>
      </c>
      <c r="E880" s="1628" t="s">
        <v>3137</v>
      </c>
      <c r="F880" s="1615" t="str">
        <f>C880</f>
        <v>6</v>
      </c>
      <c r="G880" s="1617" t="str">
        <f>D880</f>
        <v>PROMOÇÃO E DESENVOLVIMENTO DA EDUCAÇÃO</v>
      </c>
      <c r="H880" s="773" t="s">
        <v>3138</v>
      </c>
      <c r="I880" s="757">
        <f>DESPORC!C2779</f>
        <v>12</v>
      </c>
      <c r="J880" s="765" t="str">
        <f>DESPORC!D2779</f>
        <v>Educação</v>
      </c>
    </row>
    <row r="881" spans="2:10" x14ac:dyDescent="0.25">
      <c r="B881" s="1619"/>
      <c r="C881" s="1616"/>
      <c r="D881" s="1630"/>
      <c r="E881" s="1619"/>
      <c r="F881" s="1616"/>
      <c r="G881" s="1618"/>
      <c r="H881" s="774" t="s">
        <v>6940</v>
      </c>
      <c r="I881" s="757">
        <f>DESPORC!C2780</f>
        <v>128</v>
      </c>
      <c r="J881" s="765" t="str">
        <f>DESPORC!D2780</f>
        <v>Formação de Recursos Humanos</v>
      </c>
    </row>
    <row r="882" spans="2:10" x14ac:dyDescent="0.25">
      <c r="B882" s="1619" t="s">
        <v>6941</v>
      </c>
      <c r="C882" s="1616">
        <f>'[3]Anexo I - Programas'!$C$228</f>
        <v>2041</v>
      </c>
      <c r="D882" s="1622" t="str">
        <f>'[3]Anexo I - Programas'!$D$228</f>
        <v xml:space="preserve">Gestão e Desenvolvimento da Ed. Infantil da E.M.E.I. Sonho de Criança </v>
      </c>
      <c r="E882" s="1619" t="s">
        <v>6941</v>
      </c>
      <c r="F882" s="1616">
        <f>C882</f>
        <v>2041</v>
      </c>
      <c r="G882" s="1618" t="str">
        <f>D882</f>
        <v xml:space="preserve">Gestão e Desenvolvimento da Ed. Infantil da E.M.E.I. Sonho de Criança </v>
      </c>
      <c r="H882" s="775" t="s">
        <v>3137</v>
      </c>
      <c r="I882" s="783" t="str">
        <f>F880</f>
        <v>6</v>
      </c>
      <c r="J882" s="762" t="str">
        <f>G880</f>
        <v>PROMOÇÃO E DESENVOLVIMENTO DA EDUCAÇÃO</v>
      </c>
    </row>
    <row r="883" spans="2:10" ht="30" x14ac:dyDescent="0.25">
      <c r="B883" s="1620"/>
      <c r="C883" s="1621"/>
      <c r="D883" s="1623"/>
      <c r="E883" s="1620"/>
      <c r="F883" s="1621"/>
      <c r="G883" s="1624"/>
      <c r="H883" s="776" t="s">
        <v>6941</v>
      </c>
      <c r="I883" s="784">
        <f>F882</f>
        <v>2041</v>
      </c>
      <c r="J883" s="764" t="str">
        <f>G882</f>
        <v xml:space="preserve">Gestão e Desenvolvimento da Ed. Infantil da E.M.E.I. Sonho de Criança </v>
      </c>
    </row>
    <row r="884" spans="2:10" ht="15.75" thickBot="1" x14ac:dyDescent="0.3">
      <c r="B884" s="769" t="s">
        <v>6939</v>
      </c>
      <c r="C884" s="1625">
        <f>'[3]Anexo I - Programas'!$H$229</f>
        <v>1000000</v>
      </c>
      <c r="D884" s="1626"/>
      <c r="E884" s="769" t="s">
        <v>6939</v>
      </c>
      <c r="F884" s="1625">
        <f>'[3]Anexo I - Programas'!$J$229</f>
        <v>250000</v>
      </c>
      <c r="G884" s="1627"/>
      <c r="H884" s="778" t="s">
        <v>6939</v>
      </c>
      <c r="I884" s="1625">
        <f>DESPORC!I2782</f>
        <v>0.05</v>
      </c>
      <c r="J884" s="1627"/>
    </row>
    <row r="885" spans="2:10" x14ac:dyDescent="0.25">
      <c r="B885" s="1628" t="s">
        <v>3137</v>
      </c>
      <c r="C885" s="1615" t="str">
        <f>'[3]Anexo I - Programas'!$B$173</f>
        <v>6</v>
      </c>
      <c r="D885" s="1629" t="str">
        <f>'[3]Anexo I - Programas'!$C$173</f>
        <v>PROMOÇÃO E DESENVOLVIMENTO DA EDUCAÇÃO</v>
      </c>
      <c r="E885" s="1628" t="s">
        <v>3137</v>
      </c>
      <c r="F885" s="1615" t="str">
        <f>C885</f>
        <v>6</v>
      </c>
      <c r="G885" s="1617" t="str">
        <f>D885</f>
        <v>PROMOÇÃO E DESENVOLVIMENTO DA EDUCAÇÃO</v>
      </c>
      <c r="H885" s="773" t="s">
        <v>3138</v>
      </c>
      <c r="I885" s="757">
        <f>DESPORC!C2788</f>
        <v>12</v>
      </c>
      <c r="J885" s="765" t="str">
        <f>DESPORC!D2788</f>
        <v>Educação</v>
      </c>
    </row>
    <row r="886" spans="2:10" x14ac:dyDescent="0.25">
      <c r="B886" s="1619"/>
      <c r="C886" s="1616"/>
      <c r="D886" s="1630"/>
      <c r="E886" s="1619"/>
      <c r="F886" s="1616"/>
      <c r="G886" s="1618"/>
      <c r="H886" s="774" t="s">
        <v>6940</v>
      </c>
      <c r="I886" s="757">
        <f>DESPORC!C2789</f>
        <v>365</v>
      </c>
      <c r="J886" s="765" t="str">
        <f>DESPORC!D2789</f>
        <v>Educação Infantil</v>
      </c>
    </row>
    <row r="887" spans="2:10" x14ac:dyDescent="0.25">
      <c r="B887" s="1619" t="s">
        <v>6941</v>
      </c>
      <c r="C887" s="1616">
        <f>'[3]Anexo I - Programas'!$C$228</f>
        <v>2041</v>
      </c>
      <c r="D887" s="1622" t="str">
        <f>'[3]Anexo I - Programas'!$D$228</f>
        <v xml:space="preserve">Gestão e Desenvolvimento da Ed. Infantil da E.M.E.I. Sonho de Criança </v>
      </c>
      <c r="E887" s="1619" t="s">
        <v>6941</v>
      </c>
      <c r="F887" s="1616">
        <f>C887</f>
        <v>2041</v>
      </c>
      <c r="G887" s="1618" t="str">
        <f>D887</f>
        <v xml:space="preserve">Gestão e Desenvolvimento da Ed. Infantil da E.M.E.I. Sonho de Criança </v>
      </c>
      <c r="H887" s="775" t="s">
        <v>3137</v>
      </c>
      <c r="I887" s="783" t="str">
        <f>F885</f>
        <v>6</v>
      </c>
      <c r="J887" s="762" t="str">
        <f>G885</f>
        <v>PROMOÇÃO E DESENVOLVIMENTO DA EDUCAÇÃO</v>
      </c>
    </row>
    <row r="888" spans="2:10" ht="30" x14ac:dyDescent="0.25">
      <c r="B888" s="1620"/>
      <c r="C888" s="1621"/>
      <c r="D888" s="1623"/>
      <c r="E888" s="1620"/>
      <c r="F888" s="1621"/>
      <c r="G888" s="1624"/>
      <c r="H888" s="776" t="s">
        <v>6941</v>
      </c>
      <c r="I888" s="784">
        <f>F887</f>
        <v>2041</v>
      </c>
      <c r="J888" s="764" t="str">
        <f>G887</f>
        <v xml:space="preserve">Gestão e Desenvolvimento da Ed. Infantil da E.M.E.I. Sonho de Criança </v>
      </c>
    </row>
    <row r="889" spans="2:10" ht="15.75" thickBot="1" x14ac:dyDescent="0.3">
      <c r="B889" s="769" t="s">
        <v>6939</v>
      </c>
      <c r="C889" s="1625">
        <f>'[3]Anexo I - Programas'!$H$229</f>
        <v>1000000</v>
      </c>
      <c r="D889" s="1626"/>
      <c r="E889" s="769" t="s">
        <v>6939</v>
      </c>
      <c r="F889" s="1625">
        <f>'[3]Anexo I - Programas'!$J$229</f>
        <v>250000</v>
      </c>
      <c r="G889" s="1627"/>
      <c r="H889" s="778" t="s">
        <v>6939</v>
      </c>
      <c r="I889" s="1625">
        <f>DESPORC!I2791</f>
        <v>360618.9776996955</v>
      </c>
      <c r="J889" s="1627"/>
    </row>
    <row r="891" spans="2:10" x14ac:dyDescent="0.25">
      <c r="B891" s="1631" t="s">
        <v>6927</v>
      </c>
      <c r="C891" s="1631"/>
      <c r="D891" s="755" t="str">
        <f>DESPORC!C2824</f>
        <v>03 - SECRETARIA MUNICIPAL DE EDUCAÇÃO, CULT. E DESPORTO</v>
      </c>
      <c r="E891" s="785"/>
      <c r="F891" s="786"/>
      <c r="G891" s="786"/>
      <c r="H891" s="785"/>
      <c r="I891" s="786"/>
      <c r="J891" s="786"/>
    </row>
    <row r="892" spans="2:10" ht="15.75" thickBot="1" x14ac:dyDescent="0.3">
      <c r="B892" s="1632" t="s">
        <v>3087</v>
      </c>
      <c r="C892" s="1632"/>
      <c r="D892" s="755" t="str">
        <f>DESPORC!C2825</f>
        <v>11 - GESTÃO, COORDENAÇAO E PROMOÇÃO DO TRANSPORTE ESCOLAR</v>
      </c>
      <c r="E892" s="785"/>
      <c r="F892" s="36"/>
      <c r="G892" s="1"/>
      <c r="H892" s="772"/>
      <c r="I892" s="1"/>
      <c r="J892" s="1"/>
    </row>
    <row r="893" spans="2:10" ht="15.75" thickBot="1" x14ac:dyDescent="0.3">
      <c r="B893" s="1633" t="str">
        <f>B$10</f>
        <v>PPA LEI MUNICIPAL N.º 1091  DE 16 DE JUNHO DE 2017.</v>
      </c>
      <c r="C893" s="1634"/>
      <c r="D893" s="1635"/>
      <c r="E893" s="1633" t="str">
        <f>E$10</f>
        <v>LDO LEI MUNICIPAL N.º 1166  DE 10 DE OUTUBRO DE 2019.</v>
      </c>
      <c r="F893" s="1634"/>
      <c r="G893" s="1635"/>
      <c r="H893" s="1633" t="str">
        <f>H$10</f>
        <v>LOA 2020</v>
      </c>
      <c r="I893" s="1634"/>
      <c r="J893" s="1635"/>
    </row>
    <row r="894" spans="2:10" x14ac:dyDescent="0.25">
      <c r="B894" s="1628" t="s">
        <v>3137</v>
      </c>
      <c r="C894" s="1615" t="str">
        <f>'[3]Anexo I - Programas'!$B$173</f>
        <v>6</v>
      </c>
      <c r="D894" s="1629" t="str">
        <f>'[3]Anexo I - Programas'!$C$173</f>
        <v>PROMOÇÃO E DESENVOLVIMENTO DA EDUCAÇÃO</v>
      </c>
      <c r="E894" s="1628" t="s">
        <v>3137</v>
      </c>
      <c r="F894" s="1615" t="str">
        <f>C894</f>
        <v>6</v>
      </c>
      <c r="G894" s="1617" t="str">
        <f>D894</f>
        <v>PROMOÇÃO E DESENVOLVIMENTO DA EDUCAÇÃO</v>
      </c>
      <c r="H894" s="773" t="s">
        <v>3138</v>
      </c>
      <c r="I894" s="757">
        <f>DESPORC!C2828</f>
        <v>12</v>
      </c>
      <c r="J894" s="765" t="str">
        <f>DESPORC!D2828</f>
        <v>Educação</v>
      </c>
    </row>
    <row r="895" spans="2:10" x14ac:dyDescent="0.25">
      <c r="B895" s="1619"/>
      <c r="C895" s="1616"/>
      <c r="D895" s="1630"/>
      <c r="E895" s="1619"/>
      <c r="F895" s="1616"/>
      <c r="G895" s="1618"/>
      <c r="H895" s="774" t="s">
        <v>6940</v>
      </c>
      <c r="I895" s="757">
        <f>DESPORC!C2829</f>
        <v>122</v>
      </c>
      <c r="J895" s="765" t="str">
        <f>DESPORC!D2829</f>
        <v>Administração Geral</v>
      </c>
    </row>
    <row r="896" spans="2:10" x14ac:dyDescent="0.25">
      <c r="B896" s="1619" t="s">
        <v>6941</v>
      </c>
      <c r="C896" s="1616">
        <f>'[3]Anexo I - Programas'!$C$182</f>
        <v>1005</v>
      </c>
      <c r="D896" s="1622" t="str">
        <f>'[3]Anexo I - Programas'!$D$182</f>
        <v>Novos Investimentos em Educação</v>
      </c>
      <c r="E896" s="1619" t="s">
        <v>6941</v>
      </c>
      <c r="F896" s="1616">
        <f>C896</f>
        <v>1005</v>
      </c>
      <c r="G896" s="1618" t="str">
        <f>D896</f>
        <v>Novos Investimentos em Educação</v>
      </c>
      <c r="H896" s="775" t="s">
        <v>3137</v>
      </c>
      <c r="I896" s="783" t="str">
        <f>F894</f>
        <v>6</v>
      </c>
      <c r="J896" s="762" t="str">
        <f>G894</f>
        <v>PROMOÇÃO E DESENVOLVIMENTO DA EDUCAÇÃO</v>
      </c>
    </row>
    <row r="897" spans="2:10" x14ac:dyDescent="0.25">
      <c r="B897" s="1620"/>
      <c r="C897" s="1621"/>
      <c r="D897" s="1623"/>
      <c r="E897" s="1620"/>
      <c r="F897" s="1621"/>
      <c r="G897" s="1624"/>
      <c r="H897" s="776" t="s">
        <v>6941</v>
      </c>
      <c r="I897" s="784">
        <f>F896</f>
        <v>1005</v>
      </c>
      <c r="J897" s="764" t="str">
        <f>G896</f>
        <v>Novos Investimentos em Educação</v>
      </c>
    </row>
    <row r="898" spans="2:10" ht="15.75" thickBot="1" x14ac:dyDescent="0.3">
      <c r="B898" s="769" t="s">
        <v>6939</v>
      </c>
      <c r="C898" s="1625">
        <f>'[3]Anexo I - Programas'!$H$183</f>
        <v>200000</v>
      </c>
      <c r="D898" s="1626"/>
      <c r="E898" s="769" t="s">
        <v>6939</v>
      </c>
      <c r="F898" s="1625">
        <f>'[3]Anexo I - Programas'!$J$183</f>
        <v>50000</v>
      </c>
      <c r="G898" s="1627"/>
      <c r="H898" s="778" t="s">
        <v>6939</v>
      </c>
      <c r="I898" s="1625">
        <f>DESPORC!I2831</f>
        <v>6.0000000000000005E-2</v>
      </c>
      <c r="J898" s="1627"/>
    </row>
    <row r="899" spans="2:10" x14ac:dyDescent="0.25">
      <c r="B899" s="1628" t="s">
        <v>3137</v>
      </c>
      <c r="C899" s="1615" t="str">
        <f>'[3]Anexo I - Programas'!$B$173</f>
        <v>6</v>
      </c>
      <c r="D899" s="1629" t="str">
        <f>'[3]Anexo I - Programas'!$C$173</f>
        <v>PROMOÇÃO E DESENVOLVIMENTO DA EDUCAÇÃO</v>
      </c>
      <c r="E899" s="1628" t="s">
        <v>3137</v>
      </c>
      <c r="F899" s="1615" t="str">
        <f>C899</f>
        <v>6</v>
      </c>
      <c r="G899" s="1617" t="str">
        <f>D899</f>
        <v>PROMOÇÃO E DESENVOLVIMENTO DA EDUCAÇÃO</v>
      </c>
      <c r="H899" s="773" t="s">
        <v>3138</v>
      </c>
      <c r="I899" s="757">
        <f>DESPORC!C2838</f>
        <v>12</v>
      </c>
      <c r="J899" s="765" t="str">
        <f>DESPORC!D2838</f>
        <v>Educação</v>
      </c>
    </row>
    <row r="900" spans="2:10" x14ac:dyDescent="0.25">
      <c r="B900" s="1619"/>
      <c r="C900" s="1616"/>
      <c r="D900" s="1630"/>
      <c r="E900" s="1619"/>
      <c r="F900" s="1616"/>
      <c r="G900" s="1618"/>
      <c r="H900" s="774" t="s">
        <v>6940</v>
      </c>
      <c r="I900" s="757">
        <f>DESPORC!C2839</f>
        <v>122</v>
      </c>
      <c r="J900" s="765" t="str">
        <f>DESPORC!D2839</f>
        <v>Administração Geral</v>
      </c>
    </row>
    <row r="901" spans="2:10" x14ac:dyDescent="0.25">
      <c r="B901" s="1619" t="s">
        <v>6941</v>
      </c>
      <c r="C901" s="1616">
        <f>'[3]Anexo I - Programas'!$C$239</f>
        <v>2049</v>
      </c>
      <c r="D901" s="1622" t="str">
        <f>'[3]Anexo I - Programas'!$D$239</f>
        <v>GESTAO E COORD. TRANSPORTE ESCOLAR</v>
      </c>
      <c r="E901" s="1619" t="s">
        <v>6941</v>
      </c>
      <c r="F901" s="1616">
        <f>C901</f>
        <v>2049</v>
      </c>
      <c r="G901" s="1618" t="str">
        <f>D901</f>
        <v>GESTAO E COORD. TRANSPORTE ESCOLAR</v>
      </c>
      <c r="H901" s="775" t="s">
        <v>3137</v>
      </c>
      <c r="I901" s="783" t="str">
        <f>F899</f>
        <v>6</v>
      </c>
      <c r="J901" s="762" t="str">
        <f>G899</f>
        <v>PROMOÇÃO E DESENVOLVIMENTO DA EDUCAÇÃO</v>
      </c>
    </row>
    <row r="902" spans="2:10" x14ac:dyDescent="0.25">
      <c r="B902" s="1620"/>
      <c r="C902" s="1621"/>
      <c r="D902" s="1623"/>
      <c r="E902" s="1620"/>
      <c r="F902" s="1621"/>
      <c r="G902" s="1624"/>
      <c r="H902" s="776" t="s">
        <v>6941</v>
      </c>
      <c r="I902" s="784">
        <f>F901</f>
        <v>2049</v>
      </c>
      <c r="J902" s="764" t="str">
        <f>G901</f>
        <v>GESTAO E COORD. TRANSPORTE ESCOLAR</v>
      </c>
    </row>
    <row r="903" spans="2:10" ht="15.75" thickBot="1" x14ac:dyDescent="0.3">
      <c r="B903" s="769" t="s">
        <v>6939</v>
      </c>
      <c r="C903" s="1625">
        <f>'[3]Anexo I - Programas'!$H$240</f>
        <v>150000</v>
      </c>
      <c r="D903" s="1626"/>
      <c r="E903" s="769" t="s">
        <v>6939</v>
      </c>
      <c r="F903" s="1625">
        <f>'[3]Anexo I - Programas'!$J$240</f>
        <v>37500</v>
      </c>
      <c r="G903" s="1627"/>
      <c r="H903" s="778" t="s">
        <v>6939</v>
      </c>
      <c r="I903" s="1625">
        <f>DESPORC!I2841</f>
        <v>476803.02678100561</v>
      </c>
      <c r="J903" s="1627"/>
    </row>
    <row r="904" spans="2:10" x14ac:dyDescent="0.25">
      <c r="B904" s="1628" t="s">
        <v>3137</v>
      </c>
      <c r="C904" s="1615" t="str">
        <f>'[3]Anexo I - Programas'!$B$173</f>
        <v>6</v>
      </c>
      <c r="D904" s="1629" t="str">
        <f>'[3]Anexo I - Programas'!$C$173</f>
        <v>PROMOÇÃO E DESENVOLVIMENTO DA EDUCAÇÃO</v>
      </c>
      <c r="E904" s="1628" t="s">
        <v>3137</v>
      </c>
      <c r="F904" s="1615" t="str">
        <f>C904</f>
        <v>6</v>
      </c>
      <c r="G904" s="1617" t="str">
        <f>D904</f>
        <v>PROMOÇÃO E DESENVOLVIMENTO DA EDUCAÇÃO</v>
      </c>
      <c r="H904" s="773" t="s">
        <v>3138</v>
      </c>
      <c r="I904" s="757">
        <f>DESPORC!C2865</f>
        <v>12</v>
      </c>
      <c r="J904" s="765" t="str">
        <f>DESPORC!D2865</f>
        <v>Educação</v>
      </c>
    </row>
    <row r="905" spans="2:10" x14ac:dyDescent="0.25">
      <c r="B905" s="1619"/>
      <c r="C905" s="1616"/>
      <c r="D905" s="1630"/>
      <c r="E905" s="1619"/>
      <c r="F905" s="1616"/>
      <c r="G905" s="1618"/>
      <c r="H905" s="774" t="s">
        <v>6940</v>
      </c>
      <c r="I905" s="757">
        <f>DESPORC!C2866</f>
        <v>126</v>
      </c>
      <c r="J905" s="765" t="str">
        <f>DESPORC!D2866</f>
        <v>Tecnologia da Informação</v>
      </c>
    </row>
    <row r="906" spans="2:10" x14ac:dyDescent="0.25">
      <c r="B906" s="1619" t="s">
        <v>6941</v>
      </c>
      <c r="C906" s="1616">
        <f>'[3]Anexo I - Programas'!$C$239</f>
        <v>2049</v>
      </c>
      <c r="D906" s="1622" t="str">
        <f>'[3]Anexo I - Programas'!$D$239</f>
        <v>GESTAO E COORD. TRANSPORTE ESCOLAR</v>
      </c>
      <c r="E906" s="1619" t="s">
        <v>6941</v>
      </c>
      <c r="F906" s="1616">
        <f>C906</f>
        <v>2049</v>
      </c>
      <c r="G906" s="1618" t="str">
        <f>D906</f>
        <v>GESTAO E COORD. TRANSPORTE ESCOLAR</v>
      </c>
      <c r="H906" s="775" t="s">
        <v>3137</v>
      </c>
      <c r="I906" s="783" t="str">
        <f>F904</f>
        <v>6</v>
      </c>
      <c r="J906" s="762" t="str">
        <f>G904</f>
        <v>PROMOÇÃO E DESENVOLVIMENTO DA EDUCAÇÃO</v>
      </c>
    </row>
    <row r="907" spans="2:10" x14ac:dyDescent="0.25">
      <c r="B907" s="1620"/>
      <c r="C907" s="1621"/>
      <c r="D907" s="1623"/>
      <c r="E907" s="1620"/>
      <c r="F907" s="1621"/>
      <c r="G907" s="1624"/>
      <c r="H907" s="776" t="s">
        <v>6941</v>
      </c>
      <c r="I907" s="784">
        <f>F906</f>
        <v>2049</v>
      </c>
      <c r="J907" s="764" t="str">
        <f>G906</f>
        <v>GESTAO E COORD. TRANSPORTE ESCOLAR</v>
      </c>
    </row>
    <row r="908" spans="2:10" ht="15.75" thickBot="1" x14ac:dyDescent="0.3">
      <c r="B908" s="769" t="s">
        <v>6939</v>
      </c>
      <c r="C908" s="1625">
        <f>'[3]Anexo I - Programas'!$H$240</f>
        <v>150000</v>
      </c>
      <c r="D908" s="1626"/>
      <c r="E908" s="769" t="s">
        <v>6939</v>
      </c>
      <c r="F908" s="1625">
        <f>'[3]Anexo I - Programas'!$J$240</f>
        <v>37500</v>
      </c>
      <c r="G908" s="1627"/>
      <c r="H908" s="778" t="s">
        <v>6939</v>
      </c>
      <c r="I908" s="1625">
        <f>DESPORC!I2868</f>
        <v>0.01</v>
      </c>
      <c r="J908" s="1627"/>
    </row>
    <row r="909" spans="2:10" x14ac:dyDescent="0.25">
      <c r="B909" s="1628" t="s">
        <v>3137</v>
      </c>
      <c r="C909" s="1615" t="str">
        <f>'[3]Anexo I - Programas'!$B$173</f>
        <v>6</v>
      </c>
      <c r="D909" s="1629" t="str">
        <f>'[3]Anexo I - Programas'!$C$173</f>
        <v>PROMOÇÃO E DESENVOLVIMENTO DA EDUCAÇÃO</v>
      </c>
      <c r="E909" s="1628" t="s">
        <v>3137</v>
      </c>
      <c r="F909" s="1615" t="str">
        <f>C909</f>
        <v>6</v>
      </c>
      <c r="G909" s="1617" t="str">
        <f>D909</f>
        <v>PROMOÇÃO E DESENVOLVIMENTO DA EDUCAÇÃO</v>
      </c>
      <c r="H909" s="773" t="s">
        <v>3138</v>
      </c>
      <c r="I909" s="757">
        <f>DESPORC!C2870</f>
        <v>12</v>
      </c>
      <c r="J909" s="765" t="str">
        <f>DESPORC!D2870</f>
        <v>Educação</v>
      </c>
    </row>
    <row r="910" spans="2:10" x14ac:dyDescent="0.25">
      <c r="B910" s="1619"/>
      <c r="C910" s="1616"/>
      <c r="D910" s="1630"/>
      <c r="E910" s="1619"/>
      <c r="F910" s="1616"/>
      <c r="G910" s="1618"/>
      <c r="H910" s="774" t="s">
        <v>6940</v>
      </c>
      <c r="I910" s="757">
        <f>DESPORC!C2871</f>
        <v>128</v>
      </c>
      <c r="J910" s="765" t="str">
        <f>DESPORC!D2871</f>
        <v>Formação de Recursos Humanos</v>
      </c>
    </row>
    <row r="911" spans="2:10" x14ac:dyDescent="0.25">
      <c r="B911" s="1619" t="s">
        <v>6941</v>
      </c>
      <c r="C911" s="1616">
        <f>'[3]Anexo I - Programas'!$C$239</f>
        <v>2049</v>
      </c>
      <c r="D911" s="1622" t="str">
        <f>'[3]Anexo I - Programas'!$D$239</f>
        <v>GESTAO E COORD. TRANSPORTE ESCOLAR</v>
      </c>
      <c r="E911" s="1619" t="s">
        <v>6941</v>
      </c>
      <c r="F911" s="1616">
        <f>C911</f>
        <v>2049</v>
      </c>
      <c r="G911" s="1618" t="str">
        <f>D911</f>
        <v>GESTAO E COORD. TRANSPORTE ESCOLAR</v>
      </c>
      <c r="H911" s="775" t="s">
        <v>3137</v>
      </c>
      <c r="I911" s="783" t="str">
        <f>F909</f>
        <v>6</v>
      </c>
      <c r="J911" s="762" t="str">
        <f>G909</f>
        <v>PROMOÇÃO E DESENVOLVIMENTO DA EDUCAÇÃO</v>
      </c>
    </row>
    <row r="912" spans="2:10" x14ac:dyDescent="0.25">
      <c r="B912" s="1620"/>
      <c r="C912" s="1621"/>
      <c r="D912" s="1623"/>
      <c r="E912" s="1620"/>
      <c r="F912" s="1621"/>
      <c r="G912" s="1624"/>
      <c r="H912" s="776" t="s">
        <v>6941</v>
      </c>
      <c r="I912" s="784">
        <f>F911</f>
        <v>2049</v>
      </c>
      <c r="J912" s="764" t="str">
        <f>G911</f>
        <v>GESTAO E COORD. TRANSPORTE ESCOLAR</v>
      </c>
    </row>
    <row r="913" spans="2:10" ht="15.75" thickBot="1" x14ac:dyDescent="0.3">
      <c r="B913" s="769" t="s">
        <v>6939</v>
      </c>
      <c r="C913" s="1625">
        <f>'[3]Anexo I - Programas'!$H$240</f>
        <v>150000</v>
      </c>
      <c r="D913" s="1626"/>
      <c r="E913" s="769" t="s">
        <v>6939</v>
      </c>
      <c r="F913" s="1625">
        <f>'[3]Anexo I - Programas'!$J$240</f>
        <v>37500</v>
      </c>
      <c r="G913" s="1627"/>
      <c r="H913" s="778" t="s">
        <v>6939</v>
      </c>
      <c r="I913" s="1625">
        <f>DESPORC!I2873</f>
        <v>0.05</v>
      </c>
      <c r="J913" s="1627"/>
    </row>
    <row r="915" spans="2:10" x14ac:dyDescent="0.25">
      <c r="B915" s="787"/>
      <c r="C915" s="788"/>
      <c r="E915" s="787"/>
      <c r="H915" s="787"/>
    </row>
    <row r="916" spans="2:10" x14ac:dyDescent="0.25">
      <c r="B916" s="787"/>
      <c r="C916" s="788"/>
      <c r="E916" s="787"/>
      <c r="H916" s="787"/>
    </row>
    <row r="917" spans="2:10" x14ac:dyDescent="0.25">
      <c r="B917" s="787"/>
      <c r="C917" s="788"/>
      <c r="E917" s="787"/>
      <c r="H917" s="787"/>
    </row>
    <row r="918" spans="2:10" x14ac:dyDescent="0.25">
      <c r="B918" s="787"/>
      <c r="C918" s="788"/>
      <c r="E918" s="787"/>
      <c r="H918" s="787"/>
    </row>
    <row r="919" spans="2:10" x14ac:dyDescent="0.25">
      <c r="B919" s="787"/>
      <c r="C919" s="788"/>
      <c r="E919" s="787"/>
      <c r="H919" s="787"/>
    </row>
    <row r="920" spans="2:10" x14ac:dyDescent="0.25">
      <c r="B920" s="787"/>
      <c r="C920" s="788"/>
      <c r="E920" s="787"/>
      <c r="H920" s="787"/>
    </row>
    <row r="921" spans="2:10" x14ac:dyDescent="0.25">
      <c r="B921" s="1631" t="s">
        <v>6927</v>
      </c>
      <c r="C921" s="1631"/>
      <c r="D921" s="755" t="str">
        <f>DESPORC!C2884</f>
        <v>03 - SECRETARIA MUNICIPAL DE EDUCAÇÃO, CULT. E DESPORTO</v>
      </c>
      <c r="E921" s="785"/>
      <c r="F921" s="786"/>
      <c r="G921" s="786"/>
      <c r="H921" s="785"/>
      <c r="I921" s="786"/>
      <c r="J921" s="786"/>
    </row>
    <row r="922" spans="2:10" ht="15.75" thickBot="1" x14ac:dyDescent="0.3">
      <c r="B922" s="1632" t="s">
        <v>3087</v>
      </c>
      <c r="C922" s="1632"/>
      <c r="D922" s="755" t="str">
        <f>DESPORC!C2885</f>
        <v>12 - GESTAO E PROMOÇÃO DO TRANSPORTE ESCOLAR RECURSOS ESTADUAIS</v>
      </c>
      <c r="E922" s="785"/>
      <c r="F922" s="36"/>
      <c r="G922" s="1"/>
      <c r="H922" s="772"/>
      <c r="I922" s="1"/>
      <c r="J922" s="1"/>
    </row>
    <row r="923" spans="2:10" ht="15.75" thickBot="1" x14ac:dyDescent="0.3">
      <c r="B923" s="1633" t="str">
        <f>B$10</f>
        <v>PPA LEI MUNICIPAL N.º 1091  DE 16 DE JUNHO DE 2017.</v>
      </c>
      <c r="C923" s="1634"/>
      <c r="D923" s="1635"/>
      <c r="E923" s="1633" t="str">
        <f>E$10</f>
        <v>LDO LEI MUNICIPAL N.º 1166  DE 10 DE OUTUBRO DE 2019.</v>
      </c>
      <c r="F923" s="1634"/>
      <c r="G923" s="1635"/>
      <c r="H923" s="1633" t="str">
        <f>H$10</f>
        <v>LOA 2020</v>
      </c>
      <c r="I923" s="1634"/>
      <c r="J923" s="1635"/>
    </row>
    <row r="924" spans="2:10" x14ac:dyDescent="0.25">
      <c r="B924" s="1628" t="s">
        <v>3137</v>
      </c>
      <c r="C924" s="1615" t="str">
        <f>'[3]Anexo I - Programas'!$B$471</f>
        <v>13</v>
      </c>
      <c r="D924" s="1629" t="str">
        <f>'[3]Anexo I - Programas'!$C$471</f>
        <v>GESTÃO E DESENVOLVIMENTO DO TRANSPORTE ESCOLAR DO ENSINO FUNDAMENTAL</v>
      </c>
      <c r="E924" s="1628" t="s">
        <v>3137</v>
      </c>
      <c r="F924" s="1615" t="str">
        <f>C924</f>
        <v>13</v>
      </c>
      <c r="G924" s="1617" t="str">
        <f>D924</f>
        <v>GESTÃO E DESENVOLVIMENTO DO TRANSPORTE ESCOLAR DO ENSINO FUNDAMENTAL</v>
      </c>
      <c r="H924" s="773" t="s">
        <v>3138</v>
      </c>
      <c r="I924" s="757">
        <f>DESPORC!C2888</f>
        <v>12</v>
      </c>
      <c r="J924" s="765" t="str">
        <f>DESPORC!D2888</f>
        <v>Educação</v>
      </c>
    </row>
    <row r="925" spans="2:10" x14ac:dyDescent="0.25">
      <c r="B925" s="1619"/>
      <c r="C925" s="1616"/>
      <c r="D925" s="1630"/>
      <c r="E925" s="1619"/>
      <c r="F925" s="1616"/>
      <c r="G925" s="1618"/>
      <c r="H925" s="774" t="s">
        <v>6940</v>
      </c>
      <c r="I925" s="757">
        <f>DESPORC!C2889</f>
        <v>361</v>
      </c>
      <c r="J925" s="765" t="str">
        <f>DESPORC!D2889</f>
        <v>Ensino Fundamental</v>
      </c>
    </row>
    <row r="926" spans="2:10" ht="30" x14ac:dyDescent="0.25">
      <c r="B926" s="1619" t="s">
        <v>6941</v>
      </c>
      <c r="C926" s="1616">
        <f>'[3]Anexo I - Programas'!$C$485</f>
        <v>2019</v>
      </c>
      <c r="D926" s="1622" t="str">
        <f>'[3]Anexo I - Programas'!$D$485</f>
        <v>Promoção do Transporte Escolar do Ensino Fundamental</v>
      </c>
      <c r="E926" s="1619" t="s">
        <v>6941</v>
      </c>
      <c r="F926" s="1616">
        <f>C926</f>
        <v>2019</v>
      </c>
      <c r="G926" s="1618" t="str">
        <f>D926</f>
        <v>Promoção do Transporte Escolar do Ensino Fundamental</v>
      </c>
      <c r="H926" s="775" t="s">
        <v>3137</v>
      </c>
      <c r="I926" s="783" t="str">
        <f>F924</f>
        <v>13</v>
      </c>
      <c r="J926" s="762" t="str">
        <f>G924</f>
        <v>GESTÃO E DESENVOLVIMENTO DO TRANSPORTE ESCOLAR DO ENSINO FUNDAMENTAL</v>
      </c>
    </row>
    <row r="927" spans="2:10" x14ac:dyDescent="0.25">
      <c r="B927" s="1620"/>
      <c r="C927" s="1621"/>
      <c r="D927" s="1623"/>
      <c r="E927" s="1620"/>
      <c r="F927" s="1621"/>
      <c r="G927" s="1624"/>
      <c r="H927" s="776" t="s">
        <v>6941</v>
      </c>
      <c r="I927" s="784">
        <f>F926</f>
        <v>2019</v>
      </c>
      <c r="J927" s="764" t="str">
        <f>G926</f>
        <v>Promoção do Transporte Escolar do Ensino Fundamental</v>
      </c>
    </row>
    <row r="928" spans="2:10" ht="15.75" thickBot="1" x14ac:dyDescent="0.3">
      <c r="B928" s="769" t="s">
        <v>6939</v>
      </c>
      <c r="C928" s="1625">
        <f>'[3]Anexo I - Programas'!$H$486</f>
        <v>4000000</v>
      </c>
      <c r="D928" s="1626"/>
      <c r="E928" s="769" t="s">
        <v>6939</v>
      </c>
      <c r="F928" s="1625">
        <f>'[3]Anexo I - Programas'!$J$486</f>
        <v>1000000</v>
      </c>
      <c r="G928" s="1627"/>
      <c r="H928" s="778" t="s">
        <v>6939</v>
      </c>
      <c r="I928" s="1625">
        <f>DESPORC!I2891</f>
        <v>288021.9505686445</v>
      </c>
      <c r="J928" s="1627"/>
    </row>
    <row r="929" spans="2:10" x14ac:dyDescent="0.25">
      <c r="B929" s="1628" t="s">
        <v>3137</v>
      </c>
      <c r="C929" s="1615" t="str">
        <f>'[3]Anexo I - Programas'!$B$591</f>
        <v>18</v>
      </c>
      <c r="D929" s="1629" t="str">
        <f>'[3]Anexo I - Programas'!$C$591</f>
        <v>GESTÃO E DESENVOLVIMENTO DO TRANSPORTE DO ENSINO MÉDIO</v>
      </c>
      <c r="E929" s="1628" t="s">
        <v>3137</v>
      </c>
      <c r="F929" s="1615" t="str">
        <f>C929</f>
        <v>18</v>
      </c>
      <c r="G929" s="1617" t="str">
        <f>D929</f>
        <v>GESTÃO E DESENVOLVIMENTO DO TRANSPORTE DO ENSINO MÉDIO</v>
      </c>
      <c r="H929" s="773" t="s">
        <v>3138</v>
      </c>
      <c r="I929" s="757">
        <f>DESPORC!C2894</f>
        <v>12</v>
      </c>
      <c r="J929" s="765" t="str">
        <f>DESPORC!D2894</f>
        <v>Educação</v>
      </c>
    </row>
    <row r="930" spans="2:10" x14ac:dyDescent="0.25">
      <c r="B930" s="1619"/>
      <c r="C930" s="1616"/>
      <c r="D930" s="1630"/>
      <c r="E930" s="1619"/>
      <c r="F930" s="1616"/>
      <c r="G930" s="1618"/>
      <c r="H930" s="774" t="s">
        <v>6940</v>
      </c>
      <c r="I930" s="757">
        <f>DESPORC!C2895</f>
        <v>362</v>
      </c>
      <c r="J930" s="765" t="str">
        <f>DESPORC!D2895</f>
        <v>Ensino Médio</v>
      </c>
    </row>
    <row r="931" spans="2:10" ht="30" x14ac:dyDescent="0.25">
      <c r="B931" s="1619" t="s">
        <v>6941</v>
      </c>
      <c r="C931" s="1616">
        <f>'[3]Anexo I - Programas'!$C$600</f>
        <v>2024</v>
      </c>
      <c r="D931" s="1622" t="str">
        <f>'[3]Anexo I - Programas'!$D$600</f>
        <v>Promoção do Transporte Escolar : Ensino Médio</v>
      </c>
      <c r="E931" s="1619" t="s">
        <v>6941</v>
      </c>
      <c r="F931" s="1616">
        <f>C931</f>
        <v>2024</v>
      </c>
      <c r="G931" s="1618" t="str">
        <f>D931</f>
        <v>Promoção do Transporte Escolar : Ensino Médio</v>
      </c>
      <c r="H931" s="775" t="s">
        <v>3137</v>
      </c>
      <c r="I931" s="783" t="str">
        <f>F929</f>
        <v>18</v>
      </c>
      <c r="J931" s="762" t="str">
        <f>G929</f>
        <v>GESTÃO E DESENVOLVIMENTO DO TRANSPORTE DO ENSINO MÉDIO</v>
      </c>
    </row>
    <row r="932" spans="2:10" x14ac:dyDescent="0.25">
      <c r="B932" s="1620"/>
      <c r="C932" s="1621"/>
      <c r="D932" s="1623"/>
      <c r="E932" s="1620"/>
      <c r="F932" s="1621"/>
      <c r="G932" s="1624"/>
      <c r="H932" s="776" t="s">
        <v>6941</v>
      </c>
      <c r="I932" s="784">
        <f>F931</f>
        <v>2024</v>
      </c>
      <c r="J932" s="764" t="str">
        <f>G931</f>
        <v>Promoção do Transporte Escolar : Ensino Médio</v>
      </c>
    </row>
    <row r="933" spans="2:10" ht="15.75" thickBot="1" x14ac:dyDescent="0.3">
      <c r="B933" s="769" t="s">
        <v>6939</v>
      </c>
      <c r="C933" s="1625">
        <f>'[3]Anexo I - Programas'!$H$601</f>
        <v>90000</v>
      </c>
      <c r="D933" s="1626"/>
      <c r="E933" s="769" t="s">
        <v>6939</v>
      </c>
      <c r="F933" s="1625">
        <f>'[3]Anexo I - Programas'!$J$601</f>
        <v>22500</v>
      </c>
      <c r="G933" s="1627"/>
      <c r="H933" s="778" t="s">
        <v>6939</v>
      </c>
      <c r="I933" s="1625">
        <f>DESPORC!I2897</f>
        <v>316002.31838948198</v>
      </c>
      <c r="J933" s="1627"/>
    </row>
    <row r="935" spans="2:10" x14ac:dyDescent="0.25">
      <c r="B935" s="1631" t="s">
        <v>6927</v>
      </c>
      <c r="C935" s="1631"/>
      <c r="D935" s="755" t="str">
        <f>DESPORC!C2905</f>
        <v>03 - SECRETARIA MUNICIPAL DE EDUCAÇÃO, CULT. E DESPORTO</v>
      </c>
      <c r="E935" s="785"/>
      <c r="F935" s="786"/>
      <c r="G935" s="786"/>
      <c r="H935" s="785"/>
      <c r="I935" s="786"/>
      <c r="J935" s="786"/>
    </row>
    <row r="936" spans="2:10" ht="15.75" thickBot="1" x14ac:dyDescent="0.3">
      <c r="B936" s="1632" t="s">
        <v>3087</v>
      </c>
      <c r="C936" s="1632"/>
      <c r="D936" s="755" t="str">
        <f>DESPORC!C2906</f>
        <v>13 - GESTAO E PROMOÇÃO DO TRANSPORTE ESCOLAR RECURSOS FEDERAIS</v>
      </c>
      <c r="E936" s="785"/>
      <c r="F936" s="36"/>
      <c r="G936" s="1"/>
      <c r="H936" s="772"/>
      <c r="I936" s="1"/>
      <c r="J936" s="1"/>
    </row>
    <row r="937" spans="2:10" ht="15.75" thickBot="1" x14ac:dyDescent="0.3">
      <c r="B937" s="1633" t="str">
        <f>B$10</f>
        <v>PPA LEI MUNICIPAL N.º 1091  DE 16 DE JUNHO DE 2017.</v>
      </c>
      <c r="C937" s="1634"/>
      <c r="D937" s="1635"/>
      <c r="E937" s="1633" t="str">
        <f>E$10</f>
        <v>LDO LEI MUNICIPAL N.º 1166  DE 10 DE OUTUBRO DE 2019.</v>
      </c>
      <c r="F937" s="1634"/>
      <c r="G937" s="1635"/>
      <c r="H937" s="1633" t="str">
        <f>H$10</f>
        <v>LOA 2020</v>
      </c>
      <c r="I937" s="1634"/>
      <c r="J937" s="1635"/>
    </row>
    <row r="938" spans="2:10" x14ac:dyDescent="0.25">
      <c r="B938" s="1628" t="s">
        <v>3137</v>
      </c>
      <c r="C938" s="1615" t="str">
        <f>'[3]Anexo I - Programas'!$B$471</f>
        <v>13</v>
      </c>
      <c r="D938" s="1629" t="str">
        <f>'[3]Anexo I - Programas'!$C$471</f>
        <v>GESTÃO E DESENVOLVIMENTO DO TRANSPORTE ESCOLAR DO ENSINO FUNDAMENTAL</v>
      </c>
      <c r="E938" s="1628" t="s">
        <v>3137</v>
      </c>
      <c r="F938" s="1615" t="str">
        <f>C938</f>
        <v>13</v>
      </c>
      <c r="G938" s="1617" t="str">
        <f>D938</f>
        <v>GESTÃO E DESENVOLVIMENTO DO TRANSPORTE ESCOLAR DO ENSINO FUNDAMENTAL</v>
      </c>
      <c r="H938" s="773" t="s">
        <v>3138</v>
      </c>
      <c r="I938" s="757">
        <f>DESPORC!C2909</f>
        <v>12</v>
      </c>
      <c r="J938" s="765" t="str">
        <f>DESPORC!D2909</f>
        <v>Educação</v>
      </c>
    </row>
    <row r="939" spans="2:10" x14ac:dyDescent="0.25">
      <c r="B939" s="1619"/>
      <c r="C939" s="1616"/>
      <c r="D939" s="1630"/>
      <c r="E939" s="1619"/>
      <c r="F939" s="1616"/>
      <c r="G939" s="1618"/>
      <c r="H939" s="774" t="s">
        <v>6940</v>
      </c>
      <c r="I939" s="757">
        <f>DESPORC!C2910</f>
        <v>361</v>
      </c>
      <c r="J939" s="765" t="str">
        <f>DESPORC!D2910</f>
        <v>Ensino Fundamental</v>
      </c>
    </row>
    <row r="940" spans="2:10" ht="30" x14ac:dyDescent="0.25">
      <c r="B940" s="1619" t="s">
        <v>6941</v>
      </c>
      <c r="C940" s="1616">
        <f>'[3]Anexo I - Programas'!$C$480</f>
        <v>1012</v>
      </c>
      <c r="D940" s="1622" t="str">
        <f>'[3]Anexo I - Programas'!$D$480</f>
        <v>Novos Investimentos Transporte Escolar do Ensino Fundamental</v>
      </c>
      <c r="E940" s="1619" t="s">
        <v>6941</v>
      </c>
      <c r="F940" s="1616">
        <f>C940</f>
        <v>1012</v>
      </c>
      <c r="G940" s="1618" t="str">
        <f>D940</f>
        <v>Novos Investimentos Transporte Escolar do Ensino Fundamental</v>
      </c>
      <c r="H940" s="775" t="s">
        <v>3137</v>
      </c>
      <c r="I940" s="783" t="str">
        <f>F938</f>
        <v>13</v>
      </c>
      <c r="J940" s="762" t="str">
        <f>G938</f>
        <v>GESTÃO E DESENVOLVIMENTO DO TRANSPORTE ESCOLAR DO ENSINO FUNDAMENTAL</v>
      </c>
    </row>
    <row r="941" spans="2:10" ht="30" x14ac:dyDescent="0.25">
      <c r="B941" s="1620"/>
      <c r="C941" s="1621"/>
      <c r="D941" s="1623"/>
      <c r="E941" s="1620"/>
      <c r="F941" s="1621"/>
      <c r="G941" s="1624"/>
      <c r="H941" s="776" t="s">
        <v>6941</v>
      </c>
      <c r="I941" s="784">
        <f>F940</f>
        <v>1012</v>
      </c>
      <c r="J941" s="764" t="str">
        <f>G940</f>
        <v>Novos Investimentos Transporte Escolar do Ensino Fundamental</v>
      </c>
    </row>
    <row r="942" spans="2:10" ht="15.75" thickBot="1" x14ac:dyDescent="0.3">
      <c r="B942" s="769" t="s">
        <v>6939</v>
      </c>
      <c r="C942" s="1625">
        <f>'[3]Anexo I - Programas'!$H$481</f>
        <v>1000000</v>
      </c>
      <c r="D942" s="1626"/>
      <c r="E942" s="769" t="s">
        <v>6939</v>
      </c>
      <c r="F942" s="1625">
        <f>'[3]Anexo I - Programas'!$J$481</f>
        <v>250000</v>
      </c>
      <c r="G942" s="1627"/>
      <c r="H942" s="778" t="s">
        <v>6939</v>
      </c>
      <c r="I942" s="1625">
        <f>DESPORC!I2912</f>
        <v>0.02</v>
      </c>
      <c r="J942" s="1627"/>
    </row>
    <row r="943" spans="2:10" x14ac:dyDescent="0.25">
      <c r="B943" s="1628" t="s">
        <v>3137</v>
      </c>
      <c r="C943" s="1615" t="str">
        <f>'[3]Anexo I - Programas'!$B$496</f>
        <v>14</v>
      </c>
      <c r="D943" s="1629" t="str">
        <f>'[3]Anexo I - Programas'!$C$496</f>
        <v>GESTÃO E DESENVOLVIMENTO DO TRANSPORTE ESCOLAR DA EDUCAÇÃO INFANTIL</v>
      </c>
      <c r="E943" s="1628" t="s">
        <v>3137</v>
      </c>
      <c r="F943" s="1615" t="str">
        <f>C943</f>
        <v>14</v>
      </c>
      <c r="G943" s="1617" t="str">
        <f>D943</f>
        <v>GESTÃO E DESENVOLVIMENTO DO TRANSPORTE ESCOLAR DA EDUCAÇÃO INFANTIL</v>
      </c>
      <c r="H943" s="773" t="s">
        <v>3138</v>
      </c>
      <c r="I943" s="757">
        <f>DESPORC!C2915</f>
        <v>12</v>
      </c>
      <c r="J943" s="765" t="str">
        <f>DESPORC!D2915</f>
        <v>Educação</v>
      </c>
    </row>
    <row r="944" spans="2:10" x14ac:dyDescent="0.25">
      <c r="B944" s="1619"/>
      <c r="C944" s="1616"/>
      <c r="D944" s="1630"/>
      <c r="E944" s="1619"/>
      <c r="F944" s="1616"/>
      <c r="G944" s="1618"/>
      <c r="H944" s="774" t="s">
        <v>6940</v>
      </c>
      <c r="I944" s="757">
        <f>DESPORC!C2916</f>
        <v>365</v>
      </c>
      <c r="J944" s="765" t="str">
        <f>DESPORC!D2916</f>
        <v>Educação Infantil</v>
      </c>
    </row>
    <row r="945" spans="2:10" ht="30" x14ac:dyDescent="0.25">
      <c r="B945" s="1619" t="s">
        <v>6941</v>
      </c>
      <c r="C945" s="1616">
        <f>'[3]Anexo I - Programas'!$C$505</f>
        <v>1013</v>
      </c>
      <c r="D945" s="1622" t="str">
        <f>'[3]Anexo I - Programas'!$D$505</f>
        <v>Novos Investimentos Transporte Escolar da Educação Infantil</v>
      </c>
      <c r="E945" s="1619" t="s">
        <v>6941</v>
      </c>
      <c r="F945" s="1616">
        <f>C945</f>
        <v>1013</v>
      </c>
      <c r="G945" s="1618" t="str">
        <f>D945</f>
        <v>Novos Investimentos Transporte Escolar da Educação Infantil</v>
      </c>
      <c r="H945" s="775" t="s">
        <v>3137</v>
      </c>
      <c r="I945" s="783" t="str">
        <f>F943</f>
        <v>14</v>
      </c>
      <c r="J945" s="762" t="str">
        <f>G943</f>
        <v>GESTÃO E DESENVOLVIMENTO DO TRANSPORTE ESCOLAR DA EDUCAÇÃO INFANTIL</v>
      </c>
    </row>
    <row r="946" spans="2:10" x14ac:dyDescent="0.25">
      <c r="B946" s="1620"/>
      <c r="C946" s="1621"/>
      <c r="D946" s="1623"/>
      <c r="E946" s="1620"/>
      <c r="F946" s="1621"/>
      <c r="G946" s="1624"/>
      <c r="H946" s="776" t="s">
        <v>6941</v>
      </c>
      <c r="I946" s="784">
        <f>F945</f>
        <v>1013</v>
      </c>
      <c r="J946" s="764" t="str">
        <f>G945</f>
        <v>Novos Investimentos Transporte Escolar da Educação Infantil</v>
      </c>
    </row>
    <row r="947" spans="2:10" ht="15.75" thickBot="1" x14ac:dyDescent="0.3">
      <c r="B947" s="769" t="s">
        <v>6939</v>
      </c>
      <c r="C947" s="1625">
        <f>'[3]Anexo I - Programas'!$H$506</f>
        <v>50000</v>
      </c>
      <c r="D947" s="1626"/>
      <c r="E947" s="769" t="s">
        <v>6939</v>
      </c>
      <c r="F947" s="1625">
        <f>'[3]Anexo I - Programas'!$J$506</f>
        <v>12500</v>
      </c>
      <c r="G947" s="1627"/>
      <c r="H947" s="778" t="s">
        <v>6939</v>
      </c>
      <c r="I947" s="1625">
        <f>DESPORC!I2918</f>
        <v>0.02</v>
      </c>
      <c r="J947" s="1627"/>
    </row>
    <row r="948" spans="2:10" x14ac:dyDescent="0.25">
      <c r="B948" s="1628" t="s">
        <v>3137</v>
      </c>
      <c r="C948" s="1615" t="str">
        <f>'[3]Anexo I - Programas'!$B$545</f>
        <v>16</v>
      </c>
      <c r="D948" s="1629" t="str">
        <f>'[3]Anexo I - Programas'!$C$545</f>
        <v>GESTÃO E DESENVOLVIMENTO DO TRANSPORTE DA EDUCAÇÃO DE JOVENS E ADULTOS</v>
      </c>
      <c r="E948" s="1628" t="s">
        <v>3137</v>
      </c>
      <c r="F948" s="1615" t="str">
        <f>C948</f>
        <v>16</v>
      </c>
      <c r="G948" s="1617" t="str">
        <f>D948</f>
        <v>GESTÃO E DESENVOLVIMENTO DO TRANSPORTE DA EDUCAÇÃO DE JOVENS E ADULTOS</v>
      </c>
      <c r="H948" s="773" t="s">
        <v>3138</v>
      </c>
      <c r="I948" s="757">
        <f>DESPORC!C2921</f>
        <v>12</v>
      </c>
      <c r="J948" s="765" t="str">
        <f>DESPORC!D2921</f>
        <v>Educação</v>
      </c>
    </row>
    <row r="949" spans="2:10" x14ac:dyDescent="0.25">
      <c r="B949" s="1619"/>
      <c r="C949" s="1616"/>
      <c r="D949" s="1630"/>
      <c r="E949" s="1619"/>
      <c r="F949" s="1616"/>
      <c r="G949" s="1618"/>
      <c r="H949" s="774" t="s">
        <v>6940</v>
      </c>
      <c r="I949" s="757">
        <f>DESPORC!C2922</f>
        <v>366</v>
      </c>
      <c r="J949" s="765" t="str">
        <f>DESPORC!D2922</f>
        <v>Educação de Jovens e Adultos</v>
      </c>
    </row>
    <row r="950" spans="2:10" ht="30" x14ac:dyDescent="0.25">
      <c r="B950" s="1619" t="s">
        <v>6941</v>
      </c>
      <c r="C950" s="1616">
        <f>'[3]Anexo I - Programas'!$C$554</f>
        <v>1015</v>
      </c>
      <c r="D950" s="1622" t="str">
        <f>'[3]Anexo I - Programas'!$D$554</f>
        <v>Novos Investimentos Transporte Escolar da Educação de Jovens e Adultos</v>
      </c>
      <c r="E950" s="1619" t="s">
        <v>6941</v>
      </c>
      <c r="F950" s="1616">
        <f>C950</f>
        <v>1015</v>
      </c>
      <c r="G950" s="1618" t="str">
        <f>D950</f>
        <v>Novos Investimentos Transporte Escolar da Educação de Jovens e Adultos</v>
      </c>
      <c r="H950" s="775" t="s">
        <v>3137</v>
      </c>
      <c r="I950" s="783" t="str">
        <f>F948</f>
        <v>16</v>
      </c>
      <c r="J950" s="762" t="str">
        <f>G948</f>
        <v>GESTÃO E DESENVOLVIMENTO DO TRANSPORTE DA EDUCAÇÃO DE JOVENS E ADULTOS</v>
      </c>
    </row>
    <row r="951" spans="2:10" ht="30" x14ac:dyDescent="0.25">
      <c r="B951" s="1620"/>
      <c r="C951" s="1621"/>
      <c r="D951" s="1623"/>
      <c r="E951" s="1620"/>
      <c r="F951" s="1621"/>
      <c r="G951" s="1624"/>
      <c r="H951" s="776" t="s">
        <v>6941</v>
      </c>
      <c r="I951" s="784">
        <f>F950</f>
        <v>1015</v>
      </c>
      <c r="J951" s="764" t="str">
        <f>G950</f>
        <v>Novos Investimentos Transporte Escolar da Educação de Jovens e Adultos</v>
      </c>
    </row>
    <row r="952" spans="2:10" ht="15.75" thickBot="1" x14ac:dyDescent="0.3">
      <c r="B952" s="769" t="s">
        <v>6939</v>
      </c>
      <c r="C952" s="1625">
        <f>'[3]Anexo I - Programas'!$H$555</f>
        <v>50000</v>
      </c>
      <c r="D952" s="1626"/>
      <c r="E952" s="769" t="s">
        <v>6939</v>
      </c>
      <c r="F952" s="1625">
        <f>'[3]Anexo I - Programas'!$J$555</f>
        <v>12500</v>
      </c>
      <c r="G952" s="1627"/>
      <c r="H952" s="778" t="s">
        <v>6939</v>
      </c>
      <c r="I952" s="1625">
        <f>DESPORC!I2924</f>
        <v>0.02</v>
      </c>
      <c r="J952" s="1627"/>
    </row>
    <row r="953" spans="2:10" x14ac:dyDescent="0.25">
      <c r="B953" s="1628" t="s">
        <v>3137</v>
      </c>
      <c r="C953" s="1615" t="str">
        <f>'[3]Anexo I - Programas'!$B$520</f>
        <v>15</v>
      </c>
      <c r="D953" s="1629" t="str">
        <f>'[3]Anexo I - Programas'!$C$520</f>
        <v>GESTÃO E DESENVOLVIMENTO DO TRANSPORTE ESCOLAR DA EDUCAÇÃO ESPECIAL</v>
      </c>
      <c r="E953" s="1628" t="s">
        <v>3137</v>
      </c>
      <c r="F953" s="1615" t="str">
        <f>C953</f>
        <v>15</v>
      </c>
      <c r="G953" s="1617" t="str">
        <f>D953</f>
        <v>GESTÃO E DESENVOLVIMENTO DO TRANSPORTE ESCOLAR DA EDUCAÇÃO ESPECIAL</v>
      </c>
      <c r="H953" s="773" t="s">
        <v>3138</v>
      </c>
      <c r="I953" s="757">
        <f>DESPORC!C2927</f>
        <v>12</v>
      </c>
      <c r="J953" s="765" t="str">
        <f>DESPORC!D2927</f>
        <v>Educação</v>
      </c>
    </row>
    <row r="954" spans="2:10" x14ac:dyDescent="0.25">
      <c r="B954" s="1619"/>
      <c r="C954" s="1616"/>
      <c r="D954" s="1630"/>
      <c r="E954" s="1619"/>
      <c r="F954" s="1616"/>
      <c r="G954" s="1618"/>
      <c r="H954" s="774" t="s">
        <v>6940</v>
      </c>
      <c r="I954" s="757">
        <f>DESPORC!C2928</f>
        <v>367</v>
      </c>
      <c r="J954" s="765" t="str">
        <f>DESPORC!D2928</f>
        <v>Educação Especial</v>
      </c>
    </row>
    <row r="955" spans="2:10" ht="30" x14ac:dyDescent="0.25">
      <c r="B955" s="1619" t="s">
        <v>6941</v>
      </c>
      <c r="C955" s="1616">
        <f>'[3]Anexo I - Programas'!$C$529</f>
        <v>1014</v>
      </c>
      <c r="D955" s="1622" t="str">
        <f>'[3]Anexo I - Programas'!$D$529</f>
        <v>Novos Investimentos Transporte Escolar da Educação Especial</v>
      </c>
      <c r="E955" s="1619" t="s">
        <v>6941</v>
      </c>
      <c r="F955" s="1616">
        <f>C955</f>
        <v>1014</v>
      </c>
      <c r="G955" s="1618" t="str">
        <f>D955</f>
        <v>Novos Investimentos Transporte Escolar da Educação Especial</v>
      </c>
      <c r="H955" s="775" t="s">
        <v>3137</v>
      </c>
      <c r="I955" s="783" t="str">
        <f>F953</f>
        <v>15</v>
      </c>
      <c r="J955" s="762" t="str">
        <f>G953</f>
        <v>GESTÃO E DESENVOLVIMENTO DO TRANSPORTE ESCOLAR DA EDUCAÇÃO ESPECIAL</v>
      </c>
    </row>
    <row r="956" spans="2:10" ht="30" x14ac:dyDescent="0.25">
      <c r="B956" s="1620"/>
      <c r="C956" s="1621"/>
      <c r="D956" s="1623"/>
      <c r="E956" s="1620"/>
      <c r="F956" s="1621"/>
      <c r="G956" s="1624"/>
      <c r="H956" s="776" t="s">
        <v>6941</v>
      </c>
      <c r="I956" s="784">
        <f>F955</f>
        <v>1014</v>
      </c>
      <c r="J956" s="764" t="str">
        <f>G955</f>
        <v>Novos Investimentos Transporte Escolar da Educação Especial</v>
      </c>
    </row>
    <row r="957" spans="2:10" ht="15.75" thickBot="1" x14ac:dyDescent="0.3">
      <c r="B957" s="769" t="s">
        <v>6939</v>
      </c>
      <c r="C957" s="1625">
        <f>'[3]Anexo I - Programas'!$H$530</f>
        <v>50000</v>
      </c>
      <c r="D957" s="1626"/>
      <c r="E957" s="769" t="s">
        <v>6939</v>
      </c>
      <c r="F957" s="1625">
        <f>'[3]Anexo I - Programas'!$J$530</f>
        <v>12500</v>
      </c>
      <c r="G957" s="1627"/>
      <c r="H957" s="778" t="s">
        <v>6939</v>
      </c>
      <c r="I957" s="1625">
        <f>DESPORC!I2930</f>
        <v>0.02</v>
      </c>
      <c r="J957" s="1627"/>
    </row>
    <row r="958" spans="2:10" ht="15.75" thickBot="1" x14ac:dyDescent="0.3">
      <c r="B958" s="801"/>
      <c r="C958" s="802"/>
      <c r="D958" s="803"/>
      <c r="E958" s="801"/>
      <c r="F958" s="802"/>
      <c r="G958" s="803"/>
      <c r="H958" s="801"/>
      <c r="I958" s="802"/>
      <c r="J958" s="803"/>
    </row>
    <row r="959" spans="2:10" x14ac:dyDescent="0.25">
      <c r="B959" s="1628" t="s">
        <v>3137</v>
      </c>
      <c r="C959" s="1615" t="str">
        <f>'[3]Anexo I - Programas'!$B$471</f>
        <v>13</v>
      </c>
      <c r="D959" s="1629" t="str">
        <f>'[3]Anexo I - Programas'!$C$471</f>
        <v>GESTÃO E DESENVOLVIMENTO DO TRANSPORTE ESCOLAR DO ENSINO FUNDAMENTAL</v>
      </c>
      <c r="E959" s="1628" t="s">
        <v>3137</v>
      </c>
      <c r="F959" s="1615" t="str">
        <f>C959</f>
        <v>13</v>
      </c>
      <c r="G959" s="1617" t="str">
        <f>D959</f>
        <v>GESTÃO E DESENVOLVIMENTO DO TRANSPORTE ESCOLAR DO ENSINO FUNDAMENTAL</v>
      </c>
      <c r="H959" s="773" t="s">
        <v>3138</v>
      </c>
      <c r="I959" s="757">
        <f>DESPORC!C2933</f>
        <v>12</v>
      </c>
      <c r="J959" s="765" t="str">
        <f>DESPORC!D2933</f>
        <v>Educação</v>
      </c>
    </row>
    <row r="960" spans="2:10" x14ac:dyDescent="0.25">
      <c r="B960" s="1619"/>
      <c r="C960" s="1616"/>
      <c r="D960" s="1630"/>
      <c r="E960" s="1619"/>
      <c r="F960" s="1616"/>
      <c r="G960" s="1618"/>
      <c r="H960" s="774" t="s">
        <v>6940</v>
      </c>
      <c r="I960" s="757">
        <f>DESPORC!C2934</f>
        <v>361</v>
      </c>
      <c r="J960" s="765" t="str">
        <f>DESPORC!D2934</f>
        <v>Ensino Fundamental</v>
      </c>
    </row>
    <row r="961" spans="2:10" ht="30" x14ac:dyDescent="0.25">
      <c r="B961" s="1619" t="s">
        <v>6941</v>
      </c>
      <c r="C961" s="1616">
        <f>'[3]Anexo I - Programas'!$C$485</f>
        <v>2019</v>
      </c>
      <c r="D961" s="1622" t="str">
        <f>'[3]Anexo I - Programas'!$D$485</f>
        <v>Promoção do Transporte Escolar do Ensino Fundamental</v>
      </c>
      <c r="E961" s="1619" t="s">
        <v>6941</v>
      </c>
      <c r="F961" s="1616">
        <f>C961</f>
        <v>2019</v>
      </c>
      <c r="G961" s="1618" t="str">
        <f>D961</f>
        <v>Promoção do Transporte Escolar do Ensino Fundamental</v>
      </c>
      <c r="H961" s="775" t="s">
        <v>3137</v>
      </c>
      <c r="I961" s="783" t="str">
        <f>F959</f>
        <v>13</v>
      </c>
      <c r="J961" s="762" t="str">
        <f>G959</f>
        <v>GESTÃO E DESENVOLVIMENTO DO TRANSPORTE ESCOLAR DO ENSINO FUNDAMENTAL</v>
      </c>
    </row>
    <row r="962" spans="2:10" x14ac:dyDescent="0.25">
      <c r="B962" s="1620"/>
      <c r="C962" s="1621"/>
      <c r="D962" s="1623"/>
      <c r="E962" s="1620"/>
      <c r="F962" s="1621"/>
      <c r="G962" s="1624"/>
      <c r="H962" s="776" t="s">
        <v>6941</v>
      </c>
      <c r="I962" s="784">
        <f>F961</f>
        <v>2019</v>
      </c>
      <c r="J962" s="764" t="str">
        <f>G961</f>
        <v>Promoção do Transporte Escolar do Ensino Fundamental</v>
      </c>
    </row>
    <row r="963" spans="2:10" ht="15.75" thickBot="1" x14ac:dyDescent="0.3">
      <c r="B963" s="769" t="s">
        <v>6939</v>
      </c>
      <c r="C963" s="1625">
        <f>'[3]Anexo I - Programas'!$H$486</f>
        <v>4000000</v>
      </c>
      <c r="D963" s="1626"/>
      <c r="E963" s="769" t="s">
        <v>6939</v>
      </c>
      <c r="F963" s="1625">
        <f>'[3]Anexo I - Programas'!$J$486</f>
        <v>1000000</v>
      </c>
      <c r="G963" s="1627"/>
      <c r="H963" s="778" t="s">
        <v>6939</v>
      </c>
      <c r="I963" s="1625">
        <f>DESPORC!I2936</f>
        <v>559978.19985949725</v>
      </c>
      <c r="J963" s="1627"/>
    </row>
    <row r="964" spans="2:10" x14ac:dyDescent="0.25">
      <c r="B964" s="1628" t="s">
        <v>3137</v>
      </c>
      <c r="C964" s="1615" t="str">
        <f>'[3]Anexo I - Programas'!$B$591</f>
        <v>18</v>
      </c>
      <c r="D964" s="1629" t="str">
        <f>'[3]Anexo I - Programas'!$C$591</f>
        <v>GESTÃO E DESENVOLVIMENTO DO TRANSPORTE DO ENSINO MÉDIO</v>
      </c>
      <c r="E964" s="1628" t="s">
        <v>3137</v>
      </c>
      <c r="F964" s="1615" t="str">
        <f>C964</f>
        <v>18</v>
      </c>
      <c r="G964" s="1617" t="str">
        <f>D964</f>
        <v>GESTÃO E DESENVOLVIMENTO DO TRANSPORTE DO ENSINO MÉDIO</v>
      </c>
      <c r="H964" s="773" t="s">
        <v>3138</v>
      </c>
      <c r="I964" s="757">
        <f>DESPORC!C2944</f>
        <v>12</v>
      </c>
      <c r="J964" s="765" t="str">
        <f>DESPORC!D2944</f>
        <v>Educação</v>
      </c>
    </row>
    <row r="965" spans="2:10" x14ac:dyDescent="0.25">
      <c r="B965" s="1619"/>
      <c r="C965" s="1616"/>
      <c r="D965" s="1630"/>
      <c r="E965" s="1619"/>
      <c r="F965" s="1616"/>
      <c r="G965" s="1618"/>
      <c r="H965" s="774" t="s">
        <v>6940</v>
      </c>
      <c r="I965" s="757">
        <f>DESPORC!C2945</f>
        <v>362</v>
      </c>
      <c r="J965" s="765" t="str">
        <f>DESPORC!D2945</f>
        <v>Ensino Médio</v>
      </c>
    </row>
    <row r="966" spans="2:10" ht="30" x14ac:dyDescent="0.25">
      <c r="B966" s="1619" t="s">
        <v>6941</v>
      </c>
      <c r="C966" s="1616">
        <f>'[3]Anexo I - Programas'!$C$600</f>
        <v>2024</v>
      </c>
      <c r="D966" s="1622" t="str">
        <f>'[3]Anexo I - Programas'!$D$600</f>
        <v>Promoção do Transporte Escolar : Ensino Médio</v>
      </c>
      <c r="E966" s="1619" t="s">
        <v>6941</v>
      </c>
      <c r="F966" s="1616">
        <f>C966</f>
        <v>2024</v>
      </c>
      <c r="G966" s="1618" t="str">
        <f>D966</f>
        <v>Promoção do Transporte Escolar : Ensino Médio</v>
      </c>
      <c r="H966" s="775" t="s">
        <v>3137</v>
      </c>
      <c r="I966" s="783" t="str">
        <f>F964</f>
        <v>18</v>
      </c>
      <c r="J966" s="762" t="str">
        <f>G964</f>
        <v>GESTÃO E DESENVOLVIMENTO DO TRANSPORTE DO ENSINO MÉDIO</v>
      </c>
    </row>
    <row r="967" spans="2:10" x14ac:dyDescent="0.25">
      <c r="B967" s="1620"/>
      <c r="C967" s="1621"/>
      <c r="D967" s="1623"/>
      <c r="E967" s="1620"/>
      <c r="F967" s="1621"/>
      <c r="G967" s="1624"/>
      <c r="H967" s="776" t="s">
        <v>6941</v>
      </c>
      <c r="I967" s="784">
        <f>F966</f>
        <v>2024</v>
      </c>
      <c r="J967" s="764" t="str">
        <f>G966</f>
        <v>Promoção do Transporte Escolar : Ensino Médio</v>
      </c>
    </row>
    <row r="968" spans="2:10" ht="15.75" thickBot="1" x14ac:dyDescent="0.3">
      <c r="B968" s="769" t="s">
        <v>6939</v>
      </c>
      <c r="C968" s="1625">
        <f>'[3]Anexo I - Programas'!$H$601</f>
        <v>90000</v>
      </c>
      <c r="D968" s="1626"/>
      <c r="E968" s="769" t="s">
        <v>6939</v>
      </c>
      <c r="F968" s="1625">
        <f>'[3]Anexo I - Programas'!$J$601</f>
        <v>22500</v>
      </c>
      <c r="G968" s="1627"/>
      <c r="H968" s="778" t="s">
        <v>6939</v>
      </c>
      <c r="I968" s="1625">
        <f>DESPORC!I2947</f>
        <v>28249.951862179154</v>
      </c>
      <c r="J968" s="1627"/>
    </row>
    <row r="969" spans="2:10" x14ac:dyDescent="0.25">
      <c r="B969" s="1628" t="s">
        <v>3137</v>
      </c>
      <c r="C969" s="1615" t="str">
        <f>'[3]Anexo I - Programas'!$B$496</f>
        <v>14</v>
      </c>
      <c r="D969" s="1629" t="str">
        <f>'[3]Anexo I - Programas'!$C$496</f>
        <v>GESTÃO E DESENVOLVIMENTO DO TRANSPORTE ESCOLAR DA EDUCAÇÃO INFANTIL</v>
      </c>
      <c r="E969" s="1628" t="s">
        <v>3137</v>
      </c>
      <c r="F969" s="1615" t="str">
        <f>C969</f>
        <v>14</v>
      </c>
      <c r="G969" s="1617" t="str">
        <f>D969</f>
        <v>GESTÃO E DESENVOLVIMENTO DO TRANSPORTE ESCOLAR DA EDUCAÇÃO INFANTIL</v>
      </c>
      <c r="H969" s="773" t="s">
        <v>3138</v>
      </c>
      <c r="I969" s="757">
        <f>DESPORC!C2950</f>
        <v>12</v>
      </c>
      <c r="J969" s="765" t="str">
        <f>DESPORC!D2950</f>
        <v>Educação</v>
      </c>
    </row>
    <row r="970" spans="2:10" x14ac:dyDescent="0.25">
      <c r="B970" s="1619"/>
      <c r="C970" s="1616"/>
      <c r="D970" s="1630"/>
      <c r="E970" s="1619"/>
      <c r="F970" s="1616"/>
      <c r="G970" s="1618"/>
      <c r="H970" s="774" t="s">
        <v>6940</v>
      </c>
      <c r="I970" s="757">
        <f>DESPORC!C2951</f>
        <v>365</v>
      </c>
      <c r="J970" s="765" t="str">
        <f>DESPORC!D2951</f>
        <v>Educação Infantil</v>
      </c>
    </row>
    <row r="971" spans="2:10" ht="30" x14ac:dyDescent="0.25">
      <c r="B971" s="1619" t="s">
        <v>6941</v>
      </c>
      <c r="C971" s="1616">
        <f>'[3]Anexo I - Programas'!$C$510</f>
        <v>2020</v>
      </c>
      <c r="D971" s="1622" t="str">
        <f>'[3]Anexo I - Programas'!$D$510</f>
        <v>Promoção do Transporte Escolar da Educação Infantil</v>
      </c>
      <c r="E971" s="1619" t="s">
        <v>6941</v>
      </c>
      <c r="F971" s="1616">
        <f>C971</f>
        <v>2020</v>
      </c>
      <c r="G971" s="1618" t="str">
        <f>D971</f>
        <v>Promoção do Transporte Escolar da Educação Infantil</v>
      </c>
      <c r="H971" s="775" t="s">
        <v>3137</v>
      </c>
      <c r="I971" s="783" t="str">
        <f>F969</f>
        <v>14</v>
      </c>
      <c r="J971" s="762" t="str">
        <f>G969</f>
        <v>GESTÃO E DESENVOLVIMENTO DO TRANSPORTE ESCOLAR DA EDUCAÇÃO INFANTIL</v>
      </c>
    </row>
    <row r="972" spans="2:10" x14ac:dyDescent="0.25">
      <c r="B972" s="1620"/>
      <c r="C972" s="1621"/>
      <c r="D972" s="1623"/>
      <c r="E972" s="1620"/>
      <c r="F972" s="1621"/>
      <c r="G972" s="1624"/>
      <c r="H972" s="776" t="s">
        <v>6941</v>
      </c>
      <c r="I972" s="784">
        <f>F971</f>
        <v>2020</v>
      </c>
      <c r="J972" s="764" t="str">
        <f>G971</f>
        <v>Promoção do Transporte Escolar da Educação Infantil</v>
      </c>
    </row>
    <row r="973" spans="2:10" ht="15.75" thickBot="1" x14ac:dyDescent="0.3">
      <c r="B973" s="769" t="s">
        <v>6939</v>
      </c>
      <c r="C973" s="1625">
        <f>'[3]Anexo I - Programas'!$H$511</f>
        <v>500000</v>
      </c>
      <c r="D973" s="1626"/>
      <c r="E973" s="769" t="s">
        <v>6939</v>
      </c>
      <c r="F973" s="1625">
        <f>'[3]Anexo I - Programas'!$J$511</f>
        <v>125000</v>
      </c>
      <c r="G973" s="1627"/>
      <c r="H973" s="778" t="s">
        <v>6939</v>
      </c>
      <c r="I973" s="1625">
        <f>DESPORC!I2953</f>
        <v>80308.699603723289</v>
      </c>
      <c r="J973" s="1627"/>
    </row>
    <row r="974" spans="2:10" x14ac:dyDescent="0.25">
      <c r="B974" s="1628" t="s">
        <v>3137</v>
      </c>
      <c r="C974" s="1615" t="str">
        <f>'[3]Anexo I - Programas'!$B$545</f>
        <v>16</v>
      </c>
      <c r="D974" s="1629" t="str">
        <f>'[3]Anexo I - Programas'!$C$545</f>
        <v>GESTÃO E DESENVOLVIMENTO DO TRANSPORTE DA EDUCAÇÃO DE JOVENS E ADULTOS</v>
      </c>
      <c r="E974" s="1628" t="s">
        <v>3137</v>
      </c>
      <c r="F974" s="1615" t="str">
        <f>C974</f>
        <v>16</v>
      </c>
      <c r="G974" s="1617" t="str">
        <f>D974</f>
        <v>GESTÃO E DESENVOLVIMENTO DO TRANSPORTE DA EDUCAÇÃO DE JOVENS E ADULTOS</v>
      </c>
      <c r="H974" s="773" t="s">
        <v>3138</v>
      </c>
      <c r="I974" s="757">
        <f>DESPORC!C2950</f>
        <v>12</v>
      </c>
      <c r="J974" s="765" t="str">
        <f>DESPORC!D2950</f>
        <v>Educação</v>
      </c>
    </row>
    <row r="975" spans="2:10" x14ac:dyDescent="0.25">
      <c r="B975" s="1619"/>
      <c r="C975" s="1616"/>
      <c r="D975" s="1630"/>
      <c r="E975" s="1619"/>
      <c r="F975" s="1616"/>
      <c r="G975" s="1618"/>
      <c r="H975" s="774" t="s">
        <v>6940</v>
      </c>
      <c r="I975" s="757">
        <f>DESPORC!C2951</f>
        <v>365</v>
      </c>
      <c r="J975" s="765" t="str">
        <f>DESPORC!D2951</f>
        <v>Educação Infantil</v>
      </c>
    </row>
    <row r="976" spans="2:10" ht="30" x14ac:dyDescent="0.25">
      <c r="B976" s="1619" t="s">
        <v>6941</v>
      </c>
      <c r="C976" s="1616">
        <f>'[3]Anexo I - Programas'!$C$559</f>
        <v>2022</v>
      </c>
      <c r="D976" s="1622" t="str">
        <f>'[3]Anexo I - Programas'!$D$559</f>
        <v>Promoção do Transporte Escolar da Educação de Jovens e Adultos</v>
      </c>
      <c r="E976" s="1619" t="s">
        <v>6941</v>
      </c>
      <c r="F976" s="1616">
        <f>C976</f>
        <v>2022</v>
      </c>
      <c r="G976" s="1618" t="str">
        <f>D976</f>
        <v>Promoção do Transporte Escolar da Educação de Jovens e Adultos</v>
      </c>
      <c r="H976" s="775" t="s">
        <v>3137</v>
      </c>
      <c r="I976" s="783" t="str">
        <f>F974</f>
        <v>16</v>
      </c>
      <c r="J976" s="762" t="str">
        <f>G974</f>
        <v>GESTÃO E DESENVOLVIMENTO DO TRANSPORTE DA EDUCAÇÃO DE JOVENS E ADULTOS</v>
      </c>
    </row>
    <row r="977" spans="2:10" ht="30" x14ac:dyDescent="0.25">
      <c r="B977" s="1620"/>
      <c r="C977" s="1621"/>
      <c r="D977" s="1623"/>
      <c r="E977" s="1620"/>
      <c r="F977" s="1621"/>
      <c r="G977" s="1624"/>
      <c r="H977" s="776" t="s">
        <v>6941</v>
      </c>
      <c r="I977" s="784">
        <f>F976</f>
        <v>2022</v>
      </c>
      <c r="J977" s="764" t="str">
        <f>G976</f>
        <v>Promoção do Transporte Escolar da Educação de Jovens e Adultos</v>
      </c>
    </row>
    <row r="978" spans="2:10" ht="15.75" thickBot="1" x14ac:dyDescent="0.3">
      <c r="B978" s="769" t="s">
        <v>6939</v>
      </c>
      <c r="C978" s="1625">
        <f>'[3]Anexo I - Programas'!$H$560</f>
        <v>150000</v>
      </c>
      <c r="D978" s="1626"/>
      <c r="E978" s="769" t="s">
        <v>6939</v>
      </c>
      <c r="F978" s="1625">
        <f>'[3]Anexo I - Programas'!$J$560</f>
        <v>37500</v>
      </c>
      <c r="G978" s="1627"/>
      <c r="H978" s="778" t="s">
        <v>6939</v>
      </c>
      <c r="I978" s="1625">
        <f>DESPORC!I2963</f>
        <v>22104.133510324482</v>
      </c>
      <c r="J978" s="1627"/>
    </row>
    <row r="979" spans="2:10" x14ac:dyDescent="0.25">
      <c r="B979" s="1628" t="s">
        <v>3137</v>
      </c>
      <c r="C979" s="1615" t="str">
        <f>'[3]Anexo I - Programas'!$B$520</f>
        <v>15</v>
      </c>
      <c r="D979" s="1629" t="str">
        <f>'[3]Anexo I - Programas'!$C$520</f>
        <v>GESTÃO E DESENVOLVIMENTO DO TRANSPORTE ESCOLAR DA EDUCAÇÃO ESPECIAL</v>
      </c>
      <c r="E979" s="1628" t="s">
        <v>3137</v>
      </c>
      <c r="F979" s="1615" t="str">
        <f>C979</f>
        <v>15</v>
      </c>
      <c r="G979" s="1617" t="str">
        <f>D979</f>
        <v>GESTÃO E DESENVOLVIMENTO DO TRANSPORTE ESCOLAR DA EDUCAÇÃO ESPECIAL</v>
      </c>
      <c r="H979" s="773" t="s">
        <v>3138</v>
      </c>
      <c r="I979" s="757">
        <f>DESPORC!C2968</f>
        <v>12</v>
      </c>
      <c r="J979" s="765" t="str">
        <f>DESPORC!D2968</f>
        <v>Educação</v>
      </c>
    </row>
    <row r="980" spans="2:10" x14ac:dyDescent="0.25">
      <c r="B980" s="1619"/>
      <c r="C980" s="1616"/>
      <c r="D980" s="1630"/>
      <c r="E980" s="1619"/>
      <c r="F980" s="1616"/>
      <c r="G980" s="1618"/>
      <c r="H980" s="774" t="s">
        <v>6940</v>
      </c>
      <c r="I980" s="757">
        <f>DESPORC!C2969</f>
        <v>367</v>
      </c>
      <c r="J980" s="765" t="str">
        <f>DESPORC!D2969</f>
        <v>Educação Especial</v>
      </c>
    </row>
    <row r="981" spans="2:10" ht="30" x14ac:dyDescent="0.25">
      <c r="B981" s="1619" t="s">
        <v>6941</v>
      </c>
      <c r="C981" s="1616">
        <f>'[3]Anexo I - Programas'!$C$534</f>
        <v>2021</v>
      </c>
      <c r="D981" s="1622" t="str">
        <f>'[3]Anexo I - Programas'!$D$534</f>
        <v>Promoção do Transporte Escolar da Educação Especial</v>
      </c>
      <c r="E981" s="1619" t="s">
        <v>6941</v>
      </c>
      <c r="F981" s="1616">
        <f>C981</f>
        <v>2021</v>
      </c>
      <c r="G981" s="1618" t="str">
        <f>D981</f>
        <v>Promoção do Transporte Escolar da Educação Especial</v>
      </c>
      <c r="H981" s="775" t="s">
        <v>3137</v>
      </c>
      <c r="I981" s="783" t="str">
        <f>F979</f>
        <v>15</v>
      </c>
      <c r="J981" s="762" t="str">
        <f>G979</f>
        <v>GESTÃO E DESENVOLVIMENTO DO TRANSPORTE ESCOLAR DA EDUCAÇÃO ESPECIAL</v>
      </c>
    </row>
    <row r="982" spans="2:10" x14ac:dyDescent="0.25">
      <c r="B982" s="1620"/>
      <c r="C982" s="1621"/>
      <c r="D982" s="1623"/>
      <c r="E982" s="1620"/>
      <c r="F982" s="1621"/>
      <c r="G982" s="1624"/>
      <c r="H982" s="776" t="s">
        <v>6941</v>
      </c>
      <c r="I982" s="784">
        <f>F981</f>
        <v>2021</v>
      </c>
      <c r="J982" s="764" t="str">
        <f>G981</f>
        <v>Promoção do Transporte Escolar da Educação Especial</v>
      </c>
    </row>
    <row r="983" spans="2:10" ht="15.75" thickBot="1" x14ac:dyDescent="0.3">
      <c r="B983" s="769" t="s">
        <v>6939</v>
      </c>
      <c r="C983" s="1625">
        <f>'[3]Anexo I - Programas'!$H$535</f>
        <v>200000</v>
      </c>
      <c r="D983" s="1626"/>
      <c r="E983" s="769" t="s">
        <v>6939</v>
      </c>
      <c r="F983" s="1625">
        <f>'[3]Anexo I - Programas'!$J$535</f>
        <v>50000</v>
      </c>
      <c r="G983" s="1627"/>
      <c r="H983" s="778" t="s">
        <v>6939</v>
      </c>
      <c r="I983" s="1625">
        <f>DESPORC!I2971</f>
        <v>25544.874188790567</v>
      </c>
      <c r="J983" s="1627"/>
    </row>
    <row r="985" spans="2:10" x14ac:dyDescent="0.25">
      <c r="B985" s="787"/>
      <c r="C985" s="788"/>
      <c r="E985" s="787"/>
      <c r="H985" s="787"/>
    </row>
    <row r="986" spans="2:10" x14ac:dyDescent="0.25">
      <c r="B986" s="787"/>
      <c r="C986" s="788"/>
      <c r="E986" s="787"/>
      <c r="H986" s="787"/>
    </row>
    <row r="987" spans="2:10" x14ac:dyDescent="0.25">
      <c r="B987" s="787"/>
      <c r="C987" s="788"/>
      <c r="E987" s="787"/>
      <c r="H987" s="787"/>
    </row>
    <row r="988" spans="2:10" x14ac:dyDescent="0.25">
      <c r="B988" s="787"/>
      <c r="C988" s="788"/>
      <c r="E988" s="787"/>
      <c r="H988" s="787"/>
    </row>
    <row r="989" spans="2:10" x14ac:dyDescent="0.25">
      <c r="B989" s="787"/>
      <c r="C989" s="788"/>
      <c r="E989" s="787"/>
      <c r="H989" s="787"/>
    </row>
    <row r="990" spans="2:10" x14ac:dyDescent="0.25">
      <c r="B990" s="787"/>
      <c r="C990" s="788"/>
      <c r="E990" s="787"/>
      <c r="H990" s="787"/>
    </row>
    <row r="991" spans="2:10" x14ac:dyDescent="0.25">
      <c r="B991" s="787"/>
      <c r="C991" s="788"/>
      <c r="E991" s="787"/>
      <c r="H991" s="787"/>
    </row>
    <row r="992" spans="2:10" x14ac:dyDescent="0.25">
      <c r="B992" s="787"/>
      <c r="C992" s="788"/>
      <c r="E992" s="787"/>
      <c r="H992" s="787"/>
    </row>
    <row r="993" spans="2:10" x14ac:dyDescent="0.25">
      <c r="B993" s="787"/>
      <c r="C993" s="788"/>
      <c r="E993" s="787"/>
      <c r="H993" s="787"/>
    </row>
    <row r="994" spans="2:10" x14ac:dyDescent="0.25">
      <c r="B994" s="787"/>
      <c r="C994" s="788"/>
      <c r="E994" s="787"/>
      <c r="H994" s="787"/>
    </row>
    <row r="995" spans="2:10" x14ac:dyDescent="0.25">
      <c r="B995" s="787"/>
      <c r="C995" s="788"/>
      <c r="E995" s="787"/>
      <c r="H995" s="787"/>
    </row>
    <row r="996" spans="2:10" x14ac:dyDescent="0.25">
      <c r="B996" s="787"/>
      <c r="C996" s="788"/>
      <c r="E996" s="787"/>
      <c r="H996" s="787"/>
    </row>
    <row r="997" spans="2:10" x14ac:dyDescent="0.25">
      <c r="B997" s="787"/>
      <c r="C997" s="788"/>
      <c r="E997" s="787"/>
      <c r="H997" s="787"/>
    </row>
    <row r="998" spans="2:10" x14ac:dyDescent="0.25">
      <c r="B998" s="787"/>
      <c r="C998" s="788"/>
      <c r="E998" s="787"/>
      <c r="H998" s="787"/>
    </row>
    <row r="999" spans="2:10" x14ac:dyDescent="0.25">
      <c r="B999" s="787"/>
      <c r="C999" s="788"/>
      <c r="E999" s="787"/>
      <c r="H999" s="787"/>
    </row>
    <row r="1000" spans="2:10" x14ac:dyDescent="0.25">
      <c r="B1000" s="787"/>
      <c r="C1000" s="788"/>
      <c r="E1000" s="787"/>
      <c r="H1000" s="787"/>
    </row>
    <row r="1001" spans="2:10" x14ac:dyDescent="0.25">
      <c r="B1001" s="1631" t="s">
        <v>6927</v>
      </c>
      <c r="C1001" s="1631"/>
      <c r="D1001" s="755" t="str">
        <f>DESPORC!C2983</f>
        <v>03 - SECRETARIA MUNICIPAL DE EDUCAÇÃO, CULT. E DESPORTO</v>
      </c>
      <c r="E1001" s="785"/>
      <c r="F1001" s="786"/>
      <c r="G1001" s="786"/>
      <c r="H1001" s="785"/>
      <c r="I1001" s="786"/>
      <c r="J1001" s="786"/>
    </row>
    <row r="1002" spans="2:10" ht="15.75" thickBot="1" x14ac:dyDescent="0.3">
      <c r="B1002" s="1632" t="s">
        <v>3087</v>
      </c>
      <c r="C1002" s="1632"/>
      <c r="D1002" s="755" t="str">
        <f>DESPORC!C2984</f>
        <v>14 - GESTAO E PROMOÇÃO DO TRANSPORTE ESCOLAR PROPRIOS E MDE</v>
      </c>
      <c r="E1002" s="785"/>
      <c r="F1002" s="36"/>
      <c r="G1002" s="1"/>
      <c r="H1002" s="772"/>
      <c r="I1002" s="1"/>
      <c r="J1002" s="1"/>
    </row>
    <row r="1003" spans="2:10" ht="15.75" thickBot="1" x14ac:dyDescent="0.3">
      <c r="B1003" s="1633" t="str">
        <f>B$10</f>
        <v>PPA LEI MUNICIPAL N.º 1091  DE 16 DE JUNHO DE 2017.</v>
      </c>
      <c r="C1003" s="1634"/>
      <c r="D1003" s="1635"/>
      <c r="E1003" s="1633" t="str">
        <f>E$10</f>
        <v>LDO LEI MUNICIPAL N.º 1166  DE 10 DE OUTUBRO DE 2019.</v>
      </c>
      <c r="F1003" s="1634"/>
      <c r="G1003" s="1635"/>
      <c r="H1003" s="1633" t="str">
        <f>H$10</f>
        <v>LOA 2020</v>
      </c>
      <c r="I1003" s="1634"/>
      <c r="J1003" s="1635"/>
    </row>
    <row r="1004" spans="2:10" x14ac:dyDescent="0.25">
      <c r="B1004" s="1628" t="s">
        <v>3137</v>
      </c>
      <c r="C1004" s="1615" t="str">
        <f>'[3]Anexo I - Programas'!$B$471</f>
        <v>13</v>
      </c>
      <c r="D1004" s="1629" t="str">
        <f>'[3]Anexo I - Programas'!$C$471</f>
        <v>GESTÃO E DESENVOLVIMENTO DO TRANSPORTE ESCOLAR DO ENSINO FUNDAMENTAL</v>
      </c>
      <c r="E1004" s="1628" t="s">
        <v>3137</v>
      </c>
      <c r="F1004" s="1615" t="str">
        <f>C1004</f>
        <v>13</v>
      </c>
      <c r="G1004" s="1617" t="str">
        <f>D1004</f>
        <v>GESTÃO E DESENVOLVIMENTO DO TRANSPORTE ESCOLAR DO ENSINO FUNDAMENTAL</v>
      </c>
      <c r="H1004" s="773" t="s">
        <v>3138</v>
      </c>
      <c r="I1004" s="757">
        <f>DESPORC!C2987</f>
        <v>12</v>
      </c>
      <c r="J1004" s="765" t="str">
        <f>DESPORC!D2987</f>
        <v>Educação</v>
      </c>
    </row>
    <row r="1005" spans="2:10" x14ac:dyDescent="0.25">
      <c r="B1005" s="1619"/>
      <c r="C1005" s="1616"/>
      <c r="D1005" s="1630"/>
      <c r="E1005" s="1619"/>
      <c r="F1005" s="1616"/>
      <c r="G1005" s="1618"/>
      <c r="H1005" s="774" t="s">
        <v>6940</v>
      </c>
      <c r="I1005" s="757">
        <f>DESPORC!C2988</f>
        <v>361</v>
      </c>
      <c r="J1005" s="765" t="str">
        <f>DESPORC!D2988</f>
        <v>Ensino Fundamental</v>
      </c>
    </row>
    <row r="1006" spans="2:10" ht="30" x14ac:dyDescent="0.25">
      <c r="B1006" s="1619" t="s">
        <v>6941</v>
      </c>
      <c r="C1006" s="1616">
        <f>'[3]Anexo I - Programas'!$C$480</f>
        <v>1012</v>
      </c>
      <c r="D1006" s="1622" t="str">
        <f>'[3]Anexo I - Programas'!$D$480</f>
        <v>Novos Investimentos Transporte Escolar do Ensino Fundamental</v>
      </c>
      <c r="E1006" s="1619" t="s">
        <v>6941</v>
      </c>
      <c r="F1006" s="1616">
        <f>C1006</f>
        <v>1012</v>
      </c>
      <c r="G1006" s="1618" t="str">
        <f>D1006</f>
        <v>Novos Investimentos Transporte Escolar do Ensino Fundamental</v>
      </c>
      <c r="H1006" s="775" t="s">
        <v>3137</v>
      </c>
      <c r="I1006" s="783" t="str">
        <f>F1004</f>
        <v>13</v>
      </c>
      <c r="J1006" s="762" t="str">
        <f>G1004</f>
        <v>GESTÃO E DESENVOLVIMENTO DO TRANSPORTE ESCOLAR DO ENSINO FUNDAMENTAL</v>
      </c>
    </row>
    <row r="1007" spans="2:10" ht="30" x14ac:dyDescent="0.25">
      <c r="B1007" s="1620"/>
      <c r="C1007" s="1621"/>
      <c r="D1007" s="1623"/>
      <c r="E1007" s="1620"/>
      <c r="F1007" s="1621"/>
      <c r="G1007" s="1624"/>
      <c r="H1007" s="776" t="s">
        <v>6941</v>
      </c>
      <c r="I1007" s="784">
        <f>F1006</f>
        <v>1012</v>
      </c>
      <c r="J1007" s="764" t="str">
        <f>G1006</f>
        <v>Novos Investimentos Transporte Escolar do Ensino Fundamental</v>
      </c>
    </row>
    <row r="1008" spans="2:10" ht="15.75" thickBot="1" x14ac:dyDescent="0.3">
      <c r="B1008" s="769" t="s">
        <v>6939</v>
      </c>
      <c r="C1008" s="1625">
        <f>'[3]Anexo I - Programas'!$H$481</f>
        <v>1000000</v>
      </c>
      <c r="D1008" s="1626"/>
      <c r="E1008" s="769" t="s">
        <v>6939</v>
      </c>
      <c r="F1008" s="1625">
        <f>'[3]Anexo I - Programas'!$J$481</f>
        <v>250000</v>
      </c>
      <c r="G1008" s="1627"/>
      <c r="H1008" s="778" t="s">
        <v>6939</v>
      </c>
      <c r="I1008" s="1625">
        <f>DESPORC!I2990</f>
        <v>0.02</v>
      </c>
      <c r="J1008" s="1627"/>
    </row>
    <row r="1009" spans="2:10" x14ac:dyDescent="0.25">
      <c r="B1009" s="1628" t="s">
        <v>3137</v>
      </c>
      <c r="C1009" s="1615" t="str">
        <f>'[3]Anexo I - Programas'!$B$496</f>
        <v>14</v>
      </c>
      <c r="D1009" s="1629" t="str">
        <f>'[3]Anexo I - Programas'!$C$496</f>
        <v>GESTÃO E DESENVOLVIMENTO DO TRANSPORTE ESCOLAR DA EDUCAÇÃO INFANTIL</v>
      </c>
      <c r="E1009" s="1628" t="s">
        <v>3137</v>
      </c>
      <c r="F1009" s="1615" t="str">
        <f>C1009</f>
        <v>14</v>
      </c>
      <c r="G1009" s="1617" t="str">
        <f>D1009</f>
        <v>GESTÃO E DESENVOLVIMENTO DO TRANSPORTE ESCOLAR DA EDUCAÇÃO INFANTIL</v>
      </c>
      <c r="H1009" s="773" t="s">
        <v>3138</v>
      </c>
      <c r="I1009" s="757">
        <f>DESPORC!C2994</f>
        <v>12</v>
      </c>
      <c r="J1009" s="765" t="str">
        <f>DESPORC!D2994</f>
        <v>Educação</v>
      </c>
    </row>
    <row r="1010" spans="2:10" x14ac:dyDescent="0.25">
      <c r="B1010" s="1619"/>
      <c r="C1010" s="1616"/>
      <c r="D1010" s="1630"/>
      <c r="E1010" s="1619"/>
      <c r="F1010" s="1616"/>
      <c r="G1010" s="1618"/>
      <c r="H1010" s="774" t="s">
        <v>6940</v>
      </c>
      <c r="I1010" s="757">
        <f>DESPORC!C2995</f>
        <v>365</v>
      </c>
      <c r="J1010" s="765" t="str">
        <f>DESPORC!D2995</f>
        <v>Educação Infantil</v>
      </c>
    </row>
    <row r="1011" spans="2:10" ht="30" x14ac:dyDescent="0.25">
      <c r="B1011" s="1619" t="s">
        <v>6941</v>
      </c>
      <c r="C1011" s="1616">
        <f>'[3]Anexo I - Programas'!$C$505</f>
        <v>1013</v>
      </c>
      <c r="D1011" s="1622" t="str">
        <f>'[3]Anexo I - Programas'!$D$505</f>
        <v>Novos Investimentos Transporte Escolar da Educação Infantil</v>
      </c>
      <c r="E1011" s="1619" t="s">
        <v>6941</v>
      </c>
      <c r="F1011" s="1616">
        <f>C1011</f>
        <v>1013</v>
      </c>
      <c r="G1011" s="1618" t="str">
        <f>D1011</f>
        <v>Novos Investimentos Transporte Escolar da Educação Infantil</v>
      </c>
      <c r="H1011" s="775" t="s">
        <v>3137</v>
      </c>
      <c r="I1011" s="783" t="str">
        <f>F1009</f>
        <v>14</v>
      </c>
      <c r="J1011" s="762" t="str">
        <f>G1009</f>
        <v>GESTÃO E DESENVOLVIMENTO DO TRANSPORTE ESCOLAR DA EDUCAÇÃO INFANTIL</v>
      </c>
    </row>
    <row r="1012" spans="2:10" x14ac:dyDescent="0.25">
      <c r="B1012" s="1620"/>
      <c r="C1012" s="1621"/>
      <c r="D1012" s="1623"/>
      <c r="E1012" s="1620"/>
      <c r="F1012" s="1621"/>
      <c r="G1012" s="1624"/>
      <c r="H1012" s="776" t="s">
        <v>6941</v>
      </c>
      <c r="I1012" s="784">
        <f>F1011</f>
        <v>1013</v>
      </c>
      <c r="J1012" s="764" t="str">
        <f>G1011</f>
        <v>Novos Investimentos Transporte Escolar da Educação Infantil</v>
      </c>
    </row>
    <row r="1013" spans="2:10" ht="15.75" thickBot="1" x14ac:dyDescent="0.3">
      <c r="B1013" s="769" t="s">
        <v>6939</v>
      </c>
      <c r="C1013" s="1625">
        <f>'[3]Anexo I - Programas'!$H$506</f>
        <v>50000</v>
      </c>
      <c r="D1013" s="1626"/>
      <c r="E1013" s="769" t="s">
        <v>6939</v>
      </c>
      <c r="F1013" s="1625">
        <f>'[3]Anexo I - Programas'!$J$506</f>
        <v>12500</v>
      </c>
      <c r="G1013" s="1627"/>
      <c r="H1013" s="778" t="s">
        <v>6939</v>
      </c>
      <c r="I1013" s="1625">
        <f>DESPORC!I2997</f>
        <v>2.0099999999999998</v>
      </c>
      <c r="J1013" s="1627"/>
    </row>
    <row r="1014" spans="2:10" x14ac:dyDescent="0.25">
      <c r="B1014" s="1628" t="s">
        <v>3137</v>
      </c>
      <c r="C1014" s="1615" t="str">
        <f>'[3]Anexo I - Programas'!$B$545</f>
        <v>16</v>
      </c>
      <c r="D1014" s="1629" t="str">
        <f>'[3]Anexo I - Programas'!$C$545</f>
        <v>GESTÃO E DESENVOLVIMENTO DO TRANSPORTE DA EDUCAÇÃO DE JOVENS E ADULTOS</v>
      </c>
      <c r="E1014" s="1628" t="s">
        <v>3137</v>
      </c>
      <c r="F1014" s="1615" t="str">
        <f>C1014</f>
        <v>16</v>
      </c>
      <c r="G1014" s="1617" t="str">
        <f>D1014</f>
        <v>GESTÃO E DESENVOLVIMENTO DO TRANSPORTE DA EDUCAÇÃO DE JOVENS E ADULTOS</v>
      </c>
      <c r="H1014" s="773" t="s">
        <v>3138</v>
      </c>
      <c r="I1014" s="757">
        <f>DESPORC!C3001</f>
        <v>12</v>
      </c>
      <c r="J1014" s="765" t="str">
        <f>DESPORC!D3001</f>
        <v>Educação</v>
      </c>
    </row>
    <row r="1015" spans="2:10" x14ac:dyDescent="0.25">
      <c r="B1015" s="1619"/>
      <c r="C1015" s="1616"/>
      <c r="D1015" s="1630"/>
      <c r="E1015" s="1619"/>
      <c r="F1015" s="1616"/>
      <c r="G1015" s="1618"/>
      <c r="H1015" s="774" t="s">
        <v>6940</v>
      </c>
      <c r="I1015" s="757">
        <f>DESPORC!C3002</f>
        <v>366</v>
      </c>
      <c r="J1015" s="765" t="str">
        <f>DESPORC!D3002</f>
        <v>Educação de Jovens e Adultos</v>
      </c>
    </row>
    <row r="1016" spans="2:10" ht="30" x14ac:dyDescent="0.25">
      <c r="B1016" s="1619" t="s">
        <v>6941</v>
      </c>
      <c r="C1016" s="1616">
        <f>'[3]Anexo I - Programas'!$C$554</f>
        <v>1015</v>
      </c>
      <c r="D1016" s="1622" t="str">
        <f>'[3]Anexo I - Programas'!$D$554</f>
        <v>Novos Investimentos Transporte Escolar da Educação de Jovens e Adultos</v>
      </c>
      <c r="E1016" s="1619" t="s">
        <v>6941</v>
      </c>
      <c r="F1016" s="1616">
        <f>C1016</f>
        <v>1015</v>
      </c>
      <c r="G1016" s="1618" t="str">
        <f>D1016</f>
        <v>Novos Investimentos Transporte Escolar da Educação de Jovens e Adultos</v>
      </c>
      <c r="H1016" s="775" t="s">
        <v>3137</v>
      </c>
      <c r="I1016" s="783" t="str">
        <f>F1014</f>
        <v>16</v>
      </c>
      <c r="J1016" s="762" t="str">
        <f>G1014</f>
        <v>GESTÃO E DESENVOLVIMENTO DO TRANSPORTE DA EDUCAÇÃO DE JOVENS E ADULTOS</v>
      </c>
    </row>
    <row r="1017" spans="2:10" ht="30" x14ac:dyDescent="0.25">
      <c r="B1017" s="1620"/>
      <c r="C1017" s="1621"/>
      <c r="D1017" s="1623"/>
      <c r="E1017" s="1620"/>
      <c r="F1017" s="1621"/>
      <c r="G1017" s="1624"/>
      <c r="H1017" s="776" t="s">
        <v>6941</v>
      </c>
      <c r="I1017" s="784">
        <f>F1016</f>
        <v>1015</v>
      </c>
      <c r="J1017" s="764" t="str">
        <f>G1016</f>
        <v>Novos Investimentos Transporte Escolar da Educação de Jovens e Adultos</v>
      </c>
    </row>
    <row r="1018" spans="2:10" ht="15.75" thickBot="1" x14ac:dyDescent="0.3">
      <c r="B1018" s="769" t="s">
        <v>6939</v>
      </c>
      <c r="C1018" s="1625">
        <f>'[3]Anexo I - Programas'!$H$555</f>
        <v>50000</v>
      </c>
      <c r="D1018" s="1626"/>
      <c r="E1018" s="769" t="s">
        <v>6939</v>
      </c>
      <c r="F1018" s="1625">
        <f>'[3]Anexo I - Programas'!$J$555</f>
        <v>12500</v>
      </c>
      <c r="G1018" s="1627"/>
      <c r="H1018" s="778" t="s">
        <v>6939</v>
      </c>
      <c r="I1018" s="1625">
        <f>DESPORC!I3004</f>
        <v>2.0099999999999998</v>
      </c>
      <c r="J1018" s="1627"/>
    </row>
    <row r="1019" spans="2:10" x14ac:dyDescent="0.25">
      <c r="B1019" s="1628" t="s">
        <v>3137</v>
      </c>
      <c r="C1019" s="1615" t="str">
        <f>'[3]Anexo I - Programas'!$B$520</f>
        <v>15</v>
      </c>
      <c r="D1019" s="1629" t="str">
        <f>'[3]Anexo I - Programas'!$C$520</f>
        <v>GESTÃO E DESENVOLVIMENTO DO TRANSPORTE ESCOLAR DA EDUCAÇÃO ESPECIAL</v>
      </c>
      <c r="E1019" s="1628" t="s">
        <v>3137</v>
      </c>
      <c r="F1019" s="1615" t="str">
        <f>C1019</f>
        <v>15</v>
      </c>
      <c r="G1019" s="1617" t="str">
        <f>D1019</f>
        <v>GESTÃO E DESENVOLVIMENTO DO TRANSPORTE ESCOLAR DA EDUCAÇÃO ESPECIAL</v>
      </c>
      <c r="H1019" s="773" t="s">
        <v>3138</v>
      </c>
      <c r="I1019" s="757">
        <f>DESPORC!C3008</f>
        <v>12</v>
      </c>
      <c r="J1019" s="765" t="str">
        <f>DESPORC!D3008</f>
        <v>Educação</v>
      </c>
    </row>
    <row r="1020" spans="2:10" x14ac:dyDescent="0.25">
      <c r="B1020" s="1619"/>
      <c r="C1020" s="1616"/>
      <c r="D1020" s="1630"/>
      <c r="E1020" s="1619"/>
      <c r="F1020" s="1616"/>
      <c r="G1020" s="1618"/>
      <c r="H1020" s="774" t="s">
        <v>6940</v>
      </c>
      <c r="I1020" s="757">
        <f>DESPORC!C3009</f>
        <v>367</v>
      </c>
      <c r="J1020" s="765" t="str">
        <f>DESPORC!D3009</f>
        <v>Educação Especial</v>
      </c>
    </row>
    <row r="1021" spans="2:10" ht="30" x14ac:dyDescent="0.25">
      <c r="B1021" s="1619" t="s">
        <v>6941</v>
      </c>
      <c r="C1021" s="1616">
        <f>'[3]Anexo I - Programas'!$C$529</f>
        <v>1014</v>
      </c>
      <c r="D1021" s="1622" t="str">
        <f>'[3]Anexo I - Programas'!$D$529</f>
        <v>Novos Investimentos Transporte Escolar da Educação Especial</v>
      </c>
      <c r="E1021" s="1619" t="s">
        <v>6941</v>
      </c>
      <c r="F1021" s="1616">
        <f>C1021</f>
        <v>1014</v>
      </c>
      <c r="G1021" s="1618" t="str">
        <f>D1021</f>
        <v>Novos Investimentos Transporte Escolar da Educação Especial</v>
      </c>
      <c r="H1021" s="775" t="s">
        <v>3137</v>
      </c>
      <c r="I1021" s="783" t="str">
        <f>F1019</f>
        <v>15</v>
      </c>
      <c r="J1021" s="762" t="str">
        <f>G1019</f>
        <v>GESTÃO E DESENVOLVIMENTO DO TRANSPORTE ESCOLAR DA EDUCAÇÃO ESPECIAL</v>
      </c>
    </row>
    <row r="1022" spans="2:10" ht="30" x14ac:dyDescent="0.25">
      <c r="B1022" s="1620"/>
      <c r="C1022" s="1621"/>
      <c r="D1022" s="1623"/>
      <c r="E1022" s="1620"/>
      <c r="F1022" s="1621"/>
      <c r="G1022" s="1624"/>
      <c r="H1022" s="776" t="s">
        <v>6941</v>
      </c>
      <c r="I1022" s="784">
        <f>F1021</f>
        <v>1014</v>
      </c>
      <c r="J1022" s="764" t="str">
        <f>G1021</f>
        <v>Novos Investimentos Transporte Escolar da Educação Especial</v>
      </c>
    </row>
    <row r="1023" spans="2:10" ht="15.75" thickBot="1" x14ac:dyDescent="0.3">
      <c r="B1023" s="769" t="s">
        <v>6939</v>
      </c>
      <c r="C1023" s="1625">
        <f>'[3]Anexo I - Programas'!$H$530</f>
        <v>50000</v>
      </c>
      <c r="D1023" s="1626"/>
      <c r="E1023" s="769" t="s">
        <v>6939</v>
      </c>
      <c r="F1023" s="1625">
        <f>'[3]Anexo I - Programas'!$J$530</f>
        <v>12500</v>
      </c>
      <c r="G1023" s="1627"/>
      <c r="H1023" s="778" t="s">
        <v>6939</v>
      </c>
      <c r="I1023" s="1625">
        <f>DESPORC!I3011</f>
        <v>2.0099999999999998</v>
      </c>
      <c r="J1023" s="1627"/>
    </row>
    <row r="1024" spans="2:10" x14ac:dyDescent="0.25">
      <c r="B1024" s="1628" t="s">
        <v>3137</v>
      </c>
      <c r="C1024" s="1615" t="str">
        <f>'[3]Anexo I - Programas'!$B$649</f>
        <v>21</v>
      </c>
      <c r="D1024" s="1629" t="str">
        <f>'[3]Anexo I - Programas'!$C$649</f>
        <v>GESTÃO E DESENVOLVIMENTO DO TRANSPORTE ESCOLAR DE DOCENTES</v>
      </c>
      <c r="E1024" s="1628" t="s">
        <v>3137</v>
      </c>
      <c r="F1024" s="1615" t="str">
        <f>C1024</f>
        <v>21</v>
      </c>
      <c r="G1024" s="1617" t="str">
        <f>D1024</f>
        <v>GESTÃO E DESENVOLVIMENTO DO TRANSPORTE ESCOLAR DE DOCENTES</v>
      </c>
      <c r="H1024" s="773" t="s">
        <v>3138</v>
      </c>
      <c r="I1024" s="757">
        <f>DESPORC!C3015</f>
        <v>12</v>
      </c>
      <c r="J1024" s="765" t="str">
        <f>DESPORC!D3015</f>
        <v>Educação</v>
      </c>
    </row>
    <row r="1025" spans="2:10" x14ac:dyDescent="0.25">
      <c r="B1025" s="1619"/>
      <c r="C1025" s="1616"/>
      <c r="D1025" s="1630"/>
      <c r="E1025" s="1619"/>
      <c r="F1025" s="1616"/>
      <c r="G1025" s="1618"/>
      <c r="H1025" s="774" t="s">
        <v>6940</v>
      </c>
      <c r="I1025" s="757">
        <f>DESPORC!C3016</f>
        <v>122</v>
      </c>
      <c r="J1025" s="765" t="str">
        <f>DESPORC!D3016</f>
        <v>Administração Geral</v>
      </c>
    </row>
    <row r="1026" spans="2:10" ht="30" x14ac:dyDescent="0.25">
      <c r="B1026" s="1619" t="s">
        <v>6941</v>
      </c>
      <c r="C1026" s="1616">
        <f>'[3]Anexo I - Programas'!$C$658</f>
        <v>2033</v>
      </c>
      <c r="D1026" s="1622" t="str">
        <f>'[3]Anexo I - Programas'!$D$658</f>
        <v>Promoção do Transporte Escolar : Docentes</v>
      </c>
      <c r="E1026" s="1619" t="s">
        <v>6941</v>
      </c>
      <c r="F1026" s="1616">
        <f>C1026</f>
        <v>2033</v>
      </c>
      <c r="G1026" s="1618" t="str">
        <f>D1026</f>
        <v>Promoção do Transporte Escolar : Docentes</v>
      </c>
      <c r="H1026" s="775" t="s">
        <v>3137</v>
      </c>
      <c r="I1026" s="783" t="str">
        <f>F1024</f>
        <v>21</v>
      </c>
      <c r="J1026" s="762" t="str">
        <f>G1024</f>
        <v>GESTÃO E DESENVOLVIMENTO DO TRANSPORTE ESCOLAR DE DOCENTES</v>
      </c>
    </row>
    <row r="1027" spans="2:10" x14ac:dyDescent="0.25">
      <c r="B1027" s="1620"/>
      <c r="C1027" s="1621"/>
      <c r="D1027" s="1623"/>
      <c r="E1027" s="1620"/>
      <c r="F1027" s="1621"/>
      <c r="G1027" s="1624"/>
      <c r="H1027" s="776" t="s">
        <v>6941</v>
      </c>
      <c r="I1027" s="784">
        <f>F1026</f>
        <v>2033</v>
      </c>
      <c r="J1027" s="764" t="str">
        <f>G1026</f>
        <v>Promoção do Transporte Escolar : Docentes</v>
      </c>
    </row>
    <row r="1028" spans="2:10" ht="15.75" thickBot="1" x14ac:dyDescent="0.3">
      <c r="B1028" s="769" t="s">
        <v>6939</v>
      </c>
      <c r="C1028" s="1625">
        <f>'[3]Anexo I - Programas'!$H$659</f>
        <v>80000</v>
      </c>
      <c r="D1028" s="1626"/>
      <c r="E1028" s="769" t="s">
        <v>6939</v>
      </c>
      <c r="F1028" s="1625">
        <f>'[3]Anexo I - Programas'!$J$530</f>
        <v>12500</v>
      </c>
      <c r="G1028" s="1627"/>
      <c r="H1028" s="778" t="s">
        <v>6939</v>
      </c>
      <c r="I1028" s="1625">
        <f>DESPORC!I3018</f>
        <v>0.04</v>
      </c>
      <c r="J1028" s="1627"/>
    </row>
    <row r="1029" spans="2:10" x14ac:dyDescent="0.25">
      <c r="B1029" s="1628" t="s">
        <v>3137</v>
      </c>
      <c r="C1029" s="1615" t="str">
        <f>'[3]Anexo I - Programas'!$B$471</f>
        <v>13</v>
      </c>
      <c r="D1029" s="1629" t="str">
        <f>'[3]Anexo I - Programas'!$C$471</f>
        <v>GESTÃO E DESENVOLVIMENTO DO TRANSPORTE ESCOLAR DO ENSINO FUNDAMENTAL</v>
      </c>
      <c r="E1029" s="1628" t="s">
        <v>3137</v>
      </c>
      <c r="F1029" s="1615" t="str">
        <f>C1029</f>
        <v>13</v>
      </c>
      <c r="G1029" s="1617" t="str">
        <f>D1029</f>
        <v>GESTÃO E DESENVOLVIMENTO DO TRANSPORTE ESCOLAR DO ENSINO FUNDAMENTAL</v>
      </c>
      <c r="H1029" s="773" t="s">
        <v>3138</v>
      </c>
      <c r="I1029" s="757">
        <f>DESPORC!C3024</f>
        <v>12</v>
      </c>
      <c r="J1029" s="765" t="str">
        <f>DESPORC!D3024</f>
        <v>Educação</v>
      </c>
    </row>
    <row r="1030" spans="2:10" x14ac:dyDescent="0.25">
      <c r="B1030" s="1619"/>
      <c r="C1030" s="1616"/>
      <c r="D1030" s="1630"/>
      <c r="E1030" s="1619"/>
      <c r="F1030" s="1616"/>
      <c r="G1030" s="1618"/>
      <c r="H1030" s="774" t="s">
        <v>6940</v>
      </c>
      <c r="I1030" s="757">
        <f>DESPORC!C3025</f>
        <v>361</v>
      </c>
      <c r="J1030" s="765" t="str">
        <f>DESPORC!D3025</f>
        <v>Ensino Fundamental</v>
      </c>
    </row>
    <row r="1031" spans="2:10" ht="30" x14ac:dyDescent="0.25">
      <c r="B1031" s="1619" t="s">
        <v>6941</v>
      </c>
      <c r="C1031" s="1616">
        <f>'[3]Anexo I - Programas'!$C$485</f>
        <v>2019</v>
      </c>
      <c r="D1031" s="1622" t="str">
        <f>'[3]Anexo I - Programas'!$D$485</f>
        <v>Promoção do Transporte Escolar do Ensino Fundamental</v>
      </c>
      <c r="E1031" s="1619" t="s">
        <v>6941</v>
      </c>
      <c r="F1031" s="1616">
        <f>C1031</f>
        <v>2019</v>
      </c>
      <c r="G1031" s="1618" t="str">
        <f>D1031</f>
        <v>Promoção do Transporte Escolar do Ensino Fundamental</v>
      </c>
      <c r="H1031" s="775" t="s">
        <v>3137</v>
      </c>
      <c r="I1031" s="783" t="str">
        <f>F1029</f>
        <v>13</v>
      </c>
      <c r="J1031" s="762" t="str">
        <f>G1029</f>
        <v>GESTÃO E DESENVOLVIMENTO DO TRANSPORTE ESCOLAR DO ENSINO FUNDAMENTAL</v>
      </c>
    </row>
    <row r="1032" spans="2:10" x14ac:dyDescent="0.25">
      <c r="B1032" s="1620"/>
      <c r="C1032" s="1621"/>
      <c r="D1032" s="1623"/>
      <c r="E1032" s="1620"/>
      <c r="F1032" s="1621"/>
      <c r="G1032" s="1624"/>
      <c r="H1032" s="776" t="s">
        <v>6941</v>
      </c>
      <c r="I1032" s="784">
        <f>F1031</f>
        <v>2019</v>
      </c>
      <c r="J1032" s="764" t="str">
        <f>G1031</f>
        <v>Promoção do Transporte Escolar do Ensino Fundamental</v>
      </c>
    </row>
    <row r="1033" spans="2:10" ht="15.75" thickBot="1" x14ac:dyDescent="0.3">
      <c r="B1033" s="769" t="s">
        <v>6939</v>
      </c>
      <c r="C1033" s="1625">
        <f>'[3]Anexo I - Programas'!$H$486</f>
        <v>4000000</v>
      </c>
      <c r="D1033" s="1626"/>
      <c r="E1033" s="769" t="s">
        <v>6939</v>
      </c>
      <c r="F1033" s="1625">
        <f>'[3]Anexo I - Programas'!$J$486</f>
        <v>1000000</v>
      </c>
      <c r="G1033" s="1627"/>
      <c r="H1033" s="778" t="s">
        <v>6939</v>
      </c>
      <c r="I1033" s="1625">
        <f>DESPORC!I3027</f>
        <v>0.04</v>
      </c>
      <c r="J1033" s="1627"/>
    </row>
    <row r="1034" spans="2:10" x14ac:dyDescent="0.25">
      <c r="B1034" s="804"/>
      <c r="C1034" s="805"/>
      <c r="D1034" s="806"/>
      <c r="E1034" s="804"/>
      <c r="F1034" s="805"/>
      <c r="G1034" s="806"/>
      <c r="H1034" s="804"/>
      <c r="I1034" s="805"/>
      <c r="J1034" s="806"/>
    </row>
    <row r="1035" spans="2:10" x14ac:dyDescent="0.25">
      <c r="B1035" s="267"/>
      <c r="C1035" s="807"/>
      <c r="D1035" s="257"/>
      <c r="E1035" s="267"/>
      <c r="F1035" s="807"/>
      <c r="G1035" s="257"/>
      <c r="H1035" s="267"/>
      <c r="I1035" s="807"/>
      <c r="J1035" s="257"/>
    </row>
    <row r="1036" spans="2:10" x14ac:dyDescent="0.25">
      <c r="B1036" s="267"/>
      <c r="C1036" s="807"/>
      <c r="D1036" s="257"/>
      <c r="E1036" s="267"/>
      <c r="F1036" s="807"/>
      <c r="G1036" s="257"/>
      <c r="H1036" s="267"/>
      <c r="I1036" s="807"/>
      <c r="J1036" s="257"/>
    </row>
    <row r="1037" spans="2:10" x14ac:dyDescent="0.25">
      <c r="B1037" s="267"/>
      <c r="C1037" s="807"/>
      <c r="D1037" s="257"/>
      <c r="E1037" s="267"/>
      <c r="F1037" s="807"/>
      <c r="G1037" s="257"/>
      <c r="H1037" s="267"/>
      <c r="I1037" s="807"/>
      <c r="J1037" s="257"/>
    </row>
    <row r="1038" spans="2:10" ht="15.75" thickBot="1" x14ac:dyDescent="0.3">
      <c r="B1038" s="808"/>
      <c r="C1038" s="809"/>
      <c r="D1038" s="810"/>
      <c r="E1038" s="808"/>
      <c r="F1038" s="809"/>
      <c r="G1038" s="810"/>
      <c r="H1038" s="808"/>
      <c r="I1038" s="809"/>
      <c r="J1038" s="810"/>
    </row>
    <row r="1039" spans="2:10" x14ac:dyDescent="0.25">
      <c r="B1039" s="1628" t="s">
        <v>3137</v>
      </c>
      <c r="C1039" s="1615" t="str">
        <f>'[3]Anexo I - Programas'!$B$591</f>
        <v>18</v>
      </c>
      <c r="D1039" s="1629" t="str">
        <f>'[3]Anexo I - Programas'!$C$591</f>
        <v>GESTÃO E DESENVOLVIMENTO DO TRANSPORTE DO ENSINO MÉDIO</v>
      </c>
      <c r="E1039" s="1628" t="s">
        <v>3137</v>
      </c>
      <c r="F1039" s="1615" t="str">
        <f>C1039</f>
        <v>18</v>
      </c>
      <c r="G1039" s="1617" t="str">
        <f>D1039</f>
        <v>GESTÃO E DESENVOLVIMENTO DO TRANSPORTE DO ENSINO MÉDIO</v>
      </c>
      <c r="H1039" s="773" t="s">
        <v>3138</v>
      </c>
      <c r="I1039" s="757">
        <f>DESPORC!C3032</f>
        <v>12</v>
      </c>
      <c r="J1039" s="765" t="str">
        <f>DESPORC!D3032</f>
        <v>Educação</v>
      </c>
    </row>
    <row r="1040" spans="2:10" x14ac:dyDescent="0.25">
      <c r="B1040" s="1619"/>
      <c r="C1040" s="1616"/>
      <c r="D1040" s="1630"/>
      <c r="E1040" s="1619"/>
      <c r="F1040" s="1616"/>
      <c r="G1040" s="1618"/>
      <c r="H1040" s="774" t="s">
        <v>6940</v>
      </c>
      <c r="I1040" s="757">
        <f>DESPORC!C3033</f>
        <v>362</v>
      </c>
      <c r="J1040" s="765" t="str">
        <f>DESPORC!D3033</f>
        <v>Ensino Médio</v>
      </c>
    </row>
    <row r="1041" spans="2:10" ht="30" x14ac:dyDescent="0.25">
      <c r="B1041" s="1619" t="s">
        <v>6941</v>
      </c>
      <c r="C1041" s="1616">
        <f>'[3]Anexo I - Programas'!$C$600</f>
        <v>2024</v>
      </c>
      <c r="D1041" s="1622" t="str">
        <f>'[3]Anexo I - Programas'!$D$600</f>
        <v>Promoção do Transporte Escolar : Ensino Médio</v>
      </c>
      <c r="E1041" s="1619" t="s">
        <v>6941</v>
      </c>
      <c r="F1041" s="1616">
        <f>C1041</f>
        <v>2024</v>
      </c>
      <c r="G1041" s="1618" t="str">
        <f>D1041</f>
        <v>Promoção do Transporte Escolar : Ensino Médio</v>
      </c>
      <c r="H1041" s="775" t="s">
        <v>3137</v>
      </c>
      <c r="I1041" s="783" t="str">
        <f>F1039</f>
        <v>18</v>
      </c>
      <c r="J1041" s="762" t="str">
        <f>G1039</f>
        <v>GESTÃO E DESENVOLVIMENTO DO TRANSPORTE DO ENSINO MÉDIO</v>
      </c>
    </row>
    <row r="1042" spans="2:10" x14ac:dyDescent="0.25">
      <c r="B1042" s="1620"/>
      <c r="C1042" s="1621"/>
      <c r="D1042" s="1623"/>
      <c r="E1042" s="1620"/>
      <c r="F1042" s="1621"/>
      <c r="G1042" s="1624"/>
      <c r="H1042" s="776" t="s">
        <v>6941</v>
      </c>
      <c r="I1042" s="784">
        <f>F1041</f>
        <v>2024</v>
      </c>
      <c r="J1042" s="764" t="str">
        <f>G1041</f>
        <v>Promoção do Transporte Escolar : Ensino Médio</v>
      </c>
    </row>
    <row r="1043" spans="2:10" ht="15.75" thickBot="1" x14ac:dyDescent="0.3">
      <c r="B1043" s="769" t="s">
        <v>6939</v>
      </c>
      <c r="C1043" s="1625">
        <f>'[3]Anexo I - Programas'!$H$601</f>
        <v>90000</v>
      </c>
      <c r="D1043" s="1626"/>
      <c r="E1043" s="769" t="s">
        <v>6939</v>
      </c>
      <c r="F1043" s="1625">
        <f>'[3]Anexo I - Programas'!$J$601</f>
        <v>22500</v>
      </c>
      <c r="G1043" s="1627"/>
      <c r="H1043" s="778" t="s">
        <v>6939</v>
      </c>
      <c r="I1043" s="1625">
        <f>DESPORC!I3035</f>
        <v>172293.02000000002</v>
      </c>
      <c r="J1043" s="1627"/>
    </row>
    <row r="1044" spans="2:10" x14ac:dyDescent="0.25">
      <c r="B1044" s="1628" t="s">
        <v>3137</v>
      </c>
      <c r="C1044" s="1615" t="str">
        <f>'[3]Anexo I - Programas'!$B$629</f>
        <v>20</v>
      </c>
      <c r="D1044" s="1629" t="str">
        <f>'[3]Anexo I - Programas'!$C$629</f>
        <v>GESTÃO E DESENVOLVIMENTO DO TRANSPORTE PARA CURSO PREVESTIBULAR</v>
      </c>
      <c r="E1044" s="1628" t="s">
        <v>3137</v>
      </c>
      <c r="F1044" s="1615" t="str">
        <f>C1044</f>
        <v>20</v>
      </c>
      <c r="G1044" s="1617" t="str">
        <f>D1044</f>
        <v>GESTÃO E DESENVOLVIMENTO DO TRANSPORTE PARA CURSO PREVESTIBULAR</v>
      </c>
      <c r="H1044" s="773" t="s">
        <v>3138</v>
      </c>
      <c r="I1044" s="757">
        <f>DESPORC!C3038</f>
        <v>12</v>
      </c>
      <c r="J1044" s="765" t="str">
        <f>DESPORC!D3038</f>
        <v>Educação</v>
      </c>
    </row>
    <row r="1045" spans="2:10" x14ac:dyDescent="0.25">
      <c r="B1045" s="1619"/>
      <c r="C1045" s="1616"/>
      <c r="D1045" s="1630"/>
      <c r="E1045" s="1619"/>
      <c r="F1045" s="1616"/>
      <c r="G1045" s="1618"/>
      <c r="H1045" s="774" t="s">
        <v>6940</v>
      </c>
      <c r="I1045" s="757">
        <f>DESPORC!C3039</f>
        <v>362</v>
      </c>
      <c r="J1045" s="765" t="str">
        <f>DESPORC!D3039</f>
        <v>Ensino Médio</v>
      </c>
    </row>
    <row r="1046" spans="2:10" ht="30" x14ac:dyDescent="0.25">
      <c r="B1046" s="1619" t="s">
        <v>6941</v>
      </c>
      <c r="C1046" s="1616">
        <f>'[3]Anexo I - Programas'!$C$638</f>
        <v>2026</v>
      </c>
      <c r="D1046" s="1622" t="str">
        <f>'[3]Anexo I - Programas'!$D$638</f>
        <v>Promoção do Transporte Escolar  Cursos Pre Vestibular</v>
      </c>
      <c r="E1046" s="1619" t="s">
        <v>6941</v>
      </c>
      <c r="F1046" s="1616">
        <f>C1046</f>
        <v>2026</v>
      </c>
      <c r="G1046" s="1618" t="str">
        <f>D1046</f>
        <v>Promoção do Transporte Escolar  Cursos Pre Vestibular</v>
      </c>
      <c r="H1046" s="775" t="s">
        <v>3137</v>
      </c>
      <c r="I1046" s="783" t="str">
        <f>F1044</f>
        <v>20</v>
      </c>
      <c r="J1046" s="762" t="str">
        <f>G1044</f>
        <v>GESTÃO E DESENVOLVIMENTO DO TRANSPORTE PARA CURSO PREVESTIBULAR</v>
      </c>
    </row>
    <row r="1047" spans="2:10" x14ac:dyDescent="0.25">
      <c r="B1047" s="1620"/>
      <c r="C1047" s="1621"/>
      <c r="D1047" s="1623"/>
      <c r="E1047" s="1620"/>
      <c r="F1047" s="1621"/>
      <c r="G1047" s="1624"/>
      <c r="H1047" s="776" t="s">
        <v>6941</v>
      </c>
      <c r="I1047" s="784">
        <f>F1046</f>
        <v>2026</v>
      </c>
      <c r="J1047" s="764" t="str">
        <f>G1046</f>
        <v>Promoção do Transporte Escolar  Cursos Pre Vestibular</v>
      </c>
    </row>
    <row r="1048" spans="2:10" ht="15.75" thickBot="1" x14ac:dyDescent="0.3">
      <c r="B1048" s="769" t="s">
        <v>6939</v>
      </c>
      <c r="C1048" s="1625">
        <f>'[3]Anexo I - Programas'!$H$639</f>
        <v>70000</v>
      </c>
      <c r="D1048" s="1626"/>
      <c r="E1048" s="769" t="s">
        <v>6939</v>
      </c>
      <c r="F1048" s="1625">
        <f>'[3]Anexo I - Programas'!$J$639</f>
        <v>17500</v>
      </c>
      <c r="G1048" s="1627"/>
      <c r="H1048" s="778" t="s">
        <v>6939</v>
      </c>
      <c r="I1048" s="1625">
        <f>DESPORC!I3041</f>
        <v>10000.01</v>
      </c>
      <c r="J1048" s="1627"/>
    </row>
    <row r="1049" spans="2:10" x14ac:dyDescent="0.25">
      <c r="B1049" s="1628" t="s">
        <v>3137</v>
      </c>
      <c r="C1049" s="1615" t="str">
        <f>'[3]Anexo I - Programas'!$B$610</f>
        <v>19</v>
      </c>
      <c r="D1049" s="1629" t="str">
        <f>'[3]Anexo I - Programas'!$C$610</f>
        <v>GESTÃO E DESENVOLVIMENTO DO TRANSPORTE DO ENSINO PROFISSIONALIZANTE</v>
      </c>
      <c r="E1049" s="1628" t="s">
        <v>3137</v>
      </c>
      <c r="F1049" s="1615" t="str">
        <f>C1049</f>
        <v>19</v>
      </c>
      <c r="G1049" s="1617" t="str">
        <f>D1049</f>
        <v>GESTÃO E DESENVOLVIMENTO DO TRANSPORTE DO ENSINO PROFISSIONALIZANTE</v>
      </c>
      <c r="H1049" s="773" t="s">
        <v>3138</v>
      </c>
      <c r="I1049" s="757">
        <f>DESPORC!C3044</f>
        <v>12</v>
      </c>
      <c r="J1049" s="765" t="str">
        <f>DESPORC!D3044</f>
        <v>Educação</v>
      </c>
    </row>
    <row r="1050" spans="2:10" x14ac:dyDescent="0.25">
      <c r="B1050" s="1619"/>
      <c r="C1050" s="1616"/>
      <c r="D1050" s="1630"/>
      <c r="E1050" s="1619"/>
      <c r="F1050" s="1616"/>
      <c r="G1050" s="1618"/>
      <c r="H1050" s="774" t="s">
        <v>6940</v>
      </c>
      <c r="I1050" s="757">
        <f>DESPORC!C3045</f>
        <v>363</v>
      </c>
      <c r="J1050" s="765" t="str">
        <f>DESPORC!D3045</f>
        <v>Ensino Profissional</v>
      </c>
    </row>
    <row r="1051" spans="2:10" ht="30" x14ac:dyDescent="0.25">
      <c r="B1051" s="1619" t="s">
        <v>6941</v>
      </c>
      <c r="C1051" s="1616">
        <f>'[3]Anexo I - Programas'!$C$619</f>
        <v>2025</v>
      </c>
      <c r="D1051" s="1622" t="str">
        <f>'[3]Anexo I - Programas'!$D$619</f>
        <v>Promoção do Transporte Escolar do Ensino Profissionalizante</v>
      </c>
      <c r="E1051" s="1619" t="s">
        <v>6941</v>
      </c>
      <c r="F1051" s="1616">
        <f>C1051</f>
        <v>2025</v>
      </c>
      <c r="G1051" s="1618" t="str">
        <f>D1051</f>
        <v>Promoção do Transporte Escolar do Ensino Profissionalizante</v>
      </c>
      <c r="H1051" s="775" t="s">
        <v>3137</v>
      </c>
      <c r="I1051" s="783" t="str">
        <f>F1049</f>
        <v>19</v>
      </c>
      <c r="J1051" s="762" t="str">
        <f>G1049</f>
        <v>GESTÃO E DESENVOLVIMENTO DO TRANSPORTE DO ENSINO PROFISSIONALIZANTE</v>
      </c>
    </row>
    <row r="1052" spans="2:10" x14ac:dyDescent="0.25">
      <c r="B1052" s="1620"/>
      <c r="C1052" s="1621"/>
      <c r="D1052" s="1623"/>
      <c r="E1052" s="1620"/>
      <c r="F1052" s="1621"/>
      <c r="G1052" s="1624"/>
      <c r="H1052" s="776" t="s">
        <v>6941</v>
      </c>
      <c r="I1052" s="784">
        <f>F1051</f>
        <v>2025</v>
      </c>
      <c r="J1052" s="764" t="str">
        <f>G1051</f>
        <v>Promoção do Transporte Escolar do Ensino Profissionalizante</v>
      </c>
    </row>
    <row r="1053" spans="2:10" ht="15.75" thickBot="1" x14ac:dyDescent="0.3">
      <c r="B1053" s="769" t="s">
        <v>6939</v>
      </c>
      <c r="C1053" s="1625">
        <f>'[3]Anexo I - Programas'!$H$620</f>
        <v>90000</v>
      </c>
      <c r="D1053" s="1626"/>
      <c r="E1053" s="769" t="s">
        <v>6939</v>
      </c>
      <c r="F1053" s="1625">
        <f>'[3]Anexo I - Programas'!$J$620</f>
        <v>22500</v>
      </c>
      <c r="G1053" s="1627"/>
      <c r="H1053" s="778" t="s">
        <v>6939</v>
      </c>
      <c r="I1053" s="1625">
        <f>DESPORC!I3047</f>
        <v>20000.009999999998</v>
      </c>
      <c r="J1053" s="1627"/>
    </row>
    <row r="1054" spans="2:10" x14ac:dyDescent="0.25">
      <c r="B1054" s="1628" t="s">
        <v>3137</v>
      </c>
      <c r="C1054" s="1615" t="str">
        <f>'[3]Anexo I - Programas'!$B$571</f>
        <v>17</v>
      </c>
      <c r="D1054" s="1629" t="str">
        <f>'[3]Anexo I - Programas'!$C$571</f>
        <v>GESTÃO E DESENVOLVIMENTO DO TRANSPORTE DO ENSINO SUPERIOR</v>
      </c>
      <c r="E1054" s="1628" t="s">
        <v>3137</v>
      </c>
      <c r="F1054" s="1615" t="str">
        <f>C1054</f>
        <v>17</v>
      </c>
      <c r="G1054" s="1617" t="str">
        <f>D1054</f>
        <v>GESTÃO E DESENVOLVIMENTO DO TRANSPORTE DO ENSINO SUPERIOR</v>
      </c>
      <c r="H1054" s="773" t="s">
        <v>3138</v>
      </c>
      <c r="I1054" s="757">
        <f>DESPORC!C3050</f>
        <v>12</v>
      </c>
      <c r="J1054" s="765" t="str">
        <f>DESPORC!D3050</f>
        <v>Educação</v>
      </c>
    </row>
    <row r="1055" spans="2:10" x14ac:dyDescent="0.25">
      <c r="B1055" s="1619"/>
      <c r="C1055" s="1616"/>
      <c r="D1055" s="1630"/>
      <c r="E1055" s="1619"/>
      <c r="F1055" s="1616"/>
      <c r="G1055" s="1618"/>
      <c r="H1055" s="774" t="s">
        <v>6940</v>
      </c>
      <c r="I1055" s="757">
        <f>DESPORC!C3051</f>
        <v>364</v>
      </c>
      <c r="J1055" s="765" t="str">
        <f>DESPORC!D3051</f>
        <v>Ensino Superior</v>
      </c>
    </row>
    <row r="1056" spans="2:10" ht="30" x14ac:dyDescent="0.25">
      <c r="B1056" s="1619" t="s">
        <v>6941</v>
      </c>
      <c r="C1056" s="1616">
        <f>'[3]Anexo I - Programas'!$C$580</f>
        <v>2023</v>
      </c>
      <c r="D1056" s="1622" t="str">
        <f>'[3]Anexo I - Programas'!$D$580</f>
        <v>Promoção do Transporte Escolar do Ensino Superior</v>
      </c>
      <c r="E1056" s="1619" t="s">
        <v>6941</v>
      </c>
      <c r="F1056" s="1616">
        <f>C1056</f>
        <v>2023</v>
      </c>
      <c r="G1056" s="1618" t="str">
        <f>D1056</f>
        <v>Promoção do Transporte Escolar do Ensino Superior</v>
      </c>
      <c r="H1056" s="775" t="s">
        <v>3137</v>
      </c>
      <c r="I1056" s="783" t="str">
        <f>F1054</f>
        <v>17</v>
      </c>
      <c r="J1056" s="762" t="str">
        <f>G1054</f>
        <v>GESTÃO E DESENVOLVIMENTO DO TRANSPORTE DO ENSINO SUPERIOR</v>
      </c>
    </row>
    <row r="1057" spans="2:10" x14ac:dyDescent="0.25">
      <c r="B1057" s="1620"/>
      <c r="C1057" s="1621"/>
      <c r="D1057" s="1623"/>
      <c r="E1057" s="1620"/>
      <c r="F1057" s="1621"/>
      <c r="G1057" s="1624"/>
      <c r="H1057" s="776" t="s">
        <v>6941</v>
      </c>
      <c r="I1057" s="784">
        <f>F1056</f>
        <v>2023</v>
      </c>
      <c r="J1057" s="764" t="str">
        <f>G1056</f>
        <v>Promoção do Transporte Escolar do Ensino Superior</v>
      </c>
    </row>
    <row r="1058" spans="2:10" ht="15.75" thickBot="1" x14ac:dyDescent="0.3">
      <c r="B1058" s="769" t="s">
        <v>6939</v>
      </c>
      <c r="C1058" s="1625">
        <f>'[3]Anexo I - Programas'!$H$581</f>
        <v>90000</v>
      </c>
      <c r="D1058" s="1626"/>
      <c r="E1058" s="769" t="s">
        <v>6939</v>
      </c>
      <c r="F1058" s="1625">
        <f>'[3]Anexo I - Programas'!$J$581</f>
        <v>22500</v>
      </c>
      <c r="G1058" s="1627"/>
      <c r="H1058" s="778" t="s">
        <v>6939</v>
      </c>
      <c r="I1058" s="1625">
        <f>DESPORC!I3053</f>
        <v>50000.01</v>
      </c>
      <c r="J1058" s="1627"/>
    </row>
    <row r="1059" spans="2:10" x14ac:dyDescent="0.25">
      <c r="B1059" s="1628" t="s">
        <v>3137</v>
      </c>
      <c r="C1059" s="1615" t="str">
        <f>'[3]Anexo I - Programas'!$B$496</f>
        <v>14</v>
      </c>
      <c r="D1059" s="1629" t="str">
        <f>'[3]Anexo I - Programas'!$C$496</f>
        <v>GESTÃO E DESENVOLVIMENTO DO TRANSPORTE ESCOLAR DA EDUCAÇÃO INFANTIL</v>
      </c>
      <c r="E1059" s="1628" t="s">
        <v>3137</v>
      </c>
      <c r="F1059" s="1615" t="str">
        <f>C1059</f>
        <v>14</v>
      </c>
      <c r="G1059" s="1617" t="str">
        <f>D1059</f>
        <v>GESTÃO E DESENVOLVIMENTO DO TRANSPORTE ESCOLAR DA EDUCAÇÃO INFANTIL</v>
      </c>
      <c r="H1059" s="773" t="s">
        <v>3138</v>
      </c>
      <c r="I1059" s="757">
        <f>DESPORC!C3056</f>
        <v>12</v>
      </c>
      <c r="J1059" s="765" t="str">
        <f>DESPORC!D3056</f>
        <v>Educação</v>
      </c>
    </row>
    <row r="1060" spans="2:10" x14ac:dyDescent="0.25">
      <c r="B1060" s="1619"/>
      <c r="C1060" s="1616"/>
      <c r="D1060" s="1630"/>
      <c r="E1060" s="1619"/>
      <c r="F1060" s="1616"/>
      <c r="G1060" s="1618"/>
      <c r="H1060" s="774" t="s">
        <v>6940</v>
      </c>
      <c r="I1060" s="757">
        <f>DESPORC!C3057</f>
        <v>365</v>
      </c>
      <c r="J1060" s="765" t="str">
        <f>DESPORC!D3057</f>
        <v>Educação Infantil</v>
      </c>
    </row>
    <row r="1061" spans="2:10" ht="30" x14ac:dyDescent="0.25">
      <c r="B1061" s="1619" t="s">
        <v>6941</v>
      </c>
      <c r="C1061" s="1616">
        <f>'[3]Anexo I - Programas'!$C$510</f>
        <v>2020</v>
      </c>
      <c r="D1061" s="1622" t="str">
        <f>'[3]Anexo I - Programas'!$D$510</f>
        <v>Promoção do Transporte Escolar da Educação Infantil</v>
      </c>
      <c r="E1061" s="1619" t="s">
        <v>6941</v>
      </c>
      <c r="F1061" s="1616">
        <f>C1061</f>
        <v>2020</v>
      </c>
      <c r="G1061" s="1618" t="str">
        <f>D1061</f>
        <v>Promoção do Transporte Escolar da Educação Infantil</v>
      </c>
      <c r="H1061" s="775" t="s">
        <v>3137</v>
      </c>
      <c r="I1061" s="783" t="str">
        <f>F1059</f>
        <v>14</v>
      </c>
      <c r="J1061" s="762" t="str">
        <f>G1059</f>
        <v>GESTÃO E DESENVOLVIMENTO DO TRANSPORTE ESCOLAR DA EDUCAÇÃO INFANTIL</v>
      </c>
    </row>
    <row r="1062" spans="2:10" x14ac:dyDescent="0.25">
      <c r="B1062" s="1620"/>
      <c r="C1062" s="1621"/>
      <c r="D1062" s="1623"/>
      <c r="E1062" s="1620"/>
      <c r="F1062" s="1621"/>
      <c r="G1062" s="1624"/>
      <c r="H1062" s="776" t="s">
        <v>6941</v>
      </c>
      <c r="I1062" s="784">
        <f>F1061</f>
        <v>2020</v>
      </c>
      <c r="J1062" s="764" t="str">
        <f>G1061</f>
        <v>Promoção do Transporte Escolar da Educação Infantil</v>
      </c>
    </row>
    <row r="1063" spans="2:10" ht="15.75" thickBot="1" x14ac:dyDescent="0.3">
      <c r="B1063" s="769" t="s">
        <v>6939</v>
      </c>
      <c r="C1063" s="1625">
        <f>'[3]Anexo I - Programas'!$H$511</f>
        <v>500000</v>
      </c>
      <c r="D1063" s="1626"/>
      <c r="E1063" s="769" t="s">
        <v>6939</v>
      </c>
      <c r="F1063" s="1625">
        <f>'[3]Anexo I - Programas'!$J$511</f>
        <v>125000</v>
      </c>
      <c r="G1063" s="1627"/>
      <c r="H1063" s="778" t="s">
        <v>6939</v>
      </c>
      <c r="I1063" s="1625">
        <f>DESPORC!I3059</f>
        <v>0.04</v>
      </c>
      <c r="J1063" s="1627"/>
    </row>
    <row r="1064" spans="2:10" x14ac:dyDescent="0.25">
      <c r="B1064" s="1628" t="s">
        <v>3137</v>
      </c>
      <c r="C1064" s="1615" t="str">
        <f>'[3]Anexo I - Programas'!$B$545</f>
        <v>16</v>
      </c>
      <c r="D1064" s="1629" t="str">
        <f>'[3]Anexo I - Programas'!$C$545</f>
        <v>GESTÃO E DESENVOLVIMENTO DO TRANSPORTE DA EDUCAÇÃO DE JOVENS E ADULTOS</v>
      </c>
      <c r="E1064" s="1628" t="s">
        <v>3137</v>
      </c>
      <c r="F1064" s="1615" t="str">
        <f>C1064</f>
        <v>16</v>
      </c>
      <c r="G1064" s="1617" t="str">
        <f>D1064</f>
        <v>GESTÃO E DESENVOLVIMENTO DO TRANSPORTE DA EDUCAÇÃO DE JOVENS E ADULTOS</v>
      </c>
      <c r="H1064" s="773" t="s">
        <v>3138</v>
      </c>
      <c r="I1064" s="757">
        <f>DESPORC!C3064</f>
        <v>12</v>
      </c>
      <c r="J1064" s="765" t="str">
        <f>DESPORC!D3064</f>
        <v>Educação</v>
      </c>
    </row>
    <row r="1065" spans="2:10" x14ac:dyDescent="0.25">
      <c r="B1065" s="1619"/>
      <c r="C1065" s="1616"/>
      <c r="D1065" s="1630"/>
      <c r="E1065" s="1619"/>
      <c r="F1065" s="1616"/>
      <c r="G1065" s="1618"/>
      <c r="H1065" s="774" t="s">
        <v>6940</v>
      </c>
      <c r="I1065" s="757">
        <f>DESPORC!C3065</f>
        <v>366</v>
      </c>
      <c r="J1065" s="765" t="str">
        <f>DESPORC!D3065</f>
        <v>Educação de Jovens e Adultos</v>
      </c>
    </row>
    <row r="1066" spans="2:10" ht="30" x14ac:dyDescent="0.25">
      <c r="B1066" s="1619" t="s">
        <v>6941</v>
      </c>
      <c r="C1066" s="1616">
        <f>'[3]Anexo I - Programas'!$C$559</f>
        <v>2022</v>
      </c>
      <c r="D1066" s="1622" t="str">
        <f>'[3]Anexo I - Programas'!$D$559</f>
        <v>Promoção do Transporte Escolar da Educação de Jovens e Adultos</v>
      </c>
      <c r="E1066" s="1619" t="s">
        <v>6941</v>
      </c>
      <c r="F1066" s="1616">
        <f>C1066</f>
        <v>2022</v>
      </c>
      <c r="G1066" s="1618" t="str">
        <f>D1066</f>
        <v>Promoção do Transporte Escolar da Educação de Jovens e Adultos</v>
      </c>
      <c r="H1066" s="775" t="s">
        <v>3137</v>
      </c>
      <c r="I1066" s="783" t="str">
        <f>F1064</f>
        <v>16</v>
      </c>
      <c r="J1066" s="762" t="str">
        <f>G1064</f>
        <v>GESTÃO E DESENVOLVIMENTO DO TRANSPORTE DA EDUCAÇÃO DE JOVENS E ADULTOS</v>
      </c>
    </row>
    <row r="1067" spans="2:10" ht="30" x14ac:dyDescent="0.25">
      <c r="B1067" s="1620"/>
      <c r="C1067" s="1621"/>
      <c r="D1067" s="1623"/>
      <c r="E1067" s="1620"/>
      <c r="F1067" s="1621"/>
      <c r="G1067" s="1624"/>
      <c r="H1067" s="776" t="s">
        <v>6941</v>
      </c>
      <c r="I1067" s="784">
        <f>F1066</f>
        <v>2022</v>
      </c>
      <c r="J1067" s="764" t="str">
        <f>G1066</f>
        <v>Promoção do Transporte Escolar da Educação de Jovens e Adultos</v>
      </c>
    </row>
    <row r="1068" spans="2:10" ht="15.75" thickBot="1" x14ac:dyDescent="0.3">
      <c r="B1068" s="769" t="s">
        <v>6939</v>
      </c>
      <c r="C1068" s="1625">
        <f>'[3]Anexo I - Programas'!$H$560</f>
        <v>150000</v>
      </c>
      <c r="D1068" s="1626"/>
      <c r="E1068" s="769" t="s">
        <v>6939</v>
      </c>
      <c r="F1068" s="1625">
        <f>'[3]Anexo I - Programas'!$J$560</f>
        <v>37500</v>
      </c>
      <c r="G1068" s="1627"/>
      <c r="H1068" s="778" t="s">
        <v>6939</v>
      </c>
      <c r="I1068" s="1625">
        <f>DESPORC!I3067</f>
        <v>0.04</v>
      </c>
      <c r="J1068" s="1627"/>
    </row>
    <row r="1069" spans="2:10" x14ac:dyDescent="0.25">
      <c r="B1069" s="1628" t="s">
        <v>3137</v>
      </c>
      <c r="C1069" s="1615" t="str">
        <f>'[3]Anexo I - Programas'!$B$520</f>
        <v>15</v>
      </c>
      <c r="D1069" s="1629" t="str">
        <f>'[3]Anexo I - Programas'!$C$520</f>
        <v>GESTÃO E DESENVOLVIMENTO DO TRANSPORTE ESCOLAR DA EDUCAÇÃO ESPECIAL</v>
      </c>
      <c r="E1069" s="1628" t="s">
        <v>3137</v>
      </c>
      <c r="F1069" s="1615" t="str">
        <f>C1069</f>
        <v>15</v>
      </c>
      <c r="G1069" s="1617" t="str">
        <f>D1069</f>
        <v>GESTÃO E DESENVOLVIMENTO DO TRANSPORTE ESCOLAR DA EDUCAÇÃO ESPECIAL</v>
      </c>
      <c r="H1069" s="773" t="s">
        <v>3138</v>
      </c>
      <c r="I1069" s="757">
        <f>DESPORC!C3072</f>
        <v>12</v>
      </c>
      <c r="J1069" s="765" t="str">
        <f>DESPORC!D3072</f>
        <v>Educação</v>
      </c>
    </row>
    <row r="1070" spans="2:10" x14ac:dyDescent="0.25">
      <c r="B1070" s="1619"/>
      <c r="C1070" s="1616"/>
      <c r="D1070" s="1630"/>
      <c r="E1070" s="1619"/>
      <c r="F1070" s="1616"/>
      <c r="G1070" s="1618"/>
      <c r="H1070" s="774" t="s">
        <v>6940</v>
      </c>
      <c r="I1070" s="757">
        <f>DESPORC!C3073</f>
        <v>367</v>
      </c>
      <c r="J1070" s="765" t="str">
        <f>DESPORC!D3073</f>
        <v>Educação Especial</v>
      </c>
    </row>
    <row r="1071" spans="2:10" ht="30" x14ac:dyDescent="0.25">
      <c r="B1071" s="1619" t="s">
        <v>6941</v>
      </c>
      <c r="C1071" s="1616">
        <f>'[3]Anexo I - Programas'!$C$534</f>
        <v>2021</v>
      </c>
      <c r="D1071" s="1622" t="str">
        <f>'[3]Anexo I - Programas'!$D$534</f>
        <v>Promoção do Transporte Escolar da Educação Especial</v>
      </c>
      <c r="E1071" s="1619" t="s">
        <v>6941</v>
      </c>
      <c r="F1071" s="1616">
        <f>C1071</f>
        <v>2021</v>
      </c>
      <c r="G1071" s="1618" t="str">
        <f>D1071</f>
        <v>Promoção do Transporte Escolar da Educação Especial</v>
      </c>
      <c r="H1071" s="775" t="s">
        <v>3137</v>
      </c>
      <c r="I1071" s="783" t="str">
        <f>F1069</f>
        <v>15</v>
      </c>
      <c r="J1071" s="762" t="str">
        <f>G1069</f>
        <v>GESTÃO E DESENVOLVIMENTO DO TRANSPORTE ESCOLAR DA EDUCAÇÃO ESPECIAL</v>
      </c>
    </row>
    <row r="1072" spans="2:10" x14ac:dyDescent="0.25">
      <c r="B1072" s="1620"/>
      <c r="C1072" s="1621"/>
      <c r="D1072" s="1623"/>
      <c r="E1072" s="1620"/>
      <c r="F1072" s="1621"/>
      <c r="G1072" s="1624"/>
      <c r="H1072" s="776" t="s">
        <v>6941</v>
      </c>
      <c r="I1072" s="784">
        <f>F1071</f>
        <v>2021</v>
      </c>
      <c r="J1072" s="764" t="str">
        <f>G1071</f>
        <v>Promoção do Transporte Escolar da Educação Especial</v>
      </c>
    </row>
    <row r="1073" spans="2:10" ht="15.75" thickBot="1" x14ac:dyDescent="0.3">
      <c r="B1073" s="769" t="s">
        <v>6939</v>
      </c>
      <c r="C1073" s="1625">
        <f>'[3]Anexo I - Programas'!$H$535</f>
        <v>200000</v>
      </c>
      <c r="D1073" s="1626"/>
      <c r="E1073" s="769" t="s">
        <v>6939</v>
      </c>
      <c r="F1073" s="1625">
        <f>'[3]Anexo I - Programas'!$J$535</f>
        <v>50000</v>
      </c>
      <c r="G1073" s="1627"/>
      <c r="H1073" s="778" t="s">
        <v>6939</v>
      </c>
      <c r="I1073" s="1625">
        <f>DESPORC!I3075</f>
        <v>0.04</v>
      </c>
      <c r="J1073" s="1627"/>
    </row>
    <row r="1074" spans="2:10" x14ac:dyDescent="0.25">
      <c r="J1074" s="15"/>
    </row>
    <row r="1075" spans="2:10" x14ac:dyDescent="0.25">
      <c r="B1075" s="787"/>
      <c r="C1075" s="788"/>
      <c r="E1075" s="787"/>
      <c r="H1075" s="787"/>
      <c r="J1075" s="15"/>
    </row>
    <row r="1076" spans="2:10" x14ac:dyDescent="0.25">
      <c r="B1076" s="787"/>
      <c r="C1076" s="788"/>
      <c r="E1076" s="787"/>
      <c r="H1076" s="787"/>
      <c r="J1076" s="15"/>
    </row>
    <row r="1078" spans="2:10" x14ac:dyDescent="0.25">
      <c r="B1078" s="1631" t="s">
        <v>6927</v>
      </c>
      <c r="C1078" s="1631"/>
      <c r="D1078" s="755" t="str">
        <f>DESPORC!C3086</f>
        <v>04 - SECRETARIA MUNICIPAL DE SAÚDE</v>
      </c>
      <c r="E1078" s="791"/>
      <c r="F1078" s="792"/>
      <c r="G1078" s="792"/>
      <c r="H1078" s="791"/>
      <c r="I1078" s="792"/>
      <c r="J1078" s="792"/>
    </row>
    <row r="1079" spans="2:10" ht="15.75" thickBot="1" x14ac:dyDescent="0.3">
      <c r="B1079" s="1632" t="s">
        <v>3087</v>
      </c>
      <c r="C1079" s="1632"/>
      <c r="D1079" s="755" t="str">
        <f>DESPORC!C3087</f>
        <v>01 - GESTÃO, COORDENAÇÃO E PLANEJAMENTO ADMINISTRATIVO</v>
      </c>
      <c r="E1079" s="791"/>
      <c r="F1079" s="36"/>
      <c r="G1079" s="1"/>
      <c r="H1079" s="772"/>
      <c r="I1079" s="1"/>
      <c r="J1079" s="1"/>
    </row>
    <row r="1080" spans="2:10" ht="15.75" thickBot="1" x14ac:dyDescent="0.3">
      <c r="B1080" s="1633" t="str">
        <f>B$10</f>
        <v>PPA LEI MUNICIPAL N.º 1091  DE 16 DE JUNHO DE 2017.</v>
      </c>
      <c r="C1080" s="1634"/>
      <c r="D1080" s="1635"/>
      <c r="E1080" s="1633" t="str">
        <f>E$10</f>
        <v>LDO LEI MUNICIPAL N.º 1166  DE 10 DE OUTUBRO DE 2019.</v>
      </c>
      <c r="F1080" s="1634"/>
      <c r="G1080" s="1635"/>
      <c r="H1080" s="1633" t="str">
        <f>H$10</f>
        <v>LOA 2020</v>
      </c>
      <c r="I1080" s="1634"/>
      <c r="J1080" s="1635"/>
    </row>
    <row r="1081" spans="2:10" x14ac:dyDescent="0.25">
      <c r="B1081" s="1628" t="s">
        <v>3137</v>
      </c>
      <c r="C1081" s="1615" t="str">
        <f>'[3]Anexo I - Programas'!$B$722</f>
        <v>100</v>
      </c>
      <c r="D1081" s="1629" t="str">
        <f>'[3]Anexo I - Programas'!$C$722</f>
        <v>ATENÇÃO A SAÚDE EM DEFESA DA VIDA</v>
      </c>
      <c r="E1081" s="1628" t="s">
        <v>3137</v>
      </c>
      <c r="F1081" s="1615" t="str">
        <f>C1081</f>
        <v>100</v>
      </c>
      <c r="G1081" s="1617" t="str">
        <f>D1081</f>
        <v>ATENÇÃO A SAÚDE EM DEFESA DA VIDA</v>
      </c>
      <c r="H1081" s="773" t="s">
        <v>3138</v>
      </c>
      <c r="I1081" s="757">
        <f>DESPORC!C3089</f>
        <v>10</v>
      </c>
      <c r="J1081" s="765" t="str">
        <f>DESPORC!D3089</f>
        <v>Saúde</v>
      </c>
    </row>
    <row r="1082" spans="2:10" x14ac:dyDescent="0.25">
      <c r="B1082" s="1619"/>
      <c r="C1082" s="1616"/>
      <c r="D1082" s="1630"/>
      <c r="E1082" s="1619"/>
      <c r="F1082" s="1616"/>
      <c r="G1082" s="1618"/>
      <c r="H1082" s="774" t="s">
        <v>6940</v>
      </c>
      <c r="I1082" s="757">
        <f>DESPORC!C3090</f>
        <v>122</v>
      </c>
      <c r="J1082" s="765" t="str">
        <f>DESPORC!D3090</f>
        <v>Administração Geral</v>
      </c>
    </row>
    <row r="1083" spans="2:10" x14ac:dyDescent="0.25">
      <c r="B1083" s="1619" t="s">
        <v>6941</v>
      </c>
      <c r="C1083" s="1616">
        <f>'[3]Anexo I - Programas'!$C$736</f>
        <v>1019</v>
      </c>
      <c r="D1083" s="1622" t="str">
        <f>'[3]Anexo I - Programas'!$D$736</f>
        <v>Novos Investimentos para Gestão de Serviços de Saúde</v>
      </c>
      <c r="E1083" s="1619" t="s">
        <v>6941</v>
      </c>
      <c r="F1083" s="1616">
        <f>C1083</f>
        <v>1019</v>
      </c>
      <c r="G1083" s="1618" t="str">
        <f>D1083</f>
        <v>Novos Investimentos para Gestão de Serviços de Saúde</v>
      </c>
      <c r="H1083" s="775" t="s">
        <v>3137</v>
      </c>
      <c r="I1083" s="789" t="str">
        <f>F1081</f>
        <v>100</v>
      </c>
      <c r="J1083" s="762" t="str">
        <f>G1081</f>
        <v>ATENÇÃO A SAÚDE EM DEFESA DA VIDA</v>
      </c>
    </row>
    <row r="1084" spans="2:10" x14ac:dyDescent="0.25">
      <c r="B1084" s="1620"/>
      <c r="C1084" s="1621"/>
      <c r="D1084" s="1623"/>
      <c r="E1084" s="1620"/>
      <c r="F1084" s="1621"/>
      <c r="G1084" s="1624"/>
      <c r="H1084" s="776" t="s">
        <v>6941</v>
      </c>
      <c r="I1084" s="790">
        <f>F1083</f>
        <v>1019</v>
      </c>
      <c r="J1084" s="764" t="str">
        <f>G1083</f>
        <v>Novos Investimentos para Gestão de Serviços de Saúde</v>
      </c>
    </row>
    <row r="1085" spans="2:10" ht="15.75" thickBot="1" x14ac:dyDescent="0.3">
      <c r="B1085" s="769" t="s">
        <v>6939</v>
      </c>
      <c r="C1085" s="1625">
        <f>'[3]Anexo I - Programas'!$H$737</f>
        <v>300000</v>
      </c>
      <c r="D1085" s="1626"/>
      <c r="E1085" s="769" t="s">
        <v>6939</v>
      </c>
      <c r="F1085" s="1625">
        <f>'[3]Anexo I - Programas'!$J$737</f>
        <v>75000</v>
      </c>
      <c r="G1085" s="1627"/>
      <c r="H1085" s="778" t="s">
        <v>6939</v>
      </c>
      <c r="I1085" s="1625">
        <f>DESPORC!I3092</f>
        <v>6.0000000000000005E-2</v>
      </c>
      <c r="J1085" s="1627"/>
    </row>
    <row r="1086" spans="2:10" x14ac:dyDescent="0.25">
      <c r="B1086" s="1628" t="s">
        <v>3137</v>
      </c>
      <c r="C1086" s="1615" t="str">
        <f>'[3]Anexo I - Programas'!$B$722</f>
        <v>100</v>
      </c>
      <c r="D1086" s="1629" t="str">
        <f>'[3]Anexo I - Programas'!$C$722</f>
        <v>ATENÇÃO A SAÚDE EM DEFESA DA VIDA</v>
      </c>
      <c r="E1086" s="1628" t="s">
        <v>3137</v>
      </c>
      <c r="F1086" s="1615" t="str">
        <f>C1086</f>
        <v>100</v>
      </c>
      <c r="G1086" s="1617" t="str">
        <f>D1086</f>
        <v>ATENÇÃO A SAÚDE EM DEFESA DA VIDA</v>
      </c>
      <c r="H1086" s="773" t="s">
        <v>3138</v>
      </c>
      <c r="I1086" s="757">
        <f>DESPORC!C3099</f>
        <v>10</v>
      </c>
      <c r="J1086" s="765" t="str">
        <f>DESPORC!D3099</f>
        <v>Saúde</v>
      </c>
    </row>
    <row r="1087" spans="2:10" x14ac:dyDescent="0.25">
      <c r="B1087" s="1619"/>
      <c r="C1087" s="1616"/>
      <c r="D1087" s="1630"/>
      <c r="E1087" s="1619"/>
      <c r="F1087" s="1616"/>
      <c r="G1087" s="1618"/>
      <c r="H1087" s="774" t="s">
        <v>6940</v>
      </c>
      <c r="I1087" s="757">
        <f>DESPORC!C3100</f>
        <v>122</v>
      </c>
      <c r="J1087" s="765" t="str">
        <f>DESPORC!D3100</f>
        <v>Administração Geral</v>
      </c>
    </row>
    <row r="1088" spans="2:10" x14ac:dyDescent="0.25">
      <c r="B1088" s="1619" t="s">
        <v>6941</v>
      </c>
      <c r="C1088" s="1616">
        <f>'[3]Anexo I - Programas'!$C$762</f>
        <v>2028</v>
      </c>
      <c r="D1088" s="1622" t="str">
        <f>'[3]Anexo I - Programas'!$D$762</f>
        <v>Gestão Administrativa, Coordenação e Planejamento</v>
      </c>
      <c r="E1088" s="1619" t="s">
        <v>6941</v>
      </c>
      <c r="F1088" s="1616">
        <f>C1088</f>
        <v>2028</v>
      </c>
      <c r="G1088" s="1618" t="str">
        <f>D1088</f>
        <v>Gestão Administrativa, Coordenação e Planejamento</v>
      </c>
      <c r="H1088" s="775" t="s">
        <v>3137</v>
      </c>
      <c r="I1088" s="789" t="str">
        <f>F1086</f>
        <v>100</v>
      </c>
      <c r="J1088" s="762" t="str">
        <f>G1086</f>
        <v>ATENÇÃO A SAÚDE EM DEFESA DA VIDA</v>
      </c>
    </row>
    <row r="1089" spans="2:10" x14ac:dyDescent="0.25">
      <c r="B1089" s="1620"/>
      <c r="C1089" s="1621"/>
      <c r="D1089" s="1623"/>
      <c r="E1089" s="1620"/>
      <c r="F1089" s="1621"/>
      <c r="G1089" s="1624"/>
      <c r="H1089" s="776" t="s">
        <v>6941</v>
      </c>
      <c r="I1089" s="790">
        <f>F1088</f>
        <v>2028</v>
      </c>
      <c r="J1089" s="764" t="str">
        <f>G1088</f>
        <v>Gestão Administrativa, Coordenação e Planejamento</v>
      </c>
    </row>
    <row r="1090" spans="2:10" ht="15.75" thickBot="1" x14ac:dyDescent="0.3">
      <c r="B1090" s="769" t="s">
        <v>6939</v>
      </c>
      <c r="C1090" s="1625">
        <f>'[3]Anexo I - Programas'!$H$763</f>
        <v>3000000</v>
      </c>
      <c r="D1090" s="1626"/>
      <c r="E1090" s="769" t="s">
        <v>6939</v>
      </c>
      <c r="F1090" s="1625">
        <f>'[3]Anexo I - Programas'!$J$763</f>
        <v>750000</v>
      </c>
      <c r="G1090" s="1627"/>
      <c r="H1090" s="778" t="s">
        <v>6939</v>
      </c>
      <c r="I1090" s="1625">
        <f>DESPORC!I3102</f>
        <v>485124.7404310616</v>
      </c>
      <c r="J1090" s="1627"/>
    </row>
    <row r="1091" spans="2:10" x14ac:dyDescent="0.25">
      <c r="B1091" s="1628" t="s">
        <v>3137</v>
      </c>
      <c r="C1091" s="1615" t="str">
        <f>'[3]Anexo I - Programas'!$B$722</f>
        <v>100</v>
      </c>
      <c r="D1091" s="1629" t="str">
        <f>'[3]Anexo I - Programas'!$C$722</f>
        <v>ATENÇÃO A SAÚDE EM DEFESA DA VIDA</v>
      </c>
      <c r="E1091" s="1628" t="s">
        <v>3137</v>
      </c>
      <c r="F1091" s="1615" t="str">
        <f>C1091</f>
        <v>100</v>
      </c>
      <c r="G1091" s="1617" t="str">
        <f>D1091</f>
        <v>ATENÇÃO A SAÚDE EM DEFESA DA VIDA</v>
      </c>
      <c r="H1091" s="773" t="s">
        <v>3138</v>
      </c>
      <c r="I1091" s="757">
        <f>DESPORC!C3124</f>
        <v>10</v>
      </c>
      <c r="J1091" s="765" t="str">
        <f>DESPORC!D3124</f>
        <v>Saúde</v>
      </c>
    </row>
    <row r="1092" spans="2:10" x14ac:dyDescent="0.25">
      <c r="B1092" s="1619"/>
      <c r="C1092" s="1616"/>
      <c r="D1092" s="1630"/>
      <c r="E1092" s="1619"/>
      <c r="F1092" s="1616"/>
      <c r="G1092" s="1618"/>
      <c r="H1092" s="774" t="s">
        <v>6940</v>
      </c>
      <c r="I1092" s="757">
        <f>DESPORC!C3125</f>
        <v>126</v>
      </c>
      <c r="J1092" s="765" t="str">
        <f>DESPORC!D3125</f>
        <v>Tecnologia da Informação</v>
      </c>
    </row>
    <row r="1093" spans="2:10" x14ac:dyDescent="0.25">
      <c r="B1093" s="1619" t="s">
        <v>6941</v>
      </c>
      <c r="C1093" s="1616">
        <f>'[3]Anexo I - Programas'!$C$762</f>
        <v>2028</v>
      </c>
      <c r="D1093" s="1622" t="str">
        <f>'[3]Anexo I - Programas'!$D$762</f>
        <v>Gestão Administrativa, Coordenação e Planejamento</v>
      </c>
      <c r="E1093" s="1619" t="s">
        <v>6941</v>
      </c>
      <c r="F1093" s="1616">
        <f>C1093</f>
        <v>2028</v>
      </c>
      <c r="G1093" s="1618" t="str">
        <f>D1093</f>
        <v>Gestão Administrativa, Coordenação e Planejamento</v>
      </c>
      <c r="H1093" s="775" t="s">
        <v>3137</v>
      </c>
      <c r="I1093" s="789" t="str">
        <f>F1091</f>
        <v>100</v>
      </c>
      <c r="J1093" s="762" t="str">
        <f>G1091</f>
        <v>ATENÇÃO A SAÚDE EM DEFESA DA VIDA</v>
      </c>
    </row>
    <row r="1094" spans="2:10" x14ac:dyDescent="0.25">
      <c r="B1094" s="1620"/>
      <c r="C1094" s="1621"/>
      <c r="D1094" s="1623"/>
      <c r="E1094" s="1620"/>
      <c r="F1094" s="1621"/>
      <c r="G1094" s="1624"/>
      <c r="H1094" s="776" t="s">
        <v>6941</v>
      </c>
      <c r="I1094" s="790">
        <f>F1093</f>
        <v>2028</v>
      </c>
      <c r="J1094" s="764" t="str">
        <f>G1093</f>
        <v>Gestão Administrativa, Coordenação e Planejamento</v>
      </c>
    </row>
    <row r="1095" spans="2:10" ht="15.75" thickBot="1" x14ac:dyDescent="0.3">
      <c r="B1095" s="769" t="s">
        <v>6939</v>
      </c>
      <c r="C1095" s="1625">
        <f>'[3]Anexo I - Programas'!$H$763</f>
        <v>3000000</v>
      </c>
      <c r="D1095" s="1626"/>
      <c r="E1095" s="769" t="s">
        <v>6939</v>
      </c>
      <c r="F1095" s="1625">
        <f>'[3]Anexo I - Programas'!$J$763</f>
        <v>750000</v>
      </c>
      <c r="G1095" s="1627"/>
      <c r="H1095" s="778" t="s">
        <v>6939</v>
      </c>
      <c r="I1095" s="1625">
        <f>DESPORC!I3127</f>
        <v>16121.108647822497</v>
      </c>
      <c r="J1095" s="1627"/>
    </row>
    <row r="1096" spans="2:10" x14ac:dyDescent="0.25">
      <c r="B1096" s="1628" t="s">
        <v>3137</v>
      </c>
      <c r="C1096" s="1615" t="str">
        <f>'[3]Anexo I - Programas'!$B$722</f>
        <v>100</v>
      </c>
      <c r="D1096" s="1629" t="str">
        <f>'[3]Anexo I - Programas'!$C$722</f>
        <v>ATENÇÃO A SAÚDE EM DEFESA DA VIDA</v>
      </c>
      <c r="E1096" s="1628" t="s">
        <v>3137</v>
      </c>
      <c r="F1096" s="1615" t="str">
        <f>C1096</f>
        <v>100</v>
      </c>
      <c r="G1096" s="1617" t="str">
        <f>D1096</f>
        <v>ATENÇÃO A SAÚDE EM DEFESA DA VIDA</v>
      </c>
      <c r="H1096" s="773" t="s">
        <v>3138</v>
      </c>
      <c r="I1096" s="757">
        <f>DESPORC!C3129</f>
        <v>10</v>
      </c>
      <c r="J1096" s="765" t="str">
        <f>DESPORC!D3129</f>
        <v>Saúde</v>
      </c>
    </row>
    <row r="1097" spans="2:10" x14ac:dyDescent="0.25">
      <c r="B1097" s="1619"/>
      <c r="C1097" s="1616"/>
      <c r="D1097" s="1630"/>
      <c r="E1097" s="1619"/>
      <c r="F1097" s="1616"/>
      <c r="G1097" s="1618"/>
      <c r="H1097" s="774" t="s">
        <v>6940</v>
      </c>
      <c r="I1097" s="757">
        <f>DESPORC!C3130</f>
        <v>128</v>
      </c>
      <c r="J1097" s="765" t="str">
        <f>DESPORC!D3130</f>
        <v>Formação de Recursos Humanos</v>
      </c>
    </row>
    <row r="1098" spans="2:10" x14ac:dyDescent="0.25">
      <c r="B1098" s="1619" t="s">
        <v>6941</v>
      </c>
      <c r="C1098" s="1616">
        <f>'[3]Anexo I - Programas'!$C$762</f>
        <v>2028</v>
      </c>
      <c r="D1098" s="1622" t="str">
        <f>'[3]Anexo I - Programas'!$D$762</f>
        <v>Gestão Administrativa, Coordenação e Planejamento</v>
      </c>
      <c r="E1098" s="1619" t="s">
        <v>6941</v>
      </c>
      <c r="F1098" s="1616">
        <f>C1098</f>
        <v>2028</v>
      </c>
      <c r="G1098" s="1618" t="str">
        <f>D1098</f>
        <v>Gestão Administrativa, Coordenação e Planejamento</v>
      </c>
      <c r="H1098" s="775" t="s">
        <v>3137</v>
      </c>
      <c r="I1098" s="789" t="str">
        <f>F1096</f>
        <v>100</v>
      </c>
      <c r="J1098" s="762" t="str">
        <f>G1096</f>
        <v>ATENÇÃO A SAÚDE EM DEFESA DA VIDA</v>
      </c>
    </row>
    <row r="1099" spans="2:10" x14ac:dyDescent="0.25">
      <c r="B1099" s="1620"/>
      <c r="C1099" s="1621"/>
      <c r="D1099" s="1623"/>
      <c r="E1099" s="1620"/>
      <c r="F1099" s="1621"/>
      <c r="G1099" s="1624"/>
      <c r="H1099" s="776" t="s">
        <v>6941</v>
      </c>
      <c r="I1099" s="790">
        <f>F1098</f>
        <v>2028</v>
      </c>
      <c r="J1099" s="764" t="str">
        <f>G1098</f>
        <v>Gestão Administrativa, Coordenação e Planejamento</v>
      </c>
    </row>
    <row r="1100" spans="2:10" ht="15.75" thickBot="1" x14ac:dyDescent="0.3">
      <c r="B1100" s="769" t="s">
        <v>6939</v>
      </c>
      <c r="C1100" s="1625">
        <f>'[3]Anexo I - Programas'!$H$763</f>
        <v>3000000</v>
      </c>
      <c r="D1100" s="1626"/>
      <c r="E1100" s="769" t="s">
        <v>6939</v>
      </c>
      <c r="F1100" s="1625">
        <f>'[3]Anexo I - Programas'!$J$763</f>
        <v>750000</v>
      </c>
      <c r="G1100" s="1627"/>
      <c r="H1100" s="778" t="s">
        <v>6939</v>
      </c>
      <c r="I1100" s="1625">
        <f>DESPORC!I3132</f>
        <v>2743.3726968060005</v>
      </c>
      <c r="J1100" s="1627"/>
    </row>
    <row r="1101" spans="2:10" x14ac:dyDescent="0.25">
      <c r="B1101" s="1628" t="s">
        <v>3137</v>
      </c>
      <c r="C1101" s="1615" t="str">
        <f>'[3]Anexo I - Programas'!$B$722</f>
        <v>100</v>
      </c>
      <c r="D1101" s="1629" t="str">
        <f>'[3]Anexo I - Programas'!$C$722</f>
        <v>ATENÇÃO A SAÚDE EM DEFESA DA VIDA</v>
      </c>
      <c r="E1101" s="1628" t="s">
        <v>3137</v>
      </c>
      <c r="F1101" s="1615" t="str">
        <f>C1101</f>
        <v>100</v>
      </c>
      <c r="G1101" s="1617" t="str">
        <f>D1101</f>
        <v>ATENÇÃO A SAÚDE EM DEFESA DA VIDA</v>
      </c>
      <c r="H1101" s="773" t="s">
        <v>3138</v>
      </c>
      <c r="I1101" s="757">
        <f>DESPORC!C3138</f>
        <v>10</v>
      </c>
      <c r="J1101" s="765" t="str">
        <f>DESPORC!D3138</f>
        <v>Saúde</v>
      </c>
    </row>
    <row r="1102" spans="2:10" x14ac:dyDescent="0.25">
      <c r="B1102" s="1619"/>
      <c r="C1102" s="1616"/>
      <c r="D1102" s="1630"/>
      <c r="E1102" s="1619"/>
      <c r="F1102" s="1616"/>
      <c r="G1102" s="1618"/>
      <c r="H1102" s="774" t="s">
        <v>6940</v>
      </c>
      <c r="I1102" s="757">
        <f>DESPORC!C3139</f>
        <v>122</v>
      </c>
      <c r="J1102" s="765" t="str">
        <f>DESPORC!D3139</f>
        <v>Administração Geral</v>
      </c>
    </row>
    <row r="1103" spans="2:10" x14ac:dyDescent="0.25">
      <c r="B1103" s="1619" t="s">
        <v>6941</v>
      </c>
      <c r="C1103" s="1616">
        <f>'[3]Anexo I - Programas'!$C$792</f>
        <v>2045</v>
      </c>
      <c r="D1103" s="1622" t="str">
        <f>'[3]Anexo I - Programas'!$D$792</f>
        <v>Gestão do Conselho Municipal de Saúde</v>
      </c>
      <c r="E1103" s="1619" t="s">
        <v>6941</v>
      </c>
      <c r="F1103" s="1616">
        <f>C1103</f>
        <v>2045</v>
      </c>
      <c r="G1103" s="1618" t="str">
        <f>D1103</f>
        <v>Gestão do Conselho Municipal de Saúde</v>
      </c>
      <c r="H1103" s="775" t="s">
        <v>3137</v>
      </c>
      <c r="I1103" s="789" t="str">
        <f>F1101</f>
        <v>100</v>
      </c>
      <c r="J1103" s="762" t="str">
        <f>G1101</f>
        <v>ATENÇÃO A SAÚDE EM DEFESA DA VIDA</v>
      </c>
    </row>
    <row r="1104" spans="2:10" x14ac:dyDescent="0.25">
      <c r="B1104" s="1620"/>
      <c r="C1104" s="1621"/>
      <c r="D1104" s="1623"/>
      <c r="E1104" s="1620"/>
      <c r="F1104" s="1621"/>
      <c r="G1104" s="1624"/>
      <c r="H1104" s="776" t="s">
        <v>6941</v>
      </c>
      <c r="I1104" s="790">
        <f>F1103</f>
        <v>2045</v>
      </c>
      <c r="J1104" s="764" t="str">
        <f>G1103</f>
        <v>Gestão do Conselho Municipal de Saúde</v>
      </c>
    </row>
    <row r="1105" spans="2:10" ht="15.75" thickBot="1" x14ac:dyDescent="0.3">
      <c r="B1105" s="769" t="s">
        <v>6939</v>
      </c>
      <c r="C1105" s="1625">
        <f>'[3]Anexo I - Programas'!$H$793</f>
        <v>500000</v>
      </c>
      <c r="D1105" s="1626"/>
      <c r="E1105" s="769" t="s">
        <v>6939</v>
      </c>
      <c r="F1105" s="1625">
        <f>'[3]Anexo I - Programas'!$J$793</f>
        <v>125000</v>
      </c>
      <c r="G1105" s="1627"/>
      <c r="H1105" s="778" t="s">
        <v>6939</v>
      </c>
      <c r="I1105" s="1625">
        <f>DESPORC!I3141</f>
        <v>0.10097340299999999</v>
      </c>
      <c r="J1105" s="1627"/>
    </row>
    <row r="1106" spans="2:10" x14ac:dyDescent="0.25">
      <c r="B1106" s="1628" t="s">
        <v>3137</v>
      </c>
      <c r="C1106" s="1615" t="str">
        <f>'[3]Anexo I - Programas'!$B$722</f>
        <v>100</v>
      </c>
      <c r="D1106" s="1629" t="str">
        <f>'[3]Anexo I - Programas'!$C$722</f>
        <v>ATENÇÃO A SAÚDE EM DEFESA DA VIDA</v>
      </c>
      <c r="E1106" s="1628" t="s">
        <v>3137</v>
      </c>
      <c r="F1106" s="1615" t="str">
        <f>C1106</f>
        <v>100</v>
      </c>
      <c r="G1106" s="1617" t="str">
        <f>D1106</f>
        <v>ATENÇÃO A SAÚDE EM DEFESA DA VIDA</v>
      </c>
      <c r="H1106" s="773" t="s">
        <v>3138</v>
      </c>
      <c r="I1106" s="757">
        <f>DESPORC!C3152</f>
        <v>10</v>
      </c>
      <c r="J1106" s="765" t="str">
        <f>DESPORC!D3152</f>
        <v>Saúde</v>
      </c>
    </row>
    <row r="1107" spans="2:10" x14ac:dyDescent="0.25">
      <c r="B1107" s="1619"/>
      <c r="C1107" s="1616"/>
      <c r="D1107" s="1630"/>
      <c r="E1107" s="1619"/>
      <c r="F1107" s="1616"/>
      <c r="G1107" s="1618"/>
      <c r="H1107" s="774" t="s">
        <v>6940</v>
      </c>
      <c r="I1107" s="757">
        <f>DESPORC!C3153</f>
        <v>126</v>
      </c>
      <c r="J1107" s="765" t="str">
        <f>DESPORC!D3153</f>
        <v>Tecnologia da Informação</v>
      </c>
    </row>
    <row r="1108" spans="2:10" x14ac:dyDescent="0.25">
      <c r="B1108" s="1619" t="s">
        <v>6941</v>
      </c>
      <c r="C1108" s="1616">
        <f>'[3]Anexo I - Programas'!$C$792</f>
        <v>2045</v>
      </c>
      <c r="D1108" s="1622" t="str">
        <f>'[3]Anexo I - Programas'!$D$792</f>
        <v>Gestão do Conselho Municipal de Saúde</v>
      </c>
      <c r="E1108" s="1619" t="s">
        <v>6941</v>
      </c>
      <c r="F1108" s="1616">
        <f>C1108</f>
        <v>2045</v>
      </c>
      <c r="G1108" s="1618" t="str">
        <f>D1108</f>
        <v>Gestão do Conselho Municipal de Saúde</v>
      </c>
      <c r="H1108" s="775" t="s">
        <v>3137</v>
      </c>
      <c r="I1108" s="789" t="str">
        <f>F1106</f>
        <v>100</v>
      </c>
      <c r="J1108" s="762" t="str">
        <f>G1106</f>
        <v>ATENÇÃO A SAÚDE EM DEFESA DA VIDA</v>
      </c>
    </row>
    <row r="1109" spans="2:10" x14ac:dyDescent="0.25">
      <c r="B1109" s="1620"/>
      <c r="C1109" s="1621"/>
      <c r="D1109" s="1623"/>
      <c r="E1109" s="1620"/>
      <c r="F1109" s="1621"/>
      <c r="G1109" s="1624"/>
      <c r="H1109" s="776" t="s">
        <v>6941</v>
      </c>
      <c r="I1109" s="790">
        <f>F1108</f>
        <v>2045</v>
      </c>
      <c r="J1109" s="764" t="str">
        <f>G1108</f>
        <v>Gestão do Conselho Municipal de Saúde</v>
      </c>
    </row>
    <row r="1110" spans="2:10" ht="15.75" thickBot="1" x14ac:dyDescent="0.3">
      <c r="B1110" s="769" t="s">
        <v>6939</v>
      </c>
      <c r="C1110" s="1625">
        <f>'[3]Anexo I - Programas'!$H$793</f>
        <v>500000</v>
      </c>
      <c r="D1110" s="1626"/>
      <c r="E1110" s="769" t="s">
        <v>6939</v>
      </c>
      <c r="F1110" s="1625">
        <f>'[3]Anexo I - Programas'!$J$793</f>
        <v>125000</v>
      </c>
      <c r="G1110" s="1627"/>
      <c r="H1110" s="778" t="s">
        <v>6939</v>
      </c>
      <c r="I1110" s="1625">
        <f>DESPORC!I3155</f>
        <v>0.01</v>
      </c>
      <c r="J1110" s="1627"/>
    </row>
    <row r="1111" spans="2:10" x14ac:dyDescent="0.25">
      <c r="B1111" s="1628" t="s">
        <v>3137</v>
      </c>
      <c r="C1111" s="1615" t="str">
        <f>'[3]Anexo I - Programas'!$B$722</f>
        <v>100</v>
      </c>
      <c r="D1111" s="1629" t="str">
        <f>'[3]Anexo I - Programas'!$C$722</f>
        <v>ATENÇÃO A SAÚDE EM DEFESA DA VIDA</v>
      </c>
      <c r="E1111" s="1628" t="s">
        <v>3137</v>
      </c>
      <c r="F1111" s="1615" t="str">
        <f>C1111</f>
        <v>100</v>
      </c>
      <c r="G1111" s="1617" t="str">
        <f>D1111</f>
        <v>ATENÇÃO A SAÚDE EM DEFESA DA VIDA</v>
      </c>
      <c r="H1111" s="773" t="s">
        <v>3138</v>
      </c>
      <c r="I1111" s="757">
        <f>DESPORC!C3157</f>
        <v>10</v>
      </c>
      <c r="J1111" s="765" t="str">
        <f>DESPORC!D3157</f>
        <v>Saúde</v>
      </c>
    </row>
    <row r="1112" spans="2:10" x14ac:dyDescent="0.25">
      <c r="B1112" s="1619"/>
      <c r="C1112" s="1616"/>
      <c r="D1112" s="1630"/>
      <c r="E1112" s="1619"/>
      <c r="F1112" s="1616"/>
      <c r="G1112" s="1618"/>
      <c r="H1112" s="774" t="s">
        <v>6940</v>
      </c>
      <c r="I1112" s="757">
        <f>DESPORC!C3158</f>
        <v>128</v>
      </c>
      <c r="J1112" s="765" t="str">
        <f>DESPORC!D3158</f>
        <v>Formação de Recursos Humanos</v>
      </c>
    </row>
    <row r="1113" spans="2:10" x14ac:dyDescent="0.25">
      <c r="B1113" s="1619" t="s">
        <v>6941</v>
      </c>
      <c r="C1113" s="1616">
        <f>'[3]Anexo I - Programas'!$C$792</f>
        <v>2045</v>
      </c>
      <c r="D1113" s="1622" t="str">
        <f>'[3]Anexo I - Programas'!$D$792</f>
        <v>Gestão do Conselho Municipal de Saúde</v>
      </c>
      <c r="E1113" s="1619" t="s">
        <v>6941</v>
      </c>
      <c r="F1113" s="1616">
        <f>C1113</f>
        <v>2045</v>
      </c>
      <c r="G1113" s="1618" t="str">
        <f>D1113</f>
        <v>Gestão do Conselho Municipal de Saúde</v>
      </c>
      <c r="H1113" s="775" t="s">
        <v>3137</v>
      </c>
      <c r="I1113" s="789" t="str">
        <f>F1111</f>
        <v>100</v>
      </c>
      <c r="J1113" s="762" t="str">
        <f>G1111</f>
        <v>ATENÇÃO A SAÚDE EM DEFESA DA VIDA</v>
      </c>
    </row>
    <row r="1114" spans="2:10" x14ac:dyDescent="0.25">
      <c r="B1114" s="1620"/>
      <c r="C1114" s="1621"/>
      <c r="D1114" s="1623"/>
      <c r="E1114" s="1620"/>
      <c r="F1114" s="1621"/>
      <c r="G1114" s="1624"/>
      <c r="H1114" s="776" t="s">
        <v>6941</v>
      </c>
      <c r="I1114" s="790">
        <f>F1113</f>
        <v>2045</v>
      </c>
      <c r="J1114" s="764" t="str">
        <f>G1113</f>
        <v>Gestão do Conselho Municipal de Saúde</v>
      </c>
    </row>
    <row r="1115" spans="2:10" ht="15.75" thickBot="1" x14ac:dyDescent="0.3">
      <c r="B1115" s="769" t="s">
        <v>6939</v>
      </c>
      <c r="C1115" s="1625">
        <f>'[3]Anexo I - Programas'!$H$793</f>
        <v>500000</v>
      </c>
      <c r="D1115" s="1626"/>
      <c r="E1115" s="769" t="s">
        <v>6939</v>
      </c>
      <c r="F1115" s="1625">
        <f>'[3]Anexo I - Programas'!$J$793</f>
        <v>125000</v>
      </c>
      <c r="G1115" s="1627"/>
      <c r="H1115" s="778" t="s">
        <v>6939</v>
      </c>
      <c r="I1115" s="1625">
        <f>DESPORC!I3160</f>
        <v>0.05</v>
      </c>
      <c r="J1115" s="1627"/>
    </row>
    <row r="1116" spans="2:10" x14ac:dyDescent="0.25">
      <c r="J1116" s="15"/>
    </row>
    <row r="1117" spans="2:10" x14ac:dyDescent="0.25">
      <c r="B1117" s="787"/>
      <c r="C1117" s="788"/>
      <c r="E1117" s="787"/>
      <c r="H1117" s="787"/>
      <c r="J1117" s="15"/>
    </row>
    <row r="1118" spans="2:10" x14ac:dyDescent="0.25">
      <c r="B1118" s="787"/>
      <c r="C1118" s="788"/>
      <c r="E1118" s="787"/>
      <c r="H1118" s="787"/>
      <c r="J1118" s="15"/>
    </row>
    <row r="1119" spans="2:10" x14ac:dyDescent="0.25">
      <c r="B1119" s="787"/>
      <c r="C1119" s="788"/>
      <c r="E1119" s="787"/>
      <c r="H1119" s="787"/>
      <c r="J1119" s="15"/>
    </row>
    <row r="1120" spans="2:10" x14ac:dyDescent="0.25">
      <c r="B1120" s="787"/>
      <c r="C1120" s="788"/>
      <c r="E1120" s="787"/>
      <c r="H1120" s="787"/>
      <c r="J1120" s="15"/>
    </row>
    <row r="1121" spans="2:10" x14ac:dyDescent="0.25">
      <c r="B1121" s="787"/>
      <c r="C1121" s="788"/>
      <c r="E1121" s="787"/>
      <c r="H1121" s="787"/>
      <c r="J1121" s="15"/>
    </row>
    <row r="1122" spans="2:10" x14ac:dyDescent="0.25">
      <c r="B1122" s="787"/>
      <c r="C1122" s="788"/>
      <c r="E1122" s="787"/>
      <c r="H1122" s="787"/>
      <c r="J1122" s="15"/>
    </row>
    <row r="1123" spans="2:10" x14ac:dyDescent="0.25">
      <c r="B1123" s="787"/>
      <c r="C1123" s="788"/>
      <c r="E1123" s="787"/>
      <c r="H1123" s="787"/>
      <c r="J1123" s="15"/>
    </row>
    <row r="1124" spans="2:10" x14ac:dyDescent="0.25">
      <c r="B1124" s="1631" t="s">
        <v>6927</v>
      </c>
      <c r="C1124" s="1631"/>
      <c r="D1124" s="755" t="str">
        <f>DESPORC!C3172</f>
        <v>04 - SECRETARIA MUNICIPAL DE SAÚDE</v>
      </c>
      <c r="E1124" s="791"/>
      <c r="F1124" s="792"/>
      <c r="G1124" s="792"/>
      <c r="H1124" s="791"/>
      <c r="I1124" s="792"/>
      <c r="J1124" s="792"/>
    </row>
    <row r="1125" spans="2:10" ht="15.75" thickBot="1" x14ac:dyDescent="0.3">
      <c r="B1125" s="1632" t="s">
        <v>3087</v>
      </c>
      <c r="C1125" s="1632"/>
      <c r="D1125" s="755" t="str">
        <f>DESPORC!C3173</f>
        <v>02 - FUNDO MUNICIPAL DE SAÚDE - PROGRAMAS MUNICIPAIS</v>
      </c>
      <c r="E1125" s="791"/>
      <c r="F1125" s="36"/>
      <c r="G1125" s="1"/>
      <c r="H1125" s="772"/>
      <c r="I1125" s="1"/>
      <c r="J1125" s="1"/>
    </row>
    <row r="1126" spans="2:10" ht="15.75" thickBot="1" x14ac:dyDescent="0.3">
      <c r="B1126" s="1633" t="str">
        <f>B$10</f>
        <v>PPA LEI MUNICIPAL N.º 1091  DE 16 DE JUNHO DE 2017.</v>
      </c>
      <c r="C1126" s="1634"/>
      <c r="D1126" s="1635"/>
      <c r="E1126" s="1633" t="str">
        <f>E$10</f>
        <v>LDO LEI MUNICIPAL N.º 1166  DE 10 DE OUTUBRO DE 2019.</v>
      </c>
      <c r="F1126" s="1634"/>
      <c r="G1126" s="1635"/>
      <c r="H1126" s="1633" t="str">
        <f>H$10</f>
        <v>LOA 2020</v>
      </c>
      <c r="I1126" s="1634"/>
      <c r="J1126" s="1635"/>
    </row>
    <row r="1127" spans="2:10" x14ac:dyDescent="0.25">
      <c r="B1127" s="1628" t="s">
        <v>3137</v>
      </c>
      <c r="C1127" s="1615" t="str">
        <f>'[3]Anexo I - Programas'!$B$722</f>
        <v>100</v>
      </c>
      <c r="D1127" s="1629" t="str">
        <f>'[3]Anexo I - Programas'!$C$722</f>
        <v>ATENÇÃO A SAÚDE EM DEFESA DA VIDA</v>
      </c>
      <c r="E1127" s="1628" t="s">
        <v>3137</v>
      </c>
      <c r="F1127" s="1615" t="str">
        <f>C1127</f>
        <v>100</v>
      </c>
      <c r="G1127" s="1617" t="str">
        <f>D1127</f>
        <v>ATENÇÃO A SAÚDE EM DEFESA DA VIDA</v>
      </c>
      <c r="H1127" s="773" t="s">
        <v>3138</v>
      </c>
      <c r="I1127" s="757">
        <f>DESPORC!C3175</f>
        <v>10</v>
      </c>
      <c r="J1127" s="765" t="str">
        <f>DESPORC!D3175</f>
        <v>Saúde</v>
      </c>
    </row>
    <row r="1128" spans="2:10" x14ac:dyDescent="0.25">
      <c r="B1128" s="1619"/>
      <c r="C1128" s="1616"/>
      <c r="D1128" s="1630"/>
      <c r="E1128" s="1619"/>
      <c r="F1128" s="1616"/>
      <c r="G1128" s="1618"/>
      <c r="H1128" s="774" t="s">
        <v>6940</v>
      </c>
      <c r="I1128" s="757">
        <f>DESPORC!C3176</f>
        <v>301</v>
      </c>
      <c r="J1128" s="765" t="str">
        <f>DESPORC!D3176</f>
        <v>Atenção Básica</v>
      </c>
    </row>
    <row r="1129" spans="2:10" x14ac:dyDescent="0.25">
      <c r="B1129" s="1619" t="s">
        <v>6941</v>
      </c>
      <c r="C1129" s="1616">
        <f>'[3]Anexo I - Programas'!$C$741</f>
        <v>1025</v>
      </c>
      <c r="D1129" s="1622" t="str">
        <f>'[3]Anexo I - Programas'!$D$746</f>
        <v>GEST. BLOCO FINAN.: INVEST. EM ASSIST. HOSP. E AMBUL. - MÉDIA E ALTA COMPLEXIDADE</v>
      </c>
      <c r="E1129" s="1619" t="s">
        <v>6941</v>
      </c>
      <c r="F1129" s="1616">
        <f>C1129</f>
        <v>1025</v>
      </c>
      <c r="G1129" s="1618" t="str">
        <f>D1129</f>
        <v>GEST. BLOCO FINAN.: INVEST. EM ASSIST. HOSP. E AMBUL. - MÉDIA E ALTA COMPLEXIDADE</v>
      </c>
      <c r="H1129" s="775" t="s">
        <v>3137</v>
      </c>
      <c r="I1129" s="789" t="str">
        <f>F1127</f>
        <v>100</v>
      </c>
      <c r="J1129" s="762" t="str">
        <f>G1127</f>
        <v>ATENÇÃO A SAÚDE EM DEFESA DA VIDA</v>
      </c>
    </row>
    <row r="1130" spans="2:10" ht="30" x14ac:dyDescent="0.25">
      <c r="B1130" s="1620"/>
      <c r="C1130" s="1621"/>
      <c r="D1130" s="1623"/>
      <c r="E1130" s="1620"/>
      <c r="F1130" s="1621"/>
      <c r="G1130" s="1624"/>
      <c r="H1130" s="776" t="s">
        <v>6941</v>
      </c>
      <c r="I1130" s="790">
        <f>F1129</f>
        <v>1025</v>
      </c>
      <c r="J1130" s="764" t="str">
        <f>G1129</f>
        <v>GEST. BLOCO FINAN.: INVEST. EM ASSIST. HOSP. E AMBUL. - MÉDIA E ALTA COMPLEXIDADE</v>
      </c>
    </row>
    <row r="1131" spans="2:10" ht="15.75" thickBot="1" x14ac:dyDescent="0.3">
      <c r="B1131" s="769" t="s">
        <v>6939</v>
      </c>
      <c r="C1131" s="1625">
        <f>'[3]Anexo I - Programas'!$H$742</f>
        <v>300000</v>
      </c>
      <c r="D1131" s="1626"/>
      <c r="E1131" s="769" t="s">
        <v>6939</v>
      </c>
      <c r="F1131" s="1625">
        <f>'[3]Anexo I - Programas'!$J$742</f>
        <v>75000</v>
      </c>
      <c r="G1131" s="1627"/>
      <c r="H1131" s="778" t="s">
        <v>6939</v>
      </c>
      <c r="I1131" s="1625">
        <f>DESPORC!I3178</f>
        <v>6.0000000000000005E-2</v>
      </c>
      <c r="J1131" s="1627"/>
    </row>
    <row r="1132" spans="2:10" x14ac:dyDescent="0.25">
      <c r="B1132" s="1628" t="s">
        <v>3137</v>
      </c>
      <c r="C1132" s="1615" t="str">
        <f>'[3]Anexo I - Programas'!$B$722</f>
        <v>100</v>
      </c>
      <c r="D1132" s="1629" t="str">
        <f>'[3]Anexo I - Programas'!$C$722</f>
        <v>ATENÇÃO A SAÚDE EM DEFESA DA VIDA</v>
      </c>
      <c r="E1132" s="1628" t="s">
        <v>3137</v>
      </c>
      <c r="F1132" s="1615" t="str">
        <f>C1132</f>
        <v>100</v>
      </c>
      <c r="G1132" s="1617" t="str">
        <f>D1132</f>
        <v>ATENÇÃO A SAÚDE EM DEFESA DA VIDA</v>
      </c>
      <c r="H1132" s="773" t="s">
        <v>3138</v>
      </c>
      <c r="I1132" s="757">
        <f>DESPORC!C3185</f>
        <v>10</v>
      </c>
      <c r="J1132" s="765" t="str">
        <f>DESPORC!D3185</f>
        <v>Saúde</v>
      </c>
    </row>
    <row r="1133" spans="2:10" x14ac:dyDescent="0.25">
      <c r="B1133" s="1619"/>
      <c r="C1133" s="1616"/>
      <c r="D1133" s="1630"/>
      <c r="E1133" s="1619"/>
      <c r="F1133" s="1616"/>
      <c r="G1133" s="1618"/>
      <c r="H1133" s="774" t="s">
        <v>6940</v>
      </c>
      <c r="I1133" s="757">
        <f>DESPORC!C3186</f>
        <v>302</v>
      </c>
      <c r="J1133" s="765" t="str">
        <f>DESPORC!D3186</f>
        <v>Assistência Hospitalar e Ambulatorial</v>
      </c>
    </row>
    <row r="1134" spans="2:10" x14ac:dyDescent="0.25">
      <c r="B1134" s="1619" t="s">
        <v>6941</v>
      </c>
      <c r="C1134" s="1616">
        <f>'[3]Anexo I - Programas'!$C$746</f>
        <v>1026</v>
      </c>
      <c r="D1134" s="1622" t="str">
        <f>'[3]Anexo I - Programas'!$D$746</f>
        <v>GEST. BLOCO FINAN.: INVEST. EM ASSIST. HOSP. E AMBUL. - MÉDIA E ALTA COMPLEXIDADE</v>
      </c>
      <c r="E1134" s="1619" t="s">
        <v>6941</v>
      </c>
      <c r="F1134" s="1616">
        <f>C1134</f>
        <v>1026</v>
      </c>
      <c r="G1134" s="1618" t="str">
        <f>D1134</f>
        <v>GEST. BLOCO FINAN.: INVEST. EM ASSIST. HOSP. E AMBUL. - MÉDIA E ALTA COMPLEXIDADE</v>
      </c>
      <c r="H1134" s="775" t="s">
        <v>3137</v>
      </c>
      <c r="I1134" s="789" t="str">
        <f>F1132</f>
        <v>100</v>
      </c>
      <c r="J1134" s="762" t="str">
        <f>G1132</f>
        <v>ATENÇÃO A SAÚDE EM DEFESA DA VIDA</v>
      </c>
    </row>
    <row r="1135" spans="2:10" ht="30" x14ac:dyDescent="0.25">
      <c r="B1135" s="1620"/>
      <c r="C1135" s="1621"/>
      <c r="D1135" s="1623"/>
      <c r="E1135" s="1620"/>
      <c r="F1135" s="1621"/>
      <c r="G1135" s="1624"/>
      <c r="H1135" s="776" t="s">
        <v>6941</v>
      </c>
      <c r="I1135" s="790">
        <f>F1134</f>
        <v>1026</v>
      </c>
      <c r="J1135" s="764" t="str">
        <f>G1134</f>
        <v>GEST. BLOCO FINAN.: INVEST. EM ASSIST. HOSP. E AMBUL. - MÉDIA E ALTA COMPLEXIDADE</v>
      </c>
    </row>
    <row r="1136" spans="2:10" ht="15.75" thickBot="1" x14ac:dyDescent="0.3">
      <c r="B1136" s="769" t="s">
        <v>6939</v>
      </c>
      <c r="C1136" s="1625">
        <f>'[3]Anexo I - Programas'!$H$747</f>
        <v>300000</v>
      </c>
      <c r="D1136" s="1626"/>
      <c r="E1136" s="769" t="s">
        <v>6939</v>
      </c>
      <c r="F1136" s="1625">
        <f>'[3]Anexo I - Programas'!$J$747</f>
        <v>75000</v>
      </c>
      <c r="G1136" s="1627"/>
      <c r="H1136" s="778" t="s">
        <v>6939</v>
      </c>
      <c r="I1136" s="1625">
        <f>DESPORC!I3188</f>
        <v>6.0000000000000005E-2</v>
      </c>
      <c r="J1136" s="1627"/>
    </row>
    <row r="1137" spans="2:10" x14ac:dyDescent="0.25">
      <c r="B1137" s="1628" t="s">
        <v>3137</v>
      </c>
      <c r="C1137" s="1615" t="str">
        <f>'[3]Anexo I - Programas'!$B$722</f>
        <v>100</v>
      </c>
      <c r="D1137" s="1629" t="str">
        <f>'[3]Anexo I - Programas'!$C$722</f>
        <v>ATENÇÃO A SAÚDE EM DEFESA DA VIDA</v>
      </c>
      <c r="E1137" s="1628" t="s">
        <v>3137</v>
      </c>
      <c r="F1137" s="1615" t="str">
        <f>C1137</f>
        <v>100</v>
      </c>
      <c r="G1137" s="1617" t="str">
        <f>D1137</f>
        <v>ATENÇÃO A SAÚDE EM DEFESA DA VIDA</v>
      </c>
      <c r="H1137" s="773" t="s">
        <v>3138</v>
      </c>
      <c r="I1137" s="757">
        <f>DESPORC!C3195</f>
        <v>10</v>
      </c>
      <c r="J1137" s="765" t="str">
        <f>DESPORC!D3195</f>
        <v>Saúde</v>
      </c>
    </row>
    <row r="1138" spans="2:10" x14ac:dyDescent="0.25">
      <c r="B1138" s="1619"/>
      <c r="C1138" s="1616"/>
      <c r="D1138" s="1630"/>
      <c r="E1138" s="1619"/>
      <c r="F1138" s="1616"/>
      <c r="G1138" s="1618"/>
      <c r="H1138" s="774" t="s">
        <v>6940</v>
      </c>
      <c r="I1138" s="757">
        <f>DESPORC!C3196</f>
        <v>304</v>
      </c>
      <c r="J1138" s="765" t="str">
        <f>DESPORC!D3196</f>
        <v>Vigilância Sanitária</v>
      </c>
    </row>
    <row r="1139" spans="2:10" x14ac:dyDescent="0.25">
      <c r="B1139" s="1619" t="s">
        <v>6941</v>
      </c>
      <c r="C1139" s="1616">
        <f>'[3]Anexo I - Programas'!$C$751</f>
        <v>1027</v>
      </c>
      <c r="D1139" s="1622" t="str">
        <f>'[3]Anexo I - Programas'!$D$751</f>
        <v>GEST. BLOCO FINAN.: INVEST. EM VIGILÂNCIA EM SAÚDE</v>
      </c>
      <c r="E1139" s="1619" t="s">
        <v>6941</v>
      </c>
      <c r="F1139" s="1616">
        <f>C1139</f>
        <v>1027</v>
      </c>
      <c r="G1139" s="1618" t="str">
        <f>D1139</f>
        <v>GEST. BLOCO FINAN.: INVEST. EM VIGILÂNCIA EM SAÚDE</v>
      </c>
      <c r="H1139" s="775" t="s">
        <v>3137</v>
      </c>
      <c r="I1139" s="789" t="str">
        <f>F1137</f>
        <v>100</v>
      </c>
      <c r="J1139" s="762" t="str">
        <f>G1137</f>
        <v>ATENÇÃO A SAÚDE EM DEFESA DA VIDA</v>
      </c>
    </row>
    <row r="1140" spans="2:10" x14ac:dyDescent="0.25">
      <c r="B1140" s="1620"/>
      <c r="C1140" s="1621"/>
      <c r="D1140" s="1623"/>
      <c r="E1140" s="1620"/>
      <c r="F1140" s="1621"/>
      <c r="G1140" s="1624"/>
      <c r="H1140" s="776" t="s">
        <v>6941</v>
      </c>
      <c r="I1140" s="790">
        <f>F1139</f>
        <v>1027</v>
      </c>
      <c r="J1140" s="764" t="str">
        <f>G1139</f>
        <v>GEST. BLOCO FINAN.: INVEST. EM VIGILÂNCIA EM SAÚDE</v>
      </c>
    </row>
    <row r="1141" spans="2:10" ht="15.75" thickBot="1" x14ac:dyDescent="0.3">
      <c r="B1141" s="769" t="s">
        <v>6939</v>
      </c>
      <c r="C1141" s="1625">
        <f>'[3]Anexo I - Programas'!$H$752</f>
        <v>300000</v>
      </c>
      <c r="D1141" s="1626"/>
      <c r="E1141" s="769" t="s">
        <v>6939</v>
      </c>
      <c r="F1141" s="1625">
        <f>'[3]Anexo I - Programas'!$J$752</f>
        <v>75000</v>
      </c>
      <c r="G1141" s="1627"/>
      <c r="H1141" s="778" t="s">
        <v>6939</v>
      </c>
      <c r="I1141" s="1625">
        <f>DESPORC!I3198</f>
        <v>6.0000000000000005E-2</v>
      </c>
      <c r="J1141" s="1627"/>
    </row>
    <row r="1142" spans="2:10" x14ac:dyDescent="0.25">
      <c r="B1142" s="1628" t="s">
        <v>3137</v>
      </c>
      <c r="C1142" s="1615" t="str">
        <f>'[3]Anexo I - Programas'!$B$722</f>
        <v>100</v>
      </c>
      <c r="D1142" s="1629" t="str">
        <f>'[3]Anexo I - Programas'!$C$722</f>
        <v>ATENÇÃO A SAÚDE EM DEFESA DA VIDA</v>
      </c>
      <c r="E1142" s="1628" t="s">
        <v>3137</v>
      </c>
      <c r="F1142" s="1615" t="str">
        <f>C1142</f>
        <v>100</v>
      </c>
      <c r="G1142" s="1617" t="str">
        <f>D1142</f>
        <v>ATENÇÃO A SAÚDE EM DEFESA DA VIDA</v>
      </c>
      <c r="H1142" s="773" t="s">
        <v>3138</v>
      </c>
      <c r="I1142" s="757">
        <f>DESPORC!C3205</f>
        <v>10</v>
      </c>
      <c r="J1142" s="765" t="str">
        <f>DESPORC!D3205</f>
        <v>Saúde</v>
      </c>
    </row>
    <row r="1143" spans="2:10" x14ac:dyDescent="0.25">
      <c r="B1143" s="1619"/>
      <c r="C1143" s="1616"/>
      <c r="D1143" s="1630"/>
      <c r="E1143" s="1619"/>
      <c r="F1143" s="1616"/>
      <c r="G1143" s="1618"/>
      <c r="H1143" s="774" t="s">
        <v>6940</v>
      </c>
      <c r="I1143" s="757">
        <f>DESPORC!C3206</f>
        <v>126</v>
      </c>
      <c r="J1143" s="765" t="str">
        <f>DESPORC!D3206</f>
        <v>Tecnologia da Informação</v>
      </c>
    </row>
    <row r="1144" spans="2:10" x14ac:dyDescent="0.25">
      <c r="B1144" s="1619" t="s">
        <v>6941</v>
      </c>
      <c r="C1144" s="1616">
        <f>'[3]Anexo I - Programas'!$C$768</f>
        <v>2029</v>
      </c>
      <c r="D1144" s="1622" t="str">
        <f>'[3]Anexo I - Programas'!$D$768</f>
        <v>Gestão do Bloco Financiamento: Atenção Básica</v>
      </c>
      <c r="E1144" s="1619" t="s">
        <v>6941</v>
      </c>
      <c r="F1144" s="1616">
        <f>C1144</f>
        <v>2029</v>
      </c>
      <c r="G1144" s="1618" t="str">
        <f>D1144</f>
        <v>Gestão do Bloco Financiamento: Atenção Básica</v>
      </c>
      <c r="H1144" s="775" t="s">
        <v>3137</v>
      </c>
      <c r="I1144" s="789" t="str">
        <f>F1142</f>
        <v>100</v>
      </c>
      <c r="J1144" s="762" t="str">
        <f>G1142</f>
        <v>ATENÇÃO A SAÚDE EM DEFESA DA VIDA</v>
      </c>
    </row>
    <row r="1145" spans="2:10" x14ac:dyDescent="0.25">
      <c r="B1145" s="1620"/>
      <c r="C1145" s="1621"/>
      <c r="D1145" s="1623"/>
      <c r="E1145" s="1620"/>
      <c r="F1145" s="1621"/>
      <c r="G1145" s="1624"/>
      <c r="H1145" s="776" t="s">
        <v>6941</v>
      </c>
      <c r="I1145" s="790">
        <f>F1144</f>
        <v>2029</v>
      </c>
      <c r="J1145" s="764" t="str">
        <f>G1144</f>
        <v>Gestão do Bloco Financiamento: Atenção Básica</v>
      </c>
    </row>
    <row r="1146" spans="2:10" ht="15.75" thickBot="1" x14ac:dyDescent="0.3">
      <c r="B1146" s="769" t="s">
        <v>6939</v>
      </c>
      <c r="C1146" s="1625">
        <f>'[3]Anexo I - Programas'!$H$769</f>
        <v>1600000</v>
      </c>
      <c r="D1146" s="1626"/>
      <c r="E1146" s="769" t="s">
        <v>6939</v>
      </c>
      <c r="F1146" s="1625">
        <f>'[3]Anexo I - Programas'!$J$769</f>
        <v>400000</v>
      </c>
      <c r="G1146" s="1627"/>
      <c r="H1146" s="778" t="s">
        <v>6939</v>
      </c>
      <c r="I1146" s="1625">
        <f>DESPORC!I3208</f>
        <v>6223.9050000000007</v>
      </c>
      <c r="J1146" s="1627"/>
    </row>
    <row r="1147" spans="2:10" x14ac:dyDescent="0.25">
      <c r="B1147" s="1628" t="s">
        <v>3137</v>
      </c>
      <c r="C1147" s="1615" t="str">
        <f>'[3]Anexo I - Programas'!$B$722</f>
        <v>100</v>
      </c>
      <c r="D1147" s="1629" t="str">
        <f>'[3]Anexo I - Programas'!$C$722</f>
        <v>ATENÇÃO A SAÚDE EM DEFESA DA VIDA</v>
      </c>
      <c r="E1147" s="1628" t="s">
        <v>3137</v>
      </c>
      <c r="F1147" s="1615" t="str">
        <f>C1147</f>
        <v>100</v>
      </c>
      <c r="G1147" s="1617" t="str">
        <f>D1147</f>
        <v>ATENÇÃO A SAÚDE EM DEFESA DA VIDA</v>
      </c>
      <c r="H1147" s="773" t="s">
        <v>3138</v>
      </c>
      <c r="I1147" s="757">
        <f>DESPORC!C3210</f>
        <v>10</v>
      </c>
      <c r="J1147" s="765" t="str">
        <f>DESPORC!D3210</f>
        <v>Saúde</v>
      </c>
    </row>
    <row r="1148" spans="2:10" x14ac:dyDescent="0.25">
      <c r="B1148" s="1619"/>
      <c r="C1148" s="1616"/>
      <c r="D1148" s="1630"/>
      <c r="E1148" s="1619"/>
      <c r="F1148" s="1616"/>
      <c r="G1148" s="1618"/>
      <c r="H1148" s="774" t="s">
        <v>6940</v>
      </c>
      <c r="I1148" s="757">
        <f>DESPORC!C3211</f>
        <v>128</v>
      </c>
      <c r="J1148" s="765" t="str">
        <f>DESPORC!D3211</f>
        <v>Formação de Recursos Humanos</v>
      </c>
    </row>
    <row r="1149" spans="2:10" x14ac:dyDescent="0.25">
      <c r="B1149" s="1619" t="s">
        <v>6941</v>
      </c>
      <c r="C1149" s="1616">
        <f>'[3]Anexo I - Programas'!$C$768</f>
        <v>2029</v>
      </c>
      <c r="D1149" s="1622" t="str">
        <f>'[3]Anexo I - Programas'!$D$768</f>
        <v>Gestão do Bloco Financiamento: Atenção Básica</v>
      </c>
      <c r="E1149" s="1619" t="s">
        <v>6941</v>
      </c>
      <c r="F1149" s="1616">
        <f>C1149</f>
        <v>2029</v>
      </c>
      <c r="G1149" s="1618" t="str">
        <f>D1149</f>
        <v>Gestão do Bloco Financiamento: Atenção Básica</v>
      </c>
      <c r="H1149" s="775" t="s">
        <v>3137</v>
      </c>
      <c r="I1149" s="789" t="str">
        <f>F1147</f>
        <v>100</v>
      </c>
      <c r="J1149" s="762" t="str">
        <f>G1147</f>
        <v>ATENÇÃO A SAÚDE EM DEFESA DA VIDA</v>
      </c>
    </row>
    <row r="1150" spans="2:10" x14ac:dyDescent="0.25">
      <c r="B1150" s="1620"/>
      <c r="C1150" s="1621"/>
      <c r="D1150" s="1623"/>
      <c r="E1150" s="1620"/>
      <c r="F1150" s="1621"/>
      <c r="G1150" s="1624"/>
      <c r="H1150" s="776" t="s">
        <v>6941</v>
      </c>
      <c r="I1150" s="790">
        <f>F1149</f>
        <v>2029</v>
      </c>
      <c r="J1150" s="764" t="str">
        <f>G1149</f>
        <v>Gestão do Bloco Financiamento: Atenção Básica</v>
      </c>
    </row>
    <row r="1151" spans="2:10" ht="15.75" thickBot="1" x14ac:dyDescent="0.3">
      <c r="B1151" s="769" t="s">
        <v>6939</v>
      </c>
      <c r="C1151" s="1625">
        <f>'[3]Anexo I - Programas'!$H$769</f>
        <v>1600000</v>
      </c>
      <c r="D1151" s="1626"/>
      <c r="E1151" s="769" t="s">
        <v>6939</v>
      </c>
      <c r="F1151" s="1625">
        <f>'[3]Anexo I - Programas'!$J$769</f>
        <v>400000</v>
      </c>
      <c r="G1151" s="1627"/>
      <c r="H1151" s="778" t="s">
        <v>6939</v>
      </c>
      <c r="I1151" s="1625">
        <f>DESPORC!I3213</f>
        <v>0.05</v>
      </c>
      <c r="J1151" s="1627"/>
    </row>
    <row r="1152" spans="2:10" x14ac:dyDescent="0.25">
      <c r="B1152" s="1628" t="s">
        <v>3137</v>
      </c>
      <c r="C1152" s="1615" t="str">
        <f>'[3]Anexo I - Programas'!$B$722</f>
        <v>100</v>
      </c>
      <c r="D1152" s="1629" t="str">
        <f>'[3]Anexo I - Programas'!$C$722</f>
        <v>ATENÇÃO A SAÚDE EM DEFESA DA VIDA</v>
      </c>
      <c r="E1152" s="1628" t="s">
        <v>3137</v>
      </c>
      <c r="F1152" s="1615" t="str">
        <f>C1152</f>
        <v>100</v>
      </c>
      <c r="G1152" s="1617" t="str">
        <f>D1152</f>
        <v>ATENÇÃO A SAÚDE EM DEFESA DA VIDA</v>
      </c>
      <c r="H1152" s="773" t="s">
        <v>3138</v>
      </c>
      <c r="I1152" s="757">
        <f>DESPORC!C3219</f>
        <v>10</v>
      </c>
      <c r="J1152" s="765" t="str">
        <f>DESPORC!D3219</f>
        <v>Saúde</v>
      </c>
    </row>
    <row r="1153" spans="2:10" x14ac:dyDescent="0.25">
      <c r="B1153" s="1619"/>
      <c r="C1153" s="1616"/>
      <c r="D1153" s="1630"/>
      <c r="E1153" s="1619"/>
      <c r="F1153" s="1616"/>
      <c r="G1153" s="1618"/>
      <c r="H1153" s="774" t="s">
        <v>6940</v>
      </c>
      <c r="I1153" s="757">
        <f>DESPORC!C3220</f>
        <v>301</v>
      </c>
      <c r="J1153" s="765" t="str">
        <f>DESPORC!D3220</f>
        <v>Atenção Básica</v>
      </c>
    </row>
    <row r="1154" spans="2:10" x14ac:dyDescent="0.25">
      <c r="B1154" s="1619" t="s">
        <v>6941</v>
      </c>
      <c r="C1154" s="1616">
        <f>'[3]Anexo I - Programas'!$C$768</f>
        <v>2029</v>
      </c>
      <c r="D1154" s="1622" t="str">
        <f>'[3]Anexo I - Programas'!$D$768</f>
        <v>Gestão do Bloco Financiamento: Atenção Básica</v>
      </c>
      <c r="E1154" s="1619" t="s">
        <v>6941</v>
      </c>
      <c r="F1154" s="1616">
        <f>C1154</f>
        <v>2029</v>
      </c>
      <c r="G1154" s="1618" t="str">
        <f>D1154</f>
        <v>Gestão do Bloco Financiamento: Atenção Básica</v>
      </c>
      <c r="H1154" s="775" t="s">
        <v>3137</v>
      </c>
      <c r="I1154" s="789" t="str">
        <f>F1152</f>
        <v>100</v>
      </c>
      <c r="J1154" s="762" t="str">
        <f>G1152</f>
        <v>ATENÇÃO A SAÚDE EM DEFESA DA VIDA</v>
      </c>
    </row>
    <row r="1155" spans="2:10" x14ac:dyDescent="0.25">
      <c r="B1155" s="1620"/>
      <c r="C1155" s="1621"/>
      <c r="D1155" s="1623"/>
      <c r="E1155" s="1620"/>
      <c r="F1155" s="1621"/>
      <c r="G1155" s="1624"/>
      <c r="H1155" s="776" t="s">
        <v>6941</v>
      </c>
      <c r="I1155" s="790">
        <f>F1154</f>
        <v>2029</v>
      </c>
      <c r="J1155" s="764" t="str">
        <f>G1154</f>
        <v>Gestão do Bloco Financiamento: Atenção Básica</v>
      </c>
    </row>
    <row r="1156" spans="2:10" ht="15.75" thickBot="1" x14ac:dyDescent="0.3">
      <c r="B1156" s="769" t="s">
        <v>6939</v>
      </c>
      <c r="C1156" s="1625">
        <f>'[3]Anexo I - Programas'!$H$769</f>
        <v>1600000</v>
      </c>
      <c r="D1156" s="1626"/>
      <c r="E1156" s="769" t="s">
        <v>6939</v>
      </c>
      <c r="F1156" s="1625">
        <f>'[3]Anexo I - Programas'!$J$769</f>
        <v>400000</v>
      </c>
      <c r="G1156" s="1627"/>
      <c r="H1156" s="778" t="s">
        <v>6939</v>
      </c>
      <c r="I1156" s="1625">
        <f>DESPORC!I3222</f>
        <v>3028916.6551265996</v>
      </c>
      <c r="J1156" s="1627"/>
    </row>
    <row r="1157" spans="2:10" x14ac:dyDescent="0.25">
      <c r="B1157" s="1628" t="s">
        <v>3137</v>
      </c>
      <c r="C1157" s="1615" t="str">
        <f>'[3]Anexo I - Programas'!$B$722</f>
        <v>100</v>
      </c>
      <c r="D1157" s="1629" t="str">
        <f>'[3]Anexo I - Programas'!$C$722</f>
        <v>ATENÇÃO A SAÚDE EM DEFESA DA VIDA</v>
      </c>
      <c r="E1157" s="1628" t="s">
        <v>3137</v>
      </c>
      <c r="F1157" s="1615" t="str">
        <f>C1157</f>
        <v>100</v>
      </c>
      <c r="G1157" s="1617" t="str">
        <f>D1157</f>
        <v>ATENÇÃO A SAÚDE EM DEFESA DA VIDA</v>
      </c>
      <c r="H1157" s="773" t="s">
        <v>3138</v>
      </c>
      <c r="I1157" s="757">
        <f>DESPORC!C3245</f>
        <v>10</v>
      </c>
      <c r="J1157" s="765" t="str">
        <f>DESPORC!D3245</f>
        <v>Saúde</v>
      </c>
    </row>
    <row r="1158" spans="2:10" x14ac:dyDescent="0.25">
      <c r="B1158" s="1619"/>
      <c r="C1158" s="1616"/>
      <c r="D1158" s="1630"/>
      <c r="E1158" s="1619"/>
      <c r="F1158" s="1616"/>
      <c r="G1158" s="1618"/>
      <c r="H1158" s="774" t="s">
        <v>6940</v>
      </c>
      <c r="I1158" s="757">
        <f>DESPORC!C3246</f>
        <v>301</v>
      </c>
      <c r="J1158" s="765" t="str">
        <f>DESPORC!D3246</f>
        <v>Atenção Básica</v>
      </c>
    </row>
    <row r="1159" spans="2:10" x14ac:dyDescent="0.25">
      <c r="B1159" s="1619" t="s">
        <v>6941</v>
      </c>
      <c r="C1159" s="1616">
        <f>'[3]Anexo I - Programas'!$C$768</f>
        <v>2029</v>
      </c>
      <c r="D1159" s="1622" t="str">
        <f>'[3]Anexo I - Programas'!$D$768</f>
        <v>Gestão do Bloco Financiamento: Atenção Básica</v>
      </c>
      <c r="E1159" s="1619" t="s">
        <v>6941</v>
      </c>
      <c r="F1159" s="1616">
        <f>C1159</f>
        <v>2029</v>
      </c>
      <c r="G1159" s="1618" t="str">
        <f>D1159</f>
        <v>Gestão do Bloco Financiamento: Atenção Básica</v>
      </c>
      <c r="H1159" s="775" t="s">
        <v>3137</v>
      </c>
      <c r="I1159" s="789" t="str">
        <f>F1157</f>
        <v>100</v>
      </c>
      <c r="J1159" s="762" t="str">
        <f>G1157</f>
        <v>ATENÇÃO A SAÚDE EM DEFESA DA VIDA</v>
      </c>
    </row>
    <row r="1160" spans="2:10" x14ac:dyDescent="0.25">
      <c r="B1160" s="1620"/>
      <c r="C1160" s="1621"/>
      <c r="D1160" s="1623"/>
      <c r="E1160" s="1620"/>
      <c r="F1160" s="1621"/>
      <c r="G1160" s="1624"/>
      <c r="H1160" s="776" t="s">
        <v>6941</v>
      </c>
      <c r="I1160" s="790">
        <f>F1159</f>
        <v>2029</v>
      </c>
      <c r="J1160" s="764" t="str">
        <f>G1159</f>
        <v>Gestão do Bloco Financiamento: Atenção Básica</v>
      </c>
    </row>
    <row r="1161" spans="2:10" ht="15.75" thickBot="1" x14ac:dyDescent="0.3">
      <c r="B1161" s="769" t="s">
        <v>6939</v>
      </c>
      <c r="C1161" s="1625">
        <f>'[3]Anexo I - Programas'!$H$769</f>
        <v>1600000</v>
      </c>
      <c r="D1161" s="1626"/>
      <c r="E1161" s="769" t="s">
        <v>6939</v>
      </c>
      <c r="F1161" s="1625">
        <f>'[3]Anexo I - Programas'!$J$769</f>
        <v>400000</v>
      </c>
      <c r="G1161" s="1627"/>
      <c r="H1161" s="778" t="s">
        <v>6939</v>
      </c>
      <c r="I1161" s="1625">
        <f>DESPORC!I3248</f>
        <v>310813.25648689736</v>
      </c>
      <c r="J1161" s="1627"/>
    </row>
    <row r="1162" spans="2:10" x14ac:dyDescent="0.25">
      <c r="B1162" s="1628" t="s">
        <v>3137</v>
      </c>
      <c r="C1162" s="1615" t="str">
        <f>'[3]Anexo I - Programas'!$B$722</f>
        <v>100</v>
      </c>
      <c r="D1162" s="1629" t="str">
        <f>'[3]Anexo I - Programas'!$C$722</f>
        <v>ATENÇÃO A SAÚDE EM DEFESA DA VIDA</v>
      </c>
      <c r="E1162" s="1628" t="s">
        <v>3137</v>
      </c>
      <c r="F1162" s="1615" t="str">
        <f>C1162</f>
        <v>100</v>
      </c>
      <c r="G1162" s="1617" t="str">
        <f>D1162</f>
        <v>ATENÇÃO A SAÚDE EM DEFESA DA VIDA</v>
      </c>
      <c r="H1162" s="773" t="s">
        <v>3138</v>
      </c>
      <c r="I1162" s="757">
        <f>DESPORC!C3271</f>
        <v>10</v>
      </c>
      <c r="J1162" s="765" t="str">
        <f>DESPORC!D3271</f>
        <v>Saúde</v>
      </c>
    </row>
    <row r="1163" spans="2:10" x14ac:dyDescent="0.25">
      <c r="B1163" s="1619"/>
      <c r="C1163" s="1616"/>
      <c r="D1163" s="1630"/>
      <c r="E1163" s="1619"/>
      <c r="F1163" s="1616"/>
      <c r="G1163" s="1618"/>
      <c r="H1163" s="774" t="s">
        <v>6940</v>
      </c>
      <c r="I1163" s="757">
        <f>DESPORC!C3272</f>
        <v>306</v>
      </c>
      <c r="J1163" s="765" t="str">
        <f>DESPORC!D3272</f>
        <v>Alimentação e Nutrição</v>
      </c>
    </row>
    <row r="1164" spans="2:10" x14ac:dyDescent="0.25">
      <c r="B1164" s="1619" t="s">
        <v>6941</v>
      </c>
      <c r="C1164" s="1616">
        <f>'[3]Anexo I - Programas'!$C$768</f>
        <v>2029</v>
      </c>
      <c r="D1164" s="1622" t="str">
        <f>'[3]Anexo I - Programas'!$D$768</f>
        <v>Gestão do Bloco Financiamento: Atenção Básica</v>
      </c>
      <c r="E1164" s="1619" t="s">
        <v>6941</v>
      </c>
      <c r="F1164" s="1616">
        <f>C1164</f>
        <v>2029</v>
      </c>
      <c r="G1164" s="1618" t="str">
        <f>D1164</f>
        <v>Gestão do Bloco Financiamento: Atenção Básica</v>
      </c>
      <c r="H1164" s="775" t="s">
        <v>3137</v>
      </c>
      <c r="I1164" s="789" t="str">
        <f>F1162</f>
        <v>100</v>
      </c>
      <c r="J1164" s="762" t="str">
        <f>G1162</f>
        <v>ATENÇÃO A SAÚDE EM DEFESA DA VIDA</v>
      </c>
    </row>
    <row r="1165" spans="2:10" x14ac:dyDescent="0.25">
      <c r="B1165" s="1620"/>
      <c r="C1165" s="1621"/>
      <c r="D1165" s="1623"/>
      <c r="E1165" s="1620"/>
      <c r="F1165" s="1621"/>
      <c r="G1165" s="1624"/>
      <c r="H1165" s="776" t="s">
        <v>6941</v>
      </c>
      <c r="I1165" s="790">
        <f>F1164</f>
        <v>2029</v>
      </c>
      <c r="J1165" s="764" t="str">
        <f>G1164</f>
        <v>Gestão do Bloco Financiamento: Atenção Básica</v>
      </c>
    </row>
    <row r="1166" spans="2:10" ht="15.75" thickBot="1" x14ac:dyDescent="0.3">
      <c r="B1166" s="769" t="s">
        <v>6939</v>
      </c>
      <c r="C1166" s="1625">
        <f>'[3]Anexo I - Programas'!$H$769</f>
        <v>1600000</v>
      </c>
      <c r="D1166" s="1626"/>
      <c r="E1166" s="769" t="s">
        <v>6939</v>
      </c>
      <c r="F1166" s="1625">
        <f>'[3]Anexo I - Programas'!$J$769</f>
        <v>400000</v>
      </c>
      <c r="G1166" s="1627"/>
      <c r="H1166" s="778" t="s">
        <v>6939</v>
      </c>
      <c r="I1166" s="1625">
        <f>DESPORC!I3274</f>
        <v>84450.805047905305</v>
      </c>
      <c r="J1166" s="1627"/>
    </row>
    <row r="1167" spans="2:10" x14ac:dyDescent="0.25">
      <c r="B1167" s="804"/>
      <c r="C1167" s="805"/>
      <c r="D1167" s="806"/>
      <c r="E1167" s="804"/>
      <c r="F1167" s="805"/>
      <c r="G1167" s="806"/>
      <c r="H1167" s="804"/>
      <c r="I1167" s="805"/>
      <c r="J1167" s="806"/>
    </row>
    <row r="1168" spans="2:10" ht="15.75" thickBot="1" x14ac:dyDescent="0.3">
      <c r="B1168" s="808"/>
      <c r="C1168" s="809"/>
      <c r="D1168" s="810"/>
      <c r="E1168" s="808"/>
      <c r="F1168" s="809"/>
      <c r="G1168" s="810"/>
      <c r="H1168" s="808"/>
      <c r="I1168" s="809"/>
      <c r="J1168" s="810"/>
    </row>
    <row r="1169" spans="2:10" x14ac:dyDescent="0.25">
      <c r="B1169" s="1628" t="s">
        <v>3137</v>
      </c>
      <c r="C1169" s="1615" t="str">
        <f>'[3]Anexo I - Programas'!$B$722</f>
        <v>100</v>
      </c>
      <c r="D1169" s="1629" t="str">
        <f>'[3]Anexo I - Programas'!$C$722</f>
        <v>ATENÇÃO A SAÚDE EM DEFESA DA VIDA</v>
      </c>
      <c r="E1169" s="1628" t="s">
        <v>3137</v>
      </c>
      <c r="F1169" s="1615" t="str">
        <f>C1169</f>
        <v>100</v>
      </c>
      <c r="G1169" s="1617" t="str">
        <f>D1169</f>
        <v>ATENÇÃO A SAÚDE EM DEFESA DA VIDA</v>
      </c>
      <c r="H1169" s="773" t="s">
        <v>3138</v>
      </c>
      <c r="I1169" s="757">
        <f>DESPORC!C3296</f>
        <v>10</v>
      </c>
      <c r="J1169" s="765" t="str">
        <f>DESPORC!D3296</f>
        <v>Saúde</v>
      </c>
    </row>
    <row r="1170" spans="2:10" x14ac:dyDescent="0.25">
      <c r="B1170" s="1619"/>
      <c r="C1170" s="1616"/>
      <c r="D1170" s="1630"/>
      <c r="E1170" s="1619"/>
      <c r="F1170" s="1616"/>
      <c r="G1170" s="1618"/>
      <c r="H1170" s="774" t="s">
        <v>6940</v>
      </c>
      <c r="I1170" s="757">
        <f>DESPORC!C3297</f>
        <v>302</v>
      </c>
      <c r="J1170" s="765" t="str">
        <f>DESPORC!D3297</f>
        <v>Assistência Hospitalar e Ambulatorial</v>
      </c>
    </row>
    <row r="1171" spans="2:10" x14ac:dyDescent="0.25">
      <c r="B1171" s="1619" t="s">
        <v>6941</v>
      </c>
      <c r="C1171" s="1616">
        <f>'[3]Anexo I - Programas'!$C$774</f>
        <v>2042</v>
      </c>
      <c r="D1171" s="1622" t="str">
        <f>'[3]Anexo I - Programas'!$D$774</f>
        <v>Gestão do Bloco Financiamento: Atenção de Média e Alta Complexidade Ambulatorial e Hospitalar</v>
      </c>
      <c r="E1171" s="1619" t="s">
        <v>6941</v>
      </c>
      <c r="F1171" s="1616">
        <f>C1171</f>
        <v>2042</v>
      </c>
      <c r="G1171" s="1618" t="str">
        <f>D1171</f>
        <v>Gestão do Bloco Financiamento: Atenção de Média e Alta Complexidade Ambulatorial e Hospitalar</v>
      </c>
      <c r="H1171" s="775" t="s">
        <v>3137</v>
      </c>
      <c r="I1171" s="789" t="str">
        <f>F1169</f>
        <v>100</v>
      </c>
      <c r="J1171" s="762" t="str">
        <f>G1169</f>
        <v>ATENÇÃO A SAÚDE EM DEFESA DA VIDA</v>
      </c>
    </row>
    <row r="1172" spans="2:10" ht="30" x14ac:dyDescent="0.25">
      <c r="B1172" s="1620"/>
      <c r="C1172" s="1621"/>
      <c r="D1172" s="1623"/>
      <c r="E1172" s="1620"/>
      <c r="F1172" s="1621"/>
      <c r="G1172" s="1624"/>
      <c r="H1172" s="776" t="s">
        <v>6941</v>
      </c>
      <c r="I1172" s="790">
        <f>F1171</f>
        <v>2042</v>
      </c>
      <c r="J1172" s="764" t="str">
        <f>G1171</f>
        <v>Gestão do Bloco Financiamento: Atenção de Média e Alta Complexidade Ambulatorial e Hospitalar</v>
      </c>
    </row>
    <row r="1173" spans="2:10" ht="15.75" thickBot="1" x14ac:dyDescent="0.3">
      <c r="B1173" s="769" t="s">
        <v>6939</v>
      </c>
      <c r="C1173" s="1625">
        <f>'[3]Anexo I - Programas'!$H$775</f>
        <v>1000000</v>
      </c>
      <c r="D1173" s="1626"/>
      <c r="E1173" s="769" t="s">
        <v>6939</v>
      </c>
      <c r="F1173" s="1625">
        <f>'[3]Anexo I - Programas'!$J$775</f>
        <v>250000</v>
      </c>
      <c r="G1173" s="1627"/>
      <c r="H1173" s="778" t="s">
        <v>6939</v>
      </c>
      <c r="I1173" s="1625">
        <f>DESPORC!I3299</f>
        <v>397169.9117329049</v>
      </c>
      <c r="J1173" s="1627"/>
    </row>
    <row r="1174" spans="2:10" x14ac:dyDescent="0.25">
      <c r="B1174" s="1628" t="s">
        <v>3137</v>
      </c>
      <c r="C1174" s="1615" t="str">
        <f>'[3]Anexo I - Programas'!$B$722</f>
        <v>100</v>
      </c>
      <c r="D1174" s="1629" t="str">
        <f>'[3]Anexo I - Programas'!$C$722</f>
        <v>ATENÇÃO A SAÚDE EM DEFESA DA VIDA</v>
      </c>
      <c r="E1174" s="1628" t="s">
        <v>3137</v>
      </c>
      <c r="F1174" s="1615" t="str">
        <f>C1174</f>
        <v>100</v>
      </c>
      <c r="G1174" s="1617" t="str">
        <f>D1174</f>
        <v>ATENÇÃO A SAÚDE EM DEFESA DA VIDA</v>
      </c>
      <c r="H1174" s="773" t="s">
        <v>3138</v>
      </c>
      <c r="I1174" s="757">
        <f>DESPORC!C3326</f>
        <v>10</v>
      </c>
      <c r="J1174" s="765" t="str">
        <f>DESPORC!D3326</f>
        <v>Saúde</v>
      </c>
    </row>
    <row r="1175" spans="2:10" x14ac:dyDescent="0.25">
      <c r="B1175" s="1619"/>
      <c r="C1175" s="1616"/>
      <c r="D1175" s="1630"/>
      <c r="E1175" s="1619"/>
      <c r="F1175" s="1616"/>
      <c r="G1175" s="1618"/>
      <c r="H1175" s="774" t="s">
        <v>6940</v>
      </c>
      <c r="I1175" s="757">
        <f>DESPORC!C3327</f>
        <v>303</v>
      </c>
      <c r="J1175" s="765" t="str">
        <f>DESPORC!D3327</f>
        <v>Suporte Profilático e Terapêutico</v>
      </c>
    </row>
    <row r="1176" spans="2:10" x14ac:dyDescent="0.25">
      <c r="B1176" s="1619" t="s">
        <v>6941</v>
      </c>
      <c r="C1176" s="1616">
        <f>'[3]Anexo I - Programas'!$C$780</f>
        <v>2043</v>
      </c>
      <c r="D1176" s="1622" t="str">
        <f>'[3]Anexo I - Programas'!$D$780</f>
        <v>Gestão do Bloco Financiamento: Assistência Farmacêutica</v>
      </c>
      <c r="E1176" s="1619" t="s">
        <v>6941</v>
      </c>
      <c r="F1176" s="1616">
        <f>C1176</f>
        <v>2043</v>
      </c>
      <c r="G1176" s="1618" t="str">
        <f>D1176</f>
        <v>Gestão do Bloco Financiamento: Assistência Farmacêutica</v>
      </c>
      <c r="H1176" s="775" t="s">
        <v>3137</v>
      </c>
      <c r="I1176" s="789" t="str">
        <f>F1174</f>
        <v>100</v>
      </c>
      <c r="J1176" s="762" t="str">
        <f>G1174</f>
        <v>ATENÇÃO A SAÚDE EM DEFESA DA VIDA</v>
      </c>
    </row>
    <row r="1177" spans="2:10" x14ac:dyDescent="0.25">
      <c r="B1177" s="1620"/>
      <c r="C1177" s="1621"/>
      <c r="D1177" s="1623"/>
      <c r="E1177" s="1620"/>
      <c r="F1177" s="1621"/>
      <c r="G1177" s="1624"/>
      <c r="H1177" s="776" t="s">
        <v>6941</v>
      </c>
      <c r="I1177" s="790">
        <f>F1176</f>
        <v>2043</v>
      </c>
      <c r="J1177" s="764" t="str">
        <f>G1176</f>
        <v>Gestão do Bloco Financiamento: Assistência Farmacêutica</v>
      </c>
    </row>
    <row r="1178" spans="2:10" ht="15.75" thickBot="1" x14ac:dyDescent="0.3">
      <c r="B1178" s="769" t="s">
        <v>6939</v>
      </c>
      <c r="C1178" s="1625">
        <f>'[3]Anexo I - Programas'!$H$781</f>
        <v>500000</v>
      </c>
      <c r="D1178" s="1626"/>
      <c r="E1178" s="769" t="s">
        <v>6939</v>
      </c>
      <c r="F1178" s="1625">
        <f>'[3]Anexo I - Programas'!$J$781</f>
        <v>125000</v>
      </c>
      <c r="G1178" s="1627"/>
      <c r="H1178" s="778" t="s">
        <v>6939</v>
      </c>
      <c r="I1178" s="1625">
        <f>DESPORC!I3329</f>
        <v>126608.80363845766</v>
      </c>
      <c r="J1178" s="1627"/>
    </row>
    <row r="1179" spans="2:10" x14ac:dyDescent="0.25">
      <c r="B1179" s="1628" t="s">
        <v>3137</v>
      </c>
      <c r="C1179" s="1615" t="str">
        <f>'[3]Anexo I - Programas'!$B$722</f>
        <v>100</v>
      </c>
      <c r="D1179" s="1629" t="str">
        <f>'[3]Anexo I - Programas'!$C$722</f>
        <v>ATENÇÃO A SAÚDE EM DEFESA DA VIDA</v>
      </c>
      <c r="E1179" s="1628" t="s">
        <v>3137</v>
      </c>
      <c r="F1179" s="1615" t="str">
        <f>C1179</f>
        <v>100</v>
      </c>
      <c r="G1179" s="1617" t="str">
        <f>D1179</f>
        <v>ATENÇÃO A SAÚDE EM DEFESA DA VIDA</v>
      </c>
      <c r="H1179" s="773" t="s">
        <v>3138</v>
      </c>
      <c r="I1179" s="757">
        <f>DESPORC!C3352</f>
        <v>10</v>
      </c>
      <c r="J1179" s="765" t="str">
        <f>DESPORC!D3352</f>
        <v>Saúde</v>
      </c>
    </row>
    <row r="1180" spans="2:10" x14ac:dyDescent="0.25">
      <c r="B1180" s="1619"/>
      <c r="C1180" s="1616"/>
      <c r="D1180" s="1630"/>
      <c r="E1180" s="1619"/>
      <c r="F1180" s="1616"/>
      <c r="G1180" s="1618"/>
      <c r="H1180" s="774" t="s">
        <v>6940</v>
      </c>
      <c r="I1180" s="757">
        <f>DESPORC!C3353</f>
        <v>304</v>
      </c>
      <c r="J1180" s="765" t="str">
        <f>DESPORC!D3353</f>
        <v>Vigilância Sanitária</v>
      </c>
    </row>
    <row r="1181" spans="2:10" x14ac:dyDescent="0.25">
      <c r="B1181" s="1619" t="s">
        <v>6941</v>
      </c>
      <c r="C1181" s="1616">
        <f>'[3]Anexo I - Programas'!$C$798</f>
        <v>2046</v>
      </c>
      <c r="D1181" s="1622" t="str">
        <f>'[3]Anexo I - Programas'!$D$798</f>
        <v>Gestão do Bloco Financiamento: Vigilância em Saúde</v>
      </c>
      <c r="E1181" s="1619" t="s">
        <v>6941</v>
      </c>
      <c r="F1181" s="1616">
        <f>C1181</f>
        <v>2046</v>
      </c>
      <c r="G1181" s="1618" t="str">
        <f>D1181</f>
        <v>Gestão do Bloco Financiamento: Vigilância em Saúde</v>
      </c>
      <c r="H1181" s="775" t="s">
        <v>3137</v>
      </c>
      <c r="I1181" s="789" t="str">
        <f>F1179</f>
        <v>100</v>
      </c>
      <c r="J1181" s="762" t="str">
        <f>G1179</f>
        <v>ATENÇÃO A SAÚDE EM DEFESA DA VIDA</v>
      </c>
    </row>
    <row r="1182" spans="2:10" x14ac:dyDescent="0.25">
      <c r="B1182" s="1620"/>
      <c r="C1182" s="1621"/>
      <c r="D1182" s="1623"/>
      <c r="E1182" s="1620"/>
      <c r="F1182" s="1621"/>
      <c r="G1182" s="1624"/>
      <c r="H1182" s="776" t="s">
        <v>6941</v>
      </c>
      <c r="I1182" s="790">
        <f>F1181</f>
        <v>2046</v>
      </c>
      <c r="J1182" s="764" t="str">
        <f>G1181</f>
        <v>Gestão do Bloco Financiamento: Vigilância em Saúde</v>
      </c>
    </row>
    <row r="1183" spans="2:10" ht="15.75" thickBot="1" x14ac:dyDescent="0.3">
      <c r="B1183" s="769" t="s">
        <v>6939</v>
      </c>
      <c r="C1183" s="1625">
        <f>'[3]Anexo I - Programas'!$H$799</f>
        <v>100000</v>
      </c>
      <c r="D1183" s="1626"/>
      <c r="E1183" s="769" t="s">
        <v>6939</v>
      </c>
      <c r="F1183" s="1625">
        <f>'[3]Anexo I - Programas'!$J$799</f>
        <v>25000</v>
      </c>
      <c r="G1183" s="1627"/>
      <c r="H1183" s="778" t="s">
        <v>6939</v>
      </c>
      <c r="I1183" s="1625">
        <f>DESPORC!I3355</f>
        <v>0.22000000000000006</v>
      </c>
      <c r="J1183" s="1627"/>
    </row>
    <row r="1184" spans="2:10" x14ac:dyDescent="0.25">
      <c r="B1184" s="1628" t="s">
        <v>3137</v>
      </c>
      <c r="C1184" s="1615" t="str">
        <f>'[3]Anexo I - Programas'!$B$722</f>
        <v>100</v>
      </c>
      <c r="D1184" s="1629" t="str">
        <f>'[3]Anexo I - Programas'!$C$722</f>
        <v>ATENÇÃO A SAÚDE EM DEFESA DA VIDA</v>
      </c>
      <c r="E1184" s="1628" t="s">
        <v>3137</v>
      </c>
      <c r="F1184" s="1615" t="str">
        <f>C1184</f>
        <v>100</v>
      </c>
      <c r="G1184" s="1617" t="str">
        <f>D1184</f>
        <v>ATENÇÃO A SAÚDE EM DEFESA DA VIDA</v>
      </c>
      <c r="H1184" s="773" t="s">
        <v>3138</v>
      </c>
      <c r="I1184" s="757">
        <f>DESPORC!C3378</f>
        <v>10</v>
      </c>
      <c r="J1184" s="765" t="str">
        <f>DESPORC!D3378</f>
        <v>Saúde</v>
      </c>
    </row>
    <row r="1185" spans="2:10" x14ac:dyDescent="0.25">
      <c r="B1185" s="1619"/>
      <c r="C1185" s="1616"/>
      <c r="D1185" s="1630"/>
      <c r="E1185" s="1619"/>
      <c r="F1185" s="1616"/>
      <c r="G1185" s="1618"/>
      <c r="H1185" s="774" t="s">
        <v>6940</v>
      </c>
      <c r="I1185" s="757">
        <f>DESPORC!C3379</f>
        <v>305</v>
      </c>
      <c r="J1185" s="765" t="str">
        <f>DESPORC!D3379</f>
        <v>Vigilância Epidemiológica</v>
      </c>
    </row>
    <row r="1186" spans="2:10" x14ac:dyDescent="0.25">
      <c r="B1186" s="1619" t="s">
        <v>6941</v>
      </c>
      <c r="C1186" s="1616">
        <f>'[3]Anexo I - Programas'!$C$798</f>
        <v>2046</v>
      </c>
      <c r="D1186" s="1622" t="str">
        <f>'[3]Anexo I - Programas'!$D$798</f>
        <v>Gestão do Bloco Financiamento: Vigilância em Saúde</v>
      </c>
      <c r="E1186" s="1619" t="s">
        <v>6941</v>
      </c>
      <c r="F1186" s="1616">
        <f>C1186</f>
        <v>2046</v>
      </c>
      <c r="G1186" s="1618" t="str">
        <f>D1186</f>
        <v>Gestão do Bloco Financiamento: Vigilância em Saúde</v>
      </c>
      <c r="H1186" s="775" t="s">
        <v>3137</v>
      </c>
      <c r="I1186" s="789" t="str">
        <f>F1184</f>
        <v>100</v>
      </c>
      <c r="J1186" s="762" t="str">
        <f>G1184</f>
        <v>ATENÇÃO A SAÚDE EM DEFESA DA VIDA</v>
      </c>
    </row>
    <row r="1187" spans="2:10" x14ac:dyDescent="0.25">
      <c r="B1187" s="1620"/>
      <c r="C1187" s="1621"/>
      <c r="D1187" s="1623"/>
      <c r="E1187" s="1620"/>
      <c r="F1187" s="1621"/>
      <c r="G1187" s="1624"/>
      <c r="H1187" s="776" t="s">
        <v>6941</v>
      </c>
      <c r="I1187" s="790">
        <f>F1186</f>
        <v>2046</v>
      </c>
      <c r="J1187" s="764" t="str">
        <f>G1186</f>
        <v>Gestão do Bloco Financiamento: Vigilância em Saúde</v>
      </c>
    </row>
    <row r="1188" spans="2:10" ht="15.75" thickBot="1" x14ac:dyDescent="0.3">
      <c r="B1188" s="769" t="s">
        <v>6939</v>
      </c>
      <c r="C1188" s="1625">
        <f>'[3]Anexo I - Programas'!$H$799</f>
        <v>100000</v>
      </c>
      <c r="D1188" s="1626"/>
      <c r="E1188" s="769" t="s">
        <v>6939</v>
      </c>
      <c r="F1188" s="1625">
        <f>'[3]Anexo I - Programas'!$J$799</f>
        <v>25000</v>
      </c>
      <c r="G1188" s="1627"/>
      <c r="H1188" s="778" t="s">
        <v>6939</v>
      </c>
      <c r="I1188" s="1625">
        <f>DESPORC!I3381</f>
        <v>0.22000000000000006</v>
      </c>
      <c r="J1188" s="1627"/>
    </row>
    <row r="1189" spans="2:10" x14ac:dyDescent="0.25">
      <c r="J1189" s="15"/>
    </row>
    <row r="1190" spans="2:10" x14ac:dyDescent="0.25">
      <c r="B1190" s="1631" t="s">
        <v>6927</v>
      </c>
      <c r="C1190" s="1631"/>
      <c r="D1190" s="755" t="str">
        <f>DESPORC!C3410</f>
        <v>04 - SECRETARIA MUNICIPAL DE SAÚDE</v>
      </c>
      <c r="E1190" s="791"/>
      <c r="F1190" s="792"/>
      <c r="G1190" s="792"/>
      <c r="H1190" s="791"/>
      <c r="I1190" s="792"/>
      <c r="J1190" s="792"/>
    </row>
    <row r="1191" spans="2:10" ht="15.75" thickBot="1" x14ac:dyDescent="0.3">
      <c r="B1191" s="1632" t="s">
        <v>3087</v>
      </c>
      <c r="C1191" s="1632"/>
      <c r="D1191" s="755" t="str">
        <f>DESPORC!C3411</f>
        <v>03 - FUNDO MUNICIPAL DE SAÚDE - PROGRAMAS ESTADUAIS</v>
      </c>
      <c r="E1191" s="791"/>
      <c r="F1191" s="36"/>
      <c r="G1191" s="1"/>
      <c r="H1191" s="772"/>
      <c r="I1191" s="1"/>
      <c r="J1191" s="1"/>
    </row>
    <row r="1192" spans="2:10" ht="15.75" thickBot="1" x14ac:dyDescent="0.3">
      <c r="B1192" s="1633" t="str">
        <f>B$10</f>
        <v>PPA LEI MUNICIPAL N.º 1091  DE 16 DE JUNHO DE 2017.</v>
      </c>
      <c r="C1192" s="1634"/>
      <c r="D1192" s="1635"/>
      <c r="E1192" s="1633" t="str">
        <f>E$10</f>
        <v>LDO LEI MUNICIPAL N.º 1166  DE 10 DE OUTUBRO DE 2019.</v>
      </c>
      <c r="F1192" s="1634"/>
      <c r="G1192" s="1635"/>
      <c r="H1192" s="1633" t="str">
        <f>H$10</f>
        <v>LOA 2020</v>
      </c>
      <c r="I1192" s="1634"/>
      <c r="J1192" s="1635"/>
    </row>
    <row r="1193" spans="2:10" x14ac:dyDescent="0.25">
      <c r="B1193" s="1628" t="s">
        <v>3137</v>
      </c>
      <c r="C1193" s="1615" t="str">
        <f>'[3]Anexo I - Programas'!$B$722</f>
        <v>100</v>
      </c>
      <c r="D1193" s="1629" t="str">
        <f>'[3]Anexo I - Programas'!$C$722</f>
        <v>ATENÇÃO A SAÚDE EM DEFESA DA VIDA</v>
      </c>
      <c r="E1193" s="1628" t="s">
        <v>3137</v>
      </c>
      <c r="F1193" s="1615" t="str">
        <f>C1193</f>
        <v>100</v>
      </c>
      <c r="G1193" s="1617" t="str">
        <f>D1193</f>
        <v>ATENÇÃO A SAÚDE EM DEFESA DA VIDA</v>
      </c>
      <c r="H1193" s="773" t="s">
        <v>3138</v>
      </c>
      <c r="I1193" s="757">
        <f>DESPORC!C3413</f>
        <v>10</v>
      </c>
      <c r="J1193" s="765" t="str">
        <f>DESPORC!D3413</f>
        <v>Saúde</v>
      </c>
    </row>
    <row r="1194" spans="2:10" x14ac:dyDescent="0.25">
      <c r="B1194" s="1619"/>
      <c r="C1194" s="1616"/>
      <c r="D1194" s="1630"/>
      <c r="E1194" s="1619"/>
      <c r="F1194" s="1616"/>
      <c r="G1194" s="1618"/>
      <c r="H1194" s="774" t="s">
        <v>6940</v>
      </c>
      <c r="I1194" s="757">
        <f>DESPORC!C3414</f>
        <v>301</v>
      </c>
      <c r="J1194" s="765" t="str">
        <f>DESPORC!D3414</f>
        <v>Atenção Básica</v>
      </c>
    </row>
    <row r="1195" spans="2:10" x14ac:dyDescent="0.25">
      <c r="B1195" s="1619" t="s">
        <v>6941</v>
      </c>
      <c r="C1195" s="1616">
        <f>'[3]Anexo I - Programas'!$C$741</f>
        <v>1025</v>
      </c>
      <c r="D1195" s="1622" t="str">
        <f>'[3]Anexo I - Programas'!$D$746</f>
        <v>GEST. BLOCO FINAN.: INVEST. EM ASSIST. HOSP. E AMBUL. - MÉDIA E ALTA COMPLEXIDADE</v>
      </c>
      <c r="E1195" s="1619" t="s">
        <v>6941</v>
      </c>
      <c r="F1195" s="1616">
        <f>C1195</f>
        <v>1025</v>
      </c>
      <c r="G1195" s="1618" t="str">
        <f>D1195</f>
        <v>GEST. BLOCO FINAN.: INVEST. EM ASSIST. HOSP. E AMBUL. - MÉDIA E ALTA COMPLEXIDADE</v>
      </c>
      <c r="H1195" s="775" t="s">
        <v>3137</v>
      </c>
      <c r="I1195" s="789" t="str">
        <f>F1193</f>
        <v>100</v>
      </c>
      <c r="J1195" s="762" t="str">
        <f>G1193</f>
        <v>ATENÇÃO A SAÚDE EM DEFESA DA VIDA</v>
      </c>
    </row>
    <row r="1196" spans="2:10" ht="30" x14ac:dyDescent="0.25">
      <c r="B1196" s="1620"/>
      <c r="C1196" s="1621"/>
      <c r="D1196" s="1623"/>
      <c r="E1196" s="1620"/>
      <c r="F1196" s="1621"/>
      <c r="G1196" s="1624"/>
      <c r="H1196" s="776" t="s">
        <v>6941</v>
      </c>
      <c r="I1196" s="790">
        <f>F1195</f>
        <v>1025</v>
      </c>
      <c r="J1196" s="764" t="str">
        <f>G1195</f>
        <v>GEST. BLOCO FINAN.: INVEST. EM ASSIST. HOSP. E AMBUL. - MÉDIA E ALTA COMPLEXIDADE</v>
      </c>
    </row>
    <row r="1197" spans="2:10" ht="15.75" thickBot="1" x14ac:dyDescent="0.3">
      <c r="B1197" s="769" t="s">
        <v>6939</v>
      </c>
      <c r="C1197" s="1625">
        <f>'[3]Anexo I - Programas'!$H$742</f>
        <v>300000</v>
      </c>
      <c r="D1197" s="1626"/>
      <c r="E1197" s="769" t="s">
        <v>6939</v>
      </c>
      <c r="F1197" s="1625">
        <f>'[3]Anexo I - Programas'!$J$742</f>
        <v>75000</v>
      </c>
      <c r="G1197" s="1627"/>
      <c r="H1197" s="778" t="s">
        <v>6939</v>
      </c>
      <c r="I1197" s="1625">
        <f>DESPORC!I3416+DESPORC!I3425</f>
        <v>2.06</v>
      </c>
      <c r="J1197" s="1627"/>
    </row>
    <row r="1198" spans="2:10" x14ac:dyDescent="0.25">
      <c r="B1198" s="1628" t="s">
        <v>3137</v>
      </c>
      <c r="C1198" s="1615" t="str">
        <f>'[3]Anexo I - Programas'!$B$722</f>
        <v>100</v>
      </c>
      <c r="D1198" s="1629" t="str">
        <f>'[3]Anexo I - Programas'!$C$722</f>
        <v>ATENÇÃO A SAÚDE EM DEFESA DA VIDA</v>
      </c>
      <c r="E1198" s="1628" t="s">
        <v>3137</v>
      </c>
      <c r="F1198" s="1615" t="str">
        <f>C1198</f>
        <v>100</v>
      </c>
      <c r="G1198" s="1617" t="str">
        <f>D1198</f>
        <v>ATENÇÃO A SAÚDE EM DEFESA DA VIDA</v>
      </c>
      <c r="H1198" s="773" t="s">
        <v>3138</v>
      </c>
      <c r="I1198" s="757">
        <f>DESPORC!C3432</f>
        <v>10</v>
      </c>
      <c r="J1198" s="765" t="str">
        <f>DESPORC!D3432</f>
        <v>Saúde</v>
      </c>
    </row>
    <row r="1199" spans="2:10" x14ac:dyDescent="0.25">
      <c r="B1199" s="1619"/>
      <c r="C1199" s="1616"/>
      <c r="D1199" s="1630"/>
      <c r="E1199" s="1619"/>
      <c r="F1199" s="1616"/>
      <c r="G1199" s="1618"/>
      <c r="H1199" s="774" t="s">
        <v>6940</v>
      </c>
      <c r="I1199" s="757">
        <f>DESPORC!C3433</f>
        <v>301</v>
      </c>
      <c r="J1199" s="765" t="str">
        <f>DESPORC!D3433</f>
        <v>Atenção Básica</v>
      </c>
    </row>
    <row r="1200" spans="2:10" x14ac:dyDescent="0.25">
      <c r="B1200" s="1619" t="s">
        <v>6941</v>
      </c>
      <c r="C1200" s="1616">
        <f>'[3]Anexo I - Programas'!$C$768</f>
        <v>2029</v>
      </c>
      <c r="D1200" s="1622" t="str">
        <f>'[3]Anexo I - Programas'!$D$768</f>
        <v>Gestão do Bloco Financiamento: Atenção Básica</v>
      </c>
      <c r="E1200" s="1619" t="s">
        <v>6941</v>
      </c>
      <c r="F1200" s="1616">
        <f>C1200</f>
        <v>2029</v>
      </c>
      <c r="G1200" s="1618" t="str">
        <f>D1200</f>
        <v>Gestão do Bloco Financiamento: Atenção Básica</v>
      </c>
      <c r="H1200" s="775" t="s">
        <v>3137</v>
      </c>
      <c r="I1200" s="789" t="str">
        <f>F1198</f>
        <v>100</v>
      </c>
      <c r="J1200" s="762" t="str">
        <f>G1198</f>
        <v>ATENÇÃO A SAÚDE EM DEFESA DA VIDA</v>
      </c>
    </row>
    <row r="1201" spans="2:10" x14ac:dyDescent="0.25">
      <c r="B1201" s="1620"/>
      <c r="C1201" s="1621"/>
      <c r="D1201" s="1623"/>
      <c r="E1201" s="1620"/>
      <c r="F1201" s="1621"/>
      <c r="G1201" s="1624"/>
      <c r="H1201" s="776" t="s">
        <v>6941</v>
      </c>
      <c r="I1201" s="790">
        <f>F1200</f>
        <v>2029</v>
      </c>
      <c r="J1201" s="764" t="str">
        <f>G1200</f>
        <v>Gestão do Bloco Financiamento: Atenção Básica</v>
      </c>
    </row>
    <row r="1202" spans="2:10" ht="15.75" thickBot="1" x14ac:dyDescent="0.3">
      <c r="B1202" s="769" t="s">
        <v>6939</v>
      </c>
      <c r="C1202" s="1625">
        <f>'[3]Anexo I - Programas'!$H$769</f>
        <v>1600000</v>
      </c>
      <c r="D1202" s="1626"/>
      <c r="E1202" s="769" t="s">
        <v>6939</v>
      </c>
      <c r="F1202" s="1625">
        <f>'[3]Anexo I - Programas'!$J$769</f>
        <v>400000</v>
      </c>
      <c r="G1202" s="1627"/>
      <c r="H1202" s="778" t="s">
        <v>6939</v>
      </c>
      <c r="I1202" s="1625">
        <f>DESPORC!I3434+DESPORC!I3450+DESPORC!I3462</f>
        <v>180201.25201749511</v>
      </c>
      <c r="J1202" s="1627"/>
    </row>
    <row r="1203" spans="2:10" x14ac:dyDescent="0.25">
      <c r="B1203" s="1628" t="s">
        <v>3137</v>
      </c>
      <c r="C1203" s="1615" t="str">
        <f>'[3]Anexo I - Programas'!$B$722</f>
        <v>100</v>
      </c>
      <c r="D1203" s="1629" t="str">
        <f>'[3]Anexo I - Programas'!$C$722</f>
        <v>ATENÇÃO A SAÚDE EM DEFESA DA VIDA</v>
      </c>
      <c r="E1203" s="1628" t="s">
        <v>3137</v>
      </c>
      <c r="F1203" s="1615" t="str">
        <f>C1203</f>
        <v>100</v>
      </c>
      <c r="G1203" s="1617" t="str">
        <f>D1203</f>
        <v>ATENÇÃO A SAÚDE EM DEFESA DA VIDA</v>
      </c>
      <c r="H1203" s="773" t="s">
        <v>3138</v>
      </c>
      <c r="I1203" s="757">
        <f>DESPORC!C3464</f>
        <v>10</v>
      </c>
      <c r="J1203" s="765" t="str">
        <f>DESPORC!D3464</f>
        <v>Saúde</v>
      </c>
    </row>
    <row r="1204" spans="2:10" x14ac:dyDescent="0.25">
      <c r="B1204" s="1619"/>
      <c r="C1204" s="1616"/>
      <c r="D1204" s="1630"/>
      <c r="E1204" s="1619"/>
      <c r="F1204" s="1616"/>
      <c r="G1204" s="1618"/>
      <c r="H1204" s="774" t="s">
        <v>6940</v>
      </c>
      <c r="I1204" s="757">
        <f>DESPORC!C3465</f>
        <v>302</v>
      </c>
      <c r="J1204" s="765" t="str">
        <f>DESPORC!D3465</f>
        <v>Assistência Hospitalar e Ambulatorial</v>
      </c>
    </row>
    <row r="1205" spans="2:10" x14ac:dyDescent="0.25">
      <c r="B1205" s="1619" t="s">
        <v>6941</v>
      </c>
      <c r="C1205" s="1616">
        <f>'[3]Anexo I - Programas'!$C$774</f>
        <v>2042</v>
      </c>
      <c r="D1205" s="1622" t="str">
        <f>'[3]Anexo I - Programas'!$D$774</f>
        <v>Gestão do Bloco Financiamento: Atenção de Média e Alta Complexidade Ambulatorial e Hospitalar</v>
      </c>
      <c r="E1205" s="1619" t="s">
        <v>6941</v>
      </c>
      <c r="F1205" s="1616">
        <f>C1205</f>
        <v>2042</v>
      </c>
      <c r="G1205" s="1618" t="str">
        <f>D1205</f>
        <v>Gestão do Bloco Financiamento: Atenção de Média e Alta Complexidade Ambulatorial e Hospitalar</v>
      </c>
      <c r="H1205" s="775" t="s">
        <v>3137</v>
      </c>
      <c r="I1205" s="789" t="str">
        <f>F1203</f>
        <v>100</v>
      </c>
      <c r="J1205" s="762" t="str">
        <f>G1203</f>
        <v>ATENÇÃO A SAÚDE EM DEFESA DA VIDA</v>
      </c>
    </row>
    <row r="1206" spans="2:10" ht="30" x14ac:dyDescent="0.25">
      <c r="B1206" s="1620"/>
      <c r="C1206" s="1621"/>
      <c r="D1206" s="1623"/>
      <c r="E1206" s="1620"/>
      <c r="F1206" s="1621"/>
      <c r="G1206" s="1624"/>
      <c r="H1206" s="776" t="s">
        <v>6941</v>
      </c>
      <c r="I1206" s="790">
        <f>F1205</f>
        <v>2042</v>
      </c>
      <c r="J1206" s="764" t="str">
        <f>G1205</f>
        <v>Gestão do Bloco Financiamento: Atenção de Média e Alta Complexidade Ambulatorial e Hospitalar</v>
      </c>
    </row>
    <row r="1207" spans="2:10" ht="15.75" thickBot="1" x14ac:dyDescent="0.3">
      <c r="B1207" s="769" t="s">
        <v>6939</v>
      </c>
      <c r="C1207" s="1625">
        <f>'[3]Anexo I - Programas'!$H$775</f>
        <v>1000000</v>
      </c>
      <c r="D1207" s="1626"/>
      <c r="E1207" s="769" t="s">
        <v>6939</v>
      </c>
      <c r="F1207" s="1625">
        <f>'[3]Anexo I - Programas'!$J$775</f>
        <v>250000</v>
      </c>
      <c r="G1207" s="1627"/>
      <c r="H1207" s="778" t="s">
        <v>6939</v>
      </c>
      <c r="I1207" s="1625">
        <f>DESPORC!I3466+DESPORC!I3480</f>
        <v>33249.434048455747</v>
      </c>
      <c r="J1207" s="1627"/>
    </row>
    <row r="1208" spans="2:10" x14ac:dyDescent="0.25">
      <c r="B1208" s="804"/>
      <c r="C1208" s="805"/>
      <c r="D1208" s="806"/>
      <c r="E1208" s="804"/>
      <c r="F1208" s="805"/>
      <c r="G1208" s="806"/>
      <c r="H1208" s="804"/>
      <c r="I1208" s="805"/>
      <c r="J1208" s="806"/>
    </row>
    <row r="1209" spans="2:10" x14ac:dyDescent="0.25">
      <c r="B1209" s="267"/>
      <c r="C1209" s="807"/>
      <c r="D1209" s="257"/>
      <c r="E1209" s="267"/>
      <c r="F1209" s="807"/>
      <c r="G1209" s="257"/>
      <c r="H1209" s="267"/>
      <c r="I1209" s="807"/>
      <c r="J1209" s="257"/>
    </row>
    <row r="1210" spans="2:10" x14ac:dyDescent="0.25">
      <c r="B1210" s="267"/>
      <c r="C1210" s="807"/>
      <c r="D1210" s="257"/>
      <c r="E1210" s="267"/>
      <c r="F1210" s="807"/>
      <c r="G1210" s="257"/>
      <c r="H1210" s="267"/>
      <c r="I1210" s="807"/>
      <c r="J1210" s="257"/>
    </row>
    <row r="1211" spans="2:10" x14ac:dyDescent="0.25">
      <c r="B1211" s="267"/>
      <c r="C1211" s="807"/>
      <c r="D1211" s="257"/>
      <c r="E1211" s="267"/>
      <c r="F1211" s="807"/>
      <c r="G1211" s="257"/>
      <c r="H1211" s="267"/>
      <c r="I1211" s="807"/>
      <c r="J1211" s="257"/>
    </row>
    <row r="1212" spans="2:10" x14ac:dyDescent="0.25">
      <c r="B1212" s="267"/>
      <c r="C1212" s="807"/>
      <c r="D1212" s="257"/>
      <c r="E1212" s="267"/>
      <c r="F1212" s="807"/>
      <c r="G1212" s="257"/>
      <c r="H1212" s="267"/>
      <c r="I1212" s="807"/>
      <c r="J1212" s="257"/>
    </row>
    <row r="1213" spans="2:10" ht="15.75" thickBot="1" x14ac:dyDescent="0.3">
      <c r="B1213" s="808"/>
      <c r="C1213" s="809"/>
      <c r="D1213" s="810"/>
      <c r="E1213" s="808"/>
      <c r="F1213" s="809"/>
      <c r="G1213" s="810"/>
      <c r="H1213" s="808"/>
      <c r="I1213" s="809"/>
      <c r="J1213" s="810"/>
    </row>
    <row r="1214" spans="2:10" x14ac:dyDescent="0.25">
      <c r="B1214" s="1628" t="s">
        <v>3137</v>
      </c>
      <c r="C1214" s="1615" t="str">
        <f>'[3]Anexo I - Programas'!$B$722</f>
        <v>100</v>
      </c>
      <c r="D1214" s="1629" t="str">
        <f>'[3]Anexo I - Programas'!$C$722</f>
        <v>ATENÇÃO A SAÚDE EM DEFESA DA VIDA</v>
      </c>
      <c r="E1214" s="1628" t="s">
        <v>3137</v>
      </c>
      <c r="F1214" s="1615" t="str">
        <f>C1214</f>
        <v>100</v>
      </c>
      <c r="G1214" s="1617" t="str">
        <f>D1214</f>
        <v>ATENÇÃO A SAÚDE EM DEFESA DA VIDA</v>
      </c>
      <c r="H1214" s="773" t="s">
        <v>3138</v>
      </c>
      <c r="I1214" s="757">
        <f>DESPORC!C3486</f>
        <v>10</v>
      </c>
      <c r="J1214" s="765" t="str">
        <f>DESPORC!D3486</f>
        <v>Saúde</v>
      </c>
    </row>
    <row r="1215" spans="2:10" x14ac:dyDescent="0.25">
      <c r="B1215" s="1619"/>
      <c r="C1215" s="1616"/>
      <c r="D1215" s="1630"/>
      <c r="E1215" s="1619"/>
      <c r="F1215" s="1616"/>
      <c r="G1215" s="1618"/>
      <c r="H1215" s="774" t="s">
        <v>6940</v>
      </c>
      <c r="I1215" s="757">
        <f>DESPORC!C3487</f>
        <v>303</v>
      </c>
      <c r="J1215" s="765" t="str">
        <f>DESPORC!D3487</f>
        <v>Suporte Profilático e Terapêutico</v>
      </c>
    </row>
    <row r="1216" spans="2:10" x14ac:dyDescent="0.25">
      <c r="B1216" s="1619" t="s">
        <v>6941</v>
      </c>
      <c r="C1216" s="1616">
        <f>'[3]Anexo I - Programas'!$C$780</f>
        <v>2043</v>
      </c>
      <c r="D1216" s="1622" t="str">
        <f>'[3]Anexo I - Programas'!$D$774</f>
        <v>Gestão do Bloco Financiamento: Atenção de Média e Alta Complexidade Ambulatorial e Hospitalar</v>
      </c>
      <c r="E1216" s="1619" t="s">
        <v>6941</v>
      </c>
      <c r="F1216" s="1616">
        <f>C1216</f>
        <v>2043</v>
      </c>
      <c r="G1216" s="1618" t="str">
        <f>D1216</f>
        <v>Gestão do Bloco Financiamento: Atenção de Média e Alta Complexidade Ambulatorial e Hospitalar</v>
      </c>
      <c r="H1216" s="775" t="s">
        <v>3137</v>
      </c>
      <c r="I1216" s="789" t="str">
        <f>F1214</f>
        <v>100</v>
      </c>
      <c r="J1216" s="762" t="str">
        <f>G1214</f>
        <v>ATENÇÃO A SAÚDE EM DEFESA DA VIDA</v>
      </c>
    </row>
    <row r="1217" spans="2:10" ht="30" x14ac:dyDescent="0.25">
      <c r="B1217" s="1620"/>
      <c r="C1217" s="1621"/>
      <c r="D1217" s="1623"/>
      <c r="E1217" s="1620"/>
      <c r="F1217" s="1621"/>
      <c r="G1217" s="1624"/>
      <c r="H1217" s="776" t="s">
        <v>6941</v>
      </c>
      <c r="I1217" s="790">
        <f>F1216</f>
        <v>2043</v>
      </c>
      <c r="J1217" s="764" t="str">
        <f>G1216</f>
        <v>Gestão do Bloco Financiamento: Atenção de Média e Alta Complexidade Ambulatorial e Hospitalar</v>
      </c>
    </row>
    <row r="1218" spans="2:10" ht="15.75" thickBot="1" x14ac:dyDescent="0.3">
      <c r="B1218" s="769" t="s">
        <v>6939</v>
      </c>
      <c r="C1218" s="1625">
        <f>'[3]Anexo I - Programas'!$H$781</f>
        <v>500000</v>
      </c>
      <c r="D1218" s="1626"/>
      <c r="E1218" s="769" t="s">
        <v>6939</v>
      </c>
      <c r="F1218" s="1625">
        <f>'[3]Anexo I - Programas'!$J$781</f>
        <v>125000</v>
      </c>
      <c r="G1218" s="1627"/>
      <c r="H1218" s="778" t="s">
        <v>6939</v>
      </c>
      <c r="I1218" s="1625">
        <f>DESPORC!I3488+DESPORC!I3493</f>
        <v>22603.191936005416</v>
      </c>
      <c r="J1218" s="1627"/>
    </row>
    <row r="1219" spans="2:10" x14ac:dyDescent="0.25">
      <c r="B1219" s="1628" t="s">
        <v>3137</v>
      </c>
      <c r="C1219" s="1615" t="str">
        <f>'[3]Anexo I - Programas'!$B$722</f>
        <v>100</v>
      </c>
      <c r="D1219" s="1629" t="str">
        <f>'[3]Anexo I - Programas'!$C$722</f>
        <v>ATENÇÃO A SAÚDE EM DEFESA DA VIDA</v>
      </c>
      <c r="E1219" s="1628" t="s">
        <v>3137</v>
      </c>
      <c r="F1219" s="1615" t="str">
        <f>C1219</f>
        <v>100</v>
      </c>
      <c r="G1219" s="1617" t="str">
        <f>D1219</f>
        <v>ATENÇÃO A SAÚDE EM DEFESA DA VIDA</v>
      </c>
      <c r="H1219" s="773" t="s">
        <v>3138</v>
      </c>
      <c r="I1219" s="757">
        <f>DESPORC!C3496</f>
        <v>10</v>
      </c>
      <c r="J1219" s="765" t="str">
        <f>DESPORC!D3496</f>
        <v>Saúde</v>
      </c>
    </row>
    <row r="1220" spans="2:10" x14ac:dyDescent="0.25">
      <c r="B1220" s="1619"/>
      <c r="C1220" s="1616"/>
      <c r="D1220" s="1630"/>
      <c r="E1220" s="1619"/>
      <c r="F1220" s="1616"/>
      <c r="G1220" s="1618"/>
      <c r="H1220" s="774" t="s">
        <v>6940</v>
      </c>
      <c r="I1220" s="757">
        <f>DESPORC!C3497</f>
        <v>305</v>
      </c>
      <c r="J1220" s="765" t="str">
        <f>DESPORC!D3497</f>
        <v>Vigilância Epidemiológica</v>
      </c>
    </row>
    <row r="1221" spans="2:10" x14ac:dyDescent="0.25">
      <c r="B1221" s="1619" t="s">
        <v>6941</v>
      </c>
      <c r="C1221" s="1616">
        <f>'[3]Anexo I - Programas'!$C$798</f>
        <v>2046</v>
      </c>
      <c r="D1221" s="1622" t="str">
        <f>'[3]Anexo I - Programas'!$D$798</f>
        <v>Gestão do Bloco Financiamento: Vigilância em Saúde</v>
      </c>
      <c r="E1221" s="1619" t="s">
        <v>6941</v>
      </c>
      <c r="F1221" s="1616">
        <f>C1221</f>
        <v>2046</v>
      </c>
      <c r="G1221" s="1618" t="str">
        <f>D1221</f>
        <v>Gestão do Bloco Financiamento: Vigilância em Saúde</v>
      </c>
      <c r="H1221" s="775" t="s">
        <v>3137</v>
      </c>
      <c r="I1221" s="789" t="str">
        <f>F1219</f>
        <v>100</v>
      </c>
      <c r="J1221" s="762" t="str">
        <f>G1219</f>
        <v>ATENÇÃO A SAÚDE EM DEFESA DA VIDA</v>
      </c>
    </row>
    <row r="1222" spans="2:10" x14ac:dyDescent="0.25">
      <c r="B1222" s="1620"/>
      <c r="C1222" s="1621"/>
      <c r="D1222" s="1623"/>
      <c r="E1222" s="1620"/>
      <c r="F1222" s="1621"/>
      <c r="G1222" s="1624"/>
      <c r="H1222" s="776" t="s">
        <v>6941</v>
      </c>
      <c r="I1222" s="790">
        <f>F1221</f>
        <v>2046</v>
      </c>
      <c r="J1222" s="764" t="str">
        <f>G1221</f>
        <v>Gestão do Bloco Financiamento: Vigilância em Saúde</v>
      </c>
    </row>
    <row r="1223" spans="2:10" ht="15.75" thickBot="1" x14ac:dyDescent="0.3">
      <c r="B1223" s="769" t="s">
        <v>6939</v>
      </c>
      <c r="C1223" s="1625">
        <f>'[3]Anexo I - Programas'!$H$799</f>
        <v>100000</v>
      </c>
      <c r="D1223" s="1626"/>
      <c r="E1223" s="769" t="s">
        <v>6939</v>
      </c>
      <c r="F1223" s="1625">
        <f>'[3]Anexo I - Programas'!$J$799</f>
        <v>25000</v>
      </c>
      <c r="G1223" s="1627"/>
      <c r="H1223" s="778" t="s">
        <v>6939</v>
      </c>
      <c r="I1223" s="1625">
        <f>DESPORC!I3498</f>
        <v>3.1705912952378981</v>
      </c>
      <c r="J1223" s="1627"/>
    </row>
    <row r="1224" spans="2:10" x14ac:dyDescent="0.25">
      <c r="J1224" s="15"/>
    </row>
    <row r="1225" spans="2:10" x14ac:dyDescent="0.25">
      <c r="B1225" s="1631" t="s">
        <v>6927</v>
      </c>
      <c r="C1225" s="1631"/>
      <c r="D1225" s="755" t="str">
        <f>DESPORC!C3520</f>
        <v>04 - SECRETARIA MUNICIPAL DE SAÚDE</v>
      </c>
      <c r="E1225" s="791"/>
      <c r="F1225" s="792"/>
      <c r="G1225" s="792"/>
      <c r="H1225" s="791"/>
      <c r="I1225" s="792"/>
      <c r="J1225" s="792"/>
    </row>
    <row r="1226" spans="2:10" ht="15.75" thickBot="1" x14ac:dyDescent="0.3">
      <c r="B1226" s="1632" t="s">
        <v>3087</v>
      </c>
      <c r="C1226" s="1632"/>
      <c r="D1226" s="755" t="str">
        <f>DESPORC!C3521</f>
        <v>04 - FUNDO MUNICIPAL DE SAÚDE - PROGRAMAS FEDERAIS</v>
      </c>
      <c r="E1226" s="791"/>
      <c r="F1226" s="36"/>
      <c r="G1226" s="1"/>
      <c r="H1226" s="772"/>
      <c r="I1226" s="1"/>
      <c r="J1226" s="1"/>
    </row>
    <row r="1227" spans="2:10" ht="15.75" thickBot="1" x14ac:dyDescent="0.3">
      <c r="B1227" s="1633" t="str">
        <f>B$10</f>
        <v>PPA LEI MUNICIPAL N.º 1091  DE 16 DE JUNHO DE 2017.</v>
      </c>
      <c r="C1227" s="1634"/>
      <c r="D1227" s="1635"/>
      <c r="E1227" s="1633" t="str">
        <f>E$10</f>
        <v>LDO LEI MUNICIPAL N.º 1166  DE 10 DE OUTUBRO DE 2019.</v>
      </c>
      <c r="F1227" s="1634"/>
      <c r="G1227" s="1635"/>
      <c r="H1227" s="1633" t="str">
        <f>H$10</f>
        <v>LOA 2020</v>
      </c>
      <c r="I1227" s="1634"/>
      <c r="J1227" s="1635"/>
    </row>
    <row r="1228" spans="2:10" x14ac:dyDescent="0.25">
      <c r="B1228" s="1628" t="s">
        <v>3137</v>
      </c>
      <c r="C1228" s="1615" t="str">
        <f>'[3]Anexo I - Programas'!$B$722</f>
        <v>100</v>
      </c>
      <c r="D1228" s="1629" t="str">
        <f>'[3]Anexo I - Programas'!$C$722</f>
        <v>ATENÇÃO A SAÚDE EM DEFESA DA VIDA</v>
      </c>
      <c r="E1228" s="1628" t="s">
        <v>3137</v>
      </c>
      <c r="F1228" s="1615" t="str">
        <f>C1228</f>
        <v>100</v>
      </c>
      <c r="G1228" s="1617" t="str">
        <f>D1228</f>
        <v>ATENÇÃO A SAÚDE EM DEFESA DA VIDA</v>
      </c>
      <c r="H1228" s="773" t="s">
        <v>3138</v>
      </c>
      <c r="I1228" s="757">
        <f>DESPORC!C3523</f>
        <v>10</v>
      </c>
      <c r="J1228" s="765" t="str">
        <f>DESPORC!D3523</f>
        <v>Saúde</v>
      </c>
    </row>
    <row r="1229" spans="2:10" x14ac:dyDescent="0.25">
      <c r="B1229" s="1619"/>
      <c r="C1229" s="1616"/>
      <c r="D1229" s="1630"/>
      <c r="E1229" s="1619"/>
      <c r="F1229" s="1616"/>
      <c r="G1229" s="1618"/>
      <c r="H1229" s="774" t="s">
        <v>6940</v>
      </c>
      <c r="I1229" s="757">
        <f>DESPORC!C3524</f>
        <v>122</v>
      </c>
      <c r="J1229" s="765" t="str">
        <f>DESPORC!D3524</f>
        <v>Administração Geral</v>
      </c>
    </row>
    <row r="1230" spans="2:10" x14ac:dyDescent="0.25">
      <c r="B1230" s="1619" t="s">
        <v>6941</v>
      </c>
      <c r="C1230" s="1616">
        <f>'[3]Anexo I - Programas'!$C$741</f>
        <v>1025</v>
      </c>
      <c r="D1230" s="1622" t="str">
        <f>'[3]Anexo I - Programas'!$D$741</f>
        <v>GEST. BLOCO FINAN.: INVEST.  EM ATENÇÃO BÁSICA</v>
      </c>
      <c r="E1230" s="1619" t="s">
        <v>6941</v>
      </c>
      <c r="F1230" s="1616">
        <f>C1230</f>
        <v>1025</v>
      </c>
      <c r="G1230" s="1618" t="str">
        <f>D1230</f>
        <v>GEST. BLOCO FINAN.: INVEST.  EM ATENÇÃO BÁSICA</v>
      </c>
      <c r="H1230" s="775" t="s">
        <v>3137</v>
      </c>
      <c r="I1230" s="789" t="str">
        <f>F1228</f>
        <v>100</v>
      </c>
      <c r="J1230" s="762" t="str">
        <f>G1228</f>
        <v>ATENÇÃO A SAÚDE EM DEFESA DA VIDA</v>
      </c>
    </row>
    <row r="1231" spans="2:10" x14ac:dyDescent="0.25">
      <c r="B1231" s="1620"/>
      <c r="C1231" s="1621"/>
      <c r="D1231" s="1623"/>
      <c r="E1231" s="1620"/>
      <c r="F1231" s="1621"/>
      <c r="G1231" s="1624"/>
      <c r="H1231" s="776" t="s">
        <v>6941</v>
      </c>
      <c r="I1231" s="790">
        <f>F1230</f>
        <v>1025</v>
      </c>
      <c r="J1231" s="764" t="str">
        <f>G1230</f>
        <v>GEST. BLOCO FINAN.: INVEST.  EM ATENÇÃO BÁSICA</v>
      </c>
    </row>
    <row r="1232" spans="2:10" ht="15.75" thickBot="1" x14ac:dyDescent="0.3">
      <c r="B1232" s="769" t="s">
        <v>6939</v>
      </c>
      <c r="C1232" s="1625">
        <f>'[3]Anexo I - Programas'!$H$742</f>
        <v>300000</v>
      </c>
      <c r="D1232" s="1626"/>
      <c r="E1232" s="769" t="s">
        <v>6939</v>
      </c>
      <c r="F1232" s="1625">
        <f>'[3]Anexo I - Programas'!$J$742</f>
        <v>75000</v>
      </c>
      <c r="G1232" s="1627"/>
      <c r="H1232" s="778" t="s">
        <v>6939</v>
      </c>
      <c r="I1232" s="1625">
        <f>DESPORC!I3526</f>
        <v>1</v>
      </c>
      <c r="J1232" s="1627"/>
    </row>
    <row r="1233" spans="2:10" x14ac:dyDescent="0.25">
      <c r="B1233" s="1628" t="s">
        <v>3137</v>
      </c>
      <c r="C1233" s="1615" t="str">
        <f>'[3]Anexo I - Programas'!$B$722</f>
        <v>100</v>
      </c>
      <c r="D1233" s="1629" t="str">
        <f>'[3]Anexo I - Programas'!$C$722</f>
        <v>ATENÇÃO A SAÚDE EM DEFESA DA VIDA</v>
      </c>
      <c r="E1233" s="1628" t="s">
        <v>3137</v>
      </c>
      <c r="F1233" s="1615" t="str">
        <f>C1233</f>
        <v>100</v>
      </c>
      <c r="G1233" s="1617" t="str">
        <f>D1233</f>
        <v>ATENÇÃO A SAÚDE EM DEFESA DA VIDA</v>
      </c>
      <c r="H1233" s="773" t="s">
        <v>3138</v>
      </c>
      <c r="I1233" s="757">
        <f>DESPORC!C3534</f>
        <v>10</v>
      </c>
      <c r="J1233" s="765" t="str">
        <f>DESPORC!D3534</f>
        <v>Saúde</v>
      </c>
    </row>
    <row r="1234" spans="2:10" x14ac:dyDescent="0.25">
      <c r="B1234" s="1619"/>
      <c r="C1234" s="1616"/>
      <c r="D1234" s="1630"/>
      <c r="E1234" s="1619"/>
      <c r="F1234" s="1616"/>
      <c r="G1234" s="1618"/>
      <c r="H1234" s="774" t="s">
        <v>6940</v>
      </c>
      <c r="I1234" s="757">
        <f>DESPORC!C3535</f>
        <v>126</v>
      </c>
      <c r="J1234" s="765" t="str">
        <f>DESPORC!D3535</f>
        <v>Tecnologia da Informação</v>
      </c>
    </row>
    <row r="1235" spans="2:10" x14ac:dyDescent="0.25">
      <c r="B1235" s="1619" t="s">
        <v>6941</v>
      </c>
      <c r="C1235" s="1616">
        <f>'[3]Anexo I - Programas'!$C$741</f>
        <v>1025</v>
      </c>
      <c r="D1235" s="1622" t="str">
        <f>'[3]Anexo I - Programas'!$D$741</f>
        <v>GEST. BLOCO FINAN.: INVEST.  EM ATENÇÃO BÁSICA</v>
      </c>
      <c r="E1235" s="1619" t="s">
        <v>6941</v>
      </c>
      <c r="F1235" s="1616">
        <f>C1235</f>
        <v>1025</v>
      </c>
      <c r="G1235" s="1618" t="str">
        <f>D1235</f>
        <v>GEST. BLOCO FINAN.: INVEST.  EM ATENÇÃO BÁSICA</v>
      </c>
      <c r="H1235" s="775" t="s">
        <v>3137</v>
      </c>
      <c r="I1235" s="789" t="str">
        <f>F1233</f>
        <v>100</v>
      </c>
      <c r="J1235" s="762" t="str">
        <f>G1233</f>
        <v>ATENÇÃO A SAÚDE EM DEFESA DA VIDA</v>
      </c>
    </row>
    <row r="1236" spans="2:10" x14ac:dyDescent="0.25">
      <c r="B1236" s="1620"/>
      <c r="C1236" s="1621"/>
      <c r="D1236" s="1623"/>
      <c r="E1236" s="1620"/>
      <c r="F1236" s="1621"/>
      <c r="G1236" s="1624"/>
      <c r="H1236" s="776" t="s">
        <v>6941</v>
      </c>
      <c r="I1236" s="790">
        <f>F1235</f>
        <v>1025</v>
      </c>
      <c r="J1236" s="764" t="str">
        <f>G1235</f>
        <v>GEST. BLOCO FINAN.: INVEST.  EM ATENÇÃO BÁSICA</v>
      </c>
    </row>
    <row r="1237" spans="2:10" ht="15.75" thickBot="1" x14ac:dyDescent="0.3">
      <c r="B1237" s="769" t="s">
        <v>6939</v>
      </c>
      <c r="C1237" s="1625">
        <f>'[3]Anexo I - Programas'!$H$742</f>
        <v>300000</v>
      </c>
      <c r="D1237" s="1626"/>
      <c r="E1237" s="769" t="s">
        <v>6939</v>
      </c>
      <c r="F1237" s="1625">
        <f>'[3]Anexo I - Programas'!$J$742</f>
        <v>75000</v>
      </c>
      <c r="G1237" s="1627"/>
      <c r="H1237" s="778" t="s">
        <v>6939</v>
      </c>
      <c r="I1237" s="1625">
        <f>DESPORC!I3537</f>
        <v>1</v>
      </c>
      <c r="J1237" s="1627"/>
    </row>
    <row r="1238" spans="2:10" x14ac:dyDescent="0.25">
      <c r="B1238" s="1628" t="s">
        <v>3137</v>
      </c>
      <c r="C1238" s="1615" t="str">
        <f>'[3]Anexo I - Programas'!$B$722</f>
        <v>100</v>
      </c>
      <c r="D1238" s="1629" t="str">
        <f>'[3]Anexo I - Programas'!$C$722</f>
        <v>ATENÇÃO A SAÚDE EM DEFESA DA VIDA</v>
      </c>
      <c r="E1238" s="1628" t="s">
        <v>3137</v>
      </c>
      <c r="F1238" s="1615" t="str">
        <f>C1238</f>
        <v>100</v>
      </c>
      <c r="G1238" s="1617" t="str">
        <f>D1238</f>
        <v>ATENÇÃO A SAÚDE EM DEFESA DA VIDA</v>
      </c>
      <c r="H1238" s="773" t="s">
        <v>3138</v>
      </c>
      <c r="I1238" s="757">
        <f>DESPORC!C3545</f>
        <v>10</v>
      </c>
      <c r="J1238" s="765" t="str">
        <f>DESPORC!D3545</f>
        <v>Saúde</v>
      </c>
    </row>
    <row r="1239" spans="2:10" x14ac:dyDescent="0.25">
      <c r="B1239" s="1619"/>
      <c r="C1239" s="1616"/>
      <c r="D1239" s="1630"/>
      <c r="E1239" s="1619"/>
      <c r="F1239" s="1616"/>
      <c r="G1239" s="1618"/>
      <c r="H1239" s="774" t="s">
        <v>6940</v>
      </c>
      <c r="I1239" s="757">
        <f>DESPORC!C3546</f>
        <v>301</v>
      </c>
      <c r="J1239" s="765" t="str">
        <f>DESPORC!D3548</f>
        <v>GEST. BLOCO FINAN.: INVEST. EM ATENÇÃO BÁSICA</v>
      </c>
    </row>
    <row r="1240" spans="2:10" x14ac:dyDescent="0.25">
      <c r="B1240" s="1619" t="s">
        <v>6941</v>
      </c>
      <c r="C1240" s="1616">
        <f>'[3]Anexo I - Programas'!$C$741</f>
        <v>1025</v>
      </c>
      <c r="D1240" s="1622" t="str">
        <f>'[3]Anexo I - Programas'!$D$741</f>
        <v>GEST. BLOCO FINAN.: INVEST.  EM ATENÇÃO BÁSICA</v>
      </c>
      <c r="E1240" s="1619" t="s">
        <v>6941</v>
      </c>
      <c r="F1240" s="1616">
        <f>C1240</f>
        <v>1025</v>
      </c>
      <c r="G1240" s="1618" t="str">
        <f>D1240</f>
        <v>GEST. BLOCO FINAN.: INVEST.  EM ATENÇÃO BÁSICA</v>
      </c>
      <c r="H1240" s="775" t="s">
        <v>3137</v>
      </c>
      <c r="I1240" s="789" t="str">
        <f>F1238</f>
        <v>100</v>
      </c>
      <c r="J1240" s="762" t="str">
        <f>G1238</f>
        <v>ATENÇÃO A SAÚDE EM DEFESA DA VIDA</v>
      </c>
    </row>
    <row r="1241" spans="2:10" x14ac:dyDescent="0.25">
      <c r="B1241" s="1620"/>
      <c r="C1241" s="1621"/>
      <c r="D1241" s="1623"/>
      <c r="E1241" s="1620"/>
      <c r="F1241" s="1621"/>
      <c r="G1241" s="1624"/>
      <c r="H1241" s="776" t="s">
        <v>6941</v>
      </c>
      <c r="I1241" s="790">
        <f>F1240</f>
        <v>1025</v>
      </c>
      <c r="J1241" s="764" t="str">
        <f>G1240</f>
        <v>GEST. BLOCO FINAN.: INVEST.  EM ATENÇÃO BÁSICA</v>
      </c>
    </row>
    <row r="1242" spans="2:10" ht="15.75" thickBot="1" x14ac:dyDescent="0.3">
      <c r="B1242" s="769" t="s">
        <v>6939</v>
      </c>
      <c r="C1242" s="1625">
        <f>'[3]Anexo I - Programas'!$H$742</f>
        <v>300000</v>
      </c>
      <c r="D1242" s="1626"/>
      <c r="E1242" s="769" t="s">
        <v>6939</v>
      </c>
      <c r="F1242" s="1625">
        <f>'[3]Anexo I - Programas'!$J$742</f>
        <v>75000</v>
      </c>
      <c r="G1242" s="1627"/>
      <c r="H1242" s="778" t="s">
        <v>6939</v>
      </c>
      <c r="I1242" s="1625">
        <f>DESPORC!I3548+DESPORC!I3560</f>
        <v>7.0200000000000014</v>
      </c>
      <c r="J1242" s="1627"/>
    </row>
    <row r="1243" spans="2:10" x14ac:dyDescent="0.25">
      <c r="B1243" s="1628" t="s">
        <v>3137</v>
      </c>
      <c r="C1243" s="1615" t="str">
        <f>'[3]Anexo I - Programas'!$B$722</f>
        <v>100</v>
      </c>
      <c r="D1243" s="1629" t="str">
        <f>'[3]Anexo I - Programas'!$C$722</f>
        <v>ATENÇÃO A SAÚDE EM DEFESA DA VIDA</v>
      </c>
      <c r="E1243" s="1628" t="s">
        <v>3137</v>
      </c>
      <c r="F1243" s="1615" t="str">
        <f>C1243</f>
        <v>100</v>
      </c>
      <c r="G1243" s="1617" t="str">
        <f>D1243</f>
        <v>ATENÇÃO A SAÚDE EM DEFESA DA VIDA</v>
      </c>
      <c r="H1243" s="773" t="s">
        <v>3138</v>
      </c>
      <c r="I1243" s="757">
        <f>DESPORC!C3567</f>
        <v>10</v>
      </c>
      <c r="J1243" s="765" t="str">
        <f>DESPORC!D3567</f>
        <v>Saúde</v>
      </c>
    </row>
    <row r="1244" spans="2:10" x14ac:dyDescent="0.25">
      <c r="B1244" s="1619"/>
      <c r="C1244" s="1616"/>
      <c r="D1244" s="1630"/>
      <c r="E1244" s="1619"/>
      <c r="F1244" s="1616"/>
      <c r="G1244" s="1618"/>
      <c r="H1244" s="774" t="s">
        <v>6940</v>
      </c>
      <c r="I1244" s="757">
        <f>DESPORC!C3568</f>
        <v>302</v>
      </c>
      <c r="J1244" s="765" t="str">
        <f>DESPORC!D3568</f>
        <v>Assistência Hospitalar e Ambulatorial</v>
      </c>
    </row>
    <row r="1245" spans="2:10" x14ac:dyDescent="0.25">
      <c r="B1245" s="1619" t="s">
        <v>6941</v>
      </c>
      <c r="C1245" s="1616">
        <f>'[3]Anexo I - Programas'!$C$746</f>
        <v>1026</v>
      </c>
      <c r="D1245" s="1622" t="str">
        <f>'[3]Anexo I - Programas'!$D$746</f>
        <v>GEST. BLOCO FINAN.: INVEST. EM ASSIST. HOSP. E AMBUL. - MÉDIA E ALTA COMPLEXIDADE</v>
      </c>
      <c r="E1245" s="1619" t="s">
        <v>6941</v>
      </c>
      <c r="F1245" s="1616">
        <f>C1245</f>
        <v>1026</v>
      </c>
      <c r="G1245" s="1618" t="str">
        <f>D1245</f>
        <v>GEST. BLOCO FINAN.: INVEST. EM ASSIST. HOSP. E AMBUL. - MÉDIA E ALTA COMPLEXIDADE</v>
      </c>
      <c r="H1245" s="775" t="s">
        <v>3137</v>
      </c>
      <c r="I1245" s="789" t="str">
        <f>F1243</f>
        <v>100</v>
      </c>
      <c r="J1245" s="762" t="str">
        <f>G1243</f>
        <v>ATENÇÃO A SAÚDE EM DEFESA DA VIDA</v>
      </c>
    </row>
    <row r="1246" spans="2:10" ht="30" x14ac:dyDescent="0.25">
      <c r="B1246" s="1620"/>
      <c r="C1246" s="1621"/>
      <c r="D1246" s="1623"/>
      <c r="E1246" s="1620"/>
      <c r="F1246" s="1621"/>
      <c r="G1246" s="1624"/>
      <c r="H1246" s="776" t="s">
        <v>6941</v>
      </c>
      <c r="I1246" s="790">
        <f>F1245</f>
        <v>1026</v>
      </c>
      <c r="J1246" s="764" t="str">
        <f>G1245</f>
        <v>GEST. BLOCO FINAN.: INVEST. EM ASSIST. HOSP. E AMBUL. - MÉDIA E ALTA COMPLEXIDADE</v>
      </c>
    </row>
    <row r="1247" spans="2:10" ht="15.75" thickBot="1" x14ac:dyDescent="0.3">
      <c r="B1247" s="769" t="s">
        <v>6939</v>
      </c>
      <c r="C1247" s="1625">
        <f>'[3]Anexo I - Programas'!$H$747</f>
        <v>300000</v>
      </c>
      <c r="D1247" s="1626"/>
      <c r="E1247" s="769" t="s">
        <v>6939</v>
      </c>
      <c r="F1247" s="1625">
        <f>'[3]Anexo I - Programas'!$J$747</f>
        <v>75000</v>
      </c>
      <c r="G1247" s="1627"/>
      <c r="H1247" s="778" t="s">
        <v>6939</v>
      </c>
      <c r="I1247" s="1625">
        <f>DESPORC!I3569</f>
        <v>1</v>
      </c>
      <c r="J1247" s="1627"/>
    </row>
    <row r="1248" spans="2:10" x14ac:dyDescent="0.25">
      <c r="B1248" s="1628" t="s">
        <v>3137</v>
      </c>
      <c r="C1248" s="1615" t="str">
        <f>'[3]Anexo I - Programas'!$B$722</f>
        <v>100</v>
      </c>
      <c r="D1248" s="1629" t="str">
        <f>'[3]Anexo I - Programas'!$C$722</f>
        <v>ATENÇÃO A SAÚDE EM DEFESA DA VIDA</v>
      </c>
      <c r="E1248" s="1628" t="s">
        <v>3137</v>
      </c>
      <c r="F1248" s="1615" t="str">
        <f>C1248</f>
        <v>100</v>
      </c>
      <c r="G1248" s="1617" t="str">
        <f>D1248</f>
        <v>ATENÇÃO A SAÚDE EM DEFESA DA VIDA</v>
      </c>
      <c r="H1248" s="773" t="s">
        <v>3138</v>
      </c>
      <c r="I1248" s="757">
        <f>DESPORC!C3576</f>
        <v>10</v>
      </c>
      <c r="J1248" s="765" t="str">
        <f>DESPORC!D3576</f>
        <v>Saúde</v>
      </c>
    </row>
    <row r="1249" spans="2:10" x14ac:dyDescent="0.25">
      <c r="B1249" s="1619"/>
      <c r="C1249" s="1616"/>
      <c r="D1249" s="1630"/>
      <c r="E1249" s="1619"/>
      <c r="F1249" s="1616"/>
      <c r="G1249" s="1618"/>
      <c r="H1249" s="774" t="s">
        <v>6940</v>
      </c>
      <c r="I1249" s="757">
        <f>DESPORC!C3577</f>
        <v>304</v>
      </c>
      <c r="J1249" s="765" t="str">
        <f>DESPORC!D3577</f>
        <v>Suporte Profilático e Terapêutico</v>
      </c>
    </row>
    <row r="1250" spans="2:10" x14ac:dyDescent="0.25">
      <c r="B1250" s="1619" t="s">
        <v>6941</v>
      </c>
      <c r="C1250" s="1616">
        <f>'[3]Anexo I - Programas'!$C$751</f>
        <v>1027</v>
      </c>
      <c r="D1250" s="1622" t="str">
        <f>'[3]Anexo I - Programas'!$D$751</f>
        <v>GEST. BLOCO FINAN.: INVEST. EM VIGILÂNCIA EM SAÚDE</v>
      </c>
      <c r="E1250" s="1619" t="s">
        <v>6941</v>
      </c>
      <c r="F1250" s="1616">
        <f>C1250</f>
        <v>1027</v>
      </c>
      <c r="G1250" s="1618" t="str">
        <f>D1250</f>
        <v>GEST. BLOCO FINAN.: INVEST. EM VIGILÂNCIA EM SAÚDE</v>
      </c>
      <c r="H1250" s="775" t="s">
        <v>3137</v>
      </c>
      <c r="I1250" s="789" t="str">
        <f>F1248</f>
        <v>100</v>
      </c>
      <c r="J1250" s="762" t="str">
        <f>G1248</f>
        <v>ATENÇÃO A SAÚDE EM DEFESA DA VIDA</v>
      </c>
    </row>
    <row r="1251" spans="2:10" x14ac:dyDescent="0.25">
      <c r="B1251" s="1620"/>
      <c r="C1251" s="1621"/>
      <c r="D1251" s="1623"/>
      <c r="E1251" s="1620"/>
      <c r="F1251" s="1621"/>
      <c r="G1251" s="1624"/>
      <c r="H1251" s="776" t="s">
        <v>6941</v>
      </c>
      <c r="I1251" s="790">
        <f>F1250</f>
        <v>1027</v>
      </c>
      <c r="J1251" s="764" t="str">
        <f>G1250</f>
        <v>GEST. BLOCO FINAN.: INVEST. EM VIGILÂNCIA EM SAÚDE</v>
      </c>
    </row>
    <row r="1252" spans="2:10" ht="15.75" thickBot="1" x14ac:dyDescent="0.3">
      <c r="B1252" s="769" t="s">
        <v>6939</v>
      </c>
      <c r="C1252" s="1625">
        <f>'[3]Anexo I - Programas'!$H$752</f>
        <v>300000</v>
      </c>
      <c r="D1252" s="1626"/>
      <c r="E1252" s="769" t="s">
        <v>6939</v>
      </c>
      <c r="F1252" s="1625">
        <f>'[3]Anexo I - Programas'!$J$752</f>
        <v>75000</v>
      </c>
      <c r="G1252" s="1627"/>
      <c r="H1252" s="778" t="s">
        <v>6939</v>
      </c>
      <c r="I1252" s="1625">
        <f>DESPORC!I3578</f>
        <v>1</v>
      </c>
      <c r="J1252" s="1627"/>
    </row>
    <row r="1253" spans="2:10" x14ac:dyDescent="0.25">
      <c r="B1253" s="804"/>
      <c r="C1253" s="805"/>
      <c r="D1253" s="806"/>
      <c r="E1253" s="804"/>
      <c r="F1253" s="805"/>
      <c r="G1253" s="806"/>
      <c r="H1253" s="804"/>
      <c r="I1253" s="805"/>
      <c r="J1253" s="806"/>
    </row>
    <row r="1254" spans="2:10" x14ac:dyDescent="0.25">
      <c r="B1254" s="267"/>
      <c r="C1254" s="807"/>
      <c r="D1254" s="257"/>
      <c r="E1254" s="267"/>
      <c r="F1254" s="807"/>
      <c r="G1254" s="257"/>
      <c r="H1254" s="267"/>
      <c r="I1254" s="807"/>
      <c r="J1254" s="257"/>
    </row>
    <row r="1255" spans="2:10" ht="15.75" thickBot="1" x14ac:dyDescent="0.3">
      <c r="B1255" s="808"/>
      <c r="C1255" s="809"/>
      <c r="D1255" s="810"/>
      <c r="E1255" s="808"/>
      <c r="F1255" s="809"/>
      <c r="G1255" s="810"/>
      <c r="H1255" s="808"/>
      <c r="I1255" s="809"/>
      <c r="J1255" s="810"/>
    </row>
    <row r="1256" spans="2:10" x14ac:dyDescent="0.25">
      <c r="B1256" s="1628" t="s">
        <v>3137</v>
      </c>
      <c r="C1256" s="1615" t="str">
        <f>'[3]Anexo I - Programas'!$B$722</f>
        <v>100</v>
      </c>
      <c r="D1256" s="1629" t="str">
        <f>'[3]Anexo I - Programas'!$C$722</f>
        <v>ATENÇÃO A SAÚDE EM DEFESA DA VIDA</v>
      </c>
      <c r="E1256" s="1628" t="s">
        <v>3137</v>
      </c>
      <c r="F1256" s="1615" t="str">
        <f>C1256</f>
        <v>100</v>
      </c>
      <c r="G1256" s="1617" t="str">
        <f>D1256</f>
        <v>ATENÇÃO A SAÚDE EM DEFESA DA VIDA</v>
      </c>
      <c r="H1256" s="773" t="s">
        <v>3138</v>
      </c>
      <c r="I1256" s="757">
        <f>DESPORC!C3585</f>
        <v>10</v>
      </c>
      <c r="J1256" s="765" t="str">
        <f>DESPORC!D3585</f>
        <v>Saúde</v>
      </c>
    </row>
    <row r="1257" spans="2:10" x14ac:dyDescent="0.25">
      <c r="B1257" s="1619"/>
      <c r="C1257" s="1616"/>
      <c r="D1257" s="1630"/>
      <c r="E1257" s="1619"/>
      <c r="F1257" s="1616"/>
      <c r="G1257" s="1618"/>
      <c r="H1257" s="774" t="s">
        <v>6940</v>
      </c>
      <c r="I1257" s="757">
        <f>DESPORC!C3586</f>
        <v>122</v>
      </c>
      <c r="J1257" s="765" t="str">
        <f>DESPORC!D3586</f>
        <v>Administração Geral</v>
      </c>
    </row>
    <row r="1258" spans="2:10" x14ac:dyDescent="0.25">
      <c r="B1258" s="1619" t="s">
        <v>6941</v>
      </c>
      <c r="C1258" s="1616">
        <f>'[3]Anexo I - Programas'!$C$786</f>
        <v>2044</v>
      </c>
      <c r="D1258" s="1622" t="str">
        <f>'[3]Anexo I - Programas'!$D$786</f>
        <v>Gestão do Bloco Financiamento: Gestão do SUS</v>
      </c>
      <c r="E1258" s="1619" t="s">
        <v>6941</v>
      </c>
      <c r="F1258" s="1616">
        <f>C1258</f>
        <v>2044</v>
      </c>
      <c r="G1258" s="1618" t="str">
        <f>D1258</f>
        <v>Gestão do Bloco Financiamento: Gestão do SUS</v>
      </c>
      <c r="H1258" s="775" t="s">
        <v>3137</v>
      </c>
      <c r="I1258" s="789" t="str">
        <f>F1256</f>
        <v>100</v>
      </c>
      <c r="J1258" s="762" t="str">
        <f>G1256</f>
        <v>ATENÇÃO A SAÚDE EM DEFESA DA VIDA</v>
      </c>
    </row>
    <row r="1259" spans="2:10" x14ac:dyDescent="0.25">
      <c r="B1259" s="1620"/>
      <c r="C1259" s="1621"/>
      <c r="D1259" s="1623"/>
      <c r="E1259" s="1620"/>
      <c r="F1259" s="1621"/>
      <c r="G1259" s="1624"/>
      <c r="H1259" s="776" t="s">
        <v>6941</v>
      </c>
      <c r="I1259" s="790">
        <f>F1258</f>
        <v>2044</v>
      </c>
      <c r="J1259" s="764" t="str">
        <f>G1258</f>
        <v>Gestão do Bloco Financiamento: Gestão do SUS</v>
      </c>
    </row>
    <row r="1260" spans="2:10" ht="15.75" thickBot="1" x14ac:dyDescent="0.3">
      <c r="B1260" s="769" t="s">
        <v>6939</v>
      </c>
      <c r="C1260" s="1625">
        <f>'[3]Anexo I - Programas'!$H$787</f>
        <v>500000</v>
      </c>
      <c r="D1260" s="1626"/>
      <c r="E1260" s="769" t="s">
        <v>6939</v>
      </c>
      <c r="F1260" s="1625">
        <f>'[3]Anexo I - Programas'!$J$787</f>
        <v>125000</v>
      </c>
      <c r="G1260" s="1627"/>
      <c r="H1260" s="778" t="s">
        <v>6939</v>
      </c>
      <c r="I1260" s="1625">
        <f>DESPORC!I3587</f>
        <v>1.1122248199102067</v>
      </c>
      <c r="J1260" s="1627"/>
    </row>
    <row r="1261" spans="2:10" x14ac:dyDescent="0.25">
      <c r="B1261" s="1628" t="s">
        <v>3137</v>
      </c>
      <c r="C1261" s="1615" t="str">
        <f>'[3]Anexo I - Programas'!$B$722</f>
        <v>100</v>
      </c>
      <c r="D1261" s="1629" t="str">
        <f>'[3]Anexo I - Programas'!$C$722</f>
        <v>ATENÇÃO A SAÚDE EM DEFESA DA VIDA</v>
      </c>
      <c r="E1261" s="1628" t="s">
        <v>3137</v>
      </c>
      <c r="F1261" s="1615" t="str">
        <f>C1261</f>
        <v>100</v>
      </c>
      <c r="G1261" s="1617" t="str">
        <f>D1261</f>
        <v>ATENÇÃO A SAÚDE EM DEFESA DA VIDA</v>
      </c>
      <c r="H1261" s="773" t="s">
        <v>3138</v>
      </c>
      <c r="I1261" s="757">
        <f>DESPORC!C3595</f>
        <v>10</v>
      </c>
      <c r="J1261" s="765" t="str">
        <f>DESPORC!D3595</f>
        <v>Saúde</v>
      </c>
    </row>
    <row r="1262" spans="2:10" x14ac:dyDescent="0.25">
      <c r="B1262" s="1619"/>
      <c r="C1262" s="1616"/>
      <c r="D1262" s="1630"/>
      <c r="E1262" s="1619"/>
      <c r="F1262" s="1616"/>
      <c r="G1262" s="1618"/>
      <c r="H1262" s="774" t="s">
        <v>6940</v>
      </c>
      <c r="I1262" s="757">
        <f>DESPORC!C3596</f>
        <v>301</v>
      </c>
      <c r="J1262" s="765" t="str">
        <f>DESPORC!D3596</f>
        <v>Atenção Básica</v>
      </c>
    </row>
    <row r="1263" spans="2:10" x14ac:dyDescent="0.25">
      <c r="B1263" s="1619" t="s">
        <v>6941</v>
      </c>
      <c r="C1263" s="1616">
        <f>'[3]Anexo I - Programas'!$C$768</f>
        <v>2029</v>
      </c>
      <c r="D1263" s="1622" t="str">
        <f>'[3]Anexo I - Programas'!$D$768</f>
        <v>Gestão do Bloco Financiamento: Atenção Básica</v>
      </c>
      <c r="E1263" s="1619" t="s">
        <v>6941</v>
      </c>
      <c r="F1263" s="1616">
        <f>C1263</f>
        <v>2029</v>
      </c>
      <c r="G1263" s="1618" t="str">
        <f>D1263</f>
        <v>Gestão do Bloco Financiamento: Atenção Básica</v>
      </c>
      <c r="H1263" s="775" t="s">
        <v>3137</v>
      </c>
      <c r="I1263" s="789" t="str">
        <f>F1261</f>
        <v>100</v>
      </c>
      <c r="J1263" s="762" t="str">
        <f>G1261</f>
        <v>ATENÇÃO A SAÚDE EM DEFESA DA VIDA</v>
      </c>
    </row>
    <row r="1264" spans="2:10" x14ac:dyDescent="0.25">
      <c r="B1264" s="1620"/>
      <c r="C1264" s="1621"/>
      <c r="D1264" s="1623"/>
      <c r="E1264" s="1620"/>
      <c r="F1264" s="1621"/>
      <c r="G1264" s="1624"/>
      <c r="H1264" s="776" t="s">
        <v>6941</v>
      </c>
      <c r="I1264" s="790">
        <f>F1263</f>
        <v>2029</v>
      </c>
      <c r="J1264" s="764" t="str">
        <f>G1263</f>
        <v>Gestão do Bloco Financiamento: Atenção Básica</v>
      </c>
    </row>
    <row r="1265" spans="2:10" ht="15.75" thickBot="1" x14ac:dyDescent="0.3">
      <c r="B1265" s="769" t="s">
        <v>6939</v>
      </c>
      <c r="C1265" s="1625">
        <f>'[3]Anexo I - Programas'!$H$769</f>
        <v>1600000</v>
      </c>
      <c r="D1265" s="1626"/>
      <c r="E1265" s="769" t="s">
        <v>6939</v>
      </c>
      <c r="F1265" s="1625">
        <f>'[3]Anexo I - Programas'!$J$769</f>
        <v>400000</v>
      </c>
      <c r="G1265" s="1627"/>
      <c r="H1265" s="778" t="s">
        <v>6939</v>
      </c>
      <c r="I1265" s="1625">
        <f>DESPORC!I3597</f>
        <v>318514.05657192611</v>
      </c>
      <c r="J1265" s="1627"/>
    </row>
    <row r="1266" spans="2:10" x14ac:dyDescent="0.25">
      <c r="B1266" s="1628" t="s">
        <v>3137</v>
      </c>
      <c r="C1266" s="1615" t="str">
        <f>'[3]Anexo I - Programas'!$B$722</f>
        <v>100</v>
      </c>
      <c r="D1266" s="1629" t="str">
        <f>'[3]Anexo I - Programas'!$C$722</f>
        <v>ATENÇÃO A SAÚDE EM DEFESA DA VIDA</v>
      </c>
      <c r="E1266" s="1628" t="s">
        <v>3137</v>
      </c>
      <c r="F1266" s="1615" t="str">
        <f>C1266</f>
        <v>100</v>
      </c>
      <c r="G1266" s="1617" t="str">
        <f>D1266</f>
        <v>ATENÇÃO A SAÚDE EM DEFESA DA VIDA</v>
      </c>
      <c r="H1266" s="773" t="s">
        <v>3138</v>
      </c>
      <c r="I1266" s="757">
        <f>DESPORC!C3606</f>
        <v>10</v>
      </c>
      <c r="J1266" s="765" t="str">
        <f>DESPORC!D3606</f>
        <v>Saúde</v>
      </c>
    </row>
    <row r="1267" spans="2:10" x14ac:dyDescent="0.25">
      <c r="B1267" s="1619"/>
      <c r="C1267" s="1616"/>
      <c r="D1267" s="1630"/>
      <c r="E1267" s="1619"/>
      <c r="F1267" s="1616"/>
      <c r="G1267" s="1618"/>
      <c r="H1267" s="774" t="s">
        <v>6940</v>
      </c>
      <c r="I1267" s="757">
        <f>DESPORC!C3607</f>
        <v>302</v>
      </c>
      <c r="J1267" s="765" t="str">
        <f>DESPORC!D3607</f>
        <v>Assistência Hospitalar e Ambulatorial</v>
      </c>
    </row>
    <row r="1268" spans="2:10" x14ac:dyDescent="0.25">
      <c r="B1268" s="1619" t="s">
        <v>6941</v>
      </c>
      <c r="C1268" s="1616">
        <f>'[3]Anexo I - Programas'!$C$774</f>
        <v>2042</v>
      </c>
      <c r="D1268" s="1622" t="str">
        <f>'[3]Anexo I - Programas'!$D$774</f>
        <v>Gestão do Bloco Financiamento: Atenção de Média e Alta Complexidade Ambulatorial e Hospitalar</v>
      </c>
      <c r="E1268" s="1619" t="s">
        <v>6941</v>
      </c>
      <c r="F1268" s="1616">
        <f>C1268</f>
        <v>2042</v>
      </c>
      <c r="G1268" s="1618" t="str">
        <f>D1268</f>
        <v>Gestão do Bloco Financiamento: Atenção de Média e Alta Complexidade Ambulatorial e Hospitalar</v>
      </c>
      <c r="H1268" s="775" t="s">
        <v>3137</v>
      </c>
      <c r="I1268" s="789" t="str">
        <f>F1266</f>
        <v>100</v>
      </c>
      <c r="J1268" s="762" t="str">
        <f>G1266</f>
        <v>ATENÇÃO A SAÚDE EM DEFESA DA VIDA</v>
      </c>
    </row>
    <row r="1269" spans="2:10" ht="30" x14ac:dyDescent="0.25">
      <c r="B1269" s="1620"/>
      <c r="C1269" s="1621"/>
      <c r="D1269" s="1623"/>
      <c r="E1269" s="1620"/>
      <c r="F1269" s="1621"/>
      <c r="G1269" s="1624"/>
      <c r="H1269" s="776" t="s">
        <v>6941</v>
      </c>
      <c r="I1269" s="790">
        <f>F1268</f>
        <v>2042</v>
      </c>
      <c r="J1269" s="764" t="str">
        <f>G1268</f>
        <v>Gestão do Bloco Financiamento: Atenção de Média e Alta Complexidade Ambulatorial e Hospitalar</v>
      </c>
    </row>
    <row r="1270" spans="2:10" ht="15.75" thickBot="1" x14ac:dyDescent="0.3">
      <c r="B1270" s="769" t="s">
        <v>6939</v>
      </c>
      <c r="C1270" s="1625">
        <f>'[3]Anexo I - Programas'!$H$775</f>
        <v>1000000</v>
      </c>
      <c r="D1270" s="1626"/>
      <c r="E1270" s="769" t="s">
        <v>6939</v>
      </c>
      <c r="F1270" s="1625">
        <f>'[3]Anexo I - Programas'!$J$775</f>
        <v>250000</v>
      </c>
      <c r="G1270" s="1627"/>
      <c r="H1270" s="778" t="s">
        <v>6939</v>
      </c>
      <c r="I1270" s="1625">
        <f>DESPORC!I3608</f>
        <v>1.1122248199102067</v>
      </c>
      <c r="J1270" s="1627"/>
    </row>
    <row r="1271" spans="2:10" x14ac:dyDescent="0.25">
      <c r="B1271" s="1628" t="s">
        <v>3137</v>
      </c>
      <c r="C1271" s="1615" t="str">
        <f>'[3]Anexo I - Programas'!$B$722</f>
        <v>100</v>
      </c>
      <c r="D1271" s="1629" t="str">
        <f>'[3]Anexo I - Programas'!$C$722</f>
        <v>ATENÇÃO A SAÚDE EM DEFESA DA VIDA</v>
      </c>
      <c r="E1271" s="1628" t="s">
        <v>3137</v>
      </c>
      <c r="F1271" s="1615" t="str">
        <f>C1271</f>
        <v>100</v>
      </c>
      <c r="G1271" s="1617" t="str">
        <f>D1271</f>
        <v>ATENÇÃO A SAÚDE EM DEFESA DA VIDA</v>
      </c>
      <c r="H1271" s="773" t="s">
        <v>3138</v>
      </c>
      <c r="I1271" s="757">
        <f>DESPORC!C3618</f>
        <v>10</v>
      </c>
      <c r="J1271" s="765" t="str">
        <f>DESPORC!D3618</f>
        <v>Saúde</v>
      </c>
    </row>
    <row r="1272" spans="2:10" x14ac:dyDescent="0.25">
      <c r="B1272" s="1619"/>
      <c r="C1272" s="1616"/>
      <c r="D1272" s="1630"/>
      <c r="E1272" s="1619"/>
      <c r="F1272" s="1616"/>
      <c r="G1272" s="1618"/>
      <c r="H1272" s="774" t="s">
        <v>6940</v>
      </c>
      <c r="I1272" s="757">
        <f>DESPORC!C3619</f>
        <v>303</v>
      </c>
      <c r="J1272" s="765" t="str">
        <f>DESPORC!D3619</f>
        <v>Suporte Profilático e Terapêutico</v>
      </c>
    </row>
    <row r="1273" spans="2:10" x14ac:dyDescent="0.25">
      <c r="B1273" s="1619" t="s">
        <v>6941</v>
      </c>
      <c r="C1273" s="1616">
        <f>'[3]Anexo I - Programas'!$C$780</f>
        <v>2043</v>
      </c>
      <c r="D1273" s="1622" t="str">
        <f>'[3]Anexo I - Programas'!$D$780</f>
        <v>Gestão do Bloco Financiamento: Assistência Farmacêutica</v>
      </c>
      <c r="E1273" s="1619" t="s">
        <v>6941</v>
      </c>
      <c r="F1273" s="1616">
        <f>C1273</f>
        <v>2043</v>
      </c>
      <c r="G1273" s="1618" t="str">
        <f>D1273</f>
        <v>Gestão do Bloco Financiamento: Assistência Farmacêutica</v>
      </c>
      <c r="H1273" s="775" t="s">
        <v>3137</v>
      </c>
      <c r="I1273" s="789" t="str">
        <f>F1271</f>
        <v>100</v>
      </c>
      <c r="J1273" s="762" t="str">
        <f>G1271</f>
        <v>ATENÇÃO A SAÚDE EM DEFESA DA VIDA</v>
      </c>
    </row>
    <row r="1274" spans="2:10" x14ac:dyDescent="0.25">
      <c r="B1274" s="1620"/>
      <c r="C1274" s="1621"/>
      <c r="D1274" s="1623"/>
      <c r="E1274" s="1620"/>
      <c r="F1274" s="1621"/>
      <c r="G1274" s="1624"/>
      <c r="H1274" s="776" t="s">
        <v>6941</v>
      </c>
      <c r="I1274" s="790">
        <f>F1273</f>
        <v>2043</v>
      </c>
      <c r="J1274" s="764" t="str">
        <f>G1273</f>
        <v>Gestão do Bloco Financiamento: Assistência Farmacêutica</v>
      </c>
    </row>
    <row r="1275" spans="2:10" ht="15.75" thickBot="1" x14ac:dyDescent="0.3">
      <c r="B1275" s="769" t="s">
        <v>6939</v>
      </c>
      <c r="C1275" s="1625">
        <f>'[3]Anexo I - Programas'!$H$781</f>
        <v>500000</v>
      </c>
      <c r="D1275" s="1626"/>
      <c r="E1275" s="769" t="s">
        <v>6939</v>
      </c>
      <c r="F1275" s="1625">
        <f>'[3]Anexo I - Programas'!$J$781</f>
        <v>125000</v>
      </c>
      <c r="G1275" s="1627"/>
      <c r="H1275" s="778" t="s">
        <v>6939</v>
      </c>
      <c r="I1275" s="1625">
        <f>DESPORC!I3621</f>
        <v>37893.235543623494</v>
      </c>
      <c r="J1275" s="1627"/>
    </row>
    <row r="1276" spans="2:10" x14ac:dyDescent="0.25">
      <c r="B1276" s="1628" t="s">
        <v>3137</v>
      </c>
      <c r="C1276" s="1615" t="str">
        <f>'[3]Anexo I - Programas'!$B$722</f>
        <v>100</v>
      </c>
      <c r="D1276" s="1629" t="str">
        <f>'[3]Anexo I - Programas'!$C$722</f>
        <v>ATENÇÃO A SAÚDE EM DEFESA DA VIDA</v>
      </c>
      <c r="E1276" s="1628" t="s">
        <v>3137</v>
      </c>
      <c r="F1276" s="1615" t="str">
        <f>C1276</f>
        <v>100</v>
      </c>
      <c r="G1276" s="1617" t="str">
        <f>D1276</f>
        <v>ATENÇÃO A SAÚDE EM DEFESA DA VIDA</v>
      </c>
      <c r="H1276" s="773" t="s">
        <v>3138</v>
      </c>
      <c r="I1276" s="757">
        <f>DESPORC!C3625</f>
        <v>10</v>
      </c>
      <c r="J1276" s="765" t="str">
        <f>DESPORC!D3625</f>
        <v>Saúde</v>
      </c>
    </row>
    <row r="1277" spans="2:10" x14ac:dyDescent="0.25">
      <c r="B1277" s="1619"/>
      <c r="C1277" s="1616"/>
      <c r="D1277" s="1630"/>
      <c r="E1277" s="1619"/>
      <c r="F1277" s="1616"/>
      <c r="G1277" s="1618"/>
      <c r="H1277" s="774" t="s">
        <v>6940</v>
      </c>
      <c r="I1277" s="757">
        <f>DESPORC!C3626</f>
        <v>304</v>
      </c>
      <c r="J1277" s="765" t="str">
        <f>DESPORC!D3626</f>
        <v>Vigilância Sanitária</v>
      </c>
    </row>
    <row r="1278" spans="2:10" x14ac:dyDescent="0.25">
      <c r="B1278" s="1619" t="s">
        <v>6941</v>
      </c>
      <c r="C1278" s="1616">
        <f>'[3]Anexo I - Programas'!$C$798</f>
        <v>2046</v>
      </c>
      <c r="D1278" s="1622" t="str">
        <f>'[3]Anexo I - Programas'!$D$798</f>
        <v>Gestão do Bloco Financiamento: Vigilância em Saúde</v>
      </c>
      <c r="E1278" s="1619" t="s">
        <v>6941</v>
      </c>
      <c r="F1278" s="1616">
        <f>C1278</f>
        <v>2046</v>
      </c>
      <c r="G1278" s="1618" t="str">
        <f>D1278</f>
        <v>Gestão do Bloco Financiamento: Vigilância em Saúde</v>
      </c>
      <c r="H1278" s="775" t="s">
        <v>3137</v>
      </c>
      <c r="I1278" s="789" t="str">
        <f>F1276</f>
        <v>100</v>
      </c>
      <c r="J1278" s="762" t="str">
        <f>G1276</f>
        <v>ATENÇÃO A SAÚDE EM DEFESA DA VIDA</v>
      </c>
    </row>
    <row r="1279" spans="2:10" x14ac:dyDescent="0.25">
      <c r="B1279" s="1620"/>
      <c r="C1279" s="1621"/>
      <c r="D1279" s="1623"/>
      <c r="E1279" s="1620"/>
      <c r="F1279" s="1621"/>
      <c r="G1279" s="1624"/>
      <c r="H1279" s="776" t="s">
        <v>6941</v>
      </c>
      <c r="I1279" s="790">
        <f>F1278</f>
        <v>2046</v>
      </c>
      <c r="J1279" s="764" t="str">
        <f>G1278</f>
        <v>Gestão do Bloco Financiamento: Vigilância em Saúde</v>
      </c>
    </row>
    <row r="1280" spans="2:10" ht="15.75" thickBot="1" x14ac:dyDescent="0.3">
      <c r="B1280" s="769" t="s">
        <v>6939</v>
      </c>
      <c r="C1280" s="1625">
        <f>'[3]Anexo I - Programas'!$H$799</f>
        <v>100000</v>
      </c>
      <c r="D1280" s="1626"/>
      <c r="E1280" s="769" t="s">
        <v>6939</v>
      </c>
      <c r="F1280" s="1625">
        <f>'[3]Anexo I - Programas'!$J$799</f>
        <v>25000</v>
      </c>
      <c r="G1280" s="1627"/>
      <c r="H1280" s="778" t="s">
        <v>6939</v>
      </c>
      <c r="I1280" s="1625">
        <f>DESPORC!I3628</f>
        <v>37697.624903675685</v>
      </c>
      <c r="J1280" s="1627"/>
    </row>
    <row r="1281" spans="2:10" x14ac:dyDescent="0.25">
      <c r="J1281" s="15"/>
    </row>
    <row r="1282" spans="2:10" x14ac:dyDescent="0.25">
      <c r="B1282" s="1631" t="s">
        <v>6927</v>
      </c>
      <c r="C1282" s="1631"/>
      <c r="D1282" s="755" t="str">
        <f>DESPORC!C3668</f>
        <v>05 - SECRETARIA MUNICIPAL DE ASSISTENCIA SOCIAL</v>
      </c>
      <c r="E1282" s="791"/>
      <c r="F1282" s="792"/>
      <c r="G1282" s="792"/>
      <c r="H1282" s="791"/>
      <c r="I1282" s="792"/>
      <c r="J1282" s="792"/>
    </row>
    <row r="1283" spans="2:10" ht="15.75" thickBot="1" x14ac:dyDescent="0.3">
      <c r="B1283" s="1632" t="s">
        <v>3087</v>
      </c>
      <c r="C1283" s="1632"/>
      <c r="D1283" s="755" t="str">
        <f>DESPORC!C3669</f>
        <v>01 - GESTÃO, COORDENAÇÃO E PLANEJAMENTO ADMINISTRATIVO</v>
      </c>
      <c r="E1283" s="791"/>
      <c r="F1283" s="36"/>
      <c r="G1283" s="1"/>
      <c r="H1283" s="772"/>
      <c r="I1283" s="1"/>
      <c r="J1283" s="1"/>
    </row>
    <row r="1284" spans="2:10" ht="15.75" thickBot="1" x14ac:dyDescent="0.3">
      <c r="B1284" s="1633" t="str">
        <f>B$10</f>
        <v>PPA LEI MUNICIPAL N.º 1091  DE 16 DE JUNHO DE 2017.</v>
      </c>
      <c r="C1284" s="1634"/>
      <c r="D1284" s="1635"/>
      <c r="E1284" s="1633" t="str">
        <f>E$10</f>
        <v>LDO LEI MUNICIPAL N.º 1166  DE 10 DE OUTUBRO DE 2019.</v>
      </c>
      <c r="F1284" s="1634"/>
      <c r="G1284" s="1635"/>
      <c r="H1284" s="1633" t="str">
        <f>H$10</f>
        <v>LOA 2020</v>
      </c>
      <c r="I1284" s="1634"/>
      <c r="J1284" s="1635"/>
    </row>
    <row r="1285" spans="2:10" x14ac:dyDescent="0.25">
      <c r="B1285" s="1628" t="s">
        <v>3137</v>
      </c>
      <c r="C1285" s="1615" t="str">
        <f>'[3]Anexo I - Programas'!$B$390</f>
        <v>12</v>
      </c>
      <c r="D1285" s="1629" t="str">
        <f>'[3]Anexo I - Programas'!$C$390</f>
        <v>GESTÃO E AÇÕES DE ASSISTENCIA SOCIAL</v>
      </c>
      <c r="E1285" s="1628" t="s">
        <v>3137</v>
      </c>
      <c r="F1285" s="1615" t="str">
        <f>C1285</f>
        <v>12</v>
      </c>
      <c r="G1285" s="1617" t="str">
        <f>D1285</f>
        <v>GESTÃO E AÇÕES DE ASSISTENCIA SOCIAL</v>
      </c>
      <c r="H1285" s="773" t="s">
        <v>3138</v>
      </c>
      <c r="I1285" s="757">
        <f>DESPORC!C3671</f>
        <v>8</v>
      </c>
      <c r="J1285" s="765" t="str">
        <f>DESPORC!D3671</f>
        <v>Assistência Social</v>
      </c>
    </row>
    <row r="1286" spans="2:10" x14ac:dyDescent="0.25">
      <c r="B1286" s="1619"/>
      <c r="C1286" s="1616"/>
      <c r="D1286" s="1630"/>
      <c r="E1286" s="1619"/>
      <c r="F1286" s="1616"/>
      <c r="G1286" s="1618"/>
      <c r="H1286" s="774" t="s">
        <v>6940</v>
      </c>
      <c r="I1286" s="757">
        <f>DESPORC!C3672</f>
        <v>122</v>
      </c>
      <c r="J1286" s="765" t="str">
        <f>DESPORC!D3672</f>
        <v>Administração Geral</v>
      </c>
    </row>
    <row r="1287" spans="2:10" x14ac:dyDescent="0.25">
      <c r="B1287" s="1619" t="s">
        <v>6941</v>
      </c>
      <c r="C1287" s="1616">
        <f>'[3]Anexo I - Programas'!$C$399</f>
        <v>1011</v>
      </c>
      <c r="D1287" s="1622" t="str">
        <f>'[3]Anexo I - Programas'!$D$399</f>
        <v>Novos Investimentos em Assistencia Social</v>
      </c>
      <c r="E1287" s="1619" t="s">
        <v>6941</v>
      </c>
      <c r="F1287" s="1616">
        <f>C1287</f>
        <v>1011</v>
      </c>
      <c r="G1287" s="1618" t="str">
        <f>D1287</f>
        <v>Novos Investimentos em Assistencia Social</v>
      </c>
      <c r="H1287" s="775" t="s">
        <v>3137</v>
      </c>
      <c r="I1287" s="789" t="str">
        <f>F1285</f>
        <v>12</v>
      </c>
      <c r="J1287" s="762" t="str">
        <f>G1285</f>
        <v>GESTÃO E AÇÕES DE ASSISTENCIA SOCIAL</v>
      </c>
    </row>
    <row r="1288" spans="2:10" x14ac:dyDescent="0.25">
      <c r="B1288" s="1620"/>
      <c r="C1288" s="1621"/>
      <c r="D1288" s="1623"/>
      <c r="E1288" s="1620"/>
      <c r="F1288" s="1621"/>
      <c r="G1288" s="1624"/>
      <c r="H1288" s="776" t="s">
        <v>6941</v>
      </c>
      <c r="I1288" s="790">
        <f>F1287</f>
        <v>1011</v>
      </c>
      <c r="J1288" s="764" t="str">
        <f>G1287</f>
        <v>Novos Investimentos em Assistencia Social</v>
      </c>
    </row>
    <row r="1289" spans="2:10" ht="15.75" thickBot="1" x14ac:dyDescent="0.3">
      <c r="B1289" s="769" t="s">
        <v>6939</v>
      </c>
      <c r="C1289" s="1625">
        <f>'[3]Anexo I - Programas'!$H$400</f>
        <v>530000</v>
      </c>
      <c r="D1289" s="1626"/>
      <c r="E1289" s="769" t="s">
        <v>6939</v>
      </c>
      <c r="F1289" s="1625">
        <f>'[3]Anexo I - Programas'!$J$400</f>
        <v>132500</v>
      </c>
      <c r="G1289" s="1627"/>
      <c r="H1289" s="778" t="s">
        <v>6939</v>
      </c>
      <c r="I1289" s="1625">
        <f>DESPORC!I3674+DESPORC!I3684</f>
        <v>0.12000000000000001</v>
      </c>
      <c r="J1289" s="1627"/>
    </row>
    <row r="1290" spans="2:10" x14ac:dyDescent="0.25">
      <c r="B1290" s="1628" t="s">
        <v>3137</v>
      </c>
      <c r="C1290" s="1615" t="str">
        <f>'[3]Anexo I - Programas'!$B$390</f>
        <v>12</v>
      </c>
      <c r="D1290" s="1629" t="str">
        <f>'[3]Anexo I - Programas'!$C$390</f>
        <v>GESTÃO E AÇÕES DE ASSISTENCIA SOCIAL</v>
      </c>
      <c r="E1290" s="1628" t="s">
        <v>3137</v>
      </c>
      <c r="F1290" s="1615" t="str">
        <f>C1290</f>
        <v>12</v>
      </c>
      <c r="G1290" s="1617" t="str">
        <f>D1290</f>
        <v>GESTÃO E AÇÕES DE ASSISTENCIA SOCIAL</v>
      </c>
      <c r="H1290" s="773" t="s">
        <v>3138</v>
      </c>
      <c r="I1290" s="757">
        <f>DESPORC!C3691</f>
        <v>8</v>
      </c>
      <c r="J1290" s="765" t="str">
        <f>DESPORC!D3691</f>
        <v>Assistência Social</v>
      </c>
    </row>
    <row r="1291" spans="2:10" x14ac:dyDescent="0.25">
      <c r="B1291" s="1619"/>
      <c r="C1291" s="1616"/>
      <c r="D1291" s="1630"/>
      <c r="E1291" s="1619"/>
      <c r="F1291" s="1616"/>
      <c r="G1291" s="1618"/>
      <c r="H1291" s="774" t="s">
        <v>6940</v>
      </c>
      <c r="I1291" s="757">
        <f>DESPORC!C3692</f>
        <v>122</v>
      </c>
      <c r="J1291" s="765" t="str">
        <f>DESPORC!D3692</f>
        <v>Administração Geral</v>
      </c>
    </row>
    <row r="1292" spans="2:10" x14ac:dyDescent="0.25">
      <c r="B1292" s="1619" t="s">
        <v>6941</v>
      </c>
      <c r="C1292" s="1616">
        <f>'[3]Anexo I - Programas'!$C$404</f>
        <v>2012</v>
      </c>
      <c r="D1292" s="1622" t="str">
        <f>'[3]Anexo I - Programas'!$D$404</f>
        <v>Gestão, Coord. e Planejamento de Assistência Social</v>
      </c>
      <c r="E1292" s="1619" t="s">
        <v>6941</v>
      </c>
      <c r="F1292" s="1616">
        <f>C1292</f>
        <v>2012</v>
      </c>
      <c r="G1292" s="1618" t="str">
        <f>D1292</f>
        <v>Gestão, Coord. e Planejamento de Assistência Social</v>
      </c>
      <c r="H1292" s="775" t="s">
        <v>3137</v>
      </c>
      <c r="I1292" s="789" t="str">
        <f>F1290</f>
        <v>12</v>
      </c>
      <c r="J1292" s="762" t="str">
        <f>G1290</f>
        <v>GESTÃO E AÇÕES DE ASSISTENCIA SOCIAL</v>
      </c>
    </row>
    <row r="1293" spans="2:10" x14ac:dyDescent="0.25">
      <c r="B1293" s="1620"/>
      <c r="C1293" s="1621"/>
      <c r="D1293" s="1623"/>
      <c r="E1293" s="1620"/>
      <c r="F1293" s="1621"/>
      <c r="G1293" s="1624"/>
      <c r="H1293" s="776" t="s">
        <v>6941</v>
      </c>
      <c r="I1293" s="790">
        <f>F1292</f>
        <v>2012</v>
      </c>
      <c r="J1293" s="764" t="str">
        <f>G1292</f>
        <v>Gestão, Coord. e Planejamento de Assistência Social</v>
      </c>
    </row>
    <row r="1294" spans="2:10" ht="15.75" thickBot="1" x14ac:dyDescent="0.3">
      <c r="B1294" s="769" t="s">
        <v>6939</v>
      </c>
      <c r="C1294" s="1625">
        <f>'[3]Anexo I - Programas'!$H$405</f>
        <v>5080000</v>
      </c>
      <c r="D1294" s="1626"/>
      <c r="E1294" s="769" t="s">
        <v>6939</v>
      </c>
      <c r="F1294" s="1625">
        <f>'[3]Anexo I - Programas'!$J$405</f>
        <v>1270000</v>
      </c>
      <c r="G1294" s="1627"/>
      <c r="H1294" s="778" t="s">
        <v>6939</v>
      </c>
      <c r="I1294" s="1625">
        <f>DESPORC!I3694</f>
        <v>428162.77447597287</v>
      </c>
      <c r="J1294" s="1627"/>
    </row>
    <row r="1295" spans="2:10" x14ac:dyDescent="0.25">
      <c r="B1295" s="1628" t="s">
        <v>3137</v>
      </c>
      <c r="C1295" s="1615" t="str">
        <f>'[3]Anexo I - Programas'!$B$390</f>
        <v>12</v>
      </c>
      <c r="D1295" s="1629" t="str">
        <f>'[3]Anexo I - Programas'!$C$390</f>
        <v>GESTÃO E AÇÕES DE ASSISTENCIA SOCIAL</v>
      </c>
      <c r="E1295" s="1628" t="s">
        <v>3137</v>
      </c>
      <c r="F1295" s="1615" t="str">
        <f>C1295</f>
        <v>12</v>
      </c>
      <c r="G1295" s="1617" t="str">
        <f>D1295</f>
        <v>GESTÃO E AÇÕES DE ASSISTENCIA SOCIAL</v>
      </c>
      <c r="H1295" s="773" t="s">
        <v>3138</v>
      </c>
      <c r="I1295" s="757">
        <f>DESPORC!C3716</f>
        <v>8</v>
      </c>
      <c r="J1295" s="765" t="str">
        <f>DESPORC!D3716</f>
        <v>Assistência Social</v>
      </c>
    </row>
    <row r="1296" spans="2:10" x14ac:dyDescent="0.25">
      <c r="B1296" s="1619"/>
      <c r="C1296" s="1616"/>
      <c r="D1296" s="1630"/>
      <c r="E1296" s="1619"/>
      <c r="F1296" s="1616"/>
      <c r="G1296" s="1618"/>
      <c r="H1296" s="774" t="s">
        <v>6940</v>
      </c>
      <c r="I1296" s="757">
        <f>DESPORC!C3717</f>
        <v>122</v>
      </c>
      <c r="J1296" s="765" t="str">
        <f>DESPORC!D3717</f>
        <v>Administração Geral</v>
      </c>
    </row>
    <row r="1297" spans="2:10" x14ac:dyDescent="0.25">
      <c r="B1297" s="1619" t="s">
        <v>6941</v>
      </c>
      <c r="C1297" s="1616">
        <f>'[3]Anexo I - Programas'!$C$410</f>
        <v>2013</v>
      </c>
      <c r="D1297" s="1622" t="str">
        <f>'[3]Anexo I - Programas'!$D$410</f>
        <v>Promoção da Assistencia Social Básica</v>
      </c>
      <c r="E1297" s="1619" t="s">
        <v>6941</v>
      </c>
      <c r="F1297" s="1616">
        <f>C1297</f>
        <v>2013</v>
      </c>
      <c r="G1297" s="1618" t="str">
        <f>D1297</f>
        <v>Promoção da Assistencia Social Básica</v>
      </c>
      <c r="H1297" s="775" t="s">
        <v>3137</v>
      </c>
      <c r="I1297" s="789" t="str">
        <f>F1295</f>
        <v>12</v>
      </c>
      <c r="J1297" s="762" t="str">
        <f>G1295</f>
        <v>GESTÃO E AÇÕES DE ASSISTENCIA SOCIAL</v>
      </c>
    </row>
    <row r="1298" spans="2:10" x14ac:dyDescent="0.25">
      <c r="B1298" s="1620"/>
      <c r="C1298" s="1621"/>
      <c r="D1298" s="1623"/>
      <c r="E1298" s="1620"/>
      <c r="F1298" s="1621"/>
      <c r="G1298" s="1624"/>
      <c r="H1298" s="776" t="s">
        <v>6941</v>
      </c>
      <c r="I1298" s="790">
        <f>F1297</f>
        <v>2013</v>
      </c>
      <c r="J1298" s="764" t="str">
        <f>G1297</f>
        <v>Promoção da Assistencia Social Básica</v>
      </c>
    </row>
    <row r="1299" spans="2:10" ht="15.75" thickBot="1" x14ac:dyDescent="0.3">
      <c r="B1299" s="769" t="s">
        <v>6939</v>
      </c>
      <c r="C1299" s="1625">
        <f>'[3]Anexo I - Programas'!$H$411</f>
        <v>200000</v>
      </c>
      <c r="D1299" s="1626"/>
      <c r="E1299" s="769" t="s">
        <v>6939</v>
      </c>
      <c r="F1299" s="1625">
        <f>'[3]Anexo I - Programas'!$J$411</f>
        <v>50000</v>
      </c>
      <c r="G1299" s="1627"/>
      <c r="H1299" s="778" t="s">
        <v>6939</v>
      </c>
      <c r="I1299" s="1625">
        <f>DESPORC!I3719</f>
        <v>226045.07515495436</v>
      </c>
      <c r="J1299" s="1627"/>
    </row>
    <row r="1300" spans="2:10" x14ac:dyDescent="0.25">
      <c r="B1300" s="804"/>
      <c r="C1300" s="805"/>
      <c r="D1300" s="806"/>
      <c r="E1300" s="804"/>
      <c r="F1300" s="805"/>
      <c r="G1300" s="806"/>
      <c r="H1300" s="804"/>
      <c r="I1300" s="805"/>
      <c r="J1300" s="806"/>
    </row>
    <row r="1301" spans="2:10" x14ac:dyDescent="0.25">
      <c r="B1301" s="267"/>
      <c r="C1301" s="807"/>
      <c r="D1301" s="257"/>
      <c r="E1301" s="267"/>
      <c r="F1301" s="807"/>
      <c r="G1301" s="257"/>
      <c r="H1301" s="267"/>
      <c r="I1301" s="807"/>
      <c r="J1301" s="257"/>
    </row>
    <row r="1302" spans="2:10" x14ac:dyDescent="0.25">
      <c r="B1302" s="267"/>
      <c r="C1302" s="807"/>
      <c r="D1302" s="257"/>
      <c r="E1302" s="267"/>
      <c r="F1302" s="807"/>
      <c r="G1302" s="257"/>
      <c r="H1302" s="267"/>
      <c r="I1302" s="807"/>
      <c r="J1302" s="257"/>
    </row>
    <row r="1303" spans="2:10" ht="15.75" thickBot="1" x14ac:dyDescent="0.3">
      <c r="B1303" s="808"/>
      <c r="C1303" s="809"/>
      <c r="D1303" s="810"/>
      <c r="E1303" s="808"/>
      <c r="F1303" s="809"/>
      <c r="G1303" s="810"/>
      <c r="H1303" s="808"/>
      <c r="I1303" s="809"/>
      <c r="J1303" s="810"/>
    </row>
    <row r="1304" spans="2:10" x14ac:dyDescent="0.25">
      <c r="B1304" s="1628" t="s">
        <v>3137</v>
      </c>
      <c r="C1304" s="1615" t="str">
        <f>'[3]Anexo I - Programas'!$B$390</f>
        <v>12</v>
      </c>
      <c r="D1304" s="1629" t="str">
        <f>'[3]Anexo I - Programas'!$C$390</f>
        <v>GESTÃO E AÇÕES DE ASSISTENCIA SOCIAL</v>
      </c>
      <c r="E1304" s="1628" t="s">
        <v>3137</v>
      </c>
      <c r="F1304" s="1615" t="str">
        <f>C1304</f>
        <v>12</v>
      </c>
      <c r="G1304" s="1617" t="str">
        <f>D1304</f>
        <v>GESTÃO E AÇÕES DE ASSISTENCIA SOCIAL</v>
      </c>
      <c r="H1304" s="773" t="s">
        <v>3138</v>
      </c>
      <c r="I1304" s="757">
        <f>DESPORC!C3743</f>
        <v>8</v>
      </c>
      <c r="J1304" s="765" t="str">
        <f>DESPORC!D3743</f>
        <v>Assistência Social</v>
      </c>
    </row>
    <row r="1305" spans="2:10" x14ac:dyDescent="0.25">
      <c r="B1305" s="1619"/>
      <c r="C1305" s="1616"/>
      <c r="D1305" s="1630"/>
      <c r="E1305" s="1619"/>
      <c r="F1305" s="1616"/>
      <c r="G1305" s="1618"/>
      <c r="H1305" s="774" t="s">
        <v>6940</v>
      </c>
      <c r="I1305" s="757">
        <f>DESPORC!C3744</f>
        <v>126</v>
      </c>
      <c r="J1305" s="765" t="str">
        <f>DESPORC!D3744</f>
        <v>Tecnologia da Informação</v>
      </c>
    </row>
    <row r="1306" spans="2:10" x14ac:dyDescent="0.25">
      <c r="B1306" s="1619" t="s">
        <v>6941</v>
      </c>
      <c r="C1306" s="1616">
        <f>'[3]Anexo I - Programas'!$C$404</f>
        <v>2012</v>
      </c>
      <c r="D1306" s="1622" t="str">
        <f>'[3]Anexo I - Programas'!$D$404</f>
        <v>Gestão, Coord. e Planejamento de Assistência Social</v>
      </c>
      <c r="E1306" s="1619" t="s">
        <v>6941</v>
      </c>
      <c r="F1306" s="1616">
        <f>C1306</f>
        <v>2012</v>
      </c>
      <c r="G1306" s="1618" t="str">
        <f>D1306</f>
        <v>Gestão, Coord. e Planejamento de Assistência Social</v>
      </c>
      <c r="H1306" s="775" t="s">
        <v>3137</v>
      </c>
      <c r="I1306" s="789" t="str">
        <f>F1304</f>
        <v>12</v>
      </c>
      <c r="J1306" s="762" t="str">
        <f>G1304</f>
        <v>GESTÃO E AÇÕES DE ASSISTENCIA SOCIAL</v>
      </c>
    </row>
    <row r="1307" spans="2:10" x14ac:dyDescent="0.25">
      <c r="B1307" s="1620"/>
      <c r="C1307" s="1621"/>
      <c r="D1307" s="1623"/>
      <c r="E1307" s="1620"/>
      <c r="F1307" s="1621"/>
      <c r="G1307" s="1624"/>
      <c r="H1307" s="776" t="s">
        <v>6941</v>
      </c>
      <c r="I1307" s="790">
        <f>F1306</f>
        <v>2012</v>
      </c>
      <c r="J1307" s="764" t="str">
        <f>G1306</f>
        <v>Gestão, Coord. e Planejamento de Assistência Social</v>
      </c>
    </row>
    <row r="1308" spans="2:10" ht="15.75" thickBot="1" x14ac:dyDescent="0.3">
      <c r="B1308" s="769" t="s">
        <v>6939</v>
      </c>
      <c r="C1308" s="1625">
        <f>'[3]Anexo I - Programas'!$H$405</f>
        <v>5080000</v>
      </c>
      <c r="D1308" s="1626"/>
      <c r="E1308" s="769" t="s">
        <v>6939</v>
      </c>
      <c r="F1308" s="1625">
        <f>'[3]Anexo I - Programas'!$J$405</f>
        <v>1270000</v>
      </c>
      <c r="G1308" s="1627"/>
      <c r="H1308" s="778" t="s">
        <v>6939</v>
      </c>
      <c r="I1308" s="1625">
        <f>DESPORC!I3746</f>
        <v>1657.0500000000002</v>
      </c>
      <c r="J1308" s="1627"/>
    </row>
    <row r="1309" spans="2:10" x14ac:dyDescent="0.25">
      <c r="B1309" s="1628" t="s">
        <v>3137</v>
      </c>
      <c r="C1309" s="1615" t="str">
        <f>'[3]Anexo I - Programas'!$B$390</f>
        <v>12</v>
      </c>
      <c r="D1309" s="1629" t="str">
        <f>'[3]Anexo I - Programas'!$C$390</f>
        <v>GESTÃO E AÇÕES DE ASSISTENCIA SOCIAL</v>
      </c>
      <c r="E1309" s="1628" t="s">
        <v>3137</v>
      </c>
      <c r="F1309" s="1615" t="str">
        <f>C1309</f>
        <v>12</v>
      </c>
      <c r="G1309" s="1617" t="str">
        <f>D1309</f>
        <v>GESTÃO E AÇÕES DE ASSISTENCIA SOCIAL</v>
      </c>
      <c r="H1309" s="773" t="s">
        <v>3138</v>
      </c>
      <c r="I1309" s="757">
        <f>DESPORC!C3748</f>
        <v>8</v>
      </c>
      <c r="J1309" s="765" t="str">
        <f>DESPORC!D3748</f>
        <v>Assistência Social</v>
      </c>
    </row>
    <row r="1310" spans="2:10" x14ac:dyDescent="0.25">
      <c r="B1310" s="1619"/>
      <c r="C1310" s="1616"/>
      <c r="D1310" s="1630"/>
      <c r="E1310" s="1619"/>
      <c r="F1310" s="1616"/>
      <c r="G1310" s="1618"/>
      <c r="H1310" s="774" t="s">
        <v>6940</v>
      </c>
      <c r="I1310" s="757">
        <f>DESPORC!C3749</f>
        <v>126</v>
      </c>
      <c r="J1310" s="765" t="str">
        <f>DESPORC!D3749</f>
        <v>Tecnologia da Informação</v>
      </c>
    </row>
    <row r="1311" spans="2:10" x14ac:dyDescent="0.25">
      <c r="B1311" s="1619" t="s">
        <v>6941</v>
      </c>
      <c r="C1311" s="1616">
        <f>'[3]Anexo I - Programas'!$C$410</f>
        <v>2013</v>
      </c>
      <c r="D1311" s="1622" t="str">
        <f>'[3]Anexo I - Programas'!$D$410</f>
        <v>Promoção da Assistencia Social Básica</v>
      </c>
      <c r="E1311" s="1619" t="s">
        <v>6941</v>
      </c>
      <c r="F1311" s="1616">
        <f>C1311</f>
        <v>2013</v>
      </c>
      <c r="G1311" s="1618" t="str">
        <f>D1311</f>
        <v>Promoção da Assistencia Social Básica</v>
      </c>
      <c r="H1311" s="775" t="s">
        <v>3137</v>
      </c>
      <c r="I1311" s="789" t="str">
        <f>F1309</f>
        <v>12</v>
      </c>
      <c r="J1311" s="762" t="str">
        <f>G1309</f>
        <v>GESTÃO E AÇÕES DE ASSISTENCIA SOCIAL</v>
      </c>
    </row>
    <row r="1312" spans="2:10" x14ac:dyDescent="0.25">
      <c r="B1312" s="1620"/>
      <c r="C1312" s="1621"/>
      <c r="D1312" s="1623"/>
      <c r="E1312" s="1620"/>
      <c r="F1312" s="1621"/>
      <c r="G1312" s="1624"/>
      <c r="H1312" s="776" t="s">
        <v>6941</v>
      </c>
      <c r="I1312" s="790">
        <f>F1311</f>
        <v>2013</v>
      </c>
      <c r="J1312" s="764" t="str">
        <f>G1311</f>
        <v>Promoção da Assistencia Social Básica</v>
      </c>
    </row>
    <row r="1313" spans="2:10" ht="15.75" thickBot="1" x14ac:dyDescent="0.3">
      <c r="B1313" s="769" t="s">
        <v>6939</v>
      </c>
      <c r="C1313" s="1625">
        <f>'[3]Anexo I - Programas'!$H$411</f>
        <v>200000</v>
      </c>
      <c r="D1313" s="1626"/>
      <c r="E1313" s="769" t="s">
        <v>6939</v>
      </c>
      <c r="F1313" s="1625">
        <f>'[3]Anexo I - Programas'!$J$411</f>
        <v>50000</v>
      </c>
      <c r="G1313" s="1627"/>
      <c r="H1313" s="778" t="s">
        <v>6939</v>
      </c>
      <c r="I1313" s="1625">
        <f>DESPORC!I3751</f>
        <v>1893.2550000000001</v>
      </c>
      <c r="J1313" s="1627"/>
    </row>
    <row r="1314" spans="2:10" x14ac:dyDescent="0.25">
      <c r="B1314" s="1628" t="s">
        <v>3137</v>
      </c>
      <c r="C1314" s="1615" t="str">
        <f>'[3]Anexo I - Programas'!$B$390</f>
        <v>12</v>
      </c>
      <c r="D1314" s="1629" t="str">
        <f>'[3]Anexo I - Programas'!$C$390</f>
        <v>GESTÃO E AÇÕES DE ASSISTENCIA SOCIAL</v>
      </c>
      <c r="E1314" s="1628" t="s">
        <v>3137</v>
      </c>
      <c r="F1314" s="1615" t="str">
        <f>C1314</f>
        <v>12</v>
      </c>
      <c r="G1314" s="1617" t="str">
        <f>D1314</f>
        <v>GESTÃO E AÇÕES DE ASSISTENCIA SOCIAL</v>
      </c>
      <c r="H1314" s="773" t="s">
        <v>3138</v>
      </c>
      <c r="I1314" s="757">
        <f>DESPORC!C3753</f>
        <v>8</v>
      </c>
      <c r="J1314" s="765" t="str">
        <f>DESPORC!D3753</f>
        <v>Assistência Social</v>
      </c>
    </row>
    <row r="1315" spans="2:10" x14ac:dyDescent="0.25">
      <c r="B1315" s="1619"/>
      <c r="C1315" s="1616"/>
      <c r="D1315" s="1630"/>
      <c r="E1315" s="1619"/>
      <c r="F1315" s="1616"/>
      <c r="G1315" s="1618"/>
      <c r="H1315" s="774" t="s">
        <v>6940</v>
      </c>
      <c r="I1315" s="757">
        <f>DESPORC!C3754</f>
        <v>128</v>
      </c>
      <c r="J1315" s="765" t="str">
        <f>DESPORC!D3754</f>
        <v>Formação de Recursos Humanos</v>
      </c>
    </row>
    <row r="1316" spans="2:10" x14ac:dyDescent="0.25">
      <c r="B1316" s="1619" t="s">
        <v>6941</v>
      </c>
      <c r="C1316" s="1616">
        <f>'[3]Anexo I - Programas'!$C$404</f>
        <v>2012</v>
      </c>
      <c r="D1316" s="1622" t="str">
        <f>'[3]Anexo I - Programas'!$D$404</f>
        <v>Gestão, Coord. e Planejamento de Assistência Social</v>
      </c>
      <c r="E1316" s="1619" t="s">
        <v>6941</v>
      </c>
      <c r="F1316" s="1616">
        <f>C1316</f>
        <v>2012</v>
      </c>
      <c r="G1316" s="1618" t="str">
        <f>D1316</f>
        <v>Gestão, Coord. e Planejamento de Assistência Social</v>
      </c>
      <c r="H1316" s="775" t="s">
        <v>3137</v>
      </c>
      <c r="I1316" s="789" t="str">
        <f>F1314</f>
        <v>12</v>
      </c>
      <c r="J1316" s="762" t="str">
        <f>G1314</f>
        <v>GESTÃO E AÇÕES DE ASSISTENCIA SOCIAL</v>
      </c>
    </row>
    <row r="1317" spans="2:10" x14ac:dyDescent="0.25">
      <c r="B1317" s="1620"/>
      <c r="C1317" s="1621"/>
      <c r="D1317" s="1623"/>
      <c r="E1317" s="1620"/>
      <c r="F1317" s="1621"/>
      <c r="G1317" s="1624"/>
      <c r="H1317" s="776" t="s">
        <v>6941</v>
      </c>
      <c r="I1317" s="790">
        <f>F1316</f>
        <v>2012</v>
      </c>
      <c r="J1317" s="764" t="str">
        <f>G1316</f>
        <v>Gestão, Coord. e Planejamento de Assistência Social</v>
      </c>
    </row>
    <row r="1318" spans="2:10" ht="15.75" thickBot="1" x14ac:dyDescent="0.3">
      <c r="B1318" s="769" t="s">
        <v>6939</v>
      </c>
      <c r="C1318" s="1625">
        <f>'[3]Anexo I - Programas'!$H$405</f>
        <v>5080000</v>
      </c>
      <c r="D1318" s="1626"/>
      <c r="E1318" s="769" t="s">
        <v>6939</v>
      </c>
      <c r="F1318" s="1625">
        <f>'[3]Anexo I - Programas'!$J$405</f>
        <v>1270000</v>
      </c>
      <c r="G1318" s="1627"/>
      <c r="H1318" s="778" t="s">
        <v>6939</v>
      </c>
      <c r="I1318" s="1625">
        <f>DESPORC!I3756</f>
        <v>0.05</v>
      </c>
      <c r="J1318" s="1627"/>
    </row>
    <row r="1319" spans="2:10" x14ac:dyDescent="0.25">
      <c r="B1319" s="1628" t="s">
        <v>3137</v>
      </c>
      <c r="C1319" s="1615" t="str">
        <f>'[3]Anexo I - Programas'!$B$390</f>
        <v>12</v>
      </c>
      <c r="D1319" s="1629" t="str">
        <f>'[3]Anexo I - Programas'!$C$390</f>
        <v>GESTÃO E AÇÕES DE ASSISTENCIA SOCIAL</v>
      </c>
      <c r="E1319" s="1628" t="s">
        <v>3137</v>
      </c>
      <c r="F1319" s="1615" t="str">
        <f>C1319</f>
        <v>12</v>
      </c>
      <c r="G1319" s="1617" t="str">
        <f>D1319</f>
        <v>GESTÃO E AÇÕES DE ASSISTENCIA SOCIAL</v>
      </c>
      <c r="H1319" s="773" t="s">
        <v>3138</v>
      </c>
      <c r="I1319" s="757">
        <f>DESPORC!C3762</f>
        <v>8</v>
      </c>
      <c r="J1319" s="765" t="str">
        <f>DESPORC!D3762</f>
        <v>Assistência Social</v>
      </c>
    </row>
    <row r="1320" spans="2:10" x14ac:dyDescent="0.25">
      <c r="B1320" s="1619"/>
      <c r="C1320" s="1616"/>
      <c r="D1320" s="1630"/>
      <c r="E1320" s="1619"/>
      <c r="F1320" s="1616"/>
      <c r="G1320" s="1618"/>
      <c r="H1320" s="774" t="s">
        <v>6940</v>
      </c>
      <c r="I1320" s="757">
        <f>DESPORC!C3763</f>
        <v>128</v>
      </c>
      <c r="J1320" s="765" t="str">
        <f>DESPORC!D3763</f>
        <v>Formação de Recursos Humanos</v>
      </c>
    </row>
    <row r="1321" spans="2:10" x14ac:dyDescent="0.25">
      <c r="B1321" s="1619" t="s">
        <v>6941</v>
      </c>
      <c r="C1321" s="1616">
        <f>'[3]Anexo I - Programas'!$C$410</f>
        <v>2013</v>
      </c>
      <c r="D1321" s="1622" t="str">
        <f>'[3]Anexo I - Programas'!$D$410</f>
        <v>Promoção da Assistencia Social Básica</v>
      </c>
      <c r="E1321" s="1619" t="s">
        <v>6941</v>
      </c>
      <c r="F1321" s="1616">
        <f>C1321</f>
        <v>2013</v>
      </c>
      <c r="G1321" s="1618" t="str">
        <f>D1321</f>
        <v>Promoção da Assistencia Social Básica</v>
      </c>
      <c r="H1321" s="775" t="s">
        <v>3137</v>
      </c>
      <c r="I1321" s="789" t="str">
        <f>F1319</f>
        <v>12</v>
      </c>
      <c r="J1321" s="762" t="str">
        <f>G1319</f>
        <v>GESTÃO E AÇÕES DE ASSISTENCIA SOCIAL</v>
      </c>
    </row>
    <row r="1322" spans="2:10" x14ac:dyDescent="0.25">
      <c r="B1322" s="1620"/>
      <c r="C1322" s="1621"/>
      <c r="D1322" s="1623"/>
      <c r="E1322" s="1620"/>
      <c r="F1322" s="1621"/>
      <c r="G1322" s="1624"/>
      <c r="H1322" s="776" t="s">
        <v>6941</v>
      </c>
      <c r="I1322" s="790">
        <f>F1321</f>
        <v>2013</v>
      </c>
      <c r="J1322" s="764" t="str">
        <f>G1321</f>
        <v>Promoção da Assistencia Social Básica</v>
      </c>
    </row>
    <row r="1323" spans="2:10" ht="15.75" thickBot="1" x14ac:dyDescent="0.3">
      <c r="B1323" s="769" t="s">
        <v>6939</v>
      </c>
      <c r="C1323" s="1625">
        <f>'[3]Anexo I - Programas'!$H$411</f>
        <v>200000</v>
      </c>
      <c r="D1323" s="1626"/>
      <c r="E1323" s="769" t="s">
        <v>6939</v>
      </c>
      <c r="F1323" s="1625">
        <f>'[3]Anexo I - Programas'!$J$411</f>
        <v>50000</v>
      </c>
      <c r="G1323" s="1627"/>
      <c r="H1323" s="778" t="s">
        <v>6939</v>
      </c>
      <c r="I1323" s="1625">
        <f>DESPORC!I3765</f>
        <v>0.14100000000000001</v>
      </c>
      <c r="J1323" s="1627"/>
    </row>
    <row r="1324" spans="2:10" x14ac:dyDescent="0.25">
      <c r="J1324" s="15"/>
    </row>
    <row r="1325" spans="2:10" x14ac:dyDescent="0.25">
      <c r="B1325" s="1631" t="s">
        <v>6927</v>
      </c>
      <c r="C1325" s="1631"/>
      <c r="D1325" s="755" t="str">
        <f>DESPORC!C3776</f>
        <v>05 - SECRETARIA MUNICIPAL DE ASSISTENCIA SOCIAL</v>
      </c>
      <c r="E1325" s="791"/>
      <c r="F1325" s="792"/>
      <c r="G1325" s="792"/>
      <c r="H1325" s="791"/>
      <c r="I1325" s="792"/>
      <c r="J1325" s="792"/>
    </row>
    <row r="1326" spans="2:10" ht="15.75" thickBot="1" x14ac:dyDescent="0.3">
      <c r="B1326" s="1632" t="s">
        <v>3087</v>
      </c>
      <c r="C1326" s="1632"/>
      <c r="D1326" s="755" t="str">
        <f>DESPORC!C3777</f>
        <v>02 - FUNDO MUN. DE ASSIST. SOCIAL - PROG. MUNICIPAIS</v>
      </c>
      <c r="E1326" s="791"/>
      <c r="F1326" s="36"/>
      <c r="G1326" s="1"/>
      <c r="H1326" s="772"/>
      <c r="I1326" s="1"/>
      <c r="J1326" s="1"/>
    </row>
    <row r="1327" spans="2:10" ht="15.75" thickBot="1" x14ac:dyDescent="0.3">
      <c r="B1327" s="1633" t="str">
        <f>B$10</f>
        <v>PPA LEI MUNICIPAL N.º 1091  DE 16 DE JUNHO DE 2017.</v>
      </c>
      <c r="C1327" s="1634"/>
      <c r="D1327" s="1635"/>
      <c r="E1327" s="1633" t="str">
        <f>E$10</f>
        <v>LDO LEI MUNICIPAL N.º 1166  DE 10 DE OUTUBRO DE 2019.</v>
      </c>
      <c r="F1327" s="1634"/>
      <c r="G1327" s="1635"/>
      <c r="H1327" s="1633" t="str">
        <f>H$10</f>
        <v>LOA 2020</v>
      </c>
      <c r="I1327" s="1634"/>
      <c r="J1327" s="1635"/>
    </row>
    <row r="1328" spans="2:10" ht="15" customHeight="1" x14ac:dyDescent="0.25">
      <c r="B1328" s="1628" t="s">
        <v>3137</v>
      </c>
      <c r="C1328" s="1615" t="str">
        <f>'[3]Anexo I - Programas'!$B$390</f>
        <v>12</v>
      </c>
      <c r="D1328" s="1629" t="str">
        <f>'[3]Anexo I - Programas'!$C$390</f>
        <v>GESTÃO E AÇÕES DE ASSISTENCIA SOCIAL</v>
      </c>
      <c r="E1328" s="1628" t="s">
        <v>3137</v>
      </c>
      <c r="F1328" s="1615" t="str">
        <f>C1328</f>
        <v>12</v>
      </c>
      <c r="G1328" s="1617" t="str">
        <f>D1328</f>
        <v>GESTÃO E AÇÕES DE ASSISTENCIA SOCIAL</v>
      </c>
      <c r="H1328" s="773" t="s">
        <v>3138</v>
      </c>
      <c r="I1328" s="757">
        <f>DESPORC!C3779</f>
        <v>8</v>
      </c>
      <c r="J1328" s="765" t="str">
        <f>DESPORC!D3779</f>
        <v>Assistência Social</v>
      </c>
    </row>
    <row r="1329" spans="2:10" x14ac:dyDescent="0.25">
      <c r="B1329" s="1619"/>
      <c r="C1329" s="1616"/>
      <c r="D1329" s="1630"/>
      <c r="E1329" s="1619"/>
      <c r="F1329" s="1616"/>
      <c r="G1329" s="1618"/>
      <c r="H1329" s="774" t="s">
        <v>6940</v>
      </c>
      <c r="I1329" s="757">
        <f>DESPORC!C3780</f>
        <v>241</v>
      </c>
      <c r="J1329" s="765" t="str">
        <f>DESPORC!D3780</f>
        <v>Assistência ao Idoso</v>
      </c>
    </row>
    <row r="1330" spans="2:10" x14ac:dyDescent="0.25">
      <c r="B1330" s="1619" t="s">
        <v>6941</v>
      </c>
      <c r="C1330" s="1616">
        <f>'[3]Anexo I - Programas'!$C$410</f>
        <v>2013</v>
      </c>
      <c r="D1330" s="1622" t="str">
        <f>'[3]Anexo I - Programas'!$D$410</f>
        <v>Promoção da Assistencia Social Básica</v>
      </c>
      <c r="E1330" s="1619" t="s">
        <v>6941</v>
      </c>
      <c r="F1330" s="1616">
        <f>C1330</f>
        <v>2013</v>
      </c>
      <c r="G1330" s="1618" t="str">
        <f>D1330</f>
        <v>Promoção da Assistencia Social Básica</v>
      </c>
      <c r="H1330" s="775" t="s">
        <v>3137</v>
      </c>
      <c r="I1330" s="789" t="str">
        <f>F1328</f>
        <v>12</v>
      </c>
      <c r="J1330" s="762" t="str">
        <f>G1328</f>
        <v>GESTÃO E AÇÕES DE ASSISTENCIA SOCIAL</v>
      </c>
    </row>
    <row r="1331" spans="2:10" x14ac:dyDescent="0.25">
      <c r="B1331" s="1620"/>
      <c r="C1331" s="1621"/>
      <c r="D1331" s="1623"/>
      <c r="E1331" s="1620"/>
      <c r="F1331" s="1621"/>
      <c r="G1331" s="1624"/>
      <c r="H1331" s="776" t="s">
        <v>6941</v>
      </c>
      <c r="I1331" s="790">
        <f>F1330</f>
        <v>2013</v>
      </c>
      <c r="J1331" s="764" t="str">
        <f>G1330</f>
        <v>Promoção da Assistencia Social Básica</v>
      </c>
    </row>
    <row r="1332" spans="2:10" ht="15.75" thickBot="1" x14ac:dyDescent="0.3">
      <c r="B1332" s="769" t="s">
        <v>6939</v>
      </c>
      <c r="C1332" s="1625">
        <f>'[3]Anexo I - Programas'!$H$411</f>
        <v>200000</v>
      </c>
      <c r="D1332" s="1626"/>
      <c r="E1332" s="769" t="s">
        <v>6939</v>
      </c>
      <c r="F1332" s="1625">
        <f>'[3]Anexo I - Programas'!$J$411</f>
        <v>50000</v>
      </c>
      <c r="G1332" s="1627"/>
      <c r="H1332" s="778" t="s">
        <v>6939</v>
      </c>
      <c r="I1332" s="1625">
        <f>DESPORC!I3782</f>
        <v>20000.049999999996</v>
      </c>
      <c r="J1332" s="1627"/>
    </row>
    <row r="1333" spans="2:10" x14ac:dyDescent="0.25">
      <c r="B1333" s="1628" t="s">
        <v>3137</v>
      </c>
      <c r="C1333" s="1615" t="str">
        <f>'[3]Anexo I - Programas'!$B$390</f>
        <v>12</v>
      </c>
      <c r="D1333" s="1629" t="str">
        <f>'[3]Anexo I - Programas'!$C$390</f>
        <v>GESTÃO E AÇÕES DE ASSISTENCIA SOCIAL</v>
      </c>
      <c r="E1333" s="1628" t="s">
        <v>3137</v>
      </c>
      <c r="F1333" s="1615" t="str">
        <f>C1333</f>
        <v>12</v>
      </c>
      <c r="G1333" s="1617" t="str">
        <f>D1333</f>
        <v>GESTÃO E AÇÕES DE ASSISTENCIA SOCIAL</v>
      </c>
      <c r="H1333" s="773" t="s">
        <v>3138</v>
      </c>
      <c r="I1333" s="757">
        <f>DESPORC!C3793</f>
        <v>8</v>
      </c>
      <c r="J1333" s="765" t="str">
        <f>DESPORC!D3793</f>
        <v>Assistência Social</v>
      </c>
    </row>
    <row r="1334" spans="2:10" x14ac:dyDescent="0.25">
      <c r="B1334" s="1619"/>
      <c r="C1334" s="1616"/>
      <c r="D1334" s="1630"/>
      <c r="E1334" s="1619"/>
      <c r="F1334" s="1616"/>
      <c r="G1334" s="1618"/>
      <c r="H1334" s="774" t="s">
        <v>6940</v>
      </c>
      <c r="I1334" s="757">
        <f>DESPORC!C3794</f>
        <v>242</v>
      </c>
      <c r="J1334" s="765" t="str">
        <f>DESPORC!D3794</f>
        <v>Assistência ao Portador de Deficiência</v>
      </c>
    </row>
    <row r="1335" spans="2:10" x14ac:dyDescent="0.25">
      <c r="B1335" s="1619" t="s">
        <v>6941</v>
      </c>
      <c r="C1335" s="1616">
        <f>'[3]Anexo I - Programas'!$C$410</f>
        <v>2013</v>
      </c>
      <c r="D1335" s="1622" t="str">
        <f>'[3]Anexo I - Programas'!$D$410</f>
        <v>Promoção da Assistencia Social Básica</v>
      </c>
      <c r="E1335" s="1619" t="s">
        <v>6941</v>
      </c>
      <c r="F1335" s="1616">
        <f>C1335</f>
        <v>2013</v>
      </c>
      <c r="G1335" s="1618" t="str">
        <f>D1335</f>
        <v>Promoção da Assistencia Social Básica</v>
      </c>
      <c r="H1335" s="775" t="s">
        <v>3137</v>
      </c>
      <c r="I1335" s="789" t="str">
        <f>F1333</f>
        <v>12</v>
      </c>
      <c r="J1335" s="762" t="str">
        <f>G1333</f>
        <v>GESTÃO E AÇÕES DE ASSISTENCIA SOCIAL</v>
      </c>
    </row>
    <row r="1336" spans="2:10" x14ac:dyDescent="0.25">
      <c r="B1336" s="1620"/>
      <c r="C1336" s="1621"/>
      <c r="D1336" s="1623"/>
      <c r="E1336" s="1620"/>
      <c r="F1336" s="1621"/>
      <c r="G1336" s="1624"/>
      <c r="H1336" s="776" t="s">
        <v>6941</v>
      </c>
      <c r="I1336" s="790">
        <f>F1335</f>
        <v>2013</v>
      </c>
      <c r="J1336" s="764" t="str">
        <f>G1335</f>
        <v>Promoção da Assistencia Social Básica</v>
      </c>
    </row>
    <row r="1337" spans="2:10" ht="15.75" thickBot="1" x14ac:dyDescent="0.3">
      <c r="B1337" s="769" t="s">
        <v>6939</v>
      </c>
      <c r="C1337" s="1625">
        <f>'[3]Anexo I - Programas'!$H$411</f>
        <v>200000</v>
      </c>
      <c r="D1337" s="1626"/>
      <c r="E1337" s="769" t="s">
        <v>6939</v>
      </c>
      <c r="F1337" s="1625">
        <f>'[3]Anexo I - Programas'!$J$411</f>
        <v>50000</v>
      </c>
      <c r="G1337" s="1627"/>
      <c r="H1337" s="778" t="s">
        <v>6939</v>
      </c>
      <c r="I1337" s="1625">
        <f>DESPORC!I3796</f>
        <v>85178.68799999998</v>
      </c>
      <c r="J1337" s="1627"/>
    </row>
    <row r="1338" spans="2:10" x14ac:dyDescent="0.25">
      <c r="B1338" s="1628" t="s">
        <v>3137</v>
      </c>
      <c r="C1338" s="1615" t="str">
        <f>'[3]Anexo I - Programas'!$B$390</f>
        <v>12</v>
      </c>
      <c r="D1338" s="1629" t="str">
        <f>'[3]Anexo I - Programas'!$C$390</f>
        <v>GESTÃO E AÇÕES DE ASSISTENCIA SOCIAL</v>
      </c>
      <c r="E1338" s="1628" t="s">
        <v>3137</v>
      </c>
      <c r="F1338" s="1615" t="str">
        <f>C1338</f>
        <v>12</v>
      </c>
      <c r="G1338" s="1617" t="str">
        <f>D1338</f>
        <v>GESTÃO E AÇÕES DE ASSISTENCIA SOCIAL</v>
      </c>
      <c r="H1338" s="773" t="s">
        <v>3138</v>
      </c>
      <c r="I1338" s="757">
        <f>DESPORC!C3807</f>
        <v>8</v>
      </c>
      <c r="J1338" s="765" t="str">
        <f>DESPORC!D3807</f>
        <v>Assistência Social</v>
      </c>
    </row>
    <row r="1339" spans="2:10" x14ac:dyDescent="0.25">
      <c r="B1339" s="1619"/>
      <c r="C1339" s="1616"/>
      <c r="D1339" s="1630"/>
      <c r="E1339" s="1619"/>
      <c r="F1339" s="1616"/>
      <c r="G1339" s="1618"/>
      <c r="H1339" s="774" t="s">
        <v>6940</v>
      </c>
      <c r="I1339" s="757">
        <f>DESPORC!C3808</f>
        <v>243</v>
      </c>
      <c r="J1339" s="765" t="str">
        <f>DESPORC!D3808</f>
        <v>Assistência à Criança e ao Adolescente</v>
      </c>
    </row>
    <row r="1340" spans="2:10" x14ac:dyDescent="0.25">
      <c r="B1340" s="1619" t="s">
        <v>6941</v>
      </c>
      <c r="C1340" s="1616">
        <f>'[3]Anexo I - Programas'!$C$410</f>
        <v>2013</v>
      </c>
      <c r="D1340" s="1622" t="str">
        <f>'[3]Anexo I - Programas'!$D$410</f>
        <v>Promoção da Assistencia Social Básica</v>
      </c>
      <c r="E1340" s="1619" t="s">
        <v>6941</v>
      </c>
      <c r="F1340" s="1616">
        <f>C1340</f>
        <v>2013</v>
      </c>
      <c r="G1340" s="1618" t="str">
        <f>D1340</f>
        <v>Promoção da Assistencia Social Básica</v>
      </c>
      <c r="H1340" s="775" t="s">
        <v>3137</v>
      </c>
      <c r="I1340" s="789" t="str">
        <f>F1338</f>
        <v>12</v>
      </c>
      <c r="J1340" s="762" t="str">
        <f>G1338</f>
        <v>GESTÃO E AÇÕES DE ASSISTENCIA SOCIAL</v>
      </c>
    </row>
    <row r="1341" spans="2:10" x14ac:dyDescent="0.25">
      <c r="B1341" s="1620"/>
      <c r="C1341" s="1621"/>
      <c r="D1341" s="1623"/>
      <c r="E1341" s="1620"/>
      <c r="F1341" s="1621"/>
      <c r="G1341" s="1624"/>
      <c r="H1341" s="776" t="s">
        <v>6941</v>
      </c>
      <c r="I1341" s="790">
        <f>F1340</f>
        <v>2013</v>
      </c>
      <c r="J1341" s="764" t="str">
        <f>G1340</f>
        <v>Promoção da Assistencia Social Básica</v>
      </c>
    </row>
    <row r="1342" spans="2:10" ht="15.75" thickBot="1" x14ac:dyDescent="0.3">
      <c r="B1342" s="769" t="s">
        <v>6939</v>
      </c>
      <c r="C1342" s="1625">
        <f>'[3]Anexo I - Programas'!$H$411</f>
        <v>200000</v>
      </c>
      <c r="D1342" s="1626"/>
      <c r="E1342" s="769" t="s">
        <v>6939</v>
      </c>
      <c r="F1342" s="1625">
        <f>'[3]Anexo I - Programas'!$J$411</f>
        <v>50000</v>
      </c>
      <c r="G1342" s="1627"/>
      <c r="H1342" s="778" t="s">
        <v>6939</v>
      </c>
      <c r="I1342" s="1625">
        <f>DESPORC!I3810</f>
        <v>0.10099999999999999</v>
      </c>
      <c r="J1342" s="1627"/>
    </row>
    <row r="1343" spans="2:10" x14ac:dyDescent="0.25">
      <c r="B1343" s="1628" t="s">
        <v>3137</v>
      </c>
      <c r="C1343" s="1615" t="str">
        <f>'[3]Anexo I - Programas'!$B$390</f>
        <v>12</v>
      </c>
      <c r="D1343" s="1629" t="str">
        <f>'[3]Anexo I - Programas'!$C$390</f>
        <v>GESTÃO E AÇÕES DE ASSISTENCIA SOCIAL</v>
      </c>
      <c r="E1343" s="1628" t="s">
        <v>3137</v>
      </c>
      <c r="F1343" s="1615" t="str">
        <f>C1343</f>
        <v>12</v>
      </c>
      <c r="G1343" s="1617" t="str">
        <f>D1343</f>
        <v>GESTÃO E AÇÕES DE ASSISTENCIA SOCIAL</v>
      </c>
      <c r="H1343" s="773" t="s">
        <v>3138</v>
      </c>
      <c r="I1343" s="757">
        <f>DESPORC!C3821</f>
        <v>8</v>
      </c>
      <c r="J1343" s="765" t="str">
        <f>DESPORC!D3821</f>
        <v>Assistência Social</v>
      </c>
    </row>
    <row r="1344" spans="2:10" x14ac:dyDescent="0.25">
      <c r="B1344" s="1619"/>
      <c r="C1344" s="1616"/>
      <c r="D1344" s="1630"/>
      <c r="E1344" s="1619"/>
      <c r="F1344" s="1616"/>
      <c r="G1344" s="1618"/>
      <c r="H1344" s="774" t="s">
        <v>6940</v>
      </c>
      <c r="I1344" s="757">
        <f>DESPORC!C3822</f>
        <v>244</v>
      </c>
      <c r="J1344" s="765" t="str">
        <f>DESPORC!D3822</f>
        <v>Assistência Comunitária</v>
      </c>
    </row>
    <row r="1345" spans="2:10" x14ac:dyDescent="0.25">
      <c r="B1345" s="1619" t="s">
        <v>6941</v>
      </c>
      <c r="C1345" s="1616">
        <f>'[3]Anexo I - Programas'!$C$434</f>
        <v>2017</v>
      </c>
      <c r="D1345" s="1622" t="str">
        <f>'[3]Anexo I - Programas'!$D$434</f>
        <v>Gestão e Promoção de Benefícios Eventuais</v>
      </c>
      <c r="E1345" s="1619" t="s">
        <v>6941</v>
      </c>
      <c r="F1345" s="1616">
        <f>C1345</f>
        <v>2017</v>
      </c>
      <c r="G1345" s="1618" t="str">
        <f>D1345</f>
        <v>Gestão e Promoção de Benefícios Eventuais</v>
      </c>
      <c r="H1345" s="775" t="s">
        <v>3137</v>
      </c>
      <c r="I1345" s="789" t="str">
        <f>F1343</f>
        <v>12</v>
      </c>
      <c r="J1345" s="762" t="str">
        <f>G1343</f>
        <v>GESTÃO E AÇÕES DE ASSISTENCIA SOCIAL</v>
      </c>
    </row>
    <row r="1346" spans="2:10" x14ac:dyDescent="0.25">
      <c r="B1346" s="1620"/>
      <c r="C1346" s="1621"/>
      <c r="D1346" s="1623"/>
      <c r="E1346" s="1620"/>
      <c r="F1346" s="1621"/>
      <c r="G1346" s="1624"/>
      <c r="H1346" s="776" t="s">
        <v>6941</v>
      </c>
      <c r="I1346" s="790">
        <f>F1345</f>
        <v>2017</v>
      </c>
      <c r="J1346" s="764" t="str">
        <f>G1345</f>
        <v>Gestão e Promoção de Benefícios Eventuais</v>
      </c>
    </row>
    <row r="1347" spans="2:10" ht="15.75" thickBot="1" x14ac:dyDescent="0.3">
      <c r="B1347" s="769" t="s">
        <v>6939</v>
      </c>
      <c r="C1347" s="1625">
        <f>'[3]Anexo I - Programas'!$H$435</f>
        <v>300000</v>
      </c>
      <c r="D1347" s="1626"/>
      <c r="E1347" s="769" t="s">
        <v>6939</v>
      </c>
      <c r="F1347" s="1625">
        <f>'[3]Anexo I - Programas'!$J$435</f>
        <v>75000</v>
      </c>
      <c r="G1347" s="1627"/>
      <c r="H1347" s="778" t="s">
        <v>6939</v>
      </c>
      <c r="I1347" s="1625">
        <f>DESPORC!I3824</f>
        <v>46000.05000000001</v>
      </c>
      <c r="J1347" s="1627"/>
    </row>
    <row r="1348" spans="2:10" x14ac:dyDescent="0.25">
      <c r="J1348" s="15"/>
    </row>
    <row r="1350" spans="2:10" x14ac:dyDescent="0.25">
      <c r="B1350" s="787"/>
      <c r="C1350" s="788"/>
      <c r="E1350" s="787"/>
      <c r="H1350" s="787"/>
    </row>
    <row r="1351" spans="2:10" x14ac:dyDescent="0.25">
      <c r="B1351" s="787"/>
      <c r="C1351" s="788"/>
      <c r="E1351" s="787"/>
      <c r="H1351" s="787"/>
    </row>
    <row r="1352" spans="2:10" x14ac:dyDescent="0.25">
      <c r="B1352" s="787"/>
      <c r="C1352" s="788"/>
      <c r="E1352" s="787"/>
      <c r="H1352" s="787"/>
    </row>
    <row r="1353" spans="2:10" x14ac:dyDescent="0.25">
      <c r="B1353" s="1631" t="s">
        <v>6927</v>
      </c>
      <c r="C1353" s="1631"/>
      <c r="D1353" s="755" t="str">
        <f>DESPORC!C3840</f>
        <v>05 - SECRETARIA MUNICIPAL DE ASSISTENCIA SOCIAL</v>
      </c>
      <c r="E1353" s="791"/>
      <c r="F1353" s="792"/>
      <c r="G1353" s="792"/>
      <c r="H1353" s="791"/>
      <c r="I1353" s="792"/>
      <c r="J1353" s="792"/>
    </row>
    <row r="1354" spans="2:10" ht="15.75" thickBot="1" x14ac:dyDescent="0.3">
      <c r="B1354" s="1632" t="s">
        <v>3087</v>
      </c>
      <c r="C1354" s="1632"/>
      <c r="D1354" s="755" t="str">
        <f>DESPORC!C3841</f>
        <v>03 - FUNDO MUN. DE ASSIST. SOCIAL - PROG. ESTADUAIS</v>
      </c>
      <c r="E1354" s="791"/>
      <c r="F1354" s="36"/>
      <c r="G1354" s="1"/>
      <c r="H1354" s="772"/>
      <c r="I1354" s="1"/>
      <c r="J1354" s="1"/>
    </row>
    <row r="1355" spans="2:10" ht="15.75" thickBot="1" x14ac:dyDescent="0.3">
      <c r="B1355" s="1633" t="str">
        <f>B$10</f>
        <v>PPA LEI MUNICIPAL N.º 1091  DE 16 DE JUNHO DE 2017.</v>
      </c>
      <c r="C1355" s="1634"/>
      <c r="D1355" s="1635"/>
      <c r="E1355" s="1633" t="str">
        <f>E$10</f>
        <v>LDO LEI MUNICIPAL N.º 1166  DE 10 DE OUTUBRO DE 2019.</v>
      </c>
      <c r="F1355" s="1634"/>
      <c r="G1355" s="1635"/>
      <c r="H1355" s="1633" t="str">
        <f>H$10</f>
        <v>LOA 2020</v>
      </c>
      <c r="I1355" s="1634"/>
      <c r="J1355" s="1635"/>
    </row>
    <row r="1356" spans="2:10" x14ac:dyDescent="0.25">
      <c r="B1356" s="1628" t="s">
        <v>3137</v>
      </c>
      <c r="C1356" s="1615" t="str">
        <f>'[3]Anexo I - Programas'!$B$390</f>
        <v>12</v>
      </c>
      <c r="D1356" s="1629" t="str">
        <f>'[3]Anexo I - Programas'!$C$390</f>
        <v>GESTÃO E AÇÕES DE ASSISTENCIA SOCIAL</v>
      </c>
      <c r="E1356" s="1628" t="s">
        <v>3137</v>
      </c>
      <c r="F1356" s="1615" t="str">
        <f>C1356</f>
        <v>12</v>
      </c>
      <c r="G1356" s="1617" t="str">
        <f>D1356</f>
        <v>GESTÃO E AÇÕES DE ASSISTENCIA SOCIAL</v>
      </c>
      <c r="H1356" s="773" t="s">
        <v>3138</v>
      </c>
      <c r="I1356" s="757">
        <f>DESPORC!C3843</f>
        <v>8</v>
      </c>
      <c r="J1356" s="765" t="str">
        <f>DESPORC!D3843</f>
        <v>Assistência Social</v>
      </c>
    </row>
    <row r="1357" spans="2:10" x14ac:dyDescent="0.25">
      <c r="B1357" s="1619"/>
      <c r="C1357" s="1616"/>
      <c r="D1357" s="1630"/>
      <c r="E1357" s="1619"/>
      <c r="F1357" s="1616"/>
      <c r="G1357" s="1618"/>
      <c r="H1357" s="774" t="s">
        <v>6940</v>
      </c>
      <c r="I1357" s="757">
        <f>DESPORC!C3844</f>
        <v>244</v>
      </c>
      <c r="J1357" s="765" t="str">
        <f>DESPORC!D3844</f>
        <v>Assistência Comunitária</v>
      </c>
    </row>
    <row r="1358" spans="2:10" x14ac:dyDescent="0.25">
      <c r="B1358" s="1619" t="s">
        <v>6941</v>
      </c>
      <c r="C1358" s="1616">
        <f>'[3]Anexo I - Programas'!$C$410</f>
        <v>2013</v>
      </c>
      <c r="D1358" s="1622" t="str">
        <f>'[3]Anexo I - Programas'!$D$410</f>
        <v>Promoção da Assistencia Social Básica</v>
      </c>
      <c r="E1358" s="1619" t="s">
        <v>6941</v>
      </c>
      <c r="F1358" s="1616">
        <f>C1358</f>
        <v>2013</v>
      </c>
      <c r="G1358" s="1618" t="str">
        <f>D1358</f>
        <v>Promoção da Assistencia Social Básica</v>
      </c>
      <c r="H1358" s="775" t="s">
        <v>3137</v>
      </c>
      <c r="I1358" s="789" t="str">
        <f>F1356</f>
        <v>12</v>
      </c>
      <c r="J1358" s="762" t="str">
        <f>G1356</f>
        <v>GESTÃO E AÇÕES DE ASSISTENCIA SOCIAL</v>
      </c>
    </row>
    <row r="1359" spans="2:10" x14ac:dyDescent="0.25">
      <c r="B1359" s="1620"/>
      <c r="C1359" s="1621"/>
      <c r="D1359" s="1623"/>
      <c r="E1359" s="1620"/>
      <c r="F1359" s="1621"/>
      <c r="G1359" s="1624"/>
      <c r="H1359" s="776" t="s">
        <v>6941</v>
      </c>
      <c r="I1359" s="790">
        <f>F1358</f>
        <v>2013</v>
      </c>
      <c r="J1359" s="764" t="str">
        <f>G1358</f>
        <v>Promoção da Assistencia Social Básica</v>
      </c>
    </row>
    <row r="1360" spans="2:10" ht="15.75" thickBot="1" x14ac:dyDescent="0.3">
      <c r="B1360" s="769" t="s">
        <v>6939</v>
      </c>
      <c r="C1360" s="1625">
        <f>'[3]Anexo I - Programas'!$H$411</f>
        <v>200000</v>
      </c>
      <c r="D1360" s="1626"/>
      <c r="E1360" s="769" t="s">
        <v>6939</v>
      </c>
      <c r="F1360" s="1625">
        <f>'[3]Anexo I - Programas'!$J$411</f>
        <v>50000</v>
      </c>
      <c r="G1360" s="1627"/>
      <c r="H1360" s="778" t="s">
        <v>6939</v>
      </c>
      <c r="I1360" s="1625">
        <f>DESPORC!I3846+DESPORC!I3854</f>
        <v>48126.944873977372</v>
      </c>
      <c r="J1360" s="1627"/>
    </row>
    <row r="1362" spans="2:10" x14ac:dyDescent="0.25">
      <c r="B1362" s="1631" t="s">
        <v>6927</v>
      </c>
      <c r="C1362" s="1631"/>
      <c r="D1362" s="755" t="str">
        <f>DESPORC!C3862</f>
        <v>05 - SECRETARIA MUNICIPAL DE ASSISTENCIA SOCIAL</v>
      </c>
      <c r="E1362" s="791"/>
      <c r="F1362" s="792"/>
      <c r="G1362" s="792"/>
      <c r="H1362" s="791"/>
      <c r="I1362" s="792"/>
      <c r="J1362" s="792"/>
    </row>
    <row r="1363" spans="2:10" ht="15.75" thickBot="1" x14ac:dyDescent="0.3">
      <c r="B1363" s="1632" t="s">
        <v>3087</v>
      </c>
      <c r="C1363" s="1632"/>
      <c r="D1363" s="755" t="str">
        <f>DESPORC!C3863</f>
        <v>04 - FUNDO MUN. DE ASSIST. SOCIAL - PROG. FEDERAIS</v>
      </c>
      <c r="E1363" s="791"/>
      <c r="F1363" s="36"/>
      <c r="G1363" s="1"/>
      <c r="H1363" s="772"/>
      <c r="I1363" s="1"/>
      <c r="J1363" s="1"/>
    </row>
    <row r="1364" spans="2:10" ht="15.75" thickBot="1" x14ac:dyDescent="0.3">
      <c r="B1364" s="1633" t="str">
        <f>B$10</f>
        <v>PPA LEI MUNICIPAL N.º 1091  DE 16 DE JUNHO DE 2017.</v>
      </c>
      <c r="C1364" s="1634"/>
      <c r="D1364" s="1635"/>
      <c r="E1364" s="1633" t="str">
        <f>E$10</f>
        <v>LDO LEI MUNICIPAL N.º 1166  DE 10 DE OUTUBRO DE 2019.</v>
      </c>
      <c r="F1364" s="1634"/>
      <c r="G1364" s="1635"/>
      <c r="H1364" s="1633" t="str">
        <f>H$10</f>
        <v>LOA 2020</v>
      </c>
      <c r="I1364" s="1634"/>
      <c r="J1364" s="1635"/>
    </row>
    <row r="1365" spans="2:10" x14ac:dyDescent="0.25">
      <c r="B1365" s="1628" t="s">
        <v>3137</v>
      </c>
      <c r="C1365" s="1615" t="str">
        <f>'[3]Anexo I - Programas'!$B$390</f>
        <v>12</v>
      </c>
      <c r="D1365" s="1629" t="str">
        <f>'[3]Anexo I - Programas'!$C$390</f>
        <v>GESTÃO E AÇÕES DE ASSISTENCIA SOCIAL</v>
      </c>
      <c r="E1365" s="1628" t="s">
        <v>3137</v>
      </c>
      <c r="F1365" s="1615" t="str">
        <f>C1365</f>
        <v>12</v>
      </c>
      <c r="G1365" s="1617" t="str">
        <f>D1365</f>
        <v>GESTÃO E AÇÕES DE ASSISTENCIA SOCIAL</v>
      </c>
      <c r="H1365" s="773" t="s">
        <v>3138</v>
      </c>
      <c r="I1365" s="757">
        <f>DESPORC!C3866</f>
        <v>8</v>
      </c>
      <c r="J1365" s="765" t="str">
        <f>DESPORC!D3866</f>
        <v>Assistência Social</v>
      </c>
    </row>
    <row r="1366" spans="2:10" x14ac:dyDescent="0.25">
      <c r="B1366" s="1619"/>
      <c r="C1366" s="1616"/>
      <c r="D1366" s="1630"/>
      <c r="E1366" s="1619"/>
      <c r="F1366" s="1616"/>
      <c r="G1366" s="1618"/>
      <c r="H1366" s="774" t="s">
        <v>6940</v>
      </c>
      <c r="I1366" s="757">
        <f>DESPORC!C3867</f>
        <v>241</v>
      </c>
      <c r="J1366" s="765" t="str">
        <f>DESPORC!D3867</f>
        <v>Assistência ao Idoso</v>
      </c>
    </row>
    <row r="1367" spans="2:10" x14ac:dyDescent="0.25">
      <c r="B1367" s="1619" t="s">
        <v>6941</v>
      </c>
      <c r="C1367" s="1616">
        <f>'[3]Anexo I - Programas'!$C$410</f>
        <v>2013</v>
      </c>
      <c r="D1367" s="1622" t="str">
        <f>'[3]Anexo I - Programas'!$D$410</f>
        <v>Promoção da Assistencia Social Básica</v>
      </c>
      <c r="E1367" s="1619" t="s">
        <v>6941</v>
      </c>
      <c r="F1367" s="1616">
        <f>C1367</f>
        <v>2013</v>
      </c>
      <c r="G1367" s="1618" t="str">
        <f>D1367</f>
        <v>Promoção da Assistencia Social Básica</v>
      </c>
      <c r="H1367" s="775" t="s">
        <v>3137</v>
      </c>
      <c r="I1367" s="789" t="str">
        <f>F1365</f>
        <v>12</v>
      </c>
      <c r="J1367" s="762" t="str">
        <f>G1365</f>
        <v>GESTÃO E AÇÕES DE ASSISTENCIA SOCIAL</v>
      </c>
    </row>
    <row r="1368" spans="2:10" x14ac:dyDescent="0.25">
      <c r="B1368" s="1620"/>
      <c r="C1368" s="1621"/>
      <c r="D1368" s="1623"/>
      <c r="E1368" s="1620"/>
      <c r="F1368" s="1621"/>
      <c r="G1368" s="1624"/>
      <c r="H1368" s="776" t="s">
        <v>6941</v>
      </c>
      <c r="I1368" s="790">
        <f>F1367</f>
        <v>2013</v>
      </c>
      <c r="J1368" s="764" t="str">
        <f>G1367</f>
        <v>Promoção da Assistencia Social Básica</v>
      </c>
    </row>
    <row r="1369" spans="2:10" ht="15.75" thickBot="1" x14ac:dyDescent="0.3">
      <c r="B1369" s="769" t="s">
        <v>6939</v>
      </c>
      <c r="C1369" s="1625">
        <f>'[3]Anexo I - Programas'!$H$411</f>
        <v>200000</v>
      </c>
      <c r="D1369" s="1626"/>
      <c r="E1369" s="769" t="s">
        <v>6939</v>
      </c>
      <c r="F1369" s="1625">
        <f>'[3]Anexo I - Programas'!$J$411</f>
        <v>50000</v>
      </c>
      <c r="G1369" s="1627"/>
      <c r="H1369" s="778" t="s">
        <v>6939</v>
      </c>
      <c r="I1369" s="1625">
        <f>DESPORC!I3869</f>
        <v>10753.872000000001</v>
      </c>
      <c r="J1369" s="1627"/>
    </row>
    <row r="1370" spans="2:10" x14ac:dyDescent="0.25">
      <c r="B1370" s="1628" t="s">
        <v>3137</v>
      </c>
      <c r="C1370" s="1615" t="str">
        <f>'[3]Anexo I - Programas'!$B$390</f>
        <v>12</v>
      </c>
      <c r="D1370" s="1629" t="str">
        <f>'[3]Anexo I - Programas'!$C$390</f>
        <v>GESTÃO E AÇÕES DE ASSISTENCIA SOCIAL</v>
      </c>
      <c r="E1370" s="1628" t="s">
        <v>3137</v>
      </c>
      <c r="F1370" s="1615" t="str">
        <f>C1370</f>
        <v>12</v>
      </c>
      <c r="G1370" s="1617" t="str">
        <f>D1370</f>
        <v>GESTÃO E AÇÕES DE ASSISTENCIA SOCIAL</v>
      </c>
      <c r="H1370" s="773" t="s">
        <v>3138</v>
      </c>
      <c r="I1370" s="757">
        <f>DESPORC!C3880</f>
        <v>8</v>
      </c>
      <c r="J1370" s="765" t="str">
        <f>DESPORC!D3880</f>
        <v>Assistência Social</v>
      </c>
    </row>
    <row r="1371" spans="2:10" x14ac:dyDescent="0.25">
      <c r="B1371" s="1619"/>
      <c r="C1371" s="1616"/>
      <c r="D1371" s="1630"/>
      <c r="E1371" s="1619"/>
      <c r="F1371" s="1616"/>
      <c r="G1371" s="1618"/>
      <c r="H1371" s="774" t="s">
        <v>6940</v>
      </c>
      <c r="I1371" s="757">
        <f>DESPORC!C3881</f>
        <v>242</v>
      </c>
      <c r="J1371" s="765" t="str">
        <f>DESPORC!D3881</f>
        <v>Assistência ao Portador de Deficiência</v>
      </c>
    </row>
    <row r="1372" spans="2:10" x14ac:dyDescent="0.25">
      <c r="B1372" s="1619" t="s">
        <v>6941</v>
      </c>
      <c r="C1372" s="1616">
        <f>'[3]Anexo I - Programas'!$C$410</f>
        <v>2013</v>
      </c>
      <c r="D1372" s="1622" t="str">
        <f>'[3]Anexo I - Programas'!$D$410</f>
        <v>Promoção da Assistencia Social Básica</v>
      </c>
      <c r="E1372" s="1619" t="s">
        <v>6941</v>
      </c>
      <c r="F1372" s="1616">
        <f>C1372</f>
        <v>2013</v>
      </c>
      <c r="G1372" s="1618" t="str">
        <f>D1372</f>
        <v>Promoção da Assistencia Social Básica</v>
      </c>
      <c r="H1372" s="775" t="s">
        <v>3137</v>
      </c>
      <c r="I1372" s="789" t="str">
        <f>F1370</f>
        <v>12</v>
      </c>
      <c r="J1372" s="762" t="str">
        <f>G1370</f>
        <v>GESTÃO E AÇÕES DE ASSISTENCIA SOCIAL</v>
      </c>
    </row>
    <row r="1373" spans="2:10" x14ac:dyDescent="0.25">
      <c r="B1373" s="1620"/>
      <c r="C1373" s="1621"/>
      <c r="D1373" s="1623"/>
      <c r="E1373" s="1620"/>
      <c r="F1373" s="1621"/>
      <c r="G1373" s="1624"/>
      <c r="H1373" s="776" t="s">
        <v>6941</v>
      </c>
      <c r="I1373" s="790">
        <f>F1372</f>
        <v>2013</v>
      </c>
      <c r="J1373" s="764" t="str">
        <f>G1372</f>
        <v>Promoção da Assistencia Social Básica</v>
      </c>
    </row>
    <row r="1374" spans="2:10" ht="15.75" thickBot="1" x14ac:dyDescent="0.3">
      <c r="B1374" s="769" t="s">
        <v>6939</v>
      </c>
      <c r="C1374" s="1625">
        <f>'[3]Anexo I - Programas'!$H$411</f>
        <v>200000</v>
      </c>
      <c r="D1374" s="1626"/>
      <c r="E1374" s="769" t="s">
        <v>6939</v>
      </c>
      <c r="F1374" s="1625">
        <f>'[3]Anexo I - Programas'!$J$411</f>
        <v>50000</v>
      </c>
      <c r="G1374" s="1627"/>
      <c r="H1374" s="778" t="s">
        <v>6939</v>
      </c>
      <c r="I1374" s="1625">
        <f>DESPORC!I3883</f>
        <v>3000.0710000000004</v>
      </c>
      <c r="J1374" s="1627"/>
    </row>
    <row r="1375" spans="2:10" x14ac:dyDescent="0.25">
      <c r="B1375" s="1628" t="s">
        <v>3137</v>
      </c>
      <c r="C1375" s="1615" t="str">
        <f>'[3]Anexo I - Programas'!$B$390</f>
        <v>12</v>
      </c>
      <c r="D1375" s="1629" t="str">
        <f>'[3]Anexo I - Programas'!$C$390</f>
        <v>GESTÃO E AÇÕES DE ASSISTENCIA SOCIAL</v>
      </c>
      <c r="E1375" s="1628" t="s">
        <v>3137</v>
      </c>
      <c r="F1375" s="1615" t="str">
        <f>C1375</f>
        <v>12</v>
      </c>
      <c r="G1375" s="1617" t="str">
        <f>D1375</f>
        <v>GESTÃO E AÇÕES DE ASSISTENCIA SOCIAL</v>
      </c>
      <c r="H1375" s="773" t="s">
        <v>3138</v>
      </c>
      <c r="I1375" s="757">
        <f>DESPORC!C3893</f>
        <v>8</v>
      </c>
      <c r="J1375" s="765" t="str">
        <f>DESPORC!D3893</f>
        <v>Assistência Social</v>
      </c>
    </row>
    <row r="1376" spans="2:10" x14ac:dyDescent="0.25">
      <c r="B1376" s="1619"/>
      <c r="C1376" s="1616"/>
      <c r="D1376" s="1630"/>
      <c r="E1376" s="1619"/>
      <c r="F1376" s="1616"/>
      <c r="G1376" s="1618"/>
      <c r="H1376" s="774" t="s">
        <v>6940</v>
      </c>
      <c r="I1376" s="757">
        <f>DESPORC!C3894</f>
        <v>243</v>
      </c>
      <c r="J1376" s="765" t="str">
        <f>DESPORC!D3896</f>
        <v>PROMOÇÃO DA ASSISTENCIA SOCIAL BÁSICA</v>
      </c>
    </row>
    <row r="1377" spans="2:10" x14ac:dyDescent="0.25">
      <c r="B1377" s="1619" t="s">
        <v>6941</v>
      </c>
      <c r="C1377" s="1616">
        <f>'[3]Anexo I - Programas'!$C$410</f>
        <v>2013</v>
      </c>
      <c r="D1377" s="1622" t="str">
        <f>'[3]Anexo I - Programas'!$D$410</f>
        <v>Promoção da Assistencia Social Básica</v>
      </c>
      <c r="E1377" s="1619" t="s">
        <v>6941</v>
      </c>
      <c r="F1377" s="1616">
        <f>C1377</f>
        <v>2013</v>
      </c>
      <c r="G1377" s="1618" t="str">
        <f>D1377</f>
        <v>Promoção da Assistencia Social Básica</v>
      </c>
      <c r="H1377" s="775" t="s">
        <v>3137</v>
      </c>
      <c r="I1377" s="789" t="str">
        <f>F1375</f>
        <v>12</v>
      </c>
      <c r="J1377" s="762" t="str">
        <f>G1375</f>
        <v>GESTÃO E AÇÕES DE ASSISTENCIA SOCIAL</v>
      </c>
    </row>
    <row r="1378" spans="2:10" x14ac:dyDescent="0.25">
      <c r="B1378" s="1620"/>
      <c r="C1378" s="1621"/>
      <c r="D1378" s="1623"/>
      <c r="E1378" s="1620"/>
      <c r="F1378" s="1621"/>
      <c r="G1378" s="1624"/>
      <c r="H1378" s="776" t="s">
        <v>6941</v>
      </c>
      <c r="I1378" s="790">
        <f>F1377</f>
        <v>2013</v>
      </c>
      <c r="J1378" s="764" t="str">
        <f>G1377</f>
        <v>Promoção da Assistencia Social Básica</v>
      </c>
    </row>
    <row r="1379" spans="2:10" ht="15.75" thickBot="1" x14ac:dyDescent="0.3">
      <c r="B1379" s="769" t="s">
        <v>6939</v>
      </c>
      <c r="C1379" s="1625">
        <f>'[3]Anexo I - Programas'!$H$411</f>
        <v>200000</v>
      </c>
      <c r="D1379" s="1626"/>
      <c r="E1379" s="769" t="s">
        <v>6939</v>
      </c>
      <c r="F1379" s="1625">
        <f>'[3]Anexo I - Programas'!$J$411</f>
        <v>50000</v>
      </c>
      <c r="G1379" s="1627"/>
      <c r="H1379" s="778" t="s">
        <v>6939</v>
      </c>
      <c r="I1379" s="1625">
        <f>DESPORC!I3896</f>
        <v>5000.0700000000015</v>
      </c>
      <c r="J1379" s="1627"/>
    </row>
    <row r="1380" spans="2:10" x14ac:dyDescent="0.25">
      <c r="B1380" s="1628" t="s">
        <v>3137</v>
      </c>
      <c r="C1380" s="1615" t="str">
        <f>'[3]Anexo I - Programas'!$B$390</f>
        <v>12</v>
      </c>
      <c r="D1380" s="1629" t="str">
        <f>'[3]Anexo I - Programas'!$C$390</f>
        <v>GESTÃO E AÇÕES DE ASSISTENCIA SOCIAL</v>
      </c>
      <c r="E1380" s="1628" t="s">
        <v>3137</v>
      </c>
      <c r="F1380" s="1615" t="str">
        <f>C1380</f>
        <v>12</v>
      </c>
      <c r="G1380" s="1617" t="str">
        <f>D1380</f>
        <v>GESTÃO E AÇÕES DE ASSISTENCIA SOCIAL</v>
      </c>
      <c r="H1380" s="773" t="s">
        <v>3138</v>
      </c>
      <c r="I1380" s="757">
        <f>DESPORC!C3906</f>
        <v>8</v>
      </c>
      <c r="J1380" s="765" t="str">
        <f>DESPORC!D3906</f>
        <v>Assistência Social</v>
      </c>
    </row>
    <row r="1381" spans="2:10" x14ac:dyDescent="0.25">
      <c r="B1381" s="1619"/>
      <c r="C1381" s="1616"/>
      <c r="D1381" s="1630"/>
      <c r="E1381" s="1619"/>
      <c r="F1381" s="1616"/>
      <c r="G1381" s="1618"/>
      <c r="H1381" s="774" t="s">
        <v>6940</v>
      </c>
      <c r="I1381" s="757">
        <f>DESPORC!C3907</f>
        <v>244</v>
      </c>
      <c r="J1381" s="765" t="str">
        <f>DESPORC!D3907</f>
        <v>Assistência Comunitária</v>
      </c>
    </row>
    <row r="1382" spans="2:10" x14ac:dyDescent="0.25">
      <c r="B1382" s="1619" t="s">
        <v>6941</v>
      </c>
      <c r="C1382" s="1616">
        <f>'[3]Anexo I - Programas'!$C$410</f>
        <v>2013</v>
      </c>
      <c r="D1382" s="1622" t="str">
        <f>'[3]Anexo I - Programas'!$D$410</f>
        <v>Promoção da Assistencia Social Básica</v>
      </c>
      <c r="E1382" s="1619" t="s">
        <v>6941</v>
      </c>
      <c r="F1382" s="1616">
        <f>C1382</f>
        <v>2013</v>
      </c>
      <c r="G1382" s="1618" t="str">
        <f>D1382</f>
        <v>Promoção da Assistencia Social Básica</v>
      </c>
      <c r="H1382" s="775" t="s">
        <v>3137</v>
      </c>
      <c r="I1382" s="789" t="str">
        <f>F1380</f>
        <v>12</v>
      </c>
      <c r="J1382" s="762" t="str">
        <f>G1380</f>
        <v>GESTÃO E AÇÕES DE ASSISTENCIA SOCIAL</v>
      </c>
    </row>
    <row r="1383" spans="2:10" x14ac:dyDescent="0.25">
      <c r="B1383" s="1620"/>
      <c r="C1383" s="1621"/>
      <c r="D1383" s="1623"/>
      <c r="E1383" s="1620"/>
      <c r="F1383" s="1621"/>
      <c r="G1383" s="1624"/>
      <c r="H1383" s="776" t="s">
        <v>6941</v>
      </c>
      <c r="I1383" s="790">
        <f>F1382</f>
        <v>2013</v>
      </c>
      <c r="J1383" s="764" t="str">
        <f>G1382</f>
        <v>Promoção da Assistencia Social Básica</v>
      </c>
    </row>
    <row r="1384" spans="2:10" ht="15.75" thickBot="1" x14ac:dyDescent="0.3">
      <c r="B1384" s="769" t="s">
        <v>6939</v>
      </c>
      <c r="C1384" s="1625">
        <f>'[3]Anexo I - Programas'!$H$411</f>
        <v>200000</v>
      </c>
      <c r="D1384" s="1626"/>
      <c r="E1384" s="769" t="s">
        <v>6939</v>
      </c>
      <c r="F1384" s="1625">
        <f>'[3]Anexo I - Programas'!$J$411</f>
        <v>50000</v>
      </c>
      <c r="G1384" s="1627"/>
      <c r="H1384" s="778" t="s">
        <v>6939</v>
      </c>
      <c r="I1384" s="1625">
        <f>DESPORC!I3909</f>
        <v>548846.18952959997</v>
      </c>
      <c r="J1384" s="1627"/>
    </row>
    <row r="1385" spans="2:10" x14ac:dyDescent="0.25">
      <c r="B1385" s="1628" t="s">
        <v>3137</v>
      </c>
      <c r="C1385" s="1615" t="str">
        <f>'[3]Anexo I - Programas'!$B$390</f>
        <v>12</v>
      </c>
      <c r="D1385" s="1629" t="str">
        <f>'[3]Anexo I - Programas'!$C$390</f>
        <v>GESTÃO E AÇÕES DE ASSISTENCIA SOCIAL</v>
      </c>
      <c r="E1385" s="1628" t="s">
        <v>3137</v>
      </c>
      <c r="F1385" s="1615" t="str">
        <f>C1385</f>
        <v>12</v>
      </c>
      <c r="G1385" s="1617" t="str">
        <f>D1385</f>
        <v>GESTÃO E AÇÕES DE ASSISTENCIA SOCIAL</v>
      </c>
      <c r="H1385" s="773" t="s">
        <v>3138</v>
      </c>
      <c r="I1385" s="757">
        <f>DESPORC!C3935</f>
        <v>8</v>
      </c>
      <c r="J1385" s="765" t="str">
        <f>DESPORC!D3935</f>
        <v>Assistência Social</v>
      </c>
    </row>
    <row r="1386" spans="2:10" x14ac:dyDescent="0.25">
      <c r="B1386" s="1619"/>
      <c r="C1386" s="1616"/>
      <c r="D1386" s="1630"/>
      <c r="E1386" s="1619"/>
      <c r="F1386" s="1616"/>
      <c r="G1386" s="1618"/>
      <c r="H1386" s="774" t="s">
        <v>6940</v>
      </c>
      <c r="I1386" s="757">
        <f>DESPORC!C3936</f>
        <v>241</v>
      </c>
      <c r="J1386" s="765" t="str">
        <f>DESPORC!D3936</f>
        <v>Assistência ao Idoso</v>
      </c>
    </row>
    <row r="1387" spans="2:10" x14ac:dyDescent="0.25">
      <c r="B1387" s="1619" t="s">
        <v>6941</v>
      </c>
      <c r="C1387" s="1616">
        <f>'[3]Anexo I - Programas'!$C$416</f>
        <v>2014</v>
      </c>
      <c r="D1387" s="1622" t="str">
        <f>'[3]Anexo I - Programas'!$D$416</f>
        <v>Promoção da Assistencia Social Especial e Média Complexidade</v>
      </c>
      <c r="E1387" s="1619" t="s">
        <v>6941</v>
      </c>
      <c r="F1387" s="1616">
        <f>C1387</f>
        <v>2014</v>
      </c>
      <c r="G1387" s="1618" t="str">
        <f>D1387</f>
        <v>Promoção da Assistencia Social Especial e Média Complexidade</v>
      </c>
      <c r="H1387" s="775" t="s">
        <v>3137</v>
      </c>
      <c r="I1387" s="789" t="str">
        <f>F1385</f>
        <v>12</v>
      </c>
      <c r="J1387" s="762" t="str">
        <f>G1385</f>
        <v>GESTÃO E AÇÕES DE ASSISTENCIA SOCIAL</v>
      </c>
    </row>
    <row r="1388" spans="2:10" ht="30" x14ac:dyDescent="0.25">
      <c r="B1388" s="1620"/>
      <c r="C1388" s="1621"/>
      <c r="D1388" s="1623"/>
      <c r="E1388" s="1620"/>
      <c r="F1388" s="1621"/>
      <c r="G1388" s="1624"/>
      <c r="H1388" s="776" t="s">
        <v>6941</v>
      </c>
      <c r="I1388" s="790">
        <f>F1387</f>
        <v>2014</v>
      </c>
      <c r="J1388" s="764" t="str">
        <f>G1387</f>
        <v>Promoção da Assistencia Social Especial e Média Complexidade</v>
      </c>
    </row>
    <row r="1389" spans="2:10" ht="15.75" thickBot="1" x14ac:dyDescent="0.3">
      <c r="B1389" s="769" t="s">
        <v>6939</v>
      </c>
      <c r="C1389" s="1625">
        <f>'[3]Anexo I - Programas'!$H$417</f>
        <v>600000</v>
      </c>
      <c r="D1389" s="1626"/>
      <c r="E1389" s="769" t="s">
        <v>6939</v>
      </c>
      <c r="F1389" s="1625">
        <f>'[3]Anexo I - Programas'!$J$417</f>
        <v>150000</v>
      </c>
      <c r="G1389" s="1627"/>
      <c r="H1389" s="778" t="s">
        <v>6939</v>
      </c>
      <c r="I1389" s="1625">
        <f>DESPORC!I3938</f>
        <v>9.9999999999999992E-2</v>
      </c>
      <c r="J1389" s="1627"/>
    </row>
    <row r="1390" spans="2:10" x14ac:dyDescent="0.25">
      <c r="B1390" s="1628" t="s">
        <v>3137</v>
      </c>
      <c r="C1390" s="1615" t="str">
        <f>'[3]Anexo I - Programas'!$B$390</f>
        <v>12</v>
      </c>
      <c r="D1390" s="1629" t="str">
        <f>'[3]Anexo I - Programas'!$C$390</f>
        <v>GESTÃO E AÇÕES DE ASSISTENCIA SOCIAL</v>
      </c>
      <c r="E1390" s="1628" t="s">
        <v>3137</v>
      </c>
      <c r="F1390" s="1615" t="str">
        <f>C1390</f>
        <v>12</v>
      </c>
      <c r="G1390" s="1617" t="str">
        <f>D1390</f>
        <v>GESTÃO E AÇÕES DE ASSISTENCIA SOCIAL</v>
      </c>
      <c r="H1390" s="773" t="s">
        <v>3138</v>
      </c>
      <c r="I1390" s="757">
        <f>DESPORC!C3949</f>
        <v>8</v>
      </c>
      <c r="J1390" s="765" t="str">
        <f>DESPORC!D3949</f>
        <v>Assistência Social</v>
      </c>
    </row>
    <row r="1391" spans="2:10" x14ac:dyDescent="0.25">
      <c r="B1391" s="1619"/>
      <c r="C1391" s="1616"/>
      <c r="D1391" s="1630"/>
      <c r="E1391" s="1619"/>
      <c r="F1391" s="1616"/>
      <c r="G1391" s="1618"/>
      <c r="H1391" s="774" t="s">
        <v>6940</v>
      </c>
      <c r="I1391" s="757">
        <f>DESPORC!C3950</f>
        <v>242</v>
      </c>
      <c r="J1391" s="765" t="str">
        <f>DESPORC!D3950</f>
        <v>Assistência ao Portador de Deficiência</v>
      </c>
    </row>
    <row r="1392" spans="2:10" x14ac:dyDescent="0.25">
      <c r="B1392" s="1619" t="s">
        <v>6941</v>
      </c>
      <c r="C1392" s="1616">
        <f>'[3]Anexo I - Programas'!$C$416</f>
        <v>2014</v>
      </c>
      <c r="D1392" s="1622" t="str">
        <f>'[3]Anexo I - Programas'!$D$416</f>
        <v>Promoção da Assistencia Social Especial e Média Complexidade</v>
      </c>
      <c r="E1392" s="1619" t="s">
        <v>6941</v>
      </c>
      <c r="F1392" s="1616">
        <f>C1392</f>
        <v>2014</v>
      </c>
      <c r="G1392" s="1618" t="str">
        <f>D1392</f>
        <v>Promoção da Assistencia Social Especial e Média Complexidade</v>
      </c>
      <c r="H1392" s="775" t="s">
        <v>3137</v>
      </c>
      <c r="I1392" s="789" t="str">
        <f>F1390</f>
        <v>12</v>
      </c>
      <c r="J1392" s="762" t="str">
        <f>G1390</f>
        <v>GESTÃO E AÇÕES DE ASSISTENCIA SOCIAL</v>
      </c>
    </row>
    <row r="1393" spans="2:10" ht="30" x14ac:dyDescent="0.25">
      <c r="B1393" s="1620"/>
      <c r="C1393" s="1621"/>
      <c r="D1393" s="1623"/>
      <c r="E1393" s="1620"/>
      <c r="F1393" s="1621"/>
      <c r="G1393" s="1624"/>
      <c r="H1393" s="776" t="s">
        <v>6941</v>
      </c>
      <c r="I1393" s="790">
        <f>F1392</f>
        <v>2014</v>
      </c>
      <c r="J1393" s="764" t="str">
        <f>G1392</f>
        <v>Promoção da Assistencia Social Especial e Média Complexidade</v>
      </c>
    </row>
    <row r="1394" spans="2:10" ht="15.75" thickBot="1" x14ac:dyDescent="0.3">
      <c r="B1394" s="769" t="s">
        <v>6939</v>
      </c>
      <c r="C1394" s="1625">
        <f>'[3]Anexo I - Programas'!$H$417</f>
        <v>600000</v>
      </c>
      <c r="D1394" s="1626"/>
      <c r="E1394" s="769" t="s">
        <v>6939</v>
      </c>
      <c r="F1394" s="1625">
        <f>'[3]Anexo I - Programas'!$J$417</f>
        <v>150000</v>
      </c>
      <c r="G1394" s="1627"/>
      <c r="H1394" s="778" t="s">
        <v>6939</v>
      </c>
      <c r="I1394" s="1625">
        <f>DESPORC!I3952</f>
        <v>0.09</v>
      </c>
      <c r="J1394" s="1627"/>
    </row>
    <row r="1395" spans="2:10" x14ac:dyDescent="0.25">
      <c r="B1395" s="1628" t="s">
        <v>3137</v>
      </c>
      <c r="C1395" s="1615" t="str">
        <f>'[3]Anexo I - Programas'!$B$390</f>
        <v>12</v>
      </c>
      <c r="D1395" s="1629" t="str">
        <f>'[3]Anexo I - Programas'!$C$390</f>
        <v>GESTÃO E AÇÕES DE ASSISTENCIA SOCIAL</v>
      </c>
      <c r="E1395" s="1628" t="s">
        <v>3137</v>
      </c>
      <c r="F1395" s="1615" t="str">
        <f>C1395</f>
        <v>12</v>
      </c>
      <c r="G1395" s="1617" t="str">
        <f>D1395</f>
        <v>GESTÃO E AÇÕES DE ASSISTENCIA SOCIAL</v>
      </c>
      <c r="H1395" s="773" t="s">
        <v>3138</v>
      </c>
      <c r="I1395" s="757">
        <f>DESPORC!C3962</f>
        <v>8</v>
      </c>
      <c r="J1395" s="765" t="str">
        <f>DESPORC!D3962</f>
        <v>Assistência Social</v>
      </c>
    </row>
    <row r="1396" spans="2:10" x14ac:dyDescent="0.25">
      <c r="B1396" s="1619"/>
      <c r="C1396" s="1616"/>
      <c r="D1396" s="1630"/>
      <c r="E1396" s="1619"/>
      <c r="F1396" s="1616"/>
      <c r="G1396" s="1618"/>
      <c r="H1396" s="774" t="s">
        <v>6940</v>
      </c>
      <c r="I1396" s="757">
        <f>DESPORC!C3963</f>
        <v>243</v>
      </c>
      <c r="J1396" s="765" t="str">
        <f>DESPORC!D3963</f>
        <v>Assistência à Criança e ao Adolescente</v>
      </c>
    </row>
    <row r="1397" spans="2:10" x14ac:dyDescent="0.25">
      <c r="B1397" s="1619" t="s">
        <v>6941</v>
      </c>
      <c r="C1397" s="1616">
        <f>'[3]Anexo I - Programas'!$C$416</f>
        <v>2014</v>
      </c>
      <c r="D1397" s="1622" t="str">
        <f>'[3]Anexo I - Programas'!$D$416</f>
        <v>Promoção da Assistencia Social Especial e Média Complexidade</v>
      </c>
      <c r="E1397" s="1619" t="s">
        <v>6941</v>
      </c>
      <c r="F1397" s="1616">
        <f>C1397</f>
        <v>2014</v>
      </c>
      <c r="G1397" s="1618" t="str">
        <f>D1397</f>
        <v>Promoção da Assistencia Social Especial e Média Complexidade</v>
      </c>
      <c r="H1397" s="775" t="s">
        <v>3137</v>
      </c>
      <c r="I1397" s="789" t="str">
        <f>F1395</f>
        <v>12</v>
      </c>
      <c r="J1397" s="762" t="str">
        <f>G1395</f>
        <v>GESTÃO E AÇÕES DE ASSISTENCIA SOCIAL</v>
      </c>
    </row>
    <row r="1398" spans="2:10" ht="30" x14ac:dyDescent="0.25">
      <c r="B1398" s="1620"/>
      <c r="C1398" s="1621"/>
      <c r="D1398" s="1623"/>
      <c r="E1398" s="1620"/>
      <c r="F1398" s="1621"/>
      <c r="G1398" s="1624"/>
      <c r="H1398" s="776" t="s">
        <v>6941</v>
      </c>
      <c r="I1398" s="790">
        <f>F1397</f>
        <v>2014</v>
      </c>
      <c r="J1398" s="764" t="str">
        <f>G1397</f>
        <v>Promoção da Assistencia Social Especial e Média Complexidade</v>
      </c>
    </row>
    <row r="1399" spans="2:10" ht="15.75" thickBot="1" x14ac:dyDescent="0.3">
      <c r="B1399" s="769" t="s">
        <v>6939</v>
      </c>
      <c r="C1399" s="1625">
        <f>'[3]Anexo I - Programas'!$H$417</f>
        <v>600000</v>
      </c>
      <c r="D1399" s="1626"/>
      <c r="E1399" s="769" t="s">
        <v>6939</v>
      </c>
      <c r="F1399" s="1625">
        <f>'[3]Anexo I - Programas'!$J$417</f>
        <v>150000</v>
      </c>
      <c r="G1399" s="1627"/>
      <c r="H1399" s="778" t="s">
        <v>6939</v>
      </c>
      <c r="I1399" s="1625">
        <f>DESPORC!I3965</f>
        <v>0.09</v>
      </c>
      <c r="J1399" s="1627"/>
    </row>
    <row r="1400" spans="2:10" x14ac:dyDescent="0.25">
      <c r="B1400" s="1628" t="s">
        <v>3137</v>
      </c>
      <c r="C1400" s="1615" t="str">
        <f>'[3]Anexo I - Programas'!$B$390</f>
        <v>12</v>
      </c>
      <c r="D1400" s="1629" t="str">
        <f>'[3]Anexo I - Programas'!$C$390</f>
        <v>GESTÃO E AÇÕES DE ASSISTENCIA SOCIAL</v>
      </c>
      <c r="E1400" s="1628" t="s">
        <v>3137</v>
      </c>
      <c r="F1400" s="1615" t="str">
        <f>C1400</f>
        <v>12</v>
      </c>
      <c r="G1400" s="1617" t="str">
        <f>D1400</f>
        <v>GESTÃO E AÇÕES DE ASSISTENCIA SOCIAL</v>
      </c>
      <c r="H1400" s="773" t="s">
        <v>3138</v>
      </c>
      <c r="I1400" s="757">
        <f>DESPORC!C3975</f>
        <v>8</v>
      </c>
      <c r="J1400" s="765" t="str">
        <f>DESPORC!D3975</f>
        <v>Assistência Social</v>
      </c>
    </row>
    <row r="1401" spans="2:10" x14ac:dyDescent="0.25">
      <c r="B1401" s="1619"/>
      <c r="C1401" s="1616"/>
      <c r="D1401" s="1630"/>
      <c r="E1401" s="1619"/>
      <c r="F1401" s="1616"/>
      <c r="G1401" s="1618"/>
      <c r="H1401" s="774" t="s">
        <v>6940</v>
      </c>
      <c r="I1401" s="757">
        <f>DESPORC!C3976</f>
        <v>244</v>
      </c>
      <c r="J1401" s="765" t="str">
        <f>DESPORC!D3976</f>
        <v>Assistência Comunitária</v>
      </c>
    </row>
    <row r="1402" spans="2:10" x14ac:dyDescent="0.25">
      <c r="B1402" s="1619" t="s">
        <v>6941</v>
      </c>
      <c r="C1402" s="1616">
        <f>'[3]Anexo I - Programas'!$C$416</f>
        <v>2014</v>
      </c>
      <c r="D1402" s="1622" t="str">
        <f>'[3]Anexo I - Programas'!$D$416</f>
        <v>Promoção da Assistencia Social Especial e Média Complexidade</v>
      </c>
      <c r="E1402" s="1619" t="s">
        <v>6941</v>
      </c>
      <c r="F1402" s="1616">
        <f>C1402</f>
        <v>2014</v>
      </c>
      <c r="G1402" s="1618" t="str">
        <f>D1402</f>
        <v>Promoção da Assistencia Social Especial e Média Complexidade</v>
      </c>
      <c r="H1402" s="775" t="s">
        <v>3137</v>
      </c>
      <c r="I1402" s="789" t="str">
        <f>F1400</f>
        <v>12</v>
      </c>
      <c r="J1402" s="762" t="str">
        <f>G1400</f>
        <v>GESTÃO E AÇÕES DE ASSISTENCIA SOCIAL</v>
      </c>
    </row>
    <row r="1403" spans="2:10" ht="30" x14ac:dyDescent="0.25">
      <c r="B1403" s="1620"/>
      <c r="C1403" s="1621"/>
      <c r="D1403" s="1623"/>
      <c r="E1403" s="1620"/>
      <c r="F1403" s="1621"/>
      <c r="G1403" s="1624"/>
      <c r="H1403" s="776" t="s">
        <v>6941</v>
      </c>
      <c r="I1403" s="790">
        <f>F1402</f>
        <v>2014</v>
      </c>
      <c r="J1403" s="764" t="str">
        <f>G1402</f>
        <v>Promoção da Assistencia Social Especial e Média Complexidade</v>
      </c>
    </row>
    <row r="1404" spans="2:10" ht="15.75" thickBot="1" x14ac:dyDescent="0.3">
      <c r="B1404" s="769" t="s">
        <v>6939</v>
      </c>
      <c r="C1404" s="1625">
        <f>'[3]Anexo I - Programas'!$H$417</f>
        <v>600000</v>
      </c>
      <c r="D1404" s="1626"/>
      <c r="E1404" s="769" t="s">
        <v>6939</v>
      </c>
      <c r="F1404" s="1625">
        <f>'[3]Anexo I - Programas'!$J$417</f>
        <v>150000</v>
      </c>
      <c r="G1404" s="1627"/>
      <c r="H1404" s="778" t="s">
        <v>6939</v>
      </c>
      <c r="I1404" s="1625">
        <f>DESPORC!I3978</f>
        <v>1125.0803217482267</v>
      </c>
      <c r="J1404" s="1627"/>
    </row>
    <row r="1405" spans="2:10" x14ac:dyDescent="0.25">
      <c r="B1405" s="1628" t="s">
        <v>3137</v>
      </c>
      <c r="C1405" s="1615" t="str">
        <f>'[3]Anexo I - Programas'!$B$390</f>
        <v>12</v>
      </c>
      <c r="D1405" s="1629" t="str">
        <f>'[3]Anexo I - Programas'!$C$390</f>
        <v>GESTÃO E AÇÕES DE ASSISTENCIA SOCIAL</v>
      </c>
      <c r="E1405" s="1628" t="s">
        <v>3137</v>
      </c>
      <c r="F1405" s="1615" t="str">
        <f>C1405</f>
        <v>12</v>
      </c>
      <c r="G1405" s="1617" t="str">
        <f>D1405</f>
        <v>GESTÃO E AÇÕES DE ASSISTENCIA SOCIAL</v>
      </c>
      <c r="H1405" s="773" t="s">
        <v>3138</v>
      </c>
      <c r="I1405" s="757">
        <f>DESPORC!C4001</f>
        <v>8</v>
      </c>
      <c r="J1405" s="765" t="str">
        <f>DESPORC!D4001</f>
        <v>Assistência Social</v>
      </c>
    </row>
    <row r="1406" spans="2:10" x14ac:dyDescent="0.25">
      <c r="B1406" s="1619"/>
      <c r="C1406" s="1616"/>
      <c r="D1406" s="1630"/>
      <c r="E1406" s="1619"/>
      <c r="F1406" s="1616"/>
      <c r="G1406" s="1618"/>
      <c r="H1406" s="774" t="s">
        <v>6940</v>
      </c>
      <c r="I1406" s="757">
        <f>DESPORC!C4002</f>
        <v>244</v>
      </c>
      <c r="J1406" s="765" t="str">
        <f>DESPORC!D4002</f>
        <v>Assistência Comunitária</v>
      </c>
    </row>
    <row r="1407" spans="2:10" x14ac:dyDescent="0.25">
      <c r="B1407" s="1619" t="s">
        <v>6941</v>
      </c>
      <c r="C1407" s="1616">
        <f>'[3]Anexo I - Programas'!$C$422</f>
        <v>2015</v>
      </c>
      <c r="D1407" s="1622" t="str">
        <f>'[3]Anexo I - Programas'!$D$422</f>
        <v xml:space="preserve">Gestão e operacionalização do Programa Bolsa Família </v>
      </c>
      <c r="E1407" s="1619" t="s">
        <v>6941</v>
      </c>
      <c r="F1407" s="1616">
        <f>C1407</f>
        <v>2015</v>
      </c>
      <c r="G1407" s="1618" t="str">
        <f>D1407</f>
        <v xml:space="preserve">Gestão e operacionalização do Programa Bolsa Família </v>
      </c>
      <c r="H1407" s="775" t="s">
        <v>3137</v>
      </c>
      <c r="I1407" s="789" t="str">
        <f>F1405</f>
        <v>12</v>
      </c>
      <c r="J1407" s="762" t="str">
        <f>G1405</f>
        <v>GESTÃO E AÇÕES DE ASSISTENCIA SOCIAL</v>
      </c>
    </row>
    <row r="1408" spans="2:10" x14ac:dyDescent="0.25">
      <c r="B1408" s="1620"/>
      <c r="C1408" s="1621"/>
      <c r="D1408" s="1623"/>
      <c r="E1408" s="1620"/>
      <c r="F1408" s="1621"/>
      <c r="G1408" s="1624"/>
      <c r="H1408" s="776" t="s">
        <v>6941</v>
      </c>
      <c r="I1408" s="790">
        <f>F1407</f>
        <v>2015</v>
      </c>
      <c r="J1408" s="764" t="str">
        <f>G1407</f>
        <v xml:space="preserve">Gestão e operacionalização do Programa Bolsa Família </v>
      </c>
    </row>
    <row r="1409" spans="2:10" ht="15.75" thickBot="1" x14ac:dyDescent="0.3">
      <c r="B1409" s="769" t="s">
        <v>6939</v>
      </c>
      <c r="C1409" s="1625">
        <f>'[3]Anexo I - Programas'!$H$423</f>
        <v>200000</v>
      </c>
      <c r="D1409" s="1626"/>
      <c r="E1409" s="769" t="s">
        <v>6939</v>
      </c>
      <c r="F1409" s="1625">
        <f>'[3]Anexo I - Programas'!$J$423</f>
        <v>50000</v>
      </c>
      <c r="G1409" s="1627"/>
      <c r="H1409" s="778" t="s">
        <v>6939</v>
      </c>
      <c r="I1409" s="1625">
        <f>DESPORC!I4004</f>
        <v>21967.589548911572</v>
      </c>
      <c r="J1409" s="1627"/>
    </row>
    <row r="1410" spans="2:10" x14ac:dyDescent="0.25">
      <c r="B1410" s="1628" t="s">
        <v>3137</v>
      </c>
      <c r="C1410" s="1615" t="str">
        <f>'[3]Anexo I - Programas'!$B$390</f>
        <v>12</v>
      </c>
      <c r="D1410" s="1629" t="str">
        <f>'[3]Anexo I - Programas'!$C$390</f>
        <v>GESTÃO E AÇÕES DE ASSISTENCIA SOCIAL</v>
      </c>
      <c r="E1410" s="1628" t="s">
        <v>3137</v>
      </c>
      <c r="F1410" s="1615" t="str">
        <f>C1410</f>
        <v>12</v>
      </c>
      <c r="G1410" s="1617" t="str">
        <f>D1410</f>
        <v>GESTÃO E AÇÕES DE ASSISTENCIA SOCIAL</v>
      </c>
      <c r="H1410" s="773" t="s">
        <v>3138</v>
      </c>
      <c r="I1410" s="757">
        <f>DESPORC!C4013</f>
        <v>8</v>
      </c>
      <c r="J1410" s="765" t="str">
        <f>DESPORC!D4013</f>
        <v>Assistência Social</v>
      </c>
    </row>
    <row r="1411" spans="2:10" x14ac:dyDescent="0.25">
      <c r="B1411" s="1619"/>
      <c r="C1411" s="1616"/>
      <c r="D1411" s="1630"/>
      <c r="E1411" s="1619"/>
      <c r="F1411" s="1616"/>
      <c r="G1411" s="1618"/>
      <c r="H1411" s="774" t="s">
        <v>6940</v>
      </c>
      <c r="I1411" s="757">
        <f>DESPORC!C4014</f>
        <v>244</v>
      </c>
      <c r="J1411" s="765" t="str">
        <f>DESPORC!D4014</f>
        <v>Assistência Comunitária</v>
      </c>
    </row>
    <row r="1412" spans="2:10" x14ac:dyDescent="0.25">
      <c r="B1412" s="1619" t="s">
        <v>6941</v>
      </c>
      <c r="C1412" s="1616">
        <f>'[3]Anexo I - Programas'!$C$428</f>
        <v>2016</v>
      </c>
      <c r="D1412" s="1622" t="str">
        <f>'[3]Anexo I - Programas'!$D$428</f>
        <v>Gestão, Monitoramento e Vigilância – SUAS</v>
      </c>
      <c r="E1412" s="1619" t="s">
        <v>6941</v>
      </c>
      <c r="F1412" s="1616">
        <f>C1412</f>
        <v>2016</v>
      </c>
      <c r="G1412" s="1618" t="str">
        <f>D1412</f>
        <v>Gestão, Monitoramento e Vigilância – SUAS</v>
      </c>
      <c r="H1412" s="775" t="s">
        <v>3137</v>
      </c>
      <c r="I1412" s="789" t="str">
        <f>F1410</f>
        <v>12</v>
      </c>
      <c r="J1412" s="762" t="str">
        <f>G1410</f>
        <v>GESTÃO E AÇÕES DE ASSISTENCIA SOCIAL</v>
      </c>
    </row>
    <row r="1413" spans="2:10" x14ac:dyDescent="0.25">
      <c r="B1413" s="1620"/>
      <c r="C1413" s="1621"/>
      <c r="D1413" s="1623"/>
      <c r="E1413" s="1620"/>
      <c r="F1413" s="1621"/>
      <c r="G1413" s="1624"/>
      <c r="H1413" s="776" t="s">
        <v>6941</v>
      </c>
      <c r="I1413" s="790">
        <f>F1412</f>
        <v>2016</v>
      </c>
      <c r="J1413" s="764" t="str">
        <f>G1412</f>
        <v>Gestão, Monitoramento e Vigilância – SUAS</v>
      </c>
    </row>
    <row r="1414" spans="2:10" ht="15.75" thickBot="1" x14ac:dyDescent="0.3">
      <c r="B1414" s="769" t="s">
        <v>6939</v>
      </c>
      <c r="C1414" s="1625">
        <f>'[3]Anexo I - Programas'!$H$429</f>
        <v>50000</v>
      </c>
      <c r="D1414" s="1626"/>
      <c r="E1414" s="769" t="s">
        <v>6939</v>
      </c>
      <c r="F1414" s="1625">
        <f>'[3]Anexo I - Programas'!$J$429</f>
        <v>12500</v>
      </c>
      <c r="G1414" s="1627"/>
      <c r="H1414" s="778" t="s">
        <v>6939</v>
      </c>
      <c r="I1414" s="1625">
        <f>DESPORC!I4016</f>
        <v>4924.0428625473423</v>
      </c>
      <c r="J1414" s="1627"/>
    </row>
    <row r="1415" spans="2:10" x14ac:dyDescent="0.25">
      <c r="B1415" s="1628" t="s">
        <v>3137</v>
      </c>
      <c r="C1415" s="1615" t="str">
        <f>'[3]Anexo I - Programas'!$B$390</f>
        <v>12</v>
      </c>
      <c r="D1415" s="1629" t="str">
        <f>'[3]Anexo I - Programas'!$C$390</f>
        <v>GESTÃO E AÇÕES DE ASSISTENCIA SOCIAL</v>
      </c>
      <c r="E1415" s="1628" t="s">
        <v>3137</v>
      </c>
      <c r="F1415" s="1615" t="str">
        <f>C1415</f>
        <v>12</v>
      </c>
      <c r="G1415" s="1617" t="str">
        <f>D1415</f>
        <v>GESTÃO E AÇÕES DE ASSISTENCIA SOCIAL</v>
      </c>
      <c r="H1415" s="773" t="s">
        <v>3138</v>
      </c>
      <c r="I1415" s="757">
        <f>DESPORC!C4026</f>
        <v>8</v>
      </c>
      <c r="J1415" s="765" t="str">
        <f>DESPORC!D4026</f>
        <v>Assistência Social</v>
      </c>
    </row>
    <row r="1416" spans="2:10" x14ac:dyDescent="0.25">
      <c r="B1416" s="1619"/>
      <c r="C1416" s="1616"/>
      <c r="D1416" s="1630"/>
      <c r="E1416" s="1619"/>
      <c r="F1416" s="1616"/>
      <c r="G1416" s="1618"/>
      <c r="H1416" s="774" t="s">
        <v>6940</v>
      </c>
      <c r="I1416" s="757">
        <f>DESPORC!C4027</f>
        <v>244</v>
      </c>
      <c r="J1416" s="765" t="str">
        <f>DESPORC!D4027</f>
        <v>Assistência Comunitária</v>
      </c>
    </row>
    <row r="1417" spans="2:10" x14ac:dyDescent="0.25">
      <c r="B1417" s="1619" t="s">
        <v>6941</v>
      </c>
      <c r="C1417" s="1616">
        <f>'[3]Anexo I - Programas'!$C$428</f>
        <v>2016</v>
      </c>
      <c r="D1417" s="1622" t="str">
        <f>'[3]Anexo I - Programas'!$D$428</f>
        <v>Gestão, Monitoramento e Vigilância – SUAS</v>
      </c>
      <c r="E1417" s="1619" t="s">
        <v>6941</v>
      </c>
      <c r="F1417" s="1616">
        <f>C1417</f>
        <v>2016</v>
      </c>
      <c r="G1417" s="1618" t="str">
        <f>D1417</f>
        <v>Gestão, Monitoramento e Vigilância – SUAS</v>
      </c>
      <c r="H1417" s="775" t="s">
        <v>3137</v>
      </c>
      <c r="I1417" s="789" t="str">
        <f>F1415</f>
        <v>12</v>
      </c>
      <c r="J1417" s="762" t="str">
        <f>G1415</f>
        <v>GESTÃO E AÇÕES DE ASSISTENCIA SOCIAL</v>
      </c>
    </row>
    <row r="1418" spans="2:10" x14ac:dyDescent="0.25">
      <c r="B1418" s="1620"/>
      <c r="C1418" s="1621"/>
      <c r="D1418" s="1623"/>
      <c r="E1418" s="1620"/>
      <c r="F1418" s="1621"/>
      <c r="G1418" s="1624"/>
      <c r="H1418" s="776" t="s">
        <v>6941</v>
      </c>
      <c r="I1418" s="790">
        <f>F1417</f>
        <v>2016</v>
      </c>
      <c r="J1418" s="764" t="str">
        <f>G1417</f>
        <v>Gestão, Monitoramento e Vigilância – SUAS</v>
      </c>
    </row>
    <row r="1419" spans="2:10" ht="15.75" thickBot="1" x14ac:dyDescent="0.3">
      <c r="B1419" s="769" t="s">
        <v>6939</v>
      </c>
      <c r="C1419" s="1625">
        <f>'[3]Anexo I - Programas'!$H$429</f>
        <v>50000</v>
      </c>
      <c r="D1419" s="1626"/>
      <c r="E1419" s="769" t="s">
        <v>6939</v>
      </c>
      <c r="F1419" s="1625">
        <f>'[3]Anexo I - Programas'!$J$429</f>
        <v>12500</v>
      </c>
      <c r="G1419" s="1627"/>
      <c r="H1419" s="778" t="s">
        <v>6939</v>
      </c>
      <c r="I1419" s="1625">
        <f>DESPORC!I4029</f>
        <v>582.32469944065849</v>
      </c>
      <c r="J1419" s="1627"/>
    </row>
    <row r="1420" spans="2:10" x14ac:dyDescent="0.25">
      <c r="J1420" s="15"/>
    </row>
    <row r="1421" spans="2:10" x14ac:dyDescent="0.25">
      <c r="B1421" s="1631" t="s">
        <v>6927</v>
      </c>
      <c r="C1421" s="1631"/>
      <c r="D1421" s="755" t="str">
        <f>DESPORC!C4045</f>
        <v>05 - SECRETARIA MUNICIPAL DE ASSISTENCIA SOCIAL</v>
      </c>
      <c r="E1421" s="791"/>
      <c r="F1421" s="792"/>
      <c r="G1421" s="792"/>
      <c r="H1421" s="791"/>
      <c r="I1421" s="792"/>
      <c r="J1421" s="792"/>
    </row>
    <row r="1422" spans="2:10" ht="15.75" thickBot="1" x14ac:dyDescent="0.3">
      <c r="B1422" s="1632" t="s">
        <v>3087</v>
      </c>
      <c r="C1422" s="1632"/>
      <c r="D1422" s="755" t="str">
        <f>DESPORC!C4046</f>
        <v>05 - FUNDO MUNICIPAL DA CRIANÇA E DO ADOLESCENTE</v>
      </c>
      <c r="E1422" s="791"/>
      <c r="F1422" s="36"/>
      <c r="G1422" s="1"/>
      <c r="H1422" s="772"/>
      <c r="I1422" s="1"/>
      <c r="J1422" s="1"/>
    </row>
    <row r="1423" spans="2:10" ht="15.75" thickBot="1" x14ac:dyDescent="0.3">
      <c r="B1423" s="1633" t="str">
        <f>B$10</f>
        <v>PPA LEI MUNICIPAL N.º 1091  DE 16 DE JUNHO DE 2017.</v>
      </c>
      <c r="C1423" s="1634"/>
      <c r="D1423" s="1635"/>
      <c r="E1423" s="1633" t="str">
        <f>E$10</f>
        <v>LDO LEI MUNICIPAL N.º 1166  DE 10 DE OUTUBRO DE 2019.</v>
      </c>
      <c r="F1423" s="1634"/>
      <c r="G1423" s="1635"/>
      <c r="H1423" s="1633" t="str">
        <f>H$10</f>
        <v>LOA 2020</v>
      </c>
      <c r="I1423" s="1634"/>
      <c r="J1423" s="1635"/>
    </row>
    <row r="1424" spans="2:10" ht="15" customHeight="1" x14ac:dyDescent="0.25">
      <c r="B1424" s="1628" t="s">
        <v>3137</v>
      </c>
      <c r="C1424" s="1615" t="str">
        <f>'[3]Anexo I - Programas'!$B$390</f>
        <v>12</v>
      </c>
      <c r="D1424" s="1629" t="str">
        <f>'[3]Anexo I - Programas'!$C$390</f>
        <v>GESTÃO E AÇÕES DE ASSISTENCIA SOCIAL</v>
      </c>
      <c r="E1424" s="1628" t="s">
        <v>3137</v>
      </c>
      <c r="F1424" s="1615" t="str">
        <f>C1424</f>
        <v>12</v>
      </c>
      <c r="G1424" s="1617" t="str">
        <f>D1424</f>
        <v>GESTÃO E AÇÕES DE ASSISTENCIA SOCIAL</v>
      </c>
      <c r="H1424" s="773" t="s">
        <v>3138</v>
      </c>
      <c r="I1424" s="757">
        <f>DESPORC!C4048</f>
        <v>8</v>
      </c>
      <c r="J1424" s="765" t="str">
        <f>DESPORC!D4048</f>
        <v>Assistência Social</v>
      </c>
    </row>
    <row r="1425" spans="2:10" x14ac:dyDescent="0.25">
      <c r="B1425" s="1619"/>
      <c r="C1425" s="1616"/>
      <c r="D1425" s="1630"/>
      <c r="E1425" s="1619"/>
      <c r="F1425" s="1616"/>
      <c r="G1425" s="1618"/>
      <c r="H1425" s="774" t="s">
        <v>6940</v>
      </c>
      <c r="I1425" s="757">
        <f>DESPORC!C4049</f>
        <v>244</v>
      </c>
      <c r="J1425" s="765" t="str">
        <f>DESPORC!D4049</f>
        <v>Assistência Comunitária</v>
      </c>
    </row>
    <row r="1426" spans="2:10" x14ac:dyDescent="0.25">
      <c r="B1426" s="1619" t="s">
        <v>6941</v>
      </c>
      <c r="C1426" s="1616">
        <f>'[3]Anexo I - Programas'!$C$440</f>
        <v>2018</v>
      </c>
      <c r="D1426" s="1622" t="str">
        <f>'[3]Anexo I - Programas'!$D$440</f>
        <v>Gestão do F.M.C.A.</v>
      </c>
      <c r="E1426" s="1619" t="s">
        <v>6941</v>
      </c>
      <c r="F1426" s="1616">
        <f>C1426</f>
        <v>2018</v>
      </c>
      <c r="G1426" s="1618" t="str">
        <f>D1426</f>
        <v>Gestão do F.M.C.A.</v>
      </c>
      <c r="H1426" s="775" t="s">
        <v>3137</v>
      </c>
      <c r="I1426" s="789" t="str">
        <f>F1424</f>
        <v>12</v>
      </c>
      <c r="J1426" s="762" t="str">
        <f>G1424</f>
        <v>GESTÃO E AÇÕES DE ASSISTENCIA SOCIAL</v>
      </c>
    </row>
    <row r="1427" spans="2:10" x14ac:dyDescent="0.25">
      <c r="B1427" s="1620"/>
      <c r="C1427" s="1621"/>
      <c r="D1427" s="1623"/>
      <c r="E1427" s="1620"/>
      <c r="F1427" s="1621"/>
      <c r="G1427" s="1624"/>
      <c r="H1427" s="776" t="s">
        <v>6941</v>
      </c>
      <c r="I1427" s="790">
        <f>F1426</f>
        <v>2018</v>
      </c>
      <c r="J1427" s="764" t="str">
        <f>G1426</f>
        <v>Gestão do F.M.C.A.</v>
      </c>
    </row>
    <row r="1428" spans="2:10" ht="15.75" thickBot="1" x14ac:dyDescent="0.3">
      <c r="B1428" s="769" t="s">
        <v>6939</v>
      </c>
      <c r="C1428" s="1625">
        <f>'[3]Anexo I - Programas'!$H$441</f>
        <v>250000</v>
      </c>
      <c r="D1428" s="1626"/>
      <c r="E1428" s="769" t="s">
        <v>6939</v>
      </c>
      <c r="F1428" s="1625">
        <f>'[3]Anexo I - Programas'!$J$441</f>
        <v>62500</v>
      </c>
      <c r="G1428" s="1627"/>
      <c r="H1428" s="778" t="s">
        <v>6939</v>
      </c>
      <c r="I1428" s="1625">
        <f>DESPORC!I4051</f>
        <v>3000.0600000000013</v>
      </c>
      <c r="J1428" s="1627"/>
    </row>
    <row r="1429" spans="2:10" x14ac:dyDescent="0.25">
      <c r="B1429" s="1628" t="s">
        <v>3137</v>
      </c>
      <c r="C1429" s="1615" t="str">
        <f>'[3]Anexo I - Programas'!$B$390</f>
        <v>12</v>
      </c>
      <c r="D1429" s="1629" t="str">
        <f>'[3]Anexo I - Programas'!$C$390</f>
        <v>GESTÃO E AÇÕES DE ASSISTENCIA SOCIAL</v>
      </c>
      <c r="E1429" s="1628" t="s">
        <v>3137</v>
      </c>
      <c r="F1429" s="1615" t="str">
        <f>C1429</f>
        <v>12</v>
      </c>
      <c r="G1429" s="1617" t="str">
        <f>D1429</f>
        <v>GESTÃO E AÇÕES DE ASSISTENCIA SOCIAL</v>
      </c>
      <c r="H1429" s="773" t="s">
        <v>3138</v>
      </c>
      <c r="I1429" s="757">
        <f>DESPORC!C4060</f>
        <v>8</v>
      </c>
      <c r="J1429" s="765" t="str">
        <f>DESPORC!D4060</f>
        <v>Assistência Social</v>
      </c>
    </row>
    <row r="1430" spans="2:10" x14ac:dyDescent="0.25">
      <c r="B1430" s="1619"/>
      <c r="C1430" s="1616"/>
      <c r="D1430" s="1630"/>
      <c r="E1430" s="1619"/>
      <c r="F1430" s="1616"/>
      <c r="G1430" s="1618"/>
      <c r="H1430" s="774" t="s">
        <v>6940</v>
      </c>
      <c r="I1430" s="757">
        <f>DESPORC!C4061</f>
        <v>244</v>
      </c>
      <c r="J1430" s="765" t="str">
        <f>DESPORC!D4061</f>
        <v>Assistência Comunitária</v>
      </c>
    </row>
    <row r="1431" spans="2:10" x14ac:dyDescent="0.25">
      <c r="B1431" s="1619" t="s">
        <v>6941</v>
      </c>
      <c r="C1431" s="1616">
        <f>'[3]Anexo I - Programas'!$C$446</f>
        <v>2051</v>
      </c>
      <c r="D1431" s="1622" t="str">
        <f>'[3]Anexo I - Programas'!$D$446</f>
        <v>GESTÃO DO PROGRAMA UNIAO FAZ A VIDA</v>
      </c>
      <c r="E1431" s="1619" t="s">
        <v>6941</v>
      </c>
      <c r="F1431" s="1616">
        <f>C1431</f>
        <v>2051</v>
      </c>
      <c r="G1431" s="1618" t="str">
        <f>D1431</f>
        <v>GESTÃO DO PROGRAMA UNIAO FAZ A VIDA</v>
      </c>
      <c r="H1431" s="775" t="s">
        <v>3137</v>
      </c>
      <c r="I1431" s="789" t="str">
        <f>F1429</f>
        <v>12</v>
      </c>
      <c r="J1431" s="762" t="str">
        <f>G1429</f>
        <v>GESTÃO E AÇÕES DE ASSISTENCIA SOCIAL</v>
      </c>
    </row>
    <row r="1432" spans="2:10" x14ac:dyDescent="0.25">
      <c r="B1432" s="1620"/>
      <c r="C1432" s="1621"/>
      <c r="D1432" s="1623"/>
      <c r="E1432" s="1620"/>
      <c r="F1432" s="1621"/>
      <c r="G1432" s="1624"/>
      <c r="H1432" s="776" t="s">
        <v>6941</v>
      </c>
      <c r="I1432" s="790">
        <f>F1431</f>
        <v>2051</v>
      </c>
      <c r="J1432" s="764" t="str">
        <f>G1431</f>
        <v>GESTÃO DO PROGRAMA UNIAO FAZ A VIDA</v>
      </c>
    </row>
    <row r="1433" spans="2:10" ht="15.75" thickBot="1" x14ac:dyDescent="0.3">
      <c r="B1433" s="769" t="s">
        <v>6939</v>
      </c>
      <c r="C1433" s="1625">
        <f>'[3]Anexo I - Programas'!$H$447</f>
        <v>20000</v>
      </c>
      <c r="D1433" s="1626"/>
      <c r="E1433" s="769" t="s">
        <v>6939</v>
      </c>
      <c r="F1433" s="1625">
        <f>'[3]Anexo I - Programas'!$J$447</f>
        <v>5000</v>
      </c>
      <c r="G1433" s="1627"/>
      <c r="H1433" s="778" t="s">
        <v>6939</v>
      </c>
      <c r="I1433" s="1625">
        <f>DESPORC!I4063</f>
        <v>1</v>
      </c>
      <c r="J1433" s="1627"/>
    </row>
    <row r="1434" spans="2:10" x14ac:dyDescent="0.25">
      <c r="B1434" s="1628" t="s">
        <v>3137</v>
      </c>
      <c r="C1434" s="1615" t="str">
        <f>'[3]Anexo I - Programas'!$B$390</f>
        <v>12</v>
      </c>
      <c r="D1434" s="1629" t="str">
        <f>'[3]Anexo I - Programas'!$C$390</f>
        <v>GESTÃO E AÇÕES DE ASSISTENCIA SOCIAL</v>
      </c>
      <c r="E1434" s="1628" t="s">
        <v>3137</v>
      </c>
      <c r="F1434" s="1615" t="str">
        <f>C1434</f>
        <v>12</v>
      </c>
      <c r="G1434" s="1617" t="str">
        <f>D1434</f>
        <v>GESTÃO E AÇÕES DE ASSISTENCIA SOCIAL</v>
      </c>
      <c r="H1434" s="773" t="s">
        <v>3138</v>
      </c>
      <c r="I1434" s="757">
        <f>DESPORC!C4070</f>
        <v>8</v>
      </c>
      <c r="J1434" s="765" t="str">
        <f>DESPORC!D4070</f>
        <v>Assistência Social</v>
      </c>
    </row>
    <row r="1435" spans="2:10" x14ac:dyDescent="0.25">
      <c r="B1435" s="1619"/>
      <c r="C1435" s="1616"/>
      <c r="D1435" s="1630"/>
      <c r="E1435" s="1619"/>
      <c r="F1435" s="1616"/>
      <c r="G1435" s="1618"/>
      <c r="H1435" s="774" t="s">
        <v>6940</v>
      </c>
      <c r="I1435" s="757">
        <f>DESPORC!C4071</f>
        <v>244</v>
      </c>
      <c r="J1435" s="765" t="str">
        <f>DESPORC!D4071</f>
        <v>Assistência Comunitária</v>
      </c>
    </row>
    <row r="1436" spans="2:10" x14ac:dyDescent="0.25">
      <c r="B1436" s="1619" t="s">
        <v>6941</v>
      </c>
      <c r="C1436" s="1616">
        <f>'[3]Anexo I - Programas'!$C$452</f>
        <v>2052</v>
      </c>
      <c r="D1436" s="1622" t="str">
        <f>'[3]Anexo I - Programas'!$D$452</f>
        <v>GESTÃO DE RECURSOS DE DOAÇÕES IRRF</v>
      </c>
      <c r="E1436" s="1619" t="s">
        <v>6941</v>
      </c>
      <c r="F1436" s="1616">
        <f>C1436</f>
        <v>2052</v>
      </c>
      <c r="G1436" s="1618" t="str">
        <f>D1436</f>
        <v>GESTÃO DE RECURSOS DE DOAÇÕES IRRF</v>
      </c>
      <c r="H1436" s="775" t="s">
        <v>3137</v>
      </c>
      <c r="I1436" s="789" t="str">
        <f>F1434</f>
        <v>12</v>
      </c>
      <c r="J1436" s="762" t="str">
        <f>G1434</f>
        <v>GESTÃO E AÇÕES DE ASSISTENCIA SOCIAL</v>
      </c>
    </row>
    <row r="1437" spans="2:10" x14ac:dyDescent="0.25">
      <c r="B1437" s="1620"/>
      <c r="C1437" s="1621"/>
      <c r="D1437" s="1623"/>
      <c r="E1437" s="1620"/>
      <c r="F1437" s="1621"/>
      <c r="G1437" s="1624"/>
      <c r="H1437" s="776" t="s">
        <v>6941</v>
      </c>
      <c r="I1437" s="790">
        <f>F1436</f>
        <v>2052</v>
      </c>
      <c r="J1437" s="764" t="str">
        <f>G1436</f>
        <v>GESTÃO DE RECURSOS DE DOAÇÕES IRRF</v>
      </c>
    </row>
    <row r="1438" spans="2:10" ht="15.75" thickBot="1" x14ac:dyDescent="0.3">
      <c r="B1438" s="769" t="s">
        <v>6939</v>
      </c>
      <c r="C1438" s="1625">
        <f>'[3]Anexo I - Programas'!$H$453</f>
        <v>20000</v>
      </c>
      <c r="D1438" s="1626"/>
      <c r="E1438" s="769" t="s">
        <v>6939</v>
      </c>
      <c r="F1438" s="1625">
        <f>'[3]Anexo I - Programas'!$J$453</f>
        <v>5000</v>
      </c>
      <c r="G1438" s="1627"/>
      <c r="H1438" s="778" t="s">
        <v>6939</v>
      </c>
      <c r="I1438" s="1625">
        <f>DESPORC!I4073</f>
        <v>1</v>
      </c>
      <c r="J1438" s="1627"/>
    </row>
    <row r="1439" spans="2:10" x14ac:dyDescent="0.25">
      <c r="B1439" s="1628" t="s">
        <v>3137</v>
      </c>
      <c r="C1439" s="1615" t="str">
        <f>'[3]Anexo I - Programas'!$B$390</f>
        <v>12</v>
      </c>
      <c r="D1439" s="1629" t="str">
        <f>'[3]Anexo I - Programas'!$C$390</f>
        <v>GESTÃO E AÇÕES DE ASSISTENCIA SOCIAL</v>
      </c>
      <c r="E1439" s="1628" t="s">
        <v>3137</v>
      </c>
      <c r="F1439" s="1615" t="str">
        <f>C1439</f>
        <v>12</v>
      </c>
      <c r="G1439" s="1617" t="str">
        <f>D1439</f>
        <v>GESTÃO E AÇÕES DE ASSISTENCIA SOCIAL</v>
      </c>
      <c r="H1439" s="773" t="s">
        <v>3138</v>
      </c>
      <c r="I1439" s="757">
        <f>DESPORC!C4083</f>
        <v>8</v>
      </c>
      <c r="J1439" s="765" t="str">
        <f>DESPORC!D4083</f>
        <v>Assistência Social</v>
      </c>
    </row>
    <row r="1440" spans="2:10" x14ac:dyDescent="0.25">
      <c r="B1440" s="1619"/>
      <c r="C1440" s="1616"/>
      <c r="D1440" s="1630"/>
      <c r="E1440" s="1619"/>
      <c r="F1440" s="1616"/>
      <c r="G1440" s="1618"/>
      <c r="H1440" s="774" t="s">
        <v>6940</v>
      </c>
      <c r="I1440" s="757">
        <f>DESPORC!C4084</f>
        <v>244</v>
      </c>
      <c r="J1440" s="765" t="str">
        <f>DESPORC!D4084</f>
        <v>Assistência Comunitária</v>
      </c>
    </row>
    <row r="1441" spans="2:10" x14ac:dyDescent="0.25">
      <c r="B1441" s="1619" t="s">
        <v>6941</v>
      </c>
      <c r="C1441" s="1616">
        <f>'[3]Anexo I - Programas'!$C$458</f>
        <v>2053</v>
      </c>
      <c r="D1441" s="1622" t="str">
        <f>'[3]Anexo I - Programas'!$D$458</f>
        <v>GESTÃO DE RECURSOS DE PATROCINIOS</v>
      </c>
      <c r="E1441" s="1619" t="s">
        <v>6941</v>
      </c>
      <c r="F1441" s="1616">
        <f>C1441</f>
        <v>2053</v>
      </c>
      <c r="G1441" s="1618" t="str">
        <f>D1441</f>
        <v>GESTÃO DE RECURSOS DE PATROCINIOS</v>
      </c>
      <c r="H1441" s="775" t="s">
        <v>3137</v>
      </c>
      <c r="I1441" s="789" t="str">
        <f>F1439</f>
        <v>12</v>
      </c>
      <c r="J1441" s="762" t="str">
        <f>G1439</f>
        <v>GESTÃO E AÇÕES DE ASSISTENCIA SOCIAL</v>
      </c>
    </row>
    <row r="1442" spans="2:10" x14ac:dyDescent="0.25">
      <c r="B1442" s="1620"/>
      <c r="C1442" s="1621"/>
      <c r="D1442" s="1623"/>
      <c r="E1442" s="1620"/>
      <c r="F1442" s="1621"/>
      <c r="G1442" s="1624"/>
      <c r="H1442" s="776" t="s">
        <v>6941</v>
      </c>
      <c r="I1442" s="790">
        <f>F1441</f>
        <v>2053</v>
      </c>
      <c r="J1442" s="764" t="str">
        <f>G1441</f>
        <v>GESTÃO DE RECURSOS DE PATROCINIOS</v>
      </c>
    </row>
    <row r="1443" spans="2:10" ht="15.75" thickBot="1" x14ac:dyDescent="0.3">
      <c r="B1443" s="769" t="s">
        <v>6939</v>
      </c>
      <c r="C1443" s="1625">
        <f>'[3]Anexo I - Programas'!$H$459</f>
        <v>20000</v>
      </c>
      <c r="D1443" s="1626"/>
      <c r="E1443" s="769" t="s">
        <v>6939</v>
      </c>
      <c r="F1443" s="1625">
        <f>'[3]Anexo I - Programas'!$J$459</f>
        <v>5000</v>
      </c>
      <c r="G1443" s="1627"/>
      <c r="H1443" s="778" t="s">
        <v>6939</v>
      </c>
      <c r="I1443" s="1625">
        <f>DESPORC!I4086</f>
        <v>1</v>
      </c>
      <c r="J1443" s="1627"/>
    </row>
    <row r="1444" spans="2:10" x14ac:dyDescent="0.25">
      <c r="J1444" s="15"/>
    </row>
    <row r="1446" spans="2:10" x14ac:dyDescent="0.25">
      <c r="B1446" s="787"/>
      <c r="C1446" s="788"/>
      <c r="E1446" s="787"/>
      <c r="H1446" s="787"/>
    </row>
    <row r="1447" spans="2:10" x14ac:dyDescent="0.25">
      <c r="B1447" s="1631" t="s">
        <v>6927</v>
      </c>
      <c r="C1447" s="1631"/>
      <c r="D1447" s="755" t="str">
        <f>DESPORC!C4101</f>
        <v>05 - SECRETARIA MUNICIPAL DE ASSISTENCIA SOCIAL</v>
      </c>
      <c r="E1447" s="791"/>
      <c r="F1447" s="792"/>
      <c r="G1447" s="792"/>
      <c r="H1447" s="791"/>
      <c r="I1447" s="792"/>
      <c r="J1447" s="792"/>
    </row>
    <row r="1448" spans="2:10" ht="15.75" thickBot="1" x14ac:dyDescent="0.3">
      <c r="B1448" s="1632" t="s">
        <v>3087</v>
      </c>
      <c r="C1448" s="1632"/>
      <c r="D1448" s="755" t="str">
        <f>DESPORC!C4102</f>
        <v>06 - Gestão, Coordenação e Planej. do Conselho Mun. de Assistência Social</v>
      </c>
      <c r="E1448" s="791"/>
      <c r="F1448" s="36"/>
      <c r="G1448" s="1"/>
      <c r="H1448" s="772"/>
      <c r="I1448" s="1"/>
      <c r="J1448" s="1"/>
    </row>
    <row r="1449" spans="2:10" ht="15.75" thickBot="1" x14ac:dyDescent="0.3">
      <c r="B1449" s="1633" t="str">
        <f>B$10</f>
        <v>PPA LEI MUNICIPAL N.º 1091  DE 16 DE JUNHO DE 2017.</v>
      </c>
      <c r="C1449" s="1634"/>
      <c r="D1449" s="1635"/>
      <c r="E1449" s="1633" t="str">
        <f>E$10</f>
        <v>LDO LEI MUNICIPAL N.º 1166  DE 10 DE OUTUBRO DE 2019.</v>
      </c>
      <c r="F1449" s="1634"/>
      <c r="G1449" s="1635"/>
      <c r="H1449" s="1633" t="str">
        <f>H$10</f>
        <v>LOA 2020</v>
      </c>
      <c r="I1449" s="1634"/>
      <c r="J1449" s="1635"/>
    </row>
    <row r="1450" spans="2:10" x14ac:dyDescent="0.25">
      <c r="B1450" s="1628" t="s">
        <v>3137</v>
      </c>
      <c r="C1450" s="1615" t="str">
        <f>'[3]Anexo I - Programas'!$B$390</f>
        <v>12</v>
      </c>
      <c r="D1450" s="1629" t="str">
        <f>'[3]Anexo I - Programas'!$C$390</f>
        <v>GESTÃO E AÇÕES DE ASSISTENCIA SOCIAL</v>
      </c>
      <c r="E1450" s="1628" t="s">
        <v>3137</v>
      </c>
      <c r="F1450" s="1615" t="str">
        <f>C1450</f>
        <v>12</v>
      </c>
      <c r="G1450" s="1617" t="str">
        <f>D1450</f>
        <v>GESTÃO E AÇÕES DE ASSISTENCIA SOCIAL</v>
      </c>
      <c r="H1450" s="773" t="s">
        <v>3138</v>
      </c>
      <c r="I1450" s="757">
        <f>DESPORC!C4104</f>
        <v>8</v>
      </c>
      <c r="J1450" s="765" t="str">
        <f>DESPORC!D4104</f>
        <v>Saúde</v>
      </c>
    </row>
    <row r="1451" spans="2:10" x14ac:dyDescent="0.25">
      <c r="B1451" s="1619"/>
      <c r="C1451" s="1616"/>
      <c r="D1451" s="1630"/>
      <c r="E1451" s="1619"/>
      <c r="F1451" s="1616"/>
      <c r="G1451" s="1618"/>
      <c r="H1451" s="774" t="s">
        <v>6940</v>
      </c>
      <c r="I1451" s="757">
        <f>DESPORC!C4105</f>
        <v>125</v>
      </c>
      <c r="J1451" s="765" t="str">
        <f>DESPORC!D4105</f>
        <v>Normatizacao e Fiscalização</v>
      </c>
    </row>
    <row r="1452" spans="2:10" x14ac:dyDescent="0.25">
      <c r="B1452" s="1619" t="s">
        <v>6941</v>
      </c>
      <c r="C1452" s="1616">
        <f>'[3]Anexo I - Programas'!$C$404</f>
        <v>2012</v>
      </c>
      <c r="D1452" s="1622" t="str">
        <f>'[3]Anexo I - Programas'!$D$404</f>
        <v>Gestão, Coord. e Planejamento de Assistência Social</v>
      </c>
      <c r="E1452" s="1619" t="s">
        <v>6941</v>
      </c>
      <c r="F1452" s="1616">
        <f>C1452</f>
        <v>2012</v>
      </c>
      <c r="G1452" s="1618" t="str">
        <f>D1452</f>
        <v>Gestão, Coord. e Planejamento de Assistência Social</v>
      </c>
      <c r="H1452" s="775" t="s">
        <v>3137</v>
      </c>
      <c r="I1452" s="789" t="str">
        <f>F1450</f>
        <v>12</v>
      </c>
      <c r="J1452" s="762" t="str">
        <f>G1450</f>
        <v>GESTÃO E AÇÕES DE ASSISTENCIA SOCIAL</v>
      </c>
    </row>
    <row r="1453" spans="2:10" x14ac:dyDescent="0.25">
      <c r="B1453" s="1620"/>
      <c r="C1453" s="1621"/>
      <c r="D1453" s="1623"/>
      <c r="E1453" s="1620"/>
      <c r="F1453" s="1621"/>
      <c r="G1453" s="1624"/>
      <c r="H1453" s="776" t="s">
        <v>6941</v>
      </c>
      <c r="I1453" s="790">
        <f>F1452</f>
        <v>2012</v>
      </c>
      <c r="J1453" s="764" t="str">
        <f>G1452</f>
        <v>Gestão, Coord. e Planejamento de Assistência Social</v>
      </c>
    </row>
    <row r="1454" spans="2:10" ht="15.75" thickBot="1" x14ac:dyDescent="0.3">
      <c r="B1454" s="769" t="s">
        <v>6939</v>
      </c>
      <c r="C1454" s="1625">
        <f>'[3]Anexo I - Programas'!$H$405</f>
        <v>5080000</v>
      </c>
      <c r="D1454" s="1626"/>
      <c r="E1454" s="769" t="s">
        <v>6939</v>
      </c>
      <c r="F1454" s="1625">
        <f>'[3]Anexo I - Programas'!$J$405</f>
        <v>1270000</v>
      </c>
      <c r="G1454" s="1627"/>
      <c r="H1454" s="778" t="s">
        <v>6939</v>
      </c>
      <c r="I1454" s="1625">
        <f>DESPORC!I4107</f>
        <v>0.08</v>
      </c>
      <c r="J1454" s="1627"/>
    </row>
  </sheetData>
  <mergeCells count="3524">
    <mergeCell ref="C1073:D1073"/>
    <mergeCell ref="F1073:G1073"/>
    <mergeCell ref="I1073:J1073"/>
    <mergeCell ref="B1066:B1067"/>
    <mergeCell ref="C1066:C1067"/>
    <mergeCell ref="D1066:D1067"/>
    <mergeCell ref="E1066:E1067"/>
    <mergeCell ref="F1066:F1067"/>
    <mergeCell ref="G1066:G1067"/>
    <mergeCell ref="C1068:D1068"/>
    <mergeCell ref="F1068:G1068"/>
    <mergeCell ref="I1068:J1068"/>
    <mergeCell ref="B1069:B1070"/>
    <mergeCell ref="C1069:C1070"/>
    <mergeCell ref="D1069:D1070"/>
    <mergeCell ref="E1069:E1070"/>
    <mergeCell ref="F1069:F1070"/>
    <mergeCell ref="G1069:G1070"/>
    <mergeCell ref="B1071:B1072"/>
    <mergeCell ref="C1071:C1072"/>
    <mergeCell ref="D1071:D1072"/>
    <mergeCell ref="E1071:E1072"/>
    <mergeCell ref="F1071:F1072"/>
    <mergeCell ref="G1071:G1072"/>
    <mergeCell ref="B1059:B1060"/>
    <mergeCell ref="C1059:C1060"/>
    <mergeCell ref="D1059:D1060"/>
    <mergeCell ref="E1059:E1060"/>
    <mergeCell ref="F1059:F1060"/>
    <mergeCell ref="G1059:G1060"/>
    <mergeCell ref="B1061:B1062"/>
    <mergeCell ref="C1061:C1062"/>
    <mergeCell ref="D1061:D1062"/>
    <mergeCell ref="E1061:E1062"/>
    <mergeCell ref="F1061:F1062"/>
    <mergeCell ref="G1061:G1062"/>
    <mergeCell ref="C1063:D1063"/>
    <mergeCell ref="F1063:G1063"/>
    <mergeCell ref="I1063:J1063"/>
    <mergeCell ref="B1064:B1065"/>
    <mergeCell ref="C1064:C1065"/>
    <mergeCell ref="D1064:D1065"/>
    <mergeCell ref="E1064:E1065"/>
    <mergeCell ref="F1064:F1065"/>
    <mergeCell ref="G1064:G1065"/>
    <mergeCell ref="C1053:D1053"/>
    <mergeCell ref="F1053:G1053"/>
    <mergeCell ref="I1053:J1053"/>
    <mergeCell ref="B1054:B1055"/>
    <mergeCell ref="C1054:C1055"/>
    <mergeCell ref="D1054:D1055"/>
    <mergeCell ref="E1054:E1055"/>
    <mergeCell ref="F1054:F1055"/>
    <mergeCell ref="G1054:G1055"/>
    <mergeCell ref="B1056:B1057"/>
    <mergeCell ref="C1056:C1057"/>
    <mergeCell ref="D1056:D1057"/>
    <mergeCell ref="E1056:E1057"/>
    <mergeCell ref="F1056:F1057"/>
    <mergeCell ref="G1056:G1057"/>
    <mergeCell ref="C1058:D1058"/>
    <mergeCell ref="F1058:G1058"/>
    <mergeCell ref="I1058:J1058"/>
    <mergeCell ref="B1046:B1047"/>
    <mergeCell ref="C1046:C1047"/>
    <mergeCell ref="D1046:D1047"/>
    <mergeCell ref="E1046:E1047"/>
    <mergeCell ref="F1046:F1047"/>
    <mergeCell ref="G1046:G1047"/>
    <mergeCell ref="C1048:D1048"/>
    <mergeCell ref="F1048:G1048"/>
    <mergeCell ref="I1048:J1048"/>
    <mergeCell ref="B1049:B1050"/>
    <mergeCell ref="C1049:C1050"/>
    <mergeCell ref="D1049:D1050"/>
    <mergeCell ref="E1049:E1050"/>
    <mergeCell ref="F1049:F1050"/>
    <mergeCell ref="G1049:G1050"/>
    <mergeCell ref="B1051:B1052"/>
    <mergeCell ref="C1051:C1052"/>
    <mergeCell ref="D1051:D1052"/>
    <mergeCell ref="E1051:E1052"/>
    <mergeCell ref="F1051:F1052"/>
    <mergeCell ref="G1051:G1052"/>
    <mergeCell ref="B1039:B1040"/>
    <mergeCell ref="C1039:C1040"/>
    <mergeCell ref="D1039:D1040"/>
    <mergeCell ref="E1039:E1040"/>
    <mergeCell ref="F1039:F1040"/>
    <mergeCell ref="G1039:G1040"/>
    <mergeCell ref="B1041:B1042"/>
    <mergeCell ref="C1041:C1042"/>
    <mergeCell ref="D1041:D1042"/>
    <mergeCell ref="E1041:E1042"/>
    <mergeCell ref="F1041:F1042"/>
    <mergeCell ref="G1041:G1042"/>
    <mergeCell ref="C1043:D1043"/>
    <mergeCell ref="F1043:G1043"/>
    <mergeCell ref="I1043:J1043"/>
    <mergeCell ref="B1044:B1045"/>
    <mergeCell ref="C1044:C1045"/>
    <mergeCell ref="D1044:D1045"/>
    <mergeCell ref="E1044:E1045"/>
    <mergeCell ref="F1044:F1045"/>
    <mergeCell ref="G1044:G1045"/>
    <mergeCell ref="C1028:D1028"/>
    <mergeCell ref="F1028:G1028"/>
    <mergeCell ref="I1028:J1028"/>
    <mergeCell ref="B1029:B1030"/>
    <mergeCell ref="C1029:C1030"/>
    <mergeCell ref="D1029:D1030"/>
    <mergeCell ref="E1029:E1030"/>
    <mergeCell ref="F1029:F1030"/>
    <mergeCell ref="G1029:G1030"/>
    <mergeCell ref="B1031:B1032"/>
    <mergeCell ref="C1031:C1032"/>
    <mergeCell ref="D1031:D1032"/>
    <mergeCell ref="E1031:E1032"/>
    <mergeCell ref="F1031:F1032"/>
    <mergeCell ref="G1031:G1032"/>
    <mergeCell ref="C1033:D1033"/>
    <mergeCell ref="F1033:G1033"/>
    <mergeCell ref="I1033:J1033"/>
    <mergeCell ref="B1021:B1022"/>
    <mergeCell ref="C1021:C1022"/>
    <mergeCell ref="D1021:D1022"/>
    <mergeCell ref="E1021:E1022"/>
    <mergeCell ref="F1021:F1022"/>
    <mergeCell ref="G1021:G1022"/>
    <mergeCell ref="C1023:D1023"/>
    <mergeCell ref="F1023:G1023"/>
    <mergeCell ref="I1023:J1023"/>
    <mergeCell ref="B1024:B1025"/>
    <mergeCell ref="C1024:C1025"/>
    <mergeCell ref="D1024:D1025"/>
    <mergeCell ref="E1024:E1025"/>
    <mergeCell ref="F1024:F1025"/>
    <mergeCell ref="G1024:G1025"/>
    <mergeCell ref="B1026:B1027"/>
    <mergeCell ref="C1026:C1027"/>
    <mergeCell ref="D1026:D1027"/>
    <mergeCell ref="E1026:E1027"/>
    <mergeCell ref="F1026:F1027"/>
    <mergeCell ref="G1026:G1027"/>
    <mergeCell ref="B1014:B1015"/>
    <mergeCell ref="C1014:C1015"/>
    <mergeCell ref="D1014:D1015"/>
    <mergeCell ref="E1014:E1015"/>
    <mergeCell ref="F1014:F1015"/>
    <mergeCell ref="G1014:G1015"/>
    <mergeCell ref="B1016:B1017"/>
    <mergeCell ref="C1016:C1017"/>
    <mergeCell ref="D1016:D1017"/>
    <mergeCell ref="E1016:E1017"/>
    <mergeCell ref="F1016:F1017"/>
    <mergeCell ref="G1016:G1017"/>
    <mergeCell ref="C1018:D1018"/>
    <mergeCell ref="F1018:G1018"/>
    <mergeCell ref="I1018:J1018"/>
    <mergeCell ref="B1019:B1020"/>
    <mergeCell ref="C1019:C1020"/>
    <mergeCell ref="D1019:D1020"/>
    <mergeCell ref="E1019:E1020"/>
    <mergeCell ref="F1019:F1020"/>
    <mergeCell ref="G1019:G1020"/>
    <mergeCell ref="C1008:D1008"/>
    <mergeCell ref="F1008:G1008"/>
    <mergeCell ref="I1008:J1008"/>
    <mergeCell ref="B1009:B1010"/>
    <mergeCell ref="C1009:C1010"/>
    <mergeCell ref="D1009:D1010"/>
    <mergeCell ref="E1009:E1010"/>
    <mergeCell ref="F1009:F1010"/>
    <mergeCell ref="G1009:G1010"/>
    <mergeCell ref="B1011:B1012"/>
    <mergeCell ref="C1011:C1012"/>
    <mergeCell ref="D1011:D1012"/>
    <mergeCell ref="E1011:E1012"/>
    <mergeCell ref="F1011:F1012"/>
    <mergeCell ref="G1011:G1012"/>
    <mergeCell ref="C1013:D1013"/>
    <mergeCell ref="F1013:G1013"/>
    <mergeCell ref="I1013:J1013"/>
    <mergeCell ref="C983:D983"/>
    <mergeCell ref="F983:G983"/>
    <mergeCell ref="I983:J983"/>
    <mergeCell ref="B1001:C1001"/>
    <mergeCell ref="B1002:C1002"/>
    <mergeCell ref="B1003:D1003"/>
    <mergeCell ref="E1003:G1003"/>
    <mergeCell ref="H1003:J1003"/>
    <mergeCell ref="B1004:B1005"/>
    <mergeCell ref="C1004:C1005"/>
    <mergeCell ref="D1004:D1005"/>
    <mergeCell ref="E1004:E1005"/>
    <mergeCell ref="F1004:F1005"/>
    <mergeCell ref="G1004:G1005"/>
    <mergeCell ref="B1006:B1007"/>
    <mergeCell ref="C1006:C1007"/>
    <mergeCell ref="D1006:D1007"/>
    <mergeCell ref="E1006:E1007"/>
    <mergeCell ref="F1006:F1007"/>
    <mergeCell ref="G1006:G1007"/>
    <mergeCell ref="B976:B977"/>
    <mergeCell ref="C976:C977"/>
    <mergeCell ref="D976:D977"/>
    <mergeCell ref="E976:E977"/>
    <mergeCell ref="F976:F977"/>
    <mergeCell ref="G976:G977"/>
    <mergeCell ref="C978:D978"/>
    <mergeCell ref="F978:G978"/>
    <mergeCell ref="I978:J978"/>
    <mergeCell ref="B979:B980"/>
    <mergeCell ref="C979:C980"/>
    <mergeCell ref="D979:D980"/>
    <mergeCell ref="E979:E980"/>
    <mergeCell ref="F979:F980"/>
    <mergeCell ref="G979:G980"/>
    <mergeCell ref="B981:B982"/>
    <mergeCell ref="C981:C982"/>
    <mergeCell ref="D981:D982"/>
    <mergeCell ref="E981:E982"/>
    <mergeCell ref="F981:F982"/>
    <mergeCell ref="G981:G982"/>
    <mergeCell ref="B969:B970"/>
    <mergeCell ref="C969:C970"/>
    <mergeCell ref="D969:D970"/>
    <mergeCell ref="E969:E970"/>
    <mergeCell ref="F969:F970"/>
    <mergeCell ref="G969:G970"/>
    <mergeCell ref="B971:B972"/>
    <mergeCell ref="C971:C972"/>
    <mergeCell ref="D971:D972"/>
    <mergeCell ref="E971:E972"/>
    <mergeCell ref="F971:F972"/>
    <mergeCell ref="G971:G972"/>
    <mergeCell ref="C973:D973"/>
    <mergeCell ref="F973:G973"/>
    <mergeCell ref="I973:J973"/>
    <mergeCell ref="B974:B975"/>
    <mergeCell ref="C974:C975"/>
    <mergeCell ref="D974:D975"/>
    <mergeCell ref="E974:E975"/>
    <mergeCell ref="F974:F975"/>
    <mergeCell ref="G974:G975"/>
    <mergeCell ref="C963:D963"/>
    <mergeCell ref="F963:G963"/>
    <mergeCell ref="I963:J963"/>
    <mergeCell ref="B964:B965"/>
    <mergeCell ref="C964:C965"/>
    <mergeCell ref="D964:D965"/>
    <mergeCell ref="E964:E965"/>
    <mergeCell ref="F964:F965"/>
    <mergeCell ref="G964:G965"/>
    <mergeCell ref="B966:B967"/>
    <mergeCell ref="C966:C967"/>
    <mergeCell ref="D966:D967"/>
    <mergeCell ref="E966:E967"/>
    <mergeCell ref="F966:F967"/>
    <mergeCell ref="G966:G967"/>
    <mergeCell ref="C968:D968"/>
    <mergeCell ref="F968:G968"/>
    <mergeCell ref="I968:J968"/>
    <mergeCell ref="B955:B956"/>
    <mergeCell ref="C955:C956"/>
    <mergeCell ref="D955:D956"/>
    <mergeCell ref="E955:E956"/>
    <mergeCell ref="F955:F956"/>
    <mergeCell ref="G955:G956"/>
    <mergeCell ref="C957:D957"/>
    <mergeCell ref="F957:G957"/>
    <mergeCell ref="I957:J957"/>
    <mergeCell ref="B959:B960"/>
    <mergeCell ref="C959:C960"/>
    <mergeCell ref="D959:D960"/>
    <mergeCell ref="E959:E960"/>
    <mergeCell ref="F959:F960"/>
    <mergeCell ref="G959:G960"/>
    <mergeCell ref="B961:B962"/>
    <mergeCell ref="C961:C962"/>
    <mergeCell ref="D961:D962"/>
    <mergeCell ref="E961:E962"/>
    <mergeCell ref="F961:F962"/>
    <mergeCell ref="G961:G962"/>
    <mergeCell ref="B948:B949"/>
    <mergeCell ref="C948:C949"/>
    <mergeCell ref="D948:D949"/>
    <mergeCell ref="E948:E949"/>
    <mergeCell ref="F948:F949"/>
    <mergeCell ref="G948:G949"/>
    <mergeCell ref="B950:B951"/>
    <mergeCell ref="C950:C951"/>
    <mergeCell ref="D950:D951"/>
    <mergeCell ref="E950:E951"/>
    <mergeCell ref="F950:F951"/>
    <mergeCell ref="G950:G951"/>
    <mergeCell ref="C952:D952"/>
    <mergeCell ref="F952:G952"/>
    <mergeCell ref="I952:J952"/>
    <mergeCell ref="B953:B954"/>
    <mergeCell ref="C953:C954"/>
    <mergeCell ref="D953:D954"/>
    <mergeCell ref="E953:E954"/>
    <mergeCell ref="F953:F954"/>
    <mergeCell ref="G953:G954"/>
    <mergeCell ref="C942:D942"/>
    <mergeCell ref="F942:G942"/>
    <mergeCell ref="I942:J942"/>
    <mergeCell ref="B943:B944"/>
    <mergeCell ref="C943:C944"/>
    <mergeCell ref="D943:D944"/>
    <mergeCell ref="E943:E944"/>
    <mergeCell ref="F943:F944"/>
    <mergeCell ref="G943:G944"/>
    <mergeCell ref="B945:B946"/>
    <mergeCell ref="C945:C946"/>
    <mergeCell ref="D945:D946"/>
    <mergeCell ref="E945:E946"/>
    <mergeCell ref="F945:F946"/>
    <mergeCell ref="G945:G946"/>
    <mergeCell ref="C947:D947"/>
    <mergeCell ref="F947:G947"/>
    <mergeCell ref="I947:J947"/>
    <mergeCell ref="C933:D933"/>
    <mergeCell ref="F933:G933"/>
    <mergeCell ref="I933:J933"/>
    <mergeCell ref="B935:C935"/>
    <mergeCell ref="B936:C936"/>
    <mergeCell ref="B937:D937"/>
    <mergeCell ref="E937:G937"/>
    <mergeCell ref="H937:J937"/>
    <mergeCell ref="B938:B939"/>
    <mergeCell ref="C938:C939"/>
    <mergeCell ref="D938:D939"/>
    <mergeCell ref="E938:E939"/>
    <mergeCell ref="F938:F939"/>
    <mergeCell ref="G938:G939"/>
    <mergeCell ref="B940:B941"/>
    <mergeCell ref="C940:C941"/>
    <mergeCell ref="D940:D941"/>
    <mergeCell ref="E940:E941"/>
    <mergeCell ref="F940:F941"/>
    <mergeCell ref="G940:G941"/>
    <mergeCell ref="B926:B927"/>
    <mergeCell ref="C926:C927"/>
    <mergeCell ref="D926:D927"/>
    <mergeCell ref="E926:E927"/>
    <mergeCell ref="F926:F927"/>
    <mergeCell ref="G926:G927"/>
    <mergeCell ref="C928:D928"/>
    <mergeCell ref="F928:G928"/>
    <mergeCell ref="I928:J928"/>
    <mergeCell ref="B929:B930"/>
    <mergeCell ref="C929:C930"/>
    <mergeCell ref="D929:D930"/>
    <mergeCell ref="E929:E930"/>
    <mergeCell ref="F929:F930"/>
    <mergeCell ref="G929:G930"/>
    <mergeCell ref="B931:B932"/>
    <mergeCell ref="C931:C932"/>
    <mergeCell ref="D931:D932"/>
    <mergeCell ref="E931:E932"/>
    <mergeCell ref="F931:F932"/>
    <mergeCell ref="G931:G932"/>
    <mergeCell ref="B911:B912"/>
    <mergeCell ref="C911:C912"/>
    <mergeCell ref="D911:D912"/>
    <mergeCell ref="E911:E912"/>
    <mergeCell ref="F911:F912"/>
    <mergeCell ref="G911:G912"/>
    <mergeCell ref="C913:D913"/>
    <mergeCell ref="F913:G913"/>
    <mergeCell ref="I913:J913"/>
    <mergeCell ref="B921:C921"/>
    <mergeCell ref="B922:C922"/>
    <mergeCell ref="B923:D923"/>
    <mergeCell ref="E923:G923"/>
    <mergeCell ref="H923:J923"/>
    <mergeCell ref="B924:B925"/>
    <mergeCell ref="C924:C925"/>
    <mergeCell ref="D924:D925"/>
    <mergeCell ref="E924:E925"/>
    <mergeCell ref="F924:F925"/>
    <mergeCell ref="G924:G925"/>
    <mergeCell ref="B904:B905"/>
    <mergeCell ref="C904:C905"/>
    <mergeCell ref="D904:D905"/>
    <mergeCell ref="E904:E905"/>
    <mergeCell ref="F904:F905"/>
    <mergeCell ref="G904:G905"/>
    <mergeCell ref="B906:B907"/>
    <mergeCell ref="C906:C907"/>
    <mergeCell ref="D906:D907"/>
    <mergeCell ref="E906:E907"/>
    <mergeCell ref="F906:F907"/>
    <mergeCell ref="G906:G907"/>
    <mergeCell ref="C908:D908"/>
    <mergeCell ref="F908:G908"/>
    <mergeCell ref="I908:J908"/>
    <mergeCell ref="B909:B910"/>
    <mergeCell ref="C909:C910"/>
    <mergeCell ref="D909:D910"/>
    <mergeCell ref="E909:E910"/>
    <mergeCell ref="F909:F910"/>
    <mergeCell ref="G909:G910"/>
    <mergeCell ref="C898:D898"/>
    <mergeCell ref="F898:G898"/>
    <mergeCell ref="I898:J898"/>
    <mergeCell ref="B899:B900"/>
    <mergeCell ref="C899:C900"/>
    <mergeCell ref="D899:D900"/>
    <mergeCell ref="E899:E900"/>
    <mergeCell ref="F899:F900"/>
    <mergeCell ref="G899:G900"/>
    <mergeCell ref="B901:B902"/>
    <mergeCell ref="C901:C902"/>
    <mergeCell ref="D901:D902"/>
    <mergeCell ref="E901:E902"/>
    <mergeCell ref="F901:F902"/>
    <mergeCell ref="G901:G902"/>
    <mergeCell ref="C903:D903"/>
    <mergeCell ref="F903:G903"/>
    <mergeCell ref="I903:J903"/>
    <mergeCell ref="B891:C891"/>
    <mergeCell ref="B892:C892"/>
    <mergeCell ref="B893:D893"/>
    <mergeCell ref="E893:G893"/>
    <mergeCell ref="H893:J893"/>
    <mergeCell ref="B894:B895"/>
    <mergeCell ref="C894:C895"/>
    <mergeCell ref="D894:D895"/>
    <mergeCell ref="E894:E895"/>
    <mergeCell ref="F894:F895"/>
    <mergeCell ref="G894:G895"/>
    <mergeCell ref="B896:B897"/>
    <mergeCell ref="C896:C897"/>
    <mergeCell ref="D896:D897"/>
    <mergeCell ref="E896:E897"/>
    <mergeCell ref="F896:F897"/>
    <mergeCell ref="G896:G897"/>
    <mergeCell ref="C884:D884"/>
    <mergeCell ref="F884:G884"/>
    <mergeCell ref="I884:J884"/>
    <mergeCell ref="B885:B886"/>
    <mergeCell ref="C885:C886"/>
    <mergeCell ref="D885:D886"/>
    <mergeCell ref="E885:E886"/>
    <mergeCell ref="F885:F886"/>
    <mergeCell ref="G885:G886"/>
    <mergeCell ref="B887:B888"/>
    <mergeCell ref="C887:C888"/>
    <mergeCell ref="D887:D888"/>
    <mergeCell ref="E887:E888"/>
    <mergeCell ref="F887:F888"/>
    <mergeCell ref="G887:G888"/>
    <mergeCell ref="C889:D889"/>
    <mergeCell ref="F889:G889"/>
    <mergeCell ref="I889:J889"/>
    <mergeCell ref="B877:B878"/>
    <mergeCell ref="C877:C878"/>
    <mergeCell ref="D877:D878"/>
    <mergeCell ref="E877:E878"/>
    <mergeCell ref="F877:F878"/>
    <mergeCell ref="G877:G878"/>
    <mergeCell ref="C879:D879"/>
    <mergeCell ref="F879:G879"/>
    <mergeCell ref="I879:J879"/>
    <mergeCell ref="B880:B881"/>
    <mergeCell ref="C880:C881"/>
    <mergeCell ref="D880:D881"/>
    <mergeCell ref="E880:E881"/>
    <mergeCell ref="F880:F881"/>
    <mergeCell ref="G880:G881"/>
    <mergeCell ref="B882:B883"/>
    <mergeCell ref="C882:C883"/>
    <mergeCell ref="D882:D883"/>
    <mergeCell ref="E882:E883"/>
    <mergeCell ref="F882:F883"/>
    <mergeCell ref="G882:G883"/>
    <mergeCell ref="B866:B867"/>
    <mergeCell ref="C866:C867"/>
    <mergeCell ref="D866:D867"/>
    <mergeCell ref="E866:E867"/>
    <mergeCell ref="F866:F867"/>
    <mergeCell ref="G866:G867"/>
    <mergeCell ref="B868:B869"/>
    <mergeCell ref="C868:C869"/>
    <mergeCell ref="D868:D869"/>
    <mergeCell ref="E868:E869"/>
    <mergeCell ref="F868:F869"/>
    <mergeCell ref="G868:G869"/>
    <mergeCell ref="C870:D870"/>
    <mergeCell ref="F870:G870"/>
    <mergeCell ref="I870:J870"/>
    <mergeCell ref="B875:B876"/>
    <mergeCell ref="C875:C876"/>
    <mergeCell ref="D875:D876"/>
    <mergeCell ref="E875:E876"/>
    <mergeCell ref="F875:F876"/>
    <mergeCell ref="G875:G876"/>
    <mergeCell ref="C860:D860"/>
    <mergeCell ref="F860:G860"/>
    <mergeCell ref="I860:J860"/>
    <mergeCell ref="B861:B862"/>
    <mergeCell ref="C861:C862"/>
    <mergeCell ref="D861:D862"/>
    <mergeCell ref="E861:E862"/>
    <mergeCell ref="F861:F862"/>
    <mergeCell ref="G861:G862"/>
    <mergeCell ref="B863:B864"/>
    <mergeCell ref="C863:C864"/>
    <mergeCell ref="D863:D864"/>
    <mergeCell ref="E863:E864"/>
    <mergeCell ref="F863:F864"/>
    <mergeCell ref="G863:G864"/>
    <mergeCell ref="C865:D865"/>
    <mergeCell ref="F865:G865"/>
    <mergeCell ref="I865:J865"/>
    <mergeCell ref="B853:B854"/>
    <mergeCell ref="C853:C854"/>
    <mergeCell ref="D853:D854"/>
    <mergeCell ref="E853:E854"/>
    <mergeCell ref="F853:F854"/>
    <mergeCell ref="G853:G854"/>
    <mergeCell ref="C855:D855"/>
    <mergeCell ref="F855:G855"/>
    <mergeCell ref="I855:J855"/>
    <mergeCell ref="B856:B857"/>
    <mergeCell ref="C856:C857"/>
    <mergeCell ref="D856:D857"/>
    <mergeCell ref="E856:E857"/>
    <mergeCell ref="F856:F857"/>
    <mergeCell ref="G856:G857"/>
    <mergeCell ref="B858:B859"/>
    <mergeCell ref="C858:C859"/>
    <mergeCell ref="D858:D859"/>
    <mergeCell ref="E858:E859"/>
    <mergeCell ref="F858:F859"/>
    <mergeCell ref="G858:G859"/>
    <mergeCell ref="B844:B845"/>
    <mergeCell ref="C844:C845"/>
    <mergeCell ref="D844:D845"/>
    <mergeCell ref="E844:E845"/>
    <mergeCell ref="F844:F845"/>
    <mergeCell ref="G844:G845"/>
    <mergeCell ref="C846:D846"/>
    <mergeCell ref="F846:G846"/>
    <mergeCell ref="I846:J846"/>
    <mergeCell ref="B848:C848"/>
    <mergeCell ref="B849:C849"/>
    <mergeCell ref="B850:D850"/>
    <mergeCell ref="E850:G850"/>
    <mergeCell ref="H850:J850"/>
    <mergeCell ref="B851:B852"/>
    <mergeCell ref="C851:C852"/>
    <mergeCell ref="D851:D852"/>
    <mergeCell ref="E851:E852"/>
    <mergeCell ref="F851:F852"/>
    <mergeCell ref="G851:G852"/>
    <mergeCell ref="B837:B838"/>
    <mergeCell ref="C837:C838"/>
    <mergeCell ref="D837:D838"/>
    <mergeCell ref="E837:E838"/>
    <mergeCell ref="F837:F838"/>
    <mergeCell ref="G837:G838"/>
    <mergeCell ref="B839:B840"/>
    <mergeCell ref="C839:C840"/>
    <mergeCell ref="D839:D840"/>
    <mergeCell ref="E839:E840"/>
    <mergeCell ref="F839:F840"/>
    <mergeCell ref="G839:G840"/>
    <mergeCell ref="C841:D841"/>
    <mergeCell ref="F841:G841"/>
    <mergeCell ref="I841:J841"/>
    <mergeCell ref="B842:B843"/>
    <mergeCell ref="C842:C843"/>
    <mergeCell ref="D842:D843"/>
    <mergeCell ref="E842:E843"/>
    <mergeCell ref="F842:F843"/>
    <mergeCell ref="G842:G843"/>
    <mergeCell ref="B831:D831"/>
    <mergeCell ref="E831:G831"/>
    <mergeCell ref="H831:J831"/>
    <mergeCell ref="B832:B833"/>
    <mergeCell ref="C832:C833"/>
    <mergeCell ref="D832:D833"/>
    <mergeCell ref="E832:E833"/>
    <mergeCell ref="F832:F833"/>
    <mergeCell ref="G832:G833"/>
    <mergeCell ref="B834:B835"/>
    <mergeCell ref="C834:C835"/>
    <mergeCell ref="D834:D835"/>
    <mergeCell ref="E834:E835"/>
    <mergeCell ref="F834:F835"/>
    <mergeCell ref="G834:G835"/>
    <mergeCell ref="C836:D836"/>
    <mergeCell ref="F836:G836"/>
    <mergeCell ref="I836:J836"/>
    <mergeCell ref="B814:B815"/>
    <mergeCell ref="C814:C815"/>
    <mergeCell ref="D814:D815"/>
    <mergeCell ref="E814:E815"/>
    <mergeCell ref="F814:F815"/>
    <mergeCell ref="G814:G815"/>
    <mergeCell ref="B816:B817"/>
    <mergeCell ref="C816:C817"/>
    <mergeCell ref="D816:D817"/>
    <mergeCell ref="E816:E817"/>
    <mergeCell ref="F816:F817"/>
    <mergeCell ref="G816:G817"/>
    <mergeCell ref="C818:D818"/>
    <mergeCell ref="F818:G818"/>
    <mergeCell ref="I818:J818"/>
    <mergeCell ref="B829:C829"/>
    <mergeCell ref="B830:C830"/>
    <mergeCell ref="C808:D808"/>
    <mergeCell ref="F808:G808"/>
    <mergeCell ref="I808:J808"/>
    <mergeCell ref="B809:B810"/>
    <mergeCell ref="C809:C810"/>
    <mergeCell ref="D809:D810"/>
    <mergeCell ref="E809:E810"/>
    <mergeCell ref="F809:F810"/>
    <mergeCell ref="G809:G810"/>
    <mergeCell ref="B811:B812"/>
    <mergeCell ref="C811:C812"/>
    <mergeCell ref="D811:D812"/>
    <mergeCell ref="E811:E812"/>
    <mergeCell ref="F811:F812"/>
    <mergeCell ref="G811:G812"/>
    <mergeCell ref="C813:D813"/>
    <mergeCell ref="F813:G813"/>
    <mergeCell ref="I813:J813"/>
    <mergeCell ref="B801:B802"/>
    <mergeCell ref="C801:C802"/>
    <mergeCell ref="D801:D802"/>
    <mergeCell ref="E801:E802"/>
    <mergeCell ref="F801:F802"/>
    <mergeCell ref="G801:G802"/>
    <mergeCell ref="C803:D803"/>
    <mergeCell ref="F803:G803"/>
    <mergeCell ref="I803:J803"/>
    <mergeCell ref="B804:B805"/>
    <mergeCell ref="C804:C805"/>
    <mergeCell ref="D804:D805"/>
    <mergeCell ref="E804:E805"/>
    <mergeCell ref="F804:F805"/>
    <mergeCell ref="G804:G805"/>
    <mergeCell ref="B806:B807"/>
    <mergeCell ref="C806:C807"/>
    <mergeCell ref="D806:D807"/>
    <mergeCell ref="E806:E807"/>
    <mergeCell ref="F806:F807"/>
    <mergeCell ref="G806:G807"/>
    <mergeCell ref="B794:B795"/>
    <mergeCell ref="C794:C795"/>
    <mergeCell ref="D794:D795"/>
    <mergeCell ref="E794:E795"/>
    <mergeCell ref="F794:F795"/>
    <mergeCell ref="G794:G795"/>
    <mergeCell ref="B796:B797"/>
    <mergeCell ref="C796:C797"/>
    <mergeCell ref="D796:D797"/>
    <mergeCell ref="E796:E797"/>
    <mergeCell ref="F796:F797"/>
    <mergeCell ref="G796:G797"/>
    <mergeCell ref="C798:D798"/>
    <mergeCell ref="F798:G798"/>
    <mergeCell ref="I798:J798"/>
    <mergeCell ref="B799:B800"/>
    <mergeCell ref="C799:C800"/>
    <mergeCell ref="D799:D800"/>
    <mergeCell ref="E799:E800"/>
    <mergeCell ref="F799:F800"/>
    <mergeCell ref="G799:G800"/>
    <mergeCell ref="B788:D788"/>
    <mergeCell ref="E788:G788"/>
    <mergeCell ref="H788:J788"/>
    <mergeCell ref="B789:B790"/>
    <mergeCell ref="C789:C790"/>
    <mergeCell ref="D789:D790"/>
    <mergeCell ref="E789:E790"/>
    <mergeCell ref="F789:F790"/>
    <mergeCell ref="G789:G790"/>
    <mergeCell ref="B791:B792"/>
    <mergeCell ref="C791:C792"/>
    <mergeCell ref="D791:D792"/>
    <mergeCell ref="E791:E792"/>
    <mergeCell ref="F791:F792"/>
    <mergeCell ref="G791:G792"/>
    <mergeCell ref="C793:D793"/>
    <mergeCell ref="F793:G793"/>
    <mergeCell ref="I793:J793"/>
    <mergeCell ref="B769:B770"/>
    <mergeCell ref="C769:C770"/>
    <mergeCell ref="D769:D770"/>
    <mergeCell ref="E769:E770"/>
    <mergeCell ref="F769:F770"/>
    <mergeCell ref="G769:G770"/>
    <mergeCell ref="B771:B772"/>
    <mergeCell ref="C771:C772"/>
    <mergeCell ref="D771:D772"/>
    <mergeCell ref="E771:E772"/>
    <mergeCell ref="F771:F772"/>
    <mergeCell ref="G771:G772"/>
    <mergeCell ref="C773:D773"/>
    <mergeCell ref="F773:G773"/>
    <mergeCell ref="I773:J773"/>
    <mergeCell ref="B786:C786"/>
    <mergeCell ref="B787:C787"/>
    <mergeCell ref="C763:D763"/>
    <mergeCell ref="F763:G763"/>
    <mergeCell ref="I763:J763"/>
    <mergeCell ref="B764:B765"/>
    <mergeCell ref="C764:C765"/>
    <mergeCell ref="D764:D765"/>
    <mergeCell ref="E764:E765"/>
    <mergeCell ref="F764:F765"/>
    <mergeCell ref="G764:G765"/>
    <mergeCell ref="B766:B767"/>
    <mergeCell ref="C766:C767"/>
    <mergeCell ref="D766:D767"/>
    <mergeCell ref="E766:E767"/>
    <mergeCell ref="F766:F767"/>
    <mergeCell ref="G766:G767"/>
    <mergeCell ref="C768:D768"/>
    <mergeCell ref="F768:G768"/>
    <mergeCell ref="I768:J768"/>
    <mergeCell ref="B756:B757"/>
    <mergeCell ref="C756:C757"/>
    <mergeCell ref="D756:D757"/>
    <mergeCell ref="E756:E757"/>
    <mergeCell ref="F756:F757"/>
    <mergeCell ref="G756:G757"/>
    <mergeCell ref="C758:D758"/>
    <mergeCell ref="F758:G758"/>
    <mergeCell ref="I758:J758"/>
    <mergeCell ref="B759:B760"/>
    <mergeCell ref="C759:C760"/>
    <mergeCell ref="D759:D760"/>
    <mergeCell ref="E759:E760"/>
    <mergeCell ref="F759:F760"/>
    <mergeCell ref="G759:G760"/>
    <mergeCell ref="B761:B762"/>
    <mergeCell ref="C761:C762"/>
    <mergeCell ref="D761:D762"/>
    <mergeCell ref="E761:E762"/>
    <mergeCell ref="F761:F762"/>
    <mergeCell ref="G761:G762"/>
    <mergeCell ref="B749:B750"/>
    <mergeCell ref="C749:C750"/>
    <mergeCell ref="D749:D750"/>
    <mergeCell ref="E749:E750"/>
    <mergeCell ref="F749:F750"/>
    <mergeCell ref="G749:G750"/>
    <mergeCell ref="B751:B752"/>
    <mergeCell ref="C751:C752"/>
    <mergeCell ref="D751:D752"/>
    <mergeCell ref="E751:E752"/>
    <mergeCell ref="F751:F752"/>
    <mergeCell ref="G751:G752"/>
    <mergeCell ref="C753:D753"/>
    <mergeCell ref="F753:G753"/>
    <mergeCell ref="I753:J753"/>
    <mergeCell ref="B754:B755"/>
    <mergeCell ref="C754:C755"/>
    <mergeCell ref="D754:D755"/>
    <mergeCell ref="E754:E755"/>
    <mergeCell ref="F754:F755"/>
    <mergeCell ref="G754:G755"/>
    <mergeCell ref="B743:D743"/>
    <mergeCell ref="E743:G743"/>
    <mergeCell ref="H743:J743"/>
    <mergeCell ref="B744:B745"/>
    <mergeCell ref="C744:C745"/>
    <mergeCell ref="D744:D745"/>
    <mergeCell ref="E744:E745"/>
    <mergeCell ref="F744:F745"/>
    <mergeCell ref="G744:G745"/>
    <mergeCell ref="B746:B747"/>
    <mergeCell ref="C746:C747"/>
    <mergeCell ref="D746:D747"/>
    <mergeCell ref="E746:E747"/>
    <mergeCell ref="F746:F747"/>
    <mergeCell ref="G746:G747"/>
    <mergeCell ref="C748:D748"/>
    <mergeCell ref="F748:G748"/>
    <mergeCell ref="I748:J748"/>
    <mergeCell ref="B724:B725"/>
    <mergeCell ref="C724:C725"/>
    <mergeCell ref="D724:D725"/>
    <mergeCell ref="E724:E725"/>
    <mergeCell ref="F724:F725"/>
    <mergeCell ref="G724:G725"/>
    <mergeCell ref="B726:B727"/>
    <mergeCell ref="C726:C727"/>
    <mergeCell ref="D726:D727"/>
    <mergeCell ref="E726:E727"/>
    <mergeCell ref="F726:F727"/>
    <mergeCell ref="G726:G727"/>
    <mergeCell ref="C728:D728"/>
    <mergeCell ref="F728:G728"/>
    <mergeCell ref="I728:J728"/>
    <mergeCell ref="B741:C741"/>
    <mergeCell ref="B742:C742"/>
    <mergeCell ref="C718:D718"/>
    <mergeCell ref="F718:G718"/>
    <mergeCell ref="I718:J718"/>
    <mergeCell ref="B719:B720"/>
    <mergeCell ref="C719:C720"/>
    <mergeCell ref="D719:D720"/>
    <mergeCell ref="E719:E720"/>
    <mergeCell ref="F719:F720"/>
    <mergeCell ref="G719:G720"/>
    <mergeCell ref="B721:B722"/>
    <mergeCell ref="C721:C722"/>
    <mergeCell ref="D721:D722"/>
    <mergeCell ref="E721:E722"/>
    <mergeCell ref="F721:F722"/>
    <mergeCell ref="G721:G722"/>
    <mergeCell ref="C723:D723"/>
    <mergeCell ref="F723:G723"/>
    <mergeCell ref="I723:J723"/>
    <mergeCell ref="B711:B712"/>
    <mergeCell ref="C711:C712"/>
    <mergeCell ref="D711:D712"/>
    <mergeCell ref="E711:E712"/>
    <mergeCell ref="F711:F712"/>
    <mergeCell ref="G711:G712"/>
    <mergeCell ref="C713:D713"/>
    <mergeCell ref="F713:G713"/>
    <mergeCell ref="I713:J713"/>
    <mergeCell ref="B714:B715"/>
    <mergeCell ref="C714:C715"/>
    <mergeCell ref="D714:D715"/>
    <mergeCell ref="E714:E715"/>
    <mergeCell ref="F714:F715"/>
    <mergeCell ref="G714:G715"/>
    <mergeCell ref="B716:B717"/>
    <mergeCell ref="C716:C717"/>
    <mergeCell ref="D716:D717"/>
    <mergeCell ref="E716:E717"/>
    <mergeCell ref="F716:F717"/>
    <mergeCell ref="G716:G717"/>
    <mergeCell ref="B704:B705"/>
    <mergeCell ref="C704:C705"/>
    <mergeCell ref="D704:D705"/>
    <mergeCell ref="E704:E705"/>
    <mergeCell ref="F704:F705"/>
    <mergeCell ref="G704:G705"/>
    <mergeCell ref="B706:B707"/>
    <mergeCell ref="C706:C707"/>
    <mergeCell ref="D706:D707"/>
    <mergeCell ref="E706:E707"/>
    <mergeCell ref="F706:F707"/>
    <mergeCell ref="G706:G707"/>
    <mergeCell ref="C708:D708"/>
    <mergeCell ref="F708:G708"/>
    <mergeCell ref="I708:J708"/>
    <mergeCell ref="B709:B710"/>
    <mergeCell ref="C709:C710"/>
    <mergeCell ref="D709:D710"/>
    <mergeCell ref="E709:E710"/>
    <mergeCell ref="F709:F710"/>
    <mergeCell ref="G709:G710"/>
    <mergeCell ref="B698:D698"/>
    <mergeCell ref="E698:G698"/>
    <mergeCell ref="H698:J698"/>
    <mergeCell ref="B699:B700"/>
    <mergeCell ref="C699:C700"/>
    <mergeCell ref="D699:D700"/>
    <mergeCell ref="E699:E700"/>
    <mergeCell ref="F699:F700"/>
    <mergeCell ref="G699:G700"/>
    <mergeCell ref="B701:B702"/>
    <mergeCell ref="C701:C702"/>
    <mergeCell ref="D701:D702"/>
    <mergeCell ref="E701:E702"/>
    <mergeCell ref="F701:F702"/>
    <mergeCell ref="G701:G702"/>
    <mergeCell ref="C703:D703"/>
    <mergeCell ref="F703:G703"/>
    <mergeCell ref="I703:J703"/>
    <mergeCell ref="B675:B676"/>
    <mergeCell ref="C675:C676"/>
    <mergeCell ref="D675:D676"/>
    <mergeCell ref="E675:E676"/>
    <mergeCell ref="F675:F676"/>
    <mergeCell ref="G675:G676"/>
    <mergeCell ref="B677:B678"/>
    <mergeCell ref="C677:C678"/>
    <mergeCell ref="D677:D678"/>
    <mergeCell ref="E677:E678"/>
    <mergeCell ref="F677:F678"/>
    <mergeCell ref="G677:G678"/>
    <mergeCell ref="C679:D679"/>
    <mergeCell ref="F679:G679"/>
    <mergeCell ref="I679:J679"/>
    <mergeCell ref="B696:C696"/>
    <mergeCell ref="B697:C697"/>
    <mergeCell ref="C669:D669"/>
    <mergeCell ref="F669:G669"/>
    <mergeCell ref="I669:J669"/>
    <mergeCell ref="B670:B671"/>
    <mergeCell ref="C670:C671"/>
    <mergeCell ref="D670:D671"/>
    <mergeCell ref="E670:E671"/>
    <mergeCell ref="F670:F671"/>
    <mergeCell ref="G670:G671"/>
    <mergeCell ref="B672:B673"/>
    <mergeCell ref="C672:C673"/>
    <mergeCell ref="D672:D673"/>
    <mergeCell ref="E672:E673"/>
    <mergeCell ref="F672:F673"/>
    <mergeCell ref="G672:G673"/>
    <mergeCell ref="C674:D674"/>
    <mergeCell ref="F674:G674"/>
    <mergeCell ref="I674:J674"/>
    <mergeCell ref="C660:D660"/>
    <mergeCell ref="F660:G660"/>
    <mergeCell ref="I660:J660"/>
    <mergeCell ref="B662:C662"/>
    <mergeCell ref="B663:C663"/>
    <mergeCell ref="B664:D664"/>
    <mergeCell ref="E664:G664"/>
    <mergeCell ref="H664:J664"/>
    <mergeCell ref="B665:B666"/>
    <mergeCell ref="C665:C666"/>
    <mergeCell ref="D665:D666"/>
    <mergeCell ref="E665:E666"/>
    <mergeCell ref="F665:F666"/>
    <mergeCell ref="G665:G666"/>
    <mergeCell ref="B667:B668"/>
    <mergeCell ref="C667:C668"/>
    <mergeCell ref="D667:D668"/>
    <mergeCell ref="E667:E668"/>
    <mergeCell ref="F667:F668"/>
    <mergeCell ref="G667:G668"/>
    <mergeCell ref="B653:C653"/>
    <mergeCell ref="B654:C654"/>
    <mergeCell ref="B655:D655"/>
    <mergeCell ref="E655:G655"/>
    <mergeCell ref="H655:J655"/>
    <mergeCell ref="B656:B657"/>
    <mergeCell ref="C656:C657"/>
    <mergeCell ref="D656:D657"/>
    <mergeCell ref="E656:E657"/>
    <mergeCell ref="F656:F657"/>
    <mergeCell ref="G656:G657"/>
    <mergeCell ref="B658:B659"/>
    <mergeCell ref="C658:C659"/>
    <mergeCell ref="D658:D659"/>
    <mergeCell ref="E658:E659"/>
    <mergeCell ref="F658:F659"/>
    <mergeCell ref="G658:G659"/>
    <mergeCell ref="B476:B477"/>
    <mergeCell ref="C476:C477"/>
    <mergeCell ref="D476:D477"/>
    <mergeCell ref="E476:E477"/>
    <mergeCell ref="F476:F477"/>
    <mergeCell ref="G476:G477"/>
    <mergeCell ref="C478:D478"/>
    <mergeCell ref="F478:G478"/>
    <mergeCell ref="I478:J478"/>
    <mergeCell ref="C473:D473"/>
    <mergeCell ref="F473:G473"/>
    <mergeCell ref="I473:J473"/>
    <mergeCell ref="B474:B475"/>
    <mergeCell ref="C474:C475"/>
    <mergeCell ref="D474:D475"/>
    <mergeCell ref="E474:E475"/>
    <mergeCell ref="F474:F475"/>
    <mergeCell ref="G474:G475"/>
    <mergeCell ref="B469:B470"/>
    <mergeCell ref="C469:C470"/>
    <mergeCell ref="D469:D470"/>
    <mergeCell ref="E469:E470"/>
    <mergeCell ref="F469:F470"/>
    <mergeCell ref="G469:G470"/>
    <mergeCell ref="B471:B472"/>
    <mergeCell ref="C471:C472"/>
    <mergeCell ref="D471:D472"/>
    <mergeCell ref="E471:E472"/>
    <mergeCell ref="F471:F472"/>
    <mergeCell ref="G471:G472"/>
    <mergeCell ref="B466:B467"/>
    <mergeCell ref="C466:C467"/>
    <mergeCell ref="D466:D467"/>
    <mergeCell ref="E466:E467"/>
    <mergeCell ref="F466:F467"/>
    <mergeCell ref="G466:G467"/>
    <mergeCell ref="C468:D468"/>
    <mergeCell ref="F468:G468"/>
    <mergeCell ref="I468:J468"/>
    <mergeCell ref="B461:C461"/>
    <mergeCell ref="B462:C462"/>
    <mergeCell ref="B463:D463"/>
    <mergeCell ref="E463:G463"/>
    <mergeCell ref="H463:J463"/>
    <mergeCell ref="B464:B465"/>
    <mergeCell ref="C464:C465"/>
    <mergeCell ref="D464:D465"/>
    <mergeCell ref="E464:E465"/>
    <mergeCell ref="F464:F465"/>
    <mergeCell ref="G464:G465"/>
    <mergeCell ref="B446:B447"/>
    <mergeCell ref="C446:C447"/>
    <mergeCell ref="D446:D447"/>
    <mergeCell ref="E446:E447"/>
    <mergeCell ref="F446:F447"/>
    <mergeCell ref="G446:G447"/>
    <mergeCell ref="C448:D448"/>
    <mergeCell ref="F448:G448"/>
    <mergeCell ref="I448:J448"/>
    <mergeCell ref="C439:D439"/>
    <mergeCell ref="F439:G439"/>
    <mergeCell ref="I439:J439"/>
    <mergeCell ref="B441:C441"/>
    <mergeCell ref="B442:C442"/>
    <mergeCell ref="B443:D443"/>
    <mergeCell ref="E443:G443"/>
    <mergeCell ref="H443:J443"/>
    <mergeCell ref="B444:B445"/>
    <mergeCell ref="C444:C445"/>
    <mergeCell ref="D444:D445"/>
    <mergeCell ref="E444:E445"/>
    <mergeCell ref="F444:F445"/>
    <mergeCell ref="G444:G445"/>
    <mergeCell ref="B435:B436"/>
    <mergeCell ref="C435:C436"/>
    <mergeCell ref="D435:D436"/>
    <mergeCell ref="E435:E436"/>
    <mergeCell ref="F435:F436"/>
    <mergeCell ref="G435:G436"/>
    <mergeCell ref="B437:B438"/>
    <mergeCell ref="C437:C438"/>
    <mergeCell ref="D437:D438"/>
    <mergeCell ref="E437:E438"/>
    <mergeCell ref="F437:F438"/>
    <mergeCell ref="G437:G438"/>
    <mergeCell ref="B432:B433"/>
    <mergeCell ref="C432:C433"/>
    <mergeCell ref="D432:D433"/>
    <mergeCell ref="E432:E433"/>
    <mergeCell ref="F432:F433"/>
    <mergeCell ref="G432:G433"/>
    <mergeCell ref="C434:D434"/>
    <mergeCell ref="F434:G434"/>
    <mergeCell ref="I434:J434"/>
    <mergeCell ref="C429:D429"/>
    <mergeCell ref="F429:G429"/>
    <mergeCell ref="I429:J429"/>
    <mergeCell ref="B430:B431"/>
    <mergeCell ref="C430:C431"/>
    <mergeCell ref="D430:D431"/>
    <mergeCell ref="E430:E431"/>
    <mergeCell ref="F430:F431"/>
    <mergeCell ref="G430:G431"/>
    <mergeCell ref="B425:B426"/>
    <mergeCell ref="C425:C426"/>
    <mergeCell ref="D425:D426"/>
    <mergeCell ref="E425:E426"/>
    <mergeCell ref="F425:F426"/>
    <mergeCell ref="G425:G426"/>
    <mergeCell ref="B427:B428"/>
    <mergeCell ref="C427:C428"/>
    <mergeCell ref="D427:D428"/>
    <mergeCell ref="E427:E428"/>
    <mergeCell ref="F427:F428"/>
    <mergeCell ref="G427:G428"/>
    <mergeCell ref="B422:B423"/>
    <mergeCell ref="C422:C423"/>
    <mergeCell ref="D422:D423"/>
    <mergeCell ref="E422:E423"/>
    <mergeCell ref="F422:F423"/>
    <mergeCell ref="G422:G423"/>
    <mergeCell ref="C424:D424"/>
    <mergeCell ref="F424:G424"/>
    <mergeCell ref="I424:J424"/>
    <mergeCell ref="B417:C417"/>
    <mergeCell ref="B418:C418"/>
    <mergeCell ref="B419:D419"/>
    <mergeCell ref="E419:G419"/>
    <mergeCell ref="H419:J419"/>
    <mergeCell ref="B420:B421"/>
    <mergeCell ref="C420:C421"/>
    <mergeCell ref="D420:D421"/>
    <mergeCell ref="E420:E421"/>
    <mergeCell ref="F420:F421"/>
    <mergeCell ref="G420:G421"/>
    <mergeCell ref="B401:B402"/>
    <mergeCell ref="C401:C402"/>
    <mergeCell ref="D401:D402"/>
    <mergeCell ref="E401:E402"/>
    <mergeCell ref="F401:F402"/>
    <mergeCell ref="G401:G402"/>
    <mergeCell ref="C403:D403"/>
    <mergeCell ref="F403:G403"/>
    <mergeCell ref="I403:J403"/>
    <mergeCell ref="B396:C396"/>
    <mergeCell ref="B397:C397"/>
    <mergeCell ref="B398:D398"/>
    <mergeCell ref="E398:G398"/>
    <mergeCell ref="H398:J398"/>
    <mergeCell ref="B399:B400"/>
    <mergeCell ref="C399:C400"/>
    <mergeCell ref="D399:D400"/>
    <mergeCell ref="E399:E400"/>
    <mergeCell ref="F399:F400"/>
    <mergeCell ref="G399:G400"/>
    <mergeCell ref="B392:B393"/>
    <mergeCell ref="C392:C393"/>
    <mergeCell ref="D392:D393"/>
    <mergeCell ref="E392:E393"/>
    <mergeCell ref="F392:F393"/>
    <mergeCell ref="G392:G393"/>
    <mergeCell ref="C394:D394"/>
    <mergeCell ref="F394:G394"/>
    <mergeCell ref="I394:J394"/>
    <mergeCell ref="B387:C387"/>
    <mergeCell ref="B388:C388"/>
    <mergeCell ref="B389:D389"/>
    <mergeCell ref="E389:G389"/>
    <mergeCell ref="H389:J389"/>
    <mergeCell ref="B390:B391"/>
    <mergeCell ref="C390:C391"/>
    <mergeCell ref="D390:D391"/>
    <mergeCell ref="E390:E391"/>
    <mergeCell ref="F390:F391"/>
    <mergeCell ref="G390:G391"/>
    <mergeCell ref="B383:B384"/>
    <mergeCell ref="C383:C384"/>
    <mergeCell ref="D383:D384"/>
    <mergeCell ref="E383:E384"/>
    <mergeCell ref="F383:F384"/>
    <mergeCell ref="G383:G384"/>
    <mergeCell ref="C385:D385"/>
    <mergeCell ref="F385:G385"/>
    <mergeCell ref="I385:J385"/>
    <mergeCell ref="B378:C378"/>
    <mergeCell ref="B379:C379"/>
    <mergeCell ref="B380:D380"/>
    <mergeCell ref="E380:G380"/>
    <mergeCell ref="H380:J380"/>
    <mergeCell ref="B381:B382"/>
    <mergeCell ref="C381:C382"/>
    <mergeCell ref="D381:D382"/>
    <mergeCell ref="E381:E382"/>
    <mergeCell ref="F381:F382"/>
    <mergeCell ref="G381:G382"/>
    <mergeCell ref="B374:B375"/>
    <mergeCell ref="C374:C375"/>
    <mergeCell ref="D374:D375"/>
    <mergeCell ref="E374:E375"/>
    <mergeCell ref="F374:F375"/>
    <mergeCell ref="G374:G375"/>
    <mergeCell ref="C376:D376"/>
    <mergeCell ref="F376:G376"/>
    <mergeCell ref="I376:J376"/>
    <mergeCell ref="B363:C363"/>
    <mergeCell ref="B370:C370"/>
    <mergeCell ref="B371:D371"/>
    <mergeCell ref="E371:G371"/>
    <mergeCell ref="H371:J371"/>
    <mergeCell ref="B372:B373"/>
    <mergeCell ref="C372:C373"/>
    <mergeCell ref="D372:D373"/>
    <mergeCell ref="E372:E373"/>
    <mergeCell ref="F372:F373"/>
    <mergeCell ref="G372:G373"/>
    <mergeCell ref="B358:B359"/>
    <mergeCell ref="C358:C359"/>
    <mergeCell ref="D358:D359"/>
    <mergeCell ref="E358:E359"/>
    <mergeCell ref="F358:F359"/>
    <mergeCell ref="G358:G359"/>
    <mergeCell ref="C360:D360"/>
    <mergeCell ref="F360:G360"/>
    <mergeCell ref="I360:J360"/>
    <mergeCell ref="B353:C353"/>
    <mergeCell ref="B354:C354"/>
    <mergeCell ref="B355:D355"/>
    <mergeCell ref="E355:G355"/>
    <mergeCell ref="H355:J355"/>
    <mergeCell ref="B356:B357"/>
    <mergeCell ref="C356:C357"/>
    <mergeCell ref="D356:D357"/>
    <mergeCell ref="E356:E357"/>
    <mergeCell ref="F356:F357"/>
    <mergeCell ref="G356:G357"/>
    <mergeCell ref="B349:B350"/>
    <mergeCell ref="C349:C350"/>
    <mergeCell ref="D349:D350"/>
    <mergeCell ref="E349:E350"/>
    <mergeCell ref="F349:F350"/>
    <mergeCell ref="G349:G350"/>
    <mergeCell ref="C351:D351"/>
    <mergeCell ref="F351:G351"/>
    <mergeCell ref="I351:J351"/>
    <mergeCell ref="C346:D346"/>
    <mergeCell ref="F346:G346"/>
    <mergeCell ref="I346:J346"/>
    <mergeCell ref="B347:B348"/>
    <mergeCell ref="C347:C348"/>
    <mergeCell ref="D347:D348"/>
    <mergeCell ref="E347:E348"/>
    <mergeCell ref="F347:F348"/>
    <mergeCell ref="G347:G348"/>
    <mergeCell ref="B342:B343"/>
    <mergeCell ref="C342:C343"/>
    <mergeCell ref="D342:D343"/>
    <mergeCell ref="E342:E343"/>
    <mergeCell ref="F342:F343"/>
    <mergeCell ref="G342:G343"/>
    <mergeCell ref="B344:B345"/>
    <mergeCell ref="C344:C345"/>
    <mergeCell ref="D344:D345"/>
    <mergeCell ref="E344:E345"/>
    <mergeCell ref="F344:F345"/>
    <mergeCell ref="G344:G345"/>
    <mergeCell ref="B339:B340"/>
    <mergeCell ref="C339:C340"/>
    <mergeCell ref="D339:D340"/>
    <mergeCell ref="E339:E340"/>
    <mergeCell ref="F339:F340"/>
    <mergeCell ref="G339:G340"/>
    <mergeCell ref="C341:D341"/>
    <mergeCell ref="F341:G341"/>
    <mergeCell ref="I341:J341"/>
    <mergeCell ref="C336:D336"/>
    <mergeCell ref="F336:G336"/>
    <mergeCell ref="I336:J336"/>
    <mergeCell ref="B337:B338"/>
    <mergeCell ref="C337:C338"/>
    <mergeCell ref="D337:D338"/>
    <mergeCell ref="E337:E338"/>
    <mergeCell ref="F337:F338"/>
    <mergeCell ref="G337:G338"/>
    <mergeCell ref="B332:B333"/>
    <mergeCell ref="C332:C333"/>
    <mergeCell ref="D332:D333"/>
    <mergeCell ref="E332:E333"/>
    <mergeCell ref="F332:F333"/>
    <mergeCell ref="G332:G333"/>
    <mergeCell ref="B334:B335"/>
    <mergeCell ref="C334:C335"/>
    <mergeCell ref="D334:D335"/>
    <mergeCell ref="E334:E335"/>
    <mergeCell ref="F334:F335"/>
    <mergeCell ref="G334:G335"/>
    <mergeCell ref="B329:B330"/>
    <mergeCell ref="C329:C330"/>
    <mergeCell ref="D329:D330"/>
    <mergeCell ref="E329:E330"/>
    <mergeCell ref="F329:F330"/>
    <mergeCell ref="G329:G330"/>
    <mergeCell ref="C331:D331"/>
    <mergeCell ref="F331:G331"/>
    <mergeCell ref="I331:J331"/>
    <mergeCell ref="C326:D326"/>
    <mergeCell ref="F326:G326"/>
    <mergeCell ref="I326:J326"/>
    <mergeCell ref="B327:B328"/>
    <mergeCell ref="C327:C328"/>
    <mergeCell ref="D327:D328"/>
    <mergeCell ref="E327:E328"/>
    <mergeCell ref="F327:F328"/>
    <mergeCell ref="G327:G328"/>
    <mergeCell ref="B322:B323"/>
    <mergeCell ref="C322:C323"/>
    <mergeCell ref="D322:D323"/>
    <mergeCell ref="E322:E323"/>
    <mergeCell ref="F322:F323"/>
    <mergeCell ref="G322:G323"/>
    <mergeCell ref="B324:B325"/>
    <mergeCell ref="C324:C325"/>
    <mergeCell ref="D324:D325"/>
    <mergeCell ref="E324:E325"/>
    <mergeCell ref="F324:F325"/>
    <mergeCell ref="G324:G325"/>
    <mergeCell ref="B319:B320"/>
    <mergeCell ref="C319:C320"/>
    <mergeCell ref="D319:D320"/>
    <mergeCell ref="E319:E320"/>
    <mergeCell ref="F319:F320"/>
    <mergeCell ref="G319:G320"/>
    <mergeCell ref="C321:D321"/>
    <mergeCell ref="F321:G321"/>
    <mergeCell ref="I321:J321"/>
    <mergeCell ref="C312:D312"/>
    <mergeCell ref="F312:G312"/>
    <mergeCell ref="I312:J312"/>
    <mergeCell ref="B314:C314"/>
    <mergeCell ref="B315:C315"/>
    <mergeCell ref="B316:D316"/>
    <mergeCell ref="E316:G316"/>
    <mergeCell ref="H316:J316"/>
    <mergeCell ref="B317:B318"/>
    <mergeCell ref="C317:C318"/>
    <mergeCell ref="D317:D318"/>
    <mergeCell ref="E317:E318"/>
    <mergeCell ref="F317:F318"/>
    <mergeCell ref="G317:G318"/>
    <mergeCell ref="B308:B309"/>
    <mergeCell ref="C308:C309"/>
    <mergeCell ref="D308:D309"/>
    <mergeCell ref="E308:E309"/>
    <mergeCell ref="F308:F309"/>
    <mergeCell ref="G308:G309"/>
    <mergeCell ref="B310:B311"/>
    <mergeCell ref="C310:C311"/>
    <mergeCell ref="D310:D311"/>
    <mergeCell ref="E310:E311"/>
    <mergeCell ref="F310:F311"/>
    <mergeCell ref="G310:G311"/>
    <mergeCell ref="H10:J10"/>
    <mergeCell ref="B7:J7"/>
    <mergeCell ref="B10:D10"/>
    <mergeCell ref="E10:G10"/>
    <mergeCell ref="I20:J20"/>
    <mergeCell ref="G16:G17"/>
    <mergeCell ref="B18:B19"/>
    <mergeCell ref="C18:C19"/>
    <mergeCell ref="D18:D19"/>
    <mergeCell ref="E18:E19"/>
    <mergeCell ref="F18:F19"/>
    <mergeCell ref="G18:G19"/>
    <mergeCell ref="B16:B17"/>
    <mergeCell ref="C16:C17"/>
    <mergeCell ref="D16:D17"/>
    <mergeCell ref="E16:E17"/>
    <mergeCell ref="F16:F17"/>
    <mergeCell ref="C20:D20"/>
    <mergeCell ref="F20:G20"/>
    <mergeCell ref="B8:C8"/>
    <mergeCell ref="B9:C9"/>
    <mergeCell ref="B24:C24"/>
    <mergeCell ref="B25:C25"/>
    <mergeCell ref="B26:D26"/>
    <mergeCell ref="E26:G26"/>
    <mergeCell ref="H26:J26"/>
    <mergeCell ref="B3:J3"/>
    <mergeCell ref="B1:J1"/>
    <mergeCell ref="I15:J15"/>
    <mergeCell ref="B11:B12"/>
    <mergeCell ref="C11:C12"/>
    <mergeCell ref="D11:D12"/>
    <mergeCell ref="E11:E12"/>
    <mergeCell ref="F11:F12"/>
    <mergeCell ref="G11:G12"/>
    <mergeCell ref="B13:B14"/>
    <mergeCell ref="C13:C14"/>
    <mergeCell ref="D13:D14"/>
    <mergeCell ref="C15:D15"/>
    <mergeCell ref="F15:G15"/>
    <mergeCell ref="E13:E14"/>
    <mergeCell ref="F13:F14"/>
    <mergeCell ref="G13:G14"/>
    <mergeCell ref="G27:G28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C31:D31"/>
    <mergeCell ref="F31:G31"/>
    <mergeCell ref="I31:J31"/>
    <mergeCell ref="B32:B33"/>
    <mergeCell ref="C32:C33"/>
    <mergeCell ref="D32:D33"/>
    <mergeCell ref="E32:E33"/>
    <mergeCell ref="F32:F33"/>
    <mergeCell ref="G32:G33"/>
    <mergeCell ref="G34:G35"/>
    <mergeCell ref="C36:D36"/>
    <mergeCell ref="F36:G36"/>
    <mergeCell ref="I36:J36"/>
    <mergeCell ref="B37:B38"/>
    <mergeCell ref="C37:C38"/>
    <mergeCell ref="D37:D38"/>
    <mergeCell ref="E37:E38"/>
    <mergeCell ref="F37:F38"/>
    <mergeCell ref="G37:G38"/>
    <mergeCell ref="B34:B35"/>
    <mergeCell ref="C34:C35"/>
    <mergeCell ref="D34:D35"/>
    <mergeCell ref="E34:E35"/>
    <mergeCell ref="F34:F35"/>
    <mergeCell ref="G39:G40"/>
    <mergeCell ref="C41:D41"/>
    <mergeCell ref="F41:G41"/>
    <mergeCell ref="I41:J41"/>
    <mergeCell ref="B42:B43"/>
    <mergeCell ref="C42:C43"/>
    <mergeCell ref="D42:D43"/>
    <mergeCell ref="E42:E43"/>
    <mergeCell ref="F42:F43"/>
    <mergeCell ref="G42:G43"/>
    <mergeCell ref="B39:B40"/>
    <mergeCell ref="C39:C40"/>
    <mergeCell ref="D39:D40"/>
    <mergeCell ref="E39:E40"/>
    <mergeCell ref="F39:F40"/>
    <mergeCell ref="G44:G45"/>
    <mergeCell ref="C46:D46"/>
    <mergeCell ref="F46:G46"/>
    <mergeCell ref="I46:J46"/>
    <mergeCell ref="B47:B48"/>
    <mergeCell ref="C47:C48"/>
    <mergeCell ref="D47:D48"/>
    <mergeCell ref="E47:E48"/>
    <mergeCell ref="F47:F48"/>
    <mergeCell ref="G47:G48"/>
    <mergeCell ref="B44:B45"/>
    <mergeCell ref="C44:C45"/>
    <mergeCell ref="D44:D45"/>
    <mergeCell ref="E44:E45"/>
    <mergeCell ref="F44:F45"/>
    <mergeCell ref="G49:G50"/>
    <mergeCell ref="C51:D51"/>
    <mergeCell ref="F51:G51"/>
    <mergeCell ref="I51:J51"/>
    <mergeCell ref="B52:B53"/>
    <mergeCell ref="C52:C53"/>
    <mergeCell ref="D52:D53"/>
    <mergeCell ref="E52:E53"/>
    <mergeCell ref="F52:F53"/>
    <mergeCell ref="G52:G53"/>
    <mergeCell ref="B49:B50"/>
    <mergeCell ref="C49:C50"/>
    <mergeCell ref="D49:D50"/>
    <mergeCell ref="E49:E50"/>
    <mergeCell ref="F49:F50"/>
    <mergeCell ref="G54:G55"/>
    <mergeCell ref="C56:D56"/>
    <mergeCell ref="F56:G56"/>
    <mergeCell ref="I56:J56"/>
    <mergeCell ref="B57:B58"/>
    <mergeCell ref="C57:C58"/>
    <mergeCell ref="D57:D58"/>
    <mergeCell ref="E57:E58"/>
    <mergeCell ref="F57:F58"/>
    <mergeCell ref="G57:G58"/>
    <mergeCell ref="B54:B55"/>
    <mergeCell ref="C54:C55"/>
    <mergeCell ref="D54:D55"/>
    <mergeCell ref="E54:E55"/>
    <mergeCell ref="F54:F55"/>
    <mergeCell ref="G59:G60"/>
    <mergeCell ref="C61:D61"/>
    <mergeCell ref="F61:G61"/>
    <mergeCell ref="I61:J61"/>
    <mergeCell ref="B62:B63"/>
    <mergeCell ref="C62:C63"/>
    <mergeCell ref="D62:D63"/>
    <mergeCell ref="E62:E63"/>
    <mergeCell ref="F62:F63"/>
    <mergeCell ref="G62:G63"/>
    <mergeCell ref="B59:B60"/>
    <mergeCell ref="C59:C60"/>
    <mergeCell ref="D59:D60"/>
    <mergeCell ref="E59:E60"/>
    <mergeCell ref="F59:F60"/>
    <mergeCell ref="G64:G65"/>
    <mergeCell ref="C66:D66"/>
    <mergeCell ref="F66:G66"/>
    <mergeCell ref="I66:J66"/>
    <mergeCell ref="B67:B68"/>
    <mergeCell ref="C67:C68"/>
    <mergeCell ref="D67:D68"/>
    <mergeCell ref="E67:E68"/>
    <mergeCell ref="F67:F68"/>
    <mergeCell ref="G67:G68"/>
    <mergeCell ref="B64:B65"/>
    <mergeCell ref="C64:C65"/>
    <mergeCell ref="D64:D65"/>
    <mergeCell ref="E64:E65"/>
    <mergeCell ref="F64:F65"/>
    <mergeCell ref="G69:G70"/>
    <mergeCell ref="C71:D71"/>
    <mergeCell ref="F71:G71"/>
    <mergeCell ref="I71:J71"/>
    <mergeCell ref="B72:B73"/>
    <mergeCell ref="C72:C73"/>
    <mergeCell ref="D72:D73"/>
    <mergeCell ref="E72:E73"/>
    <mergeCell ref="F72:F73"/>
    <mergeCell ref="G72:G73"/>
    <mergeCell ref="B69:B70"/>
    <mergeCell ref="C69:C70"/>
    <mergeCell ref="D69:D70"/>
    <mergeCell ref="E69:E70"/>
    <mergeCell ref="F69:F70"/>
    <mergeCell ref="G74:G75"/>
    <mergeCell ref="C76:D76"/>
    <mergeCell ref="F76:G76"/>
    <mergeCell ref="I76:J76"/>
    <mergeCell ref="B77:B78"/>
    <mergeCell ref="C77:C78"/>
    <mergeCell ref="D77:D78"/>
    <mergeCell ref="E77:E78"/>
    <mergeCell ref="F77:F78"/>
    <mergeCell ref="G77:G78"/>
    <mergeCell ref="B74:B75"/>
    <mergeCell ref="C74:C75"/>
    <mergeCell ref="D74:D75"/>
    <mergeCell ref="E74:E75"/>
    <mergeCell ref="F74:F75"/>
    <mergeCell ref="G79:G80"/>
    <mergeCell ref="C81:D81"/>
    <mergeCell ref="F81:G81"/>
    <mergeCell ref="I81:J81"/>
    <mergeCell ref="B83:B84"/>
    <mergeCell ref="C83:C84"/>
    <mergeCell ref="D83:D84"/>
    <mergeCell ref="E83:E84"/>
    <mergeCell ref="F83:F84"/>
    <mergeCell ref="G83:G84"/>
    <mergeCell ref="B79:B80"/>
    <mergeCell ref="C79:C80"/>
    <mergeCell ref="D79:D80"/>
    <mergeCell ref="E79:E80"/>
    <mergeCell ref="F79:F80"/>
    <mergeCell ref="G85:G86"/>
    <mergeCell ref="C87:D87"/>
    <mergeCell ref="F87:G87"/>
    <mergeCell ref="I87:J87"/>
    <mergeCell ref="C88:C89"/>
    <mergeCell ref="D88:D89"/>
    <mergeCell ref="E88:E89"/>
    <mergeCell ref="F88:F89"/>
    <mergeCell ref="G88:G89"/>
    <mergeCell ref="B85:B86"/>
    <mergeCell ref="C85:C86"/>
    <mergeCell ref="D85:D86"/>
    <mergeCell ref="E85:E86"/>
    <mergeCell ref="F85:F86"/>
    <mergeCell ref="G90:G91"/>
    <mergeCell ref="C92:D92"/>
    <mergeCell ref="F92:G92"/>
    <mergeCell ref="I92:J92"/>
    <mergeCell ref="B94:C94"/>
    <mergeCell ref="B90:B91"/>
    <mergeCell ref="C90:C91"/>
    <mergeCell ref="D90:D91"/>
    <mergeCell ref="E90:E91"/>
    <mergeCell ref="F90:F91"/>
    <mergeCell ref="B95:C95"/>
    <mergeCell ref="B96:D96"/>
    <mergeCell ref="E96:G96"/>
    <mergeCell ref="H96:J96"/>
    <mergeCell ref="B97:B98"/>
    <mergeCell ref="C97:C98"/>
    <mergeCell ref="D97:D98"/>
    <mergeCell ref="E97:E98"/>
    <mergeCell ref="F97:F98"/>
    <mergeCell ref="G97:G98"/>
    <mergeCell ref="G104:G105"/>
    <mergeCell ref="C106:D106"/>
    <mergeCell ref="F106:G106"/>
    <mergeCell ref="I106:J106"/>
    <mergeCell ref="B5:J5"/>
    <mergeCell ref="B104:B105"/>
    <mergeCell ref="C104:C105"/>
    <mergeCell ref="D104:D105"/>
    <mergeCell ref="E104:E105"/>
    <mergeCell ref="F104:F105"/>
    <mergeCell ref="G99:G100"/>
    <mergeCell ref="C101:D101"/>
    <mergeCell ref="F101:G101"/>
    <mergeCell ref="I101:J101"/>
    <mergeCell ref="B102:B103"/>
    <mergeCell ref="C102:C103"/>
    <mergeCell ref="D102:D103"/>
    <mergeCell ref="E102:E103"/>
    <mergeCell ref="F102:F103"/>
    <mergeCell ref="G102:G103"/>
    <mergeCell ref="B99:B100"/>
    <mergeCell ref="B88:B89"/>
    <mergeCell ref="C99:C100"/>
    <mergeCell ref="D99:D100"/>
    <mergeCell ref="E99:E100"/>
    <mergeCell ref="G107:G108"/>
    <mergeCell ref="B109:B110"/>
    <mergeCell ref="C109:C110"/>
    <mergeCell ref="D109:D110"/>
    <mergeCell ref="E109:E110"/>
    <mergeCell ref="F109:F110"/>
    <mergeCell ref="G109:G110"/>
    <mergeCell ref="B107:B108"/>
    <mergeCell ref="C107:C108"/>
    <mergeCell ref="D107:D108"/>
    <mergeCell ref="E107:E108"/>
    <mergeCell ref="F107:F108"/>
    <mergeCell ref="C111:D111"/>
    <mergeCell ref="F111:G111"/>
    <mergeCell ref="F99:F100"/>
    <mergeCell ref="I111:J111"/>
    <mergeCell ref="B112:B113"/>
    <mergeCell ref="C112:C113"/>
    <mergeCell ref="D112:D113"/>
    <mergeCell ref="E112:E113"/>
    <mergeCell ref="F112:F113"/>
    <mergeCell ref="G112:G113"/>
    <mergeCell ref="G114:G115"/>
    <mergeCell ref="C116:D116"/>
    <mergeCell ref="F116:G116"/>
    <mergeCell ref="I116:J116"/>
    <mergeCell ref="B126:C126"/>
    <mergeCell ref="B114:B115"/>
    <mergeCell ref="C114:C115"/>
    <mergeCell ref="D114:D115"/>
    <mergeCell ref="E114:E115"/>
    <mergeCell ref="F114:F115"/>
    <mergeCell ref="B127:C127"/>
    <mergeCell ref="B128:D128"/>
    <mergeCell ref="E128:G128"/>
    <mergeCell ref="H128:J128"/>
    <mergeCell ref="B129:B130"/>
    <mergeCell ref="C129:C130"/>
    <mergeCell ref="D129:D130"/>
    <mergeCell ref="E129:E130"/>
    <mergeCell ref="F129:F130"/>
    <mergeCell ref="G129:G130"/>
    <mergeCell ref="G131:G132"/>
    <mergeCell ref="C133:D133"/>
    <mergeCell ref="F133:G133"/>
    <mergeCell ref="I133:J133"/>
    <mergeCell ref="B134:B135"/>
    <mergeCell ref="C134:C135"/>
    <mergeCell ref="D134:D135"/>
    <mergeCell ref="E134:E135"/>
    <mergeCell ref="F134:F135"/>
    <mergeCell ref="G134:G135"/>
    <mergeCell ref="B131:B132"/>
    <mergeCell ref="C131:C132"/>
    <mergeCell ref="D131:D132"/>
    <mergeCell ref="E131:E132"/>
    <mergeCell ref="F131:F132"/>
    <mergeCell ref="G136:G137"/>
    <mergeCell ref="C138:D138"/>
    <mergeCell ref="F138:G138"/>
    <mergeCell ref="I138:J138"/>
    <mergeCell ref="B139:B140"/>
    <mergeCell ref="C139:C140"/>
    <mergeCell ref="D139:D140"/>
    <mergeCell ref="E139:E140"/>
    <mergeCell ref="F139:F140"/>
    <mergeCell ref="G139:G140"/>
    <mergeCell ref="B136:B137"/>
    <mergeCell ref="C136:C137"/>
    <mergeCell ref="D136:D137"/>
    <mergeCell ref="E136:E137"/>
    <mergeCell ref="F136:F137"/>
    <mergeCell ref="G141:G142"/>
    <mergeCell ref="C143:D143"/>
    <mergeCell ref="F143:G143"/>
    <mergeCell ref="I143:J143"/>
    <mergeCell ref="B144:B145"/>
    <mergeCell ref="C144:C145"/>
    <mergeCell ref="D144:D145"/>
    <mergeCell ref="E144:E145"/>
    <mergeCell ref="F144:F145"/>
    <mergeCell ref="G144:G145"/>
    <mergeCell ref="B141:B142"/>
    <mergeCell ref="C141:C142"/>
    <mergeCell ref="D141:D142"/>
    <mergeCell ref="E141:E142"/>
    <mergeCell ref="F141:F142"/>
    <mergeCell ref="G146:G147"/>
    <mergeCell ref="C148:D148"/>
    <mergeCell ref="F148:G148"/>
    <mergeCell ref="I148:J148"/>
    <mergeCell ref="B165:C165"/>
    <mergeCell ref="B146:B147"/>
    <mergeCell ref="C146:C147"/>
    <mergeCell ref="D146:D147"/>
    <mergeCell ref="E146:E147"/>
    <mergeCell ref="F146:F147"/>
    <mergeCell ref="B149:B150"/>
    <mergeCell ref="C149:C150"/>
    <mergeCell ref="D149:D150"/>
    <mergeCell ref="E149:E150"/>
    <mergeCell ref="F149:F150"/>
    <mergeCell ref="G149:G150"/>
    <mergeCell ref="B151:B152"/>
    <mergeCell ref="C151:C152"/>
    <mergeCell ref="D151:D152"/>
    <mergeCell ref="E151:E152"/>
    <mergeCell ref="F151:F152"/>
    <mergeCell ref="B166:C166"/>
    <mergeCell ref="B167:D167"/>
    <mergeCell ref="E167:G167"/>
    <mergeCell ref="H167:J167"/>
    <mergeCell ref="B168:B169"/>
    <mergeCell ref="C168:C169"/>
    <mergeCell ref="D168:D169"/>
    <mergeCell ref="E168:E169"/>
    <mergeCell ref="F168:F169"/>
    <mergeCell ref="G168:G169"/>
    <mergeCell ref="G170:G171"/>
    <mergeCell ref="C172:D172"/>
    <mergeCell ref="F172:G172"/>
    <mergeCell ref="I172:J172"/>
    <mergeCell ref="B173:B174"/>
    <mergeCell ref="C173:C174"/>
    <mergeCell ref="D173:D174"/>
    <mergeCell ref="E173:E174"/>
    <mergeCell ref="F173:F174"/>
    <mergeCell ref="G173:G174"/>
    <mergeCell ref="B170:B171"/>
    <mergeCell ref="C170:C171"/>
    <mergeCell ref="D170:D171"/>
    <mergeCell ref="E170:E171"/>
    <mergeCell ref="F170:F171"/>
    <mergeCell ref="G175:G176"/>
    <mergeCell ref="C177:D177"/>
    <mergeCell ref="F177:G177"/>
    <mergeCell ref="I177:J177"/>
    <mergeCell ref="B178:B179"/>
    <mergeCell ref="C178:C179"/>
    <mergeCell ref="D178:D179"/>
    <mergeCell ref="E178:E179"/>
    <mergeCell ref="F178:F179"/>
    <mergeCell ref="G178:G179"/>
    <mergeCell ref="B175:B176"/>
    <mergeCell ref="C175:C176"/>
    <mergeCell ref="D175:D176"/>
    <mergeCell ref="E175:E176"/>
    <mergeCell ref="F175:F176"/>
    <mergeCell ref="G180:G181"/>
    <mergeCell ref="C182:D182"/>
    <mergeCell ref="F182:G182"/>
    <mergeCell ref="I182:J182"/>
    <mergeCell ref="B183:B184"/>
    <mergeCell ref="C183:C184"/>
    <mergeCell ref="D183:D184"/>
    <mergeCell ref="E183:E184"/>
    <mergeCell ref="F183:F184"/>
    <mergeCell ref="G183:G184"/>
    <mergeCell ref="B180:B181"/>
    <mergeCell ref="C180:C181"/>
    <mergeCell ref="D180:D181"/>
    <mergeCell ref="E180:E181"/>
    <mergeCell ref="F180:F181"/>
    <mergeCell ref="G185:G186"/>
    <mergeCell ref="C187:D187"/>
    <mergeCell ref="F187:G187"/>
    <mergeCell ref="I187:J187"/>
    <mergeCell ref="B188:B189"/>
    <mergeCell ref="C188:C189"/>
    <mergeCell ref="D188:D189"/>
    <mergeCell ref="E188:E189"/>
    <mergeCell ref="F188:F189"/>
    <mergeCell ref="G188:G189"/>
    <mergeCell ref="B185:B186"/>
    <mergeCell ref="C185:C186"/>
    <mergeCell ref="D185:D186"/>
    <mergeCell ref="E185:E186"/>
    <mergeCell ref="F185:F186"/>
    <mergeCell ref="G190:G191"/>
    <mergeCell ref="C192:D192"/>
    <mergeCell ref="F192:G192"/>
    <mergeCell ref="I192:J192"/>
    <mergeCell ref="B193:B194"/>
    <mergeCell ref="C193:C194"/>
    <mergeCell ref="D193:D194"/>
    <mergeCell ref="E193:E194"/>
    <mergeCell ref="F193:F194"/>
    <mergeCell ref="G193:G194"/>
    <mergeCell ref="B190:B191"/>
    <mergeCell ref="C190:C191"/>
    <mergeCell ref="D190:D191"/>
    <mergeCell ref="E190:E191"/>
    <mergeCell ref="F190:F191"/>
    <mergeCell ref="G195:G196"/>
    <mergeCell ref="C197:D197"/>
    <mergeCell ref="F197:G197"/>
    <mergeCell ref="I197:J197"/>
    <mergeCell ref="B198:B199"/>
    <mergeCell ref="C198:C199"/>
    <mergeCell ref="D198:D199"/>
    <mergeCell ref="E198:E199"/>
    <mergeCell ref="F198:F199"/>
    <mergeCell ref="G198:G199"/>
    <mergeCell ref="B195:B196"/>
    <mergeCell ref="C195:C196"/>
    <mergeCell ref="D195:D196"/>
    <mergeCell ref="E195:E196"/>
    <mergeCell ref="F195:F196"/>
    <mergeCell ref="G200:G201"/>
    <mergeCell ref="C202:D202"/>
    <mergeCell ref="F202:G202"/>
    <mergeCell ref="I202:J202"/>
    <mergeCell ref="B203:B204"/>
    <mergeCell ref="C203:C204"/>
    <mergeCell ref="D203:D204"/>
    <mergeCell ref="E203:E204"/>
    <mergeCell ref="F203:F204"/>
    <mergeCell ref="G203:G204"/>
    <mergeCell ref="B200:B201"/>
    <mergeCell ref="C200:C201"/>
    <mergeCell ref="D200:D201"/>
    <mergeCell ref="E200:E201"/>
    <mergeCell ref="F200:F201"/>
    <mergeCell ref="G205:G206"/>
    <mergeCell ref="C207:D207"/>
    <mergeCell ref="F207:G207"/>
    <mergeCell ref="I207:J207"/>
    <mergeCell ref="B208:B209"/>
    <mergeCell ref="C208:C209"/>
    <mergeCell ref="D208:D209"/>
    <mergeCell ref="E208:E209"/>
    <mergeCell ref="F208:F209"/>
    <mergeCell ref="G208:G209"/>
    <mergeCell ref="B205:B206"/>
    <mergeCell ref="C205:C206"/>
    <mergeCell ref="D205:D206"/>
    <mergeCell ref="E205:E206"/>
    <mergeCell ref="F205:F206"/>
    <mergeCell ref="G210:G211"/>
    <mergeCell ref="C212:D212"/>
    <mergeCell ref="F212:G212"/>
    <mergeCell ref="I212:J212"/>
    <mergeCell ref="B213:B214"/>
    <mergeCell ref="C213:C214"/>
    <mergeCell ref="D213:D214"/>
    <mergeCell ref="E213:E214"/>
    <mergeCell ref="F213:F214"/>
    <mergeCell ref="G213:G214"/>
    <mergeCell ref="B210:B211"/>
    <mergeCell ref="C210:C211"/>
    <mergeCell ref="D210:D211"/>
    <mergeCell ref="E210:E211"/>
    <mergeCell ref="F210:F211"/>
    <mergeCell ref="G215:G216"/>
    <mergeCell ref="C217:D217"/>
    <mergeCell ref="F217:G217"/>
    <mergeCell ref="I217:J217"/>
    <mergeCell ref="B218:B219"/>
    <mergeCell ref="C218:C219"/>
    <mergeCell ref="D218:D219"/>
    <mergeCell ref="E218:E219"/>
    <mergeCell ref="F218:F219"/>
    <mergeCell ref="G218:G219"/>
    <mergeCell ref="B215:B216"/>
    <mergeCell ref="C215:C216"/>
    <mergeCell ref="D215:D216"/>
    <mergeCell ref="E215:E216"/>
    <mergeCell ref="F215:F216"/>
    <mergeCell ref="G220:G221"/>
    <mergeCell ref="C222:D222"/>
    <mergeCell ref="F222:G222"/>
    <mergeCell ref="I222:J222"/>
    <mergeCell ref="B224:B225"/>
    <mergeCell ref="C224:C225"/>
    <mergeCell ref="D224:D225"/>
    <mergeCell ref="E224:E225"/>
    <mergeCell ref="F224:F225"/>
    <mergeCell ref="G224:G225"/>
    <mergeCell ref="B220:B221"/>
    <mergeCell ref="C220:C221"/>
    <mergeCell ref="D220:D221"/>
    <mergeCell ref="E220:E221"/>
    <mergeCell ref="F220:F221"/>
    <mergeCell ref="G226:G227"/>
    <mergeCell ref="C228:D228"/>
    <mergeCell ref="F228:G228"/>
    <mergeCell ref="I228:J228"/>
    <mergeCell ref="G231:G232"/>
    <mergeCell ref="C233:D233"/>
    <mergeCell ref="F233:G233"/>
    <mergeCell ref="I233:J233"/>
    <mergeCell ref="B254:C254"/>
    <mergeCell ref="B231:B232"/>
    <mergeCell ref="C231:C232"/>
    <mergeCell ref="D231:D232"/>
    <mergeCell ref="E231:E232"/>
    <mergeCell ref="F231:F232"/>
    <mergeCell ref="B236:B237"/>
    <mergeCell ref="C236:C237"/>
    <mergeCell ref="D236:D237"/>
    <mergeCell ref="E236:E237"/>
    <mergeCell ref="F236:F237"/>
    <mergeCell ref="G236:G237"/>
    <mergeCell ref="C238:D238"/>
    <mergeCell ref="F238:G238"/>
    <mergeCell ref="I238:J238"/>
    <mergeCell ref="B239:B240"/>
    <mergeCell ref="C239:C240"/>
    <mergeCell ref="B246:B247"/>
    <mergeCell ref="C246:C247"/>
    <mergeCell ref="D246:D247"/>
    <mergeCell ref="E246:E247"/>
    <mergeCell ref="F246:F247"/>
    <mergeCell ref="G246:G247"/>
    <mergeCell ref="C248:D248"/>
    <mergeCell ref="F248:G248"/>
    <mergeCell ref="I248:J248"/>
    <mergeCell ref="D239:D240"/>
    <mergeCell ref="E239:E240"/>
    <mergeCell ref="B255:C255"/>
    <mergeCell ref="B256:D256"/>
    <mergeCell ref="E256:G256"/>
    <mergeCell ref="H256:J256"/>
    <mergeCell ref="B257:B258"/>
    <mergeCell ref="C257:C258"/>
    <mergeCell ref="D257:D258"/>
    <mergeCell ref="E257:E258"/>
    <mergeCell ref="F257:F258"/>
    <mergeCell ref="G257:G258"/>
    <mergeCell ref="G259:G260"/>
    <mergeCell ref="C261:D261"/>
    <mergeCell ref="F261:G261"/>
    <mergeCell ref="I261:J261"/>
    <mergeCell ref="B262:B263"/>
    <mergeCell ref="C262:C263"/>
    <mergeCell ref="D262:D263"/>
    <mergeCell ref="E262:E263"/>
    <mergeCell ref="F262:F263"/>
    <mergeCell ref="G262:G263"/>
    <mergeCell ref="B259:B260"/>
    <mergeCell ref="C259:C260"/>
    <mergeCell ref="D259:D260"/>
    <mergeCell ref="E259:E260"/>
    <mergeCell ref="F259:F260"/>
    <mergeCell ref="G264:G265"/>
    <mergeCell ref="C266:D266"/>
    <mergeCell ref="F266:G266"/>
    <mergeCell ref="I266:J266"/>
    <mergeCell ref="B267:B268"/>
    <mergeCell ref="C267:C268"/>
    <mergeCell ref="D267:D268"/>
    <mergeCell ref="E267:E268"/>
    <mergeCell ref="F267:F268"/>
    <mergeCell ref="G267:G268"/>
    <mergeCell ref="B264:B265"/>
    <mergeCell ref="C264:C265"/>
    <mergeCell ref="D264:D265"/>
    <mergeCell ref="E264:E265"/>
    <mergeCell ref="F264:F265"/>
    <mergeCell ref="G269:G270"/>
    <mergeCell ref="C271:D271"/>
    <mergeCell ref="F271:G271"/>
    <mergeCell ref="I271:J271"/>
    <mergeCell ref="B272:B273"/>
    <mergeCell ref="C272:C273"/>
    <mergeCell ref="D272:D273"/>
    <mergeCell ref="E272:E273"/>
    <mergeCell ref="F272:F273"/>
    <mergeCell ref="G272:G273"/>
    <mergeCell ref="B269:B270"/>
    <mergeCell ref="C269:C270"/>
    <mergeCell ref="D269:D270"/>
    <mergeCell ref="E269:E270"/>
    <mergeCell ref="F269:F270"/>
    <mergeCell ref="G274:G275"/>
    <mergeCell ref="C276:D276"/>
    <mergeCell ref="F276:G276"/>
    <mergeCell ref="I276:J276"/>
    <mergeCell ref="B285:C285"/>
    <mergeCell ref="B274:B275"/>
    <mergeCell ref="C274:C275"/>
    <mergeCell ref="D274:D275"/>
    <mergeCell ref="E274:E275"/>
    <mergeCell ref="F274:F275"/>
    <mergeCell ref="B286:C286"/>
    <mergeCell ref="B287:D287"/>
    <mergeCell ref="E287:G287"/>
    <mergeCell ref="H287:J287"/>
    <mergeCell ref="B288:B289"/>
    <mergeCell ref="C288:C289"/>
    <mergeCell ref="D288:D289"/>
    <mergeCell ref="E288:E289"/>
    <mergeCell ref="F288:F289"/>
    <mergeCell ref="G288:G289"/>
    <mergeCell ref="G290:G291"/>
    <mergeCell ref="C292:D292"/>
    <mergeCell ref="F292:G292"/>
    <mergeCell ref="I292:J292"/>
    <mergeCell ref="B293:B294"/>
    <mergeCell ref="C293:C294"/>
    <mergeCell ref="D293:D294"/>
    <mergeCell ref="E293:E294"/>
    <mergeCell ref="F293:F294"/>
    <mergeCell ref="G293:G294"/>
    <mergeCell ref="B290:B291"/>
    <mergeCell ref="C290:C291"/>
    <mergeCell ref="D290:D291"/>
    <mergeCell ref="E290:E291"/>
    <mergeCell ref="F290:F291"/>
    <mergeCell ref="G295:G296"/>
    <mergeCell ref="C297:D297"/>
    <mergeCell ref="F297:G297"/>
    <mergeCell ref="I297:J297"/>
    <mergeCell ref="B298:B299"/>
    <mergeCell ref="C298:C299"/>
    <mergeCell ref="D298:D299"/>
    <mergeCell ref="E298:E299"/>
    <mergeCell ref="F298:F299"/>
    <mergeCell ref="G298:G299"/>
    <mergeCell ref="B295:B296"/>
    <mergeCell ref="C295:C296"/>
    <mergeCell ref="D295:D296"/>
    <mergeCell ref="E295:E296"/>
    <mergeCell ref="F295:F296"/>
    <mergeCell ref="G300:G301"/>
    <mergeCell ref="C302:D302"/>
    <mergeCell ref="F302:G302"/>
    <mergeCell ref="I302:J302"/>
    <mergeCell ref="B303:B304"/>
    <mergeCell ref="C303:C304"/>
    <mergeCell ref="D303:D304"/>
    <mergeCell ref="E303:E304"/>
    <mergeCell ref="F303:F304"/>
    <mergeCell ref="G303:G304"/>
    <mergeCell ref="B300:B301"/>
    <mergeCell ref="C300:C301"/>
    <mergeCell ref="D300:D301"/>
    <mergeCell ref="E300:E301"/>
    <mergeCell ref="F300:F301"/>
    <mergeCell ref="G305:G306"/>
    <mergeCell ref="C307:D307"/>
    <mergeCell ref="F307:G307"/>
    <mergeCell ref="I307:J307"/>
    <mergeCell ref="B305:B306"/>
    <mergeCell ref="C305:C306"/>
    <mergeCell ref="D305:D306"/>
    <mergeCell ref="E305:E306"/>
    <mergeCell ref="F305:F306"/>
    <mergeCell ref="B479:B480"/>
    <mergeCell ref="C479:C480"/>
    <mergeCell ref="D479:D480"/>
    <mergeCell ref="E479:E480"/>
    <mergeCell ref="F479:F480"/>
    <mergeCell ref="G479:G480"/>
    <mergeCell ref="B481:B482"/>
    <mergeCell ref="C481:C482"/>
    <mergeCell ref="D481:D482"/>
    <mergeCell ref="E481:E482"/>
    <mergeCell ref="F481:F482"/>
    <mergeCell ref="G481:G482"/>
    <mergeCell ref="C483:D483"/>
    <mergeCell ref="F483:G483"/>
    <mergeCell ref="I483:J483"/>
    <mergeCell ref="B484:B485"/>
    <mergeCell ref="C484:C485"/>
    <mergeCell ref="D484:D485"/>
    <mergeCell ref="E484:E485"/>
    <mergeCell ref="F484:F485"/>
    <mergeCell ref="G484:G485"/>
    <mergeCell ref="B486:B487"/>
    <mergeCell ref="C486:C487"/>
    <mergeCell ref="D486:D487"/>
    <mergeCell ref="E486:E487"/>
    <mergeCell ref="F486:F487"/>
    <mergeCell ref="G486:G487"/>
    <mergeCell ref="C488:D488"/>
    <mergeCell ref="F488:G488"/>
    <mergeCell ref="I488:J488"/>
    <mergeCell ref="B489:B490"/>
    <mergeCell ref="C489:C490"/>
    <mergeCell ref="D489:D490"/>
    <mergeCell ref="E489:E490"/>
    <mergeCell ref="F489:F490"/>
    <mergeCell ref="G489:G490"/>
    <mergeCell ref="B491:B492"/>
    <mergeCell ref="C491:C492"/>
    <mergeCell ref="D491:D492"/>
    <mergeCell ref="E491:E492"/>
    <mergeCell ref="F491:F492"/>
    <mergeCell ref="G491:G492"/>
    <mergeCell ref="C493:D493"/>
    <mergeCell ref="F493:G493"/>
    <mergeCell ref="I493:J493"/>
    <mergeCell ref="B494:B495"/>
    <mergeCell ref="C494:C495"/>
    <mergeCell ref="D494:D495"/>
    <mergeCell ref="E494:E495"/>
    <mergeCell ref="F494:F495"/>
    <mergeCell ref="G494:G495"/>
    <mergeCell ref="B496:B497"/>
    <mergeCell ref="C496:C497"/>
    <mergeCell ref="D496:D497"/>
    <mergeCell ref="E496:E497"/>
    <mergeCell ref="F496:F497"/>
    <mergeCell ref="G496:G497"/>
    <mergeCell ref="C498:D498"/>
    <mergeCell ref="F498:G498"/>
    <mergeCell ref="I498:J498"/>
    <mergeCell ref="B499:B500"/>
    <mergeCell ref="C499:C500"/>
    <mergeCell ref="D499:D500"/>
    <mergeCell ref="E499:E500"/>
    <mergeCell ref="F499:F500"/>
    <mergeCell ref="G499:G500"/>
    <mergeCell ref="B501:B502"/>
    <mergeCell ref="C501:C502"/>
    <mergeCell ref="D501:D502"/>
    <mergeCell ref="E501:E502"/>
    <mergeCell ref="F501:F502"/>
    <mergeCell ref="G501:G502"/>
    <mergeCell ref="C503:D503"/>
    <mergeCell ref="F503:G503"/>
    <mergeCell ref="I503:J503"/>
    <mergeCell ref="B509:B510"/>
    <mergeCell ref="C509:C510"/>
    <mergeCell ref="D509:D510"/>
    <mergeCell ref="E509:E510"/>
    <mergeCell ref="F509:F510"/>
    <mergeCell ref="G509:G510"/>
    <mergeCell ref="B511:B512"/>
    <mergeCell ref="C511:C512"/>
    <mergeCell ref="D511:D512"/>
    <mergeCell ref="E511:E512"/>
    <mergeCell ref="F511:F512"/>
    <mergeCell ref="G511:G512"/>
    <mergeCell ref="C513:D513"/>
    <mergeCell ref="F513:G513"/>
    <mergeCell ref="I513:J513"/>
    <mergeCell ref="B514:B515"/>
    <mergeCell ref="C514:C515"/>
    <mergeCell ref="D514:D515"/>
    <mergeCell ref="E514:E515"/>
    <mergeCell ref="F514:F515"/>
    <mergeCell ref="G514:G515"/>
    <mergeCell ref="B516:B517"/>
    <mergeCell ref="C516:C517"/>
    <mergeCell ref="D516:D517"/>
    <mergeCell ref="E516:E517"/>
    <mergeCell ref="F516:F517"/>
    <mergeCell ref="G516:G517"/>
    <mergeCell ref="C518:D518"/>
    <mergeCell ref="F518:G518"/>
    <mergeCell ref="I518:J518"/>
    <mergeCell ref="B519:B520"/>
    <mergeCell ref="C519:C520"/>
    <mergeCell ref="D519:D520"/>
    <mergeCell ref="E519:E520"/>
    <mergeCell ref="F519:F520"/>
    <mergeCell ref="G519:G520"/>
    <mergeCell ref="B521:B522"/>
    <mergeCell ref="C521:C522"/>
    <mergeCell ref="D521:D522"/>
    <mergeCell ref="E521:E522"/>
    <mergeCell ref="F521:F522"/>
    <mergeCell ref="G521:G522"/>
    <mergeCell ref="C523:D523"/>
    <mergeCell ref="F523:G523"/>
    <mergeCell ref="I523:J523"/>
    <mergeCell ref="B524:B525"/>
    <mergeCell ref="C524:C525"/>
    <mergeCell ref="D524:D525"/>
    <mergeCell ref="E524:E525"/>
    <mergeCell ref="F524:F525"/>
    <mergeCell ref="G524:G525"/>
    <mergeCell ref="B526:B527"/>
    <mergeCell ref="C526:C527"/>
    <mergeCell ref="D526:D527"/>
    <mergeCell ref="E526:E527"/>
    <mergeCell ref="F526:F527"/>
    <mergeCell ref="G526:G527"/>
    <mergeCell ref="C528:D528"/>
    <mergeCell ref="F528:G528"/>
    <mergeCell ref="I528:J528"/>
    <mergeCell ref="B529:B530"/>
    <mergeCell ref="C529:C530"/>
    <mergeCell ref="D529:D530"/>
    <mergeCell ref="E529:E530"/>
    <mergeCell ref="F529:F530"/>
    <mergeCell ref="G529:G530"/>
    <mergeCell ref="B531:B532"/>
    <mergeCell ref="C531:C532"/>
    <mergeCell ref="D531:D532"/>
    <mergeCell ref="E531:E532"/>
    <mergeCell ref="F531:F532"/>
    <mergeCell ref="G531:G532"/>
    <mergeCell ref="C533:D533"/>
    <mergeCell ref="F533:G533"/>
    <mergeCell ref="I533:J533"/>
    <mergeCell ref="B534:B535"/>
    <mergeCell ref="C534:C535"/>
    <mergeCell ref="D534:D535"/>
    <mergeCell ref="E534:E535"/>
    <mergeCell ref="F534:F535"/>
    <mergeCell ref="G534:G535"/>
    <mergeCell ref="B536:B537"/>
    <mergeCell ref="C536:C537"/>
    <mergeCell ref="D536:D537"/>
    <mergeCell ref="E536:E537"/>
    <mergeCell ref="F536:F537"/>
    <mergeCell ref="G536:G537"/>
    <mergeCell ref="C538:D538"/>
    <mergeCell ref="F538:G538"/>
    <mergeCell ref="I538:J538"/>
    <mergeCell ref="B555:C555"/>
    <mergeCell ref="B556:C556"/>
    <mergeCell ref="B557:D557"/>
    <mergeCell ref="E557:G557"/>
    <mergeCell ref="H557:J557"/>
    <mergeCell ref="B558:B559"/>
    <mergeCell ref="C558:C559"/>
    <mergeCell ref="D558:D559"/>
    <mergeCell ref="E558:E559"/>
    <mergeCell ref="F558:F559"/>
    <mergeCell ref="G558:G559"/>
    <mergeCell ref="B560:B561"/>
    <mergeCell ref="C560:C561"/>
    <mergeCell ref="D560:D561"/>
    <mergeCell ref="E560:E561"/>
    <mergeCell ref="F560:F561"/>
    <mergeCell ref="G560:G561"/>
    <mergeCell ref="C562:D562"/>
    <mergeCell ref="F562:G562"/>
    <mergeCell ref="I562:J562"/>
    <mergeCell ref="B563:B564"/>
    <mergeCell ref="C563:C564"/>
    <mergeCell ref="D563:D564"/>
    <mergeCell ref="E563:E564"/>
    <mergeCell ref="F563:F564"/>
    <mergeCell ref="G563:G564"/>
    <mergeCell ref="B565:B566"/>
    <mergeCell ref="C565:C566"/>
    <mergeCell ref="D565:D566"/>
    <mergeCell ref="E565:E566"/>
    <mergeCell ref="F565:F566"/>
    <mergeCell ref="G565:G566"/>
    <mergeCell ref="C567:D567"/>
    <mergeCell ref="F567:G567"/>
    <mergeCell ref="I567:J567"/>
    <mergeCell ref="B568:B569"/>
    <mergeCell ref="C568:C569"/>
    <mergeCell ref="D568:D569"/>
    <mergeCell ref="E568:E569"/>
    <mergeCell ref="F568:F569"/>
    <mergeCell ref="G568:G569"/>
    <mergeCell ref="B570:B571"/>
    <mergeCell ref="C570:C571"/>
    <mergeCell ref="D570:D571"/>
    <mergeCell ref="E570:E571"/>
    <mergeCell ref="F570:F571"/>
    <mergeCell ref="G570:G571"/>
    <mergeCell ref="C572:D572"/>
    <mergeCell ref="F572:G572"/>
    <mergeCell ref="I572:J572"/>
    <mergeCell ref="B573:B574"/>
    <mergeCell ref="C573:C574"/>
    <mergeCell ref="D573:D574"/>
    <mergeCell ref="E573:E574"/>
    <mergeCell ref="F573:F574"/>
    <mergeCell ref="G573:G574"/>
    <mergeCell ref="B575:B576"/>
    <mergeCell ref="C575:C576"/>
    <mergeCell ref="D575:D576"/>
    <mergeCell ref="E575:E576"/>
    <mergeCell ref="F575:F576"/>
    <mergeCell ref="G575:G576"/>
    <mergeCell ref="C577:D577"/>
    <mergeCell ref="F577:G577"/>
    <mergeCell ref="I577:J577"/>
    <mergeCell ref="B578:B579"/>
    <mergeCell ref="C578:C579"/>
    <mergeCell ref="D578:D579"/>
    <mergeCell ref="E578:E579"/>
    <mergeCell ref="F578:F579"/>
    <mergeCell ref="G578:G579"/>
    <mergeCell ref="B580:B581"/>
    <mergeCell ref="C580:C581"/>
    <mergeCell ref="D580:D581"/>
    <mergeCell ref="E580:E581"/>
    <mergeCell ref="F580:F581"/>
    <mergeCell ref="G580:G581"/>
    <mergeCell ref="C582:D582"/>
    <mergeCell ref="F582:G582"/>
    <mergeCell ref="I582:J582"/>
    <mergeCell ref="B583:B584"/>
    <mergeCell ref="C583:C584"/>
    <mergeCell ref="D583:D584"/>
    <mergeCell ref="E583:E584"/>
    <mergeCell ref="F583:F584"/>
    <mergeCell ref="G583:G584"/>
    <mergeCell ref="B585:B586"/>
    <mergeCell ref="C585:C586"/>
    <mergeCell ref="D585:D586"/>
    <mergeCell ref="E585:E586"/>
    <mergeCell ref="F585:F586"/>
    <mergeCell ref="G585:G586"/>
    <mergeCell ref="C587:D587"/>
    <mergeCell ref="F587:G587"/>
    <mergeCell ref="I587:J587"/>
    <mergeCell ref="B588:B589"/>
    <mergeCell ref="C588:C589"/>
    <mergeCell ref="D588:D589"/>
    <mergeCell ref="E588:E589"/>
    <mergeCell ref="F588:F589"/>
    <mergeCell ref="G588:G589"/>
    <mergeCell ref="B590:B591"/>
    <mergeCell ref="C590:C591"/>
    <mergeCell ref="D590:D591"/>
    <mergeCell ref="E590:E591"/>
    <mergeCell ref="F590:F591"/>
    <mergeCell ref="G590:G591"/>
    <mergeCell ref="C592:D592"/>
    <mergeCell ref="F592:G592"/>
    <mergeCell ref="I592:J592"/>
    <mergeCell ref="B593:B594"/>
    <mergeCell ref="C593:C594"/>
    <mergeCell ref="D593:D594"/>
    <mergeCell ref="E593:E594"/>
    <mergeCell ref="F593:F594"/>
    <mergeCell ref="G593:G594"/>
    <mergeCell ref="B595:B596"/>
    <mergeCell ref="C595:C596"/>
    <mergeCell ref="D595:D596"/>
    <mergeCell ref="E595:E596"/>
    <mergeCell ref="F595:F596"/>
    <mergeCell ref="G595:G596"/>
    <mergeCell ref="C597:D597"/>
    <mergeCell ref="F597:G597"/>
    <mergeCell ref="I597:J597"/>
    <mergeCell ref="B602:B603"/>
    <mergeCell ref="C602:C603"/>
    <mergeCell ref="D602:D603"/>
    <mergeCell ref="E602:E603"/>
    <mergeCell ref="F602:F603"/>
    <mergeCell ref="G602:G603"/>
    <mergeCell ref="B604:B605"/>
    <mergeCell ref="C604:C605"/>
    <mergeCell ref="D604:D605"/>
    <mergeCell ref="E604:E605"/>
    <mergeCell ref="F604:F605"/>
    <mergeCell ref="G604:G605"/>
    <mergeCell ref="C606:D606"/>
    <mergeCell ref="F606:G606"/>
    <mergeCell ref="I606:J606"/>
    <mergeCell ref="B607:B608"/>
    <mergeCell ref="C607:C608"/>
    <mergeCell ref="D607:D608"/>
    <mergeCell ref="E607:E608"/>
    <mergeCell ref="F607:F608"/>
    <mergeCell ref="G607:G608"/>
    <mergeCell ref="B609:B610"/>
    <mergeCell ref="C609:C610"/>
    <mergeCell ref="D609:D610"/>
    <mergeCell ref="E609:E610"/>
    <mergeCell ref="F609:F610"/>
    <mergeCell ref="G609:G610"/>
    <mergeCell ref="C611:D611"/>
    <mergeCell ref="F611:G611"/>
    <mergeCell ref="I611:J611"/>
    <mergeCell ref="B612:B613"/>
    <mergeCell ref="C612:C613"/>
    <mergeCell ref="D612:D613"/>
    <mergeCell ref="E612:E613"/>
    <mergeCell ref="F612:F613"/>
    <mergeCell ref="G612:G613"/>
    <mergeCell ref="B614:B615"/>
    <mergeCell ref="C614:C615"/>
    <mergeCell ref="D614:D615"/>
    <mergeCell ref="E614:E615"/>
    <mergeCell ref="F614:F615"/>
    <mergeCell ref="G614:G615"/>
    <mergeCell ref="C616:D616"/>
    <mergeCell ref="F616:G616"/>
    <mergeCell ref="I616:J616"/>
    <mergeCell ref="B617:B618"/>
    <mergeCell ref="C617:C618"/>
    <mergeCell ref="D617:D618"/>
    <mergeCell ref="E617:E618"/>
    <mergeCell ref="F617:F618"/>
    <mergeCell ref="G617:G618"/>
    <mergeCell ref="B619:B620"/>
    <mergeCell ref="C619:C620"/>
    <mergeCell ref="D619:D620"/>
    <mergeCell ref="E619:E620"/>
    <mergeCell ref="F619:F620"/>
    <mergeCell ref="G619:G620"/>
    <mergeCell ref="C621:D621"/>
    <mergeCell ref="F621:G621"/>
    <mergeCell ref="I621:J621"/>
    <mergeCell ref="B622:B623"/>
    <mergeCell ref="C622:C623"/>
    <mergeCell ref="D622:D623"/>
    <mergeCell ref="E622:E623"/>
    <mergeCell ref="F622:F623"/>
    <mergeCell ref="G622:G623"/>
    <mergeCell ref="B624:B625"/>
    <mergeCell ref="C624:C625"/>
    <mergeCell ref="D624:D625"/>
    <mergeCell ref="E624:E625"/>
    <mergeCell ref="F624:F625"/>
    <mergeCell ref="G624:G625"/>
    <mergeCell ref="C626:D626"/>
    <mergeCell ref="F626:G626"/>
    <mergeCell ref="I626:J626"/>
    <mergeCell ref="B627:B628"/>
    <mergeCell ref="C627:C628"/>
    <mergeCell ref="D627:D628"/>
    <mergeCell ref="E627:E628"/>
    <mergeCell ref="F627:F628"/>
    <mergeCell ref="G627:G628"/>
    <mergeCell ref="B629:B630"/>
    <mergeCell ref="C629:C630"/>
    <mergeCell ref="D629:D630"/>
    <mergeCell ref="E629:E630"/>
    <mergeCell ref="F629:F630"/>
    <mergeCell ref="G629:G630"/>
    <mergeCell ref="C631:D631"/>
    <mergeCell ref="F631:G631"/>
    <mergeCell ref="I631:J631"/>
    <mergeCell ref="B632:B633"/>
    <mergeCell ref="C632:C633"/>
    <mergeCell ref="D632:D633"/>
    <mergeCell ref="E632:E633"/>
    <mergeCell ref="F632:F633"/>
    <mergeCell ref="G632:G633"/>
    <mergeCell ref="B634:B635"/>
    <mergeCell ref="C634:C635"/>
    <mergeCell ref="D634:D635"/>
    <mergeCell ref="E634:E635"/>
    <mergeCell ref="F634:F635"/>
    <mergeCell ref="G634:G635"/>
    <mergeCell ref="C636:D636"/>
    <mergeCell ref="F636:G636"/>
    <mergeCell ref="I636:J636"/>
    <mergeCell ref="B637:B638"/>
    <mergeCell ref="C637:C638"/>
    <mergeCell ref="D637:D638"/>
    <mergeCell ref="E637:E638"/>
    <mergeCell ref="F637:F638"/>
    <mergeCell ref="G637:G638"/>
    <mergeCell ref="B639:B640"/>
    <mergeCell ref="C639:C640"/>
    <mergeCell ref="D639:D640"/>
    <mergeCell ref="E639:E640"/>
    <mergeCell ref="F639:F640"/>
    <mergeCell ref="G639:G640"/>
    <mergeCell ref="C641:D641"/>
    <mergeCell ref="F641:G641"/>
    <mergeCell ref="I641:J641"/>
    <mergeCell ref="B642:B643"/>
    <mergeCell ref="C642:C643"/>
    <mergeCell ref="D642:D643"/>
    <mergeCell ref="E642:E643"/>
    <mergeCell ref="F642:F643"/>
    <mergeCell ref="G642:G643"/>
    <mergeCell ref="B644:B645"/>
    <mergeCell ref="C644:C645"/>
    <mergeCell ref="D644:D645"/>
    <mergeCell ref="E644:E645"/>
    <mergeCell ref="F644:F645"/>
    <mergeCell ref="G644:G645"/>
    <mergeCell ref="C646:D646"/>
    <mergeCell ref="F646:G646"/>
    <mergeCell ref="I646:J646"/>
    <mergeCell ref="B647:B648"/>
    <mergeCell ref="C647:C648"/>
    <mergeCell ref="D647:D648"/>
    <mergeCell ref="E647:E648"/>
    <mergeCell ref="F647:F648"/>
    <mergeCell ref="G647:G648"/>
    <mergeCell ref="B649:B650"/>
    <mergeCell ref="C649:C650"/>
    <mergeCell ref="D649:D650"/>
    <mergeCell ref="E649:E650"/>
    <mergeCell ref="F649:F650"/>
    <mergeCell ref="G649:G650"/>
    <mergeCell ref="C651:D651"/>
    <mergeCell ref="F651:G651"/>
    <mergeCell ref="I651:J651"/>
    <mergeCell ref="B1078:C1078"/>
    <mergeCell ref="B1079:C1079"/>
    <mergeCell ref="B1080:D1080"/>
    <mergeCell ref="E1080:G1080"/>
    <mergeCell ref="H1080:J1080"/>
    <mergeCell ref="B1081:B1082"/>
    <mergeCell ref="C1081:C1082"/>
    <mergeCell ref="D1081:D1082"/>
    <mergeCell ref="E1081:E1082"/>
    <mergeCell ref="F1081:F1082"/>
    <mergeCell ref="G1081:G1082"/>
    <mergeCell ref="B1083:B1084"/>
    <mergeCell ref="C1083:C1084"/>
    <mergeCell ref="D1083:D1084"/>
    <mergeCell ref="E1083:E1084"/>
    <mergeCell ref="F1083:F1084"/>
    <mergeCell ref="G1083:G1084"/>
    <mergeCell ref="C1085:D1085"/>
    <mergeCell ref="F1085:G1085"/>
    <mergeCell ref="I1085:J1085"/>
    <mergeCell ref="B1086:B1087"/>
    <mergeCell ref="C1086:C1087"/>
    <mergeCell ref="D1086:D1087"/>
    <mergeCell ref="E1086:E1087"/>
    <mergeCell ref="F1086:F1087"/>
    <mergeCell ref="G1086:G1087"/>
    <mergeCell ref="B1088:B1089"/>
    <mergeCell ref="C1088:C1089"/>
    <mergeCell ref="D1088:D1089"/>
    <mergeCell ref="E1088:E1089"/>
    <mergeCell ref="F1088:F1089"/>
    <mergeCell ref="G1088:G1089"/>
    <mergeCell ref="C1090:D1090"/>
    <mergeCell ref="F1090:G1090"/>
    <mergeCell ref="I1090:J1090"/>
    <mergeCell ref="B1091:B1092"/>
    <mergeCell ref="C1091:C1092"/>
    <mergeCell ref="D1091:D1092"/>
    <mergeCell ref="E1091:E1092"/>
    <mergeCell ref="F1091:F1092"/>
    <mergeCell ref="G1091:G1092"/>
    <mergeCell ref="B1093:B1094"/>
    <mergeCell ref="C1093:C1094"/>
    <mergeCell ref="D1093:D1094"/>
    <mergeCell ref="E1093:E1094"/>
    <mergeCell ref="F1093:F1094"/>
    <mergeCell ref="G1093:G1094"/>
    <mergeCell ref="C1095:D1095"/>
    <mergeCell ref="F1095:G1095"/>
    <mergeCell ref="I1095:J1095"/>
    <mergeCell ref="B1096:B1097"/>
    <mergeCell ref="C1096:C1097"/>
    <mergeCell ref="D1096:D1097"/>
    <mergeCell ref="E1096:E1097"/>
    <mergeCell ref="F1096:F1097"/>
    <mergeCell ref="G1096:G1097"/>
    <mergeCell ref="B1098:B1099"/>
    <mergeCell ref="C1098:C1099"/>
    <mergeCell ref="D1098:D1099"/>
    <mergeCell ref="E1098:E1099"/>
    <mergeCell ref="F1098:F1099"/>
    <mergeCell ref="G1098:G1099"/>
    <mergeCell ref="C1100:D1100"/>
    <mergeCell ref="F1100:G1100"/>
    <mergeCell ref="I1100:J1100"/>
    <mergeCell ref="B1101:B1102"/>
    <mergeCell ref="C1101:C1102"/>
    <mergeCell ref="D1101:D1102"/>
    <mergeCell ref="E1101:E1102"/>
    <mergeCell ref="F1101:F1102"/>
    <mergeCell ref="G1101:G1102"/>
    <mergeCell ref="B1103:B1104"/>
    <mergeCell ref="C1103:C1104"/>
    <mergeCell ref="D1103:D1104"/>
    <mergeCell ref="E1103:E1104"/>
    <mergeCell ref="F1103:F1104"/>
    <mergeCell ref="G1103:G1104"/>
    <mergeCell ref="C1105:D1105"/>
    <mergeCell ref="F1105:G1105"/>
    <mergeCell ref="I1105:J1105"/>
    <mergeCell ref="B1106:B1107"/>
    <mergeCell ref="C1106:C1107"/>
    <mergeCell ref="D1106:D1107"/>
    <mergeCell ref="E1106:E1107"/>
    <mergeCell ref="F1106:F1107"/>
    <mergeCell ref="G1106:G1107"/>
    <mergeCell ref="B1108:B1109"/>
    <mergeCell ref="C1108:C1109"/>
    <mergeCell ref="D1108:D1109"/>
    <mergeCell ref="E1108:E1109"/>
    <mergeCell ref="F1108:F1109"/>
    <mergeCell ref="G1108:G1109"/>
    <mergeCell ref="C1110:D1110"/>
    <mergeCell ref="F1110:G1110"/>
    <mergeCell ref="I1110:J1110"/>
    <mergeCell ref="B1111:B1112"/>
    <mergeCell ref="C1111:C1112"/>
    <mergeCell ref="D1111:D1112"/>
    <mergeCell ref="E1111:E1112"/>
    <mergeCell ref="F1111:F1112"/>
    <mergeCell ref="G1111:G1112"/>
    <mergeCell ref="B1113:B1114"/>
    <mergeCell ref="C1113:C1114"/>
    <mergeCell ref="D1113:D1114"/>
    <mergeCell ref="E1113:E1114"/>
    <mergeCell ref="F1113:F1114"/>
    <mergeCell ref="G1113:G1114"/>
    <mergeCell ref="C1115:D1115"/>
    <mergeCell ref="F1115:G1115"/>
    <mergeCell ref="I1115:J1115"/>
    <mergeCell ref="B1124:C1124"/>
    <mergeCell ref="B1125:C1125"/>
    <mergeCell ref="B1126:D1126"/>
    <mergeCell ref="E1126:G1126"/>
    <mergeCell ref="H1126:J1126"/>
    <mergeCell ref="B1127:B1128"/>
    <mergeCell ref="C1127:C1128"/>
    <mergeCell ref="D1127:D1128"/>
    <mergeCell ref="E1127:E1128"/>
    <mergeCell ref="F1127:F1128"/>
    <mergeCell ref="G1127:G1128"/>
    <mergeCell ref="B1129:B1130"/>
    <mergeCell ref="C1129:C1130"/>
    <mergeCell ref="D1129:D1130"/>
    <mergeCell ref="E1129:E1130"/>
    <mergeCell ref="F1129:F1130"/>
    <mergeCell ref="G1129:G1130"/>
    <mergeCell ref="C1131:D1131"/>
    <mergeCell ref="F1131:G1131"/>
    <mergeCell ref="I1131:J1131"/>
    <mergeCell ref="B1132:B1133"/>
    <mergeCell ref="C1132:C1133"/>
    <mergeCell ref="D1132:D1133"/>
    <mergeCell ref="E1132:E1133"/>
    <mergeCell ref="F1132:F1133"/>
    <mergeCell ref="G1132:G1133"/>
    <mergeCell ref="B1134:B1135"/>
    <mergeCell ref="C1134:C1135"/>
    <mergeCell ref="D1134:D1135"/>
    <mergeCell ref="E1134:E1135"/>
    <mergeCell ref="F1134:F1135"/>
    <mergeCell ref="G1134:G1135"/>
    <mergeCell ref="C1136:D1136"/>
    <mergeCell ref="F1136:G1136"/>
    <mergeCell ref="I1136:J1136"/>
    <mergeCell ref="B1137:B1138"/>
    <mergeCell ref="C1137:C1138"/>
    <mergeCell ref="D1137:D1138"/>
    <mergeCell ref="E1137:E1138"/>
    <mergeCell ref="F1137:F1138"/>
    <mergeCell ref="G1137:G1138"/>
    <mergeCell ref="B1139:B1140"/>
    <mergeCell ref="C1139:C1140"/>
    <mergeCell ref="D1139:D1140"/>
    <mergeCell ref="E1139:E1140"/>
    <mergeCell ref="F1139:F1140"/>
    <mergeCell ref="G1139:G1140"/>
    <mergeCell ref="C1141:D1141"/>
    <mergeCell ref="F1141:G1141"/>
    <mergeCell ref="I1141:J1141"/>
    <mergeCell ref="B1142:B1143"/>
    <mergeCell ref="C1142:C1143"/>
    <mergeCell ref="D1142:D1143"/>
    <mergeCell ref="E1142:E1143"/>
    <mergeCell ref="F1142:F1143"/>
    <mergeCell ref="G1142:G1143"/>
    <mergeCell ref="B1144:B1145"/>
    <mergeCell ref="C1144:C1145"/>
    <mergeCell ref="D1144:D1145"/>
    <mergeCell ref="E1144:E1145"/>
    <mergeCell ref="F1144:F1145"/>
    <mergeCell ref="G1144:G1145"/>
    <mergeCell ref="C1146:D1146"/>
    <mergeCell ref="F1146:G1146"/>
    <mergeCell ref="I1146:J1146"/>
    <mergeCell ref="B1147:B1148"/>
    <mergeCell ref="C1147:C1148"/>
    <mergeCell ref="D1147:D1148"/>
    <mergeCell ref="E1147:E1148"/>
    <mergeCell ref="F1147:F1148"/>
    <mergeCell ref="G1147:G1148"/>
    <mergeCell ref="B1149:B1150"/>
    <mergeCell ref="C1149:C1150"/>
    <mergeCell ref="D1149:D1150"/>
    <mergeCell ref="E1149:E1150"/>
    <mergeCell ref="F1149:F1150"/>
    <mergeCell ref="G1149:G1150"/>
    <mergeCell ref="C1151:D1151"/>
    <mergeCell ref="F1151:G1151"/>
    <mergeCell ref="I1151:J1151"/>
    <mergeCell ref="B1152:B1153"/>
    <mergeCell ref="C1152:C1153"/>
    <mergeCell ref="D1152:D1153"/>
    <mergeCell ref="E1152:E1153"/>
    <mergeCell ref="F1152:F1153"/>
    <mergeCell ref="G1152:G1153"/>
    <mergeCell ref="B1154:B1155"/>
    <mergeCell ref="C1154:C1155"/>
    <mergeCell ref="D1154:D1155"/>
    <mergeCell ref="E1154:E1155"/>
    <mergeCell ref="F1154:F1155"/>
    <mergeCell ref="G1154:G1155"/>
    <mergeCell ref="C1156:D1156"/>
    <mergeCell ref="F1156:G1156"/>
    <mergeCell ref="I1156:J1156"/>
    <mergeCell ref="B1157:B1158"/>
    <mergeCell ref="C1157:C1158"/>
    <mergeCell ref="D1157:D1158"/>
    <mergeCell ref="E1157:E1158"/>
    <mergeCell ref="F1157:F1158"/>
    <mergeCell ref="G1157:G1158"/>
    <mergeCell ref="B1159:B1160"/>
    <mergeCell ref="C1159:C1160"/>
    <mergeCell ref="D1159:D1160"/>
    <mergeCell ref="E1159:E1160"/>
    <mergeCell ref="F1159:F1160"/>
    <mergeCell ref="G1159:G1160"/>
    <mergeCell ref="C1161:D1161"/>
    <mergeCell ref="F1161:G1161"/>
    <mergeCell ref="I1161:J1161"/>
    <mergeCell ref="B1162:B1163"/>
    <mergeCell ref="C1162:C1163"/>
    <mergeCell ref="D1162:D1163"/>
    <mergeCell ref="E1162:E1163"/>
    <mergeCell ref="F1162:F1163"/>
    <mergeCell ref="G1162:G1163"/>
    <mergeCell ref="B1164:B1165"/>
    <mergeCell ref="C1164:C1165"/>
    <mergeCell ref="D1164:D1165"/>
    <mergeCell ref="E1164:E1165"/>
    <mergeCell ref="F1164:F1165"/>
    <mergeCell ref="G1164:G1165"/>
    <mergeCell ref="C1166:D1166"/>
    <mergeCell ref="F1166:G1166"/>
    <mergeCell ref="I1166:J1166"/>
    <mergeCell ref="B1169:B1170"/>
    <mergeCell ref="C1169:C1170"/>
    <mergeCell ref="D1169:D1170"/>
    <mergeCell ref="E1169:E1170"/>
    <mergeCell ref="F1169:F1170"/>
    <mergeCell ref="G1169:G1170"/>
    <mergeCell ref="B1171:B1172"/>
    <mergeCell ref="C1171:C1172"/>
    <mergeCell ref="D1171:D1172"/>
    <mergeCell ref="E1171:E1172"/>
    <mergeCell ref="F1171:F1172"/>
    <mergeCell ref="G1171:G1172"/>
    <mergeCell ref="C1173:D1173"/>
    <mergeCell ref="F1173:G1173"/>
    <mergeCell ref="I1173:J1173"/>
    <mergeCell ref="B1174:B1175"/>
    <mergeCell ref="C1174:C1175"/>
    <mergeCell ref="D1174:D1175"/>
    <mergeCell ref="E1174:E1175"/>
    <mergeCell ref="F1174:F1175"/>
    <mergeCell ref="G1174:G1175"/>
    <mergeCell ref="B1176:B1177"/>
    <mergeCell ref="C1176:C1177"/>
    <mergeCell ref="D1176:D1177"/>
    <mergeCell ref="E1176:E1177"/>
    <mergeCell ref="F1176:F1177"/>
    <mergeCell ref="G1176:G1177"/>
    <mergeCell ref="C1178:D1178"/>
    <mergeCell ref="F1178:G1178"/>
    <mergeCell ref="I1178:J1178"/>
    <mergeCell ref="B1179:B1180"/>
    <mergeCell ref="C1179:C1180"/>
    <mergeCell ref="D1179:D1180"/>
    <mergeCell ref="E1179:E1180"/>
    <mergeCell ref="F1179:F1180"/>
    <mergeCell ref="G1179:G1180"/>
    <mergeCell ref="B1181:B1182"/>
    <mergeCell ref="C1181:C1182"/>
    <mergeCell ref="D1181:D1182"/>
    <mergeCell ref="E1181:E1182"/>
    <mergeCell ref="F1181:F1182"/>
    <mergeCell ref="G1181:G1182"/>
    <mergeCell ref="C1183:D1183"/>
    <mergeCell ref="F1183:G1183"/>
    <mergeCell ref="I1183:J1183"/>
    <mergeCell ref="B1184:B1185"/>
    <mergeCell ref="C1184:C1185"/>
    <mergeCell ref="D1184:D1185"/>
    <mergeCell ref="E1184:E1185"/>
    <mergeCell ref="F1184:F1185"/>
    <mergeCell ref="G1184:G1185"/>
    <mergeCell ref="B1186:B1187"/>
    <mergeCell ref="C1186:C1187"/>
    <mergeCell ref="D1186:D1187"/>
    <mergeCell ref="E1186:E1187"/>
    <mergeCell ref="F1186:F1187"/>
    <mergeCell ref="G1186:G1187"/>
    <mergeCell ref="C1188:D1188"/>
    <mergeCell ref="F1188:G1188"/>
    <mergeCell ref="I1188:J1188"/>
    <mergeCell ref="B1190:C1190"/>
    <mergeCell ref="B1191:C1191"/>
    <mergeCell ref="B1192:D1192"/>
    <mergeCell ref="E1192:G1192"/>
    <mergeCell ref="H1192:J1192"/>
    <mergeCell ref="B1193:B1194"/>
    <mergeCell ref="C1193:C1194"/>
    <mergeCell ref="D1193:D1194"/>
    <mergeCell ref="E1193:E1194"/>
    <mergeCell ref="F1193:F1194"/>
    <mergeCell ref="G1193:G1194"/>
    <mergeCell ref="B1195:B1196"/>
    <mergeCell ref="C1195:C1196"/>
    <mergeCell ref="D1195:D1196"/>
    <mergeCell ref="E1195:E1196"/>
    <mergeCell ref="F1195:F1196"/>
    <mergeCell ref="G1195:G1196"/>
    <mergeCell ref="C1197:D1197"/>
    <mergeCell ref="F1197:G1197"/>
    <mergeCell ref="I1197:J1197"/>
    <mergeCell ref="B1198:B1199"/>
    <mergeCell ref="C1198:C1199"/>
    <mergeCell ref="D1198:D1199"/>
    <mergeCell ref="E1198:E1199"/>
    <mergeCell ref="F1198:F1199"/>
    <mergeCell ref="G1198:G1199"/>
    <mergeCell ref="B1200:B1201"/>
    <mergeCell ref="C1200:C1201"/>
    <mergeCell ref="D1200:D1201"/>
    <mergeCell ref="E1200:E1201"/>
    <mergeCell ref="F1200:F1201"/>
    <mergeCell ref="G1200:G1201"/>
    <mergeCell ref="C1202:D1202"/>
    <mergeCell ref="F1202:G1202"/>
    <mergeCell ref="I1202:J1202"/>
    <mergeCell ref="B1203:B1204"/>
    <mergeCell ref="C1203:C1204"/>
    <mergeCell ref="D1203:D1204"/>
    <mergeCell ref="E1203:E1204"/>
    <mergeCell ref="F1203:F1204"/>
    <mergeCell ref="G1203:G1204"/>
    <mergeCell ref="B1205:B1206"/>
    <mergeCell ref="C1205:C1206"/>
    <mergeCell ref="D1205:D1206"/>
    <mergeCell ref="E1205:E1206"/>
    <mergeCell ref="F1205:F1206"/>
    <mergeCell ref="G1205:G1206"/>
    <mergeCell ref="C1207:D1207"/>
    <mergeCell ref="F1207:G1207"/>
    <mergeCell ref="I1207:J1207"/>
    <mergeCell ref="B1214:B1215"/>
    <mergeCell ref="C1214:C1215"/>
    <mergeCell ref="D1214:D1215"/>
    <mergeCell ref="E1214:E1215"/>
    <mergeCell ref="F1214:F1215"/>
    <mergeCell ref="G1214:G1215"/>
    <mergeCell ref="B1216:B1217"/>
    <mergeCell ref="C1216:C1217"/>
    <mergeCell ref="D1216:D1217"/>
    <mergeCell ref="E1216:E1217"/>
    <mergeCell ref="F1216:F1217"/>
    <mergeCell ref="G1216:G1217"/>
    <mergeCell ref="C1218:D1218"/>
    <mergeCell ref="F1218:G1218"/>
    <mergeCell ref="I1218:J1218"/>
    <mergeCell ref="B1219:B1220"/>
    <mergeCell ref="C1219:C1220"/>
    <mergeCell ref="D1219:D1220"/>
    <mergeCell ref="E1219:E1220"/>
    <mergeCell ref="F1219:F1220"/>
    <mergeCell ref="G1219:G1220"/>
    <mergeCell ref="B1221:B1222"/>
    <mergeCell ref="C1221:C1222"/>
    <mergeCell ref="D1221:D1222"/>
    <mergeCell ref="E1221:E1222"/>
    <mergeCell ref="F1221:F1222"/>
    <mergeCell ref="G1221:G1222"/>
    <mergeCell ref="C1223:D1223"/>
    <mergeCell ref="F1223:G1223"/>
    <mergeCell ref="I1223:J1223"/>
    <mergeCell ref="B1225:C1225"/>
    <mergeCell ref="B1226:C1226"/>
    <mergeCell ref="B1227:D1227"/>
    <mergeCell ref="E1227:G1227"/>
    <mergeCell ref="H1227:J1227"/>
    <mergeCell ref="B1228:B1229"/>
    <mergeCell ref="C1228:C1229"/>
    <mergeCell ref="D1228:D1229"/>
    <mergeCell ref="E1228:E1229"/>
    <mergeCell ref="F1228:F1229"/>
    <mergeCell ref="G1228:G1229"/>
    <mergeCell ref="B1230:B1231"/>
    <mergeCell ref="C1230:C1231"/>
    <mergeCell ref="D1230:D1231"/>
    <mergeCell ref="E1230:E1231"/>
    <mergeCell ref="F1230:F1231"/>
    <mergeCell ref="G1230:G1231"/>
    <mergeCell ref="C1232:D1232"/>
    <mergeCell ref="F1232:G1232"/>
    <mergeCell ref="I1232:J1232"/>
    <mergeCell ref="B1233:B1234"/>
    <mergeCell ref="C1233:C1234"/>
    <mergeCell ref="D1233:D1234"/>
    <mergeCell ref="E1233:E1234"/>
    <mergeCell ref="F1233:F1234"/>
    <mergeCell ref="G1233:G1234"/>
    <mergeCell ref="B1235:B1236"/>
    <mergeCell ref="C1235:C1236"/>
    <mergeCell ref="D1235:D1236"/>
    <mergeCell ref="E1235:E1236"/>
    <mergeCell ref="F1235:F1236"/>
    <mergeCell ref="G1235:G1236"/>
    <mergeCell ref="C1237:D1237"/>
    <mergeCell ref="F1237:G1237"/>
    <mergeCell ref="I1237:J1237"/>
    <mergeCell ref="B1238:B1239"/>
    <mergeCell ref="C1238:C1239"/>
    <mergeCell ref="D1238:D1239"/>
    <mergeCell ref="E1238:E1239"/>
    <mergeCell ref="F1238:F1239"/>
    <mergeCell ref="G1238:G1239"/>
    <mergeCell ref="B1240:B1241"/>
    <mergeCell ref="C1240:C1241"/>
    <mergeCell ref="D1240:D1241"/>
    <mergeCell ref="E1240:E1241"/>
    <mergeCell ref="F1240:F1241"/>
    <mergeCell ref="G1240:G1241"/>
    <mergeCell ref="C1242:D1242"/>
    <mergeCell ref="F1242:G1242"/>
    <mergeCell ref="I1242:J1242"/>
    <mergeCell ref="B1243:B1244"/>
    <mergeCell ref="C1243:C1244"/>
    <mergeCell ref="D1243:D1244"/>
    <mergeCell ref="E1243:E1244"/>
    <mergeCell ref="F1243:F1244"/>
    <mergeCell ref="G1243:G1244"/>
    <mergeCell ref="B1245:B1246"/>
    <mergeCell ref="C1245:C1246"/>
    <mergeCell ref="D1245:D1246"/>
    <mergeCell ref="E1245:E1246"/>
    <mergeCell ref="F1245:F1246"/>
    <mergeCell ref="G1245:G1246"/>
    <mergeCell ref="C1247:D1247"/>
    <mergeCell ref="F1247:G1247"/>
    <mergeCell ref="I1247:J1247"/>
    <mergeCell ref="B1248:B1249"/>
    <mergeCell ref="C1248:C1249"/>
    <mergeCell ref="D1248:D1249"/>
    <mergeCell ref="E1248:E1249"/>
    <mergeCell ref="F1248:F1249"/>
    <mergeCell ref="G1248:G1249"/>
    <mergeCell ref="B1250:B1251"/>
    <mergeCell ref="C1250:C1251"/>
    <mergeCell ref="D1250:D1251"/>
    <mergeCell ref="E1250:E1251"/>
    <mergeCell ref="F1250:F1251"/>
    <mergeCell ref="G1250:G1251"/>
    <mergeCell ref="C1252:D1252"/>
    <mergeCell ref="F1252:G1252"/>
    <mergeCell ref="I1252:J1252"/>
    <mergeCell ref="B1256:B1257"/>
    <mergeCell ref="C1256:C1257"/>
    <mergeCell ref="D1256:D1257"/>
    <mergeCell ref="E1256:E1257"/>
    <mergeCell ref="F1256:F1257"/>
    <mergeCell ref="G1256:G1257"/>
    <mergeCell ref="B1258:B1259"/>
    <mergeCell ref="C1258:C1259"/>
    <mergeCell ref="D1258:D1259"/>
    <mergeCell ref="E1258:E1259"/>
    <mergeCell ref="F1258:F1259"/>
    <mergeCell ref="G1258:G1259"/>
    <mergeCell ref="C1260:D1260"/>
    <mergeCell ref="F1260:G1260"/>
    <mergeCell ref="I1260:J1260"/>
    <mergeCell ref="B1261:B1262"/>
    <mergeCell ref="C1261:C1262"/>
    <mergeCell ref="D1261:D1262"/>
    <mergeCell ref="E1261:E1262"/>
    <mergeCell ref="F1261:F1262"/>
    <mergeCell ref="G1261:G1262"/>
    <mergeCell ref="B1263:B1264"/>
    <mergeCell ref="C1263:C1264"/>
    <mergeCell ref="D1263:D1264"/>
    <mergeCell ref="E1263:E1264"/>
    <mergeCell ref="F1263:F1264"/>
    <mergeCell ref="G1263:G1264"/>
    <mergeCell ref="C1265:D1265"/>
    <mergeCell ref="F1265:G1265"/>
    <mergeCell ref="I1265:J1265"/>
    <mergeCell ref="B1266:B1267"/>
    <mergeCell ref="C1266:C1267"/>
    <mergeCell ref="D1266:D1267"/>
    <mergeCell ref="E1266:E1267"/>
    <mergeCell ref="F1266:F1267"/>
    <mergeCell ref="G1266:G1267"/>
    <mergeCell ref="B1268:B1269"/>
    <mergeCell ref="C1268:C1269"/>
    <mergeCell ref="D1268:D1269"/>
    <mergeCell ref="E1268:E1269"/>
    <mergeCell ref="F1268:F1269"/>
    <mergeCell ref="G1268:G1269"/>
    <mergeCell ref="C1270:D1270"/>
    <mergeCell ref="F1270:G1270"/>
    <mergeCell ref="I1270:J1270"/>
    <mergeCell ref="B1271:B1272"/>
    <mergeCell ref="C1271:C1272"/>
    <mergeCell ref="D1271:D1272"/>
    <mergeCell ref="E1271:E1272"/>
    <mergeCell ref="F1271:F1272"/>
    <mergeCell ref="G1271:G1272"/>
    <mergeCell ref="B1273:B1274"/>
    <mergeCell ref="C1273:C1274"/>
    <mergeCell ref="D1273:D1274"/>
    <mergeCell ref="E1273:E1274"/>
    <mergeCell ref="F1273:F1274"/>
    <mergeCell ref="G1273:G1274"/>
    <mergeCell ref="C1275:D1275"/>
    <mergeCell ref="F1275:G1275"/>
    <mergeCell ref="I1275:J1275"/>
    <mergeCell ref="B1276:B1277"/>
    <mergeCell ref="C1276:C1277"/>
    <mergeCell ref="D1276:D1277"/>
    <mergeCell ref="E1276:E1277"/>
    <mergeCell ref="F1276:F1277"/>
    <mergeCell ref="G1276:G1277"/>
    <mergeCell ref="B1278:B1279"/>
    <mergeCell ref="C1278:C1279"/>
    <mergeCell ref="D1278:D1279"/>
    <mergeCell ref="E1278:E1279"/>
    <mergeCell ref="F1278:F1279"/>
    <mergeCell ref="G1278:G1279"/>
    <mergeCell ref="C1280:D1280"/>
    <mergeCell ref="F1280:G1280"/>
    <mergeCell ref="I1280:J1280"/>
    <mergeCell ref="B1282:C1282"/>
    <mergeCell ref="B1283:C1283"/>
    <mergeCell ref="B1284:D1284"/>
    <mergeCell ref="E1284:G1284"/>
    <mergeCell ref="H1284:J1284"/>
    <mergeCell ref="B1285:B1286"/>
    <mergeCell ref="C1285:C1286"/>
    <mergeCell ref="D1285:D1286"/>
    <mergeCell ref="E1285:E1286"/>
    <mergeCell ref="F1285:F1286"/>
    <mergeCell ref="G1285:G1286"/>
    <mergeCell ref="B1287:B1288"/>
    <mergeCell ref="C1287:C1288"/>
    <mergeCell ref="D1287:D1288"/>
    <mergeCell ref="E1287:E1288"/>
    <mergeCell ref="F1287:F1288"/>
    <mergeCell ref="G1287:G1288"/>
    <mergeCell ref="C1289:D1289"/>
    <mergeCell ref="F1289:G1289"/>
    <mergeCell ref="I1289:J1289"/>
    <mergeCell ref="B1290:B1291"/>
    <mergeCell ref="C1290:C1291"/>
    <mergeCell ref="D1290:D1291"/>
    <mergeCell ref="E1290:E1291"/>
    <mergeCell ref="F1290:F1291"/>
    <mergeCell ref="G1290:G1291"/>
    <mergeCell ref="B1292:B1293"/>
    <mergeCell ref="C1292:C1293"/>
    <mergeCell ref="D1292:D1293"/>
    <mergeCell ref="E1292:E1293"/>
    <mergeCell ref="F1292:F1293"/>
    <mergeCell ref="G1292:G1293"/>
    <mergeCell ref="C1294:D1294"/>
    <mergeCell ref="F1294:G1294"/>
    <mergeCell ref="I1294:J1294"/>
    <mergeCell ref="B1295:B1296"/>
    <mergeCell ref="C1295:C1296"/>
    <mergeCell ref="D1295:D1296"/>
    <mergeCell ref="E1295:E1296"/>
    <mergeCell ref="F1295:F1296"/>
    <mergeCell ref="G1295:G1296"/>
    <mergeCell ref="B1297:B1298"/>
    <mergeCell ref="C1297:C1298"/>
    <mergeCell ref="D1297:D1298"/>
    <mergeCell ref="E1297:E1298"/>
    <mergeCell ref="F1297:F1298"/>
    <mergeCell ref="G1297:G1298"/>
    <mergeCell ref="C1299:D1299"/>
    <mergeCell ref="F1299:G1299"/>
    <mergeCell ref="I1299:J1299"/>
    <mergeCell ref="B1304:B1305"/>
    <mergeCell ref="C1304:C1305"/>
    <mergeCell ref="D1304:D1305"/>
    <mergeCell ref="E1304:E1305"/>
    <mergeCell ref="F1304:F1305"/>
    <mergeCell ref="G1304:G1305"/>
    <mergeCell ref="B1306:B1307"/>
    <mergeCell ref="C1306:C1307"/>
    <mergeCell ref="D1306:D1307"/>
    <mergeCell ref="E1306:E1307"/>
    <mergeCell ref="F1306:F1307"/>
    <mergeCell ref="G1306:G1307"/>
    <mergeCell ref="C1308:D1308"/>
    <mergeCell ref="F1308:G1308"/>
    <mergeCell ref="I1308:J1308"/>
    <mergeCell ref="B1309:B1310"/>
    <mergeCell ref="C1309:C1310"/>
    <mergeCell ref="D1309:D1310"/>
    <mergeCell ref="E1309:E1310"/>
    <mergeCell ref="F1309:F1310"/>
    <mergeCell ref="G1309:G1310"/>
    <mergeCell ref="B1311:B1312"/>
    <mergeCell ref="C1311:C1312"/>
    <mergeCell ref="D1311:D1312"/>
    <mergeCell ref="E1311:E1312"/>
    <mergeCell ref="F1311:F1312"/>
    <mergeCell ref="G1311:G1312"/>
    <mergeCell ref="C1313:D1313"/>
    <mergeCell ref="F1313:G1313"/>
    <mergeCell ref="I1313:J1313"/>
    <mergeCell ref="B1314:B1315"/>
    <mergeCell ref="C1314:C1315"/>
    <mergeCell ref="D1314:D1315"/>
    <mergeCell ref="E1314:E1315"/>
    <mergeCell ref="F1314:F1315"/>
    <mergeCell ref="G1314:G1315"/>
    <mergeCell ref="B1316:B1317"/>
    <mergeCell ref="C1316:C1317"/>
    <mergeCell ref="D1316:D1317"/>
    <mergeCell ref="E1316:E1317"/>
    <mergeCell ref="F1316:F1317"/>
    <mergeCell ref="G1316:G1317"/>
    <mergeCell ref="C1318:D1318"/>
    <mergeCell ref="F1318:G1318"/>
    <mergeCell ref="I1318:J1318"/>
    <mergeCell ref="B1319:B1320"/>
    <mergeCell ref="C1319:C1320"/>
    <mergeCell ref="D1319:D1320"/>
    <mergeCell ref="E1319:E1320"/>
    <mergeCell ref="F1319:F1320"/>
    <mergeCell ref="G1319:G1320"/>
    <mergeCell ref="B1321:B1322"/>
    <mergeCell ref="C1321:C1322"/>
    <mergeCell ref="D1321:D1322"/>
    <mergeCell ref="E1321:E1322"/>
    <mergeCell ref="F1321:F1322"/>
    <mergeCell ref="G1321:G1322"/>
    <mergeCell ref="C1323:D1323"/>
    <mergeCell ref="F1323:G1323"/>
    <mergeCell ref="I1323:J1323"/>
    <mergeCell ref="B1325:C1325"/>
    <mergeCell ref="B1326:C1326"/>
    <mergeCell ref="B1327:D1327"/>
    <mergeCell ref="E1327:G1327"/>
    <mergeCell ref="H1327:J1327"/>
    <mergeCell ref="B1328:B1329"/>
    <mergeCell ref="C1328:C1329"/>
    <mergeCell ref="D1328:D1329"/>
    <mergeCell ref="E1328:E1329"/>
    <mergeCell ref="F1328:F1329"/>
    <mergeCell ref="G1328:G1329"/>
    <mergeCell ref="B1330:B1331"/>
    <mergeCell ref="C1330:C1331"/>
    <mergeCell ref="D1330:D1331"/>
    <mergeCell ref="E1330:E1331"/>
    <mergeCell ref="F1330:F1331"/>
    <mergeCell ref="G1330:G1331"/>
    <mergeCell ref="C1332:D1332"/>
    <mergeCell ref="F1332:G1332"/>
    <mergeCell ref="I1332:J1332"/>
    <mergeCell ref="B1333:B1334"/>
    <mergeCell ref="C1333:C1334"/>
    <mergeCell ref="D1333:D1334"/>
    <mergeCell ref="E1333:E1334"/>
    <mergeCell ref="F1333:F1334"/>
    <mergeCell ref="G1333:G1334"/>
    <mergeCell ref="B1335:B1336"/>
    <mergeCell ref="C1335:C1336"/>
    <mergeCell ref="D1335:D1336"/>
    <mergeCell ref="E1335:E1336"/>
    <mergeCell ref="F1335:F1336"/>
    <mergeCell ref="G1335:G1336"/>
    <mergeCell ref="C1337:D1337"/>
    <mergeCell ref="F1337:G1337"/>
    <mergeCell ref="I1337:J1337"/>
    <mergeCell ref="B1338:B1339"/>
    <mergeCell ref="C1338:C1339"/>
    <mergeCell ref="D1338:D1339"/>
    <mergeCell ref="E1338:E1339"/>
    <mergeCell ref="F1338:F1339"/>
    <mergeCell ref="G1338:G1339"/>
    <mergeCell ref="B1340:B1341"/>
    <mergeCell ref="C1340:C1341"/>
    <mergeCell ref="D1340:D1341"/>
    <mergeCell ref="E1340:E1341"/>
    <mergeCell ref="F1340:F1341"/>
    <mergeCell ref="G1340:G1341"/>
    <mergeCell ref="C1342:D1342"/>
    <mergeCell ref="F1342:G1342"/>
    <mergeCell ref="I1342:J1342"/>
    <mergeCell ref="B1343:B1344"/>
    <mergeCell ref="C1343:C1344"/>
    <mergeCell ref="D1343:D1344"/>
    <mergeCell ref="E1343:E1344"/>
    <mergeCell ref="F1343:F1344"/>
    <mergeCell ref="G1343:G1344"/>
    <mergeCell ref="B1345:B1346"/>
    <mergeCell ref="C1345:C1346"/>
    <mergeCell ref="D1345:D1346"/>
    <mergeCell ref="E1345:E1346"/>
    <mergeCell ref="F1345:F1346"/>
    <mergeCell ref="G1345:G1346"/>
    <mergeCell ref="C1347:D1347"/>
    <mergeCell ref="F1347:G1347"/>
    <mergeCell ref="I1347:J1347"/>
    <mergeCell ref="B1353:C1353"/>
    <mergeCell ref="B1354:C1354"/>
    <mergeCell ref="B1355:D1355"/>
    <mergeCell ref="E1355:G1355"/>
    <mergeCell ref="H1355:J1355"/>
    <mergeCell ref="B1356:B1357"/>
    <mergeCell ref="C1356:C1357"/>
    <mergeCell ref="D1356:D1357"/>
    <mergeCell ref="E1356:E1357"/>
    <mergeCell ref="F1356:F1357"/>
    <mergeCell ref="G1356:G1357"/>
    <mergeCell ref="B1358:B1359"/>
    <mergeCell ref="C1358:C1359"/>
    <mergeCell ref="D1358:D1359"/>
    <mergeCell ref="E1358:E1359"/>
    <mergeCell ref="F1358:F1359"/>
    <mergeCell ref="G1358:G1359"/>
    <mergeCell ref="C1360:D1360"/>
    <mergeCell ref="F1360:G1360"/>
    <mergeCell ref="I1360:J1360"/>
    <mergeCell ref="B1362:C1362"/>
    <mergeCell ref="B1363:C1363"/>
    <mergeCell ref="B1364:D1364"/>
    <mergeCell ref="E1364:G1364"/>
    <mergeCell ref="H1364:J1364"/>
    <mergeCell ref="B1365:B1366"/>
    <mergeCell ref="C1365:C1366"/>
    <mergeCell ref="D1365:D1366"/>
    <mergeCell ref="E1365:E1366"/>
    <mergeCell ref="F1365:F1366"/>
    <mergeCell ref="G1365:G1366"/>
    <mergeCell ref="B1367:B1368"/>
    <mergeCell ref="C1367:C1368"/>
    <mergeCell ref="D1367:D1368"/>
    <mergeCell ref="E1367:E1368"/>
    <mergeCell ref="F1367:F1368"/>
    <mergeCell ref="G1367:G1368"/>
    <mergeCell ref="C1369:D1369"/>
    <mergeCell ref="F1369:G1369"/>
    <mergeCell ref="I1369:J1369"/>
    <mergeCell ref="B1370:B1371"/>
    <mergeCell ref="C1370:C1371"/>
    <mergeCell ref="D1370:D1371"/>
    <mergeCell ref="E1370:E1371"/>
    <mergeCell ref="F1370:F1371"/>
    <mergeCell ref="G1370:G1371"/>
    <mergeCell ref="B1372:B1373"/>
    <mergeCell ref="C1372:C1373"/>
    <mergeCell ref="D1372:D1373"/>
    <mergeCell ref="E1372:E1373"/>
    <mergeCell ref="F1372:F1373"/>
    <mergeCell ref="G1372:G1373"/>
    <mergeCell ref="C1374:D1374"/>
    <mergeCell ref="F1374:G1374"/>
    <mergeCell ref="I1374:J1374"/>
    <mergeCell ref="B1375:B1376"/>
    <mergeCell ref="C1375:C1376"/>
    <mergeCell ref="D1375:D1376"/>
    <mergeCell ref="E1375:E1376"/>
    <mergeCell ref="F1375:F1376"/>
    <mergeCell ref="G1375:G1376"/>
    <mergeCell ref="B1377:B1378"/>
    <mergeCell ref="C1377:C1378"/>
    <mergeCell ref="D1377:D1378"/>
    <mergeCell ref="E1377:E1378"/>
    <mergeCell ref="F1377:F1378"/>
    <mergeCell ref="G1377:G1378"/>
    <mergeCell ref="C1379:D1379"/>
    <mergeCell ref="F1379:G1379"/>
    <mergeCell ref="I1379:J1379"/>
    <mergeCell ref="B1380:B1381"/>
    <mergeCell ref="C1380:C1381"/>
    <mergeCell ref="D1380:D1381"/>
    <mergeCell ref="E1380:E1381"/>
    <mergeCell ref="F1380:F1381"/>
    <mergeCell ref="G1380:G1381"/>
    <mergeCell ref="B1382:B1383"/>
    <mergeCell ref="C1382:C1383"/>
    <mergeCell ref="D1382:D1383"/>
    <mergeCell ref="E1382:E1383"/>
    <mergeCell ref="F1382:F1383"/>
    <mergeCell ref="G1382:G1383"/>
    <mergeCell ref="C1384:D1384"/>
    <mergeCell ref="F1384:G1384"/>
    <mergeCell ref="I1384:J1384"/>
    <mergeCell ref="B1385:B1386"/>
    <mergeCell ref="C1385:C1386"/>
    <mergeCell ref="D1385:D1386"/>
    <mergeCell ref="E1385:E1386"/>
    <mergeCell ref="F1385:F1386"/>
    <mergeCell ref="G1385:G1386"/>
    <mergeCell ref="B1387:B1388"/>
    <mergeCell ref="C1387:C1388"/>
    <mergeCell ref="D1387:D1388"/>
    <mergeCell ref="E1387:E1388"/>
    <mergeCell ref="F1387:F1388"/>
    <mergeCell ref="G1387:G1388"/>
    <mergeCell ref="C1389:D1389"/>
    <mergeCell ref="F1389:G1389"/>
    <mergeCell ref="I1389:J1389"/>
    <mergeCell ref="B1390:B1391"/>
    <mergeCell ref="C1390:C1391"/>
    <mergeCell ref="D1390:D1391"/>
    <mergeCell ref="E1390:E1391"/>
    <mergeCell ref="F1390:F1391"/>
    <mergeCell ref="G1390:G1391"/>
    <mergeCell ref="B1392:B1393"/>
    <mergeCell ref="C1392:C1393"/>
    <mergeCell ref="D1392:D1393"/>
    <mergeCell ref="E1392:E1393"/>
    <mergeCell ref="F1392:F1393"/>
    <mergeCell ref="G1392:G1393"/>
    <mergeCell ref="C1394:D1394"/>
    <mergeCell ref="F1394:G1394"/>
    <mergeCell ref="I1394:J1394"/>
    <mergeCell ref="B1395:B1396"/>
    <mergeCell ref="C1395:C1396"/>
    <mergeCell ref="D1395:D1396"/>
    <mergeCell ref="E1395:E1396"/>
    <mergeCell ref="F1395:F1396"/>
    <mergeCell ref="G1395:G1396"/>
    <mergeCell ref="B1397:B1398"/>
    <mergeCell ref="C1397:C1398"/>
    <mergeCell ref="D1397:D1398"/>
    <mergeCell ref="E1397:E1398"/>
    <mergeCell ref="F1397:F1398"/>
    <mergeCell ref="G1397:G1398"/>
    <mergeCell ref="C1399:D1399"/>
    <mergeCell ref="F1399:G1399"/>
    <mergeCell ref="I1399:J1399"/>
    <mergeCell ref="B1400:B1401"/>
    <mergeCell ref="C1400:C1401"/>
    <mergeCell ref="D1400:D1401"/>
    <mergeCell ref="E1400:E1401"/>
    <mergeCell ref="F1400:F1401"/>
    <mergeCell ref="G1400:G1401"/>
    <mergeCell ref="B1402:B1403"/>
    <mergeCell ref="C1402:C1403"/>
    <mergeCell ref="D1402:D1403"/>
    <mergeCell ref="E1402:E1403"/>
    <mergeCell ref="F1402:F1403"/>
    <mergeCell ref="G1402:G1403"/>
    <mergeCell ref="C1404:D1404"/>
    <mergeCell ref="F1404:G1404"/>
    <mergeCell ref="I1404:J1404"/>
    <mergeCell ref="B1405:B1406"/>
    <mergeCell ref="C1405:C1406"/>
    <mergeCell ref="D1405:D1406"/>
    <mergeCell ref="E1405:E1406"/>
    <mergeCell ref="F1405:F1406"/>
    <mergeCell ref="G1405:G1406"/>
    <mergeCell ref="B1407:B1408"/>
    <mergeCell ref="C1407:C1408"/>
    <mergeCell ref="D1407:D1408"/>
    <mergeCell ref="E1407:E1408"/>
    <mergeCell ref="F1407:F1408"/>
    <mergeCell ref="G1407:G1408"/>
    <mergeCell ref="C1409:D1409"/>
    <mergeCell ref="F1409:G1409"/>
    <mergeCell ref="I1409:J1409"/>
    <mergeCell ref="B1410:B1411"/>
    <mergeCell ref="C1410:C1411"/>
    <mergeCell ref="D1410:D1411"/>
    <mergeCell ref="E1410:E1411"/>
    <mergeCell ref="F1410:F1411"/>
    <mergeCell ref="G1410:G1411"/>
    <mergeCell ref="B1412:B1413"/>
    <mergeCell ref="C1412:C1413"/>
    <mergeCell ref="D1412:D1413"/>
    <mergeCell ref="E1412:E1413"/>
    <mergeCell ref="F1412:F1413"/>
    <mergeCell ref="G1412:G1413"/>
    <mergeCell ref="C1414:D1414"/>
    <mergeCell ref="F1414:G1414"/>
    <mergeCell ref="I1414:J1414"/>
    <mergeCell ref="B1415:B1416"/>
    <mergeCell ref="C1415:C1416"/>
    <mergeCell ref="D1415:D1416"/>
    <mergeCell ref="E1415:E1416"/>
    <mergeCell ref="F1415:F1416"/>
    <mergeCell ref="G1415:G1416"/>
    <mergeCell ref="B1417:B1418"/>
    <mergeCell ref="C1417:C1418"/>
    <mergeCell ref="D1417:D1418"/>
    <mergeCell ref="E1417:E1418"/>
    <mergeCell ref="F1417:F1418"/>
    <mergeCell ref="G1417:G1418"/>
    <mergeCell ref="C1419:D1419"/>
    <mergeCell ref="F1419:G1419"/>
    <mergeCell ref="I1419:J1419"/>
    <mergeCell ref="B1421:C1421"/>
    <mergeCell ref="B1422:C1422"/>
    <mergeCell ref="B1423:D1423"/>
    <mergeCell ref="E1423:G1423"/>
    <mergeCell ref="H1423:J1423"/>
    <mergeCell ref="B1424:B1425"/>
    <mergeCell ref="C1424:C1425"/>
    <mergeCell ref="D1424:D1425"/>
    <mergeCell ref="E1424:E1425"/>
    <mergeCell ref="F1424:F1425"/>
    <mergeCell ref="G1424:G1425"/>
    <mergeCell ref="B1426:B1427"/>
    <mergeCell ref="C1426:C1427"/>
    <mergeCell ref="D1426:D1427"/>
    <mergeCell ref="E1426:E1427"/>
    <mergeCell ref="F1426:F1427"/>
    <mergeCell ref="G1426:G1427"/>
    <mergeCell ref="C1428:D1428"/>
    <mergeCell ref="F1428:G1428"/>
    <mergeCell ref="I1428:J1428"/>
    <mergeCell ref="B1429:B1430"/>
    <mergeCell ref="C1429:C1430"/>
    <mergeCell ref="D1429:D1430"/>
    <mergeCell ref="E1429:E1430"/>
    <mergeCell ref="F1429:F1430"/>
    <mergeCell ref="G1429:G1430"/>
    <mergeCell ref="B1431:B1432"/>
    <mergeCell ref="C1431:C1432"/>
    <mergeCell ref="D1431:D1432"/>
    <mergeCell ref="E1431:E1432"/>
    <mergeCell ref="F1431:F1432"/>
    <mergeCell ref="G1431:G1432"/>
    <mergeCell ref="C1433:D1433"/>
    <mergeCell ref="F1433:G1433"/>
    <mergeCell ref="I1433:J1433"/>
    <mergeCell ref="B1434:B1435"/>
    <mergeCell ref="C1434:C1435"/>
    <mergeCell ref="D1434:D1435"/>
    <mergeCell ref="E1434:E1435"/>
    <mergeCell ref="F1434:F1435"/>
    <mergeCell ref="G1434:G1435"/>
    <mergeCell ref="B1436:B1437"/>
    <mergeCell ref="C1436:C1437"/>
    <mergeCell ref="D1436:D1437"/>
    <mergeCell ref="E1436:E1437"/>
    <mergeCell ref="F1436:F1437"/>
    <mergeCell ref="G1436:G1437"/>
    <mergeCell ref="C1438:D1438"/>
    <mergeCell ref="F1438:G1438"/>
    <mergeCell ref="I1438:J1438"/>
    <mergeCell ref="B1439:B1440"/>
    <mergeCell ref="C1439:C1440"/>
    <mergeCell ref="D1439:D1440"/>
    <mergeCell ref="E1439:E1440"/>
    <mergeCell ref="F1439:F1440"/>
    <mergeCell ref="G1439:G1440"/>
    <mergeCell ref="B1441:B1442"/>
    <mergeCell ref="C1441:C1442"/>
    <mergeCell ref="D1441:D1442"/>
    <mergeCell ref="E1441:E1442"/>
    <mergeCell ref="F1441:F1442"/>
    <mergeCell ref="G1441:G1442"/>
    <mergeCell ref="C1454:D1454"/>
    <mergeCell ref="F1454:G1454"/>
    <mergeCell ref="I1454:J1454"/>
    <mergeCell ref="C1443:D1443"/>
    <mergeCell ref="F1443:G1443"/>
    <mergeCell ref="I1443:J1443"/>
    <mergeCell ref="B1447:C1447"/>
    <mergeCell ref="B1448:C1448"/>
    <mergeCell ref="B1449:D1449"/>
    <mergeCell ref="E1449:G1449"/>
    <mergeCell ref="H1449:J1449"/>
    <mergeCell ref="B1450:B1451"/>
    <mergeCell ref="C1450:C1451"/>
    <mergeCell ref="D1450:D1451"/>
    <mergeCell ref="E1450:E1451"/>
    <mergeCell ref="F1450:F1451"/>
    <mergeCell ref="G1450:G1451"/>
    <mergeCell ref="B1452:B1453"/>
    <mergeCell ref="C1452:C1453"/>
    <mergeCell ref="D1452:D1453"/>
    <mergeCell ref="E1452:E1453"/>
    <mergeCell ref="F1452:F1453"/>
    <mergeCell ref="G1452:G1453"/>
    <mergeCell ref="G151:G152"/>
    <mergeCell ref="C153:D153"/>
    <mergeCell ref="F153:G153"/>
    <mergeCell ref="I153:J153"/>
    <mergeCell ref="B154:B155"/>
    <mergeCell ref="C154:C155"/>
    <mergeCell ref="D154:D155"/>
    <mergeCell ref="E154:E155"/>
    <mergeCell ref="F154:F155"/>
    <mergeCell ref="G154:G155"/>
    <mergeCell ref="B156:B157"/>
    <mergeCell ref="C156:C157"/>
    <mergeCell ref="D156:D157"/>
    <mergeCell ref="E156:E157"/>
    <mergeCell ref="F156:F157"/>
    <mergeCell ref="G156:G157"/>
    <mergeCell ref="C158:D158"/>
    <mergeCell ref="F158:G158"/>
    <mergeCell ref="I158:J158"/>
    <mergeCell ref="B159:B160"/>
    <mergeCell ref="C159:C160"/>
    <mergeCell ref="D159:D160"/>
    <mergeCell ref="E159:E160"/>
    <mergeCell ref="F159:F160"/>
    <mergeCell ref="G159:G160"/>
    <mergeCell ref="B161:B162"/>
    <mergeCell ref="C161:C162"/>
    <mergeCell ref="D161:D162"/>
    <mergeCell ref="E161:E162"/>
    <mergeCell ref="F161:F162"/>
    <mergeCell ref="G161:G162"/>
    <mergeCell ref="C163:D163"/>
    <mergeCell ref="F163:G163"/>
    <mergeCell ref="I163:J163"/>
    <mergeCell ref="B234:B235"/>
    <mergeCell ref="C234:C235"/>
    <mergeCell ref="D234:D235"/>
    <mergeCell ref="E234:E235"/>
    <mergeCell ref="F234:F235"/>
    <mergeCell ref="G234:G235"/>
    <mergeCell ref="B229:B230"/>
    <mergeCell ref="C229:C230"/>
    <mergeCell ref="D229:D230"/>
    <mergeCell ref="E229:E230"/>
    <mergeCell ref="F229:F230"/>
    <mergeCell ref="G229:G230"/>
    <mergeCell ref="B226:B227"/>
    <mergeCell ref="C226:C227"/>
    <mergeCell ref="D226:D227"/>
    <mergeCell ref="E226:E227"/>
    <mergeCell ref="F226:F227"/>
    <mergeCell ref="F239:F240"/>
    <mergeCell ref="G239:G240"/>
    <mergeCell ref="B241:B242"/>
    <mergeCell ref="C241:C242"/>
    <mergeCell ref="D241:D242"/>
    <mergeCell ref="E241:E242"/>
    <mergeCell ref="F241:F242"/>
    <mergeCell ref="G241:G242"/>
    <mergeCell ref="C243:D243"/>
    <mergeCell ref="F243:G243"/>
    <mergeCell ref="I243:J243"/>
    <mergeCell ref="B244:B245"/>
    <mergeCell ref="C244:C245"/>
    <mergeCell ref="D244:D245"/>
    <mergeCell ref="E244:E245"/>
    <mergeCell ref="F244:F245"/>
    <mergeCell ref="G244:G245"/>
  </mergeCells>
  <pageMargins left="0.31496062992125984" right="0.31496062992125984" top="0.78740157480314965" bottom="0.39370078740157483" header="0.31496062992125984" footer="0.31496062992125984"/>
  <pageSetup paperSize="9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24"/>
  <sheetViews>
    <sheetView workbookViewId="0">
      <selection activeCell="C6" sqref="C6"/>
    </sheetView>
  </sheetViews>
  <sheetFormatPr defaultRowHeight="12.75" x14ac:dyDescent="0.2"/>
  <cols>
    <col min="1" max="1" width="2.85546875" style="416" customWidth="1"/>
    <col min="2" max="2" width="17" style="416" customWidth="1"/>
    <col min="3" max="3" width="70.28515625" style="416" customWidth="1"/>
    <col min="4" max="4" width="21.5703125" style="416" customWidth="1"/>
    <col min="5" max="5" width="20.85546875" style="416" customWidth="1"/>
    <col min="6" max="7" width="21.85546875" style="416" bestFit="1" customWidth="1"/>
    <col min="8" max="8" width="9.140625" style="416"/>
    <col min="9" max="9" width="18.42578125" style="416" bestFit="1" customWidth="1"/>
    <col min="10" max="16384" width="9.140625" style="416"/>
  </cols>
  <sheetData>
    <row r="1" spans="2:7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</row>
    <row r="2" spans="2:7" s="410" customFormat="1" ht="8.25" customHeight="1" x14ac:dyDescent="0.35">
      <c r="B2" s="411"/>
      <c r="E2" s="412"/>
    </row>
    <row r="3" spans="2:7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</row>
    <row r="4" spans="2:7" s="410" customFormat="1" ht="11.25" customHeight="1" x14ac:dyDescent="0.35">
      <c r="B4" s="411"/>
      <c r="E4" s="412"/>
    </row>
    <row r="5" spans="2:7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</row>
    <row r="7" spans="2:7" x14ac:dyDescent="0.2">
      <c r="B7" s="417"/>
      <c r="C7" s="417"/>
      <c r="D7" s="417"/>
      <c r="E7" s="417"/>
      <c r="F7" s="417"/>
      <c r="G7" s="417"/>
    </row>
    <row r="8" spans="2:7" ht="15.75" x14ac:dyDescent="0.25">
      <c r="B8" s="1485" t="s">
        <v>40</v>
      </c>
      <c r="C8" s="1485"/>
      <c r="D8" s="1485"/>
      <c r="E8" s="1485"/>
      <c r="F8" s="1485"/>
      <c r="G8" s="1485"/>
    </row>
    <row r="9" spans="2:7" x14ac:dyDescent="0.2">
      <c r="B9" s="417"/>
      <c r="C9" s="417"/>
      <c r="D9" s="417"/>
      <c r="E9" s="417"/>
      <c r="F9" s="417"/>
      <c r="G9" s="417"/>
    </row>
    <row r="10" spans="2:7" ht="14.25" customHeight="1" x14ac:dyDescent="0.2">
      <c r="B10" s="1490" t="s">
        <v>0</v>
      </c>
      <c r="C10" s="1489" t="s">
        <v>1</v>
      </c>
      <c r="D10" s="1489" t="s">
        <v>2</v>
      </c>
      <c r="E10" s="1489"/>
      <c r="F10" s="1489"/>
      <c r="G10" s="1489"/>
    </row>
    <row r="11" spans="2:7" ht="13.5" customHeight="1" x14ac:dyDescent="0.2">
      <c r="B11" s="1490"/>
      <c r="C11" s="1489"/>
      <c r="D11" s="1489">
        <v>2017</v>
      </c>
      <c r="E11" s="1489">
        <f>D11+1</f>
        <v>2018</v>
      </c>
      <c r="F11" s="1489">
        <f>E11+1</f>
        <v>2019</v>
      </c>
      <c r="G11" s="1489"/>
    </row>
    <row r="12" spans="2:7" ht="15" customHeight="1" x14ac:dyDescent="0.2">
      <c r="B12" s="1490"/>
      <c r="C12" s="1489"/>
      <c r="D12" s="1489"/>
      <c r="E12" s="1489"/>
      <c r="F12" s="418" t="s">
        <v>7060</v>
      </c>
      <c r="G12" s="418" t="s">
        <v>4</v>
      </c>
    </row>
    <row r="13" spans="2:7" ht="15" customHeight="1" x14ac:dyDescent="0.2">
      <c r="B13" s="419" t="s">
        <v>5</v>
      </c>
      <c r="C13" s="420" t="s">
        <v>6</v>
      </c>
      <c r="D13" s="421">
        <f>D14+D15+D16+D17+D18+D19+D20+D21</f>
        <v>17834658.909999996</v>
      </c>
      <c r="E13" s="421">
        <f>E14+E15+E16+E17+E18+E19+E20+E21</f>
        <v>19268101.940000001</v>
      </c>
      <c r="F13" s="421">
        <f>SUM(F14:F21)</f>
        <v>13565087.199999999</v>
      </c>
      <c r="G13" s="421">
        <f>SUM(G14:G21)</f>
        <v>18651994.899999999</v>
      </c>
    </row>
    <row r="14" spans="2:7" s="422" customFormat="1" ht="15" customHeight="1" x14ac:dyDescent="0.2">
      <c r="B14" s="419" t="s">
        <v>7</v>
      </c>
      <c r="C14" s="420" t="s">
        <v>8</v>
      </c>
      <c r="D14" s="421">
        <v>539143.06999999995</v>
      </c>
      <c r="E14" s="421">
        <f>696677.96</f>
        <v>696677.96</v>
      </c>
      <c r="F14" s="421">
        <v>507431.6</v>
      </c>
      <c r="G14" s="421">
        <f t="shared" ref="G14:G21" si="0">(F14)+(F14/8*3)</f>
        <v>697718.45</v>
      </c>
    </row>
    <row r="15" spans="2:7" s="422" customFormat="1" ht="15" customHeight="1" x14ac:dyDescent="0.2">
      <c r="B15" s="419" t="s">
        <v>9</v>
      </c>
      <c r="C15" s="420" t="s">
        <v>10</v>
      </c>
      <c r="D15" s="421">
        <v>26680.39</v>
      </c>
      <c r="E15" s="421">
        <v>22007.64</v>
      </c>
      <c r="F15" s="421">
        <v>22448.21</v>
      </c>
      <c r="G15" s="421">
        <f t="shared" si="0"/>
        <v>30866.28875</v>
      </c>
    </row>
    <row r="16" spans="2:7" s="422" customFormat="1" ht="15" customHeight="1" x14ac:dyDescent="0.2">
      <c r="B16" s="419" t="s">
        <v>11</v>
      </c>
      <c r="C16" s="420" t="s">
        <v>12</v>
      </c>
      <c r="D16" s="421">
        <v>168878.53</v>
      </c>
      <c r="E16" s="421">
        <v>89838.11</v>
      </c>
      <c r="F16" s="421">
        <v>70914.48</v>
      </c>
      <c r="G16" s="421">
        <f t="shared" si="0"/>
        <v>97507.41</v>
      </c>
    </row>
    <row r="17" spans="2:10" s="422" customFormat="1" ht="15" customHeight="1" x14ac:dyDescent="0.2">
      <c r="B17" s="419" t="s">
        <v>13</v>
      </c>
      <c r="C17" s="420" t="s">
        <v>14</v>
      </c>
      <c r="D17" s="421">
        <v>0</v>
      </c>
      <c r="E17" s="421">
        <v>0</v>
      </c>
      <c r="F17" s="421">
        <v>0</v>
      </c>
      <c r="G17" s="421">
        <f t="shared" si="0"/>
        <v>0</v>
      </c>
    </row>
    <row r="18" spans="2:10" s="422" customFormat="1" ht="15" customHeight="1" x14ac:dyDescent="0.2">
      <c r="B18" s="419" t="s">
        <v>15</v>
      </c>
      <c r="C18" s="420" t="s">
        <v>16</v>
      </c>
      <c r="D18" s="421">
        <v>0</v>
      </c>
      <c r="E18" s="421">
        <v>0</v>
      </c>
      <c r="F18" s="421">
        <v>0</v>
      </c>
      <c r="G18" s="421">
        <f t="shared" si="0"/>
        <v>0</v>
      </c>
      <c r="J18" s="422" t="s">
        <v>17</v>
      </c>
    </row>
    <row r="19" spans="2:10" s="422" customFormat="1" ht="15" customHeight="1" x14ac:dyDescent="0.2">
      <c r="B19" s="419" t="s">
        <v>18</v>
      </c>
      <c r="C19" s="420" t="s">
        <v>19</v>
      </c>
      <c r="D19" s="421">
        <v>81924.570000000007</v>
      </c>
      <c r="E19" s="421">
        <v>81104.12</v>
      </c>
      <c r="F19" s="421">
        <v>89114.08</v>
      </c>
      <c r="G19" s="421">
        <f t="shared" si="0"/>
        <v>122531.86</v>
      </c>
    </row>
    <row r="20" spans="2:10" s="422" customFormat="1" ht="15" customHeight="1" x14ac:dyDescent="0.2">
      <c r="B20" s="419" t="s">
        <v>20</v>
      </c>
      <c r="C20" s="420" t="s">
        <v>21</v>
      </c>
      <c r="D20" s="421">
        <v>16016058.27</v>
      </c>
      <c r="E20" s="421">
        <v>18154336.420000002</v>
      </c>
      <c r="F20" s="421">
        <v>12603579.029999999</v>
      </c>
      <c r="G20" s="421">
        <f t="shared" si="0"/>
        <v>17329921.166249998</v>
      </c>
    </row>
    <row r="21" spans="2:10" s="422" customFormat="1" ht="15" customHeight="1" x14ac:dyDescent="0.2">
      <c r="B21" s="419" t="s">
        <v>22</v>
      </c>
      <c r="C21" s="420" t="s">
        <v>23</v>
      </c>
      <c r="D21" s="421">
        <v>1001974.08</v>
      </c>
      <c r="E21" s="421">
        <v>224137.69</v>
      </c>
      <c r="F21" s="421">
        <v>271599.8</v>
      </c>
      <c r="G21" s="421">
        <f t="shared" si="0"/>
        <v>373449.72499999998</v>
      </c>
    </row>
    <row r="22" spans="2:10" ht="15" customHeight="1" x14ac:dyDescent="0.2">
      <c r="B22" s="419" t="s">
        <v>24</v>
      </c>
      <c r="C22" s="420" t="s">
        <v>25</v>
      </c>
      <c r="D22" s="421">
        <f>SUM(D23:D27)</f>
        <v>557028.96</v>
      </c>
      <c r="E22" s="421">
        <f>SUM(E23:E27)</f>
        <v>351628.28</v>
      </c>
      <c r="F22" s="421">
        <f>SUM(F23:F27)</f>
        <v>482828.66</v>
      </c>
      <c r="G22" s="421">
        <f>SUM(G23:G27)</f>
        <v>663889.40749999997</v>
      </c>
    </row>
    <row r="23" spans="2:10" s="422" customFormat="1" ht="15" customHeight="1" x14ac:dyDescent="0.2">
      <c r="B23" s="419" t="s">
        <v>26</v>
      </c>
      <c r="C23" s="420" t="s">
        <v>27</v>
      </c>
      <c r="D23" s="421">
        <v>0</v>
      </c>
      <c r="E23" s="421">
        <v>0</v>
      </c>
      <c r="F23" s="421">
        <v>0</v>
      </c>
      <c r="G23" s="421">
        <f t="shared" ref="G23:G29" si="1">(F23)+(F23/8*3)</f>
        <v>0</v>
      </c>
    </row>
    <row r="24" spans="2:10" s="422" customFormat="1" ht="15" customHeight="1" x14ac:dyDescent="0.2">
      <c r="B24" s="419" t="s">
        <v>28</v>
      </c>
      <c r="C24" s="420" t="s">
        <v>29</v>
      </c>
      <c r="D24" s="421">
        <v>0</v>
      </c>
      <c r="E24" s="421">
        <v>0</v>
      </c>
      <c r="F24" s="421">
        <v>0</v>
      </c>
      <c r="G24" s="421">
        <f t="shared" si="1"/>
        <v>0</v>
      </c>
    </row>
    <row r="25" spans="2:10" s="422" customFormat="1" ht="15" customHeight="1" x14ac:dyDescent="0.2">
      <c r="B25" s="419" t="s">
        <v>30</v>
      </c>
      <c r="C25" s="420" t="s">
        <v>31</v>
      </c>
      <c r="D25" s="421">
        <v>0</v>
      </c>
      <c r="E25" s="421">
        <v>0</v>
      </c>
      <c r="F25" s="421">
        <v>0</v>
      </c>
      <c r="G25" s="421">
        <f t="shared" si="1"/>
        <v>0</v>
      </c>
    </row>
    <row r="26" spans="2:10" s="422" customFormat="1" ht="15" customHeight="1" x14ac:dyDescent="0.2">
      <c r="B26" s="419" t="s">
        <v>32</v>
      </c>
      <c r="C26" s="420" t="s">
        <v>33</v>
      </c>
      <c r="D26" s="421">
        <v>509747</v>
      </c>
      <c r="E26" s="421">
        <v>339891.09</v>
      </c>
      <c r="F26" s="421">
        <v>479170</v>
      </c>
      <c r="G26" s="421">
        <f t="shared" si="1"/>
        <v>658858.75</v>
      </c>
    </row>
    <row r="27" spans="2:10" s="422" customFormat="1" ht="15" customHeight="1" x14ac:dyDescent="0.2">
      <c r="B27" s="419" t="s">
        <v>34</v>
      </c>
      <c r="C27" s="420" t="s">
        <v>35</v>
      </c>
      <c r="D27" s="421">
        <v>47281.96</v>
      </c>
      <c r="E27" s="421">
        <v>11737.19</v>
      </c>
      <c r="F27" s="421">
        <v>3658.66</v>
      </c>
      <c r="G27" s="421">
        <f t="shared" si="1"/>
        <v>5030.6574999999993</v>
      </c>
    </row>
    <row r="28" spans="2:10" s="422" customFormat="1" ht="15" customHeight="1" x14ac:dyDescent="0.2">
      <c r="B28" s="419" t="s">
        <v>7093</v>
      </c>
      <c r="C28" s="420" t="s">
        <v>7094</v>
      </c>
      <c r="D28" s="421">
        <v>0</v>
      </c>
      <c r="E28" s="421">
        <v>0</v>
      </c>
      <c r="F28" s="421">
        <v>43979.12</v>
      </c>
      <c r="G28" s="421">
        <f t="shared" si="1"/>
        <v>60471.290000000008</v>
      </c>
    </row>
    <row r="29" spans="2:10" s="423" customFormat="1" ht="15" customHeight="1" x14ac:dyDescent="0.2">
      <c r="B29" s="424" t="s">
        <v>36</v>
      </c>
      <c r="C29" s="425" t="s">
        <v>37</v>
      </c>
      <c r="D29" s="426">
        <f>D30+D31+D32</f>
        <v>2222997.77</v>
      </c>
      <c r="E29" s="426">
        <f>E30+E31+E32</f>
        <v>2410662.4</v>
      </c>
      <c r="F29" s="426">
        <f>F30+F31+F32</f>
        <v>1698567.6900000002</v>
      </c>
      <c r="G29" s="426">
        <f t="shared" si="1"/>
        <v>2335530.5737500004</v>
      </c>
    </row>
    <row r="30" spans="2:10" s="423" customFormat="1" ht="15" customHeight="1" x14ac:dyDescent="0.2">
      <c r="B30" s="427"/>
      <c r="C30" s="428" t="s">
        <v>131</v>
      </c>
      <c r="D30" s="429">
        <v>7666.62</v>
      </c>
      <c r="E30" s="429">
        <v>7883.63</v>
      </c>
      <c r="F30" s="429">
        <v>8760.3700000000008</v>
      </c>
      <c r="G30" s="429">
        <f>(F30)+(F30/8)*3</f>
        <v>12045.508750000001</v>
      </c>
    </row>
    <row r="31" spans="2:10" s="423" customFormat="1" ht="15" customHeight="1" x14ac:dyDescent="0.2">
      <c r="B31" s="427"/>
      <c r="C31" s="428" t="s">
        <v>132</v>
      </c>
      <c r="D31" s="429">
        <v>2215331.15</v>
      </c>
      <c r="E31" s="429">
        <v>2401159.42</v>
      </c>
      <c r="F31" s="429">
        <v>1689807.32</v>
      </c>
      <c r="G31" s="429">
        <f>(F31)+(F31/8)*3</f>
        <v>2323485.0649999999</v>
      </c>
    </row>
    <row r="32" spans="2:10" s="423" customFormat="1" ht="15" customHeight="1" x14ac:dyDescent="0.2">
      <c r="B32" s="427"/>
      <c r="C32" s="428" t="s">
        <v>1773</v>
      </c>
      <c r="D32" s="429">
        <v>0</v>
      </c>
      <c r="E32" s="429">
        <v>1619.35</v>
      </c>
      <c r="F32" s="429">
        <v>0</v>
      </c>
      <c r="G32" s="429">
        <f>(F32)+(F32/8)*3</f>
        <v>0</v>
      </c>
    </row>
    <row r="33" spans="2:9" ht="15" customHeight="1" x14ac:dyDescent="0.2">
      <c r="B33" s="1491" t="s">
        <v>38</v>
      </c>
      <c r="C33" s="1491"/>
      <c r="D33" s="421">
        <f>D13+D22+D28-D29</f>
        <v>16168690.099999998</v>
      </c>
      <c r="E33" s="421">
        <f>E13+E22+E28-E29</f>
        <v>17209067.820000004</v>
      </c>
      <c r="F33" s="421">
        <f>F13+F22+F28-F29</f>
        <v>12393327.289999999</v>
      </c>
      <c r="G33" s="421">
        <f>G13+G22+G28-G29</f>
        <v>17040825.023749996</v>
      </c>
    </row>
    <row r="34" spans="2:9" ht="15" customHeight="1" x14ac:dyDescent="0.2">
      <c r="B34" s="1484" t="s">
        <v>39</v>
      </c>
      <c r="C34" s="1484"/>
      <c r="D34" s="1484"/>
      <c r="E34" s="1484"/>
      <c r="F34" s="430"/>
      <c r="G34" s="431"/>
      <c r="H34" s="431"/>
      <c r="I34" s="431"/>
    </row>
    <row r="35" spans="2:9" ht="15" customHeight="1" x14ac:dyDescent="0.2">
      <c r="D35" s="432"/>
      <c r="E35" s="943"/>
      <c r="F35" s="433"/>
      <c r="H35" s="433"/>
      <c r="I35" s="433"/>
    </row>
    <row r="36" spans="2:9" x14ac:dyDescent="0.2">
      <c r="B36" s="1486" t="s">
        <v>0</v>
      </c>
      <c r="C36" s="1487" t="s">
        <v>1</v>
      </c>
      <c r="D36" s="1488" t="s">
        <v>41</v>
      </c>
      <c r="E36" s="1488"/>
      <c r="F36" s="1488"/>
      <c r="G36" s="1488"/>
    </row>
    <row r="37" spans="2:9" x14ac:dyDescent="0.2">
      <c r="B37" s="1486"/>
      <c r="C37" s="1487"/>
      <c r="D37" s="1487">
        <v>2017</v>
      </c>
      <c r="E37" s="1487">
        <f>D37+1</f>
        <v>2018</v>
      </c>
      <c r="F37" s="1488">
        <f>E37+1</f>
        <v>2019</v>
      </c>
      <c r="G37" s="1488"/>
    </row>
    <row r="38" spans="2:9" x14ac:dyDescent="0.2">
      <c r="B38" s="1486"/>
      <c r="C38" s="1487"/>
      <c r="D38" s="1487"/>
      <c r="E38" s="1487"/>
      <c r="F38" s="941" t="s">
        <v>3</v>
      </c>
      <c r="G38" s="941" t="s">
        <v>4</v>
      </c>
    </row>
    <row r="39" spans="2:9" x14ac:dyDescent="0.2">
      <c r="B39" s="434" t="s">
        <v>42</v>
      </c>
      <c r="C39" s="435" t="s">
        <v>43</v>
      </c>
      <c r="D39" s="436">
        <f t="shared" ref="D39" si="2">D40+D43+D45</f>
        <v>14418254.780000001</v>
      </c>
      <c r="E39" s="436">
        <f t="shared" ref="E39:G39" si="3">E40+E43+E45</f>
        <v>16067196.220000001</v>
      </c>
      <c r="F39" s="436">
        <f t="shared" si="3"/>
        <v>11359271.439999999</v>
      </c>
      <c r="G39" s="436">
        <f t="shared" si="3"/>
        <v>17038907.16</v>
      </c>
    </row>
    <row r="40" spans="2:9" x14ac:dyDescent="0.2">
      <c r="B40" s="434" t="s">
        <v>44</v>
      </c>
      <c r="C40" s="435" t="s">
        <v>45</v>
      </c>
      <c r="D40" s="436">
        <f t="shared" ref="D40" si="4">D41+D42</f>
        <v>8581595.25</v>
      </c>
      <c r="E40" s="436">
        <f t="shared" ref="E40:G40" si="5">E41+E42</f>
        <v>9951822.0700000003</v>
      </c>
      <c r="F40" s="436">
        <f t="shared" si="5"/>
        <v>7115249.75</v>
      </c>
      <c r="G40" s="436">
        <f t="shared" si="5"/>
        <v>10672874.625</v>
      </c>
    </row>
    <row r="41" spans="2:9" x14ac:dyDescent="0.2">
      <c r="B41" s="437" t="s">
        <v>44</v>
      </c>
      <c r="C41" s="438" t="s">
        <v>46</v>
      </c>
      <c r="D41" s="439">
        <v>8107172.8700000001</v>
      </c>
      <c r="E41" s="439">
        <v>9414094.6799999997</v>
      </c>
      <c r="F41" s="439">
        <v>6734394.6100000003</v>
      </c>
      <c r="G41" s="439">
        <f>(F41)+(F41/8*4)</f>
        <v>10101591.915000001</v>
      </c>
    </row>
    <row r="42" spans="2:9" x14ac:dyDescent="0.2">
      <c r="B42" s="437" t="s">
        <v>44</v>
      </c>
      <c r="C42" s="438" t="s">
        <v>47</v>
      </c>
      <c r="D42" s="439">
        <v>474422.38</v>
      </c>
      <c r="E42" s="439">
        <v>537727.39</v>
      </c>
      <c r="F42" s="439">
        <v>380855.14</v>
      </c>
      <c r="G42" s="439">
        <f>(F42)+((F42/8)*4)</f>
        <v>571282.71</v>
      </c>
    </row>
    <row r="43" spans="2:9" x14ac:dyDescent="0.2">
      <c r="B43" s="440" t="s">
        <v>48</v>
      </c>
      <c r="C43" s="435" t="s">
        <v>49</v>
      </c>
      <c r="D43" s="436">
        <f>D44</f>
        <v>0</v>
      </c>
      <c r="E43" s="436">
        <f>E44</f>
        <v>0</v>
      </c>
      <c r="F43" s="436">
        <f>F44</f>
        <v>0</v>
      </c>
      <c r="G43" s="436">
        <f>G44</f>
        <v>0</v>
      </c>
    </row>
    <row r="44" spans="2:9" x14ac:dyDescent="0.2">
      <c r="B44" s="441" t="s">
        <v>48</v>
      </c>
      <c r="C44" s="438" t="s">
        <v>50</v>
      </c>
      <c r="D44" s="439">
        <v>0</v>
      </c>
      <c r="E44" s="439">
        <v>0</v>
      </c>
      <c r="F44" s="439">
        <f>0</f>
        <v>0</v>
      </c>
      <c r="G44" s="439">
        <f>F44/9*12</f>
        <v>0</v>
      </c>
    </row>
    <row r="45" spans="2:9" x14ac:dyDescent="0.2">
      <c r="B45" s="434" t="s">
        <v>51</v>
      </c>
      <c r="C45" s="435" t="s">
        <v>52</v>
      </c>
      <c r="D45" s="436">
        <f t="shared" ref="D45" si="6">D46+D47</f>
        <v>5836659.5300000003</v>
      </c>
      <c r="E45" s="436">
        <f t="shared" ref="E45:G45" si="7">E46+E47</f>
        <v>6115374.1500000004</v>
      </c>
      <c r="F45" s="436">
        <f t="shared" si="7"/>
        <v>4244021.6899999995</v>
      </c>
      <c r="G45" s="436">
        <f t="shared" si="7"/>
        <v>6366032.5349999992</v>
      </c>
    </row>
    <row r="46" spans="2:9" x14ac:dyDescent="0.2">
      <c r="B46" s="437" t="s">
        <v>51</v>
      </c>
      <c r="C46" s="438" t="s">
        <v>53</v>
      </c>
      <c r="D46" s="439">
        <v>5725214.1200000001</v>
      </c>
      <c r="E46" s="439">
        <v>5935356.6600000001</v>
      </c>
      <c r="F46" s="439">
        <v>4121564.51</v>
      </c>
      <c r="G46" s="439">
        <f>(F46)+((F46/8)*4)</f>
        <v>6182346.7649999997</v>
      </c>
    </row>
    <row r="47" spans="2:9" x14ac:dyDescent="0.2">
      <c r="B47" s="437" t="s">
        <v>51</v>
      </c>
      <c r="C47" s="438" t="s">
        <v>54</v>
      </c>
      <c r="D47" s="439">
        <v>111445.41</v>
      </c>
      <c r="E47" s="439">
        <v>180017.49</v>
      </c>
      <c r="F47" s="439">
        <v>122457.18</v>
      </c>
      <c r="G47" s="439">
        <f>(F47)+((F47/8)*4)</f>
        <v>183685.77</v>
      </c>
    </row>
    <row r="48" spans="2:9" x14ac:dyDescent="0.2">
      <c r="B48" s="434" t="s">
        <v>55</v>
      </c>
      <c r="C48" s="435" t="s">
        <v>56</v>
      </c>
      <c r="D48" s="436">
        <f t="shared" ref="D48" si="8">D49+D52</f>
        <v>753032.4</v>
      </c>
      <c r="E48" s="436">
        <f t="shared" ref="E48:G48" si="9">E49+E52</f>
        <v>1026196.13</v>
      </c>
      <c r="F48" s="436">
        <f t="shared" si="9"/>
        <v>728928.97</v>
      </c>
      <c r="G48" s="436">
        <f t="shared" si="9"/>
        <v>1093393.4549999998</v>
      </c>
    </row>
    <row r="49" spans="2:7" x14ac:dyDescent="0.2">
      <c r="B49" s="434" t="s">
        <v>57</v>
      </c>
      <c r="C49" s="435" t="s">
        <v>58</v>
      </c>
      <c r="D49" s="436">
        <f t="shared" ref="D49" si="10">D50+D51</f>
        <v>753032.4</v>
      </c>
      <c r="E49" s="436">
        <f t="shared" ref="E49:G49" si="11">E50+E51</f>
        <v>1026196.13</v>
      </c>
      <c r="F49" s="436">
        <f t="shared" si="11"/>
        <v>728928.97</v>
      </c>
      <c r="G49" s="436">
        <f t="shared" si="11"/>
        <v>1093393.4549999998</v>
      </c>
    </row>
    <row r="50" spans="2:7" x14ac:dyDescent="0.2">
      <c r="B50" s="437" t="s">
        <v>57</v>
      </c>
      <c r="C50" s="438" t="s">
        <v>59</v>
      </c>
      <c r="D50" s="439">
        <v>729469.23</v>
      </c>
      <c r="E50" s="439">
        <v>979964.46</v>
      </c>
      <c r="F50" s="439">
        <v>698142.19</v>
      </c>
      <c r="G50" s="439">
        <f>(F50)+((F50/8)*4)</f>
        <v>1047213.2849999999</v>
      </c>
    </row>
    <row r="51" spans="2:7" x14ac:dyDescent="0.2">
      <c r="B51" s="437" t="s">
        <v>57</v>
      </c>
      <c r="C51" s="438" t="s">
        <v>60</v>
      </c>
      <c r="D51" s="439">
        <v>23563.17</v>
      </c>
      <c r="E51" s="439">
        <v>46231.67</v>
      </c>
      <c r="F51" s="439">
        <v>30786.78</v>
      </c>
      <c r="G51" s="439">
        <f>(F51)+((F51/8)*4)</f>
        <v>46180.17</v>
      </c>
    </row>
    <row r="52" spans="2:7" x14ac:dyDescent="0.2">
      <c r="B52" s="434" t="s">
        <v>61</v>
      </c>
      <c r="C52" s="435" t="s">
        <v>62</v>
      </c>
      <c r="D52" s="436">
        <f>D53+D54</f>
        <v>0</v>
      </c>
      <c r="E52" s="436">
        <f>E53+E54</f>
        <v>0</v>
      </c>
      <c r="F52" s="436">
        <f>F53+F54</f>
        <v>0</v>
      </c>
      <c r="G52" s="436">
        <f>G53+G54</f>
        <v>0</v>
      </c>
    </row>
    <row r="53" spans="2:7" x14ac:dyDescent="0.2">
      <c r="B53" s="440" t="s">
        <v>63</v>
      </c>
      <c r="C53" s="435" t="s">
        <v>64</v>
      </c>
      <c r="D53" s="442">
        <v>0</v>
      </c>
      <c r="E53" s="442">
        <v>0</v>
      </c>
      <c r="F53" s="442">
        <v>0</v>
      </c>
      <c r="G53" s="439">
        <f>(F53)+(F53/9*3)</f>
        <v>0</v>
      </c>
    </row>
    <row r="54" spans="2:7" x14ac:dyDescent="0.2">
      <c r="B54" s="440" t="s">
        <v>65</v>
      </c>
      <c r="C54" s="435" t="s">
        <v>66</v>
      </c>
      <c r="D54" s="442">
        <v>0</v>
      </c>
      <c r="E54" s="442">
        <v>0</v>
      </c>
      <c r="F54" s="442">
        <v>0</v>
      </c>
      <c r="G54" s="439">
        <f>(F54)+(F54/9*3)</f>
        <v>0</v>
      </c>
    </row>
    <row r="55" spans="2:7" x14ac:dyDescent="0.2">
      <c r="B55" s="434" t="s">
        <v>67</v>
      </c>
      <c r="C55" s="435" t="s">
        <v>68</v>
      </c>
      <c r="D55" s="442">
        <v>0</v>
      </c>
      <c r="E55" s="442">
        <v>0</v>
      </c>
      <c r="F55" s="442">
        <v>0</v>
      </c>
      <c r="G55" s="439">
        <f>(F55)+(F55/9*3)</f>
        <v>0</v>
      </c>
    </row>
    <row r="56" spans="2:7" ht="15" customHeight="1" x14ac:dyDescent="0.2">
      <c r="B56" s="434" t="s">
        <v>69</v>
      </c>
      <c r="C56" s="435" t="s">
        <v>70</v>
      </c>
      <c r="D56" s="443"/>
      <c r="E56" s="444"/>
      <c r="F56" s="444"/>
      <c r="G56" s="444"/>
    </row>
    <row r="57" spans="2:7" x14ac:dyDescent="0.2">
      <c r="B57" s="445"/>
      <c r="C57" s="446"/>
      <c r="D57" s="447"/>
      <c r="E57" s="447"/>
      <c r="F57" s="448"/>
      <c r="G57" s="448"/>
    </row>
    <row r="58" spans="2:7" x14ac:dyDescent="0.2">
      <c r="B58" s="445"/>
      <c r="C58" s="435" t="s">
        <v>71</v>
      </c>
      <c r="D58" s="449">
        <f>D41+D46+D44+D50+D55</f>
        <v>14561856.220000001</v>
      </c>
      <c r="E58" s="449">
        <f t="shared" ref="E58:G58" si="12">E41+E46+E44+E50+E55</f>
        <v>16329415.800000001</v>
      </c>
      <c r="F58" s="449">
        <f t="shared" si="12"/>
        <v>11554101.310000001</v>
      </c>
      <c r="G58" s="449">
        <f t="shared" si="12"/>
        <v>17331151.965</v>
      </c>
    </row>
    <row r="59" spans="2:7" x14ac:dyDescent="0.2">
      <c r="B59" s="450"/>
      <c r="C59" s="435" t="s">
        <v>72</v>
      </c>
      <c r="D59" s="449">
        <f>D42+D47+D51</f>
        <v>609430.96000000008</v>
      </c>
      <c r="E59" s="449">
        <f t="shared" ref="E59:G59" si="13">E42+E47+E51</f>
        <v>763976.55</v>
      </c>
      <c r="F59" s="449">
        <f t="shared" si="13"/>
        <v>534099.1</v>
      </c>
      <c r="G59" s="449">
        <f t="shared" si="13"/>
        <v>801148.65</v>
      </c>
    </row>
    <row r="60" spans="2:7" x14ac:dyDescent="0.2">
      <c r="B60" s="450"/>
      <c r="C60" s="435" t="s">
        <v>1772</v>
      </c>
      <c r="D60" s="449">
        <f>D58+D59</f>
        <v>15171287.180000002</v>
      </c>
      <c r="E60" s="449">
        <f t="shared" ref="E60:G60" si="14">E58+E59</f>
        <v>17093392.350000001</v>
      </c>
      <c r="F60" s="449">
        <f t="shared" si="14"/>
        <v>12088200.41</v>
      </c>
      <c r="G60" s="449">
        <f t="shared" si="14"/>
        <v>18132300.614999998</v>
      </c>
    </row>
    <row r="61" spans="2:7" x14ac:dyDescent="0.2">
      <c r="B61" s="445"/>
      <c r="C61" s="446"/>
      <c r="D61" s="451"/>
      <c r="E61" s="451"/>
      <c r="F61" s="452"/>
      <c r="G61" s="452"/>
    </row>
    <row r="62" spans="2:7" x14ac:dyDescent="0.2">
      <c r="B62" s="445"/>
      <c r="C62" s="453" t="s">
        <v>73</v>
      </c>
      <c r="D62" s="454">
        <v>2017</v>
      </c>
      <c r="E62" s="454">
        <f>D62+1</f>
        <v>2018</v>
      </c>
      <c r="F62" s="454">
        <f>E62+1</f>
        <v>2019</v>
      </c>
    </row>
    <row r="63" spans="2:7" x14ac:dyDescent="0.2">
      <c r="B63" s="450"/>
      <c r="C63" s="455" t="s">
        <v>74</v>
      </c>
      <c r="D63" s="456">
        <f>17500000-181860.9-43654.03</f>
        <v>17274485.07</v>
      </c>
      <c r="E63" s="456">
        <f>18223000-2.28-4.56-154896.15</f>
        <v>18068097.010000002</v>
      </c>
      <c r="F63" s="456">
        <f>18223000-2.28-4.56-154896.15</f>
        <v>18068097.010000002</v>
      </c>
    </row>
    <row r="64" spans="2:7" x14ac:dyDescent="0.2">
      <c r="B64" s="445"/>
      <c r="C64" s="455" t="s">
        <v>75</v>
      </c>
      <c r="D64" s="457">
        <v>181860.9</v>
      </c>
      <c r="E64" s="457">
        <v>154896.15</v>
      </c>
      <c r="F64" s="457">
        <v>154896.15</v>
      </c>
    </row>
    <row r="65" spans="2:7" x14ac:dyDescent="0.2">
      <c r="B65" s="445"/>
      <c r="C65" s="455" t="s">
        <v>76</v>
      </c>
      <c r="D65" s="457">
        <v>0</v>
      </c>
      <c r="E65" s="457">
        <v>2.2799999999999998</v>
      </c>
      <c r="F65" s="457">
        <v>2.2799999999999998</v>
      </c>
    </row>
    <row r="66" spans="2:7" x14ac:dyDescent="0.2">
      <c r="B66" s="445"/>
      <c r="C66" s="455" t="s">
        <v>77</v>
      </c>
      <c r="D66" s="457">
        <v>43654.03</v>
      </c>
      <c r="E66" s="457">
        <v>4.5599999999999996</v>
      </c>
      <c r="F66" s="457">
        <v>4.5599999999999996</v>
      </c>
    </row>
    <row r="67" spans="2:7" x14ac:dyDescent="0.2">
      <c r="B67" s="445"/>
      <c r="C67" s="455" t="s">
        <v>78</v>
      </c>
      <c r="D67" s="457">
        <v>0</v>
      </c>
      <c r="E67" s="457">
        <v>0</v>
      </c>
      <c r="F67" s="457">
        <v>0</v>
      </c>
    </row>
    <row r="68" spans="2:7" x14ac:dyDescent="0.2">
      <c r="B68" s="450"/>
      <c r="C68" s="455" t="s">
        <v>79</v>
      </c>
      <c r="D68" s="456">
        <v>17500000</v>
      </c>
      <c r="E68" s="456">
        <v>18223000</v>
      </c>
      <c r="F68" s="456">
        <v>18223000</v>
      </c>
    </row>
    <row r="69" spans="2:7" x14ac:dyDescent="0.2">
      <c r="B69" s="445"/>
      <c r="C69" s="455" t="s">
        <v>80</v>
      </c>
      <c r="D69" s="457">
        <v>1</v>
      </c>
      <c r="E69" s="457">
        <v>2.21</v>
      </c>
      <c r="F69" s="457">
        <v>2.21</v>
      </c>
    </row>
    <row r="70" spans="2:7" x14ac:dyDescent="0.2">
      <c r="B70" s="445"/>
      <c r="C70" s="455" t="s">
        <v>81</v>
      </c>
      <c r="D70" s="457">
        <v>1</v>
      </c>
      <c r="E70" s="457">
        <v>2.21</v>
      </c>
      <c r="F70" s="457">
        <v>2.21</v>
      </c>
    </row>
    <row r="71" spans="2:7" x14ac:dyDescent="0.2">
      <c r="B71" s="445"/>
      <c r="C71" s="455" t="s">
        <v>82</v>
      </c>
      <c r="D71" s="457">
        <v>0</v>
      </c>
      <c r="E71" s="457">
        <v>0</v>
      </c>
      <c r="F71" s="457">
        <v>0</v>
      </c>
    </row>
    <row r="75" spans="2:7" x14ac:dyDescent="0.2">
      <c r="C75" s="1476" t="s">
        <v>133</v>
      </c>
      <c r="D75" s="1476"/>
      <c r="E75" s="1476"/>
      <c r="F75" s="1476"/>
      <c r="G75" s="1476"/>
    </row>
    <row r="77" spans="2:7" ht="15" customHeight="1" x14ac:dyDescent="0.2">
      <c r="B77" s="1483" t="s">
        <v>134</v>
      </c>
      <c r="C77" s="1483"/>
      <c r="D77" s="1482">
        <v>2017</v>
      </c>
      <c r="E77" s="1482">
        <f>D77+1</f>
        <v>2018</v>
      </c>
      <c r="F77" s="458">
        <f>E77+1</f>
        <v>2019</v>
      </c>
      <c r="G77" s="1482" t="s">
        <v>4</v>
      </c>
    </row>
    <row r="78" spans="2:7" x14ac:dyDescent="0.2">
      <c r="B78" s="1483"/>
      <c r="C78" s="1483"/>
      <c r="D78" s="1482"/>
      <c r="E78" s="1482"/>
      <c r="F78" s="940" t="s">
        <v>7060</v>
      </c>
      <c r="G78" s="1482"/>
    </row>
    <row r="79" spans="2:7" s="422" customFormat="1" x14ac:dyDescent="0.2">
      <c r="B79" s="459" t="s">
        <v>135</v>
      </c>
      <c r="C79" s="460"/>
      <c r="D79" s="461">
        <f>272661.66-15692.71</f>
        <v>256968.94999999998</v>
      </c>
      <c r="E79" s="461">
        <v>332857.17</v>
      </c>
      <c r="F79" s="462">
        <v>246634.78</v>
      </c>
      <c r="G79" s="462">
        <f t="shared" ref="G79:G143" si="15">F79/8*12</f>
        <v>369952.17</v>
      </c>
    </row>
    <row r="80" spans="2:7" x14ac:dyDescent="0.2">
      <c r="B80" s="460" t="s">
        <v>1583</v>
      </c>
      <c r="C80" s="463"/>
      <c r="D80" s="461">
        <v>15692.71</v>
      </c>
      <c r="E80" s="461">
        <v>20708.02</v>
      </c>
      <c r="F80" s="462">
        <v>116529.23</v>
      </c>
      <c r="G80" s="462">
        <f t="shared" si="15"/>
        <v>174793.845</v>
      </c>
    </row>
    <row r="81" spans="2:7" x14ac:dyDescent="0.2">
      <c r="B81" s="460" t="s">
        <v>136</v>
      </c>
      <c r="C81" s="463"/>
      <c r="D81" s="461">
        <f>23776.05-489.1</f>
        <v>23286.95</v>
      </c>
      <c r="E81" s="461">
        <v>10570.94</v>
      </c>
      <c r="F81" s="462">
        <v>16529.23</v>
      </c>
      <c r="G81" s="462">
        <f t="shared" si="15"/>
        <v>24793.845000000001</v>
      </c>
    </row>
    <row r="82" spans="2:7" x14ac:dyDescent="0.2">
      <c r="B82" s="460" t="s">
        <v>137</v>
      </c>
      <c r="C82" s="463"/>
      <c r="D82" s="461">
        <v>489.1</v>
      </c>
      <c r="E82" s="461">
        <v>186.55</v>
      </c>
      <c r="F82" s="462">
        <v>0</v>
      </c>
      <c r="G82" s="462">
        <f t="shared" si="15"/>
        <v>0</v>
      </c>
    </row>
    <row r="83" spans="2:7" x14ac:dyDescent="0.2">
      <c r="B83" s="460" t="s">
        <v>138</v>
      </c>
      <c r="C83" s="463"/>
      <c r="D83" s="461">
        <v>47244.89</v>
      </c>
      <c r="E83" s="461">
        <v>61151.95</v>
      </c>
      <c r="F83" s="462">
        <v>47695.32</v>
      </c>
      <c r="G83" s="462">
        <f t="shared" si="15"/>
        <v>71542.98</v>
      </c>
    </row>
    <row r="84" spans="2:7" x14ac:dyDescent="0.2">
      <c r="B84" s="460" t="s">
        <v>1593</v>
      </c>
      <c r="C84" s="463"/>
      <c r="D84" s="461">
        <v>331.33</v>
      </c>
      <c r="E84" s="461">
        <v>260.52</v>
      </c>
      <c r="F84" s="462">
        <v>131.58000000000001</v>
      </c>
      <c r="G84" s="462">
        <f t="shared" si="15"/>
        <v>197.37</v>
      </c>
    </row>
    <row r="85" spans="2:7" x14ac:dyDescent="0.2">
      <c r="B85" s="460" t="s">
        <v>1592</v>
      </c>
      <c r="C85" s="463"/>
      <c r="D85" s="461">
        <v>730.05</v>
      </c>
      <c r="E85" s="461">
        <v>1021.07</v>
      </c>
      <c r="F85" s="462">
        <v>407.91</v>
      </c>
      <c r="G85" s="462">
        <f t="shared" si="15"/>
        <v>611.86500000000001</v>
      </c>
    </row>
    <row r="86" spans="2:7" x14ac:dyDescent="0.2">
      <c r="B86" s="460" t="s">
        <v>1591</v>
      </c>
      <c r="C86" s="463"/>
      <c r="D86" s="461">
        <v>0</v>
      </c>
      <c r="E86" s="461">
        <v>309.58</v>
      </c>
      <c r="F86" s="462">
        <v>311.86</v>
      </c>
      <c r="G86" s="462">
        <f t="shared" si="15"/>
        <v>467.79</v>
      </c>
    </row>
    <row r="87" spans="2:7" x14ac:dyDescent="0.2">
      <c r="B87" s="460" t="s">
        <v>141</v>
      </c>
      <c r="C87" s="463"/>
      <c r="D87" s="461">
        <v>26408.95</v>
      </c>
      <c r="E87" s="461">
        <v>68216.960000000006</v>
      </c>
      <c r="F87" s="462">
        <v>13682</v>
      </c>
      <c r="G87" s="462">
        <f t="shared" si="15"/>
        <v>20523</v>
      </c>
    </row>
    <row r="88" spans="2:7" x14ac:dyDescent="0.2">
      <c r="B88" s="460" t="s">
        <v>142</v>
      </c>
      <c r="C88" s="464"/>
      <c r="D88" s="461">
        <v>0</v>
      </c>
      <c r="E88" s="461">
        <v>0</v>
      </c>
      <c r="F88" s="462">
        <v>0</v>
      </c>
      <c r="G88" s="462">
        <f t="shared" si="15"/>
        <v>0</v>
      </c>
    </row>
    <row r="89" spans="2:7" x14ac:dyDescent="0.2">
      <c r="B89" s="460" t="s">
        <v>143</v>
      </c>
      <c r="C89" s="464"/>
      <c r="D89" s="461">
        <v>0</v>
      </c>
      <c r="E89" s="461">
        <v>0</v>
      </c>
      <c r="F89" s="462">
        <v>0</v>
      </c>
      <c r="G89" s="462">
        <f t="shared" si="15"/>
        <v>0</v>
      </c>
    </row>
    <row r="90" spans="2:7" x14ac:dyDescent="0.2">
      <c r="B90" s="460" t="s">
        <v>1595</v>
      </c>
      <c r="C90" s="465"/>
      <c r="D90" s="461">
        <v>387.58</v>
      </c>
      <c r="E90" s="461">
        <v>0</v>
      </c>
      <c r="F90" s="462">
        <v>0</v>
      </c>
      <c r="G90" s="462">
        <f t="shared" si="15"/>
        <v>0</v>
      </c>
    </row>
    <row r="91" spans="2:7" x14ac:dyDescent="0.2">
      <c r="B91" s="460" t="s">
        <v>145</v>
      </c>
      <c r="C91" s="465"/>
      <c r="D91" s="461">
        <v>130134.87</v>
      </c>
      <c r="E91" s="461">
        <v>154474.85</v>
      </c>
      <c r="F91" s="462">
        <v>130406.58</v>
      </c>
      <c r="G91" s="462">
        <f t="shared" si="15"/>
        <v>195609.87</v>
      </c>
    </row>
    <row r="92" spans="2:7" x14ac:dyDescent="0.2">
      <c r="B92" s="460" t="s">
        <v>149</v>
      </c>
      <c r="C92" s="466"/>
      <c r="D92" s="461">
        <v>151.03</v>
      </c>
      <c r="E92" s="461">
        <v>332.48</v>
      </c>
      <c r="F92" s="462">
        <v>35.72</v>
      </c>
      <c r="G92" s="462">
        <f t="shared" si="15"/>
        <v>53.58</v>
      </c>
    </row>
    <row r="93" spans="2:7" x14ac:dyDescent="0.2">
      <c r="B93" s="460" t="s">
        <v>147</v>
      </c>
      <c r="C93" s="465"/>
      <c r="D93" s="461">
        <v>0</v>
      </c>
      <c r="E93" s="461">
        <v>69.52</v>
      </c>
      <c r="F93" s="462">
        <v>0</v>
      </c>
      <c r="G93" s="462">
        <f t="shared" si="15"/>
        <v>0</v>
      </c>
    </row>
    <row r="94" spans="2:7" x14ac:dyDescent="0.2">
      <c r="B94" s="460" t="s">
        <v>148</v>
      </c>
      <c r="C94" s="466"/>
      <c r="D94" s="461">
        <v>0</v>
      </c>
      <c r="E94" s="461">
        <v>20.86</v>
      </c>
      <c r="F94" s="462">
        <v>0</v>
      </c>
      <c r="G94" s="462">
        <f t="shared" si="15"/>
        <v>0</v>
      </c>
    </row>
    <row r="95" spans="2:7" x14ac:dyDescent="0.2">
      <c r="B95" s="460" t="s">
        <v>150</v>
      </c>
      <c r="C95" s="465"/>
      <c r="D95" s="461">
        <v>463.39</v>
      </c>
      <c r="E95" s="461">
        <v>556.16</v>
      </c>
      <c r="F95" s="462">
        <v>598.4</v>
      </c>
      <c r="G95" s="462">
        <f t="shared" si="15"/>
        <v>897.59999999999991</v>
      </c>
    </row>
    <row r="96" spans="2:7" x14ac:dyDescent="0.2">
      <c r="B96" s="460" t="s">
        <v>151</v>
      </c>
      <c r="C96" s="465"/>
      <c r="D96" s="461">
        <v>11924.06</v>
      </c>
      <c r="E96" s="461">
        <v>11958.19</v>
      </c>
      <c r="F96" s="462">
        <v>15650.89</v>
      </c>
      <c r="G96" s="462">
        <f t="shared" si="15"/>
        <v>23476.334999999999</v>
      </c>
    </row>
    <row r="97" spans="2:7" x14ac:dyDescent="0.2">
      <c r="B97" s="460" t="s">
        <v>152</v>
      </c>
      <c r="C97" s="465"/>
      <c r="D97" s="461">
        <v>0</v>
      </c>
      <c r="E97" s="461">
        <v>0</v>
      </c>
      <c r="F97" s="462">
        <v>0</v>
      </c>
      <c r="G97" s="462">
        <f t="shared" si="15"/>
        <v>0</v>
      </c>
    </row>
    <row r="98" spans="2:7" x14ac:dyDescent="0.2">
      <c r="B98" s="460" t="s">
        <v>153</v>
      </c>
      <c r="C98" s="465"/>
      <c r="D98" s="461">
        <v>0</v>
      </c>
      <c r="E98" s="461">
        <v>0</v>
      </c>
      <c r="F98" s="462">
        <v>0</v>
      </c>
      <c r="G98" s="462">
        <f t="shared" si="15"/>
        <v>0</v>
      </c>
    </row>
    <row r="99" spans="2:7" x14ac:dyDescent="0.2">
      <c r="B99" s="460" t="s">
        <v>154</v>
      </c>
      <c r="C99" s="465"/>
      <c r="D99" s="461">
        <v>2943.55</v>
      </c>
      <c r="E99" s="461">
        <v>3408.37</v>
      </c>
      <c r="F99" s="462">
        <v>1177.74</v>
      </c>
      <c r="G99" s="462">
        <f t="shared" si="15"/>
        <v>1766.6100000000001</v>
      </c>
    </row>
    <row r="100" spans="2:7" x14ac:dyDescent="0.2">
      <c r="B100" s="460" t="s">
        <v>155</v>
      </c>
      <c r="C100" s="464"/>
      <c r="D100" s="461">
        <v>0</v>
      </c>
      <c r="E100" s="461">
        <v>0</v>
      </c>
      <c r="F100" s="462">
        <v>0</v>
      </c>
      <c r="G100" s="462">
        <f t="shared" si="15"/>
        <v>0</v>
      </c>
    </row>
    <row r="101" spans="2:7" x14ac:dyDescent="0.2">
      <c r="B101" s="460" t="s">
        <v>1609</v>
      </c>
      <c r="C101" s="465"/>
      <c r="D101" s="461">
        <v>0</v>
      </c>
      <c r="E101" s="461">
        <v>0</v>
      </c>
      <c r="F101" s="462">
        <v>0</v>
      </c>
      <c r="G101" s="462">
        <f t="shared" si="15"/>
        <v>0</v>
      </c>
    </row>
    <row r="102" spans="2:7" x14ac:dyDescent="0.2">
      <c r="B102" s="460" t="s">
        <v>157</v>
      </c>
      <c r="C102" s="465"/>
      <c r="D102" s="461">
        <v>194.55</v>
      </c>
      <c r="E102" s="461">
        <v>0</v>
      </c>
      <c r="F102" s="462">
        <v>0</v>
      </c>
      <c r="G102" s="462">
        <f t="shared" si="15"/>
        <v>0</v>
      </c>
    </row>
    <row r="103" spans="2:7" ht="15.75" customHeight="1" x14ac:dyDescent="0.2">
      <c r="B103" s="1475" t="s">
        <v>158</v>
      </c>
      <c r="C103" s="1475"/>
      <c r="D103" s="461">
        <v>0</v>
      </c>
      <c r="E103" s="461">
        <v>2.79</v>
      </c>
      <c r="F103" s="462">
        <v>14.96</v>
      </c>
      <c r="G103" s="462">
        <f t="shared" si="15"/>
        <v>22.44</v>
      </c>
    </row>
    <row r="104" spans="2:7" ht="15.75" customHeight="1" x14ac:dyDescent="0.2">
      <c r="B104" s="1474" t="s">
        <v>159</v>
      </c>
      <c r="C104" s="1474"/>
      <c r="D104" s="461">
        <v>0</v>
      </c>
      <c r="E104" s="461">
        <v>1099.28</v>
      </c>
      <c r="F104" s="462">
        <v>1335.97</v>
      </c>
      <c r="G104" s="462">
        <f t="shared" si="15"/>
        <v>2003.9549999999999</v>
      </c>
    </row>
    <row r="105" spans="2:7" ht="15.75" customHeight="1" x14ac:dyDescent="0.2">
      <c r="B105" s="1475" t="s">
        <v>160</v>
      </c>
      <c r="C105" s="1475"/>
      <c r="D105" s="461">
        <v>0</v>
      </c>
      <c r="E105" s="461">
        <v>0</v>
      </c>
      <c r="F105" s="462">
        <v>0</v>
      </c>
      <c r="G105" s="462">
        <f t="shared" si="15"/>
        <v>0</v>
      </c>
    </row>
    <row r="106" spans="2:7" ht="15.75" customHeight="1" x14ac:dyDescent="0.2">
      <c r="B106" s="1475" t="s">
        <v>161</v>
      </c>
      <c r="C106" s="1475"/>
      <c r="D106" s="461">
        <v>0</v>
      </c>
      <c r="E106" s="461">
        <v>0</v>
      </c>
      <c r="F106" s="462">
        <v>0</v>
      </c>
      <c r="G106" s="462">
        <f t="shared" si="15"/>
        <v>0</v>
      </c>
    </row>
    <row r="107" spans="2:7" ht="15.75" customHeight="1" x14ac:dyDescent="0.2">
      <c r="B107" s="1474" t="s">
        <v>162</v>
      </c>
      <c r="C107" s="1474"/>
      <c r="D107" s="461">
        <v>0</v>
      </c>
      <c r="E107" s="461">
        <v>0</v>
      </c>
      <c r="F107" s="462">
        <v>0</v>
      </c>
      <c r="G107" s="462">
        <f t="shared" si="15"/>
        <v>0</v>
      </c>
    </row>
    <row r="108" spans="2:7" ht="15.75" customHeight="1" x14ac:dyDescent="0.2">
      <c r="B108" s="1475" t="s">
        <v>163</v>
      </c>
      <c r="C108" s="1475"/>
      <c r="D108" s="461">
        <v>0</v>
      </c>
      <c r="E108" s="461">
        <v>0</v>
      </c>
      <c r="F108" s="462">
        <v>0</v>
      </c>
      <c r="G108" s="462">
        <f t="shared" si="15"/>
        <v>0</v>
      </c>
    </row>
    <row r="109" spans="2:7" ht="15.75" customHeight="1" x14ac:dyDescent="0.2">
      <c r="B109" s="1475" t="s">
        <v>164</v>
      </c>
      <c r="C109" s="1475"/>
      <c r="D109" s="461">
        <v>0</v>
      </c>
      <c r="E109" s="461">
        <v>0</v>
      </c>
      <c r="F109" s="462">
        <v>0</v>
      </c>
      <c r="G109" s="462">
        <f t="shared" si="15"/>
        <v>0</v>
      </c>
    </row>
    <row r="110" spans="2:7" ht="15.75" customHeight="1" x14ac:dyDescent="0.2">
      <c r="B110" s="1475" t="s">
        <v>165</v>
      </c>
      <c r="C110" s="1475"/>
      <c r="D110" s="461">
        <v>0</v>
      </c>
      <c r="E110" s="461">
        <v>0</v>
      </c>
      <c r="F110" s="462">
        <v>0</v>
      </c>
      <c r="G110" s="462">
        <f t="shared" si="15"/>
        <v>0</v>
      </c>
    </row>
    <row r="111" spans="2:7" ht="15.75" customHeight="1" x14ac:dyDescent="0.2">
      <c r="B111" s="1475" t="s">
        <v>166</v>
      </c>
      <c r="C111" s="1475"/>
      <c r="D111" s="461">
        <v>0</v>
      </c>
      <c r="E111" s="461">
        <v>0</v>
      </c>
      <c r="F111" s="462">
        <v>0</v>
      </c>
      <c r="G111" s="462">
        <f t="shared" si="15"/>
        <v>0</v>
      </c>
    </row>
    <row r="112" spans="2:7" ht="15.75" customHeight="1" x14ac:dyDescent="0.2">
      <c r="B112" s="1474" t="s">
        <v>167</v>
      </c>
      <c r="C112" s="1474"/>
      <c r="D112" s="461">
        <v>0</v>
      </c>
      <c r="E112" s="461">
        <v>279.2</v>
      </c>
      <c r="F112" s="462">
        <v>449.75</v>
      </c>
      <c r="G112" s="462">
        <f t="shared" si="15"/>
        <v>674.625</v>
      </c>
    </row>
    <row r="113" spans="2:7" ht="15.75" customHeight="1" x14ac:dyDescent="0.2">
      <c r="B113" s="1475" t="s">
        <v>168</v>
      </c>
      <c r="C113" s="1475"/>
      <c r="D113" s="461">
        <v>0</v>
      </c>
      <c r="E113" s="461">
        <v>0</v>
      </c>
      <c r="F113" s="462">
        <v>0</v>
      </c>
      <c r="G113" s="462">
        <f t="shared" si="15"/>
        <v>0</v>
      </c>
    </row>
    <row r="114" spans="2:7" ht="15.75" customHeight="1" x14ac:dyDescent="0.2">
      <c r="B114" s="1474" t="s">
        <v>169</v>
      </c>
      <c r="C114" s="1474"/>
      <c r="D114" s="461">
        <v>0</v>
      </c>
      <c r="E114" s="461">
        <v>0</v>
      </c>
      <c r="F114" s="462">
        <v>0</v>
      </c>
      <c r="G114" s="462">
        <f t="shared" si="15"/>
        <v>0</v>
      </c>
    </row>
    <row r="115" spans="2:7" ht="15.75" customHeight="1" x14ac:dyDescent="0.2">
      <c r="B115" s="1475" t="s">
        <v>170</v>
      </c>
      <c r="C115" s="1475"/>
      <c r="D115" s="461">
        <v>0</v>
      </c>
      <c r="E115" s="461">
        <v>0</v>
      </c>
      <c r="F115" s="462">
        <v>0</v>
      </c>
      <c r="G115" s="462">
        <f t="shared" si="15"/>
        <v>0</v>
      </c>
    </row>
    <row r="116" spans="2:7" ht="15.75" customHeight="1" x14ac:dyDescent="0.2">
      <c r="B116" s="1474" t="s">
        <v>171</v>
      </c>
      <c r="C116" s="1474"/>
      <c r="D116" s="461">
        <v>0</v>
      </c>
      <c r="E116" s="461">
        <v>0</v>
      </c>
      <c r="F116" s="462">
        <v>0</v>
      </c>
      <c r="G116" s="462">
        <f t="shared" si="15"/>
        <v>0</v>
      </c>
    </row>
    <row r="117" spans="2:7" ht="15.75" customHeight="1" x14ac:dyDescent="0.2">
      <c r="B117" s="1475" t="s">
        <v>172</v>
      </c>
      <c r="C117" s="1475"/>
      <c r="D117" s="461">
        <v>0</v>
      </c>
      <c r="E117" s="461">
        <v>0</v>
      </c>
      <c r="F117" s="462">
        <v>0</v>
      </c>
      <c r="G117" s="462">
        <f t="shared" si="15"/>
        <v>0</v>
      </c>
    </row>
    <row r="118" spans="2:7" ht="15.75" customHeight="1" x14ac:dyDescent="0.2">
      <c r="B118" s="1475" t="s">
        <v>173</v>
      </c>
      <c r="C118" s="1475"/>
      <c r="D118" s="461">
        <v>0</v>
      </c>
      <c r="E118" s="461">
        <v>0</v>
      </c>
      <c r="F118" s="462">
        <v>0</v>
      </c>
      <c r="G118" s="462">
        <f t="shared" si="15"/>
        <v>0</v>
      </c>
    </row>
    <row r="119" spans="2:7" ht="15.75" customHeight="1" x14ac:dyDescent="0.2">
      <c r="B119" s="1475" t="s">
        <v>174</v>
      </c>
      <c r="C119" s="1475"/>
      <c r="D119" s="461">
        <v>0</v>
      </c>
      <c r="E119" s="461">
        <v>0</v>
      </c>
      <c r="F119" s="462">
        <v>0</v>
      </c>
      <c r="G119" s="462">
        <f t="shared" si="15"/>
        <v>0</v>
      </c>
    </row>
    <row r="120" spans="2:7" ht="15.75" customHeight="1" x14ac:dyDescent="0.2">
      <c r="B120" s="1475" t="s">
        <v>175</v>
      </c>
      <c r="C120" s="1475"/>
      <c r="D120" s="461">
        <v>0</v>
      </c>
      <c r="E120" s="461">
        <v>188.34</v>
      </c>
      <c r="F120" s="462">
        <v>283.48</v>
      </c>
      <c r="G120" s="462">
        <f t="shared" si="15"/>
        <v>425.22</v>
      </c>
    </row>
    <row r="121" spans="2:7" ht="15.75" customHeight="1" x14ac:dyDescent="0.2">
      <c r="B121" s="1475" t="s">
        <v>176</v>
      </c>
      <c r="C121" s="1475"/>
      <c r="D121" s="461">
        <v>0</v>
      </c>
      <c r="E121" s="461">
        <v>0</v>
      </c>
      <c r="F121" s="462">
        <v>0</v>
      </c>
      <c r="G121" s="462">
        <f t="shared" si="15"/>
        <v>0</v>
      </c>
    </row>
    <row r="122" spans="2:7" ht="15.75" customHeight="1" x14ac:dyDescent="0.2">
      <c r="B122" s="1474" t="s">
        <v>177</v>
      </c>
      <c r="C122" s="1474"/>
      <c r="D122" s="461">
        <v>0</v>
      </c>
      <c r="E122" s="461">
        <v>0</v>
      </c>
      <c r="F122" s="462">
        <v>0</v>
      </c>
      <c r="G122" s="462">
        <f t="shared" si="15"/>
        <v>0</v>
      </c>
    </row>
    <row r="123" spans="2:7" ht="15.75" customHeight="1" x14ac:dyDescent="0.2">
      <c r="B123" s="1474" t="s">
        <v>178</v>
      </c>
      <c r="C123" s="1474"/>
      <c r="D123" s="461">
        <v>0</v>
      </c>
      <c r="E123" s="461">
        <v>0</v>
      </c>
      <c r="F123" s="462">
        <v>0</v>
      </c>
      <c r="G123" s="462">
        <f t="shared" si="15"/>
        <v>0</v>
      </c>
    </row>
    <row r="124" spans="2:7" ht="15.75" customHeight="1" x14ac:dyDescent="0.2">
      <c r="B124" s="1474" t="s">
        <v>179</v>
      </c>
      <c r="C124" s="1474"/>
      <c r="D124" s="461">
        <v>0</v>
      </c>
      <c r="E124" s="461">
        <v>0</v>
      </c>
      <c r="F124" s="462">
        <v>0</v>
      </c>
      <c r="G124" s="462">
        <f t="shared" si="15"/>
        <v>0</v>
      </c>
    </row>
    <row r="125" spans="2:7" ht="15.75" customHeight="1" x14ac:dyDescent="0.2">
      <c r="B125" s="1475" t="s">
        <v>180</v>
      </c>
      <c r="C125" s="1475"/>
      <c r="D125" s="461">
        <v>0</v>
      </c>
      <c r="E125" s="461">
        <v>0</v>
      </c>
      <c r="F125" s="462">
        <v>0</v>
      </c>
      <c r="G125" s="462">
        <f t="shared" si="15"/>
        <v>0</v>
      </c>
    </row>
    <row r="126" spans="2:7" ht="15.75" customHeight="1" x14ac:dyDescent="0.2">
      <c r="B126" s="1474" t="s">
        <v>181</v>
      </c>
      <c r="C126" s="1474"/>
      <c r="D126" s="461">
        <v>0</v>
      </c>
      <c r="E126" s="461">
        <v>0</v>
      </c>
      <c r="F126" s="462">
        <v>0</v>
      </c>
      <c r="G126" s="462">
        <f t="shared" si="15"/>
        <v>0</v>
      </c>
    </row>
    <row r="127" spans="2:7" s="423" customFormat="1" ht="15.75" customHeight="1" x14ac:dyDescent="0.2">
      <c r="B127" s="1477" t="s">
        <v>182</v>
      </c>
      <c r="C127" s="1477"/>
      <c r="D127" s="467">
        <v>4487.55</v>
      </c>
      <c r="E127" s="467">
        <v>3056.07</v>
      </c>
      <c r="F127" s="468">
        <v>3175.6</v>
      </c>
      <c r="G127" s="462">
        <f t="shared" si="15"/>
        <v>4763.3999999999996</v>
      </c>
    </row>
    <row r="128" spans="2:7" s="423" customFormat="1" ht="15.75" customHeight="1" x14ac:dyDescent="0.2">
      <c r="B128" s="1477" t="s">
        <v>183</v>
      </c>
      <c r="C128" s="1477"/>
      <c r="D128" s="467">
        <v>0</v>
      </c>
      <c r="E128" s="467">
        <v>0</v>
      </c>
      <c r="F128" s="468">
        <v>0</v>
      </c>
      <c r="G128" s="462">
        <f t="shared" si="15"/>
        <v>0</v>
      </c>
    </row>
    <row r="129" spans="2:7" s="423" customFormat="1" ht="15.75" customHeight="1" x14ac:dyDescent="0.2">
      <c r="B129" s="1477" t="s">
        <v>184</v>
      </c>
      <c r="C129" s="1477"/>
      <c r="D129" s="467">
        <v>0</v>
      </c>
      <c r="E129" s="467">
        <v>0</v>
      </c>
      <c r="F129" s="468">
        <v>0</v>
      </c>
      <c r="G129" s="462">
        <f t="shared" si="15"/>
        <v>0</v>
      </c>
    </row>
    <row r="130" spans="2:7" s="423" customFormat="1" ht="15.75" customHeight="1" x14ac:dyDescent="0.2">
      <c r="B130" s="1477" t="s">
        <v>185</v>
      </c>
      <c r="C130" s="1477"/>
      <c r="D130" s="467">
        <v>0</v>
      </c>
      <c r="E130" s="467">
        <v>0</v>
      </c>
      <c r="F130" s="468">
        <v>0</v>
      </c>
      <c r="G130" s="462">
        <f t="shared" si="15"/>
        <v>0</v>
      </c>
    </row>
    <row r="131" spans="2:7" ht="15.75" customHeight="1" x14ac:dyDescent="0.2">
      <c r="B131" s="1475" t="s">
        <v>186</v>
      </c>
      <c r="C131" s="1475"/>
      <c r="D131" s="461">
        <v>0</v>
      </c>
      <c r="E131" s="461">
        <v>0</v>
      </c>
      <c r="F131" s="462">
        <v>0</v>
      </c>
      <c r="G131" s="462">
        <f t="shared" si="15"/>
        <v>0</v>
      </c>
    </row>
    <row r="132" spans="2:7" ht="15.75" customHeight="1" x14ac:dyDescent="0.2">
      <c r="B132" s="1475" t="s">
        <v>187</v>
      </c>
      <c r="C132" s="1475"/>
      <c r="D132" s="461">
        <v>132.65</v>
      </c>
      <c r="E132" s="461">
        <v>0</v>
      </c>
      <c r="F132" s="462">
        <v>0</v>
      </c>
      <c r="G132" s="462">
        <f t="shared" si="15"/>
        <v>0</v>
      </c>
    </row>
    <row r="133" spans="2:7" ht="15.75" customHeight="1" x14ac:dyDescent="0.2">
      <c r="B133" s="1475" t="s">
        <v>188</v>
      </c>
      <c r="C133" s="1475"/>
      <c r="D133" s="461">
        <v>2406.75</v>
      </c>
      <c r="E133" s="461">
        <v>2291</v>
      </c>
      <c r="F133" s="462">
        <v>2424.09</v>
      </c>
      <c r="G133" s="462">
        <f t="shared" si="15"/>
        <v>3636.1350000000002</v>
      </c>
    </row>
    <row r="134" spans="2:7" ht="15.75" customHeight="1" x14ac:dyDescent="0.2">
      <c r="B134" s="1475" t="s">
        <v>189</v>
      </c>
      <c r="C134" s="1475"/>
      <c r="D134" s="461">
        <f>16064.15+1794.6+2609.55</f>
        <v>20468.3</v>
      </c>
      <c r="E134" s="461">
        <v>3990.77</v>
      </c>
      <c r="F134" s="462">
        <v>3018.64</v>
      </c>
      <c r="G134" s="462">
        <f t="shared" si="15"/>
        <v>4527.96</v>
      </c>
    </row>
    <row r="135" spans="2:7" ht="15.75" customHeight="1" x14ac:dyDescent="0.2">
      <c r="B135" s="1475" t="s">
        <v>190</v>
      </c>
      <c r="C135" s="1475"/>
      <c r="D135" s="461">
        <v>0</v>
      </c>
      <c r="E135" s="461">
        <v>0</v>
      </c>
      <c r="F135" s="462">
        <v>0</v>
      </c>
      <c r="G135" s="462">
        <f t="shared" si="15"/>
        <v>0</v>
      </c>
    </row>
    <row r="136" spans="2:7" ht="15.75" customHeight="1" x14ac:dyDescent="0.2">
      <c r="B136" s="1475" t="s">
        <v>191</v>
      </c>
      <c r="C136" s="1475"/>
      <c r="D136" s="461">
        <v>200</v>
      </c>
      <c r="E136" s="461">
        <v>0</v>
      </c>
      <c r="F136" s="462">
        <v>0</v>
      </c>
      <c r="G136" s="462">
        <f t="shared" si="15"/>
        <v>0</v>
      </c>
    </row>
    <row r="137" spans="2:7" ht="15.75" customHeight="1" x14ac:dyDescent="0.2">
      <c r="B137" s="1475" t="s">
        <v>192</v>
      </c>
      <c r="C137" s="1475"/>
      <c r="D137" s="461">
        <v>3500</v>
      </c>
      <c r="E137" s="461">
        <v>4950</v>
      </c>
      <c r="F137" s="462">
        <v>4250</v>
      </c>
      <c r="G137" s="462">
        <f t="shared" si="15"/>
        <v>6375</v>
      </c>
    </row>
    <row r="138" spans="2:7" ht="15.75" customHeight="1" x14ac:dyDescent="0.2">
      <c r="B138" s="1475" t="s">
        <v>193</v>
      </c>
      <c r="C138" s="1475"/>
      <c r="D138" s="461">
        <v>3200</v>
      </c>
      <c r="E138" s="461">
        <v>3000</v>
      </c>
      <c r="F138" s="462">
        <v>0</v>
      </c>
      <c r="G138" s="462">
        <f t="shared" si="15"/>
        <v>0</v>
      </c>
    </row>
    <row r="139" spans="2:7" ht="15.75" customHeight="1" x14ac:dyDescent="0.2">
      <c r="B139" s="1475" t="s">
        <v>194</v>
      </c>
      <c r="C139" s="1475"/>
      <c r="D139" s="461">
        <v>4760</v>
      </c>
      <c r="E139" s="461">
        <v>5800</v>
      </c>
      <c r="F139" s="462">
        <v>8500</v>
      </c>
      <c r="G139" s="462">
        <f t="shared" si="15"/>
        <v>12750</v>
      </c>
    </row>
    <row r="140" spans="2:7" ht="15.75" customHeight="1" x14ac:dyDescent="0.2">
      <c r="B140" s="1475" t="s">
        <v>195</v>
      </c>
      <c r="C140" s="1475"/>
      <c r="D140" s="461">
        <v>0</v>
      </c>
      <c r="E140" s="461">
        <v>0</v>
      </c>
      <c r="F140" s="462">
        <v>0</v>
      </c>
      <c r="G140" s="462">
        <f t="shared" si="15"/>
        <v>0</v>
      </c>
    </row>
    <row r="141" spans="2:7" ht="15.75" customHeight="1" x14ac:dyDescent="0.2">
      <c r="B141" s="1475" t="s">
        <v>196</v>
      </c>
      <c r="C141" s="1475"/>
      <c r="D141" s="461">
        <v>0</v>
      </c>
      <c r="E141" s="461">
        <v>2478.73</v>
      </c>
      <c r="F141" s="462">
        <v>2039.45</v>
      </c>
      <c r="G141" s="462">
        <f t="shared" si="15"/>
        <v>3059.1750000000002</v>
      </c>
    </row>
    <row r="142" spans="2:7" ht="15.75" customHeight="1" x14ac:dyDescent="0.2">
      <c r="B142" s="1475" t="s">
        <v>7095</v>
      </c>
      <c r="C142" s="1475"/>
      <c r="D142" s="461">
        <v>0</v>
      </c>
      <c r="E142" s="461">
        <v>0</v>
      </c>
      <c r="F142" s="462">
        <v>136</v>
      </c>
      <c r="G142" s="462">
        <f t="shared" si="15"/>
        <v>204</v>
      </c>
    </row>
    <row r="143" spans="2:7" x14ac:dyDescent="0.2">
      <c r="B143" s="1475" t="s">
        <v>197</v>
      </c>
      <c r="C143" s="1475"/>
      <c r="D143" s="461">
        <v>0</v>
      </c>
      <c r="E143" s="461">
        <v>0</v>
      </c>
      <c r="F143" s="462">
        <v>0</v>
      </c>
      <c r="G143" s="462">
        <f t="shared" si="15"/>
        <v>0</v>
      </c>
    </row>
    <row r="144" spans="2:7" x14ac:dyDescent="0.2">
      <c r="B144" s="1475" t="s">
        <v>198</v>
      </c>
      <c r="C144" s="1475"/>
      <c r="D144" s="461">
        <v>0</v>
      </c>
      <c r="E144" s="461">
        <v>0</v>
      </c>
      <c r="F144" s="462">
        <v>0</v>
      </c>
      <c r="G144" s="462">
        <f t="shared" ref="G144:G207" si="16">F144/8*12</f>
        <v>0</v>
      </c>
    </row>
    <row r="145" spans="2:7" x14ac:dyDescent="0.2">
      <c r="B145" s="1475" t="s">
        <v>199</v>
      </c>
      <c r="C145" s="1475"/>
      <c r="D145" s="461">
        <v>0</v>
      </c>
      <c r="E145" s="461">
        <v>9.77</v>
      </c>
      <c r="F145" s="462">
        <v>6.16</v>
      </c>
      <c r="G145" s="462">
        <f t="shared" si="16"/>
        <v>9.24</v>
      </c>
    </row>
    <row r="146" spans="2:7" x14ac:dyDescent="0.2">
      <c r="B146" s="1475" t="s">
        <v>200</v>
      </c>
      <c r="C146" s="1475"/>
      <c r="D146" s="461">
        <v>0</v>
      </c>
      <c r="E146" s="461">
        <v>12.35</v>
      </c>
      <c r="F146" s="462">
        <v>7.1</v>
      </c>
      <c r="G146" s="462">
        <f t="shared" si="16"/>
        <v>10.649999999999999</v>
      </c>
    </row>
    <row r="147" spans="2:7" x14ac:dyDescent="0.2">
      <c r="B147" s="1475" t="s">
        <v>201</v>
      </c>
      <c r="C147" s="1475"/>
      <c r="D147" s="461">
        <v>0</v>
      </c>
      <c r="E147" s="461">
        <v>0</v>
      </c>
      <c r="F147" s="462">
        <v>0</v>
      </c>
      <c r="G147" s="462">
        <f t="shared" si="16"/>
        <v>0</v>
      </c>
    </row>
    <row r="148" spans="2:7" x14ac:dyDescent="0.2">
      <c r="B148" s="1475" t="s">
        <v>202</v>
      </c>
      <c r="C148" s="1475"/>
      <c r="D148" s="461">
        <v>0</v>
      </c>
      <c r="E148" s="461">
        <v>0</v>
      </c>
      <c r="F148" s="462">
        <v>0</v>
      </c>
      <c r="G148" s="462">
        <f t="shared" si="16"/>
        <v>0</v>
      </c>
    </row>
    <row r="149" spans="2:7" x14ac:dyDescent="0.2">
      <c r="B149" s="1475" t="s">
        <v>203</v>
      </c>
      <c r="C149" s="1475"/>
      <c r="D149" s="461">
        <v>0</v>
      </c>
      <c r="E149" s="461">
        <v>0</v>
      </c>
      <c r="F149" s="462">
        <v>0</v>
      </c>
      <c r="G149" s="462">
        <f t="shared" si="16"/>
        <v>0</v>
      </c>
    </row>
    <row r="150" spans="2:7" x14ac:dyDescent="0.2">
      <c r="B150" s="1475" t="s">
        <v>204</v>
      </c>
      <c r="C150" s="1475"/>
      <c r="D150" s="461">
        <v>0</v>
      </c>
      <c r="E150" s="461">
        <v>0</v>
      </c>
      <c r="F150" s="462">
        <v>0</v>
      </c>
      <c r="G150" s="462">
        <f t="shared" si="16"/>
        <v>0</v>
      </c>
    </row>
    <row r="151" spans="2:7" x14ac:dyDescent="0.2">
      <c r="B151" s="1475" t="s">
        <v>205</v>
      </c>
      <c r="C151" s="1475"/>
      <c r="D151" s="461">
        <v>0</v>
      </c>
      <c r="E151" s="461">
        <v>0</v>
      </c>
      <c r="F151" s="462">
        <v>0</v>
      </c>
      <c r="G151" s="462">
        <f t="shared" si="16"/>
        <v>0</v>
      </c>
    </row>
    <row r="152" spans="2:7" x14ac:dyDescent="0.2">
      <c r="B152" s="1475" t="s">
        <v>206</v>
      </c>
      <c r="C152" s="1475"/>
      <c r="D152" s="461">
        <v>0</v>
      </c>
      <c r="E152" s="461">
        <v>0</v>
      </c>
      <c r="F152" s="462">
        <v>0</v>
      </c>
      <c r="G152" s="462">
        <f t="shared" si="16"/>
        <v>0</v>
      </c>
    </row>
    <row r="153" spans="2:7" x14ac:dyDescent="0.2">
      <c r="B153" s="1475" t="s">
        <v>207</v>
      </c>
      <c r="C153" s="1475"/>
      <c r="D153" s="461">
        <v>0</v>
      </c>
      <c r="E153" s="461">
        <v>18.920000000000002</v>
      </c>
      <c r="F153" s="462">
        <v>0</v>
      </c>
      <c r="G153" s="462">
        <f t="shared" si="16"/>
        <v>0</v>
      </c>
    </row>
    <row r="154" spans="2:7" x14ac:dyDescent="0.2">
      <c r="B154" s="1475" t="s">
        <v>208</v>
      </c>
      <c r="C154" s="1475"/>
      <c r="D154" s="461">
        <v>0</v>
      </c>
      <c r="E154" s="461">
        <v>0</v>
      </c>
      <c r="F154" s="462">
        <v>0</v>
      </c>
      <c r="G154" s="462">
        <f t="shared" si="16"/>
        <v>0</v>
      </c>
    </row>
    <row r="155" spans="2:7" x14ac:dyDescent="0.2">
      <c r="B155" s="1475" t="s">
        <v>209</v>
      </c>
      <c r="C155" s="1475"/>
      <c r="D155" s="461">
        <v>0</v>
      </c>
      <c r="E155" s="461">
        <v>0</v>
      </c>
      <c r="F155" s="462">
        <v>0</v>
      </c>
      <c r="G155" s="462">
        <f t="shared" si="16"/>
        <v>0</v>
      </c>
    </row>
    <row r="156" spans="2:7" x14ac:dyDescent="0.2">
      <c r="B156" s="1475" t="s">
        <v>210</v>
      </c>
      <c r="C156" s="1475"/>
      <c r="D156" s="461">
        <v>0</v>
      </c>
      <c r="E156" s="461">
        <v>54.15</v>
      </c>
      <c r="F156" s="462">
        <v>36.369999999999997</v>
      </c>
      <c r="G156" s="462">
        <f t="shared" si="16"/>
        <v>54.554999999999993</v>
      </c>
    </row>
    <row r="157" spans="2:7" x14ac:dyDescent="0.2">
      <c r="B157" s="1475" t="s">
        <v>211</v>
      </c>
      <c r="C157" s="1475"/>
      <c r="D157" s="461">
        <v>0</v>
      </c>
      <c r="E157" s="461">
        <v>37.72</v>
      </c>
      <c r="F157" s="462">
        <v>19.989999999999998</v>
      </c>
      <c r="G157" s="462">
        <f t="shared" si="16"/>
        <v>29.984999999999999</v>
      </c>
    </row>
    <row r="158" spans="2:7" x14ac:dyDescent="0.2">
      <c r="B158" s="1475" t="s">
        <v>212</v>
      </c>
      <c r="C158" s="1475"/>
      <c r="D158" s="461">
        <v>0</v>
      </c>
      <c r="E158" s="461">
        <v>0</v>
      </c>
      <c r="F158" s="462">
        <v>0</v>
      </c>
      <c r="G158" s="462">
        <f t="shared" si="16"/>
        <v>0</v>
      </c>
    </row>
    <row r="159" spans="2:7" x14ac:dyDescent="0.2">
      <c r="B159" s="1475" t="s">
        <v>213</v>
      </c>
      <c r="C159" s="1475"/>
      <c r="D159" s="461">
        <v>0</v>
      </c>
      <c r="E159" s="461">
        <v>0</v>
      </c>
      <c r="F159" s="462">
        <v>0</v>
      </c>
      <c r="G159" s="462">
        <f t="shared" si="16"/>
        <v>0</v>
      </c>
    </row>
    <row r="160" spans="2:7" x14ac:dyDescent="0.2">
      <c r="B160" s="1475" t="s">
        <v>214</v>
      </c>
      <c r="C160" s="1475"/>
      <c r="D160" s="461">
        <v>0</v>
      </c>
      <c r="E160" s="461">
        <v>0</v>
      </c>
      <c r="F160" s="462">
        <v>0</v>
      </c>
      <c r="G160" s="462">
        <f t="shared" si="16"/>
        <v>0</v>
      </c>
    </row>
    <row r="161" spans="2:7" x14ac:dyDescent="0.2">
      <c r="B161" s="1475" t="s">
        <v>215</v>
      </c>
      <c r="C161" s="1475"/>
      <c r="D161" s="461">
        <v>0</v>
      </c>
      <c r="E161" s="461">
        <v>0</v>
      </c>
      <c r="F161" s="462">
        <v>0</v>
      </c>
      <c r="G161" s="462">
        <f t="shared" si="16"/>
        <v>0</v>
      </c>
    </row>
    <row r="162" spans="2:7" x14ac:dyDescent="0.2">
      <c r="B162" s="1475" t="s">
        <v>216</v>
      </c>
      <c r="C162" s="1475"/>
      <c r="D162" s="461">
        <v>0</v>
      </c>
      <c r="E162" s="461">
        <v>0</v>
      </c>
      <c r="F162" s="462">
        <v>0</v>
      </c>
      <c r="G162" s="462">
        <f t="shared" si="16"/>
        <v>0</v>
      </c>
    </row>
    <row r="163" spans="2:7" x14ac:dyDescent="0.2">
      <c r="B163" s="1475" t="s">
        <v>217</v>
      </c>
      <c r="C163" s="1475"/>
      <c r="D163" s="461">
        <v>0</v>
      </c>
      <c r="E163" s="461">
        <v>0</v>
      </c>
      <c r="F163" s="462">
        <v>0</v>
      </c>
      <c r="G163" s="462">
        <f t="shared" si="16"/>
        <v>0</v>
      </c>
    </row>
    <row r="164" spans="2:7" x14ac:dyDescent="0.2">
      <c r="B164" s="1475" t="s">
        <v>218</v>
      </c>
      <c r="C164" s="1475"/>
      <c r="D164" s="461">
        <v>0</v>
      </c>
      <c r="E164" s="461">
        <v>0</v>
      </c>
      <c r="F164" s="462">
        <v>0</v>
      </c>
      <c r="G164" s="462">
        <f t="shared" si="16"/>
        <v>0</v>
      </c>
    </row>
    <row r="165" spans="2:7" x14ac:dyDescent="0.2">
      <c r="B165" s="1475" t="s">
        <v>219</v>
      </c>
      <c r="C165" s="1475"/>
      <c r="D165" s="461">
        <v>0</v>
      </c>
      <c r="E165" s="461">
        <v>0</v>
      </c>
      <c r="F165" s="462">
        <v>0</v>
      </c>
      <c r="G165" s="462">
        <f t="shared" si="16"/>
        <v>0</v>
      </c>
    </row>
    <row r="166" spans="2:7" x14ac:dyDescent="0.2">
      <c r="B166" s="1475" t="s">
        <v>220</v>
      </c>
      <c r="C166" s="1475"/>
      <c r="D166" s="461">
        <v>0</v>
      </c>
      <c r="E166" s="461">
        <v>0</v>
      </c>
      <c r="F166" s="462">
        <v>0</v>
      </c>
      <c r="G166" s="462">
        <f t="shared" si="16"/>
        <v>0</v>
      </c>
    </row>
    <row r="167" spans="2:7" x14ac:dyDescent="0.2">
      <c r="B167" s="1475" t="s">
        <v>221</v>
      </c>
      <c r="C167" s="1475"/>
      <c r="D167" s="461">
        <v>0</v>
      </c>
      <c r="E167" s="461">
        <v>17.5</v>
      </c>
      <c r="F167" s="462">
        <v>29.39</v>
      </c>
      <c r="G167" s="462">
        <f t="shared" si="16"/>
        <v>44.085000000000001</v>
      </c>
    </row>
    <row r="168" spans="2:7" x14ac:dyDescent="0.2">
      <c r="B168" s="1475" t="s">
        <v>222</v>
      </c>
      <c r="C168" s="1475"/>
      <c r="D168" s="461">
        <v>0</v>
      </c>
      <c r="E168" s="461">
        <v>27.62</v>
      </c>
      <c r="F168" s="462">
        <v>12.24</v>
      </c>
      <c r="G168" s="462">
        <f t="shared" si="16"/>
        <v>18.36</v>
      </c>
    </row>
    <row r="169" spans="2:7" x14ac:dyDescent="0.2">
      <c r="B169" s="1475" t="s">
        <v>223</v>
      </c>
      <c r="C169" s="1475"/>
      <c r="D169" s="461">
        <v>0</v>
      </c>
      <c r="E169" s="461">
        <v>0</v>
      </c>
      <c r="F169" s="462">
        <v>0</v>
      </c>
      <c r="G169" s="462">
        <f t="shared" si="16"/>
        <v>0</v>
      </c>
    </row>
    <row r="170" spans="2:7" x14ac:dyDescent="0.2">
      <c r="B170" s="1475" t="s">
        <v>224</v>
      </c>
      <c r="C170" s="1475"/>
      <c r="D170" s="461">
        <v>0</v>
      </c>
      <c r="E170" s="461">
        <v>0</v>
      </c>
      <c r="F170" s="462">
        <v>0</v>
      </c>
      <c r="G170" s="462">
        <f t="shared" si="16"/>
        <v>0</v>
      </c>
    </row>
    <row r="171" spans="2:7" x14ac:dyDescent="0.2">
      <c r="B171" s="1475" t="s">
        <v>225</v>
      </c>
      <c r="C171" s="1475"/>
      <c r="D171" s="461">
        <v>0</v>
      </c>
      <c r="E171" s="461">
        <v>0</v>
      </c>
      <c r="F171" s="462">
        <v>0</v>
      </c>
      <c r="G171" s="462">
        <f t="shared" si="16"/>
        <v>0</v>
      </c>
    </row>
    <row r="172" spans="2:7" x14ac:dyDescent="0.2">
      <c r="B172" s="1475" t="s">
        <v>226</v>
      </c>
      <c r="C172" s="1475"/>
      <c r="D172" s="461">
        <v>0</v>
      </c>
      <c r="E172" s="461">
        <v>0</v>
      </c>
      <c r="F172" s="462">
        <v>0</v>
      </c>
      <c r="G172" s="462">
        <f t="shared" si="16"/>
        <v>0</v>
      </c>
    </row>
    <row r="173" spans="2:7" x14ac:dyDescent="0.2">
      <c r="B173" s="1475" t="s">
        <v>227</v>
      </c>
      <c r="C173" s="1475"/>
      <c r="D173" s="461">
        <v>0</v>
      </c>
      <c r="E173" s="461">
        <v>0</v>
      </c>
      <c r="F173" s="462">
        <v>0</v>
      </c>
      <c r="G173" s="462">
        <f t="shared" si="16"/>
        <v>0</v>
      </c>
    </row>
    <row r="174" spans="2:7" x14ac:dyDescent="0.2">
      <c r="B174" s="1475" t="s">
        <v>228</v>
      </c>
      <c r="C174" s="1475"/>
      <c r="D174" s="461">
        <v>0</v>
      </c>
      <c r="E174" s="461">
        <v>0</v>
      </c>
      <c r="F174" s="462">
        <v>0</v>
      </c>
      <c r="G174" s="462">
        <f t="shared" si="16"/>
        <v>0</v>
      </c>
    </row>
    <row r="175" spans="2:7" x14ac:dyDescent="0.2">
      <c r="B175" s="1475" t="s">
        <v>229</v>
      </c>
      <c r="C175" s="1475"/>
      <c r="D175" s="461">
        <v>0</v>
      </c>
      <c r="E175" s="461">
        <v>0</v>
      </c>
      <c r="F175" s="462">
        <v>0</v>
      </c>
      <c r="G175" s="462">
        <f t="shared" si="16"/>
        <v>0</v>
      </c>
    </row>
    <row r="176" spans="2:7" x14ac:dyDescent="0.2">
      <c r="B176" s="460" t="s">
        <v>230</v>
      </c>
      <c r="C176" s="460"/>
      <c r="D176" s="461">
        <v>0</v>
      </c>
      <c r="E176" s="461">
        <v>0</v>
      </c>
      <c r="F176" s="462">
        <v>0</v>
      </c>
      <c r="G176" s="462">
        <f t="shared" si="16"/>
        <v>0</v>
      </c>
    </row>
    <row r="177" spans="2:7" x14ac:dyDescent="0.2">
      <c r="B177" s="460" t="s">
        <v>231</v>
      </c>
      <c r="C177" s="460"/>
      <c r="D177" s="461">
        <v>0</v>
      </c>
      <c r="E177" s="461">
        <v>0</v>
      </c>
      <c r="F177" s="462">
        <v>0</v>
      </c>
      <c r="G177" s="462">
        <f t="shared" si="16"/>
        <v>0</v>
      </c>
    </row>
    <row r="178" spans="2:7" x14ac:dyDescent="0.2">
      <c r="B178" s="460" t="s">
        <v>232</v>
      </c>
      <c r="C178" s="460"/>
      <c r="D178" s="461">
        <v>0</v>
      </c>
      <c r="E178" s="461">
        <v>3260.56</v>
      </c>
      <c r="F178" s="462">
        <v>0</v>
      </c>
      <c r="G178" s="462">
        <f t="shared" si="16"/>
        <v>0</v>
      </c>
    </row>
    <row r="179" spans="2:7" x14ac:dyDescent="0.2">
      <c r="B179" s="460" t="s">
        <v>233</v>
      </c>
      <c r="C179" s="460"/>
      <c r="D179" s="461">
        <v>0</v>
      </c>
      <c r="E179" s="461">
        <v>0</v>
      </c>
      <c r="F179" s="462">
        <v>0</v>
      </c>
      <c r="G179" s="462">
        <f t="shared" si="16"/>
        <v>0</v>
      </c>
    </row>
    <row r="180" spans="2:7" x14ac:dyDescent="0.2">
      <c r="B180" s="460" t="s">
        <v>234</v>
      </c>
      <c r="C180" s="460"/>
      <c r="D180" s="461">
        <v>26980.39</v>
      </c>
      <c r="E180" s="461">
        <v>22007.64</v>
      </c>
      <c r="F180" s="462">
        <v>22448.21</v>
      </c>
      <c r="G180" s="462">
        <f t="shared" si="16"/>
        <v>33672.315000000002</v>
      </c>
    </row>
    <row r="181" spans="2:7" ht="15.75" customHeight="1" x14ac:dyDescent="0.2">
      <c r="B181" s="1474" t="s">
        <v>235</v>
      </c>
      <c r="C181" s="1474"/>
      <c r="D181" s="461">
        <v>0</v>
      </c>
      <c r="E181" s="461">
        <v>0</v>
      </c>
      <c r="F181" s="462">
        <v>0</v>
      </c>
      <c r="G181" s="462">
        <f t="shared" si="16"/>
        <v>0</v>
      </c>
    </row>
    <row r="182" spans="2:7" ht="15.75" customHeight="1" x14ac:dyDescent="0.2">
      <c r="B182" s="1474" t="s">
        <v>236</v>
      </c>
      <c r="C182" s="1474"/>
      <c r="D182" s="461">
        <v>36784.639999999999</v>
      </c>
      <c r="E182" s="461">
        <v>15953.66</v>
      </c>
      <c r="F182" s="462">
        <v>10337.280000000001</v>
      </c>
      <c r="G182" s="462">
        <f t="shared" si="16"/>
        <v>15505.920000000002</v>
      </c>
    </row>
    <row r="183" spans="2:7" ht="15.75" customHeight="1" x14ac:dyDescent="0.2">
      <c r="B183" s="1475" t="s">
        <v>237</v>
      </c>
      <c r="C183" s="1475"/>
      <c r="D183" s="461">
        <v>15648.93</v>
      </c>
      <c r="E183" s="461">
        <v>2001.7</v>
      </c>
      <c r="F183" s="462">
        <v>629.76</v>
      </c>
      <c r="G183" s="462">
        <f t="shared" si="16"/>
        <v>944.64</v>
      </c>
    </row>
    <row r="184" spans="2:7" ht="15.75" customHeight="1" x14ac:dyDescent="0.2">
      <c r="B184" s="1475" t="s">
        <v>238</v>
      </c>
      <c r="C184" s="1475"/>
      <c r="D184" s="461">
        <v>445.8</v>
      </c>
      <c r="E184" s="461">
        <v>54.2</v>
      </c>
      <c r="F184" s="462">
        <v>72.53</v>
      </c>
      <c r="G184" s="462">
        <f t="shared" si="16"/>
        <v>108.795</v>
      </c>
    </row>
    <row r="185" spans="2:7" ht="15.75" customHeight="1" x14ac:dyDescent="0.2">
      <c r="B185" s="1475" t="s">
        <v>239</v>
      </c>
      <c r="C185" s="1475"/>
      <c r="D185" s="461">
        <v>3994.37</v>
      </c>
      <c r="E185" s="461">
        <v>1153.67</v>
      </c>
      <c r="F185" s="462">
        <v>132.72999999999999</v>
      </c>
      <c r="G185" s="462">
        <f t="shared" si="16"/>
        <v>199.09499999999997</v>
      </c>
    </row>
    <row r="186" spans="2:7" ht="15.75" customHeight="1" x14ac:dyDescent="0.2">
      <c r="B186" s="1475" t="s">
        <v>240</v>
      </c>
      <c r="C186" s="1475"/>
      <c r="D186" s="461">
        <v>0</v>
      </c>
      <c r="E186" s="461">
        <v>0</v>
      </c>
      <c r="F186" s="462">
        <v>0</v>
      </c>
      <c r="G186" s="462">
        <f t="shared" si="16"/>
        <v>0</v>
      </c>
    </row>
    <row r="187" spans="2:7" ht="15.75" customHeight="1" x14ac:dyDescent="0.2">
      <c r="B187" s="1475" t="s">
        <v>241</v>
      </c>
      <c r="C187" s="1475"/>
      <c r="D187" s="461">
        <v>46.46</v>
      </c>
      <c r="E187" s="461">
        <v>171.18</v>
      </c>
      <c r="F187" s="462">
        <v>37.840000000000003</v>
      </c>
      <c r="G187" s="462">
        <f t="shared" si="16"/>
        <v>56.760000000000005</v>
      </c>
    </row>
    <row r="188" spans="2:7" ht="15.75" customHeight="1" x14ac:dyDescent="0.2">
      <c r="B188" s="1475" t="s">
        <v>242</v>
      </c>
      <c r="C188" s="1475"/>
      <c r="D188" s="461">
        <v>56.85</v>
      </c>
      <c r="E188" s="461">
        <v>157.6</v>
      </c>
      <c r="F188" s="462">
        <v>113.38</v>
      </c>
      <c r="G188" s="462">
        <f t="shared" si="16"/>
        <v>170.07</v>
      </c>
    </row>
    <row r="189" spans="2:7" ht="15.75" customHeight="1" x14ac:dyDescent="0.2">
      <c r="B189" s="1475" t="s">
        <v>243</v>
      </c>
      <c r="C189" s="1475"/>
      <c r="D189" s="461">
        <v>1800.56</v>
      </c>
      <c r="E189" s="461">
        <v>380.77</v>
      </c>
      <c r="F189" s="462">
        <v>263.11</v>
      </c>
      <c r="G189" s="462">
        <f t="shared" si="16"/>
        <v>394.66500000000002</v>
      </c>
    </row>
    <row r="190" spans="2:7" ht="15.75" customHeight="1" x14ac:dyDescent="0.2">
      <c r="B190" s="1475" t="s">
        <v>244</v>
      </c>
      <c r="C190" s="1475"/>
      <c r="D190" s="461">
        <v>732.77</v>
      </c>
      <c r="E190" s="461">
        <v>554.46</v>
      </c>
      <c r="F190" s="462">
        <v>239.22</v>
      </c>
      <c r="G190" s="462">
        <f t="shared" si="16"/>
        <v>358.83</v>
      </c>
    </row>
    <row r="191" spans="2:7" ht="15.75" customHeight="1" x14ac:dyDescent="0.2">
      <c r="B191" s="1475" t="s">
        <v>245</v>
      </c>
      <c r="C191" s="1475"/>
      <c r="D191" s="461">
        <v>1764.93</v>
      </c>
      <c r="E191" s="461">
        <v>632.09</v>
      </c>
      <c r="F191" s="462">
        <v>396.64</v>
      </c>
      <c r="G191" s="462">
        <f t="shared" si="16"/>
        <v>594.96</v>
      </c>
    </row>
    <row r="192" spans="2:7" ht="15.75" customHeight="1" x14ac:dyDescent="0.2">
      <c r="B192" s="1475" t="s">
        <v>246</v>
      </c>
      <c r="C192" s="1475"/>
      <c r="D192" s="461">
        <v>802.36</v>
      </c>
      <c r="E192" s="461">
        <v>460.64</v>
      </c>
      <c r="F192" s="462">
        <v>189.57</v>
      </c>
      <c r="G192" s="462">
        <f t="shared" si="16"/>
        <v>284.35500000000002</v>
      </c>
    </row>
    <row r="193" spans="2:7" ht="15.75" customHeight="1" x14ac:dyDescent="0.2">
      <c r="B193" s="1475" t="s">
        <v>247</v>
      </c>
      <c r="C193" s="1475"/>
      <c r="D193" s="461">
        <v>5007.1899999999996</v>
      </c>
      <c r="E193" s="461">
        <v>2201.0500000000002</v>
      </c>
      <c r="F193" s="462">
        <v>1819.63</v>
      </c>
      <c r="G193" s="462">
        <f t="shared" si="16"/>
        <v>2729.4450000000002</v>
      </c>
    </row>
    <row r="194" spans="2:7" ht="15.75" customHeight="1" x14ac:dyDescent="0.2">
      <c r="B194" s="1475" t="s">
        <v>248</v>
      </c>
      <c r="C194" s="1475"/>
      <c r="D194" s="461">
        <v>506.88</v>
      </c>
      <c r="E194" s="461">
        <v>200.74</v>
      </c>
      <c r="F194" s="462">
        <v>21.42</v>
      </c>
      <c r="G194" s="462">
        <f t="shared" si="16"/>
        <v>32.130000000000003</v>
      </c>
    </row>
    <row r="195" spans="2:7" ht="15.75" customHeight="1" x14ac:dyDescent="0.2">
      <c r="B195" s="1475" t="s">
        <v>249</v>
      </c>
      <c r="C195" s="1475"/>
      <c r="D195" s="461">
        <v>4340</v>
      </c>
      <c r="E195" s="461">
        <v>2703.21</v>
      </c>
      <c r="F195" s="462">
        <v>426.88</v>
      </c>
      <c r="G195" s="462">
        <f t="shared" si="16"/>
        <v>640.31999999999994</v>
      </c>
    </row>
    <row r="196" spans="2:7" ht="15.75" customHeight="1" x14ac:dyDescent="0.2">
      <c r="B196" s="1474" t="s">
        <v>250</v>
      </c>
      <c r="C196" s="1474"/>
      <c r="D196" s="461">
        <v>182.02</v>
      </c>
      <c r="E196" s="461">
        <v>105.18</v>
      </c>
      <c r="F196" s="462">
        <v>27.69</v>
      </c>
      <c r="G196" s="462">
        <f t="shared" si="16"/>
        <v>41.535000000000004</v>
      </c>
    </row>
    <row r="197" spans="2:7" ht="15.75" customHeight="1" x14ac:dyDescent="0.2">
      <c r="B197" s="1474" t="s">
        <v>251</v>
      </c>
      <c r="C197" s="1474"/>
      <c r="D197" s="461">
        <v>1697.83</v>
      </c>
      <c r="E197" s="461">
        <v>977.48</v>
      </c>
      <c r="F197" s="462">
        <v>231.77</v>
      </c>
      <c r="G197" s="462">
        <f t="shared" si="16"/>
        <v>347.65500000000003</v>
      </c>
    </row>
    <row r="198" spans="2:7" ht="15.75" customHeight="1" x14ac:dyDescent="0.2">
      <c r="B198" s="1475" t="s">
        <v>252</v>
      </c>
      <c r="C198" s="1475"/>
      <c r="D198" s="461">
        <v>474.04</v>
      </c>
      <c r="E198" s="461">
        <v>456.13</v>
      </c>
      <c r="F198" s="462">
        <v>74.45</v>
      </c>
      <c r="G198" s="462">
        <f t="shared" si="16"/>
        <v>111.67500000000001</v>
      </c>
    </row>
    <row r="199" spans="2:7" ht="15.75" customHeight="1" x14ac:dyDescent="0.2">
      <c r="B199" s="1475" t="s">
        <v>253</v>
      </c>
      <c r="C199" s="1475"/>
      <c r="D199" s="461">
        <v>872.37</v>
      </c>
      <c r="E199" s="461">
        <v>369</v>
      </c>
      <c r="F199" s="462">
        <v>236.43</v>
      </c>
      <c r="G199" s="462">
        <f t="shared" si="16"/>
        <v>354.64499999999998</v>
      </c>
    </row>
    <row r="200" spans="2:7" ht="15.75" customHeight="1" x14ac:dyDescent="0.2">
      <c r="B200" s="1475" t="s">
        <v>254</v>
      </c>
      <c r="C200" s="1475"/>
      <c r="D200" s="461">
        <v>2481.86</v>
      </c>
      <c r="E200" s="461">
        <v>1223.05</v>
      </c>
      <c r="F200" s="462">
        <v>1306.67</v>
      </c>
      <c r="G200" s="462">
        <f t="shared" si="16"/>
        <v>1960.0050000000001</v>
      </c>
    </row>
    <row r="201" spans="2:7" ht="15.75" customHeight="1" x14ac:dyDescent="0.2">
      <c r="B201" s="1475" t="s">
        <v>255</v>
      </c>
      <c r="C201" s="1475"/>
      <c r="D201" s="461">
        <v>1658.71</v>
      </c>
      <c r="E201" s="461">
        <v>860.39</v>
      </c>
      <c r="F201" s="462">
        <v>79.95</v>
      </c>
      <c r="G201" s="462">
        <f t="shared" si="16"/>
        <v>119.92500000000001</v>
      </c>
    </row>
    <row r="202" spans="2:7" ht="15.75" customHeight="1" x14ac:dyDescent="0.2">
      <c r="B202" s="1475" t="s">
        <v>256</v>
      </c>
      <c r="C202" s="1475"/>
      <c r="D202" s="461">
        <v>1815.79</v>
      </c>
      <c r="E202" s="461">
        <v>832.65</v>
      </c>
      <c r="F202" s="462">
        <v>731.16</v>
      </c>
      <c r="G202" s="462">
        <f t="shared" si="16"/>
        <v>1096.74</v>
      </c>
    </row>
    <row r="203" spans="2:7" ht="15.75" customHeight="1" x14ac:dyDescent="0.2">
      <c r="B203" s="1475" t="s">
        <v>257</v>
      </c>
      <c r="C203" s="1475"/>
      <c r="D203" s="461">
        <v>0.03</v>
      </c>
      <c r="E203" s="461">
        <v>2.0699999999999998</v>
      </c>
      <c r="F203" s="462">
        <v>1.45</v>
      </c>
      <c r="G203" s="462">
        <f t="shared" si="16"/>
        <v>2.1749999999999998</v>
      </c>
    </row>
    <row r="204" spans="2:7" ht="15.75" customHeight="1" x14ac:dyDescent="0.2">
      <c r="B204" s="1475" t="s">
        <v>258</v>
      </c>
      <c r="C204" s="1475"/>
      <c r="D204" s="461">
        <v>0</v>
      </c>
      <c r="E204" s="461">
        <v>534.4</v>
      </c>
      <c r="F204" s="462">
        <v>25.65</v>
      </c>
      <c r="G204" s="462">
        <f t="shared" si="16"/>
        <v>38.474999999999994</v>
      </c>
    </row>
    <row r="205" spans="2:7" ht="15.75" customHeight="1" x14ac:dyDescent="0.2">
      <c r="B205" s="1475" t="s">
        <v>259</v>
      </c>
      <c r="C205" s="1475"/>
      <c r="D205" s="461">
        <v>0</v>
      </c>
      <c r="E205" s="461">
        <v>7.61</v>
      </c>
      <c r="F205" s="462">
        <v>8</v>
      </c>
      <c r="G205" s="462">
        <f t="shared" si="16"/>
        <v>12</v>
      </c>
    </row>
    <row r="206" spans="2:7" ht="15.75" customHeight="1" x14ac:dyDescent="0.2">
      <c r="B206" s="1475" t="s">
        <v>260</v>
      </c>
      <c r="C206" s="1475"/>
      <c r="D206" s="461">
        <v>1514.74</v>
      </c>
      <c r="E206" s="461">
        <v>1119.77</v>
      </c>
      <c r="F206" s="462">
        <v>7351.71</v>
      </c>
      <c r="G206" s="462">
        <f t="shared" si="16"/>
        <v>11027.565000000001</v>
      </c>
    </row>
    <row r="207" spans="2:7" ht="15.75" customHeight="1" x14ac:dyDescent="0.2">
      <c r="B207" s="1475" t="s">
        <v>261</v>
      </c>
      <c r="C207" s="1475"/>
      <c r="D207" s="461">
        <v>0</v>
      </c>
      <c r="E207" s="461">
        <v>0</v>
      </c>
      <c r="F207" s="462">
        <v>0</v>
      </c>
      <c r="G207" s="462">
        <f t="shared" si="16"/>
        <v>0</v>
      </c>
    </row>
    <row r="208" spans="2:7" ht="15.75" customHeight="1" x14ac:dyDescent="0.2">
      <c r="B208" s="1475" t="s">
        <v>262</v>
      </c>
      <c r="C208" s="1475"/>
      <c r="D208" s="461">
        <v>0</v>
      </c>
      <c r="E208" s="461">
        <v>0</v>
      </c>
      <c r="F208" s="462">
        <v>0</v>
      </c>
      <c r="G208" s="462">
        <f t="shared" ref="G208:G271" si="17">F208/8*12</f>
        <v>0</v>
      </c>
    </row>
    <row r="209" spans="2:9" ht="15.75" customHeight="1" x14ac:dyDescent="0.2">
      <c r="B209" s="1475" t="s">
        <v>263</v>
      </c>
      <c r="C209" s="1475"/>
      <c r="D209" s="461">
        <v>0</v>
      </c>
      <c r="E209" s="461">
        <v>56.53</v>
      </c>
      <c r="F209" s="462">
        <v>9.19</v>
      </c>
      <c r="G209" s="462">
        <f t="shared" si="17"/>
        <v>13.785</v>
      </c>
    </row>
    <row r="210" spans="2:9" ht="15.75" customHeight="1" x14ac:dyDescent="0.2">
      <c r="B210" s="1474" t="s">
        <v>264</v>
      </c>
      <c r="C210" s="1474"/>
      <c r="D210" s="461">
        <v>0</v>
      </c>
      <c r="E210" s="461">
        <v>590.74</v>
      </c>
      <c r="F210" s="462">
        <v>377.2</v>
      </c>
      <c r="G210" s="462">
        <f t="shared" si="17"/>
        <v>565.79999999999995</v>
      </c>
    </row>
    <row r="211" spans="2:9" ht="15.75" customHeight="1" x14ac:dyDescent="0.2">
      <c r="B211" s="1475" t="s">
        <v>265</v>
      </c>
      <c r="C211" s="1475"/>
      <c r="D211" s="461">
        <v>0</v>
      </c>
      <c r="E211" s="461">
        <v>1330.24</v>
      </c>
      <c r="F211" s="462">
        <v>1825.02</v>
      </c>
      <c r="G211" s="462">
        <f t="shared" si="17"/>
        <v>2737.5299999999997</v>
      </c>
    </row>
    <row r="212" spans="2:9" x14ac:dyDescent="0.2">
      <c r="B212" s="460" t="s">
        <v>266</v>
      </c>
      <c r="C212" s="460"/>
      <c r="D212" s="461">
        <v>69438.2</v>
      </c>
      <c r="E212" s="461">
        <v>23455</v>
      </c>
      <c r="F212" s="462">
        <v>17088.150000000001</v>
      </c>
      <c r="G212" s="462">
        <f t="shared" si="17"/>
        <v>25632.225000000002</v>
      </c>
    </row>
    <row r="213" spans="2:9" x14ac:dyDescent="0.2">
      <c r="B213" s="460" t="s">
        <v>267</v>
      </c>
      <c r="C213" s="460"/>
      <c r="D213" s="461">
        <v>0</v>
      </c>
      <c r="E213" s="461">
        <v>0</v>
      </c>
      <c r="F213" s="462">
        <v>0</v>
      </c>
      <c r="G213" s="462">
        <f t="shared" si="17"/>
        <v>0</v>
      </c>
    </row>
    <row r="214" spans="2:9" x14ac:dyDescent="0.2">
      <c r="B214" s="460" t="s">
        <v>268</v>
      </c>
      <c r="C214" s="460"/>
      <c r="D214" s="461">
        <v>16811.2</v>
      </c>
      <c r="E214" s="461">
        <v>31292.9</v>
      </c>
      <c r="F214" s="462">
        <v>26860</v>
      </c>
      <c r="G214" s="462">
        <f t="shared" si="17"/>
        <v>40290</v>
      </c>
    </row>
    <row r="215" spans="2:9" x14ac:dyDescent="0.2">
      <c r="B215" s="460" t="s">
        <v>269</v>
      </c>
      <c r="C215" s="460"/>
      <c r="D215" s="461">
        <v>0</v>
      </c>
      <c r="E215" s="461">
        <v>0</v>
      </c>
      <c r="F215" s="462">
        <v>0</v>
      </c>
      <c r="G215" s="462">
        <f t="shared" si="17"/>
        <v>0</v>
      </c>
    </row>
    <row r="216" spans="2:9" x14ac:dyDescent="0.2">
      <c r="B216" s="460" t="s">
        <v>270</v>
      </c>
      <c r="C216" s="460"/>
      <c r="D216" s="461">
        <v>0</v>
      </c>
      <c r="E216" s="461">
        <v>0</v>
      </c>
      <c r="F216" s="462">
        <v>0</v>
      </c>
      <c r="G216" s="462">
        <f t="shared" si="17"/>
        <v>0</v>
      </c>
      <c r="I216" s="476"/>
    </row>
    <row r="217" spans="2:9" x14ac:dyDescent="0.2">
      <c r="B217" s="460" t="s">
        <v>271</v>
      </c>
      <c r="C217" s="460"/>
      <c r="D217" s="461">
        <v>0</v>
      </c>
      <c r="E217" s="461">
        <v>0</v>
      </c>
      <c r="F217" s="462">
        <v>0</v>
      </c>
      <c r="G217" s="462">
        <f t="shared" si="17"/>
        <v>0</v>
      </c>
    </row>
    <row r="218" spans="2:9" ht="15.75" customHeight="1" x14ac:dyDescent="0.2">
      <c r="B218" s="1475" t="s">
        <v>272</v>
      </c>
      <c r="C218" s="1475"/>
      <c r="D218" s="461">
        <v>0</v>
      </c>
      <c r="E218" s="461">
        <v>0</v>
      </c>
      <c r="F218" s="462">
        <v>0</v>
      </c>
      <c r="G218" s="462">
        <f t="shared" si="17"/>
        <v>0</v>
      </c>
    </row>
    <row r="219" spans="2:9" ht="15.75" customHeight="1" x14ac:dyDescent="0.2">
      <c r="B219" s="1475" t="s">
        <v>273</v>
      </c>
      <c r="C219" s="1475"/>
      <c r="D219" s="461">
        <v>0</v>
      </c>
      <c r="E219" s="461">
        <v>0</v>
      </c>
      <c r="F219" s="462">
        <v>0</v>
      </c>
      <c r="G219" s="462">
        <f t="shared" si="17"/>
        <v>0</v>
      </c>
    </row>
    <row r="220" spans="2:9" x14ac:dyDescent="0.2">
      <c r="B220" s="1475" t="s">
        <v>276</v>
      </c>
      <c r="C220" s="1475"/>
      <c r="D220" s="461">
        <v>0</v>
      </c>
      <c r="E220" s="461">
        <v>0</v>
      </c>
      <c r="F220" s="462">
        <v>0</v>
      </c>
      <c r="G220" s="462">
        <f t="shared" si="17"/>
        <v>0</v>
      </c>
    </row>
    <row r="221" spans="2:9" x14ac:dyDescent="0.2">
      <c r="B221" s="1475" t="s">
        <v>277</v>
      </c>
      <c r="C221" s="1475"/>
      <c r="D221" s="461">
        <v>0</v>
      </c>
      <c r="E221" s="461">
        <v>0</v>
      </c>
      <c r="F221" s="462">
        <v>0</v>
      </c>
      <c r="G221" s="462">
        <f t="shared" si="17"/>
        <v>0</v>
      </c>
    </row>
    <row r="222" spans="2:9" x14ac:dyDescent="0.2">
      <c r="B222" s="1475" t="s">
        <v>274</v>
      </c>
      <c r="C222" s="1475"/>
      <c r="D222" s="461">
        <v>0</v>
      </c>
      <c r="E222" s="461">
        <v>0</v>
      </c>
      <c r="F222" s="462">
        <v>0</v>
      </c>
      <c r="G222" s="462">
        <f t="shared" si="17"/>
        <v>0</v>
      </c>
    </row>
    <row r="223" spans="2:9" x14ac:dyDescent="0.2">
      <c r="B223" s="1475" t="s">
        <v>275</v>
      </c>
      <c r="C223" s="1475"/>
      <c r="D223" s="461">
        <v>0</v>
      </c>
      <c r="E223" s="461">
        <v>0</v>
      </c>
      <c r="F223" s="462">
        <v>0</v>
      </c>
      <c r="G223" s="462">
        <f t="shared" si="17"/>
        <v>0</v>
      </c>
    </row>
    <row r="224" spans="2:9" x14ac:dyDescent="0.2">
      <c r="B224" s="1475" t="s">
        <v>278</v>
      </c>
      <c r="C224" s="1475"/>
      <c r="D224" s="461">
        <v>0</v>
      </c>
      <c r="E224" s="461">
        <v>0</v>
      </c>
      <c r="F224" s="462">
        <v>0</v>
      </c>
      <c r="G224" s="462">
        <f t="shared" si="17"/>
        <v>0</v>
      </c>
    </row>
    <row r="225" spans="2:7" x14ac:dyDescent="0.2">
      <c r="B225" s="1475" t="s">
        <v>279</v>
      </c>
      <c r="C225" s="1475"/>
      <c r="D225" s="461">
        <v>0</v>
      </c>
      <c r="E225" s="461">
        <v>0</v>
      </c>
      <c r="F225" s="462">
        <v>0</v>
      </c>
      <c r="G225" s="462">
        <f t="shared" si="17"/>
        <v>0</v>
      </c>
    </row>
    <row r="226" spans="2:7" ht="15.75" customHeight="1" x14ac:dyDescent="0.2">
      <c r="B226" s="1475" t="s">
        <v>280</v>
      </c>
      <c r="C226" s="1475"/>
      <c r="D226" s="461">
        <v>0</v>
      </c>
      <c r="E226" s="461">
        <v>0</v>
      </c>
      <c r="F226" s="462">
        <v>0</v>
      </c>
      <c r="G226" s="462">
        <f t="shared" si="17"/>
        <v>0</v>
      </c>
    </row>
    <row r="227" spans="2:7" ht="15.75" customHeight="1" x14ac:dyDescent="0.2">
      <c r="B227" s="1475" t="s">
        <v>281</v>
      </c>
      <c r="C227" s="1475"/>
      <c r="D227" s="461">
        <v>0</v>
      </c>
      <c r="E227" s="461">
        <v>0</v>
      </c>
      <c r="F227" s="462">
        <v>0</v>
      </c>
      <c r="G227" s="462">
        <f t="shared" si="17"/>
        <v>0</v>
      </c>
    </row>
    <row r="228" spans="2:7" ht="15.75" customHeight="1" x14ac:dyDescent="0.2">
      <c r="B228" s="1475" t="s">
        <v>282</v>
      </c>
      <c r="C228" s="1475"/>
      <c r="D228" s="461">
        <v>0</v>
      </c>
      <c r="E228" s="461">
        <v>0</v>
      </c>
      <c r="F228" s="462">
        <v>0</v>
      </c>
      <c r="G228" s="462">
        <f t="shared" si="17"/>
        <v>0</v>
      </c>
    </row>
    <row r="229" spans="2:7" ht="15.75" customHeight="1" x14ac:dyDescent="0.2">
      <c r="B229" s="1475" t="s">
        <v>283</v>
      </c>
      <c r="C229" s="1475"/>
      <c r="D229" s="461">
        <v>0</v>
      </c>
      <c r="E229" s="461">
        <v>0</v>
      </c>
      <c r="F229" s="462">
        <v>0</v>
      </c>
      <c r="G229" s="462">
        <f t="shared" si="17"/>
        <v>0</v>
      </c>
    </row>
    <row r="230" spans="2:7" ht="15.75" customHeight="1" x14ac:dyDescent="0.2">
      <c r="B230" s="1475" t="s">
        <v>284</v>
      </c>
      <c r="C230" s="1475"/>
      <c r="D230" s="461">
        <f>3222.85</f>
        <v>3222.85</v>
      </c>
      <c r="E230" s="461">
        <v>23448.41</v>
      </c>
      <c r="F230" s="462">
        <v>35259.08</v>
      </c>
      <c r="G230" s="462">
        <f t="shared" si="17"/>
        <v>52888.62</v>
      </c>
    </row>
    <row r="231" spans="2:7" ht="15.75" customHeight="1" x14ac:dyDescent="0.2">
      <c r="B231" s="1475" t="s">
        <v>285</v>
      </c>
      <c r="C231" s="1475"/>
      <c r="D231" s="461">
        <v>44802.9</v>
      </c>
      <c r="E231" s="461">
        <v>40421.370000000003</v>
      </c>
      <c r="F231" s="462">
        <v>40220.629999999997</v>
      </c>
      <c r="G231" s="462">
        <f t="shared" si="17"/>
        <v>60330.944999999992</v>
      </c>
    </row>
    <row r="232" spans="2:7" ht="15.75" customHeight="1" x14ac:dyDescent="0.2">
      <c r="B232" s="1475" t="s">
        <v>286</v>
      </c>
      <c r="C232" s="1475"/>
      <c r="D232" s="461">
        <v>0</v>
      </c>
      <c r="E232" s="461">
        <v>288</v>
      </c>
      <c r="F232" s="462">
        <v>0</v>
      </c>
      <c r="G232" s="462">
        <f t="shared" si="17"/>
        <v>0</v>
      </c>
    </row>
    <row r="233" spans="2:7" ht="15.75" customHeight="1" x14ac:dyDescent="0.2">
      <c r="B233" s="1475" t="s">
        <v>287</v>
      </c>
      <c r="C233" s="1475"/>
      <c r="D233" s="461">
        <v>0</v>
      </c>
      <c r="E233" s="461">
        <v>0</v>
      </c>
      <c r="F233" s="462">
        <v>0</v>
      </c>
      <c r="G233" s="462">
        <f t="shared" si="17"/>
        <v>0</v>
      </c>
    </row>
    <row r="234" spans="2:7" ht="15.75" customHeight="1" x14ac:dyDescent="0.2">
      <c r="B234" s="1475" t="s">
        <v>288</v>
      </c>
      <c r="C234" s="1475"/>
      <c r="D234" s="461">
        <v>103.25</v>
      </c>
      <c r="E234" s="461">
        <v>0</v>
      </c>
      <c r="F234" s="462">
        <v>0</v>
      </c>
      <c r="G234" s="462">
        <f t="shared" si="17"/>
        <v>0</v>
      </c>
    </row>
    <row r="235" spans="2:7" ht="15.75" customHeight="1" x14ac:dyDescent="0.2">
      <c r="B235" s="1475" t="s">
        <v>289</v>
      </c>
      <c r="C235" s="1475"/>
      <c r="D235" s="461">
        <v>1780.6</v>
      </c>
      <c r="E235" s="461">
        <v>995</v>
      </c>
      <c r="F235" s="462">
        <v>1074.5999999999999</v>
      </c>
      <c r="G235" s="462">
        <f t="shared" si="17"/>
        <v>1611.8999999999999</v>
      </c>
    </row>
    <row r="236" spans="2:7" ht="15.75" customHeight="1" x14ac:dyDescent="0.2">
      <c r="B236" s="1475" t="s">
        <v>290</v>
      </c>
      <c r="C236" s="1475"/>
      <c r="D236" s="461">
        <v>557.20000000000005</v>
      </c>
      <c r="E236" s="461">
        <v>318.39999999999998</v>
      </c>
      <c r="F236" s="462">
        <v>0</v>
      </c>
      <c r="G236" s="462">
        <f t="shared" si="17"/>
        <v>0</v>
      </c>
    </row>
    <row r="237" spans="2:7" ht="15.75" customHeight="1" x14ac:dyDescent="0.2">
      <c r="B237" s="1474" t="s">
        <v>291</v>
      </c>
      <c r="C237" s="1474"/>
      <c r="D237" s="461">
        <v>0</v>
      </c>
      <c r="E237" s="461">
        <v>79.599999999999994</v>
      </c>
      <c r="F237" s="462">
        <v>636.79999999999995</v>
      </c>
      <c r="G237" s="462">
        <f t="shared" si="17"/>
        <v>955.19999999999993</v>
      </c>
    </row>
    <row r="238" spans="2:7" ht="15.75" customHeight="1" x14ac:dyDescent="0.2">
      <c r="B238" s="1475" t="s">
        <v>292</v>
      </c>
      <c r="C238" s="1475"/>
      <c r="D238" s="461">
        <v>577.1</v>
      </c>
      <c r="E238" s="461">
        <v>1155.79</v>
      </c>
      <c r="F238" s="462">
        <v>0</v>
      </c>
      <c r="G238" s="462">
        <f t="shared" si="17"/>
        <v>0</v>
      </c>
    </row>
    <row r="239" spans="2:7" ht="15.75" customHeight="1" x14ac:dyDescent="0.2">
      <c r="B239" s="1475" t="s">
        <v>293</v>
      </c>
      <c r="C239" s="1475"/>
      <c r="D239" s="461">
        <v>0</v>
      </c>
      <c r="E239" s="461">
        <v>0</v>
      </c>
      <c r="F239" s="462">
        <v>176.8</v>
      </c>
      <c r="G239" s="462">
        <f t="shared" si="17"/>
        <v>265.20000000000005</v>
      </c>
    </row>
    <row r="240" spans="2:7" ht="15.75" customHeight="1" x14ac:dyDescent="0.2">
      <c r="B240" s="1475" t="s">
        <v>294</v>
      </c>
      <c r="C240" s="1475"/>
      <c r="D240" s="461">
        <v>0</v>
      </c>
      <c r="E240" s="461">
        <v>159.19999999999999</v>
      </c>
      <c r="F240" s="462">
        <v>0</v>
      </c>
      <c r="G240" s="462">
        <f t="shared" si="17"/>
        <v>0</v>
      </c>
    </row>
    <row r="241" spans="2:7" ht="15.75" customHeight="1" x14ac:dyDescent="0.2">
      <c r="B241" s="1475" t="s">
        <v>295</v>
      </c>
      <c r="C241" s="1475"/>
      <c r="D241" s="461">
        <v>0</v>
      </c>
      <c r="E241" s="461">
        <v>0</v>
      </c>
      <c r="F241" s="462">
        <v>0</v>
      </c>
      <c r="G241" s="462">
        <f t="shared" si="17"/>
        <v>0</v>
      </c>
    </row>
    <row r="242" spans="2:7" ht="15.75" customHeight="1" x14ac:dyDescent="0.2">
      <c r="B242" s="1475" t="s">
        <v>296</v>
      </c>
      <c r="C242" s="1475"/>
      <c r="D242" s="461">
        <v>0</v>
      </c>
      <c r="E242" s="461">
        <v>0</v>
      </c>
      <c r="F242" s="462">
        <v>0</v>
      </c>
      <c r="G242" s="462">
        <f t="shared" si="17"/>
        <v>0</v>
      </c>
    </row>
    <row r="243" spans="2:7" ht="15.75" customHeight="1" x14ac:dyDescent="0.2">
      <c r="B243" s="1475" t="s">
        <v>297</v>
      </c>
      <c r="C243" s="1475"/>
      <c r="D243" s="461">
        <v>0</v>
      </c>
      <c r="E243" s="461">
        <v>0</v>
      </c>
      <c r="F243" s="462">
        <v>0</v>
      </c>
      <c r="G243" s="462">
        <f t="shared" si="17"/>
        <v>0</v>
      </c>
    </row>
    <row r="244" spans="2:7" ht="15.75" customHeight="1" x14ac:dyDescent="0.2">
      <c r="B244" s="1475" t="s">
        <v>298</v>
      </c>
      <c r="C244" s="1475"/>
      <c r="D244" s="461">
        <v>1829.7</v>
      </c>
      <c r="E244" s="461">
        <v>1936.3</v>
      </c>
      <c r="F244" s="462">
        <v>2308</v>
      </c>
      <c r="G244" s="462">
        <f t="shared" si="17"/>
        <v>3462</v>
      </c>
    </row>
    <row r="245" spans="2:7" ht="15.75" customHeight="1" x14ac:dyDescent="0.2">
      <c r="B245" s="1475" t="s">
        <v>299</v>
      </c>
      <c r="C245" s="1475"/>
      <c r="D245" s="461">
        <v>10325</v>
      </c>
      <c r="E245" s="461">
        <v>0</v>
      </c>
      <c r="F245" s="462">
        <v>0</v>
      </c>
      <c r="G245" s="462">
        <f t="shared" si="17"/>
        <v>0</v>
      </c>
    </row>
    <row r="246" spans="2:7" ht="15.75" customHeight="1" x14ac:dyDescent="0.2">
      <c r="B246" s="1475" t="s">
        <v>300</v>
      </c>
      <c r="C246" s="1475"/>
      <c r="D246" s="461">
        <v>0</v>
      </c>
      <c r="E246" s="461">
        <v>11960.6</v>
      </c>
      <c r="F246" s="462">
        <v>9325</v>
      </c>
      <c r="G246" s="462">
        <f t="shared" si="17"/>
        <v>13987.5</v>
      </c>
    </row>
    <row r="247" spans="2:7" x14ac:dyDescent="0.2">
      <c r="B247" s="1475" t="s">
        <v>301</v>
      </c>
      <c r="C247" s="1475"/>
      <c r="D247" s="461">
        <v>0</v>
      </c>
      <c r="E247" s="461">
        <v>0</v>
      </c>
      <c r="F247" s="462">
        <v>0</v>
      </c>
      <c r="G247" s="462">
        <f t="shared" si="17"/>
        <v>0</v>
      </c>
    </row>
    <row r="248" spans="2:7" x14ac:dyDescent="0.2">
      <c r="B248" s="1475" t="s">
        <v>302</v>
      </c>
      <c r="C248" s="1475"/>
      <c r="D248" s="461">
        <v>0</v>
      </c>
      <c r="E248" s="461">
        <v>25.69</v>
      </c>
      <c r="F248" s="462">
        <v>11.77</v>
      </c>
      <c r="G248" s="462">
        <f t="shared" si="17"/>
        <v>17.655000000000001</v>
      </c>
    </row>
    <row r="249" spans="2:7" x14ac:dyDescent="0.2">
      <c r="B249" s="1475" t="s">
        <v>303</v>
      </c>
      <c r="C249" s="1475"/>
      <c r="D249" s="461">
        <v>0</v>
      </c>
      <c r="E249" s="461">
        <v>0</v>
      </c>
      <c r="F249" s="462">
        <v>56.83</v>
      </c>
      <c r="G249" s="462">
        <f t="shared" si="17"/>
        <v>85.245000000000005</v>
      </c>
    </row>
    <row r="250" spans="2:7" x14ac:dyDescent="0.2">
      <c r="B250" s="1475" t="s">
        <v>304</v>
      </c>
      <c r="C250" s="1475"/>
      <c r="D250" s="461">
        <v>0</v>
      </c>
      <c r="E250" s="461">
        <v>4.7699999999999996</v>
      </c>
      <c r="F250" s="462">
        <v>0</v>
      </c>
      <c r="G250" s="462">
        <f t="shared" si="17"/>
        <v>0</v>
      </c>
    </row>
    <row r="251" spans="2:7" x14ac:dyDescent="0.2">
      <c r="B251" s="1475" t="s">
        <v>305</v>
      </c>
      <c r="C251" s="1475"/>
      <c r="D251" s="461">
        <v>0</v>
      </c>
      <c r="E251" s="461">
        <v>0</v>
      </c>
      <c r="F251" s="462">
        <v>0</v>
      </c>
      <c r="G251" s="462">
        <f t="shared" si="17"/>
        <v>0</v>
      </c>
    </row>
    <row r="252" spans="2:7" x14ac:dyDescent="0.2">
      <c r="B252" s="1475" t="s">
        <v>306</v>
      </c>
      <c r="C252" s="1475"/>
      <c r="D252" s="461">
        <v>0</v>
      </c>
      <c r="E252" s="461">
        <v>0</v>
      </c>
      <c r="F252" s="462">
        <v>0</v>
      </c>
      <c r="G252" s="462">
        <f t="shared" si="17"/>
        <v>0</v>
      </c>
    </row>
    <row r="253" spans="2:7" x14ac:dyDescent="0.2">
      <c r="B253" s="1475" t="s">
        <v>307</v>
      </c>
      <c r="C253" s="1475"/>
      <c r="D253" s="461">
        <v>0</v>
      </c>
      <c r="E253" s="461">
        <v>0</v>
      </c>
      <c r="F253" s="462">
        <v>0</v>
      </c>
      <c r="G253" s="462">
        <f t="shared" si="17"/>
        <v>0</v>
      </c>
    </row>
    <row r="254" spans="2:7" x14ac:dyDescent="0.2">
      <c r="B254" s="1474" t="s">
        <v>308</v>
      </c>
      <c r="C254" s="1474"/>
      <c r="D254" s="461">
        <v>0</v>
      </c>
      <c r="E254" s="461">
        <v>0</v>
      </c>
      <c r="F254" s="462">
        <v>0</v>
      </c>
      <c r="G254" s="462">
        <f t="shared" si="17"/>
        <v>0</v>
      </c>
    </row>
    <row r="255" spans="2:7" x14ac:dyDescent="0.2">
      <c r="B255" s="1475" t="s">
        <v>309</v>
      </c>
      <c r="C255" s="1475"/>
      <c r="D255" s="461">
        <v>0</v>
      </c>
      <c r="E255" s="461">
        <v>0</v>
      </c>
      <c r="F255" s="462">
        <v>0</v>
      </c>
      <c r="G255" s="462">
        <f t="shared" si="17"/>
        <v>0</v>
      </c>
    </row>
    <row r="256" spans="2:7" x14ac:dyDescent="0.2">
      <c r="B256" s="1475" t="s">
        <v>310</v>
      </c>
      <c r="C256" s="1475"/>
      <c r="D256" s="461">
        <v>0</v>
      </c>
      <c r="E256" s="461">
        <v>0</v>
      </c>
      <c r="F256" s="462">
        <v>0</v>
      </c>
      <c r="G256" s="462">
        <f t="shared" si="17"/>
        <v>0</v>
      </c>
    </row>
    <row r="257" spans="2:7" x14ac:dyDescent="0.2">
      <c r="B257" s="1475" t="s">
        <v>311</v>
      </c>
      <c r="C257" s="1475"/>
      <c r="D257" s="461">
        <v>0</v>
      </c>
      <c r="E257" s="461">
        <v>0</v>
      </c>
      <c r="F257" s="462">
        <v>0</v>
      </c>
      <c r="G257" s="462">
        <f t="shared" si="17"/>
        <v>0</v>
      </c>
    </row>
    <row r="258" spans="2:7" x14ac:dyDescent="0.2">
      <c r="B258" s="1475" t="s">
        <v>312</v>
      </c>
      <c r="C258" s="1475"/>
      <c r="D258" s="461">
        <v>0</v>
      </c>
      <c r="E258" s="461">
        <v>0</v>
      </c>
      <c r="F258" s="462">
        <v>0</v>
      </c>
      <c r="G258" s="462">
        <f t="shared" si="17"/>
        <v>0</v>
      </c>
    </row>
    <row r="259" spans="2:7" x14ac:dyDescent="0.2">
      <c r="B259" s="1475" t="s">
        <v>313</v>
      </c>
      <c r="C259" s="1475"/>
      <c r="D259" s="461">
        <v>0</v>
      </c>
      <c r="E259" s="461">
        <v>0</v>
      </c>
      <c r="F259" s="462">
        <v>0</v>
      </c>
      <c r="G259" s="462">
        <f t="shared" si="17"/>
        <v>0</v>
      </c>
    </row>
    <row r="260" spans="2:7" x14ac:dyDescent="0.2">
      <c r="B260" s="1475" t="s">
        <v>314</v>
      </c>
      <c r="C260" s="1475"/>
      <c r="D260" s="461">
        <v>0</v>
      </c>
      <c r="E260" s="461">
        <v>0</v>
      </c>
      <c r="F260" s="462">
        <v>0</v>
      </c>
      <c r="G260" s="462">
        <f t="shared" si="17"/>
        <v>0</v>
      </c>
    </row>
    <row r="261" spans="2:7" x14ac:dyDescent="0.2">
      <c r="B261" s="1475" t="s">
        <v>315</v>
      </c>
      <c r="C261" s="1475"/>
      <c r="D261" s="461">
        <v>0</v>
      </c>
      <c r="E261" s="461">
        <v>0</v>
      </c>
      <c r="F261" s="462">
        <v>0</v>
      </c>
      <c r="G261" s="462">
        <f t="shared" si="17"/>
        <v>0</v>
      </c>
    </row>
    <row r="262" spans="2:7" x14ac:dyDescent="0.2">
      <c r="B262" s="1475" t="s">
        <v>316</v>
      </c>
      <c r="C262" s="1475"/>
      <c r="D262" s="461">
        <v>0</v>
      </c>
      <c r="E262" s="461">
        <v>0</v>
      </c>
      <c r="F262" s="462">
        <v>0</v>
      </c>
      <c r="G262" s="462">
        <f t="shared" si="17"/>
        <v>0</v>
      </c>
    </row>
    <row r="263" spans="2:7" x14ac:dyDescent="0.2">
      <c r="B263" s="1475" t="s">
        <v>317</v>
      </c>
      <c r="C263" s="1475"/>
      <c r="D263" s="461">
        <v>0</v>
      </c>
      <c r="E263" s="461">
        <v>0</v>
      </c>
      <c r="F263" s="462">
        <v>0</v>
      </c>
      <c r="G263" s="462">
        <f t="shared" si="17"/>
        <v>0</v>
      </c>
    </row>
    <row r="264" spans="2:7" x14ac:dyDescent="0.2">
      <c r="B264" s="1475" t="s">
        <v>318</v>
      </c>
      <c r="C264" s="1475"/>
      <c r="D264" s="461">
        <v>0</v>
      </c>
      <c r="E264" s="461">
        <v>0</v>
      </c>
      <c r="F264" s="462">
        <v>0</v>
      </c>
      <c r="G264" s="462">
        <f t="shared" si="17"/>
        <v>0</v>
      </c>
    </row>
    <row r="265" spans="2:7" x14ac:dyDescent="0.2">
      <c r="B265" s="1475" t="s">
        <v>319</v>
      </c>
      <c r="C265" s="1475"/>
      <c r="D265" s="461">
        <v>0</v>
      </c>
      <c r="E265" s="461">
        <v>212.25</v>
      </c>
      <c r="F265" s="462">
        <v>0</v>
      </c>
      <c r="G265" s="462">
        <f t="shared" si="17"/>
        <v>0</v>
      </c>
    </row>
    <row r="266" spans="2:7" x14ac:dyDescent="0.2">
      <c r="B266" s="1475" t="s">
        <v>320</v>
      </c>
      <c r="C266" s="1475"/>
      <c r="D266" s="461">
        <v>0</v>
      </c>
      <c r="E266" s="461">
        <v>0</v>
      </c>
      <c r="F266" s="462">
        <v>4.7699999999999996</v>
      </c>
      <c r="G266" s="462">
        <f t="shared" si="17"/>
        <v>7.1549999999999994</v>
      </c>
    </row>
    <row r="267" spans="2:7" x14ac:dyDescent="0.2">
      <c r="B267" s="1475" t="s">
        <v>321</v>
      </c>
      <c r="C267" s="1475"/>
      <c r="D267" s="461">
        <v>0</v>
      </c>
      <c r="E267" s="461">
        <v>0</v>
      </c>
      <c r="F267" s="462">
        <v>0</v>
      </c>
      <c r="G267" s="462">
        <f t="shared" si="17"/>
        <v>0</v>
      </c>
    </row>
    <row r="268" spans="2:7" x14ac:dyDescent="0.2">
      <c r="B268" s="1475" t="s">
        <v>322</v>
      </c>
      <c r="C268" s="1475"/>
      <c r="D268" s="461">
        <v>0</v>
      </c>
      <c r="E268" s="461">
        <v>0</v>
      </c>
      <c r="F268" s="462">
        <v>0</v>
      </c>
      <c r="G268" s="462">
        <f t="shared" si="17"/>
        <v>0</v>
      </c>
    </row>
    <row r="269" spans="2:7" x14ac:dyDescent="0.2">
      <c r="B269" s="1475" t="s">
        <v>323</v>
      </c>
      <c r="C269" s="1475"/>
      <c r="D269" s="461">
        <v>0</v>
      </c>
      <c r="E269" s="461">
        <v>0</v>
      </c>
      <c r="F269" s="462">
        <v>0</v>
      </c>
      <c r="G269" s="462">
        <f t="shared" si="17"/>
        <v>0</v>
      </c>
    </row>
    <row r="270" spans="2:7" x14ac:dyDescent="0.2">
      <c r="B270" s="1475" t="s">
        <v>324</v>
      </c>
      <c r="C270" s="1475"/>
      <c r="D270" s="461">
        <v>0</v>
      </c>
      <c r="E270" s="461">
        <v>0</v>
      </c>
      <c r="F270" s="462">
        <v>0</v>
      </c>
      <c r="G270" s="462">
        <f t="shared" si="17"/>
        <v>0</v>
      </c>
    </row>
    <row r="271" spans="2:7" x14ac:dyDescent="0.2">
      <c r="B271" s="1474" t="s">
        <v>325</v>
      </c>
      <c r="C271" s="1474"/>
      <c r="D271" s="461">
        <v>0</v>
      </c>
      <c r="E271" s="461">
        <v>0</v>
      </c>
      <c r="F271" s="462">
        <v>0</v>
      </c>
      <c r="G271" s="462">
        <f t="shared" si="17"/>
        <v>0</v>
      </c>
    </row>
    <row r="272" spans="2:7" x14ac:dyDescent="0.2">
      <c r="B272" s="1475" t="s">
        <v>326</v>
      </c>
      <c r="C272" s="1475"/>
      <c r="D272" s="461">
        <v>0</v>
      </c>
      <c r="E272" s="461">
        <v>0</v>
      </c>
      <c r="F272" s="462">
        <v>0</v>
      </c>
      <c r="G272" s="462">
        <f t="shared" ref="G272:G337" si="18">F272/8*12</f>
        <v>0</v>
      </c>
    </row>
    <row r="273" spans="2:7" x14ac:dyDescent="0.2">
      <c r="B273" s="1475" t="s">
        <v>327</v>
      </c>
      <c r="C273" s="1475"/>
      <c r="D273" s="461">
        <v>0</v>
      </c>
      <c r="E273" s="461">
        <v>0</v>
      </c>
      <c r="F273" s="462">
        <v>0</v>
      </c>
      <c r="G273" s="462">
        <f t="shared" si="18"/>
        <v>0</v>
      </c>
    </row>
    <row r="274" spans="2:7" x14ac:dyDescent="0.2">
      <c r="B274" s="1475" t="s">
        <v>328</v>
      </c>
      <c r="C274" s="1475"/>
      <c r="D274" s="461">
        <v>0</v>
      </c>
      <c r="E274" s="461">
        <v>0</v>
      </c>
      <c r="F274" s="462">
        <v>0</v>
      </c>
      <c r="G274" s="462">
        <f t="shared" si="18"/>
        <v>0</v>
      </c>
    </row>
    <row r="275" spans="2:7" x14ac:dyDescent="0.2">
      <c r="B275" s="1475" t="s">
        <v>329</v>
      </c>
      <c r="C275" s="1475"/>
      <c r="D275" s="461">
        <v>0</v>
      </c>
      <c r="E275" s="461">
        <v>0</v>
      </c>
      <c r="F275" s="462">
        <v>0</v>
      </c>
      <c r="G275" s="462">
        <f t="shared" si="18"/>
        <v>0</v>
      </c>
    </row>
    <row r="276" spans="2:7" x14ac:dyDescent="0.2">
      <c r="B276" s="1475" t="s">
        <v>330</v>
      </c>
      <c r="C276" s="1475"/>
      <c r="D276" s="461">
        <v>0</v>
      </c>
      <c r="E276" s="461">
        <v>0</v>
      </c>
      <c r="F276" s="462">
        <v>0</v>
      </c>
      <c r="G276" s="462">
        <f t="shared" si="18"/>
        <v>0</v>
      </c>
    </row>
    <row r="277" spans="2:7" x14ac:dyDescent="0.2">
      <c r="B277" s="1475" t="s">
        <v>331</v>
      </c>
      <c r="C277" s="1475"/>
      <c r="D277" s="461">
        <v>0</v>
      </c>
      <c r="E277" s="461">
        <v>0</v>
      </c>
      <c r="F277" s="462">
        <v>0</v>
      </c>
      <c r="G277" s="462">
        <f t="shared" si="18"/>
        <v>0</v>
      </c>
    </row>
    <row r="278" spans="2:7" x14ac:dyDescent="0.2">
      <c r="B278" s="1475" t="s">
        <v>332</v>
      </c>
      <c r="C278" s="1475"/>
      <c r="D278" s="461">
        <v>0</v>
      </c>
      <c r="E278" s="461">
        <v>0</v>
      </c>
      <c r="F278" s="462">
        <v>0</v>
      </c>
      <c r="G278" s="462">
        <f t="shared" si="18"/>
        <v>0</v>
      </c>
    </row>
    <row r="279" spans="2:7" x14ac:dyDescent="0.2">
      <c r="B279" s="1475" t="s">
        <v>333</v>
      </c>
      <c r="C279" s="1475"/>
      <c r="D279" s="461">
        <v>0</v>
      </c>
      <c r="E279" s="461">
        <v>0</v>
      </c>
      <c r="F279" s="462">
        <v>0</v>
      </c>
      <c r="G279" s="462">
        <f t="shared" si="18"/>
        <v>0</v>
      </c>
    </row>
    <row r="280" spans="2:7" x14ac:dyDescent="0.2">
      <c r="B280" s="1475" t="s">
        <v>334</v>
      </c>
      <c r="C280" s="1475"/>
      <c r="D280" s="461">
        <v>0</v>
      </c>
      <c r="E280" s="461">
        <v>0</v>
      </c>
      <c r="F280" s="462">
        <v>0</v>
      </c>
      <c r="G280" s="462">
        <f t="shared" si="18"/>
        <v>0</v>
      </c>
    </row>
    <row r="281" spans="2:7" x14ac:dyDescent="0.2">
      <c r="B281" s="1475" t="s">
        <v>335</v>
      </c>
      <c r="C281" s="1475"/>
      <c r="D281" s="461">
        <v>0</v>
      </c>
      <c r="E281" s="461">
        <v>0</v>
      </c>
      <c r="F281" s="462">
        <v>0</v>
      </c>
      <c r="G281" s="462">
        <f t="shared" si="18"/>
        <v>0</v>
      </c>
    </row>
    <row r="282" spans="2:7" x14ac:dyDescent="0.2">
      <c r="B282" s="1475" t="s">
        <v>336</v>
      </c>
      <c r="C282" s="1475"/>
      <c r="D282" s="461">
        <v>0</v>
      </c>
      <c r="E282" s="461">
        <v>98.74</v>
      </c>
      <c r="F282" s="462">
        <v>0</v>
      </c>
      <c r="G282" s="462">
        <f t="shared" si="18"/>
        <v>0</v>
      </c>
    </row>
    <row r="283" spans="2:7" x14ac:dyDescent="0.2">
      <c r="B283" s="1475" t="s">
        <v>337</v>
      </c>
      <c r="C283" s="1475"/>
      <c r="D283" s="461">
        <v>0</v>
      </c>
      <c r="E283" s="461">
        <v>0</v>
      </c>
      <c r="F283" s="462">
        <v>0</v>
      </c>
      <c r="G283" s="462">
        <f t="shared" si="18"/>
        <v>0</v>
      </c>
    </row>
    <row r="284" spans="2:7" x14ac:dyDescent="0.2">
      <c r="B284" s="1475" t="s">
        <v>338</v>
      </c>
      <c r="C284" s="1475"/>
      <c r="D284" s="461">
        <v>0</v>
      </c>
      <c r="E284" s="461">
        <v>0</v>
      </c>
      <c r="F284" s="462">
        <v>0</v>
      </c>
      <c r="G284" s="462">
        <f t="shared" si="18"/>
        <v>0</v>
      </c>
    </row>
    <row r="285" spans="2:7" x14ac:dyDescent="0.2">
      <c r="B285" s="1475" t="s">
        <v>339</v>
      </c>
      <c r="C285" s="1475"/>
      <c r="D285" s="461">
        <v>0</v>
      </c>
      <c r="E285" s="461">
        <v>0</v>
      </c>
      <c r="F285" s="462">
        <v>0</v>
      </c>
      <c r="G285" s="462">
        <f t="shared" si="18"/>
        <v>0</v>
      </c>
    </row>
    <row r="286" spans="2:7" x14ac:dyDescent="0.2">
      <c r="B286" s="1475" t="s">
        <v>340</v>
      </c>
      <c r="C286" s="1475"/>
      <c r="D286" s="461">
        <v>0</v>
      </c>
      <c r="E286" s="461">
        <v>0</v>
      </c>
      <c r="F286" s="462">
        <v>0</v>
      </c>
      <c r="G286" s="462">
        <f t="shared" si="18"/>
        <v>0</v>
      </c>
    </row>
    <row r="287" spans="2:7" x14ac:dyDescent="0.2">
      <c r="B287" s="1475" t="s">
        <v>341</v>
      </c>
      <c r="C287" s="1475"/>
      <c r="D287" s="461">
        <v>0</v>
      </c>
      <c r="E287" s="461">
        <v>0</v>
      </c>
      <c r="F287" s="462">
        <v>0</v>
      </c>
      <c r="G287" s="462">
        <f t="shared" si="18"/>
        <v>0</v>
      </c>
    </row>
    <row r="288" spans="2:7" x14ac:dyDescent="0.2">
      <c r="B288" s="1474" t="s">
        <v>342</v>
      </c>
      <c r="C288" s="1474"/>
      <c r="D288" s="461">
        <v>0</v>
      </c>
      <c r="E288" s="461">
        <v>0</v>
      </c>
      <c r="F288" s="462">
        <v>0</v>
      </c>
      <c r="G288" s="462">
        <f t="shared" si="18"/>
        <v>0</v>
      </c>
    </row>
    <row r="289" spans="2:9" x14ac:dyDescent="0.2">
      <c r="B289" s="1475" t="s">
        <v>343</v>
      </c>
      <c r="C289" s="1475"/>
      <c r="D289" s="461">
        <v>0</v>
      </c>
      <c r="E289" s="461">
        <v>0</v>
      </c>
      <c r="F289" s="462">
        <v>0</v>
      </c>
      <c r="G289" s="462">
        <f t="shared" si="18"/>
        <v>0</v>
      </c>
    </row>
    <row r="290" spans="2:9" x14ac:dyDescent="0.2">
      <c r="B290" s="1475" t="s">
        <v>344</v>
      </c>
      <c r="C290" s="1475"/>
      <c r="D290" s="461">
        <v>0</v>
      </c>
      <c r="E290" s="461">
        <v>0</v>
      </c>
      <c r="F290" s="462">
        <v>0</v>
      </c>
      <c r="G290" s="462">
        <f t="shared" si="18"/>
        <v>0</v>
      </c>
    </row>
    <row r="291" spans="2:9" x14ac:dyDescent="0.2">
      <c r="B291" s="1475" t="s">
        <v>345</v>
      </c>
      <c r="C291" s="1475"/>
      <c r="D291" s="461">
        <v>0</v>
      </c>
      <c r="E291" s="461">
        <v>0</v>
      </c>
      <c r="F291" s="462">
        <v>0</v>
      </c>
      <c r="G291" s="462">
        <f t="shared" si="18"/>
        <v>0</v>
      </c>
      <c r="I291" s="476"/>
    </row>
    <row r="292" spans="2:9" x14ac:dyDescent="0.2">
      <c r="B292" s="1475" t="s">
        <v>346</v>
      </c>
      <c r="C292" s="1475"/>
      <c r="D292" s="461">
        <v>0</v>
      </c>
      <c r="E292" s="461">
        <v>0</v>
      </c>
      <c r="F292" s="462">
        <v>0</v>
      </c>
      <c r="G292" s="462">
        <f t="shared" si="18"/>
        <v>0</v>
      </c>
    </row>
    <row r="293" spans="2:9" x14ac:dyDescent="0.2">
      <c r="B293" s="1475" t="s">
        <v>347</v>
      </c>
      <c r="C293" s="1475"/>
      <c r="D293" s="461">
        <v>0</v>
      </c>
      <c r="E293" s="461">
        <v>0</v>
      </c>
      <c r="F293" s="462">
        <v>0</v>
      </c>
      <c r="G293" s="462">
        <f t="shared" si="18"/>
        <v>0</v>
      </c>
    </row>
    <row r="294" spans="2:9" x14ac:dyDescent="0.2">
      <c r="B294" s="1475" t="s">
        <v>348</v>
      </c>
      <c r="C294" s="1475"/>
      <c r="D294" s="461">
        <v>0</v>
      </c>
      <c r="E294" s="461">
        <v>0</v>
      </c>
      <c r="F294" s="462">
        <v>0</v>
      </c>
      <c r="G294" s="462">
        <f t="shared" si="18"/>
        <v>0</v>
      </c>
    </row>
    <row r="295" spans="2:9" x14ac:dyDescent="0.2">
      <c r="B295" s="1475" t="s">
        <v>349</v>
      </c>
      <c r="C295" s="1475"/>
      <c r="D295" s="461">
        <v>0</v>
      </c>
      <c r="E295" s="461">
        <v>0</v>
      </c>
      <c r="F295" s="462">
        <v>0</v>
      </c>
      <c r="G295" s="462">
        <f t="shared" si="18"/>
        <v>0</v>
      </c>
    </row>
    <row r="296" spans="2:9" x14ac:dyDescent="0.2">
      <c r="B296" s="1475" t="s">
        <v>350</v>
      </c>
      <c r="C296" s="1475"/>
      <c r="D296" s="461">
        <v>0</v>
      </c>
      <c r="E296" s="461">
        <v>0</v>
      </c>
      <c r="F296" s="462">
        <v>0</v>
      </c>
      <c r="G296" s="462">
        <f t="shared" si="18"/>
        <v>0</v>
      </c>
    </row>
    <row r="297" spans="2:9" x14ac:dyDescent="0.2">
      <c r="B297" s="1475" t="s">
        <v>351</v>
      </c>
      <c r="C297" s="1475"/>
      <c r="D297" s="461">
        <v>0</v>
      </c>
      <c r="E297" s="461">
        <v>0</v>
      </c>
      <c r="F297" s="462">
        <v>0</v>
      </c>
      <c r="G297" s="462">
        <f t="shared" si="18"/>
        <v>0</v>
      </c>
    </row>
    <row r="298" spans="2:9" s="423" customFormat="1" ht="15.75" customHeight="1" x14ac:dyDescent="0.2">
      <c r="B298" s="1477" t="s">
        <v>352</v>
      </c>
      <c r="C298" s="1477"/>
      <c r="D298" s="469">
        <v>6918993.96</v>
      </c>
      <c r="E298" s="469">
        <v>7413358.4299999997</v>
      </c>
      <c r="F298" s="470">
        <v>5440352.3300000001</v>
      </c>
      <c r="G298" s="468">
        <f t="shared" si="18"/>
        <v>8160528.4950000001</v>
      </c>
      <c r="I298" s="944"/>
    </row>
    <row r="299" spans="2:9" s="423" customFormat="1" x14ac:dyDescent="0.2">
      <c r="B299" s="471" t="s">
        <v>354</v>
      </c>
      <c r="C299" s="471"/>
      <c r="D299" s="469">
        <v>307589.82</v>
      </c>
      <c r="E299" s="469">
        <v>321239.56</v>
      </c>
      <c r="F299" s="470">
        <v>341589.25</v>
      </c>
      <c r="G299" s="468">
        <f t="shared" si="18"/>
        <v>512383.875</v>
      </c>
    </row>
    <row r="300" spans="2:9" s="423" customFormat="1" x14ac:dyDescent="0.2">
      <c r="B300" s="471" t="s">
        <v>355</v>
      </c>
      <c r="C300" s="471"/>
      <c r="D300" s="469">
        <v>317350.90999999997</v>
      </c>
      <c r="E300" s="469">
        <v>329256.07</v>
      </c>
      <c r="F300" s="470">
        <v>0</v>
      </c>
      <c r="G300" s="468">
        <f t="shared" si="18"/>
        <v>0</v>
      </c>
    </row>
    <row r="301" spans="2:9" s="423" customFormat="1" x14ac:dyDescent="0.2">
      <c r="B301" s="471" t="s">
        <v>356</v>
      </c>
      <c r="C301" s="471"/>
      <c r="D301" s="469">
        <v>14863.7</v>
      </c>
      <c r="E301" s="469">
        <v>16496.03</v>
      </c>
      <c r="F301" s="470">
        <v>1983.64</v>
      </c>
      <c r="G301" s="468">
        <f t="shared" si="18"/>
        <v>2975.46</v>
      </c>
    </row>
    <row r="302" spans="2:9" s="423" customFormat="1" ht="15.75" customHeight="1" x14ac:dyDescent="0.2">
      <c r="B302" s="1477" t="s">
        <v>357</v>
      </c>
      <c r="C302" s="1477"/>
      <c r="D302" s="469">
        <v>13795.88</v>
      </c>
      <c r="E302" s="469">
        <v>7287.37</v>
      </c>
      <c r="F302" s="470">
        <v>4890.1099999999997</v>
      </c>
      <c r="G302" s="468">
        <f t="shared" si="18"/>
        <v>7335.1649999999991</v>
      </c>
    </row>
    <row r="303" spans="2:9" s="423" customFormat="1" ht="15.75" customHeight="1" x14ac:dyDescent="0.2">
      <c r="B303" s="1477" t="s">
        <v>358</v>
      </c>
      <c r="C303" s="1477"/>
      <c r="D303" s="469">
        <v>80370.61</v>
      </c>
      <c r="E303" s="469">
        <v>123309.59</v>
      </c>
      <c r="F303" s="470">
        <v>80984.39</v>
      </c>
      <c r="G303" s="468">
        <f t="shared" si="18"/>
        <v>121476.58499999999</v>
      </c>
    </row>
    <row r="304" spans="2:9" ht="15.75" customHeight="1" x14ac:dyDescent="0.2">
      <c r="B304" s="1480" t="s">
        <v>1724</v>
      </c>
      <c r="C304" s="1480"/>
      <c r="D304" s="461">
        <v>128714.75</v>
      </c>
      <c r="E304" s="461">
        <v>302457.32</v>
      </c>
      <c r="F304" s="462">
        <f>98784+140000</f>
        <v>238784</v>
      </c>
      <c r="G304" s="462">
        <f>F304/8*12</f>
        <v>358176</v>
      </c>
    </row>
    <row r="305" spans="2:7" ht="15.75" customHeight="1" x14ac:dyDescent="0.2">
      <c r="B305" s="1480" t="s">
        <v>1725</v>
      </c>
      <c r="C305" s="1480"/>
      <c r="D305" s="461">
        <v>35669.120000000003</v>
      </c>
      <c r="E305" s="461">
        <v>35899.65</v>
      </c>
      <c r="F305" s="462">
        <v>16573.71</v>
      </c>
      <c r="G305" s="462">
        <f t="shared" si="18"/>
        <v>24860.564999999999</v>
      </c>
    </row>
    <row r="306" spans="2:7" ht="15.75" customHeight="1" x14ac:dyDescent="0.2">
      <c r="B306" s="1480" t="s">
        <v>1726</v>
      </c>
      <c r="C306" s="1480"/>
      <c r="D306" s="461">
        <v>27483.48</v>
      </c>
      <c r="E306" s="461">
        <v>29697.53</v>
      </c>
      <c r="F306" s="462">
        <v>19910.240000000002</v>
      </c>
      <c r="G306" s="462">
        <f t="shared" si="18"/>
        <v>29865.360000000001</v>
      </c>
    </row>
    <row r="307" spans="2:7" ht="15.75" customHeight="1" x14ac:dyDescent="0.2">
      <c r="B307" s="1480" t="s">
        <v>1727</v>
      </c>
      <c r="C307" s="1480"/>
      <c r="D307" s="461">
        <v>0</v>
      </c>
      <c r="E307" s="461">
        <v>0</v>
      </c>
      <c r="F307" s="462">
        <v>0</v>
      </c>
      <c r="G307" s="462">
        <f t="shared" si="18"/>
        <v>0</v>
      </c>
    </row>
    <row r="308" spans="2:7" ht="15.75" customHeight="1" x14ac:dyDescent="0.2">
      <c r="B308" s="1480" t="s">
        <v>1728</v>
      </c>
      <c r="C308" s="1480"/>
      <c r="D308" s="461">
        <v>0</v>
      </c>
      <c r="E308" s="461">
        <v>0</v>
      </c>
      <c r="F308" s="462">
        <v>0</v>
      </c>
      <c r="G308" s="462">
        <f t="shared" si="18"/>
        <v>0</v>
      </c>
    </row>
    <row r="309" spans="2:7" ht="15.75" customHeight="1" x14ac:dyDescent="0.2">
      <c r="B309" s="1480" t="s">
        <v>7317</v>
      </c>
      <c r="C309" s="1480"/>
      <c r="D309" s="461">
        <v>0</v>
      </c>
      <c r="E309" s="461">
        <v>0</v>
      </c>
      <c r="F309" s="462">
        <v>140000</v>
      </c>
      <c r="G309" s="462">
        <v>140000</v>
      </c>
    </row>
    <row r="310" spans="2:7" s="472" customFormat="1" ht="15.75" customHeight="1" x14ac:dyDescent="0.2">
      <c r="B310" s="1479" t="s">
        <v>359</v>
      </c>
      <c r="C310" s="1479"/>
      <c r="D310" s="473">
        <v>0</v>
      </c>
      <c r="E310" s="473">
        <v>0</v>
      </c>
      <c r="F310" s="474">
        <v>0</v>
      </c>
      <c r="G310" s="474">
        <f t="shared" si="18"/>
        <v>0</v>
      </c>
    </row>
    <row r="311" spans="2:7" s="472" customFormat="1" ht="15.75" customHeight="1" x14ac:dyDescent="0.2">
      <c r="B311" s="1478" t="s">
        <v>360</v>
      </c>
      <c r="C311" s="1478"/>
      <c r="D311" s="473">
        <v>143184.17000000001</v>
      </c>
      <c r="E311" s="473">
        <v>31712.53</v>
      </c>
      <c r="F311" s="474">
        <v>27563.88</v>
      </c>
      <c r="G311" s="474">
        <f t="shared" si="18"/>
        <v>41345.82</v>
      </c>
    </row>
    <row r="312" spans="2:7" s="472" customFormat="1" ht="15.75" customHeight="1" x14ac:dyDescent="0.2">
      <c r="B312" s="1478" t="s">
        <v>361</v>
      </c>
      <c r="C312" s="1478"/>
      <c r="D312" s="473">
        <v>2450</v>
      </c>
      <c r="E312" s="473">
        <v>0</v>
      </c>
      <c r="F312" s="474">
        <v>175</v>
      </c>
      <c r="G312" s="474">
        <f t="shared" si="18"/>
        <v>262.5</v>
      </c>
    </row>
    <row r="313" spans="2:7" s="472" customFormat="1" ht="15.75" customHeight="1" x14ac:dyDescent="0.2">
      <c r="B313" s="1478" t="s">
        <v>362</v>
      </c>
      <c r="C313" s="1478"/>
      <c r="D313" s="473">
        <v>19907.29</v>
      </c>
      <c r="E313" s="473">
        <v>15730</v>
      </c>
      <c r="F313" s="474">
        <v>11440</v>
      </c>
      <c r="G313" s="474">
        <f t="shared" si="18"/>
        <v>17160</v>
      </c>
    </row>
    <row r="314" spans="2:7" s="472" customFormat="1" ht="15.75" customHeight="1" x14ac:dyDescent="0.2">
      <c r="B314" s="1479" t="s">
        <v>363</v>
      </c>
      <c r="C314" s="1479"/>
      <c r="D314" s="473">
        <v>12258.24</v>
      </c>
      <c r="E314" s="473">
        <v>0</v>
      </c>
      <c r="F314" s="474">
        <v>0</v>
      </c>
      <c r="G314" s="474">
        <f t="shared" si="18"/>
        <v>0</v>
      </c>
    </row>
    <row r="315" spans="2:7" s="472" customFormat="1" ht="15.75" customHeight="1" x14ac:dyDescent="0.2">
      <c r="B315" s="1481" t="s">
        <v>364</v>
      </c>
      <c r="C315" s="1481"/>
      <c r="D315" s="461">
        <v>263645.74</v>
      </c>
      <c r="E315" s="461">
        <v>283398.03000000003</v>
      </c>
      <c r="F315" s="462">
        <v>195252.01</v>
      </c>
      <c r="G315" s="462">
        <f t="shared" si="18"/>
        <v>292878.01500000001</v>
      </c>
    </row>
    <row r="316" spans="2:7" s="472" customFormat="1" ht="15.75" customHeight="1" x14ac:dyDescent="0.2">
      <c r="B316" s="1481" t="s">
        <v>365</v>
      </c>
      <c r="C316" s="1481"/>
      <c r="D316" s="461">
        <v>0</v>
      </c>
      <c r="E316" s="461">
        <v>1141.98</v>
      </c>
      <c r="F316" s="462">
        <v>810</v>
      </c>
      <c r="G316" s="462">
        <f t="shared" si="18"/>
        <v>1215</v>
      </c>
    </row>
    <row r="317" spans="2:7" s="472" customFormat="1" ht="15.75" customHeight="1" x14ac:dyDescent="0.2">
      <c r="B317" s="1481" t="s">
        <v>1774</v>
      </c>
      <c r="C317" s="1481"/>
      <c r="D317" s="461">
        <v>88527</v>
      </c>
      <c r="E317" s="461">
        <v>35694</v>
      </c>
      <c r="F317" s="462">
        <v>41402.199999999997</v>
      </c>
      <c r="G317" s="462">
        <f t="shared" si="18"/>
        <v>62103.299999999996</v>
      </c>
    </row>
    <row r="318" spans="2:7" ht="15.75" customHeight="1" x14ac:dyDescent="0.2">
      <c r="B318" s="1475" t="s">
        <v>367</v>
      </c>
      <c r="C318" s="1475"/>
      <c r="D318" s="461">
        <v>121921.53</v>
      </c>
      <c r="E318" s="461">
        <v>145985.13</v>
      </c>
      <c r="F318" s="462">
        <v>66451.820000000007</v>
      </c>
      <c r="G318" s="462">
        <f t="shared" si="18"/>
        <v>99677.73000000001</v>
      </c>
    </row>
    <row r="319" spans="2:7" x14ac:dyDescent="0.2">
      <c r="B319" s="460" t="s">
        <v>368</v>
      </c>
      <c r="C319" s="460"/>
      <c r="D319" s="461">
        <v>99.04</v>
      </c>
      <c r="E319" s="461">
        <v>0.18</v>
      </c>
      <c r="F319" s="462">
        <v>0</v>
      </c>
      <c r="G319" s="462">
        <f t="shared" si="18"/>
        <v>0</v>
      </c>
    </row>
    <row r="320" spans="2:7" x14ac:dyDescent="0.2">
      <c r="B320" s="460" t="s">
        <v>369</v>
      </c>
      <c r="C320" s="460"/>
      <c r="D320" s="461">
        <v>0</v>
      </c>
      <c r="E320" s="461">
        <v>47568.79</v>
      </c>
      <c r="F320" s="462">
        <v>47568.79</v>
      </c>
      <c r="G320" s="462">
        <f t="shared" si="18"/>
        <v>71353.184999999998</v>
      </c>
    </row>
    <row r="321" spans="2:7" x14ac:dyDescent="0.2">
      <c r="B321" s="460" t="s">
        <v>370</v>
      </c>
      <c r="C321" s="460"/>
      <c r="D321" s="461">
        <v>23566.68</v>
      </c>
      <c r="E321" s="461">
        <v>23194.6</v>
      </c>
      <c r="F321" s="462">
        <v>0</v>
      </c>
      <c r="G321" s="462">
        <f t="shared" si="18"/>
        <v>0</v>
      </c>
    </row>
    <row r="322" spans="2:7" x14ac:dyDescent="0.2">
      <c r="B322" s="460" t="s">
        <v>371</v>
      </c>
      <c r="C322" s="460"/>
      <c r="D322" s="461">
        <v>22279.99</v>
      </c>
      <c r="E322" s="461">
        <v>0</v>
      </c>
      <c r="F322" s="462">
        <v>0</v>
      </c>
      <c r="G322" s="462">
        <f t="shared" si="18"/>
        <v>0</v>
      </c>
    </row>
    <row r="323" spans="2:7" x14ac:dyDescent="0.2">
      <c r="B323" s="460" t="s">
        <v>372</v>
      </c>
      <c r="C323" s="460"/>
      <c r="D323" s="461">
        <v>3805220.29</v>
      </c>
      <c r="E323" s="461">
        <v>3996796.73</v>
      </c>
      <c r="F323" s="462">
        <v>2701263.64</v>
      </c>
      <c r="G323" s="462">
        <f t="shared" si="18"/>
        <v>4051895.46</v>
      </c>
    </row>
    <row r="324" spans="2:7" x14ac:dyDescent="0.2">
      <c r="B324" s="460" t="s">
        <v>373</v>
      </c>
      <c r="C324" s="460"/>
      <c r="D324" s="461">
        <v>259313.65</v>
      </c>
      <c r="E324" s="461">
        <v>476365.14</v>
      </c>
      <c r="F324" s="462">
        <v>263153.68</v>
      </c>
      <c r="G324" s="462">
        <f t="shared" si="18"/>
        <v>394730.52</v>
      </c>
    </row>
    <row r="325" spans="2:7" x14ac:dyDescent="0.2">
      <c r="B325" s="460" t="s">
        <v>374</v>
      </c>
      <c r="C325" s="460"/>
      <c r="D325" s="461">
        <v>57506.37</v>
      </c>
      <c r="E325" s="461">
        <v>60945.3</v>
      </c>
      <c r="F325" s="462">
        <v>42287.12</v>
      </c>
      <c r="G325" s="462">
        <f t="shared" si="18"/>
        <v>63430.680000000008</v>
      </c>
    </row>
    <row r="326" spans="2:7" x14ac:dyDescent="0.2">
      <c r="B326" s="460" t="s">
        <v>1101</v>
      </c>
      <c r="C326" s="460"/>
      <c r="D326" s="461">
        <v>18595.62</v>
      </c>
      <c r="E326" s="461">
        <v>14719.48</v>
      </c>
      <c r="F326" s="462">
        <v>6746.31</v>
      </c>
      <c r="G326" s="462">
        <f t="shared" si="18"/>
        <v>10119.465</v>
      </c>
    </row>
    <row r="327" spans="2:7" x14ac:dyDescent="0.2">
      <c r="B327" s="460" t="s">
        <v>375</v>
      </c>
      <c r="C327" s="460"/>
      <c r="D327" s="461">
        <v>0</v>
      </c>
      <c r="E327" s="461">
        <v>46617</v>
      </c>
      <c r="F327" s="462">
        <v>0</v>
      </c>
      <c r="G327" s="462">
        <f t="shared" si="18"/>
        <v>0</v>
      </c>
    </row>
    <row r="328" spans="2:7" x14ac:dyDescent="0.2">
      <c r="B328" s="460" t="s">
        <v>376</v>
      </c>
      <c r="C328" s="460"/>
      <c r="D328" s="461">
        <v>0</v>
      </c>
      <c r="E328" s="461">
        <v>8978.16</v>
      </c>
      <c r="F328" s="462">
        <v>0</v>
      </c>
      <c r="G328" s="462">
        <f t="shared" si="18"/>
        <v>0</v>
      </c>
    </row>
    <row r="329" spans="2:7" x14ac:dyDescent="0.2">
      <c r="B329" s="460" t="s">
        <v>377</v>
      </c>
      <c r="C329" s="460"/>
      <c r="D329" s="461">
        <v>486701.42</v>
      </c>
      <c r="E329" s="461">
        <v>517078.35</v>
      </c>
      <c r="F329" s="462">
        <v>475912.99</v>
      </c>
      <c r="G329" s="462">
        <f>F329/6*10</f>
        <v>793188.31666666665</v>
      </c>
    </row>
    <row r="330" spans="2:7" ht="15.75" customHeight="1" x14ac:dyDescent="0.2">
      <c r="B330" s="1475" t="s">
        <v>378</v>
      </c>
      <c r="C330" s="1475"/>
      <c r="D330" s="461">
        <v>2.94</v>
      </c>
      <c r="E330" s="461">
        <v>0</v>
      </c>
      <c r="F330" s="462">
        <v>121.39</v>
      </c>
      <c r="G330" s="462">
        <f t="shared" si="18"/>
        <v>182.08500000000001</v>
      </c>
    </row>
    <row r="331" spans="2:7" ht="15.75" customHeight="1" x14ac:dyDescent="0.2">
      <c r="B331" s="1475" t="s">
        <v>379</v>
      </c>
      <c r="C331" s="1475"/>
      <c r="D331" s="461">
        <v>29000</v>
      </c>
      <c r="E331" s="461">
        <v>36000</v>
      </c>
      <c r="F331" s="462">
        <v>24000</v>
      </c>
      <c r="G331" s="462">
        <f t="shared" si="18"/>
        <v>36000</v>
      </c>
    </row>
    <row r="332" spans="2:7" ht="15.75" customHeight="1" x14ac:dyDescent="0.2">
      <c r="B332" s="1475" t="s">
        <v>7298</v>
      </c>
      <c r="C332" s="1475"/>
      <c r="D332" s="461">
        <v>0</v>
      </c>
      <c r="E332" s="461">
        <v>0</v>
      </c>
      <c r="F332" s="462">
        <v>0</v>
      </c>
      <c r="G332" s="462">
        <f t="shared" ref="G332" si="19">F332/8*12</f>
        <v>0</v>
      </c>
    </row>
    <row r="333" spans="2:7" ht="15.75" customHeight="1" x14ac:dyDescent="0.2">
      <c r="B333" s="1475" t="s">
        <v>380</v>
      </c>
      <c r="C333" s="1475"/>
      <c r="D333" s="461">
        <v>0</v>
      </c>
      <c r="E333" s="461">
        <v>28691</v>
      </c>
      <c r="F333" s="462">
        <v>0</v>
      </c>
      <c r="G333" s="462">
        <f t="shared" si="18"/>
        <v>0</v>
      </c>
    </row>
    <row r="334" spans="2:7" ht="15.75" customHeight="1" x14ac:dyDescent="0.2">
      <c r="B334" s="1475" t="s">
        <v>381</v>
      </c>
      <c r="C334" s="1475"/>
      <c r="D334" s="461">
        <v>0</v>
      </c>
      <c r="E334" s="461">
        <v>0</v>
      </c>
      <c r="F334" s="462">
        <v>0</v>
      </c>
      <c r="G334" s="462">
        <f t="shared" si="18"/>
        <v>0</v>
      </c>
    </row>
    <row r="335" spans="2:7" ht="15.75" customHeight="1" x14ac:dyDescent="0.2">
      <c r="B335" s="1475" t="s">
        <v>382</v>
      </c>
      <c r="C335" s="1475"/>
      <c r="D335" s="461">
        <v>0</v>
      </c>
      <c r="E335" s="461">
        <v>0</v>
      </c>
      <c r="F335" s="462">
        <v>0</v>
      </c>
      <c r="G335" s="462">
        <f t="shared" si="18"/>
        <v>0</v>
      </c>
    </row>
    <row r="336" spans="2:7" ht="15.75" customHeight="1" x14ac:dyDescent="0.2">
      <c r="B336" s="1475" t="s">
        <v>383</v>
      </c>
      <c r="C336" s="1475"/>
      <c r="D336" s="461">
        <v>0</v>
      </c>
      <c r="E336" s="461">
        <v>0</v>
      </c>
      <c r="F336" s="462">
        <v>0</v>
      </c>
      <c r="G336" s="462">
        <f t="shared" si="18"/>
        <v>0</v>
      </c>
    </row>
    <row r="337" spans="2:7" ht="15.75" customHeight="1" x14ac:dyDescent="0.2">
      <c r="B337" s="1475" t="s">
        <v>384</v>
      </c>
      <c r="C337" s="1475"/>
      <c r="D337" s="461">
        <v>51000</v>
      </c>
      <c r="E337" s="461">
        <v>99090</v>
      </c>
      <c r="F337" s="462">
        <v>54000</v>
      </c>
      <c r="G337" s="462">
        <f t="shared" si="18"/>
        <v>81000</v>
      </c>
    </row>
    <row r="338" spans="2:7" ht="15.75" customHeight="1" x14ac:dyDescent="0.2">
      <c r="B338" s="1475" t="s">
        <v>385</v>
      </c>
      <c r="C338" s="1475"/>
      <c r="D338" s="461">
        <v>0</v>
      </c>
      <c r="E338" s="461">
        <v>0</v>
      </c>
      <c r="F338" s="462">
        <v>0</v>
      </c>
      <c r="G338" s="462">
        <f t="shared" ref="G338:G370" si="20">F338/8*12</f>
        <v>0</v>
      </c>
    </row>
    <row r="339" spans="2:7" ht="15.75" customHeight="1" x14ac:dyDescent="0.2">
      <c r="B339" s="1475" t="s">
        <v>386</v>
      </c>
      <c r="C339" s="1475"/>
      <c r="D339" s="461">
        <v>67149.3</v>
      </c>
      <c r="E339" s="461">
        <v>88919.83</v>
      </c>
      <c r="F339" s="462">
        <v>57683.64</v>
      </c>
      <c r="G339" s="462">
        <f t="shared" si="20"/>
        <v>86525.459999999992</v>
      </c>
    </row>
    <row r="340" spans="2:7" ht="15.75" customHeight="1" x14ac:dyDescent="0.2">
      <c r="B340" s="1475" t="s">
        <v>387</v>
      </c>
      <c r="C340" s="1475"/>
      <c r="D340" s="461">
        <v>5099.16</v>
      </c>
      <c r="E340" s="461">
        <v>13320.6</v>
      </c>
      <c r="F340" s="462">
        <v>7259.16</v>
      </c>
      <c r="G340" s="462">
        <f t="shared" si="20"/>
        <v>10888.74</v>
      </c>
    </row>
    <row r="341" spans="2:7" ht="15.75" customHeight="1" x14ac:dyDescent="0.2">
      <c r="B341" s="1475" t="s">
        <v>388</v>
      </c>
      <c r="C341" s="1475"/>
      <c r="D341" s="461">
        <v>59764.01</v>
      </c>
      <c r="E341" s="461">
        <v>32826.14</v>
      </c>
      <c r="F341" s="462">
        <v>26707.41</v>
      </c>
      <c r="G341" s="462">
        <f t="shared" si="20"/>
        <v>40061.114999999998</v>
      </c>
    </row>
    <row r="342" spans="2:7" ht="15.75" customHeight="1" x14ac:dyDescent="0.2">
      <c r="B342" s="1475" t="s">
        <v>389</v>
      </c>
      <c r="C342" s="1475"/>
      <c r="D342" s="461">
        <v>5220</v>
      </c>
      <c r="E342" s="461">
        <v>17960</v>
      </c>
      <c r="F342" s="462">
        <v>7020</v>
      </c>
      <c r="G342" s="462">
        <f t="shared" si="20"/>
        <v>10530</v>
      </c>
    </row>
    <row r="343" spans="2:7" ht="15.75" customHeight="1" x14ac:dyDescent="0.2">
      <c r="B343" s="1475" t="s">
        <v>390</v>
      </c>
      <c r="C343" s="1475"/>
      <c r="D343" s="461">
        <v>0</v>
      </c>
      <c r="E343" s="461">
        <v>0</v>
      </c>
      <c r="F343" s="462">
        <v>0</v>
      </c>
      <c r="G343" s="462">
        <f t="shared" si="20"/>
        <v>0</v>
      </c>
    </row>
    <row r="344" spans="2:7" ht="15.75" customHeight="1" x14ac:dyDescent="0.2">
      <c r="B344" s="1475" t="s">
        <v>391</v>
      </c>
      <c r="C344" s="1475"/>
      <c r="D344" s="461">
        <v>0</v>
      </c>
      <c r="E344" s="461">
        <v>0</v>
      </c>
      <c r="F344" s="462">
        <v>0</v>
      </c>
      <c r="G344" s="462">
        <f t="shared" si="20"/>
        <v>0</v>
      </c>
    </row>
    <row r="345" spans="2:7" ht="15.75" customHeight="1" x14ac:dyDescent="0.2">
      <c r="B345" s="460" t="s">
        <v>392</v>
      </c>
      <c r="C345" s="460"/>
      <c r="D345" s="461">
        <v>3293284.72</v>
      </c>
      <c r="E345" s="461">
        <v>3552331.9</v>
      </c>
      <c r="F345" s="462">
        <v>2449261.11</v>
      </c>
      <c r="G345" s="462">
        <f t="shared" si="20"/>
        <v>3673891.665</v>
      </c>
    </row>
    <row r="346" spans="2:7" x14ac:dyDescent="0.2">
      <c r="B346" s="460" t="s">
        <v>393</v>
      </c>
      <c r="C346" s="460"/>
      <c r="D346" s="461">
        <v>0</v>
      </c>
      <c r="E346" s="461">
        <v>0</v>
      </c>
      <c r="F346" s="462">
        <v>0</v>
      </c>
      <c r="G346" s="462">
        <f t="shared" si="20"/>
        <v>0</v>
      </c>
    </row>
    <row r="347" spans="2:7" x14ac:dyDescent="0.2">
      <c r="B347" s="460" t="s">
        <v>394</v>
      </c>
      <c r="C347" s="460"/>
      <c r="D347" s="461">
        <v>0</v>
      </c>
      <c r="E347" s="461">
        <v>0</v>
      </c>
      <c r="F347" s="462">
        <v>0</v>
      </c>
      <c r="G347" s="462">
        <f t="shared" si="20"/>
        <v>0</v>
      </c>
    </row>
    <row r="348" spans="2:7" x14ac:dyDescent="0.2">
      <c r="B348" s="460" t="s">
        <v>395</v>
      </c>
      <c r="C348" s="460"/>
      <c r="D348" s="461">
        <v>0</v>
      </c>
      <c r="E348" s="461">
        <v>0</v>
      </c>
      <c r="F348" s="462">
        <v>0</v>
      </c>
      <c r="G348" s="462">
        <f t="shared" si="20"/>
        <v>0</v>
      </c>
    </row>
    <row r="349" spans="2:7" x14ac:dyDescent="0.2">
      <c r="B349" s="460" t="s">
        <v>7096</v>
      </c>
      <c r="C349" s="460"/>
      <c r="D349" s="461">
        <v>0</v>
      </c>
      <c r="E349" s="461">
        <v>0</v>
      </c>
      <c r="F349" s="462">
        <v>1002</v>
      </c>
      <c r="G349" s="462">
        <f t="shared" si="20"/>
        <v>1503</v>
      </c>
    </row>
    <row r="350" spans="2:7" ht="15.75" customHeight="1" x14ac:dyDescent="0.2">
      <c r="B350" s="1475" t="s">
        <v>396</v>
      </c>
      <c r="C350" s="1475"/>
      <c r="D350" s="461">
        <v>0</v>
      </c>
      <c r="E350" s="461">
        <v>0</v>
      </c>
      <c r="F350" s="462">
        <v>0</v>
      </c>
      <c r="G350" s="462">
        <f t="shared" si="20"/>
        <v>0</v>
      </c>
    </row>
    <row r="351" spans="2:7" ht="15.75" customHeight="1" x14ac:dyDescent="0.2">
      <c r="B351" s="1475" t="s">
        <v>397</v>
      </c>
      <c r="C351" s="1475"/>
      <c r="D351" s="461">
        <v>78434.600000000006</v>
      </c>
      <c r="E351" s="461">
        <v>39876.21</v>
      </c>
      <c r="F351" s="462">
        <v>62658.46</v>
      </c>
      <c r="G351" s="462">
        <f t="shared" si="20"/>
        <v>93987.69</v>
      </c>
    </row>
    <row r="352" spans="2:7" ht="15.75" customHeight="1" x14ac:dyDescent="0.2">
      <c r="B352" s="1475" t="s">
        <v>398</v>
      </c>
      <c r="C352" s="1475"/>
      <c r="D352" s="461">
        <v>0</v>
      </c>
      <c r="E352" s="461">
        <v>0</v>
      </c>
      <c r="F352" s="462">
        <v>0</v>
      </c>
      <c r="G352" s="462">
        <f t="shared" si="20"/>
        <v>0</v>
      </c>
    </row>
    <row r="353" spans="2:7" ht="15.75" customHeight="1" x14ac:dyDescent="0.2">
      <c r="B353" s="1475" t="s">
        <v>399</v>
      </c>
      <c r="C353" s="1475"/>
      <c r="D353" s="461">
        <v>0</v>
      </c>
      <c r="E353" s="461">
        <v>0</v>
      </c>
      <c r="F353" s="462">
        <v>0</v>
      </c>
      <c r="G353" s="462">
        <f t="shared" si="20"/>
        <v>0</v>
      </c>
    </row>
    <row r="354" spans="2:7" ht="15.75" customHeight="1" x14ac:dyDescent="0.2">
      <c r="B354" s="1474" t="s">
        <v>400</v>
      </c>
      <c r="C354" s="1474"/>
      <c r="D354" s="461">
        <v>6584.53</v>
      </c>
      <c r="E354" s="461">
        <v>9025.52</v>
      </c>
      <c r="F354" s="462">
        <v>2829.33</v>
      </c>
      <c r="G354" s="462">
        <f t="shared" si="20"/>
        <v>4243.9949999999999</v>
      </c>
    </row>
    <row r="355" spans="2:7" x14ac:dyDescent="0.2">
      <c r="B355" s="1475" t="s">
        <v>402</v>
      </c>
      <c r="C355" s="1475"/>
      <c r="D355" s="461">
        <v>0</v>
      </c>
      <c r="E355" s="461">
        <v>0</v>
      </c>
      <c r="F355" s="462">
        <v>0</v>
      </c>
      <c r="G355" s="462">
        <f t="shared" si="20"/>
        <v>0</v>
      </c>
    </row>
    <row r="356" spans="2:7" x14ac:dyDescent="0.2">
      <c r="B356" s="1475" t="s">
        <v>403</v>
      </c>
      <c r="C356" s="1475"/>
      <c r="D356" s="461">
        <v>2730.22</v>
      </c>
      <c r="E356" s="461">
        <v>551.82000000000005</v>
      </c>
      <c r="F356" s="462">
        <v>1807.59</v>
      </c>
      <c r="G356" s="462">
        <f t="shared" si="20"/>
        <v>2711.3849999999998</v>
      </c>
    </row>
    <row r="357" spans="2:7" x14ac:dyDescent="0.2">
      <c r="B357" s="1475" t="s">
        <v>404</v>
      </c>
      <c r="C357" s="1475"/>
      <c r="D357" s="461">
        <v>0</v>
      </c>
      <c r="E357" s="461">
        <v>0</v>
      </c>
      <c r="F357" s="462">
        <v>0</v>
      </c>
      <c r="G357" s="462">
        <f t="shared" si="20"/>
        <v>0</v>
      </c>
    </row>
    <row r="358" spans="2:7" x14ac:dyDescent="0.2">
      <c r="B358" s="1475" t="s">
        <v>405</v>
      </c>
      <c r="C358" s="1475"/>
      <c r="D358" s="461">
        <v>0</v>
      </c>
      <c r="E358" s="461">
        <v>0</v>
      </c>
      <c r="F358" s="462">
        <v>0</v>
      </c>
      <c r="G358" s="462">
        <f t="shared" si="20"/>
        <v>0</v>
      </c>
    </row>
    <row r="359" spans="2:7" x14ac:dyDescent="0.2">
      <c r="B359" s="1474" t="s">
        <v>406</v>
      </c>
      <c r="C359" s="1474"/>
      <c r="D359" s="461">
        <v>0</v>
      </c>
      <c r="E359" s="461">
        <v>0</v>
      </c>
      <c r="F359" s="462">
        <v>0</v>
      </c>
      <c r="G359" s="462">
        <f t="shared" si="20"/>
        <v>0</v>
      </c>
    </row>
    <row r="360" spans="2:7" x14ac:dyDescent="0.2">
      <c r="B360" s="1475" t="s">
        <v>407</v>
      </c>
      <c r="C360" s="1475"/>
      <c r="D360" s="461">
        <v>0</v>
      </c>
      <c r="E360" s="461">
        <v>0</v>
      </c>
      <c r="F360" s="462">
        <v>0</v>
      </c>
      <c r="G360" s="462">
        <f t="shared" si="20"/>
        <v>0</v>
      </c>
    </row>
    <row r="361" spans="2:7" x14ac:dyDescent="0.2">
      <c r="B361" s="1475" t="s">
        <v>408</v>
      </c>
      <c r="C361" s="1475"/>
      <c r="D361" s="461">
        <v>1442</v>
      </c>
      <c r="E361" s="461">
        <v>345.6</v>
      </c>
      <c r="F361" s="462">
        <v>1094.4000000000001</v>
      </c>
      <c r="G361" s="462">
        <f t="shared" si="20"/>
        <v>1641.6000000000001</v>
      </c>
    </row>
    <row r="362" spans="2:7" x14ac:dyDescent="0.2">
      <c r="B362" s="1475" t="s">
        <v>409</v>
      </c>
      <c r="C362" s="1475"/>
      <c r="D362" s="461">
        <v>64</v>
      </c>
      <c r="E362" s="461">
        <v>0</v>
      </c>
      <c r="F362" s="462">
        <v>0</v>
      </c>
      <c r="G362" s="462">
        <f t="shared" si="20"/>
        <v>0</v>
      </c>
    </row>
    <row r="363" spans="2:7" x14ac:dyDescent="0.2">
      <c r="B363" s="1475" t="s">
        <v>410</v>
      </c>
      <c r="C363" s="1475"/>
      <c r="D363" s="461">
        <v>0</v>
      </c>
      <c r="E363" s="461">
        <v>0</v>
      </c>
      <c r="F363" s="462">
        <v>0</v>
      </c>
      <c r="G363" s="462">
        <f t="shared" si="20"/>
        <v>0</v>
      </c>
    </row>
    <row r="364" spans="2:7" x14ac:dyDescent="0.2">
      <c r="B364" s="1474" t="s">
        <v>411</v>
      </c>
      <c r="C364" s="1474"/>
      <c r="D364" s="461">
        <v>0</v>
      </c>
      <c r="E364" s="461">
        <v>0</v>
      </c>
      <c r="F364" s="462">
        <v>0</v>
      </c>
      <c r="G364" s="462">
        <f t="shared" si="20"/>
        <v>0</v>
      </c>
    </row>
    <row r="365" spans="2:7" x14ac:dyDescent="0.2">
      <c r="B365" s="1475" t="s">
        <v>412</v>
      </c>
      <c r="C365" s="1475"/>
      <c r="D365" s="461">
        <v>0</v>
      </c>
      <c r="E365" s="461">
        <v>0</v>
      </c>
      <c r="F365" s="462">
        <v>0</v>
      </c>
      <c r="G365" s="462">
        <f t="shared" si="20"/>
        <v>0</v>
      </c>
    </row>
    <row r="366" spans="2:7" x14ac:dyDescent="0.2">
      <c r="B366" s="1475" t="s">
        <v>413</v>
      </c>
      <c r="C366" s="1475"/>
      <c r="D366" s="461">
        <v>1098.3</v>
      </c>
      <c r="E366" s="461">
        <v>154.5</v>
      </c>
      <c r="F366" s="462">
        <v>504.86</v>
      </c>
      <c r="G366" s="462">
        <f t="shared" si="20"/>
        <v>757.29</v>
      </c>
    </row>
    <row r="367" spans="2:7" x14ac:dyDescent="0.2">
      <c r="B367" s="1475" t="s">
        <v>414</v>
      </c>
      <c r="C367" s="1475"/>
      <c r="D367" s="461">
        <v>0</v>
      </c>
      <c r="E367" s="461">
        <v>0</v>
      </c>
      <c r="F367" s="462">
        <v>0</v>
      </c>
      <c r="G367" s="462">
        <f t="shared" si="20"/>
        <v>0</v>
      </c>
    </row>
    <row r="368" spans="2:7" x14ac:dyDescent="0.2">
      <c r="B368" s="1475" t="s">
        <v>415</v>
      </c>
      <c r="C368" s="1475"/>
      <c r="D368" s="461">
        <v>0</v>
      </c>
      <c r="E368" s="461">
        <v>0</v>
      </c>
      <c r="F368" s="462">
        <v>0</v>
      </c>
      <c r="G368" s="462">
        <f t="shared" si="20"/>
        <v>0</v>
      </c>
    </row>
    <row r="369" spans="2:7" x14ac:dyDescent="0.2">
      <c r="B369" s="1474" t="s">
        <v>416</v>
      </c>
      <c r="C369" s="1474"/>
      <c r="D369" s="461">
        <v>0</v>
      </c>
      <c r="E369" s="461">
        <v>0</v>
      </c>
      <c r="F369" s="462">
        <v>0</v>
      </c>
      <c r="G369" s="462">
        <f t="shared" si="20"/>
        <v>0</v>
      </c>
    </row>
    <row r="370" spans="2:7" ht="13.5" customHeight="1" x14ac:dyDescent="0.2">
      <c r="B370" s="1474" t="s">
        <v>7096</v>
      </c>
      <c r="C370" s="1474"/>
      <c r="D370" s="461">
        <v>0</v>
      </c>
      <c r="E370" s="461">
        <v>0</v>
      </c>
      <c r="F370" s="462">
        <v>0</v>
      </c>
      <c r="G370" s="462">
        <f t="shared" si="20"/>
        <v>0</v>
      </c>
    </row>
    <row r="371" spans="2:7" ht="15.75" customHeight="1" x14ac:dyDescent="0.2">
      <c r="B371" s="1475" t="s">
        <v>417</v>
      </c>
      <c r="C371" s="1475"/>
      <c r="D371" s="461">
        <v>3800</v>
      </c>
      <c r="E371" s="461">
        <v>3000</v>
      </c>
      <c r="F371" s="462">
        <v>3500</v>
      </c>
      <c r="G371" s="462">
        <v>3000</v>
      </c>
    </row>
    <row r="372" spans="2:7" ht="15.75" customHeight="1" x14ac:dyDescent="0.2">
      <c r="B372" s="1475" t="s">
        <v>418</v>
      </c>
      <c r="C372" s="1475"/>
      <c r="D372" s="461">
        <v>39346.5</v>
      </c>
      <c r="E372" s="461">
        <v>27862</v>
      </c>
      <c r="F372" s="462">
        <v>21748</v>
      </c>
      <c r="G372" s="462">
        <v>27862</v>
      </c>
    </row>
    <row r="373" spans="2:7" ht="15.75" customHeight="1" x14ac:dyDescent="0.2">
      <c r="B373" s="1475" t="s">
        <v>419</v>
      </c>
      <c r="C373" s="1475"/>
      <c r="D373" s="461">
        <v>2730</v>
      </c>
      <c r="E373" s="461">
        <v>0</v>
      </c>
      <c r="F373" s="462">
        <v>0</v>
      </c>
      <c r="G373" s="462">
        <f>F373/8*12</f>
        <v>0</v>
      </c>
    </row>
    <row r="374" spans="2:7" ht="15.75" customHeight="1" x14ac:dyDescent="0.2">
      <c r="B374" s="1475" t="s">
        <v>420</v>
      </c>
      <c r="C374" s="1475"/>
      <c r="D374" s="461">
        <v>24335</v>
      </c>
      <c r="E374" s="461">
        <v>9660</v>
      </c>
      <c r="F374" s="462">
        <v>4132</v>
      </c>
      <c r="G374" s="462">
        <v>9660</v>
      </c>
    </row>
    <row r="375" spans="2:7" ht="15.75" customHeight="1" x14ac:dyDescent="0.2">
      <c r="B375" s="1474" t="s">
        <v>421</v>
      </c>
      <c r="C375" s="1474"/>
      <c r="D375" s="461">
        <v>0</v>
      </c>
      <c r="E375" s="461">
        <v>17500</v>
      </c>
      <c r="F375" s="462">
        <v>9975</v>
      </c>
      <c r="G375" s="462">
        <v>17500</v>
      </c>
    </row>
    <row r="376" spans="2:7" ht="15.75" customHeight="1" x14ac:dyDescent="0.2">
      <c r="B376" s="1475" t="s">
        <v>422</v>
      </c>
      <c r="C376" s="1475"/>
      <c r="D376" s="461">
        <v>70658.100000000006</v>
      </c>
      <c r="E376" s="461">
        <v>27108</v>
      </c>
      <c r="F376" s="462">
        <v>40883</v>
      </c>
      <c r="G376" s="462">
        <v>12126</v>
      </c>
    </row>
    <row r="377" spans="2:7" ht="15.75" customHeight="1" x14ac:dyDescent="0.2">
      <c r="B377" s="1474" t="s">
        <v>423</v>
      </c>
      <c r="C377" s="1474"/>
      <c r="D377" s="461">
        <v>0</v>
      </c>
      <c r="E377" s="461">
        <v>12126</v>
      </c>
      <c r="F377" s="462">
        <v>7055</v>
      </c>
      <c r="G377" s="462">
        <f>F377/8*12</f>
        <v>10582.5</v>
      </c>
    </row>
    <row r="378" spans="2:7" ht="15.75" customHeight="1" x14ac:dyDescent="0.2">
      <c r="B378" s="1474" t="s">
        <v>424</v>
      </c>
      <c r="C378" s="1474"/>
      <c r="D378" s="461">
        <v>27300</v>
      </c>
      <c r="E378" s="461">
        <v>0</v>
      </c>
      <c r="F378" s="462">
        <v>0</v>
      </c>
      <c r="G378" s="462">
        <f>F378/8*12</f>
        <v>0</v>
      </c>
    </row>
    <row r="379" spans="2:7" ht="15.75" customHeight="1" x14ac:dyDescent="0.2">
      <c r="B379" s="1475" t="s">
        <v>425</v>
      </c>
      <c r="C379" s="1475"/>
      <c r="D379" s="461">
        <v>0</v>
      </c>
      <c r="E379" s="461">
        <v>24130</v>
      </c>
      <c r="F379" s="462">
        <v>35375</v>
      </c>
      <c r="G379" s="462">
        <v>24130</v>
      </c>
    </row>
    <row r="380" spans="2:7" ht="15.75" customHeight="1" x14ac:dyDescent="0.2">
      <c r="B380" s="1475" t="s">
        <v>426</v>
      </c>
      <c r="C380" s="1475"/>
      <c r="D380" s="461">
        <v>24999.25</v>
      </c>
      <c r="E380" s="461">
        <v>2600</v>
      </c>
      <c r="F380" s="462">
        <v>0</v>
      </c>
      <c r="G380" s="462">
        <v>2600</v>
      </c>
    </row>
    <row r="381" spans="2:7" ht="15.75" customHeight="1" x14ac:dyDescent="0.2">
      <c r="B381" s="1475" t="s">
        <v>427</v>
      </c>
      <c r="C381" s="1475"/>
      <c r="D381" s="461">
        <v>9754.5</v>
      </c>
      <c r="E381" s="461">
        <v>5325</v>
      </c>
      <c r="F381" s="462">
        <f>10375+6035</f>
        <v>16410</v>
      </c>
      <c r="G381" s="462">
        <f>F381/8*12</f>
        <v>24615</v>
      </c>
    </row>
    <row r="382" spans="2:7" ht="15.75" customHeight="1" x14ac:dyDescent="0.2">
      <c r="B382" s="1475" t="s">
        <v>7318</v>
      </c>
      <c r="C382" s="1475"/>
      <c r="D382" s="461">
        <v>0</v>
      </c>
      <c r="E382" s="461">
        <v>0</v>
      </c>
      <c r="F382" s="462">
        <v>0</v>
      </c>
      <c r="G382" s="462">
        <v>0</v>
      </c>
    </row>
    <row r="383" spans="2:7" ht="15.75" customHeight="1" x14ac:dyDescent="0.2">
      <c r="B383" s="1475" t="s">
        <v>7319</v>
      </c>
      <c r="C383" s="1475"/>
      <c r="D383" s="461">
        <v>0</v>
      </c>
      <c r="E383" s="461">
        <v>0</v>
      </c>
      <c r="F383" s="462">
        <v>0</v>
      </c>
      <c r="G383" s="462">
        <v>0</v>
      </c>
    </row>
    <row r="384" spans="2:7" ht="15.75" customHeight="1" x14ac:dyDescent="0.2">
      <c r="B384" s="1475" t="s">
        <v>428</v>
      </c>
      <c r="C384" s="1475"/>
      <c r="D384" s="461">
        <v>0</v>
      </c>
      <c r="E384" s="461">
        <v>7606.85</v>
      </c>
      <c r="F384" s="462">
        <v>0</v>
      </c>
      <c r="G384" s="462">
        <v>4944.8500000000004</v>
      </c>
    </row>
    <row r="385" spans="2:9" ht="15.75" customHeight="1" x14ac:dyDescent="0.2">
      <c r="B385" s="1475" t="s">
        <v>429</v>
      </c>
      <c r="C385" s="1475"/>
      <c r="D385" s="461">
        <v>0</v>
      </c>
      <c r="E385" s="461">
        <v>5077</v>
      </c>
      <c r="F385" s="462">
        <v>0</v>
      </c>
      <c r="G385" s="462">
        <f>F385/8*12</f>
        <v>0</v>
      </c>
    </row>
    <row r="386" spans="2:9" ht="15.75" customHeight="1" x14ac:dyDescent="0.2">
      <c r="B386" s="1475" t="s">
        <v>2444</v>
      </c>
      <c r="C386" s="1475"/>
      <c r="D386" s="461">
        <v>0</v>
      </c>
      <c r="E386" s="461">
        <v>2092</v>
      </c>
      <c r="F386" s="462">
        <v>345</v>
      </c>
      <c r="G386" s="462">
        <v>4944.8500000000004</v>
      </c>
    </row>
    <row r="387" spans="2:9" ht="15.75" customHeight="1" x14ac:dyDescent="0.2">
      <c r="B387" s="1475" t="s">
        <v>7079</v>
      </c>
      <c r="C387" s="1475"/>
      <c r="D387" s="461">
        <v>0</v>
      </c>
      <c r="E387" s="461">
        <v>385</v>
      </c>
      <c r="F387" s="462">
        <v>0</v>
      </c>
      <c r="G387" s="462">
        <v>4944.8500000000004</v>
      </c>
    </row>
    <row r="388" spans="2:9" s="423" customFormat="1" ht="15.75" customHeight="1" x14ac:dyDescent="0.2">
      <c r="B388" s="1477" t="s">
        <v>430</v>
      </c>
      <c r="C388" s="1477"/>
      <c r="D388" s="467">
        <f>619043.63-44802.9</f>
        <v>574240.73</v>
      </c>
      <c r="E388" s="467">
        <f>26720.19+270</f>
        <v>26990.19</v>
      </c>
      <c r="F388" s="468">
        <f>198.43+500</f>
        <v>698.43000000000006</v>
      </c>
      <c r="G388" s="468">
        <f t="shared" ref="G388:G404" si="21">F388/8*12</f>
        <v>1047.645</v>
      </c>
    </row>
    <row r="389" spans="2:9" ht="15.75" customHeight="1" x14ac:dyDescent="0.2">
      <c r="B389" s="1475" t="s">
        <v>431</v>
      </c>
      <c r="C389" s="1475"/>
      <c r="D389" s="461">
        <v>0</v>
      </c>
      <c r="E389" s="461">
        <v>2992</v>
      </c>
      <c r="F389" s="462">
        <v>4638</v>
      </c>
      <c r="G389" s="462">
        <f t="shared" si="21"/>
        <v>6957</v>
      </c>
      <c r="I389" s="476"/>
    </row>
    <row r="390" spans="2:9" ht="15.75" customHeight="1" x14ac:dyDescent="0.2">
      <c r="B390" s="1306" t="s">
        <v>7097</v>
      </c>
      <c r="C390" s="1306"/>
      <c r="D390" s="461">
        <v>0</v>
      </c>
      <c r="E390" s="461">
        <v>0</v>
      </c>
      <c r="F390" s="462">
        <v>0</v>
      </c>
      <c r="G390" s="462">
        <v>0</v>
      </c>
      <c r="I390" s="476"/>
    </row>
    <row r="391" spans="2:9" ht="15.75" customHeight="1" x14ac:dyDescent="0.2">
      <c r="B391" s="1062" t="s">
        <v>7097</v>
      </c>
      <c r="C391" s="1062"/>
      <c r="D391" s="461">
        <v>0</v>
      </c>
      <c r="E391" s="461">
        <v>0</v>
      </c>
      <c r="F391" s="462">
        <v>718</v>
      </c>
      <c r="G391" s="462">
        <f t="shared" si="21"/>
        <v>1077</v>
      </c>
      <c r="I391" s="476"/>
    </row>
    <row r="392" spans="2:9" x14ac:dyDescent="0.2">
      <c r="B392" s="460" t="s">
        <v>432</v>
      </c>
      <c r="C392" s="460"/>
      <c r="D392" s="461">
        <v>0</v>
      </c>
      <c r="E392" s="461">
        <v>0</v>
      </c>
      <c r="F392" s="462">
        <v>0</v>
      </c>
      <c r="G392" s="462">
        <f t="shared" si="21"/>
        <v>0</v>
      </c>
    </row>
    <row r="393" spans="2:9" x14ac:dyDescent="0.2">
      <c r="B393" s="460" t="s">
        <v>433</v>
      </c>
      <c r="C393" s="460"/>
      <c r="D393" s="461">
        <v>0</v>
      </c>
      <c r="E393" s="461">
        <v>0</v>
      </c>
      <c r="F393" s="462">
        <v>0</v>
      </c>
      <c r="G393" s="462">
        <f t="shared" si="21"/>
        <v>0</v>
      </c>
      <c r="I393" s="476"/>
    </row>
    <row r="394" spans="2:9" ht="15.75" customHeight="1" x14ac:dyDescent="0.2">
      <c r="B394" s="1475" t="s">
        <v>434</v>
      </c>
      <c r="C394" s="1475"/>
      <c r="D394" s="461">
        <v>0</v>
      </c>
      <c r="E394" s="461">
        <v>0</v>
      </c>
      <c r="F394" s="462">
        <v>0</v>
      </c>
      <c r="G394" s="462">
        <f t="shared" si="21"/>
        <v>0</v>
      </c>
    </row>
    <row r="395" spans="2:9" ht="15.75" customHeight="1" x14ac:dyDescent="0.2">
      <c r="B395" s="1475" t="s">
        <v>435</v>
      </c>
      <c r="C395" s="1475"/>
      <c r="D395" s="461">
        <v>0</v>
      </c>
      <c r="E395" s="461">
        <v>0</v>
      </c>
      <c r="F395" s="462">
        <v>0</v>
      </c>
      <c r="G395" s="462">
        <f t="shared" si="21"/>
        <v>0</v>
      </c>
    </row>
    <row r="396" spans="2:9" ht="15.75" customHeight="1" x14ac:dyDescent="0.2">
      <c r="B396" s="1475" t="s">
        <v>436</v>
      </c>
      <c r="C396" s="1475"/>
      <c r="D396" s="461">
        <v>0</v>
      </c>
      <c r="E396" s="461">
        <v>0</v>
      </c>
      <c r="F396" s="462">
        <v>0</v>
      </c>
      <c r="G396" s="462">
        <f t="shared" si="21"/>
        <v>0</v>
      </c>
    </row>
    <row r="397" spans="2:9" ht="15.75" customHeight="1" x14ac:dyDescent="0.2">
      <c r="B397" s="1475" t="s">
        <v>437</v>
      </c>
      <c r="C397" s="1475"/>
      <c r="D397" s="461">
        <v>0</v>
      </c>
      <c r="E397" s="461">
        <v>0</v>
      </c>
      <c r="F397" s="462">
        <v>0</v>
      </c>
      <c r="G397" s="462">
        <f t="shared" si="21"/>
        <v>0</v>
      </c>
    </row>
    <row r="398" spans="2:9" ht="15.75" customHeight="1" x14ac:dyDescent="0.2">
      <c r="B398" s="1062" t="s">
        <v>1252</v>
      </c>
      <c r="C398" s="1062"/>
      <c r="D398" s="461">
        <v>0</v>
      </c>
      <c r="E398" s="461">
        <v>0</v>
      </c>
      <c r="F398" s="462">
        <v>379275</v>
      </c>
      <c r="G398" s="462">
        <f t="shared" si="21"/>
        <v>568912.5</v>
      </c>
    </row>
    <row r="399" spans="2:9" ht="15.75" customHeight="1" x14ac:dyDescent="0.2">
      <c r="B399" s="1474" t="s">
        <v>438</v>
      </c>
      <c r="C399" s="1474"/>
      <c r="D399" s="461">
        <v>0</v>
      </c>
      <c r="E399" s="461">
        <v>0</v>
      </c>
      <c r="F399" s="462">
        <v>0</v>
      </c>
      <c r="G399" s="462">
        <f t="shared" si="21"/>
        <v>0</v>
      </c>
    </row>
    <row r="400" spans="2:9" ht="15.75" customHeight="1" x14ac:dyDescent="0.2">
      <c r="B400" s="1474" t="s">
        <v>439</v>
      </c>
      <c r="C400" s="1474"/>
      <c r="D400" s="461">
        <v>0</v>
      </c>
      <c r="E400" s="461">
        <v>0</v>
      </c>
      <c r="F400" s="462">
        <v>0</v>
      </c>
      <c r="G400" s="462">
        <f t="shared" si="21"/>
        <v>0</v>
      </c>
    </row>
    <row r="401" spans="2:9" ht="15.75" customHeight="1" x14ac:dyDescent="0.2">
      <c r="B401" s="1474" t="s">
        <v>440</v>
      </c>
      <c r="C401" s="1474"/>
      <c r="D401" s="461">
        <v>0</v>
      </c>
      <c r="E401" s="461">
        <v>0</v>
      </c>
      <c r="F401" s="462">
        <v>0</v>
      </c>
      <c r="G401" s="462">
        <f t="shared" si="21"/>
        <v>0</v>
      </c>
    </row>
    <row r="402" spans="2:9" ht="15.75" customHeight="1" x14ac:dyDescent="0.2">
      <c r="B402" s="1474" t="s">
        <v>441</v>
      </c>
      <c r="C402" s="1474"/>
      <c r="D402" s="461">
        <v>0</v>
      </c>
      <c r="E402" s="461">
        <v>0</v>
      </c>
      <c r="F402" s="462">
        <v>0</v>
      </c>
      <c r="G402" s="462">
        <f t="shared" si="21"/>
        <v>0</v>
      </c>
    </row>
    <row r="403" spans="2:9" ht="15.75" customHeight="1" x14ac:dyDescent="0.2">
      <c r="B403" s="1474" t="s">
        <v>442</v>
      </c>
      <c r="C403" s="1474"/>
      <c r="D403" s="461">
        <v>0</v>
      </c>
      <c r="E403" s="461">
        <v>0</v>
      </c>
      <c r="F403" s="462">
        <v>0</v>
      </c>
      <c r="G403" s="462">
        <f t="shared" si="21"/>
        <v>0</v>
      </c>
      <c r="I403" s="476"/>
    </row>
    <row r="404" spans="2:9" ht="15.75" customHeight="1" x14ac:dyDescent="0.2">
      <c r="B404" s="1474" t="s">
        <v>443</v>
      </c>
      <c r="C404" s="1474"/>
      <c r="D404" s="461">
        <v>0</v>
      </c>
      <c r="E404" s="461">
        <v>0</v>
      </c>
      <c r="F404" s="462">
        <v>0</v>
      </c>
      <c r="G404" s="462">
        <f t="shared" si="21"/>
        <v>0</v>
      </c>
    </row>
    <row r="405" spans="2:9" ht="15.75" customHeight="1" x14ac:dyDescent="0.2">
      <c r="B405" s="1474" t="s">
        <v>444</v>
      </c>
      <c r="C405" s="1474"/>
      <c r="D405" s="461">
        <v>0</v>
      </c>
      <c r="E405" s="461">
        <v>50000</v>
      </c>
      <c r="F405" s="462">
        <v>0</v>
      </c>
      <c r="G405" s="462">
        <v>50000</v>
      </c>
    </row>
    <row r="406" spans="2:9" ht="15.75" customHeight="1" x14ac:dyDescent="0.2">
      <c r="B406" s="1474" t="s">
        <v>445</v>
      </c>
      <c r="C406" s="1474"/>
      <c r="D406" s="461">
        <v>0</v>
      </c>
      <c r="E406" s="461">
        <v>49980</v>
      </c>
      <c r="F406" s="462">
        <v>0</v>
      </c>
      <c r="G406" s="462">
        <v>49980</v>
      </c>
    </row>
    <row r="407" spans="2:9" ht="15.75" customHeight="1" x14ac:dyDescent="0.2">
      <c r="B407" s="1474" t="s">
        <v>446</v>
      </c>
      <c r="C407" s="1474"/>
      <c r="D407" s="461">
        <v>0</v>
      </c>
      <c r="E407" s="461">
        <v>190351.09</v>
      </c>
      <c r="F407" s="462">
        <v>0</v>
      </c>
      <c r="G407" s="462">
        <v>190351.09</v>
      </c>
    </row>
    <row r="408" spans="2:9" ht="15.75" customHeight="1" x14ac:dyDescent="0.2">
      <c r="B408" s="460" t="s">
        <v>447</v>
      </c>
      <c r="C408" s="460"/>
      <c r="D408" s="461">
        <v>0</v>
      </c>
      <c r="E408" s="461">
        <v>0</v>
      </c>
      <c r="F408" s="462">
        <v>0</v>
      </c>
      <c r="G408" s="462">
        <f>F408/8*12</f>
        <v>0</v>
      </c>
    </row>
    <row r="409" spans="2:9" ht="15.75" customHeight="1" x14ac:dyDescent="0.2">
      <c r="B409" s="1475" t="s">
        <v>448</v>
      </c>
      <c r="C409" s="1475"/>
      <c r="D409" s="461">
        <v>0</v>
      </c>
      <c r="E409" s="461">
        <v>0</v>
      </c>
      <c r="F409" s="462">
        <v>0</v>
      </c>
      <c r="G409" s="462">
        <f>F409/8*12</f>
        <v>0</v>
      </c>
    </row>
    <row r="410" spans="2:9" ht="15.75" customHeight="1" x14ac:dyDescent="0.2">
      <c r="B410" s="1475" t="s">
        <v>449</v>
      </c>
      <c r="C410" s="1475"/>
      <c r="D410" s="461">
        <v>0</v>
      </c>
      <c r="E410" s="461">
        <v>49560</v>
      </c>
      <c r="F410" s="462">
        <v>0</v>
      </c>
      <c r="G410" s="462">
        <v>49560</v>
      </c>
    </row>
    <row r="411" spans="2:9" ht="15.75" customHeight="1" x14ac:dyDescent="0.2">
      <c r="B411" s="1475" t="s">
        <v>1775</v>
      </c>
      <c r="C411" s="1475"/>
      <c r="D411" s="461">
        <v>25197.4</v>
      </c>
      <c r="E411" s="461">
        <v>11737.19</v>
      </c>
      <c r="F411" s="462">
        <v>3658.66</v>
      </c>
      <c r="G411" s="462">
        <f t="shared" ref="G411:G416" si="22">F411/8*12</f>
        <v>5487.99</v>
      </c>
    </row>
    <row r="412" spans="2:9" s="423" customFormat="1" x14ac:dyDescent="0.2">
      <c r="B412" s="471" t="s">
        <v>469</v>
      </c>
      <c r="C412" s="471"/>
      <c r="D412" s="467">
        <v>7666.62</v>
      </c>
      <c r="E412" s="467">
        <v>7883.63</v>
      </c>
      <c r="F412" s="468">
        <v>8760.3700000000008</v>
      </c>
      <c r="G412" s="468">
        <f t="shared" si="22"/>
        <v>13140.555</v>
      </c>
    </row>
    <row r="413" spans="2:9" s="423" customFormat="1" x14ac:dyDescent="0.2">
      <c r="B413" s="471" t="s">
        <v>470</v>
      </c>
      <c r="C413" s="471"/>
      <c r="D413" s="467">
        <v>0</v>
      </c>
      <c r="E413" s="467">
        <v>0</v>
      </c>
      <c r="F413" s="468">
        <v>0</v>
      </c>
      <c r="G413" s="468">
        <f t="shared" si="22"/>
        <v>0</v>
      </c>
      <c r="I413" s="944"/>
    </row>
    <row r="414" spans="2:9" s="423" customFormat="1" x14ac:dyDescent="0.2">
      <c r="B414" s="471" t="s">
        <v>471</v>
      </c>
      <c r="C414" s="471"/>
      <c r="D414" s="467">
        <v>0</v>
      </c>
      <c r="E414" s="467">
        <v>0</v>
      </c>
      <c r="F414" s="468">
        <v>0</v>
      </c>
      <c r="G414" s="468">
        <f t="shared" si="22"/>
        <v>0</v>
      </c>
    </row>
    <row r="415" spans="2:9" s="423" customFormat="1" x14ac:dyDescent="0.2">
      <c r="B415" s="471" t="s">
        <v>1331</v>
      </c>
      <c r="C415" s="471"/>
      <c r="D415" s="467">
        <v>2215331.15</v>
      </c>
      <c r="E415" s="467">
        <v>2401159.42</v>
      </c>
      <c r="F415" s="468">
        <v>1689807.32</v>
      </c>
      <c r="G415" s="468">
        <f t="shared" si="22"/>
        <v>2534710.98</v>
      </c>
    </row>
    <row r="416" spans="2:9" s="423" customFormat="1" x14ac:dyDescent="0.2">
      <c r="B416" s="471" t="s">
        <v>7080</v>
      </c>
      <c r="C416" s="471"/>
      <c r="D416" s="467">
        <v>0</v>
      </c>
      <c r="E416" s="467">
        <v>1619.35</v>
      </c>
      <c r="F416" s="468">
        <v>0</v>
      </c>
      <c r="G416" s="468">
        <f t="shared" si="22"/>
        <v>0</v>
      </c>
    </row>
    <row r="417" spans="2:7" s="422" customFormat="1" x14ac:dyDescent="0.2">
      <c r="B417" s="1476" t="s">
        <v>1772</v>
      </c>
      <c r="C417" s="1476"/>
      <c r="D417" s="475">
        <f>SUM(D79:D411)-D412-D413-D414-D415</f>
        <v>16165811.479999995</v>
      </c>
      <c r="E417" s="475">
        <f>SUM(E79:E411)-E412-E413-E414-E415-E416</f>
        <v>17209067.820000008</v>
      </c>
      <c r="F417" s="475">
        <f>SUM(F79:F411)-F412-F413-F414-F415</f>
        <v>12488855.260000002</v>
      </c>
      <c r="G417" s="475">
        <f>SUM(G79:G411)-G412-G413-G414-G415</f>
        <v>19020268.361666676</v>
      </c>
    </row>
    <row r="419" spans="2:7" x14ac:dyDescent="0.2">
      <c r="E419" s="476"/>
      <c r="F419" s="476"/>
    </row>
    <row r="420" spans="2:7" ht="15" x14ac:dyDescent="0.25">
      <c r="B420" s="1471" t="s">
        <v>1808</v>
      </c>
      <c r="C420" s="1471"/>
      <c r="D420" s="1471"/>
      <c r="E420" s="1471"/>
      <c r="F420" s="1471"/>
    </row>
    <row r="421" spans="2:7" ht="15" x14ac:dyDescent="0.2">
      <c r="B421" s="1472" t="s">
        <v>94</v>
      </c>
      <c r="C421" s="1473" t="s">
        <v>1809</v>
      </c>
      <c r="D421" s="1473"/>
      <c r="E421" s="1473"/>
      <c r="F421" s="1473"/>
    </row>
    <row r="422" spans="2:7" ht="12.75" customHeight="1" x14ac:dyDescent="0.2">
      <c r="B422" s="1472"/>
      <c r="C422" s="1473">
        <v>2017</v>
      </c>
      <c r="D422" s="1473">
        <f>C422+1</f>
        <v>2018</v>
      </c>
      <c r="E422" s="1473">
        <f>D422+1</f>
        <v>2019</v>
      </c>
      <c r="F422" s="1473">
        <f>E422+1</f>
        <v>2020</v>
      </c>
    </row>
    <row r="423" spans="2:7" ht="12.75" customHeight="1" x14ac:dyDescent="0.2">
      <c r="B423" s="1472"/>
      <c r="C423" s="1473"/>
      <c r="D423" s="1473"/>
      <c r="E423" s="1473"/>
      <c r="F423" s="1473"/>
    </row>
    <row r="424" spans="2:7" ht="15" x14ac:dyDescent="0.25">
      <c r="B424" s="477" t="s">
        <v>1808</v>
      </c>
      <c r="C424" s="478">
        <v>7.7782999999999997E-4</v>
      </c>
      <c r="D424" s="478">
        <v>7.7782000000000003E-4</v>
      </c>
      <c r="E424" s="478">
        <v>7.7813000000000003E-4</v>
      </c>
      <c r="F424" s="479">
        <f>(C424+D424+E424)/3</f>
        <v>7.7792666666666671E-4</v>
      </c>
    </row>
  </sheetData>
  <mergeCells count="304">
    <mergeCell ref="E77:E78"/>
    <mergeCell ref="D77:D78"/>
    <mergeCell ref="B77:C78"/>
    <mergeCell ref="G77:G78"/>
    <mergeCell ref="C75:G75"/>
    <mergeCell ref="B34:E34"/>
    <mergeCell ref="B8:G8"/>
    <mergeCell ref="B36:B38"/>
    <mergeCell ref="C36:C38"/>
    <mergeCell ref="D36:G36"/>
    <mergeCell ref="D37:D38"/>
    <mergeCell ref="E37:E38"/>
    <mergeCell ref="F37:G37"/>
    <mergeCell ref="F11:G11"/>
    <mergeCell ref="B10:B12"/>
    <mergeCell ref="C10:C12"/>
    <mergeCell ref="D10:G10"/>
    <mergeCell ref="D11:D12"/>
    <mergeCell ref="E11:E12"/>
    <mergeCell ref="B33:C33"/>
    <mergeCell ref="B103:C103"/>
    <mergeCell ref="B104:C104"/>
    <mergeCell ref="B110:C110"/>
    <mergeCell ref="B109:C109"/>
    <mergeCell ref="B108:C108"/>
    <mergeCell ref="B107:C107"/>
    <mergeCell ref="B106:C106"/>
    <mergeCell ref="B105:C105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41:C141"/>
    <mergeCell ref="B143:C143"/>
    <mergeCell ref="B144:C144"/>
    <mergeCell ref="B145:C145"/>
    <mergeCell ref="B146:C146"/>
    <mergeCell ref="B147:C147"/>
    <mergeCell ref="B135:C135"/>
    <mergeCell ref="B136:C136"/>
    <mergeCell ref="B137:C137"/>
    <mergeCell ref="B138:C138"/>
    <mergeCell ref="B139:C139"/>
    <mergeCell ref="B140:C140"/>
    <mergeCell ref="B142:C142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83:C183"/>
    <mergeCell ref="B184:C184"/>
    <mergeCell ref="B185:C185"/>
    <mergeCell ref="B186:C186"/>
    <mergeCell ref="B187:C187"/>
    <mergeCell ref="B188:C188"/>
    <mergeCell ref="B172:C172"/>
    <mergeCell ref="B173:C173"/>
    <mergeCell ref="B174:C174"/>
    <mergeCell ref="B175:C175"/>
    <mergeCell ref="B181:C181"/>
    <mergeCell ref="B182:C182"/>
    <mergeCell ref="B195:C195"/>
    <mergeCell ref="B196:C196"/>
    <mergeCell ref="B197:C197"/>
    <mergeCell ref="B198:C198"/>
    <mergeCell ref="B199:C199"/>
    <mergeCell ref="B200:C200"/>
    <mergeCell ref="B189:C189"/>
    <mergeCell ref="B190:C190"/>
    <mergeCell ref="B191:C191"/>
    <mergeCell ref="B192:C192"/>
    <mergeCell ref="B193:C193"/>
    <mergeCell ref="B194:C194"/>
    <mergeCell ref="B207:C207"/>
    <mergeCell ref="B208:C208"/>
    <mergeCell ref="B209:C209"/>
    <mergeCell ref="B210:C210"/>
    <mergeCell ref="B211:C211"/>
    <mergeCell ref="B218:C218"/>
    <mergeCell ref="B201:C201"/>
    <mergeCell ref="B202:C202"/>
    <mergeCell ref="B203:C203"/>
    <mergeCell ref="B204:C204"/>
    <mergeCell ref="B205:C205"/>
    <mergeCell ref="B206:C206"/>
    <mergeCell ref="B225:C225"/>
    <mergeCell ref="B226:C226"/>
    <mergeCell ref="B227:C227"/>
    <mergeCell ref="B228:C228"/>
    <mergeCell ref="B229:C229"/>
    <mergeCell ref="B230:C230"/>
    <mergeCell ref="B219:C219"/>
    <mergeCell ref="B220:C220"/>
    <mergeCell ref="B221:C221"/>
    <mergeCell ref="B222:C222"/>
    <mergeCell ref="B223:C223"/>
    <mergeCell ref="B224:C224"/>
    <mergeCell ref="B237:C237"/>
    <mergeCell ref="B238:C238"/>
    <mergeCell ref="B239:C239"/>
    <mergeCell ref="B240:C240"/>
    <mergeCell ref="B241:C241"/>
    <mergeCell ref="B242:C242"/>
    <mergeCell ref="B231:C231"/>
    <mergeCell ref="B232:C232"/>
    <mergeCell ref="B233:C233"/>
    <mergeCell ref="B234:C234"/>
    <mergeCell ref="B235:C235"/>
    <mergeCell ref="B236:C236"/>
    <mergeCell ref="B249:C249"/>
    <mergeCell ref="B250:C250"/>
    <mergeCell ref="B251:C251"/>
    <mergeCell ref="B252:C252"/>
    <mergeCell ref="B253:C253"/>
    <mergeCell ref="B254:C254"/>
    <mergeCell ref="B243:C243"/>
    <mergeCell ref="B244:C244"/>
    <mergeCell ref="B245:C245"/>
    <mergeCell ref="B246:C246"/>
    <mergeCell ref="B247:C247"/>
    <mergeCell ref="B248:C248"/>
    <mergeCell ref="B261:C261"/>
    <mergeCell ref="B262:C262"/>
    <mergeCell ref="B263:C263"/>
    <mergeCell ref="B264:C264"/>
    <mergeCell ref="B265:C265"/>
    <mergeCell ref="B266:C266"/>
    <mergeCell ref="B255:C255"/>
    <mergeCell ref="B256:C256"/>
    <mergeCell ref="B257:C257"/>
    <mergeCell ref="B258:C258"/>
    <mergeCell ref="B259:C259"/>
    <mergeCell ref="B260:C260"/>
    <mergeCell ref="B273:C273"/>
    <mergeCell ref="B274:C274"/>
    <mergeCell ref="B275:C275"/>
    <mergeCell ref="B276:C276"/>
    <mergeCell ref="B277:C277"/>
    <mergeCell ref="B278:C278"/>
    <mergeCell ref="B267:C267"/>
    <mergeCell ref="B268:C268"/>
    <mergeCell ref="B269:C269"/>
    <mergeCell ref="B270:C270"/>
    <mergeCell ref="B271:C271"/>
    <mergeCell ref="B272:C272"/>
    <mergeCell ref="B285:C285"/>
    <mergeCell ref="B286:C286"/>
    <mergeCell ref="B287:C287"/>
    <mergeCell ref="B288:C288"/>
    <mergeCell ref="B289:C289"/>
    <mergeCell ref="B290:C290"/>
    <mergeCell ref="B279:C279"/>
    <mergeCell ref="B280:C280"/>
    <mergeCell ref="B281:C281"/>
    <mergeCell ref="B282:C282"/>
    <mergeCell ref="B283:C283"/>
    <mergeCell ref="B284:C284"/>
    <mergeCell ref="B297:C297"/>
    <mergeCell ref="B298:C298"/>
    <mergeCell ref="B302:C302"/>
    <mergeCell ref="B303:C303"/>
    <mergeCell ref="B304:C304"/>
    <mergeCell ref="B305:C305"/>
    <mergeCell ref="B291:C291"/>
    <mergeCell ref="B292:C292"/>
    <mergeCell ref="B293:C293"/>
    <mergeCell ref="B294:C294"/>
    <mergeCell ref="B295:C295"/>
    <mergeCell ref="B296:C296"/>
    <mergeCell ref="B306:C306"/>
    <mergeCell ref="B307:C307"/>
    <mergeCell ref="B308:C308"/>
    <mergeCell ref="B310:C310"/>
    <mergeCell ref="B311:C311"/>
    <mergeCell ref="B312:C312"/>
    <mergeCell ref="B315:C315"/>
    <mergeCell ref="B316:C316"/>
    <mergeCell ref="B317:C317"/>
    <mergeCell ref="B309:C309"/>
    <mergeCell ref="B330:C330"/>
    <mergeCell ref="B331:C331"/>
    <mergeCell ref="B333:C333"/>
    <mergeCell ref="B334:C334"/>
    <mergeCell ref="B335:C335"/>
    <mergeCell ref="B336:C336"/>
    <mergeCell ref="B313:C313"/>
    <mergeCell ref="B314:C314"/>
    <mergeCell ref="B318:C318"/>
    <mergeCell ref="B332:C332"/>
    <mergeCell ref="B343:C343"/>
    <mergeCell ref="B344:C344"/>
    <mergeCell ref="B350:C350"/>
    <mergeCell ref="B351:C351"/>
    <mergeCell ref="B352:C352"/>
    <mergeCell ref="B353:C353"/>
    <mergeCell ref="B337:C337"/>
    <mergeCell ref="B338:C338"/>
    <mergeCell ref="B339:C339"/>
    <mergeCell ref="B340:C340"/>
    <mergeCell ref="B341:C341"/>
    <mergeCell ref="B342:C342"/>
    <mergeCell ref="B359:C359"/>
    <mergeCell ref="B360:C360"/>
    <mergeCell ref="B361:C361"/>
    <mergeCell ref="B362:C362"/>
    <mergeCell ref="B363:C363"/>
    <mergeCell ref="B364:C364"/>
    <mergeCell ref="B354:C354"/>
    <mergeCell ref="B355:C355"/>
    <mergeCell ref="B356:C356"/>
    <mergeCell ref="B357:C357"/>
    <mergeCell ref="B358:C358"/>
    <mergeCell ref="B372:C372"/>
    <mergeCell ref="B373:C373"/>
    <mergeCell ref="B374:C374"/>
    <mergeCell ref="B375:C375"/>
    <mergeCell ref="B376:C376"/>
    <mergeCell ref="B377:C377"/>
    <mergeCell ref="B365:C365"/>
    <mergeCell ref="B366:C366"/>
    <mergeCell ref="B367:C367"/>
    <mergeCell ref="B368:C368"/>
    <mergeCell ref="B369:C369"/>
    <mergeCell ref="B371:C371"/>
    <mergeCell ref="B370:C370"/>
    <mergeCell ref="B389:C389"/>
    <mergeCell ref="B394:C394"/>
    <mergeCell ref="B395:C395"/>
    <mergeCell ref="B396:C396"/>
    <mergeCell ref="B397:C397"/>
    <mergeCell ref="B378:C378"/>
    <mergeCell ref="B379:C379"/>
    <mergeCell ref="B380:C380"/>
    <mergeCell ref="B381:C381"/>
    <mergeCell ref="B384:C384"/>
    <mergeCell ref="B385:C385"/>
    <mergeCell ref="B386:C386"/>
    <mergeCell ref="B387:C387"/>
    <mergeCell ref="B382:C382"/>
    <mergeCell ref="B383:C383"/>
    <mergeCell ref="B1:G1"/>
    <mergeCell ref="B3:G3"/>
    <mergeCell ref="B5:G5"/>
    <mergeCell ref="B420:F420"/>
    <mergeCell ref="B421:B423"/>
    <mergeCell ref="C421:F421"/>
    <mergeCell ref="C422:C423"/>
    <mergeCell ref="D422:D423"/>
    <mergeCell ref="E422:E423"/>
    <mergeCell ref="F422:F423"/>
    <mergeCell ref="B405:C405"/>
    <mergeCell ref="B406:C406"/>
    <mergeCell ref="B407:C407"/>
    <mergeCell ref="B409:C409"/>
    <mergeCell ref="B410:C410"/>
    <mergeCell ref="B411:C411"/>
    <mergeCell ref="B417:C417"/>
    <mergeCell ref="B399:C399"/>
    <mergeCell ref="B400:C400"/>
    <mergeCell ref="B401:C401"/>
    <mergeCell ref="B402:C402"/>
    <mergeCell ref="B403:C403"/>
    <mergeCell ref="B404:C404"/>
    <mergeCell ref="B388:C388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5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workbookViewId="0">
      <selection activeCell="B10" sqref="B10:F18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8.85546875" customWidth="1"/>
    <col min="5" max="5" width="18.5703125" customWidth="1"/>
    <col min="6" max="6" width="19" customWidth="1"/>
    <col min="7" max="7" width="17.28515625" customWidth="1"/>
    <col min="8" max="8" width="16.42578125" customWidth="1"/>
    <col min="9" max="9" width="15.140625" customWidth="1"/>
  </cols>
  <sheetData>
    <row r="1" spans="1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1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1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1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1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1:60" x14ac:dyDescent="0.25">
      <c r="A6" s="356"/>
      <c r="B6" s="356"/>
      <c r="C6" s="356"/>
      <c r="D6" s="356"/>
      <c r="E6" s="356"/>
      <c r="F6" s="356"/>
      <c r="G6" s="65"/>
      <c r="H6" s="65"/>
      <c r="I6" s="65"/>
      <c r="J6" s="65"/>
    </row>
    <row r="7" spans="1:60" x14ac:dyDescent="0.25">
      <c r="B7" s="1640" t="s">
        <v>2318</v>
      </c>
      <c r="C7" s="1640"/>
      <c r="D7" s="1640"/>
      <c r="E7" s="1640"/>
      <c r="F7" s="1640"/>
      <c r="G7" s="65"/>
      <c r="H7" s="65"/>
      <c r="I7" s="65"/>
      <c r="J7" s="65"/>
    </row>
    <row r="8" spans="1:60" x14ac:dyDescent="0.25">
      <c r="A8" s="1647" t="s">
        <v>2238</v>
      </c>
      <c r="B8" s="1647"/>
      <c r="C8" s="1647"/>
      <c r="D8" s="1647"/>
      <c r="E8" s="1647"/>
      <c r="F8" s="1647"/>
      <c r="G8" s="66"/>
      <c r="H8" s="66"/>
      <c r="I8" s="66"/>
      <c r="J8" s="66"/>
    </row>
    <row r="9" spans="1:60" ht="15.75" thickBot="1" x14ac:dyDescent="0.3"/>
    <row r="10" spans="1:60" ht="26.25" customHeight="1" x14ac:dyDescent="0.25">
      <c r="B10" s="1648" t="s">
        <v>2245</v>
      </c>
      <c r="C10" s="1649"/>
      <c r="D10" s="1649"/>
      <c r="E10" s="1649"/>
      <c r="F10" s="67" t="s">
        <v>7071</v>
      </c>
    </row>
    <row r="11" spans="1:60" ht="18" customHeight="1" x14ac:dyDescent="0.25">
      <c r="B11" s="1645" t="s">
        <v>2246</v>
      </c>
      <c r="C11" s="1646"/>
      <c r="D11" s="1646"/>
      <c r="E11" s="1646"/>
      <c r="F11" s="68">
        <f>SUM(F12:F13)-F14</f>
        <v>22108509.111584142</v>
      </c>
    </row>
    <row r="12" spans="1:60" ht="18" customHeight="1" x14ac:dyDescent="0.25">
      <c r="B12" s="1643" t="s">
        <v>2247</v>
      </c>
      <c r="C12" s="1644"/>
      <c r="D12" s="1644"/>
      <c r="E12" s="1644"/>
      <c r="F12" s="69">
        <f>ER!E11</f>
        <v>907617.79658912052</v>
      </c>
    </row>
    <row r="13" spans="1:60" x14ac:dyDescent="0.25">
      <c r="B13" s="1643" t="s">
        <v>2248</v>
      </c>
      <c r="C13" s="1644"/>
      <c r="D13" s="1644"/>
      <c r="E13" s="1644"/>
      <c r="F13" s="69">
        <f>ER!E334</f>
        <v>24710551.548154566</v>
      </c>
    </row>
    <row r="14" spans="1:60" x14ac:dyDescent="0.25">
      <c r="B14" s="1643" t="s">
        <v>2249</v>
      </c>
      <c r="C14" s="1644"/>
      <c r="D14" s="1644"/>
      <c r="E14" s="1644"/>
      <c r="F14" s="69">
        <f>ER!E617</f>
        <v>3509660.2331595472</v>
      </c>
    </row>
    <row r="15" spans="1:60" x14ac:dyDescent="0.25">
      <c r="B15" s="1645" t="s">
        <v>2250</v>
      </c>
      <c r="C15" s="1646"/>
      <c r="D15" s="1646"/>
      <c r="E15" s="1646"/>
      <c r="F15" s="68">
        <f>SUM(F16:F17)</f>
        <v>21267724.52</v>
      </c>
    </row>
    <row r="16" spans="1:60" x14ac:dyDescent="0.25">
      <c r="B16" s="1643" t="s">
        <v>2251</v>
      </c>
      <c r="C16" s="1644"/>
      <c r="D16" s="1644"/>
      <c r="E16" s="1644"/>
      <c r="F16" s="69">
        <v>13914122.560000001</v>
      </c>
    </row>
    <row r="17" spans="2:6" x14ac:dyDescent="0.25">
      <c r="B17" s="1643" t="s">
        <v>2252</v>
      </c>
      <c r="C17" s="1644"/>
      <c r="D17" s="1644"/>
      <c r="E17" s="1644"/>
      <c r="F17" s="69">
        <v>7353601.96</v>
      </c>
    </row>
    <row r="18" spans="2:6" ht="15.75" thickBot="1" x14ac:dyDescent="0.3">
      <c r="B18" s="1641" t="s">
        <v>2253</v>
      </c>
      <c r="C18" s="1642"/>
      <c r="D18" s="1642"/>
      <c r="E18" s="1642"/>
      <c r="F18" s="70">
        <f>F11-F15</f>
        <v>840784.5915841423</v>
      </c>
    </row>
  </sheetData>
  <mergeCells count="14">
    <mergeCell ref="B7:F7"/>
    <mergeCell ref="B1:F1"/>
    <mergeCell ref="B3:F3"/>
    <mergeCell ref="B5:F5"/>
    <mergeCell ref="B18:E18"/>
    <mergeCell ref="B12:E12"/>
    <mergeCell ref="B13:E13"/>
    <mergeCell ref="B14:E14"/>
    <mergeCell ref="B15:E15"/>
    <mergeCell ref="B16:E16"/>
    <mergeCell ref="B17:E17"/>
    <mergeCell ref="B11:E11"/>
    <mergeCell ref="A8:F8"/>
    <mergeCell ref="B10:E10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workbookViewId="0">
      <selection activeCell="E24" sqref="E24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8.85546875" customWidth="1"/>
    <col min="5" max="5" width="18.5703125" customWidth="1"/>
    <col min="6" max="6" width="19" customWidth="1"/>
    <col min="7" max="7" width="17.28515625" customWidth="1"/>
    <col min="8" max="8" width="16.42578125" customWidth="1"/>
    <col min="9" max="9" width="15.140625" customWidth="1"/>
  </cols>
  <sheetData>
    <row r="1" spans="1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1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1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1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1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1:60" x14ac:dyDescent="0.25">
      <c r="A6" s="48"/>
      <c r="B6" s="48"/>
      <c r="C6" s="48"/>
      <c r="D6" s="48"/>
      <c r="E6" s="48"/>
      <c r="F6" s="48"/>
      <c r="G6" s="65"/>
      <c r="H6" s="65"/>
      <c r="I6" s="65"/>
      <c r="J6" s="65"/>
    </row>
    <row r="7" spans="1:60" x14ac:dyDescent="0.25">
      <c r="B7" s="1640" t="s">
        <v>2237</v>
      </c>
      <c r="C7" s="1640"/>
      <c r="D7" s="1640"/>
      <c r="E7" s="1640"/>
      <c r="F7" s="1640"/>
      <c r="G7" s="65"/>
      <c r="H7" s="65"/>
      <c r="I7" s="65"/>
      <c r="J7" s="65"/>
    </row>
    <row r="8" spans="1:60" x14ac:dyDescent="0.25">
      <c r="A8" s="1647" t="s">
        <v>2238</v>
      </c>
      <c r="B8" s="1647"/>
      <c r="C8" s="1647"/>
      <c r="D8" s="1647"/>
      <c r="E8" s="1647"/>
      <c r="F8" s="1647"/>
      <c r="G8" s="66"/>
      <c r="H8" s="66"/>
      <c r="I8" s="66"/>
      <c r="J8" s="66"/>
    </row>
    <row r="9" spans="1:60" ht="15.75" thickBot="1" x14ac:dyDescent="0.3">
      <c r="A9" s="50"/>
      <c r="B9" s="50"/>
      <c r="C9" s="50"/>
      <c r="D9" s="50"/>
      <c r="E9" s="50"/>
      <c r="F9" s="50"/>
      <c r="G9" s="66"/>
      <c r="H9" s="66"/>
      <c r="I9" s="66"/>
      <c r="J9" s="66"/>
    </row>
    <row r="10" spans="1:60" ht="30" customHeight="1" x14ac:dyDescent="0.25">
      <c r="B10" s="1650" t="s">
        <v>2239</v>
      </c>
      <c r="C10" s="1652" t="s">
        <v>2240</v>
      </c>
      <c r="D10" s="1652" t="s">
        <v>2241</v>
      </c>
      <c r="E10" s="51" t="s">
        <v>2242</v>
      </c>
      <c r="F10" s="1652" t="s">
        <v>2243</v>
      </c>
    </row>
    <row r="11" spans="1:60" ht="15.75" thickBot="1" x14ac:dyDescent="0.3">
      <c r="B11" s="1651"/>
      <c r="C11" s="1653"/>
      <c r="D11" s="1653"/>
      <c r="E11" s="52" t="s">
        <v>2244</v>
      </c>
      <c r="F11" s="1653"/>
    </row>
    <row r="12" spans="1:60" x14ac:dyDescent="0.25">
      <c r="B12" s="53"/>
      <c r="C12" s="54"/>
      <c r="D12" s="54"/>
      <c r="E12" s="54"/>
      <c r="F12" s="55"/>
    </row>
    <row r="13" spans="1:60" x14ac:dyDescent="0.25">
      <c r="B13" s="56"/>
      <c r="C13" s="57"/>
      <c r="D13" s="57"/>
      <c r="E13" s="57"/>
      <c r="F13" s="58"/>
    </row>
    <row r="14" spans="1:60" x14ac:dyDescent="0.25">
      <c r="B14" s="56"/>
      <c r="C14" s="57"/>
      <c r="D14" s="57"/>
      <c r="E14" s="57"/>
      <c r="F14" s="58"/>
    </row>
    <row r="15" spans="1:60" x14ac:dyDescent="0.25">
      <c r="B15" s="56"/>
      <c r="C15" s="57"/>
      <c r="D15" s="57"/>
      <c r="E15" s="57"/>
      <c r="F15" s="58"/>
    </row>
    <row r="16" spans="1:60" x14ac:dyDescent="0.25">
      <c r="B16" s="56"/>
      <c r="C16" s="57"/>
      <c r="D16" s="57"/>
      <c r="E16" s="57"/>
      <c r="F16" s="58"/>
    </row>
    <row r="17" spans="2:6" ht="15.75" thickBot="1" x14ac:dyDescent="0.3">
      <c r="B17" s="62"/>
      <c r="C17" s="63"/>
      <c r="D17" s="63"/>
      <c r="E17" s="63"/>
      <c r="F17" s="64"/>
    </row>
    <row r="18" spans="2:6" ht="15.75" thickBot="1" x14ac:dyDescent="0.3">
      <c r="B18" s="59" t="s">
        <v>1575</v>
      </c>
      <c r="C18" s="60"/>
      <c r="D18" s="60"/>
      <c r="E18" s="60"/>
      <c r="F18" s="61"/>
    </row>
  </sheetData>
  <mergeCells count="9">
    <mergeCell ref="B10:B11"/>
    <mergeCell ref="C10:C11"/>
    <mergeCell ref="D10:D11"/>
    <mergeCell ref="F10:F11"/>
    <mergeCell ref="B1:F1"/>
    <mergeCell ref="B3:F3"/>
    <mergeCell ref="B5:F5"/>
    <mergeCell ref="B7:F7"/>
    <mergeCell ref="A8:F8"/>
  </mergeCells>
  <pageMargins left="0.51181102362204722" right="0.51181102362204722" top="0.78740157480314965" bottom="0.39370078740157483" header="0.31496062992125984" footer="0.31496062992125984"/>
  <pageSetup paperSize="9" scale="90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9"/>
  <sheetViews>
    <sheetView topLeftCell="A13" zoomScaleNormal="100" workbookViewId="0">
      <selection activeCell="I21" sqref="I21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6.42578125" customWidth="1"/>
    <col min="5" max="5" width="18.140625" customWidth="1"/>
    <col min="6" max="6" width="16.28515625" customWidth="1"/>
    <col min="7" max="7" width="17.28515625" customWidth="1"/>
    <col min="8" max="8" width="16.7109375" customWidth="1"/>
    <col min="9" max="9" width="15.140625" customWidth="1"/>
  </cols>
  <sheetData>
    <row r="1" spans="1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1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1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1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1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1:60" ht="12" customHeight="1" x14ac:dyDescent="0.25">
      <c r="A6" s="356"/>
      <c r="B6" s="356"/>
      <c r="C6" s="356"/>
      <c r="D6" s="356"/>
      <c r="E6" s="356"/>
      <c r="F6" s="356"/>
      <c r="G6" s="65"/>
      <c r="H6" s="65"/>
      <c r="I6" s="65"/>
      <c r="J6" s="65"/>
    </row>
    <row r="7" spans="1:60" x14ac:dyDescent="0.25">
      <c r="A7" s="65"/>
      <c r="B7" s="1640" t="s">
        <v>2315</v>
      </c>
      <c r="C7" s="1640"/>
      <c r="D7" s="1640"/>
      <c r="E7" s="1640"/>
      <c r="F7" s="1640"/>
      <c r="G7" s="1640"/>
      <c r="H7" s="1640"/>
      <c r="I7" s="65"/>
      <c r="J7" s="65"/>
    </row>
    <row r="8" spans="1:60" x14ac:dyDescent="0.25">
      <c r="A8" s="1659" t="s">
        <v>2316</v>
      </c>
      <c r="B8" s="1659"/>
      <c r="C8" s="1659"/>
      <c r="D8" s="1659"/>
      <c r="E8" s="1659"/>
      <c r="F8" s="1659"/>
      <c r="G8" s="1659"/>
      <c r="H8" s="1659"/>
      <c r="I8" s="1659"/>
    </row>
    <row r="9" spans="1:60" ht="15.75" thickBot="1" x14ac:dyDescent="0.3"/>
    <row r="10" spans="1:60" x14ac:dyDescent="0.25">
      <c r="B10" s="1660" t="s">
        <v>1</v>
      </c>
      <c r="C10" s="817" t="s">
        <v>2310</v>
      </c>
      <c r="D10" s="823" t="s">
        <v>2310</v>
      </c>
      <c r="E10" s="817" t="s">
        <v>2310</v>
      </c>
      <c r="F10" s="823" t="s">
        <v>2311</v>
      </c>
      <c r="G10" s="817" t="s">
        <v>2312</v>
      </c>
      <c r="H10" s="113" t="s">
        <v>2312</v>
      </c>
      <c r="I10" s="117"/>
    </row>
    <row r="11" spans="1:60" ht="15.75" thickBot="1" x14ac:dyDescent="0.3">
      <c r="B11" s="1661"/>
      <c r="C11" s="818">
        <v>2017</v>
      </c>
      <c r="D11" s="824">
        <f>C11+1</f>
        <v>2018</v>
      </c>
      <c r="E11" s="818">
        <f>D11+1</f>
        <v>2019</v>
      </c>
      <c r="F11" s="824">
        <f>E11+1</f>
        <v>2020</v>
      </c>
      <c r="G11" s="818">
        <f>F11+1</f>
        <v>2021</v>
      </c>
      <c r="H11" s="114">
        <f>G11+1</f>
        <v>2022</v>
      </c>
      <c r="I11" s="117"/>
    </row>
    <row r="12" spans="1:60" x14ac:dyDescent="0.25">
      <c r="B12" s="812" t="s">
        <v>6</v>
      </c>
      <c r="C12" s="819">
        <f>CIG!D13</f>
        <v>17834658.909999996</v>
      </c>
      <c r="D12" s="825">
        <f>CIG!E13</f>
        <v>19268101.940000001</v>
      </c>
      <c r="E12" s="819">
        <f>CIG!G13</f>
        <v>18651994.899999999</v>
      </c>
      <c r="F12" s="829">
        <f>ER!E10+0.03</f>
        <v>26376546.772472803</v>
      </c>
      <c r="G12" s="841">
        <f>ER!F10</f>
        <v>27386024.915300645</v>
      </c>
      <c r="H12" s="835">
        <f>ER!G10</f>
        <v>27884527.443364985</v>
      </c>
      <c r="I12" s="117"/>
    </row>
    <row r="13" spans="1:60" ht="25.5" x14ac:dyDescent="0.25">
      <c r="B13" s="813" t="s">
        <v>2313</v>
      </c>
      <c r="C13" s="820">
        <f>CIG!D14</f>
        <v>539143.06999999995</v>
      </c>
      <c r="D13" s="826">
        <f>CIG!E14</f>
        <v>696677.96</v>
      </c>
      <c r="E13" s="820">
        <f>CIG!G14</f>
        <v>697718.45</v>
      </c>
      <c r="F13" s="830">
        <f>ER!E11+0.01</f>
        <v>907617.80658912053</v>
      </c>
      <c r="G13" s="842">
        <f>ER!F11</f>
        <v>944195.01064266206</v>
      </c>
      <c r="H13" s="836">
        <f>ER!G11</f>
        <v>944198.76564266207</v>
      </c>
      <c r="I13" s="118"/>
    </row>
    <row r="14" spans="1:60" x14ac:dyDescent="0.25">
      <c r="B14" s="813" t="s">
        <v>10</v>
      </c>
      <c r="C14" s="820">
        <f>CIG!D15</f>
        <v>26680.39</v>
      </c>
      <c r="D14" s="826">
        <f>CIG!E15</f>
        <v>22007.64</v>
      </c>
      <c r="E14" s="820">
        <f>CIG!G15</f>
        <v>30866.28875</v>
      </c>
      <c r="F14" s="830">
        <f>ER!E188</f>
        <v>33525.620708269133</v>
      </c>
      <c r="G14" s="842">
        <f>ER!F188</f>
        <v>34876.703222812379</v>
      </c>
      <c r="H14" s="836">
        <f>ER!G188</f>
        <v>34876.74077281238</v>
      </c>
      <c r="I14" s="118"/>
    </row>
    <row r="15" spans="1:60" x14ac:dyDescent="0.25">
      <c r="B15" s="813" t="s">
        <v>12</v>
      </c>
      <c r="C15" s="820">
        <f>CIG!D16</f>
        <v>168878.53</v>
      </c>
      <c r="D15" s="826">
        <f>CIG!E16</f>
        <v>89838.11</v>
      </c>
      <c r="E15" s="820">
        <f>CIG!G16</f>
        <v>97507.41</v>
      </c>
      <c r="F15" s="830">
        <f>ER!E191</f>
        <v>132960.05508344073</v>
      </c>
      <c r="G15" s="842">
        <f>ER!F191</f>
        <v>138319.31237930339</v>
      </c>
      <c r="H15" s="836">
        <f>ER!G191</f>
        <v>138320.70172930337</v>
      </c>
      <c r="I15" s="118"/>
    </row>
    <row r="16" spans="1:60" x14ac:dyDescent="0.25">
      <c r="B16" s="813" t="s">
        <v>14</v>
      </c>
      <c r="C16" s="820">
        <f>CIG!D17</f>
        <v>0</v>
      </c>
      <c r="D16" s="826">
        <f>CIG!E17</f>
        <v>0</v>
      </c>
      <c r="E16" s="820">
        <f>CIG!G17</f>
        <v>0</v>
      </c>
      <c r="F16" s="826">
        <v>0</v>
      </c>
      <c r="G16" s="843">
        <v>0</v>
      </c>
      <c r="H16" s="837">
        <v>0</v>
      </c>
      <c r="I16" s="118"/>
    </row>
    <row r="17" spans="2:9" x14ac:dyDescent="0.25">
      <c r="B17" s="813" t="s">
        <v>16</v>
      </c>
      <c r="C17" s="820">
        <f>CIG!D18</f>
        <v>0</v>
      </c>
      <c r="D17" s="826">
        <f>CIG!E18</f>
        <v>0</v>
      </c>
      <c r="E17" s="820">
        <f>CIG!G18</f>
        <v>0</v>
      </c>
      <c r="F17" s="826">
        <v>0</v>
      </c>
      <c r="G17" s="843">
        <v>0</v>
      </c>
      <c r="H17" s="837">
        <v>0</v>
      </c>
      <c r="I17" s="118"/>
    </row>
    <row r="18" spans="2:9" x14ac:dyDescent="0.25">
      <c r="B18" s="813" t="s">
        <v>19</v>
      </c>
      <c r="C18" s="820">
        <f>CIG!D19</f>
        <v>81924.570000000007</v>
      </c>
      <c r="D18" s="826">
        <f>CIG!E19</f>
        <v>81104.12</v>
      </c>
      <c r="E18" s="820">
        <f>CIG!G19</f>
        <v>122531.86</v>
      </c>
      <c r="F18" s="830">
        <f>ER!E240+0.02</f>
        <v>126636.79027073522</v>
      </c>
      <c r="G18" s="842">
        <f>ER!F240</f>
        <v>131740.1146899458</v>
      </c>
      <c r="H18" s="836">
        <f>ER!G240</f>
        <v>131743.11868994581</v>
      </c>
      <c r="I18" s="118"/>
    </row>
    <row r="19" spans="2:9" x14ac:dyDescent="0.25">
      <c r="B19" s="813" t="s">
        <v>21</v>
      </c>
      <c r="C19" s="820">
        <f>CIG!D20</f>
        <v>16016058.27</v>
      </c>
      <c r="D19" s="826">
        <f>CIG!E20</f>
        <v>18154336.420000002</v>
      </c>
      <c r="E19" s="820">
        <f>CIG!G20</f>
        <v>17329921.166249998</v>
      </c>
      <c r="F19" s="830">
        <f>ER!E334-0.01</f>
        <v>24710551.538154565</v>
      </c>
      <c r="G19" s="842">
        <f>ER!F334</f>
        <v>25663295.210256089</v>
      </c>
      <c r="H19" s="836">
        <f>ER!G334</f>
        <v>26144005.925962605</v>
      </c>
      <c r="I19" s="118"/>
    </row>
    <row r="20" spans="2:9" x14ac:dyDescent="0.25">
      <c r="B20" s="813" t="s">
        <v>23</v>
      </c>
      <c r="C20" s="820">
        <f>CIG!D21</f>
        <v>1001974.08</v>
      </c>
      <c r="D20" s="826">
        <f>CIG!E21</f>
        <v>224137.69</v>
      </c>
      <c r="E20" s="820">
        <f>CIG!G21</f>
        <v>373449.72499999998</v>
      </c>
      <c r="F20" s="830">
        <f>ER!E441</f>
        <v>465254.9516666666</v>
      </c>
      <c r="G20" s="842">
        <f>ER!F441</f>
        <v>473598.57410983328</v>
      </c>
      <c r="H20" s="836">
        <f>ER!G441</f>
        <v>491382.20056765765</v>
      </c>
      <c r="I20" s="118"/>
    </row>
    <row r="21" spans="2:9" s="12" customFormat="1" x14ac:dyDescent="0.25">
      <c r="B21" s="814" t="s">
        <v>25</v>
      </c>
      <c r="C21" s="821">
        <f>CIG!D22</f>
        <v>557028.96</v>
      </c>
      <c r="D21" s="827">
        <f>CIG!E22</f>
        <v>351628.28</v>
      </c>
      <c r="E21" s="821">
        <f>CIG!G22</f>
        <v>663889.40749999997</v>
      </c>
      <c r="F21" s="831">
        <f>ER!E504</f>
        <v>4879677.07</v>
      </c>
      <c r="G21" s="844">
        <f>ER!F504</f>
        <v>2236095.8776449994</v>
      </c>
      <c r="H21" s="838">
        <f>ER!G504</f>
        <v>2320061.2778505697</v>
      </c>
      <c r="I21" s="117"/>
    </row>
    <row r="22" spans="2:9" x14ac:dyDescent="0.25">
      <c r="B22" s="813" t="s">
        <v>27</v>
      </c>
      <c r="C22" s="820">
        <f>CIG!D23</f>
        <v>0</v>
      </c>
      <c r="D22" s="826">
        <f>CIG!E23</f>
        <v>0</v>
      </c>
      <c r="E22" s="820">
        <f>CIG!G23</f>
        <v>0</v>
      </c>
      <c r="F22" s="830">
        <f>ER!E505</f>
        <v>2</v>
      </c>
      <c r="G22" s="842">
        <f>ER!F505</f>
        <v>2.0806</v>
      </c>
      <c r="H22" s="836">
        <f>ER!G505</f>
        <v>2.15872653</v>
      </c>
      <c r="I22" s="118"/>
    </row>
    <row r="23" spans="2:9" x14ac:dyDescent="0.25">
      <c r="B23" s="813" t="s">
        <v>29</v>
      </c>
      <c r="C23" s="820">
        <f>CIG!D24</f>
        <v>0</v>
      </c>
      <c r="D23" s="826">
        <f>CIG!E24</f>
        <v>0</v>
      </c>
      <c r="E23" s="820">
        <f>CIG!G24</f>
        <v>0</v>
      </c>
      <c r="F23" s="830">
        <f>ER!E511</f>
        <v>6</v>
      </c>
      <c r="G23" s="842">
        <f>ER!F511</f>
        <v>6.2418000000000005</v>
      </c>
      <c r="H23" s="836">
        <f>ER!G511</f>
        <v>6.4761795899999992</v>
      </c>
      <c r="I23" s="118"/>
    </row>
    <row r="24" spans="2:9" x14ac:dyDescent="0.25">
      <c r="B24" s="813" t="s">
        <v>31</v>
      </c>
      <c r="C24" s="820">
        <f>CIG!D25</f>
        <v>0</v>
      </c>
      <c r="D24" s="826">
        <f>CIG!E25</f>
        <v>0</v>
      </c>
      <c r="E24" s="820">
        <f>CIG!G25</f>
        <v>0</v>
      </c>
      <c r="F24" s="826">
        <v>0</v>
      </c>
      <c r="G24" s="843">
        <v>0</v>
      </c>
      <c r="H24" s="837">
        <v>0</v>
      </c>
      <c r="I24" s="118"/>
    </row>
    <row r="25" spans="2:9" x14ac:dyDescent="0.25">
      <c r="B25" s="813" t="s">
        <v>33</v>
      </c>
      <c r="C25" s="820">
        <f>CIG!D26</f>
        <v>509747</v>
      </c>
      <c r="D25" s="826">
        <f>CIG!E26</f>
        <v>339891.09</v>
      </c>
      <c r="E25" s="820">
        <f>CIG!G26</f>
        <v>658858.75</v>
      </c>
      <c r="F25" s="830">
        <f>ER!E522</f>
        <v>4879637.07</v>
      </c>
      <c r="G25" s="842">
        <f>ER!F522</f>
        <v>2236055.3059449997</v>
      </c>
      <c r="H25" s="836">
        <f>ER!G522</f>
        <v>2320019.1826832346</v>
      </c>
      <c r="I25" s="118"/>
    </row>
    <row r="26" spans="2:9" x14ac:dyDescent="0.25">
      <c r="B26" s="813" t="s">
        <v>35</v>
      </c>
      <c r="C26" s="820">
        <f>CIG!D27</f>
        <v>47281.96</v>
      </c>
      <c r="D26" s="826">
        <f>CIG!E27</f>
        <v>11737.19</v>
      </c>
      <c r="E26" s="820">
        <f>CIG!G27</f>
        <v>5030.6574999999993</v>
      </c>
      <c r="F26" s="830">
        <f>ER!E554</f>
        <v>32</v>
      </c>
      <c r="G26" s="842">
        <f>ER!F554</f>
        <v>32.249299999999977</v>
      </c>
      <c r="H26" s="836">
        <f>ER!G554</f>
        <v>33.46026121500001</v>
      </c>
      <c r="I26" s="118"/>
    </row>
    <row r="27" spans="2:9" s="12" customFormat="1" x14ac:dyDescent="0.25">
      <c r="B27" s="814" t="s">
        <v>6</v>
      </c>
      <c r="C27" s="1655">
        <v>0</v>
      </c>
      <c r="D27" s="1656">
        <v>0</v>
      </c>
      <c r="E27" s="1655">
        <v>0</v>
      </c>
      <c r="F27" s="1656">
        <v>0</v>
      </c>
      <c r="G27" s="1657">
        <v>0</v>
      </c>
      <c r="H27" s="1658">
        <v>0</v>
      </c>
      <c r="I27" s="1654"/>
    </row>
    <row r="28" spans="2:9" s="12" customFormat="1" x14ac:dyDescent="0.25">
      <c r="B28" s="815" t="s">
        <v>2314</v>
      </c>
      <c r="C28" s="1655"/>
      <c r="D28" s="1656"/>
      <c r="E28" s="1655"/>
      <c r="F28" s="1656"/>
      <c r="G28" s="1657"/>
      <c r="H28" s="1658"/>
      <c r="I28" s="1654"/>
    </row>
    <row r="29" spans="2:9" x14ac:dyDescent="0.25">
      <c r="B29" s="813" t="s">
        <v>10</v>
      </c>
      <c r="C29" s="820">
        <v>0</v>
      </c>
      <c r="D29" s="826">
        <v>0</v>
      </c>
      <c r="E29" s="820">
        <v>0</v>
      </c>
      <c r="F29" s="826">
        <v>0</v>
      </c>
      <c r="G29" s="843">
        <v>0</v>
      </c>
      <c r="H29" s="837">
        <v>0</v>
      </c>
      <c r="I29" s="118"/>
    </row>
    <row r="30" spans="2:9" x14ac:dyDescent="0.25">
      <c r="B30" s="813" t="s">
        <v>12</v>
      </c>
      <c r="C30" s="820">
        <v>0</v>
      </c>
      <c r="D30" s="826">
        <v>0</v>
      </c>
      <c r="E30" s="820">
        <v>0</v>
      </c>
      <c r="F30" s="832"/>
      <c r="G30" s="843">
        <v>0</v>
      </c>
      <c r="H30" s="837">
        <v>0</v>
      </c>
      <c r="I30" s="118"/>
    </row>
    <row r="31" spans="2:9" x14ac:dyDescent="0.25">
      <c r="B31" s="813" t="s">
        <v>23</v>
      </c>
      <c r="C31" s="820">
        <v>0</v>
      </c>
      <c r="D31" s="826">
        <v>0</v>
      </c>
      <c r="E31" s="820">
        <v>0</v>
      </c>
      <c r="F31" s="826">
        <v>0</v>
      </c>
      <c r="G31" s="843">
        <v>0</v>
      </c>
      <c r="H31" s="837">
        <v>0</v>
      </c>
      <c r="I31" s="118"/>
    </row>
    <row r="32" spans="2:9" s="12" customFormat="1" x14ac:dyDescent="0.25">
      <c r="B32" s="814" t="s">
        <v>25</v>
      </c>
      <c r="C32" s="1655">
        <v>0</v>
      </c>
      <c r="D32" s="1656">
        <v>0</v>
      </c>
      <c r="E32" s="1655">
        <v>0</v>
      </c>
      <c r="F32" s="1656">
        <v>0</v>
      </c>
      <c r="G32" s="1657">
        <v>0</v>
      </c>
      <c r="H32" s="1658">
        <v>0</v>
      </c>
      <c r="I32" s="1654"/>
    </row>
    <row r="33" spans="2:9" s="12" customFormat="1" x14ac:dyDescent="0.25">
      <c r="B33" s="815" t="s">
        <v>2314</v>
      </c>
      <c r="C33" s="1655"/>
      <c r="D33" s="1656"/>
      <c r="E33" s="1655"/>
      <c r="F33" s="1656"/>
      <c r="G33" s="1657"/>
      <c r="H33" s="1658"/>
      <c r="I33" s="1654"/>
    </row>
    <row r="34" spans="2:9" x14ac:dyDescent="0.25">
      <c r="B34" s="813" t="s">
        <v>29</v>
      </c>
      <c r="C34" s="820">
        <v>0</v>
      </c>
      <c r="D34" s="826">
        <v>0</v>
      </c>
      <c r="E34" s="820">
        <v>0</v>
      </c>
      <c r="F34" s="826">
        <f>ER!E643</f>
        <v>2</v>
      </c>
      <c r="G34" s="820">
        <f>ER!F643</f>
        <v>2.0806</v>
      </c>
      <c r="H34" s="839">
        <f>ER!G643</f>
        <v>2.15872653</v>
      </c>
      <c r="I34" s="118"/>
    </row>
    <row r="35" spans="2:9" x14ac:dyDescent="0.25">
      <c r="B35" s="813" t="s">
        <v>31</v>
      </c>
      <c r="C35" s="820">
        <v>0</v>
      </c>
      <c r="D35" s="826">
        <v>0</v>
      </c>
      <c r="E35" s="820">
        <v>0</v>
      </c>
      <c r="F35" s="826">
        <v>0</v>
      </c>
      <c r="G35" s="843">
        <v>0</v>
      </c>
      <c r="H35" s="837">
        <v>0</v>
      </c>
      <c r="I35" s="118"/>
    </row>
    <row r="36" spans="2:9" x14ac:dyDescent="0.25">
      <c r="B36" s="813" t="s">
        <v>35</v>
      </c>
      <c r="C36" s="820">
        <v>0</v>
      </c>
      <c r="D36" s="826">
        <v>0</v>
      </c>
      <c r="E36" s="820">
        <v>0</v>
      </c>
      <c r="F36" s="826">
        <v>0</v>
      </c>
      <c r="G36" s="843">
        <v>0</v>
      </c>
      <c r="H36" s="837">
        <v>0</v>
      </c>
      <c r="I36" s="118"/>
    </row>
    <row r="37" spans="2:9" ht="15.75" thickBot="1" x14ac:dyDescent="0.3">
      <c r="B37" s="816" t="s">
        <v>37</v>
      </c>
      <c r="C37" s="822">
        <f>CIG!D29</f>
        <v>2222997.77</v>
      </c>
      <c r="D37" s="828">
        <f>CIG!E29</f>
        <v>2410662.4</v>
      </c>
      <c r="E37" s="822">
        <f>CIG!G29</f>
        <v>2335530.5737500004</v>
      </c>
      <c r="F37" s="833">
        <f>ER!E598</f>
        <v>3519225.844826214</v>
      </c>
      <c r="G37" s="845">
        <f>ER!F598</f>
        <v>3661050.6463727099</v>
      </c>
      <c r="H37" s="840">
        <f>ER!G598</f>
        <v>3661424.5356961321</v>
      </c>
      <c r="I37" s="117"/>
    </row>
    <row r="38" spans="2:9" ht="15.75" thickBot="1" x14ac:dyDescent="0.3">
      <c r="B38" s="115" t="s">
        <v>38</v>
      </c>
      <c r="C38" s="116">
        <f t="shared" ref="C38:E38" si="0">C12+C21-C37</f>
        <v>16168690.099999998</v>
      </c>
      <c r="D38" s="116">
        <f t="shared" si="0"/>
        <v>17209067.820000004</v>
      </c>
      <c r="E38" s="116">
        <f t="shared" si="0"/>
        <v>16980353.733749997</v>
      </c>
      <c r="F38" s="834">
        <f>F12+F21-F37+F34</f>
        <v>27736999.997646589</v>
      </c>
      <c r="G38" s="799">
        <f>G12+G21-G37+G34+0.01</f>
        <v>25961072.237172939</v>
      </c>
      <c r="H38" s="116">
        <f>H12+H21-H37+H34+0.01</f>
        <v>26543166.35424595</v>
      </c>
      <c r="I38" s="117"/>
    </row>
    <row r="39" spans="2:9" x14ac:dyDescent="0.25">
      <c r="F39" s="120"/>
      <c r="G39" s="120"/>
      <c r="H39" s="120"/>
      <c r="I39" s="121"/>
    </row>
  </sheetData>
  <mergeCells count="20">
    <mergeCell ref="B1:H1"/>
    <mergeCell ref="B3:H3"/>
    <mergeCell ref="B5:H5"/>
    <mergeCell ref="H27:H28"/>
    <mergeCell ref="I27:I28"/>
    <mergeCell ref="C27:C28"/>
    <mergeCell ref="D27:D28"/>
    <mergeCell ref="E27:E28"/>
    <mergeCell ref="F27:F28"/>
    <mergeCell ref="G27:G28"/>
    <mergeCell ref="A8:I8"/>
    <mergeCell ref="B10:B11"/>
    <mergeCell ref="B7:H7"/>
    <mergeCell ref="I32:I33"/>
    <mergeCell ref="C32:C33"/>
    <mergeCell ref="D32:D33"/>
    <mergeCell ref="E32:E33"/>
    <mergeCell ref="F32:F33"/>
    <mergeCell ref="G32:G33"/>
    <mergeCell ref="H32:H33"/>
  </mergeCells>
  <pageMargins left="0.51181102362204722" right="0.31496062992125984" top="0.78740157480314965" bottom="0.78740157480314965" header="0.31496062992125984" footer="0.31496062992125984"/>
  <pageSetup paperSize="9" scale="65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8"/>
  <sheetViews>
    <sheetView topLeftCell="A16" zoomScale="110" zoomScaleNormal="110" workbookViewId="0">
      <selection activeCell="H19" sqref="H19"/>
    </sheetView>
  </sheetViews>
  <sheetFormatPr defaultRowHeight="15" x14ac:dyDescent="0.25"/>
  <cols>
    <col min="1" max="1" width="3.7109375" customWidth="1"/>
    <col min="2" max="2" width="21" customWidth="1"/>
    <col min="3" max="3" width="16.5703125" customWidth="1"/>
    <col min="4" max="4" width="18.85546875" customWidth="1"/>
    <col min="5" max="5" width="18.5703125" customWidth="1"/>
    <col min="6" max="6" width="23.140625" customWidth="1"/>
    <col min="7" max="7" width="17.28515625" customWidth="1"/>
    <col min="8" max="8" width="16.42578125" customWidth="1"/>
    <col min="9" max="9" width="15.140625" customWidth="1"/>
  </cols>
  <sheetData>
    <row r="1" spans="1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1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1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1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1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1:60" ht="9.75" customHeight="1" x14ac:dyDescent="0.25">
      <c r="A6" s="48"/>
      <c r="B6" s="48"/>
      <c r="C6" s="48"/>
      <c r="D6" s="48"/>
      <c r="E6" s="48"/>
      <c r="F6" s="48"/>
      <c r="G6" s="65"/>
      <c r="H6" s="65"/>
      <c r="I6" s="65"/>
      <c r="J6" s="65"/>
    </row>
    <row r="7" spans="1:60" x14ac:dyDescent="0.25">
      <c r="B7" s="1640" t="s">
        <v>2290</v>
      </c>
      <c r="C7" s="1640"/>
      <c r="D7" s="1640"/>
      <c r="E7" s="1640"/>
      <c r="F7" s="1640"/>
      <c r="G7" s="65"/>
      <c r="H7" s="65"/>
      <c r="I7" s="65"/>
      <c r="J7" s="65"/>
    </row>
    <row r="8" spans="1:60" x14ac:dyDescent="0.25">
      <c r="B8" s="1659" t="s">
        <v>7006</v>
      </c>
      <c r="C8" s="1659"/>
      <c r="D8" s="1659"/>
      <c r="E8" s="1659"/>
      <c r="F8" s="1659"/>
    </row>
    <row r="10" spans="1:60" x14ac:dyDescent="0.25">
      <c r="B10" s="1640" t="s">
        <v>2291</v>
      </c>
      <c r="C10" s="1640"/>
      <c r="D10" s="1640"/>
      <c r="E10" s="1640"/>
      <c r="F10" s="1640"/>
    </row>
    <row r="11" spans="1:60" ht="15.75" thickBot="1" x14ac:dyDescent="0.3">
      <c r="A11" s="48"/>
      <c r="B11" s="48"/>
      <c r="C11" s="48"/>
      <c r="D11" s="48"/>
      <c r="E11" s="48"/>
      <c r="F11" s="48"/>
    </row>
    <row r="12" spans="1:60" x14ac:dyDescent="0.25">
      <c r="B12" s="1664" t="s">
        <v>2292</v>
      </c>
      <c r="C12" s="1665"/>
      <c r="D12" s="1665"/>
      <c r="E12" s="1665" t="s">
        <v>2301</v>
      </c>
      <c r="F12" s="1668" t="s">
        <v>2302</v>
      </c>
    </row>
    <row r="13" spans="1:60" ht="15.75" thickBot="1" x14ac:dyDescent="0.3">
      <c r="B13" s="1666"/>
      <c r="C13" s="1667"/>
      <c r="D13" s="1667"/>
      <c r="E13" s="1667"/>
      <c r="F13" s="1669"/>
    </row>
    <row r="14" spans="1:60" x14ac:dyDescent="0.25">
      <c r="B14" s="1670" t="s">
        <v>2296</v>
      </c>
      <c r="C14" s="1671"/>
      <c r="D14" s="1671"/>
      <c r="E14" s="102">
        <v>18649036.809999999</v>
      </c>
      <c r="F14" s="103">
        <f>ER!E647</f>
        <v>27736999.997646589</v>
      </c>
    </row>
    <row r="15" spans="1:60" x14ac:dyDescent="0.25">
      <c r="B15" s="1672" t="s">
        <v>2297</v>
      </c>
      <c r="C15" s="1673"/>
      <c r="D15" s="1673"/>
      <c r="E15" s="108">
        <v>18516930.149999999</v>
      </c>
      <c r="F15" s="109">
        <f>ER!E647-ER!E557-ER!E192</f>
        <v>27636201.229314838</v>
      </c>
    </row>
    <row r="16" spans="1:60" x14ac:dyDescent="0.25">
      <c r="B16" s="1662" t="s">
        <v>2298</v>
      </c>
      <c r="C16" s="1663"/>
      <c r="D16" s="1663"/>
      <c r="E16" s="104">
        <v>19697006.52</v>
      </c>
      <c r="F16" s="105">
        <v>27737000</v>
      </c>
    </row>
    <row r="17" spans="2:6" ht="15.75" thickBot="1" x14ac:dyDescent="0.3">
      <c r="B17" s="1674" t="s">
        <v>2299</v>
      </c>
      <c r="C17" s="1675"/>
      <c r="D17" s="1675"/>
      <c r="E17" s="110">
        <v>19697006.52</v>
      </c>
      <c r="F17" s="111">
        <f>27737000-0.01-0.01</f>
        <v>27736999.979999997</v>
      </c>
    </row>
    <row r="18" spans="2:6" ht="15.75" thickBot="1" x14ac:dyDescent="0.3">
      <c r="B18" s="1676" t="s">
        <v>2300</v>
      </c>
      <c r="C18" s="1677"/>
      <c r="D18" s="1677"/>
      <c r="E18" s="112">
        <f>E15-E17</f>
        <v>-1180076.370000001</v>
      </c>
      <c r="F18" s="112">
        <f>F15-F17</f>
        <v>-100798.75068515912</v>
      </c>
    </row>
    <row r="20" spans="2:6" x14ac:dyDescent="0.25">
      <c r="B20" s="1640" t="s">
        <v>2303</v>
      </c>
      <c r="C20" s="1640"/>
      <c r="D20" s="1640"/>
      <c r="E20" s="1640"/>
      <c r="F20" s="1640"/>
    </row>
    <row r="21" spans="2:6" ht="15.75" thickBot="1" x14ac:dyDescent="0.3"/>
    <row r="22" spans="2:6" x14ac:dyDescent="0.25">
      <c r="B22" s="1664" t="s">
        <v>2292</v>
      </c>
      <c r="C22" s="1665"/>
      <c r="D22" s="1665"/>
      <c r="E22" s="1665" t="s">
        <v>2293</v>
      </c>
      <c r="F22" s="100" t="s">
        <v>2294</v>
      </c>
    </row>
    <row r="23" spans="2:6" ht="15.75" thickBot="1" x14ac:dyDescent="0.3">
      <c r="B23" s="1666"/>
      <c r="C23" s="1667"/>
      <c r="D23" s="1667"/>
      <c r="E23" s="1667"/>
      <c r="F23" s="101" t="s">
        <v>2295</v>
      </c>
    </row>
    <row r="24" spans="2:6" x14ac:dyDescent="0.25">
      <c r="B24" s="1670" t="s">
        <v>2304</v>
      </c>
      <c r="C24" s="1671"/>
      <c r="D24" s="1671"/>
      <c r="E24" s="102">
        <v>0</v>
      </c>
      <c r="F24" s="103">
        <v>0</v>
      </c>
    </row>
    <row r="25" spans="2:6" x14ac:dyDescent="0.25">
      <c r="B25" s="1672" t="s">
        <v>2305</v>
      </c>
      <c r="C25" s="1673"/>
      <c r="D25" s="1673"/>
      <c r="E25" s="108">
        <v>0</v>
      </c>
      <c r="F25" s="109">
        <v>0</v>
      </c>
    </row>
    <row r="26" spans="2:6" x14ac:dyDescent="0.25">
      <c r="B26" s="1662" t="s">
        <v>2306</v>
      </c>
      <c r="C26" s="1663"/>
      <c r="D26" s="1663"/>
      <c r="E26" s="104">
        <v>0</v>
      </c>
      <c r="F26" s="105">
        <v>0</v>
      </c>
    </row>
    <row r="27" spans="2:6" ht="15.75" thickBot="1" x14ac:dyDescent="0.3">
      <c r="B27" s="1674" t="s">
        <v>2307</v>
      </c>
      <c r="C27" s="1675"/>
      <c r="D27" s="1675"/>
      <c r="E27" s="110">
        <v>0</v>
      </c>
      <c r="F27" s="111">
        <v>0</v>
      </c>
    </row>
    <row r="28" spans="2:6" ht="15.75" thickBot="1" x14ac:dyDescent="0.3">
      <c r="B28" s="1676" t="s">
        <v>2308</v>
      </c>
      <c r="C28" s="1677"/>
      <c r="D28" s="1677"/>
      <c r="E28" s="112">
        <f>E25-E27</f>
        <v>0</v>
      </c>
      <c r="F28" s="112">
        <f>F25-F27</f>
        <v>0</v>
      </c>
    </row>
    <row r="30" spans="2:6" x14ac:dyDescent="0.25">
      <c r="B30" s="1640" t="s">
        <v>2309</v>
      </c>
      <c r="C30" s="1640"/>
      <c r="D30" s="1640"/>
      <c r="E30" s="1640"/>
      <c r="F30" s="1640"/>
    </row>
    <row r="31" spans="2:6" ht="15.75" thickBot="1" x14ac:dyDescent="0.3"/>
    <row r="32" spans="2:6" x14ac:dyDescent="0.25">
      <c r="B32" s="1664" t="s">
        <v>2292</v>
      </c>
      <c r="C32" s="1665"/>
      <c r="D32" s="1665"/>
      <c r="E32" s="1665" t="s">
        <v>2301</v>
      </c>
      <c r="F32" s="1668" t="s">
        <v>2302</v>
      </c>
    </row>
    <row r="33" spans="2:6" ht="15.75" thickBot="1" x14ac:dyDescent="0.3">
      <c r="B33" s="1666"/>
      <c r="C33" s="1667"/>
      <c r="D33" s="1667"/>
      <c r="E33" s="1667"/>
      <c r="F33" s="1669"/>
    </row>
    <row r="34" spans="2:6" x14ac:dyDescent="0.25">
      <c r="B34" s="1670" t="s">
        <v>2296</v>
      </c>
      <c r="C34" s="1671"/>
      <c r="D34" s="1671"/>
      <c r="E34" s="102">
        <f t="shared" ref="E34:F37" si="0">E14+E24</f>
        <v>18649036.809999999</v>
      </c>
      <c r="F34" s="103">
        <f t="shared" si="0"/>
        <v>27736999.997646589</v>
      </c>
    </row>
    <row r="35" spans="2:6" x14ac:dyDescent="0.25">
      <c r="B35" s="1672" t="s">
        <v>2297</v>
      </c>
      <c r="C35" s="1673"/>
      <c r="D35" s="1673"/>
      <c r="E35" s="104">
        <f t="shared" si="0"/>
        <v>18516930.149999999</v>
      </c>
      <c r="F35" s="105">
        <f t="shared" si="0"/>
        <v>27636201.229314838</v>
      </c>
    </row>
    <row r="36" spans="2:6" x14ac:dyDescent="0.25">
      <c r="B36" s="1662" t="s">
        <v>2298</v>
      </c>
      <c r="C36" s="1663"/>
      <c r="D36" s="1663"/>
      <c r="E36" s="104">
        <f t="shared" si="0"/>
        <v>19697006.52</v>
      </c>
      <c r="F36" s="105" t="e">
        <f>#REF!</f>
        <v>#REF!</v>
      </c>
    </row>
    <row r="37" spans="2:6" ht="15.75" thickBot="1" x14ac:dyDescent="0.3">
      <c r="B37" s="1674" t="s">
        <v>2299</v>
      </c>
      <c r="C37" s="1675"/>
      <c r="D37" s="1675"/>
      <c r="E37" s="106">
        <f t="shared" si="0"/>
        <v>19697006.52</v>
      </c>
      <c r="F37" s="107">
        <f t="shared" si="0"/>
        <v>27736999.979999997</v>
      </c>
    </row>
    <row r="38" spans="2:6" ht="15.75" thickBot="1" x14ac:dyDescent="0.3">
      <c r="B38" s="1676" t="s">
        <v>2300</v>
      </c>
      <c r="C38" s="1677"/>
      <c r="D38" s="1677"/>
      <c r="E38" s="112">
        <f>E35-E37</f>
        <v>-1180076.370000001</v>
      </c>
      <c r="F38" s="112">
        <f>F35-F37</f>
        <v>-100798.75068515912</v>
      </c>
    </row>
  </sheetData>
  <mergeCells count="31">
    <mergeCell ref="B1:F1"/>
    <mergeCell ref="B3:F3"/>
    <mergeCell ref="B5:F5"/>
    <mergeCell ref="B7:F7"/>
    <mergeCell ref="B8:F8"/>
    <mergeCell ref="B34:D34"/>
    <mergeCell ref="B35:D35"/>
    <mergeCell ref="B36:D36"/>
    <mergeCell ref="B37:D37"/>
    <mergeCell ref="B38:D38"/>
    <mergeCell ref="B32:D33"/>
    <mergeCell ref="E32:E33"/>
    <mergeCell ref="F32:F33"/>
    <mergeCell ref="B17:D17"/>
    <mergeCell ref="B18:D18"/>
    <mergeCell ref="B22:D23"/>
    <mergeCell ref="E22:E23"/>
    <mergeCell ref="B24:D24"/>
    <mergeCell ref="B25:D25"/>
    <mergeCell ref="B26:D26"/>
    <mergeCell ref="B27:D27"/>
    <mergeCell ref="B28:D28"/>
    <mergeCell ref="B10:F10"/>
    <mergeCell ref="B20:F20"/>
    <mergeCell ref="B30:F30"/>
    <mergeCell ref="B16:D16"/>
    <mergeCell ref="B12:D13"/>
    <mergeCell ref="E12:E13"/>
    <mergeCell ref="F12:F13"/>
    <mergeCell ref="B14:D14"/>
    <mergeCell ref="B15:D15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53"/>
  <sheetViews>
    <sheetView topLeftCell="A25" zoomScale="90" zoomScaleNormal="90" workbookViewId="0">
      <selection activeCell="H48" sqref="H48"/>
    </sheetView>
  </sheetViews>
  <sheetFormatPr defaultRowHeight="20.100000000000001" customHeight="1" x14ac:dyDescent="0.25"/>
  <cols>
    <col min="1" max="1" width="3.42578125" customWidth="1"/>
    <col min="2" max="2" width="53.42578125" customWidth="1"/>
    <col min="3" max="3" width="24.7109375" bestFit="1" customWidth="1"/>
    <col min="4" max="4" width="24.140625" bestFit="1" customWidth="1"/>
    <col min="5" max="5" width="24.7109375" bestFit="1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25">
      <c r="B6" s="1"/>
      <c r="C6" s="1"/>
      <c r="D6" s="1"/>
    </row>
    <row r="7" spans="2:60" ht="40.5" customHeight="1" x14ac:dyDescent="0.35">
      <c r="B7" s="1679" t="s">
        <v>2447</v>
      </c>
      <c r="C7" s="1679"/>
      <c r="D7" s="1679"/>
      <c r="E7" s="1679"/>
      <c r="F7" s="24"/>
      <c r="G7" s="188"/>
      <c r="H7" s="188"/>
      <c r="I7" s="188"/>
      <c r="J7" s="188"/>
      <c r="K7" s="165"/>
      <c r="L7" s="165"/>
      <c r="M7" s="165"/>
    </row>
    <row r="8" spans="2:60" ht="20.100000000000001" customHeight="1" x14ac:dyDescent="0.25">
      <c r="B8" s="1640" t="s">
        <v>2448</v>
      </c>
      <c r="C8" s="1640"/>
      <c r="D8" s="1640"/>
      <c r="E8" s="1640"/>
      <c r="F8" s="65"/>
      <c r="G8" s="65"/>
      <c r="H8" s="65"/>
      <c r="I8" s="65"/>
      <c r="J8" s="65"/>
    </row>
    <row r="9" spans="2:60" ht="20.100000000000001" customHeight="1" x14ac:dyDescent="0.25">
      <c r="B9" s="49"/>
      <c r="C9" s="49"/>
      <c r="D9" s="49"/>
      <c r="E9" s="49"/>
      <c r="F9" s="65"/>
      <c r="G9" s="65"/>
      <c r="H9" s="65"/>
      <c r="I9" s="65"/>
      <c r="J9" s="65"/>
    </row>
    <row r="10" spans="2:60" ht="20.100000000000001" customHeight="1" thickBot="1" x14ac:dyDescent="0.3">
      <c r="B10" s="1678" t="s">
        <v>2453</v>
      </c>
      <c r="C10" s="1678"/>
      <c r="D10" s="1678"/>
      <c r="E10" s="1678"/>
    </row>
    <row r="11" spans="2:60" ht="20.100000000000001" customHeight="1" thickBot="1" x14ac:dyDescent="0.3">
      <c r="B11" s="170" t="s">
        <v>1</v>
      </c>
      <c r="C11" s="171" t="s">
        <v>2449</v>
      </c>
      <c r="D11" s="171" t="s">
        <v>2450</v>
      </c>
      <c r="E11" s="172" t="s">
        <v>2451</v>
      </c>
    </row>
    <row r="12" spans="2:60" ht="20.100000000000001" customHeight="1" x14ac:dyDescent="0.25">
      <c r="B12" s="175" t="s">
        <v>6</v>
      </c>
      <c r="C12" s="178">
        <f>SUM(C13:C20)</f>
        <v>21893376.690000001</v>
      </c>
      <c r="D12" s="178">
        <f>SUM(D13:D20)</f>
        <v>4483170.08</v>
      </c>
      <c r="E12" s="179">
        <f>C12+D12</f>
        <v>26376546.770000003</v>
      </c>
    </row>
    <row r="13" spans="2:60" ht="20.100000000000001" customHeight="1" x14ac:dyDescent="0.25">
      <c r="B13" s="168" t="s">
        <v>2452</v>
      </c>
      <c r="C13" s="729">
        <v>739679.24</v>
      </c>
      <c r="D13" s="729">
        <v>167938.57</v>
      </c>
      <c r="E13" s="181">
        <f t="shared" ref="E13:E33" si="0">C13+D13</f>
        <v>907617.81</v>
      </c>
    </row>
    <row r="14" spans="2:60" ht="20.100000000000001" customHeight="1" x14ac:dyDescent="0.25">
      <c r="B14" s="168" t="s">
        <v>10</v>
      </c>
      <c r="C14" s="729">
        <v>33525.620000000003</v>
      </c>
      <c r="D14" s="729">
        <v>0</v>
      </c>
      <c r="E14" s="181">
        <f t="shared" si="0"/>
        <v>33525.620000000003</v>
      </c>
    </row>
    <row r="15" spans="2:60" ht="20.100000000000001" customHeight="1" x14ac:dyDescent="0.25">
      <c r="B15" s="168" t="s">
        <v>12</v>
      </c>
      <c r="C15" s="729">
        <v>117533.17</v>
      </c>
      <c r="D15" s="729">
        <v>15426.89</v>
      </c>
      <c r="E15" s="181">
        <f t="shared" si="0"/>
        <v>132960.06</v>
      </c>
    </row>
    <row r="16" spans="2:60" ht="20.100000000000001" customHeight="1" x14ac:dyDescent="0.25">
      <c r="B16" s="168" t="s">
        <v>14</v>
      </c>
      <c r="C16" s="729">
        <v>0</v>
      </c>
      <c r="D16" s="729">
        <v>0</v>
      </c>
      <c r="E16" s="181">
        <f t="shared" si="0"/>
        <v>0</v>
      </c>
    </row>
    <row r="17" spans="2:5" ht="20.100000000000001" customHeight="1" x14ac:dyDescent="0.25">
      <c r="B17" s="168" t="s">
        <v>16</v>
      </c>
      <c r="C17" s="729">
        <v>0</v>
      </c>
      <c r="D17" s="729">
        <v>0</v>
      </c>
      <c r="E17" s="181">
        <f t="shared" si="0"/>
        <v>0</v>
      </c>
    </row>
    <row r="18" spans="2:5" ht="20.100000000000001" customHeight="1" x14ac:dyDescent="0.25">
      <c r="B18" s="168" t="s">
        <v>19</v>
      </c>
      <c r="C18" s="729">
        <v>126636.79</v>
      </c>
      <c r="D18" s="729">
        <v>0</v>
      </c>
      <c r="E18" s="181">
        <f t="shared" si="0"/>
        <v>126636.79</v>
      </c>
    </row>
    <row r="19" spans="2:5" ht="20.100000000000001" customHeight="1" x14ac:dyDescent="0.25">
      <c r="B19" s="168" t="s">
        <v>21</v>
      </c>
      <c r="C19" s="729">
        <v>20410746.920000002</v>
      </c>
      <c r="D19" s="729">
        <v>4299804.62</v>
      </c>
      <c r="E19" s="181">
        <f t="shared" si="0"/>
        <v>24710551.540000003</v>
      </c>
    </row>
    <row r="20" spans="2:5" ht="20.100000000000001" customHeight="1" x14ac:dyDescent="0.25">
      <c r="B20" s="168" t="s">
        <v>23</v>
      </c>
      <c r="C20" s="729">
        <v>465254.95</v>
      </c>
      <c r="D20" s="729">
        <v>0</v>
      </c>
      <c r="E20" s="181">
        <f t="shared" si="0"/>
        <v>465254.95</v>
      </c>
    </row>
    <row r="21" spans="2:5" ht="20.100000000000001" customHeight="1" x14ac:dyDescent="0.25">
      <c r="B21" s="176" t="s">
        <v>25</v>
      </c>
      <c r="C21" s="182">
        <f>SUM(C22:C26)</f>
        <v>4879663.07</v>
      </c>
      <c r="D21" s="182">
        <f>SUM(D22:D26)</f>
        <v>14</v>
      </c>
      <c r="E21" s="183">
        <f t="shared" si="0"/>
        <v>4879677.07</v>
      </c>
    </row>
    <row r="22" spans="2:5" ht="20.100000000000001" customHeight="1" x14ac:dyDescent="0.25">
      <c r="B22" s="168" t="s">
        <v>27</v>
      </c>
      <c r="C22" s="729">
        <v>2</v>
      </c>
      <c r="D22" s="729">
        <v>0</v>
      </c>
      <c r="E22" s="181">
        <f t="shared" si="0"/>
        <v>2</v>
      </c>
    </row>
    <row r="23" spans="2:5" ht="20.100000000000001" customHeight="1" x14ac:dyDescent="0.25">
      <c r="B23" s="168" t="s">
        <v>29</v>
      </c>
      <c r="C23" s="729">
        <v>5</v>
      </c>
      <c r="D23" s="729">
        <v>1</v>
      </c>
      <c r="E23" s="181">
        <f t="shared" si="0"/>
        <v>6</v>
      </c>
    </row>
    <row r="24" spans="2:5" ht="20.100000000000001" customHeight="1" x14ac:dyDescent="0.25">
      <c r="B24" s="168" t="s">
        <v>31</v>
      </c>
      <c r="C24" s="729">
        <v>0</v>
      </c>
      <c r="D24" s="729">
        <v>0</v>
      </c>
      <c r="E24" s="181">
        <f t="shared" si="0"/>
        <v>0</v>
      </c>
    </row>
    <row r="25" spans="2:5" ht="20.100000000000001" customHeight="1" x14ac:dyDescent="0.25">
      <c r="B25" s="168" t="s">
        <v>33</v>
      </c>
      <c r="C25" s="729">
        <v>4879630.07</v>
      </c>
      <c r="D25" s="729">
        <v>7</v>
      </c>
      <c r="E25" s="181">
        <f t="shared" si="0"/>
        <v>4879637.07</v>
      </c>
    </row>
    <row r="26" spans="2:5" ht="20.100000000000001" customHeight="1" x14ac:dyDescent="0.25">
      <c r="B26" s="168" t="s">
        <v>35</v>
      </c>
      <c r="C26" s="729">
        <v>26</v>
      </c>
      <c r="D26" s="729">
        <v>6</v>
      </c>
      <c r="E26" s="181">
        <f t="shared" si="0"/>
        <v>32</v>
      </c>
    </row>
    <row r="27" spans="2:5" ht="20.100000000000001" customHeight="1" x14ac:dyDescent="0.25">
      <c r="B27" s="176" t="s">
        <v>2466</v>
      </c>
      <c r="C27" s="182">
        <f>SUM(C28:C30)</f>
        <v>0</v>
      </c>
      <c r="D27" s="182">
        <f>SUM(D28:D30)</f>
        <v>0</v>
      </c>
      <c r="E27" s="183">
        <f t="shared" si="0"/>
        <v>0</v>
      </c>
    </row>
    <row r="28" spans="2:5" ht="20.100000000000001" customHeight="1" x14ac:dyDescent="0.25">
      <c r="B28" s="168" t="s">
        <v>10</v>
      </c>
      <c r="C28" s="729">
        <v>0</v>
      </c>
      <c r="D28" s="729">
        <v>0</v>
      </c>
      <c r="E28" s="181">
        <f t="shared" si="0"/>
        <v>0</v>
      </c>
    </row>
    <row r="29" spans="2:5" ht="20.100000000000001" customHeight="1" x14ac:dyDescent="0.25">
      <c r="B29" s="168" t="s">
        <v>12</v>
      </c>
      <c r="C29" s="729">
        <v>0</v>
      </c>
      <c r="D29" s="729">
        <v>0</v>
      </c>
      <c r="E29" s="181">
        <f t="shared" si="0"/>
        <v>0</v>
      </c>
    </row>
    <row r="30" spans="2:5" ht="20.100000000000001" customHeight="1" x14ac:dyDescent="0.25">
      <c r="B30" s="168" t="s">
        <v>23</v>
      </c>
      <c r="C30" s="729">
        <v>0</v>
      </c>
      <c r="D30" s="729">
        <v>0</v>
      </c>
      <c r="E30" s="181">
        <f t="shared" si="0"/>
        <v>0</v>
      </c>
    </row>
    <row r="31" spans="2:5" ht="20.100000000000001" customHeight="1" x14ac:dyDescent="0.25">
      <c r="B31" s="176" t="s">
        <v>2467</v>
      </c>
      <c r="C31" s="182">
        <f>SUM(C32:C34)</f>
        <v>1</v>
      </c>
      <c r="D31" s="182">
        <f>SUM(D32:D34)</f>
        <v>1</v>
      </c>
      <c r="E31" s="183">
        <f t="shared" si="0"/>
        <v>2</v>
      </c>
    </row>
    <row r="32" spans="2:5" ht="20.100000000000001" customHeight="1" x14ac:dyDescent="0.25">
      <c r="B32" s="168" t="s">
        <v>29</v>
      </c>
      <c r="C32" s="729">
        <v>1</v>
      </c>
      <c r="D32" s="729">
        <v>1</v>
      </c>
      <c r="E32" s="181">
        <f t="shared" si="0"/>
        <v>2</v>
      </c>
    </row>
    <row r="33" spans="2:5" ht="20.100000000000001" customHeight="1" x14ac:dyDescent="0.25">
      <c r="B33" s="168" t="s">
        <v>31</v>
      </c>
      <c r="C33" s="729">
        <v>0</v>
      </c>
      <c r="D33" s="729">
        <v>0</v>
      </c>
      <c r="E33" s="181">
        <f t="shared" si="0"/>
        <v>0</v>
      </c>
    </row>
    <row r="34" spans="2:5" ht="20.100000000000001" customHeight="1" x14ac:dyDescent="0.25">
      <c r="B34" s="168" t="s">
        <v>35</v>
      </c>
      <c r="C34" s="729">
        <v>0</v>
      </c>
      <c r="D34" s="729">
        <v>0</v>
      </c>
      <c r="E34" s="181">
        <f>C34+D34</f>
        <v>0</v>
      </c>
    </row>
    <row r="35" spans="2:5" ht="20.100000000000001" customHeight="1" thickBot="1" x14ac:dyDescent="0.3">
      <c r="B35" s="177" t="s">
        <v>37</v>
      </c>
      <c r="C35" s="184">
        <f>3509660.23+7652.48</f>
        <v>3517312.71</v>
      </c>
      <c r="D35" s="184">
        <v>1913.13</v>
      </c>
      <c r="E35" s="185">
        <f>C35+D35</f>
        <v>3519225.84</v>
      </c>
    </row>
    <row r="36" spans="2:5" ht="20.100000000000001" customHeight="1" thickBot="1" x14ac:dyDescent="0.3">
      <c r="B36" s="173" t="s">
        <v>38</v>
      </c>
      <c r="C36" s="186">
        <f>C12+C21+C27+C31-C35</f>
        <v>23255728.050000001</v>
      </c>
      <c r="D36" s="186">
        <f>D12+D21+D27+D31-D35</f>
        <v>4481271.95</v>
      </c>
      <c r="E36" s="187">
        <f>C36+D36</f>
        <v>27737000</v>
      </c>
    </row>
    <row r="38" spans="2:5" ht="20.100000000000001" customHeight="1" thickBot="1" x14ac:dyDescent="0.3">
      <c r="B38" s="1678" t="s">
        <v>2454</v>
      </c>
      <c r="C38" s="1678"/>
      <c r="D38" s="1678"/>
      <c r="E38" s="1678"/>
    </row>
    <row r="39" spans="2:5" ht="20.100000000000001" customHeight="1" thickBot="1" x14ac:dyDescent="0.3">
      <c r="B39" s="170" t="s">
        <v>1</v>
      </c>
      <c r="C39" s="171" t="s">
        <v>2449</v>
      </c>
      <c r="D39" s="171" t="s">
        <v>2450</v>
      </c>
      <c r="E39" s="172" t="s">
        <v>2451</v>
      </c>
    </row>
    <row r="40" spans="2:5" ht="20.100000000000001" customHeight="1" x14ac:dyDescent="0.25">
      <c r="B40" s="175" t="s">
        <v>2455</v>
      </c>
      <c r="C40" s="178">
        <f>SUM(C41:C45)</f>
        <v>16486473.109999999</v>
      </c>
      <c r="D40" s="178">
        <f>SUM(D41:D45)</f>
        <v>4781251.42</v>
      </c>
      <c r="E40" s="179">
        <f>C40+D40</f>
        <v>21267724.530000001</v>
      </c>
    </row>
    <row r="41" spans="2:5" ht="20.100000000000001" customHeight="1" x14ac:dyDescent="0.25">
      <c r="B41" s="707" t="s">
        <v>2456</v>
      </c>
      <c r="C41" s="708">
        <v>10476687.43</v>
      </c>
      <c r="D41" s="708">
        <v>3437435.13</v>
      </c>
      <c r="E41" s="181">
        <f>C41+D41</f>
        <v>13914122.559999999</v>
      </c>
    </row>
    <row r="42" spans="2:5" ht="20.100000000000001" customHeight="1" x14ac:dyDescent="0.25">
      <c r="B42" s="707" t="s">
        <v>2464</v>
      </c>
      <c r="C42" s="708">
        <v>0</v>
      </c>
      <c r="D42" s="708">
        <v>0</v>
      </c>
      <c r="E42" s="181">
        <f t="shared" ref="E42:E43" si="1">C42+D42</f>
        <v>0</v>
      </c>
    </row>
    <row r="43" spans="2:5" ht="20.100000000000001" customHeight="1" x14ac:dyDescent="0.25">
      <c r="B43" s="707" t="s">
        <v>80</v>
      </c>
      <c r="C43" s="708">
        <v>0.01</v>
      </c>
      <c r="D43" s="708">
        <v>0</v>
      </c>
      <c r="E43" s="181">
        <f t="shared" si="1"/>
        <v>0.01</v>
      </c>
    </row>
    <row r="44" spans="2:5" ht="20.100000000000001" customHeight="1" x14ac:dyDescent="0.25">
      <c r="B44" s="707" t="s">
        <v>2457</v>
      </c>
      <c r="C44" s="708">
        <v>6009785.6699999999</v>
      </c>
      <c r="D44" s="708">
        <v>1343816.29</v>
      </c>
      <c r="E44" s="181">
        <f>C44+D44</f>
        <v>7353601.96</v>
      </c>
    </row>
    <row r="45" spans="2:5" ht="20.100000000000001" customHeight="1" x14ac:dyDescent="0.25">
      <c r="B45" s="707" t="s">
        <v>2463</v>
      </c>
      <c r="C45" s="708">
        <v>0</v>
      </c>
      <c r="D45" s="708">
        <v>0</v>
      </c>
      <c r="E45" s="181">
        <f>C45+D45</f>
        <v>0</v>
      </c>
    </row>
    <row r="46" spans="2:5" ht="20.100000000000001" customHeight="1" x14ac:dyDescent="0.25">
      <c r="B46" s="709" t="s">
        <v>2458</v>
      </c>
      <c r="C46" s="182">
        <f>SUM(C47:C50)</f>
        <v>4932199.5699999994</v>
      </c>
      <c r="D46" s="182">
        <f>SUM(D47:D50)</f>
        <v>20.53</v>
      </c>
      <c r="E46" s="183">
        <f>C46+D46</f>
        <v>4932220.0999999996</v>
      </c>
    </row>
    <row r="47" spans="2:5" ht="20.100000000000001" customHeight="1" x14ac:dyDescent="0.25">
      <c r="B47" s="707" t="s">
        <v>2459</v>
      </c>
      <c r="C47" s="708">
        <v>4932199.5599999996</v>
      </c>
      <c r="D47" s="708">
        <v>20.53</v>
      </c>
      <c r="E47" s="181">
        <f>C47+D47</f>
        <v>4932220.09</v>
      </c>
    </row>
    <row r="48" spans="2:5" ht="20.100000000000001" customHeight="1" x14ac:dyDescent="0.25">
      <c r="B48" s="707" t="s">
        <v>2460</v>
      </c>
      <c r="C48" s="708">
        <v>0</v>
      </c>
      <c r="D48" s="708">
        <v>0</v>
      </c>
      <c r="E48" s="181">
        <v>13260730.82</v>
      </c>
    </row>
    <row r="49" spans="2:5" ht="20.100000000000001" customHeight="1" x14ac:dyDescent="0.25">
      <c r="B49" s="707" t="s">
        <v>2465</v>
      </c>
      <c r="C49" s="708">
        <v>0</v>
      </c>
      <c r="D49" s="708">
        <v>0</v>
      </c>
      <c r="E49" s="181">
        <f>C49+D49</f>
        <v>0</v>
      </c>
    </row>
    <row r="50" spans="2:5" ht="20.100000000000001" customHeight="1" x14ac:dyDescent="0.25">
      <c r="B50" s="707" t="s">
        <v>2461</v>
      </c>
      <c r="C50" s="708">
        <v>0.01</v>
      </c>
      <c r="D50" s="708">
        <v>0</v>
      </c>
      <c r="E50" s="181">
        <f>C50+D50</f>
        <v>0.01</v>
      </c>
    </row>
    <row r="51" spans="2:5" s="12" customFormat="1" ht="20.100000000000001" customHeight="1" x14ac:dyDescent="0.25">
      <c r="B51" s="709" t="s">
        <v>2462</v>
      </c>
      <c r="C51" s="182">
        <v>0</v>
      </c>
      <c r="D51" s="710">
        <v>0</v>
      </c>
      <c r="E51" s="711">
        <f>C51+D51</f>
        <v>0</v>
      </c>
    </row>
    <row r="52" spans="2:5" s="12" customFormat="1" ht="20.100000000000001" customHeight="1" thickBot="1" x14ac:dyDescent="0.3">
      <c r="B52" s="177" t="s">
        <v>70</v>
      </c>
      <c r="C52" s="184">
        <v>1537055.37</v>
      </c>
      <c r="D52" s="712">
        <v>0</v>
      </c>
      <c r="E52" s="711">
        <f>C52+D52</f>
        <v>1537055.37</v>
      </c>
    </row>
    <row r="53" spans="2:5" ht="20.100000000000001" customHeight="1" thickBot="1" x14ac:dyDescent="0.3">
      <c r="B53" s="174" t="s">
        <v>38</v>
      </c>
      <c r="C53" s="186">
        <f>C40+C46+C51+C52</f>
        <v>22955728.050000001</v>
      </c>
      <c r="D53" s="186">
        <f>D40+D46+D51+D52</f>
        <v>4781271.95</v>
      </c>
      <c r="E53" s="187">
        <f>E40+E46+E51+E52</f>
        <v>27737000.000000004</v>
      </c>
    </row>
  </sheetData>
  <mergeCells count="7">
    <mergeCell ref="B1:E1"/>
    <mergeCell ref="B3:E3"/>
    <mergeCell ref="B5:E5"/>
    <mergeCell ref="B38:E38"/>
    <mergeCell ref="B10:E10"/>
    <mergeCell ref="B7:E7"/>
    <mergeCell ref="B8:E8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8"/>
  <sheetViews>
    <sheetView workbookViewId="0">
      <selection activeCell="B24" sqref="B24"/>
    </sheetView>
  </sheetViews>
  <sheetFormatPr defaultRowHeight="15" x14ac:dyDescent="0.25"/>
  <cols>
    <col min="1" max="1" width="4.85546875" customWidth="1"/>
    <col min="2" max="2" width="86.7109375" customWidth="1"/>
    <col min="3" max="3" width="18.85546875" customWidth="1"/>
    <col min="4" max="4" width="14.5703125" customWidth="1"/>
    <col min="5" max="5" width="17.85546875" customWidth="1"/>
    <col min="257" max="257" width="4.85546875" customWidth="1"/>
    <col min="258" max="258" width="86.7109375" customWidth="1"/>
    <col min="259" max="259" width="18.85546875" customWidth="1"/>
    <col min="260" max="260" width="14.5703125" customWidth="1"/>
    <col min="261" max="261" width="17.85546875" customWidth="1"/>
    <col min="513" max="513" width="4.85546875" customWidth="1"/>
    <col min="514" max="514" width="86.7109375" customWidth="1"/>
    <col min="515" max="515" width="18.85546875" customWidth="1"/>
    <col min="516" max="516" width="14.5703125" customWidth="1"/>
    <col min="517" max="517" width="17.85546875" customWidth="1"/>
    <col min="769" max="769" width="4.85546875" customWidth="1"/>
    <col min="770" max="770" width="86.7109375" customWidth="1"/>
    <col min="771" max="771" width="18.85546875" customWidth="1"/>
    <col min="772" max="772" width="14.5703125" customWidth="1"/>
    <col min="773" max="773" width="17.85546875" customWidth="1"/>
    <col min="1025" max="1025" width="4.85546875" customWidth="1"/>
    <col min="1026" max="1026" width="86.7109375" customWidth="1"/>
    <col min="1027" max="1027" width="18.85546875" customWidth="1"/>
    <col min="1028" max="1028" width="14.5703125" customWidth="1"/>
    <col min="1029" max="1029" width="17.85546875" customWidth="1"/>
    <col min="1281" max="1281" width="4.85546875" customWidth="1"/>
    <col min="1282" max="1282" width="86.7109375" customWidth="1"/>
    <col min="1283" max="1283" width="18.85546875" customWidth="1"/>
    <col min="1284" max="1284" width="14.5703125" customWidth="1"/>
    <col min="1285" max="1285" width="17.85546875" customWidth="1"/>
    <col min="1537" max="1537" width="4.85546875" customWidth="1"/>
    <col min="1538" max="1538" width="86.7109375" customWidth="1"/>
    <col min="1539" max="1539" width="18.85546875" customWidth="1"/>
    <col min="1540" max="1540" width="14.5703125" customWidth="1"/>
    <col min="1541" max="1541" width="17.85546875" customWidth="1"/>
    <col min="1793" max="1793" width="4.85546875" customWidth="1"/>
    <col min="1794" max="1794" width="86.7109375" customWidth="1"/>
    <col min="1795" max="1795" width="18.85546875" customWidth="1"/>
    <col min="1796" max="1796" width="14.5703125" customWidth="1"/>
    <col min="1797" max="1797" width="17.85546875" customWidth="1"/>
    <col min="2049" max="2049" width="4.85546875" customWidth="1"/>
    <col min="2050" max="2050" width="86.7109375" customWidth="1"/>
    <col min="2051" max="2051" width="18.85546875" customWidth="1"/>
    <col min="2052" max="2052" width="14.5703125" customWidth="1"/>
    <col min="2053" max="2053" width="17.85546875" customWidth="1"/>
    <col min="2305" max="2305" width="4.85546875" customWidth="1"/>
    <col min="2306" max="2306" width="86.7109375" customWidth="1"/>
    <col min="2307" max="2307" width="18.85546875" customWidth="1"/>
    <col min="2308" max="2308" width="14.5703125" customWidth="1"/>
    <col min="2309" max="2309" width="17.85546875" customWidth="1"/>
    <col min="2561" max="2561" width="4.85546875" customWidth="1"/>
    <col min="2562" max="2562" width="86.7109375" customWidth="1"/>
    <col min="2563" max="2563" width="18.85546875" customWidth="1"/>
    <col min="2564" max="2564" width="14.5703125" customWidth="1"/>
    <col min="2565" max="2565" width="17.85546875" customWidth="1"/>
    <col min="2817" max="2817" width="4.85546875" customWidth="1"/>
    <col min="2818" max="2818" width="86.7109375" customWidth="1"/>
    <col min="2819" max="2819" width="18.85546875" customWidth="1"/>
    <col min="2820" max="2820" width="14.5703125" customWidth="1"/>
    <col min="2821" max="2821" width="17.85546875" customWidth="1"/>
    <col min="3073" max="3073" width="4.85546875" customWidth="1"/>
    <col min="3074" max="3074" width="86.7109375" customWidth="1"/>
    <col min="3075" max="3075" width="18.85546875" customWidth="1"/>
    <col min="3076" max="3076" width="14.5703125" customWidth="1"/>
    <col min="3077" max="3077" width="17.85546875" customWidth="1"/>
    <col min="3329" max="3329" width="4.85546875" customWidth="1"/>
    <col min="3330" max="3330" width="86.7109375" customWidth="1"/>
    <col min="3331" max="3331" width="18.85546875" customWidth="1"/>
    <col min="3332" max="3332" width="14.5703125" customWidth="1"/>
    <col min="3333" max="3333" width="17.85546875" customWidth="1"/>
    <col min="3585" max="3585" width="4.85546875" customWidth="1"/>
    <col min="3586" max="3586" width="86.7109375" customWidth="1"/>
    <col min="3587" max="3587" width="18.85546875" customWidth="1"/>
    <col min="3588" max="3588" width="14.5703125" customWidth="1"/>
    <col min="3589" max="3589" width="17.85546875" customWidth="1"/>
    <col min="3841" max="3841" width="4.85546875" customWidth="1"/>
    <col min="3842" max="3842" width="86.7109375" customWidth="1"/>
    <col min="3843" max="3843" width="18.85546875" customWidth="1"/>
    <col min="3844" max="3844" width="14.5703125" customWidth="1"/>
    <col min="3845" max="3845" width="17.85546875" customWidth="1"/>
    <col min="4097" max="4097" width="4.85546875" customWidth="1"/>
    <col min="4098" max="4098" width="86.7109375" customWidth="1"/>
    <col min="4099" max="4099" width="18.85546875" customWidth="1"/>
    <col min="4100" max="4100" width="14.5703125" customWidth="1"/>
    <col min="4101" max="4101" width="17.85546875" customWidth="1"/>
    <col min="4353" max="4353" width="4.85546875" customWidth="1"/>
    <col min="4354" max="4354" width="86.7109375" customWidth="1"/>
    <col min="4355" max="4355" width="18.85546875" customWidth="1"/>
    <col min="4356" max="4356" width="14.5703125" customWidth="1"/>
    <col min="4357" max="4357" width="17.85546875" customWidth="1"/>
    <col min="4609" max="4609" width="4.85546875" customWidth="1"/>
    <col min="4610" max="4610" width="86.7109375" customWidth="1"/>
    <col min="4611" max="4611" width="18.85546875" customWidth="1"/>
    <col min="4612" max="4612" width="14.5703125" customWidth="1"/>
    <col min="4613" max="4613" width="17.85546875" customWidth="1"/>
    <col min="4865" max="4865" width="4.85546875" customWidth="1"/>
    <col min="4866" max="4866" width="86.7109375" customWidth="1"/>
    <col min="4867" max="4867" width="18.85546875" customWidth="1"/>
    <col min="4868" max="4868" width="14.5703125" customWidth="1"/>
    <col min="4869" max="4869" width="17.85546875" customWidth="1"/>
    <col min="5121" max="5121" width="4.85546875" customWidth="1"/>
    <col min="5122" max="5122" width="86.7109375" customWidth="1"/>
    <col min="5123" max="5123" width="18.85546875" customWidth="1"/>
    <col min="5124" max="5124" width="14.5703125" customWidth="1"/>
    <col min="5125" max="5125" width="17.85546875" customWidth="1"/>
    <col min="5377" max="5377" width="4.85546875" customWidth="1"/>
    <col min="5378" max="5378" width="86.7109375" customWidth="1"/>
    <col min="5379" max="5379" width="18.85546875" customWidth="1"/>
    <col min="5380" max="5380" width="14.5703125" customWidth="1"/>
    <col min="5381" max="5381" width="17.85546875" customWidth="1"/>
    <col min="5633" max="5633" width="4.85546875" customWidth="1"/>
    <col min="5634" max="5634" width="86.7109375" customWidth="1"/>
    <col min="5635" max="5635" width="18.85546875" customWidth="1"/>
    <col min="5636" max="5636" width="14.5703125" customWidth="1"/>
    <col min="5637" max="5637" width="17.85546875" customWidth="1"/>
    <col min="5889" max="5889" width="4.85546875" customWidth="1"/>
    <col min="5890" max="5890" width="86.7109375" customWidth="1"/>
    <col min="5891" max="5891" width="18.85546875" customWidth="1"/>
    <col min="5892" max="5892" width="14.5703125" customWidth="1"/>
    <col min="5893" max="5893" width="17.85546875" customWidth="1"/>
    <col min="6145" max="6145" width="4.85546875" customWidth="1"/>
    <col min="6146" max="6146" width="86.7109375" customWidth="1"/>
    <col min="6147" max="6147" width="18.85546875" customWidth="1"/>
    <col min="6148" max="6148" width="14.5703125" customWidth="1"/>
    <col min="6149" max="6149" width="17.85546875" customWidth="1"/>
    <col min="6401" max="6401" width="4.85546875" customWidth="1"/>
    <col min="6402" max="6402" width="86.7109375" customWidth="1"/>
    <col min="6403" max="6403" width="18.85546875" customWidth="1"/>
    <col min="6404" max="6404" width="14.5703125" customWidth="1"/>
    <col min="6405" max="6405" width="17.85546875" customWidth="1"/>
    <col min="6657" max="6657" width="4.85546875" customWidth="1"/>
    <col min="6658" max="6658" width="86.7109375" customWidth="1"/>
    <col min="6659" max="6659" width="18.85546875" customWidth="1"/>
    <col min="6660" max="6660" width="14.5703125" customWidth="1"/>
    <col min="6661" max="6661" width="17.85546875" customWidth="1"/>
    <col min="6913" max="6913" width="4.85546875" customWidth="1"/>
    <col min="6914" max="6914" width="86.7109375" customWidth="1"/>
    <col min="6915" max="6915" width="18.85546875" customWidth="1"/>
    <col min="6916" max="6916" width="14.5703125" customWidth="1"/>
    <col min="6917" max="6917" width="17.85546875" customWidth="1"/>
    <col min="7169" max="7169" width="4.85546875" customWidth="1"/>
    <col min="7170" max="7170" width="86.7109375" customWidth="1"/>
    <col min="7171" max="7171" width="18.85546875" customWidth="1"/>
    <col min="7172" max="7172" width="14.5703125" customWidth="1"/>
    <col min="7173" max="7173" width="17.85546875" customWidth="1"/>
    <col min="7425" max="7425" width="4.85546875" customWidth="1"/>
    <col min="7426" max="7426" width="86.7109375" customWidth="1"/>
    <col min="7427" max="7427" width="18.85546875" customWidth="1"/>
    <col min="7428" max="7428" width="14.5703125" customWidth="1"/>
    <col min="7429" max="7429" width="17.85546875" customWidth="1"/>
    <col min="7681" max="7681" width="4.85546875" customWidth="1"/>
    <col min="7682" max="7682" width="86.7109375" customWidth="1"/>
    <col min="7683" max="7683" width="18.85546875" customWidth="1"/>
    <col min="7684" max="7684" width="14.5703125" customWidth="1"/>
    <col min="7685" max="7685" width="17.85546875" customWidth="1"/>
    <col min="7937" max="7937" width="4.85546875" customWidth="1"/>
    <col min="7938" max="7938" width="86.7109375" customWidth="1"/>
    <col min="7939" max="7939" width="18.85546875" customWidth="1"/>
    <col min="7940" max="7940" width="14.5703125" customWidth="1"/>
    <col min="7941" max="7941" width="17.85546875" customWidth="1"/>
    <col min="8193" max="8193" width="4.85546875" customWidth="1"/>
    <col min="8194" max="8194" width="86.7109375" customWidth="1"/>
    <col min="8195" max="8195" width="18.85546875" customWidth="1"/>
    <col min="8196" max="8196" width="14.5703125" customWidth="1"/>
    <col min="8197" max="8197" width="17.85546875" customWidth="1"/>
    <col min="8449" max="8449" width="4.85546875" customWidth="1"/>
    <col min="8450" max="8450" width="86.7109375" customWidth="1"/>
    <col min="8451" max="8451" width="18.85546875" customWidth="1"/>
    <col min="8452" max="8452" width="14.5703125" customWidth="1"/>
    <col min="8453" max="8453" width="17.85546875" customWidth="1"/>
    <col min="8705" max="8705" width="4.85546875" customWidth="1"/>
    <col min="8706" max="8706" width="86.7109375" customWidth="1"/>
    <col min="8707" max="8707" width="18.85546875" customWidth="1"/>
    <col min="8708" max="8708" width="14.5703125" customWidth="1"/>
    <col min="8709" max="8709" width="17.85546875" customWidth="1"/>
    <col min="8961" max="8961" width="4.85546875" customWidth="1"/>
    <col min="8962" max="8962" width="86.7109375" customWidth="1"/>
    <col min="8963" max="8963" width="18.85546875" customWidth="1"/>
    <col min="8964" max="8964" width="14.5703125" customWidth="1"/>
    <col min="8965" max="8965" width="17.85546875" customWidth="1"/>
    <col min="9217" max="9217" width="4.85546875" customWidth="1"/>
    <col min="9218" max="9218" width="86.7109375" customWidth="1"/>
    <col min="9219" max="9219" width="18.85546875" customWidth="1"/>
    <col min="9220" max="9220" width="14.5703125" customWidth="1"/>
    <col min="9221" max="9221" width="17.85546875" customWidth="1"/>
    <col min="9473" max="9473" width="4.85546875" customWidth="1"/>
    <col min="9474" max="9474" width="86.7109375" customWidth="1"/>
    <col min="9475" max="9475" width="18.85546875" customWidth="1"/>
    <col min="9476" max="9476" width="14.5703125" customWidth="1"/>
    <col min="9477" max="9477" width="17.85546875" customWidth="1"/>
    <col min="9729" max="9729" width="4.85546875" customWidth="1"/>
    <col min="9730" max="9730" width="86.7109375" customWidth="1"/>
    <col min="9731" max="9731" width="18.85546875" customWidth="1"/>
    <col min="9732" max="9732" width="14.5703125" customWidth="1"/>
    <col min="9733" max="9733" width="17.85546875" customWidth="1"/>
    <col min="9985" max="9985" width="4.85546875" customWidth="1"/>
    <col min="9986" max="9986" width="86.7109375" customWidth="1"/>
    <col min="9987" max="9987" width="18.85546875" customWidth="1"/>
    <col min="9988" max="9988" width="14.5703125" customWidth="1"/>
    <col min="9989" max="9989" width="17.85546875" customWidth="1"/>
    <col min="10241" max="10241" width="4.85546875" customWidth="1"/>
    <col min="10242" max="10242" width="86.7109375" customWidth="1"/>
    <col min="10243" max="10243" width="18.85546875" customWidth="1"/>
    <col min="10244" max="10244" width="14.5703125" customWidth="1"/>
    <col min="10245" max="10245" width="17.85546875" customWidth="1"/>
    <col min="10497" max="10497" width="4.85546875" customWidth="1"/>
    <col min="10498" max="10498" width="86.7109375" customWidth="1"/>
    <col min="10499" max="10499" width="18.85546875" customWidth="1"/>
    <col min="10500" max="10500" width="14.5703125" customWidth="1"/>
    <col min="10501" max="10501" width="17.85546875" customWidth="1"/>
    <col min="10753" max="10753" width="4.85546875" customWidth="1"/>
    <col min="10754" max="10754" width="86.7109375" customWidth="1"/>
    <col min="10755" max="10755" width="18.85546875" customWidth="1"/>
    <col min="10756" max="10756" width="14.5703125" customWidth="1"/>
    <col min="10757" max="10757" width="17.85546875" customWidth="1"/>
    <col min="11009" max="11009" width="4.85546875" customWidth="1"/>
    <col min="11010" max="11010" width="86.7109375" customWidth="1"/>
    <col min="11011" max="11011" width="18.85546875" customWidth="1"/>
    <col min="11012" max="11012" width="14.5703125" customWidth="1"/>
    <col min="11013" max="11013" width="17.85546875" customWidth="1"/>
    <col min="11265" max="11265" width="4.85546875" customWidth="1"/>
    <col min="11266" max="11266" width="86.7109375" customWidth="1"/>
    <col min="11267" max="11267" width="18.85546875" customWidth="1"/>
    <col min="11268" max="11268" width="14.5703125" customWidth="1"/>
    <col min="11269" max="11269" width="17.85546875" customWidth="1"/>
    <col min="11521" max="11521" width="4.85546875" customWidth="1"/>
    <col min="11522" max="11522" width="86.7109375" customWidth="1"/>
    <col min="11523" max="11523" width="18.85546875" customWidth="1"/>
    <col min="11524" max="11524" width="14.5703125" customWidth="1"/>
    <col min="11525" max="11525" width="17.85546875" customWidth="1"/>
    <col min="11777" max="11777" width="4.85546875" customWidth="1"/>
    <col min="11778" max="11778" width="86.7109375" customWidth="1"/>
    <col min="11779" max="11779" width="18.85546875" customWidth="1"/>
    <col min="11780" max="11780" width="14.5703125" customWidth="1"/>
    <col min="11781" max="11781" width="17.85546875" customWidth="1"/>
    <col min="12033" max="12033" width="4.85546875" customWidth="1"/>
    <col min="12034" max="12034" width="86.7109375" customWidth="1"/>
    <col min="12035" max="12035" width="18.85546875" customWidth="1"/>
    <col min="12036" max="12036" width="14.5703125" customWidth="1"/>
    <col min="12037" max="12037" width="17.85546875" customWidth="1"/>
    <col min="12289" max="12289" width="4.85546875" customWidth="1"/>
    <col min="12290" max="12290" width="86.7109375" customWidth="1"/>
    <col min="12291" max="12291" width="18.85546875" customWidth="1"/>
    <col min="12292" max="12292" width="14.5703125" customWidth="1"/>
    <col min="12293" max="12293" width="17.85546875" customWidth="1"/>
    <col min="12545" max="12545" width="4.85546875" customWidth="1"/>
    <col min="12546" max="12546" width="86.7109375" customWidth="1"/>
    <col min="12547" max="12547" width="18.85546875" customWidth="1"/>
    <col min="12548" max="12548" width="14.5703125" customWidth="1"/>
    <col min="12549" max="12549" width="17.85546875" customWidth="1"/>
    <col min="12801" max="12801" width="4.85546875" customWidth="1"/>
    <col min="12802" max="12802" width="86.7109375" customWidth="1"/>
    <col min="12803" max="12803" width="18.85546875" customWidth="1"/>
    <col min="12804" max="12804" width="14.5703125" customWidth="1"/>
    <col min="12805" max="12805" width="17.85546875" customWidth="1"/>
    <col min="13057" max="13057" width="4.85546875" customWidth="1"/>
    <col min="13058" max="13058" width="86.7109375" customWidth="1"/>
    <col min="13059" max="13059" width="18.85546875" customWidth="1"/>
    <col min="13060" max="13060" width="14.5703125" customWidth="1"/>
    <col min="13061" max="13061" width="17.85546875" customWidth="1"/>
    <col min="13313" max="13313" width="4.85546875" customWidth="1"/>
    <col min="13314" max="13314" width="86.7109375" customWidth="1"/>
    <col min="13315" max="13315" width="18.85546875" customWidth="1"/>
    <col min="13316" max="13316" width="14.5703125" customWidth="1"/>
    <col min="13317" max="13317" width="17.85546875" customWidth="1"/>
    <col min="13569" max="13569" width="4.85546875" customWidth="1"/>
    <col min="13570" max="13570" width="86.7109375" customWidth="1"/>
    <col min="13571" max="13571" width="18.85546875" customWidth="1"/>
    <col min="13572" max="13572" width="14.5703125" customWidth="1"/>
    <col min="13573" max="13573" width="17.85546875" customWidth="1"/>
    <col min="13825" max="13825" width="4.85546875" customWidth="1"/>
    <col min="13826" max="13826" width="86.7109375" customWidth="1"/>
    <col min="13827" max="13827" width="18.85546875" customWidth="1"/>
    <col min="13828" max="13828" width="14.5703125" customWidth="1"/>
    <col min="13829" max="13829" width="17.85546875" customWidth="1"/>
    <col min="14081" max="14081" width="4.85546875" customWidth="1"/>
    <col min="14082" max="14082" width="86.7109375" customWidth="1"/>
    <col min="14083" max="14083" width="18.85546875" customWidth="1"/>
    <col min="14084" max="14084" width="14.5703125" customWidth="1"/>
    <col min="14085" max="14085" width="17.85546875" customWidth="1"/>
    <col min="14337" max="14337" width="4.85546875" customWidth="1"/>
    <col min="14338" max="14338" width="86.7109375" customWidth="1"/>
    <col min="14339" max="14339" width="18.85546875" customWidth="1"/>
    <col min="14340" max="14340" width="14.5703125" customWidth="1"/>
    <col min="14341" max="14341" width="17.85546875" customWidth="1"/>
    <col min="14593" max="14593" width="4.85546875" customWidth="1"/>
    <col min="14594" max="14594" width="86.7109375" customWidth="1"/>
    <col min="14595" max="14595" width="18.85546875" customWidth="1"/>
    <col min="14596" max="14596" width="14.5703125" customWidth="1"/>
    <col min="14597" max="14597" width="17.85546875" customWidth="1"/>
    <col min="14849" max="14849" width="4.85546875" customWidth="1"/>
    <col min="14850" max="14850" width="86.7109375" customWidth="1"/>
    <col min="14851" max="14851" width="18.85546875" customWidth="1"/>
    <col min="14852" max="14852" width="14.5703125" customWidth="1"/>
    <col min="14853" max="14853" width="17.85546875" customWidth="1"/>
    <col min="15105" max="15105" width="4.85546875" customWidth="1"/>
    <col min="15106" max="15106" width="86.7109375" customWidth="1"/>
    <col min="15107" max="15107" width="18.85546875" customWidth="1"/>
    <col min="15108" max="15108" width="14.5703125" customWidth="1"/>
    <col min="15109" max="15109" width="17.85546875" customWidth="1"/>
    <col min="15361" max="15361" width="4.85546875" customWidth="1"/>
    <col min="15362" max="15362" width="86.7109375" customWidth="1"/>
    <col min="15363" max="15363" width="18.85546875" customWidth="1"/>
    <col min="15364" max="15364" width="14.5703125" customWidth="1"/>
    <col min="15365" max="15365" width="17.85546875" customWidth="1"/>
    <col min="15617" max="15617" width="4.85546875" customWidth="1"/>
    <col min="15618" max="15618" width="86.7109375" customWidth="1"/>
    <col min="15619" max="15619" width="18.85546875" customWidth="1"/>
    <col min="15620" max="15620" width="14.5703125" customWidth="1"/>
    <col min="15621" max="15621" width="17.85546875" customWidth="1"/>
    <col min="15873" max="15873" width="4.85546875" customWidth="1"/>
    <col min="15874" max="15874" width="86.7109375" customWidth="1"/>
    <col min="15875" max="15875" width="18.85546875" customWidth="1"/>
    <col min="15876" max="15876" width="14.5703125" customWidth="1"/>
    <col min="15877" max="15877" width="17.85546875" customWidth="1"/>
    <col min="16129" max="16129" width="4.85546875" customWidth="1"/>
    <col min="16130" max="16130" width="86.7109375" customWidth="1"/>
    <col min="16131" max="16131" width="18.85546875" customWidth="1"/>
    <col min="16132" max="16132" width="14.5703125" customWidth="1"/>
    <col min="16133" max="16133" width="17.85546875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35">
      <c r="B6" s="357"/>
      <c r="C6" s="357"/>
      <c r="D6" s="189"/>
      <c r="E6" s="189"/>
      <c r="F6" s="189"/>
      <c r="G6" s="189"/>
      <c r="H6" s="189"/>
      <c r="I6" s="189"/>
      <c r="J6" s="189"/>
      <c r="K6" s="164"/>
      <c r="L6" s="164"/>
      <c r="M6" s="164"/>
    </row>
    <row r="7" spans="2:60" ht="20.100000000000001" customHeight="1" x14ac:dyDescent="0.25">
      <c r="B7" s="1681" t="s">
        <v>2469</v>
      </c>
      <c r="C7" s="1681"/>
      <c r="D7" s="36"/>
      <c r="E7" s="36"/>
    </row>
    <row r="8" spans="2:60" ht="20.100000000000001" customHeight="1" x14ac:dyDescent="0.25">
      <c r="B8" s="1682" t="s">
        <v>6918</v>
      </c>
      <c r="C8" s="1682"/>
      <c r="D8" s="37"/>
      <c r="E8" s="37"/>
    </row>
    <row r="9" spans="2:60" ht="40.5" customHeight="1" thickBot="1" x14ac:dyDescent="0.3">
      <c r="B9" s="47"/>
    </row>
    <row r="10" spans="2:60" ht="20.100000000000001" customHeight="1" x14ac:dyDescent="0.25">
      <c r="B10" s="191" t="s">
        <v>2470</v>
      </c>
      <c r="C10" s="192">
        <f>DESPORC!I4063+DESPORC!I4073+DESPORC!I4086</f>
        <v>3</v>
      </c>
      <c r="D10" s="1680"/>
      <c r="E10" s="1680"/>
    </row>
    <row r="11" spans="2:60" ht="20.100000000000001" customHeight="1" x14ac:dyDescent="0.25">
      <c r="B11" s="193" t="s">
        <v>2471</v>
      </c>
      <c r="C11" s="194">
        <v>1</v>
      </c>
      <c r="D11" s="1680"/>
      <c r="E11" s="1680"/>
    </row>
    <row r="12" spans="2:60" x14ac:dyDescent="0.25">
      <c r="B12" s="193" t="s">
        <v>2472</v>
      </c>
      <c r="C12" s="194">
        <v>1</v>
      </c>
      <c r="D12" s="1680"/>
      <c r="E12" s="1680"/>
    </row>
    <row r="13" spans="2:60" x14ac:dyDescent="0.25">
      <c r="B13" s="193" t="s">
        <v>2473</v>
      </c>
      <c r="C13" s="194">
        <v>0</v>
      </c>
      <c r="D13" s="1680"/>
      <c r="E13" s="1680"/>
    </row>
    <row r="14" spans="2:60" x14ac:dyDescent="0.25">
      <c r="B14" s="193" t="s">
        <v>2474</v>
      </c>
      <c r="C14" s="194">
        <v>1</v>
      </c>
      <c r="D14" s="39"/>
      <c r="E14" s="39"/>
    </row>
    <row r="15" spans="2:60" x14ac:dyDescent="0.25">
      <c r="B15" s="193" t="s">
        <v>2475</v>
      </c>
      <c r="C15" s="194">
        <f>DESPORC!I4051-4</f>
        <v>2996.0600000000013</v>
      </c>
      <c r="D15" s="39"/>
      <c r="E15" s="39"/>
    </row>
    <row r="16" spans="2:60" x14ac:dyDescent="0.25">
      <c r="B16" s="193" t="s">
        <v>2476</v>
      </c>
      <c r="C16" s="194">
        <v>1</v>
      </c>
      <c r="D16" s="39"/>
      <c r="E16" s="39"/>
    </row>
    <row r="17" spans="2:5" ht="15.75" thickBot="1" x14ac:dyDescent="0.3">
      <c r="B17" s="40" t="s">
        <v>1820</v>
      </c>
      <c r="C17" s="41">
        <f>C10+C11+C12+C13+C14+C15+C16</f>
        <v>3003.0600000000013</v>
      </c>
      <c r="D17" s="39"/>
      <c r="E17" s="39"/>
    </row>
    <row r="18" spans="2:5" ht="15" customHeight="1" x14ac:dyDescent="0.25">
      <c r="B18" s="46"/>
    </row>
  </sheetData>
  <mergeCells count="7">
    <mergeCell ref="B1:C1"/>
    <mergeCell ref="B3:C3"/>
    <mergeCell ref="E10:E13"/>
    <mergeCell ref="B5:C5"/>
    <mergeCell ref="B7:C7"/>
    <mergeCell ref="B8:C8"/>
    <mergeCell ref="D10:D13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8"/>
  <sheetViews>
    <sheetView topLeftCell="A4" workbookViewId="0">
      <selection activeCell="I14" sqref="I14"/>
    </sheetView>
  </sheetViews>
  <sheetFormatPr defaultRowHeight="15" x14ac:dyDescent="0.25"/>
  <cols>
    <col min="1" max="1" width="3.5703125" customWidth="1"/>
    <col min="2" max="2" width="41.42578125" customWidth="1"/>
    <col min="3" max="3" width="17.28515625" style="45" customWidth="1"/>
    <col min="4" max="4" width="46.28515625" customWidth="1"/>
    <col min="5" max="5" width="18.28515625" style="45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35">
      <c r="B6" s="357"/>
      <c r="C6" s="357"/>
      <c r="D6" s="189"/>
      <c r="E6" s="357"/>
      <c r="F6" s="189"/>
      <c r="G6" s="189"/>
      <c r="H6" s="189"/>
      <c r="I6" s="189"/>
      <c r="J6" s="189"/>
      <c r="K6" s="164"/>
      <c r="L6" s="164"/>
      <c r="M6" s="164"/>
    </row>
    <row r="7" spans="2:60" ht="56.25" customHeight="1" x14ac:dyDescent="0.25">
      <c r="B7" s="1683" t="s">
        <v>2488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49"/>
    </row>
    <row r="9" spans="2:60" ht="24.95" customHeight="1" thickBot="1" x14ac:dyDescent="0.3">
      <c r="B9" s="1684" t="s">
        <v>2478</v>
      </c>
      <c r="C9" s="1685"/>
      <c r="D9" s="1684" t="s">
        <v>2479</v>
      </c>
      <c r="E9" s="1685"/>
    </row>
    <row r="10" spans="2:60" ht="24.95" customHeight="1" x14ac:dyDescent="0.25">
      <c r="B10" s="198" t="s">
        <v>1</v>
      </c>
      <c r="C10" s="195" t="s">
        <v>2480</v>
      </c>
      <c r="D10" s="198" t="s">
        <v>1</v>
      </c>
      <c r="E10" s="196" t="s">
        <v>2480</v>
      </c>
    </row>
    <row r="11" spans="2:60" ht="24.95" customHeight="1" x14ac:dyDescent="0.25">
      <c r="B11" s="199" t="s">
        <v>6</v>
      </c>
      <c r="C11" s="715">
        <f>SUM(C12:C19)</f>
        <v>0</v>
      </c>
      <c r="D11" s="199" t="s">
        <v>2455</v>
      </c>
      <c r="E11" s="713">
        <f>SUM(E12:E15)</f>
        <v>3003</v>
      </c>
    </row>
    <row r="12" spans="2:60" ht="24.95" customHeight="1" x14ac:dyDescent="0.25">
      <c r="B12" s="200" t="s">
        <v>8</v>
      </c>
      <c r="C12" s="716">
        <v>0</v>
      </c>
      <c r="D12" s="200" t="s">
        <v>2456</v>
      </c>
      <c r="E12" s="714">
        <v>0</v>
      </c>
    </row>
    <row r="13" spans="2:60" ht="24.95" customHeight="1" x14ac:dyDescent="0.25">
      <c r="B13" s="200" t="s">
        <v>10</v>
      </c>
      <c r="C13" s="716">
        <v>0</v>
      </c>
      <c r="D13" s="200" t="s">
        <v>2483</v>
      </c>
      <c r="E13" s="714">
        <v>0</v>
      </c>
    </row>
    <row r="14" spans="2:60" ht="24.95" customHeight="1" x14ac:dyDescent="0.25">
      <c r="B14" s="200" t="s">
        <v>12</v>
      </c>
      <c r="C14" s="716">
        <v>0</v>
      </c>
      <c r="D14" s="200" t="s">
        <v>80</v>
      </c>
      <c r="E14" s="714">
        <v>0</v>
      </c>
    </row>
    <row r="15" spans="2:60" ht="24.95" customHeight="1" x14ac:dyDescent="0.25">
      <c r="B15" s="200" t="s">
        <v>14</v>
      </c>
      <c r="C15" s="716">
        <v>0</v>
      </c>
      <c r="D15" s="200" t="s">
        <v>2457</v>
      </c>
      <c r="E15" s="714">
        <v>3003</v>
      </c>
    </row>
    <row r="16" spans="2:60" ht="24.95" customHeight="1" x14ac:dyDescent="0.25">
      <c r="B16" s="200" t="s">
        <v>16</v>
      </c>
      <c r="C16" s="716">
        <v>0</v>
      </c>
      <c r="D16" s="199" t="s">
        <v>2484</v>
      </c>
      <c r="E16" s="713">
        <v>0</v>
      </c>
    </row>
    <row r="17" spans="2:5" ht="24.95" customHeight="1" x14ac:dyDescent="0.25">
      <c r="B17" s="200" t="s">
        <v>19</v>
      </c>
      <c r="C17" s="716">
        <v>0</v>
      </c>
      <c r="D17" s="200"/>
      <c r="E17" s="714"/>
    </row>
    <row r="18" spans="2:5" ht="24.95" customHeight="1" x14ac:dyDescent="0.25">
      <c r="B18" s="200" t="s">
        <v>21</v>
      </c>
      <c r="C18" s="716">
        <v>0</v>
      </c>
      <c r="D18" s="200"/>
      <c r="E18" s="714"/>
    </row>
    <row r="19" spans="2:5" ht="24.95" customHeight="1" x14ac:dyDescent="0.25">
      <c r="B19" s="200" t="s">
        <v>23</v>
      </c>
      <c r="C19" s="716">
        <v>0</v>
      </c>
      <c r="D19" s="200"/>
      <c r="E19" s="714"/>
    </row>
    <row r="20" spans="2:5" ht="24.95" customHeight="1" x14ac:dyDescent="0.25">
      <c r="B20" s="199" t="s">
        <v>25</v>
      </c>
      <c r="C20" s="715">
        <f>SUM(C21:C25)</f>
        <v>0</v>
      </c>
      <c r="D20" s="199" t="s">
        <v>56</v>
      </c>
      <c r="E20" s="713">
        <f>SUM(E21:E22)</f>
        <v>0.06</v>
      </c>
    </row>
    <row r="21" spans="2:5" ht="24.95" customHeight="1" x14ac:dyDescent="0.25">
      <c r="B21" s="200" t="s">
        <v>27</v>
      </c>
      <c r="C21" s="716">
        <v>0</v>
      </c>
      <c r="D21" s="200" t="s">
        <v>2459</v>
      </c>
      <c r="E21" s="714">
        <v>0.06</v>
      </c>
    </row>
    <row r="22" spans="2:5" ht="24.95" customHeight="1" x14ac:dyDescent="0.25">
      <c r="B22" s="200" t="s">
        <v>29</v>
      </c>
      <c r="C22" s="716">
        <v>0</v>
      </c>
      <c r="D22" s="200" t="s">
        <v>2460</v>
      </c>
      <c r="E22" s="714">
        <v>0</v>
      </c>
    </row>
    <row r="23" spans="2:5" ht="24.95" customHeight="1" x14ac:dyDescent="0.25">
      <c r="B23" s="200" t="s">
        <v>31</v>
      </c>
      <c r="C23" s="716">
        <v>0</v>
      </c>
      <c r="D23" s="199" t="s">
        <v>2487</v>
      </c>
      <c r="E23" s="713">
        <v>0</v>
      </c>
    </row>
    <row r="24" spans="2:5" ht="24.95" customHeight="1" x14ac:dyDescent="0.25">
      <c r="B24" s="200" t="s">
        <v>33</v>
      </c>
      <c r="C24" s="716">
        <v>0</v>
      </c>
      <c r="D24" s="199" t="s">
        <v>81</v>
      </c>
      <c r="E24" s="713">
        <v>0</v>
      </c>
    </row>
    <row r="25" spans="2:5" ht="24.95" customHeight="1" x14ac:dyDescent="0.25">
      <c r="B25" s="200" t="s">
        <v>35</v>
      </c>
      <c r="C25" s="716">
        <v>0</v>
      </c>
      <c r="D25" s="200"/>
      <c r="E25" s="714"/>
    </row>
    <row r="26" spans="2:5" ht="24.95" customHeight="1" x14ac:dyDescent="0.25">
      <c r="B26" s="199" t="s">
        <v>2485</v>
      </c>
      <c r="C26" s="715">
        <f>SUM(C27:C29)</f>
        <v>0</v>
      </c>
      <c r="D26" s="199" t="s">
        <v>2481</v>
      </c>
      <c r="E26" s="713">
        <v>0</v>
      </c>
    </row>
    <row r="27" spans="2:5" ht="24.95" customHeight="1" x14ac:dyDescent="0.25">
      <c r="B27" s="200" t="s">
        <v>10</v>
      </c>
      <c r="C27" s="716">
        <v>0</v>
      </c>
      <c r="D27" s="199" t="s">
        <v>70</v>
      </c>
      <c r="E27" s="713">
        <v>0</v>
      </c>
    </row>
    <row r="28" spans="2:5" ht="24.95" customHeight="1" x14ac:dyDescent="0.25">
      <c r="B28" s="200" t="s">
        <v>12</v>
      </c>
      <c r="C28" s="716">
        <v>0</v>
      </c>
      <c r="D28" s="200"/>
      <c r="E28" s="714"/>
    </row>
    <row r="29" spans="2:5" ht="24.95" customHeight="1" x14ac:dyDescent="0.25">
      <c r="B29" s="200" t="s">
        <v>23</v>
      </c>
      <c r="C29" s="716">
        <v>0</v>
      </c>
      <c r="D29" s="200"/>
      <c r="E29" s="714"/>
    </row>
    <row r="30" spans="2:5" ht="24.95" customHeight="1" x14ac:dyDescent="0.25">
      <c r="B30" s="199" t="s">
        <v>2486</v>
      </c>
      <c r="C30" s="715">
        <f>SUM(C31:C33)</f>
        <v>0</v>
      </c>
      <c r="D30" s="200"/>
      <c r="E30" s="714"/>
    </row>
    <row r="31" spans="2:5" ht="24.95" customHeight="1" x14ac:dyDescent="0.25">
      <c r="B31" s="200" t="s">
        <v>29</v>
      </c>
      <c r="C31" s="716">
        <v>0</v>
      </c>
      <c r="D31" s="200"/>
      <c r="E31" s="714"/>
    </row>
    <row r="32" spans="2:5" ht="24.95" customHeight="1" x14ac:dyDescent="0.25">
      <c r="B32" s="200" t="s">
        <v>31</v>
      </c>
      <c r="C32" s="716">
        <v>0</v>
      </c>
      <c r="D32" s="200"/>
      <c r="E32" s="714"/>
    </row>
    <row r="33" spans="2:5" ht="24.95" customHeight="1" x14ac:dyDescent="0.25">
      <c r="B33" s="200" t="s">
        <v>35</v>
      </c>
      <c r="C33" s="716">
        <v>0</v>
      </c>
      <c r="D33" s="200"/>
      <c r="E33" s="714"/>
    </row>
    <row r="34" spans="2:5" ht="24.95" customHeight="1" x14ac:dyDescent="0.25">
      <c r="B34" s="200" t="s">
        <v>37</v>
      </c>
      <c r="C34" s="716">
        <v>0</v>
      </c>
      <c r="D34" s="200"/>
      <c r="E34" s="714"/>
    </row>
    <row r="35" spans="2:5" ht="24.95" customHeight="1" x14ac:dyDescent="0.25">
      <c r="B35" s="199" t="s">
        <v>2482</v>
      </c>
      <c r="C35" s="715">
        <f>DESPORC!I4099</f>
        <v>3003.0600000000013</v>
      </c>
      <c r="D35" s="200"/>
      <c r="E35" s="714"/>
    </row>
    <row r="36" spans="2:5" ht="24.95" customHeight="1" thickBot="1" x14ac:dyDescent="0.3">
      <c r="B36" s="201" t="s">
        <v>38</v>
      </c>
      <c r="C36" s="717">
        <f>C11+C20+C26+C30-C34+C35</f>
        <v>3003.0600000000013</v>
      </c>
      <c r="D36" s="201" t="s">
        <v>1575</v>
      </c>
      <c r="E36" s="718">
        <f>E11+E16+E20+E23+E24+E26+E27</f>
        <v>3003.06</v>
      </c>
    </row>
    <row r="38" spans="2:5" ht="30" customHeight="1" x14ac:dyDescent="0.25">
      <c r="B38" s="1521" t="s">
        <v>2491</v>
      </c>
      <c r="C38" s="1521"/>
      <c r="D38" s="1521"/>
      <c r="E38" s="1521"/>
    </row>
  </sheetData>
  <mergeCells count="7">
    <mergeCell ref="B38:E38"/>
    <mergeCell ref="B1:E1"/>
    <mergeCell ref="B3:E3"/>
    <mergeCell ref="B7:E7"/>
    <mergeCell ref="B5:E5"/>
    <mergeCell ref="B9:C9"/>
    <mergeCell ref="D9:E9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3"/>
  <sheetViews>
    <sheetView topLeftCell="A17" zoomScale="80" zoomScaleNormal="80" workbookViewId="0">
      <selection activeCell="B31" sqref="B31:E31"/>
    </sheetView>
  </sheetViews>
  <sheetFormatPr defaultRowHeight="15" x14ac:dyDescent="0.25"/>
  <cols>
    <col min="1" max="1" width="2.7109375" customWidth="1"/>
    <col min="2" max="2" width="40" customWidth="1"/>
    <col min="3" max="3" width="20.5703125" style="45" customWidth="1"/>
    <col min="4" max="4" width="43.85546875" customWidth="1"/>
    <col min="5" max="5" width="21.28515625" style="45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25"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2:60" ht="56.25" customHeight="1" x14ac:dyDescent="0.25">
      <c r="B7" s="1683" t="s">
        <v>2490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49"/>
    </row>
    <row r="9" spans="2:60" ht="24.95" customHeight="1" thickBot="1" x14ac:dyDescent="0.3">
      <c r="B9" s="1690" t="s">
        <v>2478</v>
      </c>
      <c r="C9" s="1691"/>
      <c r="D9" s="1690" t="s">
        <v>2479</v>
      </c>
      <c r="E9" s="1691"/>
    </row>
    <row r="10" spans="2:60" ht="24.95" customHeight="1" x14ac:dyDescent="0.25">
      <c r="B10" s="199" t="s">
        <v>1</v>
      </c>
      <c r="C10" s="911" t="s">
        <v>2480</v>
      </c>
      <c r="D10" s="914" t="s">
        <v>1</v>
      </c>
      <c r="E10" s="906" t="s">
        <v>2480</v>
      </c>
    </row>
    <row r="11" spans="2:60" ht="24.95" customHeight="1" x14ac:dyDescent="0.25">
      <c r="B11" s="1686" t="s">
        <v>6922</v>
      </c>
      <c r="C11" s="1687">
        <f>0.02+3706933.44</f>
        <v>3706933.46</v>
      </c>
      <c r="D11" s="915" t="s">
        <v>2455</v>
      </c>
      <c r="E11" s="713">
        <f>E12+E14+E15</f>
        <v>4541440.7300000004</v>
      </c>
    </row>
    <row r="12" spans="2:60" ht="24.95" customHeight="1" x14ac:dyDescent="0.25">
      <c r="B12" s="1686"/>
      <c r="C12" s="1688"/>
      <c r="D12" s="916" t="s">
        <v>2456</v>
      </c>
      <c r="E12" s="714">
        <v>3290390.35</v>
      </c>
    </row>
    <row r="13" spans="2:60" ht="24.95" customHeight="1" x14ac:dyDescent="0.25">
      <c r="B13" s="200"/>
      <c r="C13" s="909"/>
      <c r="D13" s="915" t="s">
        <v>2483</v>
      </c>
      <c r="E13" s="713">
        <v>0</v>
      </c>
    </row>
    <row r="14" spans="2:60" ht="24.95" customHeight="1" x14ac:dyDescent="0.25">
      <c r="B14" s="200"/>
      <c r="C14" s="909"/>
      <c r="D14" s="916" t="s">
        <v>80</v>
      </c>
      <c r="E14" s="714">
        <v>0</v>
      </c>
    </row>
    <row r="15" spans="2:60" ht="24.95" customHeight="1" x14ac:dyDescent="0.25">
      <c r="B15" s="907" t="s">
        <v>6923</v>
      </c>
      <c r="C15" s="910">
        <f>236059.11-0.01</f>
        <v>236059.09999999998</v>
      </c>
      <c r="D15" s="916" t="s">
        <v>2457</v>
      </c>
      <c r="E15" s="714">
        <v>1251050.3799999999</v>
      </c>
    </row>
    <row r="16" spans="2:60" ht="24.95" customHeight="1" x14ac:dyDescent="0.25">
      <c r="B16" s="908"/>
      <c r="C16" s="911"/>
      <c r="D16" s="915" t="s">
        <v>2484</v>
      </c>
      <c r="E16" s="713">
        <v>0</v>
      </c>
    </row>
    <row r="17" spans="2:7" ht="24.95" customHeight="1" x14ac:dyDescent="0.25">
      <c r="B17" s="200"/>
      <c r="C17" s="909"/>
      <c r="D17" s="916"/>
      <c r="E17" s="714"/>
    </row>
    <row r="18" spans="2:7" ht="24.95" customHeight="1" x14ac:dyDescent="0.25">
      <c r="B18" s="200"/>
      <c r="C18" s="912"/>
      <c r="D18" s="916"/>
      <c r="E18" s="714"/>
    </row>
    <row r="19" spans="2:7" ht="24.95" customHeight="1" x14ac:dyDescent="0.25">
      <c r="B19" s="1689" t="s">
        <v>6924</v>
      </c>
      <c r="C19" s="1687">
        <f>369620.29-0.01-0.02</f>
        <v>369620.25999999995</v>
      </c>
      <c r="D19" s="916"/>
      <c r="E19" s="714"/>
    </row>
    <row r="20" spans="2:7" ht="24.95" customHeight="1" x14ac:dyDescent="0.25">
      <c r="B20" s="1689"/>
      <c r="C20" s="1688"/>
      <c r="D20" s="915" t="s">
        <v>56</v>
      </c>
      <c r="E20" s="713">
        <f>E21+E22</f>
        <v>20.440000000000001</v>
      </c>
    </row>
    <row r="21" spans="2:7" ht="24.95" customHeight="1" x14ac:dyDescent="0.25">
      <c r="B21" s="200"/>
      <c r="C21" s="912"/>
      <c r="D21" s="916" t="s">
        <v>2459</v>
      </c>
      <c r="E21" s="714">
        <v>20.440000000000001</v>
      </c>
    </row>
    <row r="22" spans="2:7" ht="24.95" customHeight="1" x14ac:dyDescent="0.25">
      <c r="B22" s="200"/>
      <c r="C22" s="912"/>
      <c r="D22" s="916" t="s">
        <v>2460</v>
      </c>
      <c r="E22" s="714">
        <v>0</v>
      </c>
    </row>
    <row r="23" spans="2:7" ht="24.95" customHeight="1" x14ac:dyDescent="0.25">
      <c r="B23" s="199" t="s">
        <v>1205</v>
      </c>
      <c r="C23" s="910">
        <f>0.01+0.01+228846.33+0.02+1.98</f>
        <v>228848.34999999998</v>
      </c>
      <c r="D23" s="915" t="s">
        <v>2487</v>
      </c>
      <c r="E23" s="713">
        <v>0</v>
      </c>
    </row>
    <row r="24" spans="2:7" ht="24.95" customHeight="1" x14ac:dyDescent="0.25">
      <c r="B24" s="200"/>
      <c r="C24" s="912"/>
      <c r="D24" s="915" t="s">
        <v>81</v>
      </c>
      <c r="E24" s="713">
        <v>0</v>
      </c>
    </row>
    <row r="25" spans="2:7" ht="24.95" customHeight="1" x14ac:dyDescent="0.25">
      <c r="B25" s="200"/>
      <c r="C25" s="912"/>
      <c r="D25" s="916"/>
      <c r="E25" s="714"/>
    </row>
    <row r="26" spans="2:7" ht="24.95" customHeight="1" x14ac:dyDescent="0.25">
      <c r="B26" s="200"/>
      <c r="C26" s="912"/>
      <c r="D26" s="915" t="s">
        <v>2481</v>
      </c>
      <c r="E26" s="713">
        <v>0</v>
      </c>
    </row>
    <row r="27" spans="2:7" ht="24.95" customHeight="1" x14ac:dyDescent="0.25">
      <c r="B27" s="200"/>
      <c r="C27" s="912"/>
      <c r="D27" s="915" t="s">
        <v>70</v>
      </c>
      <c r="E27" s="713">
        <v>0</v>
      </c>
    </row>
    <row r="28" spans="2:7" ht="24.95" customHeight="1" x14ac:dyDescent="0.25">
      <c r="B28" s="733" t="s">
        <v>5488</v>
      </c>
      <c r="C28" s="913">
        <v>0</v>
      </c>
      <c r="D28" s="916"/>
      <c r="E28" s="714"/>
      <c r="G28" s="15"/>
    </row>
    <row r="29" spans="2:7" ht="24.95" customHeight="1" thickBot="1" x14ac:dyDescent="0.3">
      <c r="B29" s="201" t="s">
        <v>38</v>
      </c>
      <c r="C29" s="917">
        <f>C11+C15+C19+C23+C28</f>
        <v>4541461.17</v>
      </c>
      <c r="D29" s="918" t="s">
        <v>1575</v>
      </c>
      <c r="E29" s="718">
        <f>E11+E13+E16+E20+E23+E26+E27+E24</f>
        <v>4541461.1700000009</v>
      </c>
    </row>
    <row r="30" spans="2:7" x14ac:dyDescent="0.25">
      <c r="B30" s="133"/>
      <c r="C30" s="849"/>
      <c r="D30" s="133"/>
      <c r="E30" s="849"/>
    </row>
    <row r="31" spans="2:7" ht="28.5" customHeight="1" x14ac:dyDescent="0.25">
      <c r="B31" s="1521" t="s">
        <v>2491</v>
      </c>
      <c r="C31" s="1521"/>
      <c r="D31" s="1521"/>
      <c r="E31" s="1521"/>
    </row>
    <row r="33" spans="5:5" x14ac:dyDescent="0.25">
      <c r="E33" s="723"/>
    </row>
  </sheetData>
  <mergeCells count="11">
    <mergeCell ref="B1:E1"/>
    <mergeCell ref="B3:E3"/>
    <mergeCell ref="B7:E7"/>
    <mergeCell ref="B9:C9"/>
    <mergeCell ref="D9:E9"/>
    <mergeCell ref="B5:E5"/>
    <mergeCell ref="B31:E31"/>
    <mergeCell ref="B11:B12"/>
    <mergeCell ref="C11:C12"/>
    <mergeCell ref="B19:B20"/>
    <mergeCell ref="C19:C20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8" zoomScale="80" zoomScaleNormal="80" workbookViewId="0">
      <selection activeCell="K21" sqref="K21"/>
    </sheetView>
  </sheetViews>
  <sheetFormatPr defaultRowHeight="15" x14ac:dyDescent="0.25"/>
  <cols>
    <col min="1" max="1" width="3.140625" customWidth="1"/>
    <col min="2" max="2" width="40.85546875" customWidth="1"/>
    <col min="3" max="3" width="20.5703125" style="45" customWidth="1"/>
    <col min="4" max="4" width="46.140625" customWidth="1"/>
    <col min="5" max="5" width="21.28515625" style="45" customWidth="1"/>
    <col min="7" max="7" width="15.28515625" bestFit="1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35">
      <c r="B6" s="357"/>
      <c r="C6" s="357"/>
      <c r="D6" s="189"/>
      <c r="E6" s="357"/>
      <c r="F6" s="189"/>
      <c r="G6" s="189"/>
      <c r="H6" s="189"/>
      <c r="I6" s="189"/>
      <c r="J6" s="189"/>
      <c r="K6" s="164"/>
      <c r="L6" s="164"/>
      <c r="M6" s="164"/>
    </row>
    <row r="7" spans="2:60" ht="56.25" customHeight="1" x14ac:dyDescent="0.25">
      <c r="B7" s="1683" t="s">
        <v>2492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356"/>
      <c r="C8" s="353"/>
      <c r="E8" s="353"/>
    </row>
    <row r="9" spans="2:60" ht="24.95" customHeight="1" thickBot="1" x14ac:dyDescent="0.3">
      <c r="B9" s="1693" t="s">
        <v>2478</v>
      </c>
      <c r="C9" s="1694"/>
      <c r="D9" s="1694" t="s">
        <v>2479</v>
      </c>
      <c r="E9" s="1695"/>
    </row>
    <row r="10" spans="2:60" ht="24.95" customHeight="1" thickBot="1" x14ac:dyDescent="0.3">
      <c r="B10" s="923" t="s">
        <v>1</v>
      </c>
      <c r="C10" s="924" t="s">
        <v>2480</v>
      </c>
      <c r="D10" s="925" t="s">
        <v>1</v>
      </c>
      <c r="E10" s="926" t="s">
        <v>2480</v>
      </c>
    </row>
    <row r="11" spans="2:60" ht="24.95" customHeight="1" x14ac:dyDescent="0.25">
      <c r="B11" s="1692" t="s">
        <v>6923</v>
      </c>
      <c r="C11" s="1687">
        <v>48126.95</v>
      </c>
      <c r="D11" s="915" t="s">
        <v>2455</v>
      </c>
      <c r="E11" s="919">
        <f>E12+E14+E15</f>
        <v>261453.53</v>
      </c>
    </row>
    <row r="12" spans="2:60" ht="24.95" customHeight="1" x14ac:dyDescent="0.25">
      <c r="B12" s="1692"/>
      <c r="C12" s="1687"/>
      <c r="D12" s="916" t="s">
        <v>2456</v>
      </c>
      <c r="E12" s="920">
        <v>29040.13</v>
      </c>
    </row>
    <row r="13" spans="2:60" ht="24.95" customHeight="1" x14ac:dyDescent="0.25">
      <c r="B13" s="1692"/>
      <c r="C13" s="1687"/>
      <c r="D13" s="915" t="s">
        <v>2483</v>
      </c>
      <c r="E13" s="919">
        <v>0</v>
      </c>
    </row>
    <row r="14" spans="2:60" ht="24.95" customHeight="1" x14ac:dyDescent="0.25">
      <c r="B14" s="1692"/>
      <c r="C14" s="1687"/>
      <c r="D14" s="916" t="s">
        <v>80</v>
      </c>
      <c r="E14" s="920">
        <v>0</v>
      </c>
    </row>
    <row r="15" spans="2:60" ht="24.95" customHeight="1" x14ac:dyDescent="0.25">
      <c r="B15" s="921"/>
      <c r="C15" s="912"/>
      <c r="D15" s="916" t="s">
        <v>2457</v>
      </c>
      <c r="E15" s="920">
        <v>232413.4</v>
      </c>
    </row>
    <row r="16" spans="2:60" ht="24.95" customHeight="1" x14ac:dyDescent="0.25">
      <c r="B16" s="921"/>
      <c r="C16" s="912"/>
      <c r="D16" s="915" t="s">
        <v>2484</v>
      </c>
      <c r="E16" s="919">
        <v>0</v>
      </c>
    </row>
    <row r="17" spans="2:7" ht="24.95" customHeight="1" x14ac:dyDescent="0.25">
      <c r="B17" s="921"/>
      <c r="C17" s="912"/>
      <c r="D17" s="916"/>
      <c r="E17" s="920"/>
    </row>
    <row r="18" spans="2:7" ht="24.95" customHeight="1" x14ac:dyDescent="0.25">
      <c r="B18" s="1692" t="s">
        <v>6925</v>
      </c>
      <c r="C18" s="1687">
        <f>594906.93-0.04</f>
        <v>594906.89</v>
      </c>
      <c r="D18" s="916"/>
      <c r="E18" s="920"/>
    </row>
    <row r="19" spans="2:7" ht="24.95" customHeight="1" x14ac:dyDescent="0.25">
      <c r="B19" s="1692"/>
      <c r="C19" s="1687"/>
      <c r="D19" s="916"/>
      <c r="E19" s="920"/>
    </row>
    <row r="20" spans="2:7" ht="24.95" customHeight="1" x14ac:dyDescent="0.25">
      <c r="B20" s="1692"/>
      <c r="C20" s="1687"/>
      <c r="D20" s="915" t="s">
        <v>56</v>
      </c>
      <c r="E20" s="919">
        <f>E21+E22</f>
        <v>532759.24</v>
      </c>
    </row>
    <row r="21" spans="2:7" ht="24.95" customHeight="1" x14ac:dyDescent="0.25">
      <c r="B21" s="921"/>
      <c r="C21" s="912"/>
      <c r="D21" s="916" t="s">
        <v>2459</v>
      </c>
      <c r="E21" s="920">
        <v>532759.24</v>
      </c>
    </row>
    <row r="22" spans="2:7" ht="24.95" customHeight="1" x14ac:dyDescent="0.25">
      <c r="B22" s="921"/>
      <c r="C22" s="912"/>
      <c r="D22" s="916" t="s">
        <v>2460</v>
      </c>
      <c r="E22" s="920">
        <v>0</v>
      </c>
    </row>
    <row r="23" spans="2:7" ht="24.95" customHeight="1" x14ac:dyDescent="0.25">
      <c r="B23" s="921"/>
      <c r="C23" s="912"/>
      <c r="D23" s="915" t="s">
        <v>2487</v>
      </c>
      <c r="E23" s="919">
        <v>0</v>
      </c>
    </row>
    <row r="24" spans="2:7" ht="24.95" customHeight="1" x14ac:dyDescent="0.25">
      <c r="B24" s="921"/>
      <c r="C24" s="912"/>
      <c r="D24" s="915" t="s">
        <v>81</v>
      </c>
      <c r="E24" s="919">
        <v>0</v>
      </c>
    </row>
    <row r="25" spans="2:7" ht="24.95" customHeight="1" x14ac:dyDescent="0.25">
      <c r="B25" s="921"/>
      <c r="C25" s="912"/>
      <c r="D25" s="916"/>
      <c r="E25" s="920"/>
    </row>
    <row r="26" spans="2:7" ht="24.95" customHeight="1" x14ac:dyDescent="0.25">
      <c r="B26" s="921"/>
      <c r="C26" s="912"/>
      <c r="D26" s="915" t="s">
        <v>2481</v>
      </c>
      <c r="E26" s="919">
        <v>0</v>
      </c>
    </row>
    <row r="27" spans="2:7" ht="24.95" customHeight="1" x14ac:dyDescent="0.25">
      <c r="B27" s="921"/>
      <c r="C27" s="912"/>
      <c r="D27" s="915" t="s">
        <v>70</v>
      </c>
      <c r="E27" s="919">
        <v>0</v>
      </c>
    </row>
    <row r="28" spans="2:7" ht="24.95" customHeight="1" thickBot="1" x14ac:dyDescent="0.3">
      <c r="B28" s="922" t="s">
        <v>5488</v>
      </c>
      <c r="C28" s="913">
        <f>0.04+151178.89</f>
        <v>151178.93000000002</v>
      </c>
      <c r="D28" s="916"/>
      <c r="E28" s="920"/>
    </row>
    <row r="29" spans="2:7" ht="24.95" customHeight="1" thickBot="1" x14ac:dyDescent="0.3">
      <c r="B29" s="923" t="s">
        <v>38</v>
      </c>
      <c r="C29" s="927">
        <f>C11+C18+C28</f>
        <v>794212.77</v>
      </c>
      <c r="D29" s="925" t="s">
        <v>1575</v>
      </c>
      <c r="E29" s="928">
        <f>E11+E13+E16+E20+E23+E26+E27+E24</f>
        <v>794212.77</v>
      </c>
      <c r="G29" s="26"/>
    </row>
    <row r="31" spans="2:7" x14ac:dyDescent="0.25">
      <c r="B31" t="s">
        <v>2491</v>
      </c>
    </row>
  </sheetData>
  <mergeCells count="10">
    <mergeCell ref="B11:B14"/>
    <mergeCell ref="C11:C14"/>
    <mergeCell ref="B18:B20"/>
    <mergeCell ref="C18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8" zoomScale="80" zoomScaleNormal="80" workbookViewId="0">
      <selection activeCell="G18" sqref="G18"/>
    </sheetView>
  </sheetViews>
  <sheetFormatPr defaultRowHeight="15" x14ac:dyDescent="0.25"/>
  <cols>
    <col min="1" max="1" width="3" customWidth="1"/>
    <col min="2" max="2" width="46.140625" customWidth="1"/>
    <col min="3" max="3" width="18.42578125" style="45" customWidth="1"/>
    <col min="4" max="4" width="44.5703125" customWidth="1"/>
    <col min="5" max="5" width="21.28515625" style="45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7" spans="2:60" ht="56.25" customHeight="1" x14ac:dyDescent="0.25">
      <c r="B7" s="1683" t="s">
        <v>2495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49"/>
    </row>
    <row r="9" spans="2:60" ht="24.95" customHeight="1" thickBot="1" x14ac:dyDescent="0.3">
      <c r="B9" s="1684" t="s">
        <v>2478</v>
      </c>
      <c r="C9" s="1697"/>
      <c r="D9" s="1698" t="s">
        <v>2479</v>
      </c>
      <c r="E9" s="1685"/>
    </row>
    <row r="10" spans="2:60" ht="24.95" customHeight="1" thickBot="1" x14ac:dyDescent="0.3">
      <c r="B10" s="929" t="s">
        <v>1</v>
      </c>
      <c r="C10" s="933" t="s">
        <v>2480</v>
      </c>
      <c r="D10" s="925" t="s">
        <v>1</v>
      </c>
      <c r="E10" s="930" t="s">
        <v>2480</v>
      </c>
    </row>
    <row r="11" spans="2:60" ht="24.95" customHeight="1" x14ac:dyDescent="0.25">
      <c r="B11" s="1686" t="s">
        <v>6923</v>
      </c>
      <c r="C11" s="1696">
        <f>30002+29113.17</f>
        <v>59115.17</v>
      </c>
      <c r="D11" s="915" t="s">
        <v>2455</v>
      </c>
      <c r="E11" s="713">
        <f>E12+E14+E15</f>
        <v>951260.86999999988</v>
      </c>
    </row>
    <row r="12" spans="2:60" ht="24.95" customHeight="1" x14ac:dyDescent="0.25">
      <c r="B12" s="1686"/>
      <c r="C12" s="1696"/>
      <c r="D12" s="916" t="s">
        <v>2456</v>
      </c>
      <c r="E12" s="714">
        <v>268440.67</v>
      </c>
    </row>
    <row r="13" spans="2:60" ht="24.95" customHeight="1" x14ac:dyDescent="0.25">
      <c r="B13" s="1686"/>
      <c r="C13" s="1696"/>
      <c r="D13" s="915" t="s">
        <v>2483</v>
      </c>
      <c r="E13" s="713">
        <v>0</v>
      </c>
    </row>
    <row r="14" spans="2:60" ht="24.95" customHeight="1" x14ac:dyDescent="0.25">
      <c r="B14" s="1686"/>
      <c r="C14" s="1696"/>
      <c r="D14" s="916" t="s">
        <v>80</v>
      </c>
      <c r="E14" s="714">
        <v>0</v>
      </c>
    </row>
    <row r="15" spans="2:60" ht="24.95" customHeight="1" x14ac:dyDescent="0.25">
      <c r="B15" s="200"/>
      <c r="C15" s="931"/>
      <c r="D15" s="916" t="s">
        <v>2457</v>
      </c>
      <c r="E15" s="714">
        <v>682820.2</v>
      </c>
    </row>
    <row r="16" spans="2:60" ht="24.95" customHeight="1" x14ac:dyDescent="0.25">
      <c r="B16" s="200"/>
      <c r="C16" s="931"/>
      <c r="D16" s="915" t="s">
        <v>2484</v>
      </c>
      <c r="E16" s="713">
        <v>0</v>
      </c>
    </row>
    <row r="17" spans="2:5" ht="24.95" customHeight="1" x14ac:dyDescent="0.25">
      <c r="B17" s="200"/>
      <c r="C17" s="931"/>
      <c r="D17" s="916"/>
      <c r="E17" s="714"/>
    </row>
    <row r="18" spans="2:5" ht="24.95" customHeight="1" x14ac:dyDescent="0.25">
      <c r="B18" s="1686" t="s">
        <v>6925</v>
      </c>
      <c r="C18" s="1696">
        <f>2135269.06-59115.17-922147.88</f>
        <v>1154006.0100000002</v>
      </c>
      <c r="D18" s="916"/>
      <c r="E18" s="714"/>
    </row>
    <row r="19" spans="2:5" ht="24.95" customHeight="1" x14ac:dyDescent="0.25">
      <c r="B19" s="1686"/>
      <c r="C19" s="1696"/>
      <c r="D19" s="916"/>
      <c r="E19" s="714"/>
    </row>
    <row r="20" spans="2:5" ht="24.95" customHeight="1" x14ac:dyDescent="0.25">
      <c r="B20" s="1686"/>
      <c r="C20" s="1696"/>
      <c r="D20" s="915" t="s">
        <v>56</v>
      </c>
      <c r="E20" s="713">
        <f>E21+E22</f>
        <v>1184008.19</v>
      </c>
    </row>
    <row r="21" spans="2:5" ht="24.95" customHeight="1" x14ac:dyDescent="0.25">
      <c r="B21" s="200"/>
      <c r="C21" s="931"/>
      <c r="D21" s="916" t="s">
        <v>2459</v>
      </c>
      <c r="E21" s="714">
        <v>1184008.19</v>
      </c>
    </row>
    <row r="22" spans="2:5" ht="24.95" customHeight="1" x14ac:dyDescent="0.25">
      <c r="B22" s="200"/>
      <c r="C22" s="931"/>
      <c r="D22" s="916" t="s">
        <v>2460</v>
      </c>
      <c r="E22" s="714">
        <v>0</v>
      </c>
    </row>
    <row r="23" spans="2:5" ht="24.95" customHeight="1" x14ac:dyDescent="0.25">
      <c r="B23" s="200"/>
      <c r="C23" s="931"/>
      <c r="D23" s="915" t="s">
        <v>2487</v>
      </c>
      <c r="E23" s="713">
        <v>0</v>
      </c>
    </row>
    <row r="24" spans="2:5" ht="24.95" customHeight="1" x14ac:dyDescent="0.25">
      <c r="B24" s="200"/>
      <c r="C24" s="931"/>
      <c r="D24" s="915" t="s">
        <v>81</v>
      </c>
      <c r="E24" s="713">
        <v>0</v>
      </c>
    </row>
    <row r="25" spans="2:5" ht="24.95" customHeight="1" x14ac:dyDescent="0.25">
      <c r="B25" s="200"/>
      <c r="C25" s="931"/>
      <c r="D25" s="916"/>
      <c r="E25" s="714"/>
    </row>
    <row r="26" spans="2:5" ht="24.95" customHeight="1" x14ac:dyDescent="0.25">
      <c r="B26" s="200"/>
      <c r="C26" s="931"/>
      <c r="D26" s="915" t="s">
        <v>2481</v>
      </c>
      <c r="E26" s="713">
        <v>0</v>
      </c>
    </row>
    <row r="27" spans="2:5" ht="24.95" customHeight="1" x14ac:dyDescent="0.25">
      <c r="B27" s="200"/>
      <c r="C27" s="931"/>
      <c r="D27" s="915" t="s">
        <v>70</v>
      </c>
      <c r="E27" s="713">
        <v>0</v>
      </c>
    </row>
    <row r="28" spans="2:5" ht="24.95" customHeight="1" thickBot="1" x14ac:dyDescent="0.3">
      <c r="B28" s="733" t="s">
        <v>5488</v>
      </c>
      <c r="C28" s="932">
        <v>922147.88</v>
      </c>
      <c r="D28" s="916"/>
      <c r="E28" s="714"/>
    </row>
    <row r="29" spans="2:5" ht="24.95" customHeight="1" thickBot="1" x14ac:dyDescent="0.3">
      <c r="B29" s="929" t="s">
        <v>38</v>
      </c>
      <c r="C29" s="934">
        <f>C11+C18+C28</f>
        <v>2135269.06</v>
      </c>
      <c r="D29" s="925" t="s">
        <v>1575</v>
      </c>
      <c r="E29" s="935">
        <f>E11+E13+E16+E20+E23+E26+E27+E24</f>
        <v>2135269.0599999996</v>
      </c>
    </row>
    <row r="31" spans="2:5" x14ac:dyDescent="0.25">
      <c r="B31" t="s">
        <v>2491</v>
      </c>
    </row>
  </sheetData>
  <mergeCells count="10">
    <mergeCell ref="B11:B14"/>
    <mergeCell ref="C11:C14"/>
    <mergeCell ref="B18:B20"/>
    <mergeCell ref="C18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topLeftCell="A4" zoomScaleNormal="100" workbookViewId="0">
      <selection activeCell="J11" sqref="J11"/>
    </sheetView>
  </sheetViews>
  <sheetFormatPr defaultRowHeight="15" x14ac:dyDescent="0.25"/>
  <cols>
    <col min="1" max="1" width="4.7109375" style="372" customWidth="1"/>
    <col min="2" max="2" width="26.28515625" style="372" customWidth="1"/>
    <col min="3" max="3" width="22.140625" style="372" customWidth="1"/>
    <col min="4" max="4" width="25.42578125" style="372" bestFit="1" customWidth="1"/>
    <col min="5" max="5" width="14.5703125" style="372" customWidth="1"/>
    <col min="6" max="6" width="21.42578125" style="372" customWidth="1"/>
    <col min="7" max="7" width="14.5703125" style="372" customWidth="1"/>
    <col min="8" max="8" width="13" style="372" customWidth="1"/>
    <col min="9" max="9" width="9.140625" style="372"/>
    <col min="10" max="10" width="19.7109375" style="372" bestFit="1" customWidth="1"/>
    <col min="11" max="256" width="9.140625" style="372"/>
    <col min="257" max="257" width="4.7109375" style="372" customWidth="1"/>
    <col min="258" max="258" width="26.28515625" style="372" customWidth="1"/>
    <col min="259" max="259" width="21.140625" style="372" customWidth="1"/>
    <col min="260" max="260" width="21.28515625" style="372" customWidth="1"/>
    <col min="261" max="261" width="12.5703125" style="372" customWidth="1"/>
    <col min="262" max="262" width="21.42578125" style="372" customWidth="1"/>
    <col min="263" max="263" width="12.7109375" style="372" customWidth="1"/>
    <col min="264" max="264" width="13" style="372" customWidth="1"/>
    <col min="265" max="265" width="9.140625" style="372"/>
    <col min="266" max="266" width="17.85546875" style="372" bestFit="1" customWidth="1"/>
    <col min="267" max="512" width="9.140625" style="372"/>
    <col min="513" max="513" width="4.7109375" style="372" customWidth="1"/>
    <col min="514" max="514" width="26.28515625" style="372" customWidth="1"/>
    <col min="515" max="515" width="21.140625" style="372" customWidth="1"/>
    <col min="516" max="516" width="21.28515625" style="372" customWidth="1"/>
    <col min="517" max="517" width="12.5703125" style="372" customWidth="1"/>
    <col min="518" max="518" width="21.42578125" style="372" customWidth="1"/>
    <col min="519" max="519" width="12.7109375" style="372" customWidth="1"/>
    <col min="520" max="520" width="13" style="372" customWidth="1"/>
    <col min="521" max="521" width="9.140625" style="372"/>
    <col min="522" max="522" width="17.85546875" style="372" bestFit="1" customWidth="1"/>
    <col min="523" max="768" width="9.140625" style="372"/>
    <col min="769" max="769" width="4.7109375" style="372" customWidth="1"/>
    <col min="770" max="770" width="26.28515625" style="372" customWidth="1"/>
    <col min="771" max="771" width="21.140625" style="372" customWidth="1"/>
    <col min="772" max="772" width="21.28515625" style="372" customWidth="1"/>
    <col min="773" max="773" width="12.5703125" style="372" customWidth="1"/>
    <col min="774" max="774" width="21.42578125" style="372" customWidth="1"/>
    <col min="775" max="775" width="12.7109375" style="372" customWidth="1"/>
    <col min="776" max="776" width="13" style="372" customWidth="1"/>
    <col min="777" max="777" width="9.140625" style="372"/>
    <col min="778" max="778" width="17.85546875" style="372" bestFit="1" customWidth="1"/>
    <col min="779" max="1024" width="9.140625" style="372"/>
    <col min="1025" max="1025" width="4.7109375" style="372" customWidth="1"/>
    <col min="1026" max="1026" width="26.28515625" style="372" customWidth="1"/>
    <col min="1027" max="1027" width="21.140625" style="372" customWidth="1"/>
    <col min="1028" max="1028" width="21.28515625" style="372" customWidth="1"/>
    <col min="1029" max="1029" width="12.5703125" style="372" customWidth="1"/>
    <col min="1030" max="1030" width="21.42578125" style="372" customWidth="1"/>
    <col min="1031" max="1031" width="12.7109375" style="372" customWidth="1"/>
    <col min="1032" max="1032" width="13" style="372" customWidth="1"/>
    <col min="1033" max="1033" width="9.140625" style="372"/>
    <col min="1034" max="1034" width="17.85546875" style="372" bestFit="1" customWidth="1"/>
    <col min="1035" max="1280" width="9.140625" style="372"/>
    <col min="1281" max="1281" width="4.7109375" style="372" customWidth="1"/>
    <col min="1282" max="1282" width="26.28515625" style="372" customWidth="1"/>
    <col min="1283" max="1283" width="21.140625" style="372" customWidth="1"/>
    <col min="1284" max="1284" width="21.28515625" style="372" customWidth="1"/>
    <col min="1285" max="1285" width="12.5703125" style="372" customWidth="1"/>
    <col min="1286" max="1286" width="21.42578125" style="372" customWidth="1"/>
    <col min="1287" max="1287" width="12.7109375" style="372" customWidth="1"/>
    <col min="1288" max="1288" width="13" style="372" customWidth="1"/>
    <col min="1289" max="1289" width="9.140625" style="372"/>
    <col min="1290" max="1290" width="17.85546875" style="372" bestFit="1" customWidth="1"/>
    <col min="1291" max="1536" width="9.140625" style="372"/>
    <col min="1537" max="1537" width="4.7109375" style="372" customWidth="1"/>
    <col min="1538" max="1538" width="26.28515625" style="372" customWidth="1"/>
    <col min="1539" max="1539" width="21.140625" style="372" customWidth="1"/>
    <col min="1540" max="1540" width="21.28515625" style="372" customWidth="1"/>
    <col min="1541" max="1541" width="12.5703125" style="372" customWidth="1"/>
    <col min="1542" max="1542" width="21.42578125" style="372" customWidth="1"/>
    <col min="1543" max="1543" width="12.7109375" style="372" customWidth="1"/>
    <col min="1544" max="1544" width="13" style="372" customWidth="1"/>
    <col min="1545" max="1545" width="9.140625" style="372"/>
    <col min="1546" max="1546" width="17.85546875" style="372" bestFit="1" customWidth="1"/>
    <col min="1547" max="1792" width="9.140625" style="372"/>
    <col min="1793" max="1793" width="4.7109375" style="372" customWidth="1"/>
    <col min="1794" max="1794" width="26.28515625" style="372" customWidth="1"/>
    <col min="1795" max="1795" width="21.140625" style="372" customWidth="1"/>
    <col min="1796" max="1796" width="21.28515625" style="372" customWidth="1"/>
    <col min="1797" max="1797" width="12.5703125" style="372" customWidth="1"/>
    <col min="1798" max="1798" width="21.42578125" style="372" customWidth="1"/>
    <col min="1799" max="1799" width="12.7109375" style="372" customWidth="1"/>
    <col min="1800" max="1800" width="13" style="372" customWidth="1"/>
    <col min="1801" max="1801" width="9.140625" style="372"/>
    <col min="1802" max="1802" width="17.85546875" style="372" bestFit="1" customWidth="1"/>
    <col min="1803" max="2048" width="9.140625" style="372"/>
    <col min="2049" max="2049" width="4.7109375" style="372" customWidth="1"/>
    <col min="2050" max="2050" width="26.28515625" style="372" customWidth="1"/>
    <col min="2051" max="2051" width="21.140625" style="372" customWidth="1"/>
    <col min="2052" max="2052" width="21.28515625" style="372" customWidth="1"/>
    <col min="2053" max="2053" width="12.5703125" style="372" customWidth="1"/>
    <col min="2054" max="2054" width="21.42578125" style="372" customWidth="1"/>
    <col min="2055" max="2055" width="12.7109375" style="372" customWidth="1"/>
    <col min="2056" max="2056" width="13" style="372" customWidth="1"/>
    <col min="2057" max="2057" width="9.140625" style="372"/>
    <col min="2058" max="2058" width="17.85546875" style="372" bestFit="1" customWidth="1"/>
    <col min="2059" max="2304" width="9.140625" style="372"/>
    <col min="2305" max="2305" width="4.7109375" style="372" customWidth="1"/>
    <col min="2306" max="2306" width="26.28515625" style="372" customWidth="1"/>
    <col min="2307" max="2307" width="21.140625" style="372" customWidth="1"/>
    <col min="2308" max="2308" width="21.28515625" style="372" customWidth="1"/>
    <col min="2309" max="2309" width="12.5703125" style="372" customWidth="1"/>
    <col min="2310" max="2310" width="21.42578125" style="372" customWidth="1"/>
    <col min="2311" max="2311" width="12.7109375" style="372" customWidth="1"/>
    <col min="2312" max="2312" width="13" style="372" customWidth="1"/>
    <col min="2313" max="2313" width="9.140625" style="372"/>
    <col min="2314" max="2314" width="17.85546875" style="372" bestFit="1" customWidth="1"/>
    <col min="2315" max="2560" width="9.140625" style="372"/>
    <col min="2561" max="2561" width="4.7109375" style="372" customWidth="1"/>
    <col min="2562" max="2562" width="26.28515625" style="372" customWidth="1"/>
    <col min="2563" max="2563" width="21.140625" style="372" customWidth="1"/>
    <col min="2564" max="2564" width="21.28515625" style="372" customWidth="1"/>
    <col min="2565" max="2565" width="12.5703125" style="372" customWidth="1"/>
    <col min="2566" max="2566" width="21.42578125" style="372" customWidth="1"/>
    <col min="2567" max="2567" width="12.7109375" style="372" customWidth="1"/>
    <col min="2568" max="2568" width="13" style="372" customWidth="1"/>
    <col min="2569" max="2569" width="9.140625" style="372"/>
    <col min="2570" max="2570" width="17.85546875" style="372" bestFit="1" customWidth="1"/>
    <col min="2571" max="2816" width="9.140625" style="372"/>
    <col min="2817" max="2817" width="4.7109375" style="372" customWidth="1"/>
    <col min="2818" max="2818" width="26.28515625" style="372" customWidth="1"/>
    <col min="2819" max="2819" width="21.140625" style="372" customWidth="1"/>
    <col min="2820" max="2820" width="21.28515625" style="372" customWidth="1"/>
    <col min="2821" max="2821" width="12.5703125" style="372" customWidth="1"/>
    <col min="2822" max="2822" width="21.42578125" style="372" customWidth="1"/>
    <col min="2823" max="2823" width="12.7109375" style="372" customWidth="1"/>
    <col min="2824" max="2824" width="13" style="372" customWidth="1"/>
    <col min="2825" max="2825" width="9.140625" style="372"/>
    <col min="2826" max="2826" width="17.85546875" style="372" bestFit="1" customWidth="1"/>
    <col min="2827" max="3072" width="9.140625" style="372"/>
    <col min="3073" max="3073" width="4.7109375" style="372" customWidth="1"/>
    <col min="3074" max="3074" width="26.28515625" style="372" customWidth="1"/>
    <col min="3075" max="3075" width="21.140625" style="372" customWidth="1"/>
    <col min="3076" max="3076" width="21.28515625" style="372" customWidth="1"/>
    <col min="3077" max="3077" width="12.5703125" style="372" customWidth="1"/>
    <col min="3078" max="3078" width="21.42578125" style="372" customWidth="1"/>
    <col min="3079" max="3079" width="12.7109375" style="372" customWidth="1"/>
    <col min="3080" max="3080" width="13" style="372" customWidth="1"/>
    <col min="3081" max="3081" width="9.140625" style="372"/>
    <col min="3082" max="3082" width="17.85546875" style="372" bestFit="1" customWidth="1"/>
    <col min="3083" max="3328" width="9.140625" style="372"/>
    <col min="3329" max="3329" width="4.7109375" style="372" customWidth="1"/>
    <col min="3330" max="3330" width="26.28515625" style="372" customWidth="1"/>
    <col min="3331" max="3331" width="21.140625" style="372" customWidth="1"/>
    <col min="3332" max="3332" width="21.28515625" style="372" customWidth="1"/>
    <col min="3333" max="3333" width="12.5703125" style="372" customWidth="1"/>
    <col min="3334" max="3334" width="21.42578125" style="372" customWidth="1"/>
    <col min="3335" max="3335" width="12.7109375" style="372" customWidth="1"/>
    <col min="3336" max="3336" width="13" style="372" customWidth="1"/>
    <col min="3337" max="3337" width="9.140625" style="372"/>
    <col min="3338" max="3338" width="17.85546875" style="372" bestFit="1" customWidth="1"/>
    <col min="3339" max="3584" width="9.140625" style="372"/>
    <col min="3585" max="3585" width="4.7109375" style="372" customWidth="1"/>
    <col min="3586" max="3586" width="26.28515625" style="372" customWidth="1"/>
    <col min="3587" max="3587" width="21.140625" style="372" customWidth="1"/>
    <col min="3588" max="3588" width="21.28515625" style="372" customWidth="1"/>
    <col min="3589" max="3589" width="12.5703125" style="372" customWidth="1"/>
    <col min="3590" max="3590" width="21.42578125" style="372" customWidth="1"/>
    <col min="3591" max="3591" width="12.7109375" style="372" customWidth="1"/>
    <col min="3592" max="3592" width="13" style="372" customWidth="1"/>
    <col min="3593" max="3593" width="9.140625" style="372"/>
    <col min="3594" max="3594" width="17.85546875" style="372" bestFit="1" customWidth="1"/>
    <col min="3595" max="3840" width="9.140625" style="372"/>
    <col min="3841" max="3841" width="4.7109375" style="372" customWidth="1"/>
    <col min="3842" max="3842" width="26.28515625" style="372" customWidth="1"/>
    <col min="3843" max="3843" width="21.140625" style="372" customWidth="1"/>
    <col min="3844" max="3844" width="21.28515625" style="372" customWidth="1"/>
    <col min="3845" max="3845" width="12.5703125" style="372" customWidth="1"/>
    <col min="3846" max="3846" width="21.42578125" style="372" customWidth="1"/>
    <col min="3847" max="3847" width="12.7109375" style="372" customWidth="1"/>
    <col min="3848" max="3848" width="13" style="372" customWidth="1"/>
    <col min="3849" max="3849" width="9.140625" style="372"/>
    <col min="3850" max="3850" width="17.85546875" style="372" bestFit="1" customWidth="1"/>
    <col min="3851" max="4096" width="9.140625" style="372"/>
    <col min="4097" max="4097" width="4.7109375" style="372" customWidth="1"/>
    <col min="4098" max="4098" width="26.28515625" style="372" customWidth="1"/>
    <col min="4099" max="4099" width="21.140625" style="372" customWidth="1"/>
    <col min="4100" max="4100" width="21.28515625" style="372" customWidth="1"/>
    <col min="4101" max="4101" width="12.5703125" style="372" customWidth="1"/>
    <col min="4102" max="4102" width="21.42578125" style="372" customWidth="1"/>
    <col min="4103" max="4103" width="12.7109375" style="372" customWidth="1"/>
    <col min="4104" max="4104" width="13" style="372" customWidth="1"/>
    <col min="4105" max="4105" width="9.140625" style="372"/>
    <col min="4106" max="4106" width="17.85546875" style="372" bestFit="1" customWidth="1"/>
    <col min="4107" max="4352" width="9.140625" style="372"/>
    <col min="4353" max="4353" width="4.7109375" style="372" customWidth="1"/>
    <col min="4354" max="4354" width="26.28515625" style="372" customWidth="1"/>
    <col min="4355" max="4355" width="21.140625" style="372" customWidth="1"/>
    <col min="4356" max="4356" width="21.28515625" style="372" customWidth="1"/>
    <col min="4357" max="4357" width="12.5703125" style="372" customWidth="1"/>
    <col min="4358" max="4358" width="21.42578125" style="372" customWidth="1"/>
    <col min="4359" max="4359" width="12.7109375" style="372" customWidth="1"/>
    <col min="4360" max="4360" width="13" style="372" customWidth="1"/>
    <col min="4361" max="4361" width="9.140625" style="372"/>
    <col min="4362" max="4362" width="17.85546875" style="372" bestFit="1" customWidth="1"/>
    <col min="4363" max="4608" width="9.140625" style="372"/>
    <col min="4609" max="4609" width="4.7109375" style="372" customWidth="1"/>
    <col min="4610" max="4610" width="26.28515625" style="372" customWidth="1"/>
    <col min="4611" max="4611" width="21.140625" style="372" customWidth="1"/>
    <col min="4612" max="4612" width="21.28515625" style="372" customWidth="1"/>
    <col min="4613" max="4613" width="12.5703125" style="372" customWidth="1"/>
    <col min="4614" max="4614" width="21.42578125" style="372" customWidth="1"/>
    <col min="4615" max="4615" width="12.7109375" style="372" customWidth="1"/>
    <col min="4616" max="4616" width="13" style="372" customWidth="1"/>
    <col min="4617" max="4617" width="9.140625" style="372"/>
    <col min="4618" max="4618" width="17.85546875" style="372" bestFit="1" customWidth="1"/>
    <col min="4619" max="4864" width="9.140625" style="372"/>
    <col min="4865" max="4865" width="4.7109375" style="372" customWidth="1"/>
    <col min="4866" max="4866" width="26.28515625" style="372" customWidth="1"/>
    <col min="4867" max="4867" width="21.140625" style="372" customWidth="1"/>
    <col min="4868" max="4868" width="21.28515625" style="372" customWidth="1"/>
    <col min="4869" max="4869" width="12.5703125" style="372" customWidth="1"/>
    <col min="4870" max="4870" width="21.42578125" style="372" customWidth="1"/>
    <col min="4871" max="4871" width="12.7109375" style="372" customWidth="1"/>
    <col min="4872" max="4872" width="13" style="372" customWidth="1"/>
    <col min="4873" max="4873" width="9.140625" style="372"/>
    <col min="4874" max="4874" width="17.85546875" style="372" bestFit="1" customWidth="1"/>
    <col min="4875" max="5120" width="9.140625" style="372"/>
    <col min="5121" max="5121" width="4.7109375" style="372" customWidth="1"/>
    <col min="5122" max="5122" width="26.28515625" style="372" customWidth="1"/>
    <col min="5123" max="5123" width="21.140625" style="372" customWidth="1"/>
    <col min="5124" max="5124" width="21.28515625" style="372" customWidth="1"/>
    <col min="5125" max="5125" width="12.5703125" style="372" customWidth="1"/>
    <col min="5126" max="5126" width="21.42578125" style="372" customWidth="1"/>
    <col min="5127" max="5127" width="12.7109375" style="372" customWidth="1"/>
    <col min="5128" max="5128" width="13" style="372" customWidth="1"/>
    <col min="5129" max="5129" width="9.140625" style="372"/>
    <col min="5130" max="5130" width="17.85546875" style="372" bestFit="1" customWidth="1"/>
    <col min="5131" max="5376" width="9.140625" style="372"/>
    <col min="5377" max="5377" width="4.7109375" style="372" customWidth="1"/>
    <col min="5378" max="5378" width="26.28515625" style="372" customWidth="1"/>
    <col min="5379" max="5379" width="21.140625" style="372" customWidth="1"/>
    <col min="5380" max="5380" width="21.28515625" style="372" customWidth="1"/>
    <col min="5381" max="5381" width="12.5703125" style="372" customWidth="1"/>
    <col min="5382" max="5382" width="21.42578125" style="372" customWidth="1"/>
    <col min="5383" max="5383" width="12.7109375" style="372" customWidth="1"/>
    <col min="5384" max="5384" width="13" style="372" customWidth="1"/>
    <col min="5385" max="5385" width="9.140625" style="372"/>
    <col min="5386" max="5386" width="17.85546875" style="372" bestFit="1" customWidth="1"/>
    <col min="5387" max="5632" width="9.140625" style="372"/>
    <col min="5633" max="5633" width="4.7109375" style="372" customWidth="1"/>
    <col min="5634" max="5634" width="26.28515625" style="372" customWidth="1"/>
    <col min="5635" max="5635" width="21.140625" style="372" customWidth="1"/>
    <col min="5636" max="5636" width="21.28515625" style="372" customWidth="1"/>
    <col min="5637" max="5637" width="12.5703125" style="372" customWidth="1"/>
    <col min="5638" max="5638" width="21.42578125" style="372" customWidth="1"/>
    <col min="5639" max="5639" width="12.7109375" style="372" customWidth="1"/>
    <col min="5640" max="5640" width="13" style="372" customWidth="1"/>
    <col min="5641" max="5641" width="9.140625" style="372"/>
    <col min="5642" max="5642" width="17.85546875" style="372" bestFit="1" customWidth="1"/>
    <col min="5643" max="5888" width="9.140625" style="372"/>
    <col min="5889" max="5889" width="4.7109375" style="372" customWidth="1"/>
    <col min="5890" max="5890" width="26.28515625" style="372" customWidth="1"/>
    <col min="5891" max="5891" width="21.140625" style="372" customWidth="1"/>
    <col min="5892" max="5892" width="21.28515625" style="372" customWidth="1"/>
    <col min="5893" max="5893" width="12.5703125" style="372" customWidth="1"/>
    <col min="5894" max="5894" width="21.42578125" style="372" customWidth="1"/>
    <col min="5895" max="5895" width="12.7109375" style="372" customWidth="1"/>
    <col min="5896" max="5896" width="13" style="372" customWidth="1"/>
    <col min="5897" max="5897" width="9.140625" style="372"/>
    <col min="5898" max="5898" width="17.85546875" style="372" bestFit="1" customWidth="1"/>
    <col min="5899" max="6144" width="9.140625" style="372"/>
    <col min="6145" max="6145" width="4.7109375" style="372" customWidth="1"/>
    <col min="6146" max="6146" width="26.28515625" style="372" customWidth="1"/>
    <col min="6147" max="6147" width="21.140625" style="372" customWidth="1"/>
    <col min="6148" max="6148" width="21.28515625" style="372" customWidth="1"/>
    <col min="6149" max="6149" width="12.5703125" style="372" customWidth="1"/>
    <col min="6150" max="6150" width="21.42578125" style="372" customWidth="1"/>
    <col min="6151" max="6151" width="12.7109375" style="372" customWidth="1"/>
    <col min="6152" max="6152" width="13" style="372" customWidth="1"/>
    <col min="6153" max="6153" width="9.140625" style="372"/>
    <col min="6154" max="6154" width="17.85546875" style="372" bestFit="1" customWidth="1"/>
    <col min="6155" max="6400" width="9.140625" style="372"/>
    <col min="6401" max="6401" width="4.7109375" style="372" customWidth="1"/>
    <col min="6402" max="6402" width="26.28515625" style="372" customWidth="1"/>
    <col min="6403" max="6403" width="21.140625" style="372" customWidth="1"/>
    <col min="6404" max="6404" width="21.28515625" style="372" customWidth="1"/>
    <col min="6405" max="6405" width="12.5703125" style="372" customWidth="1"/>
    <col min="6406" max="6406" width="21.42578125" style="372" customWidth="1"/>
    <col min="6407" max="6407" width="12.7109375" style="372" customWidth="1"/>
    <col min="6408" max="6408" width="13" style="372" customWidth="1"/>
    <col min="6409" max="6409" width="9.140625" style="372"/>
    <col min="6410" max="6410" width="17.85546875" style="372" bestFit="1" customWidth="1"/>
    <col min="6411" max="6656" width="9.140625" style="372"/>
    <col min="6657" max="6657" width="4.7109375" style="372" customWidth="1"/>
    <col min="6658" max="6658" width="26.28515625" style="372" customWidth="1"/>
    <col min="6659" max="6659" width="21.140625" style="372" customWidth="1"/>
    <col min="6660" max="6660" width="21.28515625" style="372" customWidth="1"/>
    <col min="6661" max="6661" width="12.5703125" style="372" customWidth="1"/>
    <col min="6662" max="6662" width="21.42578125" style="372" customWidth="1"/>
    <col min="6663" max="6663" width="12.7109375" style="372" customWidth="1"/>
    <col min="6664" max="6664" width="13" style="372" customWidth="1"/>
    <col min="6665" max="6665" width="9.140625" style="372"/>
    <col min="6666" max="6666" width="17.85546875" style="372" bestFit="1" customWidth="1"/>
    <col min="6667" max="6912" width="9.140625" style="372"/>
    <col min="6913" max="6913" width="4.7109375" style="372" customWidth="1"/>
    <col min="6914" max="6914" width="26.28515625" style="372" customWidth="1"/>
    <col min="6915" max="6915" width="21.140625" style="372" customWidth="1"/>
    <col min="6916" max="6916" width="21.28515625" style="372" customWidth="1"/>
    <col min="6917" max="6917" width="12.5703125" style="372" customWidth="1"/>
    <col min="6918" max="6918" width="21.42578125" style="372" customWidth="1"/>
    <col min="6919" max="6919" width="12.7109375" style="372" customWidth="1"/>
    <col min="6920" max="6920" width="13" style="372" customWidth="1"/>
    <col min="6921" max="6921" width="9.140625" style="372"/>
    <col min="6922" max="6922" width="17.85546875" style="372" bestFit="1" customWidth="1"/>
    <col min="6923" max="7168" width="9.140625" style="372"/>
    <col min="7169" max="7169" width="4.7109375" style="372" customWidth="1"/>
    <col min="7170" max="7170" width="26.28515625" style="372" customWidth="1"/>
    <col min="7171" max="7171" width="21.140625" style="372" customWidth="1"/>
    <col min="7172" max="7172" width="21.28515625" style="372" customWidth="1"/>
    <col min="7173" max="7173" width="12.5703125" style="372" customWidth="1"/>
    <col min="7174" max="7174" width="21.42578125" style="372" customWidth="1"/>
    <col min="7175" max="7175" width="12.7109375" style="372" customWidth="1"/>
    <col min="7176" max="7176" width="13" style="372" customWidth="1"/>
    <col min="7177" max="7177" width="9.140625" style="372"/>
    <col min="7178" max="7178" width="17.85546875" style="372" bestFit="1" customWidth="1"/>
    <col min="7179" max="7424" width="9.140625" style="372"/>
    <col min="7425" max="7425" width="4.7109375" style="372" customWidth="1"/>
    <col min="7426" max="7426" width="26.28515625" style="372" customWidth="1"/>
    <col min="7427" max="7427" width="21.140625" style="372" customWidth="1"/>
    <col min="7428" max="7428" width="21.28515625" style="372" customWidth="1"/>
    <col min="7429" max="7429" width="12.5703125" style="372" customWidth="1"/>
    <col min="7430" max="7430" width="21.42578125" style="372" customWidth="1"/>
    <col min="7431" max="7431" width="12.7109375" style="372" customWidth="1"/>
    <col min="7432" max="7432" width="13" style="372" customWidth="1"/>
    <col min="7433" max="7433" width="9.140625" style="372"/>
    <col min="7434" max="7434" width="17.85546875" style="372" bestFit="1" customWidth="1"/>
    <col min="7435" max="7680" width="9.140625" style="372"/>
    <col min="7681" max="7681" width="4.7109375" style="372" customWidth="1"/>
    <col min="7682" max="7682" width="26.28515625" style="372" customWidth="1"/>
    <col min="7683" max="7683" width="21.140625" style="372" customWidth="1"/>
    <col min="7684" max="7684" width="21.28515625" style="372" customWidth="1"/>
    <col min="7685" max="7685" width="12.5703125" style="372" customWidth="1"/>
    <col min="7686" max="7686" width="21.42578125" style="372" customWidth="1"/>
    <col min="7687" max="7687" width="12.7109375" style="372" customWidth="1"/>
    <col min="7688" max="7688" width="13" style="372" customWidth="1"/>
    <col min="7689" max="7689" width="9.140625" style="372"/>
    <col min="7690" max="7690" width="17.85546875" style="372" bestFit="1" customWidth="1"/>
    <col min="7691" max="7936" width="9.140625" style="372"/>
    <col min="7937" max="7937" width="4.7109375" style="372" customWidth="1"/>
    <col min="7938" max="7938" width="26.28515625" style="372" customWidth="1"/>
    <col min="7939" max="7939" width="21.140625" style="372" customWidth="1"/>
    <col min="7940" max="7940" width="21.28515625" style="372" customWidth="1"/>
    <col min="7941" max="7941" width="12.5703125" style="372" customWidth="1"/>
    <col min="7942" max="7942" width="21.42578125" style="372" customWidth="1"/>
    <col min="7943" max="7943" width="12.7109375" style="372" customWidth="1"/>
    <col min="7944" max="7944" width="13" style="372" customWidth="1"/>
    <col min="7945" max="7945" width="9.140625" style="372"/>
    <col min="7946" max="7946" width="17.85546875" style="372" bestFit="1" customWidth="1"/>
    <col min="7947" max="8192" width="9.140625" style="372"/>
    <col min="8193" max="8193" width="4.7109375" style="372" customWidth="1"/>
    <col min="8194" max="8194" width="26.28515625" style="372" customWidth="1"/>
    <col min="8195" max="8195" width="21.140625" style="372" customWidth="1"/>
    <col min="8196" max="8196" width="21.28515625" style="372" customWidth="1"/>
    <col min="8197" max="8197" width="12.5703125" style="372" customWidth="1"/>
    <col min="8198" max="8198" width="21.42578125" style="372" customWidth="1"/>
    <col min="8199" max="8199" width="12.7109375" style="372" customWidth="1"/>
    <col min="8200" max="8200" width="13" style="372" customWidth="1"/>
    <col min="8201" max="8201" width="9.140625" style="372"/>
    <col min="8202" max="8202" width="17.85546875" style="372" bestFit="1" customWidth="1"/>
    <col min="8203" max="8448" width="9.140625" style="372"/>
    <col min="8449" max="8449" width="4.7109375" style="372" customWidth="1"/>
    <col min="8450" max="8450" width="26.28515625" style="372" customWidth="1"/>
    <col min="8451" max="8451" width="21.140625" style="372" customWidth="1"/>
    <col min="8452" max="8452" width="21.28515625" style="372" customWidth="1"/>
    <col min="8453" max="8453" width="12.5703125" style="372" customWidth="1"/>
    <col min="8454" max="8454" width="21.42578125" style="372" customWidth="1"/>
    <col min="8455" max="8455" width="12.7109375" style="372" customWidth="1"/>
    <col min="8456" max="8456" width="13" style="372" customWidth="1"/>
    <col min="8457" max="8457" width="9.140625" style="372"/>
    <col min="8458" max="8458" width="17.85546875" style="372" bestFit="1" customWidth="1"/>
    <col min="8459" max="8704" width="9.140625" style="372"/>
    <col min="8705" max="8705" width="4.7109375" style="372" customWidth="1"/>
    <col min="8706" max="8706" width="26.28515625" style="372" customWidth="1"/>
    <col min="8707" max="8707" width="21.140625" style="372" customWidth="1"/>
    <col min="8708" max="8708" width="21.28515625" style="372" customWidth="1"/>
    <col min="8709" max="8709" width="12.5703125" style="372" customWidth="1"/>
    <col min="8710" max="8710" width="21.42578125" style="372" customWidth="1"/>
    <col min="8711" max="8711" width="12.7109375" style="372" customWidth="1"/>
    <col min="8712" max="8712" width="13" style="372" customWidth="1"/>
    <col min="8713" max="8713" width="9.140625" style="372"/>
    <col min="8714" max="8714" width="17.85546875" style="372" bestFit="1" customWidth="1"/>
    <col min="8715" max="8960" width="9.140625" style="372"/>
    <col min="8961" max="8961" width="4.7109375" style="372" customWidth="1"/>
    <col min="8962" max="8962" width="26.28515625" style="372" customWidth="1"/>
    <col min="8963" max="8963" width="21.140625" style="372" customWidth="1"/>
    <col min="8964" max="8964" width="21.28515625" style="372" customWidth="1"/>
    <col min="8965" max="8965" width="12.5703125" style="372" customWidth="1"/>
    <col min="8966" max="8966" width="21.42578125" style="372" customWidth="1"/>
    <col min="8967" max="8967" width="12.7109375" style="372" customWidth="1"/>
    <col min="8968" max="8968" width="13" style="372" customWidth="1"/>
    <col min="8969" max="8969" width="9.140625" style="372"/>
    <col min="8970" max="8970" width="17.85546875" style="372" bestFit="1" customWidth="1"/>
    <col min="8971" max="9216" width="9.140625" style="372"/>
    <col min="9217" max="9217" width="4.7109375" style="372" customWidth="1"/>
    <col min="9218" max="9218" width="26.28515625" style="372" customWidth="1"/>
    <col min="9219" max="9219" width="21.140625" style="372" customWidth="1"/>
    <col min="9220" max="9220" width="21.28515625" style="372" customWidth="1"/>
    <col min="9221" max="9221" width="12.5703125" style="372" customWidth="1"/>
    <col min="9222" max="9222" width="21.42578125" style="372" customWidth="1"/>
    <col min="9223" max="9223" width="12.7109375" style="372" customWidth="1"/>
    <col min="9224" max="9224" width="13" style="372" customWidth="1"/>
    <col min="9225" max="9225" width="9.140625" style="372"/>
    <col min="9226" max="9226" width="17.85546875" style="372" bestFit="1" customWidth="1"/>
    <col min="9227" max="9472" width="9.140625" style="372"/>
    <col min="9473" max="9473" width="4.7109375" style="372" customWidth="1"/>
    <col min="9474" max="9474" width="26.28515625" style="372" customWidth="1"/>
    <col min="9475" max="9475" width="21.140625" style="372" customWidth="1"/>
    <col min="9476" max="9476" width="21.28515625" style="372" customWidth="1"/>
    <col min="9477" max="9477" width="12.5703125" style="372" customWidth="1"/>
    <col min="9478" max="9478" width="21.42578125" style="372" customWidth="1"/>
    <col min="9479" max="9479" width="12.7109375" style="372" customWidth="1"/>
    <col min="9480" max="9480" width="13" style="372" customWidth="1"/>
    <col min="9481" max="9481" width="9.140625" style="372"/>
    <col min="9482" max="9482" width="17.85546875" style="372" bestFit="1" customWidth="1"/>
    <col min="9483" max="9728" width="9.140625" style="372"/>
    <col min="9729" max="9729" width="4.7109375" style="372" customWidth="1"/>
    <col min="9730" max="9730" width="26.28515625" style="372" customWidth="1"/>
    <col min="9731" max="9731" width="21.140625" style="372" customWidth="1"/>
    <col min="9732" max="9732" width="21.28515625" style="372" customWidth="1"/>
    <col min="9733" max="9733" width="12.5703125" style="372" customWidth="1"/>
    <col min="9734" max="9734" width="21.42578125" style="372" customWidth="1"/>
    <col min="9735" max="9735" width="12.7109375" style="372" customWidth="1"/>
    <col min="9736" max="9736" width="13" style="372" customWidth="1"/>
    <col min="9737" max="9737" width="9.140625" style="372"/>
    <col min="9738" max="9738" width="17.85546875" style="372" bestFit="1" customWidth="1"/>
    <col min="9739" max="9984" width="9.140625" style="372"/>
    <col min="9985" max="9985" width="4.7109375" style="372" customWidth="1"/>
    <col min="9986" max="9986" width="26.28515625" style="372" customWidth="1"/>
    <col min="9987" max="9987" width="21.140625" style="372" customWidth="1"/>
    <col min="9988" max="9988" width="21.28515625" style="372" customWidth="1"/>
    <col min="9989" max="9989" width="12.5703125" style="372" customWidth="1"/>
    <col min="9990" max="9990" width="21.42578125" style="372" customWidth="1"/>
    <col min="9991" max="9991" width="12.7109375" style="372" customWidth="1"/>
    <col min="9992" max="9992" width="13" style="372" customWidth="1"/>
    <col min="9993" max="9993" width="9.140625" style="372"/>
    <col min="9994" max="9994" width="17.85546875" style="372" bestFit="1" customWidth="1"/>
    <col min="9995" max="10240" width="9.140625" style="372"/>
    <col min="10241" max="10241" width="4.7109375" style="372" customWidth="1"/>
    <col min="10242" max="10242" width="26.28515625" style="372" customWidth="1"/>
    <col min="10243" max="10243" width="21.140625" style="372" customWidth="1"/>
    <col min="10244" max="10244" width="21.28515625" style="372" customWidth="1"/>
    <col min="10245" max="10245" width="12.5703125" style="372" customWidth="1"/>
    <col min="10246" max="10246" width="21.42578125" style="372" customWidth="1"/>
    <col min="10247" max="10247" width="12.7109375" style="372" customWidth="1"/>
    <col min="10248" max="10248" width="13" style="372" customWidth="1"/>
    <col min="10249" max="10249" width="9.140625" style="372"/>
    <col min="10250" max="10250" width="17.85546875" style="372" bestFit="1" customWidth="1"/>
    <col min="10251" max="10496" width="9.140625" style="372"/>
    <col min="10497" max="10497" width="4.7109375" style="372" customWidth="1"/>
    <col min="10498" max="10498" width="26.28515625" style="372" customWidth="1"/>
    <col min="10499" max="10499" width="21.140625" style="372" customWidth="1"/>
    <col min="10500" max="10500" width="21.28515625" style="372" customWidth="1"/>
    <col min="10501" max="10501" width="12.5703125" style="372" customWidth="1"/>
    <col min="10502" max="10502" width="21.42578125" style="372" customWidth="1"/>
    <col min="10503" max="10503" width="12.7109375" style="372" customWidth="1"/>
    <col min="10504" max="10504" width="13" style="372" customWidth="1"/>
    <col min="10505" max="10505" width="9.140625" style="372"/>
    <col min="10506" max="10506" width="17.85546875" style="372" bestFit="1" customWidth="1"/>
    <col min="10507" max="10752" width="9.140625" style="372"/>
    <col min="10753" max="10753" width="4.7109375" style="372" customWidth="1"/>
    <col min="10754" max="10754" width="26.28515625" style="372" customWidth="1"/>
    <col min="10755" max="10755" width="21.140625" style="372" customWidth="1"/>
    <col min="10756" max="10756" width="21.28515625" style="372" customWidth="1"/>
    <col min="10757" max="10757" width="12.5703125" style="372" customWidth="1"/>
    <col min="10758" max="10758" width="21.42578125" style="372" customWidth="1"/>
    <col min="10759" max="10759" width="12.7109375" style="372" customWidth="1"/>
    <col min="10760" max="10760" width="13" style="372" customWidth="1"/>
    <col min="10761" max="10761" width="9.140625" style="372"/>
    <col min="10762" max="10762" width="17.85546875" style="372" bestFit="1" customWidth="1"/>
    <col min="10763" max="11008" width="9.140625" style="372"/>
    <col min="11009" max="11009" width="4.7109375" style="372" customWidth="1"/>
    <col min="11010" max="11010" width="26.28515625" style="372" customWidth="1"/>
    <col min="11011" max="11011" width="21.140625" style="372" customWidth="1"/>
    <col min="11012" max="11012" width="21.28515625" style="372" customWidth="1"/>
    <col min="11013" max="11013" width="12.5703125" style="372" customWidth="1"/>
    <col min="11014" max="11014" width="21.42578125" style="372" customWidth="1"/>
    <col min="11015" max="11015" width="12.7109375" style="372" customWidth="1"/>
    <col min="11016" max="11016" width="13" style="372" customWidth="1"/>
    <col min="11017" max="11017" width="9.140625" style="372"/>
    <col min="11018" max="11018" width="17.85546875" style="372" bestFit="1" customWidth="1"/>
    <col min="11019" max="11264" width="9.140625" style="372"/>
    <col min="11265" max="11265" width="4.7109375" style="372" customWidth="1"/>
    <col min="11266" max="11266" width="26.28515625" style="372" customWidth="1"/>
    <col min="11267" max="11267" width="21.140625" style="372" customWidth="1"/>
    <col min="11268" max="11268" width="21.28515625" style="372" customWidth="1"/>
    <col min="11269" max="11269" width="12.5703125" style="372" customWidth="1"/>
    <col min="11270" max="11270" width="21.42578125" style="372" customWidth="1"/>
    <col min="11271" max="11271" width="12.7109375" style="372" customWidth="1"/>
    <col min="11272" max="11272" width="13" style="372" customWidth="1"/>
    <col min="11273" max="11273" width="9.140625" style="372"/>
    <col min="11274" max="11274" width="17.85546875" style="372" bestFit="1" customWidth="1"/>
    <col min="11275" max="11520" width="9.140625" style="372"/>
    <col min="11521" max="11521" width="4.7109375" style="372" customWidth="1"/>
    <col min="11522" max="11522" width="26.28515625" style="372" customWidth="1"/>
    <col min="11523" max="11523" width="21.140625" style="372" customWidth="1"/>
    <col min="11524" max="11524" width="21.28515625" style="372" customWidth="1"/>
    <col min="11525" max="11525" width="12.5703125" style="372" customWidth="1"/>
    <col min="11526" max="11526" width="21.42578125" style="372" customWidth="1"/>
    <col min="11527" max="11527" width="12.7109375" style="372" customWidth="1"/>
    <col min="11528" max="11528" width="13" style="372" customWidth="1"/>
    <col min="11529" max="11529" width="9.140625" style="372"/>
    <col min="11530" max="11530" width="17.85546875" style="372" bestFit="1" customWidth="1"/>
    <col min="11531" max="11776" width="9.140625" style="372"/>
    <col min="11777" max="11777" width="4.7109375" style="372" customWidth="1"/>
    <col min="11778" max="11778" width="26.28515625" style="372" customWidth="1"/>
    <col min="11779" max="11779" width="21.140625" style="372" customWidth="1"/>
    <col min="11780" max="11780" width="21.28515625" style="372" customWidth="1"/>
    <col min="11781" max="11781" width="12.5703125" style="372" customWidth="1"/>
    <col min="11782" max="11782" width="21.42578125" style="372" customWidth="1"/>
    <col min="11783" max="11783" width="12.7109375" style="372" customWidth="1"/>
    <col min="11784" max="11784" width="13" style="372" customWidth="1"/>
    <col min="11785" max="11785" width="9.140625" style="372"/>
    <col min="11786" max="11786" width="17.85546875" style="372" bestFit="1" customWidth="1"/>
    <col min="11787" max="12032" width="9.140625" style="372"/>
    <col min="12033" max="12033" width="4.7109375" style="372" customWidth="1"/>
    <col min="12034" max="12034" width="26.28515625" style="372" customWidth="1"/>
    <col min="12035" max="12035" width="21.140625" style="372" customWidth="1"/>
    <col min="12036" max="12036" width="21.28515625" style="372" customWidth="1"/>
    <col min="12037" max="12037" width="12.5703125" style="372" customWidth="1"/>
    <col min="12038" max="12038" width="21.42578125" style="372" customWidth="1"/>
    <col min="12039" max="12039" width="12.7109375" style="372" customWidth="1"/>
    <col min="12040" max="12040" width="13" style="372" customWidth="1"/>
    <col min="12041" max="12041" width="9.140625" style="372"/>
    <col min="12042" max="12042" width="17.85546875" style="372" bestFit="1" customWidth="1"/>
    <col min="12043" max="12288" width="9.140625" style="372"/>
    <col min="12289" max="12289" width="4.7109375" style="372" customWidth="1"/>
    <col min="12290" max="12290" width="26.28515625" style="372" customWidth="1"/>
    <col min="12291" max="12291" width="21.140625" style="372" customWidth="1"/>
    <col min="12292" max="12292" width="21.28515625" style="372" customWidth="1"/>
    <col min="12293" max="12293" width="12.5703125" style="372" customWidth="1"/>
    <col min="12294" max="12294" width="21.42578125" style="372" customWidth="1"/>
    <col min="12295" max="12295" width="12.7109375" style="372" customWidth="1"/>
    <col min="12296" max="12296" width="13" style="372" customWidth="1"/>
    <col min="12297" max="12297" width="9.140625" style="372"/>
    <col min="12298" max="12298" width="17.85546875" style="372" bestFit="1" customWidth="1"/>
    <col min="12299" max="12544" width="9.140625" style="372"/>
    <col min="12545" max="12545" width="4.7109375" style="372" customWidth="1"/>
    <col min="12546" max="12546" width="26.28515625" style="372" customWidth="1"/>
    <col min="12547" max="12547" width="21.140625" style="372" customWidth="1"/>
    <col min="12548" max="12548" width="21.28515625" style="372" customWidth="1"/>
    <col min="12549" max="12549" width="12.5703125" style="372" customWidth="1"/>
    <col min="12550" max="12550" width="21.42578125" style="372" customWidth="1"/>
    <col min="12551" max="12551" width="12.7109375" style="372" customWidth="1"/>
    <col min="12552" max="12552" width="13" style="372" customWidth="1"/>
    <col min="12553" max="12553" width="9.140625" style="372"/>
    <col min="12554" max="12554" width="17.85546875" style="372" bestFit="1" customWidth="1"/>
    <col min="12555" max="12800" width="9.140625" style="372"/>
    <col min="12801" max="12801" width="4.7109375" style="372" customWidth="1"/>
    <col min="12802" max="12802" width="26.28515625" style="372" customWidth="1"/>
    <col min="12803" max="12803" width="21.140625" style="372" customWidth="1"/>
    <col min="12804" max="12804" width="21.28515625" style="372" customWidth="1"/>
    <col min="12805" max="12805" width="12.5703125" style="372" customWidth="1"/>
    <col min="12806" max="12806" width="21.42578125" style="372" customWidth="1"/>
    <col min="12807" max="12807" width="12.7109375" style="372" customWidth="1"/>
    <col min="12808" max="12808" width="13" style="372" customWidth="1"/>
    <col min="12809" max="12809" width="9.140625" style="372"/>
    <col min="12810" max="12810" width="17.85546875" style="372" bestFit="1" customWidth="1"/>
    <col min="12811" max="13056" width="9.140625" style="372"/>
    <col min="13057" max="13057" width="4.7109375" style="372" customWidth="1"/>
    <col min="13058" max="13058" width="26.28515625" style="372" customWidth="1"/>
    <col min="13059" max="13059" width="21.140625" style="372" customWidth="1"/>
    <col min="13060" max="13060" width="21.28515625" style="372" customWidth="1"/>
    <col min="13061" max="13061" width="12.5703125" style="372" customWidth="1"/>
    <col min="13062" max="13062" width="21.42578125" style="372" customWidth="1"/>
    <col min="13063" max="13063" width="12.7109375" style="372" customWidth="1"/>
    <col min="13064" max="13064" width="13" style="372" customWidth="1"/>
    <col min="13065" max="13065" width="9.140625" style="372"/>
    <col min="13066" max="13066" width="17.85546875" style="372" bestFit="1" customWidth="1"/>
    <col min="13067" max="13312" width="9.140625" style="372"/>
    <col min="13313" max="13313" width="4.7109375" style="372" customWidth="1"/>
    <col min="13314" max="13314" width="26.28515625" style="372" customWidth="1"/>
    <col min="13315" max="13315" width="21.140625" style="372" customWidth="1"/>
    <col min="13316" max="13316" width="21.28515625" style="372" customWidth="1"/>
    <col min="13317" max="13317" width="12.5703125" style="372" customWidth="1"/>
    <col min="13318" max="13318" width="21.42578125" style="372" customWidth="1"/>
    <col min="13319" max="13319" width="12.7109375" style="372" customWidth="1"/>
    <col min="13320" max="13320" width="13" style="372" customWidth="1"/>
    <col min="13321" max="13321" width="9.140625" style="372"/>
    <col min="13322" max="13322" width="17.85546875" style="372" bestFit="1" customWidth="1"/>
    <col min="13323" max="13568" width="9.140625" style="372"/>
    <col min="13569" max="13569" width="4.7109375" style="372" customWidth="1"/>
    <col min="13570" max="13570" width="26.28515625" style="372" customWidth="1"/>
    <col min="13571" max="13571" width="21.140625" style="372" customWidth="1"/>
    <col min="13572" max="13572" width="21.28515625" style="372" customWidth="1"/>
    <col min="13573" max="13573" width="12.5703125" style="372" customWidth="1"/>
    <col min="13574" max="13574" width="21.42578125" style="372" customWidth="1"/>
    <col min="13575" max="13575" width="12.7109375" style="372" customWidth="1"/>
    <col min="13576" max="13576" width="13" style="372" customWidth="1"/>
    <col min="13577" max="13577" width="9.140625" style="372"/>
    <col min="13578" max="13578" width="17.85546875" style="372" bestFit="1" customWidth="1"/>
    <col min="13579" max="13824" width="9.140625" style="372"/>
    <col min="13825" max="13825" width="4.7109375" style="372" customWidth="1"/>
    <col min="13826" max="13826" width="26.28515625" style="372" customWidth="1"/>
    <col min="13827" max="13827" width="21.140625" style="372" customWidth="1"/>
    <col min="13828" max="13828" width="21.28515625" style="372" customWidth="1"/>
    <col min="13829" max="13829" width="12.5703125" style="372" customWidth="1"/>
    <col min="13830" max="13830" width="21.42578125" style="372" customWidth="1"/>
    <col min="13831" max="13831" width="12.7109375" style="372" customWidth="1"/>
    <col min="13832" max="13832" width="13" style="372" customWidth="1"/>
    <col min="13833" max="13833" width="9.140625" style="372"/>
    <col min="13834" max="13834" width="17.85546875" style="372" bestFit="1" customWidth="1"/>
    <col min="13835" max="14080" width="9.140625" style="372"/>
    <col min="14081" max="14081" width="4.7109375" style="372" customWidth="1"/>
    <col min="14082" max="14082" width="26.28515625" style="372" customWidth="1"/>
    <col min="14083" max="14083" width="21.140625" style="372" customWidth="1"/>
    <col min="14084" max="14084" width="21.28515625" style="372" customWidth="1"/>
    <col min="14085" max="14085" width="12.5703125" style="372" customWidth="1"/>
    <col min="14086" max="14086" width="21.42578125" style="372" customWidth="1"/>
    <col min="14087" max="14087" width="12.7109375" style="372" customWidth="1"/>
    <col min="14088" max="14088" width="13" style="372" customWidth="1"/>
    <col min="14089" max="14089" width="9.140625" style="372"/>
    <col min="14090" max="14090" width="17.85546875" style="372" bestFit="1" customWidth="1"/>
    <col min="14091" max="14336" width="9.140625" style="372"/>
    <col min="14337" max="14337" width="4.7109375" style="372" customWidth="1"/>
    <col min="14338" max="14338" width="26.28515625" style="372" customWidth="1"/>
    <col min="14339" max="14339" width="21.140625" style="372" customWidth="1"/>
    <col min="14340" max="14340" width="21.28515625" style="372" customWidth="1"/>
    <col min="14341" max="14341" width="12.5703125" style="372" customWidth="1"/>
    <col min="14342" max="14342" width="21.42578125" style="372" customWidth="1"/>
    <col min="14343" max="14343" width="12.7109375" style="372" customWidth="1"/>
    <col min="14344" max="14344" width="13" style="372" customWidth="1"/>
    <col min="14345" max="14345" width="9.140625" style="372"/>
    <col min="14346" max="14346" width="17.85546875" style="372" bestFit="1" customWidth="1"/>
    <col min="14347" max="14592" width="9.140625" style="372"/>
    <col min="14593" max="14593" width="4.7109375" style="372" customWidth="1"/>
    <col min="14594" max="14594" width="26.28515625" style="372" customWidth="1"/>
    <col min="14595" max="14595" width="21.140625" style="372" customWidth="1"/>
    <col min="14596" max="14596" width="21.28515625" style="372" customWidth="1"/>
    <col min="14597" max="14597" width="12.5703125" style="372" customWidth="1"/>
    <col min="14598" max="14598" width="21.42578125" style="372" customWidth="1"/>
    <col min="14599" max="14599" width="12.7109375" style="372" customWidth="1"/>
    <col min="14600" max="14600" width="13" style="372" customWidth="1"/>
    <col min="14601" max="14601" width="9.140625" style="372"/>
    <col min="14602" max="14602" width="17.85546875" style="372" bestFit="1" customWidth="1"/>
    <col min="14603" max="14848" width="9.140625" style="372"/>
    <col min="14849" max="14849" width="4.7109375" style="372" customWidth="1"/>
    <col min="14850" max="14850" width="26.28515625" style="372" customWidth="1"/>
    <col min="14851" max="14851" width="21.140625" style="372" customWidth="1"/>
    <col min="14852" max="14852" width="21.28515625" style="372" customWidth="1"/>
    <col min="14853" max="14853" width="12.5703125" style="372" customWidth="1"/>
    <col min="14854" max="14854" width="21.42578125" style="372" customWidth="1"/>
    <col min="14855" max="14855" width="12.7109375" style="372" customWidth="1"/>
    <col min="14856" max="14856" width="13" style="372" customWidth="1"/>
    <col min="14857" max="14857" width="9.140625" style="372"/>
    <col min="14858" max="14858" width="17.85546875" style="372" bestFit="1" customWidth="1"/>
    <col min="14859" max="15104" width="9.140625" style="372"/>
    <col min="15105" max="15105" width="4.7109375" style="372" customWidth="1"/>
    <col min="15106" max="15106" width="26.28515625" style="372" customWidth="1"/>
    <col min="15107" max="15107" width="21.140625" style="372" customWidth="1"/>
    <col min="15108" max="15108" width="21.28515625" style="372" customWidth="1"/>
    <col min="15109" max="15109" width="12.5703125" style="372" customWidth="1"/>
    <col min="15110" max="15110" width="21.42578125" style="372" customWidth="1"/>
    <col min="15111" max="15111" width="12.7109375" style="372" customWidth="1"/>
    <col min="15112" max="15112" width="13" style="372" customWidth="1"/>
    <col min="15113" max="15113" width="9.140625" style="372"/>
    <col min="15114" max="15114" width="17.85546875" style="372" bestFit="1" customWidth="1"/>
    <col min="15115" max="15360" width="9.140625" style="372"/>
    <col min="15361" max="15361" width="4.7109375" style="372" customWidth="1"/>
    <col min="15362" max="15362" width="26.28515625" style="372" customWidth="1"/>
    <col min="15363" max="15363" width="21.140625" style="372" customWidth="1"/>
    <col min="15364" max="15364" width="21.28515625" style="372" customWidth="1"/>
    <col min="15365" max="15365" width="12.5703125" style="372" customWidth="1"/>
    <col min="15366" max="15366" width="21.42578125" style="372" customWidth="1"/>
    <col min="15367" max="15367" width="12.7109375" style="372" customWidth="1"/>
    <col min="15368" max="15368" width="13" style="372" customWidth="1"/>
    <col min="15369" max="15369" width="9.140625" style="372"/>
    <col min="15370" max="15370" width="17.85546875" style="372" bestFit="1" customWidth="1"/>
    <col min="15371" max="15616" width="9.140625" style="372"/>
    <col min="15617" max="15617" width="4.7109375" style="372" customWidth="1"/>
    <col min="15618" max="15618" width="26.28515625" style="372" customWidth="1"/>
    <col min="15619" max="15619" width="21.140625" style="372" customWidth="1"/>
    <col min="15620" max="15620" width="21.28515625" style="372" customWidth="1"/>
    <col min="15621" max="15621" width="12.5703125" style="372" customWidth="1"/>
    <col min="15622" max="15622" width="21.42578125" style="372" customWidth="1"/>
    <col min="15623" max="15623" width="12.7109375" style="372" customWidth="1"/>
    <col min="15624" max="15624" width="13" style="372" customWidth="1"/>
    <col min="15625" max="15625" width="9.140625" style="372"/>
    <col min="15626" max="15626" width="17.85546875" style="372" bestFit="1" customWidth="1"/>
    <col min="15627" max="15872" width="9.140625" style="372"/>
    <col min="15873" max="15873" width="4.7109375" style="372" customWidth="1"/>
    <col min="15874" max="15874" width="26.28515625" style="372" customWidth="1"/>
    <col min="15875" max="15875" width="21.140625" style="372" customWidth="1"/>
    <col min="15876" max="15876" width="21.28515625" style="372" customWidth="1"/>
    <col min="15877" max="15877" width="12.5703125" style="372" customWidth="1"/>
    <col min="15878" max="15878" width="21.42578125" style="372" customWidth="1"/>
    <col min="15879" max="15879" width="12.7109375" style="372" customWidth="1"/>
    <col min="15880" max="15880" width="13" style="372" customWidth="1"/>
    <col min="15881" max="15881" width="9.140625" style="372"/>
    <col min="15882" max="15882" width="17.85546875" style="372" bestFit="1" customWidth="1"/>
    <col min="15883" max="16128" width="9.140625" style="372"/>
    <col min="16129" max="16129" width="4.7109375" style="372" customWidth="1"/>
    <col min="16130" max="16130" width="26.28515625" style="372" customWidth="1"/>
    <col min="16131" max="16131" width="21.140625" style="372" customWidth="1"/>
    <col min="16132" max="16132" width="21.28515625" style="372" customWidth="1"/>
    <col min="16133" max="16133" width="12.5703125" style="372" customWidth="1"/>
    <col min="16134" max="16134" width="21.42578125" style="372" customWidth="1"/>
    <col min="16135" max="16135" width="12.7109375" style="372" customWidth="1"/>
    <col min="16136" max="16136" width="13" style="372" customWidth="1"/>
    <col min="16137" max="16137" width="9.140625" style="372"/>
    <col min="16138" max="16138" width="17.85546875" style="372" bestFit="1" customWidth="1"/>
    <col min="16139" max="16384" width="9.140625" style="372"/>
  </cols>
  <sheetData>
    <row r="1" spans="2:1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</row>
    <row r="2" spans="2:10" s="410" customFormat="1" ht="11.25" customHeight="1" x14ac:dyDescent="0.35">
      <c r="B2" s="411"/>
      <c r="E2" s="412"/>
    </row>
    <row r="3" spans="2:1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</row>
    <row r="4" spans="2:10" s="410" customFormat="1" ht="10.5" customHeight="1" x14ac:dyDescent="0.35">
      <c r="B4" s="411"/>
      <c r="E4" s="412"/>
    </row>
    <row r="5" spans="2:1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</row>
    <row r="6" spans="2:10" s="373" customFormat="1" ht="15" customHeight="1" x14ac:dyDescent="0.35">
      <c r="B6" s="374"/>
      <c r="C6" s="375"/>
      <c r="D6" s="375"/>
      <c r="E6" s="375"/>
      <c r="F6" s="375"/>
      <c r="G6" s="375"/>
      <c r="H6" s="375"/>
    </row>
    <row r="7" spans="2:10" ht="15.75" x14ac:dyDescent="0.25">
      <c r="B7" s="1494" t="s">
        <v>93</v>
      </c>
      <c r="C7" s="1494"/>
      <c r="D7" s="1494"/>
      <c r="E7" s="1494"/>
      <c r="F7" s="1494"/>
      <c r="G7" s="1494"/>
      <c r="H7" s="1494"/>
    </row>
    <row r="8" spans="2:10" ht="15.75" x14ac:dyDescent="0.25">
      <c r="B8" s="1494" t="s">
        <v>7062</v>
      </c>
      <c r="C8" s="1494"/>
      <c r="D8" s="1494"/>
      <c r="E8" s="1494"/>
      <c r="F8" s="1494"/>
      <c r="G8" s="1494"/>
      <c r="H8" s="1494"/>
    </row>
    <row r="9" spans="2:10" s="376" customFormat="1" ht="15.75" x14ac:dyDescent="0.25"/>
    <row r="10" spans="2:10" s="376" customFormat="1" ht="15.75" customHeight="1" x14ac:dyDescent="0.25">
      <c r="B10" s="1495" t="s">
        <v>94</v>
      </c>
      <c r="C10" s="1495">
        <v>2017</v>
      </c>
      <c r="D10" s="1495">
        <f>C10+1</f>
        <v>2018</v>
      </c>
      <c r="E10" s="1496" t="s">
        <v>103</v>
      </c>
      <c r="F10" s="377">
        <f>D10+1</f>
        <v>2019</v>
      </c>
      <c r="G10" s="1496" t="s">
        <v>7064</v>
      </c>
      <c r="H10" s="377" t="s">
        <v>95</v>
      </c>
    </row>
    <row r="11" spans="2:10" s="376" customFormat="1" ht="15.75" x14ac:dyDescent="0.25">
      <c r="B11" s="1495"/>
      <c r="C11" s="1495"/>
      <c r="D11" s="1495"/>
      <c r="E11" s="1496"/>
      <c r="F11" s="377" t="s">
        <v>96</v>
      </c>
      <c r="G11" s="1496"/>
      <c r="H11" s="377" t="s">
        <v>97</v>
      </c>
    </row>
    <row r="12" spans="2:10" s="382" customFormat="1" ht="15.75" x14ac:dyDescent="0.25">
      <c r="B12" s="378" t="s">
        <v>83</v>
      </c>
      <c r="C12" s="379">
        <f>CIG!D298</f>
        <v>6918993.96</v>
      </c>
      <c r="D12" s="379">
        <f>CIG!E298</f>
        <v>7413358.4299999997</v>
      </c>
      <c r="E12" s="380">
        <f>IF(C12=0,"0,00%",(D12/C12)-1)</f>
        <v>7.1450339869931101E-2</v>
      </c>
      <c r="F12" s="379">
        <f>CIG!G298</f>
        <v>8160528.4950000001</v>
      </c>
      <c r="G12" s="380">
        <f>IF(D12=0,"0,00%",(F12/D12)-1)</f>
        <v>0.1007869877134755</v>
      </c>
      <c r="H12" s="381">
        <f t="shared" ref="H12:H18" si="0">(E12+G12)/2</f>
        <v>8.6118663791703298E-2</v>
      </c>
    </row>
    <row r="13" spans="2:10" s="382" customFormat="1" ht="15.75" x14ac:dyDescent="0.25">
      <c r="B13" s="378" t="s">
        <v>84</v>
      </c>
      <c r="C13" s="379">
        <f>CIG!D301</f>
        <v>14863.7</v>
      </c>
      <c r="D13" s="379">
        <f>CIG!E301</f>
        <v>16496.03</v>
      </c>
      <c r="E13" s="380">
        <f t="shared" ref="E13:E18" si="1">IF(C13=0,"0,00%",(D13/C13)-1)</f>
        <v>0.10981989679554882</v>
      </c>
      <c r="F13" s="379">
        <f>CIG!G301</f>
        <v>2975.46</v>
      </c>
      <c r="G13" s="380">
        <f t="shared" ref="G13:G18" si="2">IF(D13=0,"0,00%",(F13/D13)-1)</f>
        <v>-0.81962569175735012</v>
      </c>
      <c r="H13" s="381">
        <f t="shared" si="0"/>
        <v>-0.35490289748090065</v>
      </c>
      <c r="J13" s="383"/>
    </row>
    <row r="14" spans="2:10" s="382" customFormat="1" ht="15.75" x14ac:dyDescent="0.25">
      <c r="B14" s="378" t="s">
        <v>85</v>
      </c>
      <c r="C14" s="379">
        <f>CIG!D303</f>
        <v>80370.61</v>
      </c>
      <c r="D14" s="379">
        <f>CIG!E303</f>
        <v>123309.59</v>
      </c>
      <c r="E14" s="380">
        <f t="shared" si="1"/>
        <v>0.53426221351312364</v>
      </c>
      <c r="F14" s="379">
        <f>CIG!G303</f>
        <v>121476.58499999999</v>
      </c>
      <c r="G14" s="380">
        <f t="shared" si="2"/>
        <v>-1.4865064428484454E-2</v>
      </c>
      <c r="H14" s="381">
        <f t="shared" si="0"/>
        <v>0.25969857454231959</v>
      </c>
    </row>
    <row r="15" spans="2:10" s="382" customFormat="1" ht="15.75" x14ac:dyDescent="0.25">
      <c r="B15" s="378" t="s">
        <v>86</v>
      </c>
      <c r="C15" s="379">
        <f>CIG!D302</f>
        <v>13795.88</v>
      </c>
      <c r="D15" s="379">
        <f>CIG!E302</f>
        <v>7287.37</v>
      </c>
      <c r="E15" s="380">
        <f t="shared" si="1"/>
        <v>-0.47177200729493152</v>
      </c>
      <c r="F15" s="379">
        <f>CIG!G302</f>
        <v>7335.1649999999991</v>
      </c>
      <c r="G15" s="380">
        <f t="shared" si="2"/>
        <v>6.5586075634966878E-3</v>
      </c>
      <c r="H15" s="381">
        <f t="shared" si="0"/>
        <v>-0.23260669986571741</v>
      </c>
    </row>
    <row r="16" spans="2:10" s="382" customFormat="1" ht="15.75" x14ac:dyDescent="0.25">
      <c r="B16" s="378" t="s">
        <v>99</v>
      </c>
      <c r="C16" s="379">
        <f>CIG!D315</f>
        <v>263645.74</v>
      </c>
      <c r="D16" s="379">
        <f>CIG!E315</f>
        <v>283398.03000000003</v>
      </c>
      <c r="E16" s="380">
        <f t="shared" si="1"/>
        <v>7.491981474838183E-2</v>
      </c>
      <c r="F16" s="379">
        <f>CIG!G315</f>
        <v>292878.01500000001</v>
      </c>
      <c r="G16" s="380">
        <f t="shared" si="2"/>
        <v>3.3451132317327659E-2</v>
      </c>
      <c r="H16" s="381">
        <f t="shared" si="0"/>
        <v>5.4185473532854744E-2</v>
      </c>
      <c r="J16" s="383"/>
    </row>
    <row r="17" spans="2:10" s="382" customFormat="1" ht="15.75" x14ac:dyDescent="0.25">
      <c r="B17" s="378" t="s">
        <v>87</v>
      </c>
      <c r="C17" s="379">
        <f>CIG!D321</f>
        <v>23566.68</v>
      </c>
      <c r="D17" s="379">
        <f>CIG!E321</f>
        <v>23194.6</v>
      </c>
      <c r="E17" s="380">
        <f t="shared" si="1"/>
        <v>-1.5788392764700121E-2</v>
      </c>
      <c r="F17" s="379">
        <f>CIG!G321</f>
        <v>0</v>
      </c>
      <c r="G17" s="380">
        <f t="shared" si="2"/>
        <v>-1</v>
      </c>
      <c r="H17" s="381">
        <f t="shared" si="0"/>
        <v>-0.50789419638235</v>
      </c>
    </row>
    <row r="18" spans="2:10" s="382" customFormat="1" ht="15.75" x14ac:dyDescent="0.25">
      <c r="B18" s="378" t="s">
        <v>88</v>
      </c>
      <c r="C18" s="379">
        <f>CIG!D323</f>
        <v>3805220.29</v>
      </c>
      <c r="D18" s="379">
        <f>CIG!E323</f>
        <v>3996796.73</v>
      </c>
      <c r="E18" s="380">
        <f t="shared" si="1"/>
        <v>5.0345689710384667E-2</v>
      </c>
      <c r="F18" s="379">
        <f>CIG!G323</f>
        <v>4051895.46</v>
      </c>
      <c r="G18" s="380">
        <f t="shared" si="2"/>
        <v>1.3785722347706253E-2</v>
      </c>
      <c r="H18" s="381">
        <f t="shared" si="0"/>
        <v>3.206570602904546E-2</v>
      </c>
      <c r="J18" s="383"/>
    </row>
    <row r="19" spans="2:10" s="382" customFormat="1" ht="15.75" x14ac:dyDescent="0.25">
      <c r="B19" s="378" t="s">
        <v>89</v>
      </c>
      <c r="C19" s="379">
        <f>CIG!D324</f>
        <v>259313.65</v>
      </c>
      <c r="D19" s="379">
        <f>CIG!E324</f>
        <v>476365.14</v>
      </c>
      <c r="E19" s="380">
        <f>IF(C19=0,"0,00%",((D19/C19)-1))</f>
        <v>0.83702300283845466</v>
      </c>
      <c r="F19" s="379">
        <f>CIG!G324</f>
        <v>394730.52</v>
      </c>
      <c r="G19" s="380">
        <f t="shared" ref="G19:G24" si="3">IF(D19=0,"0,00%",(F19/D19)-1)</f>
        <v>-0.1713698445692311</v>
      </c>
      <c r="H19" s="381">
        <f t="shared" ref="H19:H24" si="4">(E19+G19)/2</f>
        <v>0.33282657913461178</v>
      </c>
      <c r="I19" s="384"/>
      <c r="J19" s="384"/>
    </row>
    <row r="20" spans="2:10" s="382" customFormat="1" ht="15.75" x14ac:dyDescent="0.25">
      <c r="B20" s="378" t="s">
        <v>102</v>
      </c>
      <c r="C20" s="379">
        <f>CIG!D325</f>
        <v>57506.37</v>
      </c>
      <c r="D20" s="379">
        <f>CIG!E325</f>
        <v>60945.3</v>
      </c>
      <c r="E20" s="380">
        <f>IF(C20=0,"0,00%",(D20/C20)-1)</f>
        <v>5.9800853366331452E-2</v>
      </c>
      <c r="F20" s="379">
        <f>CIG!G325</f>
        <v>63430.680000000008</v>
      </c>
      <c r="G20" s="380">
        <f>IF(D20=0,"0,00%",(F20/D20)-1)</f>
        <v>4.0780503172517024E-2</v>
      </c>
      <c r="H20" s="381">
        <f>(E20+G20)/2</f>
        <v>5.0290678269424238E-2</v>
      </c>
    </row>
    <row r="21" spans="2:10" s="382" customFormat="1" ht="15.75" x14ac:dyDescent="0.25">
      <c r="B21" s="378" t="s">
        <v>90</v>
      </c>
      <c r="C21" s="379">
        <f>CIG!D326</f>
        <v>18595.62</v>
      </c>
      <c r="D21" s="379">
        <f>CIG!E326</f>
        <v>14719.48</v>
      </c>
      <c r="E21" s="380">
        <f>IF(C21=0,"0,00%",(D21/C21)-1)</f>
        <v>-0.20844370878733809</v>
      </c>
      <c r="F21" s="379">
        <f>CIG!G326</f>
        <v>10119.465</v>
      </c>
      <c r="G21" s="380">
        <f>IF(D21=0,"0,00%",(F21/D21)-1)</f>
        <v>-0.31251205884990496</v>
      </c>
      <c r="H21" s="381">
        <f>(E21+G21)/2</f>
        <v>-0.26047788381862153</v>
      </c>
    </row>
    <row r="22" spans="2:10" s="382" customFormat="1" ht="15.75" x14ac:dyDescent="0.25">
      <c r="B22" s="378" t="s">
        <v>91</v>
      </c>
      <c r="C22" s="379">
        <f>CIG!D322</f>
        <v>22279.99</v>
      </c>
      <c r="D22" s="379">
        <f>CIG!E322</f>
        <v>0</v>
      </c>
      <c r="E22" s="380">
        <f t="shared" ref="E22:E23" si="5">IF(C22=0,"0,00%",(D22/C22)-1)</f>
        <v>-1</v>
      </c>
      <c r="F22" s="379">
        <f>CIG!G322</f>
        <v>0</v>
      </c>
      <c r="G22" s="380" t="str">
        <f t="shared" si="3"/>
        <v>0,00%</v>
      </c>
      <c r="H22" s="381">
        <f t="shared" si="4"/>
        <v>-0.5</v>
      </c>
    </row>
    <row r="23" spans="2:10" s="382" customFormat="1" ht="15.75" x14ac:dyDescent="0.25">
      <c r="B23" s="378" t="s">
        <v>92</v>
      </c>
      <c r="C23" s="379">
        <f>CIG!D345</f>
        <v>3293284.72</v>
      </c>
      <c r="D23" s="379">
        <f>CIG!E345</f>
        <v>3552331.9</v>
      </c>
      <c r="E23" s="380">
        <f t="shared" si="5"/>
        <v>7.8659211706420429E-2</v>
      </c>
      <c r="F23" s="379">
        <f>CIG!G345</f>
        <v>3673891.665</v>
      </c>
      <c r="G23" s="380">
        <f t="shared" si="3"/>
        <v>3.4219709312634849E-2</v>
      </c>
      <c r="H23" s="381">
        <f t="shared" si="4"/>
        <v>5.6439460509527639E-2</v>
      </c>
    </row>
    <row r="24" spans="2:10" s="376" customFormat="1" ht="15.75" x14ac:dyDescent="0.25">
      <c r="B24" s="385" t="s">
        <v>100</v>
      </c>
      <c r="C24" s="386">
        <f>SUM(C19:C23)</f>
        <v>3650980.35</v>
      </c>
      <c r="D24" s="386">
        <f>SUM(D19:D23)</f>
        <v>4104361.82</v>
      </c>
      <c r="E24" s="387">
        <f>IF(C24=0,"0,00%",(D24/C24)-1)</f>
        <v>0.1241807477818937</v>
      </c>
      <c r="F24" s="386">
        <f>SUM(F19:F23)</f>
        <v>4142172.33</v>
      </c>
      <c r="G24" s="387">
        <f t="shared" si="3"/>
        <v>9.2122750523004893E-3</v>
      </c>
      <c r="H24" s="388">
        <f t="shared" si="4"/>
        <v>6.6696511417097093E-2</v>
      </c>
    </row>
    <row r="25" spans="2:10" s="376" customFormat="1" ht="15.75" x14ac:dyDescent="0.25">
      <c r="B25" s="389"/>
      <c r="C25" s="390"/>
      <c r="D25" s="390"/>
      <c r="E25" s="391"/>
      <c r="F25" s="390"/>
      <c r="G25" s="391"/>
      <c r="H25" s="392"/>
    </row>
    <row r="26" spans="2:10" s="376" customFormat="1" ht="15.75" x14ac:dyDescent="0.25">
      <c r="D26" s="393" t="s">
        <v>101</v>
      </c>
      <c r="E26" s="1497" t="s">
        <v>7061</v>
      </c>
      <c r="F26" s="1497"/>
      <c r="H26" s="392"/>
    </row>
    <row r="27" spans="2:10" s="376" customFormat="1" ht="15.75" x14ac:dyDescent="0.25">
      <c r="D27" s="394" t="s">
        <v>83</v>
      </c>
      <c r="E27" s="1493">
        <f>(+C12+D12+F12)/3</f>
        <v>7497626.9616666669</v>
      </c>
      <c r="F27" s="1493"/>
      <c r="H27" s="392"/>
    </row>
    <row r="28" spans="2:10" s="376" customFormat="1" ht="15.75" x14ac:dyDescent="0.25">
      <c r="D28" s="394" t="s">
        <v>84</v>
      </c>
      <c r="E28" s="1493">
        <f>(+C13+D13+F13)/3</f>
        <v>11445.063333333334</v>
      </c>
      <c r="F28" s="1493"/>
      <c r="H28" s="392"/>
    </row>
    <row r="29" spans="2:10" s="376" customFormat="1" ht="15.75" x14ac:dyDescent="0.25">
      <c r="D29" s="394" t="s">
        <v>85</v>
      </c>
      <c r="E29" s="1493">
        <f>(+C14+D14+F14)/3</f>
        <v>108385.59500000002</v>
      </c>
      <c r="F29" s="1493"/>
      <c r="H29" s="392"/>
    </row>
    <row r="30" spans="2:10" s="376" customFormat="1" ht="15.75" x14ac:dyDescent="0.25">
      <c r="D30" s="394" t="s">
        <v>86</v>
      </c>
      <c r="E30" s="1493">
        <f>(+C15+D15+F15)/3</f>
        <v>9472.8050000000003</v>
      </c>
      <c r="F30" s="1493"/>
      <c r="H30" s="392"/>
    </row>
    <row r="31" spans="2:10" s="376" customFormat="1" ht="15.75" x14ac:dyDescent="0.25">
      <c r="B31" s="1063"/>
      <c r="D31" s="394" t="s">
        <v>87</v>
      </c>
      <c r="E31" s="1493">
        <f>(+C17+D17+F17)/3</f>
        <v>15587.093333333332</v>
      </c>
      <c r="F31" s="1493"/>
      <c r="H31" s="392"/>
    </row>
    <row r="32" spans="2:10" s="376" customFormat="1" ht="15.75" x14ac:dyDescent="0.25">
      <c r="D32" s="394" t="s">
        <v>99</v>
      </c>
      <c r="E32" s="1493">
        <f>(+C16+D16+F16)/3</f>
        <v>279973.92833333334</v>
      </c>
      <c r="F32" s="1493"/>
      <c r="H32" s="392"/>
    </row>
    <row r="33" spans="2:8" s="376" customFormat="1" ht="15.75" x14ac:dyDescent="0.25">
      <c r="D33" s="394" t="s">
        <v>88</v>
      </c>
      <c r="E33" s="1493">
        <f>(+C18+D18+F18)/3</f>
        <v>3951304.16</v>
      </c>
      <c r="F33" s="1493"/>
      <c r="H33" s="392"/>
    </row>
    <row r="34" spans="2:8" s="376" customFormat="1" ht="15.75" x14ac:dyDescent="0.25">
      <c r="D34" s="394" t="s">
        <v>89</v>
      </c>
      <c r="E34" s="1493">
        <f>(+C19+D19+F19)/3</f>
        <v>376803.10333333333</v>
      </c>
      <c r="F34" s="1493"/>
      <c r="H34" s="395"/>
    </row>
    <row r="35" spans="2:8" s="376" customFormat="1" ht="15.75" x14ac:dyDescent="0.25">
      <c r="D35" s="394" t="s">
        <v>98</v>
      </c>
      <c r="E35" s="1493">
        <f>(+C20+D20+F20)/3</f>
        <v>60627.450000000012</v>
      </c>
      <c r="F35" s="1493"/>
      <c r="H35" s="395"/>
    </row>
    <row r="36" spans="2:8" s="376" customFormat="1" ht="15.75" x14ac:dyDescent="0.25">
      <c r="D36" s="394" t="s">
        <v>90</v>
      </c>
      <c r="E36" s="1493">
        <f>(+C21+D21+F21)/3</f>
        <v>14478.188333333334</v>
      </c>
      <c r="F36" s="1493"/>
      <c r="H36" s="382"/>
    </row>
    <row r="37" spans="2:8" s="376" customFormat="1" ht="15.75" x14ac:dyDescent="0.25">
      <c r="D37" s="394" t="s">
        <v>91</v>
      </c>
      <c r="E37" s="1493">
        <f>(+C22+D22+F22)/3</f>
        <v>7426.6633333333339</v>
      </c>
      <c r="F37" s="1493"/>
    </row>
    <row r="38" spans="2:8" s="376" customFormat="1" ht="15.75" x14ac:dyDescent="0.25">
      <c r="D38" s="394" t="s">
        <v>92</v>
      </c>
      <c r="E38" s="1493">
        <f t="shared" ref="E38" si="6">(+C23+D23+F23)/3</f>
        <v>3506502.7616666667</v>
      </c>
      <c r="F38" s="1493"/>
    </row>
    <row r="39" spans="2:8" x14ac:dyDescent="0.25">
      <c r="B39" s="396"/>
    </row>
    <row r="40" spans="2:8" x14ac:dyDescent="0.25">
      <c r="B40" s="396"/>
    </row>
    <row r="41" spans="2:8" x14ac:dyDescent="0.25">
      <c r="B41" s="330"/>
      <c r="C41" s="330"/>
      <c r="D41" s="1492"/>
      <c r="E41" s="1492"/>
      <c r="F41" s="1492"/>
      <c r="G41" s="1492"/>
      <c r="H41" s="1492"/>
    </row>
    <row r="42" spans="2:8" x14ac:dyDescent="0.25">
      <c r="B42" s="330"/>
      <c r="C42" s="330"/>
      <c r="D42" s="1492"/>
      <c r="E42" s="1492"/>
      <c r="F42" s="1492"/>
      <c r="G42" s="1492"/>
      <c r="H42" s="1492"/>
    </row>
    <row r="43" spans="2:8" x14ac:dyDescent="0.25">
      <c r="B43" s="330"/>
    </row>
  </sheetData>
  <mergeCells count="27">
    <mergeCell ref="E10:E11"/>
    <mergeCell ref="G10:G11"/>
    <mergeCell ref="E26:F26"/>
    <mergeCell ref="E34:F34"/>
    <mergeCell ref="E28:F28"/>
    <mergeCell ref="E27:F27"/>
    <mergeCell ref="E31:F31"/>
    <mergeCell ref="E33:F33"/>
    <mergeCell ref="E32:F32"/>
    <mergeCell ref="E30:F30"/>
    <mergeCell ref="E29:F29"/>
    <mergeCell ref="B3:H3"/>
    <mergeCell ref="B1:H1"/>
    <mergeCell ref="D42:F42"/>
    <mergeCell ref="G42:H42"/>
    <mergeCell ref="E35:F35"/>
    <mergeCell ref="E38:F38"/>
    <mergeCell ref="E37:F37"/>
    <mergeCell ref="E36:F36"/>
    <mergeCell ref="D41:F41"/>
    <mergeCell ref="G41:H41"/>
    <mergeCell ref="B5:H5"/>
    <mergeCell ref="B7:H7"/>
    <mergeCell ref="B8:H8"/>
    <mergeCell ref="B10:B11"/>
    <mergeCell ref="C10:C11"/>
    <mergeCell ref="D10:D11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4" zoomScale="70" zoomScaleNormal="70" workbookViewId="0">
      <selection activeCell="K19" sqref="K19"/>
    </sheetView>
  </sheetViews>
  <sheetFormatPr defaultRowHeight="15" x14ac:dyDescent="0.25"/>
  <cols>
    <col min="1" max="1" width="3" customWidth="1"/>
    <col min="2" max="2" width="37.7109375" customWidth="1"/>
    <col min="3" max="3" width="20.5703125" style="45" customWidth="1"/>
    <col min="4" max="4" width="47.85546875" customWidth="1"/>
    <col min="5" max="5" width="21.28515625" style="45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x14ac:dyDescent="0.25">
      <c r="C6" s="353"/>
      <c r="E6" s="353"/>
    </row>
    <row r="7" spans="2:60" ht="56.25" customHeight="1" x14ac:dyDescent="0.25">
      <c r="B7" s="1683" t="s">
        <v>2942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49"/>
    </row>
    <row r="9" spans="2:60" ht="24.95" customHeight="1" thickBot="1" x14ac:dyDescent="0.3">
      <c r="B9" s="1684" t="s">
        <v>2478</v>
      </c>
      <c r="C9" s="1685"/>
      <c r="D9" s="1684" t="s">
        <v>2479</v>
      </c>
      <c r="E9" s="1685"/>
    </row>
    <row r="10" spans="2:60" ht="24.95" customHeight="1" thickBot="1" x14ac:dyDescent="0.3">
      <c r="B10" s="929" t="s">
        <v>1</v>
      </c>
      <c r="C10" s="924" t="s">
        <v>2480</v>
      </c>
      <c r="D10" s="925" t="s">
        <v>1</v>
      </c>
      <c r="E10" s="930" t="s">
        <v>2480</v>
      </c>
    </row>
    <row r="11" spans="2:60" ht="24.95" customHeight="1" x14ac:dyDescent="0.25">
      <c r="B11" s="1686" t="s">
        <v>6923</v>
      </c>
      <c r="C11" s="1687">
        <v>1</v>
      </c>
      <c r="D11" s="915" t="s">
        <v>2455</v>
      </c>
      <c r="E11" s="713">
        <f>E12+E14+E15</f>
        <v>197381.97999999998</v>
      </c>
    </row>
    <row r="12" spans="2:60" ht="24.95" customHeight="1" x14ac:dyDescent="0.25">
      <c r="B12" s="1686"/>
      <c r="C12" s="1687"/>
      <c r="D12" s="916" t="s">
        <v>2456</v>
      </c>
      <c r="E12" s="714">
        <v>161058.31</v>
      </c>
    </row>
    <row r="13" spans="2:60" ht="24.95" customHeight="1" x14ac:dyDescent="0.25">
      <c r="B13" s="1686"/>
      <c r="C13" s="1687"/>
      <c r="D13" s="915" t="s">
        <v>2483</v>
      </c>
      <c r="E13" s="713">
        <v>0</v>
      </c>
    </row>
    <row r="14" spans="2:60" ht="24.95" customHeight="1" x14ac:dyDescent="0.25">
      <c r="B14" s="1686"/>
      <c r="C14" s="1687"/>
      <c r="D14" s="916" t="s">
        <v>80</v>
      </c>
      <c r="E14" s="714">
        <v>0</v>
      </c>
    </row>
    <row r="15" spans="2:60" ht="24.95" customHeight="1" x14ac:dyDescent="0.25">
      <c r="B15" s="200"/>
      <c r="C15" s="912"/>
      <c r="D15" s="916" t="s">
        <v>2457</v>
      </c>
      <c r="E15" s="714">
        <v>36323.67</v>
      </c>
    </row>
    <row r="16" spans="2:60" ht="24.95" customHeight="1" x14ac:dyDescent="0.25">
      <c r="B16" s="200"/>
      <c r="C16" s="912"/>
      <c r="D16" s="915" t="s">
        <v>2484</v>
      </c>
      <c r="E16" s="713">
        <v>0</v>
      </c>
    </row>
    <row r="17" spans="2:5" ht="24.95" customHeight="1" x14ac:dyDescent="0.25">
      <c r="B17" s="200"/>
      <c r="C17" s="912"/>
      <c r="D17" s="916"/>
      <c r="E17" s="714"/>
    </row>
    <row r="18" spans="2:5" ht="24.95" customHeight="1" x14ac:dyDescent="0.25">
      <c r="B18" s="1686" t="s">
        <v>6925</v>
      </c>
      <c r="C18" s="1687">
        <v>346801</v>
      </c>
      <c r="D18" s="916"/>
      <c r="E18" s="714"/>
    </row>
    <row r="19" spans="2:5" ht="24.95" customHeight="1" x14ac:dyDescent="0.25">
      <c r="B19" s="1686"/>
      <c r="C19" s="1687"/>
      <c r="D19" s="916"/>
      <c r="E19" s="714"/>
    </row>
    <row r="20" spans="2:5" ht="24.95" customHeight="1" x14ac:dyDescent="0.25">
      <c r="B20" s="1686"/>
      <c r="C20" s="1687"/>
      <c r="D20" s="915" t="s">
        <v>56</v>
      </c>
      <c r="E20" s="713">
        <f>E21+E22</f>
        <v>346802.1</v>
      </c>
    </row>
    <row r="21" spans="2:5" ht="24.95" customHeight="1" x14ac:dyDescent="0.25">
      <c r="B21" s="200"/>
      <c r="C21" s="912"/>
      <c r="D21" s="916" t="s">
        <v>2459</v>
      </c>
      <c r="E21" s="714">
        <v>346802.1</v>
      </c>
    </row>
    <row r="22" spans="2:5" ht="24.95" customHeight="1" x14ac:dyDescent="0.25">
      <c r="B22" s="200"/>
      <c r="C22" s="912"/>
      <c r="D22" s="916" t="s">
        <v>2460</v>
      </c>
      <c r="E22" s="714">
        <v>0</v>
      </c>
    </row>
    <row r="23" spans="2:5" ht="24.95" customHeight="1" x14ac:dyDescent="0.25">
      <c r="B23" s="200"/>
      <c r="C23" s="912"/>
      <c r="D23" s="915" t="s">
        <v>2487</v>
      </c>
      <c r="E23" s="713">
        <v>0</v>
      </c>
    </row>
    <row r="24" spans="2:5" ht="24.95" customHeight="1" x14ac:dyDescent="0.25">
      <c r="B24" s="200"/>
      <c r="C24" s="912"/>
      <c r="D24" s="915" t="s">
        <v>81</v>
      </c>
      <c r="E24" s="713">
        <v>0</v>
      </c>
    </row>
    <row r="25" spans="2:5" ht="24.95" customHeight="1" x14ac:dyDescent="0.25">
      <c r="B25" s="200"/>
      <c r="C25" s="912"/>
      <c r="D25" s="916"/>
      <c r="E25" s="714"/>
    </row>
    <row r="26" spans="2:5" ht="24.95" customHeight="1" x14ac:dyDescent="0.25">
      <c r="B26" s="200"/>
      <c r="C26" s="912"/>
      <c r="D26" s="915" t="s">
        <v>2481</v>
      </c>
      <c r="E26" s="713">
        <v>0</v>
      </c>
    </row>
    <row r="27" spans="2:5" ht="24.95" customHeight="1" x14ac:dyDescent="0.25">
      <c r="B27" s="200"/>
      <c r="C27" s="912"/>
      <c r="D27" s="915" t="s">
        <v>70</v>
      </c>
      <c r="E27" s="713">
        <v>0</v>
      </c>
    </row>
    <row r="28" spans="2:5" ht="24.95" customHeight="1" thickBot="1" x14ac:dyDescent="0.3">
      <c r="B28" s="733" t="s">
        <v>5488</v>
      </c>
      <c r="C28" s="913">
        <v>197382.08</v>
      </c>
      <c r="D28" s="916"/>
      <c r="E28" s="714"/>
    </row>
    <row r="29" spans="2:5" ht="24.95" customHeight="1" thickBot="1" x14ac:dyDescent="0.3">
      <c r="B29" s="929" t="s">
        <v>38</v>
      </c>
      <c r="C29" s="927">
        <f>C11+C18+C28</f>
        <v>544184.07999999996</v>
      </c>
      <c r="D29" s="925" t="s">
        <v>1575</v>
      </c>
      <c r="E29" s="935">
        <f>E11+E13+E16+E20+E23+E26+E27+E24</f>
        <v>544184.07999999996</v>
      </c>
    </row>
    <row r="31" spans="2:5" x14ac:dyDescent="0.25">
      <c r="B31" t="s">
        <v>2491</v>
      </c>
    </row>
  </sheetData>
  <mergeCells count="10">
    <mergeCell ref="B11:B14"/>
    <mergeCell ref="C11:C14"/>
    <mergeCell ref="B18:B20"/>
    <mergeCell ref="C18:C20"/>
    <mergeCell ref="B1:E1"/>
    <mergeCell ref="B3:E3"/>
    <mergeCell ref="B7:E7"/>
    <mergeCell ref="B9:C9"/>
    <mergeCell ref="D9:E9"/>
    <mergeCell ref="B5:E5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1"/>
  <sheetViews>
    <sheetView topLeftCell="A8" zoomScale="80" zoomScaleNormal="80" workbookViewId="0">
      <selection activeCell="J17" sqref="J17"/>
    </sheetView>
  </sheetViews>
  <sheetFormatPr defaultRowHeight="15" x14ac:dyDescent="0.25"/>
  <cols>
    <col min="1" max="1" width="3" customWidth="1"/>
    <col min="2" max="2" width="40.42578125" customWidth="1"/>
    <col min="3" max="3" width="20.5703125" style="130" customWidth="1"/>
    <col min="4" max="4" width="47.7109375" customWidth="1"/>
    <col min="5" max="5" width="21.28515625" style="130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35">
      <c r="B6" s="190"/>
      <c r="C6" s="190"/>
      <c r="D6" s="189"/>
      <c r="E6" s="190"/>
      <c r="F6" s="189"/>
      <c r="G6" s="189"/>
      <c r="H6" s="189"/>
      <c r="I6" s="189"/>
      <c r="J6" s="189"/>
      <c r="K6" s="164"/>
      <c r="L6" s="164"/>
      <c r="M6" s="164"/>
    </row>
    <row r="7" spans="2:60" ht="56.25" customHeight="1" x14ac:dyDescent="0.25">
      <c r="B7" s="1683" t="s">
        <v>2497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131"/>
    </row>
    <row r="9" spans="2:60" ht="24.95" customHeight="1" thickBot="1" x14ac:dyDescent="0.3">
      <c r="B9" s="1684" t="s">
        <v>2478</v>
      </c>
      <c r="C9" s="1697"/>
      <c r="D9" s="1700" t="s">
        <v>2479</v>
      </c>
      <c r="E9" s="1691"/>
    </row>
    <row r="10" spans="2:60" ht="24.95" customHeight="1" thickBot="1" x14ac:dyDescent="0.3">
      <c r="B10" s="929" t="s">
        <v>1</v>
      </c>
      <c r="C10" s="924" t="s">
        <v>2480</v>
      </c>
      <c r="D10" s="925" t="s">
        <v>1</v>
      </c>
      <c r="E10" s="930" t="s">
        <v>2480</v>
      </c>
    </row>
    <row r="11" spans="2:60" ht="24.95" customHeight="1" x14ac:dyDescent="0.25">
      <c r="B11" s="1686" t="s">
        <v>6923</v>
      </c>
      <c r="C11" s="1687">
        <v>0</v>
      </c>
      <c r="D11" s="915" t="s">
        <v>2455</v>
      </c>
      <c r="E11" s="713">
        <f>E12+E14+E15</f>
        <v>0.04</v>
      </c>
    </row>
    <row r="12" spans="2:60" ht="24.95" customHeight="1" x14ac:dyDescent="0.25">
      <c r="B12" s="1686"/>
      <c r="C12" s="1687"/>
      <c r="D12" s="916" t="s">
        <v>2456</v>
      </c>
      <c r="E12" s="714">
        <v>0</v>
      </c>
    </row>
    <row r="13" spans="2:60" ht="24.95" customHeight="1" x14ac:dyDescent="0.25">
      <c r="B13" s="1686"/>
      <c r="C13" s="1687"/>
      <c r="D13" s="915" t="s">
        <v>2483</v>
      </c>
      <c r="E13" s="713">
        <v>0</v>
      </c>
    </row>
    <row r="14" spans="2:60" ht="24.95" customHeight="1" x14ac:dyDescent="0.25">
      <c r="B14" s="1686"/>
      <c r="C14" s="1687"/>
      <c r="D14" s="916" t="s">
        <v>80</v>
      </c>
      <c r="E14" s="714">
        <v>0</v>
      </c>
    </row>
    <row r="15" spans="2:60" ht="24.95" customHeight="1" x14ac:dyDescent="0.25">
      <c r="B15" s="921"/>
      <c r="C15" s="936"/>
      <c r="D15" s="916" t="s">
        <v>2457</v>
      </c>
      <c r="E15" s="714">
        <v>0.04</v>
      </c>
    </row>
    <row r="16" spans="2:60" ht="24.95" customHeight="1" x14ac:dyDescent="0.25">
      <c r="B16" s="921"/>
      <c r="C16" s="936"/>
      <c r="D16" s="915" t="s">
        <v>2484</v>
      </c>
      <c r="E16" s="713">
        <v>0</v>
      </c>
    </row>
    <row r="17" spans="2:5" ht="24.95" customHeight="1" x14ac:dyDescent="0.25">
      <c r="B17" s="921"/>
      <c r="C17" s="936"/>
      <c r="D17" s="916"/>
      <c r="E17" s="714"/>
    </row>
    <row r="18" spans="2:5" ht="24.95" customHeight="1" x14ac:dyDescent="0.25">
      <c r="B18" s="1692" t="s">
        <v>6925</v>
      </c>
      <c r="C18" s="1699">
        <v>1</v>
      </c>
      <c r="D18" s="916"/>
      <c r="E18" s="714"/>
    </row>
    <row r="19" spans="2:5" ht="24.95" customHeight="1" x14ac:dyDescent="0.25">
      <c r="B19" s="1692"/>
      <c r="C19" s="1699"/>
      <c r="D19" s="916"/>
      <c r="E19" s="714"/>
    </row>
    <row r="20" spans="2:5" ht="24.95" customHeight="1" x14ac:dyDescent="0.25">
      <c r="B20" s="1692"/>
      <c r="C20" s="1699"/>
      <c r="D20" s="915" t="s">
        <v>56</v>
      </c>
      <c r="E20" s="713">
        <f>E21+E22</f>
        <v>1.02</v>
      </c>
    </row>
    <row r="21" spans="2:5" ht="24.95" customHeight="1" x14ac:dyDescent="0.25">
      <c r="B21" s="921"/>
      <c r="C21" s="936"/>
      <c r="D21" s="916" t="s">
        <v>2459</v>
      </c>
      <c r="E21" s="714">
        <v>1.02</v>
      </c>
    </row>
    <row r="22" spans="2:5" ht="24.95" customHeight="1" x14ac:dyDescent="0.25">
      <c r="B22" s="921"/>
      <c r="C22" s="936"/>
      <c r="D22" s="916" t="s">
        <v>2460</v>
      </c>
      <c r="E22" s="714">
        <v>0</v>
      </c>
    </row>
    <row r="23" spans="2:5" ht="24.95" customHeight="1" x14ac:dyDescent="0.25">
      <c r="B23" s="921"/>
      <c r="C23" s="936"/>
      <c r="D23" s="915" t="s">
        <v>2487</v>
      </c>
      <c r="E23" s="713">
        <v>0</v>
      </c>
    </row>
    <row r="24" spans="2:5" ht="24.95" customHeight="1" x14ac:dyDescent="0.25">
      <c r="B24" s="921"/>
      <c r="C24" s="936"/>
      <c r="D24" s="915" t="s">
        <v>81</v>
      </c>
      <c r="E24" s="713">
        <v>0</v>
      </c>
    </row>
    <row r="25" spans="2:5" ht="24.95" customHeight="1" x14ac:dyDescent="0.25">
      <c r="B25" s="921"/>
      <c r="C25" s="936"/>
      <c r="D25" s="916"/>
      <c r="E25" s="714"/>
    </row>
    <row r="26" spans="2:5" ht="24.95" customHeight="1" x14ac:dyDescent="0.25">
      <c r="B26" s="921"/>
      <c r="C26" s="936"/>
      <c r="D26" s="915" t="s">
        <v>2481</v>
      </c>
      <c r="E26" s="713">
        <v>0</v>
      </c>
    </row>
    <row r="27" spans="2:5" ht="24.95" customHeight="1" x14ac:dyDescent="0.25">
      <c r="B27" s="921"/>
      <c r="C27" s="936"/>
      <c r="D27" s="915" t="s">
        <v>70</v>
      </c>
      <c r="E27" s="713">
        <v>0</v>
      </c>
    </row>
    <row r="28" spans="2:5" ht="24.95" customHeight="1" thickBot="1" x14ac:dyDescent="0.3">
      <c r="B28" s="733" t="s">
        <v>5488</v>
      </c>
      <c r="C28" s="913">
        <v>0.06</v>
      </c>
      <c r="D28" s="916"/>
      <c r="E28" s="714"/>
    </row>
    <row r="29" spans="2:5" ht="24.95" customHeight="1" thickBot="1" x14ac:dyDescent="0.3">
      <c r="B29" s="929" t="s">
        <v>38</v>
      </c>
      <c r="C29" s="927">
        <f>C11+C18+C28</f>
        <v>1.06</v>
      </c>
      <c r="D29" s="925" t="s">
        <v>1575</v>
      </c>
      <c r="E29" s="935">
        <f>E11+E13+E16+E20+E23+E26+E27+E24</f>
        <v>1.06</v>
      </c>
    </row>
    <row r="31" spans="2:5" x14ac:dyDescent="0.25">
      <c r="B31" t="s">
        <v>2491</v>
      </c>
    </row>
  </sheetData>
  <mergeCells count="10">
    <mergeCell ref="B11:B14"/>
    <mergeCell ref="C11:C14"/>
    <mergeCell ref="B18:B20"/>
    <mergeCell ref="C18:C20"/>
    <mergeCell ref="B1:E1"/>
    <mergeCell ref="B3:E3"/>
    <mergeCell ref="B5:E5"/>
    <mergeCell ref="B7:E7"/>
    <mergeCell ref="B9:C9"/>
    <mergeCell ref="D9:E9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32"/>
  <sheetViews>
    <sheetView topLeftCell="A7" zoomScale="60" zoomScaleNormal="60" workbookViewId="0">
      <selection activeCell="N26" sqref="N26"/>
    </sheetView>
  </sheetViews>
  <sheetFormatPr defaultColWidth="10.7109375" defaultRowHeight="15" x14ac:dyDescent="0.25"/>
  <cols>
    <col min="1" max="1" width="3.42578125" customWidth="1"/>
    <col min="2" max="2" width="66.85546875" customWidth="1"/>
    <col min="3" max="3" width="23.42578125" style="130" bestFit="1" customWidth="1"/>
    <col min="4" max="4" width="20.140625" bestFit="1" customWidth="1"/>
    <col min="5" max="5" width="10.7109375" style="130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35">
      <c r="B6" s="357"/>
      <c r="C6" s="357"/>
      <c r="D6" s="189"/>
      <c r="E6" s="357"/>
      <c r="F6" s="189"/>
      <c r="G6" s="189"/>
      <c r="H6" s="189"/>
      <c r="I6" s="189"/>
      <c r="J6" s="189"/>
      <c r="K6" s="164"/>
      <c r="L6" s="164"/>
      <c r="M6" s="164"/>
    </row>
    <row r="7" spans="2:60" ht="56.25" customHeight="1" x14ac:dyDescent="0.25">
      <c r="B7" s="1683" t="s">
        <v>2498</v>
      </c>
      <c r="C7" s="1683"/>
      <c r="D7" s="1683"/>
      <c r="E7" s="1683"/>
      <c r="F7" s="65"/>
      <c r="G7" s="65"/>
      <c r="H7" s="65"/>
      <c r="I7" s="65"/>
      <c r="J7" s="65"/>
      <c r="K7" s="65"/>
      <c r="L7" s="65"/>
    </row>
    <row r="8" spans="2:60" ht="15.75" thickBot="1" x14ac:dyDescent="0.3">
      <c r="B8" s="131"/>
    </row>
    <row r="9" spans="2:60" ht="30" customHeight="1" thickBot="1" x14ac:dyDescent="0.3">
      <c r="B9" s="213" t="s">
        <v>2499</v>
      </c>
      <c r="C9" s="132" t="s">
        <v>7072</v>
      </c>
    </row>
    <row r="10" spans="2:60" ht="30" customHeight="1" x14ac:dyDescent="0.25">
      <c r="B10" s="209" t="s">
        <v>477</v>
      </c>
      <c r="C10" s="216">
        <f>ER!E10-ER!E553-ER!E503-ER!E421-ER!E391</f>
        <v>26177279.090806134</v>
      </c>
    </row>
    <row r="11" spans="2:60" ht="30" customHeight="1" x14ac:dyDescent="0.25">
      <c r="B11" s="211" t="s">
        <v>2500</v>
      </c>
      <c r="C11" s="214">
        <f>ER!E15</f>
        <v>489045.4422698298</v>
      </c>
    </row>
    <row r="12" spans="2:60" ht="30" customHeight="1" x14ac:dyDescent="0.25">
      <c r="B12" s="211" t="s">
        <v>2501</v>
      </c>
      <c r="C12" s="214">
        <v>0</v>
      </c>
    </row>
    <row r="13" spans="2:60" ht="30" customHeight="1" x14ac:dyDescent="0.25">
      <c r="B13" s="211" t="s">
        <v>2502</v>
      </c>
      <c r="C13" s="214">
        <v>0</v>
      </c>
    </row>
    <row r="14" spans="2:60" ht="30" customHeight="1" x14ac:dyDescent="0.25">
      <c r="B14" s="211" t="s">
        <v>2503</v>
      </c>
      <c r="C14" s="214">
        <v>0</v>
      </c>
    </row>
    <row r="15" spans="2:60" ht="30" customHeight="1" x14ac:dyDescent="0.25">
      <c r="B15" s="211" t="s">
        <v>2504</v>
      </c>
      <c r="C15" s="214">
        <f>ER!E617</f>
        <v>3509660.2331595472</v>
      </c>
    </row>
    <row r="16" spans="2:60" ht="30" customHeight="1" x14ac:dyDescent="0.25">
      <c r="B16" s="211" t="s">
        <v>2505</v>
      </c>
      <c r="C16" s="214">
        <v>0</v>
      </c>
    </row>
    <row r="17" spans="2:5" ht="30" customHeight="1" x14ac:dyDescent="0.25">
      <c r="B17" s="210" t="s">
        <v>2506</v>
      </c>
      <c r="C17" s="217">
        <f>C10-C11-C12-C13-C14-C15-C16</f>
        <v>22178573.41537676</v>
      </c>
    </row>
    <row r="18" spans="2:5" ht="30" customHeight="1" x14ac:dyDescent="0.25">
      <c r="B18" s="211" t="s">
        <v>2507</v>
      </c>
      <c r="C18" s="214">
        <f>C17*54%</f>
        <v>11976429.64430345</v>
      </c>
    </row>
    <row r="19" spans="2:5" ht="30" customHeight="1" x14ac:dyDescent="0.25">
      <c r="B19" s="211" t="s">
        <v>2508</v>
      </c>
      <c r="C19" s="214">
        <f>C17*51.3%</f>
        <v>11377608.162088279</v>
      </c>
    </row>
    <row r="20" spans="2:5" ht="30" customHeight="1" x14ac:dyDescent="0.25">
      <c r="B20" s="211" t="s">
        <v>2509</v>
      </c>
      <c r="C20" s="214">
        <f>C17*6%</f>
        <v>1330714.4049226055</v>
      </c>
    </row>
    <row r="21" spans="2:5" ht="30" customHeight="1" thickBot="1" x14ac:dyDescent="0.3">
      <c r="B21" s="212" t="s">
        <v>2510</v>
      </c>
      <c r="C21" s="215">
        <f>C17*5.7%</f>
        <v>1264178.6846764754</v>
      </c>
    </row>
    <row r="22" spans="2:5" ht="30" customHeight="1" thickBot="1" x14ac:dyDescent="0.3"/>
    <row r="23" spans="2:5" ht="30" customHeight="1" thickBot="1" x14ac:dyDescent="0.3">
      <c r="B23" s="170" t="s">
        <v>2512</v>
      </c>
      <c r="C23" s="171" t="s">
        <v>7073</v>
      </c>
      <c r="D23" s="172" t="s">
        <v>7074</v>
      </c>
    </row>
    <row r="24" spans="2:5" ht="30" customHeight="1" x14ac:dyDescent="0.25">
      <c r="B24" s="175" t="s">
        <v>2513</v>
      </c>
      <c r="C24" s="219">
        <f>DMDOCC!F16-651113.52</f>
        <v>13263009.040000001</v>
      </c>
      <c r="D24" s="220">
        <v>651113.52</v>
      </c>
    </row>
    <row r="25" spans="2:5" ht="30" customHeight="1" x14ac:dyDescent="0.25">
      <c r="B25" s="168" t="s">
        <v>2514</v>
      </c>
      <c r="C25" s="104">
        <v>0</v>
      </c>
      <c r="D25" s="105">
        <v>0</v>
      </c>
    </row>
    <row r="26" spans="2:5" ht="30" customHeight="1" x14ac:dyDescent="0.25">
      <c r="B26" s="168" t="s">
        <v>2515</v>
      </c>
      <c r="C26" s="104">
        <f>ER!E16</f>
        <v>400842.07775564911</v>
      </c>
      <c r="D26" s="105">
        <f>ER!E20</f>
        <v>88203.364514180677</v>
      </c>
    </row>
    <row r="27" spans="2:5" ht="30" customHeight="1" x14ac:dyDescent="0.25">
      <c r="B27" s="168" t="s">
        <v>2516</v>
      </c>
      <c r="C27" s="104">
        <v>294557.02</v>
      </c>
      <c r="D27" s="105">
        <v>0</v>
      </c>
    </row>
    <row r="28" spans="2:5" ht="30" customHeight="1" x14ac:dyDescent="0.25">
      <c r="B28" s="168" t="s">
        <v>2517</v>
      </c>
      <c r="C28" s="104">
        <v>0.03</v>
      </c>
      <c r="D28" s="105">
        <v>0</v>
      </c>
    </row>
    <row r="29" spans="2:5" ht="30" customHeight="1" x14ac:dyDescent="0.25">
      <c r="B29" s="169" t="s">
        <v>2518</v>
      </c>
      <c r="C29" s="221">
        <f>873485.48+59294.5-0.02</f>
        <v>932779.96</v>
      </c>
      <c r="D29" s="222">
        <v>0.02</v>
      </c>
    </row>
    <row r="30" spans="2:5" ht="30" customHeight="1" thickBot="1" x14ac:dyDescent="0.3">
      <c r="B30" s="734" t="s">
        <v>6926</v>
      </c>
      <c r="C30" s="735">
        <f>C24*(PUCFD!E85+PUCFD!E86)</f>
        <v>1156341.6537005464</v>
      </c>
      <c r="D30" s="736">
        <f>D24*PUCFD!E23</f>
        <v>42517.712855999998</v>
      </c>
      <c r="E30" s="724"/>
    </row>
    <row r="31" spans="2:5" ht="30" customHeight="1" thickBot="1" x14ac:dyDescent="0.3">
      <c r="B31" s="174" t="s">
        <v>2519</v>
      </c>
      <c r="C31" s="223">
        <f>C24-C25-C26-C27-C28-C29-C30</f>
        <v>10478488.298543807</v>
      </c>
      <c r="D31" s="224">
        <f>D24-D25-D26-D27-D28-D29-D30</f>
        <v>520392.42262981931</v>
      </c>
    </row>
    <row r="32" spans="2:5" ht="30" customHeight="1" thickBot="1" x14ac:dyDescent="0.3">
      <c r="B32" s="208" t="s">
        <v>2520</v>
      </c>
      <c r="C32" s="218">
        <f>C31/C17</f>
        <v>0.47245997757812969</v>
      </c>
      <c r="D32" s="737">
        <f>D31/C17</f>
        <v>2.3463746422437745E-2</v>
      </c>
    </row>
  </sheetData>
  <mergeCells count="4">
    <mergeCell ref="B5:E5"/>
    <mergeCell ref="B7:E7"/>
    <mergeCell ref="B1:E1"/>
    <mergeCell ref="B3:E3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58"/>
  <sheetViews>
    <sheetView topLeftCell="A8" zoomScale="80" zoomScaleNormal="80" workbookViewId="0">
      <selection activeCell="I49" sqref="I49"/>
    </sheetView>
  </sheetViews>
  <sheetFormatPr defaultColWidth="10.7109375" defaultRowHeight="15" x14ac:dyDescent="0.25"/>
  <cols>
    <col min="1" max="1" width="5.140625" customWidth="1"/>
    <col min="2" max="2" width="63.5703125" customWidth="1"/>
    <col min="3" max="3" width="24.42578125" style="203" bestFit="1" customWidth="1"/>
    <col min="4" max="4" width="23" style="203" bestFit="1" customWidth="1"/>
    <col min="5" max="5" width="22.7109375" style="203" bestFit="1" customWidth="1"/>
    <col min="6" max="6" width="23.28515625" bestFit="1" customWidth="1"/>
    <col min="7" max="7" width="21.85546875" style="203" customWidth="1"/>
    <col min="8" max="8" width="15.28515625" customWidth="1"/>
    <col min="9" max="9" width="16" customWidth="1"/>
  </cols>
  <sheetData>
    <row r="1" spans="2:6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2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2:6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2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2:6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2:60" ht="20.100000000000001" customHeight="1" x14ac:dyDescent="0.35">
      <c r="B6" s="357"/>
      <c r="C6" s="357"/>
      <c r="D6" s="357"/>
      <c r="E6" s="357"/>
      <c r="F6" s="189"/>
      <c r="G6" s="357"/>
      <c r="H6" s="189"/>
      <c r="I6" s="189"/>
      <c r="J6" s="189"/>
      <c r="K6" s="189"/>
      <c r="L6" s="189"/>
      <c r="M6" s="164"/>
      <c r="N6" s="164"/>
      <c r="O6" s="164"/>
    </row>
    <row r="7" spans="2:60" ht="93" customHeight="1" x14ac:dyDescent="0.25">
      <c r="B7" s="1683" t="s">
        <v>2564</v>
      </c>
      <c r="C7" s="1683"/>
      <c r="D7" s="1683"/>
      <c r="E7" s="1683"/>
      <c r="F7" s="1683"/>
      <c r="G7" s="1683"/>
      <c r="H7" s="65"/>
      <c r="I7" s="65"/>
      <c r="J7" s="65"/>
      <c r="K7" s="65"/>
      <c r="L7" s="65"/>
      <c r="M7" s="65"/>
      <c r="N7" s="65"/>
    </row>
    <row r="8" spans="2:60" ht="15.75" thickBot="1" x14ac:dyDescent="0.3">
      <c r="B8" s="1678" t="s">
        <v>134</v>
      </c>
      <c r="C8" s="1678"/>
      <c r="D8" s="1678"/>
      <c r="E8" s="1678"/>
      <c r="F8" s="1678"/>
    </row>
    <row r="9" spans="2:60" x14ac:dyDescent="0.25">
      <c r="B9" s="1727" t="s">
        <v>2292</v>
      </c>
      <c r="C9" s="1729" t="s">
        <v>2523</v>
      </c>
      <c r="D9" s="1731" t="s">
        <v>2542</v>
      </c>
      <c r="E9" s="1732"/>
      <c r="F9" s="1733"/>
      <c r="G9" s="197"/>
      <c r="H9" s="197"/>
      <c r="I9" s="197"/>
    </row>
    <row r="10" spans="2:60" x14ac:dyDescent="0.25">
      <c r="B10" s="1728"/>
      <c r="C10" s="1730"/>
      <c r="D10" s="234">
        <v>0.15</v>
      </c>
      <c r="E10" s="234">
        <v>0.05</v>
      </c>
      <c r="F10" s="235">
        <f>D10+E10</f>
        <v>0.2</v>
      </c>
      <c r="G10" s="197"/>
      <c r="H10" s="197"/>
      <c r="I10" s="197"/>
    </row>
    <row r="11" spans="2:60" x14ac:dyDescent="0.25">
      <c r="B11" s="206" t="s">
        <v>2566</v>
      </c>
      <c r="C11" s="108">
        <f>SUM(C12:C36)</f>
        <v>19369423.477338839</v>
      </c>
      <c r="D11" s="108">
        <f>SUM(D12:D36)</f>
        <v>2905413.5216008257</v>
      </c>
      <c r="E11" s="108">
        <f>SUM(E12:E36)</f>
        <v>968471.17386694194</v>
      </c>
      <c r="F11" s="109">
        <f>SUM(F12:F36)-0.01</f>
        <v>3877503.6204843884</v>
      </c>
      <c r="G11" s="197"/>
      <c r="H11" s="197"/>
      <c r="I11" s="197"/>
    </row>
    <row r="12" spans="2:60" s="1" customFormat="1" ht="24.95" customHeight="1" x14ac:dyDescent="0.25">
      <c r="B12" s="168" t="s">
        <v>2544</v>
      </c>
      <c r="C12" s="180">
        <f>ER!E35</f>
        <v>75150.10942932748</v>
      </c>
      <c r="D12" s="180">
        <f>C12*D$10</f>
        <v>11272.516414399122</v>
      </c>
      <c r="E12" s="180">
        <f>C12*E$10</f>
        <v>3757.5054714663743</v>
      </c>
      <c r="F12" s="181">
        <f>D12+E12</f>
        <v>15030.021885865497</v>
      </c>
      <c r="G12" s="226"/>
      <c r="H12" s="226"/>
      <c r="I12" s="226"/>
    </row>
    <row r="13" spans="2:60" s="1" customFormat="1" ht="24.95" customHeight="1" x14ac:dyDescent="0.25">
      <c r="B13" s="168" t="s">
        <v>2545</v>
      </c>
      <c r="C13" s="180">
        <f>ER!E39</f>
        <v>329.61007327902081</v>
      </c>
      <c r="D13" s="180">
        <f>C13*D$10</f>
        <v>49.441510991853121</v>
      </c>
      <c r="E13" s="180">
        <f>C13*E$10</f>
        <v>16.48050366395104</v>
      </c>
      <c r="F13" s="181">
        <f>D13+E13</f>
        <v>65.922014655804162</v>
      </c>
      <c r="G13" s="226"/>
      <c r="H13" s="226"/>
      <c r="I13" s="226"/>
    </row>
    <row r="14" spans="2:60" s="1" customFormat="1" ht="24.95" customHeight="1" x14ac:dyDescent="0.25">
      <c r="B14" s="168" t="s">
        <v>2546</v>
      </c>
      <c r="C14" s="180">
        <f>ER!E43</f>
        <v>986.87775145995658</v>
      </c>
      <c r="D14" s="180">
        <f>C14*D$10</f>
        <v>148.03166271899349</v>
      </c>
      <c r="E14" s="180">
        <f>C14*E$10</f>
        <v>49.343887572997829</v>
      </c>
      <c r="F14" s="181">
        <f>D14+E14</f>
        <v>197.37555029199132</v>
      </c>
      <c r="G14" s="226"/>
      <c r="H14" s="226"/>
      <c r="I14" s="226"/>
    </row>
    <row r="15" spans="2:60" s="1" customFormat="1" ht="24.95" customHeight="1" x14ac:dyDescent="0.25">
      <c r="B15" s="168" t="s">
        <v>2547</v>
      </c>
      <c r="C15" s="180">
        <f>ER!E47</f>
        <v>324.65103578838915</v>
      </c>
      <c r="D15" s="180">
        <f>C15*D$10</f>
        <v>48.697655368258374</v>
      </c>
      <c r="E15" s="180">
        <f>C15*E$10</f>
        <v>16.232551789419457</v>
      </c>
      <c r="F15" s="181">
        <f>D15+E15-0.01</f>
        <v>64.920207157677822</v>
      </c>
      <c r="G15" s="226"/>
      <c r="H15" s="226"/>
      <c r="I15" s="226"/>
    </row>
    <row r="16" spans="2:60" s="1" customFormat="1" ht="24.95" customHeight="1" x14ac:dyDescent="0.25">
      <c r="B16" s="168" t="s">
        <v>2551</v>
      </c>
      <c r="C16" s="180">
        <f>ER!E51</f>
        <v>48090.834691593453</v>
      </c>
      <c r="D16" s="180">
        <f t="shared" ref="D16:D35" si="0">C16*D$10</f>
        <v>7213.6252037390177</v>
      </c>
      <c r="E16" s="180">
        <f t="shared" ref="E16:E35" si="1">C16*E$10</f>
        <v>2404.5417345796727</v>
      </c>
      <c r="F16" s="181">
        <f>D16+E16+0.01</f>
        <v>9618.1769383186911</v>
      </c>
      <c r="G16" s="226"/>
      <c r="H16" s="226"/>
      <c r="I16" s="226"/>
    </row>
    <row r="17" spans="2:9" s="1" customFormat="1" ht="24.95" customHeight="1" x14ac:dyDescent="0.25">
      <c r="B17" s="168" t="s">
        <v>2548</v>
      </c>
      <c r="C17" s="180">
        <f>ER!E55</f>
        <v>1.2629208837042429</v>
      </c>
      <c r="D17" s="180">
        <f t="shared" si="0"/>
        <v>0.18943813255563643</v>
      </c>
      <c r="E17" s="180">
        <f t="shared" si="1"/>
        <v>6.314604418521215E-2</v>
      </c>
      <c r="F17" s="181">
        <f t="shared" ref="F17:F35" si="2">D17+E17</f>
        <v>0.2525841767408486</v>
      </c>
      <c r="G17" s="226"/>
      <c r="H17" s="226"/>
      <c r="I17" s="226"/>
    </row>
    <row r="18" spans="2:9" s="1" customFormat="1" ht="24.95" customHeight="1" x14ac:dyDescent="0.25">
      <c r="B18" s="168" t="s">
        <v>2549</v>
      </c>
      <c r="C18" s="180">
        <f>ER!E59</f>
        <v>1.2629208837042429</v>
      </c>
      <c r="D18" s="180">
        <f t="shared" si="0"/>
        <v>0.18943813255563643</v>
      </c>
      <c r="E18" s="180">
        <f t="shared" si="1"/>
        <v>6.314604418521215E-2</v>
      </c>
      <c r="F18" s="181">
        <f t="shared" si="2"/>
        <v>0.2525841767408486</v>
      </c>
      <c r="G18" s="226"/>
      <c r="H18" s="226"/>
      <c r="I18" s="226"/>
    </row>
    <row r="19" spans="2:9" s="1" customFormat="1" x14ac:dyDescent="0.25">
      <c r="B19" s="168" t="s">
        <v>2550</v>
      </c>
      <c r="C19" s="180">
        <f>ER!E63</f>
        <v>161.85902536869682</v>
      </c>
      <c r="D19" s="180">
        <f t="shared" si="0"/>
        <v>24.278853805304522</v>
      </c>
      <c r="E19" s="180">
        <f t="shared" si="1"/>
        <v>8.0929512684348417</v>
      </c>
      <c r="F19" s="181">
        <f>D19+E19-0.01</f>
        <v>32.361805073739369</v>
      </c>
      <c r="G19" s="226"/>
      <c r="H19" s="226"/>
      <c r="I19" s="226"/>
    </row>
    <row r="20" spans="2:9" s="1" customFormat="1" x14ac:dyDescent="0.25">
      <c r="B20" s="168" t="s">
        <v>2555</v>
      </c>
      <c r="C20" s="180">
        <f>ER!E68</f>
        <v>200559.05102496306</v>
      </c>
      <c r="D20" s="180">
        <f t="shared" si="0"/>
        <v>30083.857653744457</v>
      </c>
      <c r="E20" s="180">
        <f t="shared" si="1"/>
        <v>10027.952551248154</v>
      </c>
      <c r="F20" s="181">
        <f t="shared" si="2"/>
        <v>40111.810204992609</v>
      </c>
      <c r="G20" s="226"/>
      <c r="H20" s="226"/>
      <c r="I20" s="226"/>
    </row>
    <row r="21" spans="2:9" s="1" customFormat="1" x14ac:dyDescent="0.25">
      <c r="B21" s="168" t="s">
        <v>2552</v>
      </c>
      <c r="C21" s="180">
        <f>ER!E72</f>
        <v>224.32042580957062</v>
      </c>
      <c r="D21" s="180">
        <f t="shared" si="0"/>
        <v>33.648063871435589</v>
      </c>
      <c r="E21" s="180">
        <f t="shared" si="1"/>
        <v>11.216021290478531</v>
      </c>
      <c r="F21" s="181">
        <f t="shared" si="2"/>
        <v>44.864085161914119</v>
      </c>
      <c r="G21" s="226"/>
      <c r="H21" s="226"/>
      <c r="I21" s="226"/>
    </row>
    <row r="22" spans="2:9" s="1" customFormat="1" x14ac:dyDescent="0.25">
      <c r="B22" s="168" t="s">
        <v>2553</v>
      </c>
      <c r="C22" s="180">
        <f>ER!E76</f>
        <v>30.287274162077232</v>
      </c>
      <c r="D22" s="180">
        <f t="shared" si="0"/>
        <v>4.5430911243115846</v>
      </c>
      <c r="E22" s="180">
        <f t="shared" si="1"/>
        <v>1.5143637081038617</v>
      </c>
      <c r="F22" s="181">
        <f t="shared" si="2"/>
        <v>6.0574548324154467</v>
      </c>
      <c r="G22" s="226"/>
      <c r="H22" s="226"/>
      <c r="I22" s="226"/>
    </row>
    <row r="23" spans="2:9" s="1" customFormat="1" x14ac:dyDescent="0.25">
      <c r="B23" s="168" t="s">
        <v>2554</v>
      </c>
      <c r="C23" s="180">
        <f>ER!E80</f>
        <v>9.9648974283944121</v>
      </c>
      <c r="D23" s="180">
        <f t="shared" si="0"/>
        <v>1.4947346142591618</v>
      </c>
      <c r="E23" s="180">
        <f t="shared" si="1"/>
        <v>0.49824487141972063</v>
      </c>
      <c r="F23" s="181">
        <f t="shared" si="2"/>
        <v>1.9929794856788825</v>
      </c>
      <c r="G23" s="226"/>
      <c r="H23" s="226"/>
      <c r="I23" s="226"/>
    </row>
    <row r="24" spans="2:9" s="1" customFormat="1" ht="30" x14ac:dyDescent="0.25">
      <c r="B24" s="168" t="s">
        <v>2556</v>
      </c>
      <c r="C24" s="180">
        <f>ER!E16</f>
        <v>400842.07775564911</v>
      </c>
      <c r="D24" s="180">
        <f t="shared" si="0"/>
        <v>60126.311663347362</v>
      </c>
      <c r="E24" s="180">
        <f t="shared" si="1"/>
        <v>20042.103887782458</v>
      </c>
      <c r="F24" s="181">
        <f>D24+E24-0.01</f>
        <v>80168.405551129821</v>
      </c>
      <c r="G24" s="226"/>
      <c r="H24" s="226"/>
      <c r="I24" s="226"/>
    </row>
    <row r="25" spans="2:9" s="1" customFormat="1" ht="30" x14ac:dyDescent="0.25">
      <c r="B25" s="168" t="s">
        <v>2557</v>
      </c>
      <c r="C25" s="180">
        <f>ER!E20</f>
        <v>88203.364514180677</v>
      </c>
      <c r="D25" s="180">
        <f t="shared" si="0"/>
        <v>13230.504677127101</v>
      </c>
      <c r="E25" s="180">
        <f t="shared" si="1"/>
        <v>4410.1682257090342</v>
      </c>
      <c r="F25" s="181">
        <f t="shared" si="2"/>
        <v>17640.672902836137</v>
      </c>
      <c r="G25" s="226"/>
      <c r="H25" s="226"/>
      <c r="I25" s="226"/>
    </row>
    <row r="26" spans="2:9" s="1" customFormat="1" x14ac:dyDescent="0.25">
      <c r="B26" s="168" t="s">
        <v>2558</v>
      </c>
      <c r="C26" s="180">
        <f>ER!E25</f>
        <v>24495.297882329029</v>
      </c>
      <c r="D26" s="180">
        <f t="shared" si="0"/>
        <v>3674.2946823493544</v>
      </c>
      <c r="E26" s="180">
        <f t="shared" si="1"/>
        <v>1224.7648941164514</v>
      </c>
      <c r="F26" s="181">
        <f t="shared" si="2"/>
        <v>4899.0595764658055</v>
      </c>
      <c r="G26" s="226"/>
      <c r="H26" s="226"/>
      <c r="I26" s="226"/>
    </row>
    <row r="27" spans="2:9" s="1" customFormat="1" x14ac:dyDescent="0.25">
      <c r="B27" s="168" t="s">
        <v>2559</v>
      </c>
      <c r="C27" s="180">
        <f>ER!E29</f>
        <v>282.18866502492392</v>
      </c>
      <c r="D27" s="180">
        <f t="shared" si="0"/>
        <v>42.328299753738584</v>
      </c>
      <c r="E27" s="180">
        <f t="shared" si="1"/>
        <v>14.109433251246196</v>
      </c>
      <c r="F27" s="181">
        <f t="shared" si="2"/>
        <v>56.437733004984779</v>
      </c>
      <c r="G27" s="226"/>
      <c r="H27" s="226"/>
      <c r="I27" s="226"/>
    </row>
    <row r="28" spans="2:9" s="1" customFormat="1" x14ac:dyDescent="0.25">
      <c r="B28" s="168" t="s">
        <v>2562</v>
      </c>
      <c r="C28" s="180">
        <f>ER!E338</f>
        <v>11363678.696726494</v>
      </c>
      <c r="D28" s="180">
        <f t="shared" si="0"/>
        <v>1704551.8045089741</v>
      </c>
      <c r="E28" s="180">
        <f t="shared" si="1"/>
        <v>568183.93483632465</v>
      </c>
      <c r="F28" s="181">
        <f>D28+E28</f>
        <v>2272735.7393452986</v>
      </c>
      <c r="G28" s="226"/>
      <c r="H28" s="226"/>
      <c r="I28" s="226"/>
    </row>
    <row r="29" spans="2:9" s="1" customFormat="1" x14ac:dyDescent="0.25">
      <c r="B29" s="707" t="s">
        <v>6919</v>
      </c>
      <c r="C29" s="708">
        <f>ER!E347</f>
        <v>488336.4883871213</v>
      </c>
      <c r="D29" s="708">
        <f t="shared" ref="D29" si="3">C29*D$10</f>
        <v>73250.473258068188</v>
      </c>
      <c r="E29" s="708">
        <f t="shared" ref="E29" si="4">C29*E$10</f>
        <v>24416.824419356068</v>
      </c>
      <c r="F29" s="181">
        <f>D29+E29</f>
        <v>97667.297677424256</v>
      </c>
      <c r="G29" s="226"/>
      <c r="H29" s="226"/>
      <c r="I29" s="226"/>
    </row>
    <row r="30" spans="2:9" s="1" customFormat="1" x14ac:dyDescent="0.25">
      <c r="B30" s="707" t="s">
        <v>6920</v>
      </c>
      <c r="C30" s="708">
        <f>ER!E343</f>
        <v>493092.80286585086</v>
      </c>
      <c r="D30" s="708">
        <f t="shared" ref="D30" si="5">C30*D$10</f>
        <v>73963.920429877631</v>
      </c>
      <c r="E30" s="708">
        <f t="shared" ref="E30" si="6">C30*E$10</f>
        <v>24654.640143292545</v>
      </c>
      <c r="F30" s="181">
        <f>D30+E30</f>
        <v>98618.56057317018</v>
      </c>
      <c r="G30" s="226"/>
      <c r="H30" s="226"/>
      <c r="I30" s="226"/>
    </row>
    <row r="31" spans="2:9" s="1" customFormat="1" x14ac:dyDescent="0.25">
      <c r="B31" s="168" t="s">
        <v>2524</v>
      </c>
      <c r="C31" s="180">
        <f>ER!E351</f>
        <v>18071.824642416803</v>
      </c>
      <c r="D31" s="180">
        <f t="shared" si="0"/>
        <v>2710.7736963625202</v>
      </c>
      <c r="E31" s="180">
        <f t="shared" si="1"/>
        <v>903.59123212084023</v>
      </c>
      <c r="F31" s="181">
        <f t="shared" si="2"/>
        <v>3614.3649284833605</v>
      </c>
      <c r="G31" s="226"/>
      <c r="H31" s="226"/>
      <c r="I31" s="226"/>
    </row>
    <row r="32" spans="2:9" s="1" customFormat="1" x14ac:dyDescent="0.25">
      <c r="B32" s="168" t="s">
        <v>87</v>
      </c>
      <c r="C32" s="180">
        <f>ER!E383</f>
        <v>1.0446546729843194</v>
      </c>
      <c r="D32" s="180">
        <f t="shared" si="0"/>
        <v>0.15669820094764789</v>
      </c>
      <c r="E32" s="180">
        <f t="shared" si="1"/>
        <v>5.2232733649215969E-2</v>
      </c>
      <c r="F32" s="181">
        <f t="shared" si="2"/>
        <v>0.20893093459686385</v>
      </c>
      <c r="G32" s="226"/>
      <c r="H32" s="226"/>
      <c r="I32" s="226"/>
    </row>
    <row r="33" spans="2:9" s="1" customFormat="1" x14ac:dyDescent="0.25">
      <c r="B33" s="168" t="s">
        <v>2525</v>
      </c>
      <c r="C33" s="180">
        <f>ER!E395</f>
        <v>5586108.0264563644</v>
      </c>
      <c r="D33" s="180">
        <f t="shared" si="0"/>
        <v>837916.20396845462</v>
      </c>
      <c r="E33" s="180">
        <f t="shared" si="1"/>
        <v>279305.40132281824</v>
      </c>
      <c r="F33" s="181">
        <f>D33+E33</f>
        <v>1117221.605291273</v>
      </c>
      <c r="G33" s="226"/>
      <c r="H33" s="226"/>
      <c r="I33" s="226"/>
    </row>
    <row r="34" spans="2:9" s="1" customFormat="1" x14ac:dyDescent="0.25">
      <c r="B34" s="168" t="s">
        <v>2526</v>
      </c>
      <c r="C34" s="180">
        <f>ER!E400</f>
        <v>580358.35123503162</v>
      </c>
      <c r="D34" s="180">
        <f t="shared" si="0"/>
        <v>87053.752685254745</v>
      </c>
      <c r="E34" s="180">
        <f t="shared" si="1"/>
        <v>29017.917561751583</v>
      </c>
      <c r="F34" s="181">
        <f t="shared" si="2"/>
        <v>116071.67024700633</v>
      </c>
      <c r="G34" s="226"/>
      <c r="H34" s="226"/>
      <c r="I34" s="226"/>
    </row>
    <row r="35" spans="2:9" s="1" customFormat="1" x14ac:dyDescent="0.25">
      <c r="B35" s="168" t="s">
        <v>2527</v>
      </c>
      <c r="C35" s="180">
        <f>ER!E405</f>
        <v>83.222082755894462</v>
      </c>
      <c r="D35" s="180">
        <f t="shared" si="0"/>
        <v>12.483312413384169</v>
      </c>
      <c r="E35" s="180">
        <f t="shared" si="1"/>
        <v>4.1611041377947231</v>
      </c>
      <c r="F35" s="181">
        <f t="shared" si="2"/>
        <v>16.644416551178892</v>
      </c>
      <c r="G35" s="226"/>
      <c r="H35" s="226"/>
      <c r="I35" s="226"/>
    </row>
    <row r="36" spans="2:9" s="1" customFormat="1" x14ac:dyDescent="0.25">
      <c r="B36" s="1725" t="s">
        <v>2538</v>
      </c>
      <c r="C36" s="1726"/>
      <c r="D36" s="1726"/>
      <c r="E36" s="1726"/>
      <c r="F36" s="236">
        <f>ER!E208</f>
        <v>3618.9550166204517</v>
      </c>
      <c r="G36" s="226"/>
      <c r="H36" s="226"/>
      <c r="I36" s="226"/>
    </row>
    <row r="37" spans="2:9" s="1" customFormat="1" x14ac:dyDescent="0.25">
      <c r="B37" s="722" t="s">
        <v>6921</v>
      </c>
      <c r="C37" s="721">
        <f>ER!E604+ER!E608+ER!E612</f>
        <v>9565.6116666666676</v>
      </c>
      <c r="D37" s="708">
        <f t="shared" ref="D37" si="7">C37*D$10</f>
        <v>1434.84175</v>
      </c>
      <c r="E37" s="708">
        <f t="shared" ref="E37" si="8">C37*E$10</f>
        <v>478.28058333333342</v>
      </c>
      <c r="F37" s="720">
        <f>D37+E37+0.01</f>
        <v>1913.1323333333335</v>
      </c>
      <c r="G37" s="226"/>
      <c r="H37" s="226"/>
      <c r="I37" s="226"/>
    </row>
    <row r="38" spans="2:9" ht="15.75" thickBot="1" x14ac:dyDescent="0.3">
      <c r="B38" s="1721" t="s">
        <v>2565</v>
      </c>
      <c r="C38" s="1722"/>
      <c r="D38" s="1722"/>
      <c r="E38" s="1723"/>
      <c r="F38" s="237">
        <f>F11-F37-0.9</f>
        <v>3875589.5881510554</v>
      </c>
      <c r="G38" s="719"/>
      <c r="H38" s="719"/>
      <c r="I38" s="227"/>
    </row>
    <row r="39" spans="2:9" x14ac:dyDescent="0.25">
      <c r="G39" s="205"/>
      <c r="H39" s="133"/>
      <c r="I39" s="133"/>
    </row>
    <row r="40" spans="2:9" x14ac:dyDescent="0.25">
      <c r="B40" s="1724" t="s">
        <v>2567</v>
      </c>
      <c r="C40" s="1724"/>
      <c r="D40" s="1724"/>
      <c r="E40" s="1724"/>
      <c r="F40" s="1724"/>
      <c r="G40" s="205"/>
      <c r="H40" s="133"/>
      <c r="I40" s="133"/>
    </row>
    <row r="41" spans="2:9" x14ac:dyDescent="0.25">
      <c r="B41" s="1710" t="s">
        <v>2292</v>
      </c>
      <c r="C41" s="1708" t="s">
        <v>2531</v>
      </c>
      <c r="D41" s="1708"/>
      <c r="E41" s="1708"/>
      <c r="F41" s="1709"/>
      <c r="G41" s="205"/>
      <c r="H41" s="133"/>
      <c r="I41" s="133"/>
    </row>
    <row r="42" spans="2:9" x14ac:dyDescent="0.25">
      <c r="B42" s="1711"/>
      <c r="C42" s="1712" t="s">
        <v>7925</v>
      </c>
      <c r="D42" s="1713"/>
      <c r="E42" s="1703" t="s">
        <v>7924</v>
      </c>
      <c r="F42" s="1704"/>
      <c r="G42" s="1434"/>
      <c r="H42" s="133"/>
      <c r="I42" s="133"/>
    </row>
    <row r="43" spans="2:9" x14ac:dyDescent="0.25">
      <c r="B43" s="1440" t="s">
        <v>7923</v>
      </c>
      <c r="C43" s="1714">
        <f>SUM(C44:D52)</f>
        <v>3340472.48</v>
      </c>
      <c r="D43" s="1706"/>
      <c r="E43" s="1705">
        <f>SUM(E44:F52)</f>
        <v>835118.11</v>
      </c>
      <c r="F43" s="1706"/>
      <c r="G43" s="205"/>
      <c r="H43" s="133"/>
      <c r="I43" s="133"/>
    </row>
    <row r="44" spans="2:9" x14ac:dyDescent="0.25">
      <c r="B44" s="1441" t="s">
        <v>7914</v>
      </c>
      <c r="C44" s="1701">
        <f>449792.59-89958.52</f>
        <v>359834.07</v>
      </c>
      <c r="D44" s="1702"/>
      <c r="E44" s="1707">
        <v>89958.52</v>
      </c>
      <c r="F44" s="1702"/>
      <c r="G44" s="1434"/>
      <c r="H44" s="133"/>
      <c r="I44" s="133"/>
    </row>
    <row r="45" spans="2:9" x14ac:dyDescent="0.25">
      <c r="B45" s="1441" t="s">
        <v>7915</v>
      </c>
      <c r="C45" s="1701">
        <f>22345.03-4469.01</f>
        <v>17876.019999999997</v>
      </c>
      <c r="D45" s="1702"/>
      <c r="E45" s="1707">
        <v>4469.01</v>
      </c>
      <c r="F45" s="1702"/>
      <c r="G45" s="1434"/>
      <c r="H45" s="133"/>
      <c r="I45" s="133"/>
    </row>
    <row r="46" spans="2:9" x14ac:dyDescent="0.25">
      <c r="B46" s="1441" t="s">
        <v>7916</v>
      </c>
      <c r="C46" s="1701">
        <f>2743.47-548.69</f>
        <v>2194.7799999999997</v>
      </c>
      <c r="D46" s="1702"/>
      <c r="E46" s="1707">
        <v>548.69000000000005</v>
      </c>
      <c r="F46" s="1702"/>
      <c r="G46" s="1434"/>
      <c r="H46" s="133"/>
      <c r="I46" s="133"/>
    </row>
    <row r="47" spans="2:9" x14ac:dyDescent="0.25">
      <c r="B47" s="1441" t="s">
        <v>7917</v>
      </c>
      <c r="C47" s="1701">
        <f>3132071.63-626414.33</f>
        <v>2505657.2999999998</v>
      </c>
      <c r="D47" s="1702"/>
      <c r="E47" s="1707">
        <v>626414.32999999996</v>
      </c>
      <c r="F47" s="1702"/>
      <c r="G47" s="205"/>
      <c r="H47" s="133"/>
      <c r="I47" s="133"/>
    </row>
    <row r="48" spans="2:9" x14ac:dyDescent="0.25">
      <c r="B48" s="1441" t="s">
        <v>7918</v>
      </c>
      <c r="C48" s="1701">
        <f>365121.42-73024.28</f>
        <v>292097.14</v>
      </c>
      <c r="D48" s="1702"/>
      <c r="E48" s="1707">
        <v>73024.28</v>
      </c>
      <c r="F48" s="1702"/>
      <c r="G48" s="205"/>
      <c r="H48" s="133"/>
      <c r="I48" s="133"/>
    </row>
    <row r="49" spans="2:9" x14ac:dyDescent="0.25">
      <c r="B49" s="1441" t="s">
        <v>7919</v>
      </c>
      <c r="C49" s="1701">
        <f>125637.37-25127.47</f>
        <v>100509.9</v>
      </c>
      <c r="D49" s="1702"/>
      <c r="E49" s="1707">
        <v>25127.47</v>
      </c>
      <c r="F49" s="1702"/>
      <c r="G49" s="205"/>
      <c r="H49" s="133"/>
      <c r="I49" s="133"/>
    </row>
    <row r="50" spans="2:9" x14ac:dyDescent="0.25">
      <c r="B50" s="1441" t="s">
        <v>7920</v>
      </c>
      <c r="C50" s="1701">
        <f>0.27-0.05</f>
        <v>0.22000000000000003</v>
      </c>
      <c r="D50" s="1702"/>
      <c r="E50" s="1707">
        <v>0.05</v>
      </c>
      <c r="F50" s="1702"/>
    </row>
    <row r="51" spans="2:9" x14ac:dyDescent="0.25">
      <c r="B51" s="1441" t="s">
        <v>7921</v>
      </c>
      <c r="C51" s="1701">
        <f>0.21-0.04</f>
        <v>0.16999999999999998</v>
      </c>
      <c r="D51" s="1702"/>
      <c r="E51" s="1707">
        <v>0.04</v>
      </c>
      <c r="F51" s="1702"/>
    </row>
    <row r="52" spans="2:9" x14ac:dyDescent="0.25">
      <c r="B52" s="1442" t="s">
        <v>7922</v>
      </c>
      <c r="C52" s="1719">
        <f>77878.6-15575.72</f>
        <v>62302.880000000005</v>
      </c>
      <c r="D52" s="1716"/>
      <c r="E52" s="1715">
        <v>15575.72</v>
      </c>
      <c r="F52" s="1716"/>
    </row>
    <row r="53" spans="2:9" s="133" customFormat="1" x14ac:dyDescent="0.25">
      <c r="B53" s="1443" t="s">
        <v>2568</v>
      </c>
      <c r="C53" s="1720">
        <f>C43</f>
        <v>3340472.48</v>
      </c>
      <c r="D53" s="1718"/>
      <c r="E53" s="1717">
        <f>E43</f>
        <v>835118.11</v>
      </c>
      <c r="F53" s="1718"/>
      <c r="G53" s="205"/>
    </row>
    <row r="54" spans="2:9" s="133" customFormat="1" x14ac:dyDescent="0.25">
      <c r="C54" s="205"/>
      <c r="D54" s="205"/>
      <c r="E54" s="205"/>
      <c r="G54" s="205"/>
    </row>
    <row r="55" spans="2:9" s="133" customFormat="1" x14ac:dyDescent="0.25">
      <c r="C55" s="205"/>
      <c r="D55" s="205"/>
      <c r="E55" s="205"/>
      <c r="G55" s="205"/>
    </row>
    <row r="56" spans="2:9" s="133" customFormat="1" x14ac:dyDescent="0.25">
      <c r="B56" s="226"/>
      <c r="C56" s="205"/>
      <c r="D56" s="1435"/>
      <c r="E56" s="205"/>
      <c r="G56" s="205"/>
    </row>
    <row r="57" spans="2:9" s="133" customFormat="1" x14ac:dyDescent="0.25">
      <c r="C57" s="205"/>
      <c r="D57" s="205"/>
      <c r="E57" s="205"/>
      <c r="G57" s="205"/>
    </row>
    <row r="58" spans="2:9" x14ac:dyDescent="0.25">
      <c r="D58" s="723"/>
    </row>
  </sheetData>
  <mergeCells count="37">
    <mergeCell ref="B38:E38"/>
    <mergeCell ref="B40:F40"/>
    <mergeCell ref="B1:G1"/>
    <mergeCell ref="B3:G3"/>
    <mergeCell ref="B5:G5"/>
    <mergeCell ref="B36:E36"/>
    <mergeCell ref="B7:G7"/>
    <mergeCell ref="B8:F8"/>
    <mergeCell ref="B9:B10"/>
    <mergeCell ref="C9:C10"/>
    <mergeCell ref="D9:F9"/>
    <mergeCell ref="E52:F52"/>
    <mergeCell ref="E53:F53"/>
    <mergeCell ref="C50:D50"/>
    <mergeCell ref="C51:D51"/>
    <mergeCell ref="E47:F47"/>
    <mergeCell ref="E48:F48"/>
    <mergeCell ref="E49:F49"/>
    <mergeCell ref="C47:D47"/>
    <mergeCell ref="C48:D48"/>
    <mergeCell ref="C49:D49"/>
    <mergeCell ref="C52:D52"/>
    <mergeCell ref="C53:D53"/>
    <mergeCell ref="E50:F50"/>
    <mergeCell ref="E51:F51"/>
    <mergeCell ref="C41:F41"/>
    <mergeCell ref="B41:B42"/>
    <mergeCell ref="C42:D42"/>
    <mergeCell ref="C43:D43"/>
    <mergeCell ref="C44:D44"/>
    <mergeCell ref="C45:D45"/>
    <mergeCell ref="C46:D46"/>
    <mergeCell ref="E42:F42"/>
    <mergeCell ref="E43:F43"/>
    <mergeCell ref="E44:F44"/>
    <mergeCell ref="E45:F45"/>
    <mergeCell ref="E46:F46"/>
  </mergeCells>
  <pageMargins left="0.51181102362204722" right="0.51181102362204722" top="0.78740157480314965" bottom="0.78740157480314965" header="0.31496062992125984" footer="0.31496062992125984"/>
  <pageSetup paperSize="9" scale="65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I54"/>
  <sheetViews>
    <sheetView showGridLines="0" topLeftCell="A36" zoomScaleNormal="100" workbookViewId="0">
      <selection activeCell="B47" sqref="B47:G50"/>
    </sheetView>
  </sheetViews>
  <sheetFormatPr defaultColWidth="10.7109375" defaultRowHeight="15" x14ac:dyDescent="0.25"/>
  <cols>
    <col min="1" max="1" width="3" customWidth="1"/>
    <col min="2" max="2" width="50.85546875" customWidth="1"/>
    <col min="3" max="3" width="17.5703125" style="130" customWidth="1"/>
    <col min="4" max="4" width="17.5703125" style="203" customWidth="1"/>
    <col min="5" max="5" width="16.85546875" style="203" customWidth="1"/>
    <col min="6" max="6" width="18.85546875" style="644" customWidth="1"/>
    <col min="7" max="7" width="17.7109375" customWidth="1"/>
    <col min="8" max="8" width="21.85546875" style="130" customWidth="1"/>
    <col min="9" max="9" width="15.28515625" customWidth="1"/>
    <col min="10" max="10" width="16" customWidth="1"/>
  </cols>
  <sheetData>
    <row r="1" spans="2:61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</row>
    <row r="2" spans="2:61" s="410" customFormat="1" ht="12.75" customHeight="1" x14ac:dyDescent="0.35">
      <c r="E2" s="412"/>
      <c r="F2" s="412"/>
      <c r="G2" s="411"/>
      <c r="J2" s="412"/>
      <c r="S2" s="412"/>
      <c r="T2" s="411"/>
      <c r="W2" s="412"/>
      <c r="AP2" s="412"/>
      <c r="AQ2" s="411"/>
      <c r="AT2" s="412"/>
    </row>
    <row r="3" spans="2:61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  <c r="BI3" s="413"/>
    </row>
    <row r="4" spans="2:61" s="410" customFormat="1" ht="10.5" customHeight="1" x14ac:dyDescent="0.35">
      <c r="E4" s="412"/>
      <c r="F4" s="412"/>
      <c r="G4" s="411"/>
      <c r="J4" s="412"/>
      <c r="S4" s="412"/>
      <c r="T4" s="411"/>
      <c r="W4" s="412"/>
      <c r="AP4" s="412"/>
      <c r="AQ4" s="411"/>
      <c r="AT4" s="412"/>
    </row>
    <row r="5" spans="2:61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  <c r="BI5" s="414"/>
    </row>
    <row r="6" spans="2:61" ht="93" customHeight="1" x14ac:dyDescent="0.25">
      <c r="B6" s="1683" t="s">
        <v>2522</v>
      </c>
      <c r="C6" s="1683"/>
      <c r="D6" s="1683"/>
      <c r="E6" s="1683"/>
      <c r="F6" s="1683"/>
      <c r="G6" s="1683"/>
      <c r="H6" s="1683"/>
      <c r="I6" s="65"/>
      <c r="J6" s="65"/>
      <c r="K6" s="65"/>
      <c r="L6" s="65"/>
      <c r="M6" s="65"/>
      <c r="N6" s="65"/>
      <c r="O6" s="65"/>
    </row>
    <row r="7" spans="2:61" ht="15.75" thickBot="1" x14ac:dyDescent="0.3">
      <c r="B7" s="1678" t="s">
        <v>134</v>
      </c>
      <c r="C7" s="1678"/>
      <c r="D7" s="1678"/>
      <c r="E7" s="1678"/>
      <c r="F7" s="1678"/>
      <c r="G7" s="1678"/>
    </row>
    <row r="8" spans="2:61" x14ac:dyDescent="0.25">
      <c r="B8" s="1727" t="s">
        <v>2292</v>
      </c>
      <c r="C8" s="1729" t="s">
        <v>2523</v>
      </c>
      <c r="D8" s="1731" t="s">
        <v>2542</v>
      </c>
      <c r="E8" s="1732"/>
      <c r="F8" s="1732"/>
      <c r="G8" s="1733"/>
      <c r="H8" s="197"/>
      <c r="I8" s="197"/>
      <c r="J8" s="197"/>
    </row>
    <row r="9" spans="2:61" ht="31.5" customHeight="1" x14ac:dyDescent="0.25">
      <c r="B9" s="1742"/>
      <c r="C9" s="1743"/>
      <c r="D9" s="657" t="s">
        <v>4821</v>
      </c>
      <c r="E9" s="658" t="s">
        <v>4823</v>
      </c>
      <c r="F9" s="658" t="s">
        <v>4822</v>
      </c>
      <c r="G9" s="659" t="s">
        <v>100</v>
      </c>
      <c r="H9" s="197"/>
      <c r="I9" s="197"/>
      <c r="J9" s="197"/>
    </row>
    <row r="10" spans="2:61" x14ac:dyDescent="0.25">
      <c r="B10" s="1728"/>
      <c r="C10" s="1730"/>
      <c r="D10" s="234">
        <v>0.25</v>
      </c>
      <c r="E10" s="234">
        <v>0.01</v>
      </c>
      <c r="F10" s="656">
        <v>0.06</v>
      </c>
      <c r="G10" s="235">
        <f>D10+E10</f>
        <v>0.26</v>
      </c>
      <c r="H10" s="197"/>
      <c r="I10" s="197"/>
      <c r="J10" s="197"/>
    </row>
    <row r="11" spans="2:61" x14ac:dyDescent="0.25">
      <c r="B11" s="206" t="s">
        <v>2535</v>
      </c>
      <c r="C11" s="108">
        <f>SUM(C12:C36)</f>
        <v>19369423.477338839</v>
      </c>
      <c r="D11" s="108">
        <f>SUM(D12:D36)</f>
        <v>455280.57788527582</v>
      </c>
      <c r="E11" s="108">
        <f>SUM(E12:E36)</f>
        <v>18211.223115411034</v>
      </c>
      <c r="F11" s="651">
        <f>SUM(F12:F36)</f>
        <v>1052898.0699478639</v>
      </c>
      <c r="G11" s="109">
        <f>SUM(G12:G36)-(G37)+0.01</f>
        <v>1524466.314130934</v>
      </c>
      <c r="H11" s="197"/>
      <c r="I11" s="197"/>
      <c r="J11" s="197"/>
    </row>
    <row r="12" spans="2:61" s="1" customFormat="1" ht="24.95" customHeight="1" x14ac:dyDescent="0.25">
      <c r="B12" s="168" t="s">
        <v>2544</v>
      </c>
      <c r="C12" s="180">
        <f>ER!E35</f>
        <v>75150.10942932748</v>
      </c>
      <c r="D12" s="180">
        <f>C12*D$10</f>
        <v>18787.52735733187</v>
      </c>
      <c r="E12" s="180">
        <f>C12*E$10</f>
        <v>751.50109429327483</v>
      </c>
      <c r="F12" s="650">
        <v>0</v>
      </c>
      <c r="G12" s="181">
        <f>D12+E12+F12</f>
        <v>19539.028451625145</v>
      </c>
      <c r="H12" s="226"/>
      <c r="I12" s="226"/>
      <c r="J12" s="226"/>
    </row>
    <row r="13" spans="2:61" s="1" customFormat="1" ht="24.95" customHeight="1" x14ac:dyDescent="0.25">
      <c r="B13" s="168" t="s">
        <v>2545</v>
      </c>
      <c r="C13" s="180">
        <f>ER!E39</f>
        <v>329.61007327902081</v>
      </c>
      <c r="D13" s="180">
        <f>C13*D$10</f>
        <v>82.402518319755202</v>
      </c>
      <c r="E13" s="180">
        <f>C13*E$10</f>
        <v>3.2961007327902081</v>
      </c>
      <c r="F13" s="650">
        <v>0</v>
      </c>
      <c r="G13" s="181">
        <f t="shared" ref="G13:G34" si="0">D13+E13+F13</f>
        <v>85.698619052545411</v>
      </c>
      <c r="H13" s="226"/>
      <c r="I13" s="226"/>
      <c r="J13" s="226"/>
    </row>
    <row r="14" spans="2:61" s="1" customFormat="1" ht="24.95" customHeight="1" x14ac:dyDescent="0.25">
      <c r="B14" s="168" t="s">
        <v>2546</v>
      </c>
      <c r="C14" s="180">
        <f>ER!E43</f>
        <v>986.87775145995658</v>
      </c>
      <c r="D14" s="180">
        <f>C14*D$10</f>
        <v>246.71943786498915</v>
      </c>
      <c r="E14" s="180">
        <f>C14*E$10</f>
        <v>9.8687775145995662</v>
      </c>
      <c r="F14" s="650">
        <v>0</v>
      </c>
      <c r="G14" s="181">
        <f t="shared" si="0"/>
        <v>256.58821537958869</v>
      </c>
      <c r="H14" s="226"/>
      <c r="I14" s="226"/>
      <c r="J14" s="226"/>
    </row>
    <row r="15" spans="2:61" s="1" customFormat="1" ht="24.95" customHeight="1" x14ac:dyDescent="0.25">
      <c r="B15" s="168" t="s">
        <v>2547</v>
      </c>
      <c r="C15" s="180">
        <f>ER!E47</f>
        <v>324.65103578838915</v>
      </c>
      <c r="D15" s="180">
        <f>C15*D$10</f>
        <v>81.162758947097288</v>
      </c>
      <c r="E15" s="180">
        <f>C15*E$10</f>
        <v>3.2465103578838916</v>
      </c>
      <c r="F15" s="650">
        <v>0</v>
      </c>
      <c r="G15" s="181">
        <f t="shared" si="0"/>
        <v>84.40926930498118</v>
      </c>
      <c r="H15" s="226"/>
      <c r="I15" s="226"/>
      <c r="J15" s="226"/>
    </row>
    <row r="16" spans="2:61" s="1" customFormat="1" ht="24.95" customHeight="1" x14ac:dyDescent="0.25">
      <c r="B16" s="168" t="s">
        <v>2551</v>
      </c>
      <c r="C16" s="180">
        <f>ER!E51</f>
        <v>48090.834691593453</v>
      </c>
      <c r="D16" s="180">
        <f t="shared" ref="D16:D30" si="1">C16*D$10</f>
        <v>12022.708672898363</v>
      </c>
      <c r="E16" s="180">
        <f t="shared" ref="E16:E19" si="2">C16*E$10</f>
        <v>480.90834691593454</v>
      </c>
      <c r="F16" s="650">
        <v>0</v>
      </c>
      <c r="G16" s="181">
        <f t="shared" si="0"/>
        <v>12503.617019814297</v>
      </c>
      <c r="H16" s="226"/>
      <c r="I16" s="226"/>
      <c r="J16" s="226"/>
    </row>
    <row r="17" spans="2:10" s="1" customFormat="1" ht="24.95" customHeight="1" x14ac:dyDescent="0.25">
      <c r="B17" s="168" t="s">
        <v>2548</v>
      </c>
      <c r="C17" s="180">
        <f>ER!E55</f>
        <v>1.2629208837042429</v>
      </c>
      <c r="D17" s="180">
        <f t="shared" si="1"/>
        <v>0.31573022092606073</v>
      </c>
      <c r="E17" s="180">
        <f t="shared" si="2"/>
        <v>1.262920883704243E-2</v>
      </c>
      <c r="F17" s="650">
        <v>0</v>
      </c>
      <c r="G17" s="181">
        <f t="shared" si="0"/>
        <v>0.32835942976310317</v>
      </c>
      <c r="H17" s="226"/>
      <c r="I17" s="226"/>
      <c r="J17" s="226"/>
    </row>
    <row r="18" spans="2:10" s="1" customFormat="1" ht="24.95" customHeight="1" x14ac:dyDescent="0.25">
      <c r="B18" s="168" t="s">
        <v>2549</v>
      </c>
      <c r="C18" s="180">
        <f>ER!E59</f>
        <v>1.2629208837042429</v>
      </c>
      <c r="D18" s="180">
        <f t="shared" si="1"/>
        <v>0.31573022092606073</v>
      </c>
      <c r="E18" s="180">
        <f t="shared" si="2"/>
        <v>1.262920883704243E-2</v>
      </c>
      <c r="F18" s="650">
        <v>0</v>
      </c>
      <c r="G18" s="181">
        <f t="shared" si="0"/>
        <v>0.32835942976310317</v>
      </c>
      <c r="H18" s="226"/>
      <c r="I18" s="226"/>
      <c r="J18" s="226"/>
    </row>
    <row r="19" spans="2:10" s="1" customFormat="1" ht="24.95" customHeight="1" x14ac:dyDescent="0.25">
      <c r="B19" s="168" t="s">
        <v>2550</v>
      </c>
      <c r="C19" s="180">
        <f>ER!E63</f>
        <v>161.85902536869682</v>
      </c>
      <c r="D19" s="180">
        <f t="shared" si="1"/>
        <v>40.464756342174205</v>
      </c>
      <c r="E19" s="180">
        <f t="shared" si="2"/>
        <v>1.6185902536869683</v>
      </c>
      <c r="F19" s="650">
        <v>0</v>
      </c>
      <c r="G19" s="181">
        <f t="shared" si="0"/>
        <v>42.083346595861173</v>
      </c>
      <c r="H19" s="226"/>
      <c r="I19" s="226"/>
      <c r="J19" s="226"/>
    </row>
    <row r="20" spans="2:10" s="1" customFormat="1" ht="24.95" customHeight="1" x14ac:dyDescent="0.25">
      <c r="B20" s="168" t="s">
        <v>2555</v>
      </c>
      <c r="C20" s="180">
        <f>ER!E68</f>
        <v>200559.05102496306</v>
      </c>
      <c r="D20" s="180">
        <f t="shared" si="1"/>
        <v>50139.762756240765</v>
      </c>
      <c r="E20" s="180">
        <f t="shared" ref="E20:E23" si="3">C20*E$10</f>
        <v>2005.5905102496306</v>
      </c>
      <c r="F20" s="650">
        <v>0</v>
      </c>
      <c r="G20" s="181">
        <f t="shared" si="0"/>
        <v>52145.353266490398</v>
      </c>
      <c r="H20" s="226"/>
      <c r="I20" s="226"/>
      <c r="J20" s="226"/>
    </row>
    <row r="21" spans="2:10" s="1" customFormat="1" ht="24.95" customHeight="1" x14ac:dyDescent="0.25">
      <c r="B21" s="168" t="s">
        <v>2552</v>
      </c>
      <c r="C21" s="180">
        <f>ER!E72</f>
        <v>224.32042580957062</v>
      </c>
      <c r="D21" s="180">
        <f t="shared" si="1"/>
        <v>56.080106452392656</v>
      </c>
      <c r="E21" s="180">
        <f t="shared" si="3"/>
        <v>2.2432042580957061</v>
      </c>
      <c r="F21" s="650">
        <v>0</v>
      </c>
      <c r="G21" s="181">
        <f t="shared" si="0"/>
        <v>58.323310710488364</v>
      </c>
      <c r="H21" s="226"/>
      <c r="I21" s="226"/>
      <c r="J21" s="226"/>
    </row>
    <row r="22" spans="2:10" s="1" customFormat="1" ht="24.95" customHeight="1" x14ac:dyDescent="0.25">
      <c r="B22" s="168" t="s">
        <v>2553</v>
      </c>
      <c r="C22" s="180">
        <f>ER!E76</f>
        <v>30.287274162077232</v>
      </c>
      <c r="D22" s="180">
        <f t="shared" si="1"/>
        <v>7.5718185405193079</v>
      </c>
      <c r="E22" s="180">
        <f t="shared" si="3"/>
        <v>0.30287274162077232</v>
      </c>
      <c r="F22" s="650">
        <v>0</v>
      </c>
      <c r="G22" s="181">
        <f t="shared" si="0"/>
        <v>7.8746912821400805</v>
      </c>
      <c r="H22" s="226"/>
      <c r="I22" s="226"/>
      <c r="J22" s="226"/>
    </row>
    <row r="23" spans="2:10" s="1" customFormat="1" ht="24.95" customHeight="1" x14ac:dyDescent="0.25">
      <c r="B23" s="168" t="s">
        <v>2554</v>
      </c>
      <c r="C23" s="180">
        <f>ER!E80</f>
        <v>9.9648974283944121</v>
      </c>
      <c r="D23" s="180">
        <f t="shared" si="1"/>
        <v>2.491224357098603</v>
      </c>
      <c r="E23" s="180">
        <f t="shared" si="3"/>
        <v>9.9648974283944119E-2</v>
      </c>
      <c r="F23" s="650">
        <v>0</v>
      </c>
      <c r="G23" s="181">
        <f t="shared" si="0"/>
        <v>2.5908733313825469</v>
      </c>
      <c r="H23" s="226"/>
      <c r="I23" s="226"/>
      <c r="J23" s="226"/>
    </row>
    <row r="24" spans="2:10" s="1" customFormat="1" ht="24.95" customHeight="1" x14ac:dyDescent="0.25">
      <c r="B24" s="168" t="s">
        <v>2556</v>
      </c>
      <c r="C24" s="180">
        <f>ER!E16</f>
        <v>400842.07775564911</v>
      </c>
      <c r="D24" s="180">
        <f t="shared" si="1"/>
        <v>100210.51943891228</v>
      </c>
      <c r="E24" s="180">
        <f t="shared" ref="E24" si="4">C24*E$10</f>
        <v>4008.420777556491</v>
      </c>
      <c r="F24" s="650">
        <v>0</v>
      </c>
      <c r="G24" s="181">
        <f t="shared" si="0"/>
        <v>104218.94021646876</v>
      </c>
      <c r="H24" s="226"/>
      <c r="I24" s="226"/>
      <c r="J24" s="226"/>
    </row>
    <row r="25" spans="2:10" s="1" customFormat="1" ht="24.95" customHeight="1" x14ac:dyDescent="0.25">
      <c r="B25" s="168" t="s">
        <v>2557</v>
      </c>
      <c r="C25" s="180">
        <f>ER!E20</f>
        <v>88203.364514180677</v>
      </c>
      <c r="D25" s="180">
        <f t="shared" si="1"/>
        <v>22050.841128545169</v>
      </c>
      <c r="E25" s="180">
        <f t="shared" ref="E25:E27" si="5">C25*E$10</f>
        <v>882.0336451418068</v>
      </c>
      <c r="F25" s="650">
        <v>0</v>
      </c>
      <c r="G25" s="181">
        <f t="shared" si="0"/>
        <v>22932.874773686977</v>
      </c>
      <c r="H25" s="226"/>
      <c r="I25" s="226"/>
      <c r="J25" s="226"/>
    </row>
    <row r="26" spans="2:10" s="1" customFormat="1" ht="24.95" customHeight="1" x14ac:dyDescent="0.25">
      <c r="B26" s="168" t="s">
        <v>2558</v>
      </c>
      <c r="C26" s="180">
        <f>ER!E25</f>
        <v>24495.297882329029</v>
      </c>
      <c r="D26" s="180">
        <f t="shared" si="1"/>
        <v>6123.8244705822572</v>
      </c>
      <c r="E26" s="180">
        <f t="shared" si="5"/>
        <v>244.95297882329029</v>
      </c>
      <c r="F26" s="650">
        <v>0</v>
      </c>
      <c r="G26" s="181">
        <f t="shared" si="0"/>
        <v>6368.7774494055475</v>
      </c>
      <c r="H26" s="226"/>
      <c r="I26" s="226"/>
      <c r="J26" s="226"/>
    </row>
    <row r="27" spans="2:10" s="1" customFormat="1" ht="24.95" customHeight="1" x14ac:dyDescent="0.25">
      <c r="B27" s="168" t="s">
        <v>2559</v>
      </c>
      <c r="C27" s="180">
        <f>ER!E29</f>
        <v>282.18866502492392</v>
      </c>
      <c r="D27" s="180">
        <f t="shared" si="1"/>
        <v>70.54716625623098</v>
      </c>
      <c r="E27" s="180">
        <f t="shared" si="5"/>
        <v>2.8218866502492395</v>
      </c>
      <c r="F27" s="650">
        <v>0</v>
      </c>
      <c r="G27" s="181">
        <f t="shared" si="0"/>
        <v>73.369052906480221</v>
      </c>
      <c r="H27" s="226"/>
      <c r="I27" s="226"/>
      <c r="J27" s="226"/>
    </row>
    <row r="28" spans="2:10" s="1" customFormat="1" ht="24.95" customHeight="1" x14ac:dyDescent="0.25">
      <c r="B28" s="168" t="s">
        <v>2562</v>
      </c>
      <c r="C28" s="180">
        <f>ER!E338</f>
        <v>11363678.696726494</v>
      </c>
      <c r="D28" s="180">
        <v>0</v>
      </c>
      <c r="E28" s="180">
        <v>0</v>
      </c>
      <c r="F28" s="650">
        <f>C28*F$10</f>
        <v>681820.72180358961</v>
      </c>
      <c r="G28" s="181">
        <f t="shared" si="0"/>
        <v>681820.72180358961</v>
      </c>
      <c r="H28" s="226"/>
      <c r="I28" s="226"/>
      <c r="J28" s="226"/>
    </row>
    <row r="29" spans="2:10" s="1" customFormat="1" ht="24.95" customHeight="1" x14ac:dyDescent="0.25">
      <c r="B29" s="168" t="s">
        <v>2560</v>
      </c>
      <c r="C29" s="180">
        <f>ER!E343</f>
        <v>493092.80286585086</v>
      </c>
      <c r="D29" s="180">
        <f t="shared" si="1"/>
        <v>123273.20071646271</v>
      </c>
      <c r="E29" s="180">
        <f>C29*E$10</f>
        <v>4930.928028658509</v>
      </c>
      <c r="F29" s="650">
        <v>0</v>
      </c>
      <c r="G29" s="181">
        <f>D29+E29+F29</f>
        <v>128204.12874512123</v>
      </c>
      <c r="H29" s="226"/>
      <c r="I29" s="226"/>
      <c r="J29" s="226"/>
    </row>
    <row r="30" spans="2:10" s="1" customFormat="1" ht="24.95" customHeight="1" x14ac:dyDescent="0.25">
      <c r="B30" s="168" t="s">
        <v>2561</v>
      </c>
      <c r="C30" s="180">
        <f>ER!E347</f>
        <v>488336.4883871213</v>
      </c>
      <c r="D30" s="180">
        <f t="shared" si="1"/>
        <v>122084.12209678032</v>
      </c>
      <c r="E30" s="180">
        <f>C30*E$10</f>
        <v>4883.3648838712134</v>
      </c>
      <c r="F30" s="650">
        <v>0</v>
      </c>
      <c r="G30" s="181">
        <f t="shared" si="0"/>
        <v>126967.48698065153</v>
      </c>
      <c r="H30" s="226"/>
      <c r="I30" s="226"/>
      <c r="J30" s="226"/>
    </row>
    <row r="31" spans="2:10" s="1" customFormat="1" ht="24.95" customHeight="1" x14ac:dyDescent="0.25">
      <c r="B31" s="168" t="s">
        <v>2524</v>
      </c>
      <c r="C31" s="180">
        <f>ER!E351</f>
        <v>18071.824642416803</v>
      </c>
      <c r="D31" s="180">
        <v>0</v>
      </c>
      <c r="E31" s="180">
        <v>0</v>
      </c>
      <c r="F31" s="650">
        <f>C31*F$10</f>
        <v>1084.3094785450082</v>
      </c>
      <c r="G31" s="181">
        <f t="shared" si="0"/>
        <v>1084.3094785450082</v>
      </c>
      <c r="H31" s="226"/>
      <c r="I31" s="226"/>
      <c r="J31" s="226"/>
    </row>
    <row r="32" spans="2:10" s="1" customFormat="1" ht="24.95" customHeight="1" x14ac:dyDescent="0.25">
      <c r="B32" s="168" t="s">
        <v>87</v>
      </c>
      <c r="C32" s="180">
        <f>ER!E383</f>
        <v>1.0446546729843194</v>
      </c>
      <c r="D32" s="180">
        <v>0</v>
      </c>
      <c r="E32" s="180">
        <v>0</v>
      </c>
      <c r="F32" s="650">
        <f>C32*F$10</f>
        <v>6.2679280379059163E-2</v>
      </c>
      <c r="G32" s="181">
        <f t="shared" si="0"/>
        <v>6.2679280379059163E-2</v>
      </c>
      <c r="H32" s="226"/>
      <c r="I32" s="226"/>
      <c r="J32" s="226"/>
    </row>
    <row r="33" spans="2:10" s="1" customFormat="1" ht="24.95" customHeight="1" x14ac:dyDescent="0.25">
      <c r="B33" s="168" t="s">
        <v>2525</v>
      </c>
      <c r="C33" s="180">
        <f>ER!E395</f>
        <v>5586108.0264563644</v>
      </c>
      <c r="D33" s="180">
        <v>0</v>
      </c>
      <c r="E33" s="180">
        <v>0</v>
      </c>
      <c r="F33" s="650">
        <f>C33*F$10</f>
        <v>335166.48158738186</v>
      </c>
      <c r="G33" s="181">
        <f t="shared" si="0"/>
        <v>335166.48158738186</v>
      </c>
      <c r="H33" s="226"/>
      <c r="I33" s="226"/>
      <c r="J33" s="226"/>
    </row>
    <row r="34" spans="2:10" s="1" customFormat="1" ht="24.95" customHeight="1" x14ac:dyDescent="0.25">
      <c r="B34" s="168" t="s">
        <v>2526</v>
      </c>
      <c r="C34" s="180">
        <f>ER!E400</f>
        <v>580358.35123503162</v>
      </c>
      <c r="D34" s="180">
        <v>0</v>
      </c>
      <c r="E34" s="180">
        <v>0</v>
      </c>
      <c r="F34" s="650">
        <f>C34*F$10</f>
        <v>34821.501074101892</v>
      </c>
      <c r="G34" s="181">
        <f t="shared" si="0"/>
        <v>34821.501074101892</v>
      </c>
      <c r="H34" s="226"/>
      <c r="I34" s="226"/>
      <c r="J34" s="226"/>
    </row>
    <row r="35" spans="2:10" s="1" customFormat="1" ht="24.95" customHeight="1" x14ac:dyDescent="0.25">
      <c r="B35" s="168" t="s">
        <v>2527</v>
      </c>
      <c r="C35" s="180">
        <f>ER!E405</f>
        <v>83.222082755894462</v>
      </c>
      <c r="D35" s="180">
        <v>0</v>
      </c>
      <c r="E35" s="180">
        <v>0</v>
      </c>
      <c r="F35" s="650">
        <f>C35*F$10</f>
        <v>4.9933249653536675</v>
      </c>
      <c r="G35" s="181">
        <f>D35+E35+F35</f>
        <v>4.9933249653536675</v>
      </c>
      <c r="H35" s="226"/>
      <c r="I35" s="226"/>
      <c r="J35" s="226"/>
    </row>
    <row r="36" spans="2:10" s="1" customFormat="1" ht="24.95" customHeight="1" x14ac:dyDescent="0.25">
      <c r="B36" s="1725" t="s">
        <v>2538</v>
      </c>
      <c r="C36" s="1726"/>
      <c r="D36" s="1726"/>
      <c r="E36" s="1726"/>
      <c r="F36" s="1737"/>
      <c r="G36" s="236">
        <f>ER!E207</f>
        <v>563.4922157165114</v>
      </c>
      <c r="H36" s="226"/>
      <c r="I36" s="226"/>
      <c r="J36" s="226"/>
    </row>
    <row r="37" spans="2:10" s="1" customFormat="1" ht="24.95" customHeight="1" x14ac:dyDescent="0.25">
      <c r="B37" s="739" t="s">
        <v>6921</v>
      </c>
      <c r="C37" s="738">
        <f>ER!E604+ER!E608+ER!E612</f>
        <v>9565.6116666666676</v>
      </c>
      <c r="D37" s="729">
        <f>C37*D$10</f>
        <v>2391.4029166666669</v>
      </c>
      <c r="E37" s="729">
        <f>C37*E$10</f>
        <v>95.656116666666676</v>
      </c>
      <c r="F37" s="729">
        <v>0</v>
      </c>
      <c r="G37" s="181">
        <f>D37+E37+F37</f>
        <v>2487.0590333333334</v>
      </c>
      <c r="H37" s="226"/>
      <c r="I37" s="226"/>
      <c r="J37" s="226"/>
    </row>
    <row r="38" spans="2:10" s="12" customFormat="1" ht="24.95" customHeight="1" x14ac:dyDescent="0.25">
      <c r="B38" s="1734" t="s">
        <v>2529</v>
      </c>
      <c r="C38" s="1735"/>
      <c r="D38" s="1735"/>
      <c r="E38" s="1736"/>
      <c r="F38" s="649"/>
      <c r="G38" s="183">
        <f>G39+G40+G41-G42</f>
        <v>596727.27375126211</v>
      </c>
      <c r="H38" s="227"/>
      <c r="I38" s="227"/>
      <c r="J38" s="227"/>
    </row>
    <row r="39" spans="2:10" s="1" customFormat="1" ht="24.95" customHeight="1" x14ac:dyDescent="0.25">
      <c r="B39" s="1725" t="s">
        <v>2539</v>
      </c>
      <c r="C39" s="1726"/>
      <c r="D39" s="1726"/>
      <c r="E39" s="1737"/>
      <c r="F39" s="648"/>
      <c r="G39" s="181">
        <f>ER!E439</f>
        <v>4081535.3645532732</v>
      </c>
      <c r="H39" s="226"/>
      <c r="I39" s="226"/>
      <c r="J39" s="226"/>
    </row>
    <row r="40" spans="2:10" s="12" customFormat="1" ht="24.95" customHeight="1" x14ac:dyDescent="0.25">
      <c r="B40" s="1725" t="s">
        <v>2540</v>
      </c>
      <c r="C40" s="1726"/>
      <c r="D40" s="1726"/>
      <c r="E40" s="1737"/>
      <c r="F40" s="648"/>
      <c r="G40" s="183">
        <v>0</v>
      </c>
      <c r="H40" s="227"/>
      <c r="I40" s="227"/>
      <c r="J40" s="227"/>
    </row>
    <row r="41" spans="2:10" s="12" customFormat="1" ht="24.95" customHeight="1" x14ac:dyDescent="0.25">
      <c r="B41" s="1725" t="s">
        <v>2541</v>
      </c>
      <c r="C41" s="1726"/>
      <c r="D41" s="1726"/>
      <c r="E41" s="1737"/>
      <c r="F41" s="648"/>
      <c r="G41" s="183">
        <f>ER!E197</f>
        <v>24852.142357535966</v>
      </c>
      <c r="H41" s="227"/>
      <c r="I41" s="227"/>
      <c r="J41" s="227"/>
    </row>
    <row r="42" spans="2:10" ht="24.95" customHeight="1" x14ac:dyDescent="0.25">
      <c r="B42" s="1725" t="s">
        <v>2528</v>
      </c>
      <c r="C42" s="1726"/>
      <c r="D42" s="1726"/>
      <c r="E42" s="1737"/>
      <c r="F42" s="648"/>
      <c r="G42" s="183">
        <f>ER!E617</f>
        <v>3509660.2331595472</v>
      </c>
      <c r="H42" s="226"/>
      <c r="I42" s="226"/>
      <c r="J42" s="226"/>
    </row>
    <row r="43" spans="2:10" ht="24.95" customHeight="1" x14ac:dyDescent="0.25">
      <c r="B43" s="1725" t="s">
        <v>5488</v>
      </c>
      <c r="C43" s="1726"/>
      <c r="D43" s="1726"/>
      <c r="E43" s="1737"/>
      <c r="F43" s="687"/>
      <c r="G43" s="185">
        <f>D50-D49-G11</f>
        <v>6118479.0227798764</v>
      </c>
      <c r="H43" s="226"/>
      <c r="I43" s="226"/>
      <c r="J43" s="226"/>
    </row>
    <row r="44" spans="2:10" ht="24.95" customHeight="1" thickBot="1" x14ac:dyDescent="0.3">
      <c r="B44" s="1721" t="s">
        <v>2534</v>
      </c>
      <c r="C44" s="1722"/>
      <c r="D44" s="1722"/>
      <c r="E44" s="1723"/>
      <c r="F44" s="647"/>
      <c r="G44" s="233">
        <f>G11+G38+G43</f>
        <v>8239672.6106620729</v>
      </c>
      <c r="H44" s="227"/>
      <c r="I44" s="227"/>
      <c r="J44" s="227"/>
    </row>
    <row r="45" spans="2:10" x14ac:dyDescent="0.25">
      <c r="H45" s="205"/>
      <c r="I45" s="133"/>
      <c r="J45" s="133"/>
    </row>
    <row r="46" spans="2:10" ht="15.75" thickBot="1" x14ac:dyDescent="0.3">
      <c r="B46" s="1724" t="s">
        <v>2530</v>
      </c>
      <c r="C46" s="1724"/>
      <c r="D46" s="1724"/>
      <c r="E46" s="1724"/>
      <c r="F46" s="1724"/>
      <c r="G46" s="1724"/>
      <c r="H46" s="205"/>
      <c r="I46" s="133"/>
      <c r="J46" s="133"/>
    </row>
    <row r="47" spans="2:10" x14ac:dyDescent="0.25">
      <c r="B47" s="1740" t="s">
        <v>2292</v>
      </c>
      <c r="C47" s="1741"/>
      <c r="D47" s="1436" t="s">
        <v>2531</v>
      </c>
      <c r="E47" s="1436" t="s">
        <v>1371</v>
      </c>
      <c r="F47" s="1436" t="s">
        <v>7924</v>
      </c>
      <c r="G47" s="1437" t="s">
        <v>1372</v>
      </c>
      <c r="H47" s="205"/>
      <c r="I47" s="133"/>
      <c r="J47" s="133"/>
    </row>
    <row r="48" spans="2:10" x14ac:dyDescent="0.25">
      <c r="B48" s="1672" t="s">
        <v>2532</v>
      </c>
      <c r="C48" s="1673"/>
      <c r="D48" s="182">
        <f>1768278.92</f>
        <v>1768278.92</v>
      </c>
      <c r="E48" s="182">
        <f>G11+G36</f>
        <v>1525029.8063466505</v>
      </c>
      <c r="F48" s="182">
        <f>D48-E48</f>
        <v>243249.11365334946</v>
      </c>
      <c r="G48" s="183">
        <v>0</v>
      </c>
      <c r="H48" s="205"/>
      <c r="I48" s="133"/>
      <c r="J48" s="133"/>
    </row>
    <row r="49" spans="2:8" x14ac:dyDescent="0.25">
      <c r="B49" s="1672" t="s">
        <v>2533</v>
      </c>
      <c r="C49" s="1673"/>
      <c r="D49" s="729">
        <v>4106387.5</v>
      </c>
      <c r="E49" s="729">
        <v>0</v>
      </c>
      <c r="F49" s="729">
        <v>0</v>
      </c>
      <c r="G49" s="181">
        <f>G39+G41-0.01</f>
        <v>4106387.4969108095</v>
      </c>
    </row>
    <row r="50" spans="2:8" s="133" customFormat="1" ht="15.75" thickBot="1" x14ac:dyDescent="0.3">
      <c r="B50" s="1738" t="s">
        <v>2543</v>
      </c>
      <c r="C50" s="1739"/>
      <c r="D50" s="1438">
        <f t="shared" ref="D50" si="6">SUM(D48:G49)</f>
        <v>11749332.83691081</v>
      </c>
      <c r="E50" s="1438">
        <f>SUM(E48:E49)</f>
        <v>1525029.8063466505</v>
      </c>
      <c r="F50" s="1438">
        <f>SUM(F48:F49)</f>
        <v>243249.11365334946</v>
      </c>
      <c r="G50" s="1439">
        <f>SUM(G48:G49)</f>
        <v>4106387.4969108095</v>
      </c>
      <c r="H50" s="205"/>
    </row>
    <row r="51" spans="2:8" s="133" customFormat="1" x14ac:dyDescent="0.25">
      <c r="C51" s="205"/>
      <c r="D51" s="205"/>
      <c r="E51" s="205"/>
      <c r="F51" s="645"/>
      <c r="H51" s="205"/>
    </row>
    <row r="52" spans="2:8" s="133" customFormat="1" x14ac:dyDescent="0.25">
      <c r="C52" s="205"/>
      <c r="D52" s="205"/>
      <c r="E52" s="205"/>
      <c r="F52" s="645"/>
      <c r="H52" s="205"/>
    </row>
    <row r="53" spans="2:8" s="133" customFormat="1" x14ac:dyDescent="0.25">
      <c r="B53" s="226"/>
      <c r="C53" s="205"/>
      <c r="D53" s="205"/>
      <c r="E53" s="205"/>
      <c r="F53" s="645"/>
      <c r="H53" s="205"/>
    </row>
    <row r="54" spans="2:8" s="133" customFormat="1" x14ac:dyDescent="0.25">
      <c r="C54" s="205"/>
      <c r="D54" s="205"/>
      <c r="E54" s="205"/>
      <c r="F54" s="645"/>
      <c r="H54" s="205"/>
    </row>
  </sheetData>
  <mergeCells count="21">
    <mergeCell ref="B36:F36"/>
    <mergeCell ref="B3:H3"/>
    <mergeCell ref="B1:H1"/>
    <mergeCell ref="B5:H5"/>
    <mergeCell ref="B6:H6"/>
    <mergeCell ref="B8:B10"/>
    <mergeCell ref="C8:C10"/>
    <mergeCell ref="D8:G8"/>
    <mergeCell ref="B7:G7"/>
    <mergeCell ref="B50:C50"/>
    <mergeCell ref="B43:E43"/>
    <mergeCell ref="B49:C49"/>
    <mergeCell ref="B44:E44"/>
    <mergeCell ref="B46:G46"/>
    <mergeCell ref="B47:C47"/>
    <mergeCell ref="B48:C48"/>
    <mergeCell ref="B38:E38"/>
    <mergeCell ref="B39:E39"/>
    <mergeCell ref="B40:E40"/>
    <mergeCell ref="B41:E41"/>
    <mergeCell ref="B42:E42"/>
  </mergeCells>
  <pageMargins left="0.51181102362204722" right="0.51181102362204722" top="0.78740157480314965" bottom="0.39370078740157483" header="0.31496062992125984" footer="0.31496062992125984"/>
  <pageSetup paperSize="9" scale="6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J19"/>
  <sheetViews>
    <sheetView topLeftCell="A4" workbookViewId="0">
      <selection activeCell="C24" sqref="C24"/>
    </sheetView>
  </sheetViews>
  <sheetFormatPr defaultColWidth="10.7109375" defaultRowHeight="15" x14ac:dyDescent="0.25"/>
  <cols>
    <col min="1" max="1" width="5.140625" customWidth="1"/>
    <col min="2" max="2" width="41.85546875" customWidth="1"/>
    <col min="3" max="4" width="17.5703125" style="203" customWidth="1"/>
    <col min="5" max="5" width="16.140625" style="724" customWidth="1"/>
    <col min="6" max="6" width="27.28515625" style="724" customWidth="1"/>
    <col min="7" max="7" width="17.5703125" style="203" customWidth="1"/>
    <col min="8" max="8" width="17.7109375" customWidth="1"/>
    <col min="9" max="9" width="21.85546875" style="203" customWidth="1"/>
    <col min="10" max="10" width="15.28515625" customWidth="1"/>
    <col min="11" max="11" width="16" customWidth="1"/>
  </cols>
  <sheetData>
    <row r="1" spans="2:62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13"/>
    </row>
    <row r="2" spans="2:62" s="410" customFormat="1" ht="12.75" customHeight="1" x14ac:dyDescent="0.35">
      <c r="G2" s="412"/>
      <c r="H2" s="411"/>
      <c r="K2" s="412"/>
      <c r="T2" s="412"/>
      <c r="U2" s="411"/>
      <c r="X2" s="412"/>
      <c r="AQ2" s="412"/>
      <c r="AR2" s="411"/>
      <c r="AU2" s="412"/>
    </row>
    <row r="3" spans="2:62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  <c r="BI3" s="413"/>
      <c r="BJ3" s="413"/>
    </row>
    <row r="4" spans="2:62" s="410" customFormat="1" ht="10.5" customHeight="1" x14ac:dyDescent="0.35">
      <c r="G4" s="412"/>
      <c r="H4" s="411"/>
      <c r="K4" s="412"/>
      <c r="T4" s="412"/>
      <c r="U4" s="411"/>
      <c r="X4" s="412"/>
      <c r="AQ4" s="412"/>
      <c r="AR4" s="411"/>
      <c r="AU4" s="412"/>
    </row>
    <row r="5" spans="2:62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  <c r="BI5" s="414"/>
      <c r="BJ5" s="414"/>
    </row>
    <row r="6" spans="2:62" ht="20.100000000000001" customHeight="1" x14ac:dyDescent="0.35">
      <c r="B6" s="357"/>
      <c r="C6" s="357"/>
      <c r="D6" s="357"/>
      <c r="E6" s="725"/>
      <c r="F6" s="725"/>
      <c r="G6" s="357"/>
      <c r="H6" s="189"/>
      <c r="I6" s="357"/>
      <c r="J6" s="189"/>
      <c r="K6" s="189"/>
      <c r="L6" s="189"/>
      <c r="M6" s="189"/>
      <c r="N6" s="189"/>
      <c r="O6" s="164"/>
      <c r="P6" s="164"/>
      <c r="Q6" s="164"/>
    </row>
    <row r="7" spans="2:62" ht="80.25" customHeight="1" x14ac:dyDescent="0.25">
      <c r="B7" s="1683" t="s">
        <v>2569</v>
      </c>
      <c r="C7" s="1683"/>
      <c r="D7" s="1683"/>
      <c r="E7" s="1683"/>
      <c r="F7" s="1683"/>
      <c r="G7" s="1683"/>
      <c r="H7" s="747"/>
      <c r="I7" s="747"/>
      <c r="J7" s="65"/>
      <c r="K7" s="65"/>
      <c r="L7" s="65"/>
      <c r="M7" s="65"/>
      <c r="N7" s="65"/>
      <c r="O7" s="65"/>
      <c r="P7" s="65"/>
    </row>
    <row r="8" spans="2:62" ht="18.75" customHeight="1" thickBot="1" x14ac:dyDescent="0.3">
      <c r="B8" s="207"/>
      <c r="C8" s="207"/>
      <c r="D8" s="207"/>
      <c r="E8" s="728"/>
      <c r="F8" s="728"/>
      <c r="G8" s="207"/>
      <c r="H8" s="207"/>
      <c r="I8" s="207"/>
      <c r="J8" s="65"/>
      <c r="K8" s="65"/>
      <c r="L8" s="65"/>
      <c r="M8" s="65"/>
      <c r="N8" s="65"/>
      <c r="O8" s="65"/>
      <c r="P8" s="65"/>
    </row>
    <row r="9" spans="2:62" s="133" customFormat="1" x14ac:dyDescent="0.25">
      <c r="B9" s="1664" t="s">
        <v>2570</v>
      </c>
      <c r="C9" s="1665"/>
      <c r="D9" s="1665" t="s">
        <v>2571</v>
      </c>
      <c r="E9" s="1752"/>
      <c r="F9" s="1752"/>
      <c r="G9" s="1753"/>
      <c r="I9" s="205"/>
    </row>
    <row r="10" spans="2:62" s="133" customFormat="1" x14ac:dyDescent="0.25">
      <c r="B10" s="232" t="s">
        <v>1</v>
      </c>
      <c r="C10" s="228" t="s">
        <v>2480</v>
      </c>
      <c r="D10" s="228" t="s">
        <v>1</v>
      </c>
      <c r="E10" s="740"/>
      <c r="F10" s="740"/>
      <c r="G10" s="238" t="s">
        <v>2480</v>
      </c>
      <c r="I10" s="205"/>
    </row>
    <row r="11" spans="2:62" s="133" customFormat="1" ht="15" customHeight="1" x14ac:dyDescent="0.25">
      <c r="B11" s="1746" t="str">
        <f>ER!D509</f>
        <v>Operações de Crédito P/Programas de Educação - Principal</v>
      </c>
      <c r="C11" s="1749">
        <v>2</v>
      </c>
      <c r="D11" s="727" t="s">
        <v>6927</v>
      </c>
      <c r="E11" s="1744" t="str">
        <f>DESPORC!C1623</f>
        <v>02 - PREFEITURA MUNICIPAL DE CHUVISCA</v>
      </c>
      <c r="F11" s="1745"/>
      <c r="G11" s="1755">
        <v>2</v>
      </c>
      <c r="I11" s="726"/>
    </row>
    <row r="12" spans="2:62" s="133" customFormat="1" ht="45" customHeight="1" x14ac:dyDescent="0.25">
      <c r="B12" s="1747"/>
      <c r="C12" s="1750"/>
      <c r="D12" s="727" t="s">
        <v>3087</v>
      </c>
      <c r="E12" s="1744" t="str">
        <f>DESPORC!C1624</f>
        <v>10 - ENCARGOS ESPECIAIS</v>
      </c>
      <c r="F12" s="1745"/>
      <c r="G12" s="1756"/>
      <c r="I12" s="726"/>
    </row>
    <row r="13" spans="2:62" s="133" customFormat="1" x14ac:dyDescent="0.25">
      <c r="B13" s="1747"/>
      <c r="C13" s="1750"/>
      <c r="D13" s="239" t="s">
        <v>2572</v>
      </c>
      <c r="E13" s="746">
        <f>DESPORC!C1630</f>
        <v>1</v>
      </c>
      <c r="F13" s="744" t="str">
        <f>DESPORC!D1630</f>
        <v>ENCARGOS ESPECIAIS</v>
      </c>
      <c r="G13" s="1756"/>
      <c r="I13" s="205"/>
    </row>
    <row r="14" spans="2:62" x14ac:dyDescent="0.25">
      <c r="B14" s="1747"/>
      <c r="C14" s="1750"/>
      <c r="D14" s="230" t="s">
        <v>2573</v>
      </c>
      <c r="E14" s="745">
        <f>DESPORC!C1634</f>
        <v>332902100000000</v>
      </c>
      <c r="F14" s="745" t="str">
        <f>DESPORC!D1634</f>
        <v>Juros S/Divida por Contrato</v>
      </c>
      <c r="G14" s="1757"/>
    </row>
    <row r="15" spans="2:62" ht="30" x14ac:dyDescent="0.25">
      <c r="B15" s="1747"/>
      <c r="C15" s="1750"/>
      <c r="D15" s="230" t="s">
        <v>2573</v>
      </c>
      <c r="E15" s="745">
        <f>DESPORC!C1659</f>
        <v>346907100000000</v>
      </c>
      <c r="F15" s="745" t="str">
        <f>DESPORC!D1659</f>
        <v>Principal Da Divida Por Contrato</v>
      </c>
      <c r="G15" s="1754">
        <v>0</v>
      </c>
    </row>
    <row r="16" spans="2:62" x14ac:dyDescent="0.25">
      <c r="B16" s="1748"/>
      <c r="C16" s="1751"/>
      <c r="D16" s="229" t="s">
        <v>2573</v>
      </c>
      <c r="E16" s="742"/>
      <c r="F16" s="742"/>
      <c r="G16" s="1754"/>
    </row>
    <row r="17" spans="2:7" x14ac:dyDescent="0.25">
      <c r="B17" s="730" t="s">
        <v>2574</v>
      </c>
      <c r="C17" s="731">
        <v>0</v>
      </c>
      <c r="D17" s="230"/>
      <c r="E17" s="741"/>
      <c r="F17" s="741"/>
      <c r="G17" s="732"/>
    </row>
    <row r="18" spans="2:7" ht="15.75" thickBot="1" x14ac:dyDescent="0.3">
      <c r="B18" s="240" t="s">
        <v>38</v>
      </c>
      <c r="C18" s="110">
        <f>C11+C17</f>
        <v>2</v>
      </c>
      <c r="D18" s="231" t="s">
        <v>38</v>
      </c>
      <c r="E18" s="743"/>
      <c r="F18" s="743"/>
      <c r="G18" s="111">
        <f>G11+G17</f>
        <v>2</v>
      </c>
    </row>
    <row r="19" spans="2:7" ht="15.75" thickBot="1" x14ac:dyDescent="0.3">
      <c r="B19" s="748"/>
      <c r="C19" s="749"/>
      <c r="D19" s="749"/>
      <c r="E19" s="749"/>
      <c r="F19" s="749"/>
      <c r="G19" s="750"/>
    </row>
  </sheetData>
  <mergeCells count="12">
    <mergeCell ref="B7:G7"/>
    <mergeCell ref="B5:G5"/>
    <mergeCell ref="B3:G3"/>
    <mergeCell ref="B1:G1"/>
    <mergeCell ref="E11:F11"/>
    <mergeCell ref="E12:F12"/>
    <mergeCell ref="B11:B16"/>
    <mergeCell ref="C11:C16"/>
    <mergeCell ref="B9:C9"/>
    <mergeCell ref="D9:G9"/>
    <mergeCell ref="G15:G16"/>
    <mergeCell ref="G11:G14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0" verticalDpi="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I38"/>
  <sheetViews>
    <sheetView topLeftCell="A25" workbookViewId="0">
      <selection activeCell="E29" sqref="E29"/>
    </sheetView>
  </sheetViews>
  <sheetFormatPr defaultRowHeight="15" x14ac:dyDescent="0.25"/>
  <cols>
    <col min="1" max="1" width="4.5703125" customWidth="1"/>
    <col min="2" max="2" width="83.28515625" customWidth="1"/>
    <col min="3" max="3" width="17.85546875" customWidth="1"/>
    <col min="4" max="4" width="15.42578125" bestFit="1" customWidth="1"/>
    <col min="5" max="5" width="17.85546875" customWidth="1"/>
    <col min="258" max="258" width="86.7109375" customWidth="1"/>
    <col min="259" max="259" width="18.85546875" customWidth="1"/>
    <col min="260" max="260" width="14.5703125" customWidth="1"/>
    <col min="261" max="261" width="17.85546875" customWidth="1"/>
    <col min="514" max="514" width="86.7109375" customWidth="1"/>
    <col min="515" max="515" width="18.85546875" customWidth="1"/>
    <col min="516" max="516" width="14.5703125" customWidth="1"/>
    <col min="517" max="517" width="17.85546875" customWidth="1"/>
    <col min="770" max="770" width="86.7109375" customWidth="1"/>
    <col min="771" max="771" width="18.85546875" customWidth="1"/>
    <col min="772" max="772" width="14.5703125" customWidth="1"/>
    <col min="773" max="773" width="17.85546875" customWidth="1"/>
    <col min="1026" max="1026" width="86.7109375" customWidth="1"/>
    <col min="1027" max="1027" width="18.85546875" customWidth="1"/>
    <col min="1028" max="1028" width="14.5703125" customWidth="1"/>
    <col min="1029" max="1029" width="17.85546875" customWidth="1"/>
    <col min="1282" max="1282" width="86.7109375" customWidth="1"/>
    <col min="1283" max="1283" width="18.85546875" customWidth="1"/>
    <col min="1284" max="1284" width="14.5703125" customWidth="1"/>
    <col min="1285" max="1285" width="17.85546875" customWidth="1"/>
    <col min="1538" max="1538" width="86.7109375" customWidth="1"/>
    <col min="1539" max="1539" width="18.85546875" customWidth="1"/>
    <col min="1540" max="1540" width="14.5703125" customWidth="1"/>
    <col min="1541" max="1541" width="17.85546875" customWidth="1"/>
    <col min="1794" max="1794" width="86.7109375" customWidth="1"/>
    <col min="1795" max="1795" width="18.85546875" customWidth="1"/>
    <col min="1796" max="1796" width="14.5703125" customWidth="1"/>
    <col min="1797" max="1797" width="17.85546875" customWidth="1"/>
    <col min="2050" max="2050" width="86.7109375" customWidth="1"/>
    <col min="2051" max="2051" width="18.85546875" customWidth="1"/>
    <col min="2052" max="2052" width="14.5703125" customWidth="1"/>
    <col min="2053" max="2053" width="17.85546875" customWidth="1"/>
    <col min="2306" max="2306" width="86.7109375" customWidth="1"/>
    <col min="2307" max="2307" width="18.85546875" customWidth="1"/>
    <col min="2308" max="2308" width="14.5703125" customWidth="1"/>
    <col min="2309" max="2309" width="17.85546875" customWidth="1"/>
    <col min="2562" max="2562" width="86.7109375" customWidth="1"/>
    <col min="2563" max="2563" width="18.85546875" customWidth="1"/>
    <col min="2564" max="2564" width="14.5703125" customWidth="1"/>
    <col min="2565" max="2565" width="17.85546875" customWidth="1"/>
    <col min="2818" max="2818" width="86.7109375" customWidth="1"/>
    <col min="2819" max="2819" width="18.85546875" customWidth="1"/>
    <col min="2820" max="2820" width="14.5703125" customWidth="1"/>
    <col min="2821" max="2821" width="17.85546875" customWidth="1"/>
    <col min="3074" max="3074" width="86.7109375" customWidth="1"/>
    <col min="3075" max="3075" width="18.85546875" customWidth="1"/>
    <col min="3076" max="3076" width="14.5703125" customWidth="1"/>
    <col min="3077" max="3077" width="17.85546875" customWidth="1"/>
    <col min="3330" max="3330" width="86.7109375" customWidth="1"/>
    <col min="3331" max="3331" width="18.85546875" customWidth="1"/>
    <col min="3332" max="3332" width="14.5703125" customWidth="1"/>
    <col min="3333" max="3333" width="17.85546875" customWidth="1"/>
    <col min="3586" max="3586" width="86.7109375" customWidth="1"/>
    <col min="3587" max="3587" width="18.85546875" customWidth="1"/>
    <col min="3588" max="3588" width="14.5703125" customWidth="1"/>
    <col min="3589" max="3589" width="17.85546875" customWidth="1"/>
    <col min="3842" max="3842" width="86.7109375" customWidth="1"/>
    <col min="3843" max="3843" width="18.85546875" customWidth="1"/>
    <col min="3844" max="3844" width="14.5703125" customWidth="1"/>
    <col min="3845" max="3845" width="17.85546875" customWidth="1"/>
    <col min="4098" max="4098" width="86.7109375" customWidth="1"/>
    <col min="4099" max="4099" width="18.85546875" customWidth="1"/>
    <col min="4100" max="4100" width="14.5703125" customWidth="1"/>
    <col min="4101" max="4101" width="17.85546875" customWidth="1"/>
    <col min="4354" max="4354" width="86.7109375" customWidth="1"/>
    <col min="4355" max="4355" width="18.85546875" customWidth="1"/>
    <col min="4356" max="4356" width="14.5703125" customWidth="1"/>
    <col min="4357" max="4357" width="17.85546875" customWidth="1"/>
    <col min="4610" max="4610" width="86.7109375" customWidth="1"/>
    <col min="4611" max="4611" width="18.85546875" customWidth="1"/>
    <col min="4612" max="4612" width="14.5703125" customWidth="1"/>
    <col min="4613" max="4613" width="17.85546875" customWidth="1"/>
    <col min="4866" max="4866" width="86.7109375" customWidth="1"/>
    <col min="4867" max="4867" width="18.85546875" customWidth="1"/>
    <col min="4868" max="4868" width="14.5703125" customWidth="1"/>
    <col min="4869" max="4869" width="17.85546875" customWidth="1"/>
    <col min="5122" max="5122" width="86.7109375" customWidth="1"/>
    <col min="5123" max="5123" width="18.85546875" customWidth="1"/>
    <col min="5124" max="5124" width="14.5703125" customWidth="1"/>
    <col min="5125" max="5125" width="17.85546875" customWidth="1"/>
    <col min="5378" max="5378" width="86.7109375" customWidth="1"/>
    <col min="5379" max="5379" width="18.85546875" customWidth="1"/>
    <col min="5380" max="5380" width="14.5703125" customWidth="1"/>
    <col min="5381" max="5381" width="17.85546875" customWidth="1"/>
    <col min="5634" max="5634" width="86.7109375" customWidth="1"/>
    <col min="5635" max="5635" width="18.85546875" customWidth="1"/>
    <col min="5636" max="5636" width="14.5703125" customWidth="1"/>
    <col min="5637" max="5637" width="17.85546875" customWidth="1"/>
    <col min="5890" max="5890" width="86.7109375" customWidth="1"/>
    <col min="5891" max="5891" width="18.85546875" customWidth="1"/>
    <col min="5892" max="5892" width="14.5703125" customWidth="1"/>
    <col min="5893" max="5893" width="17.85546875" customWidth="1"/>
    <col min="6146" max="6146" width="86.7109375" customWidth="1"/>
    <col min="6147" max="6147" width="18.85546875" customWidth="1"/>
    <col min="6148" max="6148" width="14.5703125" customWidth="1"/>
    <col min="6149" max="6149" width="17.85546875" customWidth="1"/>
    <col min="6402" max="6402" width="86.7109375" customWidth="1"/>
    <col min="6403" max="6403" width="18.85546875" customWidth="1"/>
    <col min="6404" max="6404" width="14.5703125" customWidth="1"/>
    <col min="6405" max="6405" width="17.85546875" customWidth="1"/>
    <col min="6658" max="6658" width="86.7109375" customWidth="1"/>
    <col min="6659" max="6659" width="18.85546875" customWidth="1"/>
    <col min="6660" max="6660" width="14.5703125" customWidth="1"/>
    <col min="6661" max="6661" width="17.85546875" customWidth="1"/>
    <col min="6914" max="6914" width="86.7109375" customWidth="1"/>
    <col min="6915" max="6915" width="18.85546875" customWidth="1"/>
    <col min="6916" max="6916" width="14.5703125" customWidth="1"/>
    <col min="6917" max="6917" width="17.85546875" customWidth="1"/>
    <col min="7170" max="7170" width="86.7109375" customWidth="1"/>
    <col min="7171" max="7171" width="18.85546875" customWidth="1"/>
    <col min="7172" max="7172" width="14.5703125" customWidth="1"/>
    <col min="7173" max="7173" width="17.85546875" customWidth="1"/>
    <col min="7426" max="7426" width="86.7109375" customWidth="1"/>
    <col min="7427" max="7427" width="18.85546875" customWidth="1"/>
    <col min="7428" max="7428" width="14.5703125" customWidth="1"/>
    <col min="7429" max="7429" width="17.85546875" customWidth="1"/>
    <col min="7682" max="7682" width="86.7109375" customWidth="1"/>
    <col min="7683" max="7683" width="18.85546875" customWidth="1"/>
    <col min="7684" max="7684" width="14.5703125" customWidth="1"/>
    <col min="7685" max="7685" width="17.85546875" customWidth="1"/>
    <col min="7938" max="7938" width="86.7109375" customWidth="1"/>
    <col min="7939" max="7939" width="18.85546875" customWidth="1"/>
    <col min="7940" max="7940" width="14.5703125" customWidth="1"/>
    <col min="7941" max="7941" width="17.85546875" customWidth="1"/>
    <col min="8194" max="8194" width="86.7109375" customWidth="1"/>
    <col min="8195" max="8195" width="18.85546875" customWidth="1"/>
    <col min="8196" max="8196" width="14.5703125" customWidth="1"/>
    <col min="8197" max="8197" width="17.85546875" customWidth="1"/>
    <col min="8450" max="8450" width="86.7109375" customWidth="1"/>
    <col min="8451" max="8451" width="18.85546875" customWidth="1"/>
    <col min="8452" max="8452" width="14.5703125" customWidth="1"/>
    <col min="8453" max="8453" width="17.85546875" customWidth="1"/>
    <col min="8706" max="8706" width="86.7109375" customWidth="1"/>
    <col min="8707" max="8707" width="18.85546875" customWidth="1"/>
    <col min="8708" max="8708" width="14.5703125" customWidth="1"/>
    <col min="8709" max="8709" width="17.85546875" customWidth="1"/>
    <col min="8962" max="8962" width="86.7109375" customWidth="1"/>
    <col min="8963" max="8963" width="18.85546875" customWidth="1"/>
    <col min="8964" max="8964" width="14.5703125" customWidth="1"/>
    <col min="8965" max="8965" width="17.85546875" customWidth="1"/>
    <col min="9218" max="9218" width="86.7109375" customWidth="1"/>
    <col min="9219" max="9219" width="18.85546875" customWidth="1"/>
    <col min="9220" max="9220" width="14.5703125" customWidth="1"/>
    <col min="9221" max="9221" width="17.85546875" customWidth="1"/>
    <col min="9474" max="9474" width="86.7109375" customWidth="1"/>
    <col min="9475" max="9475" width="18.85546875" customWidth="1"/>
    <col min="9476" max="9476" width="14.5703125" customWidth="1"/>
    <col min="9477" max="9477" width="17.85546875" customWidth="1"/>
    <col min="9730" max="9730" width="86.7109375" customWidth="1"/>
    <col min="9731" max="9731" width="18.85546875" customWidth="1"/>
    <col min="9732" max="9732" width="14.5703125" customWidth="1"/>
    <col min="9733" max="9733" width="17.85546875" customWidth="1"/>
    <col min="9986" max="9986" width="86.7109375" customWidth="1"/>
    <col min="9987" max="9987" width="18.85546875" customWidth="1"/>
    <col min="9988" max="9988" width="14.5703125" customWidth="1"/>
    <col min="9989" max="9989" width="17.85546875" customWidth="1"/>
    <col min="10242" max="10242" width="86.7109375" customWidth="1"/>
    <col min="10243" max="10243" width="18.85546875" customWidth="1"/>
    <col min="10244" max="10244" width="14.5703125" customWidth="1"/>
    <col min="10245" max="10245" width="17.85546875" customWidth="1"/>
    <col min="10498" max="10498" width="86.7109375" customWidth="1"/>
    <col min="10499" max="10499" width="18.85546875" customWidth="1"/>
    <col min="10500" max="10500" width="14.5703125" customWidth="1"/>
    <col min="10501" max="10501" width="17.85546875" customWidth="1"/>
    <col min="10754" max="10754" width="86.7109375" customWidth="1"/>
    <col min="10755" max="10755" width="18.85546875" customWidth="1"/>
    <col min="10756" max="10756" width="14.5703125" customWidth="1"/>
    <col min="10757" max="10757" width="17.85546875" customWidth="1"/>
    <col min="11010" max="11010" width="86.7109375" customWidth="1"/>
    <col min="11011" max="11011" width="18.85546875" customWidth="1"/>
    <col min="11012" max="11012" width="14.5703125" customWidth="1"/>
    <col min="11013" max="11013" width="17.85546875" customWidth="1"/>
    <col min="11266" max="11266" width="86.7109375" customWidth="1"/>
    <col min="11267" max="11267" width="18.85546875" customWidth="1"/>
    <col min="11268" max="11268" width="14.5703125" customWidth="1"/>
    <col min="11269" max="11269" width="17.85546875" customWidth="1"/>
    <col min="11522" max="11522" width="86.7109375" customWidth="1"/>
    <col min="11523" max="11523" width="18.85546875" customWidth="1"/>
    <col min="11524" max="11524" width="14.5703125" customWidth="1"/>
    <col min="11525" max="11525" width="17.85546875" customWidth="1"/>
    <col min="11778" max="11778" width="86.7109375" customWidth="1"/>
    <col min="11779" max="11779" width="18.85546875" customWidth="1"/>
    <col min="11780" max="11780" width="14.5703125" customWidth="1"/>
    <col min="11781" max="11781" width="17.85546875" customWidth="1"/>
    <col min="12034" max="12034" width="86.7109375" customWidth="1"/>
    <col min="12035" max="12035" width="18.85546875" customWidth="1"/>
    <col min="12036" max="12036" width="14.5703125" customWidth="1"/>
    <col min="12037" max="12037" width="17.85546875" customWidth="1"/>
    <col min="12290" max="12290" width="86.7109375" customWidth="1"/>
    <col min="12291" max="12291" width="18.85546875" customWidth="1"/>
    <col min="12292" max="12292" width="14.5703125" customWidth="1"/>
    <col min="12293" max="12293" width="17.85546875" customWidth="1"/>
    <col min="12546" max="12546" width="86.7109375" customWidth="1"/>
    <col min="12547" max="12547" width="18.85546875" customWidth="1"/>
    <col min="12548" max="12548" width="14.5703125" customWidth="1"/>
    <col min="12549" max="12549" width="17.85546875" customWidth="1"/>
    <col min="12802" max="12802" width="86.7109375" customWidth="1"/>
    <col min="12803" max="12803" width="18.85546875" customWidth="1"/>
    <col min="12804" max="12804" width="14.5703125" customWidth="1"/>
    <col min="12805" max="12805" width="17.85546875" customWidth="1"/>
    <col min="13058" max="13058" width="86.7109375" customWidth="1"/>
    <col min="13059" max="13059" width="18.85546875" customWidth="1"/>
    <col min="13060" max="13060" width="14.5703125" customWidth="1"/>
    <col min="13061" max="13061" width="17.85546875" customWidth="1"/>
    <col min="13314" max="13314" width="86.7109375" customWidth="1"/>
    <col min="13315" max="13315" width="18.85546875" customWidth="1"/>
    <col min="13316" max="13316" width="14.5703125" customWidth="1"/>
    <col min="13317" max="13317" width="17.85546875" customWidth="1"/>
    <col min="13570" max="13570" width="86.7109375" customWidth="1"/>
    <col min="13571" max="13571" width="18.85546875" customWidth="1"/>
    <col min="13572" max="13572" width="14.5703125" customWidth="1"/>
    <col min="13573" max="13573" width="17.85546875" customWidth="1"/>
    <col min="13826" max="13826" width="86.7109375" customWidth="1"/>
    <col min="13827" max="13827" width="18.85546875" customWidth="1"/>
    <col min="13828" max="13828" width="14.5703125" customWidth="1"/>
    <col min="13829" max="13829" width="17.85546875" customWidth="1"/>
    <col min="14082" max="14082" width="86.7109375" customWidth="1"/>
    <col min="14083" max="14083" width="18.85546875" customWidth="1"/>
    <col min="14084" max="14084" width="14.5703125" customWidth="1"/>
    <col min="14085" max="14085" width="17.85546875" customWidth="1"/>
    <col min="14338" max="14338" width="86.7109375" customWidth="1"/>
    <col min="14339" max="14339" width="18.85546875" customWidth="1"/>
    <col min="14340" max="14340" width="14.5703125" customWidth="1"/>
    <col min="14341" max="14341" width="17.85546875" customWidth="1"/>
    <col min="14594" max="14594" width="86.7109375" customWidth="1"/>
    <col min="14595" max="14595" width="18.85546875" customWidth="1"/>
    <col min="14596" max="14596" width="14.5703125" customWidth="1"/>
    <col min="14597" max="14597" width="17.85546875" customWidth="1"/>
    <col min="14850" max="14850" width="86.7109375" customWidth="1"/>
    <col min="14851" max="14851" width="18.85546875" customWidth="1"/>
    <col min="14852" max="14852" width="14.5703125" customWidth="1"/>
    <col min="14853" max="14853" width="17.85546875" customWidth="1"/>
    <col min="15106" max="15106" width="86.7109375" customWidth="1"/>
    <col min="15107" max="15107" width="18.85546875" customWidth="1"/>
    <col min="15108" max="15108" width="14.5703125" customWidth="1"/>
    <col min="15109" max="15109" width="17.85546875" customWidth="1"/>
    <col min="15362" max="15362" width="86.7109375" customWidth="1"/>
    <col min="15363" max="15363" width="18.85546875" customWidth="1"/>
    <col min="15364" max="15364" width="14.5703125" customWidth="1"/>
    <col min="15365" max="15365" width="17.85546875" customWidth="1"/>
    <col min="15618" max="15618" width="86.7109375" customWidth="1"/>
    <col min="15619" max="15619" width="18.85546875" customWidth="1"/>
    <col min="15620" max="15620" width="14.5703125" customWidth="1"/>
    <col min="15621" max="15621" width="17.85546875" customWidth="1"/>
    <col min="15874" max="15874" width="86.7109375" customWidth="1"/>
    <col min="15875" max="15875" width="18.85546875" customWidth="1"/>
    <col min="15876" max="15876" width="14.5703125" customWidth="1"/>
    <col min="15877" max="15877" width="17.85546875" customWidth="1"/>
    <col min="16130" max="16130" width="86.7109375" customWidth="1"/>
    <col min="16131" max="16131" width="18.85546875" customWidth="1"/>
    <col min="16132" max="16132" width="14.5703125" customWidth="1"/>
    <col min="16133" max="16133" width="17.85546875" customWidth="1"/>
  </cols>
  <sheetData>
    <row r="1" spans="2:61" s="410" customFormat="1" ht="21" x14ac:dyDescent="0.35">
      <c r="B1" s="1466" t="str">
        <f>'MANUAL PLANILHAS'!A$1</f>
        <v>Estado do Rio Grande do Sul</v>
      </c>
      <c r="C1" s="1466"/>
      <c r="D1" s="1466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</row>
    <row r="2" spans="2:61" s="410" customFormat="1" ht="12.75" customHeight="1" x14ac:dyDescent="0.35">
      <c r="F2" s="412"/>
      <c r="G2" s="411"/>
      <c r="J2" s="412"/>
      <c r="S2" s="412"/>
      <c r="T2" s="411"/>
      <c r="W2" s="412"/>
      <c r="AP2" s="412"/>
      <c r="AQ2" s="411"/>
      <c r="AT2" s="412"/>
    </row>
    <row r="3" spans="2:61" s="410" customFormat="1" ht="21" x14ac:dyDescent="0.35">
      <c r="B3" s="1466" t="str">
        <f>'MANUAL PLANILHAS'!A$3</f>
        <v>Município de Chuvisca</v>
      </c>
      <c r="C3" s="1466"/>
      <c r="D3" s="1466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  <c r="BI3" s="413"/>
    </row>
    <row r="4" spans="2:61" s="410" customFormat="1" ht="10.5" customHeight="1" x14ac:dyDescent="0.35">
      <c r="F4" s="412"/>
      <c r="G4" s="411"/>
      <c r="J4" s="412"/>
      <c r="S4" s="412"/>
      <c r="T4" s="411"/>
      <c r="W4" s="412"/>
      <c r="AP4" s="412"/>
      <c r="AQ4" s="411"/>
      <c r="AT4" s="412"/>
    </row>
    <row r="5" spans="2:61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  <c r="BI5" s="414"/>
    </row>
    <row r="6" spans="2:61" ht="18" x14ac:dyDescent="0.25">
      <c r="B6" s="355"/>
      <c r="C6" s="355"/>
    </row>
    <row r="7" spans="2:61" ht="18" x14ac:dyDescent="0.25">
      <c r="B7" s="1639" t="s">
        <v>7076</v>
      </c>
      <c r="C7" s="1639"/>
      <c r="D7" s="1639"/>
      <c r="E7" s="34"/>
    </row>
    <row r="8" spans="2:61" ht="15.75" x14ac:dyDescent="0.25">
      <c r="B8" s="35"/>
      <c r="C8" s="35"/>
      <c r="D8" s="35"/>
      <c r="E8" s="35"/>
    </row>
    <row r="9" spans="2:61" ht="72" customHeight="1" x14ac:dyDescent="0.25">
      <c r="B9" s="1766" t="s">
        <v>2577</v>
      </c>
      <c r="C9" s="1767"/>
      <c r="D9" s="1767"/>
      <c r="E9" s="36"/>
    </row>
    <row r="10" spans="2:61" ht="15" customHeight="1" x14ac:dyDescent="0.25">
      <c r="B10" s="1682"/>
      <c r="C10" s="1682"/>
      <c r="D10" s="1682"/>
      <c r="E10" s="37"/>
    </row>
    <row r="11" spans="2:61" ht="15.75" thickBot="1" x14ac:dyDescent="0.3">
      <c r="B11" s="38"/>
    </row>
    <row r="12" spans="2:61" ht="15" customHeight="1" thickBot="1" x14ac:dyDescent="0.3">
      <c r="B12" s="1445" t="s">
        <v>1819</v>
      </c>
      <c r="C12" s="1764" t="s">
        <v>1826</v>
      </c>
      <c r="D12" s="1765"/>
      <c r="E12" s="1680"/>
    </row>
    <row r="13" spans="2:61" ht="15.75" thickBot="1" x14ac:dyDescent="0.3">
      <c r="B13" s="1446" t="s">
        <v>1</v>
      </c>
      <c r="C13" s="1456" t="s">
        <v>7075</v>
      </c>
      <c r="D13" s="1457" t="s">
        <v>1827</v>
      </c>
      <c r="E13" s="1680"/>
    </row>
    <row r="14" spans="2:61" x14ac:dyDescent="0.25">
      <c r="B14" s="1447" t="s">
        <v>2578</v>
      </c>
      <c r="C14" s="1458">
        <v>522715.66</v>
      </c>
      <c r="D14" s="1452">
        <f t="shared" ref="D14:D27" si="0">C14/8*12</f>
        <v>784073.49</v>
      </c>
      <c r="E14" s="39"/>
    </row>
    <row r="15" spans="2:61" x14ac:dyDescent="0.25">
      <c r="B15" s="1448" t="s">
        <v>2579</v>
      </c>
      <c r="C15" s="1459">
        <v>0</v>
      </c>
      <c r="D15" s="1453">
        <f t="shared" si="0"/>
        <v>0</v>
      </c>
      <c r="E15" s="39"/>
    </row>
    <row r="16" spans="2:61" x14ac:dyDescent="0.25">
      <c r="B16" s="1448" t="s">
        <v>2580</v>
      </c>
      <c r="C16" s="1459">
        <v>19450.57</v>
      </c>
      <c r="D16" s="1453">
        <f t="shared" si="0"/>
        <v>29175.855</v>
      </c>
      <c r="E16" s="39"/>
    </row>
    <row r="17" spans="2:5" x14ac:dyDescent="0.25">
      <c r="B17" s="1448" t="s">
        <v>2581</v>
      </c>
      <c r="C17" s="1459">
        <f>5520828.13</f>
        <v>5520828.1299999999</v>
      </c>
      <c r="D17" s="1453">
        <f t="shared" si="0"/>
        <v>8281242.1950000003</v>
      </c>
      <c r="E17" s="39"/>
    </row>
    <row r="18" spans="2:5" x14ac:dyDescent="0.25">
      <c r="B18" s="1448" t="s">
        <v>2582</v>
      </c>
      <c r="C18" s="1459">
        <v>0</v>
      </c>
      <c r="D18" s="1453">
        <f t="shared" si="0"/>
        <v>0</v>
      </c>
      <c r="E18" s="39"/>
    </row>
    <row r="19" spans="2:5" x14ac:dyDescent="0.25">
      <c r="B19" s="1448" t="s">
        <v>2583</v>
      </c>
      <c r="C19" s="1459">
        <v>321239.56</v>
      </c>
      <c r="D19" s="1453">
        <f t="shared" si="0"/>
        <v>481859.33999999997</v>
      </c>
      <c r="E19" s="39"/>
    </row>
    <row r="20" spans="2:5" x14ac:dyDescent="0.25">
      <c r="B20" s="1448" t="s">
        <v>2584</v>
      </c>
      <c r="C20" s="1459">
        <v>6806.92</v>
      </c>
      <c r="D20" s="1453">
        <f t="shared" si="0"/>
        <v>10210.380000000001</v>
      </c>
      <c r="E20" s="39"/>
    </row>
    <row r="21" spans="2:5" x14ac:dyDescent="0.25">
      <c r="B21" s="1448" t="s">
        <v>2585</v>
      </c>
      <c r="C21" s="1459">
        <v>0</v>
      </c>
      <c r="D21" s="1453">
        <f t="shared" si="0"/>
        <v>0</v>
      </c>
      <c r="E21" s="39"/>
    </row>
    <row r="22" spans="2:5" x14ac:dyDescent="0.25">
      <c r="B22" s="1448" t="s">
        <v>2586</v>
      </c>
      <c r="C22" s="1459">
        <v>17395.96</v>
      </c>
      <c r="D22" s="1453">
        <f t="shared" si="0"/>
        <v>26093.94</v>
      </c>
      <c r="E22" s="39"/>
    </row>
    <row r="23" spans="2:5" x14ac:dyDescent="0.25">
      <c r="B23" s="1448" t="s">
        <v>2587</v>
      </c>
      <c r="C23" s="1459">
        <v>2717655.86</v>
      </c>
      <c r="D23" s="1453">
        <f t="shared" si="0"/>
        <v>4076483.79</v>
      </c>
      <c r="E23" s="39"/>
    </row>
    <row r="24" spans="2:5" x14ac:dyDescent="0.25">
      <c r="B24" s="1448" t="s">
        <v>2588</v>
      </c>
      <c r="C24" s="1459">
        <v>426957.96</v>
      </c>
      <c r="D24" s="1453">
        <f t="shared" si="0"/>
        <v>640436.94000000006</v>
      </c>
      <c r="E24" s="39"/>
    </row>
    <row r="25" spans="2:5" x14ac:dyDescent="0.25">
      <c r="B25" s="1448" t="s">
        <v>2589</v>
      </c>
      <c r="C25" s="1459">
        <v>45305.88</v>
      </c>
      <c r="D25" s="1453">
        <f t="shared" si="0"/>
        <v>67958.819999999992</v>
      </c>
      <c r="E25" s="39"/>
    </row>
    <row r="26" spans="2:5" x14ac:dyDescent="0.25">
      <c r="B26" s="1448" t="s">
        <v>2590</v>
      </c>
      <c r="C26" s="1459">
        <v>12698.4</v>
      </c>
      <c r="D26" s="1453">
        <f t="shared" si="0"/>
        <v>19047.599999999999</v>
      </c>
      <c r="E26" s="39"/>
    </row>
    <row r="27" spans="2:5" ht="15.75" thickBot="1" x14ac:dyDescent="0.3">
      <c r="B27" s="1449" t="s">
        <v>2591</v>
      </c>
      <c r="C27" s="1460">
        <v>0</v>
      </c>
      <c r="D27" s="1454">
        <f t="shared" si="0"/>
        <v>0</v>
      </c>
      <c r="E27" s="39"/>
    </row>
    <row r="28" spans="2:5" ht="15.75" thickBot="1" x14ac:dyDescent="0.3">
      <c r="B28" s="1450" t="s">
        <v>1820</v>
      </c>
      <c r="C28" s="1451">
        <f>SUM(C14:C27)</f>
        <v>9611054.9000000004</v>
      </c>
      <c r="D28" s="1455">
        <f>SUM(D14:D27)</f>
        <v>14416582.350000001</v>
      </c>
      <c r="E28" s="39"/>
    </row>
    <row r="29" spans="2:5" ht="15" customHeight="1" x14ac:dyDescent="0.25">
      <c r="B29" s="42"/>
    </row>
    <row r="30" spans="2:5" ht="15" customHeight="1" x14ac:dyDescent="0.25">
      <c r="B30" s="42" t="s">
        <v>1821</v>
      </c>
    </row>
    <row r="31" spans="2:5" ht="15.75" thickBot="1" x14ac:dyDescent="0.3">
      <c r="B31" s="42"/>
    </row>
    <row r="32" spans="2:5" x14ac:dyDescent="0.25">
      <c r="B32" s="1461" t="s">
        <v>1822</v>
      </c>
      <c r="C32" s="1768">
        <f>D28</f>
        <v>14416582.350000001</v>
      </c>
      <c r="D32" s="1769"/>
    </row>
    <row r="33" spans="2:4" x14ac:dyDescent="0.25">
      <c r="B33" s="1462" t="s">
        <v>1823</v>
      </c>
      <c r="C33" s="1770">
        <f>PUER!D47</f>
        <v>5441</v>
      </c>
      <c r="D33" s="1771"/>
    </row>
    <row r="34" spans="2:4" x14ac:dyDescent="0.25">
      <c r="B34" s="1462" t="s">
        <v>1824</v>
      </c>
      <c r="C34" s="1772">
        <v>7.0000000000000007E-2</v>
      </c>
      <c r="D34" s="1773"/>
    </row>
    <row r="35" spans="2:4" x14ac:dyDescent="0.25">
      <c r="B35" s="1462" t="s">
        <v>7325</v>
      </c>
      <c r="C35" s="1758">
        <f>C32*C34</f>
        <v>1009160.7645000002</v>
      </c>
      <c r="D35" s="1759"/>
    </row>
    <row r="36" spans="2:4" ht="29.25" thickBot="1" x14ac:dyDescent="0.3">
      <c r="B36" s="1463" t="s">
        <v>7324</v>
      </c>
      <c r="C36" s="1760">
        <f>C35*70%</f>
        <v>706412.53515000013</v>
      </c>
      <c r="D36" s="1761"/>
    </row>
    <row r="37" spans="2:4" ht="15.75" thickBot="1" x14ac:dyDescent="0.3"/>
    <row r="38" spans="2:4" ht="15.75" thickBot="1" x14ac:dyDescent="0.3">
      <c r="B38" s="1444" t="s">
        <v>1825</v>
      </c>
      <c r="C38" s="1762">
        <f>C35/12</f>
        <v>84096.730375000014</v>
      </c>
      <c r="D38" s="1763"/>
    </row>
  </sheetData>
  <mergeCells count="14">
    <mergeCell ref="E12:E13"/>
    <mergeCell ref="C32:D32"/>
    <mergeCell ref="C33:D33"/>
    <mergeCell ref="C34:D34"/>
    <mergeCell ref="B1:D1"/>
    <mergeCell ref="B3:D3"/>
    <mergeCell ref="B5:D5"/>
    <mergeCell ref="C35:D35"/>
    <mergeCell ref="C36:D36"/>
    <mergeCell ref="C38:D38"/>
    <mergeCell ref="C12:D12"/>
    <mergeCell ref="B7:D7"/>
    <mergeCell ref="B9:D9"/>
    <mergeCell ref="B10:D10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"/>
  <sheetViews>
    <sheetView topLeftCell="A4" workbookViewId="0">
      <selection activeCell="A8" sqref="A8:D8"/>
    </sheetView>
  </sheetViews>
  <sheetFormatPr defaultRowHeight="15" x14ac:dyDescent="0.25"/>
  <cols>
    <col min="1" max="1" width="45" customWidth="1"/>
    <col min="2" max="2" width="17.85546875" customWidth="1"/>
    <col min="3" max="3" width="23.5703125" customWidth="1"/>
    <col min="4" max="4" width="17.85546875" customWidth="1"/>
    <col min="257" max="257" width="86.7109375" customWidth="1"/>
    <col min="258" max="258" width="18.85546875" customWidth="1"/>
    <col min="259" max="259" width="14.5703125" customWidth="1"/>
    <col min="260" max="260" width="17.85546875" customWidth="1"/>
    <col min="513" max="513" width="86.7109375" customWidth="1"/>
    <col min="514" max="514" width="18.85546875" customWidth="1"/>
    <col min="515" max="515" width="14.5703125" customWidth="1"/>
    <col min="516" max="516" width="17.85546875" customWidth="1"/>
    <col min="769" max="769" width="86.7109375" customWidth="1"/>
    <col min="770" max="770" width="18.85546875" customWidth="1"/>
    <col min="771" max="771" width="14.5703125" customWidth="1"/>
    <col min="772" max="772" width="17.85546875" customWidth="1"/>
    <col min="1025" max="1025" width="86.7109375" customWidth="1"/>
    <col min="1026" max="1026" width="18.85546875" customWidth="1"/>
    <col min="1027" max="1027" width="14.5703125" customWidth="1"/>
    <col min="1028" max="1028" width="17.85546875" customWidth="1"/>
    <col min="1281" max="1281" width="86.7109375" customWidth="1"/>
    <col min="1282" max="1282" width="18.85546875" customWidth="1"/>
    <col min="1283" max="1283" width="14.5703125" customWidth="1"/>
    <col min="1284" max="1284" width="17.85546875" customWidth="1"/>
    <col min="1537" max="1537" width="86.7109375" customWidth="1"/>
    <col min="1538" max="1538" width="18.85546875" customWidth="1"/>
    <col min="1539" max="1539" width="14.5703125" customWidth="1"/>
    <col min="1540" max="1540" width="17.85546875" customWidth="1"/>
    <col min="1793" max="1793" width="86.7109375" customWidth="1"/>
    <col min="1794" max="1794" width="18.85546875" customWidth="1"/>
    <col min="1795" max="1795" width="14.5703125" customWidth="1"/>
    <col min="1796" max="1796" width="17.85546875" customWidth="1"/>
    <col min="2049" max="2049" width="86.7109375" customWidth="1"/>
    <col min="2050" max="2050" width="18.85546875" customWidth="1"/>
    <col min="2051" max="2051" width="14.5703125" customWidth="1"/>
    <col min="2052" max="2052" width="17.85546875" customWidth="1"/>
    <col min="2305" max="2305" width="86.7109375" customWidth="1"/>
    <col min="2306" max="2306" width="18.85546875" customWidth="1"/>
    <col min="2307" max="2307" width="14.5703125" customWidth="1"/>
    <col min="2308" max="2308" width="17.85546875" customWidth="1"/>
    <col min="2561" max="2561" width="86.7109375" customWidth="1"/>
    <col min="2562" max="2562" width="18.85546875" customWidth="1"/>
    <col min="2563" max="2563" width="14.5703125" customWidth="1"/>
    <col min="2564" max="2564" width="17.85546875" customWidth="1"/>
    <col min="2817" max="2817" width="86.7109375" customWidth="1"/>
    <col min="2818" max="2818" width="18.85546875" customWidth="1"/>
    <col min="2819" max="2819" width="14.5703125" customWidth="1"/>
    <col min="2820" max="2820" width="17.85546875" customWidth="1"/>
    <col min="3073" max="3073" width="86.7109375" customWidth="1"/>
    <col min="3074" max="3074" width="18.85546875" customWidth="1"/>
    <col min="3075" max="3075" width="14.5703125" customWidth="1"/>
    <col min="3076" max="3076" width="17.85546875" customWidth="1"/>
    <col min="3329" max="3329" width="86.7109375" customWidth="1"/>
    <col min="3330" max="3330" width="18.85546875" customWidth="1"/>
    <col min="3331" max="3331" width="14.5703125" customWidth="1"/>
    <col min="3332" max="3332" width="17.85546875" customWidth="1"/>
    <col min="3585" max="3585" width="86.7109375" customWidth="1"/>
    <col min="3586" max="3586" width="18.85546875" customWidth="1"/>
    <col min="3587" max="3587" width="14.5703125" customWidth="1"/>
    <col min="3588" max="3588" width="17.85546875" customWidth="1"/>
    <col min="3841" max="3841" width="86.7109375" customWidth="1"/>
    <col min="3842" max="3842" width="18.85546875" customWidth="1"/>
    <col min="3843" max="3843" width="14.5703125" customWidth="1"/>
    <col min="3844" max="3844" width="17.85546875" customWidth="1"/>
    <col min="4097" max="4097" width="86.7109375" customWidth="1"/>
    <col min="4098" max="4098" width="18.85546875" customWidth="1"/>
    <col min="4099" max="4099" width="14.5703125" customWidth="1"/>
    <col min="4100" max="4100" width="17.85546875" customWidth="1"/>
    <col min="4353" max="4353" width="86.7109375" customWidth="1"/>
    <col min="4354" max="4354" width="18.85546875" customWidth="1"/>
    <col min="4355" max="4355" width="14.5703125" customWidth="1"/>
    <col min="4356" max="4356" width="17.85546875" customWidth="1"/>
    <col min="4609" max="4609" width="86.7109375" customWidth="1"/>
    <col min="4610" max="4610" width="18.85546875" customWidth="1"/>
    <col min="4611" max="4611" width="14.5703125" customWidth="1"/>
    <col min="4612" max="4612" width="17.85546875" customWidth="1"/>
    <col min="4865" max="4865" width="86.7109375" customWidth="1"/>
    <col min="4866" max="4866" width="18.85546875" customWidth="1"/>
    <col min="4867" max="4867" width="14.5703125" customWidth="1"/>
    <col min="4868" max="4868" width="17.85546875" customWidth="1"/>
    <col min="5121" max="5121" width="86.7109375" customWidth="1"/>
    <col min="5122" max="5122" width="18.85546875" customWidth="1"/>
    <col min="5123" max="5123" width="14.5703125" customWidth="1"/>
    <col min="5124" max="5124" width="17.85546875" customWidth="1"/>
    <col min="5377" max="5377" width="86.7109375" customWidth="1"/>
    <col min="5378" max="5378" width="18.85546875" customWidth="1"/>
    <col min="5379" max="5379" width="14.5703125" customWidth="1"/>
    <col min="5380" max="5380" width="17.85546875" customWidth="1"/>
    <col min="5633" max="5633" width="86.7109375" customWidth="1"/>
    <col min="5634" max="5634" width="18.85546875" customWidth="1"/>
    <col min="5635" max="5635" width="14.5703125" customWidth="1"/>
    <col min="5636" max="5636" width="17.85546875" customWidth="1"/>
    <col min="5889" max="5889" width="86.7109375" customWidth="1"/>
    <col min="5890" max="5890" width="18.85546875" customWidth="1"/>
    <col min="5891" max="5891" width="14.5703125" customWidth="1"/>
    <col min="5892" max="5892" width="17.85546875" customWidth="1"/>
    <col min="6145" max="6145" width="86.7109375" customWidth="1"/>
    <col min="6146" max="6146" width="18.85546875" customWidth="1"/>
    <col min="6147" max="6147" width="14.5703125" customWidth="1"/>
    <col min="6148" max="6148" width="17.85546875" customWidth="1"/>
    <col min="6401" max="6401" width="86.7109375" customWidth="1"/>
    <col min="6402" max="6402" width="18.85546875" customWidth="1"/>
    <col min="6403" max="6403" width="14.5703125" customWidth="1"/>
    <col min="6404" max="6404" width="17.85546875" customWidth="1"/>
    <col min="6657" max="6657" width="86.7109375" customWidth="1"/>
    <col min="6658" max="6658" width="18.85546875" customWidth="1"/>
    <col min="6659" max="6659" width="14.5703125" customWidth="1"/>
    <col min="6660" max="6660" width="17.85546875" customWidth="1"/>
    <col min="6913" max="6913" width="86.7109375" customWidth="1"/>
    <col min="6914" max="6914" width="18.85546875" customWidth="1"/>
    <col min="6915" max="6915" width="14.5703125" customWidth="1"/>
    <col min="6916" max="6916" width="17.85546875" customWidth="1"/>
    <col min="7169" max="7169" width="86.7109375" customWidth="1"/>
    <col min="7170" max="7170" width="18.85546875" customWidth="1"/>
    <col min="7171" max="7171" width="14.5703125" customWidth="1"/>
    <col min="7172" max="7172" width="17.85546875" customWidth="1"/>
    <col min="7425" max="7425" width="86.7109375" customWidth="1"/>
    <col min="7426" max="7426" width="18.85546875" customWidth="1"/>
    <col min="7427" max="7427" width="14.5703125" customWidth="1"/>
    <col min="7428" max="7428" width="17.85546875" customWidth="1"/>
    <col min="7681" max="7681" width="86.7109375" customWidth="1"/>
    <col min="7682" max="7682" width="18.85546875" customWidth="1"/>
    <col min="7683" max="7683" width="14.5703125" customWidth="1"/>
    <col min="7684" max="7684" width="17.85546875" customWidth="1"/>
    <col min="7937" max="7937" width="86.7109375" customWidth="1"/>
    <col min="7938" max="7938" width="18.85546875" customWidth="1"/>
    <col min="7939" max="7939" width="14.5703125" customWidth="1"/>
    <col min="7940" max="7940" width="17.85546875" customWidth="1"/>
    <col min="8193" max="8193" width="86.7109375" customWidth="1"/>
    <col min="8194" max="8194" width="18.85546875" customWidth="1"/>
    <col min="8195" max="8195" width="14.5703125" customWidth="1"/>
    <col min="8196" max="8196" width="17.85546875" customWidth="1"/>
    <col min="8449" max="8449" width="86.7109375" customWidth="1"/>
    <col min="8450" max="8450" width="18.85546875" customWidth="1"/>
    <col min="8451" max="8451" width="14.5703125" customWidth="1"/>
    <col min="8452" max="8452" width="17.85546875" customWidth="1"/>
    <col min="8705" max="8705" width="86.7109375" customWidth="1"/>
    <col min="8706" max="8706" width="18.85546875" customWidth="1"/>
    <col min="8707" max="8707" width="14.5703125" customWidth="1"/>
    <col min="8708" max="8708" width="17.85546875" customWidth="1"/>
    <col min="8961" max="8961" width="86.7109375" customWidth="1"/>
    <col min="8962" max="8962" width="18.85546875" customWidth="1"/>
    <col min="8963" max="8963" width="14.5703125" customWidth="1"/>
    <col min="8964" max="8964" width="17.85546875" customWidth="1"/>
    <col min="9217" max="9217" width="86.7109375" customWidth="1"/>
    <col min="9218" max="9218" width="18.85546875" customWidth="1"/>
    <col min="9219" max="9219" width="14.5703125" customWidth="1"/>
    <col min="9220" max="9220" width="17.85546875" customWidth="1"/>
    <col min="9473" max="9473" width="86.7109375" customWidth="1"/>
    <col min="9474" max="9474" width="18.85546875" customWidth="1"/>
    <col min="9475" max="9475" width="14.5703125" customWidth="1"/>
    <col min="9476" max="9476" width="17.85546875" customWidth="1"/>
    <col min="9729" max="9729" width="86.7109375" customWidth="1"/>
    <col min="9730" max="9730" width="18.85546875" customWidth="1"/>
    <col min="9731" max="9731" width="14.5703125" customWidth="1"/>
    <col min="9732" max="9732" width="17.85546875" customWidth="1"/>
    <col min="9985" max="9985" width="86.7109375" customWidth="1"/>
    <col min="9986" max="9986" width="18.85546875" customWidth="1"/>
    <col min="9987" max="9987" width="14.5703125" customWidth="1"/>
    <col min="9988" max="9988" width="17.85546875" customWidth="1"/>
    <col min="10241" max="10241" width="86.7109375" customWidth="1"/>
    <col min="10242" max="10242" width="18.85546875" customWidth="1"/>
    <col min="10243" max="10243" width="14.5703125" customWidth="1"/>
    <col min="10244" max="10244" width="17.85546875" customWidth="1"/>
    <col min="10497" max="10497" width="86.7109375" customWidth="1"/>
    <col min="10498" max="10498" width="18.85546875" customWidth="1"/>
    <col min="10499" max="10499" width="14.5703125" customWidth="1"/>
    <col min="10500" max="10500" width="17.85546875" customWidth="1"/>
    <col min="10753" max="10753" width="86.7109375" customWidth="1"/>
    <col min="10754" max="10754" width="18.85546875" customWidth="1"/>
    <col min="10755" max="10755" width="14.5703125" customWidth="1"/>
    <col min="10756" max="10756" width="17.85546875" customWidth="1"/>
    <col min="11009" max="11009" width="86.7109375" customWidth="1"/>
    <col min="11010" max="11010" width="18.85546875" customWidth="1"/>
    <col min="11011" max="11011" width="14.5703125" customWidth="1"/>
    <col min="11012" max="11012" width="17.85546875" customWidth="1"/>
    <col min="11265" max="11265" width="86.7109375" customWidth="1"/>
    <col min="11266" max="11266" width="18.85546875" customWidth="1"/>
    <col min="11267" max="11267" width="14.5703125" customWidth="1"/>
    <col min="11268" max="11268" width="17.85546875" customWidth="1"/>
    <col min="11521" max="11521" width="86.7109375" customWidth="1"/>
    <col min="11522" max="11522" width="18.85546875" customWidth="1"/>
    <col min="11523" max="11523" width="14.5703125" customWidth="1"/>
    <col min="11524" max="11524" width="17.85546875" customWidth="1"/>
    <col min="11777" max="11777" width="86.7109375" customWidth="1"/>
    <col min="11778" max="11778" width="18.85546875" customWidth="1"/>
    <col min="11779" max="11779" width="14.5703125" customWidth="1"/>
    <col min="11780" max="11780" width="17.85546875" customWidth="1"/>
    <col min="12033" max="12033" width="86.7109375" customWidth="1"/>
    <col min="12034" max="12034" width="18.85546875" customWidth="1"/>
    <col min="12035" max="12035" width="14.5703125" customWidth="1"/>
    <col min="12036" max="12036" width="17.85546875" customWidth="1"/>
    <col min="12289" max="12289" width="86.7109375" customWidth="1"/>
    <col min="12290" max="12290" width="18.85546875" customWidth="1"/>
    <col min="12291" max="12291" width="14.5703125" customWidth="1"/>
    <col min="12292" max="12292" width="17.85546875" customWidth="1"/>
    <col min="12545" max="12545" width="86.7109375" customWidth="1"/>
    <col min="12546" max="12546" width="18.85546875" customWidth="1"/>
    <col min="12547" max="12547" width="14.5703125" customWidth="1"/>
    <col min="12548" max="12548" width="17.85546875" customWidth="1"/>
    <col min="12801" max="12801" width="86.7109375" customWidth="1"/>
    <col min="12802" max="12802" width="18.85546875" customWidth="1"/>
    <col min="12803" max="12803" width="14.5703125" customWidth="1"/>
    <col min="12804" max="12804" width="17.85546875" customWidth="1"/>
    <col min="13057" max="13057" width="86.7109375" customWidth="1"/>
    <col min="13058" max="13058" width="18.85546875" customWidth="1"/>
    <col min="13059" max="13059" width="14.5703125" customWidth="1"/>
    <col min="13060" max="13060" width="17.85546875" customWidth="1"/>
    <col min="13313" max="13313" width="86.7109375" customWidth="1"/>
    <col min="13314" max="13314" width="18.85546875" customWidth="1"/>
    <col min="13315" max="13315" width="14.5703125" customWidth="1"/>
    <col min="13316" max="13316" width="17.85546875" customWidth="1"/>
    <col min="13569" max="13569" width="86.7109375" customWidth="1"/>
    <col min="13570" max="13570" width="18.85546875" customWidth="1"/>
    <col min="13571" max="13571" width="14.5703125" customWidth="1"/>
    <col min="13572" max="13572" width="17.85546875" customWidth="1"/>
    <col min="13825" max="13825" width="86.7109375" customWidth="1"/>
    <col min="13826" max="13826" width="18.85546875" customWidth="1"/>
    <col min="13827" max="13827" width="14.5703125" customWidth="1"/>
    <col min="13828" max="13828" width="17.85546875" customWidth="1"/>
    <col min="14081" max="14081" width="86.7109375" customWidth="1"/>
    <col min="14082" max="14082" width="18.85546875" customWidth="1"/>
    <col min="14083" max="14083" width="14.5703125" customWidth="1"/>
    <col min="14084" max="14084" width="17.85546875" customWidth="1"/>
    <col min="14337" max="14337" width="86.7109375" customWidth="1"/>
    <col min="14338" max="14338" width="18.85546875" customWidth="1"/>
    <col min="14339" max="14339" width="14.5703125" customWidth="1"/>
    <col min="14340" max="14340" width="17.85546875" customWidth="1"/>
    <col min="14593" max="14593" width="86.7109375" customWidth="1"/>
    <col min="14594" max="14594" width="18.85546875" customWidth="1"/>
    <col min="14595" max="14595" width="14.5703125" customWidth="1"/>
    <col min="14596" max="14596" width="17.85546875" customWidth="1"/>
    <col min="14849" max="14849" width="86.7109375" customWidth="1"/>
    <col min="14850" max="14850" width="18.85546875" customWidth="1"/>
    <col min="14851" max="14851" width="14.5703125" customWidth="1"/>
    <col min="14852" max="14852" width="17.85546875" customWidth="1"/>
    <col min="15105" max="15105" width="86.7109375" customWidth="1"/>
    <col min="15106" max="15106" width="18.85546875" customWidth="1"/>
    <col min="15107" max="15107" width="14.5703125" customWidth="1"/>
    <col min="15108" max="15108" width="17.85546875" customWidth="1"/>
    <col min="15361" max="15361" width="86.7109375" customWidth="1"/>
    <col min="15362" max="15362" width="18.85546875" customWidth="1"/>
    <col min="15363" max="15363" width="14.5703125" customWidth="1"/>
    <col min="15364" max="15364" width="17.85546875" customWidth="1"/>
    <col min="15617" max="15617" width="86.7109375" customWidth="1"/>
    <col min="15618" max="15618" width="18.85546875" customWidth="1"/>
    <col min="15619" max="15619" width="14.5703125" customWidth="1"/>
    <col min="15620" max="15620" width="17.85546875" customWidth="1"/>
    <col min="15873" max="15873" width="86.7109375" customWidth="1"/>
    <col min="15874" max="15874" width="18.85546875" customWidth="1"/>
    <col min="15875" max="15875" width="14.5703125" customWidth="1"/>
    <col min="15876" max="15876" width="17.85546875" customWidth="1"/>
    <col min="16129" max="16129" width="86.7109375" customWidth="1"/>
    <col min="16130" max="16130" width="18.85546875" customWidth="1"/>
    <col min="16131" max="16131" width="14.5703125" customWidth="1"/>
    <col min="16132" max="16132" width="17.85546875" customWidth="1"/>
  </cols>
  <sheetData>
    <row r="1" spans="1:60" s="410" customFormat="1" ht="21" x14ac:dyDescent="0.35">
      <c r="A1" s="1466" t="str">
        <f>'MANUAL PLANILHAS'!A$1</f>
        <v>Estado do Rio Grande do Sul</v>
      </c>
      <c r="B1" s="1466"/>
      <c r="C1" s="1466"/>
      <c r="D1" s="1466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</row>
    <row r="2" spans="1:60" s="410" customFormat="1" ht="12.75" customHeight="1" x14ac:dyDescent="0.35">
      <c r="E2" s="412"/>
      <c r="F2" s="411"/>
      <c r="I2" s="412"/>
      <c r="R2" s="412"/>
      <c r="S2" s="411"/>
      <c r="V2" s="412"/>
      <c r="AO2" s="412"/>
      <c r="AP2" s="411"/>
      <c r="AS2" s="412"/>
    </row>
    <row r="3" spans="1:60" s="410" customFormat="1" ht="21" x14ac:dyDescent="0.35">
      <c r="A3" s="1466" t="str">
        <f>'MANUAL PLANILHAS'!A$3</f>
        <v>Município de Chuvisca</v>
      </c>
      <c r="B3" s="1466"/>
      <c r="C3" s="1466"/>
      <c r="D3" s="1466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</row>
    <row r="4" spans="1:60" s="410" customFormat="1" ht="10.5" customHeight="1" x14ac:dyDescent="0.35">
      <c r="E4" s="412"/>
      <c r="F4" s="411"/>
      <c r="I4" s="412"/>
      <c r="R4" s="412"/>
      <c r="S4" s="411"/>
      <c r="V4" s="412"/>
      <c r="AO4" s="412"/>
      <c r="AP4" s="411"/>
      <c r="AS4" s="412"/>
    </row>
    <row r="5" spans="1:60" s="410" customFormat="1" ht="21" x14ac:dyDescent="0.35">
      <c r="A5" s="1470" t="str">
        <f>'MANUAL PLANILHAS'!A$5</f>
        <v>Proposta Orçamentária para o Exercício de 2020</v>
      </c>
      <c r="B5" s="1470"/>
      <c r="C5" s="1470"/>
      <c r="D5" s="1470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</row>
    <row r="6" spans="1:60" ht="18" x14ac:dyDescent="0.25">
      <c r="A6" s="355"/>
      <c r="B6" s="355"/>
    </row>
    <row r="7" spans="1:60" ht="15.75" x14ac:dyDescent="0.25">
      <c r="A7" s="35"/>
      <c r="B7" s="35"/>
      <c r="C7" s="35"/>
      <c r="D7" s="35"/>
    </row>
    <row r="8" spans="1:60" ht="36" customHeight="1" x14ac:dyDescent="0.25">
      <c r="A8" s="1766" t="s">
        <v>7077</v>
      </c>
      <c r="B8" s="1766"/>
      <c r="C8" s="1766"/>
      <c r="D8" s="1766"/>
    </row>
    <row r="9" spans="1:60" ht="21.75" customHeight="1" x14ac:dyDescent="0.25">
      <c r="A9" s="800"/>
      <c r="B9" s="800"/>
      <c r="C9" s="800"/>
      <c r="D9" s="800"/>
    </row>
    <row r="10" spans="1:60" ht="15" customHeight="1" x14ac:dyDescent="0.25">
      <c r="A10" s="1775" t="s">
        <v>6953</v>
      </c>
      <c r="B10" s="1775"/>
      <c r="C10" s="1775"/>
      <c r="D10" s="852" t="s">
        <v>6954</v>
      </c>
    </row>
    <row r="11" spans="1:60" x14ac:dyDescent="0.25">
      <c r="A11" s="1774" t="s">
        <v>6945</v>
      </c>
      <c r="B11" s="1774"/>
      <c r="C11" s="1774"/>
      <c r="D11" s="25">
        <v>410794.31</v>
      </c>
    </row>
    <row r="12" spans="1:60" x14ac:dyDescent="0.25">
      <c r="A12" s="1774" t="s">
        <v>6946</v>
      </c>
      <c r="B12" s="1774"/>
      <c r="C12" s="1774"/>
      <c r="D12" s="25">
        <v>41405.360000000001</v>
      </c>
    </row>
    <row r="13" spans="1:60" x14ac:dyDescent="0.25">
      <c r="A13" s="1774" t="s">
        <v>6947</v>
      </c>
      <c r="B13" s="1774"/>
      <c r="C13" s="1774"/>
      <c r="D13" s="25">
        <v>25656.44</v>
      </c>
    </row>
    <row r="14" spans="1:60" x14ac:dyDescent="0.25">
      <c r="A14" s="1774" t="s">
        <v>6948</v>
      </c>
      <c r="B14" s="1774"/>
      <c r="C14" s="1774"/>
      <c r="D14" s="25">
        <v>58523.26</v>
      </c>
    </row>
    <row r="15" spans="1:60" x14ac:dyDescent="0.25">
      <c r="A15" s="1774" t="s">
        <v>6949</v>
      </c>
      <c r="B15" s="1774"/>
      <c r="C15" s="1774"/>
      <c r="D15" s="25">
        <v>31992.11</v>
      </c>
    </row>
    <row r="16" spans="1:60" x14ac:dyDescent="0.25">
      <c r="A16" s="1774" t="s">
        <v>6950</v>
      </c>
      <c r="B16" s="1774"/>
      <c r="C16" s="1774"/>
      <c r="D16" s="25">
        <v>26078.59</v>
      </c>
    </row>
    <row r="17" spans="1:4" x14ac:dyDescent="0.25">
      <c r="A17" s="1774" t="s">
        <v>6951</v>
      </c>
      <c r="B17" s="1774"/>
      <c r="C17" s="1774"/>
      <c r="D17" s="25">
        <f>SUM(D11:D16)</f>
        <v>594450.06999999995</v>
      </c>
    </row>
    <row r="18" spans="1:4" x14ac:dyDescent="0.25">
      <c r="A18" s="12" t="s">
        <v>6952</v>
      </c>
    </row>
  </sheetData>
  <mergeCells count="12">
    <mergeCell ref="A3:D3"/>
    <mergeCell ref="A1:D1"/>
    <mergeCell ref="A16:C16"/>
    <mergeCell ref="A17:C17"/>
    <mergeCell ref="A10:C10"/>
    <mergeCell ref="A8:D8"/>
    <mergeCell ref="A5:D5"/>
    <mergeCell ref="A11:C11"/>
    <mergeCell ref="A12:C12"/>
    <mergeCell ref="A13:C13"/>
    <mergeCell ref="A14:C14"/>
    <mergeCell ref="A15:C15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8"/>
  <sheetViews>
    <sheetView topLeftCell="A4" zoomScale="90" zoomScaleNormal="90" workbookViewId="0">
      <selection activeCell="N22" sqref="N22"/>
    </sheetView>
  </sheetViews>
  <sheetFormatPr defaultRowHeight="15" x14ac:dyDescent="0.25"/>
  <cols>
    <col min="1" max="1" width="2.42578125" style="372" customWidth="1"/>
    <col min="2" max="2" width="29.7109375" style="372" customWidth="1"/>
    <col min="3" max="3" width="21.28515625" style="372" customWidth="1"/>
    <col min="4" max="4" width="22.140625" style="372" customWidth="1"/>
    <col min="5" max="5" width="12.7109375" style="372" customWidth="1"/>
    <col min="6" max="6" width="23" style="372" customWidth="1"/>
    <col min="7" max="7" width="12.42578125" style="372" customWidth="1"/>
    <col min="8" max="8" width="12.140625" style="372" customWidth="1"/>
    <col min="9" max="257" width="9.140625" style="372"/>
    <col min="258" max="258" width="29.7109375" style="372" customWidth="1"/>
    <col min="259" max="259" width="21.28515625" style="372" customWidth="1"/>
    <col min="260" max="260" width="22.140625" style="372" customWidth="1"/>
    <col min="261" max="261" width="12.7109375" style="372" customWidth="1"/>
    <col min="262" max="262" width="23.5703125" style="372" customWidth="1"/>
    <col min="263" max="263" width="12.42578125" style="372" customWidth="1"/>
    <col min="264" max="264" width="12.140625" style="372" customWidth="1"/>
    <col min="265" max="513" width="9.140625" style="372"/>
    <col min="514" max="514" width="29.7109375" style="372" customWidth="1"/>
    <col min="515" max="515" width="21.28515625" style="372" customWidth="1"/>
    <col min="516" max="516" width="22.140625" style="372" customWidth="1"/>
    <col min="517" max="517" width="12.7109375" style="372" customWidth="1"/>
    <col min="518" max="518" width="23.5703125" style="372" customWidth="1"/>
    <col min="519" max="519" width="12.42578125" style="372" customWidth="1"/>
    <col min="520" max="520" width="12.140625" style="372" customWidth="1"/>
    <col min="521" max="769" width="9.140625" style="372"/>
    <col min="770" max="770" width="29.7109375" style="372" customWidth="1"/>
    <col min="771" max="771" width="21.28515625" style="372" customWidth="1"/>
    <col min="772" max="772" width="22.140625" style="372" customWidth="1"/>
    <col min="773" max="773" width="12.7109375" style="372" customWidth="1"/>
    <col min="774" max="774" width="23.5703125" style="372" customWidth="1"/>
    <col min="775" max="775" width="12.42578125" style="372" customWidth="1"/>
    <col min="776" max="776" width="12.140625" style="372" customWidth="1"/>
    <col min="777" max="1025" width="9.140625" style="372"/>
    <col min="1026" max="1026" width="29.7109375" style="372" customWidth="1"/>
    <col min="1027" max="1027" width="21.28515625" style="372" customWidth="1"/>
    <col min="1028" max="1028" width="22.140625" style="372" customWidth="1"/>
    <col min="1029" max="1029" width="12.7109375" style="372" customWidth="1"/>
    <col min="1030" max="1030" width="23.5703125" style="372" customWidth="1"/>
    <col min="1031" max="1031" width="12.42578125" style="372" customWidth="1"/>
    <col min="1032" max="1032" width="12.140625" style="372" customWidth="1"/>
    <col min="1033" max="1281" width="9.140625" style="372"/>
    <col min="1282" max="1282" width="29.7109375" style="372" customWidth="1"/>
    <col min="1283" max="1283" width="21.28515625" style="372" customWidth="1"/>
    <col min="1284" max="1284" width="22.140625" style="372" customWidth="1"/>
    <col min="1285" max="1285" width="12.7109375" style="372" customWidth="1"/>
    <col min="1286" max="1286" width="23.5703125" style="372" customWidth="1"/>
    <col min="1287" max="1287" width="12.42578125" style="372" customWidth="1"/>
    <col min="1288" max="1288" width="12.140625" style="372" customWidth="1"/>
    <col min="1289" max="1537" width="9.140625" style="372"/>
    <col min="1538" max="1538" width="29.7109375" style="372" customWidth="1"/>
    <col min="1539" max="1539" width="21.28515625" style="372" customWidth="1"/>
    <col min="1540" max="1540" width="22.140625" style="372" customWidth="1"/>
    <col min="1541" max="1541" width="12.7109375" style="372" customWidth="1"/>
    <col min="1542" max="1542" width="23.5703125" style="372" customWidth="1"/>
    <col min="1543" max="1543" width="12.42578125" style="372" customWidth="1"/>
    <col min="1544" max="1544" width="12.140625" style="372" customWidth="1"/>
    <col min="1545" max="1793" width="9.140625" style="372"/>
    <col min="1794" max="1794" width="29.7109375" style="372" customWidth="1"/>
    <col min="1795" max="1795" width="21.28515625" style="372" customWidth="1"/>
    <col min="1796" max="1796" width="22.140625" style="372" customWidth="1"/>
    <col min="1797" max="1797" width="12.7109375" style="372" customWidth="1"/>
    <col min="1798" max="1798" width="23.5703125" style="372" customWidth="1"/>
    <col min="1799" max="1799" width="12.42578125" style="372" customWidth="1"/>
    <col min="1800" max="1800" width="12.140625" style="372" customWidth="1"/>
    <col min="1801" max="2049" width="9.140625" style="372"/>
    <col min="2050" max="2050" width="29.7109375" style="372" customWidth="1"/>
    <col min="2051" max="2051" width="21.28515625" style="372" customWidth="1"/>
    <col min="2052" max="2052" width="22.140625" style="372" customWidth="1"/>
    <col min="2053" max="2053" width="12.7109375" style="372" customWidth="1"/>
    <col min="2054" max="2054" width="23.5703125" style="372" customWidth="1"/>
    <col min="2055" max="2055" width="12.42578125" style="372" customWidth="1"/>
    <col min="2056" max="2056" width="12.140625" style="372" customWidth="1"/>
    <col min="2057" max="2305" width="9.140625" style="372"/>
    <col min="2306" max="2306" width="29.7109375" style="372" customWidth="1"/>
    <col min="2307" max="2307" width="21.28515625" style="372" customWidth="1"/>
    <col min="2308" max="2308" width="22.140625" style="372" customWidth="1"/>
    <col min="2309" max="2309" width="12.7109375" style="372" customWidth="1"/>
    <col min="2310" max="2310" width="23.5703125" style="372" customWidth="1"/>
    <col min="2311" max="2311" width="12.42578125" style="372" customWidth="1"/>
    <col min="2312" max="2312" width="12.140625" style="372" customWidth="1"/>
    <col min="2313" max="2561" width="9.140625" style="372"/>
    <col min="2562" max="2562" width="29.7109375" style="372" customWidth="1"/>
    <col min="2563" max="2563" width="21.28515625" style="372" customWidth="1"/>
    <col min="2564" max="2564" width="22.140625" style="372" customWidth="1"/>
    <col min="2565" max="2565" width="12.7109375" style="372" customWidth="1"/>
    <col min="2566" max="2566" width="23.5703125" style="372" customWidth="1"/>
    <col min="2567" max="2567" width="12.42578125" style="372" customWidth="1"/>
    <col min="2568" max="2568" width="12.140625" style="372" customWidth="1"/>
    <col min="2569" max="2817" width="9.140625" style="372"/>
    <col min="2818" max="2818" width="29.7109375" style="372" customWidth="1"/>
    <col min="2819" max="2819" width="21.28515625" style="372" customWidth="1"/>
    <col min="2820" max="2820" width="22.140625" style="372" customWidth="1"/>
    <col min="2821" max="2821" width="12.7109375" style="372" customWidth="1"/>
    <col min="2822" max="2822" width="23.5703125" style="372" customWidth="1"/>
    <col min="2823" max="2823" width="12.42578125" style="372" customWidth="1"/>
    <col min="2824" max="2824" width="12.140625" style="372" customWidth="1"/>
    <col min="2825" max="3073" width="9.140625" style="372"/>
    <col min="3074" max="3074" width="29.7109375" style="372" customWidth="1"/>
    <col min="3075" max="3075" width="21.28515625" style="372" customWidth="1"/>
    <col min="3076" max="3076" width="22.140625" style="372" customWidth="1"/>
    <col min="3077" max="3077" width="12.7109375" style="372" customWidth="1"/>
    <col min="3078" max="3078" width="23.5703125" style="372" customWidth="1"/>
    <col min="3079" max="3079" width="12.42578125" style="372" customWidth="1"/>
    <col min="3080" max="3080" width="12.140625" style="372" customWidth="1"/>
    <col min="3081" max="3329" width="9.140625" style="372"/>
    <col min="3330" max="3330" width="29.7109375" style="372" customWidth="1"/>
    <col min="3331" max="3331" width="21.28515625" style="372" customWidth="1"/>
    <col min="3332" max="3332" width="22.140625" style="372" customWidth="1"/>
    <col min="3333" max="3333" width="12.7109375" style="372" customWidth="1"/>
    <col min="3334" max="3334" width="23.5703125" style="372" customWidth="1"/>
    <col min="3335" max="3335" width="12.42578125" style="372" customWidth="1"/>
    <col min="3336" max="3336" width="12.140625" style="372" customWidth="1"/>
    <col min="3337" max="3585" width="9.140625" style="372"/>
    <col min="3586" max="3586" width="29.7109375" style="372" customWidth="1"/>
    <col min="3587" max="3587" width="21.28515625" style="372" customWidth="1"/>
    <col min="3588" max="3588" width="22.140625" style="372" customWidth="1"/>
    <col min="3589" max="3589" width="12.7109375" style="372" customWidth="1"/>
    <col min="3590" max="3590" width="23.5703125" style="372" customWidth="1"/>
    <col min="3591" max="3591" width="12.42578125" style="372" customWidth="1"/>
    <col min="3592" max="3592" width="12.140625" style="372" customWidth="1"/>
    <col min="3593" max="3841" width="9.140625" style="372"/>
    <col min="3842" max="3842" width="29.7109375" style="372" customWidth="1"/>
    <col min="3843" max="3843" width="21.28515625" style="372" customWidth="1"/>
    <col min="3844" max="3844" width="22.140625" style="372" customWidth="1"/>
    <col min="3845" max="3845" width="12.7109375" style="372" customWidth="1"/>
    <col min="3846" max="3846" width="23.5703125" style="372" customWidth="1"/>
    <col min="3847" max="3847" width="12.42578125" style="372" customWidth="1"/>
    <col min="3848" max="3848" width="12.140625" style="372" customWidth="1"/>
    <col min="3849" max="4097" width="9.140625" style="372"/>
    <col min="4098" max="4098" width="29.7109375" style="372" customWidth="1"/>
    <col min="4099" max="4099" width="21.28515625" style="372" customWidth="1"/>
    <col min="4100" max="4100" width="22.140625" style="372" customWidth="1"/>
    <col min="4101" max="4101" width="12.7109375" style="372" customWidth="1"/>
    <col min="4102" max="4102" width="23.5703125" style="372" customWidth="1"/>
    <col min="4103" max="4103" width="12.42578125" style="372" customWidth="1"/>
    <col min="4104" max="4104" width="12.140625" style="372" customWidth="1"/>
    <col min="4105" max="4353" width="9.140625" style="372"/>
    <col min="4354" max="4354" width="29.7109375" style="372" customWidth="1"/>
    <col min="4355" max="4355" width="21.28515625" style="372" customWidth="1"/>
    <col min="4356" max="4356" width="22.140625" style="372" customWidth="1"/>
    <col min="4357" max="4357" width="12.7109375" style="372" customWidth="1"/>
    <col min="4358" max="4358" width="23.5703125" style="372" customWidth="1"/>
    <col min="4359" max="4359" width="12.42578125" style="372" customWidth="1"/>
    <col min="4360" max="4360" width="12.140625" style="372" customWidth="1"/>
    <col min="4361" max="4609" width="9.140625" style="372"/>
    <col min="4610" max="4610" width="29.7109375" style="372" customWidth="1"/>
    <col min="4611" max="4611" width="21.28515625" style="372" customWidth="1"/>
    <col min="4612" max="4612" width="22.140625" style="372" customWidth="1"/>
    <col min="4613" max="4613" width="12.7109375" style="372" customWidth="1"/>
    <col min="4614" max="4614" width="23.5703125" style="372" customWidth="1"/>
    <col min="4615" max="4615" width="12.42578125" style="372" customWidth="1"/>
    <col min="4616" max="4616" width="12.140625" style="372" customWidth="1"/>
    <col min="4617" max="4865" width="9.140625" style="372"/>
    <col min="4866" max="4866" width="29.7109375" style="372" customWidth="1"/>
    <col min="4867" max="4867" width="21.28515625" style="372" customWidth="1"/>
    <col min="4868" max="4868" width="22.140625" style="372" customWidth="1"/>
    <col min="4869" max="4869" width="12.7109375" style="372" customWidth="1"/>
    <col min="4870" max="4870" width="23.5703125" style="372" customWidth="1"/>
    <col min="4871" max="4871" width="12.42578125" style="372" customWidth="1"/>
    <col min="4872" max="4872" width="12.140625" style="372" customWidth="1"/>
    <col min="4873" max="5121" width="9.140625" style="372"/>
    <col min="5122" max="5122" width="29.7109375" style="372" customWidth="1"/>
    <col min="5123" max="5123" width="21.28515625" style="372" customWidth="1"/>
    <col min="5124" max="5124" width="22.140625" style="372" customWidth="1"/>
    <col min="5125" max="5125" width="12.7109375" style="372" customWidth="1"/>
    <col min="5126" max="5126" width="23.5703125" style="372" customWidth="1"/>
    <col min="5127" max="5127" width="12.42578125" style="372" customWidth="1"/>
    <col min="5128" max="5128" width="12.140625" style="372" customWidth="1"/>
    <col min="5129" max="5377" width="9.140625" style="372"/>
    <col min="5378" max="5378" width="29.7109375" style="372" customWidth="1"/>
    <col min="5379" max="5379" width="21.28515625" style="372" customWidth="1"/>
    <col min="5380" max="5380" width="22.140625" style="372" customWidth="1"/>
    <col min="5381" max="5381" width="12.7109375" style="372" customWidth="1"/>
    <col min="5382" max="5382" width="23.5703125" style="372" customWidth="1"/>
    <col min="5383" max="5383" width="12.42578125" style="372" customWidth="1"/>
    <col min="5384" max="5384" width="12.140625" style="372" customWidth="1"/>
    <col min="5385" max="5633" width="9.140625" style="372"/>
    <col min="5634" max="5634" width="29.7109375" style="372" customWidth="1"/>
    <col min="5635" max="5635" width="21.28515625" style="372" customWidth="1"/>
    <col min="5636" max="5636" width="22.140625" style="372" customWidth="1"/>
    <col min="5637" max="5637" width="12.7109375" style="372" customWidth="1"/>
    <col min="5638" max="5638" width="23.5703125" style="372" customWidth="1"/>
    <col min="5639" max="5639" width="12.42578125" style="372" customWidth="1"/>
    <col min="5640" max="5640" width="12.140625" style="372" customWidth="1"/>
    <col min="5641" max="5889" width="9.140625" style="372"/>
    <col min="5890" max="5890" width="29.7109375" style="372" customWidth="1"/>
    <col min="5891" max="5891" width="21.28515625" style="372" customWidth="1"/>
    <col min="5892" max="5892" width="22.140625" style="372" customWidth="1"/>
    <col min="5893" max="5893" width="12.7109375" style="372" customWidth="1"/>
    <col min="5894" max="5894" width="23.5703125" style="372" customWidth="1"/>
    <col min="5895" max="5895" width="12.42578125" style="372" customWidth="1"/>
    <col min="5896" max="5896" width="12.140625" style="372" customWidth="1"/>
    <col min="5897" max="6145" width="9.140625" style="372"/>
    <col min="6146" max="6146" width="29.7109375" style="372" customWidth="1"/>
    <col min="6147" max="6147" width="21.28515625" style="372" customWidth="1"/>
    <col min="6148" max="6148" width="22.140625" style="372" customWidth="1"/>
    <col min="6149" max="6149" width="12.7109375" style="372" customWidth="1"/>
    <col min="6150" max="6150" width="23.5703125" style="372" customWidth="1"/>
    <col min="6151" max="6151" width="12.42578125" style="372" customWidth="1"/>
    <col min="6152" max="6152" width="12.140625" style="372" customWidth="1"/>
    <col min="6153" max="6401" width="9.140625" style="372"/>
    <col min="6402" max="6402" width="29.7109375" style="372" customWidth="1"/>
    <col min="6403" max="6403" width="21.28515625" style="372" customWidth="1"/>
    <col min="6404" max="6404" width="22.140625" style="372" customWidth="1"/>
    <col min="6405" max="6405" width="12.7109375" style="372" customWidth="1"/>
    <col min="6406" max="6406" width="23.5703125" style="372" customWidth="1"/>
    <col min="6407" max="6407" width="12.42578125" style="372" customWidth="1"/>
    <col min="6408" max="6408" width="12.140625" style="372" customWidth="1"/>
    <col min="6409" max="6657" width="9.140625" style="372"/>
    <col min="6658" max="6658" width="29.7109375" style="372" customWidth="1"/>
    <col min="6659" max="6659" width="21.28515625" style="372" customWidth="1"/>
    <col min="6660" max="6660" width="22.140625" style="372" customWidth="1"/>
    <col min="6661" max="6661" width="12.7109375" style="372" customWidth="1"/>
    <col min="6662" max="6662" width="23.5703125" style="372" customWidth="1"/>
    <col min="6663" max="6663" width="12.42578125" style="372" customWidth="1"/>
    <col min="6664" max="6664" width="12.140625" style="372" customWidth="1"/>
    <col min="6665" max="6913" width="9.140625" style="372"/>
    <col min="6914" max="6914" width="29.7109375" style="372" customWidth="1"/>
    <col min="6915" max="6915" width="21.28515625" style="372" customWidth="1"/>
    <col min="6916" max="6916" width="22.140625" style="372" customWidth="1"/>
    <col min="6917" max="6917" width="12.7109375" style="372" customWidth="1"/>
    <col min="6918" max="6918" width="23.5703125" style="372" customWidth="1"/>
    <col min="6919" max="6919" width="12.42578125" style="372" customWidth="1"/>
    <col min="6920" max="6920" width="12.140625" style="372" customWidth="1"/>
    <col min="6921" max="7169" width="9.140625" style="372"/>
    <col min="7170" max="7170" width="29.7109375" style="372" customWidth="1"/>
    <col min="7171" max="7171" width="21.28515625" style="372" customWidth="1"/>
    <col min="7172" max="7172" width="22.140625" style="372" customWidth="1"/>
    <col min="7173" max="7173" width="12.7109375" style="372" customWidth="1"/>
    <col min="7174" max="7174" width="23.5703125" style="372" customWidth="1"/>
    <col min="7175" max="7175" width="12.42578125" style="372" customWidth="1"/>
    <col min="7176" max="7176" width="12.140625" style="372" customWidth="1"/>
    <col min="7177" max="7425" width="9.140625" style="372"/>
    <col min="7426" max="7426" width="29.7109375" style="372" customWidth="1"/>
    <col min="7427" max="7427" width="21.28515625" style="372" customWidth="1"/>
    <col min="7428" max="7428" width="22.140625" style="372" customWidth="1"/>
    <col min="7429" max="7429" width="12.7109375" style="372" customWidth="1"/>
    <col min="7430" max="7430" width="23.5703125" style="372" customWidth="1"/>
    <col min="7431" max="7431" width="12.42578125" style="372" customWidth="1"/>
    <col min="7432" max="7432" width="12.140625" style="372" customWidth="1"/>
    <col min="7433" max="7681" width="9.140625" style="372"/>
    <col min="7682" max="7682" width="29.7109375" style="372" customWidth="1"/>
    <col min="7683" max="7683" width="21.28515625" style="372" customWidth="1"/>
    <col min="7684" max="7684" width="22.140625" style="372" customWidth="1"/>
    <col min="7685" max="7685" width="12.7109375" style="372" customWidth="1"/>
    <col min="7686" max="7686" width="23.5703125" style="372" customWidth="1"/>
    <col min="7687" max="7687" width="12.42578125" style="372" customWidth="1"/>
    <col min="7688" max="7688" width="12.140625" style="372" customWidth="1"/>
    <col min="7689" max="7937" width="9.140625" style="372"/>
    <col min="7938" max="7938" width="29.7109375" style="372" customWidth="1"/>
    <col min="7939" max="7939" width="21.28515625" style="372" customWidth="1"/>
    <col min="7940" max="7940" width="22.140625" style="372" customWidth="1"/>
    <col min="7941" max="7941" width="12.7109375" style="372" customWidth="1"/>
    <col min="7942" max="7942" width="23.5703125" style="372" customWidth="1"/>
    <col min="7943" max="7943" width="12.42578125" style="372" customWidth="1"/>
    <col min="7944" max="7944" width="12.140625" style="372" customWidth="1"/>
    <col min="7945" max="8193" width="9.140625" style="372"/>
    <col min="8194" max="8194" width="29.7109375" style="372" customWidth="1"/>
    <col min="8195" max="8195" width="21.28515625" style="372" customWidth="1"/>
    <col min="8196" max="8196" width="22.140625" style="372" customWidth="1"/>
    <col min="8197" max="8197" width="12.7109375" style="372" customWidth="1"/>
    <col min="8198" max="8198" width="23.5703125" style="372" customWidth="1"/>
    <col min="8199" max="8199" width="12.42578125" style="372" customWidth="1"/>
    <col min="8200" max="8200" width="12.140625" style="372" customWidth="1"/>
    <col min="8201" max="8449" width="9.140625" style="372"/>
    <col min="8450" max="8450" width="29.7109375" style="372" customWidth="1"/>
    <col min="8451" max="8451" width="21.28515625" style="372" customWidth="1"/>
    <col min="8452" max="8452" width="22.140625" style="372" customWidth="1"/>
    <col min="8453" max="8453" width="12.7109375" style="372" customWidth="1"/>
    <col min="8454" max="8454" width="23.5703125" style="372" customWidth="1"/>
    <col min="8455" max="8455" width="12.42578125" style="372" customWidth="1"/>
    <col min="8456" max="8456" width="12.140625" style="372" customWidth="1"/>
    <col min="8457" max="8705" width="9.140625" style="372"/>
    <col min="8706" max="8706" width="29.7109375" style="372" customWidth="1"/>
    <col min="8707" max="8707" width="21.28515625" style="372" customWidth="1"/>
    <col min="8708" max="8708" width="22.140625" style="372" customWidth="1"/>
    <col min="8709" max="8709" width="12.7109375" style="372" customWidth="1"/>
    <col min="8710" max="8710" width="23.5703125" style="372" customWidth="1"/>
    <col min="8711" max="8711" width="12.42578125" style="372" customWidth="1"/>
    <col min="8712" max="8712" width="12.140625" style="372" customWidth="1"/>
    <col min="8713" max="8961" width="9.140625" style="372"/>
    <col min="8962" max="8962" width="29.7109375" style="372" customWidth="1"/>
    <col min="8963" max="8963" width="21.28515625" style="372" customWidth="1"/>
    <col min="8964" max="8964" width="22.140625" style="372" customWidth="1"/>
    <col min="8965" max="8965" width="12.7109375" style="372" customWidth="1"/>
    <col min="8966" max="8966" width="23.5703125" style="372" customWidth="1"/>
    <col min="8967" max="8967" width="12.42578125" style="372" customWidth="1"/>
    <col min="8968" max="8968" width="12.140625" style="372" customWidth="1"/>
    <col min="8969" max="9217" width="9.140625" style="372"/>
    <col min="9218" max="9218" width="29.7109375" style="372" customWidth="1"/>
    <col min="9219" max="9219" width="21.28515625" style="372" customWidth="1"/>
    <col min="9220" max="9220" width="22.140625" style="372" customWidth="1"/>
    <col min="9221" max="9221" width="12.7109375" style="372" customWidth="1"/>
    <col min="9222" max="9222" width="23.5703125" style="372" customWidth="1"/>
    <col min="9223" max="9223" width="12.42578125" style="372" customWidth="1"/>
    <col min="9224" max="9224" width="12.140625" style="372" customWidth="1"/>
    <col min="9225" max="9473" width="9.140625" style="372"/>
    <col min="9474" max="9474" width="29.7109375" style="372" customWidth="1"/>
    <col min="9475" max="9475" width="21.28515625" style="372" customWidth="1"/>
    <col min="9476" max="9476" width="22.140625" style="372" customWidth="1"/>
    <col min="9477" max="9477" width="12.7109375" style="372" customWidth="1"/>
    <col min="9478" max="9478" width="23.5703125" style="372" customWidth="1"/>
    <col min="9479" max="9479" width="12.42578125" style="372" customWidth="1"/>
    <col min="9480" max="9480" width="12.140625" style="372" customWidth="1"/>
    <col min="9481" max="9729" width="9.140625" style="372"/>
    <col min="9730" max="9730" width="29.7109375" style="372" customWidth="1"/>
    <col min="9731" max="9731" width="21.28515625" style="372" customWidth="1"/>
    <col min="9732" max="9732" width="22.140625" style="372" customWidth="1"/>
    <col min="9733" max="9733" width="12.7109375" style="372" customWidth="1"/>
    <col min="9734" max="9734" width="23.5703125" style="372" customWidth="1"/>
    <col min="9735" max="9735" width="12.42578125" style="372" customWidth="1"/>
    <col min="9736" max="9736" width="12.140625" style="372" customWidth="1"/>
    <col min="9737" max="9985" width="9.140625" style="372"/>
    <col min="9986" max="9986" width="29.7109375" style="372" customWidth="1"/>
    <col min="9987" max="9987" width="21.28515625" style="372" customWidth="1"/>
    <col min="9988" max="9988" width="22.140625" style="372" customWidth="1"/>
    <col min="9989" max="9989" width="12.7109375" style="372" customWidth="1"/>
    <col min="9990" max="9990" width="23.5703125" style="372" customWidth="1"/>
    <col min="9991" max="9991" width="12.42578125" style="372" customWidth="1"/>
    <col min="9992" max="9992" width="12.140625" style="372" customWidth="1"/>
    <col min="9993" max="10241" width="9.140625" style="372"/>
    <col min="10242" max="10242" width="29.7109375" style="372" customWidth="1"/>
    <col min="10243" max="10243" width="21.28515625" style="372" customWidth="1"/>
    <col min="10244" max="10244" width="22.140625" style="372" customWidth="1"/>
    <col min="10245" max="10245" width="12.7109375" style="372" customWidth="1"/>
    <col min="10246" max="10246" width="23.5703125" style="372" customWidth="1"/>
    <col min="10247" max="10247" width="12.42578125" style="372" customWidth="1"/>
    <col min="10248" max="10248" width="12.140625" style="372" customWidth="1"/>
    <col min="10249" max="10497" width="9.140625" style="372"/>
    <col min="10498" max="10498" width="29.7109375" style="372" customWidth="1"/>
    <col min="10499" max="10499" width="21.28515625" style="372" customWidth="1"/>
    <col min="10500" max="10500" width="22.140625" style="372" customWidth="1"/>
    <col min="10501" max="10501" width="12.7109375" style="372" customWidth="1"/>
    <col min="10502" max="10502" width="23.5703125" style="372" customWidth="1"/>
    <col min="10503" max="10503" width="12.42578125" style="372" customWidth="1"/>
    <col min="10504" max="10504" width="12.140625" style="372" customWidth="1"/>
    <col min="10505" max="10753" width="9.140625" style="372"/>
    <col min="10754" max="10754" width="29.7109375" style="372" customWidth="1"/>
    <col min="10755" max="10755" width="21.28515625" style="372" customWidth="1"/>
    <col min="10756" max="10756" width="22.140625" style="372" customWidth="1"/>
    <col min="10757" max="10757" width="12.7109375" style="372" customWidth="1"/>
    <col min="10758" max="10758" width="23.5703125" style="372" customWidth="1"/>
    <col min="10759" max="10759" width="12.42578125" style="372" customWidth="1"/>
    <col min="10760" max="10760" width="12.140625" style="372" customWidth="1"/>
    <col min="10761" max="11009" width="9.140625" style="372"/>
    <col min="11010" max="11010" width="29.7109375" style="372" customWidth="1"/>
    <col min="11011" max="11011" width="21.28515625" style="372" customWidth="1"/>
    <col min="11012" max="11012" width="22.140625" style="372" customWidth="1"/>
    <col min="11013" max="11013" width="12.7109375" style="372" customWidth="1"/>
    <col min="11014" max="11014" width="23.5703125" style="372" customWidth="1"/>
    <col min="11015" max="11015" width="12.42578125" style="372" customWidth="1"/>
    <col min="11016" max="11016" width="12.140625" style="372" customWidth="1"/>
    <col min="11017" max="11265" width="9.140625" style="372"/>
    <col min="11266" max="11266" width="29.7109375" style="372" customWidth="1"/>
    <col min="11267" max="11267" width="21.28515625" style="372" customWidth="1"/>
    <col min="11268" max="11268" width="22.140625" style="372" customWidth="1"/>
    <col min="11269" max="11269" width="12.7109375" style="372" customWidth="1"/>
    <col min="11270" max="11270" width="23.5703125" style="372" customWidth="1"/>
    <col min="11271" max="11271" width="12.42578125" style="372" customWidth="1"/>
    <col min="11272" max="11272" width="12.140625" style="372" customWidth="1"/>
    <col min="11273" max="11521" width="9.140625" style="372"/>
    <col min="11522" max="11522" width="29.7109375" style="372" customWidth="1"/>
    <col min="11523" max="11523" width="21.28515625" style="372" customWidth="1"/>
    <col min="11524" max="11524" width="22.140625" style="372" customWidth="1"/>
    <col min="11525" max="11525" width="12.7109375" style="372" customWidth="1"/>
    <col min="11526" max="11526" width="23.5703125" style="372" customWidth="1"/>
    <col min="11527" max="11527" width="12.42578125" style="372" customWidth="1"/>
    <col min="11528" max="11528" width="12.140625" style="372" customWidth="1"/>
    <col min="11529" max="11777" width="9.140625" style="372"/>
    <col min="11778" max="11778" width="29.7109375" style="372" customWidth="1"/>
    <col min="11779" max="11779" width="21.28515625" style="372" customWidth="1"/>
    <col min="11780" max="11780" width="22.140625" style="372" customWidth="1"/>
    <col min="11781" max="11781" width="12.7109375" style="372" customWidth="1"/>
    <col min="11782" max="11782" width="23.5703125" style="372" customWidth="1"/>
    <col min="11783" max="11783" width="12.42578125" style="372" customWidth="1"/>
    <col min="11784" max="11784" width="12.140625" style="372" customWidth="1"/>
    <col min="11785" max="12033" width="9.140625" style="372"/>
    <col min="12034" max="12034" width="29.7109375" style="372" customWidth="1"/>
    <col min="12035" max="12035" width="21.28515625" style="372" customWidth="1"/>
    <col min="12036" max="12036" width="22.140625" style="372" customWidth="1"/>
    <col min="12037" max="12037" width="12.7109375" style="372" customWidth="1"/>
    <col min="12038" max="12038" width="23.5703125" style="372" customWidth="1"/>
    <col min="12039" max="12039" width="12.42578125" style="372" customWidth="1"/>
    <col min="12040" max="12040" width="12.140625" style="372" customWidth="1"/>
    <col min="12041" max="12289" width="9.140625" style="372"/>
    <col min="12290" max="12290" width="29.7109375" style="372" customWidth="1"/>
    <col min="12291" max="12291" width="21.28515625" style="372" customWidth="1"/>
    <col min="12292" max="12292" width="22.140625" style="372" customWidth="1"/>
    <col min="12293" max="12293" width="12.7109375" style="372" customWidth="1"/>
    <col min="12294" max="12294" width="23.5703125" style="372" customWidth="1"/>
    <col min="12295" max="12295" width="12.42578125" style="372" customWidth="1"/>
    <col min="12296" max="12296" width="12.140625" style="372" customWidth="1"/>
    <col min="12297" max="12545" width="9.140625" style="372"/>
    <col min="12546" max="12546" width="29.7109375" style="372" customWidth="1"/>
    <col min="12547" max="12547" width="21.28515625" style="372" customWidth="1"/>
    <col min="12548" max="12548" width="22.140625" style="372" customWidth="1"/>
    <col min="12549" max="12549" width="12.7109375" style="372" customWidth="1"/>
    <col min="12550" max="12550" width="23.5703125" style="372" customWidth="1"/>
    <col min="12551" max="12551" width="12.42578125" style="372" customWidth="1"/>
    <col min="12552" max="12552" width="12.140625" style="372" customWidth="1"/>
    <col min="12553" max="12801" width="9.140625" style="372"/>
    <col min="12802" max="12802" width="29.7109375" style="372" customWidth="1"/>
    <col min="12803" max="12803" width="21.28515625" style="372" customWidth="1"/>
    <col min="12804" max="12804" width="22.140625" style="372" customWidth="1"/>
    <col min="12805" max="12805" width="12.7109375" style="372" customWidth="1"/>
    <col min="12806" max="12806" width="23.5703125" style="372" customWidth="1"/>
    <col min="12807" max="12807" width="12.42578125" style="372" customWidth="1"/>
    <col min="12808" max="12808" width="12.140625" style="372" customWidth="1"/>
    <col min="12809" max="13057" width="9.140625" style="372"/>
    <col min="13058" max="13058" width="29.7109375" style="372" customWidth="1"/>
    <col min="13059" max="13059" width="21.28515625" style="372" customWidth="1"/>
    <col min="13060" max="13060" width="22.140625" style="372" customWidth="1"/>
    <col min="13061" max="13061" width="12.7109375" style="372" customWidth="1"/>
    <col min="13062" max="13062" width="23.5703125" style="372" customWidth="1"/>
    <col min="13063" max="13063" width="12.42578125" style="372" customWidth="1"/>
    <col min="13064" max="13064" width="12.140625" style="372" customWidth="1"/>
    <col min="13065" max="13313" width="9.140625" style="372"/>
    <col min="13314" max="13314" width="29.7109375" style="372" customWidth="1"/>
    <col min="13315" max="13315" width="21.28515625" style="372" customWidth="1"/>
    <col min="13316" max="13316" width="22.140625" style="372" customWidth="1"/>
    <col min="13317" max="13317" width="12.7109375" style="372" customWidth="1"/>
    <col min="13318" max="13318" width="23.5703125" style="372" customWidth="1"/>
    <col min="13319" max="13319" width="12.42578125" style="372" customWidth="1"/>
    <col min="13320" max="13320" width="12.140625" style="372" customWidth="1"/>
    <col min="13321" max="13569" width="9.140625" style="372"/>
    <col min="13570" max="13570" width="29.7109375" style="372" customWidth="1"/>
    <col min="13571" max="13571" width="21.28515625" style="372" customWidth="1"/>
    <col min="13572" max="13572" width="22.140625" style="372" customWidth="1"/>
    <col min="13573" max="13573" width="12.7109375" style="372" customWidth="1"/>
    <col min="13574" max="13574" width="23.5703125" style="372" customWidth="1"/>
    <col min="13575" max="13575" width="12.42578125" style="372" customWidth="1"/>
    <col min="13576" max="13576" width="12.140625" style="372" customWidth="1"/>
    <col min="13577" max="13825" width="9.140625" style="372"/>
    <col min="13826" max="13826" width="29.7109375" style="372" customWidth="1"/>
    <col min="13827" max="13827" width="21.28515625" style="372" customWidth="1"/>
    <col min="13828" max="13828" width="22.140625" style="372" customWidth="1"/>
    <col min="13829" max="13829" width="12.7109375" style="372" customWidth="1"/>
    <col min="13830" max="13830" width="23.5703125" style="372" customWidth="1"/>
    <col min="13831" max="13831" width="12.42578125" style="372" customWidth="1"/>
    <col min="13832" max="13832" width="12.140625" style="372" customWidth="1"/>
    <col min="13833" max="14081" width="9.140625" style="372"/>
    <col min="14082" max="14082" width="29.7109375" style="372" customWidth="1"/>
    <col min="14083" max="14083" width="21.28515625" style="372" customWidth="1"/>
    <col min="14084" max="14084" width="22.140625" style="372" customWidth="1"/>
    <col min="14085" max="14085" width="12.7109375" style="372" customWidth="1"/>
    <col min="14086" max="14086" width="23.5703125" style="372" customWidth="1"/>
    <col min="14087" max="14087" width="12.42578125" style="372" customWidth="1"/>
    <col min="14088" max="14088" width="12.140625" style="372" customWidth="1"/>
    <col min="14089" max="14337" width="9.140625" style="372"/>
    <col min="14338" max="14338" width="29.7109375" style="372" customWidth="1"/>
    <col min="14339" max="14339" width="21.28515625" style="372" customWidth="1"/>
    <col min="14340" max="14340" width="22.140625" style="372" customWidth="1"/>
    <col min="14341" max="14341" width="12.7109375" style="372" customWidth="1"/>
    <col min="14342" max="14342" width="23.5703125" style="372" customWidth="1"/>
    <col min="14343" max="14343" width="12.42578125" style="372" customWidth="1"/>
    <col min="14344" max="14344" width="12.140625" style="372" customWidth="1"/>
    <col min="14345" max="14593" width="9.140625" style="372"/>
    <col min="14594" max="14594" width="29.7109375" style="372" customWidth="1"/>
    <col min="14595" max="14595" width="21.28515625" style="372" customWidth="1"/>
    <col min="14596" max="14596" width="22.140625" style="372" customWidth="1"/>
    <col min="14597" max="14597" width="12.7109375" style="372" customWidth="1"/>
    <col min="14598" max="14598" width="23.5703125" style="372" customWidth="1"/>
    <col min="14599" max="14599" width="12.42578125" style="372" customWidth="1"/>
    <col min="14600" max="14600" width="12.140625" style="372" customWidth="1"/>
    <col min="14601" max="14849" width="9.140625" style="372"/>
    <col min="14850" max="14850" width="29.7109375" style="372" customWidth="1"/>
    <col min="14851" max="14851" width="21.28515625" style="372" customWidth="1"/>
    <col min="14852" max="14852" width="22.140625" style="372" customWidth="1"/>
    <col min="14853" max="14853" width="12.7109375" style="372" customWidth="1"/>
    <col min="14854" max="14854" width="23.5703125" style="372" customWidth="1"/>
    <col min="14855" max="14855" width="12.42578125" style="372" customWidth="1"/>
    <col min="14856" max="14856" width="12.140625" style="372" customWidth="1"/>
    <col min="14857" max="15105" width="9.140625" style="372"/>
    <col min="15106" max="15106" width="29.7109375" style="372" customWidth="1"/>
    <col min="15107" max="15107" width="21.28515625" style="372" customWidth="1"/>
    <col min="15108" max="15108" width="22.140625" style="372" customWidth="1"/>
    <col min="15109" max="15109" width="12.7109375" style="372" customWidth="1"/>
    <col min="15110" max="15110" width="23.5703125" style="372" customWidth="1"/>
    <col min="15111" max="15111" width="12.42578125" style="372" customWidth="1"/>
    <col min="15112" max="15112" width="12.140625" style="372" customWidth="1"/>
    <col min="15113" max="15361" width="9.140625" style="372"/>
    <col min="15362" max="15362" width="29.7109375" style="372" customWidth="1"/>
    <col min="15363" max="15363" width="21.28515625" style="372" customWidth="1"/>
    <col min="15364" max="15364" width="22.140625" style="372" customWidth="1"/>
    <col min="15365" max="15365" width="12.7109375" style="372" customWidth="1"/>
    <col min="15366" max="15366" width="23.5703125" style="372" customWidth="1"/>
    <col min="15367" max="15367" width="12.42578125" style="372" customWidth="1"/>
    <col min="15368" max="15368" width="12.140625" style="372" customWidth="1"/>
    <col min="15369" max="15617" width="9.140625" style="372"/>
    <col min="15618" max="15618" width="29.7109375" style="372" customWidth="1"/>
    <col min="15619" max="15619" width="21.28515625" style="372" customWidth="1"/>
    <col min="15620" max="15620" width="22.140625" style="372" customWidth="1"/>
    <col min="15621" max="15621" width="12.7109375" style="372" customWidth="1"/>
    <col min="15622" max="15622" width="23.5703125" style="372" customWidth="1"/>
    <col min="15623" max="15623" width="12.42578125" style="372" customWidth="1"/>
    <col min="15624" max="15624" width="12.140625" style="372" customWidth="1"/>
    <col min="15625" max="15873" width="9.140625" style="372"/>
    <col min="15874" max="15874" width="29.7109375" style="372" customWidth="1"/>
    <col min="15875" max="15875" width="21.28515625" style="372" customWidth="1"/>
    <col min="15876" max="15876" width="22.140625" style="372" customWidth="1"/>
    <col min="15877" max="15877" width="12.7109375" style="372" customWidth="1"/>
    <col min="15878" max="15878" width="23.5703125" style="372" customWidth="1"/>
    <col min="15879" max="15879" width="12.42578125" style="372" customWidth="1"/>
    <col min="15880" max="15880" width="12.140625" style="372" customWidth="1"/>
    <col min="15881" max="16129" width="9.140625" style="372"/>
    <col min="16130" max="16130" width="29.7109375" style="372" customWidth="1"/>
    <col min="16131" max="16131" width="21.28515625" style="372" customWidth="1"/>
    <col min="16132" max="16132" width="22.140625" style="372" customWidth="1"/>
    <col min="16133" max="16133" width="12.7109375" style="372" customWidth="1"/>
    <col min="16134" max="16134" width="23.5703125" style="372" customWidth="1"/>
    <col min="16135" max="16135" width="12.42578125" style="372" customWidth="1"/>
    <col min="16136" max="16136" width="12.140625" style="372" customWidth="1"/>
    <col min="16137" max="16384" width="9.140625" style="372"/>
  </cols>
  <sheetData>
    <row r="1" spans="2:9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413"/>
    </row>
    <row r="2" spans="2:9" s="410" customFormat="1" ht="15.75" customHeight="1" x14ac:dyDescent="0.35">
      <c r="C2" s="411"/>
      <c r="F2" s="412"/>
    </row>
    <row r="3" spans="2:9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413"/>
    </row>
    <row r="4" spans="2:9" s="410" customFormat="1" ht="10.5" customHeight="1" x14ac:dyDescent="0.35">
      <c r="C4" s="411"/>
      <c r="F4" s="412"/>
    </row>
    <row r="5" spans="2:9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414"/>
    </row>
    <row r="6" spans="2:9" ht="13.5" customHeight="1" x14ac:dyDescent="0.35">
      <c r="B6" s="374"/>
      <c r="C6" s="375"/>
      <c r="D6" s="375"/>
      <c r="E6" s="375"/>
      <c r="F6" s="375"/>
      <c r="G6" s="375"/>
      <c r="H6" s="375"/>
    </row>
    <row r="7" spans="2:9" ht="15.75" x14ac:dyDescent="0.25">
      <c r="B7" s="1494" t="s">
        <v>104</v>
      </c>
      <c r="C7" s="1494"/>
      <c r="D7" s="1494"/>
      <c r="E7" s="1494"/>
      <c r="F7" s="1494"/>
      <c r="G7" s="1494"/>
      <c r="H7" s="1494"/>
    </row>
    <row r="8" spans="2:9" ht="15.75" x14ac:dyDescent="0.25">
      <c r="B8" s="1494" t="s">
        <v>7062</v>
      </c>
      <c r="C8" s="1494"/>
      <c r="D8" s="1494"/>
      <c r="E8" s="1494"/>
      <c r="F8" s="1494"/>
      <c r="G8" s="1494"/>
      <c r="H8" s="1494"/>
    </row>
    <row r="9" spans="2:9" ht="15" customHeight="1" x14ac:dyDescent="0.25">
      <c r="B9" s="480"/>
      <c r="C9" s="480"/>
      <c r="D9" s="480"/>
      <c r="E9" s="480"/>
      <c r="F9" s="480"/>
      <c r="G9" s="480"/>
      <c r="H9" s="480"/>
    </row>
    <row r="10" spans="2:9" s="294" customFormat="1" ht="15.75" x14ac:dyDescent="0.25">
      <c r="B10" s="1498" t="s">
        <v>94</v>
      </c>
      <c r="C10" s="481">
        <v>2017</v>
      </c>
      <c r="D10" s="481">
        <f>C10+1</f>
        <v>2018</v>
      </c>
      <c r="E10" s="1499" t="s">
        <v>115</v>
      </c>
      <c r="F10" s="481">
        <f>D10+1</f>
        <v>2019</v>
      </c>
      <c r="G10" s="1499" t="s">
        <v>7063</v>
      </c>
      <c r="H10" s="1498" t="s">
        <v>95</v>
      </c>
    </row>
    <row r="11" spans="2:9" s="294" customFormat="1" ht="15.75" x14ac:dyDescent="0.25">
      <c r="B11" s="1498"/>
      <c r="C11" s="482" t="s">
        <v>105</v>
      </c>
      <c r="D11" s="482" t="s">
        <v>105</v>
      </c>
      <c r="E11" s="1499"/>
      <c r="F11" s="481" t="s">
        <v>96</v>
      </c>
      <c r="G11" s="1499"/>
      <c r="H11" s="1498"/>
    </row>
    <row r="12" spans="2:9" ht="15.75" x14ac:dyDescent="0.25">
      <c r="B12" s="483" t="s">
        <v>106</v>
      </c>
      <c r="C12" s="484">
        <f>SUM(C13:C20)</f>
        <v>17834658.909999996</v>
      </c>
      <c r="D12" s="484">
        <f>SUM(D13:D20)</f>
        <v>19268101.940000001</v>
      </c>
      <c r="E12" s="485">
        <f t="shared" ref="E12:E28" si="0">IF(C12=0,"0,00%",(D12/C12)-1)</f>
        <v>8.0374008677915665E-2</v>
      </c>
      <c r="F12" s="486">
        <f>SUM(F13:F20)</f>
        <v>18651994.899999999</v>
      </c>
      <c r="G12" s="485">
        <f>IF(D12=0,"0,00%",(F12/D12)-0.000001)</f>
        <v>0.96802350797081449</v>
      </c>
      <c r="H12" s="487">
        <f>(E12+G12)/2</f>
        <v>0.52419875832436502</v>
      </c>
    </row>
    <row r="13" spans="2:9" ht="15.75" x14ac:dyDescent="0.25">
      <c r="B13" s="488" t="s">
        <v>8</v>
      </c>
      <c r="C13" s="489">
        <f>CIG!D14</f>
        <v>539143.06999999995</v>
      </c>
      <c r="D13" s="489">
        <f>CIG!E14</f>
        <v>696677.96</v>
      </c>
      <c r="E13" s="490">
        <f t="shared" ref="E13:E19" si="1">IF(C13=0,"0,00%",(D13/C13)-1)</f>
        <v>0.29219496413076418</v>
      </c>
      <c r="F13" s="489">
        <f>CIG!G14</f>
        <v>697718.45</v>
      </c>
      <c r="G13" s="490">
        <f t="shared" ref="G13:G28" si="2">IF(D13=0,"0,00%",(F13/D13)-1)</f>
        <v>1.4935021053343878E-3</v>
      </c>
      <c r="H13" s="491">
        <f>(E13+G13)/2</f>
        <v>0.14684423311804928</v>
      </c>
    </row>
    <row r="14" spans="2:9" ht="15.75" x14ac:dyDescent="0.25">
      <c r="B14" s="488" t="s">
        <v>10</v>
      </c>
      <c r="C14" s="489">
        <f>CIG!D15</f>
        <v>26680.39</v>
      </c>
      <c r="D14" s="489">
        <f>CIG!E15</f>
        <v>22007.64</v>
      </c>
      <c r="E14" s="490">
        <f t="shared" si="1"/>
        <v>-0.17513799460952406</v>
      </c>
      <c r="F14" s="489">
        <f>CIG!G15</f>
        <v>30866.28875</v>
      </c>
      <c r="G14" s="490">
        <f t="shared" si="2"/>
        <v>0.40252606594800722</v>
      </c>
      <c r="H14" s="491">
        <f t="shared" ref="H14:H26" si="3">(E14+G14)/2</f>
        <v>0.11369403566924158</v>
      </c>
    </row>
    <row r="15" spans="2:9" ht="15.75" x14ac:dyDescent="0.25">
      <c r="B15" s="488" t="s">
        <v>12</v>
      </c>
      <c r="C15" s="489">
        <f>CIG!D16</f>
        <v>168878.53</v>
      </c>
      <c r="D15" s="489">
        <f>CIG!E16</f>
        <v>89838.11</v>
      </c>
      <c r="E15" s="490">
        <f t="shared" si="1"/>
        <v>-0.4680311937817081</v>
      </c>
      <c r="F15" s="489">
        <f>CIG!G16</f>
        <v>97507.41</v>
      </c>
      <c r="G15" s="490">
        <f t="shared" si="2"/>
        <v>8.5368002510293195E-2</v>
      </c>
      <c r="H15" s="491">
        <f t="shared" si="3"/>
        <v>-0.19133159563570745</v>
      </c>
    </row>
    <row r="16" spans="2:9" ht="15.75" x14ac:dyDescent="0.25">
      <c r="B16" s="488" t="s">
        <v>14</v>
      </c>
      <c r="C16" s="489">
        <f>CIG!D17</f>
        <v>0</v>
      </c>
      <c r="D16" s="489">
        <f>CIG!E17</f>
        <v>0</v>
      </c>
      <c r="E16" s="490" t="str">
        <f t="shared" si="1"/>
        <v>0,00%</v>
      </c>
      <c r="F16" s="489">
        <f>CIG!G17</f>
        <v>0</v>
      </c>
      <c r="G16" s="490" t="str">
        <f t="shared" si="2"/>
        <v>0,00%</v>
      </c>
      <c r="H16" s="491">
        <f t="shared" si="3"/>
        <v>0</v>
      </c>
    </row>
    <row r="17" spans="2:8" ht="15.75" x14ac:dyDescent="0.25">
      <c r="B17" s="488" t="s">
        <v>16</v>
      </c>
      <c r="C17" s="489">
        <f>CIG!D18</f>
        <v>0</v>
      </c>
      <c r="D17" s="489">
        <f>CIG!E18</f>
        <v>0</v>
      </c>
      <c r="E17" s="490" t="str">
        <f t="shared" si="1"/>
        <v>0,00%</v>
      </c>
      <c r="F17" s="489">
        <f>CIG!G18</f>
        <v>0</v>
      </c>
      <c r="G17" s="490" t="str">
        <f t="shared" si="2"/>
        <v>0,00%</v>
      </c>
      <c r="H17" s="491">
        <f t="shared" si="3"/>
        <v>0</v>
      </c>
    </row>
    <row r="18" spans="2:8" ht="15.75" x14ac:dyDescent="0.25">
      <c r="B18" s="488" t="s">
        <v>19</v>
      </c>
      <c r="C18" s="489">
        <f>CIG!D19</f>
        <v>81924.570000000007</v>
      </c>
      <c r="D18" s="489">
        <f>CIG!E19</f>
        <v>81104.12</v>
      </c>
      <c r="E18" s="490">
        <f t="shared" si="1"/>
        <v>-1.0014700107672359E-2</v>
      </c>
      <c r="F18" s="489">
        <f>CIG!G19</f>
        <v>122531.86</v>
      </c>
      <c r="G18" s="490">
        <f t="shared" si="2"/>
        <v>0.51079698540592022</v>
      </c>
      <c r="H18" s="491">
        <f t="shared" si="3"/>
        <v>0.25039114264912393</v>
      </c>
    </row>
    <row r="19" spans="2:8" ht="15.75" x14ac:dyDescent="0.25">
      <c r="B19" s="488" t="s">
        <v>21</v>
      </c>
      <c r="C19" s="489">
        <f>CIG!D20</f>
        <v>16016058.27</v>
      </c>
      <c r="D19" s="489">
        <f>CIG!E20</f>
        <v>18154336.420000002</v>
      </c>
      <c r="E19" s="490">
        <f t="shared" si="1"/>
        <v>0.13350838976436874</v>
      </c>
      <c r="F19" s="489">
        <f>CIG!G20</f>
        <v>17329921.166249998</v>
      </c>
      <c r="G19" s="490">
        <f t="shared" si="2"/>
        <v>-4.5411478264872018E-2</v>
      </c>
      <c r="H19" s="491">
        <f t="shared" si="3"/>
        <v>4.4048455749748361E-2</v>
      </c>
    </row>
    <row r="20" spans="2:8" ht="15.75" x14ac:dyDescent="0.25">
      <c r="B20" s="488" t="s">
        <v>23</v>
      </c>
      <c r="C20" s="489">
        <f>CIG!D21</f>
        <v>1001974.08</v>
      </c>
      <c r="D20" s="489">
        <f>CIG!E21</f>
        <v>224137.69</v>
      </c>
      <c r="E20" s="490">
        <f t="shared" si="0"/>
        <v>-0.77630390398921301</v>
      </c>
      <c r="F20" s="489">
        <f>CIG!G21</f>
        <v>373449.72499999998</v>
      </c>
      <c r="G20" s="490">
        <f t="shared" si="2"/>
        <v>0.66616210330355408</v>
      </c>
      <c r="H20" s="491">
        <f t="shared" si="3"/>
        <v>-5.5070900342829465E-2</v>
      </c>
    </row>
    <row r="21" spans="2:8" ht="15.75" x14ac:dyDescent="0.25">
      <c r="B21" s="483" t="s">
        <v>107</v>
      </c>
      <c r="C21" s="492">
        <f>SUM(C22:C26)</f>
        <v>557028.96</v>
      </c>
      <c r="D21" s="492">
        <f>SUM(D22:D26)</f>
        <v>351628.28</v>
      </c>
      <c r="E21" s="485">
        <f t="shared" si="0"/>
        <v>-0.36874326964975024</v>
      </c>
      <c r="F21" s="492">
        <f>SUM(F22:F26)</f>
        <v>663889.40749999997</v>
      </c>
      <c r="G21" s="485">
        <f t="shared" si="2"/>
        <v>0.88804326972790681</v>
      </c>
      <c r="H21" s="487">
        <f>(E21+G21)/2</f>
        <v>0.25965000003907829</v>
      </c>
    </row>
    <row r="22" spans="2:8" ht="15.75" x14ac:dyDescent="0.25">
      <c r="B22" s="488" t="s">
        <v>27</v>
      </c>
      <c r="C22" s="489">
        <f>CIG!D23</f>
        <v>0</v>
      </c>
      <c r="D22" s="489">
        <f>CIG!E23</f>
        <v>0</v>
      </c>
      <c r="E22" s="490" t="str">
        <f t="shared" si="0"/>
        <v>0,00%</v>
      </c>
      <c r="F22" s="489">
        <f>CIG!G23</f>
        <v>0</v>
      </c>
      <c r="G22" s="490" t="str">
        <f t="shared" si="2"/>
        <v>0,00%</v>
      </c>
      <c r="H22" s="491">
        <f t="shared" si="3"/>
        <v>0</v>
      </c>
    </row>
    <row r="23" spans="2:8" ht="15.75" x14ac:dyDescent="0.25">
      <c r="B23" s="488" t="s">
        <v>29</v>
      </c>
      <c r="C23" s="489">
        <f>CIG!D24</f>
        <v>0</v>
      </c>
      <c r="D23" s="489">
        <f>CIG!E24</f>
        <v>0</v>
      </c>
      <c r="E23" s="490" t="str">
        <f t="shared" ref="E23:E26" si="4">IF(C23=0,"0,00%",(D23/C23)-1)</f>
        <v>0,00%</v>
      </c>
      <c r="F23" s="489">
        <f>CIG!G24</f>
        <v>0</v>
      </c>
      <c r="G23" s="490" t="str">
        <f t="shared" si="2"/>
        <v>0,00%</v>
      </c>
      <c r="H23" s="491">
        <f t="shared" si="3"/>
        <v>0</v>
      </c>
    </row>
    <row r="24" spans="2:8" ht="15.75" x14ac:dyDescent="0.25">
      <c r="B24" s="488" t="s">
        <v>31</v>
      </c>
      <c r="C24" s="489">
        <f>CIG!D25</f>
        <v>0</v>
      </c>
      <c r="D24" s="489">
        <f>CIG!E25</f>
        <v>0</v>
      </c>
      <c r="E24" s="490" t="str">
        <f t="shared" si="4"/>
        <v>0,00%</v>
      </c>
      <c r="F24" s="489">
        <f>CIG!G25</f>
        <v>0</v>
      </c>
      <c r="G24" s="490" t="str">
        <f t="shared" si="2"/>
        <v>0,00%</v>
      </c>
      <c r="H24" s="491">
        <f t="shared" si="3"/>
        <v>0</v>
      </c>
    </row>
    <row r="25" spans="2:8" ht="15.75" x14ac:dyDescent="0.25">
      <c r="B25" s="488" t="s">
        <v>33</v>
      </c>
      <c r="C25" s="489">
        <f>CIG!D26</f>
        <v>509747</v>
      </c>
      <c r="D25" s="489">
        <f>CIG!E26</f>
        <v>339891.09</v>
      </c>
      <c r="E25" s="490">
        <f t="shared" si="4"/>
        <v>-0.33321610524436629</v>
      </c>
      <c r="F25" s="489">
        <f>CIG!G26</f>
        <v>658858.75</v>
      </c>
      <c r="G25" s="490">
        <f t="shared" si="2"/>
        <v>0.93844078113374474</v>
      </c>
      <c r="H25" s="491">
        <f t="shared" si="3"/>
        <v>0.30261233794468922</v>
      </c>
    </row>
    <row r="26" spans="2:8" ht="15.75" x14ac:dyDescent="0.25">
      <c r="B26" s="488" t="s">
        <v>35</v>
      </c>
      <c r="C26" s="489">
        <f>CIG!D27</f>
        <v>47281.96</v>
      </c>
      <c r="D26" s="489">
        <f>CIG!E27</f>
        <v>11737.19</v>
      </c>
      <c r="E26" s="490">
        <f t="shared" si="4"/>
        <v>-0.75176177129712896</v>
      </c>
      <c r="F26" s="489">
        <f>CIG!G27</f>
        <v>5030.6574999999993</v>
      </c>
      <c r="G26" s="490">
        <f t="shared" si="2"/>
        <v>-0.57139166188840784</v>
      </c>
      <c r="H26" s="491">
        <f t="shared" si="3"/>
        <v>-0.6615767165927684</v>
      </c>
    </row>
    <row r="27" spans="2:8" s="497" customFormat="1" ht="15.75" x14ac:dyDescent="0.25">
      <c r="B27" s="493" t="s">
        <v>37</v>
      </c>
      <c r="C27" s="494">
        <f>CIG!D29</f>
        <v>2222997.77</v>
      </c>
      <c r="D27" s="494">
        <f>CIG!E29</f>
        <v>2410662.4</v>
      </c>
      <c r="E27" s="495">
        <f t="shared" si="0"/>
        <v>8.4419621347618268E-2</v>
      </c>
      <c r="F27" s="494">
        <f>CIG!G29</f>
        <v>2335530.5737500004</v>
      </c>
      <c r="G27" s="495">
        <f t="shared" si="2"/>
        <v>-3.1166465387272635E-2</v>
      </c>
      <c r="H27" s="496">
        <f>(E27+G27)/2</f>
        <v>2.6626577980172816E-2</v>
      </c>
    </row>
    <row r="28" spans="2:8" ht="15.75" x14ac:dyDescent="0.25">
      <c r="B28" s="483" t="s">
        <v>108</v>
      </c>
      <c r="C28" s="492">
        <f>C12+C21-C27</f>
        <v>16168690.099999998</v>
      </c>
      <c r="D28" s="492">
        <f>D12+D21-D27</f>
        <v>17209067.820000004</v>
      </c>
      <c r="E28" s="485">
        <f t="shared" si="0"/>
        <v>6.4345207531685267E-2</v>
      </c>
      <c r="F28" s="492">
        <f>F12+F21-F27</f>
        <v>16980353.733749997</v>
      </c>
      <c r="G28" s="485">
        <f t="shared" si="2"/>
        <v>-1.3290323952596661E-2</v>
      </c>
      <c r="H28" s="487">
        <f>(E28+G28)/2</f>
        <v>2.5527441789544303E-2</v>
      </c>
    </row>
  </sheetData>
  <mergeCells count="9">
    <mergeCell ref="B10:B11"/>
    <mergeCell ref="E10:E11"/>
    <mergeCell ref="G10:G11"/>
    <mergeCell ref="H10:H11"/>
    <mergeCell ref="B1:H1"/>
    <mergeCell ref="B3:H3"/>
    <mergeCell ref="B5:H5"/>
    <mergeCell ref="B7:H7"/>
    <mergeCell ref="B8:H8"/>
  </mergeCells>
  <pageMargins left="0.51181102362204722" right="0.51181102362204722" top="0.78740157480314965" bottom="0.78740157480314965" header="0.31496062992125984" footer="0.31496062992125984"/>
  <pageSetup paperSize="9" scale="85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1367"/>
  <sheetViews>
    <sheetView topLeftCell="A1360" workbookViewId="0">
      <selection activeCell="G1371" sqref="G1371"/>
    </sheetView>
  </sheetViews>
  <sheetFormatPr defaultRowHeight="35.1" customHeight="1" x14ac:dyDescent="0.25"/>
  <cols>
    <col min="1" max="1" width="2" customWidth="1"/>
    <col min="2" max="2" width="9.85546875" style="793" customWidth="1"/>
    <col min="3" max="3" width="5.140625" style="794" customWidth="1"/>
    <col min="4" max="4" width="43.140625" customWidth="1"/>
    <col min="5" max="5" width="10.7109375" style="793" customWidth="1"/>
    <col min="6" max="6" width="7.42578125" customWidth="1"/>
    <col min="7" max="7" width="39.7109375" customWidth="1"/>
    <col min="8" max="8" width="11.42578125" style="793" customWidth="1"/>
    <col min="9" max="9" width="7" customWidth="1"/>
    <col min="10" max="10" width="54.5703125" customWidth="1"/>
    <col min="260" max="260" width="86.7109375" customWidth="1"/>
    <col min="261" max="261" width="18.85546875" customWidth="1"/>
    <col min="262" max="262" width="14.5703125" customWidth="1"/>
    <col min="263" max="263" width="17.85546875" customWidth="1"/>
    <col min="516" max="516" width="86.7109375" customWidth="1"/>
    <col min="517" max="517" width="18.85546875" customWidth="1"/>
    <col min="518" max="518" width="14.5703125" customWidth="1"/>
    <col min="519" max="519" width="17.85546875" customWidth="1"/>
    <col min="772" max="772" width="86.7109375" customWidth="1"/>
    <col min="773" max="773" width="18.85546875" customWidth="1"/>
    <col min="774" max="774" width="14.5703125" customWidth="1"/>
    <col min="775" max="775" width="17.85546875" customWidth="1"/>
    <col min="1028" max="1028" width="86.7109375" customWidth="1"/>
    <col min="1029" max="1029" width="18.85546875" customWidth="1"/>
    <col min="1030" max="1030" width="14.5703125" customWidth="1"/>
    <col min="1031" max="1031" width="17.85546875" customWidth="1"/>
    <col min="1284" max="1284" width="86.7109375" customWidth="1"/>
    <col min="1285" max="1285" width="18.85546875" customWidth="1"/>
    <col min="1286" max="1286" width="14.5703125" customWidth="1"/>
    <col min="1287" max="1287" width="17.85546875" customWidth="1"/>
    <col min="1540" max="1540" width="86.7109375" customWidth="1"/>
    <col min="1541" max="1541" width="18.85546875" customWidth="1"/>
    <col min="1542" max="1542" width="14.5703125" customWidth="1"/>
    <col min="1543" max="1543" width="17.85546875" customWidth="1"/>
    <col min="1796" max="1796" width="86.7109375" customWidth="1"/>
    <col min="1797" max="1797" width="18.85546875" customWidth="1"/>
    <col min="1798" max="1798" width="14.5703125" customWidth="1"/>
    <col min="1799" max="1799" width="17.85546875" customWidth="1"/>
    <col min="2052" max="2052" width="86.7109375" customWidth="1"/>
    <col min="2053" max="2053" width="18.85546875" customWidth="1"/>
    <col min="2054" max="2054" width="14.5703125" customWidth="1"/>
    <col min="2055" max="2055" width="17.85546875" customWidth="1"/>
    <col min="2308" max="2308" width="86.7109375" customWidth="1"/>
    <col min="2309" max="2309" width="18.85546875" customWidth="1"/>
    <col min="2310" max="2310" width="14.5703125" customWidth="1"/>
    <col min="2311" max="2311" width="17.85546875" customWidth="1"/>
    <col min="2564" max="2564" width="86.7109375" customWidth="1"/>
    <col min="2565" max="2565" width="18.85546875" customWidth="1"/>
    <col min="2566" max="2566" width="14.5703125" customWidth="1"/>
    <col min="2567" max="2567" width="17.85546875" customWidth="1"/>
    <col min="2820" max="2820" width="86.7109375" customWidth="1"/>
    <col min="2821" max="2821" width="18.85546875" customWidth="1"/>
    <col min="2822" max="2822" width="14.5703125" customWidth="1"/>
    <col min="2823" max="2823" width="17.85546875" customWidth="1"/>
    <col min="3076" max="3076" width="86.7109375" customWidth="1"/>
    <col min="3077" max="3077" width="18.85546875" customWidth="1"/>
    <col min="3078" max="3078" width="14.5703125" customWidth="1"/>
    <col min="3079" max="3079" width="17.85546875" customWidth="1"/>
    <col min="3332" max="3332" width="86.7109375" customWidth="1"/>
    <col min="3333" max="3333" width="18.85546875" customWidth="1"/>
    <col min="3334" max="3334" width="14.5703125" customWidth="1"/>
    <col min="3335" max="3335" width="17.85546875" customWidth="1"/>
    <col min="3588" max="3588" width="86.7109375" customWidth="1"/>
    <col min="3589" max="3589" width="18.85546875" customWidth="1"/>
    <col min="3590" max="3590" width="14.5703125" customWidth="1"/>
    <col min="3591" max="3591" width="17.85546875" customWidth="1"/>
    <col min="3844" max="3844" width="86.7109375" customWidth="1"/>
    <col min="3845" max="3845" width="18.85546875" customWidth="1"/>
    <col min="3846" max="3846" width="14.5703125" customWidth="1"/>
    <col min="3847" max="3847" width="17.85546875" customWidth="1"/>
    <col min="4100" max="4100" width="86.7109375" customWidth="1"/>
    <col min="4101" max="4101" width="18.85546875" customWidth="1"/>
    <col min="4102" max="4102" width="14.5703125" customWidth="1"/>
    <col min="4103" max="4103" width="17.85546875" customWidth="1"/>
    <col min="4356" max="4356" width="86.7109375" customWidth="1"/>
    <col min="4357" max="4357" width="18.85546875" customWidth="1"/>
    <col min="4358" max="4358" width="14.5703125" customWidth="1"/>
    <col min="4359" max="4359" width="17.85546875" customWidth="1"/>
    <col min="4612" max="4612" width="86.7109375" customWidth="1"/>
    <col min="4613" max="4613" width="18.85546875" customWidth="1"/>
    <col min="4614" max="4614" width="14.5703125" customWidth="1"/>
    <col min="4615" max="4615" width="17.85546875" customWidth="1"/>
    <col min="4868" max="4868" width="86.7109375" customWidth="1"/>
    <col min="4869" max="4869" width="18.85546875" customWidth="1"/>
    <col min="4870" max="4870" width="14.5703125" customWidth="1"/>
    <col min="4871" max="4871" width="17.85546875" customWidth="1"/>
    <col min="5124" max="5124" width="86.7109375" customWidth="1"/>
    <col min="5125" max="5125" width="18.85546875" customWidth="1"/>
    <col min="5126" max="5126" width="14.5703125" customWidth="1"/>
    <col min="5127" max="5127" width="17.85546875" customWidth="1"/>
    <col min="5380" max="5380" width="86.7109375" customWidth="1"/>
    <col min="5381" max="5381" width="18.85546875" customWidth="1"/>
    <col min="5382" max="5382" width="14.5703125" customWidth="1"/>
    <col min="5383" max="5383" width="17.85546875" customWidth="1"/>
    <col min="5636" max="5636" width="86.7109375" customWidth="1"/>
    <col min="5637" max="5637" width="18.85546875" customWidth="1"/>
    <col min="5638" max="5638" width="14.5703125" customWidth="1"/>
    <col min="5639" max="5639" width="17.85546875" customWidth="1"/>
    <col min="5892" max="5892" width="86.7109375" customWidth="1"/>
    <col min="5893" max="5893" width="18.85546875" customWidth="1"/>
    <col min="5894" max="5894" width="14.5703125" customWidth="1"/>
    <col min="5895" max="5895" width="17.85546875" customWidth="1"/>
    <col min="6148" max="6148" width="86.7109375" customWidth="1"/>
    <col min="6149" max="6149" width="18.85546875" customWidth="1"/>
    <col min="6150" max="6150" width="14.5703125" customWidth="1"/>
    <col min="6151" max="6151" width="17.85546875" customWidth="1"/>
    <col min="6404" max="6404" width="86.7109375" customWidth="1"/>
    <col min="6405" max="6405" width="18.85546875" customWidth="1"/>
    <col min="6406" max="6406" width="14.5703125" customWidth="1"/>
    <col min="6407" max="6407" width="17.85546875" customWidth="1"/>
    <col min="6660" max="6660" width="86.7109375" customWidth="1"/>
    <col min="6661" max="6661" width="18.85546875" customWidth="1"/>
    <col min="6662" max="6662" width="14.5703125" customWidth="1"/>
    <col min="6663" max="6663" width="17.85546875" customWidth="1"/>
    <col min="6916" max="6916" width="86.7109375" customWidth="1"/>
    <col min="6917" max="6917" width="18.85546875" customWidth="1"/>
    <col min="6918" max="6918" width="14.5703125" customWidth="1"/>
    <col min="6919" max="6919" width="17.85546875" customWidth="1"/>
    <col min="7172" max="7172" width="86.7109375" customWidth="1"/>
    <col min="7173" max="7173" width="18.85546875" customWidth="1"/>
    <col min="7174" max="7174" width="14.5703125" customWidth="1"/>
    <col min="7175" max="7175" width="17.85546875" customWidth="1"/>
    <col min="7428" max="7428" width="86.7109375" customWidth="1"/>
    <col min="7429" max="7429" width="18.85546875" customWidth="1"/>
    <col min="7430" max="7430" width="14.5703125" customWidth="1"/>
    <col min="7431" max="7431" width="17.85546875" customWidth="1"/>
    <col min="7684" max="7684" width="86.7109375" customWidth="1"/>
    <col min="7685" max="7685" width="18.85546875" customWidth="1"/>
    <col min="7686" max="7686" width="14.5703125" customWidth="1"/>
    <col min="7687" max="7687" width="17.85546875" customWidth="1"/>
    <col min="7940" max="7940" width="86.7109375" customWidth="1"/>
    <col min="7941" max="7941" width="18.85546875" customWidth="1"/>
    <col min="7942" max="7942" width="14.5703125" customWidth="1"/>
    <col min="7943" max="7943" width="17.85546875" customWidth="1"/>
    <col min="8196" max="8196" width="86.7109375" customWidth="1"/>
    <col min="8197" max="8197" width="18.85546875" customWidth="1"/>
    <col min="8198" max="8198" width="14.5703125" customWidth="1"/>
    <col min="8199" max="8199" width="17.85546875" customWidth="1"/>
    <col min="8452" max="8452" width="86.7109375" customWidth="1"/>
    <col min="8453" max="8453" width="18.85546875" customWidth="1"/>
    <col min="8454" max="8454" width="14.5703125" customWidth="1"/>
    <col min="8455" max="8455" width="17.85546875" customWidth="1"/>
    <col min="8708" max="8708" width="86.7109375" customWidth="1"/>
    <col min="8709" max="8709" width="18.85546875" customWidth="1"/>
    <col min="8710" max="8710" width="14.5703125" customWidth="1"/>
    <col min="8711" max="8711" width="17.85546875" customWidth="1"/>
    <col min="8964" max="8964" width="86.7109375" customWidth="1"/>
    <col min="8965" max="8965" width="18.85546875" customWidth="1"/>
    <col min="8966" max="8966" width="14.5703125" customWidth="1"/>
    <col min="8967" max="8967" width="17.85546875" customWidth="1"/>
    <col min="9220" max="9220" width="86.7109375" customWidth="1"/>
    <col min="9221" max="9221" width="18.85546875" customWidth="1"/>
    <col min="9222" max="9222" width="14.5703125" customWidth="1"/>
    <col min="9223" max="9223" width="17.85546875" customWidth="1"/>
    <col min="9476" max="9476" width="86.7109375" customWidth="1"/>
    <col min="9477" max="9477" width="18.85546875" customWidth="1"/>
    <col min="9478" max="9478" width="14.5703125" customWidth="1"/>
    <col min="9479" max="9479" width="17.85546875" customWidth="1"/>
    <col min="9732" max="9732" width="86.7109375" customWidth="1"/>
    <col min="9733" max="9733" width="18.85546875" customWidth="1"/>
    <col min="9734" max="9734" width="14.5703125" customWidth="1"/>
    <col min="9735" max="9735" width="17.85546875" customWidth="1"/>
    <col min="9988" max="9988" width="86.7109375" customWidth="1"/>
    <col min="9989" max="9989" width="18.85546875" customWidth="1"/>
    <col min="9990" max="9990" width="14.5703125" customWidth="1"/>
    <col min="9991" max="9991" width="17.85546875" customWidth="1"/>
    <col min="10244" max="10244" width="86.7109375" customWidth="1"/>
    <col min="10245" max="10245" width="18.85546875" customWidth="1"/>
    <col min="10246" max="10246" width="14.5703125" customWidth="1"/>
    <col min="10247" max="10247" width="17.85546875" customWidth="1"/>
    <col min="10500" max="10500" width="86.7109375" customWidth="1"/>
    <col min="10501" max="10501" width="18.85546875" customWidth="1"/>
    <col min="10502" max="10502" width="14.5703125" customWidth="1"/>
    <col min="10503" max="10503" width="17.85546875" customWidth="1"/>
    <col min="10756" max="10756" width="86.7109375" customWidth="1"/>
    <col min="10757" max="10757" width="18.85546875" customWidth="1"/>
    <col min="10758" max="10758" width="14.5703125" customWidth="1"/>
    <col min="10759" max="10759" width="17.85546875" customWidth="1"/>
    <col min="11012" max="11012" width="86.7109375" customWidth="1"/>
    <col min="11013" max="11013" width="18.85546875" customWidth="1"/>
    <col min="11014" max="11014" width="14.5703125" customWidth="1"/>
    <col min="11015" max="11015" width="17.85546875" customWidth="1"/>
    <col min="11268" max="11268" width="86.7109375" customWidth="1"/>
    <col min="11269" max="11269" width="18.85546875" customWidth="1"/>
    <col min="11270" max="11270" width="14.5703125" customWidth="1"/>
    <col min="11271" max="11271" width="17.85546875" customWidth="1"/>
    <col min="11524" max="11524" width="86.7109375" customWidth="1"/>
    <col min="11525" max="11525" width="18.85546875" customWidth="1"/>
    <col min="11526" max="11526" width="14.5703125" customWidth="1"/>
    <col min="11527" max="11527" width="17.85546875" customWidth="1"/>
    <col min="11780" max="11780" width="86.7109375" customWidth="1"/>
    <col min="11781" max="11781" width="18.85546875" customWidth="1"/>
    <col min="11782" max="11782" width="14.5703125" customWidth="1"/>
    <col min="11783" max="11783" width="17.85546875" customWidth="1"/>
    <col min="12036" max="12036" width="86.7109375" customWidth="1"/>
    <col min="12037" max="12037" width="18.85546875" customWidth="1"/>
    <col min="12038" max="12038" width="14.5703125" customWidth="1"/>
    <col min="12039" max="12039" width="17.85546875" customWidth="1"/>
    <col min="12292" max="12292" width="86.7109375" customWidth="1"/>
    <col min="12293" max="12293" width="18.85546875" customWidth="1"/>
    <col min="12294" max="12294" width="14.5703125" customWidth="1"/>
    <col min="12295" max="12295" width="17.85546875" customWidth="1"/>
    <col min="12548" max="12548" width="86.7109375" customWidth="1"/>
    <col min="12549" max="12549" width="18.85546875" customWidth="1"/>
    <col min="12550" max="12550" width="14.5703125" customWidth="1"/>
    <col min="12551" max="12551" width="17.85546875" customWidth="1"/>
    <col min="12804" max="12804" width="86.7109375" customWidth="1"/>
    <col min="12805" max="12805" width="18.85546875" customWidth="1"/>
    <col min="12806" max="12806" width="14.5703125" customWidth="1"/>
    <col min="12807" max="12807" width="17.85546875" customWidth="1"/>
    <col min="13060" max="13060" width="86.7109375" customWidth="1"/>
    <col min="13061" max="13061" width="18.85546875" customWidth="1"/>
    <col min="13062" max="13062" width="14.5703125" customWidth="1"/>
    <col min="13063" max="13063" width="17.85546875" customWidth="1"/>
    <col min="13316" max="13316" width="86.7109375" customWidth="1"/>
    <col min="13317" max="13317" width="18.85546875" customWidth="1"/>
    <col min="13318" max="13318" width="14.5703125" customWidth="1"/>
    <col min="13319" max="13319" width="17.85546875" customWidth="1"/>
    <col min="13572" max="13572" width="86.7109375" customWidth="1"/>
    <col min="13573" max="13573" width="18.85546875" customWidth="1"/>
    <col min="13574" max="13574" width="14.5703125" customWidth="1"/>
    <col min="13575" max="13575" width="17.85546875" customWidth="1"/>
    <col min="13828" max="13828" width="86.7109375" customWidth="1"/>
    <col min="13829" max="13829" width="18.85546875" customWidth="1"/>
    <col min="13830" max="13830" width="14.5703125" customWidth="1"/>
    <col min="13831" max="13831" width="17.85546875" customWidth="1"/>
    <col min="14084" max="14084" width="86.7109375" customWidth="1"/>
    <col min="14085" max="14085" width="18.85546875" customWidth="1"/>
    <col min="14086" max="14086" width="14.5703125" customWidth="1"/>
    <col min="14087" max="14087" width="17.85546875" customWidth="1"/>
    <col min="14340" max="14340" width="86.7109375" customWidth="1"/>
    <col min="14341" max="14341" width="18.85546875" customWidth="1"/>
    <col min="14342" max="14342" width="14.5703125" customWidth="1"/>
    <col min="14343" max="14343" width="17.85546875" customWidth="1"/>
    <col min="14596" max="14596" width="86.7109375" customWidth="1"/>
    <col min="14597" max="14597" width="18.85546875" customWidth="1"/>
    <col min="14598" max="14598" width="14.5703125" customWidth="1"/>
    <col min="14599" max="14599" width="17.85546875" customWidth="1"/>
    <col min="14852" max="14852" width="86.7109375" customWidth="1"/>
    <col min="14853" max="14853" width="18.85546875" customWidth="1"/>
    <col min="14854" max="14854" width="14.5703125" customWidth="1"/>
    <col min="14855" max="14855" width="17.85546875" customWidth="1"/>
    <col min="15108" max="15108" width="86.7109375" customWidth="1"/>
    <col min="15109" max="15109" width="18.85546875" customWidth="1"/>
    <col min="15110" max="15110" width="14.5703125" customWidth="1"/>
    <col min="15111" max="15111" width="17.85546875" customWidth="1"/>
    <col min="15364" max="15364" width="86.7109375" customWidth="1"/>
    <col min="15365" max="15365" width="18.85546875" customWidth="1"/>
    <col min="15366" max="15366" width="14.5703125" customWidth="1"/>
    <col min="15367" max="15367" width="17.85546875" customWidth="1"/>
    <col min="15620" max="15620" width="86.7109375" customWidth="1"/>
    <col min="15621" max="15621" width="18.85546875" customWidth="1"/>
    <col min="15622" max="15622" width="14.5703125" customWidth="1"/>
    <col min="15623" max="15623" width="17.85546875" customWidth="1"/>
    <col min="15876" max="15876" width="86.7109375" customWidth="1"/>
    <col min="15877" max="15877" width="18.85546875" customWidth="1"/>
    <col min="15878" max="15878" width="14.5703125" customWidth="1"/>
    <col min="15879" max="15879" width="17.85546875" customWidth="1"/>
    <col min="16132" max="16132" width="86.7109375" customWidth="1"/>
    <col min="16133" max="16133" width="18.85546875" customWidth="1"/>
    <col min="16134" max="16134" width="14.5703125" customWidth="1"/>
    <col min="16135" max="16135" width="17.85546875" customWidth="1"/>
  </cols>
  <sheetData>
    <row r="1" spans="2:63" s="410" customFormat="1" ht="21" customHeight="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1466"/>
      <c r="J1" s="1466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13"/>
      <c r="BK1" s="413"/>
    </row>
    <row r="2" spans="2:63" s="410" customFormat="1" ht="35.1" customHeight="1" x14ac:dyDescent="0.35">
      <c r="B2" s="766"/>
      <c r="C2" s="411"/>
      <c r="E2" s="766"/>
      <c r="G2" s="412"/>
      <c r="H2" s="771"/>
      <c r="I2" s="411"/>
      <c r="L2" s="412"/>
      <c r="U2" s="412"/>
      <c r="V2" s="411"/>
      <c r="Y2" s="412"/>
      <c r="AR2" s="412"/>
      <c r="AS2" s="411"/>
      <c r="AV2" s="412"/>
    </row>
    <row r="3" spans="2:63" s="410" customFormat="1" ht="23.25" customHeight="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1466"/>
      <c r="J3" s="1466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  <c r="BI3" s="413"/>
      <c r="BJ3" s="413"/>
      <c r="BK3" s="413"/>
    </row>
    <row r="4" spans="2:63" s="410" customFormat="1" ht="35.1" customHeight="1" x14ac:dyDescent="0.35">
      <c r="B4" s="766"/>
      <c r="C4" s="411"/>
      <c r="E4" s="766"/>
      <c r="G4" s="412"/>
      <c r="H4" s="771"/>
      <c r="I4" s="411"/>
      <c r="L4" s="412"/>
      <c r="U4" s="412"/>
      <c r="V4" s="411"/>
      <c r="Y4" s="412"/>
      <c r="AR4" s="412"/>
      <c r="AS4" s="411"/>
      <c r="AV4" s="412"/>
    </row>
    <row r="5" spans="2:63" s="410" customFormat="1" ht="21" customHeight="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1470"/>
      <c r="J5" s="1470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  <c r="BI5" s="414"/>
      <c r="BJ5" s="414"/>
      <c r="BK5" s="414"/>
    </row>
    <row r="6" spans="2:63" ht="35.1" customHeight="1" x14ac:dyDescent="0.25">
      <c r="B6" s="767"/>
      <c r="C6" s="355"/>
    </row>
    <row r="7" spans="2:63" ht="35.1" customHeight="1" x14ac:dyDescent="0.25">
      <c r="B7" s="1786" t="s">
        <v>6957</v>
      </c>
      <c r="C7" s="1786"/>
      <c r="D7" s="1786"/>
      <c r="E7" s="1786"/>
      <c r="F7" s="1786"/>
      <c r="G7" s="1786"/>
      <c r="H7" s="1786"/>
      <c r="I7" s="1786"/>
      <c r="J7" s="1786"/>
    </row>
    <row r="8" spans="2:63" ht="35.1" customHeight="1" x14ac:dyDescent="0.25">
      <c r="B8" s="767"/>
      <c r="C8" s="355"/>
    </row>
    <row r="9" spans="2:63" ht="35.1" customHeight="1" x14ac:dyDescent="0.25">
      <c r="B9" s="767"/>
      <c r="C9" s="355"/>
    </row>
    <row r="10" spans="2:63" s="1" customFormat="1" ht="35.1" customHeight="1" x14ac:dyDescent="0.25">
      <c r="B10" s="1631" t="s">
        <v>6927</v>
      </c>
      <c r="C10" s="1631"/>
      <c r="D10" s="755" t="str">
        <f>DESPORC!C6</f>
        <v>01 - CÂMARA MUNICIPAL DE VEREADORES</v>
      </c>
      <c r="E10" s="797"/>
      <c r="F10" s="798"/>
      <c r="G10" s="798"/>
      <c r="H10" s="797"/>
      <c r="I10" s="798"/>
      <c r="J10" s="798"/>
    </row>
    <row r="11" spans="2:63" s="1" customFormat="1" ht="35.1" customHeight="1" thickBot="1" x14ac:dyDescent="0.3">
      <c r="B11" s="1632" t="s">
        <v>3087</v>
      </c>
      <c r="C11" s="1632"/>
      <c r="D11" s="756" t="str">
        <f>DESPORC!C7</f>
        <v>01 - CÂMARA MUNICIPAL DE VEREADORES</v>
      </c>
      <c r="E11" s="797"/>
      <c r="F11" s="36"/>
      <c r="H11" s="772"/>
    </row>
    <row r="12" spans="2:63" s="24" customFormat="1" ht="35.1" customHeight="1" thickBot="1" x14ac:dyDescent="0.3">
      <c r="B12" s="1776" t="s">
        <v>6955</v>
      </c>
      <c r="C12" s="1777"/>
      <c r="D12" s="1778"/>
      <c r="E12" s="1776" t="s">
        <v>7927</v>
      </c>
      <c r="F12" s="1777"/>
      <c r="G12" s="1778"/>
      <c r="H12" s="1779" t="s">
        <v>7078</v>
      </c>
      <c r="I12" s="1780"/>
      <c r="J12" s="1781"/>
    </row>
    <row r="13" spans="2:63" s="1" customFormat="1" ht="35.1" customHeight="1" x14ac:dyDescent="0.25">
      <c r="B13" s="1628" t="s">
        <v>3137</v>
      </c>
      <c r="C13" s="1615" t="str">
        <f>'[3]Anexo I - Programas'!$B$9</f>
        <v>001</v>
      </c>
      <c r="D13" s="1629" t="str">
        <f>'[3]Anexo I - Programas'!$C$9</f>
        <v>GESTÃO, COORDENAÇÃO, PLANEJAMENTO E APOIO AO PROCESSO LEGISLATIVO</v>
      </c>
      <c r="E13" s="1628" t="s">
        <v>3137</v>
      </c>
      <c r="F13" s="1615" t="str">
        <f>C13</f>
        <v>001</v>
      </c>
      <c r="G13" s="1617" t="str">
        <f>D13</f>
        <v>GESTÃO, COORDENAÇÃO, PLANEJAMENTO E APOIO AO PROCESSO LEGISLATIVO</v>
      </c>
      <c r="H13" s="773" t="s">
        <v>3138</v>
      </c>
      <c r="I13" s="757">
        <f>DESPORC!C10</f>
        <v>1</v>
      </c>
      <c r="J13" s="758" t="str">
        <f>DESPORC!D10</f>
        <v>Legislativa</v>
      </c>
    </row>
    <row r="14" spans="2:63" s="1" customFormat="1" ht="35.1" customHeight="1" x14ac:dyDescent="0.25">
      <c r="B14" s="1619"/>
      <c r="C14" s="1616"/>
      <c r="D14" s="1630"/>
      <c r="E14" s="1619"/>
      <c r="F14" s="1616"/>
      <c r="G14" s="1618"/>
      <c r="H14" s="774" t="s">
        <v>6940</v>
      </c>
      <c r="I14" s="759">
        <f>DESPORC!C11</f>
        <v>31</v>
      </c>
      <c r="J14" s="760" t="str">
        <f>DESPORC!D11</f>
        <v>Ação Legislativa</v>
      </c>
    </row>
    <row r="15" spans="2:63" s="634" customFormat="1" ht="35.1" customHeight="1" x14ac:dyDescent="0.25">
      <c r="B15" s="1619" t="s">
        <v>6941</v>
      </c>
      <c r="C15" s="1616">
        <f>'[3]Anexo I - Programas'!$C$18</f>
        <v>1001</v>
      </c>
      <c r="D15" s="1622" t="str">
        <f>'[3]Anexo I - Programas'!$D$18</f>
        <v>Realização de Novos Investimentos do Poder Legislativo</v>
      </c>
      <c r="E15" s="1619" t="s">
        <v>6941</v>
      </c>
      <c r="F15" s="1616">
        <f>C15</f>
        <v>1001</v>
      </c>
      <c r="G15" s="1618" t="str">
        <f>D15</f>
        <v>Realização de Novos Investimentos do Poder Legislativo</v>
      </c>
      <c r="H15" s="775" t="s">
        <v>3137</v>
      </c>
      <c r="I15" s="795" t="str">
        <f>F13</f>
        <v>001</v>
      </c>
      <c r="J15" s="762" t="str">
        <f>G13</f>
        <v>GESTÃO, COORDENAÇÃO, PLANEJAMENTO E APOIO AO PROCESSO LEGISLATIVO</v>
      </c>
    </row>
    <row r="16" spans="2:63" s="634" customFormat="1" ht="35.1" customHeight="1" thickBot="1" x14ac:dyDescent="0.3">
      <c r="B16" s="1620"/>
      <c r="C16" s="1621"/>
      <c r="D16" s="1623"/>
      <c r="E16" s="1620"/>
      <c r="F16" s="1621"/>
      <c r="G16" s="1624"/>
      <c r="H16" s="776" t="s">
        <v>6941</v>
      </c>
      <c r="I16" s="796">
        <f>F15</f>
        <v>1001</v>
      </c>
      <c r="J16" s="764" t="str">
        <f>G15</f>
        <v>Realização de Novos Investimentos do Poder Legislativo</v>
      </c>
    </row>
    <row r="17" spans="2:10" s="274" customFormat="1" ht="35.1" customHeight="1" x14ac:dyDescent="0.25">
      <c r="B17" s="768" t="s">
        <v>6939</v>
      </c>
      <c r="C17" s="1636">
        <f>'[4]Anexo I - Programas'!$H$19</f>
        <v>618897.80000000005</v>
      </c>
      <c r="D17" s="1638"/>
      <c r="E17" s="768" t="s">
        <v>6939</v>
      </c>
      <c r="F17" s="1636">
        <f>'[5]Anexo I - Programas'!$J$19</f>
        <v>158066.49812000003</v>
      </c>
      <c r="G17" s="1637"/>
      <c r="H17" s="777" t="s">
        <v>6939</v>
      </c>
      <c r="I17" s="1636">
        <f>DESPORC!I13</f>
        <v>43402.642999999989</v>
      </c>
      <c r="J17" s="1637"/>
    </row>
    <row r="18" spans="2:10" s="1" customFormat="1" ht="35.1" customHeight="1" x14ac:dyDescent="0.25">
      <c r="B18" s="1619" t="s">
        <v>3137</v>
      </c>
      <c r="C18" s="1616" t="str">
        <f>'[3]Anexo I - Programas'!$B$9</f>
        <v>001</v>
      </c>
      <c r="D18" s="1630" t="str">
        <f>'[3]Anexo I - Programas'!$C$9</f>
        <v>GESTÃO, COORDENAÇÃO, PLANEJAMENTO E APOIO AO PROCESSO LEGISLATIVO</v>
      </c>
      <c r="E18" s="1619" t="s">
        <v>3137</v>
      </c>
      <c r="F18" s="1616" t="str">
        <f>C18</f>
        <v>001</v>
      </c>
      <c r="G18" s="1618" t="str">
        <f>D18</f>
        <v>GESTÃO, COORDENAÇÃO, PLANEJAMENTO E APOIO AO PROCESSO LEGISLATIVO</v>
      </c>
      <c r="H18" s="774" t="s">
        <v>3138</v>
      </c>
      <c r="I18" s="759">
        <f>DESPORC!C24</f>
        <v>1</v>
      </c>
      <c r="J18" s="760" t="str">
        <f>DESPORC!D15</f>
        <v>Custo de Aquis.:Material De Consumo</v>
      </c>
    </row>
    <row r="19" spans="2:10" s="1" customFormat="1" ht="35.1" customHeight="1" x14ac:dyDescent="0.25">
      <c r="B19" s="1619"/>
      <c r="C19" s="1616"/>
      <c r="D19" s="1630"/>
      <c r="E19" s="1619"/>
      <c r="F19" s="1616"/>
      <c r="G19" s="1618"/>
      <c r="H19" s="774" t="s">
        <v>6940</v>
      </c>
      <c r="I19" s="759">
        <f>DESPORC!C25</f>
        <v>31</v>
      </c>
      <c r="J19" s="760" t="str">
        <f>DESPORC!D16</f>
        <v>Custo de Aquis.: Servicos - Pessoa Fisica</v>
      </c>
    </row>
    <row r="20" spans="2:10" s="1" customFormat="1" ht="35.1" customHeight="1" x14ac:dyDescent="0.25">
      <c r="B20" s="1619" t="s">
        <v>6941</v>
      </c>
      <c r="C20" s="1616">
        <f>'[3]Anexo I - Programas'!$C$23</f>
        <v>2001</v>
      </c>
      <c r="D20" s="1622" t="str">
        <f>'[3]Anexo I - Programas'!$D$23</f>
        <v>APOIO E MANUTENÇÃO AO PROCESSO LEGISLATIVO</v>
      </c>
      <c r="E20" s="1619" t="s">
        <v>6941</v>
      </c>
      <c r="F20" s="1616">
        <f>C20</f>
        <v>2001</v>
      </c>
      <c r="G20" s="1618" t="str">
        <f>D20</f>
        <v>APOIO E MANUTENÇÃO AO PROCESSO LEGISLATIVO</v>
      </c>
      <c r="H20" s="775" t="s">
        <v>3137</v>
      </c>
      <c r="I20" s="795">
        <f>DESPORC!C26</f>
        <v>1</v>
      </c>
      <c r="J20" s="762" t="str">
        <f>DESPORC!D26</f>
        <v>GESTÃO, COOR., PLAN. E APOIO AO PROC. LEGISLATIVO</v>
      </c>
    </row>
    <row r="21" spans="2:10" s="1" customFormat="1" ht="35.1" customHeight="1" x14ac:dyDescent="0.25">
      <c r="B21" s="1619"/>
      <c r="C21" s="1616"/>
      <c r="D21" s="1622"/>
      <c r="E21" s="1619"/>
      <c r="F21" s="1616"/>
      <c r="G21" s="1618"/>
      <c r="H21" s="775" t="s">
        <v>6941</v>
      </c>
      <c r="I21" s="795">
        <f>F20</f>
        <v>2001</v>
      </c>
      <c r="J21" s="762" t="str">
        <f>G20</f>
        <v>APOIO E MANUTENÇÃO AO PROCESSO LEGISLATIVO</v>
      </c>
    </row>
    <row r="22" spans="2:10" s="1" customFormat="1" ht="35.1" customHeight="1" thickBot="1" x14ac:dyDescent="0.3">
      <c r="B22" s="769" t="s">
        <v>6939</v>
      </c>
      <c r="C22" s="1625">
        <f>'[4]Anexo I - Programas'!$H$24</f>
        <v>2475591.2000000002</v>
      </c>
      <c r="D22" s="1626"/>
      <c r="E22" s="769" t="s">
        <v>6939</v>
      </c>
      <c r="F22" s="1625">
        <f>'[5]Anexo I - Programas'!$J$24</f>
        <v>618897.80000000005</v>
      </c>
      <c r="G22" s="1627"/>
      <c r="H22" s="778" t="s">
        <v>6939</v>
      </c>
      <c r="I22" s="1625">
        <f>DESPORC!I27</f>
        <v>965758.12239815353</v>
      </c>
      <c r="J22" s="1627"/>
    </row>
    <row r="24" spans="2:10" s="1" customFormat="1" ht="35.1" customHeight="1" x14ac:dyDescent="0.25">
      <c r="B24" s="1631" t="s">
        <v>6927</v>
      </c>
      <c r="C24" s="1631"/>
      <c r="D24" s="755" t="str">
        <f>DESPORC!C105</f>
        <v>02 - PREFEITURA MUNICIPAL DE CHUVISCA</v>
      </c>
      <c r="E24" s="797"/>
      <c r="F24" s="798"/>
      <c r="G24" s="798"/>
      <c r="H24" s="797"/>
      <c r="I24" s="798"/>
      <c r="J24" s="798"/>
    </row>
    <row r="25" spans="2:10" s="1" customFormat="1" ht="35.1" customHeight="1" thickBot="1" x14ac:dyDescent="0.3">
      <c r="B25" s="1632" t="s">
        <v>3087</v>
      </c>
      <c r="C25" s="1632"/>
      <c r="D25" s="755" t="str">
        <f>DESPORC!C106</f>
        <v>01 - Gabinte do Prefeito</v>
      </c>
      <c r="E25" s="797"/>
      <c r="F25" s="36"/>
      <c r="H25" s="772"/>
    </row>
    <row r="26" spans="2:10" s="1" customFormat="1" ht="35.1" customHeight="1" thickBot="1" x14ac:dyDescent="0.3">
      <c r="B26" s="1776" t="s">
        <v>6955</v>
      </c>
      <c r="C26" s="1777"/>
      <c r="D26" s="1778"/>
      <c r="E26" s="1776" t="str">
        <f>E$12</f>
        <v>PRIORIDADES LDO LEI MUNICIPAL N.º 1215  DE 02 DE OUTUBRO DE 2019.</v>
      </c>
      <c r="F26" s="1777"/>
      <c r="G26" s="1778"/>
      <c r="H26" s="1779" t="s">
        <v>6956</v>
      </c>
      <c r="I26" s="1780"/>
      <c r="J26" s="1781"/>
    </row>
    <row r="27" spans="2:10" s="1" customFormat="1" ht="35.1" customHeight="1" x14ac:dyDescent="0.25">
      <c r="B27" s="1628" t="s">
        <v>3137</v>
      </c>
      <c r="C27" s="1615" t="str">
        <f>'[3]Anexo I - Programas'!$B$60</f>
        <v>003</v>
      </c>
      <c r="D27" s="1629" t="str">
        <f>'[3]Anexo I - Programas'!$C$60</f>
        <v xml:space="preserve">GESTÃO, COORDENAÇÃO E PLANEJAMENTO </v>
      </c>
      <c r="E27" s="1628" t="s">
        <v>3137</v>
      </c>
      <c r="F27" s="1615" t="str">
        <f>C27</f>
        <v>003</v>
      </c>
      <c r="G27" s="1617" t="str">
        <f>D27</f>
        <v xml:space="preserve">GESTÃO, COORDENAÇÃO E PLANEJAMENTO </v>
      </c>
      <c r="H27" s="773" t="s">
        <v>3138</v>
      </c>
      <c r="I27" s="757">
        <f>DESPORC!C109</f>
        <v>4</v>
      </c>
      <c r="J27" s="765" t="str">
        <f>DESPORC!D109</f>
        <v>Administração</v>
      </c>
    </row>
    <row r="28" spans="2:10" s="1" customFormat="1" ht="35.1" customHeight="1" x14ac:dyDescent="0.25">
      <c r="B28" s="1619"/>
      <c r="C28" s="1616"/>
      <c r="D28" s="1630"/>
      <c r="E28" s="1619"/>
      <c r="F28" s="1616"/>
      <c r="G28" s="1618"/>
      <c r="H28" s="774" t="s">
        <v>6940</v>
      </c>
      <c r="I28" s="757">
        <f>DESPORC!C110</f>
        <v>122</v>
      </c>
      <c r="J28" s="765" t="str">
        <f>DESPORC!D110</f>
        <v>Administração Geral</v>
      </c>
    </row>
    <row r="29" spans="2:10" s="634" customFormat="1" ht="35.1" customHeight="1" x14ac:dyDescent="0.25">
      <c r="B29" s="1619" t="s">
        <v>6941</v>
      </c>
      <c r="C29" s="1616">
        <f>'[3]Anexo I - Programas'!$C$69</f>
        <v>1002</v>
      </c>
      <c r="D29" s="1622" t="str">
        <f>'[3]Anexo I - Programas'!$D$69</f>
        <v>Realização de Novos Investimentos do Poder Executivo</v>
      </c>
      <c r="E29" s="1619" t="s">
        <v>6941</v>
      </c>
      <c r="F29" s="1616">
        <f>C29</f>
        <v>1002</v>
      </c>
      <c r="G29" s="1618" t="str">
        <f>D29</f>
        <v>Realização de Novos Investimentos do Poder Executivo</v>
      </c>
      <c r="H29" s="775" t="s">
        <v>3137</v>
      </c>
      <c r="I29" s="795" t="str">
        <f>F27</f>
        <v>003</v>
      </c>
      <c r="J29" s="762" t="str">
        <f>G27</f>
        <v xml:space="preserve">GESTÃO, COORDENAÇÃO E PLANEJAMENTO </v>
      </c>
    </row>
    <row r="30" spans="2:10" s="634" customFormat="1" ht="35.1" customHeight="1" x14ac:dyDescent="0.25">
      <c r="B30" s="1620"/>
      <c r="C30" s="1621"/>
      <c r="D30" s="1623"/>
      <c r="E30" s="1620"/>
      <c r="F30" s="1621"/>
      <c r="G30" s="1624"/>
      <c r="H30" s="776" t="s">
        <v>6941</v>
      </c>
      <c r="I30" s="796">
        <f>F29</f>
        <v>1002</v>
      </c>
      <c r="J30" s="764" t="str">
        <f>G29</f>
        <v>Realização de Novos Investimentos do Poder Executivo</v>
      </c>
    </row>
    <row r="31" spans="2:10" s="274" customFormat="1" ht="35.1" customHeight="1" thickBot="1" x14ac:dyDescent="0.3">
      <c r="B31" s="769" t="s">
        <v>6939</v>
      </c>
      <c r="C31" s="1625">
        <v>1600000</v>
      </c>
      <c r="D31" s="1626"/>
      <c r="E31" s="769" t="s">
        <v>6939</v>
      </c>
      <c r="F31" s="1625">
        <v>400000</v>
      </c>
      <c r="G31" s="1627"/>
      <c r="H31" s="778" t="s">
        <v>6939</v>
      </c>
      <c r="I31" s="1625">
        <f>DESPORC!I112</f>
        <v>7.5999999999999998E-2</v>
      </c>
      <c r="J31" s="1627"/>
    </row>
    <row r="32" spans="2:10" s="1" customFormat="1" ht="35.1" customHeight="1" x14ac:dyDescent="0.25">
      <c r="B32" s="1628" t="s">
        <v>3137</v>
      </c>
      <c r="C32" s="1615" t="str">
        <f>'[3]Anexo I - Programas'!$B$685</f>
        <v>22</v>
      </c>
      <c r="D32" s="1629" t="str">
        <f>'[3]Anexo I - Programas'!$C$685</f>
        <v>GESTÃO E DESENVOLVIMENTO DA PROTEÇÃO E SEGURANÇA DA POPULACAO</v>
      </c>
      <c r="E32" s="1628" t="s">
        <v>3137</v>
      </c>
      <c r="F32" s="1615" t="str">
        <f>C32</f>
        <v>22</v>
      </c>
      <c r="G32" s="1617" t="str">
        <f>D32</f>
        <v>GESTÃO E DESENVOLVIMENTO DA PROTEÇÃO E SEGURANÇA DA POPULACAO</v>
      </c>
      <c r="H32" s="773" t="s">
        <v>3138</v>
      </c>
      <c r="I32" s="757">
        <f>DESPORC!C119</f>
        <v>4</v>
      </c>
      <c r="J32" s="758" t="str">
        <f>DESPORC!D119</f>
        <v>Administração</v>
      </c>
    </row>
    <row r="33" spans="2:10" s="1" customFormat="1" ht="35.1" customHeight="1" x14ac:dyDescent="0.25">
      <c r="B33" s="1619"/>
      <c r="C33" s="1616"/>
      <c r="D33" s="1630"/>
      <c r="E33" s="1619"/>
      <c r="F33" s="1616"/>
      <c r="G33" s="1618"/>
      <c r="H33" s="774" t="s">
        <v>6940</v>
      </c>
      <c r="I33" s="759">
        <f>DESPORC!C120</f>
        <v>122</v>
      </c>
      <c r="J33" s="760" t="str">
        <f>DESPORC!D120</f>
        <v>Administração Geral</v>
      </c>
    </row>
    <row r="34" spans="2:10" s="1" customFormat="1" ht="35.1" customHeight="1" x14ac:dyDescent="0.25">
      <c r="B34" s="1619" t="s">
        <v>6941</v>
      </c>
      <c r="C34" s="1616">
        <f>'[3]Anexo I - Programas'!$C$694</f>
        <v>1017</v>
      </c>
      <c r="D34" s="1622" t="str">
        <f>'[3]Anexo I - Programas'!$D$694</f>
        <v>Novos Investimentos em Proteção e Segurança</v>
      </c>
      <c r="E34" s="1619" t="s">
        <v>6941</v>
      </c>
      <c r="F34" s="1616">
        <f>C34</f>
        <v>1017</v>
      </c>
      <c r="G34" s="1618" t="str">
        <f>D34</f>
        <v>Novos Investimentos em Proteção e Segurança</v>
      </c>
      <c r="H34" s="775" t="s">
        <v>3137</v>
      </c>
      <c r="I34" s="795" t="str">
        <f>F32</f>
        <v>22</v>
      </c>
      <c r="J34" s="762" t="str">
        <f>G32</f>
        <v>GESTÃO E DESENVOLVIMENTO DA PROTEÇÃO E SEGURANÇA DA POPULACAO</v>
      </c>
    </row>
    <row r="35" spans="2:10" s="1" customFormat="1" ht="35.1" customHeight="1" x14ac:dyDescent="0.25">
      <c r="B35" s="1619"/>
      <c r="C35" s="1616"/>
      <c r="D35" s="1622"/>
      <c r="E35" s="1619"/>
      <c r="F35" s="1616"/>
      <c r="G35" s="1618"/>
      <c r="H35" s="775" t="s">
        <v>6941</v>
      </c>
      <c r="I35" s="795">
        <f>F34</f>
        <v>1017</v>
      </c>
      <c r="J35" s="762" t="str">
        <f>G34</f>
        <v>Novos Investimentos em Proteção e Segurança</v>
      </c>
    </row>
    <row r="36" spans="2:10" s="1" customFormat="1" ht="35.1" customHeight="1" thickBot="1" x14ac:dyDescent="0.3">
      <c r="B36" s="769" t="s">
        <v>6939</v>
      </c>
      <c r="C36" s="1625">
        <v>50000</v>
      </c>
      <c r="D36" s="1626"/>
      <c r="E36" s="769" t="s">
        <v>6939</v>
      </c>
      <c r="F36" s="1625">
        <v>12500</v>
      </c>
      <c r="G36" s="1627"/>
      <c r="H36" s="778" t="s">
        <v>6939</v>
      </c>
      <c r="I36" s="1625">
        <f>DESPORC!I122+DESPORC!I133</f>
        <v>0.14599999999999999</v>
      </c>
      <c r="J36" s="1627"/>
    </row>
    <row r="37" spans="2:10" ht="35.1" customHeight="1" x14ac:dyDescent="0.25">
      <c r="B37" s="1619" t="s">
        <v>3137</v>
      </c>
      <c r="C37" s="1616" t="str">
        <f>'[3]Anexo I - Programas'!$B$60</f>
        <v>003</v>
      </c>
      <c r="D37" s="1630" t="str">
        <f>'[3]Anexo I - Programas'!$C$60</f>
        <v xml:space="preserve">GESTÃO, COORDENAÇÃO E PLANEJAMENTO </v>
      </c>
      <c r="E37" s="1619" t="s">
        <v>3137</v>
      </c>
      <c r="F37" s="1616" t="str">
        <f>C37</f>
        <v>003</v>
      </c>
      <c r="G37" s="1618" t="str">
        <f>D37</f>
        <v xml:space="preserve">GESTÃO, COORDENAÇÃO E PLANEJAMENTO </v>
      </c>
      <c r="H37" s="774" t="s">
        <v>3138</v>
      </c>
      <c r="I37" s="759">
        <f>DESPORC!C140</f>
        <v>4</v>
      </c>
      <c r="J37" s="760" t="str">
        <f>DESPORC!D140</f>
        <v>Administração</v>
      </c>
    </row>
    <row r="38" spans="2:10" ht="35.1" customHeight="1" x14ac:dyDescent="0.25">
      <c r="B38" s="1619"/>
      <c r="C38" s="1616"/>
      <c r="D38" s="1630"/>
      <c r="E38" s="1619"/>
      <c r="F38" s="1616"/>
      <c r="G38" s="1618"/>
      <c r="H38" s="774" t="s">
        <v>6940</v>
      </c>
      <c r="I38" s="759">
        <f>DESPORC!C141</f>
        <v>122</v>
      </c>
      <c r="J38" s="760" t="str">
        <f>DESPORC!D141</f>
        <v>Administração Geral</v>
      </c>
    </row>
    <row r="39" spans="2:10" ht="35.1" customHeight="1" x14ac:dyDescent="0.25">
      <c r="B39" s="1619" t="s">
        <v>6941</v>
      </c>
      <c r="C39" s="1616">
        <f>'[3]Anexo I - Programas'!$C$74</f>
        <v>2002</v>
      </c>
      <c r="D39" s="1622" t="str">
        <f>'[3]Anexo I - Programas'!$D$74</f>
        <v xml:space="preserve">GESTÃO , APOIO E MANUTENÇÃO , COORDENAÇÃO E PLANEJAMENTO </v>
      </c>
      <c r="E39" s="1619" t="s">
        <v>6941</v>
      </c>
      <c r="F39" s="1616">
        <f>C39</f>
        <v>2002</v>
      </c>
      <c r="G39" s="1618" t="str">
        <f>D39</f>
        <v xml:space="preserve">GESTÃO , APOIO E MANUTENÇÃO , COORDENAÇÃO E PLANEJAMENTO </v>
      </c>
      <c r="H39" s="775" t="s">
        <v>3137</v>
      </c>
      <c r="I39" s="795" t="str">
        <f>F37</f>
        <v>003</v>
      </c>
      <c r="J39" s="762" t="str">
        <f>G37</f>
        <v xml:space="preserve">GESTÃO, COORDENAÇÃO E PLANEJAMENTO </v>
      </c>
    </row>
    <row r="40" spans="2:10" ht="35.1" customHeight="1" x14ac:dyDescent="0.25">
      <c r="B40" s="1619"/>
      <c r="C40" s="1616"/>
      <c r="D40" s="1622"/>
      <c r="E40" s="1619"/>
      <c r="F40" s="1616"/>
      <c r="G40" s="1618"/>
      <c r="H40" s="775" t="s">
        <v>6941</v>
      </c>
      <c r="I40" s="795">
        <f>F39</f>
        <v>2002</v>
      </c>
      <c r="J40" s="762" t="str">
        <f>G39</f>
        <v xml:space="preserve">GESTÃO , APOIO E MANUTENÇÃO , COORDENAÇÃO E PLANEJAMENTO </v>
      </c>
    </row>
    <row r="41" spans="2:10" ht="35.1" customHeight="1" thickBot="1" x14ac:dyDescent="0.3">
      <c r="B41" s="769" t="s">
        <v>6939</v>
      </c>
      <c r="C41" s="1625">
        <v>10370000</v>
      </c>
      <c r="D41" s="1626"/>
      <c r="E41" s="769" t="s">
        <v>6939</v>
      </c>
      <c r="F41" s="1625">
        <v>2592500</v>
      </c>
      <c r="G41" s="1627"/>
      <c r="H41" s="778" t="s">
        <v>6939</v>
      </c>
      <c r="I41" s="1625">
        <f>DESPORC!I143</f>
        <v>444043.30915756017</v>
      </c>
      <c r="J41" s="1627"/>
    </row>
    <row r="42" spans="2:10" ht="35.1" customHeight="1" x14ac:dyDescent="0.25">
      <c r="B42" s="1619" t="s">
        <v>3137</v>
      </c>
      <c r="C42" s="1616" t="str">
        <f>'[3]Anexo I - Programas'!$B$60</f>
        <v>003</v>
      </c>
      <c r="D42" s="1630" t="str">
        <f>'[3]Anexo I - Programas'!$C$60</f>
        <v xml:space="preserve">GESTÃO, COORDENAÇÃO E PLANEJAMENTO </v>
      </c>
      <c r="E42" s="1619" t="s">
        <v>3137</v>
      </c>
      <c r="F42" s="1616" t="str">
        <f>C42</f>
        <v>003</v>
      </c>
      <c r="G42" s="1618" t="str">
        <f>D42</f>
        <v xml:space="preserve">GESTÃO, COORDENAÇÃO E PLANEJAMENTO </v>
      </c>
      <c r="H42" s="774" t="s">
        <v>3138</v>
      </c>
      <c r="I42" s="759">
        <f>DESPORC!C207</f>
        <v>4</v>
      </c>
      <c r="J42" s="760" t="str">
        <f>DESPORC!D207</f>
        <v>Administração</v>
      </c>
    </row>
    <row r="43" spans="2:10" ht="35.1" customHeight="1" x14ac:dyDescent="0.25">
      <c r="B43" s="1619"/>
      <c r="C43" s="1616"/>
      <c r="D43" s="1630"/>
      <c r="E43" s="1619"/>
      <c r="F43" s="1616"/>
      <c r="G43" s="1618"/>
      <c r="H43" s="774" t="s">
        <v>6940</v>
      </c>
      <c r="I43" s="759">
        <f>DESPORC!C208</f>
        <v>124</v>
      </c>
      <c r="J43" s="760" t="str">
        <f>DESPORC!D208</f>
        <v>Controle Interno</v>
      </c>
    </row>
    <row r="44" spans="2:10" ht="35.1" customHeight="1" x14ac:dyDescent="0.25">
      <c r="B44" s="1619" t="s">
        <v>6941</v>
      </c>
      <c r="C44" s="1616">
        <f>'[3]Anexo I - Programas'!$C$74</f>
        <v>2002</v>
      </c>
      <c r="D44" s="1622" t="str">
        <f>'[3]Anexo I - Programas'!$D$74</f>
        <v xml:space="preserve">GESTÃO , APOIO E MANUTENÇÃO , COORDENAÇÃO E PLANEJAMENTO </v>
      </c>
      <c r="E44" s="1619" t="s">
        <v>6941</v>
      </c>
      <c r="F44" s="1616">
        <f>C44</f>
        <v>2002</v>
      </c>
      <c r="G44" s="1618" t="str">
        <f>D44</f>
        <v xml:space="preserve">GESTÃO , APOIO E MANUTENÇÃO , COORDENAÇÃO E PLANEJAMENTO </v>
      </c>
      <c r="H44" s="775" t="s">
        <v>3137</v>
      </c>
      <c r="I44" s="795" t="str">
        <f>F42</f>
        <v>003</v>
      </c>
      <c r="J44" s="762" t="str">
        <f>G42</f>
        <v xml:space="preserve">GESTÃO, COORDENAÇÃO E PLANEJAMENTO </v>
      </c>
    </row>
    <row r="45" spans="2:10" ht="35.1" customHeight="1" x14ac:dyDescent="0.25">
      <c r="B45" s="1619"/>
      <c r="C45" s="1616"/>
      <c r="D45" s="1622"/>
      <c r="E45" s="1619"/>
      <c r="F45" s="1616"/>
      <c r="G45" s="1618"/>
      <c r="H45" s="775" t="s">
        <v>6941</v>
      </c>
      <c r="I45" s="795">
        <f>F44</f>
        <v>2002</v>
      </c>
      <c r="J45" s="762" t="str">
        <f>G44</f>
        <v xml:space="preserve">GESTÃO , APOIO E MANUTENÇÃO , COORDENAÇÃO E PLANEJAMENTO </v>
      </c>
    </row>
    <row r="46" spans="2:10" ht="35.1" customHeight="1" thickBot="1" x14ac:dyDescent="0.3">
      <c r="B46" s="769" t="s">
        <v>6939</v>
      </c>
      <c r="C46" s="1625">
        <v>10370000</v>
      </c>
      <c r="D46" s="1626"/>
      <c r="E46" s="769" t="s">
        <v>6939</v>
      </c>
      <c r="F46" s="1625">
        <v>2592500</v>
      </c>
      <c r="G46" s="1627"/>
      <c r="H46" s="778" t="s">
        <v>6939</v>
      </c>
      <c r="I46" s="1625">
        <f>DESPORC!I210</f>
        <v>26265.189111475935</v>
      </c>
      <c r="J46" s="1627"/>
    </row>
    <row r="47" spans="2:10" ht="35.1" customHeight="1" x14ac:dyDescent="0.25">
      <c r="B47" s="1619" t="s">
        <v>3137</v>
      </c>
      <c r="C47" s="1616" t="str">
        <f>'[3]Anexo I - Programas'!$B$60</f>
        <v>003</v>
      </c>
      <c r="D47" s="1630" t="str">
        <f>'[3]Anexo I - Programas'!$C$60</f>
        <v xml:space="preserve">GESTÃO, COORDENAÇÃO E PLANEJAMENTO </v>
      </c>
      <c r="E47" s="1619" t="s">
        <v>3137</v>
      </c>
      <c r="F47" s="1616" t="str">
        <f>C47</f>
        <v>003</v>
      </c>
      <c r="G47" s="1618" t="str">
        <f>D47</f>
        <v xml:space="preserve">GESTÃO, COORDENAÇÃO E PLANEJAMENTO </v>
      </c>
      <c r="H47" s="774" t="s">
        <v>3138</v>
      </c>
      <c r="I47" s="759">
        <f>DESPORC!C226</f>
        <v>4</v>
      </c>
      <c r="J47" s="760" t="str">
        <f>DESPORC!D226</f>
        <v>Administração</v>
      </c>
    </row>
    <row r="48" spans="2:10" ht="35.1" customHeight="1" x14ac:dyDescent="0.25">
      <c r="B48" s="1619"/>
      <c r="C48" s="1616"/>
      <c r="D48" s="1630"/>
      <c r="E48" s="1619"/>
      <c r="F48" s="1616"/>
      <c r="G48" s="1618"/>
      <c r="H48" s="774" t="s">
        <v>6940</v>
      </c>
      <c r="I48" s="759">
        <f>DESPORC!C227</f>
        <v>126</v>
      </c>
      <c r="J48" s="760" t="str">
        <f>DESPORC!D227</f>
        <v>Tecnologia da Informação</v>
      </c>
    </row>
    <row r="49" spans="2:10" ht="35.1" customHeight="1" x14ac:dyDescent="0.25">
      <c r="B49" s="1619" t="s">
        <v>6941</v>
      </c>
      <c r="C49" s="1616">
        <f>'[3]Anexo I - Programas'!$C$74</f>
        <v>2002</v>
      </c>
      <c r="D49" s="1622" t="str">
        <f>'[3]Anexo I - Programas'!$D$74</f>
        <v xml:space="preserve">GESTÃO , APOIO E MANUTENÇÃO , COORDENAÇÃO E PLANEJAMENTO </v>
      </c>
      <c r="E49" s="1619" t="s">
        <v>6941</v>
      </c>
      <c r="F49" s="1616">
        <f>C49</f>
        <v>2002</v>
      </c>
      <c r="G49" s="1618" t="str">
        <f>D49</f>
        <v xml:space="preserve">GESTÃO , APOIO E MANUTENÇÃO , COORDENAÇÃO E PLANEJAMENTO </v>
      </c>
      <c r="H49" s="775" t="s">
        <v>3137</v>
      </c>
      <c r="I49" s="795" t="str">
        <f>F47</f>
        <v>003</v>
      </c>
      <c r="J49" s="762" t="str">
        <f>G47</f>
        <v xml:space="preserve">GESTÃO, COORDENAÇÃO E PLANEJAMENTO </v>
      </c>
    </row>
    <row r="50" spans="2:10" ht="35.1" customHeight="1" x14ac:dyDescent="0.25">
      <c r="B50" s="1619"/>
      <c r="C50" s="1616"/>
      <c r="D50" s="1622"/>
      <c r="E50" s="1619"/>
      <c r="F50" s="1616"/>
      <c r="G50" s="1618"/>
      <c r="H50" s="775" t="s">
        <v>6941</v>
      </c>
      <c r="I50" s="795">
        <f>F49</f>
        <v>2002</v>
      </c>
      <c r="J50" s="762" t="str">
        <f>G49</f>
        <v xml:space="preserve">GESTÃO , APOIO E MANUTENÇÃO , COORDENAÇÃO E PLANEJAMENTO </v>
      </c>
    </row>
    <row r="51" spans="2:10" ht="35.1" customHeight="1" thickBot="1" x14ac:dyDescent="0.3">
      <c r="B51" s="769" t="s">
        <v>6939</v>
      </c>
      <c r="C51" s="1625">
        <v>10370000</v>
      </c>
      <c r="D51" s="1626"/>
      <c r="E51" s="769" t="s">
        <v>6939</v>
      </c>
      <c r="F51" s="1625">
        <v>2592500</v>
      </c>
      <c r="G51" s="1627"/>
      <c r="H51" s="778" t="s">
        <v>6939</v>
      </c>
      <c r="I51" s="1625">
        <f>DESPORC!I229</f>
        <v>4.3893611999999999E-2</v>
      </c>
      <c r="J51" s="1627"/>
    </row>
    <row r="52" spans="2:10" ht="35.1" customHeight="1" x14ac:dyDescent="0.25">
      <c r="B52" s="1619" t="s">
        <v>3137</v>
      </c>
      <c r="C52" s="1616" t="str">
        <f>'[3]Anexo I - Programas'!$B$60</f>
        <v>003</v>
      </c>
      <c r="D52" s="1630" t="str">
        <f>'[3]Anexo I - Programas'!$C$60</f>
        <v xml:space="preserve">GESTÃO, COORDENAÇÃO E PLANEJAMENTO </v>
      </c>
      <c r="E52" s="1619" t="s">
        <v>3137</v>
      </c>
      <c r="F52" s="1616" t="str">
        <f>C52</f>
        <v>003</v>
      </c>
      <c r="G52" s="1618" t="str">
        <f>D52</f>
        <v xml:space="preserve">GESTÃO, COORDENAÇÃO E PLANEJAMENTO </v>
      </c>
      <c r="H52" s="774" t="s">
        <v>3138</v>
      </c>
      <c r="I52" s="759">
        <f>DESPORC!C235</f>
        <v>4</v>
      </c>
      <c r="J52" s="760" t="str">
        <f>DESPORC!D235</f>
        <v>Administração</v>
      </c>
    </row>
    <row r="53" spans="2:10" ht="35.1" customHeight="1" x14ac:dyDescent="0.25">
      <c r="B53" s="1619"/>
      <c r="C53" s="1616"/>
      <c r="D53" s="1630"/>
      <c r="E53" s="1619"/>
      <c r="F53" s="1616"/>
      <c r="G53" s="1618"/>
      <c r="H53" s="774" t="s">
        <v>6940</v>
      </c>
      <c r="I53" s="759">
        <f>DESPORC!C236</f>
        <v>128</v>
      </c>
      <c r="J53" s="760" t="str">
        <f>DESPORC!D236</f>
        <v>Formação de Recursos Humanos</v>
      </c>
    </row>
    <row r="54" spans="2:10" ht="35.1" customHeight="1" x14ac:dyDescent="0.25">
      <c r="B54" s="1619" t="s">
        <v>6941</v>
      </c>
      <c r="C54" s="1616">
        <f>'[3]Anexo I - Programas'!$C$74</f>
        <v>2002</v>
      </c>
      <c r="D54" s="1622" t="str">
        <f>'[3]Anexo I - Programas'!$D$74</f>
        <v xml:space="preserve">GESTÃO , APOIO E MANUTENÇÃO , COORDENAÇÃO E PLANEJAMENTO </v>
      </c>
      <c r="E54" s="1619" t="s">
        <v>6941</v>
      </c>
      <c r="F54" s="1616">
        <f>C54</f>
        <v>2002</v>
      </c>
      <c r="G54" s="1618" t="str">
        <f>D54</f>
        <v xml:space="preserve">GESTÃO , APOIO E MANUTENÇÃO , COORDENAÇÃO E PLANEJAMENTO </v>
      </c>
      <c r="H54" s="775" t="s">
        <v>3137</v>
      </c>
      <c r="I54" s="795" t="str">
        <f>F52</f>
        <v>003</v>
      </c>
      <c r="J54" s="762" t="str">
        <f>G52</f>
        <v xml:space="preserve">GESTÃO, COORDENAÇÃO E PLANEJAMENTO </v>
      </c>
    </row>
    <row r="55" spans="2:10" ht="35.1" customHeight="1" x14ac:dyDescent="0.25">
      <c r="B55" s="1619"/>
      <c r="C55" s="1616"/>
      <c r="D55" s="1622"/>
      <c r="E55" s="1619"/>
      <c r="F55" s="1616"/>
      <c r="G55" s="1618"/>
      <c r="H55" s="775" t="s">
        <v>6941</v>
      </c>
      <c r="I55" s="795">
        <f>F54</f>
        <v>2002</v>
      </c>
      <c r="J55" s="762" t="str">
        <f>G54</f>
        <v xml:space="preserve">GESTÃO , APOIO E MANUTENÇÃO , COORDENAÇÃO E PLANEJAMENTO </v>
      </c>
    </row>
    <row r="56" spans="2:10" ht="35.1" customHeight="1" thickBot="1" x14ac:dyDescent="0.3">
      <c r="B56" s="769" t="s">
        <v>6939</v>
      </c>
      <c r="C56" s="1625">
        <f>'[3]Anexo I - Programas'!$H$75</f>
        <v>10370000</v>
      </c>
      <c r="D56" s="1626"/>
      <c r="E56" s="769" t="s">
        <v>6939</v>
      </c>
      <c r="F56" s="1625">
        <f>'[3]Anexo I - Programas'!$J$75</f>
        <v>2592500</v>
      </c>
      <c r="G56" s="1627"/>
      <c r="H56" s="778" t="s">
        <v>6939</v>
      </c>
      <c r="I56" s="1625">
        <f>DESPORC!I238</f>
        <v>0.03</v>
      </c>
      <c r="J56" s="1627"/>
    </row>
    <row r="57" spans="2:10" ht="35.1" customHeight="1" x14ac:dyDescent="0.25">
      <c r="B57" s="1628" t="s">
        <v>3137</v>
      </c>
      <c r="C57" s="1615" t="str">
        <f>'[3]Anexo I - Programas'!$B$685</f>
        <v>22</v>
      </c>
      <c r="D57" s="1629" t="str">
        <f>'[3]Anexo I - Programas'!$C$685</f>
        <v>GESTÃO E DESENVOLVIMENTO DA PROTEÇÃO E SEGURANÇA DA POPULACAO</v>
      </c>
      <c r="E57" s="1628" t="s">
        <v>3137</v>
      </c>
      <c r="F57" s="1615" t="str">
        <f>C57</f>
        <v>22</v>
      </c>
      <c r="G57" s="1617" t="str">
        <f>D57</f>
        <v>GESTÃO E DESENVOLVIMENTO DA PROTEÇÃO E SEGURANÇA DA POPULACAO</v>
      </c>
      <c r="H57" s="773" t="s">
        <v>3138</v>
      </c>
      <c r="I57" s="757">
        <f>DESPORC!C242</f>
        <v>4</v>
      </c>
      <c r="J57" s="758" t="str">
        <f>DESPORC!D242</f>
        <v>Administração</v>
      </c>
    </row>
    <row r="58" spans="2:10" ht="35.1" customHeight="1" x14ac:dyDescent="0.25">
      <c r="B58" s="1619"/>
      <c r="C58" s="1616"/>
      <c r="D58" s="1630"/>
      <c r="E58" s="1619"/>
      <c r="F58" s="1616"/>
      <c r="G58" s="1618"/>
      <c r="H58" s="774" t="s">
        <v>6940</v>
      </c>
      <c r="I58" s="759">
        <f>DESPORC!C243</f>
        <v>122</v>
      </c>
      <c r="J58" s="760" t="str">
        <f>DESPORC!D243</f>
        <v>Administração Geral</v>
      </c>
    </row>
    <row r="59" spans="2:10" ht="35.1" customHeight="1" x14ac:dyDescent="0.25">
      <c r="B59" s="1619" t="s">
        <v>6941</v>
      </c>
      <c r="C59" s="1616">
        <f>'[3]Anexo I - Programas'!$C$711</f>
        <v>2032</v>
      </c>
      <c r="D59" s="1622" t="str">
        <f>'[3]Anexo I - Programas'!$D$711</f>
        <v>Apoio ao Conselho Tutelar</v>
      </c>
      <c r="E59" s="1619" t="s">
        <v>6941</v>
      </c>
      <c r="F59" s="1616">
        <f>C59</f>
        <v>2032</v>
      </c>
      <c r="G59" s="1618" t="str">
        <f>D59</f>
        <v>Apoio ao Conselho Tutelar</v>
      </c>
      <c r="H59" s="775" t="s">
        <v>3137</v>
      </c>
      <c r="I59" s="795" t="str">
        <f>F57</f>
        <v>22</v>
      </c>
      <c r="J59" s="762" t="str">
        <f>G57</f>
        <v>GESTÃO E DESENVOLVIMENTO DA PROTEÇÃO E SEGURANÇA DA POPULACAO</v>
      </c>
    </row>
    <row r="60" spans="2:10" ht="35.1" customHeight="1" x14ac:dyDescent="0.25">
      <c r="B60" s="1619"/>
      <c r="C60" s="1616"/>
      <c r="D60" s="1622"/>
      <c r="E60" s="1619"/>
      <c r="F60" s="1616"/>
      <c r="G60" s="1618"/>
      <c r="H60" s="775" t="s">
        <v>6941</v>
      </c>
      <c r="I60" s="795">
        <f>F59</f>
        <v>2032</v>
      </c>
      <c r="J60" s="762" t="str">
        <f>G59</f>
        <v>Apoio ao Conselho Tutelar</v>
      </c>
    </row>
    <row r="61" spans="2:10" ht="35.1" customHeight="1" thickBot="1" x14ac:dyDescent="0.3">
      <c r="B61" s="769" t="s">
        <v>6939</v>
      </c>
      <c r="C61" s="1625">
        <v>300000</v>
      </c>
      <c r="D61" s="1626"/>
      <c r="E61" s="769" t="s">
        <v>6939</v>
      </c>
      <c r="F61" s="1625">
        <v>75000</v>
      </c>
      <c r="G61" s="1627"/>
      <c r="H61" s="778" t="s">
        <v>6939</v>
      </c>
      <c r="I61" s="1625">
        <f>DESPORC!I245</f>
        <v>182236.63309139688</v>
      </c>
      <c r="J61" s="1627"/>
    </row>
    <row r="62" spans="2:10" ht="35.1" customHeight="1" x14ac:dyDescent="0.25">
      <c r="B62" s="1628" t="s">
        <v>3137</v>
      </c>
      <c r="C62" s="1615" t="str">
        <f>'[3]Anexo I - Programas'!$B$685</f>
        <v>22</v>
      </c>
      <c r="D62" s="1629" t="str">
        <f>'[3]Anexo I - Programas'!$C$685</f>
        <v>GESTÃO E DESENVOLVIMENTO DA PROTEÇÃO E SEGURANÇA DA POPULACAO</v>
      </c>
      <c r="E62" s="1628" t="s">
        <v>3137</v>
      </c>
      <c r="F62" s="1615" t="str">
        <f>C62</f>
        <v>22</v>
      </c>
      <c r="G62" s="1617" t="str">
        <f>D62</f>
        <v>GESTÃO E DESENVOLVIMENTO DA PROTEÇÃO E SEGURANÇA DA POPULACAO</v>
      </c>
      <c r="H62" s="773" t="s">
        <v>3138</v>
      </c>
      <c r="I62" s="757">
        <f>DESPORC!C292</f>
        <v>4</v>
      </c>
      <c r="J62" s="758" t="str">
        <f>DESPORC!D292</f>
        <v>Administração</v>
      </c>
    </row>
    <row r="63" spans="2:10" ht="35.1" customHeight="1" x14ac:dyDescent="0.25">
      <c r="B63" s="1619"/>
      <c r="C63" s="1616"/>
      <c r="D63" s="1630"/>
      <c r="E63" s="1619"/>
      <c r="F63" s="1616"/>
      <c r="G63" s="1618"/>
      <c r="H63" s="774" t="s">
        <v>6940</v>
      </c>
      <c r="I63" s="759">
        <f>DESPORC!C293</f>
        <v>126</v>
      </c>
      <c r="J63" s="760" t="str">
        <f>DESPORC!D293</f>
        <v>Tecnologia da Informação</v>
      </c>
    </row>
    <row r="64" spans="2:10" ht="35.1" customHeight="1" x14ac:dyDescent="0.25">
      <c r="B64" s="1619" t="s">
        <v>6941</v>
      </c>
      <c r="C64" s="1616">
        <f>'[3]Anexo I - Programas'!$C$711</f>
        <v>2032</v>
      </c>
      <c r="D64" s="1622" t="str">
        <f>'[3]Anexo I - Programas'!$D$711</f>
        <v>Apoio ao Conselho Tutelar</v>
      </c>
      <c r="E64" s="1619" t="s">
        <v>6941</v>
      </c>
      <c r="F64" s="1616">
        <f>C64</f>
        <v>2032</v>
      </c>
      <c r="G64" s="1618" t="str">
        <f>D64</f>
        <v>Apoio ao Conselho Tutelar</v>
      </c>
      <c r="H64" s="775" t="s">
        <v>3137</v>
      </c>
      <c r="I64" s="795" t="str">
        <f>F62</f>
        <v>22</v>
      </c>
      <c r="J64" s="762" t="str">
        <f>G62</f>
        <v>GESTÃO E DESENVOLVIMENTO DA PROTEÇÃO E SEGURANÇA DA POPULACAO</v>
      </c>
    </row>
    <row r="65" spans="2:10" ht="35.1" customHeight="1" x14ac:dyDescent="0.25">
      <c r="B65" s="1619"/>
      <c r="C65" s="1616"/>
      <c r="D65" s="1622"/>
      <c r="E65" s="1619"/>
      <c r="F65" s="1616"/>
      <c r="G65" s="1618"/>
      <c r="H65" s="775" t="s">
        <v>6941</v>
      </c>
      <c r="I65" s="795">
        <f>F64</f>
        <v>2032</v>
      </c>
      <c r="J65" s="762" t="str">
        <f>G64</f>
        <v>Apoio ao Conselho Tutelar</v>
      </c>
    </row>
    <row r="66" spans="2:10" ht="35.1" customHeight="1" thickBot="1" x14ac:dyDescent="0.3">
      <c r="B66" s="769" t="s">
        <v>6939</v>
      </c>
      <c r="C66" s="1625">
        <v>300000</v>
      </c>
      <c r="D66" s="1626"/>
      <c r="E66" s="769" t="s">
        <v>6939</v>
      </c>
      <c r="F66" s="1625">
        <v>75000</v>
      </c>
      <c r="G66" s="1627"/>
      <c r="H66" s="778" t="s">
        <v>6939</v>
      </c>
      <c r="I66" s="1625">
        <f>DESPORC!I296</f>
        <v>1337.3834906249999</v>
      </c>
      <c r="J66" s="1627"/>
    </row>
    <row r="67" spans="2:10" ht="35.1" customHeight="1" x14ac:dyDescent="0.25">
      <c r="B67" s="1628" t="s">
        <v>3137</v>
      </c>
      <c r="C67" s="1615" t="str">
        <f>'[3]Anexo I - Programas'!$B$685</f>
        <v>22</v>
      </c>
      <c r="D67" s="1629" t="str">
        <f>'[3]Anexo I - Programas'!$C$685</f>
        <v>GESTÃO E DESENVOLVIMENTO DA PROTEÇÃO E SEGURANÇA DA POPULACAO</v>
      </c>
      <c r="E67" s="1628" t="s">
        <v>3137</v>
      </c>
      <c r="F67" s="1615" t="str">
        <f>C67</f>
        <v>22</v>
      </c>
      <c r="G67" s="1617" t="str">
        <f>D67</f>
        <v>GESTÃO E DESENVOLVIMENTO DA PROTEÇÃO E SEGURANÇA DA POPULACAO</v>
      </c>
      <c r="H67" s="773" t="s">
        <v>3138</v>
      </c>
      <c r="I67" s="757">
        <f>DESPORC!C301</f>
        <v>4</v>
      </c>
      <c r="J67" s="758" t="str">
        <f>DESPORC!D301</f>
        <v>Administração</v>
      </c>
    </row>
    <row r="68" spans="2:10" ht="35.1" customHeight="1" x14ac:dyDescent="0.25">
      <c r="B68" s="1619"/>
      <c r="C68" s="1616"/>
      <c r="D68" s="1630"/>
      <c r="E68" s="1619"/>
      <c r="F68" s="1616"/>
      <c r="G68" s="1618"/>
      <c r="H68" s="774" t="s">
        <v>6940</v>
      </c>
      <c r="I68" s="759">
        <f>DESPORC!C302</f>
        <v>128</v>
      </c>
      <c r="J68" s="760" t="str">
        <f>DESPORC!D302</f>
        <v>Formação de Recursos Humanos</v>
      </c>
    </row>
    <row r="69" spans="2:10" ht="35.1" customHeight="1" x14ac:dyDescent="0.25">
      <c r="B69" s="1619" t="s">
        <v>6941</v>
      </c>
      <c r="C69" s="1616">
        <f>'[3]Anexo I - Programas'!$C$711</f>
        <v>2032</v>
      </c>
      <c r="D69" s="1622" t="str">
        <f>'[3]Anexo I - Programas'!$D$711</f>
        <v>Apoio ao Conselho Tutelar</v>
      </c>
      <c r="E69" s="1619" t="s">
        <v>6941</v>
      </c>
      <c r="F69" s="1616">
        <f>C69</f>
        <v>2032</v>
      </c>
      <c r="G69" s="1618" t="str">
        <f>D69</f>
        <v>Apoio ao Conselho Tutelar</v>
      </c>
      <c r="H69" s="775" t="s">
        <v>3137</v>
      </c>
      <c r="I69" s="795" t="str">
        <f>F67</f>
        <v>22</v>
      </c>
      <c r="J69" s="762" t="str">
        <f>G67</f>
        <v>GESTÃO E DESENVOLVIMENTO DA PROTEÇÃO E SEGURANÇA DA POPULACAO</v>
      </c>
    </row>
    <row r="70" spans="2:10" ht="35.1" customHeight="1" x14ac:dyDescent="0.25">
      <c r="B70" s="1619"/>
      <c r="C70" s="1616"/>
      <c r="D70" s="1622"/>
      <c r="E70" s="1619"/>
      <c r="F70" s="1616"/>
      <c r="G70" s="1618"/>
      <c r="H70" s="775" t="s">
        <v>6941</v>
      </c>
      <c r="I70" s="795">
        <f>F69</f>
        <v>2032</v>
      </c>
      <c r="J70" s="762" t="str">
        <f>G69</f>
        <v>Apoio ao Conselho Tutelar</v>
      </c>
    </row>
    <row r="71" spans="2:10" ht="35.1" customHeight="1" thickBot="1" x14ac:dyDescent="0.3">
      <c r="B71" s="769" t="s">
        <v>6939</v>
      </c>
      <c r="C71" s="1625">
        <v>300000</v>
      </c>
      <c r="D71" s="1626"/>
      <c r="E71" s="769" t="s">
        <v>6939</v>
      </c>
      <c r="F71" s="1625">
        <v>75000</v>
      </c>
      <c r="G71" s="1627"/>
      <c r="H71" s="778" t="s">
        <v>6939</v>
      </c>
      <c r="I71" s="1625">
        <f>DESPORC!I304</f>
        <v>0.03</v>
      </c>
      <c r="J71" s="1627"/>
    </row>
    <row r="72" spans="2:10" ht="35.1" customHeight="1" x14ac:dyDescent="0.25">
      <c r="B72" s="1628" t="s">
        <v>3137</v>
      </c>
      <c r="C72" s="1615" t="str">
        <f>'[3]Anexo I - Programas'!$B$685</f>
        <v>22</v>
      </c>
      <c r="D72" s="1629" t="str">
        <f>'[3]Anexo I - Programas'!$C$685</f>
        <v>GESTÃO E DESENVOLVIMENTO DA PROTEÇÃO E SEGURANÇA DA POPULACAO</v>
      </c>
      <c r="E72" s="1628" t="s">
        <v>3137</v>
      </c>
      <c r="F72" s="1615" t="str">
        <f>C72</f>
        <v>22</v>
      </c>
      <c r="G72" s="1617" t="str">
        <f>D72</f>
        <v>GESTÃO E DESENVOLVIMENTO DA PROTEÇÃO E SEGURANÇA DA POPULACAO</v>
      </c>
      <c r="H72" s="773" t="s">
        <v>3138</v>
      </c>
      <c r="I72" s="757">
        <f>DESPORC!C308</f>
        <v>4</v>
      </c>
      <c r="J72" s="758" t="str">
        <f>DESPORC!D308</f>
        <v>Administração</v>
      </c>
    </row>
    <row r="73" spans="2:10" ht="35.1" customHeight="1" x14ac:dyDescent="0.25">
      <c r="B73" s="1619"/>
      <c r="C73" s="1616"/>
      <c r="D73" s="1630"/>
      <c r="E73" s="1619"/>
      <c r="F73" s="1616"/>
      <c r="G73" s="1618"/>
      <c r="H73" s="774" t="s">
        <v>6940</v>
      </c>
      <c r="I73" s="759">
        <f>DESPORC!C309</f>
        <v>126</v>
      </c>
      <c r="J73" s="760" t="str">
        <f>DESPORC!D309</f>
        <v>Tecnologia da Informação</v>
      </c>
    </row>
    <row r="74" spans="2:10" ht="35.1" customHeight="1" x14ac:dyDescent="0.25">
      <c r="B74" s="1619" t="s">
        <v>6941</v>
      </c>
      <c r="C74" s="1616">
        <f>'[3]Anexo I - Programas'!$C$699</f>
        <v>2030</v>
      </c>
      <c r="D74" s="1622" t="str">
        <f>'[3]Anexo I - Programas'!$D$699</f>
        <v xml:space="preserve">Apoio a Segurança Pública </v>
      </c>
      <c r="E74" s="1619" t="s">
        <v>6941</v>
      </c>
      <c r="F74" s="1616">
        <f>C74</f>
        <v>2030</v>
      </c>
      <c r="G74" s="1618" t="str">
        <f>D74</f>
        <v xml:space="preserve">Apoio a Segurança Pública </v>
      </c>
      <c r="H74" s="775" t="s">
        <v>3137</v>
      </c>
      <c r="I74" s="795" t="str">
        <f>F72</f>
        <v>22</v>
      </c>
      <c r="J74" s="762" t="str">
        <f>G72</f>
        <v>GESTÃO E DESENVOLVIMENTO DA PROTEÇÃO E SEGURANÇA DA POPULACAO</v>
      </c>
    </row>
    <row r="75" spans="2:10" ht="35.1" customHeight="1" x14ac:dyDescent="0.25">
      <c r="B75" s="1619"/>
      <c r="C75" s="1616"/>
      <c r="D75" s="1622"/>
      <c r="E75" s="1619"/>
      <c r="F75" s="1616"/>
      <c r="G75" s="1618"/>
      <c r="H75" s="775" t="s">
        <v>6941</v>
      </c>
      <c r="I75" s="795">
        <f>F74</f>
        <v>2030</v>
      </c>
      <c r="J75" s="762" t="str">
        <f>G74</f>
        <v xml:space="preserve">Apoio a Segurança Pública </v>
      </c>
    </row>
    <row r="76" spans="2:10" ht="35.1" customHeight="1" thickBot="1" x14ac:dyDescent="0.3">
      <c r="B76" s="769" t="s">
        <v>6939</v>
      </c>
      <c r="C76" s="1625">
        <v>80000</v>
      </c>
      <c r="D76" s="1626"/>
      <c r="E76" s="769" t="s">
        <v>6939</v>
      </c>
      <c r="F76" s="1625">
        <v>20000</v>
      </c>
      <c r="G76" s="1627"/>
      <c r="H76" s="778" t="s">
        <v>6939</v>
      </c>
      <c r="I76" s="1625">
        <f>DESPORC!I311</f>
        <v>1678.5411031935</v>
      </c>
      <c r="J76" s="1627"/>
    </row>
    <row r="77" spans="2:10" ht="35.1" customHeight="1" x14ac:dyDescent="0.25">
      <c r="B77" s="1628" t="s">
        <v>3137</v>
      </c>
      <c r="C77" s="1615" t="str">
        <f>'[3]Anexo I - Programas'!$B$685</f>
        <v>22</v>
      </c>
      <c r="D77" s="1629" t="str">
        <f>'[3]Anexo I - Programas'!$C$685</f>
        <v>GESTÃO E DESENVOLVIMENTO DA PROTEÇÃO E SEGURANÇA DA POPULACAO</v>
      </c>
      <c r="E77" s="1628" t="s">
        <v>3137</v>
      </c>
      <c r="F77" s="1615" t="str">
        <f>C77</f>
        <v>22</v>
      </c>
      <c r="G77" s="1617" t="str">
        <f>D77</f>
        <v>GESTÃO E DESENVOLVIMENTO DA PROTEÇÃO E SEGURANÇA DA POPULACAO</v>
      </c>
      <c r="H77" s="773" t="s">
        <v>3138</v>
      </c>
      <c r="I77" s="757">
        <f>DESPORC!C316</f>
        <v>4</v>
      </c>
      <c r="J77" s="758" t="str">
        <f>DESPORC!D316</f>
        <v>Administração</v>
      </c>
    </row>
    <row r="78" spans="2:10" ht="35.1" customHeight="1" x14ac:dyDescent="0.25">
      <c r="B78" s="1619"/>
      <c r="C78" s="1616"/>
      <c r="D78" s="1630"/>
      <c r="E78" s="1619"/>
      <c r="F78" s="1616"/>
      <c r="G78" s="1618"/>
      <c r="H78" s="774" t="s">
        <v>6940</v>
      </c>
      <c r="I78" s="759">
        <f>DESPORC!C317</f>
        <v>181</v>
      </c>
      <c r="J78" s="760" t="str">
        <f>DESPORC!D317</f>
        <v>Policiamento</v>
      </c>
    </row>
    <row r="79" spans="2:10" ht="35.1" customHeight="1" x14ac:dyDescent="0.25">
      <c r="B79" s="1619" t="s">
        <v>6941</v>
      </c>
      <c r="C79" s="1616">
        <f>'[3]Anexo I - Programas'!$C$699</f>
        <v>2030</v>
      </c>
      <c r="D79" s="1622" t="str">
        <f>'[3]Anexo I - Programas'!$D$699</f>
        <v xml:space="preserve">Apoio a Segurança Pública </v>
      </c>
      <c r="E79" s="1619" t="s">
        <v>6941</v>
      </c>
      <c r="F79" s="1616">
        <f>C79</f>
        <v>2030</v>
      </c>
      <c r="G79" s="1618" t="str">
        <f>D79</f>
        <v xml:space="preserve">Apoio a Segurança Pública </v>
      </c>
      <c r="H79" s="775" t="s">
        <v>3137</v>
      </c>
      <c r="I79" s="795" t="str">
        <f>F77</f>
        <v>22</v>
      </c>
      <c r="J79" s="762" t="str">
        <f>G77</f>
        <v>GESTÃO E DESENVOLVIMENTO DA PROTEÇÃO E SEGURANÇA DA POPULACAO</v>
      </c>
    </row>
    <row r="80" spans="2:10" ht="35.1" customHeight="1" x14ac:dyDescent="0.25">
      <c r="B80" s="1619"/>
      <c r="C80" s="1616"/>
      <c r="D80" s="1622"/>
      <c r="E80" s="1619"/>
      <c r="F80" s="1616"/>
      <c r="G80" s="1618"/>
      <c r="H80" s="775" t="s">
        <v>6941</v>
      </c>
      <c r="I80" s="795">
        <f>F79</f>
        <v>2030</v>
      </c>
      <c r="J80" s="762" t="str">
        <f>G79</f>
        <v xml:space="preserve">Apoio a Segurança Pública </v>
      </c>
    </row>
    <row r="81" spans="2:10" ht="35.1" customHeight="1" thickBot="1" x14ac:dyDescent="0.3">
      <c r="B81" s="769" t="s">
        <v>6939</v>
      </c>
      <c r="C81" s="1625">
        <v>80000</v>
      </c>
      <c r="D81" s="1626"/>
      <c r="E81" s="769" t="s">
        <v>6939</v>
      </c>
      <c r="F81" s="1625">
        <v>20000</v>
      </c>
      <c r="G81" s="1627"/>
      <c r="H81" s="778" t="s">
        <v>6939</v>
      </c>
      <c r="I81" s="1625">
        <f>DESPORC!I319</f>
        <v>22118.708544803154</v>
      </c>
      <c r="J81" s="1627"/>
    </row>
    <row r="82" spans="2:10" ht="35.1" customHeight="1" thickBot="1" x14ac:dyDescent="0.3">
      <c r="B82" s="801"/>
      <c r="C82" s="802"/>
      <c r="D82" s="803"/>
      <c r="E82" s="801"/>
      <c r="F82" s="802"/>
      <c r="G82" s="803"/>
      <c r="H82" s="801"/>
      <c r="I82" s="802"/>
      <c r="J82" s="803"/>
    </row>
    <row r="83" spans="2:10" ht="35.1" customHeight="1" x14ac:dyDescent="0.25">
      <c r="B83" s="1628" t="s">
        <v>3137</v>
      </c>
      <c r="C83" s="1615" t="str">
        <f>'[3]Anexo I - Programas'!$B$685</f>
        <v>22</v>
      </c>
      <c r="D83" s="1629" t="str">
        <f>'[3]Anexo I - Programas'!$C$685</f>
        <v>GESTÃO E DESENVOLVIMENTO DA PROTEÇÃO E SEGURANÇA DA POPULACAO</v>
      </c>
      <c r="E83" s="1628" t="s">
        <v>3137</v>
      </c>
      <c r="F83" s="1615" t="str">
        <f>C83</f>
        <v>22</v>
      </c>
      <c r="G83" s="1617" t="str">
        <f>D83</f>
        <v>GESTÃO E DESENVOLVIMENTO DA PROTEÇÃO E SEGURANÇA DA POPULACAO</v>
      </c>
      <c r="H83" s="773" t="s">
        <v>3138</v>
      </c>
      <c r="I83" s="757">
        <f>DESPORC!C339</f>
        <v>4</v>
      </c>
      <c r="J83" s="758" t="str">
        <f>DESPORC!D339</f>
        <v>Administração</v>
      </c>
    </row>
    <row r="84" spans="2:10" ht="35.1" customHeight="1" x14ac:dyDescent="0.25">
      <c r="B84" s="1619"/>
      <c r="C84" s="1616"/>
      <c r="D84" s="1630"/>
      <c r="E84" s="1619"/>
      <c r="F84" s="1616"/>
      <c r="G84" s="1618"/>
      <c r="H84" s="774" t="s">
        <v>6940</v>
      </c>
      <c r="I84" s="759">
        <f>DESPORC!C340</f>
        <v>128</v>
      </c>
      <c r="J84" s="760" t="str">
        <f>DESPORC!D340</f>
        <v>Formação de Recursos Humanos</v>
      </c>
    </row>
    <row r="85" spans="2:10" ht="35.1" customHeight="1" x14ac:dyDescent="0.25">
      <c r="B85" s="1619" t="s">
        <v>6941</v>
      </c>
      <c r="C85" s="1616">
        <f>'[3]Anexo I - Programas'!$C$705</f>
        <v>2031</v>
      </c>
      <c r="D85" s="1622" t="str">
        <f>'[3]Anexo I - Programas'!$D$705</f>
        <v>Promoção da Defesa Civil</v>
      </c>
      <c r="E85" s="1619" t="s">
        <v>6941</v>
      </c>
      <c r="F85" s="1616">
        <f>C85</f>
        <v>2031</v>
      </c>
      <c r="G85" s="1618" t="str">
        <f>D85</f>
        <v>Promoção da Defesa Civil</v>
      </c>
      <c r="H85" s="775" t="s">
        <v>3137</v>
      </c>
      <c r="I85" s="795" t="str">
        <f>F83</f>
        <v>22</v>
      </c>
      <c r="J85" s="762" t="str">
        <f>G83</f>
        <v>GESTÃO E DESENVOLVIMENTO DA PROTEÇÃO E SEGURANÇA DA POPULACAO</v>
      </c>
    </row>
    <row r="86" spans="2:10" ht="35.1" customHeight="1" x14ac:dyDescent="0.25">
      <c r="B86" s="1619"/>
      <c r="C86" s="1616"/>
      <c r="D86" s="1622"/>
      <c r="E86" s="1619"/>
      <c r="F86" s="1616"/>
      <c r="G86" s="1618"/>
      <c r="H86" s="775" t="s">
        <v>6941</v>
      </c>
      <c r="I86" s="795">
        <f>F85</f>
        <v>2031</v>
      </c>
      <c r="J86" s="762" t="str">
        <f>G85</f>
        <v>Promoção da Defesa Civil</v>
      </c>
    </row>
    <row r="87" spans="2:10" ht="35.1" customHeight="1" thickBot="1" x14ac:dyDescent="0.3">
      <c r="B87" s="769" t="s">
        <v>6939</v>
      </c>
      <c r="C87" s="1625">
        <v>500000</v>
      </c>
      <c r="D87" s="1626"/>
      <c r="E87" s="769" t="s">
        <v>6939</v>
      </c>
      <c r="F87" s="1625">
        <v>125000</v>
      </c>
      <c r="G87" s="1627"/>
      <c r="H87" s="778" t="s">
        <v>6939</v>
      </c>
      <c r="I87" s="1625">
        <f>DESPORC!I342</f>
        <v>0.03</v>
      </c>
      <c r="J87" s="1627"/>
    </row>
    <row r="88" spans="2:10" ht="35.1" customHeight="1" x14ac:dyDescent="0.25">
      <c r="B88" s="1628" t="s">
        <v>3137</v>
      </c>
      <c r="C88" s="1615" t="str">
        <f>'[3]Anexo I - Programas'!$B$685</f>
        <v>22</v>
      </c>
      <c r="D88" s="1629" t="str">
        <f>'[3]Anexo I - Programas'!$C$685</f>
        <v>GESTÃO E DESENVOLVIMENTO DA PROTEÇÃO E SEGURANÇA DA POPULACAO</v>
      </c>
      <c r="E88" s="1628" t="s">
        <v>3137</v>
      </c>
      <c r="F88" s="1615" t="str">
        <f>C88</f>
        <v>22</v>
      </c>
      <c r="G88" s="1617" t="str">
        <f>D88</f>
        <v>GESTÃO E DESENVOLVIMENTO DA PROTEÇÃO E SEGURANÇA DA POPULACAO</v>
      </c>
      <c r="H88" s="773" t="s">
        <v>3138</v>
      </c>
      <c r="I88" s="757">
        <f>DESPORC!C346</f>
        <v>4</v>
      </c>
      <c r="J88" s="758" t="str">
        <f>DESPORC!D346</f>
        <v>Administração</v>
      </c>
    </row>
    <row r="89" spans="2:10" ht="35.1" customHeight="1" x14ac:dyDescent="0.25">
      <c r="B89" s="1619"/>
      <c r="C89" s="1616"/>
      <c r="D89" s="1630"/>
      <c r="E89" s="1619"/>
      <c r="F89" s="1616"/>
      <c r="G89" s="1618"/>
      <c r="H89" s="774" t="s">
        <v>6940</v>
      </c>
      <c r="I89" s="759">
        <f>DESPORC!C347</f>
        <v>181</v>
      </c>
      <c r="J89" s="760" t="str">
        <f>DESPORC!D347</f>
        <v>Policiamento</v>
      </c>
    </row>
    <row r="90" spans="2:10" ht="35.1" customHeight="1" x14ac:dyDescent="0.25">
      <c r="B90" s="1619" t="s">
        <v>6941</v>
      </c>
      <c r="C90" s="1616">
        <f>'[3]Anexo I - Programas'!$C$705</f>
        <v>2031</v>
      </c>
      <c r="D90" s="1622" t="str">
        <f>'[3]Anexo I - Programas'!$D$705</f>
        <v>Promoção da Defesa Civil</v>
      </c>
      <c r="E90" s="1619" t="s">
        <v>6941</v>
      </c>
      <c r="F90" s="1616">
        <f>C90</f>
        <v>2031</v>
      </c>
      <c r="G90" s="1618" t="str">
        <f>D90</f>
        <v>Promoção da Defesa Civil</v>
      </c>
      <c r="H90" s="775" t="s">
        <v>3137</v>
      </c>
      <c r="I90" s="795" t="str">
        <f>F88</f>
        <v>22</v>
      </c>
      <c r="J90" s="762" t="str">
        <f>G88</f>
        <v>GESTÃO E DESENVOLVIMENTO DA PROTEÇÃO E SEGURANÇA DA POPULACAO</v>
      </c>
    </row>
    <row r="91" spans="2:10" ht="35.1" customHeight="1" x14ac:dyDescent="0.25">
      <c r="B91" s="1619"/>
      <c r="C91" s="1616"/>
      <c r="D91" s="1622"/>
      <c r="E91" s="1619"/>
      <c r="F91" s="1616"/>
      <c r="G91" s="1618"/>
      <c r="H91" s="775" t="s">
        <v>6941</v>
      </c>
      <c r="I91" s="795">
        <f>F90</f>
        <v>2031</v>
      </c>
      <c r="J91" s="762" t="str">
        <f>G90</f>
        <v>Promoção da Defesa Civil</v>
      </c>
    </row>
    <row r="92" spans="2:10" ht="35.1" customHeight="1" thickBot="1" x14ac:dyDescent="0.3">
      <c r="B92" s="769" t="s">
        <v>6939</v>
      </c>
      <c r="C92" s="1625">
        <v>500000</v>
      </c>
      <c r="D92" s="1626"/>
      <c r="E92" s="769" t="s">
        <v>6939</v>
      </c>
      <c r="F92" s="1625">
        <v>125000</v>
      </c>
      <c r="G92" s="1627"/>
      <c r="H92" s="778" t="s">
        <v>6939</v>
      </c>
      <c r="I92" s="1625">
        <f>DESPORC!I349</f>
        <v>0.10973402999999998</v>
      </c>
      <c r="J92" s="1627"/>
    </row>
    <row r="93" spans="2:10" ht="35.1" customHeight="1" x14ac:dyDescent="0.25">
      <c r="J93" s="15"/>
    </row>
    <row r="94" spans="2:10" ht="35.1" customHeight="1" x14ac:dyDescent="0.25">
      <c r="B94" s="1631" t="s">
        <v>6927</v>
      </c>
      <c r="C94" s="1631"/>
      <c r="D94" s="755" t="str">
        <f>DESPORC!C368</f>
        <v>02 - PREFEITURA MUNICIPAL DE CHUVISCA</v>
      </c>
      <c r="E94" s="797"/>
      <c r="F94" s="798"/>
      <c r="G94" s="798"/>
      <c r="H94" s="797"/>
      <c r="I94" s="798"/>
      <c r="J94" s="798"/>
    </row>
    <row r="95" spans="2:10" ht="35.1" customHeight="1" thickBot="1" x14ac:dyDescent="0.3">
      <c r="B95" s="1632" t="s">
        <v>3087</v>
      </c>
      <c r="C95" s="1632"/>
      <c r="D95" s="755" t="str">
        <f>DESPORC!C369</f>
        <v>02 - SECRETARIA MUNICIPAL DA ADMINISTRAÇÃO</v>
      </c>
      <c r="E95" s="797"/>
      <c r="F95" s="36"/>
      <c r="G95" s="1"/>
      <c r="H95" s="772"/>
      <c r="I95" s="1"/>
      <c r="J95" s="1"/>
    </row>
    <row r="96" spans="2:10" ht="35.1" customHeight="1" thickBot="1" x14ac:dyDescent="0.3">
      <c r="B96" s="1776" t="s">
        <v>6955</v>
      </c>
      <c r="C96" s="1777"/>
      <c r="D96" s="1778"/>
      <c r="E96" s="1776" t="str">
        <f>E$12</f>
        <v>PRIORIDADES LDO LEI MUNICIPAL N.º 1215  DE 02 DE OUTUBRO DE 2019.</v>
      </c>
      <c r="F96" s="1777"/>
      <c r="G96" s="1778"/>
      <c r="H96" s="1779" t="s">
        <v>6956</v>
      </c>
      <c r="I96" s="1780"/>
      <c r="J96" s="1781"/>
    </row>
    <row r="97" spans="2:10" ht="35.1" customHeight="1" x14ac:dyDescent="0.25">
      <c r="B97" s="1628" t="s">
        <v>3137</v>
      </c>
      <c r="C97" s="1615" t="str">
        <f>'[3]Anexo I - Programas'!$B$60</f>
        <v>003</v>
      </c>
      <c r="D97" s="1629" t="str">
        <f>'[3]Anexo I - Programas'!$C$60</f>
        <v xml:space="preserve">GESTÃO, COORDENAÇÃO E PLANEJAMENTO </v>
      </c>
      <c r="E97" s="1628" t="s">
        <v>3137</v>
      </c>
      <c r="F97" s="1615" t="str">
        <f>C97</f>
        <v>003</v>
      </c>
      <c r="G97" s="1617" t="str">
        <f>D97</f>
        <v xml:space="preserve">GESTÃO, COORDENAÇÃO E PLANEJAMENTO </v>
      </c>
      <c r="H97" s="773" t="s">
        <v>3138</v>
      </c>
      <c r="I97" s="757">
        <f>DESPORC!C372</f>
        <v>4</v>
      </c>
      <c r="J97" s="765" t="str">
        <f>DESPORC!D372</f>
        <v>Administração</v>
      </c>
    </row>
    <row r="98" spans="2:10" ht="35.1" customHeight="1" x14ac:dyDescent="0.25">
      <c r="B98" s="1619"/>
      <c r="C98" s="1616"/>
      <c r="D98" s="1630"/>
      <c r="E98" s="1619"/>
      <c r="F98" s="1616"/>
      <c r="G98" s="1618"/>
      <c r="H98" s="774" t="s">
        <v>6940</v>
      </c>
      <c r="I98" s="757">
        <f>DESPORC!C373</f>
        <v>122</v>
      </c>
      <c r="J98" s="765" t="str">
        <f>DESPORC!D373</f>
        <v>Administração Geral</v>
      </c>
    </row>
    <row r="99" spans="2:10" ht="35.1" customHeight="1" x14ac:dyDescent="0.25">
      <c r="B99" s="1619" t="s">
        <v>6941</v>
      </c>
      <c r="C99" s="1616">
        <f>'[3]Anexo I - Programas'!$C$69</f>
        <v>1002</v>
      </c>
      <c r="D99" s="1622" t="str">
        <f>'[3]Anexo I - Programas'!$D$69</f>
        <v>Realização de Novos Investimentos do Poder Executivo</v>
      </c>
      <c r="E99" s="1619" t="s">
        <v>6941</v>
      </c>
      <c r="F99" s="1616">
        <f>C99</f>
        <v>1002</v>
      </c>
      <c r="G99" s="1618" t="str">
        <f>D99</f>
        <v>Realização de Novos Investimentos do Poder Executivo</v>
      </c>
      <c r="H99" s="775" t="s">
        <v>3137</v>
      </c>
      <c r="I99" s="795" t="str">
        <f>F97</f>
        <v>003</v>
      </c>
      <c r="J99" s="762" t="str">
        <f>G97</f>
        <v xml:space="preserve">GESTÃO, COORDENAÇÃO E PLANEJAMENTO </v>
      </c>
    </row>
    <row r="100" spans="2:10" ht="35.1" customHeight="1" x14ac:dyDescent="0.25">
      <c r="B100" s="1620"/>
      <c r="C100" s="1621"/>
      <c r="D100" s="1623"/>
      <c r="E100" s="1620"/>
      <c r="F100" s="1621"/>
      <c r="G100" s="1624"/>
      <c r="H100" s="776" t="s">
        <v>6941</v>
      </c>
      <c r="I100" s="796">
        <f>F99</f>
        <v>1002</v>
      </c>
      <c r="J100" s="764" t="str">
        <f>G99</f>
        <v>Realização de Novos Investimentos do Poder Executivo</v>
      </c>
    </row>
    <row r="101" spans="2:10" ht="35.1" customHeight="1" thickBot="1" x14ac:dyDescent="0.3">
      <c r="B101" s="769" t="s">
        <v>6939</v>
      </c>
      <c r="C101" s="1625">
        <v>1600000</v>
      </c>
      <c r="D101" s="1626"/>
      <c r="E101" s="769" t="s">
        <v>6939</v>
      </c>
      <c r="F101" s="1625">
        <v>400000</v>
      </c>
      <c r="G101" s="1627"/>
      <c r="H101" s="778" t="s">
        <v>6939</v>
      </c>
      <c r="I101" s="1625">
        <f>DESPORC!I375</f>
        <v>0.11534466879999999</v>
      </c>
      <c r="J101" s="1627"/>
    </row>
    <row r="102" spans="2:10" ht="35.1" customHeight="1" x14ac:dyDescent="0.25">
      <c r="B102" s="1628" t="s">
        <v>3137</v>
      </c>
      <c r="C102" s="1615" t="str">
        <f>'[3]Anexo I - Programas'!$B$60</f>
        <v>003</v>
      </c>
      <c r="D102" s="1629" t="str">
        <f>'[3]Anexo I - Programas'!$C$60</f>
        <v xml:space="preserve">GESTÃO, COORDENAÇÃO E PLANEJAMENTO </v>
      </c>
      <c r="E102" s="1628" t="s">
        <v>3137</v>
      </c>
      <c r="F102" s="1615" t="str">
        <f>C102</f>
        <v>003</v>
      </c>
      <c r="G102" s="1617" t="str">
        <f>D102</f>
        <v xml:space="preserve">GESTÃO, COORDENAÇÃO E PLANEJAMENTO </v>
      </c>
      <c r="H102" s="773" t="s">
        <v>3138</v>
      </c>
      <c r="I102" s="757">
        <f>DESPORC!C385</f>
        <v>4</v>
      </c>
      <c r="J102" s="765" t="str">
        <f>DESPORC!D385</f>
        <v>Administração</v>
      </c>
    </row>
    <row r="103" spans="2:10" ht="35.1" customHeight="1" x14ac:dyDescent="0.25">
      <c r="B103" s="1619"/>
      <c r="C103" s="1616"/>
      <c r="D103" s="1630"/>
      <c r="E103" s="1619"/>
      <c r="F103" s="1616"/>
      <c r="G103" s="1618"/>
      <c r="H103" s="774" t="s">
        <v>6940</v>
      </c>
      <c r="I103" s="757">
        <f>DESPORC!C386</f>
        <v>122</v>
      </c>
      <c r="J103" s="765" t="str">
        <f>DESPORC!D386</f>
        <v>Administração Geral</v>
      </c>
    </row>
    <row r="104" spans="2:10" ht="35.1" customHeight="1" x14ac:dyDescent="0.25">
      <c r="B104" s="1619" t="s">
        <v>6941</v>
      </c>
      <c r="C104" s="1616">
        <f>'[3]Anexo I - Programas'!$C$74</f>
        <v>2002</v>
      </c>
      <c r="D104" s="1622" t="str">
        <f>'[3]Anexo I - Programas'!$D$74</f>
        <v xml:space="preserve">GESTÃO , APOIO E MANUTENÇÃO , COORDENAÇÃO E PLANEJAMENTO </v>
      </c>
      <c r="E104" s="1619" t="s">
        <v>6941</v>
      </c>
      <c r="F104" s="1616">
        <f>C104</f>
        <v>2002</v>
      </c>
      <c r="G104" s="1618" t="str">
        <f>D104</f>
        <v xml:space="preserve">GESTÃO , APOIO E MANUTENÇÃO , COORDENAÇÃO E PLANEJAMENTO </v>
      </c>
      <c r="H104" s="775" t="s">
        <v>3137</v>
      </c>
      <c r="I104" s="795" t="str">
        <f>F102</f>
        <v>003</v>
      </c>
      <c r="J104" s="762" t="str">
        <f>G102</f>
        <v xml:space="preserve">GESTÃO, COORDENAÇÃO E PLANEJAMENTO </v>
      </c>
    </row>
    <row r="105" spans="2:10" ht="35.1" customHeight="1" x14ac:dyDescent="0.25">
      <c r="B105" s="1620"/>
      <c r="C105" s="1621"/>
      <c r="D105" s="1623"/>
      <c r="E105" s="1620"/>
      <c r="F105" s="1621"/>
      <c r="G105" s="1624"/>
      <c r="H105" s="776" t="s">
        <v>6941</v>
      </c>
      <c r="I105" s="796">
        <f>F104</f>
        <v>2002</v>
      </c>
      <c r="J105" s="764" t="str">
        <f>G104</f>
        <v xml:space="preserve">GESTÃO , APOIO E MANUTENÇÃO , COORDENAÇÃO E PLANEJAMENTO </v>
      </c>
    </row>
    <row r="106" spans="2:10" ht="35.1" customHeight="1" thickBot="1" x14ac:dyDescent="0.3">
      <c r="B106" s="769" t="s">
        <v>6939</v>
      </c>
      <c r="C106" s="1625">
        <v>10370000</v>
      </c>
      <c r="D106" s="1626"/>
      <c r="E106" s="769" t="s">
        <v>6939</v>
      </c>
      <c r="F106" s="1625">
        <v>2592500</v>
      </c>
      <c r="G106" s="1627"/>
      <c r="H106" s="778" t="s">
        <v>6939</v>
      </c>
      <c r="I106" s="1625">
        <f>DESPORC!I388</f>
        <v>582719.50239757216</v>
      </c>
      <c r="J106" s="1627"/>
    </row>
    <row r="107" spans="2:10" ht="35.1" customHeight="1" x14ac:dyDescent="0.25">
      <c r="B107" s="1628" t="s">
        <v>3137</v>
      </c>
      <c r="C107" s="1615" t="str">
        <f>'[3]Anexo I - Programas'!$B$60</f>
        <v>003</v>
      </c>
      <c r="D107" s="1629" t="str">
        <f>'[3]Anexo I - Programas'!$C$60</f>
        <v xml:space="preserve">GESTÃO, COORDENAÇÃO E PLANEJAMENTO </v>
      </c>
      <c r="E107" s="1628" t="s">
        <v>3137</v>
      </c>
      <c r="F107" s="1615" t="str">
        <f>C107</f>
        <v>003</v>
      </c>
      <c r="G107" s="1617" t="str">
        <f>D107</f>
        <v xml:space="preserve">GESTÃO, COORDENAÇÃO E PLANEJAMENTO </v>
      </c>
      <c r="H107" s="773" t="s">
        <v>3138</v>
      </c>
      <c r="I107" s="757">
        <f>DESPORC!C476</f>
        <v>4</v>
      </c>
      <c r="J107" s="765" t="str">
        <f>DESPORC!D476</f>
        <v>Administração</v>
      </c>
    </row>
    <row r="108" spans="2:10" ht="35.1" customHeight="1" x14ac:dyDescent="0.25">
      <c r="B108" s="1619"/>
      <c r="C108" s="1616"/>
      <c r="D108" s="1630"/>
      <c r="E108" s="1619"/>
      <c r="F108" s="1616"/>
      <c r="G108" s="1618"/>
      <c r="H108" s="774" t="s">
        <v>6940</v>
      </c>
      <c r="I108" s="757">
        <f>DESPORC!C477</f>
        <v>126</v>
      </c>
      <c r="J108" s="765" t="str">
        <f>DESPORC!D477</f>
        <v>Tecnologia da Informação</v>
      </c>
    </row>
    <row r="109" spans="2:10" ht="35.1" customHeight="1" x14ac:dyDescent="0.25">
      <c r="B109" s="1619" t="s">
        <v>6941</v>
      </c>
      <c r="C109" s="1616">
        <f>'[3]Anexo I - Programas'!$C$74</f>
        <v>2002</v>
      </c>
      <c r="D109" s="1622" t="str">
        <f>'[3]Anexo I - Programas'!$D$74</f>
        <v xml:space="preserve">GESTÃO , APOIO E MANUTENÇÃO , COORDENAÇÃO E PLANEJAMENTO </v>
      </c>
      <c r="E109" s="1619" t="s">
        <v>6941</v>
      </c>
      <c r="F109" s="1616">
        <f>C109</f>
        <v>2002</v>
      </c>
      <c r="G109" s="1618" t="str">
        <f>D109</f>
        <v xml:space="preserve">GESTÃO , APOIO E MANUTENÇÃO , COORDENAÇÃO E PLANEJAMENTO </v>
      </c>
      <c r="H109" s="775" t="s">
        <v>3137</v>
      </c>
      <c r="I109" s="795" t="str">
        <f>F107</f>
        <v>003</v>
      </c>
      <c r="J109" s="762" t="str">
        <f>G107</f>
        <v xml:space="preserve">GESTÃO, COORDENAÇÃO E PLANEJAMENTO </v>
      </c>
    </row>
    <row r="110" spans="2:10" ht="35.1" customHeight="1" x14ac:dyDescent="0.25">
      <c r="B110" s="1620"/>
      <c r="C110" s="1621"/>
      <c r="D110" s="1623"/>
      <c r="E110" s="1620"/>
      <c r="F110" s="1621"/>
      <c r="G110" s="1624"/>
      <c r="H110" s="776" t="s">
        <v>6941</v>
      </c>
      <c r="I110" s="796">
        <f>F109</f>
        <v>2002</v>
      </c>
      <c r="J110" s="764" t="str">
        <f>G109</f>
        <v xml:space="preserve">GESTÃO , APOIO E MANUTENÇÃO , COORDENAÇÃO E PLANEJAMENTO </v>
      </c>
    </row>
    <row r="111" spans="2:10" ht="35.1" customHeight="1" thickBot="1" x14ac:dyDescent="0.3">
      <c r="B111" s="769" t="s">
        <v>6939</v>
      </c>
      <c r="C111" s="1625">
        <v>10370000</v>
      </c>
      <c r="D111" s="1626"/>
      <c r="E111" s="769" t="s">
        <v>6939</v>
      </c>
      <c r="F111" s="1625">
        <v>2592500</v>
      </c>
      <c r="G111" s="1627"/>
      <c r="H111" s="778" t="s">
        <v>6939</v>
      </c>
      <c r="I111" s="1625">
        <f>DESPORC!I479</f>
        <v>3840.7020234029997</v>
      </c>
      <c r="J111" s="1627"/>
    </row>
    <row r="112" spans="2:10" ht="35.1" customHeight="1" x14ac:dyDescent="0.25">
      <c r="B112" s="1628" t="s">
        <v>3137</v>
      </c>
      <c r="C112" s="1615" t="str">
        <f>'[3]Anexo I - Programas'!$B$60</f>
        <v>003</v>
      </c>
      <c r="D112" s="1629" t="str">
        <f>'[3]Anexo I - Programas'!$C$60</f>
        <v xml:space="preserve">GESTÃO, COORDENAÇÃO E PLANEJAMENTO </v>
      </c>
      <c r="E112" s="1628" t="s">
        <v>3137</v>
      </c>
      <c r="F112" s="1615" t="str">
        <f>C112</f>
        <v>003</v>
      </c>
      <c r="G112" s="1617" t="str">
        <f>D112</f>
        <v xml:space="preserve">GESTÃO, COORDENAÇÃO E PLANEJAMENTO </v>
      </c>
      <c r="H112" s="773" t="s">
        <v>3138</v>
      </c>
      <c r="I112" s="757">
        <f>DESPORC!C485</f>
        <v>4</v>
      </c>
      <c r="J112" s="765" t="str">
        <f>DESPORC!D485</f>
        <v>Administração</v>
      </c>
    </row>
    <row r="113" spans="2:10" ht="35.1" customHeight="1" x14ac:dyDescent="0.25">
      <c r="B113" s="1619"/>
      <c r="C113" s="1616"/>
      <c r="D113" s="1630"/>
      <c r="E113" s="1619"/>
      <c r="F113" s="1616"/>
      <c r="G113" s="1618"/>
      <c r="H113" s="774" t="s">
        <v>6940</v>
      </c>
      <c r="I113" s="757">
        <f>DESPORC!C486</f>
        <v>128</v>
      </c>
      <c r="J113" s="765" t="str">
        <f>DESPORC!D486</f>
        <v>Formação de Recursos Humanos</v>
      </c>
    </row>
    <row r="114" spans="2:10" ht="35.1" customHeight="1" x14ac:dyDescent="0.25">
      <c r="B114" s="1619" t="s">
        <v>6941</v>
      </c>
      <c r="C114" s="1616">
        <f>'[3]Anexo I - Programas'!$C$74</f>
        <v>2002</v>
      </c>
      <c r="D114" s="1622" t="str">
        <f>'[3]Anexo I - Programas'!$D$74</f>
        <v xml:space="preserve">GESTÃO , APOIO E MANUTENÇÃO , COORDENAÇÃO E PLANEJAMENTO </v>
      </c>
      <c r="E114" s="1619" t="s">
        <v>6941</v>
      </c>
      <c r="F114" s="1616">
        <f>C114</f>
        <v>2002</v>
      </c>
      <c r="G114" s="1618" t="str">
        <f>D114</f>
        <v xml:space="preserve">GESTÃO , APOIO E MANUTENÇÃO , COORDENAÇÃO E PLANEJAMENTO </v>
      </c>
      <c r="H114" s="775" t="s">
        <v>3137</v>
      </c>
      <c r="I114" s="795" t="str">
        <f>F112</f>
        <v>003</v>
      </c>
      <c r="J114" s="762" t="str">
        <f>G112</f>
        <v xml:space="preserve">GESTÃO, COORDENAÇÃO E PLANEJAMENTO </v>
      </c>
    </row>
    <row r="115" spans="2:10" ht="35.1" customHeight="1" x14ac:dyDescent="0.25">
      <c r="B115" s="1620"/>
      <c r="C115" s="1621"/>
      <c r="D115" s="1623"/>
      <c r="E115" s="1620"/>
      <c r="F115" s="1621"/>
      <c r="G115" s="1624"/>
      <c r="H115" s="776" t="s">
        <v>6941</v>
      </c>
      <c r="I115" s="796">
        <f>F114</f>
        <v>2002</v>
      </c>
      <c r="J115" s="764" t="str">
        <f>G114</f>
        <v xml:space="preserve">GESTÃO , APOIO E MANUTENÇÃO , COORDENAÇÃO E PLANEJAMENTO </v>
      </c>
    </row>
    <row r="116" spans="2:10" ht="35.1" customHeight="1" thickBot="1" x14ac:dyDescent="0.3">
      <c r="B116" s="769" t="s">
        <v>6939</v>
      </c>
      <c r="C116" s="1625">
        <v>10370000</v>
      </c>
      <c r="D116" s="1626"/>
      <c r="E116" s="769" t="s">
        <v>6939</v>
      </c>
      <c r="F116" s="1625">
        <v>2592500</v>
      </c>
      <c r="G116" s="1627"/>
      <c r="H116" s="778" t="s">
        <v>6939</v>
      </c>
      <c r="I116" s="1625">
        <f>DESPORC!I488</f>
        <v>0.05</v>
      </c>
      <c r="J116" s="1627"/>
    </row>
    <row r="119" spans="2:10" ht="35.1" customHeight="1" x14ac:dyDescent="0.25">
      <c r="B119" s="1631" t="s">
        <v>6927</v>
      </c>
      <c r="C119" s="1631"/>
      <c r="D119" s="755" t="str">
        <f>DESPORC!C499</f>
        <v>02 - PREFEITURA MUNICIPAL DE CHUVISCA</v>
      </c>
      <c r="E119" s="797"/>
      <c r="F119" s="798"/>
      <c r="G119" s="798"/>
      <c r="H119" s="797"/>
      <c r="I119" s="798"/>
      <c r="J119" s="798"/>
    </row>
    <row r="120" spans="2:10" ht="35.1" customHeight="1" thickBot="1" x14ac:dyDescent="0.3">
      <c r="B120" s="1632" t="s">
        <v>3087</v>
      </c>
      <c r="C120" s="1632"/>
      <c r="D120" s="755" t="str">
        <f>DESPORC!C500</f>
        <v>03 - SECRETARIA MUNICIPAL DA FAZENDA</v>
      </c>
      <c r="E120" s="797"/>
      <c r="F120" s="36"/>
      <c r="G120" s="1"/>
      <c r="H120" s="772"/>
      <c r="I120" s="1"/>
      <c r="J120" s="1"/>
    </row>
    <row r="121" spans="2:10" ht="35.1" customHeight="1" thickBot="1" x14ac:dyDescent="0.3">
      <c r="B121" s="1776" t="s">
        <v>6955</v>
      </c>
      <c r="C121" s="1777"/>
      <c r="D121" s="1778"/>
      <c r="E121" s="1776" t="str">
        <f>E$12</f>
        <v>PRIORIDADES LDO LEI MUNICIPAL N.º 1215  DE 02 DE OUTUBRO DE 2019.</v>
      </c>
      <c r="F121" s="1777"/>
      <c r="G121" s="1778"/>
      <c r="H121" s="1779" t="s">
        <v>6956</v>
      </c>
      <c r="I121" s="1780"/>
      <c r="J121" s="1781"/>
    </row>
    <row r="122" spans="2:10" ht="35.1" customHeight="1" x14ac:dyDescent="0.25">
      <c r="B122" s="1628" t="s">
        <v>3137</v>
      </c>
      <c r="C122" s="1615" t="str">
        <f>'[3]Anexo I - Programas'!$B$60</f>
        <v>003</v>
      </c>
      <c r="D122" s="1629" t="str">
        <f>'[3]Anexo I - Programas'!$C$60</f>
        <v xml:space="preserve">GESTÃO, COORDENAÇÃO E PLANEJAMENTO </v>
      </c>
      <c r="E122" s="1628" t="s">
        <v>3137</v>
      </c>
      <c r="F122" s="1615" t="str">
        <f>C122</f>
        <v>003</v>
      </c>
      <c r="G122" s="1617" t="str">
        <f>D122</f>
        <v xml:space="preserve">GESTÃO, COORDENAÇÃO E PLANEJAMENTO </v>
      </c>
      <c r="H122" s="773" t="s">
        <v>3138</v>
      </c>
      <c r="I122" s="757">
        <f>DESPORC!C503</f>
        <v>4</v>
      </c>
      <c r="J122" s="765" t="str">
        <f>DESPORC!D503</f>
        <v>Administração</v>
      </c>
    </row>
    <row r="123" spans="2:10" ht="35.1" customHeight="1" x14ac:dyDescent="0.25">
      <c r="B123" s="1619"/>
      <c r="C123" s="1616"/>
      <c r="D123" s="1630"/>
      <c r="E123" s="1619"/>
      <c r="F123" s="1616"/>
      <c r="G123" s="1618"/>
      <c r="H123" s="774" t="s">
        <v>6940</v>
      </c>
      <c r="I123" s="757">
        <f>DESPORC!C504</f>
        <v>123</v>
      </c>
      <c r="J123" s="765" t="str">
        <f>DESPORC!D504</f>
        <v>Administração Financeira</v>
      </c>
    </row>
    <row r="124" spans="2:10" ht="35.1" customHeight="1" x14ac:dyDescent="0.25">
      <c r="B124" s="1619" t="s">
        <v>6941</v>
      </c>
      <c r="C124" s="1616">
        <f>'[3]Anexo I - Programas'!$C$69</f>
        <v>1002</v>
      </c>
      <c r="D124" s="1622" t="str">
        <f>'[3]Anexo I - Programas'!$D$69</f>
        <v>Realização de Novos Investimentos do Poder Executivo</v>
      </c>
      <c r="E124" s="1619" t="s">
        <v>6941</v>
      </c>
      <c r="F124" s="1616">
        <f>C124</f>
        <v>1002</v>
      </c>
      <c r="G124" s="1618" t="str">
        <f>D124</f>
        <v>Realização de Novos Investimentos do Poder Executivo</v>
      </c>
      <c r="H124" s="775" t="s">
        <v>3137</v>
      </c>
      <c r="I124" s="795" t="str">
        <f>F122</f>
        <v>003</v>
      </c>
      <c r="J124" s="762" t="str">
        <f>G122</f>
        <v xml:space="preserve">GESTÃO, COORDENAÇÃO E PLANEJAMENTO </v>
      </c>
    </row>
    <row r="125" spans="2:10" ht="35.1" customHeight="1" x14ac:dyDescent="0.25">
      <c r="B125" s="1620"/>
      <c r="C125" s="1621"/>
      <c r="D125" s="1623"/>
      <c r="E125" s="1620"/>
      <c r="F125" s="1621"/>
      <c r="G125" s="1624"/>
      <c r="H125" s="776" t="s">
        <v>6941</v>
      </c>
      <c r="I125" s="796">
        <f>F124</f>
        <v>1002</v>
      </c>
      <c r="J125" s="764" t="str">
        <f>G124</f>
        <v>Realização de Novos Investimentos do Poder Executivo</v>
      </c>
    </row>
    <row r="126" spans="2:10" ht="35.1" customHeight="1" thickBot="1" x14ac:dyDescent="0.3">
      <c r="B126" s="769" t="s">
        <v>6939</v>
      </c>
      <c r="C126" s="1625">
        <v>1600000</v>
      </c>
      <c r="D126" s="1626"/>
      <c r="E126" s="769" t="s">
        <v>6939</v>
      </c>
      <c r="F126" s="1625">
        <v>400000</v>
      </c>
      <c r="G126" s="1627"/>
      <c r="H126" s="778" t="s">
        <v>6939</v>
      </c>
      <c r="I126" s="1625">
        <f>DESPORC!I506</f>
        <v>8.33978628E-2</v>
      </c>
      <c r="J126" s="1627"/>
    </row>
    <row r="127" spans="2:10" ht="35.1" customHeight="1" x14ac:dyDescent="0.25">
      <c r="B127" s="1628" t="s">
        <v>3137</v>
      </c>
      <c r="C127" s="1615" t="str">
        <f>'[3]Anexo I - Programas'!$B$60</f>
        <v>003</v>
      </c>
      <c r="D127" s="1629" t="str">
        <f>'[3]Anexo I - Programas'!$C$60</f>
        <v xml:space="preserve">GESTÃO, COORDENAÇÃO E PLANEJAMENTO </v>
      </c>
      <c r="E127" s="1628" t="s">
        <v>3137</v>
      </c>
      <c r="F127" s="1615" t="str">
        <f>C127</f>
        <v>003</v>
      </c>
      <c r="G127" s="1617" t="str">
        <f>D127</f>
        <v xml:space="preserve">GESTÃO, COORDENAÇÃO E PLANEJAMENTO </v>
      </c>
      <c r="H127" s="773" t="s">
        <v>3138</v>
      </c>
      <c r="I127" s="757">
        <f>DESPORC!C516</f>
        <v>4</v>
      </c>
      <c r="J127" s="765" t="str">
        <f>DESPORC!D516</f>
        <v>Administração</v>
      </c>
    </row>
    <row r="128" spans="2:10" ht="35.1" customHeight="1" x14ac:dyDescent="0.25">
      <c r="B128" s="1619"/>
      <c r="C128" s="1616"/>
      <c r="D128" s="1630"/>
      <c r="E128" s="1619"/>
      <c r="F128" s="1616"/>
      <c r="G128" s="1618"/>
      <c r="H128" s="774" t="s">
        <v>6940</v>
      </c>
      <c r="I128" s="757">
        <f>DESPORC!C517</f>
        <v>123</v>
      </c>
      <c r="J128" s="765" t="str">
        <f>DESPORC!D517</f>
        <v>Administração Financeira</v>
      </c>
    </row>
    <row r="129" spans="2:10" ht="35.1" customHeight="1" x14ac:dyDescent="0.25">
      <c r="B129" s="1619" t="s">
        <v>6941</v>
      </c>
      <c r="C129" s="1616">
        <f>'[3]Anexo I - Programas'!$C$74</f>
        <v>2002</v>
      </c>
      <c r="D129" s="1622" t="str">
        <f>'[3]Anexo I - Programas'!$D$74</f>
        <v xml:space="preserve">GESTÃO , APOIO E MANUTENÇÃO , COORDENAÇÃO E PLANEJAMENTO </v>
      </c>
      <c r="E129" s="1619" t="s">
        <v>6941</v>
      </c>
      <c r="F129" s="1616">
        <f>C129</f>
        <v>2002</v>
      </c>
      <c r="G129" s="1618" t="str">
        <f>D129</f>
        <v xml:space="preserve">GESTÃO , APOIO E MANUTENÇÃO , COORDENAÇÃO E PLANEJAMENTO </v>
      </c>
      <c r="H129" s="775" t="s">
        <v>3137</v>
      </c>
      <c r="I129" s="795" t="str">
        <f>F127</f>
        <v>003</v>
      </c>
      <c r="J129" s="762" t="str">
        <f>G127</f>
        <v xml:space="preserve">GESTÃO, COORDENAÇÃO E PLANEJAMENTO </v>
      </c>
    </row>
    <row r="130" spans="2:10" ht="35.1" customHeight="1" x14ac:dyDescent="0.25">
      <c r="B130" s="1620"/>
      <c r="C130" s="1621"/>
      <c r="D130" s="1623"/>
      <c r="E130" s="1620"/>
      <c r="F130" s="1621"/>
      <c r="G130" s="1624"/>
      <c r="H130" s="776" t="s">
        <v>6941</v>
      </c>
      <c r="I130" s="796">
        <f>F129</f>
        <v>2002</v>
      </c>
      <c r="J130" s="764" t="str">
        <f>G129</f>
        <v xml:space="preserve">GESTÃO , APOIO E MANUTENÇÃO , COORDENAÇÃO E PLANEJAMENTO </v>
      </c>
    </row>
    <row r="131" spans="2:10" ht="35.1" customHeight="1" thickBot="1" x14ac:dyDescent="0.3">
      <c r="B131" s="769" t="s">
        <v>6939</v>
      </c>
      <c r="C131" s="1625">
        <v>13370000</v>
      </c>
      <c r="D131" s="1626"/>
      <c r="E131" s="769" t="s">
        <v>6939</v>
      </c>
      <c r="F131" s="1625">
        <v>2592500</v>
      </c>
      <c r="G131" s="1627"/>
      <c r="H131" s="778" t="s">
        <v>6939</v>
      </c>
      <c r="I131" s="1625">
        <f>DESPORC!I519</f>
        <v>873677.75982649461</v>
      </c>
      <c r="J131" s="1627"/>
    </row>
    <row r="132" spans="2:10" ht="35.1" customHeight="1" x14ac:dyDescent="0.25">
      <c r="B132" s="1628" t="s">
        <v>3137</v>
      </c>
      <c r="C132" s="1615" t="str">
        <f>'[3]Anexo I - Programas'!$B$60</f>
        <v>003</v>
      </c>
      <c r="D132" s="1629" t="str">
        <f>'[3]Anexo I - Programas'!$C$60</f>
        <v xml:space="preserve">GESTÃO, COORDENAÇÃO E PLANEJAMENTO </v>
      </c>
      <c r="E132" s="1628" t="s">
        <v>3137</v>
      </c>
      <c r="F132" s="1615" t="str">
        <f>C132</f>
        <v>003</v>
      </c>
      <c r="G132" s="1617" t="str">
        <f>D132</f>
        <v xml:space="preserve">GESTÃO, COORDENAÇÃO E PLANEJAMENTO </v>
      </c>
      <c r="H132" s="773" t="s">
        <v>3138</v>
      </c>
      <c r="I132" s="757">
        <f>DESPORC!C592</f>
        <v>4</v>
      </c>
      <c r="J132" s="765" t="str">
        <f>DESPORC!D592</f>
        <v>Administração</v>
      </c>
    </row>
    <row r="133" spans="2:10" ht="35.1" customHeight="1" x14ac:dyDescent="0.25">
      <c r="B133" s="1619"/>
      <c r="C133" s="1616"/>
      <c r="D133" s="1630"/>
      <c r="E133" s="1619"/>
      <c r="F133" s="1616"/>
      <c r="G133" s="1618"/>
      <c r="H133" s="774" t="s">
        <v>6940</v>
      </c>
      <c r="I133" s="757">
        <f>DESPORC!C593</f>
        <v>126</v>
      </c>
      <c r="J133" s="765" t="str">
        <f>DESPORC!D593</f>
        <v>Tecnologia da Informação</v>
      </c>
    </row>
    <row r="134" spans="2:10" ht="35.1" customHeight="1" x14ac:dyDescent="0.25">
      <c r="B134" s="1619" t="s">
        <v>6941</v>
      </c>
      <c r="C134" s="1616">
        <f>'[3]Anexo I - Programas'!$C$74</f>
        <v>2002</v>
      </c>
      <c r="D134" s="1622" t="str">
        <f>'[3]Anexo I - Programas'!$D$74</f>
        <v xml:space="preserve">GESTÃO , APOIO E MANUTENÇÃO , COORDENAÇÃO E PLANEJAMENTO </v>
      </c>
      <c r="E134" s="1619" t="s">
        <v>6941</v>
      </c>
      <c r="F134" s="1616">
        <f>C134</f>
        <v>2002</v>
      </c>
      <c r="G134" s="1618" t="str">
        <f>D134</f>
        <v xml:space="preserve">GESTÃO , APOIO E MANUTENÇÃO , COORDENAÇÃO E PLANEJAMENTO </v>
      </c>
      <c r="H134" s="775" t="s">
        <v>3137</v>
      </c>
      <c r="I134" s="795" t="str">
        <f>F132</f>
        <v>003</v>
      </c>
      <c r="J134" s="762" t="str">
        <f>G132</f>
        <v xml:space="preserve">GESTÃO, COORDENAÇÃO E PLANEJAMENTO </v>
      </c>
    </row>
    <row r="135" spans="2:10" ht="35.1" customHeight="1" x14ac:dyDescent="0.25">
      <c r="B135" s="1620"/>
      <c r="C135" s="1621"/>
      <c r="D135" s="1623"/>
      <c r="E135" s="1620"/>
      <c r="F135" s="1621"/>
      <c r="G135" s="1624"/>
      <c r="H135" s="776" t="s">
        <v>6941</v>
      </c>
      <c r="I135" s="796">
        <f>F134</f>
        <v>2002</v>
      </c>
      <c r="J135" s="764" t="str">
        <f>G134</f>
        <v xml:space="preserve">GESTÃO , APOIO E MANUTENÇÃO , COORDENAÇÃO E PLANEJAMENTO </v>
      </c>
    </row>
    <row r="136" spans="2:10" ht="35.1" customHeight="1" thickBot="1" x14ac:dyDescent="0.3">
      <c r="B136" s="769" t="s">
        <v>6939</v>
      </c>
      <c r="C136" s="1625">
        <v>13370000</v>
      </c>
      <c r="D136" s="1626"/>
      <c r="E136" s="769" t="s">
        <v>6939</v>
      </c>
      <c r="F136" s="1625">
        <v>2592500</v>
      </c>
      <c r="G136" s="1627"/>
      <c r="H136" s="778" t="s">
        <v>6939</v>
      </c>
      <c r="I136" s="1625">
        <f>DESPORC!I595</f>
        <v>12070.744273402999</v>
      </c>
      <c r="J136" s="1627"/>
    </row>
    <row r="137" spans="2:10" ht="35.1" customHeight="1" x14ac:dyDescent="0.25">
      <c r="B137" s="1628" t="s">
        <v>3137</v>
      </c>
      <c r="C137" s="1615" t="str">
        <f>'[3]Anexo I - Programas'!$B$60</f>
        <v>003</v>
      </c>
      <c r="D137" s="1629" t="str">
        <f>'[3]Anexo I - Programas'!$C$60</f>
        <v xml:space="preserve">GESTÃO, COORDENAÇÃO E PLANEJAMENTO </v>
      </c>
      <c r="E137" s="1628" t="s">
        <v>3137</v>
      </c>
      <c r="F137" s="1615" t="str">
        <f>C137</f>
        <v>003</v>
      </c>
      <c r="G137" s="1617" t="str">
        <f>D137</f>
        <v xml:space="preserve">GESTÃO, COORDENAÇÃO E PLANEJAMENTO </v>
      </c>
      <c r="H137" s="773" t="s">
        <v>3138</v>
      </c>
      <c r="I137" s="757">
        <f>DESPORC!C601</f>
        <v>4</v>
      </c>
      <c r="J137" s="765" t="str">
        <f>DESPORC!D601</f>
        <v>Administração</v>
      </c>
    </row>
    <row r="138" spans="2:10" ht="35.1" customHeight="1" x14ac:dyDescent="0.25">
      <c r="B138" s="1619"/>
      <c r="C138" s="1616"/>
      <c r="D138" s="1630"/>
      <c r="E138" s="1619"/>
      <c r="F138" s="1616"/>
      <c r="G138" s="1618"/>
      <c r="H138" s="774" t="s">
        <v>6940</v>
      </c>
      <c r="I138" s="757">
        <f>DESPORC!C602</f>
        <v>128</v>
      </c>
      <c r="J138" s="765" t="str">
        <f>DESPORC!D602</f>
        <v>Formação de Recursos Humanos</v>
      </c>
    </row>
    <row r="139" spans="2:10" ht="35.1" customHeight="1" x14ac:dyDescent="0.25">
      <c r="B139" s="1619" t="s">
        <v>6941</v>
      </c>
      <c r="C139" s="1616">
        <f>'[3]Anexo I - Programas'!$C$74</f>
        <v>2002</v>
      </c>
      <c r="D139" s="1622" t="str">
        <f>'[3]Anexo I - Programas'!$D$74</f>
        <v xml:space="preserve">GESTÃO , APOIO E MANUTENÇÃO , COORDENAÇÃO E PLANEJAMENTO </v>
      </c>
      <c r="E139" s="1619" t="s">
        <v>6941</v>
      </c>
      <c r="F139" s="1616">
        <f>C139</f>
        <v>2002</v>
      </c>
      <c r="G139" s="1618" t="str">
        <f>D139</f>
        <v xml:space="preserve">GESTÃO , APOIO E MANUTENÇÃO , COORDENAÇÃO E PLANEJAMENTO </v>
      </c>
      <c r="H139" s="775" t="s">
        <v>3137</v>
      </c>
      <c r="I139" s="795" t="str">
        <f>F137</f>
        <v>003</v>
      </c>
      <c r="J139" s="762" t="str">
        <f>G137</f>
        <v xml:space="preserve">GESTÃO, COORDENAÇÃO E PLANEJAMENTO </v>
      </c>
    </row>
    <row r="140" spans="2:10" ht="35.1" customHeight="1" x14ac:dyDescent="0.25">
      <c r="B140" s="1620"/>
      <c r="C140" s="1621"/>
      <c r="D140" s="1623"/>
      <c r="E140" s="1620"/>
      <c r="F140" s="1621"/>
      <c r="G140" s="1624"/>
      <c r="H140" s="776" t="s">
        <v>6941</v>
      </c>
      <c r="I140" s="796">
        <f>F139</f>
        <v>2002</v>
      </c>
      <c r="J140" s="764" t="str">
        <f>G139</f>
        <v xml:space="preserve">GESTÃO , APOIO E MANUTENÇÃO , COORDENAÇÃO E PLANEJAMENTO </v>
      </c>
    </row>
    <row r="141" spans="2:10" ht="35.1" customHeight="1" thickBot="1" x14ac:dyDescent="0.3">
      <c r="B141" s="769" t="s">
        <v>6939</v>
      </c>
      <c r="C141" s="1625">
        <v>13370000</v>
      </c>
      <c r="D141" s="1626"/>
      <c r="E141" s="769" t="s">
        <v>6939</v>
      </c>
      <c r="F141" s="1625">
        <v>2592500</v>
      </c>
      <c r="G141" s="1627"/>
      <c r="H141" s="778" t="s">
        <v>6939</v>
      </c>
      <c r="I141" s="1625">
        <f>DESPORC!I604</f>
        <v>0.05</v>
      </c>
      <c r="J141" s="1627"/>
    </row>
    <row r="142" spans="2:10" ht="35.1" customHeight="1" x14ac:dyDescent="0.25">
      <c r="B142" s="1628" t="s">
        <v>3137</v>
      </c>
      <c r="C142" s="1615" t="str">
        <f>'[3]Anexo I - Programas'!$B$60</f>
        <v>003</v>
      </c>
      <c r="D142" s="1629" t="str">
        <f>'[3]Anexo I - Programas'!$C$60</f>
        <v xml:space="preserve">GESTÃO, COORDENAÇÃO E PLANEJAMENTO </v>
      </c>
      <c r="E142" s="1628" t="s">
        <v>3137</v>
      </c>
      <c r="F142" s="1615" t="str">
        <f>C142</f>
        <v>003</v>
      </c>
      <c r="G142" s="1617" t="str">
        <f>D142</f>
        <v xml:space="preserve">GESTÃO, COORDENAÇÃO E PLANEJAMENTO </v>
      </c>
      <c r="H142" s="773" t="s">
        <v>3138</v>
      </c>
      <c r="I142" s="757">
        <f>DESPORC!C612</f>
        <v>3</v>
      </c>
      <c r="J142" s="765" t="str">
        <f>DESPORC!D612</f>
        <v xml:space="preserve">GESTÃO, COORDENAÇÃO E PLANEJAMENTO </v>
      </c>
    </row>
    <row r="143" spans="2:10" ht="35.1" customHeight="1" x14ac:dyDescent="0.25">
      <c r="B143" s="1619"/>
      <c r="C143" s="1616"/>
      <c r="D143" s="1630"/>
      <c r="E143" s="1619"/>
      <c r="F143" s="1616"/>
      <c r="G143" s="1618"/>
      <c r="H143" s="774" t="s">
        <v>6940</v>
      </c>
      <c r="I143" s="757">
        <f>DESPORC!C613</f>
        <v>2055</v>
      </c>
      <c r="J143" s="765" t="str">
        <f>DESPORC!D613</f>
        <v>GESTÃO PROGRAMA EDUC. FISC. E INT. TRIBUTARIA</v>
      </c>
    </row>
    <row r="144" spans="2:10" ht="35.1" customHeight="1" x14ac:dyDescent="0.25">
      <c r="B144" s="1619" t="s">
        <v>6941</v>
      </c>
      <c r="C144" s="1616">
        <f>'[3]Anexo I - Programas'!$C$80</f>
        <v>2055</v>
      </c>
      <c r="D144" s="1622" t="str">
        <f>'[3]Anexo I - Programas'!$D$80</f>
        <v>GESTÃO PROGRAMA EDUC. FISC. E INT. TRIBUTARIA</v>
      </c>
      <c r="E144" s="1619" t="s">
        <v>6941</v>
      </c>
      <c r="F144" s="1616">
        <f>C144</f>
        <v>2055</v>
      </c>
      <c r="G144" s="1618" t="str">
        <f>D144</f>
        <v>GESTÃO PROGRAMA EDUC. FISC. E INT. TRIBUTARIA</v>
      </c>
      <c r="H144" s="775" t="s">
        <v>3137</v>
      </c>
      <c r="I144" s="850" t="str">
        <f>F142</f>
        <v>003</v>
      </c>
      <c r="J144" s="762" t="str">
        <f>G142</f>
        <v xml:space="preserve">GESTÃO, COORDENAÇÃO E PLANEJAMENTO </v>
      </c>
    </row>
    <row r="145" spans="2:10" ht="35.1" customHeight="1" x14ac:dyDescent="0.25">
      <c r="B145" s="1620"/>
      <c r="C145" s="1621"/>
      <c r="D145" s="1623"/>
      <c r="E145" s="1620"/>
      <c r="F145" s="1621"/>
      <c r="G145" s="1624"/>
      <c r="H145" s="776" t="s">
        <v>6941</v>
      </c>
      <c r="I145" s="851">
        <f>F144</f>
        <v>2055</v>
      </c>
      <c r="J145" s="764" t="str">
        <f>G144</f>
        <v>GESTÃO PROGRAMA EDUC. FISC. E INT. TRIBUTARIA</v>
      </c>
    </row>
    <row r="146" spans="2:10" ht="35.1" customHeight="1" thickBot="1" x14ac:dyDescent="0.3">
      <c r="B146" s="769" t="s">
        <v>6939</v>
      </c>
      <c r="C146" s="1625">
        <v>200000</v>
      </c>
      <c r="D146" s="1626"/>
      <c r="E146" s="769" t="s">
        <v>6939</v>
      </c>
      <c r="F146" s="1625">
        <v>50000</v>
      </c>
      <c r="G146" s="1627"/>
      <c r="H146" s="778" t="s">
        <v>6939</v>
      </c>
      <c r="I146" s="1625">
        <f>DESPORC!I615</f>
        <v>0.01</v>
      </c>
      <c r="J146" s="1627"/>
    </row>
    <row r="147" spans="2:10" ht="35.1" customHeight="1" x14ac:dyDescent="0.25">
      <c r="B147" s="1628" t="s">
        <v>3137</v>
      </c>
      <c r="C147" s="1615" t="str">
        <f>'[3]Anexo I - Programas'!$B$60</f>
        <v>003</v>
      </c>
      <c r="D147" s="1629" t="str">
        <f>'[3]Anexo I - Programas'!$C$60</f>
        <v xml:space="preserve">GESTÃO, COORDENAÇÃO E PLANEJAMENTO </v>
      </c>
      <c r="E147" s="1628" t="s">
        <v>3137</v>
      </c>
      <c r="F147" s="1615" t="str">
        <f>C147</f>
        <v>003</v>
      </c>
      <c r="G147" s="1617" t="str">
        <f>D147</f>
        <v xml:space="preserve">GESTÃO, COORDENAÇÃO E PLANEJAMENTO </v>
      </c>
      <c r="H147" s="773" t="s">
        <v>3138</v>
      </c>
      <c r="I147" s="757">
        <f>DESPORC!C629</f>
        <v>3</v>
      </c>
      <c r="J147" s="765" t="str">
        <f>DESPORC!D629</f>
        <v xml:space="preserve">GESTÃO, COORDENAÇÃO E PLANEJAMENTO </v>
      </c>
    </row>
    <row r="148" spans="2:10" ht="35.1" customHeight="1" x14ac:dyDescent="0.25">
      <c r="B148" s="1619"/>
      <c r="C148" s="1616"/>
      <c r="D148" s="1630"/>
      <c r="E148" s="1619"/>
      <c r="F148" s="1616"/>
      <c r="G148" s="1618"/>
      <c r="H148" s="774" t="s">
        <v>6940</v>
      </c>
      <c r="I148" s="757">
        <f>DESPORC!C630</f>
        <v>2055</v>
      </c>
      <c r="J148" s="765" t="str">
        <f>DESPORC!D630</f>
        <v>GESTÃO PROGRAMA EDUC. FISC. E INT. TRIBUTARIA</v>
      </c>
    </row>
    <row r="149" spans="2:10" ht="35.1" customHeight="1" x14ac:dyDescent="0.25">
      <c r="B149" s="1619" t="s">
        <v>6941</v>
      </c>
      <c r="C149" s="1616">
        <f>'[3]Anexo I - Programas'!$C$80</f>
        <v>2055</v>
      </c>
      <c r="D149" s="1622" t="str">
        <f>'[3]Anexo I - Programas'!$D$80</f>
        <v>GESTÃO PROGRAMA EDUC. FISC. E INT. TRIBUTARIA</v>
      </c>
      <c r="E149" s="1619" t="s">
        <v>6941</v>
      </c>
      <c r="F149" s="1616">
        <f>C149</f>
        <v>2055</v>
      </c>
      <c r="G149" s="1618" t="str">
        <f>D149</f>
        <v>GESTÃO PROGRAMA EDUC. FISC. E INT. TRIBUTARIA</v>
      </c>
      <c r="H149" s="775" t="s">
        <v>3137</v>
      </c>
      <c r="I149" s="850" t="str">
        <f>F147</f>
        <v>003</v>
      </c>
      <c r="J149" s="762" t="str">
        <f>G147</f>
        <v xml:space="preserve">GESTÃO, COORDENAÇÃO E PLANEJAMENTO </v>
      </c>
    </row>
    <row r="150" spans="2:10" ht="35.1" customHeight="1" x14ac:dyDescent="0.25">
      <c r="B150" s="1620"/>
      <c r="C150" s="1621"/>
      <c r="D150" s="1623"/>
      <c r="E150" s="1620"/>
      <c r="F150" s="1621"/>
      <c r="G150" s="1624"/>
      <c r="H150" s="776" t="s">
        <v>6941</v>
      </c>
      <c r="I150" s="851">
        <f>F149</f>
        <v>2055</v>
      </c>
      <c r="J150" s="764" t="str">
        <f>G149</f>
        <v>GESTÃO PROGRAMA EDUC. FISC. E INT. TRIBUTARIA</v>
      </c>
    </row>
    <row r="151" spans="2:10" ht="35.1" customHeight="1" thickBot="1" x14ac:dyDescent="0.3">
      <c r="B151" s="769" t="s">
        <v>6939</v>
      </c>
      <c r="C151" s="1625">
        <v>200000</v>
      </c>
      <c r="D151" s="1626"/>
      <c r="E151" s="769" t="s">
        <v>6939</v>
      </c>
      <c r="F151" s="1625">
        <v>50000</v>
      </c>
      <c r="G151" s="1627"/>
      <c r="H151" s="778" t="s">
        <v>6939</v>
      </c>
      <c r="I151" s="1625">
        <f>DESPORC!I632</f>
        <v>0.05</v>
      </c>
      <c r="J151" s="1627"/>
    </row>
    <row r="152" spans="2:10" ht="35.1" customHeight="1" x14ac:dyDescent="0.25">
      <c r="B152" s="1628" t="s">
        <v>3137</v>
      </c>
      <c r="C152" s="1615" t="str">
        <f>'[3]Anexo I - Programas'!$B$60</f>
        <v>003</v>
      </c>
      <c r="D152" s="1629" t="str">
        <f>'[3]Anexo I - Programas'!$C$60</f>
        <v xml:space="preserve">GESTÃO, COORDENAÇÃO E PLANEJAMENTO </v>
      </c>
      <c r="E152" s="1628" t="s">
        <v>3137</v>
      </c>
      <c r="F152" s="1615" t="str">
        <f>C152</f>
        <v>003</v>
      </c>
      <c r="G152" s="1617" t="str">
        <f>D152</f>
        <v xml:space="preserve">GESTÃO, COORDENAÇÃO E PLANEJAMENTO </v>
      </c>
      <c r="H152" s="773" t="s">
        <v>3138</v>
      </c>
      <c r="I152" s="757">
        <f>DESPORC!C634</f>
        <v>3</v>
      </c>
      <c r="J152" s="765" t="str">
        <f>DESPORC!D634</f>
        <v xml:space="preserve">GESTÃO, COORDENAÇÃO E PLANEJAMENTO </v>
      </c>
    </row>
    <row r="153" spans="2:10" ht="35.1" customHeight="1" x14ac:dyDescent="0.25">
      <c r="B153" s="1619"/>
      <c r="C153" s="1616"/>
      <c r="D153" s="1630"/>
      <c r="E153" s="1619"/>
      <c r="F153" s="1616"/>
      <c r="G153" s="1618"/>
      <c r="H153" s="774" t="s">
        <v>6940</v>
      </c>
      <c r="I153" s="757">
        <f>DESPORC!C635</f>
        <v>2055</v>
      </c>
      <c r="J153" s="765" t="str">
        <f>DESPORC!D635</f>
        <v>GESTÃO PROGRAMA EDUC. FISC. E INT. TRIBUTARIA</v>
      </c>
    </row>
    <row r="154" spans="2:10" ht="35.1" customHeight="1" x14ac:dyDescent="0.25">
      <c r="B154" s="1619" t="s">
        <v>6941</v>
      </c>
      <c r="C154" s="1616">
        <f>'[3]Anexo I - Programas'!$C$80</f>
        <v>2055</v>
      </c>
      <c r="D154" s="1622" t="str">
        <f>'[3]Anexo I - Programas'!$D$80</f>
        <v>GESTÃO PROGRAMA EDUC. FISC. E INT. TRIBUTARIA</v>
      </c>
      <c r="E154" s="1619" t="s">
        <v>6941</v>
      </c>
      <c r="F154" s="1616">
        <f>C154</f>
        <v>2055</v>
      </c>
      <c r="G154" s="1618" t="str">
        <f>D154</f>
        <v>GESTÃO PROGRAMA EDUC. FISC. E INT. TRIBUTARIA</v>
      </c>
      <c r="H154" s="775" t="s">
        <v>3137</v>
      </c>
      <c r="I154" s="850" t="str">
        <f>F152</f>
        <v>003</v>
      </c>
      <c r="J154" s="762" t="str">
        <f>G152</f>
        <v xml:space="preserve">GESTÃO, COORDENAÇÃO E PLANEJAMENTO </v>
      </c>
    </row>
    <row r="155" spans="2:10" ht="35.1" customHeight="1" x14ac:dyDescent="0.25">
      <c r="B155" s="1620"/>
      <c r="C155" s="1621"/>
      <c r="D155" s="1623"/>
      <c r="E155" s="1620"/>
      <c r="F155" s="1621"/>
      <c r="G155" s="1624"/>
      <c r="H155" s="776" t="s">
        <v>6941</v>
      </c>
      <c r="I155" s="851">
        <f>F154</f>
        <v>2055</v>
      </c>
      <c r="J155" s="764" t="str">
        <f>G154</f>
        <v>GESTÃO PROGRAMA EDUC. FISC. E INT. TRIBUTARIA</v>
      </c>
    </row>
    <row r="156" spans="2:10" ht="35.1" customHeight="1" thickBot="1" x14ac:dyDescent="0.3">
      <c r="B156" s="769" t="s">
        <v>6939</v>
      </c>
      <c r="C156" s="1625">
        <v>200000</v>
      </c>
      <c r="D156" s="1626"/>
      <c r="E156" s="769" t="s">
        <v>6939</v>
      </c>
      <c r="F156" s="1625">
        <v>50000</v>
      </c>
      <c r="G156" s="1627"/>
      <c r="H156" s="778" t="s">
        <v>6939</v>
      </c>
      <c r="I156" s="1625">
        <f>DESPORC!I637</f>
        <v>0.01</v>
      </c>
      <c r="J156" s="1627"/>
    </row>
    <row r="157" spans="2:10" ht="35.1" customHeight="1" x14ac:dyDescent="0.25">
      <c r="B157" s="267"/>
      <c r="C157" s="807"/>
      <c r="D157" s="257"/>
      <c r="E157" s="267"/>
      <c r="F157" s="807"/>
      <c r="G157" s="257"/>
      <c r="H157" s="267"/>
      <c r="I157" s="807"/>
      <c r="J157" s="257"/>
    </row>
    <row r="159" spans="2:10" ht="35.1" customHeight="1" x14ac:dyDescent="0.25">
      <c r="B159" s="1631" t="s">
        <v>6927</v>
      </c>
      <c r="C159" s="1631"/>
      <c r="D159" s="755" t="str">
        <f>DESPORC!C647</f>
        <v>02 - PREFEITURA MUNICIPAL DE CHUVISCA</v>
      </c>
      <c r="E159" s="797"/>
      <c r="F159" s="798"/>
      <c r="G159" s="798"/>
      <c r="H159" s="797"/>
      <c r="I159" s="798"/>
      <c r="J159" s="798"/>
    </row>
    <row r="160" spans="2:10" ht="35.1" customHeight="1" thickBot="1" x14ac:dyDescent="0.3">
      <c r="B160" s="1632" t="s">
        <v>3087</v>
      </c>
      <c r="C160" s="1632"/>
      <c r="D160" s="755" t="str">
        <f>DESPORC!C648</f>
        <v>04 - SECRETARIA MUN. DE OBRAS, VIAÇÃO E SERV. URBANOS</v>
      </c>
      <c r="E160" s="797"/>
      <c r="F160" s="36"/>
      <c r="G160" s="1"/>
      <c r="H160" s="772"/>
      <c r="I160" s="1"/>
      <c r="J160" s="1"/>
    </row>
    <row r="161" spans="2:10" ht="35.1" customHeight="1" thickBot="1" x14ac:dyDescent="0.3">
      <c r="B161" s="1776" t="s">
        <v>6955</v>
      </c>
      <c r="C161" s="1777"/>
      <c r="D161" s="1778"/>
      <c r="E161" s="1776" t="str">
        <f>E$12</f>
        <v>PRIORIDADES LDO LEI MUNICIPAL N.º 1215  DE 02 DE OUTUBRO DE 2019.</v>
      </c>
      <c r="F161" s="1777"/>
      <c r="G161" s="1778"/>
      <c r="H161" s="1779" t="s">
        <v>6956</v>
      </c>
      <c r="I161" s="1780"/>
      <c r="J161" s="1781"/>
    </row>
    <row r="162" spans="2:10" ht="35.1" customHeight="1" x14ac:dyDescent="0.25">
      <c r="B162" s="1628" t="s">
        <v>3137</v>
      </c>
      <c r="C162" s="1615" t="str">
        <f>'[3]Anexo I - Programas'!$B$97</f>
        <v>4</v>
      </c>
      <c r="D162" s="1629" t="str">
        <f>'[3]Anexo I - Programas'!$C$97</f>
        <v xml:space="preserve">PROMOÇÃO E DESENVOLVIMENTO DA INFRAESTRUTURA </v>
      </c>
      <c r="E162" s="1628" t="s">
        <v>3137</v>
      </c>
      <c r="F162" s="1615" t="str">
        <f>C162</f>
        <v>4</v>
      </c>
      <c r="G162" s="1617" t="str">
        <f>D162</f>
        <v xml:space="preserve">PROMOÇÃO E DESENVOLVIMENTO DA INFRAESTRUTURA </v>
      </c>
      <c r="H162" s="773" t="s">
        <v>3138</v>
      </c>
      <c r="I162" s="757">
        <f>DESPORC!C651</f>
        <v>15</v>
      </c>
      <c r="J162" s="765" t="str">
        <f>DESPORC!D651</f>
        <v>Administração</v>
      </c>
    </row>
    <row r="163" spans="2:10" ht="35.1" customHeight="1" x14ac:dyDescent="0.25">
      <c r="B163" s="1619"/>
      <c r="C163" s="1616"/>
      <c r="D163" s="1630"/>
      <c r="E163" s="1619"/>
      <c r="F163" s="1616"/>
      <c r="G163" s="1618"/>
      <c r="H163" s="774" t="s">
        <v>6940</v>
      </c>
      <c r="I163" s="757">
        <f>DESPORC!C652</f>
        <v>451</v>
      </c>
      <c r="J163" s="765" t="str">
        <f>DESPORC!D652</f>
        <v>Infra-Estrutura-Urbana</v>
      </c>
    </row>
    <row r="164" spans="2:10" ht="35.1" customHeight="1" x14ac:dyDescent="0.25">
      <c r="B164" s="1619" t="s">
        <v>6941</v>
      </c>
      <c r="C164" s="1616">
        <f>'[3]Anexo I - Programas'!$C$106</f>
        <v>1003</v>
      </c>
      <c r="D164" s="1622" t="str">
        <f>'[3]Anexo I - Programas'!$D$106</f>
        <v>Novos Investimentos em Infraestrutura</v>
      </c>
      <c r="E164" s="1619" t="s">
        <v>6941</v>
      </c>
      <c r="F164" s="1616">
        <f>C164</f>
        <v>1003</v>
      </c>
      <c r="G164" s="1618" t="str">
        <f>D164</f>
        <v>Novos Investimentos em Infraestrutura</v>
      </c>
      <c r="H164" s="775" t="s">
        <v>3137</v>
      </c>
      <c r="I164" s="795" t="str">
        <f>F162</f>
        <v>4</v>
      </c>
      <c r="J164" s="762" t="str">
        <f>G162</f>
        <v xml:space="preserve">PROMOÇÃO E DESENVOLVIMENTO DA INFRAESTRUTURA </v>
      </c>
    </row>
    <row r="165" spans="2:10" ht="35.1" customHeight="1" x14ac:dyDescent="0.25">
      <c r="B165" s="1620"/>
      <c r="C165" s="1621"/>
      <c r="D165" s="1623"/>
      <c r="E165" s="1620"/>
      <c r="F165" s="1621"/>
      <c r="G165" s="1624"/>
      <c r="H165" s="776" t="s">
        <v>6941</v>
      </c>
      <c r="I165" s="796">
        <f>F164</f>
        <v>1003</v>
      </c>
      <c r="J165" s="764" t="str">
        <f>G164</f>
        <v>Novos Investimentos em Infraestrutura</v>
      </c>
    </row>
    <row r="166" spans="2:10" ht="35.1" customHeight="1" thickBot="1" x14ac:dyDescent="0.3">
      <c r="B166" s="769" t="s">
        <v>6939</v>
      </c>
      <c r="C166" s="1625">
        <v>700000</v>
      </c>
      <c r="D166" s="1626"/>
      <c r="E166" s="769" t="s">
        <v>6939</v>
      </c>
      <c r="F166" s="1625">
        <v>175000</v>
      </c>
      <c r="G166" s="1627"/>
      <c r="H166" s="778" t="s">
        <v>6939</v>
      </c>
      <c r="I166" s="1625">
        <f>DESPORC!I654</f>
        <v>8.4371265800000012E-2</v>
      </c>
      <c r="J166" s="1627"/>
    </row>
    <row r="167" spans="2:10" ht="35.1" customHeight="1" x14ac:dyDescent="0.25">
      <c r="B167" s="1628" t="s">
        <v>3137</v>
      </c>
      <c r="C167" s="1615" t="str">
        <f>'[3]Anexo I - Programas'!$B$97</f>
        <v>4</v>
      </c>
      <c r="D167" s="1629" t="str">
        <f>'[3]Anexo I - Programas'!$C$97</f>
        <v xml:space="preserve">PROMOÇÃO E DESENVOLVIMENTO DA INFRAESTRUTURA </v>
      </c>
      <c r="E167" s="1628" t="s">
        <v>3137</v>
      </c>
      <c r="F167" s="1615" t="str">
        <f>C167</f>
        <v>4</v>
      </c>
      <c r="G167" s="1617" t="str">
        <f>D167</f>
        <v xml:space="preserve">PROMOÇÃO E DESENVOLVIMENTO DA INFRAESTRUTURA </v>
      </c>
      <c r="H167" s="773" t="s">
        <v>3138</v>
      </c>
      <c r="I167" s="757">
        <f>DESPORC!C665</f>
        <v>15</v>
      </c>
      <c r="J167" s="765" t="str">
        <f>DESPORC!D665</f>
        <v>Administração</v>
      </c>
    </row>
    <row r="168" spans="2:10" ht="35.1" customHeight="1" x14ac:dyDescent="0.25">
      <c r="B168" s="1619"/>
      <c r="C168" s="1616"/>
      <c r="D168" s="1630"/>
      <c r="E168" s="1619"/>
      <c r="F168" s="1616"/>
      <c r="G168" s="1618"/>
      <c r="H168" s="774" t="s">
        <v>6940</v>
      </c>
      <c r="I168" s="757">
        <f>DESPORC!C666</f>
        <v>452</v>
      </c>
      <c r="J168" s="765" t="str">
        <f>DESPORC!D666</f>
        <v>Serviços Urbanos</v>
      </c>
    </row>
    <row r="169" spans="2:10" ht="35.1" customHeight="1" x14ac:dyDescent="0.25">
      <c r="B169" s="1619" t="s">
        <v>6941</v>
      </c>
      <c r="C169" s="1616">
        <f>'[3]Anexo I - Programas'!$C$106</f>
        <v>1003</v>
      </c>
      <c r="D169" s="1622" t="str">
        <f>'[3]Anexo I - Programas'!$D$106</f>
        <v>Novos Investimentos em Infraestrutura</v>
      </c>
      <c r="E169" s="1619" t="s">
        <v>6941</v>
      </c>
      <c r="F169" s="1616">
        <f>C169</f>
        <v>1003</v>
      </c>
      <c r="G169" s="1618" t="str">
        <f>D169</f>
        <v>Novos Investimentos em Infraestrutura</v>
      </c>
      <c r="H169" s="775" t="s">
        <v>3137</v>
      </c>
      <c r="I169" s="795" t="str">
        <f>F167</f>
        <v>4</v>
      </c>
      <c r="J169" s="762" t="str">
        <f>G167</f>
        <v xml:space="preserve">PROMOÇÃO E DESENVOLVIMENTO DA INFRAESTRUTURA </v>
      </c>
    </row>
    <row r="170" spans="2:10" ht="35.1" customHeight="1" x14ac:dyDescent="0.25">
      <c r="B170" s="1620"/>
      <c r="C170" s="1621"/>
      <c r="D170" s="1623"/>
      <c r="E170" s="1620"/>
      <c r="F170" s="1621"/>
      <c r="G170" s="1624"/>
      <c r="H170" s="776" t="s">
        <v>6941</v>
      </c>
      <c r="I170" s="796">
        <f>F169</f>
        <v>1003</v>
      </c>
      <c r="J170" s="764" t="str">
        <f>G169</f>
        <v>Novos Investimentos em Infraestrutura</v>
      </c>
    </row>
    <row r="171" spans="2:10" ht="35.1" customHeight="1" thickBot="1" x14ac:dyDescent="0.3">
      <c r="B171" s="769" t="s">
        <v>6939</v>
      </c>
      <c r="C171" s="1625">
        <v>700000</v>
      </c>
      <c r="D171" s="1626"/>
      <c r="E171" s="769" t="s">
        <v>6939</v>
      </c>
      <c r="F171" s="1625">
        <v>175000</v>
      </c>
      <c r="G171" s="1627"/>
      <c r="H171" s="778" t="s">
        <v>6939</v>
      </c>
      <c r="I171" s="1625">
        <f>DESPORC!I668</f>
        <v>308694.25</v>
      </c>
      <c r="J171" s="1627"/>
    </row>
    <row r="172" spans="2:10" ht="35.1" customHeight="1" x14ac:dyDescent="0.25">
      <c r="B172" s="1628" t="s">
        <v>3137</v>
      </c>
      <c r="C172" s="1615" t="str">
        <f>'[3]Anexo I - Programas'!$B$60</f>
        <v>003</v>
      </c>
      <c r="D172" s="1629" t="str">
        <f>'[3]Anexo I - Programas'!$C$60</f>
        <v xml:space="preserve">GESTÃO, COORDENAÇÃO E PLANEJAMENTO </v>
      </c>
      <c r="E172" s="1628" t="s">
        <v>3137</v>
      </c>
      <c r="F172" s="1615" t="str">
        <f>C172</f>
        <v>003</v>
      </c>
      <c r="G172" s="1617" t="str">
        <f>D172</f>
        <v xml:space="preserve">GESTÃO, COORDENAÇÃO E PLANEJAMENTO </v>
      </c>
      <c r="H172" s="773" t="s">
        <v>3138</v>
      </c>
      <c r="I172" s="757">
        <f>DESPORC!C678</f>
        <v>26</v>
      </c>
      <c r="J172" s="765" t="str">
        <f>DESPORC!D678</f>
        <v>Transporte</v>
      </c>
    </row>
    <row r="173" spans="2:10" ht="35.1" customHeight="1" x14ac:dyDescent="0.25">
      <c r="B173" s="1619"/>
      <c r="C173" s="1616"/>
      <c r="D173" s="1630"/>
      <c r="E173" s="1619"/>
      <c r="F173" s="1616"/>
      <c r="G173" s="1618"/>
      <c r="H173" s="774" t="s">
        <v>6940</v>
      </c>
      <c r="I173" s="757">
        <f>DESPORC!C679</f>
        <v>122</v>
      </c>
      <c r="J173" s="765" t="str">
        <f>DESPORC!D679</f>
        <v>Administração Geral</v>
      </c>
    </row>
    <row r="174" spans="2:10" ht="35.1" customHeight="1" x14ac:dyDescent="0.25">
      <c r="B174" s="1619" t="s">
        <v>6941</v>
      </c>
      <c r="C174" s="1616">
        <f>'[3]Anexo I - Programas'!$C$69</f>
        <v>1002</v>
      </c>
      <c r="D174" s="1622" t="str">
        <f>'[3]Anexo I - Programas'!$D$69</f>
        <v>Realização de Novos Investimentos do Poder Executivo</v>
      </c>
      <c r="E174" s="1619" t="s">
        <v>6941</v>
      </c>
      <c r="F174" s="1616">
        <f>C174</f>
        <v>1002</v>
      </c>
      <c r="G174" s="1618" t="str">
        <f>D174</f>
        <v>Realização de Novos Investimentos do Poder Executivo</v>
      </c>
      <c r="H174" s="775" t="s">
        <v>3137</v>
      </c>
      <c r="I174" s="795" t="str">
        <f>F172</f>
        <v>003</v>
      </c>
      <c r="J174" s="762" t="str">
        <f>G172</f>
        <v xml:space="preserve">GESTÃO, COORDENAÇÃO E PLANEJAMENTO </v>
      </c>
    </row>
    <row r="175" spans="2:10" ht="35.1" customHeight="1" x14ac:dyDescent="0.25">
      <c r="B175" s="1620"/>
      <c r="C175" s="1621"/>
      <c r="D175" s="1623"/>
      <c r="E175" s="1620"/>
      <c r="F175" s="1621"/>
      <c r="G175" s="1624"/>
      <c r="H175" s="776" t="s">
        <v>6941</v>
      </c>
      <c r="I175" s="796">
        <f>F174</f>
        <v>1002</v>
      </c>
      <c r="J175" s="764" t="str">
        <f>G174</f>
        <v>Realização de Novos Investimentos do Poder Executivo</v>
      </c>
    </row>
    <row r="176" spans="2:10" ht="35.1" customHeight="1" thickBot="1" x14ac:dyDescent="0.3">
      <c r="B176" s="769" t="s">
        <v>6939</v>
      </c>
      <c r="C176" s="1625">
        <v>1600000</v>
      </c>
      <c r="D176" s="1626"/>
      <c r="E176" s="769" t="s">
        <v>6939</v>
      </c>
      <c r="F176" s="1625">
        <v>400000</v>
      </c>
      <c r="G176" s="1627"/>
      <c r="H176" s="778" t="s">
        <v>6939</v>
      </c>
      <c r="I176" s="1625">
        <f>DESPORC!I681</f>
        <v>0.10631807180000001</v>
      </c>
      <c r="J176" s="1627"/>
    </row>
    <row r="177" spans="2:10" ht="35.1" customHeight="1" x14ac:dyDescent="0.25">
      <c r="B177" s="1628" t="s">
        <v>3137</v>
      </c>
      <c r="C177" s="1615" t="str">
        <f>'[3]Anexo I - Programas'!$B$97</f>
        <v>4</v>
      </c>
      <c r="D177" s="1629" t="str">
        <f>'[3]Anexo I - Programas'!$C$97</f>
        <v xml:space="preserve">PROMOÇÃO E DESENVOLVIMENTO DA INFRAESTRUTURA </v>
      </c>
      <c r="E177" s="1628" t="s">
        <v>3137</v>
      </c>
      <c r="F177" s="1615" t="str">
        <f>C177</f>
        <v>4</v>
      </c>
      <c r="G177" s="1617" t="str">
        <f>D177</f>
        <v xml:space="preserve">PROMOÇÃO E DESENVOLVIMENTO DA INFRAESTRUTURA </v>
      </c>
      <c r="H177" s="773" t="s">
        <v>3138</v>
      </c>
      <c r="I177" s="757">
        <f>DESPORC!C692</f>
        <v>26</v>
      </c>
      <c r="J177" s="765" t="str">
        <f>DESPORC!D692</f>
        <v>Transporte</v>
      </c>
    </row>
    <row r="178" spans="2:10" ht="35.1" customHeight="1" x14ac:dyDescent="0.25">
      <c r="B178" s="1619"/>
      <c r="C178" s="1616"/>
      <c r="D178" s="1630"/>
      <c r="E178" s="1619"/>
      <c r="F178" s="1616"/>
      <c r="G178" s="1618"/>
      <c r="H178" s="774" t="s">
        <v>6940</v>
      </c>
      <c r="I178" s="757">
        <f>DESPORC!C693</f>
        <v>782</v>
      </c>
      <c r="J178" s="765" t="str">
        <f>DESPORC!D693</f>
        <v>Transporte Rodoviário</v>
      </c>
    </row>
    <row r="179" spans="2:10" ht="35.1" customHeight="1" x14ac:dyDescent="0.25">
      <c r="B179" s="1619" t="s">
        <v>6941</v>
      </c>
      <c r="C179" s="1616">
        <f>'[3]Anexo I - Programas'!$C$106</f>
        <v>1003</v>
      </c>
      <c r="D179" s="1622" t="str">
        <f>'[3]Anexo I - Programas'!$D$106</f>
        <v>Novos Investimentos em Infraestrutura</v>
      </c>
      <c r="E179" s="1619" t="s">
        <v>6941</v>
      </c>
      <c r="F179" s="1616">
        <f>C179</f>
        <v>1003</v>
      </c>
      <c r="G179" s="1618" t="str">
        <f>D179</f>
        <v>Novos Investimentos em Infraestrutura</v>
      </c>
      <c r="H179" s="775" t="s">
        <v>3137</v>
      </c>
      <c r="I179" s="795" t="str">
        <f>F177</f>
        <v>4</v>
      </c>
      <c r="J179" s="762" t="str">
        <f>G177</f>
        <v xml:space="preserve">PROMOÇÃO E DESENVOLVIMENTO DA INFRAESTRUTURA </v>
      </c>
    </row>
    <row r="180" spans="2:10" ht="35.1" customHeight="1" x14ac:dyDescent="0.25">
      <c r="B180" s="1620"/>
      <c r="C180" s="1621"/>
      <c r="D180" s="1623"/>
      <c r="E180" s="1620"/>
      <c r="F180" s="1621"/>
      <c r="G180" s="1624"/>
      <c r="H180" s="776" t="s">
        <v>6941</v>
      </c>
      <c r="I180" s="796">
        <f>F179</f>
        <v>1003</v>
      </c>
      <c r="J180" s="764" t="str">
        <f>G179</f>
        <v>Novos Investimentos em Infraestrutura</v>
      </c>
    </row>
    <row r="181" spans="2:10" ht="35.1" customHeight="1" thickBot="1" x14ac:dyDescent="0.3">
      <c r="B181" s="769" t="s">
        <v>6939</v>
      </c>
      <c r="C181" s="1625">
        <v>700000</v>
      </c>
      <c r="D181" s="1626"/>
      <c r="E181" s="769" t="s">
        <v>6939</v>
      </c>
      <c r="F181" s="1625">
        <v>175000</v>
      </c>
      <c r="G181" s="1627"/>
      <c r="H181" s="778" t="s">
        <v>6939</v>
      </c>
      <c r="I181" s="1625">
        <f>DESPORC!I695</f>
        <v>1.1099999999999999</v>
      </c>
      <c r="J181" s="1627"/>
    </row>
    <row r="182" spans="2:10" ht="35.1" customHeight="1" x14ac:dyDescent="0.25">
      <c r="B182" s="1628" t="s">
        <v>3137</v>
      </c>
      <c r="C182" s="1615" t="str">
        <f>'[3]Anexo I - Programas'!$B$97</f>
        <v>4</v>
      </c>
      <c r="D182" s="1629" t="str">
        <f>'[3]Anexo I - Programas'!$C$97</f>
        <v xml:space="preserve">PROMOÇÃO E DESENVOLVIMENTO DA INFRAESTRUTURA </v>
      </c>
      <c r="E182" s="1628" t="s">
        <v>3137</v>
      </c>
      <c r="F182" s="1615" t="str">
        <f>C182</f>
        <v>4</v>
      </c>
      <c r="G182" s="1617" t="str">
        <f>D182</f>
        <v xml:space="preserve">PROMOÇÃO E DESENVOLVIMENTO DA INFRAESTRUTURA </v>
      </c>
      <c r="H182" s="773" t="s">
        <v>3138</v>
      </c>
      <c r="I182" s="757">
        <f>DESPORC!C712</f>
        <v>15</v>
      </c>
      <c r="J182" s="765" t="str">
        <f>DESPORC!D712</f>
        <v>Urbanismo</v>
      </c>
    </row>
    <row r="183" spans="2:10" ht="35.1" customHeight="1" x14ac:dyDescent="0.25">
      <c r="B183" s="1619"/>
      <c r="C183" s="1616"/>
      <c r="D183" s="1630"/>
      <c r="E183" s="1619"/>
      <c r="F183" s="1616"/>
      <c r="G183" s="1618"/>
      <c r="H183" s="774" t="s">
        <v>6940</v>
      </c>
      <c r="I183" s="757">
        <f>DESPORC!C713</f>
        <v>451</v>
      </c>
      <c r="J183" s="765" t="str">
        <f>DESPORC!D713</f>
        <v>Infra-Estrutura-Urbana</v>
      </c>
    </row>
    <row r="184" spans="2:10" ht="35.1" customHeight="1" x14ac:dyDescent="0.25">
      <c r="B184" s="1619" t="s">
        <v>6941</v>
      </c>
      <c r="C184" s="1616">
        <f>'[3]Anexo I - Programas'!$C$106</f>
        <v>1003</v>
      </c>
      <c r="D184" s="1622" t="str">
        <f>'[3]Anexo I - Programas'!$D$106</f>
        <v>Novos Investimentos em Infraestrutura</v>
      </c>
      <c r="E184" s="1619" t="s">
        <v>6941</v>
      </c>
      <c r="F184" s="1616">
        <f>C184</f>
        <v>1003</v>
      </c>
      <c r="G184" s="1618" t="str">
        <f>D184</f>
        <v>Novos Investimentos em Infraestrutura</v>
      </c>
      <c r="H184" s="775" t="s">
        <v>3137</v>
      </c>
      <c r="I184" s="795" t="str">
        <f>F182</f>
        <v>4</v>
      </c>
      <c r="J184" s="762" t="str">
        <f>G182</f>
        <v xml:space="preserve">PROMOÇÃO E DESENVOLVIMENTO DA INFRAESTRUTURA </v>
      </c>
    </row>
    <row r="185" spans="2:10" ht="35.1" customHeight="1" x14ac:dyDescent="0.25">
      <c r="B185" s="1620"/>
      <c r="C185" s="1621"/>
      <c r="D185" s="1623"/>
      <c r="E185" s="1620"/>
      <c r="F185" s="1621"/>
      <c r="G185" s="1624"/>
      <c r="H185" s="776" t="s">
        <v>6941</v>
      </c>
      <c r="I185" s="796">
        <f>F184</f>
        <v>1003</v>
      </c>
      <c r="J185" s="764" t="str">
        <f>G184</f>
        <v>Novos Investimentos em Infraestrutura</v>
      </c>
    </row>
    <row r="186" spans="2:10" ht="35.1" customHeight="1" thickBot="1" x14ac:dyDescent="0.3">
      <c r="B186" s="769" t="s">
        <v>6939</v>
      </c>
      <c r="C186" s="1625">
        <v>700000</v>
      </c>
      <c r="D186" s="1626"/>
      <c r="E186" s="769" t="s">
        <v>6939</v>
      </c>
      <c r="F186" s="1625">
        <v>175000</v>
      </c>
      <c r="G186" s="1627"/>
      <c r="H186" s="778" t="s">
        <v>6939</v>
      </c>
      <c r="I186" s="1625">
        <f>DESPORC!I715</f>
        <v>107456.56128266663</v>
      </c>
      <c r="J186" s="1627"/>
    </row>
    <row r="187" spans="2:10" ht="35.1" customHeight="1" x14ac:dyDescent="0.25">
      <c r="B187" s="1628" t="s">
        <v>3137</v>
      </c>
      <c r="C187" s="1615" t="str">
        <f>'[3]Anexo I - Programas'!$B$97</f>
        <v>4</v>
      </c>
      <c r="D187" s="1629" t="str">
        <f>'[3]Anexo I - Programas'!$C$97</f>
        <v xml:space="preserve">PROMOÇÃO E DESENVOLVIMENTO DA INFRAESTRUTURA </v>
      </c>
      <c r="E187" s="1628" t="s">
        <v>3137</v>
      </c>
      <c r="F187" s="1615" t="str">
        <f>C187</f>
        <v>4</v>
      </c>
      <c r="G187" s="1617" t="str">
        <f>D187</f>
        <v xml:space="preserve">PROMOÇÃO E DESENVOLVIMENTO DA INFRAESTRUTURA </v>
      </c>
      <c r="H187" s="773" t="s">
        <v>3138</v>
      </c>
      <c r="I187" s="757">
        <f>DESPORC!C748</f>
        <v>15</v>
      </c>
      <c r="J187" s="765" t="str">
        <f>DESPORC!D748</f>
        <v>Urbanismo</v>
      </c>
    </row>
    <row r="188" spans="2:10" ht="35.1" customHeight="1" x14ac:dyDescent="0.25">
      <c r="B188" s="1619"/>
      <c r="C188" s="1616"/>
      <c r="D188" s="1630"/>
      <c r="E188" s="1619"/>
      <c r="F188" s="1616"/>
      <c r="G188" s="1618"/>
      <c r="H188" s="774" t="s">
        <v>6940</v>
      </c>
      <c r="I188" s="757">
        <f>DESPORC!C749</f>
        <v>452</v>
      </c>
      <c r="J188" s="765" t="str">
        <f>DESPORC!D749</f>
        <v>Serviços Urbanos</v>
      </c>
    </row>
    <row r="189" spans="2:10" ht="35.1" customHeight="1" x14ac:dyDescent="0.25">
      <c r="B189" s="1619" t="s">
        <v>6941</v>
      </c>
      <c r="C189" s="1616">
        <f>'[3]Anexo I - Programas'!$C$111</f>
        <v>2003</v>
      </c>
      <c r="D189" s="1622" t="str">
        <f>'[3]Anexo I - Programas'!$D$111</f>
        <v>Apoio a Manutenção em Infraestrutura</v>
      </c>
      <c r="E189" s="1619" t="s">
        <v>6941</v>
      </c>
      <c r="F189" s="1616">
        <f>C189</f>
        <v>2003</v>
      </c>
      <c r="G189" s="1618" t="str">
        <f>D189</f>
        <v>Apoio a Manutenção em Infraestrutura</v>
      </c>
      <c r="H189" s="775" t="s">
        <v>3137</v>
      </c>
      <c r="I189" s="795" t="str">
        <f>F187</f>
        <v>4</v>
      </c>
      <c r="J189" s="762" t="str">
        <f>G187</f>
        <v xml:space="preserve">PROMOÇÃO E DESENVOLVIMENTO DA INFRAESTRUTURA </v>
      </c>
    </row>
    <row r="190" spans="2:10" ht="35.1" customHeight="1" x14ac:dyDescent="0.25">
      <c r="B190" s="1620"/>
      <c r="C190" s="1621"/>
      <c r="D190" s="1623"/>
      <c r="E190" s="1620"/>
      <c r="F190" s="1621"/>
      <c r="G190" s="1624"/>
      <c r="H190" s="776" t="s">
        <v>6941</v>
      </c>
      <c r="I190" s="796">
        <f>F189</f>
        <v>2003</v>
      </c>
      <c r="J190" s="764" t="str">
        <f>G189</f>
        <v>Apoio a Manutenção em Infraestrutura</v>
      </c>
    </row>
    <row r="191" spans="2:10" ht="35.1" customHeight="1" thickBot="1" x14ac:dyDescent="0.3">
      <c r="B191" s="769" t="s">
        <v>6939</v>
      </c>
      <c r="C191" s="1625">
        <v>3400000</v>
      </c>
      <c r="D191" s="1626"/>
      <c r="E191" s="769" t="s">
        <v>6939</v>
      </c>
      <c r="F191" s="1625">
        <v>850000</v>
      </c>
      <c r="G191" s="1627"/>
      <c r="H191" s="778" t="s">
        <v>6939</v>
      </c>
      <c r="I191" s="1625">
        <f>DESPORC!I751</f>
        <v>60550.464587672395</v>
      </c>
      <c r="J191" s="1627"/>
    </row>
    <row r="192" spans="2:10" ht="35.1" customHeight="1" x14ac:dyDescent="0.25">
      <c r="B192" s="1628" t="s">
        <v>3137</v>
      </c>
      <c r="C192" s="1615" t="str">
        <f>'[3]Anexo I - Programas'!$B$60</f>
        <v>003</v>
      </c>
      <c r="D192" s="1629" t="str">
        <f>'[3]Anexo I - Programas'!$C$60</f>
        <v xml:space="preserve">GESTÃO, COORDENAÇÃO E PLANEJAMENTO </v>
      </c>
      <c r="E192" s="1628" t="s">
        <v>3137</v>
      </c>
      <c r="F192" s="1615" t="str">
        <f>C192</f>
        <v>003</v>
      </c>
      <c r="G192" s="1617" t="str">
        <f>D192</f>
        <v xml:space="preserve">GESTÃO, COORDENAÇÃO E PLANEJAMENTO </v>
      </c>
      <c r="H192" s="773" t="s">
        <v>3138</v>
      </c>
      <c r="I192" s="757">
        <f>DESPORC!C783</f>
        <v>26</v>
      </c>
      <c r="J192" s="765" t="str">
        <f>DESPORC!D783</f>
        <v>Transporte</v>
      </c>
    </row>
    <row r="193" spans="2:10" ht="35.1" customHeight="1" x14ac:dyDescent="0.25">
      <c r="B193" s="1619"/>
      <c r="C193" s="1616"/>
      <c r="D193" s="1630"/>
      <c r="E193" s="1619"/>
      <c r="F193" s="1616"/>
      <c r="G193" s="1618"/>
      <c r="H193" s="774" t="s">
        <v>6940</v>
      </c>
      <c r="I193" s="757">
        <f>DESPORC!C784</f>
        <v>122</v>
      </c>
      <c r="J193" s="765" t="str">
        <f>DESPORC!D784</f>
        <v>Administração Geral</v>
      </c>
    </row>
    <row r="194" spans="2:10" ht="35.1" customHeight="1" x14ac:dyDescent="0.25">
      <c r="B194" s="1619" t="s">
        <v>6941</v>
      </c>
      <c r="C194" s="1616">
        <f>'[3]Anexo I - Programas'!$C$74</f>
        <v>2002</v>
      </c>
      <c r="D194" s="1622" t="str">
        <f>'[3]Anexo I - Programas'!$D$74</f>
        <v xml:space="preserve">GESTÃO , APOIO E MANUTENÇÃO , COORDENAÇÃO E PLANEJAMENTO </v>
      </c>
      <c r="E194" s="1619" t="s">
        <v>6941</v>
      </c>
      <c r="F194" s="1616">
        <f>C194</f>
        <v>2002</v>
      </c>
      <c r="G194" s="1618" t="str">
        <f>D194</f>
        <v xml:space="preserve">GESTÃO , APOIO E MANUTENÇÃO , COORDENAÇÃO E PLANEJAMENTO </v>
      </c>
      <c r="H194" s="775" t="s">
        <v>3137</v>
      </c>
      <c r="I194" s="795" t="str">
        <f>F192</f>
        <v>003</v>
      </c>
      <c r="J194" s="762" t="str">
        <f>G192</f>
        <v xml:space="preserve">GESTÃO, COORDENAÇÃO E PLANEJAMENTO </v>
      </c>
    </row>
    <row r="195" spans="2:10" ht="35.1" customHeight="1" x14ac:dyDescent="0.25">
      <c r="B195" s="1620"/>
      <c r="C195" s="1621"/>
      <c r="D195" s="1623"/>
      <c r="E195" s="1620"/>
      <c r="F195" s="1621"/>
      <c r="G195" s="1624"/>
      <c r="H195" s="776" t="s">
        <v>6941</v>
      </c>
      <c r="I195" s="796">
        <f>F194</f>
        <v>2002</v>
      </c>
      <c r="J195" s="764" t="str">
        <f>G194</f>
        <v xml:space="preserve">GESTÃO , APOIO E MANUTENÇÃO , COORDENAÇÃO E PLANEJAMENTO </v>
      </c>
    </row>
    <row r="196" spans="2:10" ht="35.1" customHeight="1" thickBot="1" x14ac:dyDescent="0.3">
      <c r="B196" s="769" t="s">
        <v>6939</v>
      </c>
      <c r="C196" s="1625">
        <v>10370000</v>
      </c>
      <c r="D196" s="1626"/>
      <c r="E196" s="769" t="s">
        <v>6939</v>
      </c>
      <c r="F196" s="1625">
        <v>2592500</v>
      </c>
      <c r="G196" s="1627"/>
      <c r="H196" s="778" t="s">
        <v>6939</v>
      </c>
      <c r="I196" s="1625">
        <f>DESPORC!I786</f>
        <v>217392.33869990709</v>
      </c>
      <c r="J196" s="1627"/>
    </row>
    <row r="197" spans="2:10" ht="35.1" customHeight="1" x14ac:dyDescent="0.25">
      <c r="B197" s="1628" t="s">
        <v>3137</v>
      </c>
      <c r="C197" s="1615" t="str">
        <f>'[3]Anexo I - Programas'!$B$60</f>
        <v>003</v>
      </c>
      <c r="D197" s="1629" t="str">
        <f>'[3]Anexo I - Programas'!$C$60</f>
        <v xml:space="preserve">GESTÃO, COORDENAÇÃO E PLANEJAMENTO </v>
      </c>
      <c r="E197" s="1628" t="s">
        <v>3137</v>
      </c>
      <c r="F197" s="1615" t="str">
        <f>C197</f>
        <v>003</v>
      </c>
      <c r="G197" s="1617" t="str">
        <f>D197</f>
        <v xml:space="preserve">GESTÃO, COORDENAÇÃO E PLANEJAMENTO </v>
      </c>
      <c r="H197" s="773" t="s">
        <v>3138</v>
      </c>
      <c r="I197" s="757">
        <f>DESPORC!C866</f>
        <v>26</v>
      </c>
      <c r="J197" s="765" t="str">
        <f>DESPORC!D866</f>
        <v>Transporte</v>
      </c>
    </row>
    <row r="198" spans="2:10" ht="35.1" customHeight="1" x14ac:dyDescent="0.25">
      <c r="B198" s="1619"/>
      <c r="C198" s="1616"/>
      <c r="D198" s="1630"/>
      <c r="E198" s="1619"/>
      <c r="F198" s="1616"/>
      <c r="G198" s="1618"/>
      <c r="H198" s="774" t="s">
        <v>6940</v>
      </c>
      <c r="I198" s="757">
        <f>DESPORC!C867</f>
        <v>126</v>
      </c>
      <c r="J198" s="765" t="str">
        <f>DESPORC!D867</f>
        <v>Tecnologia da Informação</v>
      </c>
    </row>
    <row r="199" spans="2:10" ht="35.1" customHeight="1" x14ac:dyDescent="0.25">
      <c r="B199" s="1619" t="s">
        <v>6941</v>
      </c>
      <c r="C199" s="1616">
        <f>'[3]Anexo I - Programas'!$C$74</f>
        <v>2002</v>
      </c>
      <c r="D199" s="1622" t="str">
        <f>'[3]Anexo I - Programas'!$D$74</f>
        <v xml:space="preserve">GESTÃO , APOIO E MANUTENÇÃO , COORDENAÇÃO E PLANEJAMENTO </v>
      </c>
      <c r="E199" s="1619" t="s">
        <v>6941</v>
      </c>
      <c r="F199" s="1616">
        <f>C199</f>
        <v>2002</v>
      </c>
      <c r="G199" s="1618" t="str">
        <f>D199</f>
        <v xml:space="preserve">GESTÃO , APOIO E MANUTENÇÃO , COORDENAÇÃO E PLANEJAMENTO </v>
      </c>
      <c r="H199" s="775" t="s">
        <v>3137</v>
      </c>
      <c r="I199" s="795" t="str">
        <f>F197</f>
        <v>003</v>
      </c>
      <c r="J199" s="762" t="str">
        <f>G197</f>
        <v xml:space="preserve">GESTÃO, COORDENAÇÃO E PLANEJAMENTO </v>
      </c>
    </row>
    <row r="200" spans="2:10" ht="35.1" customHeight="1" x14ac:dyDescent="0.25">
      <c r="B200" s="1620"/>
      <c r="C200" s="1621"/>
      <c r="D200" s="1623"/>
      <c r="E200" s="1620"/>
      <c r="F200" s="1621"/>
      <c r="G200" s="1624"/>
      <c r="H200" s="776" t="s">
        <v>6941</v>
      </c>
      <c r="I200" s="796">
        <f>F199</f>
        <v>2002</v>
      </c>
      <c r="J200" s="764" t="str">
        <f>G199</f>
        <v xml:space="preserve">GESTÃO , APOIO E MANUTENÇÃO , COORDENAÇÃO E PLANEJAMENTO </v>
      </c>
    </row>
    <row r="201" spans="2:10" ht="35.1" customHeight="1" thickBot="1" x14ac:dyDescent="0.3">
      <c r="B201" s="769" t="s">
        <v>6939</v>
      </c>
      <c r="C201" s="1787">
        <v>10370000</v>
      </c>
      <c r="D201" s="1788"/>
      <c r="E201" s="769" t="s">
        <v>6939</v>
      </c>
      <c r="F201" s="1787">
        <v>2592500</v>
      </c>
      <c r="G201" s="1788"/>
      <c r="H201" s="778" t="s">
        <v>6939</v>
      </c>
      <c r="I201" s="1625">
        <f>DESPORC!I869</f>
        <v>1646.0433702089999</v>
      </c>
      <c r="J201" s="1627"/>
    </row>
    <row r="202" spans="2:10" ht="35.1" customHeight="1" x14ac:dyDescent="0.25">
      <c r="B202" s="1628" t="s">
        <v>3137</v>
      </c>
      <c r="C202" s="1615" t="str">
        <f>'[3]Anexo I - Programas'!$B$60</f>
        <v>003</v>
      </c>
      <c r="D202" s="1629" t="str">
        <f>'[3]Anexo I - Programas'!$C$60</f>
        <v xml:space="preserve">GESTÃO, COORDENAÇÃO E PLANEJAMENTO </v>
      </c>
      <c r="E202" s="1628" t="s">
        <v>3137</v>
      </c>
      <c r="F202" s="1615" t="str">
        <f>C202</f>
        <v>003</v>
      </c>
      <c r="G202" s="1617" t="str">
        <f>D202</f>
        <v xml:space="preserve">GESTÃO, COORDENAÇÃO E PLANEJAMENTO </v>
      </c>
      <c r="H202" s="773" t="s">
        <v>3138</v>
      </c>
      <c r="I202" s="757">
        <f>DESPORC!C875</f>
        <v>26</v>
      </c>
      <c r="J202" s="765" t="str">
        <f>DESPORC!D875</f>
        <v>Administração</v>
      </c>
    </row>
    <row r="203" spans="2:10" ht="35.1" customHeight="1" x14ac:dyDescent="0.25">
      <c r="B203" s="1619"/>
      <c r="C203" s="1616"/>
      <c r="D203" s="1630"/>
      <c r="E203" s="1619"/>
      <c r="F203" s="1616"/>
      <c r="G203" s="1618"/>
      <c r="H203" s="774" t="s">
        <v>6940</v>
      </c>
      <c r="I203" s="757">
        <f>DESPORC!C876</f>
        <v>128</v>
      </c>
      <c r="J203" s="765" t="str">
        <f>DESPORC!D876</f>
        <v>Formação de Recursos Humanos</v>
      </c>
    </row>
    <row r="204" spans="2:10" ht="35.1" customHeight="1" x14ac:dyDescent="0.25">
      <c r="B204" s="1619" t="s">
        <v>6941</v>
      </c>
      <c r="C204" s="1616">
        <f>'[3]Anexo I - Programas'!$C$74</f>
        <v>2002</v>
      </c>
      <c r="D204" s="1622" t="str">
        <f>'[3]Anexo I - Programas'!$D$74</f>
        <v xml:space="preserve">GESTÃO , APOIO E MANUTENÇÃO , COORDENAÇÃO E PLANEJAMENTO </v>
      </c>
      <c r="E204" s="1619" t="s">
        <v>6941</v>
      </c>
      <c r="F204" s="1616">
        <f>C204</f>
        <v>2002</v>
      </c>
      <c r="G204" s="1618" t="str">
        <f>D204</f>
        <v xml:space="preserve">GESTÃO , APOIO E MANUTENÇÃO , COORDENAÇÃO E PLANEJAMENTO </v>
      </c>
      <c r="H204" s="775" t="s">
        <v>3137</v>
      </c>
      <c r="I204" s="795" t="str">
        <f>F202</f>
        <v>003</v>
      </c>
      <c r="J204" s="762" t="str">
        <f>G202</f>
        <v xml:space="preserve">GESTÃO, COORDENAÇÃO E PLANEJAMENTO </v>
      </c>
    </row>
    <row r="205" spans="2:10" ht="35.1" customHeight="1" x14ac:dyDescent="0.25">
      <c r="B205" s="1620"/>
      <c r="C205" s="1621"/>
      <c r="D205" s="1623"/>
      <c r="E205" s="1620"/>
      <c r="F205" s="1621"/>
      <c r="G205" s="1624"/>
      <c r="H205" s="776" t="s">
        <v>6941</v>
      </c>
      <c r="I205" s="796">
        <f>F204</f>
        <v>2002</v>
      </c>
      <c r="J205" s="764" t="str">
        <f>G204</f>
        <v xml:space="preserve">GESTÃO , APOIO E MANUTENÇÃO , COORDENAÇÃO E PLANEJAMENTO </v>
      </c>
    </row>
    <row r="206" spans="2:10" ht="35.1" customHeight="1" thickBot="1" x14ac:dyDescent="0.3">
      <c r="B206" s="769" t="s">
        <v>6939</v>
      </c>
      <c r="C206" s="1625">
        <v>10370000</v>
      </c>
      <c r="D206" s="1626"/>
      <c r="E206" s="769" t="s">
        <v>6939</v>
      </c>
      <c r="F206" s="1625">
        <v>2592500</v>
      </c>
      <c r="G206" s="1627"/>
      <c r="H206" s="778" t="s">
        <v>6939</v>
      </c>
      <c r="I206" s="1625">
        <f>DESPORC!I878</f>
        <v>0.05</v>
      </c>
      <c r="J206" s="1627"/>
    </row>
    <row r="207" spans="2:10" ht="35.1" customHeight="1" x14ac:dyDescent="0.25">
      <c r="B207" s="1628" t="s">
        <v>3137</v>
      </c>
      <c r="C207" s="1615" t="str">
        <f>'[3]Anexo I - Programas'!$B$97</f>
        <v>4</v>
      </c>
      <c r="D207" s="1629" t="str">
        <f>'[3]Anexo I - Programas'!$C$97</f>
        <v xml:space="preserve">PROMOÇÃO E DESENVOLVIMENTO DA INFRAESTRUTURA </v>
      </c>
      <c r="E207" s="1628" t="s">
        <v>3137</v>
      </c>
      <c r="F207" s="1615" t="str">
        <f>C207</f>
        <v>4</v>
      </c>
      <c r="G207" s="1617" t="str">
        <f>D207</f>
        <v xml:space="preserve">PROMOÇÃO E DESENVOLVIMENTO DA INFRAESTRUTURA </v>
      </c>
      <c r="H207" s="773" t="s">
        <v>3138</v>
      </c>
      <c r="I207" s="757">
        <f>DESPORC!C884</f>
        <v>26</v>
      </c>
      <c r="J207" s="765" t="str">
        <f>DESPORC!D884</f>
        <v>Transporte</v>
      </c>
    </row>
    <row r="208" spans="2:10" ht="35.1" customHeight="1" x14ac:dyDescent="0.25">
      <c r="B208" s="1619"/>
      <c r="C208" s="1616"/>
      <c r="D208" s="1630"/>
      <c r="E208" s="1619"/>
      <c r="F208" s="1616"/>
      <c r="G208" s="1618"/>
      <c r="H208" s="774" t="s">
        <v>6940</v>
      </c>
      <c r="I208" s="757">
        <f>DESPORC!C885</f>
        <v>126</v>
      </c>
      <c r="J208" s="765" t="str">
        <f>DESPORC!D885</f>
        <v>Tecnologia da Informação</v>
      </c>
    </row>
    <row r="209" spans="2:10" ht="35.1" customHeight="1" x14ac:dyDescent="0.25">
      <c r="B209" s="1619" t="s">
        <v>6941</v>
      </c>
      <c r="C209" s="1616">
        <f>'[3]Anexo I - Programas'!$C$111</f>
        <v>2003</v>
      </c>
      <c r="D209" s="1622" t="str">
        <f>'[3]Anexo I - Programas'!$D$111</f>
        <v>Apoio a Manutenção em Infraestrutura</v>
      </c>
      <c r="E209" s="1619" t="s">
        <v>6941</v>
      </c>
      <c r="F209" s="1616">
        <f>C209</f>
        <v>2003</v>
      </c>
      <c r="G209" s="1618" t="str">
        <f>D209</f>
        <v>Apoio a Manutenção em Infraestrutura</v>
      </c>
      <c r="H209" s="775" t="s">
        <v>3137</v>
      </c>
      <c r="I209" s="795" t="str">
        <f>F207</f>
        <v>4</v>
      </c>
      <c r="J209" s="762" t="str">
        <f>G207</f>
        <v xml:space="preserve">PROMOÇÃO E DESENVOLVIMENTO DA INFRAESTRUTURA </v>
      </c>
    </row>
    <row r="210" spans="2:10" ht="35.1" customHeight="1" x14ac:dyDescent="0.25">
      <c r="B210" s="1620"/>
      <c r="C210" s="1621"/>
      <c r="D210" s="1623"/>
      <c r="E210" s="1620"/>
      <c r="F210" s="1621"/>
      <c r="G210" s="1624"/>
      <c r="H210" s="776" t="s">
        <v>6941</v>
      </c>
      <c r="I210" s="796">
        <f>F209</f>
        <v>2003</v>
      </c>
      <c r="J210" s="764" t="str">
        <f>G209</f>
        <v>Apoio a Manutenção em Infraestrutura</v>
      </c>
    </row>
    <row r="211" spans="2:10" ht="35.1" customHeight="1" thickBot="1" x14ac:dyDescent="0.3">
      <c r="B211" s="769" t="s">
        <v>6939</v>
      </c>
      <c r="C211" s="1787">
        <v>3400000</v>
      </c>
      <c r="D211" s="1788"/>
      <c r="E211" s="769" t="s">
        <v>6939</v>
      </c>
      <c r="F211" s="1787">
        <v>850000</v>
      </c>
      <c r="G211" s="1788"/>
      <c r="H211" s="778" t="s">
        <v>6939</v>
      </c>
      <c r="I211" s="1625">
        <f>DESPORC!I887</f>
        <v>0.04</v>
      </c>
      <c r="J211" s="1627"/>
    </row>
    <row r="212" spans="2:10" ht="35.1" customHeight="1" x14ac:dyDescent="0.25">
      <c r="B212" s="1628" t="s">
        <v>3137</v>
      </c>
      <c r="C212" s="1615" t="str">
        <f>'[3]Anexo I - Programas'!$B$97</f>
        <v>4</v>
      </c>
      <c r="D212" s="1629" t="str">
        <f>'[3]Anexo I - Programas'!$C$97</f>
        <v xml:space="preserve">PROMOÇÃO E DESENVOLVIMENTO DA INFRAESTRUTURA </v>
      </c>
      <c r="E212" s="1628" t="s">
        <v>3137</v>
      </c>
      <c r="F212" s="1615" t="str">
        <f>C212</f>
        <v>4</v>
      </c>
      <c r="G212" s="1617" t="str">
        <f>D212</f>
        <v xml:space="preserve">PROMOÇÃO E DESENVOLVIMENTO DA INFRAESTRUTURA </v>
      </c>
      <c r="H212" s="773" t="s">
        <v>3138</v>
      </c>
      <c r="I212" s="757">
        <f>DESPORC!C893</f>
        <v>26</v>
      </c>
      <c r="J212" s="765" t="str">
        <f>DESPORC!D893</f>
        <v>Transporte</v>
      </c>
    </row>
    <row r="213" spans="2:10" ht="35.1" customHeight="1" x14ac:dyDescent="0.25">
      <c r="B213" s="1619"/>
      <c r="C213" s="1616"/>
      <c r="D213" s="1630"/>
      <c r="E213" s="1619"/>
      <c r="F213" s="1616"/>
      <c r="G213" s="1618"/>
      <c r="H213" s="774" t="s">
        <v>6940</v>
      </c>
      <c r="I213" s="757">
        <f>DESPORC!C894</f>
        <v>128</v>
      </c>
      <c r="J213" s="765" t="str">
        <f>DESPORC!D894</f>
        <v>Formação de Recursos Humanos</v>
      </c>
    </row>
    <row r="214" spans="2:10" ht="35.1" customHeight="1" x14ac:dyDescent="0.25">
      <c r="B214" s="1619" t="s">
        <v>6941</v>
      </c>
      <c r="C214" s="1616">
        <f>'[3]Anexo I - Programas'!$C$111</f>
        <v>2003</v>
      </c>
      <c r="D214" s="1622" t="str">
        <f>'[3]Anexo I - Programas'!$D$111</f>
        <v>Apoio a Manutenção em Infraestrutura</v>
      </c>
      <c r="E214" s="1619" t="s">
        <v>6941</v>
      </c>
      <c r="F214" s="1616">
        <f>C214</f>
        <v>2003</v>
      </c>
      <c r="G214" s="1618" t="str">
        <f>D214</f>
        <v>Apoio a Manutenção em Infraestrutura</v>
      </c>
      <c r="H214" s="775" t="s">
        <v>3137</v>
      </c>
      <c r="I214" s="795" t="str">
        <f>F212</f>
        <v>4</v>
      </c>
      <c r="J214" s="762" t="str">
        <f>G212</f>
        <v xml:space="preserve">PROMOÇÃO E DESENVOLVIMENTO DA INFRAESTRUTURA </v>
      </c>
    </row>
    <row r="215" spans="2:10" ht="35.1" customHeight="1" x14ac:dyDescent="0.25">
      <c r="B215" s="1620"/>
      <c r="C215" s="1621"/>
      <c r="D215" s="1623"/>
      <c r="E215" s="1620"/>
      <c r="F215" s="1621"/>
      <c r="G215" s="1624"/>
      <c r="H215" s="776" t="s">
        <v>6941</v>
      </c>
      <c r="I215" s="796">
        <f>F214</f>
        <v>2003</v>
      </c>
      <c r="J215" s="764" t="str">
        <f>G214</f>
        <v>Apoio a Manutenção em Infraestrutura</v>
      </c>
    </row>
    <row r="216" spans="2:10" ht="35.1" customHeight="1" thickBot="1" x14ac:dyDescent="0.3">
      <c r="B216" s="769" t="s">
        <v>6939</v>
      </c>
      <c r="C216" s="1787">
        <v>3400000</v>
      </c>
      <c r="D216" s="1788"/>
      <c r="E216" s="769" t="s">
        <v>6939</v>
      </c>
      <c r="F216" s="1787">
        <v>850000</v>
      </c>
      <c r="G216" s="1788"/>
      <c r="H216" s="778" t="s">
        <v>6939</v>
      </c>
      <c r="I216" s="1625">
        <f>DESPORC!I896</f>
        <v>0.05</v>
      </c>
      <c r="J216" s="1627"/>
    </row>
    <row r="217" spans="2:10" ht="35.1" customHeight="1" thickBot="1" x14ac:dyDescent="0.3">
      <c r="B217" s="801"/>
      <c r="C217" s="802"/>
      <c r="D217" s="803"/>
      <c r="E217" s="801"/>
      <c r="F217" s="802"/>
      <c r="G217" s="803"/>
      <c r="H217" s="801"/>
      <c r="I217" s="802"/>
      <c r="J217" s="803"/>
    </row>
    <row r="218" spans="2:10" ht="35.1" customHeight="1" x14ac:dyDescent="0.25">
      <c r="B218" s="1628" t="s">
        <v>3137</v>
      </c>
      <c r="C218" s="1615" t="str">
        <f>'[3]Anexo I - Programas'!$B$97</f>
        <v>4</v>
      </c>
      <c r="D218" s="1629" t="str">
        <f>'[3]Anexo I - Programas'!$C$97</f>
        <v xml:space="preserve">PROMOÇÃO E DESENVOLVIMENTO DA INFRAESTRUTURA </v>
      </c>
      <c r="E218" s="1628" t="s">
        <v>3137</v>
      </c>
      <c r="F218" s="1615" t="str">
        <f>C218</f>
        <v>4</v>
      </c>
      <c r="G218" s="1617" t="str">
        <f>D218</f>
        <v xml:space="preserve">PROMOÇÃO E DESENVOLVIMENTO DA INFRAESTRUTURA </v>
      </c>
      <c r="H218" s="773" t="s">
        <v>3138</v>
      </c>
      <c r="I218" s="757">
        <f>DESPORC!C902</f>
        <v>26</v>
      </c>
      <c r="J218" s="765" t="str">
        <f>DESPORC!D902</f>
        <v>Transporte</v>
      </c>
    </row>
    <row r="219" spans="2:10" ht="35.1" customHeight="1" x14ac:dyDescent="0.25">
      <c r="B219" s="1619"/>
      <c r="C219" s="1616"/>
      <c r="D219" s="1630"/>
      <c r="E219" s="1619"/>
      <c r="F219" s="1616"/>
      <c r="G219" s="1618"/>
      <c r="H219" s="774" t="s">
        <v>6940</v>
      </c>
      <c r="I219" s="757">
        <f>DESPORC!C903</f>
        <v>782</v>
      </c>
      <c r="J219" s="765" t="str">
        <f>DESPORC!D903</f>
        <v>Transporte Rodoviário</v>
      </c>
    </row>
    <row r="220" spans="2:10" ht="35.1" customHeight="1" x14ac:dyDescent="0.25">
      <c r="B220" s="1619" t="s">
        <v>6941</v>
      </c>
      <c r="C220" s="1616">
        <f>'[3]Anexo I - Programas'!$C$111</f>
        <v>2003</v>
      </c>
      <c r="D220" s="1622" t="str">
        <f>'[3]Anexo I - Programas'!$D$111</f>
        <v>Apoio a Manutenção em Infraestrutura</v>
      </c>
      <c r="E220" s="1619" t="s">
        <v>6941</v>
      </c>
      <c r="F220" s="1616">
        <f>C220</f>
        <v>2003</v>
      </c>
      <c r="G220" s="1618" t="str">
        <f>D220</f>
        <v>Apoio a Manutenção em Infraestrutura</v>
      </c>
      <c r="H220" s="775" t="s">
        <v>3137</v>
      </c>
      <c r="I220" s="795" t="str">
        <f>F218</f>
        <v>4</v>
      </c>
      <c r="J220" s="762" t="str">
        <f>G218</f>
        <v xml:space="preserve">PROMOÇÃO E DESENVOLVIMENTO DA INFRAESTRUTURA </v>
      </c>
    </row>
    <row r="221" spans="2:10" ht="35.1" customHeight="1" x14ac:dyDescent="0.25">
      <c r="B221" s="1620"/>
      <c r="C221" s="1621"/>
      <c r="D221" s="1623"/>
      <c r="E221" s="1620"/>
      <c r="F221" s="1621"/>
      <c r="G221" s="1624"/>
      <c r="H221" s="776" t="s">
        <v>6941</v>
      </c>
      <c r="I221" s="796">
        <f>F220</f>
        <v>2003</v>
      </c>
      <c r="J221" s="764" t="str">
        <f>G220</f>
        <v>Apoio a Manutenção em Infraestrutura</v>
      </c>
    </row>
    <row r="222" spans="2:10" ht="35.1" customHeight="1" thickBot="1" x14ac:dyDescent="0.3">
      <c r="B222" s="769" t="s">
        <v>6939</v>
      </c>
      <c r="C222" s="1787">
        <v>3400000</v>
      </c>
      <c r="D222" s="1788"/>
      <c r="E222" s="769" t="s">
        <v>6939</v>
      </c>
      <c r="F222" s="1787">
        <v>850000</v>
      </c>
      <c r="G222" s="1788"/>
      <c r="H222" s="778" t="s">
        <v>6939</v>
      </c>
      <c r="I222" s="1625">
        <f>DESPORC!I905</f>
        <v>1334131.7266243289</v>
      </c>
      <c r="J222" s="1627"/>
    </row>
    <row r="223" spans="2:10" ht="35.1" customHeight="1" x14ac:dyDescent="0.25">
      <c r="B223" s="1628" t="s">
        <v>3137</v>
      </c>
      <c r="C223" s="1615" t="str">
        <f>'[3]Anexo I - Programas'!$B$97</f>
        <v>4</v>
      </c>
      <c r="D223" s="1629" t="str">
        <f>'[3]Anexo I - Programas'!$C$97</f>
        <v xml:space="preserve">PROMOÇÃO E DESENVOLVIMENTO DA INFRAESTRUTURA </v>
      </c>
      <c r="E223" s="1628" t="s">
        <v>3137</v>
      </c>
      <c r="F223" s="1615" t="str">
        <f>C223</f>
        <v>4</v>
      </c>
      <c r="G223" s="1617" t="str">
        <f>D223</f>
        <v xml:space="preserve">PROMOÇÃO E DESENVOLVIMENTO DA INFRAESTRUTURA </v>
      </c>
      <c r="H223" s="773" t="s">
        <v>3138</v>
      </c>
      <c r="I223" s="757">
        <f>DESPORC!C1078</f>
        <v>26</v>
      </c>
      <c r="J223" s="765" t="str">
        <f>DESPORC!D1078</f>
        <v>Transporte</v>
      </c>
    </row>
    <row r="224" spans="2:10" ht="35.1" customHeight="1" x14ac:dyDescent="0.25">
      <c r="B224" s="1619"/>
      <c r="C224" s="1616"/>
      <c r="D224" s="1630"/>
      <c r="E224" s="1619"/>
      <c r="F224" s="1616"/>
      <c r="G224" s="1618"/>
      <c r="H224" s="774" t="s">
        <v>6940</v>
      </c>
      <c r="I224" s="757">
        <f>DESPORC!C1079</f>
        <v>782</v>
      </c>
      <c r="J224" s="765" t="str">
        <f>DESPORC!D1079</f>
        <v>Transporte Rodoviário</v>
      </c>
    </row>
    <row r="225" spans="2:10" ht="35.1" customHeight="1" x14ac:dyDescent="0.25">
      <c r="B225" s="1619" t="s">
        <v>6941</v>
      </c>
      <c r="C225" s="1616">
        <f>'[3]Anexo I - Programas'!$C$123</f>
        <v>2050</v>
      </c>
      <c r="D225" s="1622" t="str">
        <f>'[3]Anexo I - Programas'!$D$123</f>
        <v>PROMOÇÃO DE ACESSO A RESIDENCIAS E PROPRIEDADES</v>
      </c>
      <c r="E225" s="1619" t="s">
        <v>6941</v>
      </c>
      <c r="F225" s="1616">
        <f>C225</f>
        <v>2050</v>
      </c>
      <c r="G225" s="1618" t="str">
        <f>D225</f>
        <v>PROMOÇÃO DE ACESSO A RESIDENCIAS E PROPRIEDADES</v>
      </c>
      <c r="H225" s="775" t="s">
        <v>3137</v>
      </c>
      <c r="I225" s="795" t="str">
        <f>F223</f>
        <v>4</v>
      </c>
      <c r="J225" s="762" t="str">
        <f>G223</f>
        <v xml:space="preserve">PROMOÇÃO E DESENVOLVIMENTO DA INFRAESTRUTURA </v>
      </c>
    </row>
    <row r="226" spans="2:10" ht="35.1" customHeight="1" x14ac:dyDescent="0.25">
      <c r="B226" s="1620"/>
      <c r="C226" s="1621"/>
      <c r="D226" s="1623"/>
      <c r="E226" s="1620"/>
      <c r="F226" s="1621"/>
      <c r="G226" s="1624"/>
      <c r="H226" s="776" t="s">
        <v>6941</v>
      </c>
      <c r="I226" s="796">
        <f>F225</f>
        <v>2050</v>
      </c>
      <c r="J226" s="764" t="str">
        <f>G225</f>
        <v>PROMOÇÃO DE ACESSO A RESIDENCIAS E PROPRIEDADES</v>
      </c>
    </row>
    <row r="227" spans="2:10" ht="35.1" customHeight="1" thickBot="1" x14ac:dyDescent="0.3">
      <c r="B227" s="769" t="s">
        <v>6939</v>
      </c>
      <c r="C227" s="1625">
        <v>300000</v>
      </c>
      <c r="D227" s="1626"/>
      <c r="E227" s="769" t="s">
        <v>6939</v>
      </c>
      <c r="F227" s="1625">
        <v>850000</v>
      </c>
      <c r="G227" s="1627"/>
      <c r="H227" s="778" t="s">
        <v>6939</v>
      </c>
      <c r="I227" s="1625">
        <f>DESPORC!I1081</f>
        <v>7.0000000000000007E-2</v>
      </c>
      <c r="J227" s="1627"/>
    </row>
    <row r="228" spans="2:10" ht="35.1" customHeight="1" x14ac:dyDescent="0.25">
      <c r="B228" s="1628" t="s">
        <v>3137</v>
      </c>
      <c r="C228" s="1615" t="str">
        <f>'[3]Anexo I - Programas'!$B$97</f>
        <v>4</v>
      </c>
      <c r="D228" s="1629" t="str">
        <f>'[3]Anexo I - Programas'!$C$97</f>
        <v xml:space="preserve">PROMOÇÃO E DESENVOLVIMENTO DA INFRAESTRUTURA </v>
      </c>
      <c r="E228" s="1628" t="s">
        <v>3137</v>
      </c>
      <c r="F228" s="1615" t="str">
        <f>C228</f>
        <v>4</v>
      </c>
      <c r="G228" s="1617" t="str">
        <f>D228</f>
        <v xml:space="preserve">PROMOÇÃO E DESENVOLVIMENTO DA INFRAESTRUTURA </v>
      </c>
      <c r="H228" s="773" t="s">
        <v>3138</v>
      </c>
      <c r="I228" s="757">
        <f>DESPORC!C1092</f>
        <v>2056</v>
      </c>
      <c r="J228" s="765" t="str">
        <f>DESPORC!D1092</f>
        <v>Gestao e Apoio Departamento de Engenharia</v>
      </c>
    </row>
    <row r="229" spans="2:10" ht="35.1" customHeight="1" x14ac:dyDescent="0.25">
      <c r="B229" s="1619"/>
      <c r="C229" s="1616"/>
      <c r="D229" s="1630"/>
      <c r="E229" s="1619"/>
      <c r="F229" s="1616"/>
      <c r="G229" s="1618"/>
      <c r="H229" s="774" t="s">
        <v>6940</v>
      </c>
      <c r="I229" s="757">
        <f>DESPORC!C1093</f>
        <v>333904000000000</v>
      </c>
      <c r="J229" s="765" t="str">
        <f>DESPORC!D1093</f>
        <v>Gest. T.I. Dep. Engenharia: Prest. Serviços T.I. PJ</v>
      </c>
    </row>
    <row r="230" spans="2:10" ht="35.1" customHeight="1" x14ac:dyDescent="0.25">
      <c r="B230" s="1619" t="s">
        <v>6941</v>
      </c>
      <c r="C230" s="1616">
        <f>'[3]Anexo I - Programas'!$C$128</f>
        <v>2056</v>
      </c>
      <c r="D230" s="1622" t="str">
        <f>'[3]Anexo I - Programas'!$D$128</f>
        <v>Gestao e Apoio Departamento de Engenharia</v>
      </c>
      <c r="E230" s="1619" t="s">
        <v>6941</v>
      </c>
      <c r="F230" s="1616">
        <f>C230</f>
        <v>2056</v>
      </c>
      <c r="G230" s="1618" t="str">
        <f>D230</f>
        <v>Gestao e Apoio Departamento de Engenharia</v>
      </c>
      <c r="H230" s="775" t="s">
        <v>3137</v>
      </c>
      <c r="I230" s="850" t="str">
        <f>F228</f>
        <v>4</v>
      </c>
      <c r="J230" s="762" t="str">
        <f>G228</f>
        <v xml:space="preserve">PROMOÇÃO E DESENVOLVIMENTO DA INFRAESTRUTURA </v>
      </c>
    </row>
    <row r="231" spans="2:10" ht="35.1" customHeight="1" x14ac:dyDescent="0.25">
      <c r="B231" s="1620"/>
      <c r="C231" s="1621"/>
      <c r="D231" s="1623"/>
      <c r="E231" s="1620"/>
      <c r="F231" s="1621"/>
      <c r="G231" s="1624"/>
      <c r="H231" s="776" t="s">
        <v>6941</v>
      </c>
      <c r="I231" s="851">
        <f>F230</f>
        <v>2056</v>
      </c>
      <c r="J231" s="764" t="str">
        <f>G230</f>
        <v>Gestao e Apoio Departamento de Engenharia</v>
      </c>
    </row>
    <row r="232" spans="2:10" ht="35.1" customHeight="1" thickBot="1" x14ac:dyDescent="0.3">
      <c r="B232" s="769" t="s">
        <v>6939</v>
      </c>
      <c r="C232" s="1625">
        <v>300000</v>
      </c>
      <c r="D232" s="1626"/>
      <c r="E232" s="769" t="s">
        <v>6939</v>
      </c>
      <c r="F232" s="1625">
        <v>850000</v>
      </c>
      <c r="G232" s="1627"/>
      <c r="H232" s="778" t="s">
        <v>6939</v>
      </c>
      <c r="I232" s="1625">
        <f>DESPORC!I1095</f>
        <v>2300.0200000000004</v>
      </c>
      <c r="J232" s="1627"/>
    </row>
    <row r="233" spans="2:10" ht="35.1" customHeight="1" x14ac:dyDescent="0.25">
      <c r="B233" s="1628" t="s">
        <v>3137</v>
      </c>
      <c r="C233" s="1615" t="str">
        <f>'[3]Anexo I - Programas'!$B$97</f>
        <v>4</v>
      </c>
      <c r="D233" s="1629" t="str">
        <f>'[3]Anexo I - Programas'!$C$97</f>
        <v xml:space="preserve">PROMOÇÃO E DESENVOLVIMENTO DA INFRAESTRUTURA </v>
      </c>
      <c r="E233" s="1628" t="s">
        <v>3137</v>
      </c>
      <c r="F233" s="1615" t="str">
        <f>C233</f>
        <v>4</v>
      </c>
      <c r="G233" s="1617" t="str">
        <f>D233</f>
        <v xml:space="preserve">PROMOÇÃO E DESENVOLVIMENTO DA INFRAESTRUTURA </v>
      </c>
      <c r="H233" s="773" t="s">
        <v>3138</v>
      </c>
      <c r="I233" s="757">
        <f>DESPORC!C1097</f>
        <v>2056</v>
      </c>
      <c r="J233" s="765" t="str">
        <f>DESPORC!D1097</f>
        <v>Gestao e Apoio Departamento de Engenharia</v>
      </c>
    </row>
    <row r="234" spans="2:10" ht="35.1" customHeight="1" x14ac:dyDescent="0.25">
      <c r="B234" s="1619"/>
      <c r="C234" s="1616"/>
      <c r="D234" s="1630"/>
      <c r="E234" s="1619"/>
      <c r="F234" s="1616"/>
      <c r="G234" s="1618"/>
      <c r="H234" s="774" t="s">
        <v>6940</v>
      </c>
      <c r="I234" s="757">
        <f>DESPORC!C1098</f>
        <v>333901400000000</v>
      </c>
      <c r="J234" s="765" t="str">
        <f>DESPORC!D1098</f>
        <v>Gest. Dep. Engenharia Formação de R. H.: Diárias</v>
      </c>
    </row>
    <row r="235" spans="2:10" ht="35.1" customHeight="1" x14ac:dyDescent="0.25">
      <c r="B235" s="1619" t="s">
        <v>6941</v>
      </c>
      <c r="C235" s="1616">
        <f>'[3]Anexo I - Programas'!$C$128</f>
        <v>2056</v>
      </c>
      <c r="D235" s="1622" t="str">
        <f>'[3]Anexo I - Programas'!$D$128</f>
        <v>Gestao e Apoio Departamento de Engenharia</v>
      </c>
      <c r="E235" s="1619" t="s">
        <v>6941</v>
      </c>
      <c r="F235" s="1616">
        <f>C235</f>
        <v>2056</v>
      </c>
      <c r="G235" s="1618" t="str">
        <f>D235</f>
        <v>Gestao e Apoio Departamento de Engenharia</v>
      </c>
      <c r="H235" s="775" t="s">
        <v>3137</v>
      </c>
      <c r="I235" s="850" t="str">
        <f>F233</f>
        <v>4</v>
      </c>
      <c r="J235" s="762" t="str">
        <f>G233</f>
        <v xml:space="preserve">PROMOÇÃO E DESENVOLVIMENTO DA INFRAESTRUTURA </v>
      </c>
    </row>
    <row r="236" spans="2:10" ht="35.1" customHeight="1" x14ac:dyDescent="0.25">
      <c r="B236" s="1620"/>
      <c r="C236" s="1621"/>
      <c r="D236" s="1623"/>
      <c r="E236" s="1620"/>
      <c r="F236" s="1621"/>
      <c r="G236" s="1624"/>
      <c r="H236" s="776" t="s">
        <v>6941</v>
      </c>
      <c r="I236" s="851">
        <f>F235</f>
        <v>2056</v>
      </c>
      <c r="J236" s="764" t="str">
        <f>G235</f>
        <v>Gestao e Apoio Departamento de Engenharia</v>
      </c>
    </row>
    <row r="237" spans="2:10" ht="35.1" customHeight="1" thickBot="1" x14ac:dyDescent="0.3">
      <c r="B237" s="769" t="s">
        <v>6939</v>
      </c>
      <c r="C237" s="1625">
        <v>300000</v>
      </c>
      <c r="D237" s="1626"/>
      <c r="E237" s="769" t="s">
        <v>6939</v>
      </c>
      <c r="F237" s="1625">
        <v>850000</v>
      </c>
      <c r="G237" s="1627"/>
      <c r="H237" s="778" t="s">
        <v>6939</v>
      </c>
      <c r="I237" s="1625">
        <f>DESPORC!I1100</f>
        <v>0.01</v>
      </c>
      <c r="J237" s="1627"/>
    </row>
    <row r="238" spans="2:10" ht="35.1" customHeight="1" x14ac:dyDescent="0.25">
      <c r="B238" s="1628" t="s">
        <v>3137</v>
      </c>
      <c r="C238" s="1615" t="str">
        <f>'[3]Anexo I - Programas'!$B$97</f>
        <v>4</v>
      </c>
      <c r="D238" s="1629" t="str">
        <f>'[3]Anexo I - Programas'!$C$97</f>
        <v xml:space="preserve">PROMOÇÃO E DESENVOLVIMENTO DA INFRAESTRUTURA </v>
      </c>
      <c r="E238" s="1628" t="s">
        <v>3137</v>
      </c>
      <c r="F238" s="1615" t="str">
        <f>C238</f>
        <v>4</v>
      </c>
      <c r="G238" s="1617" t="str">
        <f>D238</f>
        <v xml:space="preserve">PROMOÇÃO E DESENVOLVIMENTO DA INFRAESTRUTURA </v>
      </c>
      <c r="H238" s="773" t="s">
        <v>3138</v>
      </c>
      <c r="I238" s="757">
        <f>DESPORC!C1106</f>
        <v>2056</v>
      </c>
      <c r="J238" s="765" t="str">
        <f>DESPORC!D1106</f>
        <v>Gestao e Apoio Departamento de Engenharia</v>
      </c>
    </row>
    <row r="239" spans="2:10" ht="35.1" customHeight="1" x14ac:dyDescent="0.25">
      <c r="B239" s="1619"/>
      <c r="C239" s="1616"/>
      <c r="D239" s="1630"/>
      <c r="E239" s="1619"/>
      <c r="F239" s="1616"/>
      <c r="G239" s="1618"/>
      <c r="H239" s="774" t="s">
        <v>6940</v>
      </c>
      <c r="I239" s="757">
        <f>DESPORC!C1107</f>
        <v>331900400000000</v>
      </c>
      <c r="J239" s="765" t="str">
        <f>DESPORC!D1107</f>
        <v>Gest. Dep. Engenharia Folha Pgto: Serv. Contratados</v>
      </c>
    </row>
    <row r="240" spans="2:10" ht="35.1" customHeight="1" x14ac:dyDescent="0.25">
      <c r="B240" s="1619" t="s">
        <v>6941</v>
      </c>
      <c r="C240" s="1616">
        <f>'[3]Anexo I - Programas'!$C$128</f>
        <v>2056</v>
      </c>
      <c r="D240" s="1622" t="str">
        <f>'[3]Anexo I - Programas'!$D$128</f>
        <v>Gestao e Apoio Departamento de Engenharia</v>
      </c>
      <c r="E240" s="1619" t="s">
        <v>6941</v>
      </c>
      <c r="F240" s="1616">
        <f>C240</f>
        <v>2056</v>
      </c>
      <c r="G240" s="1618" t="str">
        <f>D240</f>
        <v>Gestao e Apoio Departamento de Engenharia</v>
      </c>
      <c r="H240" s="775" t="s">
        <v>3137</v>
      </c>
      <c r="I240" s="850" t="str">
        <f>F238</f>
        <v>4</v>
      </c>
      <c r="J240" s="762" t="str">
        <f>G238</f>
        <v xml:space="preserve">PROMOÇÃO E DESENVOLVIMENTO DA INFRAESTRUTURA </v>
      </c>
    </row>
    <row r="241" spans="2:10" ht="35.1" customHeight="1" x14ac:dyDescent="0.25">
      <c r="B241" s="1620"/>
      <c r="C241" s="1621"/>
      <c r="D241" s="1623"/>
      <c r="E241" s="1620"/>
      <c r="F241" s="1621"/>
      <c r="G241" s="1624"/>
      <c r="H241" s="776" t="s">
        <v>6941</v>
      </c>
      <c r="I241" s="851">
        <f>F240</f>
        <v>2056</v>
      </c>
      <c r="J241" s="764" t="str">
        <f>G240</f>
        <v>Gestao e Apoio Departamento de Engenharia</v>
      </c>
    </row>
    <row r="242" spans="2:10" ht="35.1" customHeight="1" thickBot="1" x14ac:dyDescent="0.3">
      <c r="B242" s="769" t="s">
        <v>6939</v>
      </c>
      <c r="C242" s="1625">
        <v>300000</v>
      </c>
      <c r="D242" s="1626"/>
      <c r="E242" s="769" t="s">
        <v>6939</v>
      </c>
      <c r="F242" s="1625">
        <v>850000</v>
      </c>
      <c r="G242" s="1627"/>
      <c r="H242" s="778" t="s">
        <v>6939</v>
      </c>
      <c r="I242" s="1625">
        <f>DESPORC!I1109</f>
        <v>113483.58110525181</v>
      </c>
      <c r="J242" s="1627"/>
    </row>
    <row r="243" spans="2:10" ht="35.1" customHeight="1" x14ac:dyDescent="0.25">
      <c r="B243" s="267"/>
      <c r="C243" s="807"/>
      <c r="D243" s="257"/>
      <c r="E243" s="267"/>
      <c r="F243" s="807"/>
      <c r="G243" s="257"/>
      <c r="H243" s="267"/>
      <c r="I243" s="807"/>
      <c r="J243" s="257"/>
    </row>
    <row r="244" spans="2:10" ht="35.1" customHeight="1" x14ac:dyDescent="0.25">
      <c r="B244" s="1631" t="s">
        <v>6927</v>
      </c>
      <c r="C244" s="1631"/>
      <c r="D244" s="755" t="str">
        <f>DESPORC!C1132</f>
        <v>02 - PREFEITURA MUNICIPAL DE CHUVISCA</v>
      </c>
      <c r="E244" s="797"/>
      <c r="F244" s="798"/>
      <c r="G244" s="798"/>
      <c r="H244" s="797"/>
      <c r="I244" s="798"/>
      <c r="J244" s="798"/>
    </row>
    <row r="245" spans="2:10" ht="35.1" customHeight="1" thickBot="1" x14ac:dyDescent="0.3">
      <c r="B245" s="1632" t="s">
        <v>3087</v>
      </c>
      <c r="C245" s="1632"/>
      <c r="D245" s="755" t="str">
        <f>DESPORC!C1133</f>
        <v>05 - SECRETARIA MUN. DE AGRICULTURA E MEIO AMBIENTE</v>
      </c>
      <c r="E245" s="797"/>
      <c r="F245" s="36"/>
      <c r="G245" s="1"/>
      <c r="H245" s="772"/>
      <c r="I245" s="1"/>
      <c r="J245" s="1"/>
    </row>
    <row r="246" spans="2:10" ht="35.1" customHeight="1" thickBot="1" x14ac:dyDescent="0.3">
      <c r="B246" s="1776" t="s">
        <v>6955</v>
      </c>
      <c r="C246" s="1777"/>
      <c r="D246" s="1778"/>
      <c r="E246" s="1776" t="str">
        <f>E$12</f>
        <v>PRIORIDADES LDO LEI MUNICIPAL N.º 1215  DE 02 DE OUTUBRO DE 2019.</v>
      </c>
      <c r="F246" s="1777"/>
      <c r="G246" s="1778"/>
      <c r="H246" s="1779" t="s">
        <v>6956</v>
      </c>
      <c r="I246" s="1780"/>
      <c r="J246" s="1781"/>
    </row>
    <row r="247" spans="2:10" ht="35.1" customHeight="1" x14ac:dyDescent="0.25">
      <c r="B247" s="1628" t="s">
        <v>3137</v>
      </c>
      <c r="C247" s="1615" t="str">
        <f>'[3]Anexo I - Programas'!$B$60</f>
        <v>003</v>
      </c>
      <c r="D247" s="1629" t="str">
        <f>'[3]Anexo I - Programas'!$C$60</f>
        <v xml:space="preserve">GESTÃO, COORDENAÇÃO E PLANEJAMENTO </v>
      </c>
      <c r="E247" s="1628" t="s">
        <v>3137</v>
      </c>
      <c r="F247" s="1615" t="str">
        <f>C247</f>
        <v>003</v>
      </c>
      <c r="G247" s="1617" t="str">
        <f>D247</f>
        <v xml:space="preserve">GESTÃO, COORDENAÇÃO E PLANEJAMENTO </v>
      </c>
      <c r="H247" s="773" t="s">
        <v>3138</v>
      </c>
      <c r="I247" s="757">
        <f>DESPORC!C1136</f>
        <v>20</v>
      </c>
      <c r="J247" s="765" t="str">
        <f>DESPORC!D1136</f>
        <v>Agricultura</v>
      </c>
    </row>
    <row r="248" spans="2:10" ht="35.1" customHeight="1" x14ac:dyDescent="0.25">
      <c r="B248" s="1619"/>
      <c r="C248" s="1616"/>
      <c r="D248" s="1630"/>
      <c r="E248" s="1619"/>
      <c r="F248" s="1616"/>
      <c r="G248" s="1618"/>
      <c r="H248" s="774" t="s">
        <v>6940</v>
      </c>
      <c r="I248" s="757">
        <f>DESPORC!C1137</f>
        <v>122</v>
      </c>
      <c r="J248" s="765" t="str">
        <f>DESPORC!D1137</f>
        <v>Administração Geral</v>
      </c>
    </row>
    <row r="249" spans="2:10" ht="35.1" customHeight="1" x14ac:dyDescent="0.25">
      <c r="B249" s="1619" t="s">
        <v>6941</v>
      </c>
      <c r="C249" s="1616">
        <f>'[3]Anexo I - Programas'!$C$74</f>
        <v>2002</v>
      </c>
      <c r="D249" s="1622" t="str">
        <f>'[3]Anexo I - Programas'!$D$74</f>
        <v xml:space="preserve">GESTÃO , APOIO E MANUTENÇÃO , COORDENAÇÃO E PLANEJAMENTO </v>
      </c>
      <c r="E249" s="1619" t="s">
        <v>6941</v>
      </c>
      <c r="F249" s="1616">
        <f>C249</f>
        <v>2002</v>
      </c>
      <c r="G249" s="1618" t="str">
        <f>D249</f>
        <v xml:space="preserve">GESTÃO , APOIO E MANUTENÇÃO , COORDENAÇÃO E PLANEJAMENTO </v>
      </c>
      <c r="H249" s="775" t="s">
        <v>3137</v>
      </c>
      <c r="I249" s="795" t="str">
        <f>F247</f>
        <v>003</v>
      </c>
      <c r="J249" s="762" t="str">
        <f>G247</f>
        <v xml:space="preserve">GESTÃO, COORDENAÇÃO E PLANEJAMENTO </v>
      </c>
    </row>
    <row r="250" spans="2:10" ht="35.1" customHeight="1" x14ac:dyDescent="0.25">
      <c r="B250" s="1620"/>
      <c r="C250" s="1621"/>
      <c r="D250" s="1623"/>
      <c r="E250" s="1620"/>
      <c r="F250" s="1621"/>
      <c r="G250" s="1624"/>
      <c r="H250" s="776" t="s">
        <v>6941</v>
      </c>
      <c r="I250" s="796">
        <f>F249</f>
        <v>2002</v>
      </c>
      <c r="J250" s="764" t="str">
        <f>G249</f>
        <v xml:space="preserve">GESTÃO , APOIO E MANUTENÇÃO , COORDENAÇÃO E PLANEJAMENTO </v>
      </c>
    </row>
    <row r="251" spans="2:10" ht="35.1" customHeight="1" thickBot="1" x14ac:dyDescent="0.3">
      <c r="B251" s="769" t="s">
        <v>6939</v>
      </c>
      <c r="C251" s="1625">
        <v>10370000</v>
      </c>
      <c r="D251" s="1626"/>
      <c r="E251" s="769" t="s">
        <v>6939</v>
      </c>
      <c r="F251" s="1625">
        <v>2592500</v>
      </c>
      <c r="G251" s="1627"/>
      <c r="H251" s="778" t="s">
        <v>6939</v>
      </c>
      <c r="I251" s="1625">
        <f>DESPORC!I1139</f>
        <v>8.6813820999999999E-2</v>
      </c>
      <c r="J251" s="1627"/>
    </row>
    <row r="252" spans="2:10" ht="35.1" customHeight="1" x14ac:dyDescent="0.25">
      <c r="B252" s="1628" t="s">
        <v>3137</v>
      </c>
      <c r="C252" s="1615" t="str">
        <f>'[3]Anexo I - Programas'!$B$60</f>
        <v>003</v>
      </c>
      <c r="D252" s="1629" t="str">
        <f>'[3]Anexo I - Programas'!$C$60</f>
        <v xml:space="preserve">GESTÃO, COORDENAÇÃO E PLANEJAMENTO </v>
      </c>
      <c r="E252" s="1628" t="s">
        <v>3137</v>
      </c>
      <c r="F252" s="1615" t="str">
        <f>C252</f>
        <v>003</v>
      </c>
      <c r="G252" s="1617" t="str">
        <f>D252</f>
        <v xml:space="preserve">GESTÃO, COORDENAÇÃO E PLANEJAMENTO </v>
      </c>
      <c r="H252" s="773" t="s">
        <v>3138</v>
      </c>
      <c r="I252" s="757">
        <f>DESPORC!C1148</f>
        <v>20</v>
      </c>
      <c r="J252" s="765" t="str">
        <f>DESPORC!D1148</f>
        <v>Agricultura</v>
      </c>
    </row>
    <row r="253" spans="2:10" ht="35.1" customHeight="1" x14ac:dyDescent="0.25">
      <c r="B253" s="1619"/>
      <c r="C253" s="1616"/>
      <c r="D253" s="1630"/>
      <c r="E253" s="1619"/>
      <c r="F253" s="1616"/>
      <c r="G253" s="1618"/>
      <c r="H253" s="774" t="s">
        <v>6940</v>
      </c>
      <c r="I253" s="757">
        <f>DESPORC!C1149</f>
        <v>122</v>
      </c>
      <c r="J253" s="765" t="str">
        <f>DESPORC!D1149</f>
        <v>Administração Geral</v>
      </c>
    </row>
    <row r="254" spans="2:10" ht="35.1" customHeight="1" x14ac:dyDescent="0.25">
      <c r="B254" s="1619" t="s">
        <v>6941</v>
      </c>
      <c r="C254" s="1616">
        <f>'[3]Anexo I - Programas'!$C$74</f>
        <v>2002</v>
      </c>
      <c r="D254" s="1622" t="str">
        <f>'[3]Anexo I - Programas'!$D$74</f>
        <v xml:space="preserve">GESTÃO , APOIO E MANUTENÇÃO , COORDENAÇÃO E PLANEJAMENTO </v>
      </c>
      <c r="E254" s="1619" t="s">
        <v>6941</v>
      </c>
      <c r="F254" s="1616">
        <f>C254</f>
        <v>2002</v>
      </c>
      <c r="G254" s="1618" t="str">
        <f>D254</f>
        <v xml:space="preserve">GESTÃO , APOIO E MANUTENÇÃO , COORDENAÇÃO E PLANEJAMENTO </v>
      </c>
      <c r="H254" s="775" t="s">
        <v>3137</v>
      </c>
      <c r="I254" s="795" t="str">
        <f>F252</f>
        <v>003</v>
      </c>
      <c r="J254" s="762" t="str">
        <f>G252</f>
        <v xml:space="preserve">GESTÃO, COORDENAÇÃO E PLANEJAMENTO </v>
      </c>
    </row>
    <row r="255" spans="2:10" ht="35.1" customHeight="1" x14ac:dyDescent="0.25">
      <c r="B255" s="1620"/>
      <c r="C255" s="1621"/>
      <c r="D255" s="1623"/>
      <c r="E255" s="1620"/>
      <c r="F255" s="1621"/>
      <c r="G255" s="1624"/>
      <c r="H255" s="776" t="s">
        <v>6941</v>
      </c>
      <c r="I255" s="796">
        <f>F254</f>
        <v>2002</v>
      </c>
      <c r="J255" s="764" t="str">
        <f>G254</f>
        <v xml:space="preserve">GESTÃO , APOIO E MANUTENÇÃO , COORDENAÇÃO E PLANEJAMENTO </v>
      </c>
    </row>
    <row r="256" spans="2:10" ht="35.1" customHeight="1" thickBot="1" x14ac:dyDescent="0.3">
      <c r="B256" s="769" t="s">
        <v>6939</v>
      </c>
      <c r="C256" s="1625">
        <v>10370000</v>
      </c>
      <c r="D256" s="1626"/>
      <c r="E256" s="769" t="s">
        <v>6939</v>
      </c>
      <c r="F256" s="1625">
        <v>2592500</v>
      </c>
      <c r="G256" s="1627"/>
      <c r="H256" s="778" t="s">
        <v>6939</v>
      </c>
      <c r="I256" s="1625">
        <f>DESPORC!I1151</f>
        <v>180855.05919120173</v>
      </c>
      <c r="J256" s="1627"/>
    </row>
    <row r="257" spans="2:10" ht="35.1" customHeight="1" x14ac:dyDescent="0.25">
      <c r="B257" s="1628" t="s">
        <v>3137</v>
      </c>
      <c r="C257" s="1615" t="str">
        <f>'[3]Anexo I - Programas'!$B$60</f>
        <v>003</v>
      </c>
      <c r="D257" s="1629" t="str">
        <f>'[3]Anexo I - Programas'!$C$60</f>
        <v xml:space="preserve">GESTÃO, COORDENAÇÃO E PLANEJAMENTO </v>
      </c>
      <c r="E257" s="1628" t="s">
        <v>3137</v>
      </c>
      <c r="F257" s="1615" t="str">
        <f>C257</f>
        <v>003</v>
      </c>
      <c r="G257" s="1617" t="str">
        <f>D257</f>
        <v xml:space="preserve">GESTÃO, COORDENAÇÃO E PLANEJAMENTO </v>
      </c>
      <c r="H257" s="773" t="s">
        <v>3138</v>
      </c>
      <c r="I257" s="757">
        <f>DESPORC!C1223</f>
        <v>20</v>
      </c>
      <c r="J257" s="765" t="str">
        <f>DESPORC!D1223</f>
        <v>Agricultura</v>
      </c>
    </row>
    <row r="258" spans="2:10" ht="35.1" customHeight="1" x14ac:dyDescent="0.25">
      <c r="B258" s="1619"/>
      <c r="C258" s="1616"/>
      <c r="D258" s="1630"/>
      <c r="E258" s="1619"/>
      <c r="F258" s="1616"/>
      <c r="G258" s="1618"/>
      <c r="H258" s="774" t="s">
        <v>6940</v>
      </c>
      <c r="I258" s="757">
        <f>DESPORC!C1224</f>
        <v>126</v>
      </c>
      <c r="J258" s="765" t="str">
        <f>DESPORC!D1224</f>
        <v>Tecnologia da Informação</v>
      </c>
    </row>
    <row r="259" spans="2:10" ht="35.1" customHeight="1" x14ac:dyDescent="0.25">
      <c r="B259" s="1619" t="s">
        <v>6941</v>
      </c>
      <c r="C259" s="1616">
        <f>'[3]Anexo I - Programas'!$C$74</f>
        <v>2002</v>
      </c>
      <c r="D259" s="1622" t="str">
        <f>'[3]Anexo I - Programas'!$D$74</f>
        <v xml:space="preserve">GESTÃO , APOIO E MANUTENÇÃO , COORDENAÇÃO E PLANEJAMENTO </v>
      </c>
      <c r="E259" s="1619" t="s">
        <v>6941</v>
      </c>
      <c r="F259" s="1616">
        <f>C259</f>
        <v>2002</v>
      </c>
      <c r="G259" s="1618" t="str">
        <f>D259</f>
        <v xml:space="preserve">GESTÃO , APOIO E MANUTENÇÃO , COORDENAÇÃO E PLANEJAMENTO </v>
      </c>
      <c r="H259" s="775" t="s">
        <v>3137</v>
      </c>
      <c r="I259" s="795" t="str">
        <f>F257</f>
        <v>003</v>
      </c>
      <c r="J259" s="762" t="str">
        <f>G257</f>
        <v xml:space="preserve">GESTÃO, COORDENAÇÃO E PLANEJAMENTO </v>
      </c>
    </row>
    <row r="260" spans="2:10" ht="35.1" customHeight="1" x14ac:dyDescent="0.25">
      <c r="B260" s="1620"/>
      <c r="C260" s="1621"/>
      <c r="D260" s="1623"/>
      <c r="E260" s="1620"/>
      <c r="F260" s="1621"/>
      <c r="G260" s="1624"/>
      <c r="H260" s="776" t="s">
        <v>6941</v>
      </c>
      <c r="I260" s="796">
        <f>F259</f>
        <v>2002</v>
      </c>
      <c r="J260" s="764" t="str">
        <f>G259</f>
        <v xml:space="preserve">GESTÃO , APOIO E MANUTENÇÃO , COORDENAÇÃO E PLANEJAMENTO </v>
      </c>
    </row>
    <row r="261" spans="2:10" ht="35.1" customHeight="1" thickBot="1" x14ac:dyDescent="0.3">
      <c r="B261" s="769" t="s">
        <v>6939</v>
      </c>
      <c r="C261" s="1625">
        <v>10370000</v>
      </c>
      <c r="D261" s="1626"/>
      <c r="E261" s="769" t="s">
        <v>6939</v>
      </c>
      <c r="F261" s="1625">
        <v>2592500</v>
      </c>
      <c r="G261" s="1627"/>
      <c r="H261" s="778" t="s">
        <v>6939</v>
      </c>
      <c r="I261" s="1625">
        <f>DESPORC!I1226</f>
        <v>1646.0433702089999</v>
      </c>
      <c r="J261" s="1627"/>
    </row>
    <row r="262" spans="2:10" ht="35.1" customHeight="1" x14ac:dyDescent="0.25">
      <c r="B262" s="1628" t="s">
        <v>3137</v>
      </c>
      <c r="C262" s="1615" t="str">
        <f>'[3]Anexo I - Programas'!$B$60</f>
        <v>003</v>
      </c>
      <c r="D262" s="1629" t="str">
        <f>'[3]Anexo I - Programas'!$C$60</f>
        <v xml:space="preserve">GESTÃO, COORDENAÇÃO E PLANEJAMENTO </v>
      </c>
      <c r="E262" s="1628" t="s">
        <v>3137</v>
      </c>
      <c r="F262" s="1615" t="str">
        <f>C262</f>
        <v>003</v>
      </c>
      <c r="G262" s="1617" t="str">
        <f>D262</f>
        <v xml:space="preserve">GESTÃO, COORDENAÇÃO E PLANEJAMENTO </v>
      </c>
      <c r="H262" s="773" t="s">
        <v>3138</v>
      </c>
      <c r="I262" s="757">
        <f>DESPORC!C1232</f>
        <v>20</v>
      </c>
      <c r="J262" s="765" t="str">
        <f>DESPORC!D1232</f>
        <v>Agricultura</v>
      </c>
    </row>
    <row r="263" spans="2:10" ht="35.1" customHeight="1" x14ac:dyDescent="0.25">
      <c r="B263" s="1619"/>
      <c r="C263" s="1616"/>
      <c r="D263" s="1630"/>
      <c r="E263" s="1619"/>
      <c r="F263" s="1616"/>
      <c r="G263" s="1618"/>
      <c r="H263" s="774" t="s">
        <v>6940</v>
      </c>
      <c r="I263" s="757">
        <f>DESPORC!C1233</f>
        <v>128</v>
      </c>
      <c r="J263" s="765" t="str">
        <f>DESPORC!D1233</f>
        <v>Formação de Recursos Humanos</v>
      </c>
    </row>
    <row r="264" spans="2:10" ht="35.1" customHeight="1" x14ac:dyDescent="0.25">
      <c r="B264" s="1619" t="s">
        <v>6941</v>
      </c>
      <c r="C264" s="1616">
        <f>'[3]Anexo I - Programas'!$C$74</f>
        <v>2002</v>
      </c>
      <c r="D264" s="1622" t="str">
        <f>'[3]Anexo I - Programas'!$D$74</f>
        <v xml:space="preserve">GESTÃO , APOIO E MANUTENÇÃO , COORDENAÇÃO E PLANEJAMENTO </v>
      </c>
      <c r="E264" s="1619" t="s">
        <v>6941</v>
      </c>
      <c r="F264" s="1616">
        <f>C264</f>
        <v>2002</v>
      </c>
      <c r="G264" s="1618" t="str">
        <f>D264</f>
        <v xml:space="preserve">GESTÃO , APOIO E MANUTENÇÃO , COORDENAÇÃO E PLANEJAMENTO </v>
      </c>
      <c r="H264" s="775" t="s">
        <v>3137</v>
      </c>
      <c r="I264" s="795" t="str">
        <f>F262</f>
        <v>003</v>
      </c>
      <c r="J264" s="762" t="str">
        <f>G262</f>
        <v xml:space="preserve">GESTÃO, COORDENAÇÃO E PLANEJAMENTO </v>
      </c>
    </row>
    <row r="265" spans="2:10" ht="35.1" customHeight="1" x14ac:dyDescent="0.25">
      <c r="B265" s="1620"/>
      <c r="C265" s="1621"/>
      <c r="D265" s="1623"/>
      <c r="E265" s="1620"/>
      <c r="F265" s="1621"/>
      <c r="G265" s="1624"/>
      <c r="H265" s="776" t="s">
        <v>6941</v>
      </c>
      <c r="I265" s="796">
        <f>F264</f>
        <v>2002</v>
      </c>
      <c r="J265" s="764" t="str">
        <f>G264</f>
        <v xml:space="preserve">GESTÃO , APOIO E MANUTENÇÃO , COORDENAÇÃO E PLANEJAMENTO </v>
      </c>
    </row>
    <row r="266" spans="2:10" ht="35.1" customHeight="1" thickBot="1" x14ac:dyDescent="0.3">
      <c r="B266" s="769" t="s">
        <v>6939</v>
      </c>
      <c r="C266" s="1625">
        <v>10370000</v>
      </c>
      <c r="D266" s="1626"/>
      <c r="E266" s="769" t="s">
        <v>6939</v>
      </c>
      <c r="F266" s="1625">
        <v>2592500</v>
      </c>
      <c r="G266" s="1627"/>
      <c r="H266" s="778" t="s">
        <v>6939</v>
      </c>
      <c r="I266" s="1625">
        <f>DESPORC!I1235</f>
        <v>0.05</v>
      </c>
      <c r="J266" s="1627"/>
    </row>
    <row r="273" spans="2:10" ht="35.1" customHeight="1" x14ac:dyDescent="0.25">
      <c r="B273" s="846"/>
      <c r="C273" s="848"/>
      <c r="E273" s="846"/>
      <c r="H273" s="846"/>
    </row>
    <row r="276" spans="2:10" ht="35.1" customHeight="1" x14ac:dyDescent="0.25">
      <c r="B276" s="1631" t="s">
        <v>6927</v>
      </c>
      <c r="C276" s="1631"/>
      <c r="D276" s="755" t="str">
        <f>DESPORC!C1247</f>
        <v>02 - PREFEITURA MUNICIPAL DE CHUVISCA</v>
      </c>
      <c r="E276" s="797"/>
      <c r="F276" s="798"/>
      <c r="G276" s="798"/>
      <c r="H276" s="797"/>
      <c r="I276" s="798"/>
      <c r="J276" s="798"/>
    </row>
    <row r="277" spans="2:10" ht="35.1" customHeight="1" thickBot="1" x14ac:dyDescent="0.3">
      <c r="B277" s="1632" t="s">
        <v>3087</v>
      </c>
      <c r="C277" s="1632"/>
      <c r="D277" s="755" t="str">
        <f>DESPORC!C1248</f>
        <v>06 - FUNDO MUNICIPAL DE AGRICULTURA</v>
      </c>
      <c r="E277" s="797"/>
      <c r="F277" s="36"/>
      <c r="G277" s="1"/>
      <c r="H277" s="772"/>
      <c r="I277" s="1"/>
      <c r="J277" s="1"/>
    </row>
    <row r="278" spans="2:10" ht="35.1" customHeight="1" thickBot="1" x14ac:dyDescent="0.3">
      <c r="B278" s="1776" t="s">
        <v>6955</v>
      </c>
      <c r="C278" s="1777"/>
      <c r="D278" s="1778"/>
      <c r="E278" s="1776" t="str">
        <f>E$12</f>
        <v>PRIORIDADES LDO LEI MUNICIPAL N.º 1215  DE 02 DE OUTUBRO DE 2019.</v>
      </c>
      <c r="F278" s="1777"/>
      <c r="G278" s="1778"/>
      <c r="H278" s="1779" t="s">
        <v>6956</v>
      </c>
      <c r="I278" s="1780"/>
      <c r="J278" s="1781"/>
    </row>
    <row r="279" spans="2:10" ht="35.1" customHeight="1" x14ac:dyDescent="0.25">
      <c r="B279" s="1628" t="s">
        <v>3137</v>
      </c>
      <c r="C279" s="1615" t="str">
        <f>'[3]Anexo I - Programas'!$B$97</f>
        <v>4</v>
      </c>
      <c r="D279" s="1629" t="str">
        <f>'[3]Anexo I - Programas'!$C$97</f>
        <v xml:space="preserve">PROMOÇÃO E DESENVOLVIMENTO DA INFRAESTRUTURA </v>
      </c>
      <c r="E279" s="1628" t="s">
        <v>3137</v>
      </c>
      <c r="F279" s="1615" t="str">
        <f>C279</f>
        <v>4</v>
      </c>
      <c r="G279" s="1617" t="str">
        <f>D279</f>
        <v xml:space="preserve">PROMOÇÃO E DESENVOLVIMENTO DA INFRAESTRUTURA </v>
      </c>
      <c r="H279" s="773" t="s">
        <v>3138</v>
      </c>
      <c r="I279" s="757">
        <f>DESPORC!C1251</f>
        <v>20</v>
      </c>
      <c r="J279" s="765" t="str">
        <f>DESPORC!D1251</f>
        <v>Agricultura</v>
      </c>
    </row>
    <row r="280" spans="2:10" ht="35.1" customHeight="1" x14ac:dyDescent="0.25">
      <c r="B280" s="1619"/>
      <c r="C280" s="1616"/>
      <c r="D280" s="1630"/>
      <c r="E280" s="1619"/>
      <c r="F280" s="1616"/>
      <c r="G280" s="1618"/>
      <c r="H280" s="774" t="s">
        <v>6940</v>
      </c>
      <c r="I280" s="757">
        <f>DESPORC!C1252</f>
        <v>608</v>
      </c>
      <c r="J280" s="765" t="str">
        <f>DESPORC!D1252</f>
        <v>Promoção da Produção Agropecuária</v>
      </c>
    </row>
    <row r="281" spans="2:10" ht="35.1" customHeight="1" x14ac:dyDescent="0.25">
      <c r="B281" s="1619" t="s">
        <v>6941</v>
      </c>
      <c r="C281" s="1616">
        <f>'[3]Anexo I - Programas'!$C$106</f>
        <v>1003</v>
      </c>
      <c r="D281" s="1622" t="str">
        <f>'[3]Anexo I - Programas'!$D$106</f>
        <v>Novos Investimentos em Infraestrutura</v>
      </c>
      <c r="E281" s="1619" t="s">
        <v>6941</v>
      </c>
      <c r="F281" s="1616">
        <f>C281</f>
        <v>1003</v>
      </c>
      <c r="G281" s="1618" t="str">
        <f>D281</f>
        <v>Novos Investimentos em Infraestrutura</v>
      </c>
      <c r="H281" s="775" t="s">
        <v>3137</v>
      </c>
      <c r="I281" s="795" t="str">
        <f>F279</f>
        <v>4</v>
      </c>
      <c r="J281" s="762" t="str">
        <f>G279</f>
        <v xml:space="preserve">PROMOÇÃO E DESENVOLVIMENTO DA INFRAESTRUTURA </v>
      </c>
    </row>
    <row r="282" spans="2:10" ht="35.1" customHeight="1" x14ac:dyDescent="0.25">
      <c r="B282" s="1620"/>
      <c r="C282" s="1621"/>
      <c r="D282" s="1623"/>
      <c r="E282" s="1620"/>
      <c r="F282" s="1621"/>
      <c r="G282" s="1624"/>
      <c r="H282" s="776" t="s">
        <v>6941</v>
      </c>
      <c r="I282" s="796">
        <f>F281</f>
        <v>1003</v>
      </c>
      <c r="J282" s="764" t="str">
        <f>G281</f>
        <v>Novos Investimentos em Infraestrutura</v>
      </c>
    </row>
    <row r="283" spans="2:10" ht="35.1" customHeight="1" thickBot="1" x14ac:dyDescent="0.3">
      <c r="B283" s="769" t="s">
        <v>6939</v>
      </c>
      <c r="C283" s="1625">
        <v>700000</v>
      </c>
      <c r="D283" s="1626"/>
      <c r="E283" s="769" t="s">
        <v>6939</v>
      </c>
      <c r="F283" s="1625">
        <v>175000</v>
      </c>
      <c r="G283" s="1627"/>
      <c r="H283" s="778" t="s">
        <v>6939</v>
      </c>
      <c r="I283" s="1625">
        <f>DESPORC!I1254</f>
        <v>6.5840417999999998E-2</v>
      </c>
      <c r="J283" s="1627"/>
    </row>
    <row r="284" spans="2:10" ht="35.1" customHeight="1" x14ac:dyDescent="0.25">
      <c r="B284" s="1628" t="s">
        <v>3137</v>
      </c>
      <c r="C284" s="1615" t="str">
        <f>'[3]Anexo I - Programas'!$B$141</f>
        <v>5</v>
      </c>
      <c r="D284" s="1629" t="str">
        <f>'[3]Anexo I - Programas'!$C$141</f>
        <v xml:space="preserve">DESENVOLVIMENTO DA AGRICULTURA FAMILIAR E DO AGRONEGÓCIO </v>
      </c>
      <c r="E284" s="1628" t="s">
        <v>3137</v>
      </c>
      <c r="F284" s="1615" t="str">
        <f>C284</f>
        <v>5</v>
      </c>
      <c r="G284" s="1617" t="str">
        <f>D284</f>
        <v xml:space="preserve">DESENVOLVIMENTO DA AGRICULTURA FAMILIAR E DO AGRONEGÓCIO </v>
      </c>
      <c r="H284" s="773" t="s">
        <v>3138</v>
      </c>
      <c r="I284" s="757">
        <f>DESPORC!C1261</f>
        <v>20</v>
      </c>
      <c r="J284" s="765" t="str">
        <f>DESPORC!D1261</f>
        <v>Agricultura</v>
      </c>
    </row>
    <row r="285" spans="2:10" ht="35.1" customHeight="1" x14ac:dyDescent="0.25">
      <c r="B285" s="1619"/>
      <c r="C285" s="1616"/>
      <c r="D285" s="1630"/>
      <c r="E285" s="1619"/>
      <c r="F285" s="1616"/>
      <c r="G285" s="1618"/>
      <c r="H285" s="774" t="s">
        <v>6940</v>
      </c>
      <c r="I285" s="757">
        <f>DESPORC!C1262</f>
        <v>608</v>
      </c>
      <c r="J285" s="765" t="str">
        <f>DESPORC!D1262</f>
        <v>Promoção da Produção Agropecuária</v>
      </c>
    </row>
    <row r="286" spans="2:10" ht="35.1" customHeight="1" x14ac:dyDescent="0.25">
      <c r="B286" s="1619" t="s">
        <v>6941</v>
      </c>
      <c r="C286" s="1616">
        <f>'[3]Anexo I - Programas'!$C$150</f>
        <v>1004</v>
      </c>
      <c r="D286" s="1622" t="str">
        <f>'[3]Anexo I - Programas'!$D$150</f>
        <v>Novos Investimentos para Desenvolv. da Agric. Familiar e do Agronegócio</v>
      </c>
      <c r="E286" s="1619" t="s">
        <v>6941</v>
      </c>
      <c r="F286" s="1616">
        <f>C286</f>
        <v>1004</v>
      </c>
      <c r="G286" s="1618" t="str">
        <f>D286</f>
        <v>Novos Investimentos para Desenvolv. da Agric. Familiar e do Agronegócio</v>
      </c>
      <c r="H286" s="775" t="s">
        <v>3137</v>
      </c>
      <c r="I286" s="795" t="str">
        <f>F284</f>
        <v>5</v>
      </c>
      <c r="J286" s="762" t="str">
        <f>G284</f>
        <v xml:space="preserve">DESENVOLVIMENTO DA AGRICULTURA FAMILIAR E DO AGRONEGÓCIO </v>
      </c>
    </row>
    <row r="287" spans="2:10" ht="35.1" customHeight="1" x14ac:dyDescent="0.25">
      <c r="B287" s="1620"/>
      <c r="C287" s="1621"/>
      <c r="D287" s="1623"/>
      <c r="E287" s="1620"/>
      <c r="F287" s="1621"/>
      <c r="G287" s="1624"/>
      <c r="H287" s="776" t="s">
        <v>6941</v>
      </c>
      <c r="I287" s="796">
        <f>F286</f>
        <v>1004</v>
      </c>
      <c r="J287" s="764" t="str">
        <f>G286</f>
        <v>Novos Investimentos para Desenvolv. da Agric. Familiar e do Agronegócio</v>
      </c>
    </row>
    <row r="288" spans="2:10" ht="35.1" customHeight="1" thickBot="1" x14ac:dyDescent="0.3">
      <c r="B288" s="769" t="s">
        <v>6939</v>
      </c>
      <c r="C288" s="1625">
        <v>1000000</v>
      </c>
      <c r="D288" s="1626"/>
      <c r="E288" s="769" t="s">
        <v>6939</v>
      </c>
      <c r="F288" s="1625">
        <v>250000</v>
      </c>
      <c r="G288" s="1627"/>
      <c r="H288" s="778" t="s">
        <v>6939</v>
      </c>
      <c r="I288" s="1625" t="e">
        <f>DESPORC!I1264+DESPORC!#REF!</f>
        <v>#REF!</v>
      </c>
      <c r="J288" s="1627"/>
    </row>
    <row r="289" spans="2:10" ht="35.1" customHeight="1" x14ac:dyDescent="0.25">
      <c r="B289" s="1628" t="s">
        <v>3137</v>
      </c>
      <c r="C289" s="1615" t="str">
        <f>'[3]Anexo I - Programas'!$B$141</f>
        <v>5</v>
      </c>
      <c r="D289" s="1629" t="str">
        <f>'[3]Anexo I - Programas'!$C$141</f>
        <v xml:space="preserve">DESENVOLVIMENTO DA AGRICULTURA FAMILIAR E DO AGRONEGÓCIO </v>
      </c>
      <c r="E289" s="1628" t="s">
        <v>3137</v>
      </c>
      <c r="F289" s="1615" t="str">
        <f>C289</f>
        <v>5</v>
      </c>
      <c r="G289" s="1617" t="str">
        <f>D289</f>
        <v xml:space="preserve">DESENVOLVIMENTO DA AGRICULTURA FAMILIAR E DO AGRONEGÓCIO </v>
      </c>
      <c r="H289" s="773" t="s">
        <v>3138</v>
      </c>
      <c r="I289" s="757">
        <f>DESPORC!C1296</f>
        <v>20</v>
      </c>
      <c r="J289" s="765" t="str">
        <f>DESPORC!D1296</f>
        <v>Agricultura</v>
      </c>
    </row>
    <row r="290" spans="2:10" ht="35.1" customHeight="1" x14ac:dyDescent="0.25">
      <c r="B290" s="1619"/>
      <c r="C290" s="1616"/>
      <c r="D290" s="1630"/>
      <c r="E290" s="1619"/>
      <c r="F290" s="1616"/>
      <c r="G290" s="1618"/>
      <c r="H290" s="774" t="s">
        <v>6940</v>
      </c>
      <c r="I290" s="757">
        <f>DESPORC!C1297</f>
        <v>126</v>
      </c>
      <c r="J290" s="765" t="str">
        <f>DESPORC!D1297</f>
        <v>Tecnologia da Informação</v>
      </c>
    </row>
    <row r="291" spans="2:10" ht="35.1" customHeight="1" x14ac:dyDescent="0.25">
      <c r="B291" s="1619" t="s">
        <v>6941</v>
      </c>
      <c r="C291" s="1616">
        <f>'[3]Anexo I - Programas'!$C$155</f>
        <v>2004</v>
      </c>
      <c r="D291" s="1622" t="str">
        <f>'[3]Anexo I - Programas'!$D$155</f>
        <v>Promoção e Apoio a Agic. Fam. e do Agronegócio</v>
      </c>
      <c r="E291" s="1619" t="s">
        <v>6941</v>
      </c>
      <c r="F291" s="1616">
        <f>C291</f>
        <v>2004</v>
      </c>
      <c r="G291" s="1618" t="str">
        <f>D291</f>
        <v>Promoção e Apoio a Agic. Fam. e do Agronegócio</v>
      </c>
      <c r="H291" s="775" t="s">
        <v>3137</v>
      </c>
      <c r="I291" s="795" t="str">
        <f>F289</f>
        <v>5</v>
      </c>
      <c r="J291" s="762" t="str">
        <f>G289</f>
        <v xml:space="preserve">DESENVOLVIMENTO DA AGRICULTURA FAMILIAR E DO AGRONEGÓCIO </v>
      </c>
    </row>
    <row r="292" spans="2:10" ht="35.1" customHeight="1" x14ac:dyDescent="0.25">
      <c r="B292" s="1620"/>
      <c r="C292" s="1621"/>
      <c r="D292" s="1623"/>
      <c r="E292" s="1620"/>
      <c r="F292" s="1621"/>
      <c r="G292" s="1624"/>
      <c r="H292" s="776" t="s">
        <v>6941</v>
      </c>
      <c r="I292" s="796">
        <f>F291</f>
        <v>2004</v>
      </c>
      <c r="J292" s="764" t="str">
        <f>G291</f>
        <v>Promoção e Apoio a Agic. Fam. e do Agronegócio</v>
      </c>
    </row>
    <row r="293" spans="2:10" ht="35.1" customHeight="1" thickBot="1" x14ac:dyDescent="0.3">
      <c r="B293" s="769" t="s">
        <v>6939</v>
      </c>
      <c r="C293" s="1625">
        <v>3000000</v>
      </c>
      <c r="D293" s="1626"/>
      <c r="E293" s="769" t="s">
        <v>6939</v>
      </c>
      <c r="F293" s="1625">
        <v>750000</v>
      </c>
      <c r="G293" s="1627"/>
      <c r="H293" s="778" t="s">
        <v>6939</v>
      </c>
      <c r="I293" s="1625">
        <f>DESPORC!I1299</f>
        <v>1099.5359540030001</v>
      </c>
      <c r="J293" s="1627"/>
    </row>
    <row r="294" spans="2:10" ht="35.1" customHeight="1" x14ac:dyDescent="0.25">
      <c r="B294" s="1628" t="s">
        <v>3137</v>
      </c>
      <c r="C294" s="1615" t="str">
        <f>'[3]Anexo I - Programas'!$B$141</f>
        <v>5</v>
      </c>
      <c r="D294" s="1629" t="str">
        <f>'[3]Anexo I - Programas'!$C$141</f>
        <v xml:space="preserve">DESENVOLVIMENTO DA AGRICULTURA FAMILIAR E DO AGRONEGÓCIO </v>
      </c>
      <c r="E294" s="1628" t="s">
        <v>3137</v>
      </c>
      <c r="F294" s="1615" t="str">
        <f>C294</f>
        <v>5</v>
      </c>
      <c r="G294" s="1617" t="str">
        <f>D294</f>
        <v xml:space="preserve">DESENVOLVIMENTO DA AGRICULTURA FAMILIAR E DO AGRONEGÓCIO </v>
      </c>
      <c r="H294" s="773" t="s">
        <v>3138</v>
      </c>
      <c r="I294" s="757">
        <f>DESPORC!C1305</f>
        <v>20</v>
      </c>
      <c r="J294" s="765" t="str">
        <f>DESPORC!D1305</f>
        <v>Agricultura</v>
      </c>
    </row>
    <row r="295" spans="2:10" ht="35.1" customHeight="1" x14ac:dyDescent="0.25">
      <c r="B295" s="1619"/>
      <c r="C295" s="1616"/>
      <c r="D295" s="1630"/>
      <c r="E295" s="1619"/>
      <c r="F295" s="1616"/>
      <c r="G295" s="1618"/>
      <c r="H295" s="774" t="s">
        <v>6940</v>
      </c>
      <c r="I295" s="757">
        <f>DESPORC!C1306</f>
        <v>128</v>
      </c>
      <c r="J295" s="765" t="str">
        <f>DESPORC!D1306</f>
        <v>Formação de Recursos Humanos</v>
      </c>
    </row>
    <row r="296" spans="2:10" ht="35.1" customHeight="1" x14ac:dyDescent="0.25">
      <c r="B296" s="1619" t="s">
        <v>6941</v>
      </c>
      <c r="C296" s="1616">
        <f>'[3]Anexo I - Programas'!$C$155</f>
        <v>2004</v>
      </c>
      <c r="D296" s="1622" t="str">
        <f>'[3]Anexo I - Programas'!$D$155</f>
        <v>Promoção e Apoio a Agic. Fam. e do Agronegócio</v>
      </c>
      <c r="E296" s="1619" t="s">
        <v>6941</v>
      </c>
      <c r="F296" s="1616">
        <f>C296</f>
        <v>2004</v>
      </c>
      <c r="G296" s="1618" t="str">
        <f>D296</f>
        <v>Promoção e Apoio a Agic. Fam. e do Agronegócio</v>
      </c>
      <c r="H296" s="775" t="s">
        <v>3137</v>
      </c>
      <c r="I296" s="795" t="str">
        <f>F294</f>
        <v>5</v>
      </c>
      <c r="J296" s="762" t="str">
        <f>G294</f>
        <v xml:space="preserve">DESENVOLVIMENTO DA AGRICULTURA FAMILIAR E DO AGRONEGÓCIO </v>
      </c>
    </row>
    <row r="297" spans="2:10" ht="35.1" customHeight="1" x14ac:dyDescent="0.25">
      <c r="B297" s="1620"/>
      <c r="C297" s="1621"/>
      <c r="D297" s="1623"/>
      <c r="E297" s="1620"/>
      <c r="F297" s="1621"/>
      <c r="G297" s="1624"/>
      <c r="H297" s="776" t="s">
        <v>6941</v>
      </c>
      <c r="I297" s="796">
        <f>F296</f>
        <v>2004</v>
      </c>
      <c r="J297" s="764" t="str">
        <f>G296</f>
        <v>Promoção e Apoio a Agic. Fam. e do Agronegócio</v>
      </c>
    </row>
    <row r="298" spans="2:10" ht="35.1" customHeight="1" thickBot="1" x14ac:dyDescent="0.3">
      <c r="B298" s="769" t="s">
        <v>6939</v>
      </c>
      <c r="C298" s="1625">
        <v>3000000</v>
      </c>
      <c r="D298" s="1626"/>
      <c r="E298" s="769" t="s">
        <v>6939</v>
      </c>
      <c r="F298" s="1625">
        <v>750000</v>
      </c>
      <c r="G298" s="1627"/>
      <c r="H298" s="778" t="s">
        <v>6939</v>
      </c>
      <c r="I298" s="1625">
        <f>DESPORC!I1308</f>
        <v>0.05</v>
      </c>
      <c r="J298" s="1627"/>
    </row>
    <row r="299" spans="2:10" ht="35.1" customHeight="1" x14ac:dyDescent="0.25">
      <c r="B299" s="1628" t="s">
        <v>3137</v>
      </c>
      <c r="C299" s="1615" t="str">
        <f>'[3]Anexo I - Programas'!$B$141</f>
        <v>5</v>
      </c>
      <c r="D299" s="1629" t="str">
        <f>'[3]Anexo I - Programas'!$C$141</f>
        <v xml:space="preserve">DESENVOLVIMENTO DA AGRICULTURA FAMILIAR E DO AGRONEGÓCIO </v>
      </c>
      <c r="E299" s="1628" t="s">
        <v>3137</v>
      </c>
      <c r="F299" s="1615" t="str">
        <f>C299</f>
        <v>5</v>
      </c>
      <c r="G299" s="1617" t="str">
        <f>D299</f>
        <v xml:space="preserve">DESENVOLVIMENTO DA AGRICULTURA FAMILIAR E DO AGRONEGÓCIO </v>
      </c>
      <c r="H299" s="773" t="s">
        <v>3138</v>
      </c>
      <c r="I299" s="757">
        <f>DESPORC!C1314</f>
        <v>20</v>
      </c>
      <c r="J299" s="765" t="str">
        <f>DESPORC!D1314</f>
        <v>Agricultura</v>
      </c>
    </row>
    <row r="300" spans="2:10" ht="35.1" customHeight="1" x14ac:dyDescent="0.25">
      <c r="B300" s="1619"/>
      <c r="C300" s="1616"/>
      <c r="D300" s="1630"/>
      <c r="E300" s="1619"/>
      <c r="F300" s="1616"/>
      <c r="G300" s="1618"/>
      <c r="H300" s="774" t="s">
        <v>6940</v>
      </c>
      <c r="I300" s="757">
        <f>DESPORC!C1315</f>
        <v>608</v>
      </c>
      <c r="J300" s="765" t="str">
        <f>DESPORC!D1315</f>
        <v>Promoção da Produção Agropecuária</v>
      </c>
    </row>
    <row r="301" spans="2:10" ht="35.1" customHeight="1" x14ac:dyDescent="0.25">
      <c r="B301" s="1619" t="s">
        <v>6941</v>
      </c>
      <c r="C301" s="1616">
        <f>'[3]Anexo I - Programas'!$C$155</f>
        <v>2004</v>
      </c>
      <c r="D301" s="1622" t="str">
        <f>'[3]Anexo I - Programas'!$D$155</f>
        <v>Promoção e Apoio a Agic. Fam. e do Agronegócio</v>
      </c>
      <c r="E301" s="1619" t="s">
        <v>6941</v>
      </c>
      <c r="F301" s="1616">
        <f>C301</f>
        <v>2004</v>
      </c>
      <c r="G301" s="1618" t="str">
        <f>D301</f>
        <v>Promoção e Apoio a Agic. Fam. e do Agronegócio</v>
      </c>
      <c r="H301" s="775" t="s">
        <v>3137</v>
      </c>
      <c r="I301" s="795" t="str">
        <f>F299</f>
        <v>5</v>
      </c>
      <c r="J301" s="762" t="str">
        <f>G299</f>
        <v xml:space="preserve">DESENVOLVIMENTO DA AGRICULTURA FAMILIAR E DO AGRONEGÓCIO </v>
      </c>
    </row>
    <row r="302" spans="2:10" ht="35.1" customHeight="1" x14ac:dyDescent="0.25">
      <c r="B302" s="1620"/>
      <c r="C302" s="1621"/>
      <c r="D302" s="1623"/>
      <c r="E302" s="1620"/>
      <c r="F302" s="1621"/>
      <c r="G302" s="1624"/>
      <c r="H302" s="776" t="s">
        <v>6941</v>
      </c>
      <c r="I302" s="796">
        <f>F301</f>
        <v>2004</v>
      </c>
      <c r="J302" s="764" t="str">
        <f>G301</f>
        <v>Promoção e Apoio a Agic. Fam. e do Agronegócio</v>
      </c>
    </row>
    <row r="303" spans="2:10" ht="35.1" customHeight="1" thickBot="1" x14ac:dyDescent="0.3">
      <c r="B303" s="769" t="s">
        <v>6939</v>
      </c>
      <c r="C303" s="1625">
        <v>3000000</v>
      </c>
      <c r="D303" s="1626"/>
      <c r="E303" s="769" t="s">
        <v>6939</v>
      </c>
      <c r="F303" s="1625">
        <v>750000</v>
      </c>
      <c r="G303" s="1627"/>
      <c r="H303" s="778" t="s">
        <v>6939</v>
      </c>
      <c r="I303" s="1625">
        <f>DESPORC!I1317</f>
        <v>850160.19529746706</v>
      </c>
      <c r="J303" s="1627"/>
    </row>
    <row r="305" spans="2:10" ht="35.1" customHeight="1" x14ac:dyDescent="0.25">
      <c r="B305" s="1631" t="s">
        <v>6927</v>
      </c>
      <c r="C305" s="1631"/>
      <c r="D305" s="755" t="str">
        <f>DESPORC!C1452</f>
        <v>02 - PREFEITURA MUNICIPAL DE CHUVISCA</v>
      </c>
      <c r="E305" s="797"/>
      <c r="F305" s="798"/>
      <c r="G305" s="798"/>
      <c r="H305" s="797"/>
      <c r="I305" s="798"/>
      <c r="J305" s="798"/>
    </row>
    <row r="306" spans="2:10" ht="35.1" customHeight="1" thickBot="1" x14ac:dyDescent="0.3">
      <c r="B306" s="1632" t="s">
        <v>3087</v>
      </c>
      <c r="C306" s="1632"/>
      <c r="D306" s="755" t="str">
        <f>DESPORC!C1453</f>
        <v>07 - FUNDO MUNICIPAL DO MEIO AMBIENTE</v>
      </c>
      <c r="E306" s="797"/>
      <c r="F306" s="36"/>
      <c r="G306" s="1"/>
      <c r="H306" s="772"/>
      <c r="I306" s="1"/>
      <c r="J306" s="1"/>
    </row>
    <row r="307" spans="2:10" ht="35.1" customHeight="1" thickBot="1" x14ac:dyDescent="0.3">
      <c r="B307" s="1776" t="s">
        <v>6955</v>
      </c>
      <c r="C307" s="1777"/>
      <c r="D307" s="1778"/>
      <c r="E307" s="1776" t="str">
        <f>E$12</f>
        <v>PRIORIDADES LDO LEI MUNICIPAL N.º 1215  DE 02 DE OUTUBRO DE 2019.</v>
      </c>
      <c r="F307" s="1777"/>
      <c r="G307" s="1778"/>
      <c r="H307" s="1779" t="s">
        <v>6956</v>
      </c>
      <c r="I307" s="1780"/>
      <c r="J307" s="1781"/>
    </row>
    <row r="308" spans="2:10" ht="35.1" customHeight="1" x14ac:dyDescent="0.25">
      <c r="B308" s="1628" t="s">
        <v>3137</v>
      </c>
      <c r="C308" s="1615" t="str">
        <f>'[3]Anexo I - Programas'!$B$359</f>
        <v>11</v>
      </c>
      <c r="D308" s="1629" t="str">
        <f>'[3]Anexo I - Programas'!$C$359</f>
        <v>PROMOÇÃO E DESENVOLVIMENTO DO MEIO AMBIENTE</v>
      </c>
      <c r="E308" s="1628" t="s">
        <v>3137</v>
      </c>
      <c r="F308" s="1615" t="str">
        <f>C308</f>
        <v>11</v>
      </c>
      <c r="G308" s="1617" t="str">
        <f>D308</f>
        <v>PROMOÇÃO E DESENVOLVIMENTO DO MEIO AMBIENTE</v>
      </c>
      <c r="H308" s="773" t="s">
        <v>3138</v>
      </c>
      <c r="I308" s="757">
        <f>DESPORC!C1456</f>
        <v>17</v>
      </c>
      <c r="J308" s="765" t="str">
        <f>DESPORC!D1456</f>
        <v>Saneamento</v>
      </c>
    </row>
    <row r="309" spans="2:10" ht="35.1" customHeight="1" x14ac:dyDescent="0.25">
      <c r="B309" s="1619"/>
      <c r="C309" s="1616"/>
      <c r="D309" s="1630"/>
      <c r="E309" s="1619"/>
      <c r="F309" s="1616"/>
      <c r="G309" s="1618"/>
      <c r="H309" s="774" t="s">
        <v>6940</v>
      </c>
      <c r="I309" s="757">
        <f>DESPORC!C1457</f>
        <v>511</v>
      </c>
      <c r="J309" s="765" t="str">
        <f>DESPORC!D1457</f>
        <v>Saneamento Básico Rural</v>
      </c>
    </row>
    <row r="310" spans="2:10" ht="35.1" customHeight="1" x14ac:dyDescent="0.25">
      <c r="B310" s="1619" t="s">
        <v>6941</v>
      </c>
      <c r="C310" s="1616">
        <f>'[3]Anexo I - Programas'!$C$368</f>
        <v>1010</v>
      </c>
      <c r="D310" s="1622" t="str">
        <f>'[3]Anexo I - Programas'!$D$368</f>
        <v>Novos Investimentos em Meio Ambiente</v>
      </c>
      <c r="E310" s="1619" t="s">
        <v>6941</v>
      </c>
      <c r="F310" s="1616">
        <f>C310</f>
        <v>1010</v>
      </c>
      <c r="G310" s="1618" t="str">
        <f>D310</f>
        <v>Novos Investimentos em Meio Ambiente</v>
      </c>
      <c r="H310" s="775" t="s">
        <v>3137</v>
      </c>
      <c r="I310" s="795" t="str">
        <f>F308</f>
        <v>11</v>
      </c>
      <c r="J310" s="762" t="str">
        <f>G308</f>
        <v>PROMOÇÃO E DESENVOLVIMENTO DO MEIO AMBIENTE</v>
      </c>
    </row>
    <row r="311" spans="2:10" ht="35.1" customHeight="1" x14ac:dyDescent="0.25">
      <c r="B311" s="1620"/>
      <c r="C311" s="1621"/>
      <c r="D311" s="1623"/>
      <c r="E311" s="1620"/>
      <c r="F311" s="1621"/>
      <c r="G311" s="1624"/>
      <c r="H311" s="776" t="s">
        <v>6941</v>
      </c>
      <c r="I311" s="796">
        <f>F310</f>
        <v>1010</v>
      </c>
      <c r="J311" s="764" t="str">
        <f>G310</f>
        <v>Novos Investimentos em Meio Ambiente</v>
      </c>
    </row>
    <row r="312" spans="2:10" ht="35.1" customHeight="1" thickBot="1" x14ac:dyDescent="0.3">
      <c r="B312" s="769" t="s">
        <v>6939</v>
      </c>
      <c r="C312" s="1625">
        <v>500000</v>
      </c>
      <c r="D312" s="1626"/>
      <c r="E312" s="769" t="s">
        <v>6939</v>
      </c>
      <c r="F312" s="1625">
        <v>125000</v>
      </c>
      <c r="G312" s="1627"/>
      <c r="H312" s="778" t="s">
        <v>6939</v>
      </c>
      <c r="I312" s="1625">
        <f>DESPORC!I1459</f>
        <v>346801.06</v>
      </c>
      <c r="J312" s="1627"/>
    </row>
    <row r="313" spans="2:10" ht="35.1" customHeight="1" x14ac:dyDescent="0.25">
      <c r="B313" s="1628" t="s">
        <v>3137</v>
      </c>
      <c r="C313" s="1615" t="str">
        <f>'[3]Anexo I - Programas'!$B$359</f>
        <v>11</v>
      </c>
      <c r="D313" s="1629" t="str">
        <f>'[3]Anexo I - Programas'!$C$359</f>
        <v>PROMOÇÃO E DESENVOLVIMENTO DO MEIO AMBIENTE</v>
      </c>
      <c r="E313" s="1628" t="s">
        <v>3137</v>
      </c>
      <c r="F313" s="1615" t="str">
        <f>C313</f>
        <v>11</v>
      </c>
      <c r="G313" s="1617" t="str">
        <f>D313</f>
        <v>PROMOÇÃO E DESENVOLVIMENTO DO MEIO AMBIENTE</v>
      </c>
      <c r="H313" s="773" t="s">
        <v>3138</v>
      </c>
      <c r="I313" s="757">
        <f>DESPORC!C1470</f>
        <v>18</v>
      </c>
      <c r="J313" s="765" t="str">
        <f>DESPORC!D1470</f>
        <v>Gestão Ambiental</v>
      </c>
    </row>
    <row r="314" spans="2:10" ht="35.1" customHeight="1" x14ac:dyDescent="0.25">
      <c r="B314" s="1619"/>
      <c r="C314" s="1616"/>
      <c r="D314" s="1630"/>
      <c r="E314" s="1619"/>
      <c r="F314" s="1616"/>
      <c r="G314" s="1618"/>
      <c r="H314" s="774" t="s">
        <v>6940</v>
      </c>
      <c r="I314" s="757">
        <f>DESPORC!C1471</f>
        <v>126</v>
      </c>
      <c r="J314" s="765" t="str">
        <f>DESPORC!D1471</f>
        <v>Tecnologia da Informação</v>
      </c>
    </row>
    <row r="315" spans="2:10" ht="35.1" customHeight="1" x14ac:dyDescent="0.25">
      <c r="B315" s="1619" t="s">
        <v>6941</v>
      </c>
      <c r="C315" s="1616">
        <f>'[3]Anexo I - Programas'!$C$373</f>
        <v>2011</v>
      </c>
      <c r="D315" s="1622" t="str">
        <f>'[3]Anexo I - Programas'!$D$373</f>
        <v>Gestão e Promoção do Meio Ambiente</v>
      </c>
      <c r="E315" s="1619" t="s">
        <v>6941</v>
      </c>
      <c r="F315" s="1616">
        <f>C315</f>
        <v>2011</v>
      </c>
      <c r="G315" s="1618" t="str">
        <f>D315</f>
        <v>Gestão e Promoção do Meio Ambiente</v>
      </c>
      <c r="H315" s="775" t="s">
        <v>3137</v>
      </c>
      <c r="I315" s="795" t="str">
        <f>F313</f>
        <v>11</v>
      </c>
      <c r="J315" s="762" t="str">
        <f>G313</f>
        <v>PROMOÇÃO E DESENVOLVIMENTO DO MEIO AMBIENTE</v>
      </c>
    </row>
    <row r="316" spans="2:10" ht="35.1" customHeight="1" x14ac:dyDescent="0.25">
      <c r="B316" s="1620"/>
      <c r="C316" s="1621"/>
      <c r="D316" s="1623"/>
      <c r="E316" s="1620"/>
      <c r="F316" s="1621"/>
      <c r="G316" s="1624"/>
      <c r="H316" s="776" t="s">
        <v>6941</v>
      </c>
      <c r="I316" s="796">
        <f>F315</f>
        <v>2011</v>
      </c>
      <c r="J316" s="764" t="str">
        <f>G315</f>
        <v>Gestão e Promoção do Meio Ambiente</v>
      </c>
    </row>
    <row r="317" spans="2:10" ht="35.1" customHeight="1" thickBot="1" x14ac:dyDescent="0.3">
      <c r="B317" s="769" t="s">
        <v>6939</v>
      </c>
      <c r="C317" s="1625">
        <v>600000</v>
      </c>
      <c r="D317" s="1626"/>
      <c r="E317" s="769" t="s">
        <v>6939</v>
      </c>
      <c r="F317" s="1625">
        <v>150000</v>
      </c>
      <c r="G317" s="1627"/>
      <c r="H317" s="778" t="s">
        <v>6939</v>
      </c>
      <c r="I317" s="1625">
        <f>DESPORC!I1473</f>
        <v>1646.0333702089999</v>
      </c>
      <c r="J317" s="1627"/>
    </row>
    <row r="318" spans="2:10" ht="35.1" customHeight="1" x14ac:dyDescent="0.25">
      <c r="B318" s="1628" t="s">
        <v>3137</v>
      </c>
      <c r="C318" s="1615" t="str">
        <f>'[3]Anexo I - Programas'!$B$359</f>
        <v>11</v>
      </c>
      <c r="D318" s="1629" t="str">
        <f>'[3]Anexo I - Programas'!$C$359</f>
        <v>PROMOÇÃO E DESENVOLVIMENTO DO MEIO AMBIENTE</v>
      </c>
      <c r="E318" s="1628" t="s">
        <v>3137</v>
      </c>
      <c r="F318" s="1615" t="str">
        <f>C318</f>
        <v>11</v>
      </c>
      <c r="G318" s="1617" t="str">
        <f>D318</f>
        <v>PROMOÇÃO E DESENVOLVIMENTO DO MEIO AMBIENTE</v>
      </c>
      <c r="H318" s="773" t="s">
        <v>3138</v>
      </c>
      <c r="I318" s="757">
        <f>DESPORC!C1479</f>
        <v>18</v>
      </c>
      <c r="J318" s="765" t="str">
        <f>DESPORC!D1479</f>
        <v>Gestão Ambiental</v>
      </c>
    </row>
    <row r="319" spans="2:10" ht="35.1" customHeight="1" x14ac:dyDescent="0.25">
      <c r="B319" s="1619"/>
      <c r="C319" s="1616"/>
      <c r="D319" s="1630"/>
      <c r="E319" s="1619"/>
      <c r="F319" s="1616"/>
      <c r="G319" s="1618"/>
      <c r="H319" s="774" t="s">
        <v>6940</v>
      </c>
      <c r="I319" s="757">
        <f>DESPORC!C1480</f>
        <v>128</v>
      </c>
      <c r="J319" s="765" t="str">
        <f>DESPORC!D1480</f>
        <v>Formação de Recursos Humanos</v>
      </c>
    </row>
    <row r="320" spans="2:10" ht="35.1" customHeight="1" x14ac:dyDescent="0.25">
      <c r="B320" s="1619" t="s">
        <v>6941</v>
      </c>
      <c r="C320" s="1616">
        <f>'[3]Anexo I - Programas'!$C$373</f>
        <v>2011</v>
      </c>
      <c r="D320" s="1622" t="str">
        <f>'[3]Anexo I - Programas'!$D$373</f>
        <v>Gestão e Promoção do Meio Ambiente</v>
      </c>
      <c r="E320" s="1619" t="s">
        <v>6941</v>
      </c>
      <c r="F320" s="1616">
        <f>C320</f>
        <v>2011</v>
      </c>
      <c r="G320" s="1618" t="str">
        <f>D320</f>
        <v>Gestão e Promoção do Meio Ambiente</v>
      </c>
      <c r="H320" s="775" t="s">
        <v>3137</v>
      </c>
      <c r="I320" s="795" t="str">
        <f>F318</f>
        <v>11</v>
      </c>
      <c r="J320" s="762" t="str">
        <f>G318</f>
        <v>PROMOÇÃO E DESENVOLVIMENTO DO MEIO AMBIENTE</v>
      </c>
    </row>
    <row r="321" spans="2:10" ht="35.1" customHeight="1" x14ac:dyDescent="0.25">
      <c r="B321" s="1620"/>
      <c r="C321" s="1621"/>
      <c r="D321" s="1623"/>
      <c r="E321" s="1620"/>
      <c r="F321" s="1621"/>
      <c r="G321" s="1624"/>
      <c r="H321" s="776" t="s">
        <v>6941</v>
      </c>
      <c r="I321" s="796">
        <f>F320</f>
        <v>2011</v>
      </c>
      <c r="J321" s="764" t="str">
        <f>G320</f>
        <v>Gestão e Promoção do Meio Ambiente</v>
      </c>
    </row>
    <row r="322" spans="2:10" ht="35.1" customHeight="1" thickBot="1" x14ac:dyDescent="0.3">
      <c r="B322" s="769" t="s">
        <v>6939</v>
      </c>
      <c r="C322" s="1625">
        <v>600000</v>
      </c>
      <c r="D322" s="1626"/>
      <c r="E322" s="769" t="s">
        <v>6939</v>
      </c>
      <c r="F322" s="1625">
        <v>150000</v>
      </c>
      <c r="G322" s="1627"/>
      <c r="H322" s="778" t="s">
        <v>6939</v>
      </c>
      <c r="I322" s="1625">
        <f>DESPORC!I1482</f>
        <v>0.05</v>
      </c>
      <c r="J322" s="1627"/>
    </row>
    <row r="323" spans="2:10" ht="35.1" customHeight="1" x14ac:dyDescent="0.25">
      <c r="B323" s="1628" t="s">
        <v>3137</v>
      </c>
      <c r="C323" s="1615" t="str">
        <f>'[3]Anexo I - Programas'!$B$359</f>
        <v>11</v>
      </c>
      <c r="D323" s="1629" t="str">
        <f>'[3]Anexo I - Programas'!$C$359</f>
        <v>PROMOÇÃO E DESENVOLVIMENTO DO MEIO AMBIENTE</v>
      </c>
      <c r="E323" s="1628" t="s">
        <v>3137</v>
      </c>
      <c r="F323" s="1615" t="str">
        <f>C323</f>
        <v>11</v>
      </c>
      <c r="G323" s="1617" t="str">
        <f>D323</f>
        <v>PROMOÇÃO E DESENVOLVIMENTO DO MEIO AMBIENTE</v>
      </c>
      <c r="H323" s="773" t="s">
        <v>3138</v>
      </c>
      <c r="I323" s="757">
        <f>DESPORC!C1488</f>
        <v>18</v>
      </c>
      <c r="J323" s="765" t="str">
        <f>DESPORC!D1488</f>
        <v>Gestão Ambiental</v>
      </c>
    </row>
    <row r="324" spans="2:10" ht="35.1" customHeight="1" x14ac:dyDescent="0.25">
      <c r="B324" s="1619"/>
      <c r="C324" s="1616"/>
      <c r="D324" s="1630"/>
      <c r="E324" s="1619"/>
      <c r="F324" s="1616"/>
      <c r="G324" s="1618"/>
      <c r="H324" s="774" t="s">
        <v>6940</v>
      </c>
      <c r="I324" s="757">
        <f>DESPORC!C1489</f>
        <v>541</v>
      </c>
      <c r="J324" s="765" t="str">
        <f>DESPORC!D1489</f>
        <v>Preservação e Conservação Ambiental</v>
      </c>
    </row>
    <row r="325" spans="2:10" ht="35.1" customHeight="1" x14ac:dyDescent="0.25">
      <c r="B325" s="1619" t="s">
        <v>6941</v>
      </c>
      <c r="C325" s="1616">
        <f>'[3]Anexo I - Programas'!$C$373</f>
        <v>2011</v>
      </c>
      <c r="D325" s="1622" t="str">
        <f>'[3]Anexo I - Programas'!$D$373</f>
        <v>Gestão e Promoção do Meio Ambiente</v>
      </c>
      <c r="E325" s="1619" t="s">
        <v>6941</v>
      </c>
      <c r="F325" s="1616">
        <f>C325</f>
        <v>2011</v>
      </c>
      <c r="G325" s="1618" t="str">
        <f>D325</f>
        <v>Gestão e Promoção do Meio Ambiente</v>
      </c>
      <c r="H325" s="775" t="s">
        <v>3137</v>
      </c>
      <c r="I325" s="795" t="str">
        <f>F323</f>
        <v>11</v>
      </c>
      <c r="J325" s="762" t="str">
        <f>G323</f>
        <v>PROMOÇÃO E DESENVOLVIMENTO DO MEIO AMBIENTE</v>
      </c>
    </row>
    <row r="326" spans="2:10" ht="35.1" customHeight="1" x14ac:dyDescent="0.25">
      <c r="B326" s="1620"/>
      <c r="C326" s="1621"/>
      <c r="D326" s="1623"/>
      <c r="E326" s="1620"/>
      <c r="F326" s="1621"/>
      <c r="G326" s="1624"/>
      <c r="H326" s="776" t="s">
        <v>6941</v>
      </c>
      <c r="I326" s="796">
        <f>F325</f>
        <v>2011</v>
      </c>
      <c r="J326" s="764" t="str">
        <f>G325</f>
        <v>Gestão e Promoção do Meio Ambiente</v>
      </c>
    </row>
    <row r="327" spans="2:10" ht="35.1" customHeight="1" thickBot="1" x14ac:dyDescent="0.3">
      <c r="B327" s="769" t="s">
        <v>6939</v>
      </c>
      <c r="C327" s="1625">
        <v>600000</v>
      </c>
      <c r="D327" s="1626"/>
      <c r="E327" s="769" t="s">
        <v>6939</v>
      </c>
      <c r="F327" s="1625">
        <v>150000</v>
      </c>
      <c r="G327" s="1627"/>
      <c r="H327" s="778" t="s">
        <v>6939</v>
      </c>
      <c r="I327" s="1625">
        <f>DESPORC!I1491</f>
        <v>185859.64634463619</v>
      </c>
      <c r="J327" s="1627"/>
    </row>
    <row r="328" spans="2:10" ht="35.1" customHeight="1" x14ac:dyDescent="0.25">
      <c r="B328" s="1628" t="s">
        <v>3137</v>
      </c>
      <c r="C328" s="1615" t="str">
        <f>'[3]Anexo I - Programas'!$B$359</f>
        <v>11</v>
      </c>
      <c r="D328" s="1629" t="str">
        <f>'[3]Anexo I - Programas'!$C$359</f>
        <v>PROMOÇÃO E DESENVOLVIMENTO DO MEIO AMBIENTE</v>
      </c>
      <c r="E328" s="1628" t="s">
        <v>3137</v>
      </c>
      <c r="F328" s="1615" t="str">
        <f>C328</f>
        <v>11</v>
      </c>
      <c r="G328" s="1617" t="str">
        <f>D328</f>
        <v>PROMOÇÃO E DESENVOLVIMENTO DO MEIO AMBIENTE</v>
      </c>
      <c r="H328" s="773" t="s">
        <v>3138</v>
      </c>
      <c r="I328" s="757">
        <f>DESPORC!C1539</f>
        <v>17</v>
      </c>
      <c r="J328" s="765" t="str">
        <f>DESPORC!D1539</f>
        <v>Saneamento</v>
      </c>
    </row>
    <row r="329" spans="2:10" ht="35.1" customHeight="1" x14ac:dyDescent="0.25">
      <c r="B329" s="1619"/>
      <c r="C329" s="1616"/>
      <c r="D329" s="1630"/>
      <c r="E329" s="1619"/>
      <c r="F329" s="1616"/>
      <c r="G329" s="1618"/>
      <c r="H329" s="774" t="s">
        <v>6940</v>
      </c>
      <c r="I329" s="757">
        <f>DESPORC!C1540</f>
        <v>511</v>
      </c>
      <c r="J329" s="765" t="str">
        <f>DESPORC!D1540</f>
        <v>Saneamento Básico Rural</v>
      </c>
    </row>
    <row r="330" spans="2:10" ht="35.1" customHeight="1" x14ac:dyDescent="0.25">
      <c r="B330" s="1619" t="s">
        <v>6941</v>
      </c>
      <c r="C330" s="1616">
        <f>'[3]Anexo I - Programas'!$C$379</f>
        <v>2034</v>
      </c>
      <c r="D330" s="1622" t="str">
        <f>'[3]Anexo I - Programas'!$D$379</f>
        <v>Gestão e Promoção do Saneamento Básico</v>
      </c>
      <c r="E330" s="1619" t="s">
        <v>6941</v>
      </c>
      <c r="F330" s="1616">
        <f>C330</f>
        <v>2034</v>
      </c>
      <c r="G330" s="1618" t="str">
        <f>D330</f>
        <v>Gestão e Promoção do Saneamento Básico</v>
      </c>
      <c r="H330" s="775" t="s">
        <v>3137</v>
      </c>
      <c r="I330" s="795" t="str">
        <f>F328</f>
        <v>11</v>
      </c>
      <c r="J330" s="762" t="str">
        <f>G328</f>
        <v>PROMOÇÃO E DESENVOLVIMENTO DO MEIO AMBIENTE</v>
      </c>
    </row>
    <row r="331" spans="2:10" ht="35.1" customHeight="1" x14ac:dyDescent="0.25">
      <c r="B331" s="1620"/>
      <c r="C331" s="1621"/>
      <c r="D331" s="1623"/>
      <c r="E331" s="1620"/>
      <c r="F331" s="1621"/>
      <c r="G331" s="1624"/>
      <c r="H331" s="776" t="s">
        <v>6941</v>
      </c>
      <c r="I331" s="796">
        <f>F330</f>
        <v>2034</v>
      </c>
      <c r="J331" s="764" t="str">
        <f>G330</f>
        <v>Gestão e Promoção do Saneamento Básico</v>
      </c>
    </row>
    <row r="332" spans="2:10" ht="35.1" customHeight="1" thickBot="1" x14ac:dyDescent="0.3">
      <c r="B332" s="769" t="s">
        <v>6939</v>
      </c>
      <c r="C332" s="1625">
        <v>100000</v>
      </c>
      <c r="D332" s="1626"/>
      <c r="E332" s="769" t="s">
        <v>6939</v>
      </c>
      <c r="F332" s="1625">
        <v>25000</v>
      </c>
      <c r="G332" s="1627"/>
      <c r="H332" s="778" t="s">
        <v>6939</v>
      </c>
      <c r="I332" s="1625">
        <f>DESPORC!I1542</f>
        <v>9876.1065936119976</v>
      </c>
      <c r="J332" s="1627"/>
    </row>
    <row r="333" spans="2:10" ht="35.1" customHeight="1" x14ac:dyDescent="0.25">
      <c r="B333" s="1628" t="s">
        <v>3137</v>
      </c>
      <c r="C333" s="1615" t="str">
        <f>'[3]Anexo I - Programas'!$B$359</f>
        <v>11</v>
      </c>
      <c r="D333" s="1629" t="str">
        <f>'[3]Anexo I - Programas'!$C$359</f>
        <v>PROMOÇÃO E DESENVOLVIMENTO DO MEIO AMBIENTE</v>
      </c>
      <c r="E333" s="1628" t="s">
        <v>3137</v>
      </c>
      <c r="F333" s="1615" t="str">
        <f>C333</f>
        <v>11</v>
      </c>
      <c r="G333" s="1617" t="str">
        <f>D333</f>
        <v>PROMOÇÃO E DESENVOLVIMENTO DO MEIO AMBIENTE</v>
      </c>
      <c r="H333" s="773" t="s">
        <v>3138</v>
      </c>
      <c r="I333" s="757">
        <f>DESPORC!C1554</f>
        <v>17</v>
      </c>
      <c r="J333" s="765" t="str">
        <f>DESPORC!D1554</f>
        <v>Saneamento</v>
      </c>
    </row>
    <row r="334" spans="2:10" ht="35.1" customHeight="1" x14ac:dyDescent="0.25">
      <c r="B334" s="1619"/>
      <c r="C334" s="1616"/>
      <c r="D334" s="1630"/>
      <c r="E334" s="1619"/>
      <c r="F334" s="1616"/>
      <c r="G334" s="1618"/>
      <c r="H334" s="774" t="s">
        <v>6940</v>
      </c>
      <c r="I334" s="757">
        <f>DESPORC!C1555</f>
        <v>511</v>
      </c>
      <c r="J334" s="765" t="str">
        <f>DESPORC!D1555</f>
        <v>Saneamento Básico Rural</v>
      </c>
    </row>
    <row r="335" spans="2:10" ht="35.1" customHeight="1" x14ac:dyDescent="0.25">
      <c r="B335" s="1619" t="s">
        <v>6941</v>
      </c>
      <c r="C335" s="1616">
        <f>'[3]Anexo I - Programas'!$C$379</f>
        <v>2034</v>
      </c>
      <c r="D335" s="1622" t="str">
        <f>'[3]Anexo I - Programas'!$D$379</f>
        <v>Gestão e Promoção do Saneamento Básico</v>
      </c>
      <c r="E335" s="1619" t="s">
        <v>6941</v>
      </c>
      <c r="F335" s="1616">
        <f>C335</f>
        <v>2034</v>
      </c>
      <c r="G335" s="1618" t="str">
        <f>D335</f>
        <v>Gestão e Promoção do Saneamento Básico</v>
      </c>
      <c r="H335" s="775" t="s">
        <v>3137</v>
      </c>
      <c r="I335" s="795" t="str">
        <f>F333</f>
        <v>11</v>
      </c>
      <c r="J335" s="762" t="str">
        <f>G333</f>
        <v>PROMOÇÃO E DESENVOLVIMENTO DO MEIO AMBIENTE</v>
      </c>
    </row>
    <row r="336" spans="2:10" ht="35.1" customHeight="1" x14ac:dyDescent="0.25">
      <c r="B336" s="1620"/>
      <c r="C336" s="1621"/>
      <c r="D336" s="1623"/>
      <c r="E336" s="1620"/>
      <c r="F336" s="1621"/>
      <c r="G336" s="1624"/>
      <c r="H336" s="776" t="s">
        <v>6941</v>
      </c>
      <c r="I336" s="796">
        <f>F335</f>
        <v>2034</v>
      </c>
      <c r="J336" s="764" t="str">
        <f>G335</f>
        <v>Gestão e Promoção do Saneamento Básico</v>
      </c>
    </row>
    <row r="337" spans="2:10" ht="35.1" customHeight="1" thickBot="1" x14ac:dyDescent="0.3">
      <c r="B337" s="769" t="s">
        <v>6939</v>
      </c>
      <c r="C337" s="1625">
        <v>100000</v>
      </c>
      <c r="D337" s="1626"/>
      <c r="E337" s="769" t="s">
        <v>6939</v>
      </c>
      <c r="F337" s="1625">
        <v>25000</v>
      </c>
      <c r="G337" s="1627"/>
      <c r="H337" s="778" t="s">
        <v>6939</v>
      </c>
      <c r="I337" s="1625">
        <f>DESPORC!I1557</f>
        <v>1.01</v>
      </c>
      <c r="J337" s="1627"/>
    </row>
    <row r="338" spans="2:10" ht="35.1" customHeight="1" x14ac:dyDescent="0.25">
      <c r="B338" s="1628" t="s">
        <v>3137</v>
      </c>
      <c r="C338" s="1615" t="str">
        <f>'[3]Anexo I - Programas'!$B$359</f>
        <v>11</v>
      </c>
      <c r="D338" s="1629" t="str">
        <f>'[3]Anexo I - Programas'!$C$359</f>
        <v>PROMOÇÃO E DESENVOLVIMENTO DO MEIO AMBIENTE</v>
      </c>
      <c r="E338" s="1628" t="s">
        <v>3137</v>
      </c>
      <c r="F338" s="1615" t="str">
        <f>C338</f>
        <v>11</v>
      </c>
      <c r="G338" s="1617" t="str">
        <f>D338</f>
        <v>PROMOÇÃO E DESENVOLVIMENTO DO MEIO AMBIENTE</v>
      </c>
      <c r="H338" s="773" t="s">
        <v>3138</v>
      </c>
      <c r="I338" s="757">
        <f>DESPORC!C1565</f>
        <v>17</v>
      </c>
      <c r="J338" s="765" t="str">
        <f>DESPORC!D1565</f>
        <v>Saneamento</v>
      </c>
    </row>
    <row r="339" spans="2:10" ht="35.1" customHeight="1" x14ac:dyDescent="0.25">
      <c r="B339" s="1619"/>
      <c r="C339" s="1616"/>
      <c r="D339" s="1630"/>
      <c r="E339" s="1619"/>
      <c r="F339" s="1616"/>
      <c r="G339" s="1618"/>
      <c r="H339" s="774" t="s">
        <v>6940</v>
      </c>
      <c r="I339" s="757">
        <f>DESPORC!C1566</f>
        <v>512</v>
      </c>
      <c r="J339" s="765" t="str">
        <f>DESPORC!D1566</f>
        <v>Saneamento Básico Urbano</v>
      </c>
    </row>
    <row r="340" spans="2:10" ht="35.1" customHeight="1" x14ac:dyDescent="0.25">
      <c r="B340" s="1619" t="s">
        <v>6941</v>
      </c>
      <c r="C340" s="1616">
        <f>'[3]Anexo I - Programas'!$C$379</f>
        <v>2034</v>
      </c>
      <c r="D340" s="1622" t="str">
        <f>'[3]Anexo I - Programas'!$D$379</f>
        <v>Gestão e Promoção do Saneamento Básico</v>
      </c>
      <c r="E340" s="1619" t="s">
        <v>6941</v>
      </c>
      <c r="F340" s="1616">
        <f>C340</f>
        <v>2034</v>
      </c>
      <c r="G340" s="1618" t="str">
        <f>D340</f>
        <v>Gestão e Promoção do Saneamento Básico</v>
      </c>
      <c r="H340" s="775" t="s">
        <v>3137</v>
      </c>
      <c r="I340" s="795" t="str">
        <f>F338</f>
        <v>11</v>
      </c>
      <c r="J340" s="762" t="str">
        <f>G338</f>
        <v>PROMOÇÃO E DESENVOLVIMENTO DO MEIO AMBIENTE</v>
      </c>
    </row>
    <row r="341" spans="2:10" ht="35.1" customHeight="1" x14ac:dyDescent="0.25">
      <c r="B341" s="1620"/>
      <c r="C341" s="1621"/>
      <c r="D341" s="1623"/>
      <c r="E341" s="1620"/>
      <c r="F341" s="1621"/>
      <c r="G341" s="1624"/>
      <c r="H341" s="776" t="s">
        <v>6941</v>
      </c>
      <c r="I341" s="796">
        <f>F340</f>
        <v>2034</v>
      </c>
      <c r="J341" s="764" t="str">
        <f>G340</f>
        <v>Gestão e Promoção do Saneamento Básico</v>
      </c>
    </row>
    <row r="342" spans="2:10" ht="35.1" customHeight="1" thickBot="1" x14ac:dyDescent="0.3">
      <c r="B342" s="769" t="s">
        <v>6939</v>
      </c>
      <c r="C342" s="1625">
        <v>100000</v>
      </c>
      <c r="D342" s="1626"/>
      <c r="E342" s="769" t="s">
        <v>6939</v>
      </c>
      <c r="F342" s="1625">
        <v>25000</v>
      </c>
      <c r="G342" s="1627"/>
      <c r="H342" s="778" t="s">
        <v>6939</v>
      </c>
      <c r="I342" s="1625">
        <f>DESPORC!I1568</f>
        <v>6.0000000000000005E-2</v>
      </c>
      <c r="J342" s="1627"/>
    </row>
    <row r="344" spans="2:10" ht="35.1" customHeight="1" x14ac:dyDescent="0.25">
      <c r="B344" s="1631" t="s">
        <v>6927</v>
      </c>
      <c r="C344" s="1631"/>
      <c r="D344" s="755" t="str">
        <f>DESPORC!C1581</f>
        <v>02 - PREFEITURA MUNICIPAL DE CHUVISCA</v>
      </c>
      <c r="E344" s="797"/>
      <c r="F344" s="798"/>
      <c r="G344" s="798"/>
      <c r="H344" s="797"/>
      <c r="I344" s="798"/>
      <c r="J344" s="798"/>
    </row>
    <row r="345" spans="2:10" ht="35.1" customHeight="1" thickBot="1" x14ac:dyDescent="0.3">
      <c r="B345" s="1632" t="s">
        <v>3087</v>
      </c>
      <c r="C345" s="1632"/>
      <c r="D345" s="755" t="str">
        <f>DESPORC!C1582</f>
        <v>08 - FUNDO DE HABITAÇÃO E DE INTERESSE SOCIAL</v>
      </c>
      <c r="E345" s="797"/>
      <c r="F345" s="36"/>
      <c r="G345" s="1"/>
      <c r="H345" s="772"/>
      <c r="I345" s="1"/>
      <c r="J345" s="1"/>
    </row>
    <row r="346" spans="2:10" ht="35.1" customHeight="1" thickBot="1" x14ac:dyDescent="0.3">
      <c r="B346" s="1776" t="s">
        <v>6955</v>
      </c>
      <c r="C346" s="1777"/>
      <c r="D346" s="1778"/>
      <c r="E346" s="1776" t="str">
        <f>E$12</f>
        <v>PRIORIDADES LDO LEI MUNICIPAL N.º 1215  DE 02 DE OUTUBRO DE 2019.</v>
      </c>
      <c r="F346" s="1777"/>
      <c r="G346" s="1778"/>
      <c r="H346" s="1779" t="s">
        <v>6956</v>
      </c>
      <c r="I346" s="1780"/>
      <c r="J346" s="1781"/>
    </row>
    <row r="347" spans="2:10" ht="35.1" customHeight="1" x14ac:dyDescent="0.25">
      <c r="B347" s="1628" t="s">
        <v>3137</v>
      </c>
      <c r="C347" s="1615" t="str">
        <f>'[3]Anexo I - Programas'!$B$97</f>
        <v>4</v>
      </c>
      <c r="D347" s="1629" t="str">
        <f>'[3]Anexo I - Programas'!$C$97</f>
        <v xml:space="preserve">PROMOÇÃO E DESENVOLVIMENTO DA INFRAESTRUTURA </v>
      </c>
      <c r="E347" s="1628" t="s">
        <v>3137</v>
      </c>
      <c r="F347" s="1615" t="str">
        <f>C347</f>
        <v>4</v>
      </c>
      <c r="G347" s="1617" t="str">
        <f>D347</f>
        <v xml:space="preserve">PROMOÇÃO E DESENVOLVIMENTO DA INFRAESTRUTURA </v>
      </c>
      <c r="H347" s="773" t="s">
        <v>3138</v>
      </c>
      <c r="I347" s="757">
        <f>DESPORC!C1585</f>
        <v>16</v>
      </c>
      <c r="J347" s="765" t="str">
        <f>DESPORC!D1585</f>
        <v>Habitação</v>
      </c>
    </row>
    <row r="348" spans="2:10" ht="35.1" customHeight="1" x14ac:dyDescent="0.25">
      <c r="B348" s="1619"/>
      <c r="C348" s="1616"/>
      <c r="D348" s="1630"/>
      <c r="E348" s="1619"/>
      <c r="F348" s="1616"/>
      <c r="G348" s="1618"/>
      <c r="H348" s="774" t="s">
        <v>6940</v>
      </c>
      <c r="I348" s="757">
        <f>DESPORC!C1586</f>
        <v>481</v>
      </c>
      <c r="J348" s="765" t="str">
        <f>DESPORC!D1586</f>
        <v>Habitação Rural</v>
      </c>
    </row>
    <row r="349" spans="2:10" ht="35.1" customHeight="1" x14ac:dyDescent="0.25">
      <c r="B349" s="1619" t="s">
        <v>6941</v>
      </c>
      <c r="C349" s="1616">
        <f>'[3]Anexo I - Programas'!$C$117</f>
        <v>2035</v>
      </c>
      <c r="D349" s="1622" t="str">
        <f>'[3]Anexo I - Programas'!$D$117</f>
        <v>Promoção do Acesso a Moradia</v>
      </c>
      <c r="E349" s="1619" t="s">
        <v>6941</v>
      </c>
      <c r="F349" s="1616">
        <f>C349</f>
        <v>2035</v>
      </c>
      <c r="G349" s="1618" t="str">
        <f>D349</f>
        <v>Promoção do Acesso a Moradia</v>
      </c>
      <c r="H349" s="775" t="s">
        <v>3137</v>
      </c>
      <c r="I349" s="795" t="str">
        <f>F347</f>
        <v>4</v>
      </c>
      <c r="J349" s="762" t="str">
        <f>G347</f>
        <v xml:space="preserve">PROMOÇÃO E DESENVOLVIMENTO DA INFRAESTRUTURA </v>
      </c>
    </row>
    <row r="350" spans="2:10" ht="35.1" customHeight="1" x14ac:dyDescent="0.25">
      <c r="B350" s="1620"/>
      <c r="C350" s="1621"/>
      <c r="D350" s="1623"/>
      <c r="E350" s="1620"/>
      <c r="F350" s="1621"/>
      <c r="G350" s="1624"/>
      <c r="H350" s="776" t="s">
        <v>6941</v>
      </c>
      <c r="I350" s="796">
        <f>F349</f>
        <v>2035</v>
      </c>
      <c r="J350" s="764" t="str">
        <f>G349</f>
        <v>Promoção do Acesso a Moradia</v>
      </c>
    </row>
    <row r="351" spans="2:10" ht="35.1" customHeight="1" thickBot="1" x14ac:dyDescent="0.3">
      <c r="B351" s="769" t="s">
        <v>6939</v>
      </c>
      <c r="C351" s="1625">
        <v>300000</v>
      </c>
      <c r="D351" s="1626"/>
      <c r="E351" s="769" t="s">
        <v>6939</v>
      </c>
      <c r="F351" s="1625">
        <v>850000</v>
      </c>
      <c r="G351" s="1627"/>
      <c r="H351" s="778" t="s">
        <v>6939</v>
      </c>
      <c r="I351" s="1625">
        <f>DESPORC!I1588</f>
        <v>1.06</v>
      </c>
      <c r="J351" s="1627"/>
    </row>
    <row r="354" spans="2:10" ht="35.1" customHeight="1" x14ac:dyDescent="0.25">
      <c r="B354" s="1631" t="s">
        <v>6927</v>
      </c>
      <c r="C354" s="1631"/>
      <c r="D354" s="755" t="str">
        <f>DESPORC!C1602</f>
        <v>02 - PREFEITURA MUNICIPAL DE CHUVISCA</v>
      </c>
      <c r="E354" s="797"/>
      <c r="F354" s="798"/>
      <c r="G354" s="798"/>
      <c r="H354" s="797"/>
      <c r="I354" s="798"/>
      <c r="J354" s="798"/>
    </row>
    <row r="355" spans="2:10" ht="35.1" customHeight="1" thickBot="1" x14ac:dyDescent="0.3">
      <c r="B355" s="1632" t="s">
        <v>3087</v>
      </c>
      <c r="C355" s="1632"/>
      <c r="D355" s="755" t="str">
        <f>DESPORC!C1603</f>
        <v>09 - CONSELHOS MUNICIPAIS</v>
      </c>
      <c r="E355" s="797"/>
      <c r="F355" s="36"/>
      <c r="G355" s="1"/>
      <c r="H355" s="772"/>
      <c r="I355" s="1"/>
      <c r="J355" s="1"/>
    </row>
    <row r="356" spans="2:10" ht="35.1" customHeight="1" thickBot="1" x14ac:dyDescent="0.3">
      <c r="B356" s="1776" t="s">
        <v>6955</v>
      </c>
      <c r="C356" s="1777"/>
      <c r="D356" s="1778"/>
      <c r="E356" s="1776" t="str">
        <f>E$12</f>
        <v>PRIORIDADES LDO LEI MUNICIPAL N.º 1215  DE 02 DE OUTUBRO DE 2019.</v>
      </c>
      <c r="F356" s="1777"/>
      <c r="G356" s="1778"/>
      <c r="H356" s="1779" t="s">
        <v>6956</v>
      </c>
      <c r="I356" s="1780"/>
      <c r="J356" s="1781"/>
    </row>
    <row r="357" spans="2:10" ht="35.1" customHeight="1" x14ac:dyDescent="0.25">
      <c r="B357" s="1628" t="s">
        <v>3137</v>
      </c>
      <c r="C357" s="1615" t="str">
        <f>'[3]Anexo I - Programas'!$B$60</f>
        <v>003</v>
      </c>
      <c r="D357" s="1629" t="str">
        <f>'[3]Anexo I - Programas'!$C$60</f>
        <v xml:space="preserve">GESTÃO, COORDENAÇÃO E PLANEJAMENTO </v>
      </c>
      <c r="E357" s="1628" t="s">
        <v>3137</v>
      </c>
      <c r="F357" s="1615" t="str">
        <f>C357</f>
        <v>003</v>
      </c>
      <c r="G357" s="1617" t="str">
        <f>D357</f>
        <v xml:space="preserve">GESTÃO, COORDENAÇÃO E PLANEJAMENTO </v>
      </c>
      <c r="H357" s="773" t="s">
        <v>3138</v>
      </c>
      <c r="I357" s="757">
        <f>DESPORC!C1606</f>
        <v>4</v>
      </c>
      <c r="J357" s="765" t="str">
        <f>DESPORC!D1606</f>
        <v>Administração</v>
      </c>
    </row>
    <row r="358" spans="2:10" ht="35.1" customHeight="1" x14ac:dyDescent="0.25">
      <c r="B358" s="1619"/>
      <c r="C358" s="1616"/>
      <c r="D358" s="1630"/>
      <c r="E358" s="1619"/>
      <c r="F358" s="1616"/>
      <c r="G358" s="1618"/>
      <c r="H358" s="774" t="s">
        <v>6940</v>
      </c>
      <c r="I358" s="757">
        <f>DESPORC!C1607</f>
        <v>122</v>
      </c>
      <c r="J358" s="765" t="str">
        <f>DESPORC!D1607</f>
        <v>Administração Geral</v>
      </c>
    </row>
    <row r="359" spans="2:10" ht="35.1" customHeight="1" x14ac:dyDescent="0.25">
      <c r="B359" s="1619" t="s">
        <v>6941</v>
      </c>
      <c r="C359" s="1616">
        <f>'[3]Anexo I - Programas'!$C$74</f>
        <v>2002</v>
      </c>
      <c r="D359" s="1622" t="str">
        <f>'[3]Anexo I - Programas'!$D$74</f>
        <v xml:space="preserve">GESTÃO , APOIO E MANUTENÇÃO , COORDENAÇÃO E PLANEJAMENTO </v>
      </c>
      <c r="E359" s="1619" t="s">
        <v>6941</v>
      </c>
      <c r="F359" s="1616">
        <f>C359</f>
        <v>2002</v>
      </c>
      <c r="G359" s="1618" t="str">
        <f>D359</f>
        <v xml:space="preserve">GESTÃO , APOIO E MANUTENÇÃO , COORDENAÇÃO E PLANEJAMENTO </v>
      </c>
      <c r="H359" s="775" t="s">
        <v>3137</v>
      </c>
      <c r="I359" s="795" t="str">
        <f>F357</f>
        <v>003</v>
      </c>
      <c r="J359" s="762" t="str">
        <f>G357</f>
        <v xml:space="preserve">GESTÃO, COORDENAÇÃO E PLANEJAMENTO </v>
      </c>
    </row>
    <row r="360" spans="2:10" ht="35.1" customHeight="1" x14ac:dyDescent="0.25">
      <c r="B360" s="1620"/>
      <c r="C360" s="1621"/>
      <c r="D360" s="1623"/>
      <c r="E360" s="1620"/>
      <c r="F360" s="1621"/>
      <c r="G360" s="1624"/>
      <c r="H360" s="776" t="s">
        <v>6941</v>
      </c>
      <c r="I360" s="796">
        <f>F359</f>
        <v>2002</v>
      </c>
      <c r="J360" s="764" t="str">
        <f>G359</f>
        <v xml:space="preserve">GESTÃO , APOIO E MANUTENÇÃO , COORDENAÇÃO E PLANEJAMENTO </v>
      </c>
    </row>
    <row r="361" spans="2:10" ht="35.1" customHeight="1" thickBot="1" x14ac:dyDescent="0.3">
      <c r="B361" s="769" t="s">
        <v>6939</v>
      </c>
      <c r="C361" s="1625">
        <v>10370000</v>
      </c>
      <c r="D361" s="1626"/>
      <c r="E361" s="769" t="s">
        <v>6939</v>
      </c>
      <c r="F361" s="1625">
        <v>850000</v>
      </c>
      <c r="G361" s="1627"/>
      <c r="H361" s="778" t="s">
        <v>6939</v>
      </c>
      <c r="I361" s="1625">
        <f>DESPORC!I1609</f>
        <v>7.0000000000000007E-2</v>
      </c>
      <c r="J361" s="1627"/>
    </row>
    <row r="363" spans="2:10" ht="35.1" customHeight="1" x14ac:dyDescent="0.25">
      <c r="B363" s="1631" t="s">
        <v>6927</v>
      </c>
      <c r="C363" s="1631"/>
      <c r="D363" s="755" t="str">
        <f>DESPORC!C1623</f>
        <v>02 - PREFEITURA MUNICIPAL DE CHUVISCA</v>
      </c>
      <c r="E363" s="797"/>
      <c r="F363" s="798"/>
      <c r="G363" s="798"/>
      <c r="H363" s="797"/>
      <c r="I363" s="798"/>
      <c r="J363" s="798"/>
    </row>
    <row r="364" spans="2:10" ht="35.1" customHeight="1" thickBot="1" x14ac:dyDescent="0.3">
      <c r="B364" s="1632" t="s">
        <v>3087</v>
      </c>
      <c r="C364" s="1632"/>
      <c r="D364" s="755" t="str">
        <f>DESPORC!C1624</f>
        <v>10 - ENCARGOS ESPECIAIS</v>
      </c>
      <c r="E364" s="797"/>
      <c r="F364" s="36"/>
      <c r="G364" s="1"/>
      <c r="H364" s="772"/>
      <c r="I364" s="1"/>
      <c r="J364" s="1"/>
    </row>
    <row r="365" spans="2:10" ht="35.1" customHeight="1" thickBot="1" x14ac:dyDescent="0.3">
      <c r="B365" s="1776" t="s">
        <v>6955</v>
      </c>
      <c r="C365" s="1777"/>
      <c r="D365" s="1778"/>
      <c r="E365" s="1776" t="str">
        <f>E$12</f>
        <v>PRIORIDADES LDO LEI MUNICIPAL N.º 1215  DE 02 DE OUTUBRO DE 2019.</v>
      </c>
      <c r="F365" s="1777"/>
      <c r="G365" s="1778"/>
      <c r="H365" s="1779" t="s">
        <v>6956</v>
      </c>
      <c r="I365" s="1780"/>
      <c r="J365" s="1781"/>
    </row>
    <row r="366" spans="2:10" ht="35.1" customHeight="1" x14ac:dyDescent="0.25">
      <c r="B366" s="1628" t="s">
        <v>3137</v>
      </c>
      <c r="C366" s="1615" t="str">
        <f>'[3]Anexo I - Programas'!$B$40</f>
        <v>000</v>
      </c>
      <c r="D366" s="1629" t="str">
        <f>'[3]Anexo I - Programas'!$C$40</f>
        <v>GESTÃO DE ENCARGOS ESPECIAIS</v>
      </c>
      <c r="E366" s="1628" t="s">
        <v>3137</v>
      </c>
      <c r="F366" s="1615" t="str">
        <f>C366</f>
        <v>000</v>
      </c>
      <c r="G366" s="1617" t="str">
        <f>D366</f>
        <v>GESTÃO DE ENCARGOS ESPECIAIS</v>
      </c>
      <c r="H366" s="773" t="s">
        <v>3138</v>
      </c>
      <c r="I366" s="757">
        <f>DESPORC!C1627</f>
        <v>28</v>
      </c>
      <c r="J366" s="765" t="str">
        <f>DESPORC!D1627</f>
        <v>Encargos Especiais</v>
      </c>
    </row>
    <row r="367" spans="2:10" ht="35.1" customHeight="1" x14ac:dyDescent="0.25">
      <c r="B367" s="1619"/>
      <c r="C367" s="1616"/>
      <c r="D367" s="1630"/>
      <c r="E367" s="1619"/>
      <c r="F367" s="1616"/>
      <c r="G367" s="1618"/>
      <c r="H367" s="774" t="s">
        <v>6940</v>
      </c>
      <c r="I367" s="757">
        <f>DESPORC!C1628</f>
        <v>846</v>
      </c>
      <c r="J367" s="765" t="str">
        <f>DESPORC!D1628</f>
        <v>Outros Encargos Especiais</v>
      </c>
    </row>
    <row r="368" spans="2:10" ht="35.1" customHeight="1" x14ac:dyDescent="0.25">
      <c r="B368" s="1619" t="s">
        <v>6941</v>
      </c>
      <c r="C368" s="1616">
        <f>'[3]Anexo I - Programas'!$C$49</f>
        <v>1</v>
      </c>
      <c r="D368" s="1622" t="str">
        <f>'[3]Anexo I - Programas'!$D$49</f>
        <v xml:space="preserve">Encargos Gerais </v>
      </c>
      <c r="E368" s="1619" t="s">
        <v>6941</v>
      </c>
      <c r="F368" s="1616">
        <f>C368</f>
        <v>1</v>
      </c>
      <c r="G368" s="1618" t="str">
        <f>D368</f>
        <v xml:space="preserve">Encargos Gerais </v>
      </c>
      <c r="H368" s="775" t="s">
        <v>3137</v>
      </c>
      <c r="I368" s="795" t="str">
        <f>F366</f>
        <v>000</v>
      </c>
      <c r="J368" s="762" t="str">
        <f>G366</f>
        <v>GESTÃO DE ENCARGOS ESPECIAIS</v>
      </c>
    </row>
    <row r="369" spans="2:10" ht="35.1" customHeight="1" x14ac:dyDescent="0.25">
      <c r="B369" s="1620"/>
      <c r="C369" s="1621"/>
      <c r="D369" s="1623"/>
      <c r="E369" s="1620"/>
      <c r="F369" s="1621"/>
      <c r="G369" s="1624"/>
      <c r="H369" s="776" t="s">
        <v>6941</v>
      </c>
      <c r="I369" s="796">
        <f>F368</f>
        <v>1</v>
      </c>
      <c r="J369" s="764" t="str">
        <f>G368</f>
        <v xml:space="preserve">Encargos Gerais </v>
      </c>
    </row>
    <row r="370" spans="2:10" ht="35.1" customHeight="1" thickBot="1" x14ac:dyDescent="0.3">
      <c r="B370" s="769" t="s">
        <v>6939</v>
      </c>
      <c r="C370" s="1625">
        <v>1200000</v>
      </c>
      <c r="D370" s="1626"/>
      <c r="E370" s="769" t="s">
        <v>6939</v>
      </c>
      <c r="F370" s="1625">
        <v>300000</v>
      </c>
      <c r="G370" s="1627"/>
      <c r="H370" s="778" t="s">
        <v>6939</v>
      </c>
      <c r="I370" s="1625">
        <f>DESPORC!I1630</f>
        <v>761482.163782157</v>
      </c>
      <c r="J370" s="1627"/>
    </row>
    <row r="372" spans="2:10" ht="35.1" customHeight="1" x14ac:dyDescent="0.25">
      <c r="B372" s="1631" t="s">
        <v>6927</v>
      </c>
      <c r="C372" s="1631"/>
      <c r="D372" s="755" t="str">
        <f>DESPORC!C1666</f>
        <v>02 - PREFEITURA MUNICIPAL DE CHUVISCA</v>
      </c>
      <c r="E372" s="797"/>
      <c r="F372" s="798"/>
      <c r="G372" s="798"/>
      <c r="H372" s="797"/>
      <c r="I372" s="798"/>
      <c r="J372" s="798"/>
    </row>
    <row r="373" spans="2:10" ht="35.1" customHeight="1" thickBot="1" x14ac:dyDescent="0.3">
      <c r="B373" s="1632" t="s">
        <v>3087</v>
      </c>
      <c r="C373" s="1632"/>
      <c r="D373" s="755" t="str">
        <f>DESPORC!C1667</f>
        <v>11 - RESERVA DE CONTINGÊNCIA</v>
      </c>
      <c r="E373" s="797"/>
      <c r="F373" s="36"/>
      <c r="G373" s="1"/>
      <c r="H373" s="772"/>
      <c r="I373" s="1"/>
      <c r="J373" s="1"/>
    </row>
    <row r="374" spans="2:10" ht="35.1" customHeight="1" thickBot="1" x14ac:dyDescent="0.3">
      <c r="B374" s="1776" t="s">
        <v>6955</v>
      </c>
      <c r="C374" s="1777"/>
      <c r="D374" s="1778"/>
      <c r="E374" s="1776" t="str">
        <f>E$12</f>
        <v>PRIORIDADES LDO LEI MUNICIPAL N.º 1215  DE 02 DE OUTUBRO DE 2019.</v>
      </c>
      <c r="F374" s="1777"/>
      <c r="G374" s="1778"/>
      <c r="H374" s="1779" t="s">
        <v>6956</v>
      </c>
      <c r="I374" s="1780"/>
      <c r="J374" s="1781"/>
    </row>
    <row r="375" spans="2:10" ht="35.1" customHeight="1" x14ac:dyDescent="0.25">
      <c r="B375" s="1628" t="s">
        <v>3137</v>
      </c>
      <c r="C375" s="1615" t="str">
        <f>'[3]Anexo I - Programas'!$B$668</f>
        <v>099</v>
      </c>
      <c r="D375" s="1629" t="str">
        <f>'[3]Anexo I - Programas'!$C$668</f>
        <v>RESERVA DE CONTINGENCIA</v>
      </c>
      <c r="E375" s="1628" t="s">
        <v>3137</v>
      </c>
      <c r="F375" s="1615" t="str">
        <f>C375</f>
        <v>099</v>
      </c>
      <c r="G375" s="1617" t="str">
        <f>D375</f>
        <v>RESERVA DE CONTINGENCIA</v>
      </c>
      <c r="H375" s="773" t="s">
        <v>3138</v>
      </c>
      <c r="I375" s="757">
        <f>DESPORC!C1670</f>
        <v>99</v>
      </c>
      <c r="J375" s="765" t="str">
        <f>DESPORC!D1670</f>
        <v>RESERVA DE CONTINGÊNCIA</v>
      </c>
    </row>
    <row r="376" spans="2:10" ht="35.1" customHeight="1" x14ac:dyDescent="0.25">
      <c r="B376" s="1619"/>
      <c r="C376" s="1616"/>
      <c r="D376" s="1630"/>
      <c r="E376" s="1619"/>
      <c r="F376" s="1616"/>
      <c r="G376" s="1618"/>
      <c r="H376" s="774" t="s">
        <v>6940</v>
      </c>
      <c r="I376" s="757">
        <f>DESPORC!C1671</f>
        <v>99</v>
      </c>
      <c r="J376" s="765" t="str">
        <f>DESPORC!D1671</f>
        <v>RESERVA DE CONTINGÊNCIA</v>
      </c>
    </row>
    <row r="377" spans="2:10" ht="35.1" customHeight="1" x14ac:dyDescent="0.25">
      <c r="B377" s="1619" t="s">
        <v>6941</v>
      </c>
      <c r="C377" s="1616">
        <f>'[3]Anexo I - Programas'!$C$677</f>
        <v>2027</v>
      </c>
      <c r="D377" s="1622" t="str">
        <f>'[3]Anexo I - Programas'!$D$677</f>
        <v>Reserva de Contingencia</v>
      </c>
      <c r="E377" s="1619" t="s">
        <v>6941</v>
      </c>
      <c r="F377" s="1616">
        <f>C377</f>
        <v>2027</v>
      </c>
      <c r="G377" s="1618" t="str">
        <f>D377</f>
        <v>Reserva de Contingencia</v>
      </c>
      <c r="H377" s="775" t="s">
        <v>3137</v>
      </c>
      <c r="I377" s="795" t="str">
        <f>F375</f>
        <v>099</v>
      </c>
      <c r="J377" s="762" t="str">
        <f>G375</f>
        <v>RESERVA DE CONTINGENCIA</v>
      </c>
    </row>
    <row r="378" spans="2:10" ht="35.1" customHeight="1" x14ac:dyDescent="0.25">
      <c r="B378" s="1620"/>
      <c r="C378" s="1621"/>
      <c r="D378" s="1623"/>
      <c r="E378" s="1620"/>
      <c r="F378" s="1621"/>
      <c r="G378" s="1624"/>
      <c r="H378" s="776" t="s">
        <v>6941</v>
      </c>
      <c r="I378" s="796">
        <f>F377</f>
        <v>2027</v>
      </c>
      <c r="J378" s="764" t="str">
        <f>G377</f>
        <v>Reserva de Contingencia</v>
      </c>
    </row>
    <row r="379" spans="2:10" ht="35.1" customHeight="1" thickBot="1" x14ac:dyDescent="0.3">
      <c r="B379" s="769" t="s">
        <v>6939</v>
      </c>
      <c r="C379" s="1625">
        <v>1400000</v>
      </c>
      <c r="D379" s="1626"/>
      <c r="E379" s="769" t="s">
        <v>6939</v>
      </c>
      <c r="F379" s="1625">
        <v>350000</v>
      </c>
      <c r="G379" s="1627"/>
      <c r="H379" s="778" t="s">
        <v>6939</v>
      </c>
      <c r="I379" s="1625">
        <f>DESPORC!I1673</f>
        <v>754762.35576939746</v>
      </c>
      <c r="J379" s="1627"/>
    </row>
    <row r="381" spans="2:10" ht="35.1" customHeight="1" x14ac:dyDescent="0.25">
      <c r="B381" s="1631" t="s">
        <v>6927</v>
      </c>
      <c r="C381" s="1631"/>
      <c r="D381" s="755" t="str">
        <f>DESPORC!C1685</f>
        <v>02 - PREFEITURA MUNICIPAL DE CHUVISCA</v>
      </c>
      <c r="E381" s="797"/>
      <c r="F381" s="798"/>
      <c r="G381" s="798"/>
      <c r="H381" s="797"/>
      <c r="I381" s="798"/>
      <c r="J381" s="798"/>
    </row>
    <row r="382" spans="2:10" ht="35.1" customHeight="1" thickBot="1" x14ac:dyDescent="0.3">
      <c r="B382" s="1632" t="s">
        <v>3087</v>
      </c>
      <c r="C382" s="1632"/>
      <c r="D382" s="755" t="str">
        <f>DESPORC!C1686</f>
        <v>12 - GESTÃO E COORDENAÇÃO DE CONVENIOS UNIAO E ESTADO</v>
      </c>
      <c r="E382" s="797"/>
      <c r="F382" s="36"/>
      <c r="G382" s="1"/>
      <c r="H382" s="772"/>
      <c r="I382" s="1"/>
      <c r="J382" s="1"/>
    </row>
    <row r="383" spans="2:10" ht="35.1" customHeight="1" thickBot="1" x14ac:dyDescent="0.3">
      <c r="B383" s="1776" t="s">
        <v>6955</v>
      </c>
      <c r="C383" s="1777"/>
      <c r="D383" s="1778"/>
      <c r="E383" s="1776" t="str">
        <f>E$12</f>
        <v>PRIORIDADES LDO LEI MUNICIPAL N.º 1215  DE 02 DE OUTUBRO DE 2019.</v>
      </c>
      <c r="F383" s="1777"/>
      <c r="G383" s="1778"/>
      <c r="H383" s="1779" t="s">
        <v>6956</v>
      </c>
      <c r="I383" s="1780"/>
      <c r="J383" s="1781"/>
    </row>
    <row r="384" spans="2:10" ht="35.1" customHeight="1" x14ac:dyDescent="0.25">
      <c r="B384" s="1628" t="s">
        <v>3137</v>
      </c>
      <c r="C384" s="1615" t="str">
        <f>'[3]Anexo I - Programas'!$B$359</f>
        <v>11</v>
      </c>
      <c r="D384" s="1629" t="str">
        <f>'[3]Anexo I - Programas'!$C$359</f>
        <v>PROMOÇÃO E DESENVOLVIMENTO DO MEIO AMBIENTE</v>
      </c>
      <c r="E384" s="1628" t="s">
        <v>3137</v>
      </c>
      <c r="F384" s="1615" t="str">
        <f>C384</f>
        <v>11</v>
      </c>
      <c r="G384" s="1617" t="str">
        <f>D384</f>
        <v>PROMOÇÃO E DESENVOLVIMENTO DO MEIO AMBIENTE</v>
      </c>
      <c r="H384" s="773" t="s">
        <v>3138</v>
      </c>
      <c r="I384" s="757">
        <f>DESPORC!C1689</f>
        <v>17</v>
      </c>
      <c r="J384" s="765" t="str">
        <f>DESPORC!D1689</f>
        <v>Saneamento</v>
      </c>
    </row>
    <row r="385" spans="2:10" ht="35.1" customHeight="1" x14ac:dyDescent="0.25">
      <c r="B385" s="1619"/>
      <c r="C385" s="1616"/>
      <c r="D385" s="1630"/>
      <c r="E385" s="1619"/>
      <c r="F385" s="1616"/>
      <c r="G385" s="1618"/>
      <c r="H385" s="774" t="s">
        <v>6940</v>
      </c>
      <c r="I385" s="757">
        <f>DESPORC!C1690</f>
        <v>511</v>
      </c>
      <c r="J385" s="765" t="str">
        <f>DESPORC!D1690</f>
        <v>Saneamento Básico Rural</v>
      </c>
    </row>
    <row r="386" spans="2:10" ht="35.1" customHeight="1" x14ac:dyDescent="0.25">
      <c r="B386" s="1619" t="s">
        <v>6941</v>
      </c>
      <c r="C386" s="1616">
        <f>'[3]Anexo I - Programas'!$C$379</f>
        <v>2034</v>
      </c>
      <c r="D386" s="1622" t="str">
        <f>'[3]Anexo I - Programas'!$D$379</f>
        <v>Gestão e Promoção do Saneamento Básico</v>
      </c>
      <c r="E386" s="1619" t="s">
        <v>6941</v>
      </c>
      <c r="F386" s="1616">
        <f>C386</f>
        <v>2034</v>
      </c>
      <c r="G386" s="1618" t="str">
        <f>D386</f>
        <v>Gestão e Promoção do Saneamento Básico</v>
      </c>
      <c r="H386" s="775" t="s">
        <v>3137</v>
      </c>
      <c r="I386" s="795" t="str">
        <f>F384</f>
        <v>11</v>
      </c>
      <c r="J386" s="762" t="str">
        <f>G384</f>
        <v>PROMOÇÃO E DESENVOLVIMENTO DO MEIO AMBIENTE</v>
      </c>
    </row>
    <row r="387" spans="2:10" ht="35.1" customHeight="1" x14ac:dyDescent="0.25">
      <c r="B387" s="1620"/>
      <c r="C387" s="1621"/>
      <c r="D387" s="1623"/>
      <c r="E387" s="1620"/>
      <c r="F387" s="1621"/>
      <c r="G387" s="1624"/>
      <c r="H387" s="776" t="s">
        <v>6941</v>
      </c>
      <c r="I387" s="796">
        <f>F386</f>
        <v>2034</v>
      </c>
      <c r="J387" s="764" t="str">
        <f>G386</f>
        <v>Gestão e Promoção do Saneamento Básico</v>
      </c>
    </row>
    <row r="388" spans="2:10" ht="35.1" customHeight="1" thickBot="1" x14ac:dyDescent="0.3">
      <c r="B388" s="769" t="s">
        <v>6939</v>
      </c>
      <c r="C388" s="1625">
        <v>100000</v>
      </c>
      <c r="D388" s="1626"/>
      <c r="E388" s="769" t="s">
        <v>6939</v>
      </c>
      <c r="F388" s="1625">
        <v>25000</v>
      </c>
      <c r="G388" s="1627"/>
      <c r="H388" s="778" t="s">
        <v>6939</v>
      </c>
      <c r="I388" s="1625">
        <f>DESPORC!I1692</f>
        <v>1</v>
      </c>
      <c r="J388" s="1627"/>
    </row>
    <row r="402" spans="2:10" ht="35.1" customHeight="1" x14ac:dyDescent="0.25">
      <c r="B402" s="1631" t="s">
        <v>6927</v>
      </c>
      <c r="C402" s="1631"/>
      <c r="D402" s="755" t="str">
        <f>DESPORC!C1700</f>
        <v>02 - PREFEITURA MUNICIPAL DE CHUVISCA</v>
      </c>
      <c r="E402" s="797"/>
      <c r="F402" s="798"/>
      <c r="G402" s="798"/>
      <c r="H402" s="797"/>
      <c r="I402" s="798"/>
      <c r="J402" s="798"/>
    </row>
    <row r="403" spans="2:10" ht="35.1" customHeight="1" thickBot="1" x14ac:dyDescent="0.3">
      <c r="B403" s="1632" t="s">
        <v>3087</v>
      </c>
      <c r="C403" s="1632"/>
      <c r="D403" s="755" t="str">
        <f>DESPORC!C1701</f>
        <v>13 - GABINETE DO VICE PREFEITO</v>
      </c>
      <c r="E403" s="797"/>
      <c r="F403" s="36"/>
      <c r="G403" s="1"/>
      <c r="H403" s="772"/>
      <c r="I403" s="1"/>
      <c r="J403" s="1"/>
    </row>
    <row r="404" spans="2:10" ht="35.1" customHeight="1" thickBot="1" x14ac:dyDescent="0.3">
      <c r="B404" s="1776" t="s">
        <v>6955</v>
      </c>
      <c r="C404" s="1777"/>
      <c r="D404" s="1778"/>
      <c r="E404" s="1776" t="str">
        <f>E$12</f>
        <v>PRIORIDADES LDO LEI MUNICIPAL N.º 1215  DE 02 DE OUTUBRO DE 2019.</v>
      </c>
      <c r="F404" s="1777"/>
      <c r="G404" s="1778"/>
      <c r="H404" s="1779" t="s">
        <v>6956</v>
      </c>
      <c r="I404" s="1780"/>
      <c r="J404" s="1781"/>
    </row>
    <row r="405" spans="2:10" ht="35.1" customHeight="1" x14ac:dyDescent="0.25">
      <c r="B405" s="1628" t="s">
        <v>3137</v>
      </c>
      <c r="C405" s="1615" t="str">
        <f>'[3]Anexo I - Programas'!$B$60</f>
        <v>003</v>
      </c>
      <c r="D405" s="1629" t="str">
        <f>'[3]Anexo I - Programas'!$C$60</f>
        <v xml:space="preserve">GESTÃO, COORDENAÇÃO E PLANEJAMENTO </v>
      </c>
      <c r="E405" s="1628" t="s">
        <v>3137</v>
      </c>
      <c r="F405" s="1615" t="str">
        <f>C405</f>
        <v>003</v>
      </c>
      <c r="G405" s="1617" t="str">
        <f>D405</f>
        <v xml:space="preserve">GESTÃO, COORDENAÇÃO E PLANEJAMENTO </v>
      </c>
      <c r="H405" s="773" t="s">
        <v>3138</v>
      </c>
      <c r="I405" s="757">
        <f>DESPORC!C1704</f>
        <v>4</v>
      </c>
      <c r="J405" s="765" t="str">
        <f>DESPORC!D1704</f>
        <v>Administração</v>
      </c>
    </row>
    <row r="406" spans="2:10" ht="35.1" customHeight="1" x14ac:dyDescent="0.25">
      <c r="B406" s="1619"/>
      <c r="C406" s="1616"/>
      <c r="D406" s="1630"/>
      <c r="E406" s="1619"/>
      <c r="F406" s="1616"/>
      <c r="G406" s="1618"/>
      <c r="H406" s="774" t="s">
        <v>6940</v>
      </c>
      <c r="I406" s="757">
        <f>DESPORC!C1705</f>
        <v>122</v>
      </c>
      <c r="J406" s="765" t="str">
        <f>DESPORC!D1705</f>
        <v>Administração Geral</v>
      </c>
    </row>
    <row r="407" spans="2:10" ht="35.1" customHeight="1" x14ac:dyDescent="0.25">
      <c r="B407" s="1619" t="s">
        <v>6941</v>
      </c>
      <c r="C407" s="1616">
        <f>'[3]Anexo I - Programas'!$C$69</f>
        <v>1002</v>
      </c>
      <c r="D407" s="1622" t="str">
        <f>'[3]Anexo I - Programas'!$D$69</f>
        <v>Realização de Novos Investimentos do Poder Executivo</v>
      </c>
      <c r="E407" s="1619" t="s">
        <v>6941</v>
      </c>
      <c r="F407" s="1616">
        <f>C407</f>
        <v>1002</v>
      </c>
      <c r="G407" s="1618" t="str">
        <f>D407</f>
        <v>Realização de Novos Investimentos do Poder Executivo</v>
      </c>
      <c r="H407" s="775" t="s">
        <v>3137</v>
      </c>
      <c r="I407" s="795" t="str">
        <f>F405</f>
        <v>003</v>
      </c>
      <c r="J407" s="762" t="str">
        <f>G405</f>
        <v xml:space="preserve">GESTÃO, COORDENAÇÃO E PLANEJAMENTO </v>
      </c>
    </row>
    <row r="408" spans="2:10" ht="35.1" customHeight="1" x14ac:dyDescent="0.25">
      <c r="B408" s="1620"/>
      <c r="C408" s="1621"/>
      <c r="D408" s="1623"/>
      <c r="E408" s="1620"/>
      <c r="F408" s="1621"/>
      <c r="G408" s="1624"/>
      <c r="H408" s="776" t="s">
        <v>6941</v>
      </c>
      <c r="I408" s="796">
        <f>F407</f>
        <v>1002</v>
      </c>
      <c r="J408" s="764" t="str">
        <f>G407</f>
        <v>Realização de Novos Investimentos do Poder Executivo</v>
      </c>
    </row>
    <row r="409" spans="2:10" ht="35.1" customHeight="1" thickBot="1" x14ac:dyDescent="0.3">
      <c r="B409" s="769" t="s">
        <v>6939</v>
      </c>
      <c r="C409" s="1625">
        <v>1600000</v>
      </c>
      <c r="D409" s="1626"/>
      <c r="E409" s="769" t="s">
        <v>6939</v>
      </c>
      <c r="F409" s="1625">
        <v>400000</v>
      </c>
      <c r="G409" s="1627"/>
      <c r="H409" s="778" t="s">
        <v>6939</v>
      </c>
      <c r="I409" s="1625">
        <f>DESPORC!I1707</f>
        <v>6.0000000000000005E-2</v>
      </c>
      <c r="J409" s="1627"/>
    </row>
    <row r="410" spans="2:10" ht="35.1" customHeight="1" x14ac:dyDescent="0.25">
      <c r="B410" s="1628" t="s">
        <v>3137</v>
      </c>
      <c r="C410" s="1615" t="str">
        <f>'[3]Anexo I - Programas'!$B$60</f>
        <v>003</v>
      </c>
      <c r="D410" s="1629" t="str">
        <f>'[3]Anexo I - Programas'!$C$60</f>
        <v xml:space="preserve">GESTÃO, COORDENAÇÃO E PLANEJAMENTO </v>
      </c>
      <c r="E410" s="1628" t="s">
        <v>3137</v>
      </c>
      <c r="F410" s="1615" t="str">
        <f>C410</f>
        <v>003</v>
      </c>
      <c r="G410" s="1617" t="str">
        <f>D410</f>
        <v xml:space="preserve">GESTÃO, COORDENAÇÃO E PLANEJAMENTO </v>
      </c>
      <c r="H410" s="773" t="s">
        <v>3138</v>
      </c>
      <c r="I410" s="757">
        <f>DESPORC!C1714</f>
        <v>4</v>
      </c>
      <c r="J410" s="765" t="str">
        <f>DESPORC!D1714</f>
        <v>Administração</v>
      </c>
    </row>
    <row r="411" spans="2:10" ht="35.1" customHeight="1" x14ac:dyDescent="0.25">
      <c r="B411" s="1619"/>
      <c r="C411" s="1616"/>
      <c r="D411" s="1630"/>
      <c r="E411" s="1619"/>
      <c r="F411" s="1616"/>
      <c r="G411" s="1618"/>
      <c r="H411" s="774" t="s">
        <v>6940</v>
      </c>
      <c r="I411" s="757">
        <f>DESPORC!C1715</f>
        <v>122</v>
      </c>
      <c r="J411" s="765" t="str">
        <f>DESPORC!D1715</f>
        <v>Administração Geral</v>
      </c>
    </row>
    <row r="412" spans="2:10" ht="35.1" customHeight="1" x14ac:dyDescent="0.25">
      <c r="B412" s="1619" t="s">
        <v>6941</v>
      </c>
      <c r="C412" s="1616">
        <f>'[3]Anexo I - Programas'!$C$74</f>
        <v>2002</v>
      </c>
      <c r="D412" s="1622" t="str">
        <f>'[3]Anexo I - Programas'!$D$74</f>
        <v xml:space="preserve">GESTÃO , APOIO E MANUTENÇÃO , COORDENAÇÃO E PLANEJAMENTO </v>
      </c>
      <c r="E412" s="1619" t="s">
        <v>6941</v>
      </c>
      <c r="F412" s="1616">
        <f>C412</f>
        <v>2002</v>
      </c>
      <c r="G412" s="1618" t="str">
        <f>D412</f>
        <v xml:space="preserve">GESTÃO , APOIO E MANUTENÇÃO , COORDENAÇÃO E PLANEJAMENTO </v>
      </c>
      <c r="H412" s="775" t="s">
        <v>3137</v>
      </c>
      <c r="I412" s="795" t="str">
        <f>F410</f>
        <v>003</v>
      </c>
      <c r="J412" s="762" t="str">
        <f>G410</f>
        <v xml:space="preserve">GESTÃO, COORDENAÇÃO E PLANEJAMENTO </v>
      </c>
    </row>
    <row r="413" spans="2:10" ht="35.1" customHeight="1" x14ac:dyDescent="0.25">
      <c r="B413" s="1620"/>
      <c r="C413" s="1621"/>
      <c r="D413" s="1623"/>
      <c r="E413" s="1620"/>
      <c r="F413" s="1621"/>
      <c r="G413" s="1624"/>
      <c r="H413" s="776" t="s">
        <v>6941</v>
      </c>
      <c r="I413" s="796">
        <f>F412</f>
        <v>2002</v>
      </c>
      <c r="J413" s="764" t="str">
        <f>G412</f>
        <v xml:space="preserve">GESTÃO , APOIO E MANUTENÇÃO , COORDENAÇÃO E PLANEJAMENTO </v>
      </c>
    </row>
    <row r="414" spans="2:10" ht="35.1" customHeight="1" thickBot="1" x14ac:dyDescent="0.3">
      <c r="B414" s="769" t="s">
        <v>6939</v>
      </c>
      <c r="C414" s="1625">
        <v>10370000</v>
      </c>
      <c r="D414" s="1626"/>
      <c r="E414" s="769" t="s">
        <v>6939</v>
      </c>
      <c r="F414" s="1625">
        <v>2592500</v>
      </c>
      <c r="G414" s="1627"/>
      <c r="H414" s="778" t="s">
        <v>6939</v>
      </c>
      <c r="I414" s="1625">
        <f>DESPORC!I1717</f>
        <v>113834.89417271547</v>
      </c>
      <c r="J414" s="1627"/>
    </row>
    <row r="415" spans="2:10" ht="35.1" customHeight="1" x14ac:dyDescent="0.25">
      <c r="B415" s="1628" t="s">
        <v>3137</v>
      </c>
      <c r="C415" s="1615" t="str">
        <f>'[3]Anexo I - Programas'!$B$60</f>
        <v>003</v>
      </c>
      <c r="D415" s="1629" t="str">
        <f>'[3]Anexo I - Programas'!$C$60</f>
        <v xml:space="preserve">GESTÃO, COORDENAÇÃO E PLANEJAMENTO </v>
      </c>
      <c r="E415" s="1628" t="s">
        <v>3137</v>
      </c>
      <c r="F415" s="1615" t="str">
        <f>C415</f>
        <v>003</v>
      </c>
      <c r="G415" s="1617" t="str">
        <f>D415</f>
        <v xml:space="preserve">GESTÃO, COORDENAÇÃO E PLANEJAMENTO </v>
      </c>
      <c r="H415" s="773" t="s">
        <v>3138</v>
      </c>
      <c r="I415" s="757">
        <f>DESPORC!C1747</f>
        <v>4</v>
      </c>
      <c r="J415" s="765" t="str">
        <f>DESPORC!D1747</f>
        <v>Administração</v>
      </c>
    </row>
    <row r="416" spans="2:10" ht="35.1" customHeight="1" x14ac:dyDescent="0.25">
      <c r="B416" s="1619"/>
      <c r="C416" s="1616"/>
      <c r="D416" s="1630"/>
      <c r="E416" s="1619"/>
      <c r="F416" s="1616"/>
      <c r="G416" s="1618"/>
      <c r="H416" s="774" t="s">
        <v>6940</v>
      </c>
      <c r="I416" s="757">
        <f>DESPORC!C1748</f>
        <v>126</v>
      </c>
      <c r="J416" s="765" t="str">
        <f>DESPORC!D1748</f>
        <v>Tecnologia da Informação</v>
      </c>
    </row>
    <row r="417" spans="2:10" ht="35.1" customHeight="1" x14ac:dyDescent="0.25">
      <c r="B417" s="1619" t="s">
        <v>6941</v>
      </c>
      <c r="C417" s="1616">
        <f>'[3]Anexo I - Programas'!$C$74</f>
        <v>2002</v>
      </c>
      <c r="D417" s="1622" t="str">
        <f>'[3]Anexo I - Programas'!$D$74</f>
        <v xml:space="preserve">GESTÃO , APOIO E MANUTENÇÃO , COORDENAÇÃO E PLANEJAMENTO </v>
      </c>
      <c r="E417" s="1619" t="s">
        <v>6941</v>
      </c>
      <c r="F417" s="1616">
        <f>C417</f>
        <v>2002</v>
      </c>
      <c r="G417" s="1618" t="str">
        <f>D417</f>
        <v xml:space="preserve">GESTÃO , APOIO E MANUTENÇÃO , COORDENAÇÃO E PLANEJAMENTO </v>
      </c>
      <c r="H417" s="775" t="s">
        <v>3137</v>
      </c>
      <c r="I417" s="795" t="str">
        <f>F415</f>
        <v>003</v>
      </c>
      <c r="J417" s="762" t="str">
        <f>G415</f>
        <v xml:space="preserve">GESTÃO, COORDENAÇÃO E PLANEJAMENTO </v>
      </c>
    </row>
    <row r="418" spans="2:10" ht="35.1" customHeight="1" x14ac:dyDescent="0.25">
      <c r="B418" s="1620"/>
      <c r="C418" s="1621"/>
      <c r="D418" s="1623"/>
      <c r="E418" s="1620"/>
      <c r="F418" s="1621"/>
      <c r="G418" s="1624"/>
      <c r="H418" s="776" t="s">
        <v>6941</v>
      </c>
      <c r="I418" s="796">
        <f>F417</f>
        <v>2002</v>
      </c>
      <c r="J418" s="764" t="str">
        <f>G417</f>
        <v xml:space="preserve">GESTÃO , APOIO E MANUTENÇÃO , COORDENAÇÃO E PLANEJAMENTO </v>
      </c>
    </row>
    <row r="419" spans="2:10" ht="35.1" customHeight="1" thickBot="1" x14ac:dyDescent="0.3">
      <c r="B419" s="769" t="s">
        <v>6939</v>
      </c>
      <c r="C419" s="1625">
        <v>10370000</v>
      </c>
      <c r="D419" s="1626"/>
      <c r="E419" s="769" t="s">
        <v>6939</v>
      </c>
      <c r="F419" s="1625">
        <v>2592500</v>
      </c>
      <c r="G419" s="1627"/>
      <c r="H419" s="778" t="s">
        <v>6939</v>
      </c>
      <c r="I419" s="1625">
        <f>DESPORC!I1750</f>
        <v>0.04</v>
      </c>
      <c r="J419" s="1627"/>
    </row>
    <row r="420" spans="2:10" ht="35.1" customHeight="1" x14ac:dyDescent="0.25">
      <c r="B420" s="1628" t="s">
        <v>3137</v>
      </c>
      <c r="C420" s="1615" t="str">
        <f>'[3]Anexo I - Programas'!$B$60</f>
        <v>003</v>
      </c>
      <c r="D420" s="1629" t="str">
        <f>'[3]Anexo I - Programas'!$C$60</f>
        <v xml:space="preserve">GESTÃO, COORDENAÇÃO E PLANEJAMENTO </v>
      </c>
      <c r="E420" s="1628" t="s">
        <v>3137</v>
      </c>
      <c r="F420" s="1615" t="str">
        <f>C420</f>
        <v>003</v>
      </c>
      <c r="G420" s="1617" t="str">
        <f>D420</f>
        <v xml:space="preserve">GESTÃO, COORDENAÇÃO E PLANEJAMENTO </v>
      </c>
      <c r="H420" s="773" t="s">
        <v>3138</v>
      </c>
      <c r="I420" s="757">
        <f>DESPORC!C1756</f>
        <v>4</v>
      </c>
      <c r="J420" s="765" t="str">
        <f>DESPORC!D1756</f>
        <v>Administração</v>
      </c>
    </row>
    <row r="421" spans="2:10" ht="35.1" customHeight="1" x14ac:dyDescent="0.25">
      <c r="B421" s="1619"/>
      <c r="C421" s="1616"/>
      <c r="D421" s="1630"/>
      <c r="E421" s="1619"/>
      <c r="F421" s="1616"/>
      <c r="G421" s="1618"/>
      <c r="H421" s="774" t="s">
        <v>6940</v>
      </c>
      <c r="I421" s="757">
        <f>DESPORC!C1757</f>
        <v>128</v>
      </c>
      <c r="J421" s="765" t="str">
        <f>DESPORC!D1757</f>
        <v>Formação de Recursos Humanos</v>
      </c>
    </row>
    <row r="422" spans="2:10" ht="35.1" customHeight="1" x14ac:dyDescent="0.25">
      <c r="B422" s="1619" t="s">
        <v>6941</v>
      </c>
      <c r="C422" s="1616">
        <f>'[3]Anexo I - Programas'!$C$74</f>
        <v>2002</v>
      </c>
      <c r="D422" s="1622" t="str">
        <f>'[3]Anexo I - Programas'!$D$74</f>
        <v xml:space="preserve">GESTÃO , APOIO E MANUTENÇÃO , COORDENAÇÃO E PLANEJAMENTO </v>
      </c>
      <c r="E422" s="1619" t="s">
        <v>6941</v>
      </c>
      <c r="F422" s="1616">
        <f>C422</f>
        <v>2002</v>
      </c>
      <c r="G422" s="1618" t="str">
        <f>D422</f>
        <v xml:space="preserve">GESTÃO , APOIO E MANUTENÇÃO , COORDENAÇÃO E PLANEJAMENTO </v>
      </c>
      <c r="H422" s="775" t="s">
        <v>3137</v>
      </c>
      <c r="I422" s="795" t="str">
        <f>F420</f>
        <v>003</v>
      </c>
      <c r="J422" s="762" t="str">
        <f>G420</f>
        <v xml:space="preserve">GESTÃO, COORDENAÇÃO E PLANEJAMENTO </v>
      </c>
    </row>
    <row r="423" spans="2:10" ht="35.1" customHeight="1" x14ac:dyDescent="0.25">
      <c r="B423" s="1620"/>
      <c r="C423" s="1621"/>
      <c r="D423" s="1623"/>
      <c r="E423" s="1620"/>
      <c r="F423" s="1621"/>
      <c r="G423" s="1624"/>
      <c r="H423" s="776" t="s">
        <v>6941</v>
      </c>
      <c r="I423" s="796">
        <f>F422</f>
        <v>2002</v>
      </c>
      <c r="J423" s="764" t="str">
        <f>G422</f>
        <v xml:space="preserve">GESTÃO , APOIO E MANUTENÇÃO , COORDENAÇÃO E PLANEJAMENTO </v>
      </c>
    </row>
    <row r="424" spans="2:10" ht="35.1" customHeight="1" thickBot="1" x14ac:dyDescent="0.3">
      <c r="B424" s="769" t="s">
        <v>6939</v>
      </c>
      <c r="C424" s="1625">
        <v>10370000</v>
      </c>
      <c r="D424" s="1626"/>
      <c r="E424" s="769" t="s">
        <v>6939</v>
      </c>
      <c r="F424" s="1625">
        <v>2592500</v>
      </c>
      <c r="G424" s="1627"/>
      <c r="H424" s="778" t="s">
        <v>6939</v>
      </c>
      <c r="I424" s="1625">
        <f>DESPORC!I1759</f>
        <v>0.05</v>
      </c>
      <c r="J424" s="1627"/>
    </row>
    <row r="426" spans="2:10" ht="35.1" customHeight="1" x14ac:dyDescent="0.25">
      <c r="B426" s="1631" t="s">
        <v>6927</v>
      </c>
      <c r="C426" s="1631"/>
      <c r="D426" s="755" t="str">
        <f>DESPORC!C1770</f>
        <v>02 - PREFEITURA MUNICIPAL DE CHUVISCA</v>
      </c>
      <c r="E426" s="797"/>
      <c r="F426" s="798"/>
      <c r="G426" s="798"/>
      <c r="H426" s="797"/>
      <c r="I426" s="798"/>
      <c r="J426" s="798"/>
    </row>
    <row r="427" spans="2:10" ht="35.1" customHeight="1" thickBot="1" x14ac:dyDescent="0.3">
      <c r="B427" s="1632" t="s">
        <v>3087</v>
      </c>
      <c r="C427" s="1632"/>
      <c r="D427" s="755" t="str">
        <f>DESPORC!C1771</f>
        <v>14 - GESTAO E.P.E.C. 86-2015</v>
      </c>
      <c r="E427" s="797"/>
      <c r="F427" s="36"/>
      <c r="G427" s="1"/>
      <c r="H427" s="772"/>
      <c r="I427" s="1"/>
      <c r="J427" s="1"/>
    </row>
    <row r="428" spans="2:10" ht="35.1" customHeight="1" thickBot="1" x14ac:dyDescent="0.3">
      <c r="B428" s="1776" t="s">
        <v>6955</v>
      </c>
      <c r="C428" s="1777"/>
      <c r="D428" s="1778"/>
      <c r="E428" s="1776" t="str">
        <f>E$12</f>
        <v>PRIORIDADES LDO LEI MUNICIPAL N.º 1215  DE 02 DE OUTUBRO DE 2019.</v>
      </c>
      <c r="F428" s="1777"/>
      <c r="G428" s="1778"/>
      <c r="H428" s="1779" t="s">
        <v>6956</v>
      </c>
      <c r="I428" s="1780"/>
      <c r="J428" s="1781"/>
    </row>
    <row r="429" spans="2:10" ht="35.1" customHeight="1" x14ac:dyDescent="0.25">
      <c r="B429" s="1628" t="s">
        <v>3137</v>
      </c>
      <c r="C429" s="1615" t="str">
        <f>'[3]Anexo I - Programas'!$B$60</f>
        <v>003</v>
      </c>
      <c r="D429" s="1629" t="str">
        <f>'[3]Anexo I - Programas'!$C$60</f>
        <v xml:space="preserve">GESTÃO, COORDENAÇÃO E PLANEJAMENTO </v>
      </c>
      <c r="E429" s="1628" t="s">
        <v>3137</v>
      </c>
      <c r="F429" s="1615" t="str">
        <f>C429</f>
        <v>003</v>
      </c>
      <c r="G429" s="1617" t="str">
        <f>D429</f>
        <v xml:space="preserve">GESTÃO, COORDENAÇÃO E PLANEJAMENTO </v>
      </c>
      <c r="H429" s="773" t="s">
        <v>3138</v>
      </c>
      <c r="I429" s="757"/>
      <c r="J429" s="765"/>
    </row>
    <row r="430" spans="2:10" ht="35.1" customHeight="1" x14ac:dyDescent="0.25">
      <c r="B430" s="1619"/>
      <c r="C430" s="1616"/>
      <c r="D430" s="1630"/>
      <c r="E430" s="1619"/>
      <c r="F430" s="1616"/>
      <c r="G430" s="1618"/>
      <c r="H430" s="774" t="s">
        <v>6940</v>
      </c>
      <c r="I430" s="757"/>
      <c r="J430" s="765"/>
    </row>
    <row r="431" spans="2:10" ht="35.1" customHeight="1" x14ac:dyDescent="0.25">
      <c r="B431" s="1619" t="s">
        <v>6941</v>
      </c>
      <c r="C431" s="1616">
        <f>'[3]Anexo I - Programas'!$C$69</f>
        <v>1002</v>
      </c>
      <c r="D431" s="1622" t="str">
        <f>'[3]Anexo I - Programas'!$D$69</f>
        <v>Realização de Novos Investimentos do Poder Executivo</v>
      </c>
      <c r="E431" s="1619" t="s">
        <v>6941</v>
      </c>
      <c r="F431" s="1616">
        <f>C431</f>
        <v>1002</v>
      </c>
      <c r="G431" s="1618" t="str">
        <f>D431</f>
        <v>Realização de Novos Investimentos do Poder Executivo</v>
      </c>
      <c r="H431" s="775" t="s">
        <v>3137</v>
      </c>
      <c r="I431" s="795" t="str">
        <f>F429</f>
        <v>003</v>
      </c>
      <c r="J431" s="762" t="str">
        <f>G429</f>
        <v xml:space="preserve">GESTÃO, COORDENAÇÃO E PLANEJAMENTO </v>
      </c>
    </row>
    <row r="432" spans="2:10" ht="35.1" customHeight="1" x14ac:dyDescent="0.25">
      <c r="B432" s="1620"/>
      <c r="C432" s="1621"/>
      <c r="D432" s="1623"/>
      <c r="E432" s="1620"/>
      <c r="F432" s="1621"/>
      <c r="G432" s="1624"/>
      <c r="H432" s="776" t="s">
        <v>6941</v>
      </c>
      <c r="I432" s="796">
        <f>F431</f>
        <v>1002</v>
      </c>
      <c r="J432" s="764" t="str">
        <f>G431</f>
        <v>Realização de Novos Investimentos do Poder Executivo</v>
      </c>
    </row>
    <row r="433" spans="2:10" ht="35.1" customHeight="1" thickBot="1" x14ac:dyDescent="0.3">
      <c r="B433" s="769" t="s">
        <v>6939</v>
      </c>
      <c r="C433" s="1625">
        <v>1600000</v>
      </c>
      <c r="D433" s="1626"/>
      <c r="E433" s="769" t="s">
        <v>6939</v>
      </c>
      <c r="F433" s="1625">
        <v>400000</v>
      </c>
      <c r="G433" s="1627"/>
      <c r="H433" s="778" t="s">
        <v>6939</v>
      </c>
      <c r="I433" s="1625">
        <v>0</v>
      </c>
      <c r="J433" s="1627"/>
    </row>
    <row r="444" spans="2:10" ht="35.1" customHeight="1" x14ac:dyDescent="0.25">
      <c r="B444" s="1631" t="s">
        <v>6927</v>
      </c>
      <c r="C444" s="1631"/>
      <c r="D444" s="755" t="str">
        <f>DESPORC!C1858</f>
        <v>03 - SECRETARIA MUNICIPAL DE EDUCAÇÃO, CULT. E DESPORTO</v>
      </c>
      <c r="E444" s="797"/>
      <c r="F444" s="798"/>
      <c r="G444" s="798"/>
      <c r="H444" s="797"/>
      <c r="I444" s="798"/>
      <c r="J444" s="798"/>
    </row>
    <row r="445" spans="2:10" ht="35.1" customHeight="1" thickBot="1" x14ac:dyDescent="0.3">
      <c r="B445" s="1632" t="s">
        <v>3087</v>
      </c>
      <c r="C445" s="1632"/>
      <c r="D445" s="755" t="str">
        <f>DESPORC!C1859</f>
        <v>01 - GESTÃO COORD. E PLANEJ. , MANUT. E DES. DO ENSINO</v>
      </c>
      <c r="E445" s="797"/>
      <c r="F445" s="36"/>
      <c r="G445" s="1"/>
      <c r="H445" s="772"/>
      <c r="I445" s="1"/>
      <c r="J445" s="1"/>
    </row>
    <row r="446" spans="2:10" ht="35.1" customHeight="1" thickBot="1" x14ac:dyDescent="0.3">
      <c r="B446" s="1776" t="s">
        <v>6955</v>
      </c>
      <c r="C446" s="1777"/>
      <c r="D446" s="1778"/>
      <c r="E446" s="1776" t="str">
        <f>E$12</f>
        <v>PRIORIDADES LDO LEI MUNICIPAL N.º 1215  DE 02 DE OUTUBRO DE 2019.</v>
      </c>
      <c r="F446" s="1777"/>
      <c r="G446" s="1778"/>
      <c r="H446" s="1779" t="s">
        <v>6956</v>
      </c>
      <c r="I446" s="1780"/>
      <c r="J446" s="1781"/>
    </row>
    <row r="447" spans="2:10" ht="35.1" customHeight="1" x14ac:dyDescent="0.25">
      <c r="B447" s="1628" t="s">
        <v>3137</v>
      </c>
      <c r="C447" s="1615" t="str">
        <f>'[3]Anexo I - Programas'!$B$173</f>
        <v>6</v>
      </c>
      <c r="D447" s="1629" t="str">
        <f>'[3]Anexo I - Programas'!$C$173</f>
        <v>PROMOÇÃO E DESENVOLVIMENTO DA EDUCAÇÃO</v>
      </c>
      <c r="E447" s="1628" t="s">
        <v>3137</v>
      </c>
      <c r="F447" s="1615" t="str">
        <f>C447</f>
        <v>6</v>
      </c>
      <c r="G447" s="1617" t="str">
        <f>D447</f>
        <v>PROMOÇÃO E DESENVOLVIMENTO DA EDUCAÇÃO</v>
      </c>
      <c r="H447" s="773" t="s">
        <v>3138</v>
      </c>
      <c r="I447" s="757">
        <f>DESPORC!C1862</f>
        <v>12</v>
      </c>
      <c r="J447" s="765" t="str">
        <f>DESPORC!D1862</f>
        <v>Educação</v>
      </c>
    </row>
    <row r="448" spans="2:10" ht="35.1" customHeight="1" x14ac:dyDescent="0.25">
      <c r="B448" s="1619"/>
      <c r="C448" s="1616"/>
      <c r="D448" s="1630"/>
      <c r="E448" s="1619"/>
      <c r="F448" s="1616"/>
      <c r="G448" s="1618"/>
      <c r="H448" s="774" t="s">
        <v>6940</v>
      </c>
      <c r="I448" s="757">
        <f>DESPORC!C1863</f>
        <v>122</v>
      </c>
      <c r="J448" s="765" t="str">
        <f>DESPORC!D1863</f>
        <v>Administração Geral</v>
      </c>
    </row>
    <row r="449" spans="2:10" ht="35.1" customHeight="1" x14ac:dyDescent="0.25">
      <c r="B449" s="1619" t="s">
        <v>6941</v>
      </c>
      <c r="C449" s="1616">
        <f>'[3]Anexo I - Programas'!$C$182</f>
        <v>1005</v>
      </c>
      <c r="D449" s="1622" t="str">
        <f>'[3]Anexo I - Programas'!$D$182</f>
        <v>Novos Investimentos em Educação</v>
      </c>
      <c r="E449" s="1619" t="s">
        <v>6941</v>
      </c>
      <c r="F449" s="1616">
        <f>C449</f>
        <v>1005</v>
      </c>
      <c r="G449" s="1618" t="str">
        <f>D449</f>
        <v>Novos Investimentos em Educação</v>
      </c>
      <c r="H449" s="775" t="s">
        <v>3137</v>
      </c>
      <c r="I449" s="795" t="str">
        <f>F447</f>
        <v>6</v>
      </c>
      <c r="J449" s="762" t="str">
        <f>G447</f>
        <v>PROMOÇÃO E DESENVOLVIMENTO DA EDUCAÇÃO</v>
      </c>
    </row>
    <row r="450" spans="2:10" ht="35.1" customHeight="1" x14ac:dyDescent="0.25">
      <c r="B450" s="1620"/>
      <c r="C450" s="1621"/>
      <c r="D450" s="1623"/>
      <c r="E450" s="1620"/>
      <c r="F450" s="1621"/>
      <c r="G450" s="1624"/>
      <c r="H450" s="776" t="s">
        <v>6941</v>
      </c>
      <c r="I450" s="796">
        <f>F449</f>
        <v>1005</v>
      </c>
      <c r="J450" s="764" t="str">
        <f>G449</f>
        <v>Novos Investimentos em Educação</v>
      </c>
    </row>
    <row r="451" spans="2:10" ht="35.1" customHeight="1" thickBot="1" x14ac:dyDescent="0.3">
      <c r="B451" s="769" t="s">
        <v>6939</v>
      </c>
      <c r="C451" s="1625">
        <f>'[3]Anexo I - Programas'!$H$183</f>
        <v>200000</v>
      </c>
      <c r="D451" s="1626"/>
      <c r="E451" s="769" t="s">
        <v>6939</v>
      </c>
      <c r="F451" s="1625">
        <v>50000</v>
      </c>
      <c r="G451" s="1627"/>
      <c r="H451" s="778" t="s">
        <v>6939</v>
      </c>
      <c r="I451" s="1625">
        <f>DESPORC!I1865+DESPORC!I1875</f>
        <v>1.0900000000000001</v>
      </c>
      <c r="J451" s="1627"/>
    </row>
    <row r="452" spans="2:10" ht="35.1" customHeight="1" x14ac:dyDescent="0.25">
      <c r="B452" s="1628" t="s">
        <v>3137</v>
      </c>
      <c r="C452" s="1615" t="str">
        <f>'[3]Anexo I - Programas'!$B$173</f>
        <v>6</v>
      </c>
      <c r="D452" s="1629" t="str">
        <f>'[3]Anexo I - Programas'!$C$173</f>
        <v>PROMOÇÃO E DESENVOLVIMENTO DA EDUCAÇÃO</v>
      </c>
      <c r="E452" s="1628" t="s">
        <v>3137</v>
      </c>
      <c r="F452" s="1615" t="str">
        <f>C452</f>
        <v>6</v>
      </c>
      <c r="G452" s="1617" t="str">
        <f>D452</f>
        <v>PROMOÇÃO E DESENVOLVIMENTO DA EDUCAÇÃO</v>
      </c>
      <c r="H452" s="773" t="s">
        <v>3138</v>
      </c>
      <c r="I452" s="757">
        <f>DESPORC!C1883</f>
        <v>12</v>
      </c>
      <c r="J452" s="765" t="str">
        <f>DESPORC!D1883</f>
        <v>Educação</v>
      </c>
    </row>
    <row r="453" spans="2:10" ht="35.1" customHeight="1" x14ac:dyDescent="0.25">
      <c r="B453" s="1619"/>
      <c r="C453" s="1616"/>
      <c r="D453" s="1630"/>
      <c r="E453" s="1619"/>
      <c r="F453" s="1616"/>
      <c r="G453" s="1618"/>
      <c r="H453" s="774" t="s">
        <v>6940</v>
      </c>
      <c r="I453" s="757">
        <f>DESPORC!C1884</f>
        <v>122</v>
      </c>
      <c r="J453" s="765" t="str">
        <f>DESPORC!D1884</f>
        <v>Administração Geral</v>
      </c>
    </row>
    <row r="454" spans="2:10" ht="35.1" customHeight="1" x14ac:dyDescent="0.25">
      <c r="B454" s="1619" t="s">
        <v>6941</v>
      </c>
      <c r="C454" s="1616">
        <f>'[3]Anexo I - Programas'!$C$192</f>
        <v>2005</v>
      </c>
      <c r="D454" s="1622" t="str">
        <f>'[3]Anexo I - Programas'!$D$192</f>
        <v>Gestão, Coordenação, e Planejamento Educacional</v>
      </c>
      <c r="E454" s="1619" t="s">
        <v>6941</v>
      </c>
      <c r="F454" s="1616">
        <f>C454</f>
        <v>2005</v>
      </c>
      <c r="G454" s="1618" t="str">
        <f>D454</f>
        <v>Gestão, Coordenação, e Planejamento Educacional</v>
      </c>
      <c r="H454" s="775" t="s">
        <v>3137</v>
      </c>
      <c r="I454" s="795" t="str">
        <f>F452</f>
        <v>6</v>
      </c>
      <c r="J454" s="762" t="str">
        <f>G452</f>
        <v>PROMOÇÃO E DESENVOLVIMENTO DA EDUCAÇÃO</v>
      </c>
    </row>
    <row r="455" spans="2:10" ht="35.1" customHeight="1" x14ac:dyDescent="0.25">
      <c r="B455" s="1620"/>
      <c r="C455" s="1621"/>
      <c r="D455" s="1623"/>
      <c r="E455" s="1620"/>
      <c r="F455" s="1621"/>
      <c r="G455" s="1624"/>
      <c r="H455" s="776" t="s">
        <v>6941</v>
      </c>
      <c r="I455" s="796">
        <f>F454</f>
        <v>2005</v>
      </c>
      <c r="J455" s="764" t="str">
        <f>G454</f>
        <v>Gestão, Coordenação, e Planejamento Educacional</v>
      </c>
    </row>
    <row r="456" spans="2:10" ht="35.1" customHeight="1" thickBot="1" x14ac:dyDescent="0.3">
      <c r="B456" s="769" t="s">
        <v>6939</v>
      </c>
      <c r="C456" s="1625">
        <v>750000</v>
      </c>
      <c r="D456" s="1626"/>
      <c r="E456" s="769" t="s">
        <v>6939</v>
      </c>
      <c r="F456" s="1625">
        <v>187500</v>
      </c>
      <c r="G456" s="1627"/>
      <c r="H456" s="778" t="s">
        <v>6939</v>
      </c>
      <c r="I456" s="1625">
        <f>DESPORC!I1886</f>
        <v>805624.32256947644</v>
      </c>
      <c r="J456" s="1627"/>
    </row>
    <row r="457" spans="2:10" ht="35.1" customHeight="1" x14ac:dyDescent="0.25">
      <c r="B457" s="1628" t="s">
        <v>3137</v>
      </c>
      <c r="C457" s="1615" t="str">
        <f>'[3]Anexo I - Programas'!$B$173</f>
        <v>6</v>
      </c>
      <c r="D457" s="1629" t="str">
        <f>'[3]Anexo I - Programas'!$C$173</f>
        <v>PROMOÇÃO E DESENVOLVIMENTO DA EDUCAÇÃO</v>
      </c>
      <c r="E457" s="1628" t="s">
        <v>3137</v>
      </c>
      <c r="F457" s="1615" t="str">
        <f>C457</f>
        <v>6</v>
      </c>
      <c r="G457" s="1617" t="str">
        <f>D457</f>
        <v>PROMOÇÃO E DESENVOLVIMENTO DA EDUCAÇÃO</v>
      </c>
      <c r="H457" s="773" t="s">
        <v>3138</v>
      </c>
      <c r="I457" s="757">
        <f>DESPORC!C1909</f>
        <v>12</v>
      </c>
      <c r="J457" s="765" t="str">
        <f>DESPORC!D1909</f>
        <v>Educação</v>
      </c>
    </row>
    <row r="458" spans="2:10" ht="35.1" customHeight="1" x14ac:dyDescent="0.25">
      <c r="B458" s="1619"/>
      <c r="C458" s="1616"/>
      <c r="D458" s="1630"/>
      <c r="E458" s="1619"/>
      <c r="F458" s="1616"/>
      <c r="G458" s="1618"/>
      <c r="H458" s="774" t="s">
        <v>6940</v>
      </c>
      <c r="I458" s="757">
        <f>DESPORC!C1910</f>
        <v>126</v>
      </c>
      <c r="J458" s="765" t="str">
        <f>DESPORC!D1910</f>
        <v>Tecnologia da Informação</v>
      </c>
    </row>
    <row r="459" spans="2:10" ht="35.1" customHeight="1" x14ac:dyDescent="0.25">
      <c r="B459" s="1619" t="s">
        <v>6941</v>
      </c>
      <c r="C459" s="1616">
        <f>'[3]Anexo I - Programas'!$C$192</f>
        <v>2005</v>
      </c>
      <c r="D459" s="1622" t="str">
        <f>'[3]Anexo I - Programas'!$D$192</f>
        <v>Gestão, Coordenação, e Planejamento Educacional</v>
      </c>
      <c r="E459" s="1619" t="s">
        <v>6941</v>
      </c>
      <c r="F459" s="1616">
        <f>C459</f>
        <v>2005</v>
      </c>
      <c r="G459" s="1618" t="str">
        <f>D459</f>
        <v>Gestão, Coordenação, e Planejamento Educacional</v>
      </c>
      <c r="H459" s="775" t="s">
        <v>3137</v>
      </c>
      <c r="I459" s="795" t="str">
        <f>F457</f>
        <v>6</v>
      </c>
      <c r="J459" s="762" t="str">
        <f>G457</f>
        <v>PROMOÇÃO E DESENVOLVIMENTO DA EDUCAÇÃO</v>
      </c>
    </row>
    <row r="460" spans="2:10" ht="35.1" customHeight="1" x14ac:dyDescent="0.25">
      <c r="B460" s="1620"/>
      <c r="C460" s="1621"/>
      <c r="D460" s="1623"/>
      <c r="E460" s="1620"/>
      <c r="F460" s="1621"/>
      <c r="G460" s="1624"/>
      <c r="H460" s="776" t="s">
        <v>6941</v>
      </c>
      <c r="I460" s="796">
        <f>F459</f>
        <v>2005</v>
      </c>
      <c r="J460" s="764" t="str">
        <f>G459</f>
        <v>Gestão, Coordenação, e Planejamento Educacional</v>
      </c>
    </row>
    <row r="461" spans="2:10" ht="35.1" customHeight="1" thickBot="1" x14ac:dyDescent="0.3">
      <c r="B461" s="769" t="s">
        <v>6939</v>
      </c>
      <c r="C461" s="1625">
        <v>750000</v>
      </c>
      <c r="D461" s="1626"/>
      <c r="E461" s="769" t="s">
        <v>6939</v>
      </c>
      <c r="F461" s="1625">
        <v>187500</v>
      </c>
      <c r="G461" s="1627"/>
      <c r="H461" s="778" t="s">
        <v>6939</v>
      </c>
      <c r="I461" s="1625">
        <f>DESPORC!I1912</f>
        <v>10000</v>
      </c>
      <c r="J461" s="1627"/>
    </row>
    <row r="462" spans="2:10" ht="35.1" customHeight="1" x14ac:dyDescent="0.25">
      <c r="B462" s="1628" t="s">
        <v>3137</v>
      </c>
      <c r="C462" s="1615" t="str">
        <f>'[3]Anexo I - Programas'!$B$173</f>
        <v>6</v>
      </c>
      <c r="D462" s="1629" t="str">
        <f>'[3]Anexo I - Programas'!$C$173</f>
        <v>PROMOÇÃO E DESENVOLVIMENTO DA EDUCAÇÃO</v>
      </c>
      <c r="E462" s="1628" t="s">
        <v>3137</v>
      </c>
      <c r="F462" s="1615" t="str">
        <f>C462</f>
        <v>6</v>
      </c>
      <c r="G462" s="1617" t="str">
        <f>D462</f>
        <v>PROMOÇÃO E DESENVOLVIMENTO DA EDUCAÇÃO</v>
      </c>
      <c r="H462" s="773" t="s">
        <v>3138</v>
      </c>
      <c r="I462" s="757">
        <f>DESPORC!C1918</f>
        <v>12</v>
      </c>
      <c r="J462" s="765" t="str">
        <f>DESPORC!D1918</f>
        <v>Educação</v>
      </c>
    </row>
    <row r="463" spans="2:10" ht="35.1" customHeight="1" x14ac:dyDescent="0.25">
      <c r="B463" s="1619"/>
      <c r="C463" s="1616"/>
      <c r="D463" s="1630"/>
      <c r="E463" s="1619"/>
      <c r="F463" s="1616"/>
      <c r="G463" s="1618"/>
      <c r="H463" s="774" t="s">
        <v>6940</v>
      </c>
      <c r="I463" s="757">
        <f>DESPORC!C1919</f>
        <v>128</v>
      </c>
      <c r="J463" s="765" t="str">
        <f>DESPORC!D1919</f>
        <v>Formação de Recursos Humanos</v>
      </c>
    </row>
    <row r="464" spans="2:10" ht="35.1" customHeight="1" x14ac:dyDescent="0.25">
      <c r="B464" s="1619" t="s">
        <v>6941</v>
      </c>
      <c r="C464" s="1616">
        <f>'[3]Anexo I - Programas'!$C$192</f>
        <v>2005</v>
      </c>
      <c r="D464" s="1622" t="str">
        <f>'[3]Anexo I - Programas'!$D$192</f>
        <v>Gestão, Coordenação, e Planejamento Educacional</v>
      </c>
      <c r="E464" s="1619" t="s">
        <v>6941</v>
      </c>
      <c r="F464" s="1616">
        <f>C464</f>
        <v>2005</v>
      </c>
      <c r="G464" s="1618" t="str">
        <f>D464</f>
        <v>Gestão, Coordenação, e Planejamento Educacional</v>
      </c>
      <c r="H464" s="775" t="s">
        <v>3137</v>
      </c>
      <c r="I464" s="795" t="str">
        <f>F462</f>
        <v>6</v>
      </c>
      <c r="J464" s="762" t="str">
        <f>G462</f>
        <v>PROMOÇÃO E DESENVOLVIMENTO DA EDUCAÇÃO</v>
      </c>
    </row>
    <row r="465" spans="2:10" ht="35.1" customHeight="1" x14ac:dyDescent="0.25">
      <c r="B465" s="1620"/>
      <c r="C465" s="1621"/>
      <c r="D465" s="1623"/>
      <c r="E465" s="1620"/>
      <c r="F465" s="1621"/>
      <c r="G465" s="1624"/>
      <c r="H465" s="776" t="s">
        <v>6941</v>
      </c>
      <c r="I465" s="796">
        <f>F464</f>
        <v>2005</v>
      </c>
      <c r="J465" s="764" t="str">
        <f>G464</f>
        <v>Gestão, Coordenação, e Planejamento Educacional</v>
      </c>
    </row>
    <row r="466" spans="2:10" ht="35.1" customHeight="1" thickBot="1" x14ac:dyDescent="0.3">
      <c r="B466" s="769" t="s">
        <v>6939</v>
      </c>
      <c r="C466" s="1625">
        <v>750000</v>
      </c>
      <c r="D466" s="1626"/>
      <c r="E466" s="769" t="s">
        <v>6939</v>
      </c>
      <c r="F466" s="1625">
        <v>187500</v>
      </c>
      <c r="G466" s="1627"/>
      <c r="H466" s="778" t="s">
        <v>6939</v>
      </c>
      <c r="I466" s="1625">
        <f>DESPORC!I1921</f>
        <v>0.05</v>
      </c>
      <c r="J466" s="1627"/>
    </row>
    <row r="467" spans="2:10" ht="35.1" customHeight="1" x14ac:dyDescent="0.25">
      <c r="B467" s="1628" t="s">
        <v>3137</v>
      </c>
      <c r="C467" s="1615" t="str">
        <f>'[3]Anexo I - Programas'!$B$173</f>
        <v>6</v>
      </c>
      <c r="D467" s="1629" t="str">
        <f>'[3]Anexo I - Programas'!$C$173</f>
        <v>PROMOÇÃO E DESENVOLVIMENTO DA EDUCAÇÃO</v>
      </c>
      <c r="E467" s="1628" t="s">
        <v>3137</v>
      </c>
      <c r="F467" s="1615" t="str">
        <f>C467</f>
        <v>6</v>
      </c>
      <c r="G467" s="1617" t="str">
        <f>D467</f>
        <v>PROMOÇÃO E DESENVOLVIMENTO DA EDUCAÇÃO</v>
      </c>
      <c r="H467" s="773" t="s">
        <v>3138</v>
      </c>
      <c r="I467" s="757">
        <f>DESPORC!C1927</f>
        <v>12</v>
      </c>
      <c r="J467" s="765" t="str">
        <f>DESPORC!D1927</f>
        <v>Educação</v>
      </c>
    </row>
    <row r="468" spans="2:10" ht="35.1" customHeight="1" x14ac:dyDescent="0.25">
      <c r="B468" s="1619"/>
      <c r="C468" s="1616"/>
      <c r="D468" s="1630"/>
      <c r="E468" s="1619"/>
      <c r="F468" s="1616"/>
      <c r="G468" s="1618"/>
      <c r="H468" s="774" t="s">
        <v>6940</v>
      </c>
      <c r="I468" s="757">
        <f>DESPORC!C1928</f>
        <v>122</v>
      </c>
      <c r="J468" s="765" t="str">
        <f>DESPORC!D1928</f>
        <v>Administração Geral</v>
      </c>
    </row>
    <row r="469" spans="2:10" ht="35.1" customHeight="1" x14ac:dyDescent="0.25">
      <c r="B469" s="1619" t="s">
        <v>6941</v>
      </c>
      <c r="C469" s="1616">
        <f>'[3]Anexo I - Programas'!$C$234</f>
        <v>2047</v>
      </c>
      <c r="D469" s="1622" t="str">
        <f>'[3]Anexo I - Programas'!$D$234</f>
        <v>GESTAO E COORDENAÇÃO ESCOLAS MUNICIPAIS</v>
      </c>
      <c r="E469" s="1619" t="s">
        <v>6941</v>
      </c>
      <c r="F469" s="1616">
        <f>C469</f>
        <v>2047</v>
      </c>
      <c r="G469" s="1618" t="str">
        <f>D469</f>
        <v>GESTAO E COORDENAÇÃO ESCOLAS MUNICIPAIS</v>
      </c>
      <c r="H469" s="775" t="s">
        <v>3137</v>
      </c>
      <c r="I469" s="795" t="str">
        <f>F467</f>
        <v>6</v>
      </c>
      <c r="J469" s="762" t="str">
        <f>G467</f>
        <v>PROMOÇÃO E DESENVOLVIMENTO DA EDUCAÇÃO</v>
      </c>
    </row>
    <row r="470" spans="2:10" ht="35.1" customHeight="1" x14ac:dyDescent="0.25">
      <c r="B470" s="1620"/>
      <c r="C470" s="1621"/>
      <c r="D470" s="1623"/>
      <c r="E470" s="1620"/>
      <c r="F470" s="1621"/>
      <c r="G470" s="1624"/>
      <c r="H470" s="776" t="s">
        <v>6941</v>
      </c>
      <c r="I470" s="796">
        <f>F469</f>
        <v>2047</v>
      </c>
      <c r="J470" s="764" t="str">
        <f>G469</f>
        <v>GESTAO E COORDENAÇÃO ESCOLAS MUNICIPAIS</v>
      </c>
    </row>
    <row r="471" spans="2:10" ht="35.1" customHeight="1" thickBot="1" x14ac:dyDescent="0.3">
      <c r="B471" s="769" t="s">
        <v>6939</v>
      </c>
      <c r="C471" s="1625">
        <v>450000</v>
      </c>
      <c r="D471" s="1626"/>
      <c r="E471" s="769" t="s">
        <v>6939</v>
      </c>
      <c r="F471" s="1625">
        <v>112500</v>
      </c>
      <c r="G471" s="1627"/>
      <c r="H471" s="778" t="s">
        <v>6939</v>
      </c>
      <c r="I471" s="1625">
        <f>DESPORC!I1930</f>
        <v>877816.46458400215</v>
      </c>
      <c r="J471" s="1627"/>
    </row>
    <row r="472" spans="2:10" ht="35.1" customHeight="1" x14ac:dyDescent="0.25">
      <c r="B472" s="1628" t="s">
        <v>3137</v>
      </c>
      <c r="C472" s="1615" t="str">
        <f>'[3]Anexo I - Programas'!$B$173</f>
        <v>6</v>
      </c>
      <c r="D472" s="1629" t="str">
        <f>'[3]Anexo I - Programas'!$C$173</f>
        <v>PROMOÇÃO E DESENVOLVIMENTO DA EDUCAÇÃO</v>
      </c>
      <c r="E472" s="1628" t="s">
        <v>3137</v>
      </c>
      <c r="F472" s="1615" t="str">
        <f>C472</f>
        <v>6</v>
      </c>
      <c r="G472" s="1617" t="str">
        <f>D472</f>
        <v>PROMOÇÃO E DESENVOLVIMENTO DA EDUCAÇÃO</v>
      </c>
      <c r="H472" s="773" t="s">
        <v>3138</v>
      </c>
      <c r="I472" s="757">
        <f>DESPORC!C1954</f>
        <v>12</v>
      </c>
      <c r="J472" s="765" t="str">
        <f>DESPORC!D1954</f>
        <v>Educação</v>
      </c>
    </row>
    <row r="473" spans="2:10" ht="35.1" customHeight="1" x14ac:dyDescent="0.25">
      <c r="B473" s="1619"/>
      <c r="C473" s="1616"/>
      <c r="D473" s="1630"/>
      <c r="E473" s="1619"/>
      <c r="F473" s="1616"/>
      <c r="G473" s="1618"/>
      <c r="H473" s="774" t="s">
        <v>6940</v>
      </c>
      <c r="I473" s="757">
        <f>DESPORC!C1955</f>
        <v>126</v>
      </c>
      <c r="J473" s="765" t="str">
        <f>DESPORC!D1955</f>
        <v>Tecnologia da Informação</v>
      </c>
    </row>
    <row r="474" spans="2:10" ht="35.1" customHeight="1" x14ac:dyDescent="0.25">
      <c r="B474" s="1619" t="s">
        <v>6941</v>
      </c>
      <c r="C474" s="1616">
        <f>'[3]Anexo I - Programas'!$C$234</f>
        <v>2047</v>
      </c>
      <c r="D474" s="1622" t="str">
        <f>'[3]Anexo I - Programas'!$D$234</f>
        <v>GESTAO E COORDENAÇÃO ESCOLAS MUNICIPAIS</v>
      </c>
      <c r="E474" s="1619" t="s">
        <v>6941</v>
      </c>
      <c r="F474" s="1616">
        <f>C474</f>
        <v>2047</v>
      </c>
      <c r="G474" s="1618" t="str">
        <f>D474</f>
        <v>GESTAO E COORDENAÇÃO ESCOLAS MUNICIPAIS</v>
      </c>
      <c r="H474" s="775" t="s">
        <v>3137</v>
      </c>
      <c r="I474" s="795" t="str">
        <f>F472</f>
        <v>6</v>
      </c>
      <c r="J474" s="762" t="str">
        <f>G472</f>
        <v>PROMOÇÃO E DESENVOLVIMENTO DA EDUCAÇÃO</v>
      </c>
    </row>
    <row r="475" spans="2:10" ht="35.1" customHeight="1" x14ac:dyDescent="0.25">
      <c r="B475" s="1620"/>
      <c r="C475" s="1621"/>
      <c r="D475" s="1623"/>
      <c r="E475" s="1620"/>
      <c r="F475" s="1621"/>
      <c r="G475" s="1624"/>
      <c r="H475" s="776" t="s">
        <v>6941</v>
      </c>
      <c r="I475" s="796">
        <f>F474</f>
        <v>2047</v>
      </c>
      <c r="J475" s="764" t="str">
        <f>G474</f>
        <v>GESTAO E COORDENAÇÃO ESCOLAS MUNICIPAIS</v>
      </c>
    </row>
    <row r="476" spans="2:10" ht="35.1" customHeight="1" thickBot="1" x14ac:dyDescent="0.3">
      <c r="B476" s="769" t="s">
        <v>6939</v>
      </c>
      <c r="C476" s="1625">
        <v>450000</v>
      </c>
      <c r="D476" s="1626"/>
      <c r="E476" s="769" t="s">
        <v>6939</v>
      </c>
      <c r="F476" s="1625">
        <v>112500</v>
      </c>
      <c r="G476" s="1627"/>
      <c r="H476" s="778" t="s">
        <v>6939</v>
      </c>
      <c r="I476" s="1625">
        <f>DESPORC!I1957</f>
        <v>22395.344999999998</v>
      </c>
      <c r="J476" s="1627"/>
    </row>
    <row r="477" spans="2:10" ht="35.1" customHeight="1" x14ac:dyDescent="0.25">
      <c r="B477" s="1628" t="s">
        <v>3137</v>
      </c>
      <c r="C477" s="1615" t="str">
        <f>'[3]Anexo I - Programas'!$B$173</f>
        <v>6</v>
      </c>
      <c r="D477" s="1629" t="str">
        <f>'[3]Anexo I - Programas'!$C$173</f>
        <v>PROMOÇÃO E DESENVOLVIMENTO DA EDUCAÇÃO</v>
      </c>
      <c r="E477" s="1628" t="s">
        <v>3137</v>
      </c>
      <c r="F477" s="1615" t="str">
        <f>C477</f>
        <v>6</v>
      </c>
      <c r="G477" s="1617" t="str">
        <f>D477</f>
        <v>PROMOÇÃO E DESENVOLVIMENTO DA EDUCAÇÃO</v>
      </c>
      <c r="H477" s="773" t="s">
        <v>3138</v>
      </c>
      <c r="I477" s="757">
        <f>DESPORC!C1959</f>
        <v>12</v>
      </c>
      <c r="J477" s="765" t="str">
        <f>DESPORC!D1959</f>
        <v>Educação</v>
      </c>
    </row>
    <row r="478" spans="2:10" ht="35.1" customHeight="1" x14ac:dyDescent="0.25">
      <c r="B478" s="1619"/>
      <c r="C478" s="1616"/>
      <c r="D478" s="1630"/>
      <c r="E478" s="1619"/>
      <c r="F478" s="1616"/>
      <c r="G478" s="1618"/>
      <c r="H478" s="774" t="s">
        <v>6940</v>
      </c>
      <c r="I478" s="757">
        <f>DESPORC!C1960</f>
        <v>128</v>
      </c>
      <c r="J478" s="765" t="str">
        <f>DESPORC!D1960</f>
        <v>Formação de Recursos Humanos</v>
      </c>
    </row>
    <row r="479" spans="2:10" ht="35.1" customHeight="1" x14ac:dyDescent="0.25">
      <c r="B479" s="1619" t="s">
        <v>6941</v>
      </c>
      <c r="C479" s="1616">
        <f>'[3]Anexo I - Programas'!$C$234</f>
        <v>2047</v>
      </c>
      <c r="D479" s="1622" t="str">
        <f>'[3]Anexo I - Programas'!$D$234</f>
        <v>GESTAO E COORDENAÇÃO ESCOLAS MUNICIPAIS</v>
      </c>
      <c r="E479" s="1619" t="s">
        <v>6941</v>
      </c>
      <c r="F479" s="1616">
        <f>C479</f>
        <v>2047</v>
      </c>
      <c r="G479" s="1618" t="str">
        <f>D479</f>
        <v>GESTAO E COORDENAÇÃO ESCOLAS MUNICIPAIS</v>
      </c>
      <c r="H479" s="775" t="s">
        <v>3137</v>
      </c>
      <c r="I479" s="795" t="str">
        <f>F477</f>
        <v>6</v>
      </c>
      <c r="J479" s="762" t="str">
        <f>G477</f>
        <v>PROMOÇÃO E DESENVOLVIMENTO DA EDUCAÇÃO</v>
      </c>
    </row>
    <row r="480" spans="2:10" ht="35.1" customHeight="1" x14ac:dyDescent="0.25">
      <c r="B480" s="1620"/>
      <c r="C480" s="1621"/>
      <c r="D480" s="1623"/>
      <c r="E480" s="1620"/>
      <c r="F480" s="1621"/>
      <c r="G480" s="1624"/>
      <c r="H480" s="776" t="s">
        <v>6941</v>
      </c>
      <c r="I480" s="796">
        <f>F479</f>
        <v>2047</v>
      </c>
      <c r="J480" s="764" t="str">
        <f>G479</f>
        <v>GESTAO E COORDENAÇÃO ESCOLAS MUNICIPAIS</v>
      </c>
    </row>
    <row r="481" spans="2:10" ht="35.1" customHeight="1" thickBot="1" x14ac:dyDescent="0.3">
      <c r="B481" s="769" t="s">
        <v>6939</v>
      </c>
      <c r="C481" s="1625">
        <v>450000</v>
      </c>
      <c r="D481" s="1626"/>
      <c r="E481" s="769" t="s">
        <v>6939</v>
      </c>
      <c r="F481" s="1625">
        <v>112500</v>
      </c>
      <c r="G481" s="1627"/>
      <c r="H481" s="778" t="s">
        <v>6939</v>
      </c>
      <c r="I481" s="1625">
        <f>DESPORC!I1962</f>
        <v>5.0999999999999997E-2</v>
      </c>
      <c r="J481" s="1627"/>
    </row>
    <row r="482" spans="2:10" ht="35.1" customHeight="1" x14ac:dyDescent="0.25">
      <c r="B482" s="1628" t="s">
        <v>3137</v>
      </c>
      <c r="C482" s="1615" t="str">
        <f>'[3]Anexo I - Programas'!$B$173</f>
        <v>6</v>
      </c>
      <c r="D482" s="1629" t="str">
        <f>'[3]Anexo I - Programas'!$C$173</f>
        <v>PROMOÇÃO E DESENVOLVIMENTO DA EDUCAÇÃO</v>
      </c>
      <c r="E482" s="1628" t="s">
        <v>3137</v>
      </c>
      <c r="F482" s="1615" t="str">
        <f>C482</f>
        <v>6</v>
      </c>
      <c r="G482" s="1617" t="str">
        <f>D482</f>
        <v>PROMOÇÃO E DESENVOLVIMENTO DA EDUCAÇÃO</v>
      </c>
      <c r="H482" s="773" t="s">
        <v>3138</v>
      </c>
      <c r="I482" s="757">
        <f>DESPORC!C1968</f>
        <v>12</v>
      </c>
      <c r="J482" s="765" t="str">
        <f>DESPORC!D1968</f>
        <v>Educação</v>
      </c>
    </row>
    <row r="483" spans="2:10" ht="35.1" customHeight="1" x14ac:dyDescent="0.25">
      <c r="B483" s="1619"/>
      <c r="C483" s="1616"/>
      <c r="D483" s="1630"/>
      <c r="E483" s="1619"/>
      <c r="F483" s="1616"/>
      <c r="G483" s="1618"/>
      <c r="H483" s="774" t="s">
        <v>6940</v>
      </c>
      <c r="I483" s="757">
        <f>DESPORC!C1969</f>
        <v>126</v>
      </c>
      <c r="J483" s="765" t="str">
        <f>DESPORC!D1969</f>
        <v>Tecnologia da Informação</v>
      </c>
    </row>
    <row r="484" spans="2:10" ht="35.1" customHeight="1" x14ac:dyDescent="0.25">
      <c r="B484" s="1619" t="s">
        <v>6941</v>
      </c>
      <c r="C484" s="1616">
        <f>'[3]Anexo I - Programas'!$C$198</f>
        <v>2006</v>
      </c>
      <c r="D484" s="1622" t="str">
        <f>'[3]Anexo I - Programas'!$D$198</f>
        <v>Promoção e Desenvolvimento do Ensino fundamental</v>
      </c>
      <c r="E484" s="1619" t="s">
        <v>6941</v>
      </c>
      <c r="F484" s="1616">
        <f>C484</f>
        <v>2006</v>
      </c>
      <c r="G484" s="1618" t="str">
        <f>D484</f>
        <v>Promoção e Desenvolvimento do Ensino fundamental</v>
      </c>
      <c r="H484" s="775" t="s">
        <v>3137</v>
      </c>
      <c r="I484" s="795" t="str">
        <f>F482</f>
        <v>6</v>
      </c>
      <c r="J484" s="762" t="str">
        <f>G482</f>
        <v>PROMOÇÃO E DESENVOLVIMENTO DA EDUCAÇÃO</v>
      </c>
    </row>
    <row r="485" spans="2:10" ht="35.1" customHeight="1" x14ac:dyDescent="0.25">
      <c r="B485" s="1620"/>
      <c r="C485" s="1621"/>
      <c r="D485" s="1623"/>
      <c r="E485" s="1620"/>
      <c r="F485" s="1621"/>
      <c r="G485" s="1624"/>
      <c r="H485" s="776" t="s">
        <v>6941</v>
      </c>
      <c r="I485" s="796">
        <f>F484</f>
        <v>2006</v>
      </c>
      <c r="J485" s="764" t="str">
        <f>G484</f>
        <v>Promoção e Desenvolvimento do Ensino fundamental</v>
      </c>
    </row>
    <row r="486" spans="2:10" ht="35.1" customHeight="1" thickBot="1" x14ac:dyDescent="0.3">
      <c r="B486" s="769" t="s">
        <v>6939</v>
      </c>
      <c r="C486" s="1625">
        <v>9200000</v>
      </c>
      <c r="D486" s="1626"/>
      <c r="E486" s="769" t="s">
        <v>6939</v>
      </c>
      <c r="F486" s="1625">
        <v>2300000</v>
      </c>
      <c r="G486" s="1627"/>
      <c r="H486" s="778" t="s">
        <v>6939</v>
      </c>
      <c r="I486" s="1625">
        <f>DESPORC!I1971</f>
        <v>0.05</v>
      </c>
      <c r="J486" s="1627"/>
    </row>
    <row r="487" spans="2:10" ht="35.1" customHeight="1" x14ac:dyDescent="0.25">
      <c r="B487" s="804"/>
      <c r="C487" s="805"/>
      <c r="D487" s="806"/>
      <c r="E487" s="804"/>
      <c r="F487" s="805"/>
      <c r="G487" s="806"/>
      <c r="H487" s="804"/>
      <c r="I487" s="805"/>
      <c r="J487" s="806"/>
    </row>
    <row r="488" spans="2:10" ht="35.1" customHeight="1" x14ac:dyDescent="0.25">
      <c r="B488" s="267"/>
      <c r="C488" s="807"/>
      <c r="D488" s="257"/>
      <c r="E488" s="267"/>
      <c r="F488" s="807"/>
      <c r="G488" s="257"/>
      <c r="H488" s="267"/>
      <c r="I488" s="807"/>
      <c r="J488" s="257"/>
    </row>
    <row r="489" spans="2:10" ht="35.1" customHeight="1" x14ac:dyDescent="0.25">
      <c r="B489" s="267"/>
      <c r="C489" s="807"/>
      <c r="D489" s="257"/>
      <c r="E489" s="267"/>
      <c r="F489" s="807"/>
      <c r="G489" s="257"/>
      <c r="H489" s="267"/>
      <c r="I489" s="807"/>
      <c r="J489" s="257"/>
    </row>
    <row r="490" spans="2:10" ht="35.1" customHeight="1" x14ac:dyDescent="0.25">
      <c r="B490" s="267"/>
      <c r="C490" s="807"/>
      <c r="D490" s="257"/>
      <c r="E490" s="267"/>
      <c r="F490" s="807"/>
      <c r="G490" s="257"/>
      <c r="H490" s="267"/>
      <c r="I490" s="807"/>
      <c r="J490" s="257"/>
    </row>
    <row r="491" spans="2:10" ht="35.1" customHeight="1" thickBot="1" x14ac:dyDescent="0.3">
      <c r="B491" s="808"/>
      <c r="C491" s="809"/>
      <c r="D491" s="810"/>
      <c r="E491" s="808"/>
      <c r="F491" s="809"/>
      <c r="G491" s="810"/>
      <c r="H491" s="808"/>
      <c r="I491" s="809"/>
      <c r="J491" s="810"/>
    </row>
    <row r="492" spans="2:10" ht="35.1" customHeight="1" x14ac:dyDescent="0.25">
      <c r="B492" s="1628" t="s">
        <v>3137</v>
      </c>
      <c r="C492" s="1615" t="str">
        <f>'[3]Anexo I - Programas'!$B$173</f>
        <v>6</v>
      </c>
      <c r="D492" s="1629" t="str">
        <f>'[3]Anexo I - Programas'!$C$173</f>
        <v>PROMOÇÃO E DESENVOLVIMENTO DA EDUCAÇÃO</v>
      </c>
      <c r="E492" s="1628" t="s">
        <v>3137</v>
      </c>
      <c r="F492" s="1615" t="str">
        <f>C492</f>
        <v>6</v>
      </c>
      <c r="G492" s="1617" t="str">
        <f>D492</f>
        <v>PROMOÇÃO E DESENVOLVIMENTO DA EDUCAÇÃO</v>
      </c>
      <c r="H492" s="773" t="s">
        <v>3138</v>
      </c>
      <c r="I492" s="757">
        <f>DESPORC!C1973</f>
        <v>12</v>
      </c>
      <c r="J492" s="765" t="str">
        <f>DESPORC!D1973</f>
        <v>Educação</v>
      </c>
    </row>
    <row r="493" spans="2:10" ht="35.1" customHeight="1" x14ac:dyDescent="0.25">
      <c r="B493" s="1619"/>
      <c r="C493" s="1616"/>
      <c r="D493" s="1630"/>
      <c r="E493" s="1619"/>
      <c r="F493" s="1616"/>
      <c r="G493" s="1618"/>
      <c r="H493" s="774" t="s">
        <v>6940</v>
      </c>
      <c r="I493" s="757">
        <f>DESPORC!C1974</f>
        <v>128</v>
      </c>
      <c r="J493" s="765" t="str">
        <f>DESPORC!D1974</f>
        <v>Formação de Recursos Humanos</v>
      </c>
    </row>
    <row r="494" spans="2:10" ht="35.1" customHeight="1" x14ac:dyDescent="0.25">
      <c r="B494" s="1619" t="s">
        <v>6941</v>
      </c>
      <c r="C494" s="1616">
        <f>'[3]Anexo I - Programas'!$C$198</f>
        <v>2006</v>
      </c>
      <c r="D494" s="1622" t="str">
        <f>'[3]Anexo I - Programas'!$D$198</f>
        <v>Promoção e Desenvolvimento do Ensino fundamental</v>
      </c>
      <c r="E494" s="1619" t="s">
        <v>6941</v>
      </c>
      <c r="F494" s="1616">
        <f>C494</f>
        <v>2006</v>
      </c>
      <c r="G494" s="1618" t="str">
        <f>D494</f>
        <v>Promoção e Desenvolvimento do Ensino fundamental</v>
      </c>
      <c r="H494" s="775" t="s">
        <v>3137</v>
      </c>
      <c r="I494" s="795" t="str">
        <f>F492</f>
        <v>6</v>
      </c>
      <c r="J494" s="762" t="str">
        <f>G492</f>
        <v>PROMOÇÃO E DESENVOLVIMENTO DA EDUCAÇÃO</v>
      </c>
    </row>
    <row r="495" spans="2:10" ht="35.1" customHeight="1" x14ac:dyDescent="0.25">
      <c r="B495" s="1620"/>
      <c r="C495" s="1621"/>
      <c r="D495" s="1623"/>
      <c r="E495" s="1620"/>
      <c r="F495" s="1621"/>
      <c r="G495" s="1624"/>
      <c r="H495" s="776" t="s">
        <v>6941</v>
      </c>
      <c r="I495" s="796">
        <f>F494</f>
        <v>2006</v>
      </c>
      <c r="J495" s="764" t="str">
        <f>G494</f>
        <v>Promoção e Desenvolvimento do Ensino fundamental</v>
      </c>
    </row>
    <row r="496" spans="2:10" ht="35.1" customHeight="1" thickBot="1" x14ac:dyDescent="0.3">
      <c r="B496" s="769" t="s">
        <v>6939</v>
      </c>
      <c r="C496" s="1625">
        <v>9200000</v>
      </c>
      <c r="D496" s="1626"/>
      <c r="E496" s="769" t="s">
        <v>6939</v>
      </c>
      <c r="F496" s="1625">
        <v>2300000</v>
      </c>
      <c r="G496" s="1627"/>
      <c r="H496" s="778" t="s">
        <v>6939</v>
      </c>
      <c r="I496" s="1625">
        <f>DESPORC!I1976</f>
        <v>0.05</v>
      </c>
      <c r="J496" s="1627"/>
    </row>
    <row r="497" spans="2:10" ht="35.1" customHeight="1" x14ac:dyDescent="0.25">
      <c r="B497" s="1628" t="s">
        <v>3137</v>
      </c>
      <c r="C497" s="1615" t="str">
        <f>'[3]Anexo I - Programas'!$B$173</f>
        <v>6</v>
      </c>
      <c r="D497" s="1629" t="str">
        <f>'[3]Anexo I - Programas'!$C$173</f>
        <v>PROMOÇÃO E DESENVOLVIMENTO DA EDUCAÇÃO</v>
      </c>
      <c r="E497" s="1628" t="s">
        <v>3137</v>
      </c>
      <c r="F497" s="1615" t="str">
        <f>C497</f>
        <v>6</v>
      </c>
      <c r="G497" s="1617" t="str">
        <f>D497</f>
        <v>PROMOÇÃO E DESENVOLVIMENTO DA EDUCAÇÃO</v>
      </c>
      <c r="H497" s="773" t="s">
        <v>3138</v>
      </c>
      <c r="I497" s="757">
        <f>DESPORC!C1982</f>
        <v>12</v>
      </c>
      <c r="J497" s="765" t="str">
        <f>DESPORC!D1982</f>
        <v>Educação</v>
      </c>
    </row>
    <row r="498" spans="2:10" ht="35.1" customHeight="1" x14ac:dyDescent="0.25">
      <c r="B498" s="1619"/>
      <c r="C498" s="1616"/>
      <c r="D498" s="1630"/>
      <c r="E498" s="1619"/>
      <c r="F498" s="1616"/>
      <c r="G498" s="1618"/>
      <c r="H498" s="774" t="s">
        <v>6940</v>
      </c>
      <c r="I498" s="757">
        <f>DESPORC!C1983</f>
        <v>361</v>
      </c>
      <c r="J498" s="765" t="str">
        <f>DESPORC!D1983</f>
        <v>Ensino Fundamental</v>
      </c>
    </row>
    <row r="499" spans="2:10" ht="35.1" customHeight="1" x14ac:dyDescent="0.25">
      <c r="B499" s="1619" t="s">
        <v>6941</v>
      </c>
      <c r="C499" s="1616">
        <f>'[3]Anexo I - Programas'!$C$198</f>
        <v>2006</v>
      </c>
      <c r="D499" s="1622" t="str">
        <f>'[3]Anexo I - Programas'!$D$198</f>
        <v>Promoção e Desenvolvimento do Ensino fundamental</v>
      </c>
      <c r="E499" s="1619" t="s">
        <v>6941</v>
      </c>
      <c r="F499" s="1616">
        <f>C499</f>
        <v>2006</v>
      </c>
      <c r="G499" s="1618" t="str">
        <f>D499</f>
        <v>Promoção e Desenvolvimento do Ensino fundamental</v>
      </c>
      <c r="H499" s="775" t="s">
        <v>3137</v>
      </c>
      <c r="I499" s="795" t="str">
        <f>F497</f>
        <v>6</v>
      </c>
      <c r="J499" s="762" t="str">
        <f>G497</f>
        <v>PROMOÇÃO E DESENVOLVIMENTO DA EDUCAÇÃO</v>
      </c>
    </row>
    <row r="500" spans="2:10" ht="35.1" customHeight="1" x14ac:dyDescent="0.25">
      <c r="B500" s="1620"/>
      <c r="C500" s="1621"/>
      <c r="D500" s="1623"/>
      <c r="E500" s="1620"/>
      <c r="F500" s="1621"/>
      <c r="G500" s="1624"/>
      <c r="H500" s="776" t="s">
        <v>6941</v>
      </c>
      <c r="I500" s="796">
        <f>F499</f>
        <v>2006</v>
      </c>
      <c r="J500" s="764" t="str">
        <f>G499</f>
        <v>Promoção e Desenvolvimento do Ensino fundamental</v>
      </c>
    </row>
    <row r="501" spans="2:10" ht="35.1" customHeight="1" thickBot="1" x14ac:dyDescent="0.3">
      <c r="B501" s="769" t="s">
        <v>6939</v>
      </c>
      <c r="C501" s="1625">
        <v>9200000</v>
      </c>
      <c r="D501" s="1626"/>
      <c r="E501" s="769" t="s">
        <v>6939</v>
      </c>
      <c r="F501" s="1625">
        <v>2300000</v>
      </c>
      <c r="G501" s="1627"/>
      <c r="H501" s="778" t="s">
        <v>6939</v>
      </c>
      <c r="I501" s="1625">
        <f>DESPORC!I1985</f>
        <v>0.23000000000000004</v>
      </c>
      <c r="J501" s="1627"/>
    </row>
    <row r="502" spans="2:10" ht="35.1" customHeight="1" x14ac:dyDescent="0.25">
      <c r="B502" s="1628" t="s">
        <v>3137</v>
      </c>
      <c r="C502" s="1615" t="str">
        <f>'[3]Anexo I - Programas'!$B$173</f>
        <v>6</v>
      </c>
      <c r="D502" s="1629" t="str">
        <f>'[3]Anexo I - Programas'!$C$173</f>
        <v>PROMOÇÃO E DESENVOLVIMENTO DA EDUCAÇÃO</v>
      </c>
      <c r="E502" s="1628" t="s">
        <v>3137</v>
      </c>
      <c r="F502" s="1615" t="str">
        <f>C502</f>
        <v>6</v>
      </c>
      <c r="G502" s="1617" t="str">
        <f>D502</f>
        <v>PROMOÇÃO E DESENVOLVIMENTO DA EDUCAÇÃO</v>
      </c>
      <c r="H502" s="773" t="s">
        <v>3138</v>
      </c>
      <c r="I502" s="757">
        <f>DESPORC!C2009</f>
        <v>12</v>
      </c>
      <c r="J502" s="765" t="str">
        <f>DESPORC!D2009</f>
        <v>Educação</v>
      </c>
    </row>
    <row r="503" spans="2:10" ht="35.1" customHeight="1" x14ac:dyDescent="0.25">
      <c r="B503" s="1619"/>
      <c r="C503" s="1616"/>
      <c r="D503" s="1630"/>
      <c r="E503" s="1619"/>
      <c r="F503" s="1616"/>
      <c r="G503" s="1618"/>
      <c r="H503" s="774" t="s">
        <v>6940</v>
      </c>
      <c r="I503" s="757">
        <f>DESPORC!C2010</f>
        <v>126</v>
      </c>
      <c r="J503" s="765" t="str">
        <f>DESPORC!D2010</f>
        <v>Tecnologia da Informação</v>
      </c>
    </row>
    <row r="504" spans="2:10" ht="35.1" customHeight="1" x14ac:dyDescent="0.25">
      <c r="B504" s="1619" t="s">
        <v>6941</v>
      </c>
      <c r="C504" s="1616">
        <f>'[3]Anexo I - Programas'!$C$204</f>
        <v>2036</v>
      </c>
      <c r="D504" s="1622" t="str">
        <f>'[3]Anexo I - Programas'!$D$204</f>
        <v>Promoção e Desenvolvimento da Educação Infantil</v>
      </c>
      <c r="E504" s="1619" t="s">
        <v>6941</v>
      </c>
      <c r="F504" s="1616">
        <f>C504</f>
        <v>2036</v>
      </c>
      <c r="G504" s="1618" t="str">
        <f>D504</f>
        <v>Promoção e Desenvolvimento da Educação Infantil</v>
      </c>
      <c r="H504" s="775" t="s">
        <v>3137</v>
      </c>
      <c r="I504" s="795" t="str">
        <f>F502</f>
        <v>6</v>
      </c>
      <c r="J504" s="762" t="str">
        <f>G502</f>
        <v>PROMOÇÃO E DESENVOLVIMENTO DA EDUCAÇÃO</v>
      </c>
    </row>
    <row r="505" spans="2:10" ht="35.1" customHeight="1" x14ac:dyDescent="0.25">
      <c r="B505" s="1620"/>
      <c r="C505" s="1621"/>
      <c r="D505" s="1623"/>
      <c r="E505" s="1620"/>
      <c r="F505" s="1621"/>
      <c r="G505" s="1624"/>
      <c r="H505" s="776" t="s">
        <v>6941</v>
      </c>
      <c r="I505" s="796">
        <f>F504</f>
        <v>2036</v>
      </c>
      <c r="J505" s="764" t="str">
        <f>G504</f>
        <v>Promoção e Desenvolvimento da Educação Infantil</v>
      </c>
    </row>
    <row r="506" spans="2:10" ht="35.1" customHeight="1" thickBot="1" x14ac:dyDescent="0.3">
      <c r="B506" s="769" t="s">
        <v>6939</v>
      </c>
      <c r="C506" s="1625">
        <v>1000000</v>
      </c>
      <c r="D506" s="1626"/>
      <c r="E506" s="769" t="s">
        <v>6939</v>
      </c>
      <c r="F506" s="1625">
        <v>250000</v>
      </c>
      <c r="G506" s="1627"/>
      <c r="H506" s="778" t="s">
        <v>6939</v>
      </c>
      <c r="I506" s="1625">
        <f>DESPORC!I2012</f>
        <v>0.05</v>
      </c>
      <c r="J506" s="1627"/>
    </row>
    <row r="507" spans="2:10" ht="35.1" customHeight="1" x14ac:dyDescent="0.25">
      <c r="B507" s="1628" t="s">
        <v>3137</v>
      </c>
      <c r="C507" s="1615" t="str">
        <f>'[3]Anexo I - Programas'!$B$173</f>
        <v>6</v>
      </c>
      <c r="D507" s="1629" t="str">
        <f>'[3]Anexo I - Programas'!$C$173</f>
        <v>PROMOÇÃO E DESENVOLVIMENTO DA EDUCAÇÃO</v>
      </c>
      <c r="E507" s="1628" t="s">
        <v>3137</v>
      </c>
      <c r="F507" s="1615" t="str">
        <f>C507</f>
        <v>6</v>
      </c>
      <c r="G507" s="1617" t="str">
        <f>D507</f>
        <v>PROMOÇÃO E DESENVOLVIMENTO DA EDUCAÇÃO</v>
      </c>
      <c r="H507" s="773" t="s">
        <v>3138</v>
      </c>
      <c r="I507" s="757">
        <f>DESPORC!C2014</f>
        <v>12</v>
      </c>
      <c r="J507" s="765" t="str">
        <f>DESPORC!D2014</f>
        <v>Educação</v>
      </c>
    </row>
    <row r="508" spans="2:10" ht="35.1" customHeight="1" x14ac:dyDescent="0.25">
      <c r="B508" s="1619"/>
      <c r="C508" s="1616"/>
      <c r="D508" s="1630"/>
      <c r="E508" s="1619"/>
      <c r="F508" s="1616"/>
      <c r="G508" s="1618"/>
      <c r="H508" s="774" t="s">
        <v>6940</v>
      </c>
      <c r="I508" s="757">
        <f>DESPORC!C2015</f>
        <v>128</v>
      </c>
      <c r="J508" s="765" t="str">
        <f>DESPORC!D2015</f>
        <v>Formação de Recursos Humanos</v>
      </c>
    </row>
    <row r="509" spans="2:10" ht="35.1" customHeight="1" x14ac:dyDescent="0.25">
      <c r="B509" s="1619" t="s">
        <v>6941</v>
      </c>
      <c r="C509" s="1616">
        <f>'[3]Anexo I - Programas'!$C$204</f>
        <v>2036</v>
      </c>
      <c r="D509" s="1622" t="str">
        <f>'[3]Anexo I - Programas'!$D$204</f>
        <v>Promoção e Desenvolvimento da Educação Infantil</v>
      </c>
      <c r="E509" s="1619" t="s">
        <v>6941</v>
      </c>
      <c r="F509" s="1616">
        <f>C509</f>
        <v>2036</v>
      </c>
      <c r="G509" s="1618" t="str">
        <f>D509</f>
        <v>Promoção e Desenvolvimento da Educação Infantil</v>
      </c>
      <c r="H509" s="775" t="s">
        <v>3137</v>
      </c>
      <c r="I509" s="795" t="str">
        <f>F507</f>
        <v>6</v>
      </c>
      <c r="J509" s="762" t="str">
        <f>G507</f>
        <v>PROMOÇÃO E DESENVOLVIMENTO DA EDUCAÇÃO</v>
      </c>
    </row>
    <row r="510" spans="2:10" ht="35.1" customHeight="1" x14ac:dyDescent="0.25">
      <c r="B510" s="1620"/>
      <c r="C510" s="1621"/>
      <c r="D510" s="1623"/>
      <c r="E510" s="1620"/>
      <c r="F510" s="1621"/>
      <c r="G510" s="1624"/>
      <c r="H510" s="776" t="s">
        <v>6941</v>
      </c>
      <c r="I510" s="796">
        <f>F509</f>
        <v>2036</v>
      </c>
      <c r="J510" s="764" t="str">
        <f>G509</f>
        <v>Promoção e Desenvolvimento da Educação Infantil</v>
      </c>
    </row>
    <row r="511" spans="2:10" ht="35.1" customHeight="1" thickBot="1" x14ac:dyDescent="0.3">
      <c r="B511" s="769" t="s">
        <v>6939</v>
      </c>
      <c r="C511" s="1625">
        <v>1000000</v>
      </c>
      <c r="D511" s="1626"/>
      <c r="E511" s="769" t="s">
        <v>6939</v>
      </c>
      <c r="F511" s="1625">
        <v>250000</v>
      </c>
      <c r="G511" s="1627"/>
      <c r="H511" s="778" t="s">
        <v>6939</v>
      </c>
      <c r="I511" s="1625">
        <f>DESPORC!I2017</f>
        <v>0.05</v>
      </c>
      <c r="J511" s="1627"/>
    </row>
    <row r="512" spans="2:10" ht="35.1" customHeight="1" x14ac:dyDescent="0.25">
      <c r="B512" s="1628" t="s">
        <v>3137</v>
      </c>
      <c r="C512" s="1615" t="str">
        <f>'[3]Anexo I - Programas'!$B$173</f>
        <v>6</v>
      </c>
      <c r="D512" s="1629" t="str">
        <f>'[3]Anexo I - Programas'!$C$173</f>
        <v>PROMOÇÃO E DESENVOLVIMENTO DA EDUCAÇÃO</v>
      </c>
      <c r="E512" s="1628" t="s">
        <v>3137</v>
      </c>
      <c r="F512" s="1615" t="str">
        <f>C512</f>
        <v>6</v>
      </c>
      <c r="G512" s="1617" t="str">
        <f>D512</f>
        <v>PROMOÇÃO E DESENVOLVIMENTO DA EDUCAÇÃO</v>
      </c>
      <c r="H512" s="773" t="s">
        <v>3138</v>
      </c>
      <c r="I512" s="757">
        <f>DESPORC!C2023</f>
        <v>12</v>
      </c>
      <c r="J512" s="765" t="str">
        <f>DESPORC!D2023</f>
        <v>Educação</v>
      </c>
    </row>
    <row r="513" spans="2:10" ht="35.1" customHeight="1" x14ac:dyDescent="0.25">
      <c r="B513" s="1619"/>
      <c r="C513" s="1616"/>
      <c r="D513" s="1630"/>
      <c r="E513" s="1619"/>
      <c r="F513" s="1616"/>
      <c r="G513" s="1618"/>
      <c r="H513" s="774" t="s">
        <v>6940</v>
      </c>
      <c r="I513" s="757">
        <f>DESPORC!C2024</f>
        <v>365</v>
      </c>
      <c r="J513" s="765" t="str">
        <f>DESPORC!D2024</f>
        <v>Educação Infantil</v>
      </c>
    </row>
    <row r="514" spans="2:10" ht="35.1" customHeight="1" x14ac:dyDescent="0.25">
      <c r="B514" s="1619" t="s">
        <v>6941</v>
      </c>
      <c r="C514" s="1616">
        <f>'[3]Anexo I - Programas'!$C$204</f>
        <v>2036</v>
      </c>
      <c r="D514" s="1622" t="str">
        <f>'[3]Anexo I - Programas'!$D$204</f>
        <v>Promoção e Desenvolvimento da Educação Infantil</v>
      </c>
      <c r="E514" s="1619" t="s">
        <v>6941</v>
      </c>
      <c r="F514" s="1616">
        <f>C514</f>
        <v>2036</v>
      </c>
      <c r="G514" s="1618" t="str">
        <f>D514</f>
        <v>Promoção e Desenvolvimento da Educação Infantil</v>
      </c>
      <c r="H514" s="775" t="s">
        <v>3137</v>
      </c>
      <c r="I514" s="795" t="str">
        <f>F512</f>
        <v>6</v>
      </c>
      <c r="J514" s="762" t="str">
        <f>G512</f>
        <v>PROMOÇÃO E DESENVOLVIMENTO DA EDUCAÇÃO</v>
      </c>
    </row>
    <row r="515" spans="2:10" ht="35.1" customHeight="1" x14ac:dyDescent="0.25">
      <c r="B515" s="1620"/>
      <c r="C515" s="1621"/>
      <c r="D515" s="1623"/>
      <c r="E515" s="1620"/>
      <c r="F515" s="1621"/>
      <c r="G515" s="1624"/>
      <c r="H515" s="776" t="s">
        <v>6941</v>
      </c>
      <c r="I515" s="796">
        <f>F514</f>
        <v>2036</v>
      </c>
      <c r="J515" s="764" t="str">
        <f>G514</f>
        <v>Promoção e Desenvolvimento da Educação Infantil</v>
      </c>
    </row>
    <row r="516" spans="2:10" ht="35.1" customHeight="1" thickBot="1" x14ac:dyDescent="0.3">
      <c r="B516" s="769" t="s">
        <v>6939</v>
      </c>
      <c r="C516" s="1625">
        <v>1000000</v>
      </c>
      <c r="D516" s="1626"/>
      <c r="E516" s="769" t="s">
        <v>6939</v>
      </c>
      <c r="F516" s="1625">
        <v>250000</v>
      </c>
      <c r="G516" s="1627"/>
      <c r="H516" s="778" t="s">
        <v>6939</v>
      </c>
      <c r="I516" s="1625">
        <f>DESPORC!I2026</f>
        <v>0.22000000000000006</v>
      </c>
      <c r="J516" s="1627"/>
    </row>
    <row r="517" spans="2:10" ht="35.1" customHeight="1" x14ac:dyDescent="0.25">
      <c r="B517" s="1628" t="s">
        <v>3137</v>
      </c>
      <c r="C517" s="1615" t="str">
        <f>'[3]Anexo I - Programas'!$B$173</f>
        <v>6</v>
      </c>
      <c r="D517" s="1629" t="str">
        <f>'[3]Anexo I - Programas'!$C$173</f>
        <v>PROMOÇÃO E DESENVOLVIMENTO DA EDUCAÇÃO</v>
      </c>
      <c r="E517" s="1628" t="s">
        <v>3137</v>
      </c>
      <c r="F517" s="1615" t="str">
        <f>C517</f>
        <v>6</v>
      </c>
      <c r="G517" s="1617" t="str">
        <f>D517</f>
        <v>PROMOÇÃO E DESENVOLVIMENTO DA EDUCAÇÃO</v>
      </c>
      <c r="H517" s="773" t="s">
        <v>3138</v>
      </c>
      <c r="I517" s="757">
        <f>DESPORC!C2050</f>
        <v>12</v>
      </c>
      <c r="J517" s="765" t="str">
        <f>DESPORC!D2050</f>
        <v>Educação</v>
      </c>
    </row>
    <row r="518" spans="2:10" ht="35.1" customHeight="1" x14ac:dyDescent="0.25">
      <c r="B518" s="1619"/>
      <c r="C518" s="1616"/>
      <c r="D518" s="1630"/>
      <c r="E518" s="1619"/>
      <c r="F518" s="1616"/>
      <c r="G518" s="1618"/>
      <c r="H518" s="774" t="s">
        <v>6940</v>
      </c>
      <c r="I518" s="757">
        <f>DESPORC!C2051</f>
        <v>122</v>
      </c>
      <c r="J518" s="765" t="str">
        <f>DESPORC!D2051</f>
        <v>Administração Geral</v>
      </c>
    </row>
    <row r="519" spans="2:10" ht="35.1" customHeight="1" x14ac:dyDescent="0.25">
      <c r="B519" s="1619" t="s">
        <v>6941</v>
      </c>
      <c r="C519" s="1616">
        <f>'[3]Anexo I - Programas'!$C$245</f>
        <v>2054</v>
      </c>
      <c r="D519" s="1622" t="str">
        <f>'[3]Anexo I - Programas'!$D$245</f>
        <v>GESTAO E  APOIO AO COSELHO MUNICIPAL DE EDUCACAO</v>
      </c>
      <c r="E519" s="1619" t="s">
        <v>6941</v>
      </c>
      <c r="F519" s="1616">
        <f>C519</f>
        <v>2054</v>
      </c>
      <c r="G519" s="1618" t="str">
        <f>D519</f>
        <v>GESTAO E  APOIO AO COSELHO MUNICIPAL DE EDUCACAO</v>
      </c>
      <c r="H519" s="775" t="s">
        <v>3137</v>
      </c>
      <c r="I519" s="795" t="str">
        <f>F517</f>
        <v>6</v>
      </c>
      <c r="J519" s="762" t="str">
        <f>G517</f>
        <v>PROMOÇÃO E DESENVOLVIMENTO DA EDUCAÇÃO</v>
      </c>
    </row>
    <row r="520" spans="2:10" ht="35.1" customHeight="1" x14ac:dyDescent="0.25">
      <c r="B520" s="1620"/>
      <c r="C520" s="1621"/>
      <c r="D520" s="1623"/>
      <c r="E520" s="1620"/>
      <c r="F520" s="1621"/>
      <c r="G520" s="1624"/>
      <c r="H520" s="776" t="s">
        <v>6941</v>
      </c>
      <c r="I520" s="796">
        <f>F519</f>
        <v>2054</v>
      </c>
      <c r="J520" s="764" t="str">
        <f>G519</f>
        <v>GESTAO E  APOIO AO COSELHO MUNICIPAL DE EDUCACAO</v>
      </c>
    </row>
    <row r="521" spans="2:10" ht="35.1" customHeight="1" thickBot="1" x14ac:dyDescent="0.3">
      <c r="B521" s="769" t="s">
        <v>6939</v>
      </c>
      <c r="C521" s="1625">
        <v>150000</v>
      </c>
      <c r="D521" s="1626"/>
      <c r="E521" s="769" t="s">
        <v>6939</v>
      </c>
      <c r="F521" s="1625">
        <v>37500</v>
      </c>
      <c r="G521" s="1627"/>
      <c r="H521" s="778" t="s">
        <v>6939</v>
      </c>
      <c r="I521" s="1625">
        <f>DESPORC!I2053</f>
        <v>0.08</v>
      </c>
      <c r="J521" s="1627"/>
    </row>
    <row r="528" spans="2:10" ht="35.1" customHeight="1" x14ac:dyDescent="0.25">
      <c r="B528" s="1631" t="s">
        <v>6927</v>
      </c>
      <c r="C528" s="1631"/>
      <c r="D528" s="755" t="str">
        <f>DESPORC!C2068</f>
        <v>03 - SECRETARIA MUNICIPAL DE EDUCAÇÃO, CULT. E DESPORTO</v>
      </c>
      <c r="E528" s="797"/>
      <c r="F528" s="798"/>
      <c r="G528" s="798"/>
      <c r="H528" s="797"/>
      <c r="I528" s="798"/>
      <c r="J528" s="798"/>
    </row>
    <row r="529" spans="2:10" ht="35.1" customHeight="1" thickBot="1" x14ac:dyDescent="0.3">
      <c r="B529" s="1632" t="s">
        <v>3087</v>
      </c>
      <c r="C529" s="1632"/>
      <c r="D529" s="755" t="str">
        <f>DESPORC!C2069</f>
        <v>02 - DESENVOLVIMENTO DO ENSINO - FUNDEB</v>
      </c>
      <c r="E529" s="797"/>
      <c r="F529" s="36"/>
      <c r="G529" s="1"/>
      <c r="H529" s="772"/>
      <c r="I529" s="1"/>
      <c r="J529" s="1"/>
    </row>
    <row r="530" spans="2:10" ht="35.1" customHeight="1" thickBot="1" x14ac:dyDescent="0.3">
      <c r="B530" s="1776" t="s">
        <v>6955</v>
      </c>
      <c r="C530" s="1777"/>
      <c r="D530" s="1778"/>
      <c r="E530" s="1776" t="str">
        <f>E$12</f>
        <v>PRIORIDADES LDO LEI MUNICIPAL N.º 1215  DE 02 DE OUTUBRO DE 2019.</v>
      </c>
      <c r="F530" s="1777"/>
      <c r="G530" s="1778"/>
      <c r="H530" s="1779" t="s">
        <v>6956</v>
      </c>
      <c r="I530" s="1780"/>
      <c r="J530" s="1781"/>
    </row>
    <row r="531" spans="2:10" ht="35.1" customHeight="1" x14ac:dyDescent="0.25">
      <c r="B531" s="1628" t="s">
        <v>3137</v>
      </c>
      <c r="C531" s="1615" t="str">
        <f>'[3]Anexo I - Programas'!$B$173</f>
        <v>6</v>
      </c>
      <c r="D531" s="1629" t="str">
        <f>'[3]Anexo I - Programas'!$C$173</f>
        <v>PROMOÇÃO E DESENVOLVIMENTO DA EDUCAÇÃO</v>
      </c>
      <c r="E531" s="1628" t="s">
        <v>3137</v>
      </c>
      <c r="F531" s="1615" t="str">
        <f>C531</f>
        <v>6</v>
      </c>
      <c r="G531" s="1617" t="str">
        <f>D531</f>
        <v>PROMOÇÃO E DESENVOLVIMENTO DA EDUCAÇÃO</v>
      </c>
      <c r="H531" s="773" t="s">
        <v>3138</v>
      </c>
      <c r="I531" s="757">
        <f>DESPORC!C2072</f>
        <v>12</v>
      </c>
      <c r="J531" s="765" t="str">
        <f>DESPORC!D2072</f>
        <v>Educação</v>
      </c>
    </row>
    <row r="532" spans="2:10" ht="35.1" customHeight="1" x14ac:dyDescent="0.25">
      <c r="B532" s="1619"/>
      <c r="C532" s="1616"/>
      <c r="D532" s="1630"/>
      <c r="E532" s="1619"/>
      <c r="F532" s="1616"/>
      <c r="G532" s="1618"/>
      <c r="H532" s="774" t="s">
        <v>6940</v>
      </c>
      <c r="I532" s="757">
        <f>DESPORC!C2073</f>
        <v>122</v>
      </c>
      <c r="J532" s="765" t="str">
        <f>DESPORC!D2073</f>
        <v>Administração Geral</v>
      </c>
    </row>
    <row r="533" spans="2:10" ht="35.1" customHeight="1" x14ac:dyDescent="0.25">
      <c r="B533" s="1619" t="s">
        <v>6941</v>
      </c>
      <c r="C533" s="1616">
        <f>'[3]Anexo I - Programas'!$C$182</f>
        <v>1005</v>
      </c>
      <c r="D533" s="1622" t="str">
        <f>'[3]Anexo I - Programas'!$D$182</f>
        <v>Novos Investimentos em Educação</v>
      </c>
      <c r="E533" s="1619" t="s">
        <v>6941</v>
      </c>
      <c r="F533" s="1616">
        <f>C533</f>
        <v>1005</v>
      </c>
      <c r="G533" s="1618" t="str">
        <f>D533</f>
        <v>Novos Investimentos em Educação</v>
      </c>
      <c r="H533" s="775" t="s">
        <v>3137</v>
      </c>
      <c r="I533" s="795" t="str">
        <f>F531</f>
        <v>6</v>
      </c>
      <c r="J533" s="762" t="str">
        <f>G531</f>
        <v>PROMOÇÃO E DESENVOLVIMENTO DA EDUCAÇÃO</v>
      </c>
    </row>
    <row r="534" spans="2:10" ht="35.1" customHeight="1" x14ac:dyDescent="0.25">
      <c r="B534" s="1620"/>
      <c r="C534" s="1621"/>
      <c r="D534" s="1623"/>
      <c r="E534" s="1620"/>
      <c r="F534" s="1621"/>
      <c r="G534" s="1624"/>
      <c r="H534" s="776" t="s">
        <v>6941</v>
      </c>
      <c r="I534" s="796">
        <f>F533</f>
        <v>1005</v>
      </c>
      <c r="J534" s="764" t="str">
        <f>G533</f>
        <v>Novos Investimentos em Educação</v>
      </c>
    </row>
    <row r="535" spans="2:10" ht="35.1" customHeight="1" thickBot="1" x14ac:dyDescent="0.3">
      <c r="B535" s="769" t="s">
        <v>6939</v>
      </c>
      <c r="C535" s="1625">
        <v>200000</v>
      </c>
      <c r="D535" s="1626"/>
      <c r="E535" s="769" t="s">
        <v>6939</v>
      </c>
      <c r="F535" s="1625">
        <v>50000</v>
      </c>
      <c r="G535" s="1627"/>
      <c r="H535" s="778" t="s">
        <v>6939</v>
      </c>
      <c r="I535" s="1625">
        <f>DESPORC!I1940+DESPORC!I2075+DESPORC!I2085</f>
        <v>14185.114999999996</v>
      </c>
      <c r="J535" s="1627"/>
    </row>
    <row r="536" spans="2:10" ht="35.1" customHeight="1" x14ac:dyDescent="0.25">
      <c r="B536" s="1628" t="s">
        <v>3137</v>
      </c>
      <c r="C536" s="1615" t="str">
        <f>'[3]Anexo I - Programas'!$B$173</f>
        <v>6</v>
      </c>
      <c r="D536" s="1629" t="str">
        <f>'[3]Anexo I - Programas'!$C$173</f>
        <v>PROMOÇÃO E DESENVOLVIMENTO DA EDUCAÇÃO</v>
      </c>
      <c r="E536" s="1628" t="s">
        <v>3137</v>
      </c>
      <c r="F536" s="1615" t="str">
        <f>C536</f>
        <v>6</v>
      </c>
      <c r="G536" s="1617" t="str">
        <f>D536</f>
        <v>PROMOÇÃO E DESENVOLVIMENTO DA EDUCAÇÃO</v>
      </c>
      <c r="H536" s="773" t="s">
        <v>3138</v>
      </c>
      <c r="I536" s="757">
        <f>DESPORC!C2089</f>
        <v>12</v>
      </c>
      <c r="J536" s="765" t="str">
        <f>DESPORC!D2089</f>
        <v>Educação</v>
      </c>
    </row>
    <row r="537" spans="2:10" ht="35.1" customHeight="1" x14ac:dyDescent="0.25">
      <c r="B537" s="1619"/>
      <c r="C537" s="1616"/>
      <c r="D537" s="1630"/>
      <c r="E537" s="1619"/>
      <c r="F537" s="1616"/>
      <c r="G537" s="1618"/>
      <c r="H537" s="774" t="s">
        <v>6940</v>
      </c>
      <c r="I537" s="757">
        <f>DESPORC!C2090</f>
        <v>361</v>
      </c>
      <c r="J537" s="765" t="str">
        <f>DESPORC!D2090</f>
        <v>Ensino Fundamental</v>
      </c>
    </row>
    <row r="538" spans="2:10" ht="35.1" customHeight="1" x14ac:dyDescent="0.25">
      <c r="B538" s="1619" t="s">
        <v>6941</v>
      </c>
      <c r="C538" s="1616">
        <f>'[3]Anexo I - Programas'!$C$182</f>
        <v>1005</v>
      </c>
      <c r="D538" s="1622" t="str">
        <f>'[3]Anexo I - Programas'!$D$182</f>
        <v>Novos Investimentos em Educação</v>
      </c>
      <c r="E538" s="1619" t="s">
        <v>6941</v>
      </c>
      <c r="F538" s="1616">
        <f>C538</f>
        <v>1005</v>
      </c>
      <c r="G538" s="1618" t="str">
        <f>D538</f>
        <v>Novos Investimentos em Educação</v>
      </c>
      <c r="H538" s="775" t="s">
        <v>3137</v>
      </c>
      <c r="I538" s="795" t="str">
        <f>F536</f>
        <v>6</v>
      </c>
      <c r="J538" s="762" t="str">
        <f>G536</f>
        <v>PROMOÇÃO E DESENVOLVIMENTO DA EDUCAÇÃO</v>
      </c>
    </row>
    <row r="539" spans="2:10" ht="35.1" customHeight="1" x14ac:dyDescent="0.25">
      <c r="B539" s="1620"/>
      <c r="C539" s="1621"/>
      <c r="D539" s="1623"/>
      <c r="E539" s="1620"/>
      <c r="F539" s="1621"/>
      <c r="G539" s="1624"/>
      <c r="H539" s="776" t="s">
        <v>6941</v>
      </c>
      <c r="I539" s="796">
        <f>F538</f>
        <v>1005</v>
      </c>
      <c r="J539" s="764" t="str">
        <f>G538</f>
        <v>Novos Investimentos em Educação</v>
      </c>
    </row>
    <row r="540" spans="2:10" ht="35.1" customHeight="1" thickBot="1" x14ac:dyDescent="0.3">
      <c r="B540" s="769" t="s">
        <v>6939</v>
      </c>
      <c r="C540" s="1625">
        <v>200000</v>
      </c>
      <c r="D540" s="1626"/>
      <c r="E540" s="769" t="s">
        <v>6939</v>
      </c>
      <c r="F540" s="1625">
        <v>50000</v>
      </c>
      <c r="G540" s="1627"/>
      <c r="H540" s="778" t="s">
        <v>6939</v>
      </c>
      <c r="I540" s="1625">
        <f>DESPORC!I1945+DESPORC!I2092</f>
        <v>15265.760000000011</v>
      </c>
      <c r="J540" s="1627"/>
    </row>
    <row r="541" spans="2:10" ht="35.1" customHeight="1" x14ac:dyDescent="0.25">
      <c r="B541" s="1628" t="s">
        <v>3137</v>
      </c>
      <c r="C541" s="1615" t="str">
        <f>'[3]Anexo I - Programas'!$B$173</f>
        <v>6</v>
      </c>
      <c r="D541" s="1629" t="str">
        <f>'[3]Anexo I - Programas'!$C$173</f>
        <v>PROMOÇÃO E DESENVOLVIMENTO DA EDUCAÇÃO</v>
      </c>
      <c r="E541" s="1628" t="s">
        <v>3137</v>
      </c>
      <c r="F541" s="1615" t="str">
        <f>C541</f>
        <v>6</v>
      </c>
      <c r="G541" s="1617" t="str">
        <f>D541</f>
        <v>PROMOÇÃO E DESENVOLVIMENTO DA EDUCAÇÃO</v>
      </c>
      <c r="H541" s="773" t="s">
        <v>3138</v>
      </c>
      <c r="I541" s="757">
        <f>DESPORC!C2099</f>
        <v>12</v>
      </c>
      <c r="J541" s="765" t="str">
        <f>DESPORC!D2099</f>
        <v>Educação</v>
      </c>
    </row>
    <row r="542" spans="2:10" ht="35.1" customHeight="1" x14ac:dyDescent="0.25">
      <c r="B542" s="1619"/>
      <c r="C542" s="1616"/>
      <c r="D542" s="1630"/>
      <c r="E542" s="1619"/>
      <c r="F542" s="1616"/>
      <c r="G542" s="1618"/>
      <c r="H542" s="774" t="s">
        <v>6940</v>
      </c>
      <c r="I542" s="757">
        <f>DESPORC!C2100</f>
        <v>365</v>
      </c>
      <c r="J542" s="765" t="str">
        <f>DESPORC!D2100</f>
        <v>Educação Infantil</v>
      </c>
    </row>
    <row r="543" spans="2:10" ht="35.1" customHeight="1" x14ac:dyDescent="0.25">
      <c r="B543" s="1619" t="s">
        <v>6941</v>
      </c>
      <c r="C543" s="1616">
        <f>'[3]Anexo I - Programas'!$C$182</f>
        <v>1005</v>
      </c>
      <c r="D543" s="1622" t="str">
        <f>'[3]Anexo I - Programas'!$D$182</f>
        <v>Novos Investimentos em Educação</v>
      </c>
      <c r="E543" s="1619" t="s">
        <v>6941</v>
      </c>
      <c r="F543" s="1616">
        <f>C543</f>
        <v>1005</v>
      </c>
      <c r="G543" s="1618" t="str">
        <f>D543</f>
        <v>Novos Investimentos em Educação</v>
      </c>
      <c r="H543" s="775" t="s">
        <v>3137</v>
      </c>
      <c r="I543" s="795" t="str">
        <f>F541</f>
        <v>6</v>
      </c>
      <c r="J543" s="762" t="str">
        <f>G541</f>
        <v>PROMOÇÃO E DESENVOLVIMENTO DA EDUCAÇÃO</v>
      </c>
    </row>
    <row r="544" spans="2:10" ht="35.1" customHeight="1" x14ac:dyDescent="0.25">
      <c r="B544" s="1620"/>
      <c r="C544" s="1621"/>
      <c r="D544" s="1623"/>
      <c r="E544" s="1620"/>
      <c r="F544" s="1621"/>
      <c r="G544" s="1624"/>
      <c r="H544" s="776" t="s">
        <v>6941</v>
      </c>
      <c r="I544" s="796">
        <f>F543</f>
        <v>1005</v>
      </c>
      <c r="J544" s="764" t="str">
        <f>G543</f>
        <v>Novos Investimentos em Educação</v>
      </c>
    </row>
    <row r="545" spans="2:10" ht="35.1" customHeight="1" thickBot="1" x14ac:dyDescent="0.3">
      <c r="B545" s="769" t="s">
        <v>6939</v>
      </c>
      <c r="C545" s="1625">
        <v>200000</v>
      </c>
      <c r="D545" s="1626"/>
      <c r="E545" s="769" t="s">
        <v>6939</v>
      </c>
      <c r="F545" s="1625">
        <v>50000</v>
      </c>
      <c r="G545" s="1627"/>
      <c r="H545" s="778" t="s">
        <v>6939</v>
      </c>
      <c r="I545" s="1625">
        <f>DESPORC!I2002</f>
        <v>0.01</v>
      </c>
      <c r="J545" s="1627"/>
    </row>
    <row r="546" spans="2:10" ht="35.1" customHeight="1" x14ac:dyDescent="0.25">
      <c r="B546" s="1628" t="s">
        <v>3137</v>
      </c>
      <c r="C546" s="1615" t="str">
        <f>'[3]Anexo I - Programas'!$B$173</f>
        <v>6</v>
      </c>
      <c r="D546" s="1629" t="str">
        <f>'[3]Anexo I - Programas'!$C$173</f>
        <v>PROMOÇÃO E DESENVOLVIMENTO DA EDUCAÇÃO</v>
      </c>
      <c r="E546" s="1628" t="s">
        <v>3137</v>
      </c>
      <c r="F546" s="1615" t="str">
        <f>C546</f>
        <v>6</v>
      </c>
      <c r="G546" s="1617" t="str">
        <f>D546</f>
        <v>PROMOÇÃO E DESENVOLVIMENTO DA EDUCAÇÃO</v>
      </c>
      <c r="H546" s="773" t="s">
        <v>3138</v>
      </c>
      <c r="I546" s="757">
        <f>DESPORC!C2109</f>
        <v>12</v>
      </c>
      <c r="J546" s="765" t="str">
        <f>DESPORC!D2109</f>
        <v>Educação</v>
      </c>
    </row>
    <row r="547" spans="2:10" ht="35.1" customHeight="1" x14ac:dyDescent="0.25">
      <c r="B547" s="1619"/>
      <c r="C547" s="1616"/>
      <c r="D547" s="1630"/>
      <c r="E547" s="1619"/>
      <c r="F547" s="1616"/>
      <c r="G547" s="1618"/>
      <c r="H547" s="774" t="s">
        <v>6940</v>
      </c>
      <c r="I547" s="757">
        <f>DESPORC!C2110</f>
        <v>122</v>
      </c>
      <c r="J547" s="765" t="str">
        <f>DESPORC!D2110</f>
        <v>Administração Geral</v>
      </c>
    </row>
    <row r="548" spans="2:10" ht="35.1" customHeight="1" x14ac:dyDescent="0.25">
      <c r="B548" s="1619" t="s">
        <v>6941</v>
      </c>
      <c r="C548" s="1616">
        <f>'[3]Anexo I - Programas'!$C$234</f>
        <v>2047</v>
      </c>
      <c r="D548" s="1622" t="str">
        <f>'[3]Anexo I - Programas'!$D$234</f>
        <v>GESTAO E COORDENAÇÃO ESCOLAS MUNICIPAIS</v>
      </c>
      <c r="E548" s="1619" t="s">
        <v>6941</v>
      </c>
      <c r="F548" s="1616">
        <f>C548</f>
        <v>2047</v>
      </c>
      <c r="G548" s="1618" t="str">
        <f>D548</f>
        <v>GESTAO E COORDENAÇÃO ESCOLAS MUNICIPAIS</v>
      </c>
      <c r="H548" s="775" t="s">
        <v>3137</v>
      </c>
      <c r="I548" s="795" t="str">
        <f>F546</f>
        <v>6</v>
      </c>
      <c r="J548" s="762" t="str">
        <f>G546</f>
        <v>PROMOÇÃO E DESENVOLVIMENTO DA EDUCAÇÃO</v>
      </c>
    </row>
    <row r="549" spans="2:10" ht="35.1" customHeight="1" x14ac:dyDescent="0.25">
      <c r="B549" s="1620"/>
      <c r="C549" s="1621"/>
      <c r="D549" s="1623"/>
      <c r="E549" s="1620"/>
      <c r="F549" s="1621"/>
      <c r="G549" s="1624"/>
      <c r="H549" s="776" t="s">
        <v>6941</v>
      </c>
      <c r="I549" s="796">
        <f>F548</f>
        <v>2047</v>
      </c>
      <c r="J549" s="764" t="str">
        <f>G548</f>
        <v>GESTAO E COORDENAÇÃO ESCOLAS MUNICIPAIS</v>
      </c>
    </row>
    <row r="550" spans="2:10" ht="35.1" customHeight="1" thickBot="1" x14ac:dyDescent="0.3">
      <c r="B550" s="769" t="s">
        <v>6939</v>
      </c>
      <c r="C550" s="1625">
        <v>450000</v>
      </c>
      <c r="D550" s="1626"/>
      <c r="E550" s="769" t="s">
        <v>6939</v>
      </c>
      <c r="F550" s="1625">
        <v>112500</v>
      </c>
      <c r="G550" s="1627"/>
      <c r="H550" s="778" t="s">
        <v>6939</v>
      </c>
      <c r="I550" s="1625">
        <f>DESPORC!I2012</f>
        <v>0.05</v>
      </c>
      <c r="J550" s="1627"/>
    </row>
    <row r="551" spans="2:10" ht="35.1" customHeight="1" x14ac:dyDescent="0.25">
      <c r="B551" s="1628" t="s">
        <v>3137</v>
      </c>
      <c r="C551" s="1615" t="str">
        <f>'[3]Anexo I - Programas'!$B$173</f>
        <v>6</v>
      </c>
      <c r="D551" s="1629" t="str">
        <f>'[3]Anexo I - Programas'!$C$173</f>
        <v>PROMOÇÃO E DESENVOLVIMENTO DA EDUCAÇÃO</v>
      </c>
      <c r="E551" s="1628" t="s">
        <v>3137</v>
      </c>
      <c r="F551" s="1615" t="str">
        <f>C551</f>
        <v>6</v>
      </c>
      <c r="G551" s="1617" t="str">
        <f>D551</f>
        <v>PROMOÇÃO E DESENVOLVIMENTO DA EDUCAÇÃO</v>
      </c>
      <c r="H551" s="773" t="s">
        <v>3138</v>
      </c>
      <c r="I551" s="757">
        <f>DESPORC!C2138</f>
        <v>12</v>
      </c>
      <c r="J551" s="765" t="str">
        <f>DESPORC!D2138</f>
        <v>Educação</v>
      </c>
    </row>
    <row r="552" spans="2:10" ht="35.1" customHeight="1" x14ac:dyDescent="0.25">
      <c r="B552" s="1619"/>
      <c r="C552" s="1616"/>
      <c r="D552" s="1630"/>
      <c r="E552" s="1619"/>
      <c r="F552" s="1616"/>
      <c r="G552" s="1618"/>
      <c r="H552" s="774" t="s">
        <v>6940</v>
      </c>
      <c r="I552" s="757">
        <f>DESPORC!C2139</f>
        <v>126</v>
      </c>
      <c r="J552" s="765" t="str">
        <f>DESPORC!D2139</f>
        <v>Tecnologia da Informação</v>
      </c>
    </row>
    <row r="553" spans="2:10" ht="35.1" customHeight="1" x14ac:dyDescent="0.25">
      <c r="B553" s="1619" t="s">
        <v>6941</v>
      </c>
      <c r="C553" s="1616">
        <f>'[3]Anexo I - Programas'!$C$234</f>
        <v>2047</v>
      </c>
      <c r="D553" s="1622" t="str">
        <f>'[3]Anexo I - Programas'!$D$234</f>
        <v>GESTAO E COORDENAÇÃO ESCOLAS MUNICIPAIS</v>
      </c>
      <c r="E553" s="1619" t="s">
        <v>6941</v>
      </c>
      <c r="F553" s="1616">
        <f>C553</f>
        <v>2047</v>
      </c>
      <c r="G553" s="1618" t="str">
        <f>D553</f>
        <v>GESTAO E COORDENAÇÃO ESCOLAS MUNICIPAIS</v>
      </c>
      <c r="H553" s="775" t="s">
        <v>3137</v>
      </c>
      <c r="I553" s="795" t="str">
        <f>F551</f>
        <v>6</v>
      </c>
      <c r="J553" s="762" t="str">
        <f>G551</f>
        <v>PROMOÇÃO E DESENVOLVIMENTO DA EDUCAÇÃO</v>
      </c>
    </row>
    <row r="554" spans="2:10" ht="35.1" customHeight="1" x14ac:dyDescent="0.25">
      <c r="B554" s="1620"/>
      <c r="C554" s="1621"/>
      <c r="D554" s="1623"/>
      <c r="E554" s="1620"/>
      <c r="F554" s="1621"/>
      <c r="G554" s="1624"/>
      <c r="H554" s="776" t="s">
        <v>6941</v>
      </c>
      <c r="I554" s="796">
        <f>F553</f>
        <v>2047</v>
      </c>
      <c r="J554" s="764" t="str">
        <f>G553</f>
        <v>GESTAO E COORDENAÇÃO ESCOLAS MUNICIPAIS</v>
      </c>
    </row>
    <row r="555" spans="2:10" ht="35.1" customHeight="1" thickBot="1" x14ac:dyDescent="0.3">
      <c r="B555" s="769" t="s">
        <v>6939</v>
      </c>
      <c r="C555" s="1625">
        <v>450000</v>
      </c>
      <c r="D555" s="1626"/>
      <c r="E555" s="769" t="s">
        <v>6939</v>
      </c>
      <c r="F555" s="1625">
        <v>112500</v>
      </c>
      <c r="G555" s="1627"/>
      <c r="H555" s="778" t="s">
        <v>6939</v>
      </c>
      <c r="I555" s="1625">
        <f>DESPORC!I2141</f>
        <v>8001</v>
      </c>
      <c r="J555" s="1627"/>
    </row>
    <row r="556" spans="2:10" ht="35.1" customHeight="1" x14ac:dyDescent="0.25">
      <c r="B556" s="1628" t="s">
        <v>3137</v>
      </c>
      <c r="C556" s="1615" t="str">
        <f>'[3]Anexo I - Programas'!$B$173</f>
        <v>6</v>
      </c>
      <c r="D556" s="1629" t="str">
        <f>'[3]Anexo I - Programas'!$C$173</f>
        <v>PROMOÇÃO E DESENVOLVIMENTO DA EDUCAÇÃO</v>
      </c>
      <c r="E556" s="1628" t="s">
        <v>3137</v>
      </c>
      <c r="F556" s="1615" t="str">
        <f>C556</f>
        <v>6</v>
      </c>
      <c r="G556" s="1617" t="str">
        <f>D556</f>
        <v>PROMOÇÃO E DESENVOLVIMENTO DA EDUCAÇÃO</v>
      </c>
      <c r="H556" s="773" t="s">
        <v>3138</v>
      </c>
      <c r="I556" s="757">
        <f>DESPORC!C2143</f>
        <v>12</v>
      </c>
      <c r="J556" s="765" t="str">
        <f>DESPORC!D2143</f>
        <v>Educação</v>
      </c>
    </row>
    <row r="557" spans="2:10" ht="35.1" customHeight="1" x14ac:dyDescent="0.25">
      <c r="B557" s="1619"/>
      <c r="C557" s="1616"/>
      <c r="D557" s="1630"/>
      <c r="E557" s="1619"/>
      <c r="F557" s="1616"/>
      <c r="G557" s="1618"/>
      <c r="H557" s="774" t="s">
        <v>6940</v>
      </c>
      <c r="I557" s="757">
        <f>DESPORC!C2144</f>
        <v>128</v>
      </c>
      <c r="J557" s="765" t="str">
        <f>DESPORC!D2144</f>
        <v>Formação de Recursos Humanos</v>
      </c>
    </row>
    <row r="558" spans="2:10" ht="35.1" customHeight="1" x14ac:dyDescent="0.25">
      <c r="B558" s="1619" t="s">
        <v>6941</v>
      </c>
      <c r="C558" s="1616">
        <f>'[3]Anexo I - Programas'!$C$234</f>
        <v>2047</v>
      </c>
      <c r="D558" s="1622" t="str">
        <f>'[3]Anexo I - Programas'!$D$234</f>
        <v>GESTAO E COORDENAÇÃO ESCOLAS MUNICIPAIS</v>
      </c>
      <c r="E558" s="1619" t="s">
        <v>6941</v>
      </c>
      <c r="F558" s="1616">
        <f>C558</f>
        <v>2047</v>
      </c>
      <c r="G558" s="1618" t="str">
        <f>D558</f>
        <v>GESTAO E COORDENAÇÃO ESCOLAS MUNICIPAIS</v>
      </c>
      <c r="H558" s="775" t="s">
        <v>3137</v>
      </c>
      <c r="I558" s="795" t="str">
        <f>F556</f>
        <v>6</v>
      </c>
      <c r="J558" s="762" t="str">
        <f>G556</f>
        <v>PROMOÇÃO E DESENVOLVIMENTO DA EDUCAÇÃO</v>
      </c>
    </row>
    <row r="559" spans="2:10" ht="35.1" customHeight="1" x14ac:dyDescent="0.25">
      <c r="B559" s="1620"/>
      <c r="C559" s="1621"/>
      <c r="D559" s="1623"/>
      <c r="E559" s="1620"/>
      <c r="F559" s="1621"/>
      <c r="G559" s="1624"/>
      <c r="H559" s="776" t="s">
        <v>6941</v>
      </c>
      <c r="I559" s="796">
        <f>F558</f>
        <v>2047</v>
      </c>
      <c r="J559" s="764" t="str">
        <f>G558</f>
        <v>GESTAO E COORDENAÇÃO ESCOLAS MUNICIPAIS</v>
      </c>
    </row>
    <row r="560" spans="2:10" ht="35.1" customHeight="1" thickBot="1" x14ac:dyDescent="0.3">
      <c r="B560" s="769" t="s">
        <v>6939</v>
      </c>
      <c r="C560" s="1625">
        <v>450000</v>
      </c>
      <c r="D560" s="1626"/>
      <c r="E560" s="769" t="s">
        <v>6939</v>
      </c>
      <c r="F560" s="1625">
        <v>112500</v>
      </c>
      <c r="G560" s="1627"/>
      <c r="H560" s="778" t="s">
        <v>6939</v>
      </c>
      <c r="I560" s="1625">
        <f>DESPORC!I2146</f>
        <v>0.05</v>
      </c>
      <c r="J560" s="1627"/>
    </row>
    <row r="561" spans="2:10" ht="35.1" customHeight="1" x14ac:dyDescent="0.25">
      <c r="B561" s="1628" t="s">
        <v>3137</v>
      </c>
      <c r="C561" s="1615" t="str">
        <f>'[3]Anexo I - Programas'!$B$173</f>
        <v>6</v>
      </c>
      <c r="D561" s="1629" t="str">
        <f>'[3]Anexo I - Programas'!$C$173</f>
        <v>PROMOÇÃO E DESENVOLVIMENTO DA EDUCAÇÃO</v>
      </c>
      <c r="E561" s="1628" t="s">
        <v>3137</v>
      </c>
      <c r="F561" s="1615" t="str">
        <f>C561</f>
        <v>6</v>
      </c>
      <c r="G561" s="1617" t="str">
        <f>D561</f>
        <v>PROMOÇÃO E DESENVOLVIMENTO DA EDUCAÇÃO</v>
      </c>
      <c r="H561" s="773" t="s">
        <v>3138</v>
      </c>
      <c r="I561" s="757">
        <f>DESPORC!C2152</f>
        <v>12</v>
      </c>
      <c r="J561" s="765" t="str">
        <f>DESPORC!D2152</f>
        <v>Educação</v>
      </c>
    </row>
    <row r="562" spans="2:10" ht="35.1" customHeight="1" x14ac:dyDescent="0.25">
      <c r="B562" s="1619"/>
      <c r="C562" s="1616"/>
      <c r="D562" s="1630"/>
      <c r="E562" s="1619"/>
      <c r="F562" s="1616"/>
      <c r="G562" s="1618"/>
      <c r="H562" s="774" t="s">
        <v>6940</v>
      </c>
      <c r="I562" s="757">
        <f>DESPORC!C2153</f>
        <v>126</v>
      </c>
      <c r="J562" s="765" t="str">
        <f>DESPORC!D2153</f>
        <v>Tecnologia da Informação</v>
      </c>
    </row>
    <row r="563" spans="2:10" ht="35.1" customHeight="1" x14ac:dyDescent="0.25">
      <c r="B563" s="1619" t="s">
        <v>6941</v>
      </c>
      <c r="C563" s="1616">
        <f>'[3]Anexo I - Programas'!$C$198</f>
        <v>2006</v>
      </c>
      <c r="D563" s="1622" t="str">
        <f>'[3]Anexo I - Programas'!$D$198</f>
        <v>Promoção e Desenvolvimento do Ensino fundamental</v>
      </c>
      <c r="E563" s="1619" t="s">
        <v>6941</v>
      </c>
      <c r="F563" s="1616">
        <f>C563</f>
        <v>2006</v>
      </c>
      <c r="G563" s="1618" t="str">
        <f>D563</f>
        <v>Promoção e Desenvolvimento do Ensino fundamental</v>
      </c>
      <c r="H563" s="775" t="s">
        <v>3137</v>
      </c>
      <c r="I563" s="795" t="str">
        <f>F561</f>
        <v>6</v>
      </c>
      <c r="J563" s="762" t="str">
        <f>G561</f>
        <v>PROMOÇÃO E DESENVOLVIMENTO DA EDUCAÇÃO</v>
      </c>
    </row>
    <row r="564" spans="2:10" ht="35.1" customHeight="1" x14ac:dyDescent="0.25">
      <c r="B564" s="1620"/>
      <c r="C564" s="1621"/>
      <c r="D564" s="1623"/>
      <c r="E564" s="1620"/>
      <c r="F564" s="1621"/>
      <c r="G564" s="1624"/>
      <c r="H564" s="776" t="s">
        <v>6941</v>
      </c>
      <c r="I564" s="796">
        <f>F563</f>
        <v>2006</v>
      </c>
      <c r="J564" s="764" t="str">
        <f>G563</f>
        <v>Promoção e Desenvolvimento do Ensino fundamental</v>
      </c>
    </row>
    <row r="565" spans="2:10" ht="35.1" customHeight="1" thickBot="1" x14ac:dyDescent="0.3">
      <c r="B565" s="769" t="s">
        <v>6939</v>
      </c>
      <c r="C565" s="1625">
        <v>9200000</v>
      </c>
      <c r="D565" s="1626"/>
      <c r="E565" s="769" t="s">
        <v>6939</v>
      </c>
      <c r="F565" s="1625">
        <v>2300000</v>
      </c>
      <c r="G565" s="1627"/>
      <c r="H565" s="778" t="s">
        <v>6939</v>
      </c>
      <c r="I565" s="1625">
        <f>DESPORC!I2155</f>
        <v>8000</v>
      </c>
      <c r="J565" s="1627"/>
    </row>
    <row r="566" spans="2:10" ht="35.1" customHeight="1" x14ac:dyDescent="0.25">
      <c r="B566" s="1628" t="s">
        <v>3137</v>
      </c>
      <c r="C566" s="1615" t="str">
        <f>'[3]Anexo I - Programas'!$B$173</f>
        <v>6</v>
      </c>
      <c r="D566" s="1629" t="str">
        <f>'[3]Anexo I - Programas'!$C$173</f>
        <v>PROMOÇÃO E DESENVOLVIMENTO DA EDUCAÇÃO</v>
      </c>
      <c r="E566" s="1628" t="s">
        <v>3137</v>
      </c>
      <c r="F566" s="1615" t="str">
        <f>C566</f>
        <v>6</v>
      </c>
      <c r="G566" s="1617" t="str">
        <f>D566</f>
        <v>PROMOÇÃO E DESENVOLVIMENTO DA EDUCAÇÃO</v>
      </c>
      <c r="H566" s="773" t="s">
        <v>3138</v>
      </c>
      <c r="I566" s="757">
        <f>DESPORC!C2157</f>
        <v>12</v>
      </c>
      <c r="J566" s="765" t="str">
        <f>DESPORC!D2157</f>
        <v>Educação</v>
      </c>
    </row>
    <row r="567" spans="2:10" ht="35.1" customHeight="1" x14ac:dyDescent="0.25">
      <c r="B567" s="1619"/>
      <c r="C567" s="1616"/>
      <c r="D567" s="1630"/>
      <c r="E567" s="1619"/>
      <c r="F567" s="1616"/>
      <c r="G567" s="1618"/>
      <c r="H567" s="774" t="s">
        <v>6940</v>
      </c>
      <c r="I567" s="757">
        <f>DESPORC!C2158</f>
        <v>128</v>
      </c>
      <c r="J567" s="765" t="str">
        <f>DESPORC!D2158</f>
        <v>Formação de Recursos Humanos</v>
      </c>
    </row>
    <row r="568" spans="2:10" ht="35.1" customHeight="1" x14ac:dyDescent="0.25">
      <c r="B568" s="1619" t="s">
        <v>6941</v>
      </c>
      <c r="C568" s="1616">
        <f>'[3]Anexo I - Programas'!$C$198</f>
        <v>2006</v>
      </c>
      <c r="D568" s="1622" t="str">
        <f>'[3]Anexo I - Programas'!$D$198</f>
        <v>Promoção e Desenvolvimento do Ensino fundamental</v>
      </c>
      <c r="E568" s="1619" t="s">
        <v>6941</v>
      </c>
      <c r="F568" s="1616">
        <f>C568</f>
        <v>2006</v>
      </c>
      <c r="G568" s="1618" t="str">
        <f>D568</f>
        <v>Promoção e Desenvolvimento do Ensino fundamental</v>
      </c>
      <c r="H568" s="775" t="s">
        <v>3137</v>
      </c>
      <c r="I568" s="795" t="str">
        <f>F566</f>
        <v>6</v>
      </c>
      <c r="J568" s="762" t="str">
        <f>G566</f>
        <v>PROMOÇÃO E DESENVOLVIMENTO DA EDUCAÇÃO</v>
      </c>
    </row>
    <row r="569" spans="2:10" ht="35.1" customHeight="1" x14ac:dyDescent="0.25">
      <c r="B569" s="1620"/>
      <c r="C569" s="1621"/>
      <c r="D569" s="1623"/>
      <c r="E569" s="1620"/>
      <c r="F569" s="1621"/>
      <c r="G569" s="1624"/>
      <c r="H569" s="776" t="s">
        <v>6941</v>
      </c>
      <c r="I569" s="796">
        <f>F568</f>
        <v>2006</v>
      </c>
      <c r="J569" s="764" t="str">
        <f>G568</f>
        <v>Promoção e Desenvolvimento do Ensino fundamental</v>
      </c>
    </row>
    <row r="570" spans="2:10" ht="35.1" customHeight="1" thickBot="1" x14ac:dyDescent="0.3">
      <c r="B570" s="769" t="s">
        <v>6939</v>
      </c>
      <c r="C570" s="1625">
        <v>9200000</v>
      </c>
      <c r="D570" s="1626"/>
      <c r="E570" s="769" t="s">
        <v>6939</v>
      </c>
      <c r="F570" s="1625">
        <v>2300000</v>
      </c>
      <c r="G570" s="1627"/>
      <c r="H570" s="778" t="s">
        <v>6939</v>
      </c>
      <c r="I570" s="1625">
        <f>DESPORC!I2160</f>
        <v>0.05</v>
      </c>
      <c r="J570" s="1627"/>
    </row>
    <row r="571" spans="2:10" ht="35.1" customHeight="1" x14ac:dyDescent="0.25">
      <c r="B571" s="804"/>
      <c r="C571" s="805"/>
      <c r="D571" s="806"/>
      <c r="E571" s="804"/>
      <c r="F571" s="805"/>
      <c r="G571" s="806"/>
      <c r="H571" s="804"/>
      <c r="I571" s="805"/>
      <c r="J571" s="806"/>
    </row>
    <row r="572" spans="2:10" ht="35.1" customHeight="1" x14ac:dyDescent="0.25">
      <c r="B572" s="267"/>
      <c r="C572" s="807"/>
      <c r="D572" s="257"/>
      <c r="E572" s="267"/>
      <c r="F572" s="807"/>
      <c r="G572" s="257"/>
      <c r="H572" s="267"/>
      <c r="I572" s="807"/>
      <c r="J572" s="257"/>
    </row>
    <row r="573" spans="2:10" ht="35.1" customHeight="1" x14ac:dyDescent="0.25">
      <c r="B573" s="267"/>
      <c r="C573" s="807"/>
      <c r="D573" s="257"/>
      <c r="E573" s="267"/>
      <c r="F573" s="807"/>
      <c r="G573" s="257"/>
      <c r="H573" s="267"/>
      <c r="I573" s="807"/>
      <c r="J573" s="257"/>
    </row>
    <row r="574" spans="2:10" ht="35.1" customHeight="1" thickBot="1" x14ac:dyDescent="0.3">
      <c r="B574" s="808"/>
      <c r="C574" s="809"/>
      <c r="D574" s="810"/>
      <c r="E574" s="808"/>
      <c r="F574" s="809"/>
      <c r="G574" s="810"/>
      <c r="H574" s="808"/>
      <c r="I574" s="809"/>
      <c r="J574" s="810"/>
    </row>
    <row r="575" spans="2:10" ht="35.1" customHeight="1" x14ac:dyDescent="0.25">
      <c r="B575" s="1628" t="s">
        <v>3137</v>
      </c>
      <c r="C575" s="1615" t="str">
        <f>'[3]Anexo I - Programas'!$B$173</f>
        <v>6</v>
      </c>
      <c r="D575" s="1629" t="str">
        <f>'[3]Anexo I - Programas'!$C$173</f>
        <v>PROMOÇÃO E DESENVOLVIMENTO DA EDUCAÇÃO</v>
      </c>
      <c r="E575" s="1628" t="s">
        <v>3137</v>
      </c>
      <c r="F575" s="1615" t="str">
        <f>C575</f>
        <v>6</v>
      </c>
      <c r="G575" s="1617" t="str">
        <f>D575</f>
        <v>PROMOÇÃO E DESENVOLVIMENTO DA EDUCAÇÃO</v>
      </c>
      <c r="H575" s="773" t="s">
        <v>3138</v>
      </c>
      <c r="I575" s="757">
        <f>DESPORC!C2166</f>
        <v>12</v>
      </c>
      <c r="J575" s="765" t="str">
        <f>DESPORC!D2166</f>
        <v>Educação</v>
      </c>
    </row>
    <row r="576" spans="2:10" ht="35.1" customHeight="1" x14ac:dyDescent="0.25">
      <c r="B576" s="1619"/>
      <c r="C576" s="1616"/>
      <c r="D576" s="1630"/>
      <c r="E576" s="1619"/>
      <c r="F576" s="1616"/>
      <c r="G576" s="1618"/>
      <c r="H576" s="774" t="s">
        <v>6940</v>
      </c>
      <c r="I576" s="757">
        <f>DESPORC!C2167</f>
        <v>361</v>
      </c>
      <c r="J576" s="765" t="str">
        <f>DESPORC!D2167</f>
        <v>Ensino Fundamental</v>
      </c>
    </row>
    <row r="577" spans="2:10" ht="35.1" customHeight="1" x14ac:dyDescent="0.25">
      <c r="B577" s="1619" t="s">
        <v>6941</v>
      </c>
      <c r="C577" s="1616">
        <f>'[3]Anexo I - Programas'!$C$198</f>
        <v>2006</v>
      </c>
      <c r="D577" s="1622" t="str">
        <f>'[3]Anexo I - Programas'!$D$198</f>
        <v>Promoção e Desenvolvimento do Ensino fundamental</v>
      </c>
      <c r="E577" s="1619" t="s">
        <v>6941</v>
      </c>
      <c r="F577" s="1616">
        <f>C577</f>
        <v>2006</v>
      </c>
      <c r="G577" s="1618" t="str">
        <f>D577</f>
        <v>Promoção e Desenvolvimento do Ensino fundamental</v>
      </c>
      <c r="H577" s="775" t="s">
        <v>3137</v>
      </c>
      <c r="I577" s="795" t="str">
        <f>F575</f>
        <v>6</v>
      </c>
      <c r="J577" s="762" t="str">
        <f>G575</f>
        <v>PROMOÇÃO E DESENVOLVIMENTO DA EDUCAÇÃO</v>
      </c>
    </row>
    <row r="578" spans="2:10" ht="35.1" customHeight="1" x14ac:dyDescent="0.25">
      <c r="B578" s="1620"/>
      <c r="C578" s="1621"/>
      <c r="D578" s="1623"/>
      <c r="E578" s="1620"/>
      <c r="F578" s="1621"/>
      <c r="G578" s="1624"/>
      <c r="H578" s="776" t="s">
        <v>6941</v>
      </c>
      <c r="I578" s="796">
        <f>F577</f>
        <v>2006</v>
      </c>
      <c r="J578" s="764" t="str">
        <f>G577</f>
        <v>Promoção e Desenvolvimento do Ensino fundamental</v>
      </c>
    </row>
    <row r="579" spans="2:10" ht="35.1" customHeight="1" thickBot="1" x14ac:dyDescent="0.3">
      <c r="B579" s="769" t="s">
        <v>6939</v>
      </c>
      <c r="C579" s="1625">
        <v>9200000</v>
      </c>
      <c r="D579" s="1626"/>
      <c r="E579" s="769" t="s">
        <v>6939</v>
      </c>
      <c r="F579" s="1625">
        <v>2300000</v>
      </c>
      <c r="G579" s="1627"/>
      <c r="H579" s="778" t="s">
        <v>6939</v>
      </c>
      <c r="I579" s="1625">
        <f>DESPORC!I2169</f>
        <v>2649620.0934469053</v>
      </c>
      <c r="J579" s="1627"/>
    </row>
    <row r="580" spans="2:10" ht="35.1" customHeight="1" x14ac:dyDescent="0.25">
      <c r="B580" s="1628" t="s">
        <v>3137</v>
      </c>
      <c r="C580" s="1615" t="str">
        <f>'[3]Anexo I - Programas'!$B$173</f>
        <v>6</v>
      </c>
      <c r="D580" s="1629" t="str">
        <f>'[3]Anexo I - Programas'!$C$173</f>
        <v>PROMOÇÃO E DESENVOLVIMENTO DA EDUCAÇÃO</v>
      </c>
      <c r="E580" s="1628" t="s">
        <v>3137</v>
      </c>
      <c r="F580" s="1615" t="str">
        <f>C580</f>
        <v>6</v>
      </c>
      <c r="G580" s="1617" t="str">
        <f>D580</f>
        <v>PROMOÇÃO E DESENVOLVIMENTO DA EDUCAÇÃO</v>
      </c>
      <c r="H580" s="773" t="s">
        <v>3138</v>
      </c>
      <c r="I580" s="757">
        <f>DESPORC!C2195</f>
        <v>12</v>
      </c>
      <c r="J580" s="765" t="str">
        <f>DESPORC!D2195</f>
        <v>Educação</v>
      </c>
    </row>
    <row r="581" spans="2:10" ht="35.1" customHeight="1" x14ac:dyDescent="0.25">
      <c r="B581" s="1619"/>
      <c r="C581" s="1616"/>
      <c r="D581" s="1630"/>
      <c r="E581" s="1619"/>
      <c r="F581" s="1616"/>
      <c r="G581" s="1618"/>
      <c r="H581" s="774" t="s">
        <v>6940</v>
      </c>
      <c r="I581" s="757">
        <f>DESPORC!C2196</f>
        <v>126</v>
      </c>
      <c r="J581" s="765" t="str">
        <f>DESPORC!D2196</f>
        <v>Tecnologia da Informação</v>
      </c>
    </row>
    <row r="582" spans="2:10" ht="35.1" customHeight="1" x14ac:dyDescent="0.25">
      <c r="B582" s="1619" t="s">
        <v>6941</v>
      </c>
      <c r="C582" s="1616">
        <f>'[3]Anexo I - Programas'!$C$204</f>
        <v>2036</v>
      </c>
      <c r="D582" s="1622" t="str">
        <f>'[3]Anexo I - Programas'!$D$204</f>
        <v>Promoção e Desenvolvimento da Educação Infantil</v>
      </c>
      <c r="E582" s="1619" t="s">
        <v>6941</v>
      </c>
      <c r="F582" s="1616">
        <f>C582</f>
        <v>2036</v>
      </c>
      <c r="G582" s="1618" t="str">
        <f>D582</f>
        <v>Promoção e Desenvolvimento da Educação Infantil</v>
      </c>
      <c r="H582" s="775" t="s">
        <v>3137</v>
      </c>
      <c r="I582" s="795" t="str">
        <f>F580</f>
        <v>6</v>
      </c>
      <c r="J582" s="762" t="str">
        <f>G580</f>
        <v>PROMOÇÃO E DESENVOLVIMENTO DA EDUCAÇÃO</v>
      </c>
    </row>
    <row r="583" spans="2:10" ht="35.1" customHeight="1" x14ac:dyDescent="0.25">
      <c r="B583" s="1620"/>
      <c r="C583" s="1621"/>
      <c r="D583" s="1623"/>
      <c r="E583" s="1620"/>
      <c r="F583" s="1621"/>
      <c r="G583" s="1624"/>
      <c r="H583" s="776" t="s">
        <v>6941</v>
      </c>
      <c r="I583" s="796">
        <f>F582</f>
        <v>2036</v>
      </c>
      <c r="J583" s="764" t="str">
        <f>G582</f>
        <v>Promoção e Desenvolvimento da Educação Infantil</v>
      </c>
    </row>
    <row r="584" spans="2:10" ht="35.1" customHeight="1" thickBot="1" x14ac:dyDescent="0.3">
      <c r="B584" s="769" t="s">
        <v>6939</v>
      </c>
      <c r="C584" s="1625">
        <v>1000000</v>
      </c>
      <c r="D584" s="1626"/>
      <c r="E584" s="769" t="s">
        <v>6939</v>
      </c>
      <c r="F584" s="1625">
        <v>250000</v>
      </c>
      <c r="G584" s="1627"/>
      <c r="H584" s="778" t="s">
        <v>6939</v>
      </c>
      <c r="I584" s="1625">
        <f>DESPORC!I2198</f>
        <v>4.3893611999999999E-2</v>
      </c>
      <c r="J584" s="1627"/>
    </row>
    <row r="585" spans="2:10" ht="35.1" customHeight="1" x14ac:dyDescent="0.25">
      <c r="B585" s="1628" t="s">
        <v>3137</v>
      </c>
      <c r="C585" s="1615" t="str">
        <f>'[3]Anexo I - Programas'!$B$173</f>
        <v>6</v>
      </c>
      <c r="D585" s="1629" t="str">
        <f>'[3]Anexo I - Programas'!$C$173</f>
        <v>PROMOÇÃO E DESENVOLVIMENTO DA EDUCAÇÃO</v>
      </c>
      <c r="E585" s="1628" t="s">
        <v>3137</v>
      </c>
      <c r="F585" s="1615" t="str">
        <f>C585</f>
        <v>6</v>
      </c>
      <c r="G585" s="1617" t="str">
        <f>D585</f>
        <v>PROMOÇÃO E DESENVOLVIMENTO DA EDUCAÇÃO</v>
      </c>
      <c r="H585" s="773" t="s">
        <v>3138</v>
      </c>
      <c r="I585" s="757">
        <f>DESPORC!C2200</f>
        <v>12</v>
      </c>
      <c r="J585" s="765" t="str">
        <f>DESPORC!D2200</f>
        <v>Educação</v>
      </c>
    </row>
    <row r="586" spans="2:10" ht="35.1" customHeight="1" x14ac:dyDescent="0.25">
      <c r="B586" s="1619"/>
      <c r="C586" s="1616"/>
      <c r="D586" s="1630"/>
      <c r="E586" s="1619"/>
      <c r="F586" s="1616"/>
      <c r="G586" s="1618"/>
      <c r="H586" s="774" t="s">
        <v>6940</v>
      </c>
      <c r="I586" s="757">
        <f>DESPORC!C2201</f>
        <v>128</v>
      </c>
      <c r="J586" s="765" t="str">
        <f>DESPORC!D2201</f>
        <v>Formação de Recursos Humanos</v>
      </c>
    </row>
    <row r="587" spans="2:10" ht="35.1" customHeight="1" x14ac:dyDescent="0.25">
      <c r="B587" s="1619" t="s">
        <v>6941</v>
      </c>
      <c r="C587" s="1616">
        <f>'[3]Anexo I - Programas'!$C$204</f>
        <v>2036</v>
      </c>
      <c r="D587" s="1622" t="str">
        <f>'[3]Anexo I - Programas'!$D$204</f>
        <v>Promoção e Desenvolvimento da Educação Infantil</v>
      </c>
      <c r="E587" s="1619" t="s">
        <v>6941</v>
      </c>
      <c r="F587" s="1616">
        <f>C587</f>
        <v>2036</v>
      </c>
      <c r="G587" s="1618" t="str">
        <f>D587</f>
        <v>Promoção e Desenvolvimento da Educação Infantil</v>
      </c>
      <c r="H587" s="775" t="s">
        <v>3137</v>
      </c>
      <c r="I587" s="795" t="str">
        <f>F585</f>
        <v>6</v>
      </c>
      <c r="J587" s="762" t="str">
        <f>G585</f>
        <v>PROMOÇÃO E DESENVOLVIMENTO DA EDUCAÇÃO</v>
      </c>
    </row>
    <row r="588" spans="2:10" ht="35.1" customHeight="1" x14ac:dyDescent="0.25">
      <c r="B588" s="1620"/>
      <c r="C588" s="1621"/>
      <c r="D588" s="1623"/>
      <c r="E588" s="1620"/>
      <c r="F588" s="1621"/>
      <c r="G588" s="1624"/>
      <c r="H588" s="776" t="s">
        <v>6941</v>
      </c>
      <c r="I588" s="796">
        <f>F587</f>
        <v>2036</v>
      </c>
      <c r="J588" s="764" t="str">
        <f>G587</f>
        <v>Promoção e Desenvolvimento da Educação Infantil</v>
      </c>
    </row>
    <row r="589" spans="2:10" ht="35.1" customHeight="1" thickBot="1" x14ac:dyDescent="0.3">
      <c r="B589" s="769" t="s">
        <v>6939</v>
      </c>
      <c r="C589" s="1625">
        <v>1000000</v>
      </c>
      <c r="D589" s="1626"/>
      <c r="E589" s="769" t="s">
        <v>6939</v>
      </c>
      <c r="F589" s="1625">
        <v>250000</v>
      </c>
      <c r="G589" s="1627"/>
      <c r="H589" s="778" t="s">
        <v>6939</v>
      </c>
      <c r="I589" s="1625">
        <f>DESPORC!I2203</f>
        <v>5.1000000000000004E-2</v>
      </c>
      <c r="J589" s="1627"/>
    </row>
    <row r="590" spans="2:10" ht="35.1" customHeight="1" x14ac:dyDescent="0.25">
      <c r="B590" s="1628" t="s">
        <v>3137</v>
      </c>
      <c r="C590" s="1615" t="str">
        <f>'[3]Anexo I - Programas'!$B$173</f>
        <v>6</v>
      </c>
      <c r="D590" s="1629" t="str">
        <f>'[3]Anexo I - Programas'!$C$173</f>
        <v>PROMOÇÃO E DESENVOLVIMENTO DA EDUCAÇÃO</v>
      </c>
      <c r="E590" s="1628" t="s">
        <v>3137</v>
      </c>
      <c r="F590" s="1615" t="str">
        <f>C590</f>
        <v>6</v>
      </c>
      <c r="G590" s="1617" t="str">
        <f>D590</f>
        <v>PROMOÇÃO E DESENVOLVIMENTO DA EDUCAÇÃO</v>
      </c>
      <c r="H590" s="773" t="s">
        <v>3138</v>
      </c>
      <c r="I590" s="757">
        <f>DESPORC!C2209</f>
        <v>12</v>
      </c>
      <c r="J590" s="765" t="str">
        <f>DESPORC!D2209</f>
        <v>Educação</v>
      </c>
    </row>
    <row r="591" spans="2:10" ht="35.1" customHeight="1" x14ac:dyDescent="0.25">
      <c r="B591" s="1619"/>
      <c r="C591" s="1616"/>
      <c r="D591" s="1630"/>
      <c r="E591" s="1619"/>
      <c r="F591" s="1616"/>
      <c r="G591" s="1618"/>
      <c r="H591" s="774" t="s">
        <v>6940</v>
      </c>
      <c r="I591" s="757">
        <f>DESPORC!C2210</f>
        <v>365</v>
      </c>
      <c r="J591" s="765" t="str">
        <f>DESPORC!D2210</f>
        <v>Educação Infantil</v>
      </c>
    </row>
    <row r="592" spans="2:10" ht="35.1" customHeight="1" x14ac:dyDescent="0.25">
      <c r="B592" s="1619" t="s">
        <v>6941</v>
      </c>
      <c r="C592" s="1616">
        <f>'[3]Anexo I - Programas'!$C$204</f>
        <v>2036</v>
      </c>
      <c r="D592" s="1622" t="str">
        <f>'[3]Anexo I - Programas'!$D$204</f>
        <v>Promoção e Desenvolvimento da Educação Infantil</v>
      </c>
      <c r="E592" s="1619" t="s">
        <v>6941</v>
      </c>
      <c r="F592" s="1616">
        <f>C592</f>
        <v>2036</v>
      </c>
      <c r="G592" s="1618" t="str">
        <f>D592</f>
        <v>Promoção e Desenvolvimento da Educação Infantil</v>
      </c>
      <c r="H592" s="775" t="s">
        <v>3137</v>
      </c>
      <c r="I592" s="795" t="str">
        <f>F590</f>
        <v>6</v>
      </c>
      <c r="J592" s="762" t="str">
        <f>G590</f>
        <v>PROMOÇÃO E DESENVOLVIMENTO DA EDUCAÇÃO</v>
      </c>
    </row>
    <row r="593" spans="2:10" ht="35.1" customHeight="1" x14ac:dyDescent="0.25">
      <c r="B593" s="1620"/>
      <c r="C593" s="1621"/>
      <c r="D593" s="1623"/>
      <c r="E593" s="1620"/>
      <c r="F593" s="1621"/>
      <c r="G593" s="1624"/>
      <c r="H593" s="776" t="s">
        <v>6941</v>
      </c>
      <c r="I593" s="796">
        <f>F592</f>
        <v>2036</v>
      </c>
      <c r="J593" s="764" t="str">
        <f>G592</f>
        <v>Promoção e Desenvolvimento da Educação Infantil</v>
      </c>
    </row>
    <row r="594" spans="2:10" ht="35.1" customHeight="1" thickBot="1" x14ac:dyDescent="0.3">
      <c r="B594" s="769" t="s">
        <v>6939</v>
      </c>
      <c r="C594" s="1625">
        <v>1000000</v>
      </c>
      <c r="D594" s="1626"/>
      <c r="E594" s="769" t="s">
        <v>6939</v>
      </c>
      <c r="F594" s="1625">
        <v>250000</v>
      </c>
      <c r="G594" s="1627"/>
      <c r="H594" s="778" t="s">
        <v>6939</v>
      </c>
      <c r="I594" s="1625">
        <f>DESPORC!I2212</f>
        <v>271063.63520145993</v>
      </c>
      <c r="J594" s="1627"/>
    </row>
    <row r="595" spans="2:10" ht="35.1" customHeight="1" x14ac:dyDescent="0.25">
      <c r="B595" s="1628" t="s">
        <v>3137</v>
      </c>
      <c r="C595" s="1615" t="str">
        <f>'[3]Anexo I - Programas'!$B$173</f>
        <v>6</v>
      </c>
      <c r="D595" s="1629" t="str">
        <f>'[3]Anexo I - Programas'!$C$173</f>
        <v>PROMOÇÃO E DESENVOLVIMENTO DA EDUCAÇÃO</v>
      </c>
      <c r="E595" s="1628" t="s">
        <v>3137</v>
      </c>
      <c r="F595" s="1615" t="str">
        <f>C595</f>
        <v>6</v>
      </c>
      <c r="G595" s="1617" t="str">
        <f>D595</f>
        <v>PROMOÇÃO E DESENVOLVIMENTO DA EDUCAÇÃO</v>
      </c>
      <c r="H595" s="773" t="s">
        <v>3138</v>
      </c>
      <c r="I595" s="757">
        <f>DESPORC!C2237</f>
        <v>12</v>
      </c>
      <c r="J595" s="765" t="str">
        <f>DESPORC!D2237</f>
        <v>Educação</v>
      </c>
    </row>
    <row r="596" spans="2:10" ht="35.1" customHeight="1" x14ac:dyDescent="0.25">
      <c r="B596" s="1619"/>
      <c r="C596" s="1616"/>
      <c r="D596" s="1630"/>
      <c r="E596" s="1619"/>
      <c r="F596" s="1616"/>
      <c r="G596" s="1618"/>
      <c r="H596" s="774" t="s">
        <v>6940</v>
      </c>
      <c r="I596" s="757">
        <f>DESPORC!C2238</f>
        <v>126</v>
      </c>
      <c r="J596" s="765" t="str">
        <f>DESPORC!D2238</f>
        <v>Tecnologia da Informação</v>
      </c>
    </row>
    <row r="597" spans="2:10" ht="35.1" customHeight="1" x14ac:dyDescent="0.25">
      <c r="B597" s="1619" t="s">
        <v>6941</v>
      </c>
      <c r="C597" s="1616">
        <f>'[3]Anexo I - Programas'!$C$216</f>
        <v>2039</v>
      </c>
      <c r="D597" s="1622" t="str">
        <f>'[3]Anexo I - Programas'!$D$216</f>
        <v>Promoção e Desenvolvimento da Educação de Jovens e Adultos</v>
      </c>
      <c r="E597" s="1619" t="s">
        <v>6941</v>
      </c>
      <c r="F597" s="1616">
        <f>C597</f>
        <v>2039</v>
      </c>
      <c r="G597" s="1618" t="str">
        <f>D597</f>
        <v>Promoção e Desenvolvimento da Educação de Jovens e Adultos</v>
      </c>
      <c r="H597" s="775" t="s">
        <v>3137</v>
      </c>
      <c r="I597" s="795" t="str">
        <f>F595</f>
        <v>6</v>
      </c>
      <c r="J597" s="762" t="str">
        <f>G595</f>
        <v>PROMOÇÃO E DESENVOLVIMENTO DA EDUCAÇÃO</v>
      </c>
    </row>
    <row r="598" spans="2:10" ht="35.1" customHeight="1" x14ac:dyDescent="0.25">
      <c r="B598" s="1620"/>
      <c r="C598" s="1621"/>
      <c r="D598" s="1623"/>
      <c r="E598" s="1620"/>
      <c r="F598" s="1621"/>
      <c r="G598" s="1624"/>
      <c r="H598" s="776" t="s">
        <v>6941</v>
      </c>
      <c r="I598" s="796">
        <f>F597</f>
        <v>2039</v>
      </c>
      <c r="J598" s="764" t="str">
        <f>G597</f>
        <v>Promoção e Desenvolvimento da Educação de Jovens e Adultos</v>
      </c>
    </row>
    <row r="599" spans="2:10" ht="35.1" customHeight="1" thickBot="1" x14ac:dyDescent="0.3">
      <c r="B599" s="769" t="s">
        <v>6939</v>
      </c>
      <c r="C599" s="1625">
        <v>800000</v>
      </c>
      <c r="D599" s="1626"/>
      <c r="E599" s="769" t="s">
        <v>6939</v>
      </c>
      <c r="F599" s="1625">
        <v>200000</v>
      </c>
      <c r="G599" s="1627"/>
      <c r="H599" s="778" t="s">
        <v>6939</v>
      </c>
      <c r="I599" s="1625">
        <f>DESPORC!I2240</f>
        <v>1.0973403E-2</v>
      </c>
      <c r="J599" s="1627"/>
    </row>
    <row r="600" spans="2:10" ht="35.1" customHeight="1" x14ac:dyDescent="0.25">
      <c r="B600" s="1628" t="s">
        <v>3137</v>
      </c>
      <c r="C600" s="1615" t="str">
        <f>'[3]Anexo I - Programas'!$B$173</f>
        <v>6</v>
      </c>
      <c r="D600" s="1629" t="str">
        <f>'[3]Anexo I - Programas'!$C$173</f>
        <v>PROMOÇÃO E DESENVOLVIMENTO DA EDUCAÇÃO</v>
      </c>
      <c r="E600" s="1628" t="s">
        <v>3137</v>
      </c>
      <c r="F600" s="1615" t="str">
        <f>C600</f>
        <v>6</v>
      </c>
      <c r="G600" s="1617" t="str">
        <f>D600</f>
        <v>PROMOÇÃO E DESENVOLVIMENTO DA EDUCAÇÃO</v>
      </c>
      <c r="H600" s="773" t="s">
        <v>3138</v>
      </c>
      <c r="I600" s="757">
        <f>DESPORC!C2242</f>
        <v>12</v>
      </c>
      <c r="J600" s="765" t="str">
        <f>DESPORC!D2242</f>
        <v>Educação</v>
      </c>
    </row>
    <row r="601" spans="2:10" ht="35.1" customHeight="1" x14ac:dyDescent="0.25">
      <c r="B601" s="1619"/>
      <c r="C601" s="1616"/>
      <c r="D601" s="1630"/>
      <c r="E601" s="1619"/>
      <c r="F601" s="1616"/>
      <c r="G601" s="1618"/>
      <c r="H601" s="774" t="s">
        <v>6940</v>
      </c>
      <c r="I601" s="757">
        <f>DESPORC!C2243</f>
        <v>128</v>
      </c>
      <c r="J601" s="765" t="str">
        <f>DESPORC!D2243</f>
        <v>Formação de Recursos Humanos</v>
      </c>
    </row>
    <row r="602" spans="2:10" ht="35.1" customHeight="1" x14ac:dyDescent="0.25">
      <c r="B602" s="1619" t="s">
        <v>6941</v>
      </c>
      <c r="C602" s="1616">
        <f>'[3]Anexo I - Programas'!$C$216</f>
        <v>2039</v>
      </c>
      <c r="D602" s="1622" t="str">
        <f>'[3]Anexo I - Programas'!$D$216</f>
        <v>Promoção e Desenvolvimento da Educação de Jovens e Adultos</v>
      </c>
      <c r="E602" s="1619" t="s">
        <v>6941</v>
      </c>
      <c r="F602" s="1616">
        <f>C602</f>
        <v>2039</v>
      </c>
      <c r="G602" s="1618" t="str">
        <f>D602</f>
        <v>Promoção e Desenvolvimento da Educação de Jovens e Adultos</v>
      </c>
      <c r="H602" s="775" t="s">
        <v>3137</v>
      </c>
      <c r="I602" s="795" t="str">
        <f>F600</f>
        <v>6</v>
      </c>
      <c r="J602" s="762" t="str">
        <f>G600</f>
        <v>PROMOÇÃO E DESENVOLVIMENTO DA EDUCAÇÃO</v>
      </c>
    </row>
    <row r="603" spans="2:10" ht="35.1" customHeight="1" x14ac:dyDescent="0.25">
      <c r="B603" s="1620"/>
      <c r="C603" s="1621"/>
      <c r="D603" s="1623"/>
      <c r="E603" s="1620"/>
      <c r="F603" s="1621"/>
      <c r="G603" s="1624"/>
      <c r="H603" s="776" t="s">
        <v>6941</v>
      </c>
      <c r="I603" s="796">
        <f>F602</f>
        <v>2039</v>
      </c>
      <c r="J603" s="764" t="str">
        <f>G602</f>
        <v>Promoção e Desenvolvimento da Educação de Jovens e Adultos</v>
      </c>
    </row>
    <row r="604" spans="2:10" ht="35.1" customHeight="1" thickBot="1" x14ac:dyDescent="0.3">
      <c r="B604" s="769" t="s">
        <v>6939</v>
      </c>
      <c r="C604" s="1625">
        <v>800000</v>
      </c>
      <c r="D604" s="1626"/>
      <c r="E604" s="769" t="s">
        <v>6939</v>
      </c>
      <c r="F604" s="1625">
        <v>200000</v>
      </c>
      <c r="G604" s="1627"/>
      <c r="H604" s="778" t="s">
        <v>6939</v>
      </c>
      <c r="I604" s="1625">
        <f>DESPORC!I2245</f>
        <v>0.05</v>
      </c>
      <c r="J604" s="1627"/>
    </row>
    <row r="605" spans="2:10" ht="35.1" customHeight="1" x14ac:dyDescent="0.25">
      <c r="B605" s="1628" t="s">
        <v>3137</v>
      </c>
      <c r="C605" s="1615" t="str">
        <f>'[3]Anexo I - Programas'!$B$173</f>
        <v>6</v>
      </c>
      <c r="D605" s="1629" t="str">
        <f>'[3]Anexo I - Programas'!$C$173</f>
        <v>PROMOÇÃO E DESENVOLVIMENTO DA EDUCAÇÃO</v>
      </c>
      <c r="E605" s="1628" t="s">
        <v>3137</v>
      </c>
      <c r="F605" s="1615" t="str">
        <f>C605</f>
        <v>6</v>
      </c>
      <c r="G605" s="1617" t="str">
        <f>D605</f>
        <v>PROMOÇÃO E DESENVOLVIMENTO DA EDUCAÇÃO</v>
      </c>
      <c r="H605" s="773" t="s">
        <v>3138</v>
      </c>
      <c r="I605" s="757">
        <f>DESPORC!C2251</f>
        <v>12</v>
      </c>
      <c r="J605" s="765" t="str">
        <f>DESPORC!D2251</f>
        <v>Educação</v>
      </c>
    </row>
    <row r="606" spans="2:10" ht="35.1" customHeight="1" x14ac:dyDescent="0.25">
      <c r="B606" s="1619"/>
      <c r="C606" s="1616"/>
      <c r="D606" s="1630"/>
      <c r="E606" s="1619"/>
      <c r="F606" s="1616"/>
      <c r="G606" s="1618"/>
      <c r="H606" s="774" t="s">
        <v>6940</v>
      </c>
      <c r="I606" s="757">
        <f>DESPORC!C2252</f>
        <v>366</v>
      </c>
      <c r="J606" s="765" t="str">
        <f>DESPORC!D2252</f>
        <v>Educação de Jovens e Adultos</v>
      </c>
    </row>
    <row r="607" spans="2:10" ht="35.1" customHeight="1" x14ac:dyDescent="0.25">
      <c r="B607" s="1619" t="s">
        <v>6941</v>
      </c>
      <c r="C607" s="1616">
        <f>'[3]Anexo I - Programas'!$C$216</f>
        <v>2039</v>
      </c>
      <c r="D607" s="1622" t="str">
        <f>'[3]Anexo I - Programas'!$D$216</f>
        <v>Promoção e Desenvolvimento da Educação de Jovens e Adultos</v>
      </c>
      <c r="E607" s="1619" t="s">
        <v>6941</v>
      </c>
      <c r="F607" s="1616">
        <f>C607</f>
        <v>2039</v>
      </c>
      <c r="G607" s="1618" t="str">
        <f>D607</f>
        <v>Promoção e Desenvolvimento da Educação de Jovens e Adultos</v>
      </c>
      <c r="H607" s="775" t="s">
        <v>3137</v>
      </c>
      <c r="I607" s="795" t="str">
        <f>F605</f>
        <v>6</v>
      </c>
      <c r="J607" s="762" t="str">
        <f>G605</f>
        <v>PROMOÇÃO E DESENVOLVIMENTO DA EDUCAÇÃO</v>
      </c>
    </row>
    <row r="608" spans="2:10" ht="35.1" customHeight="1" x14ac:dyDescent="0.25">
      <c r="B608" s="1620"/>
      <c r="C608" s="1621"/>
      <c r="D608" s="1623"/>
      <c r="E608" s="1620"/>
      <c r="F608" s="1621"/>
      <c r="G608" s="1624"/>
      <c r="H608" s="776" t="s">
        <v>6941</v>
      </c>
      <c r="I608" s="796">
        <f>F607</f>
        <v>2039</v>
      </c>
      <c r="J608" s="764" t="str">
        <f>G607</f>
        <v>Promoção e Desenvolvimento da Educação de Jovens e Adultos</v>
      </c>
    </row>
    <row r="609" spans="2:10" ht="35.1" customHeight="1" thickBot="1" x14ac:dyDescent="0.3">
      <c r="B609" s="769" t="s">
        <v>6939</v>
      </c>
      <c r="C609" s="1625">
        <v>800000</v>
      </c>
      <c r="D609" s="1626"/>
      <c r="E609" s="769" t="s">
        <v>6939</v>
      </c>
      <c r="F609" s="1625">
        <v>200000</v>
      </c>
      <c r="G609" s="1627"/>
      <c r="H609" s="778" t="s">
        <v>6939</v>
      </c>
      <c r="I609" s="1625">
        <f>DESPORC!I2254</f>
        <v>309601.86314592429</v>
      </c>
      <c r="J609" s="1627"/>
    </row>
    <row r="610" spans="2:10" ht="35.1" customHeight="1" x14ac:dyDescent="0.25">
      <c r="B610" s="1628" t="s">
        <v>3137</v>
      </c>
      <c r="C610" s="1615" t="str">
        <f>'[3]Anexo I - Programas'!$B$173</f>
        <v>6</v>
      </c>
      <c r="D610" s="1629" t="str">
        <f>'[3]Anexo I - Programas'!$C$173</f>
        <v>PROMOÇÃO E DESENVOLVIMENTO DA EDUCAÇÃO</v>
      </c>
      <c r="E610" s="1628" t="s">
        <v>3137</v>
      </c>
      <c r="F610" s="1615" t="str">
        <f>C610</f>
        <v>6</v>
      </c>
      <c r="G610" s="1617" t="str">
        <f>D610</f>
        <v>PROMOÇÃO E DESENVOLVIMENTO DA EDUCAÇÃO</v>
      </c>
      <c r="H610" s="773" t="s">
        <v>3138</v>
      </c>
      <c r="I610" s="757">
        <f>DESPORC!C2279</f>
        <v>12</v>
      </c>
      <c r="J610" s="765" t="str">
        <f>DESPORC!D2279</f>
        <v>Educação</v>
      </c>
    </row>
    <row r="611" spans="2:10" ht="35.1" customHeight="1" x14ac:dyDescent="0.25">
      <c r="B611" s="1619"/>
      <c r="C611" s="1616"/>
      <c r="D611" s="1630"/>
      <c r="E611" s="1619"/>
      <c r="F611" s="1616"/>
      <c r="G611" s="1618"/>
      <c r="H611" s="774" t="s">
        <v>6940</v>
      </c>
      <c r="I611" s="757">
        <f>DESPORC!C2280</f>
        <v>126</v>
      </c>
      <c r="J611" s="765" t="str">
        <f>DESPORC!D2280</f>
        <v>Tecnologia da Informação</v>
      </c>
    </row>
    <row r="612" spans="2:10" ht="35.1" customHeight="1" x14ac:dyDescent="0.25">
      <c r="B612" s="1619" t="s">
        <v>6941</v>
      </c>
      <c r="C612" s="1616">
        <f>'[3]Anexo I - Programas'!$C$210</f>
        <v>2038</v>
      </c>
      <c r="D612" s="1622" t="str">
        <f>'[3]Anexo I - Programas'!$D$210</f>
        <v>Promoção e Desenvolvimento da Educação Especial</v>
      </c>
      <c r="E612" s="1619" t="s">
        <v>6941</v>
      </c>
      <c r="F612" s="1616">
        <f>C612</f>
        <v>2038</v>
      </c>
      <c r="G612" s="1618" t="str">
        <f>D612</f>
        <v>Promoção e Desenvolvimento da Educação Especial</v>
      </c>
      <c r="H612" s="775" t="s">
        <v>3137</v>
      </c>
      <c r="I612" s="795" t="str">
        <f>F610</f>
        <v>6</v>
      </c>
      <c r="J612" s="762" t="str">
        <f>G610</f>
        <v>PROMOÇÃO E DESENVOLVIMENTO DA EDUCAÇÃO</v>
      </c>
    </row>
    <row r="613" spans="2:10" ht="35.1" customHeight="1" x14ac:dyDescent="0.25">
      <c r="B613" s="1620"/>
      <c r="C613" s="1621"/>
      <c r="D613" s="1623"/>
      <c r="E613" s="1620"/>
      <c r="F613" s="1621"/>
      <c r="G613" s="1624"/>
      <c r="H613" s="776" t="s">
        <v>6941</v>
      </c>
      <c r="I613" s="796">
        <f>F612</f>
        <v>2038</v>
      </c>
      <c r="J613" s="764" t="str">
        <f>G612</f>
        <v>Promoção e Desenvolvimento da Educação Especial</v>
      </c>
    </row>
    <row r="614" spans="2:10" ht="35.1" customHeight="1" thickBot="1" x14ac:dyDescent="0.3">
      <c r="B614" s="769" t="s">
        <v>6939</v>
      </c>
      <c r="C614" s="1625">
        <v>1000000</v>
      </c>
      <c r="D614" s="1626"/>
      <c r="E614" s="769" t="s">
        <v>6939</v>
      </c>
      <c r="F614" s="1625">
        <v>250000</v>
      </c>
      <c r="G614" s="1627"/>
      <c r="H614" s="778" t="s">
        <v>6939</v>
      </c>
      <c r="I614" s="1625">
        <f>DESPORC!I2282</f>
        <v>1.0973403E-2</v>
      </c>
      <c r="J614" s="1627"/>
    </row>
    <row r="615" spans="2:10" ht="35.1" customHeight="1" x14ac:dyDescent="0.25">
      <c r="B615" s="1628" t="s">
        <v>3137</v>
      </c>
      <c r="C615" s="1615" t="str">
        <f>'[3]Anexo I - Programas'!$B$173</f>
        <v>6</v>
      </c>
      <c r="D615" s="1629" t="str">
        <f>'[3]Anexo I - Programas'!$C$173</f>
        <v>PROMOÇÃO E DESENVOLVIMENTO DA EDUCAÇÃO</v>
      </c>
      <c r="E615" s="1628" t="s">
        <v>3137</v>
      </c>
      <c r="F615" s="1615" t="str">
        <f>C615</f>
        <v>6</v>
      </c>
      <c r="G615" s="1617" t="str">
        <f>D615</f>
        <v>PROMOÇÃO E DESENVOLVIMENTO DA EDUCAÇÃO</v>
      </c>
      <c r="H615" s="773" t="s">
        <v>3138</v>
      </c>
      <c r="I615" s="757">
        <f>DESPORC!C2284</f>
        <v>12</v>
      </c>
      <c r="J615" s="765" t="str">
        <f>DESPORC!D2284</f>
        <v>Educação</v>
      </c>
    </row>
    <row r="616" spans="2:10" ht="35.1" customHeight="1" x14ac:dyDescent="0.25">
      <c r="B616" s="1619"/>
      <c r="C616" s="1616"/>
      <c r="D616" s="1630"/>
      <c r="E616" s="1619"/>
      <c r="F616" s="1616"/>
      <c r="G616" s="1618"/>
      <c r="H616" s="774" t="s">
        <v>6940</v>
      </c>
      <c r="I616" s="757">
        <f>DESPORC!C2285</f>
        <v>128</v>
      </c>
      <c r="J616" s="765" t="str">
        <f>DESPORC!D2285</f>
        <v>Formação de Recursos Humanos</v>
      </c>
    </row>
    <row r="617" spans="2:10" ht="35.1" customHeight="1" x14ac:dyDescent="0.25">
      <c r="B617" s="1619" t="s">
        <v>6941</v>
      </c>
      <c r="C617" s="1616">
        <f>'[3]Anexo I - Programas'!$C$210</f>
        <v>2038</v>
      </c>
      <c r="D617" s="1622" t="str">
        <f>'[3]Anexo I - Programas'!$D$210</f>
        <v>Promoção e Desenvolvimento da Educação Especial</v>
      </c>
      <c r="E617" s="1619" t="s">
        <v>6941</v>
      </c>
      <c r="F617" s="1616">
        <f>C617</f>
        <v>2038</v>
      </c>
      <c r="G617" s="1618" t="str">
        <f>D617</f>
        <v>Promoção e Desenvolvimento da Educação Especial</v>
      </c>
      <c r="H617" s="775" t="s">
        <v>3137</v>
      </c>
      <c r="I617" s="795" t="str">
        <f>F615</f>
        <v>6</v>
      </c>
      <c r="J617" s="762" t="str">
        <f>G615</f>
        <v>PROMOÇÃO E DESENVOLVIMENTO DA EDUCAÇÃO</v>
      </c>
    </row>
    <row r="618" spans="2:10" ht="35.1" customHeight="1" x14ac:dyDescent="0.25">
      <c r="B618" s="1620"/>
      <c r="C618" s="1621"/>
      <c r="D618" s="1623"/>
      <c r="E618" s="1620"/>
      <c r="F618" s="1621"/>
      <c r="G618" s="1624"/>
      <c r="H618" s="776" t="s">
        <v>6941</v>
      </c>
      <c r="I618" s="796">
        <f>F617</f>
        <v>2038</v>
      </c>
      <c r="J618" s="764" t="str">
        <f>G617</f>
        <v>Promoção e Desenvolvimento da Educação Especial</v>
      </c>
    </row>
    <row r="619" spans="2:10" ht="35.1" customHeight="1" thickBot="1" x14ac:dyDescent="0.3">
      <c r="B619" s="769" t="s">
        <v>6939</v>
      </c>
      <c r="C619" s="1625">
        <v>1000000</v>
      </c>
      <c r="D619" s="1626"/>
      <c r="E619" s="769" t="s">
        <v>6939</v>
      </c>
      <c r="F619" s="1625">
        <v>250000</v>
      </c>
      <c r="G619" s="1627"/>
      <c r="H619" s="778" t="s">
        <v>6939</v>
      </c>
      <c r="I619" s="1625">
        <f>DESPORC!I2287</f>
        <v>0.05</v>
      </c>
      <c r="J619" s="1627"/>
    </row>
    <row r="620" spans="2:10" ht="35.1" customHeight="1" x14ac:dyDescent="0.25">
      <c r="B620" s="1628" t="s">
        <v>3137</v>
      </c>
      <c r="C620" s="1615" t="str">
        <f>'[3]Anexo I - Programas'!$B$173</f>
        <v>6</v>
      </c>
      <c r="D620" s="1629" t="str">
        <f>'[3]Anexo I - Programas'!$C$173</f>
        <v>PROMOÇÃO E DESENVOLVIMENTO DA EDUCAÇÃO</v>
      </c>
      <c r="E620" s="1628" t="s">
        <v>3137</v>
      </c>
      <c r="F620" s="1615" t="str">
        <f>C620</f>
        <v>6</v>
      </c>
      <c r="G620" s="1617" t="str">
        <f>D620</f>
        <v>PROMOÇÃO E DESENVOLVIMENTO DA EDUCAÇÃO</v>
      </c>
      <c r="H620" s="773" t="s">
        <v>3138</v>
      </c>
      <c r="I620" s="757">
        <f>DESPORC!C2293</f>
        <v>12</v>
      </c>
      <c r="J620" s="765" t="str">
        <f>DESPORC!D2293</f>
        <v>Educação</v>
      </c>
    </row>
    <row r="621" spans="2:10" ht="35.1" customHeight="1" x14ac:dyDescent="0.25">
      <c r="B621" s="1619"/>
      <c r="C621" s="1616"/>
      <c r="D621" s="1630"/>
      <c r="E621" s="1619"/>
      <c r="F621" s="1616"/>
      <c r="G621" s="1618"/>
      <c r="H621" s="774" t="s">
        <v>6940</v>
      </c>
      <c r="I621" s="757">
        <f>DESPORC!C2294</f>
        <v>367</v>
      </c>
      <c r="J621" s="765" t="str">
        <f>DESPORC!D2294</f>
        <v>Educação Especial</v>
      </c>
    </row>
    <row r="622" spans="2:10" ht="35.1" customHeight="1" x14ac:dyDescent="0.25">
      <c r="B622" s="1619" t="s">
        <v>6941</v>
      </c>
      <c r="C622" s="1616">
        <f>'[3]Anexo I - Programas'!$C$210</f>
        <v>2038</v>
      </c>
      <c r="D622" s="1622" t="str">
        <f>'[3]Anexo I - Programas'!$D$210</f>
        <v>Promoção e Desenvolvimento da Educação Especial</v>
      </c>
      <c r="E622" s="1619" t="s">
        <v>6941</v>
      </c>
      <c r="F622" s="1616">
        <f>C622</f>
        <v>2038</v>
      </c>
      <c r="G622" s="1618" t="str">
        <f>D622</f>
        <v>Promoção e Desenvolvimento da Educação Especial</v>
      </c>
      <c r="H622" s="775" t="s">
        <v>3137</v>
      </c>
      <c r="I622" s="795" t="str">
        <f>F620</f>
        <v>6</v>
      </c>
      <c r="J622" s="762" t="str">
        <f>G620</f>
        <v>PROMOÇÃO E DESENVOLVIMENTO DA EDUCAÇÃO</v>
      </c>
    </row>
    <row r="623" spans="2:10" ht="35.1" customHeight="1" x14ac:dyDescent="0.25">
      <c r="B623" s="1620"/>
      <c r="C623" s="1621"/>
      <c r="D623" s="1623"/>
      <c r="E623" s="1620"/>
      <c r="F623" s="1621"/>
      <c r="G623" s="1624"/>
      <c r="H623" s="776" t="s">
        <v>6941</v>
      </c>
      <c r="I623" s="796">
        <f>F622</f>
        <v>2038</v>
      </c>
      <c r="J623" s="764" t="str">
        <f>G622</f>
        <v>Promoção e Desenvolvimento da Educação Especial</v>
      </c>
    </row>
    <row r="624" spans="2:10" ht="35.1" customHeight="1" thickBot="1" x14ac:dyDescent="0.3">
      <c r="B624" s="769" t="s">
        <v>6939</v>
      </c>
      <c r="C624" s="1625">
        <v>1000000</v>
      </c>
      <c r="D624" s="1626"/>
      <c r="E624" s="769" t="s">
        <v>6939</v>
      </c>
      <c r="F624" s="1625">
        <v>250000</v>
      </c>
      <c r="G624" s="1627"/>
      <c r="H624" s="778" t="s">
        <v>6939</v>
      </c>
      <c r="I624" s="1625">
        <f>DESPORC!I2296</f>
        <v>136093.65246089059</v>
      </c>
      <c r="J624" s="1627"/>
    </row>
    <row r="626" spans="2:10" ht="35.1" customHeight="1" x14ac:dyDescent="0.25">
      <c r="B626" s="1631" t="s">
        <v>6927</v>
      </c>
      <c r="C626" s="1631"/>
      <c r="D626" s="755" t="str">
        <f>DESPORC!C2340</f>
        <v>03 - SECRETARIA MUNICIPAL DE EDUCAÇÃO, CULT. E DESPORTO</v>
      </c>
      <c r="E626" s="797"/>
      <c r="F626" s="798"/>
      <c r="G626" s="798"/>
      <c r="H626" s="797"/>
      <c r="I626" s="798"/>
      <c r="J626" s="798"/>
    </row>
    <row r="627" spans="2:10" ht="35.1" customHeight="1" thickBot="1" x14ac:dyDescent="0.3">
      <c r="B627" s="1632" t="s">
        <v>3087</v>
      </c>
      <c r="C627" s="1632"/>
      <c r="D627" s="755" t="str">
        <f>DESPORC!C2341</f>
        <v>04 - DESENVOLVIMENTO DO ENSINO - PROGRAMAS FEDERAIS</v>
      </c>
      <c r="E627" s="797"/>
      <c r="F627" s="36"/>
      <c r="G627" s="1"/>
      <c r="H627" s="772"/>
      <c r="I627" s="1"/>
      <c r="J627" s="1"/>
    </row>
    <row r="628" spans="2:10" ht="35.1" customHeight="1" thickBot="1" x14ac:dyDescent="0.3">
      <c r="B628" s="1776" t="s">
        <v>6955</v>
      </c>
      <c r="C628" s="1777"/>
      <c r="D628" s="1778"/>
      <c r="E628" s="1776" t="str">
        <f>E$12</f>
        <v>PRIORIDADES LDO LEI MUNICIPAL N.º 1215  DE 02 DE OUTUBRO DE 2019.</v>
      </c>
      <c r="F628" s="1777"/>
      <c r="G628" s="1778"/>
      <c r="H628" s="1779" t="s">
        <v>6956</v>
      </c>
      <c r="I628" s="1780"/>
      <c r="J628" s="1781"/>
    </row>
    <row r="629" spans="2:10" ht="35.1" customHeight="1" x14ac:dyDescent="0.25">
      <c r="B629" s="1628" t="s">
        <v>3137</v>
      </c>
      <c r="C629" s="1615" t="str">
        <f>'[3]Anexo I - Programas'!$B$173</f>
        <v>6</v>
      </c>
      <c r="D629" s="1629" t="str">
        <f>'[3]Anexo I - Programas'!$C$173</f>
        <v>PROMOÇÃO E DESENVOLVIMENTO DA EDUCAÇÃO</v>
      </c>
      <c r="E629" s="1628" t="s">
        <v>3137</v>
      </c>
      <c r="F629" s="1615" t="str">
        <f>C629</f>
        <v>6</v>
      </c>
      <c r="G629" s="1617" t="str">
        <f>D629</f>
        <v>PROMOÇÃO E DESENVOLVIMENTO DA EDUCAÇÃO</v>
      </c>
      <c r="H629" s="773" t="s">
        <v>3138</v>
      </c>
      <c r="I629" s="757">
        <f>DESPORC!C2344</f>
        <v>12</v>
      </c>
      <c r="J629" s="765" t="str">
        <f>DESPORC!D2344</f>
        <v>Educação</v>
      </c>
    </row>
    <row r="630" spans="2:10" ht="35.1" customHeight="1" x14ac:dyDescent="0.25">
      <c r="B630" s="1619"/>
      <c r="C630" s="1616"/>
      <c r="D630" s="1630"/>
      <c r="E630" s="1619"/>
      <c r="F630" s="1616"/>
      <c r="G630" s="1618"/>
      <c r="H630" s="774" t="s">
        <v>6940</v>
      </c>
      <c r="I630" s="757">
        <f>DESPORC!C2345</f>
        <v>122</v>
      </c>
      <c r="J630" s="765" t="str">
        <f>DESPORC!D2345</f>
        <v>Administração Geral</v>
      </c>
    </row>
    <row r="631" spans="2:10" ht="35.1" customHeight="1" x14ac:dyDescent="0.25">
      <c r="B631" s="1619" t="s">
        <v>6941</v>
      </c>
      <c r="C631" s="1616">
        <f>'[3]Anexo I - Programas'!$C$182</f>
        <v>1005</v>
      </c>
      <c r="D631" s="1622" t="str">
        <f>'[3]Anexo I - Programas'!$D$182</f>
        <v>Novos Investimentos em Educação</v>
      </c>
      <c r="E631" s="1619" t="s">
        <v>6941</v>
      </c>
      <c r="F631" s="1616">
        <f>C631</f>
        <v>1005</v>
      </c>
      <c r="G631" s="1618" t="str">
        <f>D631</f>
        <v>Novos Investimentos em Educação</v>
      </c>
      <c r="H631" s="775" t="s">
        <v>3137</v>
      </c>
      <c r="I631" s="795" t="str">
        <f>F629</f>
        <v>6</v>
      </c>
      <c r="J631" s="762" t="str">
        <f>G629</f>
        <v>PROMOÇÃO E DESENVOLVIMENTO DA EDUCAÇÃO</v>
      </c>
    </row>
    <row r="632" spans="2:10" ht="35.1" customHeight="1" x14ac:dyDescent="0.25">
      <c r="B632" s="1620"/>
      <c r="C632" s="1621"/>
      <c r="D632" s="1623"/>
      <c r="E632" s="1620"/>
      <c r="F632" s="1621"/>
      <c r="G632" s="1624"/>
      <c r="H632" s="776" t="s">
        <v>6941</v>
      </c>
      <c r="I632" s="796">
        <f>F631</f>
        <v>1005</v>
      </c>
      <c r="J632" s="764" t="str">
        <f>G631</f>
        <v>Novos Investimentos em Educação</v>
      </c>
    </row>
    <row r="633" spans="2:10" ht="35.1" customHeight="1" thickBot="1" x14ac:dyDescent="0.3">
      <c r="B633" s="769" t="s">
        <v>6939</v>
      </c>
      <c r="C633" s="1625">
        <v>200000</v>
      </c>
      <c r="D633" s="1626"/>
      <c r="E633" s="769" t="s">
        <v>6939</v>
      </c>
      <c r="F633" s="1625">
        <v>50000</v>
      </c>
      <c r="G633" s="1627"/>
      <c r="H633" s="778" t="s">
        <v>6939</v>
      </c>
      <c r="I633" s="1625">
        <f>DESPORC!I2347</f>
        <v>1.01</v>
      </c>
      <c r="J633" s="1627"/>
    </row>
    <row r="635" spans="2:10" ht="35.1" customHeight="1" x14ac:dyDescent="0.25">
      <c r="B635" s="1631" t="s">
        <v>6927</v>
      </c>
      <c r="C635" s="1631"/>
      <c r="D635" s="755" t="str">
        <f>DESPORC!C2361</f>
        <v>03 - SECRETARIA MUNICIPAL DE EDUCAÇÃO, CULT. E DESPORTO</v>
      </c>
      <c r="E635" s="797"/>
      <c r="F635" s="798"/>
      <c r="G635" s="798"/>
      <c r="H635" s="797"/>
      <c r="I635" s="798"/>
      <c r="J635" s="798"/>
    </row>
    <row r="636" spans="2:10" ht="35.1" customHeight="1" thickBot="1" x14ac:dyDescent="0.3">
      <c r="B636" s="1632" t="s">
        <v>3087</v>
      </c>
      <c r="C636" s="1632"/>
      <c r="D636" s="755" t="str">
        <f>DESPORC!C2362</f>
        <v>05 - DESENVOLVIMENTO DO ENSINO - RECURSOS LIVRES</v>
      </c>
      <c r="E636" s="797"/>
      <c r="F636" s="36"/>
      <c r="G636" s="1"/>
      <c r="H636" s="772"/>
      <c r="I636" s="1"/>
      <c r="J636" s="1"/>
    </row>
    <row r="637" spans="2:10" ht="35.1" customHeight="1" thickBot="1" x14ac:dyDescent="0.3">
      <c r="B637" s="1776" t="s">
        <v>6955</v>
      </c>
      <c r="C637" s="1777"/>
      <c r="D637" s="1778"/>
      <c r="E637" s="1776" t="str">
        <f>E$12</f>
        <v>PRIORIDADES LDO LEI MUNICIPAL N.º 1215  DE 02 DE OUTUBRO DE 2019.</v>
      </c>
      <c r="F637" s="1777"/>
      <c r="G637" s="1778"/>
      <c r="H637" s="1779" t="s">
        <v>6956</v>
      </c>
      <c r="I637" s="1780"/>
      <c r="J637" s="1781"/>
    </row>
    <row r="638" spans="2:10" ht="35.1" customHeight="1" x14ac:dyDescent="0.25">
      <c r="B638" s="1628" t="s">
        <v>3137</v>
      </c>
      <c r="C638" s="1615" t="str">
        <f>'[3]Anexo I - Programas'!$B$173</f>
        <v>6</v>
      </c>
      <c r="D638" s="1629" t="str">
        <f>'[3]Anexo I - Programas'!$C$173</f>
        <v>PROMOÇÃO E DESENVOLVIMENTO DA EDUCAÇÃO</v>
      </c>
      <c r="E638" s="1628" t="s">
        <v>3137</v>
      </c>
      <c r="F638" s="1615" t="str">
        <f>C638</f>
        <v>6</v>
      </c>
      <c r="G638" s="1617" t="str">
        <f>D638</f>
        <v>PROMOÇÃO E DESENVOLVIMENTO DA EDUCAÇÃO</v>
      </c>
      <c r="H638" s="773" t="s">
        <v>3138</v>
      </c>
      <c r="I638" s="757">
        <f>DESPORC!C2365</f>
        <v>12</v>
      </c>
      <c r="J638" s="765" t="str">
        <f>DESPORC!D2365</f>
        <v>Educação</v>
      </c>
    </row>
    <row r="639" spans="2:10" ht="35.1" customHeight="1" x14ac:dyDescent="0.25">
      <c r="B639" s="1619"/>
      <c r="C639" s="1616"/>
      <c r="D639" s="1630"/>
      <c r="E639" s="1619"/>
      <c r="F639" s="1616"/>
      <c r="G639" s="1618"/>
      <c r="H639" s="774" t="s">
        <v>6940</v>
      </c>
      <c r="I639" s="757">
        <f>DESPORC!C2366</f>
        <v>122</v>
      </c>
      <c r="J639" s="765" t="str">
        <f>DESPORC!D2366</f>
        <v>Administração Geral</v>
      </c>
    </row>
    <row r="640" spans="2:10" ht="35.1" customHeight="1" x14ac:dyDescent="0.25">
      <c r="B640" s="1619" t="s">
        <v>6941</v>
      </c>
      <c r="C640" s="1616">
        <f>'[3]Anexo I - Programas'!$C$182</f>
        <v>1005</v>
      </c>
      <c r="D640" s="1622" t="str">
        <f>'[3]Anexo I - Programas'!$D$182</f>
        <v>Novos Investimentos em Educação</v>
      </c>
      <c r="E640" s="1619" t="s">
        <v>6941</v>
      </c>
      <c r="F640" s="1616">
        <f>C640</f>
        <v>1005</v>
      </c>
      <c r="G640" s="1618" t="str">
        <f>D640</f>
        <v>Novos Investimentos em Educação</v>
      </c>
      <c r="H640" s="775" t="s">
        <v>3137</v>
      </c>
      <c r="I640" s="795" t="str">
        <f>F638</f>
        <v>6</v>
      </c>
      <c r="J640" s="762" t="str">
        <f>G638</f>
        <v>PROMOÇÃO E DESENVOLVIMENTO DA EDUCAÇÃO</v>
      </c>
    </row>
    <row r="641" spans="2:10" ht="35.1" customHeight="1" x14ac:dyDescent="0.25">
      <c r="B641" s="1620"/>
      <c r="C641" s="1621"/>
      <c r="D641" s="1623"/>
      <c r="E641" s="1620"/>
      <c r="F641" s="1621"/>
      <c r="G641" s="1624"/>
      <c r="H641" s="776" t="s">
        <v>6941</v>
      </c>
      <c r="I641" s="796">
        <f>F640</f>
        <v>1005</v>
      </c>
      <c r="J641" s="764" t="str">
        <f>G640</f>
        <v>Novos Investimentos em Educação</v>
      </c>
    </row>
    <row r="642" spans="2:10" ht="35.1" customHeight="1" thickBot="1" x14ac:dyDescent="0.3">
      <c r="B642" s="769" t="s">
        <v>6939</v>
      </c>
      <c r="C642" s="1625">
        <v>200000</v>
      </c>
      <c r="D642" s="1626"/>
      <c r="E642" s="769" t="s">
        <v>6939</v>
      </c>
      <c r="F642" s="1625">
        <v>50000</v>
      </c>
      <c r="G642" s="1627"/>
      <c r="H642" s="778" t="s">
        <v>6939</v>
      </c>
      <c r="I642" s="1625">
        <f>DESPORC!I2367</f>
        <v>81189.728340404501</v>
      </c>
      <c r="J642" s="1627"/>
    </row>
    <row r="643" spans="2:10" ht="35.1" customHeight="1" x14ac:dyDescent="0.25">
      <c r="B643" s="1628" t="s">
        <v>3137</v>
      </c>
      <c r="C643" s="1615" t="str">
        <f>'[3]Anexo I - Programas'!$B$173</f>
        <v>6</v>
      </c>
      <c r="D643" s="1629" t="str">
        <f>'[3]Anexo I - Programas'!$C$173</f>
        <v>PROMOÇÃO E DESENVOLVIMENTO DA EDUCAÇÃO</v>
      </c>
      <c r="E643" s="1628" t="s">
        <v>3137</v>
      </c>
      <c r="F643" s="1615" t="str">
        <f>C643</f>
        <v>6</v>
      </c>
      <c r="G643" s="1617" t="str">
        <f>D643</f>
        <v>PROMOÇÃO E DESENVOLVIMENTO DA EDUCAÇÃO</v>
      </c>
      <c r="H643" s="773" t="s">
        <v>3138</v>
      </c>
      <c r="I643" s="757">
        <f>DESPORC!C2389</f>
        <v>12</v>
      </c>
      <c r="J643" s="765" t="str">
        <f>DESPORC!D2389</f>
        <v>Educação</v>
      </c>
    </row>
    <row r="644" spans="2:10" ht="35.1" customHeight="1" x14ac:dyDescent="0.25">
      <c r="B644" s="1619"/>
      <c r="C644" s="1616"/>
      <c r="D644" s="1630"/>
      <c r="E644" s="1619"/>
      <c r="F644" s="1616"/>
      <c r="G644" s="1618"/>
      <c r="H644" s="774" t="s">
        <v>6940</v>
      </c>
      <c r="I644" s="757">
        <f>DESPORC!C2390</f>
        <v>126</v>
      </c>
      <c r="J644" s="765" t="str">
        <f>DESPORC!D2390</f>
        <v>Tecnologia da Informação</v>
      </c>
    </row>
    <row r="645" spans="2:10" ht="35.1" customHeight="1" x14ac:dyDescent="0.25">
      <c r="B645" s="1619" t="s">
        <v>6941</v>
      </c>
      <c r="C645" s="1616">
        <f>'[3]Anexo I - Programas'!$C$192</f>
        <v>2005</v>
      </c>
      <c r="D645" s="1622" t="str">
        <f>'[3]Anexo I - Programas'!$D$192</f>
        <v>Gestão, Coordenação, e Planejamento Educacional</v>
      </c>
      <c r="E645" s="1619" t="s">
        <v>6941</v>
      </c>
      <c r="F645" s="1616">
        <f>C645</f>
        <v>2005</v>
      </c>
      <c r="G645" s="1618" t="str">
        <f>D645</f>
        <v>Gestão, Coordenação, e Planejamento Educacional</v>
      </c>
      <c r="H645" s="775" t="s">
        <v>3137</v>
      </c>
      <c r="I645" s="795" t="str">
        <f>F643</f>
        <v>6</v>
      </c>
      <c r="J645" s="762" t="str">
        <f>G643</f>
        <v>PROMOÇÃO E DESENVOLVIMENTO DA EDUCAÇÃO</v>
      </c>
    </row>
    <row r="646" spans="2:10" ht="35.1" customHeight="1" x14ac:dyDescent="0.25">
      <c r="B646" s="1620"/>
      <c r="C646" s="1621"/>
      <c r="D646" s="1623"/>
      <c r="E646" s="1620"/>
      <c r="F646" s="1621"/>
      <c r="G646" s="1624"/>
      <c r="H646" s="776" t="s">
        <v>6941</v>
      </c>
      <c r="I646" s="796">
        <f>F645</f>
        <v>2005</v>
      </c>
      <c r="J646" s="764" t="str">
        <f>G645</f>
        <v>Gestão, Coordenação, e Planejamento Educacional</v>
      </c>
    </row>
    <row r="647" spans="2:10" ht="35.1" customHeight="1" thickBot="1" x14ac:dyDescent="0.3">
      <c r="B647" s="769" t="s">
        <v>6939</v>
      </c>
      <c r="C647" s="1625">
        <v>750000</v>
      </c>
      <c r="D647" s="1626"/>
      <c r="E647" s="769" t="s">
        <v>6939</v>
      </c>
      <c r="F647" s="1625">
        <v>187500</v>
      </c>
      <c r="G647" s="1627"/>
      <c r="H647" s="778" t="s">
        <v>6939</v>
      </c>
      <c r="I647" s="1625">
        <f>DESPORC!I2392</f>
        <v>0.01</v>
      </c>
      <c r="J647" s="1627"/>
    </row>
    <row r="648" spans="2:10" ht="35.1" customHeight="1" x14ac:dyDescent="0.25">
      <c r="B648" s="1628" t="s">
        <v>3137</v>
      </c>
      <c r="C648" s="1615" t="str">
        <f>'[3]Anexo I - Programas'!$B$173</f>
        <v>6</v>
      </c>
      <c r="D648" s="1629" t="str">
        <f>'[3]Anexo I - Programas'!$C$173</f>
        <v>PROMOÇÃO E DESENVOLVIMENTO DA EDUCAÇÃO</v>
      </c>
      <c r="E648" s="1628" t="s">
        <v>3137</v>
      </c>
      <c r="F648" s="1615" t="str">
        <f>C648</f>
        <v>6</v>
      </c>
      <c r="G648" s="1617" t="str">
        <f>D648</f>
        <v>PROMOÇÃO E DESENVOLVIMENTO DA EDUCAÇÃO</v>
      </c>
      <c r="H648" s="773" t="s">
        <v>3138</v>
      </c>
      <c r="I648" s="757">
        <f>DESPORC!C2394</f>
        <v>12</v>
      </c>
      <c r="J648" s="765" t="str">
        <f>DESPORC!D2394</f>
        <v>Educação</v>
      </c>
    </row>
    <row r="649" spans="2:10" ht="35.1" customHeight="1" x14ac:dyDescent="0.25">
      <c r="B649" s="1619"/>
      <c r="C649" s="1616"/>
      <c r="D649" s="1630"/>
      <c r="E649" s="1619"/>
      <c r="F649" s="1616"/>
      <c r="G649" s="1618"/>
      <c r="H649" s="774" t="s">
        <v>6940</v>
      </c>
      <c r="I649" s="757">
        <f>DESPORC!C2395</f>
        <v>128</v>
      </c>
      <c r="J649" s="765" t="str">
        <f>DESPORC!D2395</f>
        <v>Formação de Recursos Humanos</v>
      </c>
    </row>
    <row r="650" spans="2:10" ht="35.1" customHeight="1" x14ac:dyDescent="0.25">
      <c r="B650" s="1619" t="s">
        <v>6941</v>
      </c>
      <c r="C650" s="1616">
        <f>'[3]Anexo I - Programas'!$C$192</f>
        <v>2005</v>
      </c>
      <c r="D650" s="1622" t="str">
        <f>'[3]Anexo I - Programas'!$D$192</f>
        <v>Gestão, Coordenação, e Planejamento Educacional</v>
      </c>
      <c r="E650" s="1619" t="s">
        <v>6941</v>
      </c>
      <c r="F650" s="1616">
        <f>C650</f>
        <v>2005</v>
      </c>
      <c r="G650" s="1618" t="str">
        <f>D650</f>
        <v>Gestão, Coordenação, e Planejamento Educacional</v>
      </c>
      <c r="H650" s="775" t="s">
        <v>3137</v>
      </c>
      <c r="I650" s="795" t="str">
        <f>F648</f>
        <v>6</v>
      </c>
      <c r="J650" s="762" t="str">
        <f>G648</f>
        <v>PROMOÇÃO E DESENVOLVIMENTO DA EDUCAÇÃO</v>
      </c>
    </row>
    <row r="651" spans="2:10" ht="35.1" customHeight="1" x14ac:dyDescent="0.25">
      <c r="B651" s="1620"/>
      <c r="C651" s="1621"/>
      <c r="D651" s="1623"/>
      <c r="E651" s="1620"/>
      <c r="F651" s="1621"/>
      <c r="G651" s="1624"/>
      <c r="H651" s="776" t="s">
        <v>6941</v>
      </c>
      <c r="I651" s="796">
        <f>F650</f>
        <v>2005</v>
      </c>
      <c r="J651" s="764" t="str">
        <f>G650</f>
        <v>Gestão, Coordenação, e Planejamento Educacional</v>
      </c>
    </row>
    <row r="652" spans="2:10" ht="35.1" customHeight="1" thickBot="1" x14ac:dyDescent="0.3">
      <c r="B652" s="769" t="s">
        <v>6939</v>
      </c>
      <c r="C652" s="1625">
        <v>750000</v>
      </c>
      <c r="D652" s="1626"/>
      <c r="E652" s="769" t="s">
        <v>6939</v>
      </c>
      <c r="F652" s="1625">
        <v>187500</v>
      </c>
      <c r="G652" s="1627"/>
      <c r="H652" s="778" t="s">
        <v>6939</v>
      </c>
      <c r="I652" s="1625">
        <f>DESPORC!I2397</f>
        <v>0.05</v>
      </c>
      <c r="J652" s="1627"/>
    </row>
    <row r="653" spans="2:10" ht="35.1" customHeight="1" x14ac:dyDescent="0.25">
      <c r="J653" s="15"/>
    </row>
    <row r="654" spans="2:10" ht="35.1" customHeight="1" x14ac:dyDescent="0.25">
      <c r="B654" s="1631" t="s">
        <v>6927</v>
      </c>
      <c r="C654" s="1631"/>
      <c r="D654" s="755" t="str">
        <f>DESPORC!C2408</f>
        <v>03 - SECRETARIA MUNICIPAL DE EDUCAÇÃO, CULT. E DESPORTO</v>
      </c>
      <c r="E654" s="797"/>
      <c r="F654" s="798"/>
      <c r="G654" s="798"/>
      <c r="H654" s="797"/>
      <c r="I654" s="798"/>
      <c r="J654" s="798"/>
    </row>
    <row r="655" spans="2:10" ht="35.1" customHeight="1" thickBot="1" x14ac:dyDescent="0.3">
      <c r="B655" s="1632" t="s">
        <v>3087</v>
      </c>
      <c r="C655" s="1632"/>
      <c r="D655" s="755" t="str">
        <f>DESPORC!C2409</f>
        <v>06 - DEPARTAMENTO DE ALIMENTAÇÃO E NUTRIÇÃO ESCOLAR</v>
      </c>
      <c r="E655" s="797"/>
      <c r="F655" s="36"/>
      <c r="G655" s="1"/>
      <c r="H655" s="772"/>
      <c r="I655" s="1"/>
      <c r="J655" s="1"/>
    </row>
    <row r="656" spans="2:10" ht="35.1" customHeight="1" thickBot="1" x14ac:dyDescent="0.3">
      <c r="B656" s="1776" t="s">
        <v>6955</v>
      </c>
      <c r="C656" s="1777"/>
      <c r="D656" s="1778"/>
      <c r="E656" s="1776" t="str">
        <f>E$12</f>
        <v>PRIORIDADES LDO LEI MUNICIPAL N.º 1215  DE 02 DE OUTUBRO DE 2019.</v>
      </c>
      <c r="F656" s="1777"/>
      <c r="G656" s="1778"/>
      <c r="H656" s="1779" t="s">
        <v>6956</v>
      </c>
      <c r="I656" s="1780"/>
      <c r="J656" s="1781"/>
    </row>
    <row r="657" spans="2:10" ht="35.1" customHeight="1" x14ac:dyDescent="0.25">
      <c r="B657" s="1628" t="s">
        <v>3137</v>
      </c>
      <c r="C657" s="1615" t="str">
        <f>'[3]Anexo I - Programas'!$B$173</f>
        <v>6</v>
      </c>
      <c r="D657" s="1629" t="str">
        <f>'[3]Anexo I - Programas'!$C$173</f>
        <v>PROMOÇÃO E DESENVOLVIMENTO DA EDUCAÇÃO</v>
      </c>
      <c r="E657" s="1628" t="s">
        <v>3137</v>
      </c>
      <c r="F657" s="1615" t="str">
        <f>C657</f>
        <v>6</v>
      </c>
      <c r="G657" s="1617" t="str">
        <f>D657</f>
        <v>PROMOÇÃO E DESENVOLVIMENTO DA EDUCAÇÃO</v>
      </c>
      <c r="H657" s="773" t="s">
        <v>3138</v>
      </c>
      <c r="I657" s="757">
        <f>DESPORC!C2412</f>
        <v>12</v>
      </c>
      <c r="J657" s="765" t="str">
        <f>DESPORC!D2412</f>
        <v>Educação</v>
      </c>
    </row>
    <row r="658" spans="2:10" ht="35.1" customHeight="1" x14ac:dyDescent="0.25">
      <c r="B658" s="1619"/>
      <c r="C658" s="1616"/>
      <c r="D658" s="1630"/>
      <c r="E658" s="1619"/>
      <c r="F658" s="1616"/>
      <c r="G658" s="1618"/>
      <c r="H658" s="774" t="s">
        <v>6940</v>
      </c>
      <c r="I658" s="757">
        <f>DESPORC!C2413</f>
        <v>122</v>
      </c>
      <c r="J658" s="765" t="str">
        <f>DESPORC!D2413</f>
        <v>Administração Geral</v>
      </c>
    </row>
    <row r="659" spans="2:10" ht="35.1" customHeight="1" x14ac:dyDescent="0.25">
      <c r="B659" s="1619" t="s">
        <v>6941</v>
      </c>
      <c r="C659" s="1616">
        <f>'[3]Anexo I - Programas'!$C$182</f>
        <v>1005</v>
      </c>
      <c r="D659" s="1622" t="str">
        <f>'[3]Anexo I - Programas'!$D$182</f>
        <v>Novos Investimentos em Educação</v>
      </c>
      <c r="E659" s="1619" t="s">
        <v>6941</v>
      </c>
      <c r="F659" s="1616">
        <f>C659</f>
        <v>1005</v>
      </c>
      <c r="G659" s="1618" t="str">
        <f>D659</f>
        <v>Novos Investimentos em Educação</v>
      </c>
      <c r="H659" s="775" t="s">
        <v>3137</v>
      </c>
      <c r="I659" s="795" t="str">
        <f>F657</f>
        <v>6</v>
      </c>
      <c r="J659" s="762" t="str">
        <f>G657</f>
        <v>PROMOÇÃO E DESENVOLVIMENTO DA EDUCAÇÃO</v>
      </c>
    </row>
    <row r="660" spans="2:10" ht="35.1" customHeight="1" x14ac:dyDescent="0.25">
      <c r="B660" s="1620"/>
      <c r="C660" s="1621"/>
      <c r="D660" s="1623"/>
      <c r="E660" s="1620"/>
      <c r="F660" s="1621"/>
      <c r="G660" s="1624"/>
      <c r="H660" s="776" t="s">
        <v>6941</v>
      </c>
      <c r="I660" s="796">
        <f>F659</f>
        <v>1005</v>
      </c>
      <c r="J660" s="764" t="str">
        <f>G659</f>
        <v>Novos Investimentos em Educação</v>
      </c>
    </row>
    <row r="661" spans="2:10" ht="35.1" customHeight="1" thickBot="1" x14ac:dyDescent="0.3">
      <c r="B661" s="769" t="s">
        <v>6939</v>
      </c>
      <c r="C661" s="1625">
        <v>200000</v>
      </c>
      <c r="D661" s="1626"/>
      <c r="E661" s="769" t="s">
        <v>6939</v>
      </c>
      <c r="F661" s="1625">
        <v>50000</v>
      </c>
      <c r="G661" s="1627"/>
      <c r="H661" s="778" t="s">
        <v>6939</v>
      </c>
      <c r="I661" s="1625">
        <f>DESPORC!I2415</f>
        <v>6.0000000000000005E-2</v>
      </c>
      <c r="J661" s="1627"/>
    </row>
    <row r="662" spans="2:10" ht="35.1" customHeight="1" x14ac:dyDescent="0.25">
      <c r="B662" s="1628" t="s">
        <v>3137</v>
      </c>
      <c r="C662" s="1615" t="str">
        <f>'[3]Anexo I - Programas'!$B$261</f>
        <v>7</v>
      </c>
      <c r="D662" s="1629" t="str">
        <f>'[3]Anexo I - Programas'!$C$261</f>
        <v xml:space="preserve">PROGRAMA DE NUTRIÇÃO E ALIMENTAÇÃO ESCOLAR </v>
      </c>
      <c r="E662" s="1628" t="s">
        <v>3137</v>
      </c>
      <c r="F662" s="1615" t="str">
        <f>C662</f>
        <v>7</v>
      </c>
      <c r="G662" s="1617" t="str">
        <f>D662</f>
        <v xml:space="preserve">PROGRAMA DE NUTRIÇÃO E ALIMENTAÇÃO ESCOLAR </v>
      </c>
      <c r="H662" s="773" t="s">
        <v>3138</v>
      </c>
      <c r="I662" s="757">
        <f>DESPORC!C2422</f>
        <v>12</v>
      </c>
      <c r="J662" s="765" t="str">
        <f>DESPORC!D2422</f>
        <v>Educação</v>
      </c>
    </row>
    <row r="663" spans="2:10" ht="35.1" customHeight="1" x14ac:dyDescent="0.25">
      <c r="B663" s="1619"/>
      <c r="C663" s="1616"/>
      <c r="D663" s="1630"/>
      <c r="E663" s="1619"/>
      <c r="F663" s="1616"/>
      <c r="G663" s="1618"/>
      <c r="H663" s="774" t="s">
        <v>6940</v>
      </c>
      <c r="I663" s="757">
        <f>DESPORC!C2423</f>
        <v>306</v>
      </c>
      <c r="J663" s="765" t="str">
        <f>DESPORC!D2423</f>
        <v>Alimentação e Nutrição</v>
      </c>
    </row>
    <row r="664" spans="2:10" ht="35.1" customHeight="1" x14ac:dyDescent="0.25">
      <c r="B664" s="1619" t="s">
        <v>6941</v>
      </c>
      <c r="C664" s="1616">
        <f>'[3]Anexo I - Programas'!$C$270</f>
        <v>1006</v>
      </c>
      <c r="D664" s="1622" t="str">
        <f>'[3]Anexo I - Programas'!$D$270</f>
        <v>Novos Investimentos em  Alimentação e Nutrição</v>
      </c>
      <c r="E664" s="1619" t="s">
        <v>6941</v>
      </c>
      <c r="F664" s="1616">
        <f>C664</f>
        <v>1006</v>
      </c>
      <c r="G664" s="1618" t="str">
        <f>D664</f>
        <v>Novos Investimentos em  Alimentação e Nutrição</v>
      </c>
      <c r="H664" s="775" t="s">
        <v>3137</v>
      </c>
      <c r="I664" s="795" t="str">
        <f>F662</f>
        <v>7</v>
      </c>
      <c r="J664" s="762" t="str">
        <f>G662</f>
        <v xml:space="preserve">PROGRAMA DE NUTRIÇÃO E ALIMENTAÇÃO ESCOLAR </v>
      </c>
    </row>
    <row r="665" spans="2:10" ht="35.1" customHeight="1" x14ac:dyDescent="0.25">
      <c r="B665" s="1620"/>
      <c r="C665" s="1621"/>
      <c r="D665" s="1623"/>
      <c r="E665" s="1620"/>
      <c r="F665" s="1621"/>
      <c r="G665" s="1624"/>
      <c r="H665" s="776" t="s">
        <v>6941</v>
      </c>
      <c r="I665" s="796">
        <f>F664</f>
        <v>1006</v>
      </c>
      <c r="J665" s="764" t="str">
        <f>G664</f>
        <v>Novos Investimentos em  Alimentação e Nutrição</v>
      </c>
    </row>
    <row r="666" spans="2:10" ht="35.1" customHeight="1" thickBot="1" x14ac:dyDescent="0.3">
      <c r="B666" s="769" t="s">
        <v>6939</v>
      </c>
      <c r="C666" s="1625">
        <v>50000</v>
      </c>
      <c r="D666" s="1626"/>
      <c r="E666" s="769" t="s">
        <v>6939</v>
      </c>
      <c r="F666" s="1625">
        <v>12500</v>
      </c>
      <c r="G666" s="1627"/>
      <c r="H666" s="778" t="s">
        <v>6939</v>
      </c>
      <c r="I666" s="1625">
        <f>DESPORC!I2425</f>
        <v>6.0000000000000005E-2</v>
      </c>
      <c r="J666" s="1627"/>
    </row>
    <row r="667" spans="2:10" ht="35.1" customHeight="1" x14ac:dyDescent="0.25">
      <c r="B667" s="1628" t="s">
        <v>3137</v>
      </c>
      <c r="C667" s="1615" t="str">
        <f>'[3]Anexo I - Programas'!$B$261</f>
        <v>7</v>
      </c>
      <c r="D667" s="1629" t="str">
        <f>'[3]Anexo I - Programas'!$C$261</f>
        <v xml:space="preserve">PROGRAMA DE NUTRIÇÃO E ALIMENTAÇÃO ESCOLAR </v>
      </c>
      <c r="E667" s="1628" t="s">
        <v>3137</v>
      </c>
      <c r="F667" s="1615" t="str">
        <f>C667</f>
        <v>7</v>
      </c>
      <c r="G667" s="1617" t="str">
        <f>D667</f>
        <v xml:space="preserve">PROGRAMA DE NUTRIÇÃO E ALIMENTAÇÃO ESCOLAR </v>
      </c>
      <c r="H667" s="773" t="s">
        <v>3138</v>
      </c>
      <c r="I667" s="757">
        <f>DESPORC!C2432</f>
        <v>12</v>
      </c>
      <c r="J667" s="765" t="str">
        <f>DESPORC!D2432</f>
        <v>Educação</v>
      </c>
    </row>
    <row r="668" spans="2:10" ht="35.1" customHeight="1" x14ac:dyDescent="0.25">
      <c r="B668" s="1619"/>
      <c r="C668" s="1616"/>
      <c r="D668" s="1630"/>
      <c r="E668" s="1619"/>
      <c r="F668" s="1616"/>
      <c r="G668" s="1618"/>
      <c r="H668" s="774" t="s">
        <v>6940</v>
      </c>
      <c r="I668" s="757">
        <f>DESPORC!C2433</f>
        <v>122</v>
      </c>
      <c r="J668" s="765" t="str">
        <f>DESPORC!D2433</f>
        <v>Administração Geral</v>
      </c>
    </row>
    <row r="669" spans="2:10" ht="35.1" customHeight="1" x14ac:dyDescent="0.25">
      <c r="B669" s="1619" t="s">
        <v>6941</v>
      </c>
      <c r="C669" s="1616">
        <f>'[3]Anexo I - Programas'!$C$275</f>
        <v>2007</v>
      </c>
      <c r="D669" s="1622" t="str">
        <f>'[3]Anexo I - Programas'!$D$275</f>
        <v>Promoção e Desenvolvimento da Alimentação Escolar</v>
      </c>
      <c r="E669" s="1619" t="s">
        <v>6941</v>
      </c>
      <c r="F669" s="1616">
        <f>C669</f>
        <v>2007</v>
      </c>
      <c r="G669" s="1618" t="str">
        <f>D669</f>
        <v>Promoção e Desenvolvimento da Alimentação Escolar</v>
      </c>
      <c r="H669" s="775" t="s">
        <v>3137</v>
      </c>
      <c r="I669" s="795" t="str">
        <f>F667</f>
        <v>7</v>
      </c>
      <c r="J669" s="762" t="str">
        <f>G667</f>
        <v xml:space="preserve">PROGRAMA DE NUTRIÇÃO E ALIMENTAÇÃO ESCOLAR </v>
      </c>
    </row>
    <row r="670" spans="2:10" ht="35.1" customHeight="1" x14ac:dyDescent="0.25">
      <c r="B670" s="1620"/>
      <c r="C670" s="1621"/>
      <c r="D670" s="1623"/>
      <c r="E670" s="1620"/>
      <c r="F670" s="1621"/>
      <c r="G670" s="1624"/>
      <c r="H670" s="776" t="s">
        <v>6941</v>
      </c>
      <c r="I670" s="796">
        <f>F669</f>
        <v>2007</v>
      </c>
      <c r="J670" s="764" t="str">
        <f>G669</f>
        <v>Promoção e Desenvolvimento da Alimentação Escolar</v>
      </c>
    </row>
    <row r="671" spans="2:10" ht="35.1" customHeight="1" thickBot="1" x14ac:dyDescent="0.3">
      <c r="B671" s="769" t="s">
        <v>6939</v>
      </c>
      <c r="C671" s="1625">
        <v>800000</v>
      </c>
      <c r="D671" s="1626"/>
      <c r="E671" s="769" t="s">
        <v>6939</v>
      </c>
      <c r="F671" s="1625">
        <v>200000</v>
      </c>
      <c r="G671" s="1627"/>
      <c r="H671" s="778" t="s">
        <v>6939</v>
      </c>
      <c r="I671" s="1625">
        <f>DESPORC!I2435</f>
        <v>70267.094339348201</v>
      </c>
      <c r="J671" s="1627"/>
    </row>
    <row r="672" spans="2:10" ht="35.1" customHeight="1" x14ac:dyDescent="0.25">
      <c r="B672" s="1628" t="s">
        <v>3137</v>
      </c>
      <c r="C672" s="1615" t="str">
        <f>'[3]Anexo I - Programas'!$B$261</f>
        <v>7</v>
      </c>
      <c r="D672" s="1629" t="str">
        <f>'[3]Anexo I - Programas'!$C$261</f>
        <v xml:space="preserve">PROGRAMA DE NUTRIÇÃO E ALIMENTAÇÃO ESCOLAR </v>
      </c>
      <c r="E672" s="1628" t="s">
        <v>3137</v>
      </c>
      <c r="F672" s="1615" t="str">
        <f>C672</f>
        <v>7</v>
      </c>
      <c r="G672" s="1617" t="str">
        <f>D672</f>
        <v xml:space="preserve">PROGRAMA DE NUTRIÇÃO E ALIMENTAÇÃO ESCOLAR </v>
      </c>
      <c r="H672" s="773" t="s">
        <v>3138</v>
      </c>
      <c r="I672" s="757">
        <f>DESPORC!C2456</f>
        <v>12</v>
      </c>
      <c r="J672" s="765" t="str">
        <f>DESPORC!D2456</f>
        <v>Educação</v>
      </c>
    </row>
    <row r="673" spans="2:10" ht="35.1" customHeight="1" x14ac:dyDescent="0.25">
      <c r="B673" s="1619"/>
      <c r="C673" s="1616"/>
      <c r="D673" s="1630"/>
      <c r="E673" s="1619"/>
      <c r="F673" s="1616"/>
      <c r="G673" s="1618"/>
      <c r="H673" s="774" t="s">
        <v>6940</v>
      </c>
      <c r="I673" s="757">
        <f>DESPORC!C2457</f>
        <v>126</v>
      </c>
      <c r="J673" s="765" t="str">
        <f>DESPORC!D2457</f>
        <v>Tecnologia da Informação</v>
      </c>
    </row>
    <row r="674" spans="2:10" ht="35.1" customHeight="1" x14ac:dyDescent="0.25">
      <c r="B674" s="1619" t="s">
        <v>6941</v>
      </c>
      <c r="C674" s="1616">
        <f>'[3]Anexo I - Programas'!$C$275</f>
        <v>2007</v>
      </c>
      <c r="D674" s="1622" t="str">
        <f>'[3]Anexo I - Programas'!$D$275</f>
        <v>Promoção e Desenvolvimento da Alimentação Escolar</v>
      </c>
      <c r="E674" s="1619" t="s">
        <v>6941</v>
      </c>
      <c r="F674" s="1616">
        <f>C674</f>
        <v>2007</v>
      </c>
      <c r="G674" s="1618" t="str">
        <f>D674</f>
        <v>Promoção e Desenvolvimento da Alimentação Escolar</v>
      </c>
      <c r="H674" s="775" t="s">
        <v>3137</v>
      </c>
      <c r="I674" s="795" t="str">
        <f>F672</f>
        <v>7</v>
      </c>
      <c r="J674" s="762" t="str">
        <f>G672</f>
        <v xml:space="preserve">PROGRAMA DE NUTRIÇÃO E ALIMENTAÇÃO ESCOLAR </v>
      </c>
    </row>
    <row r="675" spans="2:10" ht="35.1" customHeight="1" x14ac:dyDescent="0.25">
      <c r="B675" s="1620"/>
      <c r="C675" s="1621"/>
      <c r="D675" s="1623"/>
      <c r="E675" s="1620"/>
      <c r="F675" s="1621"/>
      <c r="G675" s="1624"/>
      <c r="H675" s="776" t="s">
        <v>6941</v>
      </c>
      <c r="I675" s="796">
        <f>F674</f>
        <v>2007</v>
      </c>
      <c r="J675" s="764" t="str">
        <f>G674</f>
        <v>Promoção e Desenvolvimento da Alimentação Escolar</v>
      </c>
    </row>
    <row r="676" spans="2:10" ht="35.1" customHeight="1" thickBot="1" x14ac:dyDescent="0.3">
      <c r="B676" s="769" t="s">
        <v>6939</v>
      </c>
      <c r="C676" s="1625">
        <v>800000</v>
      </c>
      <c r="D676" s="1626"/>
      <c r="E676" s="769" t="s">
        <v>6939</v>
      </c>
      <c r="F676" s="1625">
        <v>200000</v>
      </c>
      <c r="G676" s="1627"/>
      <c r="H676" s="778" t="s">
        <v>6939</v>
      </c>
      <c r="I676" s="1625">
        <f>DESPORC!I2455</f>
        <v>0.01</v>
      </c>
      <c r="J676" s="1627"/>
    </row>
    <row r="677" spans="2:10" ht="35.1" customHeight="1" x14ac:dyDescent="0.25">
      <c r="B677" s="1628" t="s">
        <v>3137</v>
      </c>
      <c r="C677" s="1615" t="str">
        <f>'[3]Anexo I - Programas'!$B$261</f>
        <v>7</v>
      </c>
      <c r="D677" s="1629" t="str">
        <f>'[3]Anexo I - Programas'!$C$261</f>
        <v xml:space="preserve">PROGRAMA DE NUTRIÇÃO E ALIMENTAÇÃO ESCOLAR </v>
      </c>
      <c r="E677" s="1628" t="s">
        <v>3137</v>
      </c>
      <c r="F677" s="1615" t="str">
        <f>C677</f>
        <v>7</v>
      </c>
      <c r="G677" s="1617" t="str">
        <f>D677</f>
        <v xml:space="preserve">PROGRAMA DE NUTRIÇÃO E ALIMENTAÇÃO ESCOLAR </v>
      </c>
      <c r="H677" s="773" t="s">
        <v>3138</v>
      </c>
      <c r="I677" s="757">
        <f>DESPORC!C2461</f>
        <v>12</v>
      </c>
      <c r="J677" s="765" t="str">
        <f>DESPORC!D2461</f>
        <v>Educação</v>
      </c>
    </row>
    <row r="678" spans="2:10" ht="35.1" customHeight="1" x14ac:dyDescent="0.25">
      <c r="B678" s="1619"/>
      <c r="C678" s="1616"/>
      <c r="D678" s="1630"/>
      <c r="E678" s="1619"/>
      <c r="F678" s="1616"/>
      <c r="G678" s="1618"/>
      <c r="H678" s="774" t="s">
        <v>6940</v>
      </c>
      <c r="I678" s="757">
        <f>DESPORC!C2462</f>
        <v>128</v>
      </c>
      <c r="J678" s="765" t="str">
        <f>DESPORC!D2462</f>
        <v>Formação de Recursos Humanos</v>
      </c>
    </row>
    <row r="679" spans="2:10" ht="35.1" customHeight="1" x14ac:dyDescent="0.25">
      <c r="B679" s="1619" t="s">
        <v>6941</v>
      </c>
      <c r="C679" s="1616">
        <f>'[3]Anexo I - Programas'!$C$275</f>
        <v>2007</v>
      </c>
      <c r="D679" s="1622" t="str">
        <f>'[3]Anexo I - Programas'!$D$275</f>
        <v>Promoção e Desenvolvimento da Alimentação Escolar</v>
      </c>
      <c r="E679" s="1619" t="s">
        <v>6941</v>
      </c>
      <c r="F679" s="1616">
        <f>C679</f>
        <v>2007</v>
      </c>
      <c r="G679" s="1618" t="str">
        <f>D679</f>
        <v>Promoção e Desenvolvimento da Alimentação Escolar</v>
      </c>
      <c r="H679" s="775" t="s">
        <v>3137</v>
      </c>
      <c r="I679" s="795" t="str">
        <f>F677</f>
        <v>7</v>
      </c>
      <c r="J679" s="762" t="str">
        <f>G677</f>
        <v xml:space="preserve">PROGRAMA DE NUTRIÇÃO E ALIMENTAÇÃO ESCOLAR </v>
      </c>
    </row>
    <row r="680" spans="2:10" ht="35.1" customHeight="1" x14ac:dyDescent="0.25">
      <c r="B680" s="1620"/>
      <c r="C680" s="1621"/>
      <c r="D680" s="1623"/>
      <c r="E680" s="1620"/>
      <c r="F680" s="1621"/>
      <c r="G680" s="1624"/>
      <c r="H680" s="776" t="s">
        <v>6941</v>
      </c>
      <c r="I680" s="796">
        <f>F679</f>
        <v>2007</v>
      </c>
      <c r="J680" s="764" t="str">
        <f>G679</f>
        <v>Promoção e Desenvolvimento da Alimentação Escolar</v>
      </c>
    </row>
    <row r="681" spans="2:10" ht="35.1" customHeight="1" thickBot="1" x14ac:dyDescent="0.3">
      <c r="B681" s="769" t="s">
        <v>6939</v>
      </c>
      <c r="C681" s="1625">
        <v>800000</v>
      </c>
      <c r="D681" s="1626"/>
      <c r="E681" s="769" t="s">
        <v>6939</v>
      </c>
      <c r="F681" s="1625">
        <v>200000</v>
      </c>
      <c r="G681" s="1627"/>
      <c r="H681" s="778" t="s">
        <v>6939</v>
      </c>
      <c r="I681" s="1625">
        <f>DESPORC!I2464</f>
        <v>0.05</v>
      </c>
      <c r="J681" s="1627"/>
    </row>
    <row r="682" spans="2:10" ht="35.1" customHeight="1" x14ac:dyDescent="0.25">
      <c r="B682" s="1628" t="s">
        <v>3137</v>
      </c>
      <c r="C682" s="1615" t="str">
        <f>'[3]Anexo I - Programas'!$B$261</f>
        <v>7</v>
      </c>
      <c r="D682" s="1629" t="str">
        <f>'[3]Anexo I - Programas'!$C$261</f>
        <v xml:space="preserve">PROGRAMA DE NUTRIÇÃO E ALIMENTAÇÃO ESCOLAR </v>
      </c>
      <c r="E682" s="1628" t="s">
        <v>3137</v>
      </c>
      <c r="F682" s="1615" t="str">
        <f>C682</f>
        <v>7</v>
      </c>
      <c r="G682" s="1617" t="str">
        <f>D682</f>
        <v xml:space="preserve">PROGRAMA DE NUTRIÇÃO E ALIMENTAÇÃO ESCOLAR </v>
      </c>
      <c r="H682" s="773" t="s">
        <v>3138</v>
      </c>
      <c r="I682" s="757">
        <f>DESPORC!C2470</f>
        <v>12</v>
      </c>
      <c r="J682" s="765" t="str">
        <f>DESPORC!D2470</f>
        <v>Educação</v>
      </c>
    </row>
    <row r="683" spans="2:10" ht="35.1" customHeight="1" x14ac:dyDescent="0.25">
      <c r="B683" s="1619"/>
      <c r="C683" s="1616"/>
      <c r="D683" s="1630"/>
      <c r="E683" s="1619"/>
      <c r="F683" s="1616"/>
      <c r="G683" s="1618"/>
      <c r="H683" s="774" t="s">
        <v>6940</v>
      </c>
      <c r="I683" s="757">
        <f>DESPORC!C2471</f>
        <v>306</v>
      </c>
      <c r="J683" s="765" t="str">
        <f>DESPORC!D2471</f>
        <v>Alimentação e Nutrição</v>
      </c>
    </row>
    <row r="684" spans="2:10" ht="35.1" customHeight="1" x14ac:dyDescent="0.25">
      <c r="B684" s="1619" t="s">
        <v>6941</v>
      </c>
      <c r="C684" s="1616">
        <f>'[3]Anexo I - Programas'!$C$275</f>
        <v>2007</v>
      </c>
      <c r="D684" s="1622" t="str">
        <f>'[3]Anexo I - Programas'!$D$275</f>
        <v>Promoção e Desenvolvimento da Alimentação Escolar</v>
      </c>
      <c r="E684" s="1619" t="s">
        <v>6941</v>
      </c>
      <c r="F684" s="1616">
        <f>C684</f>
        <v>2007</v>
      </c>
      <c r="G684" s="1618" t="str">
        <f>D684</f>
        <v>Promoção e Desenvolvimento da Alimentação Escolar</v>
      </c>
      <c r="H684" s="775" t="s">
        <v>3137</v>
      </c>
      <c r="I684" s="795" t="str">
        <f>F682</f>
        <v>7</v>
      </c>
      <c r="J684" s="762" t="str">
        <f>G682</f>
        <v xml:space="preserve">PROGRAMA DE NUTRIÇÃO E ALIMENTAÇÃO ESCOLAR </v>
      </c>
    </row>
    <row r="685" spans="2:10" ht="35.1" customHeight="1" x14ac:dyDescent="0.25">
      <c r="B685" s="1620"/>
      <c r="C685" s="1621"/>
      <c r="D685" s="1623"/>
      <c r="E685" s="1620"/>
      <c r="F685" s="1621"/>
      <c r="G685" s="1624"/>
      <c r="H685" s="776" t="s">
        <v>6941</v>
      </c>
      <c r="I685" s="796">
        <f>F684</f>
        <v>2007</v>
      </c>
      <c r="J685" s="764" t="str">
        <f>G684</f>
        <v>Promoção e Desenvolvimento da Alimentação Escolar</v>
      </c>
    </row>
    <row r="686" spans="2:10" ht="35.1" customHeight="1" thickBot="1" x14ac:dyDescent="0.3">
      <c r="B686" s="769" t="s">
        <v>6939</v>
      </c>
      <c r="C686" s="1625">
        <v>800000</v>
      </c>
      <c r="D686" s="1626"/>
      <c r="E686" s="769" t="s">
        <v>6939</v>
      </c>
      <c r="F686" s="1625">
        <v>200000</v>
      </c>
      <c r="G686" s="1627"/>
      <c r="H686" s="778" t="s">
        <v>6939</v>
      </c>
      <c r="I686" s="1625">
        <f>DESPORC!I2473</f>
        <v>127691.10199611956</v>
      </c>
      <c r="J686" s="1627"/>
    </row>
    <row r="687" spans="2:10" ht="35.1" customHeight="1" x14ac:dyDescent="0.25">
      <c r="J687" s="15"/>
    </row>
    <row r="696" spans="2:10" ht="35.1" customHeight="1" x14ac:dyDescent="0.25">
      <c r="B696" s="1631" t="s">
        <v>6927</v>
      </c>
      <c r="C696" s="1631"/>
      <c r="D696" s="755" t="str">
        <f>DESPORC!C2491</f>
        <v>03 - SECRETARIA MUNICIPAL DE EDUCAÇÃO, CULT. E DESPORTO</v>
      </c>
      <c r="E696" s="797"/>
      <c r="F696" s="798"/>
      <c r="G696" s="798"/>
      <c r="H696" s="797"/>
      <c r="I696" s="798"/>
      <c r="J696" s="798"/>
    </row>
    <row r="697" spans="2:10" ht="35.1" customHeight="1" thickBot="1" x14ac:dyDescent="0.3">
      <c r="B697" s="1632" t="s">
        <v>3087</v>
      </c>
      <c r="C697" s="1632"/>
      <c r="D697" s="755" t="str">
        <f>DESPORC!C2492</f>
        <v>07 - DEPARTAMENTO DE CULTURA</v>
      </c>
      <c r="E697" s="797"/>
      <c r="F697" s="36"/>
      <c r="G697" s="1"/>
      <c r="H697" s="772"/>
      <c r="I697" s="1"/>
      <c r="J697" s="1"/>
    </row>
    <row r="698" spans="2:10" ht="35.1" customHeight="1" thickBot="1" x14ac:dyDescent="0.3">
      <c r="B698" s="1776" t="s">
        <v>6955</v>
      </c>
      <c r="C698" s="1777"/>
      <c r="D698" s="1778"/>
      <c r="E698" s="1776" t="str">
        <f>E$12</f>
        <v>PRIORIDADES LDO LEI MUNICIPAL N.º 1215  DE 02 DE OUTUBRO DE 2019.</v>
      </c>
      <c r="F698" s="1777"/>
      <c r="G698" s="1778"/>
      <c r="H698" s="1779" t="s">
        <v>6956</v>
      </c>
      <c r="I698" s="1780"/>
      <c r="J698" s="1781"/>
    </row>
    <row r="699" spans="2:10" ht="35.1" customHeight="1" x14ac:dyDescent="0.25">
      <c r="B699" s="1628" t="s">
        <v>3137</v>
      </c>
      <c r="C699" s="1615" t="str">
        <f>'[3]Anexo I - Programas'!$B$285</f>
        <v>8</v>
      </c>
      <c r="D699" s="1629" t="str">
        <f>'[3]Anexo I - Programas'!$C$285</f>
        <v>PROMOÇÃO E DESENVOLVIMENTO CULTURAL</v>
      </c>
      <c r="E699" s="1628" t="s">
        <v>3137</v>
      </c>
      <c r="F699" s="1615" t="str">
        <f>C699</f>
        <v>8</v>
      </c>
      <c r="G699" s="1617" t="str">
        <f>D699</f>
        <v>PROMOÇÃO E DESENVOLVIMENTO CULTURAL</v>
      </c>
      <c r="H699" s="773" t="s">
        <v>3138</v>
      </c>
      <c r="I699" s="757">
        <f>DESPORC!C2495</f>
        <v>13</v>
      </c>
      <c r="J699" s="765" t="str">
        <f>DESPORC!D2495</f>
        <v>Cultura</v>
      </c>
    </row>
    <row r="700" spans="2:10" ht="35.1" customHeight="1" x14ac:dyDescent="0.25">
      <c r="B700" s="1619"/>
      <c r="C700" s="1616"/>
      <c r="D700" s="1630"/>
      <c r="E700" s="1619"/>
      <c r="F700" s="1616"/>
      <c r="G700" s="1618"/>
      <c r="H700" s="774" t="s">
        <v>6940</v>
      </c>
      <c r="I700" s="757">
        <f>DESPORC!C2496</f>
        <v>122</v>
      </c>
      <c r="J700" s="765" t="str">
        <f>DESPORC!D2496</f>
        <v>Administração Geral</v>
      </c>
    </row>
    <row r="701" spans="2:10" ht="35.1" customHeight="1" x14ac:dyDescent="0.25">
      <c r="B701" s="1619" t="s">
        <v>6941</v>
      </c>
      <c r="C701" s="1616">
        <f>'[3]Anexo I - Programas'!$C$294</f>
        <v>1007</v>
      </c>
      <c r="D701" s="1622" t="str">
        <f>'[3]Anexo I - Programas'!$D$294</f>
        <v>Novos Investimentos em Cultura</v>
      </c>
      <c r="E701" s="1619" t="s">
        <v>6941</v>
      </c>
      <c r="F701" s="1616">
        <f>C701</f>
        <v>1007</v>
      </c>
      <c r="G701" s="1618" t="str">
        <f>D701</f>
        <v>Novos Investimentos em Cultura</v>
      </c>
      <c r="H701" s="775" t="s">
        <v>3137</v>
      </c>
      <c r="I701" s="795" t="str">
        <f>F699</f>
        <v>8</v>
      </c>
      <c r="J701" s="762" t="str">
        <f>G699</f>
        <v>PROMOÇÃO E DESENVOLVIMENTO CULTURAL</v>
      </c>
    </row>
    <row r="702" spans="2:10" ht="35.1" customHeight="1" x14ac:dyDescent="0.25">
      <c r="B702" s="1620"/>
      <c r="C702" s="1621"/>
      <c r="D702" s="1623"/>
      <c r="E702" s="1620"/>
      <c r="F702" s="1621"/>
      <c r="G702" s="1624"/>
      <c r="H702" s="776" t="s">
        <v>6941</v>
      </c>
      <c r="I702" s="796">
        <f>F701</f>
        <v>1007</v>
      </c>
      <c r="J702" s="764" t="str">
        <f>G701</f>
        <v>Novos Investimentos em Cultura</v>
      </c>
    </row>
    <row r="703" spans="2:10" ht="35.1" customHeight="1" thickBot="1" x14ac:dyDescent="0.3">
      <c r="B703" s="769" t="s">
        <v>6939</v>
      </c>
      <c r="C703" s="1625">
        <v>50000</v>
      </c>
      <c r="D703" s="1626"/>
      <c r="E703" s="769" t="s">
        <v>6939</v>
      </c>
      <c r="F703" s="1625">
        <v>12500</v>
      </c>
      <c r="G703" s="1627"/>
      <c r="H703" s="778" t="s">
        <v>6939</v>
      </c>
      <c r="I703" s="1625">
        <f>DESPORC!I2498</f>
        <v>6.0000000000000005E-2</v>
      </c>
      <c r="J703" s="1627"/>
    </row>
    <row r="704" spans="2:10" ht="35.1" customHeight="1" x14ac:dyDescent="0.25">
      <c r="B704" s="1628" t="s">
        <v>3137</v>
      </c>
      <c r="C704" s="1615" t="str">
        <f>'[3]Anexo I - Programas'!$B$285</f>
        <v>8</v>
      </c>
      <c r="D704" s="1629" t="str">
        <f>'[3]Anexo I - Programas'!$C$285</f>
        <v>PROMOÇÃO E DESENVOLVIMENTO CULTURAL</v>
      </c>
      <c r="E704" s="1628" t="s">
        <v>3137</v>
      </c>
      <c r="F704" s="1615" t="str">
        <f>C704</f>
        <v>8</v>
      </c>
      <c r="G704" s="1617" t="str">
        <f>D704</f>
        <v>PROMOÇÃO E DESENVOLVIMENTO CULTURAL</v>
      </c>
      <c r="H704" s="773" t="s">
        <v>3138</v>
      </c>
      <c r="I704" s="757">
        <f>DESPORC!C2505</f>
        <v>13</v>
      </c>
      <c r="J704" s="765" t="str">
        <f>DESPORC!D2505</f>
        <v>Cultura</v>
      </c>
    </row>
    <row r="705" spans="2:10" ht="35.1" customHeight="1" x14ac:dyDescent="0.25">
      <c r="B705" s="1619"/>
      <c r="C705" s="1616"/>
      <c r="D705" s="1630"/>
      <c r="E705" s="1619"/>
      <c r="F705" s="1616"/>
      <c r="G705" s="1618"/>
      <c r="H705" s="774" t="s">
        <v>6940</v>
      </c>
      <c r="I705" s="757">
        <f>DESPORC!C2506</f>
        <v>392</v>
      </c>
      <c r="J705" s="765" t="str">
        <f>DESPORC!D2506</f>
        <v>Difusão Cultural</v>
      </c>
    </row>
    <row r="706" spans="2:10" ht="35.1" customHeight="1" x14ac:dyDescent="0.25">
      <c r="B706" s="1619" t="s">
        <v>6941</v>
      </c>
      <c r="C706" s="1616">
        <f>'[3]Anexo I - Programas'!$C$294</f>
        <v>1007</v>
      </c>
      <c r="D706" s="1622" t="str">
        <f>'[3]Anexo I - Programas'!$D$294</f>
        <v>Novos Investimentos em Cultura</v>
      </c>
      <c r="E706" s="1619" t="s">
        <v>6941</v>
      </c>
      <c r="F706" s="1616">
        <f>C706</f>
        <v>1007</v>
      </c>
      <c r="G706" s="1618" t="str">
        <f>D706</f>
        <v>Novos Investimentos em Cultura</v>
      </c>
      <c r="H706" s="775" t="s">
        <v>3137</v>
      </c>
      <c r="I706" s="795" t="str">
        <f>F704</f>
        <v>8</v>
      </c>
      <c r="J706" s="762" t="str">
        <f>G704</f>
        <v>PROMOÇÃO E DESENVOLVIMENTO CULTURAL</v>
      </c>
    </row>
    <row r="707" spans="2:10" ht="35.1" customHeight="1" x14ac:dyDescent="0.25">
      <c r="B707" s="1620"/>
      <c r="C707" s="1621"/>
      <c r="D707" s="1623"/>
      <c r="E707" s="1620"/>
      <c r="F707" s="1621"/>
      <c r="G707" s="1624"/>
      <c r="H707" s="776" t="s">
        <v>6941</v>
      </c>
      <c r="I707" s="796">
        <f>F706</f>
        <v>1007</v>
      </c>
      <c r="J707" s="764" t="str">
        <f>G706</f>
        <v>Novos Investimentos em Cultura</v>
      </c>
    </row>
    <row r="708" spans="2:10" ht="35.1" customHeight="1" thickBot="1" x14ac:dyDescent="0.3">
      <c r="B708" s="769" t="s">
        <v>6939</v>
      </c>
      <c r="C708" s="1625">
        <v>50000</v>
      </c>
      <c r="D708" s="1626"/>
      <c r="E708" s="769" t="s">
        <v>6939</v>
      </c>
      <c r="F708" s="1625">
        <v>12500</v>
      </c>
      <c r="G708" s="1627"/>
      <c r="H708" s="778" t="s">
        <v>6939</v>
      </c>
      <c r="I708" s="1625">
        <f>DESPORC!I2508</f>
        <v>1306500.06</v>
      </c>
      <c r="J708" s="1627"/>
    </row>
    <row r="709" spans="2:10" ht="35.1" customHeight="1" x14ac:dyDescent="0.25">
      <c r="B709" s="1628" t="s">
        <v>3137</v>
      </c>
      <c r="C709" s="1615" t="str">
        <f>'[3]Anexo I - Programas'!$B$285</f>
        <v>8</v>
      </c>
      <c r="D709" s="1629" t="str">
        <f>'[3]Anexo I - Programas'!$C$285</f>
        <v>PROMOÇÃO E DESENVOLVIMENTO CULTURAL</v>
      </c>
      <c r="E709" s="1628" t="s">
        <v>3137</v>
      </c>
      <c r="F709" s="1615" t="str">
        <f>C709</f>
        <v>8</v>
      </c>
      <c r="G709" s="1617" t="str">
        <f>D709</f>
        <v>PROMOÇÃO E DESENVOLVIMENTO CULTURAL</v>
      </c>
      <c r="H709" s="773" t="s">
        <v>3138</v>
      </c>
      <c r="I709" s="757">
        <f>DESPORC!C2516</f>
        <v>13</v>
      </c>
      <c r="J709" s="765" t="str">
        <f>DESPORC!D2516</f>
        <v>Cultura</v>
      </c>
    </row>
    <row r="710" spans="2:10" ht="35.1" customHeight="1" x14ac:dyDescent="0.25">
      <c r="B710" s="1619"/>
      <c r="C710" s="1616"/>
      <c r="D710" s="1630"/>
      <c r="E710" s="1619"/>
      <c r="F710" s="1616"/>
      <c r="G710" s="1618"/>
      <c r="H710" s="774" t="s">
        <v>6940</v>
      </c>
      <c r="I710" s="757">
        <f>DESPORC!C2517</f>
        <v>122</v>
      </c>
      <c r="J710" s="765" t="str">
        <f>DESPORC!D2517</f>
        <v>Administração Geral</v>
      </c>
    </row>
    <row r="711" spans="2:10" ht="35.1" customHeight="1" x14ac:dyDescent="0.25">
      <c r="B711" s="1619" t="s">
        <v>6941</v>
      </c>
      <c r="C711" s="1616">
        <f>'[3]Anexo I - Programas'!$C$299</f>
        <v>2008</v>
      </c>
      <c r="D711" s="1622" t="str">
        <f>'[3]Anexo I - Programas'!$D$299</f>
        <v>Gesão, Coordenação e Planejamento e Realização de Eventos Culturais</v>
      </c>
      <c r="E711" s="1619" t="s">
        <v>6941</v>
      </c>
      <c r="F711" s="1616">
        <f>C711</f>
        <v>2008</v>
      </c>
      <c r="G711" s="1618" t="str">
        <f>D711</f>
        <v>Gesão, Coordenação e Planejamento e Realização de Eventos Culturais</v>
      </c>
      <c r="H711" s="775" t="s">
        <v>3137</v>
      </c>
      <c r="I711" s="795" t="str">
        <f>F709</f>
        <v>8</v>
      </c>
      <c r="J711" s="762" t="str">
        <f>G709</f>
        <v>PROMOÇÃO E DESENVOLVIMENTO CULTURAL</v>
      </c>
    </row>
    <row r="712" spans="2:10" ht="35.1" customHeight="1" x14ac:dyDescent="0.25">
      <c r="B712" s="1620"/>
      <c r="C712" s="1621"/>
      <c r="D712" s="1623"/>
      <c r="E712" s="1620"/>
      <c r="F712" s="1621"/>
      <c r="G712" s="1624"/>
      <c r="H712" s="776" t="s">
        <v>6941</v>
      </c>
      <c r="I712" s="796">
        <f>F711</f>
        <v>2008</v>
      </c>
      <c r="J712" s="764" t="str">
        <f>G711</f>
        <v>Gesão, Coordenação e Planejamento e Realização de Eventos Culturais</v>
      </c>
    </row>
    <row r="713" spans="2:10" ht="35.1" customHeight="1" thickBot="1" x14ac:dyDescent="0.3">
      <c r="B713" s="769" t="s">
        <v>6939</v>
      </c>
      <c r="C713" s="1625">
        <v>350000</v>
      </c>
      <c r="D713" s="1626"/>
      <c r="E713" s="769" t="s">
        <v>6939</v>
      </c>
      <c r="F713" s="1625">
        <v>87500</v>
      </c>
      <c r="G713" s="1627"/>
      <c r="H713" s="778" t="s">
        <v>6939</v>
      </c>
      <c r="I713" s="1625">
        <f>DESPORC!I2519</f>
        <v>50153.034914333926</v>
      </c>
      <c r="J713" s="1627"/>
    </row>
    <row r="714" spans="2:10" ht="35.1" customHeight="1" x14ac:dyDescent="0.25">
      <c r="B714" s="1628" t="s">
        <v>3137</v>
      </c>
      <c r="C714" s="1615" t="str">
        <f>'[3]Anexo I - Programas'!$B$285</f>
        <v>8</v>
      </c>
      <c r="D714" s="1629" t="str">
        <f>'[3]Anexo I - Programas'!$C$285</f>
        <v>PROMOÇÃO E DESENVOLVIMENTO CULTURAL</v>
      </c>
      <c r="E714" s="1628" t="s">
        <v>3137</v>
      </c>
      <c r="F714" s="1615" t="str">
        <f>C714</f>
        <v>8</v>
      </c>
      <c r="G714" s="1617" t="str">
        <f>D714</f>
        <v>PROMOÇÃO E DESENVOLVIMENTO CULTURAL</v>
      </c>
      <c r="H714" s="773" t="s">
        <v>3138</v>
      </c>
      <c r="I714" s="757">
        <f>DESPORC!C2541</f>
        <v>13</v>
      </c>
      <c r="J714" s="765" t="str">
        <f>DESPORC!D2541</f>
        <v>Cultura</v>
      </c>
    </row>
    <row r="715" spans="2:10" ht="35.1" customHeight="1" x14ac:dyDescent="0.25">
      <c r="B715" s="1619"/>
      <c r="C715" s="1616"/>
      <c r="D715" s="1630"/>
      <c r="E715" s="1619"/>
      <c r="F715" s="1616"/>
      <c r="G715" s="1618"/>
      <c r="H715" s="774" t="s">
        <v>6940</v>
      </c>
      <c r="I715" s="757">
        <f>DESPORC!C2542</f>
        <v>126</v>
      </c>
      <c r="J715" s="765" t="str">
        <f>DESPORC!D2542</f>
        <v>Tecnologia da Informação</v>
      </c>
    </row>
    <row r="716" spans="2:10" ht="35.1" customHeight="1" x14ac:dyDescent="0.25">
      <c r="B716" s="1619" t="s">
        <v>6941</v>
      </c>
      <c r="C716" s="1616">
        <f>'[3]Anexo I - Programas'!$C$299</f>
        <v>2008</v>
      </c>
      <c r="D716" s="1622" t="str">
        <f>'[3]Anexo I - Programas'!$D$299</f>
        <v>Gesão, Coordenação e Planejamento e Realização de Eventos Culturais</v>
      </c>
      <c r="E716" s="1619" t="s">
        <v>6941</v>
      </c>
      <c r="F716" s="1616">
        <f>C716</f>
        <v>2008</v>
      </c>
      <c r="G716" s="1618" t="str">
        <f>D716</f>
        <v>Gesão, Coordenação e Planejamento e Realização de Eventos Culturais</v>
      </c>
      <c r="H716" s="775" t="s">
        <v>3137</v>
      </c>
      <c r="I716" s="795" t="str">
        <f>F714</f>
        <v>8</v>
      </c>
      <c r="J716" s="762" t="str">
        <f>G714</f>
        <v>PROMOÇÃO E DESENVOLVIMENTO CULTURAL</v>
      </c>
    </row>
    <row r="717" spans="2:10" ht="35.1" customHeight="1" x14ac:dyDescent="0.25">
      <c r="B717" s="1620"/>
      <c r="C717" s="1621"/>
      <c r="D717" s="1623"/>
      <c r="E717" s="1620"/>
      <c r="F717" s="1621"/>
      <c r="G717" s="1624"/>
      <c r="H717" s="776" t="s">
        <v>6941</v>
      </c>
      <c r="I717" s="796">
        <f>F716</f>
        <v>2008</v>
      </c>
      <c r="J717" s="764" t="str">
        <f>G716</f>
        <v>Gesão, Coordenação e Planejamento e Realização de Eventos Culturais</v>
      </c>
    </row>
    <row r="718" spans="2:10" ht="35.1" customHeight="1" thickBot="1" x14ac:dyDescent="0.3">
      <c r="B718" s="769" t="s">
        <v>6939</v>
      </c>
      <c r="C718" s="1625">
        <v>350000</v>
      </c>
      <c r="D718" s="1626"/>
      <c r="E718" s="769" t="s">
        <v>6939</v>
      </c>
      <c r="F718" s="1625">
        <v>87500</v>
      </c>
      <c r="G718" s="1627"/>
      <c r="H718" s="778" t="s">
        <v>6939</v>
      </c>
      <c r="I718" s="1625">
        <f>DESPORC!I2544</f>
        <v>0.02</v>
      </c>
      <c r="J718" s="1627"/>
    </row>
    <row r="719" spans="2:10" ht="35.1" customHeight="1" x14ac:dyDescent="0.25">
      <c r="B719" s="1628" t="s">
        <v>3137</v>
      </c>
      <c r="C719" s="1615" t="str">
        <f>'[3]Anexo I - Programas'!$B$285</f>
        <v>8</v>
      </c>
      <c r="D719" s="1629" t="str">
        <f>'[3]Anexo I - Programas'!$C$285</f>
        <v>PROMOÇÃO E DESENVOLVIMENTO CULTURAL</v>
      </c>
      <c r="E719" s="1628" t="s">
        <v>3137</v>
      </c>
      <c r="F719" s="1615" t="str">
        <f>C719</f>
        <v>8</v>
      </c>
      <c r="G719" s="1617" t="str">
        <f>D719</f>
        <v>PROMOÇÃO E DESENVOLVIMENTO CULTURAL</v>
      </c>
      <c r="H719" s="773" t="s">
        <v>3138</v>
      </c>
      <c r="I719" s="757">
        <f>DESPORC!C2547</f>
        <v>13</v>
      </c>
      <c r="J719" s="765" t="str">
        <f>DESPORC!D2547</f>
        <v>Cultura</v>
      </c>
    </row>
    <row r="720" spans="2:10" ht="35.1" customHeight="1" x14ac:dyDescent="0.25">
      <c r="B720" s="1619"/>
      <c r="C720" s="1616"/>
      <c r="D720" s="1630"/>
      <c r="E720" s="1619"/>
      <c r="F720" s="1616"/>
      <c r="G720" s="1618"/>
      <c r="H720" s="774" t="s">
        <v>6940</v>
      </c>
      <c r="I720" s="757">
        <f>DESPORC!C2548</f>
        <v>128</v>
      </c>
      <c r="J720" s="765" t="str">
        <f>DESPORC!D2548</f>
        <v>Formação de Recursos Humanos</v>
      </c>
    </row>
    <row r="721" spans="2:10" ht="35.1" customHeight="1" x14ac:dyDescent="0.25">
      <c r="B721" s="1619" t="s">
        <v>6941</v>
      </c>
      <c r="C721" s="1616">
        <f>'[3]Anexo I - Programas'!$C$299</f>
        <v>2008</v>
      </c>
      <c r="D721" s="1622" t="str">
        <f>'[3]Anexo I - Programas'!$D$299</f>
        <v>Gesão, Coordenação e Planejamento e Realização de Eventos Culturais</v>
      </c>
      <c r="E721" s="1619" t="s">
        <v>6941</v>
      </c>
      <c r="F721" s="1616">
        <f>C721</f>
        <v>2008</v>
      </c>
      <c r="G721" s="1618" t="str">
        <f>D721</f>
        <v>Gesão, Coordenação e Planejamento e Realização de Eventos Culturais</v>
      </c>
      <c r="H721" s="775" t="s">
        <v>3137</v>
      </c>
      <c r="I721" s="795" t="str">
        <f>F719</f>
        <v>8</v>
      </c>
      <c r="J721" s="762" t="str">
        <f>G719</f>
        <v>PROMOÇÃO E DESENVOLVIMENTO CULTURAL</v>
      </c>
    </row>
    <row r="722" spans="2:10" ht="35.1" customHeight="1" x14ac:dyDescent="0.25">
      <c r="B722" s="1620"/>
      <c r="C722" s="1621"/>
      <c r="D722" s="1623"/>
      <c r="E722" s="1620"/>
      <c r="F722" s="1621"/>
      <c r="G722" s="1624"/>
      <c r="H722" s="776" t="s">
        <v>6941</v>
      </c>
      <c r="I722" s="796">
        <f>F721</f>
        <v>2008</v>
      </c>
      <c r="J722" s="764" t="str">
        <f>G721</f>
        <v>Gesão, Coordenação e Planejamento e Realização de Eventos Culturais</v>
      </c>
    </row>
    <row r="723" spans="2:10" ht="35.1" customHeight="1" thickBot="1" x14ac:dyDescent="0.3">
      <c r="B723" s="769" t="s">
        <v>6939</v>
      </c>
      <c r="C723" s="1625">
        <v>350000</v>
      </c>
      <c r="D723" s="1626"/>
      <c r="E723" s="769" t="s">
        <v>6939</v>
      </c>
      <c r="F723" s="1625">
        <v>87500</v>
      </c>
      <c r="G723" s="1627"/>
      <c r="H723" s="778" t="s">
        <v>6939</v>
      </c>
      <c r="I723" s="1625">
        <f>DESPORC!I2550</f>
        <v>0.05</v>
      </c>
      <c r="J723" s="1627"/>
    </row>
    <row r="724" spans="2:10" ht="35.1" customHeight="1" x14ac:dyDescent="0.25">
      <c r="B724" s="1628" t="s">
        <v>3137</v>
      </c>
      <c r="C724" s="1615" t="str">
        <f>'[3]Anexo I - Programas'!$B$285</f>
        <v>8</v>
      </c>
      <c r="D724" s="1629" t="str">
        <f>'[3]Anexo I - Programas'!$C$285</f>
        <v>PROMOÇÃO E DESENVOLVIMENTO CULTURAL</v>
      </c>
      <c r="E724" s="1628" t="s">
        <v>3137</v>
      </c>
      <c r="F724" s="1615" t="str">
        <f>C724</f>
        <v>8</v>
      </c>
      <c r="G724" s="1617" t="str">
        <f>D724</f>
        <v>PROMOÇÃO E DESENVOLVIMENTO CULTURAL</v>
      </c>
      <c r="H724" s="773" t="s">
        <v>3138</v>
      </c>
      <c r="I724" s="757">
        <f>DESPORC!C2556</f>
        <v>13</v>
      </c>
      <c r="J724" s="765" t="str">
        <f>DESPORC!D2556</f>
        <v>Cultura</v>
      </c>
    </row>
    <row r="725" spans="2:10" ht="35.1" customHeight="1" x14ac:dyDescent="0.25">
      <c r="B725" s="1619"/>
      <c r="C725" s="1616"/>
      <c r="D725" s="1630"/>
      <c r="E725" s="1619"/>
      <c r="F725" s="1616"/>
      <c r="G725" s="1618"/>
      <c r="H725" s="774" t="s">
        <v>6940</v>
      </c>
      <c r="I725" s="757">
        <f>DESPORC!C2557</f>
        <v>392</v>
      </c>
      <c r="J725" s="765" t="str">
        <f>DESPORC!D2557</f>
        <v>Difusão Cultural</v>
      </c>
    </row>
    <row r="726" spans="2:10" ht="35.1" customHeight="1" x14ac:dyDescent="0.25">
      <c r="B726" s="1619" t="s">
        <v>6941</v>
      </c>
      <c r="C726" s="1616">
        <f>'[3]Anexo I - Programas'!$C$299</f>
        <v>2008</v>
      </c>
      <c r="D726" s="1622" t="str">
        <f>'[3]Anexo I - Programas'!$D$299</f>
        <v>Gesão, Coordenação e Planejamento e Realização de Eventos Culturais</v>
      </c>
      <c r="E726" s="1619" t="s">
        <v>6941</v>
      </c>
      <c r="F726" s="1616">
        <f>C726</f>
        <v>2008</v>
      </c>
      <c r="G726" s="1618" t="str">
        <f>D726</f>
        <v>Gesão, Coordenação e Planejamento e Realização de Eventos Culturais</v>
      </c>
      <c r="H726" s="775" t="s">
        <v>3137</v>
      </c>
      <c r="I726" s="795" t="str">
        <f>F724</f>
        <v>8</v>
      </c>
      <c r="J726" s="762" t="str">
        <f>G724</f>
        <v>PROMOÇÃO E DESENVOLVIMENTO CULTURAL</v>
      </c>
    </row>
    <row r="727" spans="2:10" ht="35.1" customHeight="1" x14ac:dyDescent="0.25">
      <c r="B727" s="1620"/>
      <c r="C727" s="1621"/>
      <c r="D727" s="1623"/>
      <c r="E727" s="1620"/>
      <c r="F727" s="1621"/>
      <c r="G727" s="1624"/>
      <c r="H727" s="776" t="s">
        <v>6941</v>
      </c>
      <c r="I727" s="796">
        <f>F726</f>
        <v>2008</v>
      </c>
      <c r="J727" s="764" t="str">
        <f>G726</f>
        <v>Gesão, Coordenação e Planejamento e Realização de Eventos Culturais</v>
      </c>
    </row>
    <row r="728" spans="2:10" ht="35.1" customHeight="1" thickBot="1" x14ac:dyDescent="0.3">
      <c r="B728" s="769" t="s">
        <v>6939</v>
      </c>
      <c r="C728" s="1625">
        <v>350000</v>
      </c>
      <c r="D728" s="1626"/>
      <c r="E728" s="769" t="s">
        <v>6939</v>
      </c>
      <c r="F728" s="1625">
        <v>87500</v>
      </c>
      <c r="G728" s="1627"/>
      <c r="H728" s="778" t="s">
        <v>6939</v>
      </c>
      <c r="I728" s="1625">
        <f>DESPORC!I2559</f>
        <v>263737.72548295755</v>
      </c>
      <c r="J728" s="1627"/>
    </row>
    <row r="729" spans="2:10" ht="35.1" customHeight="1" x14ac:dyDescent="0.25">
      <c r="J729" s="15"/>
    </row>
    <row r="738" spans="2:10" ht="35.1" customHeight="1" x14ac:dyDescent="0.25">
      <c r="B738" s="1631" t="s">
        <v>6927</v>
      </c>
      <c r="C738" s="1631"/>
      <c r="D738" s="755" t="str">
        <f>DESPORC!C2587</f>
        <v>03 - SECRETARIA MUNICIPAL DE EDUCAÇÃO, CULT. E DESPORTO</v>
      </c>
      <c r="E738" s="797"/>
      <c r="F738" s="798"/>
      <c r="G738" s="798"/>
      <c r="H738" s="797"/>
      <c r="I738" s="798"/>
      <c r="J738" s="798"/>
    </row>
    <row r="739" spans="2:10" ht="35.1" customHeight="1" thickBot="1" x14ac:dyDescent="0.3">
      <c r="B739" s="1632" t="s">
        <v>3087</v>
      </c>
      <c r="C739" s="1632"/>
      <c r="D739" s="755" t="str">
        <f>DESPORC!C2588</f>
        <v>08 - DEPARTAMENTO DE DESPORTO</v>
      </c>
      <c r="E739" s="797"/>
      <c r="F739" s="36"/>
      <c r="G739" s="1"/>
      <c r="H739" s="772"/>
      <c r="I739" s="1"/>
      <c r="J739" s="1"/>
    </row>
    <row r="740" spans="2:10" ht="35.1" customHeight="1" thickBot="1" x14ac:dyDescent="0.3">
      <c r="B740" s="1776" t="s">
        <v>6955</v>
      </c>
      <c r="C740" s="1777"/>
      <c r="D740" s="1778"/>
      <c r="E740" s="1776" t="str">
        <f>E$12</f>
        <v>PRIORIDADES LDO LEI MUNICIPAL N.º 1215  DE 02 DE OUTUBRO DE 2019.</v>
      </c>
      <c r="F740" s="1777"/>
      <c r="G740" s="1778"/>
      <c r="H740" s="1779" t="s">
        <v>6956</v>
      </c>
      <c r="I740" s="1780"/>
      <c r="J740" s="1781"/>
    </row>
    <row r="741" spans="2:10" ht="35.1" customHeight="1" x14ac:dyDescent="0.25">
      <c r="B741" s="1628" t="s">
        <v>3137</v>
      </c>
      <c r="C741" s="1615" t="str">
        <f>'[3]Anexo I - Programas'!$B$334</f>
        <v>010</v>
      </c>
      <c r="D741" s="1629" t="str">
        <f>'[3]Anexo I - Programas'!$C$334</f>
        <v>PROMOÇÃO E DESENVOLVIMENTO DO ESPORTE E LAZER</v>
      </c>
      <c r="E741" s="1628" t="s">
        <v>3137</v>
      </c>
      <c r="F741" s="1615" t="str">
        <f>C741</f>
        <v>010</v>
      </c>
      <c r="G741" s="1617" t="str">
        <f>D741</f>
        <v>PROMOÇÃO E DESENVOLVIMENTO DO ESPORTE E LAZER</v>
      </c>
      <c r="H741" s="773" t="s">
        <v>3138</v>
      </c>
      <c r="I741" s="757">
        <f>DESPORC!C2591</f>
        <v>27</v>
      </c>
      <c r="J741" s="765" t="str">
        <f>DESPORC!D2591</f>
        <v>Desporto e Lazer</v>
      </c>
    </row>
    <row r="742" spans="2:10" ht="35.1" customHeight="1" x14ac:dyDescent="0.25">
      <c r="B742" s="1619"/>
      <c r="C742" s="1616"/>
      <c r="D742" s="1630"/>
      <c r="E742" s="1619"/>
      <c r="F742" s="1616"/>
      <c r="G742" s="1618"/>
      <c r="H742" s="774" t="s">
        <v>6940</v>
      </c>
      <c r="I742" s="757">
        <f>DESPORC!C2592</f>
        <v>122</v>
      </c>
      <c r="J742" s="765" t="str">
        <f>DESPORC!D2592</f>
        <v>Administração Geral</v>
      </c>
    </row>
    <row r="743" spans="2:10" ht="35.1" customHeight="1" x14ac:dyDescent="0.25">
      <c r="B743" s="1619" t="s">
        <v>6941</v>
      </c>
      <c r="C743" s="1616">
        <f>'[3]Anexo I - Programas'!$C$343</f>
        <v>1009</v>
      </c>
      <c r="D743" s="1622" t="str">
        <f>'[3]Anexo I - Programas'!$D$343</f>
        <v>Novos Investimentos em Desporto e Lazer</v>
      </c>
      <c r="E743" s="1619" t="s">
        <v>6941</v>
      </c>
      <c r="F743" s="1616">
        <f>C743</f>
        <v>1009</v>
      </c>
      <c r="G743" s="1618" t="str">
        <f>D743</f>
        <v>Novos Investimentos em Desporto e Lazer</v>
      </c>
      <c r="H743" s="775" t="s">
        <v>3137</v>
      </c>
      <c r="I743" s="795" t="str">
        <f>F741</f>
        <v>010</v>
      </c>
      <c r="J743" s="762" t="str">
        <f>G741</f>
        <v>PROMOÇÃO E DESENVOLVIMENTO DO ESPORTE E LAZER</v>
      </c>
    </row>
    <row r="744" spans="2:10" ht="35.1" customHeight="1" x14ac:dyDescent="0.25">
      <c r="B744" s="1620"/>
      <c r="C744" s="1621"/>
      <c r="D744" s="1623"/>
      <c r="E744" s="1620"/>
      <c r="F744" s="1621"/>
      <c r="G744" s="1624"/>
      <c r="H744" s="776" t="s">
        <v>6941</v>
      </c>
      <c r="I744" s="796">
        <f>F743</f>
        <v>1009</v>
      </c>
      <c r="J744" s="764" t="str">
        <f>G743</f>
        <v>Novos Investimentos em Desporto e Lazer</v>
      </c>
    </row>
    <row r="745" spans="2:10" ht="35.1" customHeight="1" thickBot="1" x14ac:dyDescent="0.3">
      <c r="B745" s="769" t="s">
        <v>6939</v>
      </c>
      <c r="C745" s="1625">
        <v>350000</v>
      </c>
      <c r="D745" s="1626"/>
      <c r="E745" s="769" t="s">
        <v>6939</v>
      </c>
      <c r="F745" s="1625">
        <v>87500</v>
      </c>
      <c r="G745" s="1627"/>
      <c r="H745" s="778" t="s">
        <v>6939</v>
      </c>
      <c r="I745" s="1625">
        <f>DESPORC!I2594</f>
        <v>6.0000000000000005E-2</v>
      </c>
      <c r="J745" s="1627"/>
    </row>
    <row r="746" spans="2:10" ht="35.1" customHeight="1" x14ac:dyDescent="0.25">
      <c r="B746" s="1628" t="s">
        <v>3137</v>
      </c>
      <c r="C746" s="1615" t="str">
        <f>'[3]Anexo I - Programas'!$B$334</f>
        <v>010</v>
      </c>
      <c r="D746" s="1629" t="str">
        <f>'[3]Anexo I - Programas'!$C$334</f>
        <v>PROMOÇÃO E DESENVOLVIMENTO DO ESPORTE E LAZER</v>
      </c>
      <c r="E746" s="1628" t="s">
        <v>3137</v>
      </c>
      <c r="F746" s="1615" t="str">
        <f>C746</f>
        <v>010</v>
      </c>
      <c r="G746" s="1617" t="str">
        <f>D746</f>
        <v>PROMOÇÃO E DESENVOLVIMENTO DO ESPORTE E LAZER</v>
      </c>
      <c r="H746" s="773" t="s">
        <v>3138</v>
      </c>
      <c r="I746" s="757">
        <f>DESPORC!C2601</f>
        <v>27</v>
      </c>
      <c r="J746" s="765" t="str">
        <f>DESPORC!D2601</f>
        <v>Desporto e Lazer</v>
      </c>
    </row>
    <row r="747" spans="2:10" ht="35.1" customHeight="1" x14ac:dyDescent="0.25">
      <c r="B747" s="1619"/>
      <c r="C747" s="1616"/>
      <c r="D747" s="1630"/>
      <c r="E747" s="1619"/>
      <c r="F747" s="1616"/>
      <c r="G747" s="1618"/>
      <c r="H747" s="774" t="s">
        <v>6940</v>
      </c>
      <c r="I747" s="757">
        <f>DESPORC!C2602</f>
        <v>812</v>
      </c>
      <c r="J747" s="765" t="str">
        <f>DESPORC!D2602</f>
        <v>Desporto Comunitário</v>
      </c>
    </row>
    <row r="748" spans="2:10" ht="35.1" customHeight="1" x14ac:dyDescent="0.25">
      <c r="B748" s="1619" t="s">
        <v>6941</v>
      </c>
      <c r="C748" s="1616">
        <f>'[3]Anexo I - Programas'!$C$343</f>
        <v>1009</v>
      </c>
      <c r="D748" s="1622" t="str">
        <f>'[3]Anexo I - Programas'!$D$343</f>
        <v>Novos Investimentos em Desporto e Lazer</v>
      </c>
      <c r="E748" s="1619" t="s">
        <v>6941</v>
      </c>
      <c r="F748" s="1616">
        <f>C748</f>
        <v>1009</v>
      </c>
      <c r="G748" s="1618" t="str">
        <f>D748</f>
        <v>Novos Investimentos em Desporto e Lazer</v>
      </c>
      <c r="H748" s="775" t="s">
        <v>3137</v>
      </c>
      <c r="I748" s="795" t="str">
        <f>F746</f>
        <v>010</v>
      </c>
      <c r="J748" s="762" t="str">
        <f>G746</f>
        <v>PROMOÇÃO E DESENVOLVIMENTO DO ESPORTE E LAZER</v>
      </c>
    </row>
    <row r="749" spans="2:10" ht="35.1" customHeight="1" x14ac:dyDescent="0.25">
      <c r="B749" s="1620"/>
      <c r="C749" s="1621"/>
      <c r="D749" s="1623"/>
      <c r="E749" s="1620"/>
      <c r="F749" s="1621"/>
      <c r="G749" s="1624"/>
      <c r="H749" s="776" t="s">
        <v>6941</v>
      </c>
      <c r="I749" s="796">
        <f>F748</f>
        <v>1009</v>
      </c>
      <c r="J749" s="764" t="str">
        <f>G748</f>
        <v>Novos Investimentos em Desporto e Lazer</v>
      </c>
    </row>
    <row r="750" spans="2:10" ht="35.1" customHeight="1" thickBot="1" x14ac:dyDescent="0.3">
      <c r="B750" s="769" t="s">
        <v>6939</v>
      </c>
      <c r="C750" s="1625">
        <v>350000</v>
      </c>
      <c r="D750" s="1626"/>
      <c r="E750" s="769" t="s">
        <v>6939</v>
      </c>
      <c r="F750" s="1625">
        <v>87500</v>
      </c>
      <c r="G750" s="1627"/>
      <c r="H750" s="778" t="s">
        <v>6939</v>
      </c>
      <c r="I750" s="1625">
        <f>DESPORC!I2604</f>
        <v>6.0000000000000005E-2</v>
      </c>
      <c r="J750" s="1627"/>
    </row>
    <row r="751" spans="2:10" ht="35.1" customHeight="1" x14ac:dyDescent="0.25">
      <c r="B751" s="1628" t="s">
        <v>3137</v>
      </c>
      <c r="C751" s="1615" t="str">
        <f>'[3]Anexo I - Programas'!$B$334</f>
        <v>010</v>
      </c>
      <c r="D751" s="1629" t="str">
        <f>'[3]Anexo I - Programas'!$C$334</f>
        <v>PROMOÇÃO E DESENVOLVIMENTO DO ESPORTE E LAZER</v>
      </c>
      <c r="E751" s="1628" t="s">
        <v>3137</v>
      </c>
      <c r="F751" s="1615" t="str">
        <f>C751</f>
        <v>010</v>
      </c>
      <c r="G751" s="1617" t="str">
        <f>D751</f>
        <v>PROMOÇÃO E DESENVOLVIMENTO DO ESPORTE E LAZER</v>
      </c>
      <c r="H751" s="773" t="s">
        <v>3138</v>
      </c>
      <c r="I751" s="757">
        <f>DESPORC!C2611</f>
        <v>27</v>
      </c>
      <c r="J751" s="765" t="str">
        <f>DESPORC!D2611</f>
        <v>Desporto e Lazer</v>
      </c>
    </row>
    <row r="752" spans="2:10" ht="35.1" customHeight="1" x14ac:dyDescent="0.25">
      <c r="B752" s="1619"/>
      <c r="C752" s="1616"/>
      <c r="D752" s="1630"/>
      <c r="E752" s="1619"/>
      <c r="F752" s="1616"/>
      <c r="G752" s="1618"/>
      <c r="H752" s="774" t="s">
        <v>6940</v>
      </c>
      <c r="I752" s="757">
        <f>DESPORC!C2612</f>
        <v>122</v>
      </c>
      <c r="J752" s="765" t="str">
        <f>DESPORC!D2612</f>
        <v>Administração Geral</v>
      </c>
    </row>
    <row r="753" spans="2:10" ht="35.1" customHeight="1" x14ac:dyDescent="0.25">
      <c r="B753" s="1619" t="s">
        <v>6941</v>
      </c>
      <c r="C753" s="1616">
        <f>'[3]Anexo I - Programas'!$C$348</f>
        <v>2010</v>
      </c>
      <c r="D753" s="1622" t="str">
        <f>'[3]Anexo I - Programas'!$D$348</f>
        <v>Gestão e Prom. de Even. Esport. e Lazer</v>
      </c>
      <c r="E753" s="1619" t="s">
        <v>6941</v>
      </c>
      <c r="F753" s="1616">
        <f>C753</f>
        <v>2010</v>
      </c>
      <c r="G753" s="1618" t="str">
        <f>D753</f>
        <v>Gestão e Prom. de Even. Esport. e Lazer</v>
      </c>
      <c r="H753" s="775" t="s">
        <v>3137</v>
      </c>
      <c r="I753" s="795" t="str">
        <f>F751</f>
        <v>010</v>
      </c>
      <c r="J753" s="762" t="str">
        <f>G751</f>
        <v>PROMOÇÃO E DESENVOLVIMENTO DO ESPORTE E LAZER</v>
      </c>
    </row>
    <row r="754" spans="2:10" ht="35.1" customHeight="1" x14ac:dyDescent="0.25">
      <c r="B754" s="1620"/>
      <c r="C754" s="1621"/>
      <c r="D754" s="1623"/>
      <c r="E754" s="1620"/>
      <c r="F754" s="1621"/>
      <c r="G754" s="1624"/>
      <c r="H754" s="776" t="s">
        <v>6941</v>
      </c>
      <c r="I754" s="796">
        <f>F753</f>
        <v>2010</v>
      </c>
      <c r="J754" s="764" t="str">
        <f>G753</f>
        <v>Gestão e Prom. de Even. Esport. e Lazer</v>
      </c>
    </row>
    <row r="755" spans="2:10" ht="35.1" customHeight="1" thickBot="1" x14ac:dyDescent="0.3">
      <c r="B755" s="769" t="s">
        <v>6939</v>
      </c>
      <c r="C755" s="1625">
        <v>400000</v>
      </c>
      <c r="D755" s="1626"/>
      <c r="E755" s="769" t="s">
        <v>6939</v>
      </c>
      <c r="F755" s="1625">
        <v>100000</v>
      </c>
      <c r="G755" s="1627"/>
      <c r="H755" s="778" t="s">
        <v>6939</v>
      </c>
      <c r="I755" s="1625">
        <f>DESPORC!I2614</f>
        <v>53482.287190835974</v>
      </c>
      <c r="J755" s="1627"/>
    </row>
    <row r="756" spans="2:10" ht="35.1" customHeight="1" x14ac:dyDescent="0.25">
      <c r="B756" s="1628" t="s">
        <v>3137</v>
      </c>
      <c r="C756" s="1615" t="str">
        <f>'[3]Anexo I - Programas'!$B$334</f>
        <v>010</v>
      </c>
      <c r="D756" s="1629" t="str">
        <f>'[3]Anexo I - Programas'!$C$334</f>
        <v>PROMOÇÃO E DESENVOLVIMENTO DO ESPORTE E LAZER</v>
      </c>
      <c r="E756" s="1628" t="s">
        <v>3137</v>
      </c>
      <c r="F756" s="1615" t="str">
        <f>C756</f>
        <v>010</v>
      </c>
      <c r="G756" s="1617" t="str">
        <f>D756</f>
        <v>PROMOÇÃO E DESENVOLVIMENTO DO ESPORTE E LAZER</v>
      </c>
      <c r="H756" s="773" t="s">
        <v>3138</v>
      </c>
      <c r="I756" s="757">
        <f>DESPORC!C2636</f>
        <v>27</v>
      </c>
      <c r="J756" s="765" t="str">
        <f>DESPORC!D2636</f>
        <v>Desporto e Lazer</v>
      </c>
    </row>
    <row r="757" spans="2:10" ht="35.1" customHeight="1" x14ac:dyDescent="0.25">
      <c r="B757" s="1619"/>
      <c r="C757" s="1616"/>
      <c r="D757" s="1630"/>
      <c r="E757" s="1619"/>
      <c r="F757" s="1616"/>
      <c r="G757" s="1618"/>
      <c r="H757" s="774" t="s">
        <v>6940</v>
      </c>
      <c r="I757" s="757">
        <f>DESPORC!C2637</f>
        <v>126</v>
      </c>
      <c r="J757" s="765" t="str">
        <f>DESPORC!D2637</f>
        <v>Tecnologia da Informação</v>
      </c>
    </row>
    <row r="758" spans="2:10" ht="35.1" customHeight="1" x14ac:dyDescent="0.25">
      <c r="B758" s="1619" t="s">
        <v>6941</v>
      </c>
      <c r="C758" s="1616">
        <f>'[3]Anexo I - Programas'!$C$348</f>
        <v>2010</v>
      </c>
      <c r="D758" s="1622" t="str">
        <f>'[3]Anexo I - Programas'!$D$348</f>
        <v>Gestão e Prom. de Even. Esport. e Lazer</v>
      </c>
      <c r="E758" s="1619" t="s">
        <v>6941</v>
      </c>
      <c r="F758" s="1616">
        <f>C758</f>
        <v>2010</v>
      </c>
      <c r="G758" s="1618" t="str">
        <f>D758</f>
        <v>Gestão e Prom. de Even. Esport. e Lazer</v>
      </c>
      <c r="H758" s="775" t="s">
        <v>3137</v>
      </c>
      <c r="I758" s="795" t="str">
        <f>F756</f>
        <v>010</v>
      </c>
      <c r="J758" s="762" t="str">
        <f>G756</f>
        <v>PROMOÇÃO E DESENVOLVIMENTO DO ESPORTE E LAZER</v>
      </c>
    </row>
    <row r="759" spans="2:10" ht="35.1" customHeight="1" x14ac:dyDescent="0.25">
      <c r="B759" s="1620"/>
      <c r="C759" s="1621"/>
      <c r="D759" s="1623"/>
      <c r="E759" s="1620"/>
      <c r="F759" s="1621"/>
      <c r="G759" s="1624"/>
      <c r="H759" s="776" t="s">
        <v>6941</v>
      </c>
      <c r="I759" s="796">
        <f>F758</f>
        <v>2010</v>
      </c>
      <c r="J759" s="764" t="str">
        <f>G758</f>
        <v>Gestão e Prom. de Even. Esport. e Lazer</v>
      </c>
    </row>
    <row r="760" spans="2:10" ht="35.1" customHeight="1" thickBot="1" x14ac:dyDescent="0.3">
      <c r="B760" s="769" t="s">
        <v>6939</v>
      </c>
      <c r="C760" s="1625">
        <v>400000</v>
      </c>
      <c r="D760" s="1626"/>
      <c r="E760" s="769" t="s">
        <v>6939</v>
      </c>
      <c r="F760" s="1625">
        <v>100000</v>
      </c>
      <c r="G760" s="1627"/>
      <c r="H760" s="778" t="s">
        <v>6939</v>
      </c>
      <c r="I760" s="1625">
        <f>DESPORC!I2639</f>
        <v>0.02</v>
      </c>
      <c r="J760" s="1627"/>
    </row>
    <row r="761" spans="2:10" ht="35.1" customHeight="1" x14ac:dyDescent="0.25">
      <c r="B761" s="1628" t="s">
        <v>3137</v>
      </c>
      <c r="C761" s="1615" t="str">
        <f>'[3]Anexo I - Programas'!$B$334</f>
        <v>010</v>
      </c>
      <c r="D761" s="1629" t="str">
        <f>'[3]Anexo I - Programas'!$C$334</f>
        <v>PROMOÇÃO E DESENVOLVIMENTO DO ESPORTE E LAZER</v>
      </c>
      <c r="E761" s="1628" t="s">
        <v>3137</v>
      </c>
      <c r="F761" s="1615" t="str">
        <f>C761</f>
        <v>010</v>
      </c>
      <c r="G761" s="1617" t="str">
        <f>D761</f>
        <v>PROMOÇÃO E DESENVOLVIMENTO DO ESPORTE E LAZER</v>
      </c>
      <c r="H761" s="773" t="s">
        <v>3138</v>
      </c>
      <c r="I761" s="757">
        <f>DESPORC!C2642</f>
        <v>27</v>
      </c>
      <c r="J761" s="765" t="str">
        <f>DESPORC!D2642</f>
        <v>Desporto e Lazer</v>
      </c>
    </row>
    <row r="762" spans="2:10" ht="35.1" customHeight="1" x14ac:dyDescent="0.25">
      <c r="B762" s="1619"/>
      <c r="C762" s="1616"/>
      <c r="D762" s="1630"/>
      <c r="E762" s="1619"/>
      <c r="F762" s="1616"/>
      <c r="G762" s="1618"/>
      <c r="H762" s="774" t="s">
        <v>6940</v>
      </c>
      <c r="I762" s="757">
        <f>DESPORC!C2643</f>
        <v>128</v>
      </c>
      <c r="J762" s="765" t="str">
        <f>DESPORC!D2643</f>
        <v>Formação de Recursos Humanos</v>
      </c>
    </row>
    <row r="763" spans="2:10" ht="35.1" customHeight="1" x14ac:dyDescent="0.25">
      <c r="B763" s="1619" t="s">
        <v>6941</v>
      </c>
      <c r="C763" s="1616">
        <f>'[3]Anexo I - Programas'!$C$348</f>
        <v>2010</v>
      </c>
      <c r="D763" s="1622" t="str">
        <f>'[3]Anexo I - Programas'!$D$348</f>
        <v>Gestão e Prom. de Even. Esport. e Lazer</v>
      </c>
      <c r="E763" s="1619" t="s">
        <v>6941</v>
      </c>
      <c r="F763" s="1616">
        <f>C763</f>
        <v>2010</v>
      </c>
      <c r="G763" s="1618" t="str">
        <f>D763</f>
        <v>Gestão e Prom. de Even. Esport. e Lazer</v>
      </c>
      <c r="H763" s="775" t="s">
        <v>3137</v>
      </c>
      <c r="I763" s="795" t="str">
        <f>F761</f>
        <v>010</v>
      </c>
      <c r="J763" s="762" t="str">
        <f>G761</f>
        <v>PROMOÇÃO E DESENVOLVIMENTO DO ESPORTE E LAZER</v>
      </c>
    </row>
    <row r="764" spans="2:10" ht="35.1" customHeight="1" x14ac:dyDescent="0.25">
      <c r="B764" s="1620"/>
      <c r="C764" s="1621"/>
      <c r="D764" s="1623"/>
      <c r="E764" s="1620"/>
      <c r="F764" s="1621"/>
      <c r="G764" s="1624"/>
      <c r="H764" s="776" t="s">
        <v>6941</v>
      </c>
      <c r="I764" s="796">
        <f>F763</f>
        <v>2010</v>
      </c>
      <c r="J764" s="764" t="str">
        <f>G763</f>
        <v>Gestão e Prom. de Even. Esport. e Lazer</v>
      </c>
    </row>
    <row r="765" spans="2:10" ht="35.1" customHeight="1" thickBot="1" x14ac:dyDescent="0.3">
      <c r="B765" s="769" t="s">
        <v>6939</v>
      </c>
      <c r="C765" s="1625">
        <v>400000</v>
      </c>
      <c r="D765" s="1626"/>
      <c r="E765" s="769" t="s">
        <v>6939</v>
      </c>
      <c r="F765" s="1625">
        <v>100000</v>
      </c>
      <c r="G765" s="1627"/>
      <c r="H765" s="778" t="s">
        <v>6939</v>
      </c>
      <c r="I765" s="1625">
        <f>DESPORC!I2645</f>
        <v>0.05</v>
      </c>
      <c r="J765" s="1627"/>
    </row>
    <row r="766" spans="2:10" ht="35.1" customHeight="1" x14ac:dyDescent="0.25">
      <c r="B766" s="1628" t="s">
        <v>3137</v>
      </c>
      <c r="C766" s="1615" t="str">
        <f>'[3]Anexo I - Programas'!$B$334</f>
        <v>010</v>
      </c>
      <c r="D766" s="1629" t="str">
        <f>'[3]Anexo I - Programas'!$C$334</f>
        <v>PROMOÇÃO E DESENVOLVIMENTO DO ESPORTE E LAZER</v>
      </c>
      <c r="E766" s="1628" t="s">
        <v>3137</v>
      </c>
      <c r="F766" s="1615" t="str">
        <f>C766</f>
        <v>010</v>
      </c>
      <c r="G766" s="1617" t="str">
        <f>D766</f>
        <v>PROMOÇÃO E DESENVOLVIMENTO DO ESPORTE E LAZER</v>
      </c>
      <c r="H766" s="773" t="s">
        <v>3138</v>
      </c>
      <c r="I766" s="757">
        <f>DESPORC!C2651</f>
        <v>27</v>
      </c>
      <c r="J766" s="765" t="str">
        <f>DESPORC!D2651</f>
        <v>Desporto e Lazer</v>
      </c>
    </row>
    <row r="767" spans="2:10" ht="35.1" customHeight="1" x14ac:dyDescent="0.25">
      <c r="B767" s="1619"/>
      <c r="C767" s="1616"/>
      <c r="D767" s="1630"/>
      <c r="E767" s="1619"/>
      <c r="F767" s="1616"/>
      <c r="G767" s="1618"/>
      <c r="H767" s="774" t="s">
        <v>6940</v>
      </c>
      <c r="I767" s="757">
        <f>DESPORC!C2652</f>
        <v>812</v>
      </c>
      <c r="J767" s="765" t="str">
        <f>DESPORC!D2652</f>
        <v>Desporto Comunitário</v>
      </c>
    </row>
    <row r="768" spans="2:10" ht="35.1" customHeight="1" x14ac:dyDescent="0.25">
      <c r="B768" s="1619" t="s">
        <v>6941</v>
      </c>
      <c r="C768" s="1616">
        <f>'[3]Anexo I - Programas'!$C$348</f>
        <v>2010</v>
      </c>
      <c r="D768" s="1622" t="str">
        <f>'[3]Anexo I - Programas'!$D$348</f>
        <v>Gestão e Prom. de Even. Esport. e Lazer</v>
      </c>
      <c r="E768" s="1619" t="s">
        <v>6941</v>
      </c>
      <c r="F768" s="1616">
        <f>C768</f>
        <v>2010</v>
      </c>
      <c r="G768" s="1618" t="str">
        <f>D768</f>
        <v>Gestão e Prom. de Even. Esport. e Lazer</v>
      </c>
      <c r="H768" s="775" t="s">
        <v>3137</v>
      </c>
      <c r="I768" s="795" t="str">
        <f>F766</f>
        <v>010</v>
      </c>
      <c r="J768" s="762" t="str">
        <f>G766</f>
        <v>PROMOÇÃO E DESENVOLVIMENTO DO ESPORTE E LAZER</v>
      </c>
    </row>
    <row r="769" spans="2:10" ht="35.1" customHeight="1" x14ac:dyDescent="0.25">
      <c r="B769" s="1620"/>
      <c r="C769" s="1621"/>
      <c r="D769" s="1623"/>
      <c r="E769" s="1620"/>
      <c r="F769" s="1621"/>
      <c r="G769" s="1624"/>
      <c r="H769" s="776" t="s">
        <v>6941</v>
      </c>
      <c r="I769" s="796">
        <f>F768</f>
        <v>2010</v>
      </c>
      <c r="J769" s="764" t="str">
        <f>G768</f>
        <v>Gestão e Prom. de Even. Esport. e Lazer</v>
      </c>
    </row>
    <row r="770" spans="2:10" ht="35.1" customHeight="1" thickBot="1" x14ac:dyDescent="0.3">
      <c r="B770" s="769" t="s">
        <v>6939</v>
      </c>
      <c r="C770" s="1625">
        <v>400000</v>
      </c>
      <c r="D770" s="1626"/>
      <c r="E770" s="769" t="s">
        <v>6939</v>
      </c>
      <c r="F770" s="1625">
        <v>100000</v>
      </c>
      <c r="G770" s="1627"/>
      <c r="H770" s="778" t="s">
        <v>6939</v>
      </c>
      <c r="I770" s="1625">
        <f>DESPORC!I2654</f>
        <v>176801.12000000005</v>
      </c>
      <c r="J770" s="1627"/>
    </row>
    <row r="780" spans="2:10" ht="35.1" customHeight="1" x14ac:dyDescent="0.25">
      <c r="B780" s="1631" t="s">
        <v>6927</v>
      </c>
      <c r="C780" s="1631"/>
      <c r="D780" s="755" t="str">
        <f>DESPORC!C2681</f>
        <v>03 - SECRETARIA MUNICIPAL DE EDUCAÇÃO, CULT. E DESPORTO</v>
      </c>
      <c r="E780" s="797"/>
      <c r="F780" s="798"/>
      <c r="G780" s="798"/>
      <c r="H780" s="797"/>
      <c r="I780" s="798"/>
      <c r="J780" s="798"/>
    </row>
    <row r="781" spans="2:10" ht="35.1" customHeight="1" thickBot="1" x14ac:dyDescent="0.3">
      <c r="B781" s="1632" t="s">
        <v>3087</v>
      </c>
      <c r="C781" s="1632"/>
      <c r="D781" s="755" t="str">
        <f>DESPORC!C2682</f>
        <v>09 - DEPARTAMENTO DE TURISMO</v>
      </c>
      <c r="E781" s="797"/>
      <c r="F781" s="36"/>
      <c r="G781" s="1"/>
      <c r="H781" s="772"/>
      <c r="I781" s="1"/>
      <c r="J781" s="1"/>
    </row>
    <row r="782" spans="2:10" ht="35.1" customHeight="1" thickBot="1" x14ac:dyDescent="0.3">
      <c r="B782" s="1776" t="s">
        <v>6955</v>
      </c>
      <c r="C782" s="1777"/>
      <c r="D782" s="1778"/>
      <c r="E782" s="1776" t="str">
        <f>E$12</f>
        <v>PRIORIDADES LDO LEI MUNICIPAL N.º 1215  DE 02 DE OUTUBRO DE 2019.</v>
      </c>
      <c r="F782" s="1777"/>
      <c r="G782" s="1778"/>
      <c r="H782" s="1779" t="s">
        <v>6956</v>
      </c>
      <c r="I782" s="1780"/>
      <c r="J782" s="1781"/>
    </row>
    <row r="783" spans="2:10" ht="35.1" customHeight="1" x14ac:dyDescent="0.25">
      <c r="B783" s="1628" t="s">
        <v>3137</v>
      </c>
      <c r="C783" s="1615" t="str">
        <f>'[3]Anexo I - Programas'!$B$310</f>
        <v>9</v>
      </c>
      <c r="D783" s="1629" t="str">
        <f>'[3]Anexo I - Programas'!$C$310</f>
        <v>PROMOÇÃO E DESENVIMENTO DO TURISMO</v>
      </c>
      <c r="E783" s="1628" t="s">
        <v>3137</v>
      </c>
      <c r="F783" s="1615" t="str">
        <f>C783</f>
        <v>9</v>
      </c>
      <c r="G783" s="1617" t="str">
        <f>D783</f>
        <v>PROMOÇÃO E DESENVIMENTO DO TURISMO</v>
      </c>
      <c r="H783" s="773" t="s">
        <v>3138</v>
      </c>
      <c r="I783" s="757">
        <f>DESPORC!C2685</f>
        <v>13</v>
      </c>
      <c r="J783" s="765" t="str">
        <f>DESPORC!D2685</f>
        <v>Cultura</v>
      </c>
    </row>
    <row r="784" spans="2:10" ht="35.1" customHeight="1" x14ac:dyDescent="0.25">
      <c r="B784" s="1619"/>
      <c r="C784" s="1616"/>
      <c r="D784" s="1630"/>
      <c r="E784" s="1619"/>
      <c r="F784" s="1616"/>
      <c r="G784" s="1618"/>
      <c r="H784" s="774" t="s">
        <v>6940</v>
      </c>
      <c r="I784" s="757">
        <f>DESPORC!C2686</f>
        <v>695</v>
      </c>
      <c r="J784" s="765" t="str">
        <f>DESPORC!D2686</f>
        <v>Turismo</v>
      </c>
    </row>
    <row r="785" spans="2:10" ht="35.1" customHeight="1" x14ac:dyDescent="0.25">
      <c r="B785" s="1619" t="s">
        <v>6941</v>
      </c>
      <c r="C785" s="1616">
        <f>'[3]Anexo I - Programas'!$C$319</f>
        <v>1008</v>
      </c>
      <c r="D785" s="1622" t="str">
        <f>'[3]Anexo I - Programas'!$D$319</f>
        <v>Novos Investimentos em Turismo</v>
      </c>
      <c r="E785" s="1619" t="s">
        <v>6941</v>
      </c>
      <c r="F785" s="1616">
        <f>C785</f>
        <v>1008</v>
      </c>
      <c r="G785" s="1618" t="str">
        <f>D785</f>
        <v>Novos Investimentos em Turismo</v>
      </c>
      <c r="H785" s="775" t="s">
        <v>3137</v>
      </c>
      <c r="I785" s="795" t="str">
        <f>F783</f>
        <v>9</v>
      </c>
      <c r="J785" s="762" t="str">
        <f>G783</f>
        <v>PROMOÇÃO E DESENVIMENTO DO TURISMO</v>
      </c>
    </row>
    <row r="786" spans="2:10" ht="35.1" customHeight="1" x14ac:dyDescent="0.25">
      <c r="B786" s="1620"/>
      <c r="C786" s="1621"/>
      <c r="D786" s="1623"/>
      <c r="E786" s="1620"/>
      <c r="F786" s="1621"/>
      <c r="G786" s="1624"/>
      <c r="H786" s="776" t="s">
        <v>6941</v>
      </c>
      <c r="I786" s="796">
        <f>F785</f>
        <v>1008</v>
      </c>
      <c r="J786" s="764" t="str">
        <f>G785</f>
        <v>Novos Investimentos em Turismo</v>
      </c>
    </row>
    <row r="787" spans="2:10" ht="35.1" customHeight="1" thickBot="1" x14ac:dyDescent="0.3">
      <c r="B787" s="769" t="s">
        <v>6939</v>
      </c>
      <c r="C787" s="1625">
        <v>200000</v>
      </c>
      <c r="D787" s="1626"/>
      <c r="E787" s="769" t="s">
        <v>6939</v>
      </c>
      <c r="F787" s="1625">
        <v>50000</v>
      </c>
      <c r="G787" s="1627"/>
      <c r="H787" s="778" t="s">
        <v>6939</v>
      </c>
      <c r="I787" s="1625">
        <f>DESPORC!I2688</f>
        <v>6.0000000000000005E-2</v>
      </c>
      <c r="J787" s="1627"/>
    </row>
    <row r="788" spans="2:10" ht="35.1" customHeight="1" x14ac:dyDescent="0.25">
      <c r="B788" s="1628" t="s">
        <v>3137</v>
      </c>
      <c r="C788" s="1615" t="str">
        <f>'[3]Anexo I - Programas'!$B$310</f>
        <v>9</v>
      </c>
      <c r="D788" s="1629" t="str">
        <f>'[3]Anexo I - Programas'!$C$310</f>
        <v>PROMOÇÃO E DESENVIMENTO DO TURISMO</v>
      </c>
      <c r="E788" s="1628" t="s">
        <v>3137</v>
      </c>
      <c r="F788" s="1615" t="str">
        <f>C788</f>
        <v>9</v>
      </c>
      <c r="G788" s="1617" t="str">
        <f>D788</f>
        <v>PROMOÇÃO E DESENVIMENTO DO TURISMO</v>
      </c>
      <c r="H788" s="773" t="s">
        <v>3138</v>
      </c>
      <c r="I788" s="757">
        <f>DESPORC!C2695</f>
        <v>13</v>
      </c>
      <c r="J788" s="765" t="str">
        <f>DESPORC!D2695</f>
        <v>Cultura</v>
      </c>
    </row>
    <row r="789" spans="2:10" ht="35.1" customHeight="1" x14ac:dyDescent="0.25">
      <c r="B789" s="1619"/>
      <c r="C789" s="1616"/>
      <c r="D789" s="1630"/>
      <c r="E789" s="1619"/>
      <c r="F789" s="1616"/>
      <c r="G789" s="1618"/>
      <c r="H789" s="774" t="s">
        <v>6940</v>
      </c>
      <c r="I789" s="757">
        <f>DESPORC!C2696</f>
        <v>126</v>
      </c>
      <c r="J789" s="765" t="str">
        <f>DESPORC!D2696</f>
        <v>Tecnologia da Informação</v>
      </c>
    </row>
    <row r="790" spans="2:10" ht="35.1" customHeight="1" x14ac:dyDescent="0.25">
      <c r="B790" s="1619" t="s">
        <v>6941</v>
      </c>
      <c r="C790" s="1616">
        <f>'[3]Anexo I - Programas'!$C$324</f>
        <v>2009</v>
      </c>
      <c r="D790" s="1622" t="str">
        <f>'[3]Anexo I - Programas'!$D$324</f>
        <v>Promoção e Desenvolvimento do Turismo</v>
      </c>
      <c r="E790" s="1619" t="s">
        <v>6941</v>
      </c>
      <c r="F790" s="1616">
        <f>C790</f>
        <v>2009</v>
      </c>
      <c r="G790" s="1618" t="str">
        <f>D790</f>
        <v>Promoção e Desenvolvimento do Turismo</v>
      </c>
      <c r="H790" s="775" t="s">
        <v>3137</v>
      </c>
      <c r="I790" s="795" t="str">
        <f>F788</f>
        <v>9</v>
      </c>
      <c r="J790" s="762" t="str">
        <f>G788</f>
        <v>PROMOÇÃO E DESENVIMENTO DO TURISMO</v>
      </c>
    </row>
    <row r="791" spans="2:10" ht="35.1" customHeight="1" x14ac:dyDescent="0.25">
      <c r="B791" s="1620"/>
      <c r="C791" s="1621"/>
      <c r="D791" s="1623"/>
      <c r="E791" s="1620"/>
      <c r="F791" s="1621"/>
      <c r="G791" s="1624"/>
      <c r="H791" s="776" t="s">
        <v>6941</v>
      </c>
      <c r="I791" s="796">
        <f>F790</f>
        <v>2009</v>
      </c>
      <c r="J791" s="764" t="str">
        <f>G790</f>
        <v>Promoção e Desenvolvimento do Turismo</v>
      </c>
    </row>
    <row r="792" spans="2:10" ht="35.1" customHeight="1" thickBot="1" x14ac:dyDescent="0.3">
      <c r="B792" s="769" t="s">
        <v>6939</v>
      </c>
      <c r="C792" s="1625">
        <v>400000</v>
      </c>
      <c r="D792" s="1626"/>
      <c r="E792" s="769" t="s">
        <v>6939</v>
      </c>
      <c r="F792" s="1625">
        <v>100000</v>
      </c>
      <c r="G792" s="1627"/>
      <c r="H792" s="778" t="s">
        <v>6939</v>
      </c>
      <c r="I792" s="1625">
        <f>DESPORC!I2698</f>
        <v>0.01</v>
      </c>
      <c r="J792" s="1627"/>
    </row>
    <row r="793" spans="2:10" ht="35.1" customHeight="1" x14ac:dyDescent="0.25">
      <c r="B793" s="1628" t="s">
        <v>3137</v>
      </c>
      <c r="C793" s="1615" t="str">
        <f>'[3]Anexo I - Programas'!$B$310</f>
        <v>9</v>
      </c>
      <c r="D793" s="1629" t="str">
        <f>'[3]Anexo I - Programas'!$C$310</f>
        <v>PROMOÇÃO E DESENVIMENTO DO TURISMO</v>
      </c>
      <c r="E793" s="1628" t="s">
        <v>3137</v>
      </c>
      <c r="F793" s="1615" t="str">
        <f>C793</f>
        <v>9</v>
      </c>
      <c r="G793" s="1617" t="str">
        <f>D793</f>
        <v>PROMOÇÃO E DESENVIMENTO DO TURISMO</v>
      </c>
      <c r="H793" s="773" t="s">
        <v>3138</v>
      </c>
      <c r="I793" s="757">
        <f>DESPORC!C2700</f>
        <v>13</v>
      </c>
      <c r="J793" s="765" t="str">
        <f>DESPORC!D2700</f>
        <v>Cultura</v>
      </c>
    </row>
    <row r="794" spans="2:10" ht="35.1" customHeight="1" x14ac:dyDescent="0.25">
      <c r="B794" s="1619"/>
      <c r="C794" s="1616"/>
      <c r="D794" s="1630"/>
      <c r="E794" s="1619"/>
      <c r="F794" s="1616"/>
      <c r="G794" s="1618"/>
      <c r="H794" s="774" t="s">
        <v>6940</v>
      </c>
      <c r="I794" s="757">
        <f>DESPORC!C2701</f>
        <v>695</v>
      </c>
      <c r="J794" s="765" t="str">
        <f>DESPORC!D2701</f>
        <v>Turismo</v>
      </c>
    </row>
    <row r="795" spans="2:10" ht="35.1" customHeight="1" x14ac:dyDescent="0.25">
      <c r="B795" s="1619" t="s">
        <v>6941</v>
      </c>
      <c r="C795" s="1616">
        <f>'[3]Anexo I - Programas'!$C$324</f>
        <v>2009</v>
      </c>
      <c r="D795" s="1622" t="str">
        <f>'[3]Anexo I - Programas'!$D$324</f>
        <v>Promoção e Desenvolvimento do Turismo</v>
      </c>
      <c r="E795" s="1619" t="s">
        <v>6941</v>
      </c>
      <c r="F795" s="1616">
        <f>C795</f>
        <v>2009</v>
      </c>
      <c r="G795" s="1618" t="str">
        <f>D795</f>
        <v>Promoção e Desenvolvimento do Turismo</v>
      </c>
      <c r="H795" s="775" t="s">
        <v>3137</v>
      </c>
      <c r="I795" s="795" t="str">
        <f>F793</f>
        <v>9</v>
      </c>
      <c r="J795" s="762" t="str">
        <f>G793</f>
        <v>PROMOÇÃO E DESENVIMENTO DO TURISMO</v>
      </c>
    </row>
    <row r="796" spans="2:10" ht="35.1" customHeight="1" x14ac:dyDescent="0.25">
      <c r="B796" s="1620"/>
      <c r="C796" s="1621"/>
      <c r="D796" s="1623"/>
      <c r="E796" s="1620"/>
      <c r="F796" s="1621"/>
      <c r="G796" s="1624"/>
      <c r="H796" s="776" t="s">
        <v>6941</v>
      </c>
      <c r="I796" s="796">
        <f>F795</f>
        <v>2009</v>
      </c>
      <c r="J796" s="764" t="str">
        <f>G795</f>
        <v>Promoção e Desenvolvimento do Turismo</v>
      </c>
    </row>
    <row r="797" spans="2:10" ht="35.1" customHeight="1" thickBot="1" x14ac:dyDescent="0.3">
      <c r="B797" s="769" t="s">
        <v>6939</v>
      </c>
      <c r="C797" s="1625">
        <v>400000</v>
      </c>
      <c r="D797" s="1626"/>
      <c r="E797" s="769" t="s">
        <v>6939</v>
      </c>
      <c r="F797" s="1625">
        <v>100000</v>
      </c>
      <c r="G797" s="1627"/>
      <c r="H797" s="778" t="s">
        <v>6939</v>
      </c>
      <c r="I797" s="1625">
        <f>DESPORC!I2703</f>
        <v>114501.03999999998</v>
      </c>
      <c r="J797" s="1627"/>
    </row>
    <row r="799" spans="2:10" ht="35.1" customHeight="1" x14ac:dyDescent="0.25">
      <c r="B799" s="846"/>
      <c r="C799" s="848"/>
      <c r="E799" s="846"/>
      <c r="H799" s="846"/>
    </row>
    <row r="800" spans="2:10" ht="35.1" customHeight="1" x14ac:dyDescent="0.25">
      <c r="B800" s="846"/>
      <c r="C800" s="848"/>
      <c r="E800" s="846"/>
      <c r="H800" s="846"/>
    </row>
    <row r="801" spans="2:10" ht="35.1" customHeight="1" x14ac:dyDescent="0.25">
      <c r="B801" s="1631" t="s">
        <v>6927</v>
      </c>
      <c r="C801" s="1631"/>
      <c r="D801" s="755" t="str">
        <f>DESPORC!C2721</f>
        <v>03 - SECRETARIA MUNICIPAL DE EDUCAÇÃO, CULT. E DESPORTO</v>
      </c>
      <c r="E801" s="797"/>
      <c r="F801" s="798"/>
      <c r="G801" s="798"/>
      <c r="H801" s="797"/>
      <c r="I801" s="798"/>
      <c r="J801" s="798"/>
    </row>
    <row r="802" spans="2:10" ht="35.1" customHeight="1" thickBot="1" x14ac:dyDescent="0.3">
      <c r="B802" s="1632" t="s">
        <v>3087</v>
      </c>
      <c r="C802" s="1632"/>
      <c r="D802" s="755" t="str">
        <f>DESPORC!C2722</f>
        <v>10 - GESTÃO, COORD., PLAN. E MAN. EMEI SONHO DE CRIANÇA</v>
      </c>
      <c r="E802" s="797"/>
      <c r="F802" s="36"/>
      <c r="G802" s="1"/>
      <c r="H802" s="772"/>
      <c r="I802" s="1"/>
      <c r="J802" s="1"/>
    </row>
    <row r="803" spans="2:10" ht="35.1" customHeight="1" thickBot="1" x14ac:dyDescent="0.3">
      <c r="B803" s="1776" t="s">
        <v>6955</v>
      </c>
      <c r="C803" s="1777"/>
      <c r="D803" s="1778"/>
      <c r="E803" s="1776" t="str">
        <f>E$12</f>
        <v>PRIORIDADES LDO LEI MUNICIPAL N.º 1215  DE 02 DE OUTUBRO DE 2019.</v>
      </c>
      <c r="F803" s="1777"/>
      <c r="G803" s="1778"/>
      <c r="H803" s="1779" t="s">
        <v>6956</v>
      </c>
      <c r="I803" s="1780"/>
      <c r="J803" s="1781"/>
    </row>
    <row r="804" spans="2:10" ht="35.1" customHeight="1" x14ac:dyDescent="0.25">
      <c r="B804" s="1628" t="s">
        <v>3137</v>
      </c>
      <c r="C804" s="1615" t="str">
        <f>'[3]Anexo I - Programas'!$B$173</f>
        <v>6</v>
      </c>
      <c r="D804" s="1629" t="str">
        <f>'[3]Anexo I - Programas'!$C$173</f>
        <v>PROMOÇÃO E DESENVOLVIMENTO DA EDUCAÇÃO</v>
      </c>
      <c r="E804" s="1628" t="s">
        <v>3137</v>
      </c>
      <c r="F804" s="1615" t="str">
        <f>C804</f>
        <v>6</v>
      </c>
      <c r="G804" s="1617" t="str">
        <f>D804</f>
        <v>PROMOÇÃO E DESENVOLVIMENTO DA EDUCAÇÃO</v>
      </c>
      <c r="H804" s="773" t="s">
        <v>3138</v>
      </c>
      <c r="I804" s="757">
        <f>DESPORC!C2725</f>
        <v>12</v>
      </c>
      <c r="J804" s="765" t="str">
        <f>DESPORC!D2725</f>
        <v>Educação</v>
      </c>
    </row>
    <row r="805" spans="2:10" ht="35.1" customHeight="1" x14ac:dyDescent="0.25">
      <c r="B805" s="1619"/>
      <c r="C805" s="1616"/>
      <c r="D805" s="1630"/>
      <c r="E805" s="1619"/>
      <c r="F805" s="1616"/>
      <c r="G805" s="1618"/>
      <c r="H805" s="774" t="s">
        <v>6940</v>
      </c>
      <c r="I805" s="757">
        <f>DESPORC!C2726</f>
        <v>365</v>
      </c>
      <c r="J805" s="765" t="str">
        <f>DESPORC!D2726</f>
        <v>Educação Infantil</v>
      </c>
    </row>
    <row r="806" spans="2:10" ht="35.1" customHeight="1" x14ac:dyDescent="0.25">
      <c r="B806" s="1619" t="s">
        <v>6941</v>
      </c>
      <c r="C806" s="1616">
        <f>'[3]Anexo I - Programas'!$C$187</f>
        <v>1018</v>
      </c>
      <c r="D806" s="1622" t="str">
        <f>'[3]Anexo I - Programas'!$D$187</f>
        <v>Novos Investimentos EMEI Sonho Criança</v>
      </c>
      <c r="E806" s="1619" t="s">
        <v>6941</v>
      </c>
      <c r="F806" s="1616">
        <f>C806</f>
        <v>1018</v>
      </c>
      <c r="G806" s="1618" t="str">
        <f>D806</f>
        <v>Novos Investimentos EMEI Sonho Criança</v>
      </c>
      <c r="H806" s="775" t="s">
        <v>3137</v>
      </c>
      <c r="I806" s="795" t="str">
        <f>F804</f>
        <v>6</v>
      </c>
      <c r="J806" s="762" t="str">
        <f>G804</f>
        <v>PROMOÇÃO E DESENVOLVIMENTO DA EDUCAÇÃO</v>
      </c>
    </row>
    <row r="807" spans="2:10" ht="35.1" customHeight="1" x14ac:dyDescent="0.25">
      <c r="B807" s="1620"/>
      <c r="C807" s="1621"/>
      <c r="D807" s="1623"/>
      <c r="E807" s="1620"/>
      <c r="F807" s="1621"/>
      <c r="G807" s="1624"/>
      <c r="H807" s="776" t="s">
        <v>6941</v>
      </c>
      <c r="I807" s="796">
        <f>F806</f>
        <v>1018</v>
      </c>
      <c r="J807" s="764" t="str">
        <f>G806</f>
        <v>Novos Investimentos EMEI Sonho Criança</v>
      </c>
    </row>
    <row r="808" spans="2:10" ht="35.1" customHeight="1" thickBot="1" x14ac:dyDescent="0.3">
      <c r="B808" s="769" t="s">
        <v>6939</v>
      </c>
      <c r="C808" s="1625">
        <v>150000</v>
      </c>
      <c r="D808" s="1626"/>
      <c r="E808" s="769" t="s">
        <v>6939</v>
      </c>
      <c r="F808" s="1625">
        <v>37500</v>
      </c>
      <c r="G808" s="1627"/>
      <c r="H808" s="778" t="s">
        <v>6939</v>
      </c>
      <c r="I808" s="1625">
        <f>DESPORC!I2728</f>
        <v>6.0000000000000005E-2</v>
      </c>
      <c r="J808" s="1627"/>
    </row>
    <row r="809" spans="2:10" ht="35.1" customHeight="1" x14ac:dyDescent="0.25">
      <c r="B809" s="1628" t="s">
        <v>3137</v>
      </c>
      <c r="C809" s="1615" t="str">
        <f>'[3]Anexo I - Programas'!$B$173</f>
        <v>6</v>
      </c>
      <c r="D809" s="1629" t="str">
        <f>'[3]Anexo I - Programas'!$C$173</f>
        <v>PROMOÇÃO E DESENVOLVIMENTO DA EDUCAÇÃO</v>
      </c>
      <c r="E809" s="1628" t="s">
        <v>3137</v>
      </c>
      <c r="F809" s="1615" t="str">
        <f>C809</f>
        <v>6</v>
      </c>
      <c r="G809" s="1617" t="str">
        <f>D809</f>
        <v>PROMOÇÃO E DESENVOLVIMENTO DA EDUCAÇÃO</v>
      </c>
      <c r="H809" s="773" t="s">
        <v>3138</v>
      </c>
      <c r="I809" s="757">
        <f>DESPORC!C2735</f>
        <v>12</v>
      </c>
      <c r="J809" s="765" t="str">
        <f>DESPORC!D2735</f>
        <v>Educação</v>
      </c>
    </row>
    <row r="810" spans="2:10" ht="35.1" customHeight="1" x14ac:dyDescent="0.25">
      <c r="B810" s="1619"/>
      <c r="C810" s="1616"/>
      <c r="D810" s="1630"/>
      <c r="E810" s="1619"/>
      <c r="F810" s="1616"/>
      <c r="G810" s="1618"/>
      <c r="H810" s="774" t="s">
        <v>6940</v>
      </c>
      <c r="I810" s="757">
        <f>DESPORC!C2736</f>
        <v>122</v>
      </c>
      <c r="J810" s="765" t="str">
        <f>DESPORC!D2736</f>
        <v>Administração Geral</v>
      </c>
    </row>
    <row r="811" spans="2:10" ht="35.1" customHeight="1" x14ac:dyDescent="0.25">
      <c r="B811" s="1619" t="s">
        <v>6941</v>
      </c>
      <c r="C811" s="1616">
        <f>'[3]Anexo I - Programas'!$C$222</f>
        <v>2040</v>
      </c>
      <c r="D811" s="1622" t="str">
        <f>'[3]Anexo I - Programas'!$D$222</f>
        <v xml:space="preserve">Gestão, Coordenação e  Planejamento E.M.E.I. Sonho de Criança </v>
      </c>
      <c r="E811" s="1619" t="s">
        <v>6941</v>
      </c>
      <c r="F811" s="1616">
        <f>C811</f>
        <v>2040</v>
      </c>
      <c r="G811" s="1618" t="str">
        <f>D811</f>
        <v xml:space="preserve">Gestão, Coordenação e  Planejamento E.M.E.I. Sonho de Criança </v>
      </c>
      <c r="H811" s="775" t="s">
        <v>3137</v>
      </c>
      <c r="I811" s="795" t="str">
        <f>F809</f>
        <v>6</v>
      </c>
      <c r="J811" s="762" t="str">
        <f>G809</f>
        <v>PROMOÇÃO E DESENVOLVIMENTO DA EDUCAÇÃO</v>
      </c>
    </row>
    <row r="812" spans="2:10" ht="35.1" customHeight="1" x14ac:dyDescent="0.25">
      <c r="B812" s="1620"/>
      <c r="C812" s="1621"/>
      <c r="D812" s="1623"/>
      <c r="E812" s="1620"/>
      <c r="F812" s="1621"/>
      <c r="G812" s="1624"/>
      <c r="H812" s="776" t="s">
        <v>6941</v>
      </c>
      <c r="I812" s="796">
        <f>F811</f>
        <v>2040</v>
      </c>
      <c r="J812" s="764" t="str">
        <f>G811</f>
        <v xml:space="preserve">Gestão, Coordenação e  Planejamento E.M.E.I. Sonho de Criança </v>
      </c>
    </row>
    <row r="813" spans="2:10" ht="35.1" customHeight="1" thickBot="1" x14ac:dyDescent="0.3">
      <c r="B813" s="769" t="s">
        <v>6939</v>
      </c>
      <c r="C813" s="1625">
        <v>1000000</v>
      </c>
      <c r="D813" s="1626"/>
      <c r="E813" s="769" t="s">
        <v>6939</v>
      </c>
      <c r="F813" s="1625">
        <v>250000</v>
      </c>
      <c r="G813" s="1627"/>
      <c r="H813" s="778" t="s">
        <v>6939</v>
      </c>
      <c r="I813" s="1625">
        <f>DESPORC!I2738</f>
        <v>107860.54050483269</v>
      </c>
      <c r="J813" s="1627"/>
    </row>
    <row r="814" spans="2:10" ht="35.1" customHeight="1" x14ac:dyDescent="0.25">
      <c r="B814" s="1628" t="s">
        <v>3137</v>
      </c>
      <c r="C814" s="1615" t="str">
        <f>'[3]Anexo I - Programas'!$B$173</f>
        <v>6</v>
      </c>
      <c r="D814" s="1629" t="str">
        <f>'[3]Anexo I - Programas'!$C$173</f>
        <v>PROMOÇÃO E DESENVOLVIMENTO DA EDUCAÇÃO</v>
      </c>
      <c r="E814" s="1628" t="s">
        <v>3137</v>
      </c>
      <c r="F814" s="1615" t="str">
        <f>C814</f>
        <v>6</v>
      </c>
      <c r="G814" s="1617" t="str">
        <f>D814</f>
        <v>PROMOÇÃO E DESENVOLVIMENTO DA EDUCAÇÃO</v>
      </c>
      <c r="H814" s="773" t="s">
        <v>3138</v>
      </c>
      <c r="I814" s="757">
        <f>DESPORC!C2760</f>
        <v>12</v>
      </c>
      <c r="J814" s="765" t="str">
        <f>DESPORC!D2760</f>
        <v>Educação</v>
      </c>
    </row>
    <row r="815" spans="2:10" ht="35.1" customHeight="1" x14ac:dyDescent="0.25">
      <c r="B815" s="1619"/>
      <c r="C815" s="1616"/>
      <c r="D815" s="1630"/>
      <c r="E815" s="1619"/>
      <c r="F815" s="1616"/>
      <c r="G815" s="1618"/>
      <c r="H815" s="774" t="s">
        <v>6940</v>
      </c>
      <c r="I815" s="757">
        <f>DESPORC!C2761</f>
        <v>126</v>
      </c>
      <c r="J815" s="765" t="str">
        <f>DESPORC!D2761</f>
        <v>Tecnologia da Informação</v>
      </c>
    </row>
    <row r="816" spans="2:10" ht="35.1" customHeight="1" x14ac:dyDescent="0.25">
      <c r="B816" s="1619" t="s">
        <v>6941</v>
      </c>
      <c r="C816" s="1616">
        <f>'[3]Anexo I - Programas'!$C$222</f>
        <v>2040</v>
      </c>
      <c r="D816" s="1622" t="str">
        <f>'[3]Anexo I - Programas'!$D$222</f>
        <v xml:space="preserve">Gestão, Coordenação e  Planejamento E.M.E.I. Sonho de Criança </v>
      </c>
      <c r="E816" s="1619" t="s">
        <v>6941</v>
      </c>
      <c r="F816" s="1616">
        <f>C816</f>
        <v>2040</v>
      </c>
      <c r="G816" s="1618" t="str">
        <f>D816</f>
        <v xml:space="preserve">Gestão, Coordenação e  Planejamento E.M.E.I. Sonho de Criança </v>
      </c>
      <c r="H816" s="775" t="s">
        <v>3137</v>
      </c>
      <c r="I816" s="795" t="str">
        <f>F814</f>
        <v>6</v>
      </c>
      <c r="J816" s="762" t="str">
        <f>G814</f>
        <v>PROMOÇÃO E DESENVOLVIMENTO DA EDUCAÇÃO</v>
      </c>
    </row>
    <row r="817" spans="2:10" ht="35.1" customHeight="1" x14ac:dyDescent="0.25">
      <c r="B817" s="1620"/>
      <c r="C817" s="1621"/>
      <c r="D817" s="1623"/>
      <c r="E817" s="1620"/>
      <c r="F817" s="1621"/>
      <c r="G817" s="1624"/>
      <c r="H817" s="776" t="s">
        <v>6941</v>
      </c>
      <c r="I817" s="796">
        <f>F816</f>
        <v>2040</v>
      </c>
      <c r="J817" s="764" t="str">
        <f>G816</f>
        <v xml:space="preserve">Gestão, Coordenação e  Planejamento E.M.E.I. Sonho de Criança </v>
      </c>
    </row>
    <row r="818" spans="2:10" ht="35.1" customHeight="1" thickBot="1" x14ac:dyDescent="0.3">
      <c r="B818" s="769" t="s">
        <v>6939</v>
      </c>
      <c r="C818" s="1625">
        <v>1000000</v>
      </c>
      <c r="D818" s="1626"/>
      <c r="E818" s="769" t="s">
        <v>6939</v>
      </c>
      <c r="F818" s="1625">
        <v>250000</v>
      </c>
      <c r="G818" s="1627"/>
      <c r="H818" s="778" t="s">
        <v>6939</v>
      </c>
      <c r="I818" s="1625">
        <f>DESPORC!I2763</f>
        <v>1.0973403E-2</v>
      </c>
      <c r="J818" s="1627"/>
    </row>
    <row r="819" spans="2:10" ht="35.1" customHeight="1" x14ac:dyDescent="0.25">
      <c r="B819" s="1628" t="s">
        <v>3137</v>
      </c>
      <c r="C819" s="1615" t="str">
        <f>'[3]Anexo I - Programas'!$B$173</f>
        <v>6</v>
      </c>
      <c r="D819" s="1629" t="str">
        <f>'[3]Anexo I - Programas'!$C$173</f>
        <v>PROMOÇÃO E DESENVOLVIMENTO DA EDUCAÇÃO</v>
      </c>
      <c r="E819" s="1628" t="s">
        <v>3137</v>
      </c>
      <c r="F819" s="1615" t="str">
        <f>C819</f>
        <v>6</v>
      </c>
      <c r="G819" s="1617" t="str">
        <f>D819</f>
        <v>PROMOÇÃO E DESENVOLVIMENTO DA EDUCAÇÃO</v>
      </c>
      <c r="H819" s="773" t="s">
        <v>3138</v>
      </c>
      <c r="I819" s="757">
        <f>DESPORC!C2765</f>
        <v>12</v>
      </c>
      <c r="J819" s="765" t="str">
        <f>DESPORC!D2765</f>
        <v>Educação</v>
      </c>
    </row>
    <row r="820" spans="2:10" ht="35.1" customHeight="1" x14ac:dyDescent="0.25">
      <c r="B820" s="1619"/>
      <c r="C820" s="1616"/>
      <c r="D820" s="1630"/>
      <c r="E820" s="1619"/>
      <c r="F820" s="1616"/>
      <c r="G820" s="1618"/>
      <c r="H820" s="774" t="s">
        <v>6940</v>
      </c>
      <c r="I820" s="757">
        <f>DESPORC!C2766</f>
        <v>128</v>
      </c>
      <c r="J820" s="765" t="str">
        <f>DESPORC!D2766</f>
        <v>Formação de Recursos Humanos</v>
      </c>
    </row>
    <row r="821" spans="2:10" ht="35.1" customHeight="1" x14ac:dyDescent="0.25">
      <c r="B821" s="1619" t="s">
        <v>6941</v>
      </c>
      <c r="C821" s="1616">
        <f>'[3]Anexo I - Programas'!$C$222</f>
        <v>2040</v>
      </c>
      <c r="D821" s="1622" t="str">
        <f>'[3]Anexo I - Programas'!$D$222</f>
        <v xml:space="preserve">Gestão, Coordenação e  Planejamento E.M.E.I. Sonho de Criança </v>
      </c>
      <c r="E821" s="1619" t="s">
        <v>6941</v>
      </c>
      <c r="F821" s="1616">
        <f>C821</f>
        <v>2040</v>
      </c>
      <c r="G821" s="1618" t="str">
        <f>D821</f>
        <v xml:space="preserve">Gestão, Coordenação e  Planejamento E.M.E.I. Sonho de Criança </v>
      </c>
      <c r="H821" s="775" t="s">
        <v>3137</v>
      </c>
      <c r="I821" s="795" t="str">
        <f>F819</f>
        <v>6</v>
      </c>
      <c r="J821" s="762" t="str">
        <f>G819</f>
        <v>PROMOÇÃO E DESENVOLVIMENTO DA EDUCAÇÃO</v>
      </c>
    </row>
    <row r="822" spans="2:10" ht="35.1" customHeight="1" x14ac:dyDescent="0.25">
      <c r="B822" s="1620"/>
      <c r="C822" s="1621"/>
      <c r="D822" s="1623"/>
      <c r="E822" s="1620"/>
      <c r="F822" s="1621"/>
      <c r="G822" s="1624"/>
      <c r="H822" s="776" t="s">
        <v>6941</v>
      </c>
      <c r="I822" s="796">
        <f>F821</f>
        <v>2040</v>
      </c>
      <c r="J822" s="764" t="str">
        <f>G821</f>
        <v xml:space="preserve">Gestão, Coordenação e  Planejamento E.M.E.I. Sonho de Criança </v>
      </c>
    </row>
    <row r="823" spans="2:10" ht="35.1" customHeight="1" thickBot="1" x14ac:dyDescent="0.3">
      <c r="B823" s="769" t="s">
        <v>6939</v>
      </c>
      <c r="C823" s="1625">
        <v>1000000</v>
      </c>
      <c r="D823" s="1626"/>
      <c r="E823" s="769" t="s">
        <v>6939</v>
      </c>
      <c r="F823" s="1625">
        <v>250000</v>
      </c>
      <c r="G823" s="1627"/>
      <c r="H823" s="778" t="s">
        <v>6939</v>
      </c>
      <c r="I823" s="1625">
        <f>DESPORC!I2768</f>
        <v>0.05</v>
      </c>
      <c r="J823" s="1627"/>
    </row>
    <row r="824" spans="2:10" ht="35.1" customHeight="1" x14ac:dyDescent="0.25">
      <c r="B824" s="804"/>
      <c r="C824" s="805"/>
      <c r="D824" s="806"/>
      <c r="E824" s="804"/>
      <c r="F824" s="805"/>
      <c r="G824" s="806"/>
      <c r="H824" s="804"/>
      <c r="I824" s="805"/>
      <c r="J824" s="806"/>
    </row>
    <row r="825" spans="2:10" ht="35.1" customHeight="1" x14ac:dyDescent="0.25">
      <c r="B825" s="267"/>
      <c r="C825" s="807"/>
      <c r="D825" s="257"/>
      <c r="E825" s="267"/>
      <c r="F825" s="807"/>
      <c r="G825" s="257"/>
      <c r="H825" s="267"/>
      <c r="I825" s="807"/>
      <c r="J825" s="257"/>
    </row>
    <row r="826" spans="2:10" ht="35.1" customHeight="1" x14ac:dyDescent="0.25">
      <c r="B826" s="267"/>
      <c r="C826" s="807"/>
      <c r="D826" s="257"/>
      <c r="E826" s="267"/>
      <c r="F826" s="807"/>
      <c r="G826" s="257"/>
      <c r="H826" s="267"/>
      <c r="I826" s="807"/>
      <c r="J826" s="257"/>
    </row>
    <row r="827" spans="2:10" ht="35.1" customHeight="1" thickBot="1" x14ac:dyDescent="0.3">
      <c r="B827" s="808"/>
      <c r="C827" s="809"/>
      <c r="D827" s="810"/>
      <c r="E827" s="808"/>
      <c r="F827" s="809"/>
      <c r="G827" s="810"/>
      <c r="H827" s="808"/>
      <c r="I827" s="809"/>
      <c r="J827" s="810"/>
    </row>
    <row r="828" spans="2:10" ht="35.1" customHeight="1" x14ac:dyDescent="0.25">
      <c r="B828" s="1628" t="s">
        <v>3137</v>
      </c>
      <c r="C828" s="1615" t="str">
        <f>'[3]Anexo I - Programas'!$B$173</f>
        <v>6</v>
      </c>
      <c r="D828" s="1629" t="str">
        <f>'[3]Anexo I - Programas'!$C$173</f>
        <v>PROMOÇÃO E DESENVOLVIMENTO DA EDUCAÇÃO</v>
      </c>
      <c r="E828" s="1628" t="s">
        <v>3137</v>
      </c>
      <c r="F828" s="1615" t="str">
        <f>C828</f>
        <v>6</v>
      </c>
      <c r="G828" s="1617" t="str">
        <f>D828</f>
        <v>PROMOÇÃO E DESENVOLVIMENTO DA EDUCAÇÃO</v>
      </c>
      <c r="H828" s="773" t="s">
        <v>3138</v>
      </c>
      <c r="I828" s="757">
        <f>DESPORC!C2774</f>
        <v>12</v>
      </c>
      <c r="J828" s="765" t="str">
        <f>DESPORC!D2774</f>
        <v>Educação</v>
      </c>
    </row>
    <row r="829" spans="2:10" ht="35.1" customHeight="1" x14ac:dyDescent="0.25">
      <c r="B829" s="1619"/>
      <c r="C829" s="1616"/>
      <c r="D829" s="1630"/>
      <c r="E829" s="1619"/>
      <c r="F829" s="1616"/>
      <c r="G829" s="1618"/>
      <c r="H829" s="774" t="s">
        <v>6940</v>
      </c>
      <c r="I829" s="757">
        <f>DESPORC!C2775</f>
        <v>126</v>
      </c>
      <c r="J829" s="765" t="str">
        <f>DESPORC!D2775</f>
        <v>Tecnologia da Informação</v>
      </c>
    </row>
    <row r="830" spans="2:10" ht="35.1" customHeight="1" x14ac:dyDescent="0.25">
      <c r="B830" s="1619" t="s">
        <v>6941</v>
      </c>
      <c r="C830" s="1616">
        <f>'[3]Anexo I - Programas'!$C$228</f>
        <v>2041</v>
      </c>
      <c r="D830" s="1622" t="str">
        <f>'[3]Anexo I - Programas'!$D$228</f>
        <v xml:space="preserve">Gestão e Desenvolvimento da Ed. Infantil da E.M.E.I. Sonho de Criança </v>
      </c>
      <c r="E830" s="1619" t="s">
        <v>6941</v>
      </c>
      <c r="F830" s="1616">
        <f>C830</f>
        <v>2041</v>
      </c>
      <c r="G830" s="1618" t="str">
        <f>D830</f>
        <v xml:space="preserve">Gestão e Desenvolvimento da Ed. Infantil da E.M.E.I. Sonho de Criança </v>
      </c>
      <c r="H830" s="775" t="s">
        <v>3137</v>
      </c>
      <c r="I830" s="795" t="str">
        <f>F828</f>
        <v>6</v>
      </c>
      <c r="J830" s="762" t="str">
        <f>G828</f>
        <v>PROMOÇÃO E DESENVOLVIMENTO DA EDUCAÇÃO</v>
      </c>
    </row>
    <row r="831" spans="2:10" ht="35.1" customHeight="1" x14ac:dyDescent="0.25">
      <c r="B831" s="1620"/>
      <c r="C831" s="1621"/>
      <c r="D831" s="1623"/>
      <c r="E831" s="1620"/>
      <c r="F831" s="1621"/>
      <c r="G831" s="1624"/>
      <c r="H831" s="776" t="s">
        <v>6941</v>
      </c>
      <c r="I831" s="796">
        <f>F830</f>
        <v>2041</v>
      </c>
      <c r="J831" s="764" t="str">
        <f>G830</f>
        <v xml:space="preserve">Gestão e Desenvolvimento da Ed. Infantil da E.M.E.I. Sonho de Criança </v>
      </c>
    </row>
    <row r="832" spans="2:10" ht="35.1" customHeight="1" thickBot="1" x14ac:dyDescent="0.3">
      <c r="B832" s="769" t="s">
        <v>6939</v>
      </c>
      <c r="C832" s="1625">
        <v>1000000</v>
      </c>
      <c r="D832" s="1626"/>
      <c r="E832" s="769" t="s">
        <v>6939</v>
      </c>
      <c r="F832" s="1625">
        <v>250000</v>
      </c>
      <c r="G832" s="1627"/>
      <c r="H832" s="778" t="s">
        <v>6939</v>
      </c>
      <c r="I832" s="1625">
        <f>DESPORC!I2777</f>
        <v>3292.0209</v>
      </c>
      <c r="J832" s="1627"/>
    </row>
    <row r="833" spans="2:10" ht="35.1" customHeight="1" x14ac:dyDescent="0.25">
      <c r="B833" s="1628" t="s">
        <v>3137</v>
      </c>
      <c r="C833" s="1615" t="str">
        <f>'[3]Anexo I - Programas'!$B$173</f>
        <v>6</v>
      </c>
      <c r="D833" s="1629" t="str">
        <f>'[3]Anexo I - Programas'!$C$173</f>
        <v>PROMOÇÃO E DESENVOLVIMENTO DA EDUCAÇÃO</v>
      </c>
      <c r="E833" s="1628" t="s">
        <v>3137</v>
      </c>
      <c r="F833" s="1615" t="str">
        <f>C833</f>
        <v>6</v>
      </c>
      <c r="G833" s="1617" t="str">
        <f>D833</f>
        <v>PROMOÇÃO E DESENVOLVIMENTO DA EDUCAÇÃO</v>
      </c>
      <c r="H833" s="773" t="s">
        <v>3138</v>
      </c>
      <c r="I833" s="757">
        <f>DESPORC!C2779</f>
        <v>12</v>
      </c>
      <c r="J833" s="765" t="str">
        <f>DESPORC!D2779</f>
        <v>Educação</v>
      </c>
    </row>
    <row r="834" spans="2:10" ht="35.1" customHeight="1" x14ac:dyDescent="0.25">
      <c r="B834" s="1619"/>
      <c r="C834" s="1616"/>
      <c r="D834" s="1630"/>
      <c r="E834" s="1619"/>
      <c r="F834" s="1616"/>
      <c r="G834" s="1618"/>
      <c r="H834" s="774" t="s">
        <v>6940</v>
      </c>
      <c r="I834" s="757">
        <f>DESPORC!C2780</f>
        <v>128</v>
      </c>
      <c r="J834" s="765" t="str">
        <f>DESPORC!D2780</f>
        <v>Formação de Recursos Humanos</v>
      </c>
    </row>
    <row r="835" spans="2:10" ht="35.1" customHeight="1" x14ac:dyDescent="0.25">
      <c r="B835" s="1619" t="s">
        <v>6941</v>
      </c>
      <c r="C835" s="1616">
        <f>'[3]Anexo I - Programas'!$C$228</f>
        <v>2041</v>
      </c>
      <c r="D835" s="1622" t="str">
        <f>'[3]Anexo I - Programas'!$D$228</f>
        <v xml:space="preserve">Gestão e Desenvolvimento da Ed. Infantil da E.M.E.I. Sonho de Criança </v>
      </c>
      <c r="E835" s="1619" t="s">
        <v>6941</v>
      </c>
      <c r="F835" s="1616">
        <f>C835</f>
        <v>2041</v>
      </c>
      <c r="G835" s="1618" t="str">
        <f>D835</f>
        <v xml:space="preserve">Gestão e Desenvolvimento da Ed. Infantil da E.M.E.I. Sonho de Criança </v>
      </c>
      <c r="H835" s="775" t="s">
        <v>3137</v>
      </c>
      <c r="I835" s="795" t="str">
        <f>F833</f>
        <v>6</v>
      </c>
      <c r="J835" s="762" t="str">
        <f>G833</f>
        <v>PROMOÇÃO E DESENVOLVIMENTO DA EDUCAÇÃO</v>
      </c>
    </row>
    <row r="836" spans="2:10" ht="35.1" customHeight="1" x14ac:dyDescent="0.25">
      <c r="B836" s="1620"/>
      <c r="C836" s="1621"/>
      <c r="D836" s="1623"/>
      <c r="E836" s="1620"/>
      <c r="F836" s="1621"/>
      <c r="G836" s="1624"/>
      <c r="H836" s="776" t="s">
        <v>6941</v>
      </c>
      <c r="I836" s="796">
        <f>F835</f>
        <v>2041</v>
      </c>
      <c r="J836" s="764" t="str">
        <f>G835</f>
        <v xml:space="preserve">Gestão e Desenvolvimento da Ed. Infantil da E.M.E.I. Sonho de Criança </v>
      </c>
    </row>
    <row r="837" spans="2:10" ht="35.1" customHeight="1" thickBot="1" x14ac:dyDescent="0.3">
      <c r="B837" s="769" t="s">
        <v>6939</v>
      </c>
      <c r="C837" s="1625">
        <v>1000000</v>
      </c>
      <c r="D837" s="1626"/>
      <c r="E837" s="769" t="s">
        <v>6939</v>
      </c>
      <c r="F837" s="1625">
        <v>250000</v>
      </c>
      <c r="G837" s="1627"/>
      <c r="H837" s="778" t="s">
        <v>6939</v>
      </c>
      <c r="I837" s="1625">
        <f>DESPORC!I2782</f>
        <v>0.05</v>
      </c>
      <c r="J837" s="1627"/>
    </row>
    <row r="838" spans="2:10" ht="35.1" customHeight="1" x14ac:dyDescent="0.25">
      <c r="B838" s="1628" t="s">
        <v>3137</v>
      </c>
      <c r="C838" s="1615" t="str">
        <f>'[3]Anexo I - Programas'!$B$173</f>
        <v>6</v>
      </c>
      <c r="D838" s="1629" t="str">
        <f>'[3]Anexo I - Programas'!$C$173</f>
        <v>PROMOÇÃO E DESENVOLVIMENTO DA EDUCAÇÃO</v>
      </c>
      <c r="E838" s="1628" t="s">
        <v>3137</v>
      </c>
      <c r="F838" s="1615" t="str">
        <f>C838</f>
        <v>6</v>
      </c>
      <c r="G838" s="1617" t="str">
        <f>D838</f>
        <v>PROMOÇÃO E DESENVOLVIMENTO DA EDUCAÇÃO</v>
      </c>
      <c r="H838" s="773" t="s">
        <v>3138</v>
      </c>
      <c r="I838" s="757">
        <f>DESPORC!C2788</f>
        <v>12</v>
      </c>
      <c r="J838" s="765" t="str">
        <f>DESPORC!D2788</f>
        <v>Educação</v>
      </c>
    </row>
    <row r="839" spans="2:10" ht="35.1" customHeight="1" x14ac:dyDescent="0.25">
      <c r="B839" s="1619"/>
      <c r="C839" s="1616"/>
      <c r="D839" s="1630"/>
      <c r="E839" s="1619"/>
      <c r="F839" s="1616"/>
      <c r="G839" s="1618"/>
      <c r="H839" s="774" t="s">
        <v>6940</v>
      </c>
      <c r="I839" s="757">
        <f>DESPORC!C2789</f>
        <v>365</v>
      </c>
      <c r="J839" s="765" t="str">
        <f>DESPORC!D2789</f>
        <v>Educação Infantil</v>
      </c>
    </row>
    <row r="840" spans="2:10" ht="35.1" customHeight="1" x14ac:dyDescent="0.25">
      <c r="B840" s="1619" t="s">
        <v>6941</v>
      </c>
      <c r="C840" s="1616">
        <f>'[3]Anexo I - Programas'!$C$228</f>
        <v>2041</v>
      </c>
      <c r="D840" s="1622" t="str">
        <f>'[3]Anexo I - Programas'!$D$228</f>
        <v xml:space="preserve">Gestão e Desenvolvimento da Ed. Infantil da E.M.E.I. Sonho de Criança </v>
      </c>
      <c r="E840" s="1619" t="s">
        <v>6941</v>
      </c>
      <c r="F840" s="1616">
        <f>C840</f>
        <v>2041</v>
      </c>
      <c r="G840" s="1618" t="str">
        <f>D840</f>
        <v xml:space="preserve">Gestão e Desenvolvimento da Ed. Infantil da E.M.E.I. Sonho de Criança </v>
      </c>
      <c r="H840" s="775" t="s">
        <v>3137</v>
      </c>
      <c r="I840" s="795" t="str">
        <f>F838</f>
        <v>6</v>
      </c>
      <c r="J840" s="762" t="str">
        <f>G838</f>
        <v>PROMOÇÃO E DESENVOLVIMENTO DA EDUCAÇÃO</v>
      </c>
    </row>
    <row r="841" spans="2:10" ht="35.1" customHeight="1" x14ac:dyDescent="0.25">
      <c r="B841" s="1620"/>
      <c r="C841" s="1621"/>
      <c r="D841" s="1623"/>
      <c r="E841" s="1620"/>
      <c r="F841" s="1621"/>
      <c r="G841" s="1624"/>
      <c r="H841" s="776" t="s">
        <v>6941</v>
      </c>
      <c r="I841" s="796">
        <f>F840</f>
        <v>2041</v>
      </c>
      <c r="J841" s="764" t="str">
        <f>G840</f>
        <v xml:space="preserve">Gestão e Desenvolvimento da Ed. Infantil da E.M.E.I. Sonho de Criança </v>
      </c>
    </row>
    <row r="842" spans="2:10" ht="35.1" customHeight="1" thickBot="1" x14ac:dyDescent="0.3">
      <c r="B842" s="769" t="s">
        <v>6939</v>
      </c>
      <c r="C842" s="1625">
        <v>1000000</v>
      </c>
      <c r="D842" s="1626"/>
      <c r="E842" s="769" t="s">
        <v>6939</v>
      </c>
      <c r="F842" s="1625">
        <v>250000</v>
      </c>
      <c r="G842" s="1627"/>
      <c r="H842" s="778" t="s">
        <v>6939</v>
      </c>
      <c r="I842" s="1625">
        <f>DESPORC!I2791</f>
        <v>360618.9776996955</v>
      </c>
      <c r="J842" s="1627"/>
    </row>
    <row r="844" spans="2:10" ht="35.1" customHeight="1" x14ac:dyDescent="0.25">
      <c r="B844" s="1631" t="s">
        <v>6927</v>
      </c>
      <c r="C844" s="1631"/>
      <c r="D844" s="755" t="str">
        <f>DESPORC!C2824</f>
        <v>03 - SECRETARIA MUNICIPAL DE EDUCAÇÃO, CULT. E DESPORTO</v>
      </c>
      <c r="E844" s="797"/>
      <c r="F844" s="798"/>
      <c r="G844" s="798"/>
      <c r="H844" s="797"/>
      <c r="I844" s="798"/>
      <c r="J844" s="798"/>
    </row>
    <row r="845" spans="2:10" ht="35.1" customHeight="1" thickBot="1" x14ac:dyDescent="0.3">
      <c r="B845" s="1632" t="s">
        <v>3087</v>
      </c>
      <c r="C845" s="1632"/>
      <c r="D845" s="755" t="str">
        <f>DESPORC!C2825</f>
        <v>11 - GESTÃO, COORDENAÇAO E PROMOÇÃO DO TRANSPORTE ESCOLAR</v>
      </c>
      <c r="E845" s="797"/>
      <c r="F845" s="36"/>
      <c r="G845" s="1"/>
      <c r="H845" s="772"/>
      <c r="I845" s="1"/>
      <c r="J845" s="1"/>
    </row>
    <row r="846" spans="2:10" ht="35.1" customHeight="1" thickBot="1" x14ac:dyDescent="0.3">
      <c r="B846" s="1776" t="s">
        <v>6955</v>
      </c>
      <c r="C846" s="1777"/>
      <c r="D846" s="1778"/>
      <c r="E846" s="1776" t="str">
        <f>E$12</f>
        <v>PRIORIDADES LDO LEI MUNICIPAL N.º 1215  DE 02 DE OUTUBRO DE 2019.</v>
      </c>
      <c r="F846" s="1777"/>
      <c r="G846" s="1778"/>
      <c r="H846" s="1779" t="s">
        <v>6956</v>
      </c>
      <c r="I846" s="1780"/>
      <c r="J846" s="1781"/>
    </row>
    <row r="847" spans="2:10" ht="35.1" customHeight="1" x14ac:dyDescent="0.25">
      <c r="B847" s="1628" t="s">
        <v>3137</v>
      </c>
      <c r="C847" s="1615" t="str">
        <f>'[3]Anexo I - Programas'!$B$173</f>
        <v>6</v>
      </c>
      <c r="D847" s="1629" t="str">
        <f>'[3]Anexo I - Programas'!$C$173</f>
        <v>PROMOÇÃO E DESENVOLVIMENTO DA EDUCAÇÃO</v>
      </c>
      <c r="E847" s="1628" t="s">
        <v>3137</v>
      </c>
      <c r="F847" s="1615" t="str">
        <f>C847</f>
        <v>6</v>
      </c>
      <c r="G847" s="1617" t="str">
        <f>D847</f>
        <v>PROMOÇÃO E DESENVOLVIMENTO DA EDUCAÇÃO</v>
      </c>
      <c r="H847" s="773" t="s">
        <v>3138</v>
      </c>
      <c r="I847" s="757">
        <f>DESPORC!C2828</f>
        <v>12</v>
      </c>
      <c r="J847" s="765" t="str">
        <f>DESPORC!D2828</f>
        <v>Educação</v>
      </c>
    </row>
    <row r="848" spans="2:10" ht="35.1" customHeight="1" x14ac:dyDescent="0.25">
      <c r="B848" s="1619"/>
      <c r="C848" s="1616"/>
      <c r="D848" s="1630"/>
      <c r="E848" s="1619"/>
      <c r="F848" s="1616"/>
      <c r="G848" s="1618"/>
      <c r="H848" s="774" t="s">
        <v>6940</v>
      </c>
      <c r="I848" s="757">
        <f>DESPORC!C2829</f>
        <v>122</v>
      </c>
      <c r="J848" s="765" t="str">
        <f>DESPORC!D2829</f>
        <v>Administração Geral</v>
      </c>
    </row>
    <row r="849" spans="2:10" ht="35.1" customHeight="1" x14ac:dyDescent="0.25">
      <c r="B849" s="1619" t="s">
        <v>6941</v>
      </c>
      <c r="C849" s="1616">
        <f>'[3]Anexo I - Programas'!$C$182</f>
        <v>1005</v>
      </c>
      <c r="D849" s="1622" t="str">
        <f>'[3]Anexo I - Programas'!$D$182</f>
        <v>Novos Investimentos em Educação</v>
      </c>
      <c r="E849" s="1619" t="s">
        <v>6941</v>
      </c>
      <c r="F849" s="1616">
        <f>C849</f>
        <v>1005</v>
      </c>
      <c r="G849" s="1618" t="str">
        <f>D849</f>
        <v>Novos Investimentos em Educação</v>
      </c>
      <c r="H849" s="775" t="s">
        <v>3137</v>
      </c>
      <c r="I849" s="795" t="str">
        <f>F847</f>
        <v>6</v>
      </c>
      <c r="J849" s="762" t="str">
        <f>G847</f>
        <v>PROMOÇÃO E DESENVOLVIMENTO DA EDUCAÇÃO</v>
      </c>
    </row>
    <row r="850" spans="2:10" ht="35.1" customHeight="1" x14ac:dyDescent="0.25">
      <c r="B850" s="1620"/>
      <c r="C850" s="1621"/>
      <c r="D850" s="1623"/>
      <c r="E850" s="1620"/>
      <c r="F850" s="1621"/>
      <c r="G850" s="1624"/>
      <c r="H850" s="776" t="s">
        <v>6941</v>
      </c>
      <c r="I850" s="796">
        <f>F849</f>
        <v>1005</v>
      </c>
      <c r="J850" s="764" t="str">
        <f>G849</f>
        <v>Novos Investimentos em Educação</v>
      </c>
    </row>
    <row r="851" spans="2:10" ht="35.1" customHeight="1" thickBot="1" x14ac:dyDescent="0.3">
      <c r="B851" s="769" t="s">
        <v>6939</v>
      </c>
      <c r="C851" s="1625">
        <v>200000</v>
      </c>
      <c r="D851" s="1626"/>
      <c r="E851" s="769" t="s">
        <v>6939</v>
      </c>
      <c r="F851" s="1625">
        <v>50000</v>
      </c>
      <c r="G851" s="1627"/>
      <c r="H851" s="778" t="s">
        <v>6939</v>
      </c>
      <c r="I851" s="1625">
        <f>DESPORC!I2831</f>
        <v>6.0000000000000005E-2</v>
      </c>
      <c r="J851" s="1627"/>
    </row>
    <row r="852" spans="2:10" ht="35.1" customHeight="1" x14ac:dyDescent="0.25">
      <c r="B852" s="1628" t="s">
        <v>3137</v>
      </c>
      <c r="C852" s="1615" t="str">
        <f>'[3]Anexo I - Programas'!$B$173</f>
        <v>6</v>
      </c>
      <c r="D852" s="1629" t="str">
        <f>'[3]Anexo I - Programas'!$C$173</f>
        <v>PROMOÇÃO E DESENVOLVIMENTO DA EDUCAÇÃO</v>
      </c>
      <c r="E852" s="1628" t="s">
        <v>3137</v>
      </c>
      <c r="F852" s="1615" t="str">
        <f>C852</f>
        <v>6</v>
      </c>
      <c r="G852" s="1617" t="str">
        <f>D852</f>
        <v>PROMOÇÃO E DESENVOLVIMENTO DA EDUCAÇÃO</v>
      </c>
      <c r="H852" s="773" t="s">
        <v>3138</v>
      </c>
      <c r="I852" s="757">
        <f>DESPORC!C2838</f>
        <v>12</v>
      </c>
      <c r="J852" s="765" t="str">
        <f>DESPORC!D2838</f>
        <v>Educação</v>
      </c>
    </row>
    <row r="853" spans="2:10" ht="35.1" customHeight="1" x14ac:dyDescent="0.25">
      <c r="B853" s="1619"/>
      <c r="C853" s="1616"/>
      <c r="D853" s="1630"/>
      <c r="E853" s="1619"/>
      <c r="F853" s="1616"/>
      <c r="G853" s="1618"/>
      <c r="H853" s="774" t="s">
        <v>6940</v>
      </c>
      <c r="I853" s="757">
        <f>DESPORC!C2839</f>
        <v>122</v>
      </c>
      <c r="J853" s="765" t="str">
        <f>DESPORC!D2839</f>
        <v>Administração Geral</v>
      </c>
    </row>
    <row r="854" spans="2:10" ht="35.1" customHeight="1" x14ac:dyDescent="0.25">
      <c r="B854" s="1619" t="s">
        <v>6941</v>
      </c>
      <c r="C854" s="1616">
        <f>'[3]Anexo I - Programas'!$C$239</f>
        <v>2049</v>
      </c>
      <c r="D854" s="1622" t="str">
        <f>'[3]Anexo I - Programas'!$D$239</f>
        <v>GESTAO E COORD. TRANSPORTE ESCOLAR</v>
      </c>
      <c r="E854" s="1619" t="s">
        <v>6941</v>
      </c>
      <c r="F854" s="1616">
        <f>C854</f>
        <v>2049</v>
      </c>
      <c r="G854" s="1618" t="str">
        <f>D854</f>
        <v>GESTAO E COORD. TRANSPORTE ESCOLAR</v>
      </c>
      <c r="H854" s="775" t="s">
        <v>3137</v>
      </c>
      <c r="I854" s="795" t="str">
        <f>F852</f>
        <v>6</v>
      </c>
      <c r="J854" s="762" t="str">
        <f>G852</f>
        <v>PROMOÇÃO E DESENVOLVIMENTO DA EDUCAÇÃO</v>
      </c>
    </row>
    <row r="855" spans="2:10" ht="35.1" customHeight="1" x14ac:dyDescent="0.25">
      <c r="B855" s="1620"/>
      <c r="C855" s="1621"/>
      <c r="D855" s="1623"/>
      <c r="E855" s="1620"/>
      <c r="F855" s="1621"/>
      <c r="G855" s="1624"/>
      <c r="H855" s="776" t="s">
        <v>6941</v>
      </c>
      <c r="I855" s="796">
        <f>F854</f>
        <v>2049</v>
      </c>
      <c r="J855" s="764" t="str">
        <f>G854</f>
        <v>GESTAO E COORD. TRANSPORTE ESCOLAR</v>
      </c>
    </row>
    <row r="856" spans="2:10" ht="35.1" customHeight="1" thickBot="1" x14ac:dyDescent="0.3">
      <c r="B856" s="769" t="s">
        <v>6939</v>
      </c>
      <c r="C856" s="1625">
        <v>150000</v>
      </c>
      <c r="D856" s="1626"/>
      <c r="E856" s="769" t="s">
        <v>6939</v>
      </c>
      <c r="F856" s="1625">
        <v>37500</v>
      </c>
      <c r="G856" s="1627"/>
      <c r="H856" s="778" t="s">
        <v>6939</v>
      </c>
      <c r="I856" s="1625">
        <f>DESPORC!I2841</f>
        <v>476803.02678100561</v>
      </c>
      <c r="J856" s="1627"/>
    </row>
    <row r="857" spans="2:10" ht="35.1" customHeight="1" x14ac:dyDescent="0.25">
      <c r="B857" s="1628" t="s">
        <v>3137</v>
      </c>
      <c r="C857" s="1615" t="str">
        <f>'[3]Anexo I - Programas'!$B$173</f>
        <v>6</v>
      </c>
      <c r="D857" s="1629" t="str">
        <f>'[3]Anexo I - Programas'!$C$173</f>
        <v>PROMOÇÃO E DESENVOLVIMENTO DA EDUCAÇÃO</v>
      </c>
      <c r="E857" s="1628" t="s">
        <v>3137</v>
      </c>
      <c r="F857" s="1615" t="str">
        <f>C857</f>
        <v>6</v>
      </c>
      <c r="G857" s="1617" t="str">
        <f>D857</f>
        <v>PROMOÇÃO E DESENVOLVIMENTO DA EDUCAÇÃO</v>
      </c>
      <c r="H857" s="773" t="s">
        <v>3138</v>
      </c>
      <c r="I857" s="757">
        <f>DESPORC!C2865</f>
        <v>12</v>
      </c>
      <c r="J857" s="765" t="str">
        <f>DESPORC!D2865</f>
        <v>Educação</v>
      </c>
    </row>
    <row r="858" spans="2:10" ht="35.1" customHeight="1" x14ac:dyDescent="0.25">
      <c r="B858" s="1619"/>
      <c r="C858" s="1616"/>
      <c r="D858" s="1630"/>
      <c r="E858" s="1619"/>
      <c r="F858" s="1616"/>
      <c r="G858" s="1618"/>
      <c r="H858" s="774" t="s">
        <v>6940</v>
      </c>
      <c r="I858" s="757">
        <f>DESPORC!C2866</f>
        <v>126</v>
      </c>
      <c r="J858" s="765" t="str">
        <f>DESPORC!D2866</f>
        <v>Tecnologia da Informação</v>
      </c>
    </row>
    <row r="859" spans="2:10" ht="35.1" customHeight="1" x14ac:dyDescent="0.25">
      <c r="B859" s="1619" t="s">
        <v>6941</v>
      </c>
      <c r="C859" s="1616">
        <f>'[3]Anexo I - Programas'!$C$239</f>
        <v>2049</v>
      </c>
      <c r="D859" s="1622" t="str">
        <f>'[3]Anexo I - Programas'!$D$239</f>
        <v>GESTAO E COORD. TRANSPORTE ESCOLAR</v>
      </c>
      <c r="E859" s="1619" t="s">
        <v>6941</v>
      </c>
      <c r="F859" s="1616">
        <f>C859</f>
        <v>2049</v>
      </c>
      <c r="G859" s="1618" t="str">
        <f>D859</f>
        <v>GESTAO E COORD. TRANSPORTE ESCOLAR</v>
      </c>
      <c r="H859" s="775" t="s">
        <v>3137</v>
      </c>
      <c r="I859" s="795" t="str">
        <f>F857</f>
        <v>6</v>
      </c>
      <c r="J859" s="762" t="str">
        <f>G857</f>
        <v>PROMOÇÃO E DESENVOLVIMENTO DA EDUCAÇÃO</v>
      </c>
    </row>
    <row r="860" spans="2:10" ht="35.1" customHeight="1" x14ac:dyDescent="0.25">
      <c r="B860" s="1620"/>
      <c r="C860" s="1621"/>
      <c r="D860" s="1623"/>
      <c r="E860" s="1620"/>
      <c r="F860" s="1621"/>
      <c r="G860" s="1624"/>
      <c r="H860" s="776" t="s">
        <v>6941</v>
      </c>
      <c r="I860" s="796">
        <f>F859</f>
        <v>2049</v>
      </c>
      <c r="J860" s="764" t="str">
        <f>G859</f>
        <v>GESTAO E COORD. TRANSPORTE ESCOLAR</v>
      </c>
    </row>
    <row r="861" spans="2:10" ht="35.1" customHeight="1" thickBot="1" x14ac:dyDescent="0.3">
      <c r="B861" s="769" t="s">
        <v>6939</v>
      </c>
      <c r="C861" s="1625">
        <v>150000</v>
      </c>
      <c r="D861" s="1626"/>
      <c r="E861" s="769" t="s">
        <v>6939</v>
      </c>
      <c r="F861" s="1625">
        <v>37500</v>
      </c>
      <c r="G861" s="1627"/>
      <c r="H861" s="778" t="s">
        <v>6939</v>
      </c>
      <c r="I861" s="1625">
        <f>DESPORC!I2868</f>
        <v>0.01</v>
      </c>
      <c r="J861" s="1627"/>
    </row>
    <row r="862" spans="2:10" ht="35.1" customHeight="1" x14ac:dyDescent="0.25">
      <c r="B862" s="1628" t="s">
        <v>3137</v>
      </c>
      <c r="C862" s="1615" t="str">
        <f>'[3]Anexo I - Programas'!$B$173</f>
        <v>6</v>
      </c>
      <c r="D862" s="1629" t="str">
        <f>'[3]Anexo I - Programas'!$C$173</f>
        <v>PROMOÇÃO E DESENVOLVIMENTO DA EDUCAÇÃO</v>
      </c>
      <c r="E862" s="1628" t="s">
        <v>3137</v>
      </c>
      <c r="F862" s="1615" t="str">
        <f>C862</f>
        <v>6</v>
      </c>
      <c r="G862" s="1617" t="str">
        <f>D862</f>
        <v>PROMOÇÃO E DESENVOLVIMENTO DA EDUCAÇÃO</v>
      </c>
      <c r="H862" s="773" t="s">
        <v>3138</v>
      </c>
      <c r="I862" s="757">
        <f>DESPORC!C2870</f>
        <v>12</v>
      </c>
      <c r="J862" s="765" t="str">
        <f>DESPORC!D2870</f>
        <v>Educação</v>
      </c>
    </row>
    <row r="863" spans="2:10" ht="35.1" customHeight="1" x14ac:dyDescent="0.25">
      <c r="B863" s="1619"/>
      <c r="C863" s="1616"/>
      <c r="D863" s="1630"/>
      <c r="E863" s="1619"/>
      <c r="F863" s="1616"/>
      <c r="G863" s="1618"/>
      <c r="H863" s="774" t="s">
        <v>6940</v>
      </c>
      <c r="I863" s="757">
        <f>DESPORC!C2871</f>
        <v>128</v>
      </c>
      <c r="J863" s="765" t="str">
        <f>DESPORC!D2871</f>
        <v>Formação de Recursos Humanos</v>
      </c>
    </row>
    <row r="864" spans="2:10" ht="35.1" customHeight="1" x14ac:dyDescent="0.25">
      <c r="B864" s="1619" t="s">
        <v>6941</v>
      </c>
      <c r="C864" s="1616">
        <f>'[3]Anexo I - Programas'!$C$239</f>
        <v>2049</v>
      </c>
      <c r="D864" s="1622" t="str">
        <f>'[3]Anexo I - Programas'!$D$239</f>
        <v>GESTAO E COORD. TRANSPORTE ESCOLAR</v>
      </c>
      <c r="E864" s="1619" t="s">
        <v>6941</v>
      </c>
      <c r="F864" s="1616">
        <f>C864</f>
        <v>2049</v>
      </c>
      <c r="G864" s="1618" t="str">
        <f>D864</f>
        <v>GESTAO E COORD. TRANSPORTE ESCOLAR</v>
      </c>
      <c r="H864" s="775" t="s">
        <v>3137</v>
      </c>
      <c r="I864" s="795" t="str">
        <f>F862</f>
        <v>6</v>
      </c>
      <c r="J864" s="762" t="str">
        <f>G862</f>
        <v>PROMOÇÃO E DESENVOLVIMENTO DA EDUCAÇÃO</v>
      </c>
    </row>
    <row r="865" spans="2:10" ht="35.1" customHeight="1" x14ac:dyDescent="0.25">
      <c r="B865" s="1620"/>
      <c r="C865" s="1621"/>
      <c r="D865" s="1623"/>
      <c r="E865" s="1620"/>
      <c r="F865" s="1621"/>
      <c r="G865" s="1624"/>
      <c r="H865" s="776" t="s">
        <v>6941</v>
      </c>
      <c r="I865" s="796">
        <f>F864</f>
        <v>2049</v>
      </c>
      <c r="J865" s="764" t="str">
        <f>G864</f>
        <v>GESTAO E COORD. TRANSPORTE ESCOLAR</v>
      </c>
    </row>
    <row r="866" spans="2:10" ht="35.1" customHeight="1" thickBot="1" x14ac:dyDescent="0.3">
      <c r="B866" s="769" t="s">
        <v>6939</v>
      </c>
      <c r="C866" s="1625">
        <v>150000</v>
      </c>
      <c r="D866" s="1626"/>
      <c r="E866" s="769" t="s">
        <v>6939</v>
      </c>
      <c r="F866" s="1625">
        <v>37500</v>
      </c>
      <c r="G866" s="1627"/>
      <c r="H866" s="778" t="s">
        <v>6939</v>
      </c>
      <c r="I866" s="1625">
        <f>DESPORC!I2873</f>
        <v>0.05</v>
      </c>
      <c r="J866" s="1627"/>
    </row>
    <row r="874" spans="2:10" ht="35.1" customHeight="1" x14ac:dyDescent="0.25">
      <c r="B874" s="1631" t="s">
        <v>6927</v>
      </c>
      <c r="C874" s="1631"/>
      <c r="D874" s="755" t="str">
        <f>DESPORC!C2884</f>
        <v>03 - SECRETARIA MUNICIPAL DE EDUCAÇÃO, CULT. E DESPORTO</v>
      </c>
      <c r="E874" s="797"/>
      <c r="F874" s="798"/>
      <c r="G874" s="798"/>
      <c r="H874" s="797"/>
      <c r="I874" s="798"/>
      <c r="J874" s="798"/>
    </row>
    <row r="875" spans="2:10" ht="35.1" customHeight="1" thickBot="1" x14ac:dyDescent="0.3">
      <c r="B875" s="1632" t="s">
        <v>3087</v>
      </c>
      <c r="C875" s="1632"/>
      <c r="D875" s="755" t="str">
        <f>DESPORC!C2885</f>
        <v>12 - GESTAO E PROMOÇÃO DO TRANSPORTE ESCOLAR RECURSOS ESTADUAIS</v>
      </c>
      <c r="E875" s="797"/>
      <c r="F875" s="36"/>
      <c r="G875" s="1"/>
      <c r="H875" s="772"/>
      <c r="I875" s="1"/>
      <c r="J875" s="1"/>
    </row>
    <row r="876" spans="2:10" ht="35.1" customHeight="1" thickBot="1" x14ac:dyDescent="0.3">
      <c r="B876" s="1776" t="s">
        <v>6955</v>
      </c>
      <c r="C876" s="1777"/>
      <c r="D876" s="1778"/>
      <c r="E876" s="1776" t="str">
        <f>E$12</f>
        <v>PRIORIDADES LDO LEI MUNICIPAL N.º 1215  DE 02 DE OUTUBRO DE 2019.</v>
      </c>
      <c r="F876" s="1777"/>
      <c r="G876" s="1778"/>
      <c r="H876" s="1779" t="s">
        <v>6956</v>
      </c>
      <c r="I876" s="1780"/>
      <c r="J876" s="1781"/>
    </row>
    <row r="877" spans="2:10" ht="35.1" customHeight="1" x14ac:dyDescent="0.25">
      <c r="B877" s="1628" t="s">
        <v>3137</v>
      </c>
      <c r="C877" s="1615" t="str">
        <f>'[3]Anexo I - Programas'!$B$471</f>
        <v>13</v>
      </c>
      <c r="D877" s="1629" t="str">
        <f>'[3]Anexo I - Programas'!$C$471</f>
        <v>GESTÃO E DESENVOLVIMENTO DO TRANSPORTE ESCOLAR DO ENSINO FUNDAMENTAL</v>
      </c>
      <c r="E877" s="1628" t="s">
        <v>3137</v>
      </c>
      <c r="F877" s="1615" t="str">
        <f>C877</f>
        <v>13</v>
      </c>
      <c r="G877" s="1617" t="str">
        <f>D877</f>
        <v>GESTÃO E DESENVOLVIMENTO DO TRANSPORTE ESCOLAR DO ENSINO FUNDAMENTAL</v>
      </c>
      <c r="H877" s="773" t="s">
        <v>3138</v>
      </c>
      <c r="I877" s="757">
        <f>DESPORC!C2888</f>
        <v>12</v>
      </c>
      <c r="J877" s="765" t="str">
        <f>DESPORC!D2888</f>
        <v>Educação</v>
      </c>
    </row>
    <row r="878" spans="2:10" ht="35.1" customHeight="1" x14ac:dyDescent="0.25">
      <c r="B878" s="1619"/>
      <c r="C878" s="1616"/>
      <c r="D878" s="1630"/>
      <c r="E878" s="1619"/>
      <c r="F878" s="1616"/>
      <c r="G878" s="1618"/>
      <c r="H878" s="774" t="s">
        <v>6940</v>
      </c>
      <c r="I878" s="757">
        <f>DESPORC!C2889</f>
        <v>361</v>
      </c>
      <c r="J878" s="765" t="str">
        <f>DESPORC!D2889</f>
        <v>Ensino Fundamental</v>
      </c>
    </row>
    <row r="879" spans="2:10" ht="35.1" customHeight="1" x14ac:dyDescent="0.25">
      <c r="B879" s="1619" t="s">
        <v>6941</v>
      </c>
      <c r="C879" s="1616">
        <f>'[3]Anexo I - Programas'!$C$485</f>
        <v>2019</v>
      </c>
      <c r="D879" s="1622" t="str">
        <f>'[3]Anexo I - Programas'!$D$485</f>
        <v>Promoção do Transporte Escolar do Ensino Fundamental</v>
      </c>
      <c r="E879" s="1619" t="s">
        <v>6941</v>
      </c>
      <c r="F879" s="1616">
        <f>C879</f>
        <v>2019</v>
      </c>
      <c r="G879" s="1618" t="str">
        <f>D879</f>
        <v>Promoção do Transporte Escolar do Ensino Fundamental</v>
      </c>
      <c r="H879" s="775" t="s">
        <v>3137</v>
      </c>
      <c r="I879" s="795" t="str">
        <f>F877</f>
        <v>13</v>
      </c>
      <c r="J879" s="762" t="str">
        <f>G877</f>
        <v>GESTÃO E DESENVOLVIMENTO DO TRANSPORTE ESCOLAR DO ENSINO FUNDAMENTAL</v>
      </c>
    </row>
    <row r="880" spans="2:10" ht="35.1" customHeight="1" x14ac:dyDescent="0.25">
      <c r="B880" s="1620"/>
      <c r="C880" s="1621"/>
      <c r="D880" s="1623"/>
      <c r="E880" s="1620"/>
      <c r="F880" s="1621"/>
      <c r="G880" s="1624"/>
      <c r="H880" s="776" t="s">
        <v>6941</v>
      </c>
      <c r="I880" s="796">
        <f>F879</f>
        <v>2019</v>
      </c>
      <c r="J880" s="764" t="str">
        <f>G879</f>
        <v>Promoção do Transporte Escolar do Ensino Fundamental</v>
      </c>
    </row>
    <row r="881" spans="2:10" ht="35.1" customHeight="1" thickBot="1" x14ac:dyDescent="0.3">
      <c r="B881" s="769" t="s">
        <v>6939</v>
      </c>
      <c r="C881" s="1625">
        <v>4000000</v>
      </c>
      <c r="D881" s="1626"/>
      <c r="E881" s="769" t="s">
        <v>6939</v>
      </c>
      <c r="F881" s="1625">
        <v>1000000</v>
      </c>
      <c r="G881" s="1627"/>
      <c r="H881" s="778" t="s">
        <v>6939</v>
      </c>
      <c r="I881" s="1625">
        <f>DESPORC!I2891</f>
        <v>288021.9505686445</v>
      </c>
      <c r="J881" s="1627"/>
    </row>
    <row r="882" spans="2:10" ht="35.1" customHeight="1" x14ac:dyDescent="0.25">
      <c r="B882" s="1628" t="s">
        <v>3137</v>
      </c>
      <c r="C882" s="1615" t="str">
        <f>'[3]Anexo I - Programas'!$B$591</f>
        <v>18</v>
      </c>
      <c r="D882" s="1629" t="str">
        <f>'[3]Anexo I - Programas'!$C$591</f>
        <v>GESTÃO E DESENVOLVIMENTO DO TRANSPORTE DO ENSINO MÉDIO</v>
      </c>
      <c r="E882" s="1628" t="s">
        <v>3137</v>
      </c>
      <c r="F882" s="1615" t="str">
        <f>C882</f>
        <v>18</v>
      </c>
      <c r="G882" s="1617" t="str">
        <f>D882</f>
        <v>GESTÃO E DESENVOLVIMENTO DO TRANSPORTE DO ENSINO MÉDIO</v>
      </c>
      <c r="H882" s="773" t="s">
        <v>3138</v>
      </c>
      <c r="I882" s="757">
        <f>DESPORC!C2894</f>
        <v>12</v>
      </c>
      <c r="J882" s="765" t="str">
        <f>DESPORC!D2894</f>
        <v>Educação</v>
      </c>
    </row>
    <row r="883" spans="2:10" ht="35.1" customHeight="1" x14ac:dyDescent="0.25">
      <c r="B883" s="1619"/>
      <c r="C883" s="1616"/>
      <c r="D883" s="1630"/>
      <c r="E883" s="1619"/>
      <c r="F883" s="1616"/>
      <c r="G883" s="1618"/>
      <c r="H883" s="774" t="s">
        <v>6940</v>
      </c>
      <c r="I883" s="757">
        <f>DESPORC!C2895</f>
        <v>362</v>
      </c>
      <c r="J883" s="765" t="str">
        <f>DESPORC!D2895</f>
        <v>Ensino Médio</v>
      </c>
    </row>
    <row r="884" spans="2:10" ht="35.1" customHeight="1" x14ac:dyDescent="0.25">
      <c r="B884" s="1619" t="s">
        <v>6941</v>
      </c>
      <c r="C884" s="1616">
        <f>'[3]Anexo I - Programas'!$C$600</f>
        <v>2024</v>
      </c>
      <c r="D884" s="1622" t="str">
        <f>'[3]Anexo I - Programas'!$D$600</f>
        <v>Promoção do Transporte Escolar : Ensino Médio</v>
      </c>
      <c r="E884" s="1619" t="s">
        <v>6941</v>
      </c>
      <c r="F884" s="1616">
        <f>C884</f>
        <v>2024</v>
      </c>
      <c r="G884" s="1618" t="str">
        <f>D884</f>
        <v>Promoção do Transporte Escolar : Ensino Médio</v>
      </c>
      <c r="H884" s="775" t="s">
        <v>3137</v>
      </c>
      <c r="I884" s="795" t="str">
        <f>F882</f>
        <v>18</v>
      </c>
      <c r="J884" s="762" t="str">
        <f>G882</f>
        <v>GESTÃO E DESENVOLVIMENTO DO TRANSPORTE DO ENSINO MÉDIO</v>
      </c>
    </row>
    <row r="885" spans="2:10" ht="35.1" customHeight="1" x14ac:dyDescent="0.25">
      <c r="B885" s="1620"/>
      <c r="C885" s="1621"/>
      <c r="D885" s="1623"/>
      <c r="E885" s="1620"/>
      <c r="F885" s="1621"/>
      <c r="G885" s="1624"/>
      <c r="H885" s="776" t="s">
        <v>6941</v>
      </c>
      <c r="I885" s="796">
        <f>F884</f>
        <v>2024</v>
      </c>
      <c r="J885" s="764" t="str">
        <f>G884</f>
        <v>Promoção do Transporte Escolar : Ensino Médio</v>
      </c>
    </row>
    <row r="886" spans="2:10" ht="35.1" customHeight="1" thickBot="1" x14ac:dyDescent="0.3">
      <c r="B886" s="769" t="s">
        <v>6939</v>
      </c>
      <c r="C886" s="1625">
        <v>90000</v>
      </c>
      <c r="D886" s="1626"/>
      <c r="E886" s="769" t="s">
        <v>6939</v>
      </c>
      <c r="F886" s="1625">
        <v>22500</v>
      </c>
      <c r="G886" s="1627"/>
      <c r="H886" s="778" t="s">
        <v>6939</v>
      </c>
      <c r="I886" s="1625">
        <f>DESPORC!I2897</f>
        <v>316002.31838948198</v>
      </c>
      <c r="J886" s="1627"/>
    </row>
    <row r="888" spans="2:10" ht="35.1" customHeight="1" x14ac:dyDescent="0.25">
      <c r="B888" s="1631" t="s">
        <v>6927</v>
      </c>
      <c r="C888" s="1631"/>
      <c r="D888" s="755" t="str">
        <f>DESPORC!C2905</f>
        <v>03 - SECRETARIA MUNICIPAL DE EDUCAÇÃO, CULT. E DESPORTO</v>
      </c>
      <c r="E888" s="797"/>
      <c r="F888" s="798"/>
      <c r="G888" s="798"/>
      <c r="H888" s="797"/>
      <c r="I888" s="798"/>
      <c r="J888" s="798"/>
    </row>
    <row r="889" spans="2:10" ht="35.1" customHeight="1" thickBot="1" x14ac:dyDescent="0.3">
      <c r="B889" s="1632" t="s">
        <v>3087</v>
      </c>
      <c r="C889" s="1632"/>
      <c r="D889" s="755" t="str">
        <f>DESPORC!C2906</f>
        <v>13 - GESTAO E PROMOÇÃO DO TRANSPORTE ESCOLAR RECURSOS FEDERAIS</v>
      </c>
      <c r="E889" s="797"/>
      <c r="F889" s="36"/>
      <c r="G889" s="1"/>
      <c r="H889" s="772"/>
      <c r="I889" s="1"/>
      <c r="J889" s="1"/>
    </row>
    <row r="890" spans="2:10" ht="35.1" customHeight="1" thickBot="1" x14ac:dyDescent="0.3">
      <c r="B890" s="1776" t="s">
        <v>6955</v>
      </c>
      <c r="C890" s="1777"/>
      <c r="D890" s="1778"/>
      <c r="E890" s="1776" t="str">
        <f>E$12</f>
        <v>PRIORIDADES LDO LEI MUNICIPAL N.º 1215  DE 02 DE OUTUBRO DE 2019.</v>
      </c>
      <c r="F890" s="1777"/>
      <c r="G890" s="1778"/>
      <c r="H890" s="1779" t="s">
        <v>6956</v>
      </c>
      <c r="I890" s="1780"/>
      <c r="J890" s="1781"/>
    </row>
    <row r="891" spans="2:10" ht="35.1" customHeight="1" x14ac:dyDescent="0.25">
      <c r="B891" s="1628" t="s">
        <v>3137</v>
      </c>
      <c r="C891" s="1615" t="str">
        <f>'[3]Anexo I - Programas'!$B$471</f>
        <v>13</v>
      </c>
      <c r="D891" s="1629" t="str">
        <f>'[3]Anexo I - Programas'!$C$471</f>
        <v>GESTÃO E DESENVOLVIMENTO DO TRANSPORTE ESCOLAR DO ENSINO FUNDAMENTAL</v>
      </c>
      <c r="E891" s="1628" t="s">
        <v>3137</v>
      </c>
      <c r="F891" s="1615" t="str">
        <f>C891</f>
        <v>13</v>
      </c>
      <c r="G891" s="1617" t="str">
        <f>D891</f>
        <v>GESTÃO E DESENVOLVIMENTO DO TRANSPORTE ESCOLAR DO ENSINO FUNDAMENTAL</v>
      </c>
      <c r="H891" s="773" t="s">
        <v>3138</v>
      </c>
      <c r="I891" s="757">
        <f>DESPORC!C2909</f>
        <v>12</v>
      </c>
      <c r="J891" s="765" t="str">
        <f>DESPORC!D2909</f>
        <v>Educação</v>
      </c>
    </row>
    <row r="892" spans="2:10" ht="35.1" customHeight="1" x14ac:dyDescent="0.25">
      <c r="B892" s="1619"/>
      <c r="C892" s="1616"/>
      <c r="D892" s="1630"/>
      <c r="E892" s="1619"/>
      <c r="F892" s="1616"/>
      <c r="G892" s="1618"/>
      <c r="H892" s="774" t="s">
        <v>6940</v>
      </c>
      <c r="I892" s="757">
        <f>DESPORC!C2910</f>
        <v>361</v>
      </c>
      <c r="J892" s="765" t="str">
        <f>DESPORC!D2910</f>
        <v>Ensino Fundamental</v>
      </c>
    </row>
    <row r="893" spans="2:10" ht="35.1" customHeight="1" x14ac:dyDescent="0.25">
      <c r="B893" s="1619" t="s">
        <v>6941</v>
      </c>
      <c r="C893" s="1616">
        <f>'[3]Anexo I - Programas'!$C$480</f>
        <v>1012</v>
      </c>
      <c r="D893" s="1622" t="str">
        <f>'[3]Anexo I - Programas'!$D$480</f>
        <v>Novos Investimentos Transporte Escolar do Ensino Fundamental</v>
      </c>
      <c r="E893" s="1619" t="s">
        <v>6941</v>
      </c>
      <c r="F893" s="1616">
        <f>C893</f>
        <v>1012</v>
      </c>
      <c r="G893" s="1618" t="str">
        <f>D893</f>
        <v>Novos Investimentos Transporte Escolar do Ensino Fundamental</v>
      </c>
      <c r="H893" s="775" t="s">
        <v>3137</v>
      </c>
      <c r="I893" s="795" t="str">
        <f>F891</f>
        <v>13</v>
      </c>
      <c r="J893" s="762" t="str">
        <f>G891</f>
        <v>GESTÃO E DESENVOLVIMENTO DO TRANSPORTE ESCOLAR DO ENSINO FUNDAMENTAL</v>
      </c>
    </row>
    <row r="894" spans="2:10" ht="35.1" customHeight="1" x14ac:dyDescent="0.25">
      <c r="B894" s="1620"/>
      <c r="C894" s="1621"/>
      <c r="D894" s="1623"/>
      <c r="E894" s="1620"/>
      <c r="F894" s="1621"/>
      <c r="G894" s="1624"/>
      <c r="H894" s="776" t="s">
        <v>6941</v>
      </c>
      <c r="I894" s="796">
        <f>F893</f>
        <v>1012</v>
      </c>
      <c r="J894" s="764" t="str">
        <f>G893</f>
        <v>Novos Investimentos Transporte Escolar do Ensino Fundamental</v>
      </c>
    </row>
    <row r="895" spans="2:10" ht="35.1" customHeight="1" thickBot="1" x14ac:dyDescent="0.3">
      <c r="B895" s="769" t="s">
        <v>6939</v>
      </c>
      <c r="C895" s="1625">
        <v>1000000</v>
      </c>
      <c r="D895" s="1626"/>
      <c r="E895" s="769" t="s">
        <v>6939</v>
      </c>
      <c r="F895" s="1625">
        <v>250000</v>
      </c>
      <c r="G895" s="1627"/>
      <c r="H895" s="778" t="s">
        <v>6939</v>
      </c>
      <c r="I895" s="1625">
        <f>DESPORC!I2912</f>
        <v>0.02</v>
      </c>
      <c r="J895" s="1627"/>
    </row>
    <row r="896" spans="2:10" ht="35.1" customHeight="1" x14ac:dyDescent="0.25">
      <c r="B896" s="1628" t="s">
        <v>3137</v>
      </c>
      <c r="C896" s="1615" t="str">
        <f>'[3]Anexo I - Programas'!$B$496</f>
        <v>14</v>
      </c>
      <c r="D896" s="1629" t="str">
        <f>'[3]Anexo I - Programas'!$C$496</f>
        <v>GESTÃO E DESENVOLVIMENTO DO TRANSPORTE ESCOLAR DA EDUCAÇÃO INFANTIL</v>
      </c>
      <c r="E896" s="1628" t="s">
        <v>3137</v>
      </c>
      <c r="F896" s="1615" t="str">
        <f>C896</f>
        <v>14</v>
      </c>
      <c r="G896" s="1617" t="str">
        <f>D896</f>
        <v>GESTÃO E DESENVOLVIMENTO DO TRANSPORTE ESCOLAR DA EDUCAÇÃO INFANTIL</v>
      </c>
      <c r="H896" s="773" t="s">
        <v>3138</v>
      </c>
      <c r="I896" s="757">
        <f>DESPORC!C2915</f>
        <v>12</v>
      </c>
      <c r="J896" s="765" t="str">
        <f>DESPORC!D2915</f>
        <v>Educação</v>
      </c>
    </row>
    <row r="897" spans="2:10" ht="35.1" customHeight="1" x14ac:dyDescent="0.25">
      <c r="B897" s="1619"/>
      <c r="C897" s="1616"/>
      <c r="D897" s="1630"/>
      <c r="E897" s="1619"/>
      <c r="F897" s="1616"/>
      <c r="G897" s="1618"/>
      <c r="H897" s="774" t="s">
        <v>6940</v>
      </c>
      <c r="I897" s="757">
        <f>DESPORC!C2916</f>
        <v>365</v>
      </c>
      <c r="J897" s="765" t="str">
        <f>DESPORC!D2916</f>
        <v>Educação Infantil</v>
      </c>
    </row>
    <row r="898" spans="2:10" ht="35.1" customHeight="1" x14ac:dyDescent="0.25">
      <c r="B898" s="1619" t="s">
        <v>6941</v>
      </c>
      <c r="C898" s="1616">
        <f>'[3]Anexo I - Programas'!$C$505</f>
        <v>1013</v>
      </c>
      <c r="D898" s="1622" t="str">
        <f>'[3]Anexo I - Programas'!$D$505</f>
        <v>Novos Investimentos Transporte Escolar da Educação Infantil</v>
      </c>
      <c r="E898" s="1619" t="s">
        <v>6941</v>
      </c>
      <c r="F898" s="1616">
        <f>C898</f>
        <v>1013</v>
      </c>
      <c r="G898" s="1618" t="str">
        <f>D898</f>
        <v>Novos Investimentos Transporte Escolar da Educação Infantil</v>
      </c>
      <c r="H898" s="775" t="s">
        <v>3137</v>
      </c>
      <c r="I898" s="795" t="str">
        <f>F896</f>
        <v>14</v>
      </c>
      <c r="J898" s="762" t="str">
        <f>G896</f>
        <v>GESTÃO E DESENVOLVIMENTO DO TRANSPORTE ESCOLAR DA EDUCAÇÃO INFANTIL</v>
      </c>
    </row>
    <row r="899" spans="2:10" ht="35.1" customHeight="1" x14ac:dyDescent="0.25">
      <c r="B899" s="1620"/>
      <c r="C899" s="1621"/>
      <c r="D899" s="1623"/>
      <c r="E899" s="1620"/>
      <c r="F899" s="1621"/>
      <c r="G899" s="1624"/>
      <c r="H899" s="776" t="s">
        <v>6941</v>
      </c>
      <c r="I899" s="796">
        <f>F898</f>
        <v>1013</v>
      </c>
      <c r="J899" s="764" t="str">
        <f>G898</f>
        <v>Novos Investimentos Transporte Escolar da Educação Infantil</v>
      </c>
    </row>
    <row r="900" spans="2:10" ht="35.1" customHeight="1" thickBot="1" x14ac:dyDescent="0.3">
      <c r="B900" s="769" t="s">
        <v>6939</v>
      </c>
      <c r="C900" s="1625">
        <v>50000</v>
      </c>
      <c r="D900" s="1626"/>
      <c r="E900" s="769" t="s">
        <v>6939</v>
      </c>
      <c r="F900" s="1625">
        <v>12500</v>
      </c>
      <c r="G900" s="1627"/>
      <c r="H900" s="778" t="s">
        <v>6939</v>
      </c>
      <c r="I900" s="1625">
        <f>DESPORC!I2918</f>
        <v>0.02</v>
      </c>
      <c r="J900" s="1627"/>
    </row>
    <row r="901" spans="2:10" ht="35.1" customHeight="1" x14ac:dyDescent="0.25">
      <c r="B901" s="1628" t="s">
        <v>3137</v>
      </c>
      <c r="C901" s="1615" t="str">
        <f>'[3]Anexo I - Programas'!$B$545</f>
        <v>16</v>
      </c>
      <c r="D901" s="1629" t="str">
        <f>'[3]Anexo I - Programas'!$C$545</f>
        <v>GESTÃO E DESENVOLVIMENTO DO TRANSPORTE DA EDUCAÇÃO DE JOVENS E ADULTOS</v>
      </c>
      <c r="E901" s="1628" t="s">
        <v>3137</v>
      </c>
      <c r="F901" s="1615" t="str">
        <f>C901</f>
        <v>16</v>
      </c>
      <c r="G901" s="1617" t="str">
        <f>D901</f>
        <v>GESTÃO E DESENVOLVIMENTO DO TRANSPORTE DA EDUCAÇÃO DE JOVENS E ADULTOS</v>
      </c>
      <c r="H901" s="773" t="s">
        <v>3138</v>
      </c>
      <c r="I901" s="757">
        <f>DESPORC!C2921</f>
        <v>12</v>
      </c>
      <c r="J901" s="765" t="str">
        <f>DESPORC!D2921</f>
        <v>Educação</v>
      </c>
    </row>
    <row r="902" spans="2:10" ht="35.1" customHeight="1" x14ac:dyDescent="0.25">
      <c r="B902" s="1619"/>
      <c r="C902" s="1616"/>
      <c r="D902" s="1630"/>
      <c r="E902" s="1619"/>
      <c r="F902" s="1616"/>
      <c r="G902" s="1618"/>
      <c r="H902" s="774" t="s">
        <v>6940</v>
      </c>
      <c r="I902" s="757">
        <f>DESPORC!C2922</f>
        <v>366</v>
      </c>
      <c r="J902" s="765" t="str">
        <f>DESPORC!D2922</f>
        <v>Educação de Jovens e Adultos</v>
      </c>
    </row>
    <row r="903" spans="2:10" ht="35.1" customHeight="1" x14ac:dyDescent="0.25">
      <c r="B903" s="1619" t="s">
        <v>6941</v>
      </c>
      <c r="C903" s="1616">
        <f>'[3]Anexo I - Programas'!$C$554</f>
        <v>1015</v>
      </c>
      <c r="D903" s="1622" t="str">
        <f>'[3]Anexo I - Programas'!$D$554</f>
        <v>Novos Investimentos Transporte Escolar da Educação de Jovens e Adultos</v>
      </c>
      <c r="E903" s="1619" t="s">
        <v>6941</v>
      </c>
      <c r="F903" s="1616">
        <f>C903</f>
        <v>1015</v>
      </c>
      <c r="G903" s="1618" t="str">
        <f>D903</f>
        <v>Novos Investimentos Transporte Escolar da Educação de Jovens e Adultos</v>
      </c>
      <c r="H903" s="775" t="s">
        <v>3137</v>
      </c>
      <c r="I903" s="795" t="str">
        <f>F901</f>
        <v>16</v>
      </c>
      <c r="J903" s="762" t="str">
        <f>G901</f>
        <v>GESTÃO E DESENVOLVIMENTO DO TRANSPORTE DA EDUCAÇÃO DE JOVENS E ADULTOS</v>
      </c>
    </row>
    <row r="904" spans="2:10" ht="35.1" customHeight="1" x14ac:dyDescent="0.25">
      <c r="B904" s="1620"/>
      <c r="C904" s="1621"/>
      <c r="D904" s="1623"/>
      <c r="E904" s="1620"/>
      <c r="F904" s="1621"/>
      <c r="G904" s="1624"/>
      <c r="H904" s="776" t="s">
        <v>6941</v>
      </c>
      <c r="I904" s="796">
        <f>F903</f>
        <v>1015</v>
      </c>
      <c r="J904" s="764" t="str">
        <f>G903</f>
        <v>Novos Investimentos Transporte Escolar da Educação de Jovens e Adultos</v>
      </c>
    </row>
    <row r="905" spans="2:10" ht="35.1" customHeight="1" thickBot="1" x14ac:dyDescent="0.3">
      <c r="B905" s="769" t="s">
        <v>6939</v>
      </c>
      <c r="C905" s="1625">
        <v>50000</v>
      </c>
      <c r="D905" s="1626"/>
      <c r="E905" s="769" t="s">
        <v>6939</v>
      </c>
      <c r="F905" s="1625">
        <v>12500</v>
      </c>
      <c r="G905" s="1627"/>
      <c r="H905" s="778" t="s">
        <v>6939</v>
      </c>
      <c r="I905" s="1625">
        <f>DESPORC!I2924</f>
        <v>0.02</v>
      </c>
      <c r="J905" s="1627"/>
    </row>
    <row r="906" spans="2:10" ht="35.1" customHeight="1" x14ac:dyDescent="0.25">
      <c r="B906" s="1628" t="s">
        <v>3137</v>
      </c>
      <c r="C906" s="1615" t="str">
        <f>'[3]Anexo I - Programas'!$B$520</f>
        <v>15</v>
      </c>
      <c r="D906" s="1629" t="str">
        <f>'[3]Anexo I - Programas'!$C$520</f>
        <v>GESTÃO E DESENVOLVIMENTO DO TRANSPORTE ESCOLAR DA EDUCAÇÃO ESPECIAL</v>
      </c>
      <c r="E906" s="1628" t="s">
        <v>3137</v>
      </c>
      <c r="F906" s="1615" t="str">
        <f>C906</f>
        <v>15</v>
      </c>
      <c r="G906" s="1617" t="str">
        <f>D906</f>
        <v>GESTÃO E DESENVOLVIMENTO DO TRANSPORTE ESCOLAR DA EDUCAÇÃO ESPECIAL</v>
      </c>
      <c r="H906" s="773" t="s">
        <v>3138</v>
      </c>
      <c r="I906" s="757">
        <f>DESPORC!C2927</f>
        <v>12</v>
      </c>
      <c r="J906" s="765" t="str">
        <f>DESPORC!D2927</f>
        <v>Educação</v>
      </c>
    </row>
    <row r="907" spans="2:10" ht="35.1" customHeight="1" x14ac:dyDescent="0.25">
      <c r="B907" s="1619"/>
      <c r="C907" s="1616"/>
      <c r="D907" s="1630"/>
      <c r="E907" s="1619"/>
      <c r="F907" s="1616"/>
      <c r="G907" s="1618"/>
      <c r="H907" s="774" t="s">
        <v>6940</v>
      </c>
      <c r="I907" s="757">
        <f>DESPORC!C2928</f>
        <v>367</v>
      </c>
      <c r="J907" s="765" t="str">
        <f>DESPORC!D2928</f>
        <v>Educação Especial</v>
      </c>
    </row>
    <row r="908" spans="2:10" ht="35.1" customHeight="1" x14ac:dyDescent="0.25">
      <c r="B908" s="1619" t="s">
        <v>6941</v>
      </c>
      <c r="C908" s="1616">
        <f>'[3]Anexo I - Programas'!$C$529</f>
        <v>1014</v>
      </c>
      <c r="D908" s="1622" t="str">
        <f>'[3]Anexo I - Programas'!$D$529</f>
        <v>Novos Investimentos Transporte Escolar da Educação Especial</v>
      </c>
      <c r="E908" s="1619" t="s">
        <v>6941</v>
      </c>
      <c r="F908" s="1616">
        <f>C908</f>
        <v>1014</v>
      </c>
      <c r="G908" s="1618" t="str">
        <f>D908</f>
        <v>Novos Investimentos Transporte Escolar da Educação Especial</v>
      </c>
      <c r="H908" s="775" t="s">
        <v>3137</v>
      </c>
      <c r="I908" s="795" t="str">
        <f>F906</f>
        <v>15</v>
      </c>
      <c r="J908" s="762" t="str">
        <f>G906</f>
        <v>GESTÃO E DESENVOLVIMENTO DO TRANSPORTE ESCOLAR DA EDUCAÇÃO ESPECIAL</v>
      </c>
    </row>
    <row r="909" spans="2:10" ht="35.1" customHeight="1" x14ac:dyDescent="0.25">
      <c r="B909" s="1620"/>
      <c r="C909" s="1621"/>
      <c r="D909" s="1623"/>
      <c r="E909" s="1620"/>
      <c r="F909" s="1621"/>
      <c r="G909" s="1624"/>
      <c r="H909" s="776" t="s">
        <v>6941</v>
      </c>
      <c r="I909" s="796">
        <f>F908</f>
        <v>1014</v>
      </c>
      <c r="J909" s="764" t="str">
        <f>G908</f>
        <v>Novos Investimentos Transporte Escolar da Educação Especial</v>
      </c>
    </row>
    <row r="910" spans="2:10" ht="35.1" customHeight="1" thickBot="1" x14ac:dyDescent="0.3">
      <c r="B910" s="769" t="s">
        <v>6939</v>
      </c>
      <c r="C910" s="1625">
        <v>50000</v>
      </c>
      <c r="D910" s="1626"/>
      <c r="E910" s="769" t="s">
        <v>6939</v>
      </c>
      <c r="F910" s="1625">
        <v>12500</v>
      </c>
      <c r="G910" s="1627"/>
      <c r="H910" s="778" t="s">
        <v>6939</v>
      </c>
      <c r="I910" s="1625">
        <f>DESPORC!I2930</f>
        <v>0.02</v>
      </c>
      <c r="J910" s="1627"/>
    </row>
    <row r="911" spans="2:10" ht="35.1" customHeight="1" thickBot="1" x14ac:dyDescent="0.3">
      <c r="B911" s="801"/>
      <c r="C911" s="802"/>
      <c r="D911" s="803"/>
      <c r="E911" s="801"/>
      <c r="F911" s="802"/>
      <c r="G911" s="803"/>
      <c r="H911" s="801"/>
      <c r="I911" s="802"/>
      <c r="J911" s="803"/>
    </row>
    <row r="912" spans="2:10" ht="35.1" customHeight="1" x14ac:dyDescent="0.25">
      <c r="B912" s="1628" t="s">
        <v>3137</v>
      </c>
      <c r="C912" s="1615" t="str">
        <f>'[3]Anexo I - Programas'!$B$471</f>
        <v>13</v>
      </c>
      <c r="D912" s="1629" t="str">
        <f>'[3]Anexo I - Programas'!$C$471</f>
        <v>GESTÃO E DESENVOLVIMENTO DO TRANSPORTE ESCOLAR DO ENSINO FUNDAMENTAL</v>
      </c>
      <c r="E912" s="1628" t="s">
        <v>3137</v>
      </c>
      <c r="F912" s="1615" t="str">
        <f>C912</f>
        <v>13</v>
      </c>
      <c r="G912" s="1617" t="str">
        <f>D912</f>
        <v>GESTÃO E DESENVOLVIMENTO DO TRANSPORTE ESCOLAR DO ENSINO FUNDAMENTAL</v>
      </c>
      <c r="H912" s="773" t="s">
        <v>3138</v>
      </c>
      <c r="I912" s="757">
        <f>DESPORC!C2933</f>
        <v>12</v>
      </c>
      <c r="J912" s="765" t="str">
        <f>DESPORC!D2933</f>
        <v>Educação</v>
      </c>
    </row>
    <row r="913" spans="2:10" ht="35.1" customHeight="1" x14ac:dyDescent="0.25">
      <c r="B913" s="1619"/>
      <c r="C913" s="1616"/>
      <c r="D913" s="1630"/>
      <c r="E913" s="1619"/>
      <c r="F913" s="1616"/>
      <c r="G913" s="1618"/>
      <c r="H913" s="774" t="s">
        <v>6940</v>
      </c>
      <c r="I913" s="757">
        <f>DESPORC!C2934</f>
        <v>361</v>
      </c>
      <c r="J913" s="765" t="str">
        <f>DESPORC!D2934</f>
        <v>Ensino Fundamental</v>
      </c>
    </row>
    <row r="914" spans="2:10" ht="35.1" customHeight="1" x14ac:dyDescent="0.25">
      <c r="B914" s="1619" t="s">
        <v>6941</v>
      </c>
      <c r="C914" s="1616">
        <f>'[3]Anexo I - Programas'!$C$485</f>
        <v>2019</v>
      </c>
      <c r="D914" s="1622" t="str">
        <f>'[3]Anexo I - Programas'!$D$485</f>
        <v>Promoção do Transporte Escolar do Ensino Fundamental</v>
      </c>
      <c r="E914" s="1619" t="s">
        <v>6941</v>
      </c>
      <c r="F914" s="1616">
        <f>C914</f>
        <v>2019</v>
      </c>
      <c r="G914" s="1618" t="str">
        <f>D914</f>
        <v>Promoção do Transporte Escolar do Ensino Fundamental</v>
      </c>
      <c r="H914" s="775" t="s">
        <v>3137</v>
      </c>
      <c r="I914" s="795" t="str">
        <f>F912</f>
        <v>13</v>
      </c>
      <c r="J914" s="762" t="str">
        <f>G912</f>
        <v>GESTÃO E DESENVOLVIMENTO DO TRANSPORTE ESCOLAR DO ENSINO FUNDAMENTAL</v>
      </c>
    </row>
    <row r="915" spans="2:10" ht="35.1" customHeight="1" x14ac:dyDescent="0.25">
      <c r="B915" s="1620"/>
      <c r="C915" s="1621"/>
      <c r="D915" s="1623"/>
      <c r="E915" s="1620"/>
      <c r="F915" s="1621"/>
      <c r="G915" s="1624"/>
      <c r="H915" s="776" t="s">
        <v>6941</v>
      </c>
      <c r="I915" s="796">
        <f>F914</f>
        <v>2019</v>
      </c>
      <c r="J915" s="764" t="str">
        <f>G914</f>
        <v>Promoção do Transporte Escolar do Ensino Fundamental</v>
      </c>
    </row>
    <row r="916" spans="2:10" ht="35.1" customHeight="1" thickBot="1" x14ac:dyDescent="0.3">
      <c r="B916" s="769" t="s">
        <v>6939</v>
      </c>
      <c r="C916" s="1625">
        <v>4000000</v>
      </c>
      <c r="D916" s="1626"/>
      <c r="E916" s="769" t="s">
        <v>6939</v>
      </c>
      <c r="F916" s="1625">
        <v>1000000</v>
      </c>
      <c r="G916" s="1627"/>
      <c r="H916" s="778" t="s">
        <v>6939</v>
      </c>
      <c r="I916" s="1625">
        <f>DESPORC!I2936</f>
        <v>559978.19985949725</v>
      </c>
      <c r="J916" s="1627"/>
    </row>
    <row r="917" spans="2:10" ht="35.1" customHeight="1" x14ac:dyDescent="0.25">
      <c r="B917" s="1628" t="s">
        <v>3137</v>
      </c>
      <c r="C917" s="1615" t="str">
        <f>'[3]Anexo I - Programas'!$B$591</f>
        <v>18</v>
      </c>
      <c r="D917" s="1629" t="str">
        <f>'[3]Anexo I - Programas'!$C$591</f>
        <v>GESTÃO E DESENVOLVIMENTO DO TRANSPORTE DO ENSINO MÉDIO</v>
      </c>
      <c r="E917" s="1628" t="s">
        <v>3137</v>
      </c>
      <c r="F917" s="1615" t="str">
        <f>C917</f>
        <v>18</v>
      </c>
      <c r="G917" s="1617" t="str">
        <f>D917</f>
        <v>GESTÃO E DESENVOLVIMENTO DO TRANSPORTE DO ENSINO MÉDIO</v>
      </c>
      <c r="H917" s="773" t="s">
        <v>3138</v>
      </c>
      <c r="I917" s="757">
        <f>DESPORC!C2944</f>
        <v>12</v>
      </c>
      <c r="J917" s="765" t="str">
        <f>DESPORC!D2944</f>
        <v>Educação</v>
      </c>
    </row>
    <row r="918" spans="2:10" ht="35.1" customHeight="1" x14ac:dyDescent="0.25">
      <c r="B918" s="1619"/>
      <c r="C918" s="1616"/>
      <c r="D918" s="1630"/>
      <c r="E918" s="1619"/>
      <c r="F918" s="1616"/>
      <c r="G918" s="1618"/>
      <c r="H918" s="774" t="s">
        <v>6940</v>
      </c>
      <c r="I918" s="757">
        <f>DESPORC!C2945</f>
        <v>362</v>
      </c>
      <c r="J918" s="765" t="str">
        <f>DESPORC!D2945</f>
        <v>Ensino Médio</v>
      </c>
    </row>
    <row r="919" spans="2:10" ht="35.1" customHeight="1" x14ac:dyDescent="0.25">
      <c r="B919" s="1619" t="s">
        <v>6941</v>
      </c>
      <c r="C919" s="1616">
        <f>'[3]Anexo I - Programas'!$C$600</f>
        <v>2024</v>
      </c>
      <c r="D919" s="1622" t="str">
        <f>'[3]Anexo I - Programas'!$D$600</f>
        <v>Promoção do Transporte Escolar : Ensino Médio</v>
      </c>
      <c r="E919" s="1619" t="s">
        <v>6941</v>
      </c>
      <c r="F919" s="1616">
        <f>C919</f>
        <v>2024</v>
      </c>
      <c r="G919" s="1618" t="str">
        <f>D919</f>
        <v>Promoção do Transporte Escolar : Ensino Médio</v>
      </c>
      <c r="H919" s="775" t="s">
        <v>3137</v>
      </c>
      <c r="I919" s="795" t="str">
        <f>F917</f>
        <v>18</v>
      </c>
      <c r="J919" s="762" t="str">
        <f>G917</f>
        <v>GESTÃO E DESENVOLVIMENTO DO TRANSPORTE DO ENSINO MÉDIO</v>
      </c>
    </row>
    <row r="920" spans="2:10" ht="35.1" customHeight="1" x14ac:dyDescent="0.25">
      <c r="B920" s="1620"/>
      <c r="C920" s="1621"/>
      <c r="D920" s="1623"/>
      <c r="E920" s="1620"/>
      <c r="F920" s="1621"/>
      <c r="G920" s="1624"/>
      <c r="H920" s="776" t="s">
        <v>6941</v>
      </c>
      <c r="I920" s="796">
        <f>F919</f>
        <v>2024</v>
      </c>
      <c r="J920" s="764" t="str">
        <f>G919</f>
        <v>Promoção do Transporte Escolar : Ensino Médio</v>
      </c>
    </row>
    <row r="921" spans="2:10" ht="35.1" customHeight="1" thickBot="1" x14ac:dyDescent="0.3">
      <c r="B921" s="769" t="s">
        <v>6939</v>
      </c>
      <c r="C921" s="1625">
        <v>90000</v>
      </c>
      <c r="D921" s="1626"/>
      <c r="E921" s="769" t="s">
        <v>6939</v>
      </c>
      <c r="F921" s="1625">
        <v>22500</v>
      </c>
      <c r="G921" s="1627"/>
      <c r="H921" s="778" t="s">
        <v>6939</v>
      </c>
      <c r="I921" s="1625">
        <f>DESPORC!I2947</f>
        <v>28249.951862179154</v>
      </c>
      <c r="J921" s="1627"/>
    </row>
    <row r="922" spans="2:10" ht="35.1" customHeight="1" x14ac:dyDescent="0.25">
      <c r="B922" s="1628" t="s">
        <v>3137</v>
      </c>
      <c r="C922" s="1615" t="str">
        <f>'[3]Anexo I - Programas'!$B$496</f>
        <v>14</v>
      </c>
      <c r="D922" s="1629" t="str">
        <f>'[3]Anexo I - Programas'!$C$496</f>
        <v>GESTÃO E DESENVOLVIMENTO DO TRANSPORTE ESCOLAR DA EDUCAÇÃO INFANTIL</v>
      </c>
      <c r="E922" s="1628" t="s">
        <v>3137</v>
      </c>
      <c r="F922" s="1615" t="str">
        <f>C922</f>
        <v>14</v>
      </c>
      <c r="G922" s="1617" t="str">
        <f>D922</f>
        <v>GESTÃO E DESENVOLVIMENTO DO TRANSPORTE ESCOLAR DA EDUCAÇÃO INFANTIL</v>
      </c>
      <c r="H922" s="773" t="s">
        <v>3138</v>
      </c>
      <c r="I922" s="757">
        <f>DESPORC!C2950</f>
        <v>12</v>
      </c>
      <c r="J922" s="765" t="str">
        <f>DESPORC!D2950</f>
        <v>Educação</v>
      </c>
    </row>
    <row r="923" spans="2:10" ht="35.1" customHeight="1" x14ac:dyDescent="0.25">
      <c r="B923" s="1619"/>
      <c r="C923" s="1616"/>
      <c r="D923" s="1630"/>
      <c r="E923" s="1619"/>
      <c r="F923" s="1616"/>
      <c r="G923" s="1618"/>
      <c r="H923" s="774" t="s">
        <v>6940</v>
      </c>
      <c r="I923" s="757">
        <f>DESPORC!C2951</f>
        <v>365</v>
      </c>
      <c r="J923" s="765" t="str">
        <f>DESPORC!D2951</f>
        <v>Educação Infantil</v>
      </c>
    </row>
    <row r="924" spans="2:10" ht="35.1" customHeight="1" x14ac:dyDescent="0.25">
      <c r="B924" s="1619" t="s">
        <v>6941</v>
      </c>
      <c r="C924" s="1616">
        <f>'[3]Anexo I - Programas'!$C$510</f>
        <v>2020</v>
      </c>
      <c r="D924" s="1622" t="str">
        <f>'[3]Anexo I - Programas'!$D$510</f>
        <v>Promoção do Transporte Escolar da Educação Infantil</v>
      </c>
      <c r="E924" s="1619" t="s">
        <v>6941</v>
      </c>
      <c r="F924" s="1616">
        <f>C924</f>
        <v>2020</v>
      </c>
      <c r="G924" s="1618" t="str">
        <f>D924</f>
        <v>Promoção do Transporte Escolar da Educação Infantil</v>
      </c>
      <c r="H924" s="775" t="s">
        <v>3137</v>
      </c>
      <c r="I924" s="795" t="str">
        <f>F922</f>
        <v>14</v>
      </c>
      <c r="J924" s="762" t="str">
        <f>G922</f>
        <v>GESTÃO E DESENVOLVIMENTO DO TRANSPORTE ESCOLAR DA EDUCAÇÃO INFANTIL</v>
      </c>
    </row>
    <row r="925" spans="2:10" ht="35.1" customHeight="1" x14ac:dyDescent="0.25">
      <c r="B925" s="1620"/>
      <c r="C925" s="1621"/>
      <c r="D925" s="1623"/>
      <c r="E925" s="1620"/>
      <c r="F925" s="1621"/>
      <c r="G925" s="1624"/>
      <c r="H925" s="776" t="s">
        <v>6941</v>
      </c>
      <c r="I925" s="796">
        <f>F924</f>
        <v>2020</v>
      </c>
      <c r="J925" s="764" t="str">
        <f>G924</f>
        <v>Promoção do Transporte Escolar da Educação Infantil</v>
      </c>
    </row>
    <row r="926" spans="2:10" ht="35.1" customHeight="1" thickBot="1" x14ac:dyDescent="0.3">
      <c r="B926" s="769" t="s">
        <v>6939</v>
      </c>
      <c r="C926" s="1625">
        <v>500000</v>
      </c>
      <c r="D926" s="1626"/>
      <c r="E926" s="769" t="s">
        <v>6939</v>
      </c>
      <c r="F926" s="1625">
        <v>125000</v>
      </c>
      <c r="G926" s="1627"/>
      <c r="H926" s="778" t="s">
        <v>6939</v>
      </c>
      <c r="I926" s="1625">
        <f>DESPORC!I2953</f>
        <v>80308.699603723289</v>
      </c>
      <c r="J926" s="1627"/>
    </row>
    <row r="927" spans="2:10" ht="35.1" customHeight="1" x14ac:dyDescent="0.25">
      <c r="B927" s="1628" t="s">
        <v>3137</v>
      </c>
      <c r="C927" s="1615" t="str">
        <f>'[3]Anexo I - Programas'!$B$545</f>
        <v>16</v>
      </c>
      <c r="D927" s="1629" t="str">
        <f>'[3]Anexo I - Programas'!$C$545</f>
        <v>GESTÃO E DESENVOLVIMENTO DO TRANSPORTE DA EDUCAÇÃO DE JOVENS E ADULTOS</v>
      </c>
      <c r="E927" s="1628" t="s">
        <v>3137</v>
      </c>
      <c r="F927" s="1615" t="str">
        <f>C927</f>
        <v>16</v>
      </c>
      <c r="G927" s="1617" t="str">
        <f>D927</f>
        <v>GESTÃO E DESENVOLVIMENTO DO TRANSPORTE DA EDUCAÇÃO DE JOVENS E ADULTOS</v>
      </c>
      <c r="H927" s="773" t="s">
        <v>3138</v>
      </c>
      <c r="I927" s="757">
        <f>DESPORC!C2950</f>
        <v>12</v>
      </c>
      <c r="J927" s="765" t="str">
        <f>DESPORC!D2950</f>
        <v>Educação</v>
      </c>
    </row>
    <row r="928" spans="2:10" ht="35.1" customHeight="1" x14ac:dyDescent="0.25">
      <c r="B928" s="1619"/>
      <c r="C928" s="1616"/>
      <c r="D928" s="1630"/>
      <c r="E928" s="1619"/>
      <c r="F928" s="1616"/>
      <c r="G928" s="1618"/>
      <c r="H928" s="774" t="s">
        <v>6940</v>
      </c>
      <c r="I928" s="757">
        <f>DESPORC!C2951</f>
        <v>365</v>
      </c>
      <c r="J928" s="765" t="str">
        <f>DESPORC!D2951</f>
        <v>Educação Infantil</v>
      </c>
    </row>
    <row r="929" spans="2:10" ht="35.1" customHeight="1" x14ac:dyDescent="0.25">
      <c r="B929" s="1619" t="s">
        <v>6941</v>
      </c>
      <c r="C929" s="1616">
        <f>'[3]Anexo I - Programas'!$C$559</f>
        <v>2022</v>
      </c>
      <c r="D929" s="1622" t="str">
        <f>'[3]Anexo I - Programas'!$D$559</f>
        <v>Promoção do Transporte Escolar da Educação de Jovens e Adultos</v>
      </c>
      <c r="E929" s="1619" t="s">
        <v>6941</v>
      </c>
      <c r="F929" s="1616">
        <f>C929</f>
        <v>2022</v>
      </c>
      <c r="G929" s="1618" t="str">
        <f>D929</f>
        <v>Promoção do Transporte Escolar da Educação de Jovens e Adultos</v>
      </c>
      <c r="H929" s="775" t="s">
        <v>3137</v>
      </c>
      <c r="I929" s="795" t="str">
        <f>F927</f>
        <v>16</v>
      </c>
      <c r="J929" s="762" t="str">
        <f>G927</f>
        <v>GESTÃO E DESENVOLVIMENTO DO TRANSPORTE DA EDUCAÇÃO DE JOVENS E ADULTOS</v>
      </c>
    </row>
    <row r="930" spans="2:10" ht="35.1" customHeight="1" x14ac:dyDescent="0.25">
      <c r="B930" s="1620"/>
      <c r="C930" s="1621"/>
      <c r="D930" s="1623"/>
      <c r="E930" s="1620"/>
      <c r="F930" s="1621"/>
      <c r="G930" s="1624"/>
      <c r="H930" s="776" t="s">
        <v>6941</v>
      </c>
      <c r="I930" s="796">
        <f>F929</f>
        <v>2022</v>
      </c>
      <c r="J930" s="764" t="str">
        <f>G929</f>
        <v>Promoção do Transporte Escolar da Educação de Jovens e Adultos</v>
      </c>
    </row>
    <row r="931" spans="2:10" ht="35.1" customHeight="1" thickBot="1" x14ac:dyDescent="0.3">
      <c r="B931" s="769" t="s">
        <v>6939</v>
      </c>
      <c r="C931" s="1625">
        <v>150000</v>
      </c>
      <c r="D931" s="1626"/>
      <c r="E931" s="769" t="s">
        <v>6939</v>
      </c>
      <c r="F931" s="1625">
        <v>37500</v>
      </c>
      <c r="G931" s="1627"/>
      <c r="H931" s="778" t="s">
        <v>6939</v>
      </c>
      <c r="I931" s="1625">
        <f>DESPORC!I2963</f>
        <v>22104.133510324482</v>
      </c>
      <c r="J931" s="1627"/>
    </row>
    <row r="932" spans="2:10" ht="35.1" customHeight="1" x14ac:dyDescent="0.25">
      <c r="B932" s="1628" t="s">
        <v>3137</v>
      </c>
      <c r="C932" s="1615" t="str">
        <f>'[3]Anexo I - Programas'!$B$520</f>
        <v>15</v>
      </c>
      <c r="D932" s="1629" t="str">
        <f>'[3]Anexo I - Programas'!$C$520</f>
        <v>GESTÃO E DESENVOLVIMENTO DO TRANSPORTE ESCOLAR DA EDUCAÇÃO ESPECIAL</v>
      </c>
      <c r="E932" s="1628" t="s">
        <v>3137</v>
      </c>
      <c r="F932" s="1615" t="str">
        <f>C932</f>
        <v>15</v>
      </c>
      <c r="G932" s="1617" t="str">
        <f>D932</f>
        <v>GESTÃO E DESENVOLVIMENTO DO TRANSPORTE ESCOLAR DA EDUCAÇÃO ESPECIAL</v>
      </c>
      <c r="H932" s="773" t="s">
        <v>3138</v>
      </c>
      <c r="I932" s="757">
        <f>DESPORC!C2968</f>
        <v>12</v>
      </c>
      <c r="J932" s="765" t="str">
        <f>DESPORC!D2968</f>
        <v>Educação</v>
      </c>
    </row>
    <row r="933" spans="2:10" ht="35.1" customHeight="1" x14ac:dyDescent="0.25">
      <c r="B933" s="1619"/>
      <c r="C933" s="1616"/>
      <c r="D933" s="1630"/>
      <c r="E933" s="1619"/>
      <c r="F933" s="1616"/>
      <c r="G933" s="1618"/>
      <c r="H933" s="774" t="s">
        <v>6940</v>
      </c>
      <c r="I933" s="757">
        <f>DESPORC!C2969</f>
        <v>367</v>
      </c>
      <c r="J933" s="765" t="str">
        <f>DESPORC!D2969</f>
        <v>Educação Especial</v>
      </c>
    </row>
    <row r="934" spans="2:10" ht="35.1" customHeight="1" x14ac:dyDescent="0.25">
      <c r="B934" s="1619" t="s">
        <v>6941</v>
      </c>
      <c r="C934" s="1616">
        <f>'[3]Anexo I - Programas'!$C$534</f>
        <v>2021</v>
      </c>
      <c r="D934" s="1622" t="str">
        <f>'[3]Anexo I - Programas'!$D$534</f>
        <v>Promoção do Transporte Escolar da Educação Especial</v>
      </c>
      <c r="E934" s="1619" t="s">
        <v>6941</v>
      </c>
      <c r="F934" s="1616">
        <f>C934</f>
        <v>2021</v>
      </c>
      <c r="G934" s="1618" t="str">
        <f>D934</f>
        <v>Promoção do Transporte Escolar da Educação Especial</v>
      </c>
      <c r="H934" s="775" t="s">
        <v>3137</v>
      </c>
      <c r="I934" s="795" t="str">
        <f>F932</f>
        <v>15</v>
      </c>
      <c r="J934" s="762" t="str">
        <f>G932</f>
        <v>GESTÃO E DESENVOLVIMENTO DO TRANSPORTE ESCOLAR DA EDUCAÇÃO ESPECIAL</v>
      </c>
    </row>
    <row r="935" spans="2:10" ht="35.1" customHeight="1" x14ac:dyDescent="0.25">
      <c r="B935" s="1620"/>
      <c r="C935" s="1621"/>
      <c r="D935" s="1623"/>
      <c r="E935" s="1620"/>
      <c r="F935" s="1621"/>
      <c r="G935" s="1624"/>
      <c r="H935" s="776" t="s">
        <v>6941</v>
      </c>
      <c r="I935" s="796">
        <f>F934</f>
        <v>2021</v>
      </c>
      <c r="J935" s="764" t="str">
        <f>G934</f>
        <v>Promoção do Transporte Escolar da Educação Especial</v>
      </c>
    </row>
    <row r="936" spans="2:10" ht="35.1" customHeight="1" thickBot="1" x14ac:dyDescent="0.3">
      <c r="B936" s="769" t="s">
        <v>6939</v>
      </c>
      <c r="C936" s="1625">
        <v>200000</v>
      </c>
      <c r="D936" s="1626"/>
      <c r="E936" s="769" t="s">
        <v>6939</v>
      </c>
      <c r="F936" s="1625">
        <v>50000</v>
      </c>
      <c r="G936" s="1627"/>
      <c r="H936" s="778" t="s">
        <v>6939</v>
      </c>
      <c r="I936" s="1625">
        <f>DESPORC!I2971</f>
        <v>25544.874188790567</v>
      </c>
      <c r="J936" s="1627"/>
    </row>
    <row r="948" spans="2:10" ht="35.1" customHeight="1" x14ac:dyDescent="0.25">
      <c r="B948" s="1631" t="s">
        <v>6927</v>
      </c>
      <c r="C948" s="1631"/>
      <c r="D948" s="755" t="str">
        <f>DESPORC!C2983</f>
        <v>03 - SECRETARIA MUNICIPAL DE EDUCAÇÃO, CULT. E DESPORTO</v>
      </c>
      <c r="E948" s="797"/>
      <c r="F948" s="798"/>
      <c r="G948" s="798"/>
      <c r="H948" s="797"/>
      <c r="I948" s="798"/>
      <c r="J948" s="798"/>
    </row>
    <row r="949" spans="2:10" ht="35.1" customHeight="1" thickBot="1" x14ac:dyDescent="0.3">
      <c r="B949" s="1632" t="s">
        <v>3087</v>
      </c>
      <c r="C949" s="1632"/>
      <c r="D949" s="755" t="str">
        <f>DESPORC!C2984</f>
        <v>14 - GESTAO E PROMOÇÃO DO TRANSPORTE ESCOLAR PROPRIOS E MDE</v>
      </c>
      <c r="E949" s="797"/>
      <c r="F949" s="36"/>
      <c r="G949" s="1"/>
      <c r="H949" s="772"/>
      <c r="I949" s="1"/>
      <c r="J949" s="1"/>
    </row>
    <row r="950" spans="2:10" ht="35.1" customHeight="1" thickBot="1" x14ac:dyDescent="0.3">
      <c r="B950" s="1776" t="s">
        <v>6955</v>
      </c>
      <c r="C950" s="1777"/>
      <c r="D950" s="1778"/>
      <c r="E950" s="1776" t="str">
        <f>E$12</f>
        <v>PRIORIDADES LDO LEI MUNICIPAL N.º 1215  DE 02 DE OUTUBRO DE 2019.</v>
      </c>
      <c r="F950" s="1777"/>
      <c r="G950" s="1778"/>
      <c r="H950" s="1779" t="s">
        <v>6956</v>
      </c>
      <c r="I950" s="1780"/>
      <c r="J950" s="1781"/>
    </row>
    <row r="951" spans="2:10" ht="35.1" customHeight="1" x14ac:dyDescent="0.25">
      <c r="B951" s="1628" t="s">
        <v>3137</v>
      </c>
      <c r="C951" s="1615" t="str">
        <f>'[3]Anexo I - Programas'!$B$471</f>
        <v>13</v>
      </c>
      <c r="D951" s="1629" t="str">
        <f>'[3]Anexo I - Programas'!$C$471</f>
        <v>GESTÃO E DESENVOLVIMENTO DO TRANSPORTE ESCOLAR DO ENSINO FUNDAMENTAL</v>
      </c>
      <c r="E951" s="1628" t="s">
        <v>3137</v>
      </c>
      <c r="F951" s="1615" t="str">
        <f>C951</f>
        <v>13</v>
      </c>
      <c r="G951" s="1617" t="str">
        <f>D951</f>
        <v>GESTÃO E DESENVOLVIMENTO DO TRANSPORTE ESCOLAR DO ENSINO FUNDAMENTAL</v>
      </c>
      <c r="H951" s="773" t="s">
        <v>3138</v>
      </c>
      <c r="I951" s="757">
        <f>DESPORC!C2987</f>
        <v>12</v>
      </c>
      <c r="J951" s="765" t="str">
        <f>DESPORC!D2987</f>
        <v>Educação</v>
      </c>
    </row>
    <row r="952" spans="2:10" ht="35.1" customHeight="1" x14ac:dyDescent="0.25">
      <c r="B952" s="1619"/>
      <c r="C952" s="1616"/>
      <c r="D952" s="1630"/>
      <c r="E952" s="1619"/>
      <c r="F952" s="1616"/>
      <c r="G952" s="1618"/>
      <c r="H952" s="774" t="s">
        <v>6940</v>
      </c>
      <c r="I952" s="757">
        <f>DESPORC!C2988</f>
        <v>361</v>
      </c>
      <c r="J952" s="765" t="str">
        <f>DESPORC!D2988</f>
        <v>Ensino Fundamental</v>
      </c>
    </row>
    <row r="953" spans="2:10" ht="35.1" customHeight="1" x14ac:dyDescent="0.25">
      <c r="B953" s="1619" t="s">
        <v>6941</v>
      </c>
      <c r="C953" s="1616">
        <f>'[3]Anexo I - Programas'!$C$480</f>
        <v>1012</v>
      </c>
      <c r="D953" s="1622" t="str">
        <f>'[3]Anexo I - Programas'!$D$480</f>
        <v>Novos Investimentos Transporte Escolar do Ensino Fundamental</v>
      </c>
      <c r="E953" s="1619" t="s">
        <v>6941</v>
      </c>
      <c r="F953" s="1616">
        <f>C953</f>
        <v>1012</v>
      </c>
      <c r="G953" s="1618" t="str">
        <f>D953</f>
        <v>Novos Investimentos Transporte Escolar do Ensino Fundamental</v>
      </c>
      <c r="H953" s="775" t="s">
        <v>3137</v>
      </c>
      <c r="I953" s="795" t="str">
        <f>F951</f>
        <v>13</v>
      </c>
      <c r="J953" s="762" t="str">
        <f>G951</f>
        <v>GESTÃO E DESENVOLVIMENTO DO TRANSPORTE ESCOLAR DO ENSINO FUNDAMENTAL</v>
      </c>
    </row>
    <row r="954" spans="2:10" ht="35.1" customHeight="1" x14ac:dyDescent="0.25">
      <c r="B954" s="1620"/>
      <c r="C954" s="1621"/>
      <c r="D954" s="1623"/>
      <c r="E954" s="1620"/>
      <c r="F954" s="1621"/>
      <c r="G954" s="1624"/>
      <c r="H954" s="776" t="s">
        <v>6941</v>
      </c>
      <c r="I954" s="796">
        <f>F953</f>
        <v>1012</v>
      </c>
      <c r="J954" s="764" t="str">
        <f>G953</f>
        <v>Novos Investimentos Transporte Escolar do Ensino Fundamental</v>
      </c>
    </row>
    <row r="955" spans="2:10" ht="35.1" customHeight="1" thickBot="1" x14ac:dyDescent="0.3">
      <c r="B955" s="769" t="s">
        <v>6939</v>
      </c>
      <c r="C955" s="1625">
        <v>1000000</v>
      </c>
      <c r="D955" s="1626"/>
      <c r="E955" s="769" t="s">
        <v>6939</v>
      </c>
      <c r="F955" s="1625">
        <v>250000</v>
      </c>
      <c r="G955" s="1627"/>
      <c r="H955" s="778" t="s">
        <v>6939</v>
      </c>
      <c r="I955" s="1625">
        <f>DESPORC!I2990</f>
        <v>0.02</v>
      </c>
      <c r="J955" s="1627"/>
    </row>
    <row r="956" spans="2:10" ht="35.1" customHeight="1" x14ac:dyDescent="0.25">
      <c r="B956" s="1628" t="s">
        <v>3137</v>
      </c>
      <c r="C956" s="1615" t="str">
        <f>'[3]Anexo I - Programas'!$B$496</f>
        <v>14</v>
      </c>
      <c r="D956" s="1629" t="str">
        <f>'[3]Anexo I - Programas'!$C$496</f>
        <v>GESTÃO E DESENVOLVIMENTO DO TRANSPORTE ESCOLAR DA EDUCAÇÃO INFANTIL</v>
      </c>
      <c r="E956" s="1628" t="s">
        <v>3137</v>
      </c>
      <c r="F956" s="1615" t="str">
        <f>C956</f>
        <v>14</v>
      </c>
      <c r="G956" s="1617" t="str">
        <f>D956</f>
        <v>GESTÃO E DESENVOLVIMENTO DO TRANSPORTE ESCOLAR DA EDUCAÇÃO INFANTIL</v>
      </c>
      <c r="H956" s="773" t="s">
        <v>3138</v>
      </c>
      <c r="I956" s="757">
        <f>DESPORC!C2994</f>
        <v>12</v>
      </c>
      <c r="J956" s="765" t="str">
        <f>DESPORC!D2994</f>
        <v>Educação</v>
      </c>
    </row>
    <row r="957" spans="2:10" ht="35.1" customHeight="1" x14ac:dyDescent="0.25">
      <c r="B957" s="1619"/>
      <c r="C957" s="1616"/>
      <c r="D957" s="1630"/>
      <c r="E957" s="1619"/>
      <c r="F957" s="1616"/>
      <c r="G957" s="1618"/>
      <c r="H957" s="774" t="s">
        <v>6940</v>
      </c>
      <c r="I957" s="757">
        <f>DESPORC!C2995</f>
        <v>365</v>
      </c>
      <c r="J957" s="765" t="str">
        <f>DESPORC!D2995</f>
        <v>Educação Infantil</v>
      </c>
    </row>
    <row r="958" spans="2:10" ht="35.1" customHeight="1" x14ac:dyDescent="0.25">
      <c r="B958" s="1619" t="s">
        <v>6941</v>
      </c>
      <c r="C958" s="1616">
        <f>'[3]Anexo I - Programas'!$C$505</f>
        <v>1013</v>
      </c>
      <c r="D958" s="1622" t="str">
        <f>'[3]Anexo I - Programas'!$D$505</f>
        <v>Novos Investimentos Transporte Escolar da Educação Infantil</v>
      </c>
      <c r="E958" s="1619" t="s">
        <v>6941</v>
      </c>
      <c r="F958" s="1616">
        <f>C958</f>
        <v>1013</v>
      </c>
      <c r="G958" s="1618" t="str">
        <f>D958</f>
        <v>Novos Investimentos Transporte Escolar da Educação Infantil</v>
      </c>
      <c r="H958" s="775" t="s">
        <v>3137</v>
      </c>
      <c r="I958" s="795" t="str">
        <f>F956</f>
        <v>14</v>
      </c>
      <c r="J958" s="762" t="str">
        <f>G956</f>
        <v>GESTÃO E DESENVOLVIMENTO DO TRANSPORTE ESCOLAR DA EDUCAÇÃO INFANTIL</v>
      </c>
    </row>
    <row r="959" spans="2:10" ht="35.1" customHeight="1" x14ac:dyDescent="0.25">
      <c r="B959" s="1620"/>
      <c r="C959" s="1621"/>
      <c r="D959" s="1623"/>
      <c r="E959" s="1620"/>
      <c r="F959" s="1621"/>
      <c r="G959" s="1624"/>
      <c r="H959" s="776" t="s">
        <v>6941</v>
      </c>
      <c r="I959" s="796">
        <f>F958</f>
        <v>1013</v>
      </c>
      <c r="J959" s="764" t="str">
        <f>G958</f>
        <v>Novos Investimentos Transporte Escolar da Educação Infantil</v>
      </c>
    </row>
    <row r="960" spans="2:10" ht="35.1" customHeight="1" thickBot="1" x14ac:dyDescent="0.3">
      <c r="B960" s="769" t="s">
        <v>6939</v>
      </c>
      <c r="C960" s="1625">
        <v>50000</v>
      </c>
      <c r="D960" s="1626"/>
      <c r="E960" s="769" t="s">
        <v>6939</v>
      </c>
      <c r="F960" s="1625">
        <v>12500</v>
      </c>
      <c r="G960" s="1627"/>
      <c r="H960" s="778" t="s">
        <v>6939</v>
      </c>
      <c r="I960" s="1625">
        <f>DESPORC!I2997</f>
        <v>2.0099999999999998</v>
      </c>
      <c r="J960" s="1627"/>
    </row>
    <row r="961" spans="2:10" ht="35.1" customHeight="1" x14ac:dyDescent="0.25">
      <c r="B961" s="1628" t="s">
        <v>3137</v>
      </c>
      <c r="C961" s="1615" t="str">
        <f>'[3]Anexo I - Programas'!$B$545</f>
        <v>16</v>
      </c>
      <c r="D961" s="1629" t="str">
        <f>'[3]Anexo I - Programas'!$C$545</f>
        <v>GESTÃO E DESENVOLVIMENTO DO TRANSPORTE DA EDUCAÇÃO DE JOVENS E ADULTOS</v>
      </c>
      <c r="E961" s="1628" t="s">
        <v>3137</v>
      </c>
      <c r="F961" s="1615" t="str">
        <f>C961</f>
        <v>16</v>
      </c>
      <c r="G961" s="1617" t="str">
        <f>D961</f>
        <v>GESTÃO E DESENVOLVIMENTO DO TRANSPORTE DA EDUCAÇÃO DE JOVENS E ADULTOS</v>
      </c>
      <c r="H961" s="773" t="s">
        <v>3138</v>
      </c>
      <c r="I961" s="757">
        <f>DESPORC!C3001</f>
        <v>12</v>
      </c>
      <c r="J961" s="765" t="str">
        <f>DESPORC!D3001</f>
        <v>Educação</v>
      </c>
    </row>
    <row r="962" spans="2:10" ht="35.1" customHeight="1" x14ac:dyDescent="0.25">
      <c r="B962" s="1619"/>
      <c r="C962" s="1616"/>
      <c r="D962" s="1630"/>
      <c r="E962" s="1619"/>
      <c r="F962" s="1616"/>
      <c r="G962" s="1618"/>
      <c r="H962" s="774" t="s">
        <v>6940</v>
      </c>
      <c r="I962" s="757">
        <f>DESPORC!C3002</f>
        <v>366</v>
      </c>
      <c r="J962" s="765" t="str">
        <f>DESPORC!D3002</f>
        <v>Educação de Jovens e Adultos</v>
      </c>
    </row>
    <row r="963" spans="2:10" ht="35.1" customHeight="1" x14ac:dyDescent="0.25">
      <c r="B963" s="1619" t="s">
        <v>6941</v>
      </c>
      <c r="C963" s="1616">
        <f>'[3]Anexo I - Programas'!$C$554</f>
        <v>1015</v>
      </c>
      <c r="D963" s="1622" t="str">
        <f>'[3]Anexo I - Programas'!$D$554</f>
        <v>Novos Investimentos Transporte Escolar da Educação de Jovens e Adultos</v>
      </c>
      <c r="E963" s="1619" t="s">
        <v>6941</v>
      </c>
      <c r="F963" s="1616">
        <f>C963</f>
        <v>1015</v>
      </c>
      <c r="G963" s="1618" t="str">
        <f>D963</f>
        <v>Novos Investimentos Transporte Escolar da Educação de Jovens e Adultos</v>
      </c>
      <c r="H963" s="775" t="s">
        <v>3137</v>
      </c>
      <c r="I963" s="795" t="str">
        <f>F961</f>
        <v>16</v>
      </c>
      <c r="J963" s="762" t="str">
        <f>G961</f>
        <v>GESTÃO E DESENVOLVIMENTO DO TRANSPORTE DA EDUCAÇÃO DE JOVENS E ADULTOS</v>
      </c>
    </row>
    <row r="964" spans="2:10" ht="35.1" customHeight="1" x14ac:dyDescent="0.25">
      <c r="B964" s="1620"/>
      <c r="C964" s="1621"/>
      <c r="D964" s="1623"/>
      <c r="E964" s="1620"/>
      <c r="F964" s="1621"/>
      <c r="G964" s="1624"/>
      <c r="H964" s="776" t="s">
        <v>6941</v>
      </c>
      <c r="I964" s="796">
        <f>F963</f>
        <v>1015</v>
      </c>
      <c r="J964" s="764" t="str">
        <f>G963</f>
        <v>Novos Investimentos Transporte Escolar da Educação de Jovens e Adultos</v>
      </c>
    </row>
    <row r="965" spans="2:10" ht="35.1" customHeight="1" thickBot="1" x14ac:dyDescent="0.3">
      <c r="B965" s="769" t="s">
        <v>6939</v>
      </c>
      <c r="C965" s="1625">
        <v>50000</v>
      </c>
      <c r="D965" s="1626"/>
      <c r="E965" s="769" t="s">
        <v>6939</v>
      </c>
      <c r="F965" s="1625">
        <v>12500</v>
      </c>
      <c r="G965" s="1627"/>
      <c r="H965" s="778" t="s">
        <v>6939</v>
      </c>
      <c r="I965" s="1625">
        <f>DESPORC!I3004</f>
        <v>2.0099999999999998</v>
      </c>
      <c r="J965" s="1627"/>
    </row>
    <row r="966" spans="2:10" ht="35.1" customHeight="1" x14ac:dyDescent="0.25">
      <c r="B966" s="1628" t="s">
        <v>3137</v>
      </c>
      <c r="C966" s="1615" t="str">
        <f>'[3]Anexo I - Programas'!$B$520</f>
        <v>15</v>
      </c>
      <c r="D966" s="1629" t="str">
        <f>'[3]Anexo I - Programas'!$C$520</f>
        <v>GESTÃO E DESENVOLVIMENTO DO TRANSPORTE ESCOLAR DA EDUCAÇÃO ESPECIAL</v>
      </c>
      <c r="E966" s="1628" t="s">
        <v>3137</v>
      </c>
      <c r="F966" s="1615" t="str">
        <f>C966</f>
        <v>15</v>
      </c>
      <c r="G966" s="1617" t="str">
        <f>D966</f>
        <v>GESTÃO E DESENVOLVIMENTO DO TRANSPORTE ESCOLAR DA EDUCAÇÃO ESPECIAL</v>
      </c>
      <c r="H966" s="773" t="s">
        <v>3138</v>
      </c>
      <c r="I966" s="757">
        <f>DESPORC!C3008</f>
        <v>12</v>
      </c>
      <c r="J966" s="765" t="str">
        <f>DESPORC!D3008</f>
        <v>Educação</v>
      </c>
    </row>
    <row r="967" spans="2:10" ht="35.1" customHeight="1" x14ac:dyDescent="0.25">
      <c r="B967" s="1619"/>
      <c r="C967" s="1616"/>
      <c r="D967" s="1630"/>
      <c r="E967" s="1619"/>
      <c r="F967" s="1616"/>
      <c r="G967" s="1618"/>
      <c r="H967" s="774" t="s">
        <v>6940</v>
      </c>
      <c r="I967" s="757">
        <f>DESPORC!C3009</f>
        <v>367</v>
      </c>
      <c r="J967" s="765" t="str">
        <f>DESPORC!D3009</f>
        <v>Educação Especial</v>
      </c>
    </row>
    <row r="968" spans="2:10" ht="35.1" customHeight="1" x14ac:dyDescent="0.25">
      <c r="B968" s="1619" t="s">
        <v>6941</v>
      </c>
      <c r="C968" s="1616">
        <f>'[3]Anexo I - Programas'!$C$529</f>
        <v>1014</v>
      </c>
      <c r="D968" s="1622" t="str">
        <f>'[3]Anexo I - Programas'!$D$529</f>
        <v>Novos Investimentos Transporte Escolar da Educação Especial</v>
      </c>
      <c r="E968" s="1619" t="s">
        <v>6941</v>
      </c>
      <c r="F968" s="1616">
        <f>C968</f>
        <v>1014</v>
      </c>
      <c r="G968" s="1618" t="str">
        <f>D968</f>
        <v>Novos Investimentos Transporte Escolar da Educação Especial</v>
      </c>
      <c r="H968" s="775" t="s">
        <v>3137</v>
      </c>
      <c r="I968" s="795" t="str">
        <f>F966</f>
        <v>15</v>
      </c>
      <c r="J968" s="762" t="str">
        <f>G966</f>
        <v>GESTÃO E DESENVOLVIMENTO DO TRANSPORTE ESCOLAR DA EDUCAÇÃO ESPECIAL</v>
      </c>
    </row>
    <row r="969" spans="2:10" ht="35.1" customHeight="1" x14ac:dyDescent="0.25">
      <c r="B969" s="1620"/>
      <c r="C969" s="1621"/>
      <c r="D969" s="1623"/>
      <c r="E969" s="1620"/>
      <c r="F969" s="1621"/>
      <c r="G969" s="1624"/>
      <c r="H969" s="776" t="s">
        <v>6941</v>
      </c>
      <c r="I969" s="796">
        <f>F968</f>
        <v>1014</v>
      </c>
      <c r="J969" s="764" t="str">
        <f>G968</f>
        <v>Novos Investimentos Transporte Escolar da Educação Especial</v>
      </c>
    </row>
    <row r="970" spans="2:10" ht="35.1" customHeight="1" thickBot="1" x14ac:dyDescent="0.3">
      <c r="B970" s="769" t="s">
        <v>6939</v>
      </c>
      <c r="C970" s="1625">
        <v>50000</v>
      </c>
      <c r="D970" s="1626"/>
      <c r="E970" s="769" t="s">
        <v>6939</v>
      </c>
      <c r="F970" s="1625">
        <v>12500</v>
      </c>
      <c r="G970" s="1627"/>
      <c r="H970" s="778" t="s">
        <v>6939</v>
      </c>
      <c r="I970" s="1625">
        <f>DESPORC!I3011</f>
        <v>2.0099999999999998</v>
      </c>
      <c r="J970" s="1627"/>
    </row>
    <row r="971" spans="2:10" ht="35.1" customHeight="1" x14ac:dyDescent="0.25">
      <c r="B971" s="1628" t="s">
        <v>3137</v>
      </c>
      <c r="C971" s="1615" t="str">
        <f>'[3]Anexo I - Programas'!$B$649</f>
        <v>21</v>
      </c>
      <c r="D971" s="1629" t="str">
        <f>'[3]Anexo I - Programas'!$C$649</f>
        <v>GESTÃO E DESENVOLVIMENTO DO TRANSPORTE ESCOLAR DE DOCENTES</v>
      </c>
      <c r="E971" s="1628" t="s">
        <v>3137</v>
      </c>
      <c r="F971" s="1615" t="str">
        <f>C971</f>
        <v>21</v>
      </c>
      <c r="G971" s="1617" t="str">
        <f>D971</f>
        <v>GESTÃO E DESENVOLVIMENTO DO TRANSPORTE ESCOLAR DE DOCENTES</v>
      </c>
      <c r="H971" s="773" t="s">
        <v>3138</v>
      </c>
      <c r="I971" s="757">
        <f>DESPORC!C3015</f>
        <v>12</v>
      </c>
      <c r="J971" s="765" t="str">
        <f>DESPORC!D3015</f>
        <v>Educação</v>
      </c>
    </row>
    <row r="972" spans="2:10" ht="35.1" customHeight="1" x14ac:dyDescent="0.25">
      <c r="B972" s="1619"/>
      <c r="C972" s="1616"/>
      <c r="D972" s="1630"/>
      <c r="E972" s="1619"/>
      <c r="F972" s="1616"/>
      <c r="G972" s="1618"/>
      <c r="H972" s="774" t="s">
        <v>6940</v>
      </c>
      <c r="I972" s="757">
        <f>DESPORC!C3016</f>
        <v>122</v>
      </c>
      <c r="J972" s="765" t="str">
        <f>DESPORC!D3016</f>
        <v>Administração Geral</v>
      </c>
    </row>
    <row r="973" spans="2:10" ht="35.1" customHeight="1" x14ac:dyDescent="0.25">
      <c r="B973" s="1619" t="s">
        <v>6941</v>
      </c>
      <c r="C973" s="1616">
        <f>'[3]Anexo I - Programas'!$C$658</f>
        <v>2033</v>
      </c>
      <c r="D973" s="1622" t="str">
        <f>'[3]Anexo I - Programas'!$D$658</f>
        <v>Promoção do Transporte Escolar : Docentes</v>
      </c>
      <c r="E973" s="1619" t="s">
        <v>6941</v>
      </c>
      <c r="F973" s="1616">
        <f>C973</f>
        <v>2033</v>
      </c>
      <c r="G973" s="1618" t="str">
        <f>D973</f>
        <v>Promoção do Transporte Escolar : Docentes</v>
      </c>
      <c r="H973" s="775" t="s">
        <v>3137</v>
      </c>
      <c r="I973" s="795" t="str">
        <f>F971</f>
        <v>21</v>
      </c>
      <c r="J973" s="762" t="str">
        <f>G971</f>
        <v>GESTÃO E DESENVOLVIMENTO DO TRANSPORTE ESCOLAR DE DOCENTES</v>
      </c>
    </row>
    <row r="974" spans="2:10" ht="35.1" customHeight="1" x14ac:dyDescent="0.25">
      <c r="B974" s="1620"/>
      <c r="C974" s="1621"/>
      <c r="D974" s="1623"/>
      <c r="E974" s="1620"/>
      <c r="F974" s="1621"/>
      <c r="G974" s="1624"/>
      <c r="H974" s="776" t="s">
        <v>6941</v>
      </c>
      <c r="I974" s="796">
        <f>F973</f>
        <v>2033</v>
      </c>
      <c r="J974" s="764" t="str">
        <f>G973</f>
        <v>Promoção do Transporte Escolar : Docentes</v>
      </c>
    </row>
    <row r="975" spans="2:10" ht="35.1" customHeight="1" thickBot="1" x14ac:dyDescent="0.3">
      <c r="B975" s="769" t="s">
        <v>6939</v>
      </c>
      <c r="C975" s="1625">
        <v>80000</v>
      </c>
      <c r="D975" s="1626"/>
      <c r="E975" s="769" t="s">
        <v>6939</v>
      </c>
      <c r="F975" s="1625">
        <v>12500</v>
      </c>
      <c r="G975" s="1627"/>
      <c r="H975" s="778" t="s">
        <v>6939</v>
      </c>
      <c r="I975" s="1625">
        <f>DESPORC!I3018</f>
        <v>0.04</v>
      </c>
      <c r="J975" s="1627"/>
    </row>
    <row r="976" spans="2:10" ht="35.1" customHeight="1" x14ac:dyDescent="0.25">
      <c r="B976" s="1628" t="s">
        <v>3137</v>
      </c>
      <c r="C976" s="1615" t="str">
        <f>'[3]Anexo I - Programas'!$B$471</f>
        <v>13</v>
      </c>
      <c r="D976" s="1629" t="str">
        <f>'[3]Anexo I - Programas'!$C$471</f>
        <v>GESTÃO E DESENVOLVIMENTO DO TRANSPORTE ESCOLAR DO ENSINO FUNDAMENTAL</v>
      </c>
      <c r="E976" s="1628" t="s">
        <v>3137</v>
      </c>
      <c r="F976" s="1615" t="str">
        <f>C976</f>
        <v>13</v>
      </c>
      <c r="G976" s="1617" t="str">
        <f>D976</f>
        <v>GESTÃO E DESENVOLVIMENTO DO TRANSPORTE ESCOLAR DO ENSINO FUNDAMENTAL</v>
      </c>
      <c r="H976" s="773" t="s">
        <v>3138</v>
      </c>
      <c r="I976" s="757">
        <f>DESPORC!C3024</f>
        <v>12</v>
      </c>
      <c r="J976" s="765" t="str">
        <f>DESPORC!D3024</f>
        <v>Educação</v>
      </c>
    </row>
    <row r="977" spans="2:10" ht="35.1" customHeight="1" x14ac:dyDescent="0.25">
      <c r="B977" s="1619"/>
      <c r="C977" s="1616"/>
      <c r="D977" s="1630"/>
      <c r="E977" s="1619"/>
      <c r="F977" s="1616"/>
      <c r="G977" s="1618"/>
      <c r="H977" s="774" t="s">
        <v>6940</v>
      </c>
      <c r="I977" s="757">
        <f>DESPORC!C3025</f>
        <v>361</v>
      </c>
      <c r="J977" s="765" t="str">
        <f>DESPORC!D3025</f>
        <v>Ensino Fundamental</v>
      </c>
    </row>
    <row r="978" spans="2:10" ht="35.1" customHeight="1" x14ac:dyDescent="0.25">
      <c r="B978" s="1619" t="s">
        <v>6941</v>
      </c>
      <c r="C978" s="1616">
        <f>'[3]Anexo I - Programas'!$C$485</f>
        <v>2019</v>
      </c>
      <c r="D978" s="1622" t="str">
        <f>'[3]Anexo I - Programas'!$D$485</f>
        <v>Promoção do Transporte Escolar do Ensino Fundamental</v>
      </c>
      <c r="E978" s="1619" t="s">
        <v>6941</v>
      </c>
      <c r="F978" s="1616">
        <f>C978</f>
        <v>2019</v>
      </c>
      <c r="G978" s="1618" t="str">
        <f>D978</f>
        <v>Promoção do Transporte Escolar do Ensino Fundamental</v>
      </c>
      <c r="H978" s="775" t="s">
        <v>3137</v>
      </c>
      <c r="I978" s="795" t="str">
        <f>F976</f>
        <v>13</v>
      </c>
      <c r="J978" s="762" t="str">
        <f>G976</f>
        <v>GESTÃO E DESENVOLVIMENTO DO TRANSPORTE ESCOLAR DO ENSINO FUNDAMENTAL</v>
      </c>
    </row>
    <row r="979" spans="2:10" ht="35.1" customHeight="1" x14ac:dyDescent="0.25">
      <c r="B979" s="1620"/>
      <c r="C979" s="1621"/>
      <c r="D979" s="1623"/>
      <c r="E979" s="1620"/>
      <c r="F979" s="1621"/>
      <c r="G979" s="1624"/>
      <c r="H979" s="776" t="s">
        <v>6941</v>
      </c>
      <c r="I979" s="796">
        <f>F978</f>
        <v>2019</v>
      </c>
      <c r="J979" s="764" t="str">
        <f>G978</f>
        <v>Promoção do Transporte Escolar do Ensino Fundamental</v>
      </c>
    </row>
    <row r="980" spans="2:10" ht="35.1" customHeight="1" thickBot="1" x14ac:dyDescent="0.3">
      <c r="B980" s="769" t="s">
        <v>6939</v>
      </c>
      <c r="C980" s="1625">
        <v>4000000</v>
      </c>
      <c r="D980" s="1626"/>
      <c r="E980" s="769" t="s">
        <v>6939</v>
      </c>
      <c r="F980" s="1625">
        <v>1000000</v>
      </c>
      <c r="G980" s="1627"/>
      <c r="H980" s="778" t="s">
        <v>6939</v>
      </c>
      <c r="I980" s="1625">
        <f>DESPORC!I3027</f>
        <v>0.04</v>
      </c>
      <c r="J980" s="1627"/>
    </row>
    <row r="981" spans="2:10" ht="35.1" customHeight="1" x14ac:dyDescent="0.25">
      <c r="B981" s="1628" t="s">
        <v>3137</v>
      </c>
      <c r="C981" s="1615" t="str">
        <f>'[3]Anexo I - Programas'!$B$591</f>
        <v>18</v>
      </c>
      <c r="D981" s="1629" t="str">
        <f>'[3]Anexo I - Programas'!$C$591</f>
        <v>GESTÃO E DESENVOLVIMENTO DO TRANSPORTE DO ENSINO MÉDIO</v>
      </c>
      <c r="E981" s="1628" t="s">
        <v>3137</v>
      </c>
      <c r="F981" s="1615" t="str">
        <f>C981</f>
        <v>18</v>
      </c>
      <c r="G981" s="1617" t="str">
        <f>D981</f>
        <v>GESTÃO E DESENVOLVIMENTO DO TRANSPORTE DO ENSINO MÉDIO</v>
      </c>
      <c r="H981" s="773" t="s">
        <v>3138</v>
      </c>
      <c r="I981" s="757">
        <f>DESPORC!C3032</f>
        <v>12</v>
      </c>
      <c r="J981" s="765" t="str">
        <f>DESPORC!D3032</f>
        <v>Educação</v>
      </c>
    </row>
    <row r="982" spans="2:10" ht="35.1" customHeight="1" x14ac:dyDescent="0.25">
      <c r="B982" s="1619"/>
      <c r="C982" s="1616"/>
      <c r="D982" s="1630"/>
      <c r="E982" s="1619"/>
      <c r="F982" s="1616"/>
      <c r="G982" s="1618"/>
      <c r="H982" s="774" t="s">
        <v>6940</v>
      </c>
      <c r="I982" s="757">
        <f>DESPORC!C3033</f>
        <v>362</v>
      </c>
      <c r="J982" s="765" t="str">
        <f>DESPORC!D3033</f>
        <v>Ensino Médio</v>
      </c>
    </row>
    <row r="983" spans="2:10" ht="35.1" customHeight="1" x14ac:dyDescent="0.25">
      <c r="B983" s="1619" t="s">
        <v>6941</v>
      </c>
      <c r="C983" s="1616">
        <f>'[3]Anexo I - Programas'!$C$600</f>
        <v>2024</v>
      </c>
      <c r="D983" s="1622" t="str">
        <f>'[3]Anexo I - Programas'!$D$600</f>
        <v>Promoção do Transporte Escolar : Ensino Médio</v>
      </c>
      <c r="E983" s="1619" t="s">
        <v>6941</v>
      </c>
      <c r="F983" s="1616">
        <f>C983</f>
        <v>2024</v>
      </c>
      <c r="G983" s="1618" t="str">
        <f>D983</f>
        <v>Promoção do Transporte Escolar : Ensino Médio</v>
      </c>
      <c r="H983" s="775" t="s">
        <v>3137</v>
      </c>
      <c r="I983" s="795" t="str">
        <f>F981</f>
        <v>18</v>
      </c>
      <c r="J983" s="762" t="str">
        <f>G981</f>
        <v>GESTÃO E DESENVOLVIMENTO DO TRANSPORTE DO ENSINO MÉDIO</v>
      </c>
    </row>
    <row r="984" spans="2:10" ht="35.1" customHeight="1" x14ac:dyDescent="0.25">
      <c r="B984" s="1620"/>
      <c r="C984" s="1621"/>
      <c r="D984" s="1623"/>
      <c r="E984" s="1620"/>
      <c r="F984" s="1621"/>
      <c r="G984" s="1624"/>
      <c r="H984" s="776" t="s">
        <v>6941</v>
      </c>
      <c r="I984" s="796">
        <f>F983</f>
        <v>2024</v>
      </c>
      <c r="J984" s="764" t="str">
        <f>G983</f>
        <v>Promoção do Transporte Escolar : Ensino Médio</v>
      </c>
    </row>
    <row r="985" spans="2:10" ht="35.1" customHeight="1" thickBot="1" x14ac:dyDescent="0.3">
      <c r="B985" s="769" t="s">
        <v>6939</v>
      </c>
      <c r="C985" s="1625">
        <v>90000</v>
      </c>
      <c r="D985" s="1626"/>
      <c r="E985" s="769" t="s">
        <v>6939</v>
      </c>
      <c r="F985" s="1625">
        <v>22500</v>
      </c>
      <c r="G985" s="1627"/>
      <c r="H985" s="778" t="s">
        <v>6939</v>
      </c>
      <c r="I985" s="1625">
        <f>DESPORC!I3035</f>
        <v>172293.02000000002</v>
      </c>
      <c r="J985" s="1627"/>
    </row>
    <row r="986" spans="2:10" ht="35.1" customHeight="1" x14ac:dyDescent="0.25">
      <c r="B986" s="1628" t="s">
        <v>3137</v>
      </c>
      <c r="C986" s="1615" t="str">
        <f>'[3]Anexo I - Programas'!$B$629</f>
        <v>20</v>
      </c>
      <c r="D986" s="1629" t="str">
        <f>'[3]Anexo I - Programas'!$C$629</f>
        <v>GESTÃO E DESENVOLVIMENTO DO TRANSPORTE PARA CURSO PREVESTIBULAR</v>
      </c>
      <c r="E986" s="1628" t="s">
        <v>3137</v>
      </c>
      <c r="F986" s="1615" t="str">
        <f>C986</f>
        <v>20</v>
      </c>
      <c r="G986" s="1617" t="str">
        <f>D986</f>
        <v>GESTÃO E DESENVOLVIMENTO DO TRANSPORTE PARA CURSO PREVESTIBULAR</v>
      </c>
      <c r="H986" s="773" t="s">
        <v>3138</v>
      </c>
      <c r="I986" s="757">
        <f>DESPORC!C3038</f>
        <v>12</v>
      </c>
      <c r="J986" s="765" t="str">
        <f>DESPORC!D3038</f>
        <v>Educação</v>
      </c>
    </row>
    <row r="987" spans="2:10" ht="35.1" customHeight="1" x14ac:dyDescent="0.25">
      <c r="B987" s="1619"/>
      <c r="C987" s="1616"/>
      <c r="D987" s="1630"/>
      <c r="E987" s="1619"/>
      <c r="F987" s="1616"/>
      <c r="G987" s="1618"/>
      <c r="H987" s="774" t="s">
        <v>6940</v>
      </c>
      <c r="I987" s="757">
        <f>DESPORC!C3039</f>
        <v>362</v>
      </c>
      <c r="J987" s="765" t="str">
        <f>DESPORC!D3039</f>
        <v>Ensino Médio</v>
      </c>
    </row>
    <row r="988" spans="2:10" ht="35.1" customHeight="1" x14ac:dyDescent="0.25">
      <c r="B988" s="1619" t="s">
        <v>6941</v>
      </c>
      <c r="C988" s="1616">
        <f>'[3]Anexo I - Programas'!$C$638</f>
        <v>2026</v>
      </c>
      <c r="D988" s="1622" t="str">
        <f>'[3]Anexo I - Programas'!$D$638</f>
        <v>Promoção do Transporte Escolar  Cursos Pre Vestibular</v>
      </c>
      <c r="E988" s="1619" t="s">
        <v>6941</v>
      </c>
      <c r="F988" s="1616">
        <f>C988</f>
        <v>2026</v>
      </c>
      <c r="G988" s="1618" t="str">
        <f>D988</f>
        <v>Promoção do Transporte Escolar  Cursos Pre Vestibular</v>
      </c>
      <c r="H988" s="775" t="s">
        <v>3137</v>
      </c>
      <c r="I988" s="795" t="str">
        <f>F986</f>
        <v>20</v>
      </c>
      <c r="J988" s="762" t="str">
        <f>G986</f>
        <v>GESTÃO E DESENVOLVIMENTO DO TRANSPORTE PARA CURSO PREVESTIBULAR</v>
      </c>
    </row>
    <row r="989" spans="2:10" ht="35.1" customHeight="1" x14ac:dyDescent="0.25">
      <c r="B989" s="1620"/>
      <c r="C989" s="1621"/>
      <c r="D989" s="1623"/>
      <c r="E989" s="1620"/>
      <c r="F989" s="1621"/>
      <c r="G989" s="1624"/>
      <c r="H989" s="776" t="s">
        <v>6941</v>
      </c>
      <c r="I989" s="796">
        <f>F988</f>
        <v>2026</v>
      </c>
      <c r="J989" s="764" t="str">
        <f>G988</f>
        <v>Promoção do Transporte Escolar  Cursos Pre Vestibular</v>
      </c>
    </row>
    <row r="990" spans="2:10" ht="35.1" customHeight="1" thickBot="1" x14ac:dyDescent="0.3">
      <c r="B990" s="769" t="s">
        <v>6939</v>
      </c>
      <c r="C990" s="1625">
        <v>70000</v>
      </c>
      <c r="D990" s="1626"/>
      <c r="E990" s="769" t="s">
        <v>6939</v>
      </c>
      <c r="F990" s="1625">
        <v>17500</v>
      </c>
      <c r="G990" s="1627"/>
      <c r="H990" s="778" t="s">
        <v>6939</v>
      </c>
      <c r="I990" s="1625">
        <f>DESPORC!I3041</f>
        <v>10000.01</v>
      </c>
      <c r="J990" s="1627"/>
    </row>
    <row r="991" spans="2:10" ht="35.1" customHeight="1" x14ac:dyDescent="0.25">
      <c r="B991" s="1628" t="s">
        <v>3137</v>
      </c>
      <c r="C991" s="1615" t="str">
        <f>'[3]Anexo I - Programas'!$B$610</f>
        <v>19</v>
      </c>
      <c r="D991" s="1629" t="str">
        <f>'[3]Anexo I - Programas'!$C$610</f>
        <v>GESTÃO E DESENVOLVIMENTO DO TRANSPORTE DO ENSINO PROFISSIONALIZANTE</v>
      </c>
      <c r="E991" s="1628" t="s">
        <v>3137</v>
      </c>
      <c r="F991" s="1615" t="str">
        <f>C991</f>
        <v>19</v>
      </c>
      <c r="G991" s="1617" t="str">
        <f>D991</f>
        <v>GESTÃO E DESENVOLVIMENTO DO TRANSPORTE DO ENSINO PROFISSIONALIZANTE</v>
      </c>
      <c r="H991" s="773" t="s">
        <v>3138</v>
      </c>
      <c r="I991" s="757">
        <f>DESPORC!C3044</f>
        <v>12</v>
      </c>
      <c r="J991" s="765" t="str">
        <f>DESPORC!D3044</f>
        <v>Educação</v>
      </c>
    </row>
    <row r="992" spans="2:10" ht="35.1" customHeight="1" x14ac:dyDescent="0.25">
      <c r="B992" s="1619"/>
      <c r="C992" s="1616"/>
      <c r="D992" s="1630"/>
      <c r="E992" s="1619"/>
      <c r="F992" s="1616"/>
      <c r="G992" s="1618"/>
      <c r="H992" s="774" t="s">
        <v>6940</v>
      </c>
      <c r="I992" s="757">
        <f>DESPORC!C3045</f>
        <v>363</v>
      </c>
      <c r="J992" s="765" t="str">
        <f>DESPORC!D3045</f>
        <v>Ensino Profissional</v>
      </c>
    </row>
    <row r="993" spans="2:10" ht="35.1" customHeight="1" x14ac:dyDescent="0.25">
      <c r="B993" s="1619" t="s">
        <v>6941</v>
      </c>
      <c r="C993" s="1616">
        <f>'[3]Anexo I - Programas'!$C$619</f>
        <v>2025</v>
      </c>
      <c r="D993" s="1622" t="str">
        <f>'[3]Anexo I - Programas'!$D$619</f>
        <v>Promoção do Transporte Escolar do Ensino Profissionalizante</v>
      </c>
      <c r="E993" s="1619" t="s">
        <v>6941</v>
      </c>
      <c r="F993" s="1616">
        <f>C993</f>
        <v>2025</v>
      </c>
      <c r="G993" s="1618" t="str">
        <f>D993</f>
        <v>Promoção do Transporte Escolar do Ensino Profissionalizante</v>
      </c>
      <c r="H993" s="775" t="s">
        <v>3137</v>
      </c>
      <c r="I993" s="795" t="str">
        <f>F991</f>
        <v>19</v>
      </c>
      <c r="J993" s="762" t="str">
        <f>G991</f>
        <v>GESTÃO E DESENVOLVIMENTO DO TRANSPORTE DO ENSINO PROFISSIONALIZANTE</v>
      </c>
    </row>
    <row r="994" spans="2:10" ht="35.1" customHeight="1" x14ac:dyDescent="0.25">
      <c r="B994" s="1620"/>
      <c r="C994" s="1621"/>
      <c r="D994" s="1623"/>
      <c r="E994" s="1620"/>
      <c r="F994" s="1621"/>
      <c r="G994" s="1624"/>
      <c r="H994" s="776" t="s">
        <v>6941</v>
      </c>
      <c r="I994" s="796">
        <f>F993</f>
        <v>2025</v>
      </c>
      <c r="J994" s="764" t="str">
        <f>G993</f>
        <v>Promoção do Transporte Escolar do Ensino Profissionalizante</v>
      </c>
    </row>
    <row r="995" spans="2:10" ht="35.1" customHeight="1" thickBot="1" x14ac:dyDescent="0.3">
      <c r="B995" s="769" t="s">
        <v>6939</v>
      </c>
      <c r="C995" s="1625">
        <v>90000</v>
      </c>
      <c r="D995" s="1626"/>
      <c r="E995" s="769" t="s">
        <v>6939</v>
      </c>
      <c r="F995" s="1625">
        <v>22500</v>
      </c>
      <c r="G995" s="1627"/>
      <c r="H995" s="778" t="s">
        <v>6939</v>
      </c>
      <c r="I995" s="1625">
        <f>DESPORC!I3047</f>
        <v>20000.009999999998</v>
      </c>
      <c r="J995" s="1627"/>
    </row>
    <row r="996" spans="2:10" ht="35.1" customHeight="1" x14ac:dyDescent="0.25">
      <c r="B996" s="1628" t="s">
        <v>3137</v>
      </c>
      <c r="C996" s="1615" t="str">
        <f>'[3]Anexo I - Programas'!$B$571</f>
        <v>17</v>
      </c>
      <c r="D996" s="1629" t="str">
        <f>'[3]Anexo I - Programas'!$C$571</f>
        <v>GESTÃO E DESENVOLVIMENTO DO TRANSPORTE DO ENSINO SUPERIOR</v>
      </c>
      <c r="E996" s="1628" t="s">
        <v>3137</v>
      </c>
      <c r="F996" s="1615" t="str">
        <f>C996</f>
        <v>17</v>
      </c>
      <c r="G996" s="1617" t="str">
        <f>D996</f>
        <v>GESTÃO E DESENVOLVIMENTO DO TRANSPORTE DO ENSINO SUPERIOR</v>
      </c>
      <c r="H996" s="773" t="s">
        <v>3138</v>
      </c>
      <c r="I996" s="757">
        <f>DESPORC!C3050</f>
        <v>12</v>
      </c>
      <c r="J996" s="765" t="str">
        <f>DESPORC!D3050</f>
        <v>Educação</v>
      </c>
    </row>
    <row r="997" spans="2:10" ht="35.1" customHeight="1" x14ac:dyDescent="0.25">
      <c r="B997" s="1619"/>
      <c r="C997" s="1616"/>
      <c r="D997" s="1630"/>
      <c r="E997" s="1619"/>
      <c r="F997" s="1616"/>
      <c r="G997" s="1618"/>
      <c r="H997" s="774" t="s">
        <v>6940</v>
      </c>
      <c r="I997" s="757">
        <f>DESPORC!C3051</f>
        <v>364</v>
      </c>
      <c r="J997" s="765" t="str">
        <f>DESPORC!D3051</f>
        <v>Ensino Superior</v>
      </c>
    </row>
    <row r="998" spans="2:10" ht="35.1" customHeight="1" x14ac:dyDescent="0.25">
      <c r="B998" s="1619" t="s">
        <v>6941</v>
      </c>
      <c r="C998" s="1616">
        <f>'[3]Anexo I - Programas'!$C$580</f>
        <v>2023</v>
      </c>
      <c r="D998" s="1622" t="str">
        <f>'[3]Anexo I - Programas'!$D$580</f>
        <v>Promoção do Transporte Escolar do Ensino Superior</v>
      </c>
      <c r="E998" s="1619" t="s">
        <v>6941</v>
      </c>
      <c r="F998" s="1616">
        <f>C998</f>
        <v>2023</v>
      </c>
      <c r="G998" s="1618" t="str">
        <f>D998</f>
        <v>Promoção do Transporte Escolar do Ensino Superior</v>
      </c>
      <c r="H998" s="775" t="s">
        <v>3137</v>
      </c>
      <c r="I998" s="795" t="str">
        <f>F996</f>
        <v>17</v>
      </c>
      <c r="J998" s="762" t="str">
        <f>G996</f>
        <v>GESTÃO E DESENVOLVIMENTO DO TRANSPORTE DO ENSINO SUPERIOR</v>
      </c>
    </row>
    <row r="999" spans="2:10" ht="35.1" customHeight="1" x14ac:dyDescent="0.25">
      <c r="B999" s="1620"/>
      <c r="C999" s="1621"/>
      <c r="D999" s="1623"/>
      <c r="E999" s="1620"/>
      <c r="F999" s="1621"/>
      <c r="G999" s="1624"/>
      <c r="H999" s="776" t="s">
        <v>6941</v>
      </c>
      <c r="I999" s="796">
        <f>F998</f>
        <v>2023</v>
      </c>
      <c r="J999" s="764" t="str">
        <f>G998</f>
        <v>Promoção do Transporte Escolar do Ensino Superior</v>
      </c>
    </row>
    <row r="1000" spans="2:10" ht="35.1" customHeight="1" thickBot="1" x14ac:dyDescent="0.3">
      <c r="B1000" s="769" t="s">
        <v>6939</v>
      </c>
      <c r="C1000" s="1625">
        <v>90000</v>
      </c>
      <c r="D1000" s="1626"/>
      <c r="E1000" s="769" t="s">
        <v>6939</v>
      </c>
      <c r="F1000" s="1625">
        <v>22500</v>
      </c>
      <c r="G1000" s="1627"/>
      <c r="H1000" s="778" t="s">
        <v>6939</v>
      </c>
      <c r="I1000" s="1625">
        <f>DESPORC!I3053</f>
        <v>50000.01</v>
      </c>
      <c r="J1000" s="1627"/>
    </row>
    <row r="1001" spans="2:10" ht="35.1" customHeight="1" x14ac:dyDescent="0.25">
      <c r="B1001" s="1628" t="s">
        <v>3137</v>
      </c>
      <c r="C1001" s="1615" t="str">
        <f>'[3]Anexo I - Programas'!$B$496</f>
        <v>14</v>
      </c>
      <c r="D1001" s="1629" t="str">
        <f>'[3]Anexo I - Programas'!$C$496</f>
        <v>GESTÃO E DESENVOLVIMENTO DO TRANSPORTE ESCOLAR DA EDUCAÇÃO INFANTIL</v>
      </c>
      <c r="E1001" s="1628" t="s">
        <v>3137</v>
      </c>
      <c r="F1001" s="1615" t="str">
        <f>C1001</f>
        <v>14</v>
      </c>
      <c r="G1001" s="1617" t="str">
        <f>D1001</f>
        <v>GESTÃO E DESENVOLVIMENTO DO TRANSPORTE ESCOLAR DA EDUCAÇÃO INFANTIL</v>
      </c>
      <c r="H1001" s="773" t="s">
        <v>3138</v>
      </c>
      <c r="I1001" s="757">
        <f>DESPORC!C3056</f>
        <v>12</v>
      </c>
      <c r="J1001" s="765" t="str">
        <f>DESPORC!D3056</f>
        <v>Educação</v>
      </c>
    </row>
    <row r="1002" spans="2:10" ht="35.1" customHeight="1" x14ac:dyDescent="0.25">
      <c r="B1002" s="1619"/>
      <c r="C1002" s="1616"/>
      <c r="D1002" s="1630"/>
      <c r="E1002" s="1619"/>
      <c r="F1002" s="1616"/>
      <c r="G1002" s="1618"/>
      <c r="H1002" s="774" t="s">
        <v>6940</v>
      </c>
      <c r="I1002" s="757">
        <f>DESPORC!C3057</f>
        <v>365</v>
      </c>
      <c r="J1002" s="765" t="str">
        <f>DESPORC!D3057</f>
        <v>Educação Infantil</v>
      </c>
    </row>
    <row r="1003" spans="2:10" ht="35.1" customHeight="1" x14ac:dyDescent="0.25">
      <c r="B1003" s="1619" t="s">
        <v>6941</v>
      </c>
      <c r="C1003" s="1616">
        <f>'[3]Anexo I - Programas'!$C$510</f>
        <v>2020</v>
      </c>
      <c r="D1003" s="1622" t="str">
        <f>'[3]Anexo I - Programas'!$D$510</f>
        <v>Promoção do Transporte Escolar da Educação Infantil</v>
      </c>
      <c r="E1003" s="1619" t="s">
        <v>6941</v>
      </c>
      <c r="F1003" s="1616">
        <f>C1003</f>
        <v>2020</v>
      </c>
      <c r="G1003" s="1618" t="str">
        <f>D1003</f>
        <v>Promoção do Transporte Escolar da Educação Infantil</v>
      </c>
      <c r="H1003" s="775" t="s">
        <v>3137</v>
      </c>
      <c r="I1003" s="795" t="str">
        <f>F1001</f>
        <v>14</v>
      </c>
      <c r="J1003" s="762" t="str">
        <f>G1001</f>
        <v>GESTÃO E DESENVOLVIMENTO DO TRANSPORTE ESCOLAR DA EDUCAÇÃO INFANTIL</v>
      </c>
    </row>
    <row r="1004" spans="2:10" ht="35.1" customHeight="1" x14ac:dyDescent="0.25">
      <c r="B1004" s="1620"/>
      <c r="C1004" s="1621"/>
      <c r="D1004" s="1623"/>
      <c r="E1004" s="1620"/>
      <c r="F1004" s="1621"/>
      <c r="G1004" s="1624"/>
      <c r="H1004" s="776" t="s">
        <v>6941</v>
      </c>
      <c r="I1004" s="796">
        <f>F1003</f>
        <v>2020</v>
      </c>
      <c r="J1004" s="764" t="str">
        <f>G1003</f>
        <v>Promoção do Transporte Escolar da Educação Infantil</v>
      </c>
    </row>
    <row r="1005" spans="2:10" ht="35.1" customHeight="1" thickBot="1" x14ac:dyDescent="0.3">
      <c r="B1005" s="769" t="s">
        <v>6939</v>
      </c>
      <c r="C1005" s="1625">
        <v>500000</v>
      </c>
      <c r="D1005" s="1626"/>
      <c r="E1005" s="769" t="s">
        <v>6939</v>
      </c>
      <c r="F1005" s="1625">
        <v>125000</v>
      </c>
      <c r="G1005" s="1627"/>
      <c r="H1005" s="778" t="s">
        <v>6939</v>
      </c>
      <c r="I1005" s="1625">
        <f>DESPORC!I3059</f>
        <v>0.04</v>
      </c>
      <c r="J1005" s="1627"/>
    </row>
    <row r="1006" spans="2:10" ht="35.1" customHeight="1" x14ac:dyDescent="0.25">
      <c r="B1006" s="1628" t="s">
        <v>3137</v>
      </c>
      <c r="C1006" s="1615" t="str">
        <f>'[3]Anexo I - Programas'!$B$545</f>
        <v>16</v>
      </c>
      <c r="D1006" s="1629" t="str">
        <f>'[3]Anexo I - Programas'!$C$545</f>
        <v>GESTÃO E DESENVOLVIMENTO DO TRANSPORTE DA EDUCAÇÃO DE JOVENS E ADULTOS</v>
      </c>
      <c r="E1006" s="1628" t="s">
        <v>3137</v>
      </c>
      <c r="F1006" s="1615" t="str">
        <f>C1006</f>
        <v>16</v>
      </c>
      <c r="G1006" s="1617" t="str">
        <f>D1006</f>
        <v>GESTÃO E DESENVOLVIMENTO DO TRANSPORTE DA EDUCAÇÃO DE JOVENS E ADULTOS</v>
      </c>
      <c r="H1006" s="773" t="s">
        <v>3138</v>
      </c>
      <c r="I1006" s="757">
        <f>DESPORC!C3064</f>
        <v>12</v>
      </c>
      <c r="J1006" s="765" t="str">
        <f>DESPORC!D3064</f>
        <v>Educação</v>
      </c>
    </row>
    <row r="1007" spans="2:10" ht="35.1" customHeight="1" x14ac:dyDescent="0.25">
      <c r="B1007" s="1619"/>
      <c r="C1007" s="1616"/>
      <c r="D1007" s="1630"/>
      <c r="E1007" s="1619"/>
      <c r="F1007" s="1616"/>
      <c r="G1007" s="1618"/>
      <c r="H1007" s="774" t="s">
        <v>6940</v>
      </c>
      <c r="I1007" s="757">
        <f>DESPORC!C3065</f>
        <v>366</v>
      </c>
      <c r="J1007" s="765" t="str">
        <f>DESPORC!D3065</f>
        <v>Educação de Jovens e Adultos</v>
      </c>
    </row>
    <row r="1008" spans="2:10" ht="35.1" customHeight="1" x14ac:dyDescent="0.25">
      <c r="B1008" s="1619" t="s">
        <v>6941</v>
      </c>
      <c r="C1008" s="1616">
        <f>'[3]Anexo I - Programas'!$C$559</f>
        <v>2022</v>
      </c>
      <c r="D1008" s="1622" t="str">
        <f>'[3]Anexo I - Programas'!$D$559</f>
        <v>Promoção do Transporte Escolar da Educação de Jovens e Adultos</v>
      </c>
      <c r="E1008" s="1619" t="s">
        <v>6941</v>
      </c>
      <c r="F1008" s="1616">
        <f>C1008</f>
        <v>2022</v>
      </c>
      <c r="G1008" s="1618" t="str">
        <f>D1008</f>
        <v>Promoção do Transporte Escolar da Educação de Jovens e Adultos</v>
      </c>
      <c r="H1008" s="775" t="s">
        <v>3137</v>
      </c>
      <c r="I1008" s="795" t="str">
        <f>F1006</f>
        <v>16</v>
      </c>
      <c r="J1008" s="762" t="str">
        <f>G1006</f>
        <v>GESTÃO E DESENVOLVIMENTO DO TRANSPORTE DA EDUCAÇÃO DE JOVENS E ADULTOS</v>
      </c>
    </row>
    <row r="1009" spans="2:10" ht="35.1" customHeight="1" x14ac:dyDescent="0.25">
      <c r="B1009" s="1620"/>
      <c r="C1009" s="1621"/>
      <c r="D1009" s="1623"/>
      <c r="E1009" s="1620"/>
      <c r="F1009" s="1621"/>
      <c r="G1009" s="1624"/>
      <c r="H1009" s="776" t="s">
        <v>6941</v>
      </c>
      <c r="I1009" s="796">
        <f>F1008</f>
        <v>2022</v>
      </c>
      <c r="J1009" s="764" t="str">
        <f>G1008</f>
        <v>Promoção do Transporte Escolar da Educação de Jovens e Adultos</v>
      </c>
    </row>
    <row r="1010" spans="2:10" ht="35.1" customHeight="1" thickBot="1" x14ac:dyDescent="0.3">
      <c r="B1010" s="769" t="s">
        <v>6939</v>
      </c>
      <c r="C1010" s="1625">
        <v>150000</v>
      </c>
      <c r="D1010" s="1626"/>
      <c r="E1010" s="769" t="s">
        <v>6939</v>
      </c>
      <c r="F1010" s="1625">
        <v>37500</v>
      </c>
      <c r="G1010" s="1627"/>
      <c r="H1010" s="778" t="s">
        <v>6939</v>
      </c>
      <c r="I1010" s="1625">
        <f>DESPORC!I3067</f>
        <v>0.04</v>
      </c>
      <c r="J1010" s="1627"/>
    </row>
    <row r="1011" spans="2:10" ht="35.1" customHeight="1" x14ac:dyDescent="0.25">
      <c r="B1011" s="1628" t="s">
        <v>3137</v>
      </c>
      <c r="C1011" s="1615" t="str">
        <f>'[3]Anexo I - Programas'!$B$520</f>
        <v>15</v>
      </c>
      <c r="D1011" s="1629" t="str">
        <f>'[3]Anexo I - Programas'!$C$520</f>
        <v>GESTÃO E DESENVOLVIMENTO DO TRANSPORTE ESCOLAR DA EDUCAÇÃO ESPECIAL</v>
      </c>
      <c r="E1011" s="1628" t="s">
        <v>3137</v>
      </c>
      <c r="F1011" s="1615" t="str">
        <f>C1011</f>
        <v>15</v>
      </c>
      <c r="G1011" s="1617" t="str">
        <f>D1011</f>
        <v>GESTÃO E DESENVOLVIMENTO DO TRANSPORTE ESCOLAR DA EDUCAÇÃO ESPECIAL</v>
      </c>
      <c r="H1011" s="773" t="s">
        <v>3138</v>
      </c>
      <c r="I1011" s="757">
        <f>DESPORC!C3072</f>
        <v>12</v>
      </c>
      <c r="J1011" s="765" t="str">
        <f>DESPORC!D3072</f>
        <v>Educação</v>
      </c>
    </row>
    <row r="1012" spans="2:10" ht="35.1" customHeight="1" x14ac:dyDescent="0.25">
      <c r="B1012" s="1619"/>
      <c r="C1012" s="1616"/>
      <c r="D1012" s="1630"/>
      <c r="E1012" s="1619"/>
      <c r="F1012" s="1616"/>
      <c r="G1012" s="1618"/>
      <c r="H1012" s="774" t="s">
        <v>6940</v>
      </c>
      <c r="I1012" s="757">
        <f>DESPORC!C3073</f>
        <v>367</v>
      </c>
      <c r="J1012" s="765" t="str">
        <f>DESPORC!D3073</f>
        <v>Educação Especial</v>
      </c>
    </row>
    <row r="1013" spans="2:10" ht="35.1" customHeight="1" x14ac:dyDescent="0.25">
      <c r="B1013" s="1619" t="s">
        <v>6941</v>
      </c>
      <c r="C1013" s="1616">
        <f>'[3]Anexo I - Programas'!$C$534</f>
        <v>2021</v>
      </c>
      <c r="D1013" s="1622" t="str">
        <f>'[3]Anexo I - Programas'!$D$534</f>
        <v>Promoção do Transporte Escolar da Educação Especial</v>
      </c>
      <c r="E1013" s="1619" t="s">
        <v>6941</v>
      </c>
      <c r="F1013" s="1616">
        <f>C1013</f>
        <v>2021</v>
      </c>
      <c r="G1013" s="1618" t="str">
        <f>D1013</f>
        <v>Promoção do Transporte Escolar da Educação Especial</v>
      </c>
      <c r="H1013" s="775" t="s">
        <v>3137</v>
      </c>
      <c r="I1013" s="795" t="str">
        <f>F1011</f>
        <v>15</v>
      </c>
      <c r="J1013" s="762" t="str">
        <f>G1011</f>
        <v>GESTÃO E DESENVOLVIMENTO DO TRANSPORTE ESCOLAR DA EDUCAÇÃO ESPECIAL</v>
      </c>
    </row>
    <row r="1014" spans="2:10" ht="35.1" customHeight="1" x14ac:dyDescent="0.25">
      <c r="B1014" s="1620"/>
      <c r="C1014" s="1621"/>
      <c r="D1014" s="1623"/>
      <c r="E1014" s="1620"/>
      <c r="F1014" s="1621"/>
      <c r="G1014" s="1624"/>
      <c r="H1014" s="776" t="s">
        <v>6941</v>
      </c>
      <c r="I1014" s="796">
        <f>F1013</f>
        <v>2021</v>
      </c>
      <c r="J1014" s="764" t="str">
        <f>G1013</f>
        <v>Promoção do Transporte Escolar da Educação Especial</v>
      </c>
    </row>
    <row r="1015" spans="2:10" ht="35.1" customHeight="1" thickBot="1" x14ac:dyDescent="0.3">
      <c r="B1015" s="769" t="s">
        <v>6939</v>
      </c>
      <c r="C1015" s="1625">
        <v>200000</v>
      </c>
      <c r="D1015" s="1626"/>
      <c r="E1015" s="769" t="s">
        <v>6939</v>
      </c>
      <c r="F1015" s="1625">
        <v>50000</v>
      </c>
      <c r="G1015" s="1627"/>
      <c r="H1015" s="778" t="s">
        <v>6939</v>
      </c>
      <c r="I1015" s="1625">
        <f>DESPORC!I3075</f>
        <v>0.04</v>
      </c>
      <c r="J1015" s="1627"/>
    </row>
    <row r="1016" spans="2:10" ht="35.1" customHeight="1" x14ac:dyDescent="0.25">
      <c r="J1016" s="15"/>
    </row>
    <row r="1017" spans="2:10" ht="35.1" customHeight="1" x14ac:dyDescent="0.25">
      <c r="B1017" s="1631" t="s">
        <v>6927</v>
      </c>
      <c r="C1017" s="1631"/>
      <c r="D1017" s="755" t="str">
        <f>DESPORC!C3086</f>
        <v>04 - SECRETARIA MUNICIPAL DE SAÚDE</v>
      </c>
      <c r="E1017" s="797"/>
      <c r="F1017" s="798"/>
      <c r="G1017" s="798"/>
      <c r="H1017" s="797"/>
      <c r="I1017" s="798"/>
      <c r="J1017" s="798"/>
    </row>
    <row r="1018" spans="2:10" ht="35.1" customHeight="1" thickBot="1" x14ac:dyDescent="0.3">
      <c r="B1018" s="1632" t="s">
        <v>3087</v>
      </c>
      <c r="C1018" s="1632"/>
      <c r="D1018" s="755" t="str">
        <f>DESPORC!C3087</f>
        <v>01 - GESTÃO, COORDENAÇÃO E PLANEJAMENTO ADMINISTRATIVO</v>
      </c>
      <c r="E1018" s="797"/>
      <c r="F1018" s="36"/>
      <c r="G1018" s="1"/>
      <c r="H1018" s="772"/>
      <c r="I1018" s="1"/>
      <c r="J1018" s="1"/>
    </row>
    <row r="1019" spans="2:10" ht="35.1" customHeight="1" thickBot="1" x14ac:dyDescent="0.3">
      <c r="B1019" s="1776" t="s">
        <v>6955</v>
      </c>
      <c r="C1019" s="1777"/>
      <c r="D1019" s="1778"/>
      <c r="E1019" s="1776" t="str">
        <f>E$12</f>
        <v>PRIORIDADES LDO LEI MUNICIPAL N.º 1215  DE 02 DE OUTUBRO DE 2019.</v>
      </c>
      <c r="F1019" s="1777"/>
      <c r="G1019" s="1778"/>
      <c r="H1019" s="1779" t="s">
        <v>6956</v>
      </c>
      <c r="I1019" s="1780"/>
      <c r="J1019" s="1781"/>
    </row>
    <row r="1020" spans="2:10" ht="35.1" customHeight="1" x14ac:dyDescent="0.25">
      <c r="B1020" s="1628" t="s">
        <v>3137</v>
      </c>
      <c r="C1020" s="1615" t="str">
        <f>'[3]Anexo I - Programas'!$B$722</f>
        <v>100</v>
      </c>
      <c r="D1020" s="1629" t="str">
        <f>'[3]Anexo I - Programas'!$C$722</f>
        <v>ATENÇÃO A SAÚDE EM DEFESA DA VIDA</v>
      </c>
      <c r="E1020" s="1628" t="s">
        <v>3137</v>
      </c>
      <c r="F1020" s="1615" t="str">
        <f>C1020</f>
        <v>100</v>
      </c>
      <c r="G1020" s="1617" t="str">
        <f>D1020</f>
        <v>ATENÇÃO A SAÚDE EM DEFESA DA VIDA</v>
      </c>
      <c r="H1020" s="773" t="s">
        <v>3138</v>
      </c>
      <c r="I1020" s="757">
        <f>DESPORC!C3089</f>
        <v>10</v>
      </c>
      <c r="J1020" s="765" t="str">
        <f>DESPORC!D3089</f>
        <v>Saúde</v>
      </c>
    </row>
    <row r="1021" spans="2:10" ht="35.1" customHeight="1" x14ac:dyDescent="0.25">
      <c r="B1021" s="1619"/>
      <c r="C1021" s="1616"/>
      <c r="D1021" s="1630"/>
      <c r="E1021" s="1619"/>
      <c r="F1021" s="1616"/>
      <c r="G1021" s="1618"/>
      <c r="H1021" s="774" t="s">
        <v>6940</v>
      </c>
      <c r="I1021" s="757">
        <f>DESPORC!C3090</f>
        <v>122</v>
      </c>
      <c r="J1021" s="765" t="str">
        <f>DESPORC!D3090</f>
        <v>Administração Geral</v>
      </c>
    </row>
    <row r="1022" spans="2:10" ht="35.1" customHeight="1" x14ac:dyDescent="0.25">
      <c r="B1022" s="1619" t="s">
        <v>6941</v>
      </c>
      <c r="C1022" s="1616">
        <f>'[3]Anexo I - Programas'!$C$736</f>
        <v>1019</v>
      </c>
      <c r="D1022" s="1622" t="str">
        <f>'[3]Anexo I - Programas'!$D$736</f>
        <v>Novos Investimentos para Gestão de Serviços de Saúde</v>
      </c>
      <c r="E1022" s="1619" t="s">
        <v>6941</v>
      </c>
      <c r="F1022" s="1616">
        <f>C1022</f>
        <v>1019</v>
      </c>
      <c r="G1022" s="1618" t="str">
        <f>D1022</f>
        <v>Novos Investimentos para Gestão de Serviços de Saúde</v>
      </c>
      <c r="H1022" s="775" t="s">
        <v>3137</v>
      </c>
      <c r="I1022" s="795" t="str">
        <f>F1020</f>
        <v>100</v>
      </c>
      <c r="J1022" s="762" t="str">
        <f>G1020</f>
        <v>ATENÇÃO A SAÚDE EM DEFESA DA VIDA</v>
      </c>
    </row>
    <row r="1023" spans="2:10" ht="35.1" customHeight="1" x14ac:dyDescent="0.25">
      <c r="B1023" s="1620"/>
      <c r="C1023" s="1621"/>
      <c r="D1023" s="1623"/>
      <c r="E1023" s="1620"/>
      <c r="F1023" s="1621"/>
      <c r="G1023" s="1624"/>
      <c r="H1023" s="776" t="s">
        <v>6941</v>
      </c>
      <c r="I1023" s="796">
        <f>F1022</f>
        <v>1019</v>
      </c>
      <c r="J1023" s="764" t="str">
        <f>G1022</f>
        <v>Novos Investimentos para Gestão de Serviços de Saúde</v>
      </c>
    </row>
    <row r="1024" spans="2:10" ht="35.1" customHeight="1" thickBot="1" x14ac:dyDescent="0.3">
      <c r="B1024" s="769" t="s">
        <v>6939</v>
      </c>
      <c r="C1024" s="1625">
        <v>300000</v>
      </c>
      <c r="D1024" s="1626"/>
      <c r="E1024" s="769" t="s">
        <v>6939</v>
      </c>
      <c r="F1024" s="1625">
        <f>'[3]Anexo I - Programas'!$J$737</f>
        <v>75000</v>
      </c>
      <c r="G1024" s="1627"/>
      <c r="H1024" s="778" t="s">
        <v>6939</v>
      </c>
      <c r="I1024" s="1625">
        <f>DESPORC!I3092</f>
        <v>6.0000000000000005E-2</v>
      </c>
      <c r="J1024" s="1627"/>
    </row>
    <row r="1025" spans="2:10" ht="35.1" customHeight="1" x14ac:dyDescent="0.25">
      <c r="B1025" s="1628" t="s">
        <v>3137</v>
      </c>
      <c r="C1025" s="1615" t="str">
        <f>'[3]Anexo I - Programas'!$B$722</f>
        <v>100</v>
      </c>
      <c r="D1025" s="1629" t="str">
        <f>'[3]Anexo I - Programas'!$C$722</f>
        <v>ATENÇÃO A SAÚDE EM DEFESA DA VIDA</v>
      </c>
      <c r="E1025" s="1628" t="s">
        <v>3137</v>
      </c>
      <c r="F1025" s="1615" t="str">
        <f>C1025</f>
        <v>100</v>
      </c>
      <c r="G1025" s="1617" t="str">
        <f>D1025</f>
        <v>ATENÇÃO A SAÚDE EM DEFESA DA VIDA</v>
      </c>
      <c r="H1025" s="773" t="s">
        <v>3138</v>
      </c>
      <c r="I1025" s="757">
        <f>DESPORC!C3099</f>
        <v>10</v>
      </c>
      <c r="J1025" s="765" t="str">
        <f>DESPORC!D3099</f>
        <v>Saúde</v>
      </c>
    </row>
    <row r="1026" spans="2:10" ht="35.1" customHeight="1" x14ac:dyDescent="0.25">
      <c r="B1026" s="1619"/>
      <c r="C1026" s="1616"/>
      <c r="D1026" s="1630"/>
      <c r="E1026" s="1619"/>
      <c r="F1026" s="1616"/>
      <c r="G1026" s="1618"/>
      <c r="H1026" s="774" t="s">
        <v>6940</v>
      </c>
      <c r="I1026" s="757">
        <f>DESPORC!C3100</f>
        <v>122</v>
      </c>
      <c r="J1026" s="765" t="str">
        <f>DESPORC!D3100</f>
        <v>Administração Geral</v>
      </c>
    </row>
    <row r="1027" spans="2:10" ht="35.1" customHeight="1" x14ac:dyDescent="0.25">
      <c r="B1027" s="1619" t="s">
        <v>6941</v>
      </c>
      <c r="C1027" s="1616">
        <f>'[3]Anexo I - Programas'!$C$762</f>
        <v>2028</v>
      </c>
      <c r="D1027" s="1622" t="str">
        <f>'[3]Anexo I - Programas'!$D$762</f>
        <v>Gestão Administrativa, Coordenação e Planejamento</v>
      </c>
      <c r="E1027" s="1619" t="s">
        <v>6941</v>
      </c>
      <c r="F1027" s="1616">
        <f>C1027</f>
        <v>2028</v>
      </c>
      <c r="G1027" s="1618" t="str">
        <f>D1027</f>
        <v>Gestão Administrativa, Coordenação e Planejamento</v>
      </c>
      <c r="H1027" s="775" t="s">
        <v>3137</v>
      </c>
      <c r="I1027" s="795" t="str">
        <f>F1025</f>
        <v>100</v>
      </c>
      <c r="J1027" s="762" t="str">
        <f>G1025</f>
        <v>ATENÇÃO A SAÚDE EM DEFESA DA VIDA</v>
      </c>
    </row>
    <row r="1028" spans="2:10" ht="35.1" customHeight="1" x14ac:dyDescent="0.25">
      <c r="B1028" s="1620"/>
      <c r="C1028" s="1621"/>
      <c r="D1028" s="1623"/>
      <c r="E1028" s="1620"/>
      <c r="F1028" s="1621"/>
      <c r="G1028" s="1624"/>
      <c r="H1028" s="776" t="s">
        <v>6941</v>
      </c>
      <c r="I1028" s="796">
        <f>F1027</f>
        <v>2028</v>
      </c>
      <c r="J1028" s="764" t="str">
        <f>G1027</f>
        <v>Gestão Administrativa, Coordenação e Planejamento</v>
      </c>
    </row>
    <row r="1029" spans="2:10" ht="35.1" customHeight="1" thickBot="1" x14ac:dyDescent="0.3">
      <c r="B1029" s="769" t="s">
        <v>6939</v>
      </c>
      <c r="C1029" s="1787">
        <v>3000000</v>
      </c>
      <c r="D1029" s="1788"/>
      <c r="E1029" s="769" t="s">
        <v>6939</v>
      </c>
      <c r="F1029" s="1787">
        <v>750000</v>
      </c>
      <c r="G1029" s="1788"/>
      <c r="H1029" s="778" t="s">
        <v>6939</v>
      </c>
      <c r="I1029" s="1625">
        <f>DESPORC!I3102</f>
        <v>485124.7404310616</v>
      </c>
      <c r="J1029" s="1627"/>
    </row>
    <row r="1030" spans="2:10" ht="35.1" customHeight="1" x14ac:dyDescent="0.25">
      <c r="B1030" s="1628" t="s">
        <v>3137</v>
      </c>
      <c r="C1030" s="1615" t="str">
        <f>'[3]Anexo I - Programas'!$B$722</f>
        <v>100</v>
      </c>
      <c r="D1030" s="1629" t="str">
        <f>'[3]Anexo I - Programas'!$C$722</f>
        <v>ATENÇÃO A SAÚDE EM DEFESA DA VIDA</v>
      </c>
      <c r="E1030" s="1628" t="s">
        <v>3137</v>
      </c>
      <c r="F1030" s="1615" t="str">
        <f>C1030</f>
        <v>100</v>
      </c>
      <c r="G1030" s="1617" t="str">
        <f>D1030</f>
        <v>ATENÇÃO A SAÚDE EM DEFESA DA VIDA</v>
      </c>
      <c r="H1030" s="773" t="s">
        <v>3138</v>
      </c>
      <c r="I1030" s="757">
        <f>DESPORC!C3124</f>
        <v>10</v>
      </c>
      <c r="J1030" s="765" t="str">
        <f>DESPORC!D3124</f>
        <v>Saúde</v>
      </c>
    </row>
    <row r="1031" spans="2:10" ht="35.1" customHeight="1" x14ac:dyDescent="0.25">
      <c r="B1031" s="1619"/>
      <c r="C1031" s="1616"/>
      <c r="D1031" s="1630"/>
      <c r="E1031" s="1619"/>
      <c r="F1031" s="1616"/>
      <c r="G1031" s="1618"/>
      <c r="H1031" s="774" t="s">
        <v>6940</v>
      </c>
      <c r="I1031" s="757">
        <f>DESPORC!C3125</f>
        <v>126</v>
      </c>
      <c r="J1031" s="765" t="str">
        <f>DESPORC!D3125</f>
        <v>Tecnologia da Informação</v>
      </c>
    </row>
    <row r="1032" spans="2:10" ht="35.1" customHeight="1" x14ac:dyDescent="0.25">
      <c r="B1032" s="1619" t="s">
        <v>6941</v>
      </c>
      <c r="C1032" s="1616">
        <f>'[3]Anexo I - Programas'!$C$762</f>
        <v>2028</v>
      </c>
      <c r="D1032" s="1622" t="str">
        <f>'[3]Anexo I - Programas'!$D$762</f>
        <v>Gestão Administrativa, Coordenação e Planejamento</v>
      </c>
      <c r="E1032" s="1619" t="s">
        <v>6941</v>
      </c>
      <c r="F1032" s="1616">
        <f>C1032</f>
        <v>2028</v>
      </c>
      <c r="G1032" s="1618" t="str">
        <f>D1032</f>
        <v>Gestão Administrativa, Coordenação e Planejamento</v>
      </c>
      <c r="H1032" s="775" t="s">
        <v>3137</v>
      </c>
      <c r="I1032" s="795" t="str">
        <f>F1030</f>
        <v>100</v>
      </c>
      <c r="J1032" s="762" t="str">
        <f>G1030</f>
        <v>ATENÇÃO A SAÚDE EM DEFESA DA VIDA</v>
      </c>
    </row>
    <row r="1033" spans="2:10" ht="35.1" customHeight="1" x14ac:dyDescent="0.25">
      <c r="B1033" s="1620"/>
      <c r="C1033" s="1621"/>
      <c r="D1033" s="1623"/>
      <c r="E1033" s="1620"/>
      <c r="F1033" s="1621"/>
      <c r="G1033" s="1624"/>
      <c r="H1033" s="776" t="s">
        <v>6941</v>
      </c>
      <c r="I1033" s="796">
        <f>F1032</f>
        <v>2028</v>
      </c>
      <c r="J1033" s="764" t="str">
        <f>G1032</f>
        <v>Gestão Administrativa, Coordenação e Planejamento</v>
      </c>
    </row>
    <row r="1034" spans="2:10" ht="35.1" customHeight="1" thickBot="1" x14ac:dyDescent="0.3">
      <c r="B1034" s="769" t="s">
        <v>6939</v>
      </c>
      <c r="C1034" s="1787">
        <v>3000000</v>
      </c>
      <c r="D1034" s="1788"/>
      <c r="E1034" s="769" t="s">
        <v>6939</v>
      </c>
      <c r="F1034" s="1787">
        <v>750000</v>
      </c>
      <c r="G1034" s="1788"/>
      <c r="H1034" s="778" t="s">
        <v>6939</v>
      </c>
      <c r="I1034" s="1625">
        <f>DESPORC!I3127</f>
        <v>16121.108647822497</v>
      </c>
      <c r="J1034" s="1627"/>
    </row>
    <row r="1035" spans="2:10" ht="35.1" customHeight="1" x14ac:dyDescent="0.25">
      <c r="B1035" s="1628" t="s">
        <v>3137</v>
      </c>
      <c r="C1035" s="1615" t="str">
        <f>'[3]Anexo I - Programas'!$B$722</f>
        <v>100</v>
      </c>
      <c r="D1035" s="1629" t="str">
        <f>'[3]Anexo I - Programas'!$C$722</f>
        <v>ATENÇÃO A SAÚDE EM DEFESA DA VIDA</v>
      </c>
      <c r="E1035" s="1628" t="s">
        <v>3137</v>
      </c>
      <c r="F1035" s="1615" t="str">
        <f>C1035</f>
        <v>100</v>
      </c>
      <c r="G1035" s="1617" t="str">
        <f>D1035</f>
        <v>ATENÇÃO A SAÚDE EM DEFESA DA VIDA</v>
      </c>
      <c r="H1035" s="773" t="s">
        <v>3138</v>
      </c>
      <c r="I1035" s="757">
        <f>DESPORC!C3129</f>
        <v>10</v>
      </c>
      <c r="J1035" s="765" t="str">
        <f>DESPORC!D3129</f>
        <v>Saúde</v>
      </c>
    </row>
    <row r="1036" spans="2:10" ht="35.1" customHeight="1" x14ac:dyDescent="0.25">
      <c r="B1036" s="1619"/>
      <c r="C1036" s="1616"/>
      <c r="D1036" s="1630"/>
      <c r="E1036" s="1619"/>
      <c r="F1036" s="1616"/>
      <c r="G1036" s="1618"/>
      <c r="H1036" s="774" t="s">
        <v>6940</v>
      </c>
      <c r="I1036" s="757">
        <f>DESPORC!C3130</f>
        <v>128</v>
      </c>
      <c r="J1036" s="765" t="str">
        <f>DESPORC!D3130</f>
        <v>Formação de Recursos Humanos</v>
      </c>
    </row>
    <row r="1037" spans="2:10" ht="35.1" customHeight="1" x14ac:dyDescent="0.25">
      <c r="B1037" s="1619" t="s">
        <v>6941</v>
      </c>
      <c r="C1037" s="1616">
        <f>'[3]Anexo I - Programas'!$C$762</f>
        <v>2028</v>
      </c>
      <c r="D1037" s="1622" t="str">
        <f>'[3]Anexo I - Programas'!$D$762</f>
        <v>Gestão Administrativa, Coordenação e Planejamento</v>
      </c>
      <c r="E1037" s="1619" t="s">
        <v>6941</v>
      </c>
      <c r="F1037" s="1616">
        <f>C1037</f>
        <v>2028</v>
      </c>
      <c r="G1037" s="1618" t="str">
        <f>D1037</f>
        <v>Gestão Administrativa, Coordenação e Planejamento</v>
      </c>
      <c r="H1037" s="775" t="s">
        <v>3137</v>
      </c>
      <c r="I1037" s="795" t="str">
        <f>F1035</f>
        <v>100</v>
      </c>
      <c r="J1037" s="762" t="str">
        <f>G1035</f>
        <v>ATENÇÃO A SAÚDE EM DEFESA DA VIDA</v>
      </c>
    </row>
    <row r="1038" spans="2:10" ht="35.1" customHeight="1" x14ac:dyDescent="0.25">
      <c r="B1038" s="1620"/>
      <c r="C1038" s="1621"/>
      <c r="D1038" s="1623"/>
      <c r="E1038" s="1620"/>
      <c r="F1038" s="1621"/>
      <c r="G1038" s="1624"/>
      <c r="H1038" s="776" t="s">
        <v>6941</v>
      </c>
      <c r="I1038" s="796">
        <f>F1037</f>
        <v>2028</v>
      </c>
      <c r="J1038" s="764" t="str">
        <f>G1037</f>
        <v>Gestão Administrativa, Coordenação e Planejamento</v>
      </c>
    </row>
    <row r="1039" spans="2:10" ht="35.1" customHeight="1" thickBot="1" x14ac:dyDescent="0.3">
      <c r="B1039" s="769" t="s">
        <v>6939</v>
      </c>
      <c r="C1039" s="1787">
        <v>3000000</v>
      </c>
      <c r="D1039" s="1788"/>
      <c r="E1039" s="769" t="s">
        <v>6939</v>
      </c>
      <c r="F1039" s="1787">
        <v>750000</v>
      </c>
      <c r="G1039" s="1788"/>
      <c r="H1039" s="778" t="s">
        <v>6939</v>
      </c>
      <c r="I1039" s="1625">
        <f>DESPORC!I3132</f>
        <v>2743.3726968060005</v>
      </c>
      <c r="J1039" s="1627"/>
    </row>
    <row r="1040" spans="2:10" ht="35.1" customHeight="1" x14ac:dyDescent="0.25">
      <c r="B1040" s="1628" t="s">
        <v>3137</v>
      </c>
      <c r="C1040" s="1615" t="str">
        <f>'[3]Anexo I - Programas'!$B$722</f>
        <v>100</v>
      </c>
      <c r="D1040" s="1629" t="str">
        <f>'[3]Anexo I - Programas'!$C$722</f>
        <v>ATENÇÃO A SAÚDE EM DEFESA DA VIDA</v>
      </c>
      <c r="E1040" s="1628" t="s">
        <v>3137</v>
      </c>
      <c r="F1040" s="1615" t="str">
        <f>C1040</f>
        <v>100</v>
      </c>
      <c r="G1040" s="1617" t="str">
        <f>D1040</f>
        <v>ATENÇÃO A SAÚDE EM DEFESA DA VIDA</v>
      </c>
      <c r="H1040" s="773" t="s">
        <v>3138</v>
      </c>
      <c r="I1040" s="757">
        <f>DESPORC!C3138</f>
        <v>10</v>
      </c>
      <c r="J1040" s="765" t="str">
        <f>DESPORC!D3138</f>
        <v>Saúde</v>
      </c>
    </row>
    <row r="1041" spans="2:10" ht="35.1" customHeight="1" x14ac:dyDescent="0.25">
      <c r="B1041" s="1619"/>
      <c r="C1041" s="1616"/>
      <c r="D1041" s="1630"/>
      <c r="E1041" s="1619"/>
      <c r="F1041" s="1616"/>
      <c r="G1041" s="1618"/>
      <c r="H1041" s="774" t="s">
        <v>6940</v>
      </c>
      <c r="I1041" s="757">
        <f>DESPORC!C3139</f>
        <v>122</v>
      </c>
      <c r="J1041" s="765" t="str">
        <f>DESPORC!D3139</f>
        <v>Administração Geral</v>
      </c>
    </row>
    <row r="1042" spans="2:10" ht="35.1" customHeight="1" x14ac:dyDescent="0.25">
      <c r="B1042" s="1619" t="s">
        <v>6941</v>
      </c>
      <c r="C1042" s="1616">
        <f>'[3]Anexo I - Programas'!$C$792</f>
        <v>2045</v>
      </c>
      <c r="D1042" s="1622" t="str">
        <f>'[3]Anexo I - Programas'!$D$792</f>
        <v>Gestão do Conselho Municipal de Saúde</v>
      </c>
      <c r="E1042" s="1619" t="s">
        <v>6941</v>
      </c>
      <c r="F1042" s="1616">
        <f>C1042</f>
        <v>2045</v>
      </c>
      <c r="G1042" s="1618" t="str">
        <f>D1042</f>
        <v>Gestão do Conselho Municipal de Saúde</v>
      </c>
      <c r="H1042" s="775" t="s">
        <v>3137</v>
      </c>
      <c r="I1042" s="795" t="str">
        <f>F1040</f>
        <v>100</v>
      </c>
      <c r="J1042" s="762" t="str">
        <f>G1040</f>
        <v>ATENÇÃO A SAÚDE EM DEFESA DA VIDA</v>
      </c>
    </row>
    <row r="1043" spans="2:10" ht="35.1" customHeight="1" x14ac:dyDescent="0.25">
      <c r="B1043" s="1620"/>
      <c r="C1043" s="1621"/>
      <c r="D1043" s="1623"/>
      <c r="E1043" s="1620"/>
      <c r="F1043" s="1621"/>
      <c r="G1043" s="1624"/>
      <c r="H1043" s="776" t="s">
        <v>6941</v>
      </c>
      <c r="I1043" s="796">
        <f>F1042</f>
        <v>2045</v>
      </c>
      <c r="J1043" s="764" t="str">
        <f>G1042</f>
        <v>Gestão do Conselho Municipal de Saúde</v>
      </c>
    </row>
    <row r="1044" spans="2:10" ht="35.1" customHeight="1" thickBot="1" x14ac:dyDescent="0.3">
      <c r="B1044" s="769" t="s">
        <v>6939</v>
      </c>
      <c r="C1044" s="1787">
        <v>500000</v>
      </c>
      <c r="D1044" s="1788"/>
      <c r="E1044" s="769" t="s">
        <v>6939</v>
      </c>
      <c r="F1044" s="1787">
        <v>125000</v>
      </c>
      <c r="G1044" s="1788"/>
      <c r="H1044" s="778" t="s">
        <v>6939</v>
      </c>
      <c r="I1044" s="1625">
        <f>DESPORC!I3141</f>
        <v>0.10097340299999999</v>
      </c>
      <c r="J1044" s="1627"/>
    </row>
    <row r="1045" spans="2:10" ht="35.1" customHeight="1" x14ac:dyDescent="0.25">
      <c r="B1045" s="1628" t="s">
        <v>3137</v>
      </c>
      <c r="C1045" s="1615" t="str">
        <f>'[3]Anexo I - Programas'!$B$722</f>
        <v>100</v>
      </c>
      <c r="D1045" s="1629" t="str">
        <f>'[3]Anexo I - Programas'!$C$722</f>
        <v>ATENÇÃO A SAÚDE EM DEFESA DA VIDA</v>
      </c>
      <c r="E1045" s="1628" t="s">
        <v>3137</v>
      </c>
      <c r="F1045" s="1615" t="str">
        <f>C1045</f>
        <v>100</v>
      </c>
      <c r="G1045" s="1617" t="str">
        <f>D1045</f>
        <v>ATENÇÃO A SAÚDE EM DEFESA DA VIDA</v>
      </c>
      <c r="H1045" s="773" t="s">
        <v>3138</v>
      </c>
      <c r="I1045" s="757">
        <f>DESPORC!C3152</f>
        <v>10</v>
      </c>
      <c r="J1045" s="765" t="str">
        <f>DESPORC!D3152</f>
        <v>Saúde</v>
      </c>
    </row>
    <row r="1046" spans="2:10" ht="35.1" customHeight="1" x14ac:dyDescent="0.25">
      <c r="B1046" s="1619"/>
      <c r="C1046" s="1616"/>
      <c r="D1046" s="1630"/>
      <c r="E1046" s="1619"/>
      <c r="F1046" s="1616"/>
      <c r="G1046" s="1618"/>
      <c r="H1046" s="774" t="s">
        <v>6940</v>
      </c>
      <c r="I1046" s="757">
        <f>DESPORC!C3153</f>
        <v>126</v>
      </c>
      <c r="J1046" s="765" t="str">
        <f>DESPORC!D3153</f>
        <v>Tecnologia da Informação</v>
      </c>
    </row>
    <row r="1047" spans="2:10" ht="35.1" customHeight="1" x14ac:dyDescent="0.25">
      <c r="B1047" s="1619" t="s">
        <v>6941</v>
      </c>
      <c r="C1047" s="1616">
        <f>'[3]Anexo I - Programas'!$C$792</f>
        <v>2045</v>
      </c>
      <c r="D1047" s="1622" t="str">
        <f>'[3]Anexo I - Programas'!$D$792</f>
        <v>Gestão do Conselho Municipal de Saúde</v>
      </c>
      <c r="E1047" s="1619" t="s">
        <v>6941</v>
      </c>
      <c r="F1047" s="1616">
        <f>C1047</f>
        <v>2045</v>
      </c>
      <c r="G1047" s="1618" t="str">
        <f>D1047</f>
        <v>Gestão do Conselho Municipal de Saúde</v>
      </c>
      <c r="H1047" s="775" t="s">
        <v>3137</v>
      </c>
      <c r="I1047" s="795" t="str">
        <f>F1045</f>
        <v>100</v>
      </c>
      <c r="J1047" s="762" t="str">
        <f>G1045</f>
        <v>ATENÇÃO A SAÚDE EM DEFESA DA VIDA</v>
      </c>
    </row>
    <row r="1048" spans="2:10" ht="35.1" customHeight="1" x14ac:dyDescent="0.25">
      <c r="B1048" s="1620"/>
      <c r="C1048" s="1621"/>
      <c r="D1048" s="1623"/>
      <c r="E1048" s="1620"/>
      <c r="F1048" s="1621"/>
      <c r="G1048" s="1624"/>
      <c r="H1048" s="776" t="s">
        <v>6941</v>
      </c>
      <c r="I1048" s="796">
        <f>F1047</f>
        <v>2045</v>
      </c>
      <c r="J1048" s="764" t="str">
        <f>G1047</f>
        <v>Gestão do Conselho Municipal de Saúde</v>
      </c>
    </row>
    <row r="1049" spans="2:10" ht="35.1" customHeight="1" thickBot="1" x14ac:dyDescent="0.3">
      <c r="B1049" s="769" t="s">
        <v>6939</v>
      </c>
      <c r="C1049" s="1625">
        <v>500000</v>
      </c>
      <c r="D1049" s="1626"/>
      <c r="E1049" s="769" t="s">
        <v>6939</v>
      </c>
      <c r="F1049" s="1625">
        <v>125000</v>
      </c>
      <c r="G1049" s="1627"/>
      <c r="H1049" s="778" t="s">
        <v>6939</v>
      </c>
      <c r="I1049" s="1625">
        <f>DESPORC!I3155</f>
        <v>0.01</v>
      </c>
      <c r="J1049" s="1627"/>
    </row>
    <row r="1050" spans="2:10" ht="35.1" customHeight="1" x14ac:dyDescent="0.25">
      <c r="B1050" s="1628" t="s">
        <v>3137</v>
      </c>
      <c r="C1050" s="1615" t="str">
        <f>'[3]Anexo I - Programas'!$B$722</f>
        <v>100</v>
      </c>
      <c r="D1050" s="1629" t="str">
        <f>'[3]Anexo I - Programas'!$C$722</f>
        <v>ATENÇÃO A SAÚDE EM DEFESA DA VIDA</v>
      </c>
      <c r="E1050" s="1628" t="s">
        <v>3137</v>
      </c>
      <c r="F1050" s="1615" t="str">
        <f>C1050</f>
        <v>100</v>
      </c>
      <c r="G1050" s="1617" t="str">
        <f>D1050</f>
        <v>ATENÇÃO A SAÚDE EM DEFESA DA VIDA</v>
      </c>
      <c r="H1050" s="773" t="s">
        <v>3138</v>
      </c>
      <c r="I1050" s="757">
        <f>DESPORC!C3157</f>
        <v>10</v>
      </c>
      <c r="J1050" s="765" t="str">
        <f>DESPORC!D3157</f>
        <v>Saúde</v>
      </c>
    </row>
    <row r="1051" spans="2:10" ht="35.1" customHeight="1" x14ac:dyDescent="0.25">
      <c r="B1051" s="1619"/>
      <c r="C1051" s="1616"/>
      <c r="D1051" s="1630"/>
      <c r="E1051" s="1619"/>
      <c r="F1051" s="1616"/>
      <c r="G1051" s="1618"/>
      <c r="H1051" s="774" t="s">
        <v>6940</v>
      </c>
      <c r="I1051" s="757">
        <f>DESPORC!C3158</f>
        <v>128</v>
      </c>
      <c r="J1051" s="765" t="str">
        <f>DESPORC!D3158</f>
        <v>Formação de Recursos Humanos</v>
      </c>
    </row>
    <row r="1052" spans="2:10" ht="35.1" customHeight="1" x14ac:dyDescent="0.25">
      <c r="B1052" s="1619" t="s">
        <v>6941</v>
      </c>
      <c r="C1052" s="1616">
        <f>'[3]Anexo I - Programas'!$C$792</f>
        <v>2045</v>
      </c>
      <c r="D1052" s="1622" t="str">
        <f>'[3]Anexo I - Programas'!$D$792</f>
        <v>Gestão do Conselho Municipal de Saúde</v>
      </c>
      <c r="E1052" s="1619" t="s">
        <v>6941</v>
      </c>
      <c r="F1052" s="1616">
        <f>C1052</f>
        <v>2045</v>
      </c>
      <c r="G1052" s="1618" t="str">
        <f>D1052</f>
        <v>Gestão do Conselho Municipal de Saúde</v>
      </c>
      <c r="H1052" s="775" t="s">
        <v>3137</v>
      </c>
      <c r="I1052" s="795" t="str">
        <f>F1050</f>
        <v>100</v>
      </c>
      <c r="J1052" s="762" t="str">
        <f>G1050</f>
        <v>ATENÇÃO A SAÚDE EM DEFESA DA VIDA</v>
      </c>
    </row>
    <row r="1053" spans="2:10" ht="35.1" customHeight="1" x14ac:dyDescent="0.25">
      <c r="B1053" s="1620"/>
      <c r="C1053" s="1621"/>
      <c r="D1053" s="1623"/>
      <c r="E1053" s="1620"/>
      <c r="F1053" s="1621"/>
      <c r="G1053" s="1624"/>
      <c r="H1053" s="776" t="s">
        <v>6941</v>
      </c>
      <c r="I1053" s="796">
        <f>F1052</f>
        <v>2045</v>
      </c>
      <c r="J1053" s="764" t="str">
        <f>G1052</f>
        <v>Gestão do Conselho Municipal de Saúde</v>
      </c>
    </row>
    <row r="1054" spans="2:10" ht="35.1" customHeight="1" thickBot="1" x14ac:dyDescent="0.3">
      <c r="B1054" s="769" t="s">
        <v>6939</v>
      </c>
      <c r="C1054" s="1625">
        <v>500000</v>
      </c>
      <c r="D1054" s="1626"/>
      <c r="E1054" s="769" t="s">
        <v>6939</v>
      </c>
      <c r="F1054" s="1625">
        <v>125000</v>
      </c>
      <c r="G1054" s="1627"/>
      <c r="H1054" s="778" t="s">
        <v>6939</v>
      </c>
      <c r="I1054" s="1625">
        <f>DESPORC!I3160</f>
        <v>0.05</v>
      </c>
      <c r="J1054" s="1627"/>
    </row>
    <row r="1055" spans="2:10" ht="35.1" customHeight="1" x14ac:dyDescent="0.25">
      <c r="J1055" s="15"/>
    </row>
    <row r="1056" spans="2:10" ht="35.1" customHeight="1" x14ac:dyDescent="0.25">
      <c r="B1056" s="1631" t="s">
        <v>6927</v>
      </c>
      <c r="C1056" s="1631"/>
      <c r="D1056" s="755" t="str">
        <f>DESPORC!C3172</f>
        <v>04 - SECRETARIA MUNICIPAL DE SAÚDE</v>
      </c>
      <c r="E1056" s="797"/>
      <c r="F1056" s="798"/>
      <c r="G1056" s="798"/>
      <c r="H1056" s="797"/>
      <c r="I1056" s="798"/>
      <c r="J1056" s="798"/>
    </row>
    <row r="1057" spans="2:10" ht="35.1" customHeight="1" thickBot="1" x14ac:dyDescent="0.3">
      <c r="B1057" s="1632" t="s">
        <v>3087</v>
      </c>
      <c r="C1057" s="1632"/>
      <c r="D1057" s="755" t="str">
        <f>DESPORC!C3173</f>
        <v>02 - FUNDO MUNICIPAL DE SAÚDE - PROGRAMAS MUNICIPAIS</v>
      </c>
      <c r="E1057" s="797"/>
      <c r="F1057" s="36"/>
      <c r="G1057" s="1"/>
      <c r="H1057" s="772"/>
      <c r="I1057" s="1"/>
      <c r="J1057" s="1"/>
    </row>
    <row r="1058" spans="2:10" ht="35.1" customHeight="1" thickBot="1" x14ac:dyDescent="0.3">
      <c r="B1058" s="1776" t="s">
        <v>6955</v>
      </c>
      <c r="C1058" s="1777"/>
      <c r="D1058" s="1778"/>
      <c r="E1058" s="1776" t="str">
        <f>E$12</f>
        <v>PRIORIDADES LDO LEI MUNICIPAL N.º 1215  DE 02 DE OUTUBRO DE 2019.</v>
      </c>
      <c r="F1058" s="1777"/>
      <c r="G1058" s="1778"/>
      <c r="H1058" s="1779" t="s">
        <v>6956</v>
      </c>
      <c r="I1058" s="1780"/>
      <c r="J1058" s="1781"/>
    </row>
    <row r="1059" spans="2:10" ht="35.1" customHeight="1" x14ac:dyDescent="0.25">
      <c r="B1059" s="1628" t="s">
        <v>3137</v>
      </c>
      <c r="C1059" s="1615" t="str">
        <f>'[3]Anexo I - Programas'!$B$722</f>
        <v>100</v>
      </c>
      <c r="D1059" s="1629" t="str">
        <f>'[3]Anexo I - Programas'!$C$722</f>
        <v>ATENÇÃO A SAÚDE EM DEFESA DA VIDA</v>
      </c>
      <c r="E1059" s="1628" t="s">
        <v>3137</v>
      </c>
      <c r="F1059" s="1615" t="str">
        <f>C1059</f>
        <v>100</v>
      </c>
      <c r="G1059" s="1617" t="str">
        <f>D1059</f>
        <v>ATENÇÃO A SAÚDE EM DEFESA DA VIDA</v>
      </c>
      <c r="H1059" s="773" t="s">
        <v>3138</v>
      </c>
      <c r="I1059" s="757">
        <f>DESPORC!C3175</f>
        <v>10</v>
      </c>
      <c r="J1059" s="765" t="str">
        <f>DESPORC!D3175</f>
        <v>Saúde</v>
      </c>
    </row>
    <row r="1060" spans="2:10" ht="35.1" customHeight="1" x14ac:dyDescent="0.25">
      <c r="B1060" s="1619"/>
      <c r="C1060" s="1616"/>
      <c r="D1060" s="1630"/>
      <c r="E1060" s="1619"/>
      <c r="F1060" s="1616"/>
      <c r="G1060" s="1618"/>
      <c r="H1060" s="774" t="s">
        <v>6940</v>
      </c>
      <c r="I1060" s="757">
        <f>DESPORC!C3176</f>
        <v>301</v>
      </c>
      <c r="J1060" s="765" t="str">
        <f>DESPORC!D3176</f>
        <v>Atenção Básica</v>
      </c>
    </row>
    <row r="1061" spans="2:10" ht="35.1" customHeight="1" x14ac:dyDescent="0.25">
      <c r="B1061" s="1619" t="s">
        <v>6941</v>
      </c>
      <c r="C1061" s="1616">
        <f>'[3]Anexo I - Programas'!$C$741</f>
        <v>1025</v>
      </c>
      <c r="D1061" s="1622" t="str">
        <f>'[3]Anexo I - Programas'!$D$746</f>
        <v>GEST. BLOCO FINAN.: INVEST. EM ASSIST. HOSP. E AMBUL. - MÉDIA E ALTA COMPLEXIDADE</v>
      </c>
      <c r="E1061" s="1619" t="s">
        <v>6941</v>
      </c>
      <c r="F1061" s="1616">
        <f>C1061</f>
        <v>1025</v>
      </c>
      <c r="G1061" s="1618" t="str">
        <f>D1061</f>
        <v>GEST. BLOCO FINAN.: INVEST. EM ASSIST. HOSP. E AMBUL. - MÉDIA E ALTA COMPLEXIDADE</v>
      </c>
      <c r="H1061" s="775" t="s">
        <v>3137</v>
      </c>
      <c r="I1061" s="795" t="str">
        <f>F1059</f>
        <v>100</v>
      </c>
      <c r="J1061" s="762" t="str">
        <f>G1059</f>
        <v>ATENÇÃO A SAÚDE EM DEFESA DA VIDA</v>
      </c>
    </row>
    <row r="1062" spans="2:10" ht="35.1" customHeight="1" x14ac:dyDescent="0.25">
      <c r="B1062" s="1620"/>
      <c r="C1062" s="1621"/>
      <c r="D1062" s="1623"/>
      <c r="E1062" s="1620"/>
      <c r="F1062" s="1621"/>
      <c r="G1062" s="1624"/>
      <c r="H1062" s="776" t="s">
        <v>6941</v>
      </c>
      <c r="I1062" s="796">
        <f>F1061</f>
        <v>1025</v>
      </c>
      <c r="J1062" s="764" t="str">
        <f>G1061</f>
        <v>GEST. BLOCO FINAN.: INVEST. EM ASSIST. HOSP. E AMBUL. - MÉDIA E ALTA COMPLEXIDADE</v>
      </c>
    </row>
    <row r="1063" spans="2:10" ht="35.1" customHeight="1" thickBot="1" x14ac:dyDescent="0.3">
      <c r="B1063" s="769" t="s">
        <v>6939</v>
      </c>
      <c r="C1063" s="1625">
        <v>300000</v>
      </c>
      <c r="D1063" s="1626"/>
      <c r="E1063" s="769" t="s">
        <v>6939</v>
      </c>
      <c r="F1063" s="1625">
        <v>75000</v>
      </c>
      <c r="G1063" s="1627"/>
      <c r="H1063" s="778" t="s">
        <v>6939</v>
      </c>
      <c r="I1063" s="1625">
        <f>DESPORC!I3178</f>
        <v>6.0000000000000005E-2</v>
      </c>
      <c r="J1063" s="1627"/>
    </row>
    <row r="1064" spans="2:10" ht="35.1" customHeight="1" x14ac:dyDescent="0.25">
      <c r="B1064" s="1628" t="s">
        <v>3137</v>
      </c>
      <c r="C1064" s="1615" t="str">
        <f>'[3]Anexo I - Programas'!$B$722</f>
        <v>100</v>
      </c>
      <c r="D1064" s="1629" t="str">
        <f>'[3]Anexo I - Programas'!$C$722</f>
        <v>ATENÇÃO A SAÚDE EM DEFESA DA VIDA</v>
      </c>
      <c r="E1064" s="1628" t="s">
        <v>3137</v>
      </c>
      <c r="F1064" s="1615" t="str">
        <f>C1064</f>
        <v>100</v>
      </c>
      <c r="G1064" s="1617" t="str">
        <f>D1064</f>
        <v>ATENÇÃO A SAÚDE EM DEFESA DA VIDA</v>
      </c>
      <c r="H1064" s="773" t="s">
        <v>3138</v>
      </c>
      <c r="I1064" s="757">
        <f>DESPORC!C3185</f>
        <v>10</v>
      </c>
      <c r="J1064" s="765" t="str">
        <f>DESPORC!D3185</f>
        <v>Saúde</v>
      </c>
    </row>
    <row r="1065" spans="2:10" ht="35.1" customHeight="1" x14ac:dyDescent="0.25">
      <c r="B1065" s="1619"/>
      <c r="C1065" s="1616"/>
      <c r="D1065" s="1630"/>
      <c r="E1065" s="1619"/>
      <c r="F1065" s="1616"/>
      <c r="G1065" s="1618"/>
      <c r="H1065" s="774" t="s">
        <v>6940</v>
      </c>
      <c r="I1065" s="757">
        <f>DESPORC!C3186</f>
        <v>302</v>
      </c>
      <c r="J1065" s="765" t="str">
        <f>DESPORC!D3186</f>
        <v>Assistência Hospitalar e Ambulatorial</v>
      </c>
    </row>
    <row r="1066" spans="2:10" ht="35.1" customHeight="1" x14ac:dyDescent="0.25">
      <c r="B1066" s="1619" t="s">
        <v>6941</v>
      </c>
      <c r="C1066" s="1616">
        <f>'[3]Anexo I - Programas'!$C$746</f>
        <v>1026</v>
      </c>
      <c r="D1066" s="1622" t="str">
        <f>'[3]Anexo I - Programas'!$D$746</f>
        <v>GEST. BLOCO FINAN.: INVEST. EM ASSIST. HOSP. E AMBUL. - MÉDIA E ALTA COMPLEXIDADE</v>
      </c>
      <c r="E1066" s="1619" t="s">
        <v>6941</v>
      </c>
      <c r="F1066" s="1616">
        <f>C1066</f>
        <v>1026</v>
      </c>
      <c r="G1066" s="1618" t="str">
        <f>D1066</f>
        <v>GEST. BLOCO FINAN.: INVEST. EM ASSIST. HOSP. E AMBUL. - MÉDIA E ALTA COMPLEXIDADE</v>
      </c>
      <c r="H1066" s="775" t="s">
        <v>3137</v>
      </c>
      <c r="I1066" s="795" t="str">
        <f>F1064</f>
        <v>100</v>
      </c>
      <c r="J1066" s="762" t="str">
        <f>G1064</f>
        <v>ATENÇÃO A SAÚDE EM DEFESA DA VIDA</v>
      </c>
    </row>
    <row r="1067" spans="2:10" ht="35.1" customHeight="1" x14ac:dyDescent="0.25">
      <c r="B1067" s="1620"/>
      <c r="C1067" s="1621"/>
      <c r="D1067" s="1623"/>
      <c r="E1067" s="1620"/>
      <c r="F1067" s="1621"/>
      <c r="G1067" s="1624"/>
      <c r="H1067" s="776" t="s">
        <v>6941</v>
      </c>
      <c r="I1067" s="796">
        <f>F1066</f>
        <v>1026</v>
      </c>
      <c r="J1067" s="764" t="str">
        <f>G1066</f>
        <v>GEST. BLOCO FINAN.: INVEST. EM ASSIST. HOSP. E AMBUL. - MÉDIA E ALTA COMPLEXIDADE</v>
      </c>
    </row>
    <row r="1068" spans="2:10" ht="35.1" customHeight="1" thickBot="1" x14ac:dyDescent="0.3">
      <c r="B1068" s="769" t="s">
        <v>6939</v>
      </c>
      <c r="C1068" s="1625">
        <v>300000</v>
      </c>
      <c r="D1068" s="1626"/>
      <c r="E1068" s="769" t="s">
        <v>6939</v>
      </c>
      <c r="F1068" s="1625">
        <v>75000</v>
      </c>
      <c r="G1068" s="1627"/>
      <c r="H1068" s="778" t="s">
        <v>6939</v>
      </c>
      <c r="I1068" s="1625">
        <f>DESPORC!I3188</f>
        <v>6.0000000000000005E-2</v>
      </c>
      <c r="J1068" s="1627"/>
    </row>
    <row r="1069" spans="2:10" ht="35.1" customHeight="1" x14ac:dyDescent="0.25">
      <c r="B1069" s="1628" t="s">
        <v>3137</v>
      </c>
      <c r="C1069" s="1615" t="str">
        <f>'[3]Anexo I - Programas'!$B$722</f>
        <v>100</v>
      </c>
      <c r="D1069" s="1629" t="str">
        <f>'[3]Anexo I - Programas'!$C$722</f>
        <v>ATENÇÃO A SAÚDE EM DEFESA DA VIDA</v>
      </c>
      <c r="E1069" s="1628" t="s">
        <v>3137</v>
      </c>
      <c r="F1069" s="1615" t="str">
        <f>C1069</f>
        <v>100</v>
      </c>
      <c r="G1069" s="1617" t="str">
        <f>D1069</f>
        <v>ATENÇÃO A SAÚDE EM DEFESA DA VIDA</v>
      </c>
      <c r="H1069" s="773" t="s">
        <v>3138</v>
      </c>
      <c r="I1069" s="757">
        <f>DESPORC!C3195</f>
        <v>10</v>
      </c>
      <c r="J1069" s="765" t="str">
        <f>DESPORC!D3195</f>
        <v>Saúde</v>
      </c>
    </row>
    <row r="1070" spans="2:10" ht="35.1" customHeight="1" x14ac:dyDescent="0.25">
      <c r="B1070" s="1619"/>
      <c r="C1070" s="1616"/>
      <c r="D1070" s="1630"/>
      <c r="E1070" s="1619"/>
      <c r="F1070" s="1616"/>
      <c r="G1070" s="1618"/>
      <c r="H1070" s="774" t="s">
        <v>6940</v>
      </c>
      <c r="I1070" s="757">
        <f>DESPORC!C3196</f>
        <v>304</v>
      </c>
      <c r="J1070" s="765" t="str">
        <f>DESPORC!D3196</f>
        <v>Vigilância Sanitária</v>
      </c>
    </row>
    <row r="1071" spans="2:10" ht="35.1" customHeight="1" x14ac:dyDescent="0.25">
      <c r="B1071" s="1619" t="s">
        <v>6941</v>
      </c>
      <c r="C1071" s="1616">
        <f>'[3]Anexo I - Programas'!$C$751</f>
        <v>1027</v>
      </c>
      <c r="D1071" s="1622" t="str">
        <f>'[3]Anexo I - Programas'!$D$751</f>
        <v>GEST. BLOCO FINAN.: INVEST. EM VIGILÂNCIA EM SAÚDE</v>
      </c>
      <c r="E1071" s="1619" t="s">
        <v>6941</v>
      </c>
      <c r="F1071" s="1616">
        <f>C1071</f>
        <v>1027</v>
      </c>
      <c r="G1071" s="1618" t="str">
        <f>D1071</f>
        <v>GEST. BLOCO FINAN.: INVEST. EM VIGILÂNCIA EM SAÚDE</v>
      </c>
      <c r="H1071" s="775" t="s">
        <v>3137</v>
      </c>
      <c r="I1071" s="795" t="str">
        <f>F1069</f>
        <v>100</v>
      </c>
      <c r="J1071" s="762" t="str">
        <f>G1069</f>
        <v>ATENÇÃO A SAÚDE EM DEFESA DA VIDA</v>
      </c>
    </row>
    <row r="1072" spans="2:10" ht="35.1" customHeight="1" x14ac:dyDescent="0.25">
      <c r="B1072" s="1620"/>
      <c r="C1072" s="1621"/>
      <c r="D1072" s="1623"/>
      <c r="E1072" s="1620"/>
      <c r="F1072" s="1621"/>
      <c r="G1072" s="1624"/>
      <c r="H1072" s="776" t="s">
        <v>6941</v>
      </c>
      <c r="I1072" s="796">
        <f>F1071</f>
        <v>1027</v>
      </c>
      <c r="J1072" s="764" t="str">
        <f>G1071</f>
        <v>GEST. BLOCO FINAN.: INVEST. EM VIGILÂNCIA EM SAÚDE</v>
      </c>
    </row>
    <row r="1073" spans="2:10" ht="35.1" customHeight="1" thickBot="1" x14ac:dyDescent="0.3">
      <c r="B1073" s="769" t="s">
        <v>6939</v>
      </c>
      <c r="C1073" s="1625">
        <v>300000</v>
      </c>
      <c r="D1073" s="1626"/>
      <c r="E1073" s="769" t="s">
        <v>6939</v>
      </c>
      <c r="F1073" s="1625">
        <v>75000</v>
      </c>
      <c r="G1073" s="1627"/>
      <c r="H1073" s="778" t="s">
        <v>6939</v>
      </c>
      <c r="I1073" s="1625">
        <f>DESPORC!I3198</f>
        <v>6.0000000000000005E-2</v>
      </c>
      <c r="J1073" s="1627"/>
    </row>
    <row r="1074" spans="2:10" ht="35.1" customHeight="1" x14ac:dyDescent="0.25">
      <c r="B1074" s="1628" t="s">
        <v>3137</v>
      </c>
      <c r="C1074" s="1615" t="str">
        <f>'[3]Anexo I - Programas'!$B$722</f>
        <v>100</v>
      </c>
      <c r="D1074" s="1629" t="str">
        <f>'[3]Anexo I - Programas'!$C$722</f>
        <v>ATENÇÃO A SAÚDE EM DEFESA DA VIDA</v>
      </c>
      <c r="E1074" s="1628" t="s">
        <v>3137</v>
      </c>
      <c r="F1074" s="1615" t="str">
        <f>C1074</f>
        <v>100</v>
      </c>
      <c r="G1074" s="1617" t="str">
        <f>D1074</f>
        <v>ATENÇÃO A SAÚDE EM DEFESA DA VIDA</v>
      </c>
      <c r="H1074" s="773" t="s">
        <v>3138</v>
      </c>
      <c r="I1074" s="757">
        <f>DESPORC!C3205</f>
        <v>10</v>
      </c>
      <c r="J1074" s="765" t="str">
        <f>DESPORC!D3205</f>
        <v>Saúde</v>
      </c>
    </row>
    <row r="1075" spans="2:10" ht="35.1" customHeight="1" x14ac:dyDescent="0.25">
      <c r="B1075" s="1619"/>
      <c r="C1075" s="1616"/>
      <c r="D1075" s="1630"/>
      <c r="E1075" s="1619"/>
      <c r="F1075" s="1616"/>
      <c r="G1075" s="1618"/>
      <c r="H1075" s="774" t="s">
        <v>6940</v>
      </c>
      <c r="I1075" s="757">
        <f>DESPORC!C3206</f>
        <v>126</v>
      </c>
      <c r="J1075" s="765" t="str">
        <f>DESPORC!D3206</f>
        <v>Tecnologia da Informação</v>
      </c>
    </row>
    <row r="1076" spans="2:10" ht="35.1" customHeight="1" x14ac:dyDescent="0.25">
      <c r="B1076" s="1619" t="s">
        <v>6941</v>
      </c>
      <c r="C1076" s="1616">
        <f>'[3]Anexo I - Programas'!$C$768</f>
        <v>2029</v>
      </c>
      <c r="D1076" s="1622" t="str">
        <f>'[3]Anexo I - Programas'!$D$768</f>
        <v>Gestão do Bloco Financiamento: Atenção Básica</v>
      </c>
      <c r="E1076" s="1619" t="s">
        <v>6941</v>
      </c>
      <c r="F1076" s="1616">
        <f>C1076</f>
        <v>2029</v>
      </c>
      <c r="G1076" s="1618" t="str">
        <f>D1076</f>
        <v>Gestão do Bloco Financiamento: Atenção Básica</v>
      </c>
      <c r="H1076" s="775" t="s">
        <v>3137</v>
      </c>
      <c r="I1076" s="795" t="str">
        <f>F1074</f>
        <v>100</v>
      </c>
      <c r="J1076" s="762" t="str">
        <f>G1074</f>
        <v>ATENÇÃO A SAÚDE EM DEFESA DA VIDA</v>
      </c>
    </row>
    <row r="1077" spans="2:10" ht="35.1" customHeight="1" x14ac:dyDescent="0.25">
      <c r="B1077" s="1620"/>
      <c r="C1077" s="1621"/>
      <c r="D1077" s="1623"/>
      <c r="E1077" s="1620"/>
      <c r="F1077" s="1621"/>
      <c r="G1077" s="1624"/>
      <c r="H1077" s="776" t="s">
        <v>6941</v>
      </c>
      <c r="I1077" s="796">
        <f>F1076</f>
        <v>2029</v>
      </c>
      <c r="J1077" s="764" t="str">
        <f>G1076</f>
        <v>Gestão do Bloco Financiamento: Atenção Básica</v>
      </c>
    </row>
    <row r="1078" spans="2:10" ht="35.1" customHeight="1" thickBot="1" x14ac:dyDescent="0.3">
      <c r="B1078" s="769" t="s">
        <v>6939</v>
      </c>
      <c r="C1078" s="1625">
        <v>1600000</v>
      </c>
      <c r="D1078" s="1626"/>
      <c r="E1078" s="769" t="s">
        <v>6939</v>
      </c>
      <c r="F1078" s="1625">
        <v>400000</v>
      </c>
      <c r="G1078" s="1627"/>
      <c r="H1078" s="778" t="s">
        <v>6939</v>
      </c>
      <c r="I1078" s="1625">
        <f>DESPORC!I3208</f>
        <v>6223.9050000000007</v>
      </c>
      <c r="J1078" s="1627"/>
    </row>
    <row r="1079" spans="2:10" ht="35.1" customHeight="1" x14ac:dyDescent="0.25">
      <c r="B1079" s="1628" t="s">
        <v>3137</v>
      </c>
      <c r="C1079" s="1615" t="str">
        <f>'[3]Anexo I - Programas'!$B$722</f>
        <v>100</v>
      </c>
      <c r="D1079" s="1629" t="str">
        <f>'[3]Anexo I - Programas'!$C$722</f>
        <v>ATENÇÃO A SAÚDE EM DEFESA DA VIDA</v>
      </c>
      <c r="E1079" s="1628" t="s">
        <v>3137</v>
      </c>
      <c r="F1079" s="1615" t="str">
        <f>C1079</f>
        <v>100</v>
      </c>
      <c r="G1079" s="1617" t="str">
        <f>D1079</f>
        <v>ATENÇÃO A SAÚDE EM DEFESA DA VIDA</v>
      </c>
      <c r="H1079" s="773" t="s">
        <v>3138</v>
      </c>
      <c r="I1079" s="757">
        <f>DESPORC!C3210</f>
        <v>10</v>
      </c>
      <c r="J1079" s="765" t="str">
        <f>DESPORC!D3210</f>
        <v>Saúde</v>
      </c>
    </row>
    <row r="1080" spans="2:10" ht="35.1" customHeight="1" x14ac:dyDescent="0.25">
      <c r="B1080" s="1619"/>
      <c r="C1080" s="1616"/>
      <c r="D1080" s="1630"/>
      <c r="E1080" s="1619"/>
      <c r="F1080" s="1616"/>
      <c r="G1080" s="1618"/>
      <c r="H1080" s="774" t="s">
        <v>6940</v>
      </c>
      <c r="I1080" s="757">
        <f>DESPORC!C3211</f>
        <v>128</v>
      </c>
      <c r="J1080" s="765" t="str">
        <f>DESPORC!D3211</f>
        <v>Formação de Recursos Humanos</v>
      </c>
    </row>
    <row r="1081" spans="2:10" ht="35.1" customHeight="1" x14ac:dyDescent="0.25">
      <c r="B1081" s="1619" t="s">
        <v>6941</v>
      </c>
      <c r="C1081" s="1616">
        <f>'[3]Anexo I - Programas'!$C$768</f>
        <v>2029</v>
      </c>
      <c r="D1081" s="1622" t="str">
        <f>'[3]Anexo I - Programas'!$D$768</f>
        <v>Gestão do Bloco Financiamento: Atenção Básica</v>
      </c>
      <c r="E1081" s="1619" t="s">
        <v>6941</v>
      </c>
      <c r="F1081" s="1616">
        <f>C1081</f>
        <v>2029</v>
      </c>
      <c r="G1081" s="1618" t="str">
        <f>D1081</f>
        <v>Gestão do Bloco Financiamento: Atenção Básica</v>
      </c>
      <c r="H1081" s="775" t="s">
        <v>3137</v>
      </c>
      <c r="I1081" s="795" t="str">
        <f>F1079</f>
        <v>100</v>
      </c>
      <c r="J1081" s="762" t="str">
        <f>G1079</f>
        <v>ATENÇÃO A SAÚDE EM DEFESA DA VIDA</v>
      </c>
    </row>
    <row r="1082" spans="2:10" ht="35.1" customHeight="1" x14ac:dyDescent="0.25">
      <c r="B1082" s="1620"/>
      <c r="C1082" s="1621"/>
      <c r="D1082" s="1623"/>
      <c r="E1082" s="1620"/>
      <c r="F1082" s="1621"/>
      <c r="G1082" s="1624"/>
      <c r="H1082" s="776" t="s">
        <v>6941</v>
      </c>
      <c r="I1082" s="796">
        <f>F1081</f>
        <v>2029</v>
      </c>
      <c r="J1082" s="764" t="str">
        <f>G1081</f>
        <v>Gestão do Bloco Financiamento: Atenção Básica</v>
      </c>
    </row>
    <row r="1083" spans="2:10" ht="35.1" customHeight="1" thickBot="1" x14ac:dyDescent="0.3">
      <c r="B1083" s="769" t="s">
        <v>6939</v>
      </c>
      <c r="C1083" s="1625">
        <v>1600000</v>
      </c>
      <c r="D1083" s="1626"/>
      <c r="E1083" s="769" t="s">
        <v>6939</v>
      </c>
      <c r="F1083" s="1625">
        <v>400000</v>
      </c>
      <c r="G1083" s="1627"/>
      <c r="H1083" s="778" t="s">
        <v>6939</v>
      </c>
      <c r="I1083" s="1625">
        <f>DESPORC!I3213</f>
        <v>0.05</v>
      </c>
      <c r="J1083" s="1627"/>
    </row>
    <row r="1084" spans="2:10" ht="35.1" customHeight="1" x14ac:dyDescent="0.25">
      <c r="B1084" s="1628" t="s">
        <v>3137</v>
      </c>
      <c r="C1084" s="1615" t="str">
        <f>'[3]Anexo I - Programas'!$B$722</f>
        <v>100</v>
      </c>
      <c r="D1084" s="1629" t="str">
        <f>'[3]Anexo I - Programas'!$C$722</f>
        <v>ATENÇÃO A SAÚDE EM DEFESA DA VIDA</v>
      </c>
      <c r="E1084" s="1628" t="s">
        <v>3137</v>
      </c>
      <c r="F1084" s="1615" t="str">
        <f>C1084</f>
        <v>100</v>
      </c>
      <c r="G1084" s="1617" t="str">
        <f>D1084</f>
        <v>ATENÇÃO A SAÚDE EM DEFESA DA VIDA</v>
      </c>
      <c r="H1084" s="773" t="s">
        <v>3138</v>
      </c>
      <c r="I1084" s="757">
        <f>DESPORC!C3219</f>
        <v>10</v>
      </c>
      <c r="J1084" s="765" t="str">
        <f>DESPORC!D3219</f>
        <v>Saúde</v>
      </c>
    </row>
    <row r="1085" spans="2:10" ht="35.1" customHeight="1" x14ac:dyDescent="0.25">
      <c r="B1085" s="1619"/>
      <c r="C1085" s="1616"/>
      <c r="D1085" s="1630"/>
      <c r="E1085" s="1619"/>
      <c r="F1085" s="1616"/>
      <c r="G1085" s="1618"/>
      <c r="H1085" s="774" t="s">
        <v>6940</v>
      </c>
      <c r="I1085" s="757">
        <f>DESPORC!C3220</f>
        <v>301</v>
      </c>
      <c r="J1085" s="765" t="str">
        <f>DESPORC!D3220</f>
        <v>Atenção Básica</v>
      </c>
    </row>
    <row r="1086" spans="2:10" ht="35.1" customHeight="1" x14ac:dyDescent="0.25">
      <c r="B1086" s="1619" t="s">
        <v>6941</v>
      </c>
      <c r="C1086" s="1616">
        <f>'[3]Anexo I - Programas'!$C$768</f>
        <v>2029</v>
      </c>
      <c r="D1086" s="1622" t="str">
        <f>'[3]Anexo I - Programas'!$D$768</f>
        <v>Gestão do Bloco Financiamento: Atenção Básica</v>
      </c>
      <c r="E1086" s="1619" t="s">
        <v>6941</v>
      </c>
      <c r="F1086" s="1616">
        <f>C1086</f>
        <v>2029</v>
      </c>
      <c r="G1086" s="1618" t="str">
        <f>D1086</f>
        <v>Gestão do Bloco Financiamento: Atenção Básica</v>
      </c>
      <c r="H1086" s="775" t="s">
        <v>3137</v>
      </c>
      <c r="I1086" s="795" t="str">
        <f>F1084</f>
        <v>100</v>
      </c>
      <c r="J1086" s="762" t="str">
        <f>G1084</f>
        <v>ATENÇÃO A SAÚDE EM DEFESA DA VIDA</v>
      </c>
    </row>
    <row r="1087" spans="2:10" ht="35.1" customHeight="1" x14ac:dyDescent="0.25">
      <c r="B1087" s="1620"/>
      <c r="C1087" s="1621"/>
      <c r="D1087" s="1623"/>
      <c r="E1087" s="1620"/>
      <c r="F1087" s="1621"/>
      <c r="G1087" s="1624"/>
      <c r="H1087" s="776" t="s">
        <v>6941</v>
      </c>
      <c r="I1087" s="796">
        <f>F1086</f>
        <v>2029</v>
      </c>
      <c r="J1087" s="764" t="str">
        <f>G1086</f>
        <v>Gestão do Bloco Financiamento: Atenção Básica</v>
      </c>
    </row>
    <row r="1088" spans="2:10" ht="35.1" customHeight="1" thickBot="1" x14ac:dyDescent="0.3">
      <c r="B1088" s="769" t="s">
        <v>6939</v>
      </c>
      <c r="C1088" s="1625">
        <v>1600000</v>
      </c>
      <c r="D1088" s="1626"/>
      <c r="E1088" s="769" t="s">
        <v>6939</v>
      </c>
      <c r="F1088" s="1625">
        <v>400000</v>
      </c>
      <c r="G1088" s="1627"/>
      <c r="H1088" s="778" t="s">
        <v>6939</v>
      </c>
      <c r="I1088" s="1625">
        <f>DESPORC!I3222</f>
        <v>3028916.6551265996</v>
      </c>
      <c r="J1088" s="1627"/>
    </row>
    <row r="1089" spans="2:10" ht="35.1" customHeight="1" x14ac:dyDescent="0.25">
      <c r="B1089" s="1628" t="s">
        <v>3137</v>
      </c>
      <c r="C1089" s="1615" t="str">
        <f>'[3]Anexo I - Programas'!$B$722</f>
        <v>100</v>
      </c>
      <c r="D1089" s="1629" t="str">
        <f>'[3]Anexo I - Programas'!$C$722</f>
        <v>ATENÇÃO A SAÚDE EM DEFESA DA VIDA</v>
      </c>
      <c r="E1089" s="1628" t="s">
        <v>3137</v>
      </c>
      <c r="F1089" s="1615" t="str">
        <f>C1089</f>
        <v>100</v>
      </c>
      <c r="G1089" s="1617" t="str">
        <f>D1089</f>
        <v>ATENÇÃO A SAÚDE EM DEFESA DA VIDA</v>
      </c>
      <c r="H1089" s="773" t="s">
        <v>3138</v>
      </c>
      <c r="I1089" s="757">
        <f>DESPORC!C3245</f>
        <v>10</v>
      </c>
      <c r="J1089" s="765" t="str">
        <f>DESPORC!D3245</f>
        <v>Saúde</v>
      </c>
    </row>
    <row r="1090" spans="2:10" ht="35.1" customHeight="1" x14ac:dyDescent="0.25">
      <c r="B1090" s="1619"/>
      <c r="C1090" s="1616"/>
      <c r="D1090" s="1630"/>
      <c r="E1090" s="1619"/>
      <c r="F1090" s="1616"/>
      <c r="G1090" s="1618"/>
      <c r="H1090" s="774" t="s">
        <v>6940</v>
      </c>
      <c r="I1090" s="757">
        <f>DESPORC!C3246</f>
        <v>301</v>
      </c>
      <c r="J1090" s="765" t="str">
        <f>DESPORC!D3246</f>
        <v>Atenção Básica</v>
      </c>
    </row>
    <row r="1091" spans="2:10" ht="35.1" customHeight="1" x14ac:dyDescent="0.25">
      <c r="B1091" s="1619" t="s">
        <v>6941</v>
      </c>
      <c r="C1091" s="1616">
        <f>'[3]Anexo I - Programas'!$C$768</f>
        <v>2029</v>
      </c>
      <c r="D1091" s="1622" t="str">
        <f>'[3]Anexo I - Programas'!$D$768</f>
        <v>Gestão do Bloco Financiamento: Atenção Básica</v>
      </c>
      <c r="E1091" s="1619" t="s">
        <v>6941</v>
      </c>
      <c r="F1091" s="1616">
        <f>C1091</f>
        <v>2029</v>
      </c>
      <c r="G1091" s="1618" t="str">
        <f>D1091</f>
        <v>Gestão do Bloco Financiamento: Atenção Básica</v>
      </c>
      <c r="H1091" s="775" t="s">
        <v>3137</v>
      </c>
      <c r="I1091" s="795" t="str">
        <f>F1089</f>
        <v>100</v>
      </c>
      <c r="J1091" s="762" t="str">
        <f>G1089</f>
        <v>ATENÇÃO A SAÚDE EM DEFESA DA VIDA</v>
      </c>
    </row>
    <row r="1092" spans="2:10" ht="35.1" customHeight="1" x14ac:dyDescent="0.25">
      <c r="B1092" s="1620"/>
      <c r="C1092" s="1621"/>
      <c r="D1092" s="1623"/>
      <c r="E1092" s="1620"/>
      <c r="F1092" s="1621"/>
      <c r="G1092" s="1624"/>
      <c r="H1092" s="776" t="s">
        <v>6941</v>
      </c>
      <c r="I1092" s="796">
        <f>F1091</f>
        <v>2029</v>
      </c>
      <c r="J1092" s="764" t="str">
        <f>G1091</f>
        <v>Gestão do Bloco Financiamento: Atenção Básica</v>
      </c>
    </row>
    <row r="1093" spans="2:10" ht="35.1" customHeight="1" thickBot="1" x14ac:dyDescent="0.3">
      <c r="B1093" s="769" t="s">
        <v>6939</v>
      </c>
      <c r="C1093" s="1625">
        <v>1600000</v>
      </c>
      <c r="D1093" s="1626"/>
      <c r="E1093" s="769" t="s">
        <v>6939</v>
      </c>
      <c r="F1093" s="1625">
        <v>400000</v>
      </c>
      <c r="G1093" s="1627"/>
      <c r="H1093" s="778" t="s">
        <v>6939</v>
      </c>
      <c r="I1093" s="1625">
        <f>DESPORC!I3248</f>
        <v>310813.25648689736</v>
      </c>
      <c r="J1093" s="1627"/>
    </row>
    <row r="1094" spans="2:10" ht="35.1" customHeight="1" x14ac:dyDescent="0.25">
      <c r="B1094" s="1628" t="s">
        <v>3137</v>
      </c>
      <c r="C1094" s="1615" t="str">
        <f>'[3]Anexo I - Programas'!$B$722</f>
        <v>100</v>
      </c>
      <c r="D1094" s="1629" t="str">
        <f>'[3]Anexo I - Programas'!$C$722</f>
        <v>ATENÇÃO A SAÚDE EM DEFESA DA VIDA</v>
      </c>
      <c r="E1094" s="1628" t="s">
        <v>3137</v>
      </c>
      <c r="F1094" s="1615" t="str">
        <f>C1094</f>
        <v>100</v>
      </c>
      <c r="G1094" s="1617" t="str">
        <f>D1094</f>
        <v>ATENÇÃO A SAÚDE EM DEFESA DA VIDA</v>
      </c>
      <c r="H1094" s="773" t="s">
        <v>3138</v>
      </c>
      <c r="I1094" s="757">
        <f>DESPORC!C3271</f>
        <v>10</v>
      </c>
      <c r="J1094" s="765" t="str">
        <f>DESPORC!D3271</f>
        <v>Saúde</v>
      </c>
    </row>
    <row r="1095" spans="2:10" ht="35.1" customHeight="1" x14ac:dyDescent="0.25">
      <c r="B1095" s="1619"/>
      <c r="C1095" s="1616"/>
      <c r="D1095" s="1630"/>
      <c r="E1095" s="1619"/>
      <c r="F1095" s="1616"/>
      <c r="G1095" s="1618"/>
      <c r="H1095" s="774" t="s">
        <v>6940</v>
      </c>
      <c r="I1095" s="757">
        <f>DESPORC!C3272</f>
        <v>306</v>
      </c>
      <c r="J1095" s="765" t="str">
        <f>DESPORC!D3272</f>
        <v>Alimentação e Nutrição</v>
      </c>
    </row>
    <row r="1096" spans="2:10" ht="35.1" customHeight="1" x14ac:dyDescent="0.25">
      <c r="B1096" s="1619" t="s">
        <v>6941</v>
      </c>
      <c r="C1096" s="1616">
        <f>'[3]Anexo I - Programas'!$C$768</f>
        <v>2029</v>
      </c>
      <c r="D1096" s="1622" t="str">
        <f>'[3]Anexo I - Programas'!$D$768</f>
        <v>Gestão do Bloco Financiamento: Atenção Básica</v>
      </c>
      <c r="E1096" s="1619" t="s">
        <v>6941</v>
      </c>
      <c r="F1096" s="1616">
        <f>C1096</f>
        <v>2029</v>
      </c>
      <c r="G1096" s="1618" t="str">
        <f>D1096</f>
        <v>Gestão do Bloco Financiamento: Atenção Básica</v>
      </c>
      <c r="H1096" s="775" t="s">
        <v>3137</v>
      </c>
      <c r="I1096" s="795" t="str">
        <f>F1094</f>
        <v>100</v>
      </c>
      <c r="J1096" s="762" t="str">
        <f>G1094</f>
        <v>ATENÇÃO A SAÚDE EM DEFESA DA VIDA</v>
      </c>
    </row>
    <row r="1097" spans="2:10" ht="35.1" customHeight="1" x14ac:dyDescent="0.25">
      <c r="B1097" s="1620"/>
      <c r="C1097" s="1621"/>
      <c r="D1097" s="1623"/>
      <c r="E1097" s="1620"/>
      <c r="F1097" s="1621"/>
      <c r="G1097" s="1624"/>
      <c r="H1097" s="776" t="s">
        <v>6941</v>
      </c>
      <c r="I1097" s="796">
        <f>F1096</f>
        <v>2029</v>
      </c>
      <c r="J1097" s="764" t="str">
        <f>G1096</f>
        <v>Gestão do Bloco Financiamento: Atenção Básica</v>
      </c>
    </row>
    <row r="1098" spans="2:10" ht="35.1" customHeight="1" thickBot="1" x14ac:dyDescent="0.3">
      <c r="B1098" s="769" t="s">
        <v>6939</v>
      </c>
      <c r="C1098" s="1625">
        <v>1600000</v>
      </c>
      <c r="D1098" s="1626"/>
      <c r="E1098" s="769" t="s">
        <v>6939</v>
      </c>
      <c r="F1098" s="1625">
        <v>400000</v>
      </c>
      <c r="G1098" s="1627"/>
      <c r="H1098" s="778" t="s">
        <v>6939</v>
      </c>
      <c r="I1098" s="1625">
        <f>DESPORC!I3274</f>
        <v>84450.805047905305</v>
      </c>
      <c r="J1098" s="1627"/>
    </row>
    <row r="1099" spans="2:10" ht="35.1" customHeight="1" x14ac:dyDescent="0.25">
      <c r="B1099" s="1628" t="s">
        <v>3137</v>
      </c>
      <c r="C1099" s="1615" t="str">
        <f>'[3]Anexo I - Programas'!$B$722</f>
        <v>100</v>
      </c>
      <c r="D1099" s="1629" t="str">
        <f>'[3]Anexo I - Programas'!$C$722</f>
        <v>ATENÇÃO A SAÚDE EM DEFESA DA VIDA</v>
      </c>
      <c r="E1099" s="1628" t="s">
        <v>3137</v>
      </c>
      <c r="F1099" s="1615" t="str">
        <f>C1099</f>
        <v>100</v>
      </c>
      <c r="G1099" s="1617" t="str">
        <f>D1099</f>
        <v>ATENÇÃO A SAÚDE EM DEFESA DA VIDA</v>
      </c>
      <c r="H1099" s="773" t="s">
        <v>3138</v>
      </c>
      <c r="I1099" s="757">
        <f>DESPORC!C3296</f>
        <v>10</v>
      </c>
      <c r="J1099" s="765" t="str">
        <f>DESPORC!D3296</f>
        <v>Saúde</v>
      </c>
    </row>
    <row r="1100" spans="2:10" ht="35.1" customHeight="1" x14ac:dyDescent="0.25">
      <c r="B1100" s="1619"/>
      <c r="C1100" s="1616"/>
      <c r="D1100" s="1630"/>
      <c r="E1100" s="1619"/>
      <c r="F1100" s="1616"/>
      <c r="G1100" s="1618"/>
      <c r="H1100" s="774" t="s">
        <v>6940</v>
      </c>
      <c r="I1100" s="757">
        <f>DESPORC!C3297</f>
        <v>302</v>
      </c>
      <c r="J1100" s="765" t="str">
        <f>DESPORC!D3297</f>
        <v>Assistência Hospitalar e Ambulatorial</v>
      </c>
    </row>
    <row r="1101" spans="2:10" ht="35.1" customHeight="1" x14ac:dyDescent="0.25">
      <c r="B1101" s="1619" t="s">
        <v>6941</v>
      </c>
      <c r="C1101" s="1616">
        <f>'[3]Anexo I - Programas'!$C$774</f>
        <v>2042</v>
      </c>
      <c r="D1101" s="1622" t="str">
        <f>'[3]Anexo I - Programas'!$D$774</f>
        <v>Gestão do Bloco Financiamento: Atenção de Média e Alta Complexidade Ambulatorial e Hospitalar</v>
      </c>
      <c r="E1101" s="1619" t="s">
        <v>6941</v>
      </c>
      <c r="F1101" s="1616">
        <f>C1101</f>
        <v>2042</v>
      </c>
      <c r="G1101" s="1618" t="str">
        <f>D1101</f>
        <v>Gestão do Bloco Financiamento: Atenção de Média e Alta Complexidade Ambulatorial e Hospitalar</v>
      </c>
      <c r="H1101" s="775" t="s">
        <v>3137</v>
      </c>
      <c r="I1101" s="795" t="str">
        <f>F1099</f>
        <v>100</v>
      </c>
      <c r="J1101" s="762" t="str">
        <f>G1099</f>
        <v>ATENÇÃO A SAÚDE EM DEFESA DA VIDA</v>
      </c>
    </row>
    <row r="1102" spans="2:10" ht="35.1" customHeight="1" x14ac:dyDescent="0.25">
      <c r="B1102" s="1620"/>
      <c r="C1102" s="1621"/>
      <c r="D1102" s="1623"/>
      <c r="E1102" s="1620"/>
      <c r="F1102" s="1621"/>
      <c r="G1102" s="1624"/>
      <c r="H1102" s="776" t="s">
        <v>6941</v>
      </c>
      <c r="I1102" s="796">
        <f>F1101</f>
        <v>2042</v>
      </c>
      <c r="J1102" s="764" t="str">
        <f>G1101</f>
        <v>Gestão do Bloco Financiamento: Atenção de Média e Alta Complexidade Ambulatorial e Hospitalar</v>
      </c>
    </row>
    <row r="1103" spans="2:10" ht="35.1" customHeight="1" thickBot="1" x14ac:dyDescent="0.3">
      <c r="B1103" s="769" t="s">
        <v>6939</v>
      </c>
      <c r="C1103" s="1625">
        <v>1600000</v>
      </c>
      <c r="D1103" s="1626"/>
      <c r="E1103" s="769" t="s">
        <v>6939</v>
      </c>
      <c r="F1103" s="1625">
        <v>400000</v>
      </c>
      <c r="G1103" s="1627"/>
      <c r="H1103" s="778" t="s">
        <v>6939</v>
      </c>
      <c r="I1103" s="1625">
        <f>DESPORC!I3299</f>
        <v>397169.9117329049</v>
      </c>
      <c r="J1103" s="1627"/>
    </row>
    <row r="1104" spans="2:10" ht="35.1" customHeight="1" x14ac:dyDescent="0.25">
      <c r="B1104" s="1628" t="s">
        <v>3137</v>
      </c>
      <c r="C1104" s="1615" t="str">
        <f>'[3]Anexo I - Programas'!$B$722</f>
        <v>100</v>
      </c>
      <c r="D1104" s="1629" t="str">
        <f>'[3]Anexo I - Programas'!$C$722</f>
        <v>ATENÇÃO A SAÚDE EM DEFESA DA VIDA</v>
      </c>
      <c r="E1104" s="1628" t="s">
        <v>3137</v>
      </c>
      <c r="F1104" s="1615" t="str">
        <f>C1104</f>
        <v>100</v>
      </c>
      <c r="G1104" s="1617" t="str">
        <f>D1104</f>
        <v>ATENÇÃO A SAÚDE EM DEFESA DA VIDA</v>
      </c>
      <c r="H1104" s="773" t="s">
        <v>3138</v>
      </c>
      <c r="I1104" s="757">
        <f>DESPORC!C3326</f>
        <v>10</v>
      </c>
      <c r="J1104" s="765" t="str">
        <f>DESPORC!D3326</f>
        <v>Saúde</v>
      </c>
    </row>
    <row r="1105" spans="2:10" ht="35.1" customHeight="1" x14ac:dyDescent="0.25">
      <c r="B1105" s="1619"/>
      <c r="C1105" s="1616"/>
      <c r="D1105" s="1630"/>
      <c r="E1105" s="1619"/>
      <c r="F1105" s="1616"/>
      <c r="G1105" s="1618"/>
      <c r="H1105" s="774" t="s">
        <v>6940</v>
      </c>
      <c r="I1105" s="757">
        <f>DESPORC!C3327</f>
        <v>303</v>
      </c>
      <c r="J1105" s="765" t="str">
        <f>DESPORC!D3327</f>
        <v>Suporte Profilático e Terapêutico</v>
      </c>
    </row>
    <row r="1106" spans="2:10" ht="35.1" customHeight="1" x14ac:dyDescent="0.25">
      <c r="B1106" s="1619" t="s">
        <v>6941</v>
      </c>
      <c r="C1106" s="1616">
        <f>'[3]Anexo I - Programas'!$C$780</f>
        <v>2043</v>
      </c>
      <c r="D1106" s="1622" t="str">
        <f>'[3]Anexo I - Programas'!$D$780</f>
        <v>Gestão do Bloco Financiamento: Assistência Farmacêutica</v>
      </c>
      <c r="E1106" s="1619" t="s">
        <v>6941</v>
      </c>
      <c r="F1106" s="1616">
        <f>C1106</f>
        <v>2043</v>
      </c>
      <c r="G1106" s="1618" t="str">
        <f>D1106</f>
        <v>Gestão do Bloco Financiamento: Assistência Farmacêutica</v>
      </c>
      <c r="H1106" s="775" t="s">
        <v>3137</v>
      </c>
      <c r="I1106" s="795" t="str">
        <f>F1104</f>
        <v>100</v>
      </c>
      <c r="J1106" s="762" t="str">
        <f>G1104</f>
        <v>ATENÇÃO A SAÚDE EM DEFESA DA VIDA</v>
      </c>
    </row>
    <row r="1107" spans="2:10" ht="35.1" customHeight="1" x14ac:dyDescent="0.25">
      <c r="B1107" s="1620"/>
      <c r="C1107" s="1621"/>
      <c r="D1107" s="1623"/>
      <c r="E1107" s="1620"/>
      <c r="F1107" s="1621"/>
      <c r="G1107" s="1624"/>
      <c r="H1107" s="776" t="s">
        <v>6941</v>
      </c>
      <c r="I1107" s="796">
        <f>F1106</f>
        <v>2043</v>
      </c>
      <c r="J1107" s="764" t="str">
        <f>G1106</f>
        <v>Gestão do Bloco Financiamento: Assistência Farmacêutica</v>
      </c>
    </row>
    <row r="1108" spans="2:10" ht="35.1" customHeight="1" thickBot="1" x14ac:dyDescent="0.3">
      <c r="B1108" s="769" t="s">
        <v>6939</v>
      </c>
      <c r="C1108" s="1625">
        <v>500000</v>
      </c>
      <c r="D1108" s="1626"/>
      <c r="E1108" s="769" t="s">
        <v>6939</v>
      </c>
      <c r="F1108" s="1625">
        <v>125000</v>
      </c>
      <c r="G1108" s="1627"/>
      <c r="H1108" s="778" t="s">
        <v>6939</v>
      </c>
      <c r="I1108" s="1625">
        <f>DESPORC!I3329</f>
        <v>126608.80363845766</v>
      </c>
      <c r="J1108" s="1627"/>
    </row>
    <row r="1109" spans="2:10" ht="35.1" customHeight="1" x14ac:dyDescent="0.25">
      <c r="B1109" s="1628" t="s">
        <v>3137</v>
      </c>
      <c r="C1109" s="1615" t="str">
        <f>'[3]Anexo I - Programas'!$B$722</f>
        <v>100</v>
      </c>
      <c r="D1109" s="1629" t="str">
        <f>'[3]Anexo I - Programas'!$C$722</f>
        <v>ATENÇÃO A SAÚDE EM DEFESA DA VIDA</v>
      </c>
      <c r="E1109" s="1628" t="s">
        <v>3137</v>
      </c>
      <c r="F1109" s="1615" t="str">
        <f>C1109</f>
        <v>100</v>
      </c>
      <c r="G1109" s="1617" t="str">
        <f>D1109</f>
        <v>ATENÇÃO A SAÚDE EM DEFESA DA VIDA</v>
      </c>
      <c r="H1109" s="773" t="s">
        <v>3138</v>
      </c>
      <c r="I1109" s="757">
        <f>DESPORC!C3352</f>
        <v>10</v>
      </c>
      <c r="J1109" s="765" t="str">
        <f>DESPORC!D3352</f>
        <v>Saúde</v>
      </c>
    </row>
    <row r="1110" spans="2:10" ht="35.1" customHeight="1" x14ac:dyDescent="0.25">
      <c r="B1110" s="1619"/>
      <c r="C1110" s="1616"/>
      <c r="D1110" s="1630"/>
      <c r="E1110" s="1619"/>
      <c r="F1110" s="1616"/>
      <c r="G1110" s="1618"/>
      <c r="H1110" s="774" t="s">
        <v>6940</v>
      </c>
      <c r="I1110" s="757">
        <f>DESPORC!C3353</f>
        <v>304</v>
      </c>
      <c r="J1110" s="765" t="str">
        <f>DESPORC!D3353</f>
        <v>Vigilância Sanitária</v>
      </c>
    </row>
    <row r="1111" spans="2:10" ht="35.1" customHeight="1" x14ac:dyDescent="0.25">
      <c r="B1111" s="1619" t="s">
        <v>6941</v>
      </c>
      <c r="C1111" s="1616">
        <f>'[3]Anexo I - Programas'!$C$798</f>
        <v>2046</v>
      </c>
      <c r="D1111" s="1622" t="str">
        <f>'[3]Anexo I - Programas'!$D$798</f>
        <v>Gestão do Bloco Financiamento: Vigilância em Saúde</v>
      </c>
      <c r="E1111" s="1619" t="s">
        <v>6941</v>
      </c>
      <c r="F1111" s="1616">
        <f>C1111</f>
        <v>2046</v>
      </c>
      <c r="G1111" s="1618" t="str">
        <f>D1111</f>
        <v>Gestão do Bloco Financiamento: Vigilância em Saúde</v>
      </c>
      <c r="H1111" s="775" t="s">
        <v>3137</v>
      </c>
      <c r="I1111" s="795" t="str">
        <f>F1109</f>
        <v>100</v>
      </c>
      <c r="J1111" s="762" t="str">
        <f>G1109</f>
        <v>ATENÇÃO A SAÚDE EM DEFESA DA VIDA</v>
      </c>
    </row>
    <row r="1112" spans="2:10" ht="35.1" customHeight="1" x14ac:dyDescent="0.25">
      <c r="B1112" s="1620"/>
      <c r="C1112" s="1621"/>
      <c r="D1112" s="1623"/>
      <c r="E1112" s="1620"/>
      <c r="F1112" s="1621"/>
      <c r="G1112" s="1624"/>
      <c r="H1112" s="776" t="s">
        <v>6941</v>
      </c>
      <c r="I1112" s="796">
        <f>F1111</f>
        <v>2046</v>
      </c>
      <c r="J1112" s="764" t="str">
        <f>G1111</f>
        <v>Gestão do Bloco Financiamento: Vigilância em Saúde</v>
      </c>
    </row>
    <row r="1113" spans="2:10" ht="35.1" customHeight="1" thickBot="1" x14ac:dyDescent="0.3">
      <c r="B1113" s="769" t="s">
        <v>6939</v>
      </c>
      <c r="C1113" s="1625">
        <v>100000</v>
      </c>
      <c r="D1113" s="1626"/>
      <c r="E1113" s="769" t="s">
        <v>6939</v>
      </c>
      <c r="F1113" s="1625">
        <v>25000</v>
      </c>
      <c r="G1113" s="1627"/>
      <c r="H1113" s="778" t="s">
        <v>6939</v>
      </c>
      <c r="I1113" s="1625">
        <f>DESPORC!I3355</f>
        <v>0.22000000000000006</v>
      </c>
      <c r="J1113" s="1627"/>
    </row>
    <row r="1114" spans="2:10" ht="35.1" customHeight="1" x14ac:dyDescent="0.25">
      <c r="B1114" s="1628" t="s">
        <v>3137</v>
      </c>
      <c r="C1114" s="1615" t="str">
        <f>'[3]Anexo I - Programas'!$B$722</f>
        <v>100</v>
      </c>
      <c r="D1114" s="1629" t="str">
        <f>'[3]Anexo I - Programas'!$C$722</f>
        <v>ATENÇÃO A SAÚDE EM DEFESA DA VIDA</v>
      </c>
      <c r="E1114" s="1628" t="s">
        <v>3137</v>
      </c>
      <c r="F1114" s="1615" t="str">
        <f>C1114</f>
        <v>100</v>
      </c>
      <c r="G1114" s="1617" t="str">
        <f>D1114</f>
        <v>ATENÇÃO A SAÚDE EM DEFESA DA VIDA</v>
      </c>
      <c r="H1114" s="773" t="s">
        <v>3138</v>
      </c>
      <c r="I1114" s="757">
        <f>DESPORC!C3378</f>
        <v>10</v>
      </c>
      <c r="J1114" s="765" t="str">
        <f>DESPORC!D3378</f>
        <v>Saúde</v>
      </c>
    </row>
    <row r="1115" spans="2:10" ht="35.1" customHeight="1" x14ac:dyDescent="0.25">
      <c r="B1115" s="1619"/>
      <c r="C1115" s="1616"/>
      <c r="D1115" s="1630"/>
      <c r="E1115" s="1619"/>
      <c r="F1115" s="1616"/>
      <c r="G1115" s="1618"/>
      <c r="H1115" s="774" t="s">
        <v>6940</v>
      </c>
      <c r="I1115" s="757">
        <f>DESPORC!C3379</f>
        <v>305</v>
      </c>
      <c r="J1115" s="765" t="str">
        <f>DESPORC!D3379</f>
        <v>Vigilância Epidemiológica</v>
      </c>
    </row>
    <row r="1116" spans="2:10" ht="35.1" customHeight="1" x14ac:dyDescent="0.25">
      <c r="B1116" s="1619" t="s">
        <v>6941</v>
      </c>
      <c r="C1116" s="1616">
        <f>'[3]Anexo I - Programas'!$C$798</f>
        <v>2046</v>
      </c>
      <c r="D1116" s="1622" t="str">
        <f>'[3]Anexo I - Programas'!$D$798</f>
        <v>Gestão do Bloco Financiamento: Vigilância em Saúde</v>
      </c>
      <c r="E1116" s="1619" t="s">
        <v>6941</v>
      </c>
      <c r="F1116" s="1616">
        <f>C1116</f>
        <v>2046</v>
      </c>
      <c r="G1116" s="1618" t="str">
        <f>D1116</f>
        <v>Gestão do Bloco Financiamento: Vigilância em Saúde</v>
      </c>
      <c r="H1116" s="775" t="s">
        <v>3137</v>
      </c>
      <c r="I1116" s="795" t="str">
        <f>F1114</f>
        <v>100</v>
      </c>
      <c r="J1116" s="762" t="str">
        <f>G1114</f>
        <v>ATENÇÃO A SAÚDE EM DEFESA DA VIDA</v>
      </c>
    </row>
    <row r="1117" spans="2:10" ht="35.1" customHeight="1" x14ac:dyDescent="0.25">
      <c r="B1117" s="1620"/>
      <c r="C1117" s="1621"/>
      <c r="D1117" s="1623"/>
      <c r="E1117" s="1620"/>
      <c r="F1117" s="1621"/>
      <c r="G1117" s="1624"/>
      <c r="H1117" s="776" t="s">
        <v>6941</v>
      </c>
      <c r="I1117" s="796">
        <f>F1116</f>
        <v>2046</v>
      </c>
      <c r="J1117" s="764" t="str">
        <f>G1116</f>
        <v>Gestão do Bloco Financiamento: Vigilância em Saúde</v>
      </c>
    </row>
    <row r="1118" spans="2:10" ht="35.1" customHeight="1" thickBot="1" x14ac:dyDescent="0.3">
      <c r="B1118" s="769" t="s">
        <v>6939</v>
      </c>
      <c r="C1118" s="1625">
        <v>100000</v>
      </c>
      <c r="D1118" s="1626"/>
      <c r="E1118" s="769" t="s">
        <v>6939</v>
      </c>
      <c r="F1118" s="1625">
        <v>25000</v>
      </c>
      <c r="G1118" s="1627"/>
      <c r="H1118" s="778" t="s">
        <v>6939</v>
      </c>
      <c r="I1118" s="1625">
        <f>DESPORC!I3381</f>
        <v>0.22000000000000006</v>
      </c>
      <c r="J1118" s="1627"/>
    </row>
    <row r="1119" spans="2:10" ht="35.1" customHeight="1" x14ac:dyDescent="0.25">
      <c r="J1119" s="15"/>
    </row>
    <row r="1120" spans="2:10" ht="35.1" customHeight="1" x14ac:dyDescent="0.25">
      <c r="B1120" s="1631" t="s">
        <v>6927</v>
      </c>
      <c r="C1120" s="1631"/>
      <c r="D1120" s="755" t="str">
        <f>DESPORC!C3410</f>
        <v>04 - SECRETARIA MUNICIPAL DE SAÚDE</v>
      </c>
      <c r="E1120" s="797"/>
      <c r="F1120" s="798"/>
      <c r="G1120" s="798"/>
      <c r="H1120" s="797"/>
      <c r="I1120" s="798"/>
      <c r="J1120" s="798"/>
    </row>
    <row r="1121" spans="2:10" ht="35.1" customHeight="1" thickBot="1" x14ac:dyDescent="0.3">
      <c r="B1121" s="1632" t="s">
        <v>3087</v>
      </c>
      <c r="C1121" s="1632"/>
      <c r="D1121" s="755" t="str">
        <f>DESPORC!C3411</f>
        <v>03 - FUNDO MUNICIPAL DE SAÚDE - PROGRAMAS ESTADUAIS</v>
      </c>
      <c r="E1121" s="797"/>
      <c r="F1121" s="36"/>
      <c r="G1121" s="1"/>
      <c r="H1121" s="772"/>
      <c r="I1121" s="1"/>
      <c r="J1121" s="1"/>
    </row>
    <row r="1122" spans="2:10" ht="35.1" customHeight="1" thickBot="1" x14ac:dyDescent="0.3">
      <c r="B1122" s="1776" t="s">
        <v>6955</v>
      </c>
      <c r="C1122" s="1777"/>
      <c r="D1122" s="1778"/>
      <c r="E1122" s="1776" t="str">
        <f>E$12</f>
        <v>PRIORIDADES LDO LEI MUNICIPAL N.º 1215  DE 02 DE OUTUBRO DE 2019.</v>
      </c>
      <c r="F1122" s="1777"/>
      <c r="G1122" s="1778"/>
      <c r="H1122" s="1779" t="s">
        <v>6956</v>
      </c>
      <c r="I1122" s="1780"/>
      <c r="J1122" s="1781"/>
    </row>
    <row r="1123" spans="2:10" ht="35.1" customHeight="1" x14ac:dyDescent="0.25">
      <c r="B1123" s="1628" t="s">
        <v>3137</v>
      </c>
      <c r="C1123" s="1615" t="str">
        <f>'[3]Anexo I - Programas'!$B$722</f>
        <v>100</v>
      </c>
      <c r="D1123" s="1629" t="str">
        <f>'[3]Anexo I - Programas'!$C$722</f>
        <v>ATENÇÃO A SAÚDE EM DEFESA DA VIDA</v>
      </c>
      <c r="E1123" s="1628" t="s">
        <v>3137</v>
      </c>
      <c r="F1123" s="1615" t="str">
        <f>C1123</f>
        <v>100</v>
      </c>
      <c r="G1123" s="1617" t="str">
        <f>D1123</f>
        <v>ATENÇÃO A SAÚDE EM DEFESA DA VIDA</v>
      </c>
      <c r="H1123" s="773" t="s">
        <v>3138</v>
      </c>
      <c r="I1123" s="757">
        <f>DESPORC!C3413</f>
        <v>10</v>
      </c>
      <c r="J1123" s="765" t="str">
        <f>DESPORC!D3413</f>
        <v>Saúde</v>
      </c>
    </row>
    <row r="1124" spans="2:10" ht="35.1" customHeight="1" x14ac:dyDescent="0.25">
      <c r="B1124" s="1619"/>
      <c r="C1124" s="1616"/>
      <c r="D1124" s="1630"/>
      <c r="E1124" s="1619"/>
      <c r="F1124" s="1616"/>
      <c r="G1124" s="1618"/>
      <c r="H1124" s="774" t="s">
        <v>6940</v>
      </c>
      <c r="I1124" s="757">
        <f>DESPORC!C3414</f>
        <v>301</v>
      </c>
      <c r="J1124" s="765" t="str">
        <f>DESPORC!D3414</f>
        <v>Atenção Básica</v>
      </c>
    </row>
    <row r="1125" spans="2:10" ht="35.1" customHeight="1" x14ac:dyDescent="0.25">
      <c r="B1125" s="1619" t="s">
        <v>6941</v>
      </c>
      <c r="C1125" s="1616">
        <f>'[3]Anexo I - Programas'!$C$741</f>
        <v>1025</v>
      </c>
      <c r="D1125" s="1622" t="str">
        <f>'[3]Anexo I - Programas'!$D$746</f>
        <v>GEST. BLOCO FINAN.: INVEST. EM ASSIST. HOSP. E AMBUL. - MÉDIA E ALTA COMPLEXIDADE</v>
      </c>
      <c r="E1125" s="1619" t="s">
        <v>6941</v>
      </c>
      <c r="F1125" s="1616">
        <f>C1125</f>
        <v>1025</v>
      </c>
      <c r="G1125" s="1618" t="str">
        <f>D1125</f>
        <v>GEST. BLOCO FINAN.: INVEST. EM ASSIST. HOSP. E AMBUL. - MÉDIA E ALTA COMPLEXIDADE</v>
      </c>
      <c r="H1125" s="775" t="s">
        <v>3137</v>
      </c>
      <c r="I1125" s="795" t="str">
        <f>F1123</f>
        <v>100</v>
      </c>
      <c r="J1125" s="762" t="str">
        <f>G1123</f>
        <v>ATENÇÃO A SAÚDE EM DEFESA DA VIDA</v>
      </c>
    </row>
    <row r="1126" spans="2:10" ht="35.1" customHeight="1" x14ac:dyDescent="0.25">
      <c r="B1126" s="1620"/>
      <c r="C1126" s="1621"/>
      <c r="D1126" s="1623"/>
      <c r="E1126" s="1620"/>
      <c r="F1126" s="1621"/>
      <c r="G1126" s="1624"/>
      <c r="H1126" s="776" t="s">
        <v>6941</v>
      </c>
      <c r="I1126" s="796">
        <f>F1125</f>
        <v>1025</v>
      </c>
      <c r="J1126" s="764" t="str">
        <f>G1125</f>
        <v>GEST. BLOCO FINAN.: INVEST. EM ASSIST. HOSP. E AMBUL. - MÉDIA E ALTA COMPLEXIDADE</v>
      </c>
    </row>
    <row r="1127" spans="2:10" ht="35.1" customHeight="1" thickBot="1" x14ac:dyDescent="0.3">
      <c r="B1127" s="769" t="s">
        <v>6939</v>
      </c>
      <c r="C1127" s="1625">
        <v>300000</v>
      </c>
      <c r="D1127" s="1626"/>
      <c r="E1127" s="769" t="s">
        <v>6939</v>
      </c>
      <c r="F1127" s="1625">
        <v>75000</v>
      </c>
      <c r="G1127" s="1627"/>
      <c r="H1127" s="778" t="s">
        <v>6939</v>
      </c>
      <c r="I1127" s="1625">
        <f>DESPORC!I3416+DESPORC!I3425</f>
        <v>2.06</v>
      </c>
      <c r="J1127" s="1627"/>
    </row>
    <row r="1128" spans="2:10" ht="35.1" customHeight="1" x14ac:dyDescent="0.25">
      <c r="B1128" s="1628" t="s">
        <v>3137</v>
      </c>
      <c r="C1128" s="1615" t="str">
        <f>'[3]Anexo I - Programas'!$B$722</f>
        <v>100</v>
      </c>
      <c r="D1128" s="1629" t="str">
        <f>'[3]Anexo I - Programas'!$C$722</f>
        <v>ATENÇÃO A SAÚDE EM DEFESA DA VIDA</v>
      </c>
      <c r="E1128" s="1628" t="s">
        <v>3137</v>
      </c>
      <c r="F1128" s="1615" t="str">
        <f>C1128</f>
        <v>100</v>
      </c>
      <c r="G1128" s="1617" t="str">
        <f>D1128</f>
        <v>ATENÇÃO A SAÚDE EM DEFESA DA VIDA</v>
      </c>
      <c r="H1128" s="773" t="s">
        <v>3138</v>
      </c>
      <c r="I1128" s="757">
        <f>DESPORC!C3432</f>
        <v>10</v>
      </c>
      <c r="J1128" s="765" t="str">
        <f>DESPORC!D3432</f>
        <v>Saúde</v>
      </c>
    </row>
    <row r="1129" spans="2:10" ht="35.1" customHeight="1" x14ac:dyDescent="0.25">
      <c r="B1129" s="1619"/>
      <c r="C1129" s="1616"/>
      <c r="D1129" s="1630"/>
      <c r="E1129" s="1619"/>
      <c r="F1129" s="1616"/>
      <c r="G1129" s="1618"/>
      <c r="H1129" s="774" t="s">
        <v>6940</v>
      </c>
      <c r="I1129" s="757">
        <f>DESPORC!C3433</f>
        <v>301</v>
      </c>
      <c r="J1129" s="765" t="str">
        <f>DESPORC!D3433</f>
        <v>Atenção Básica</v>
      </c>
    </row>
    <row r="1130" spans="2:10" ht="35.1" customHeight="1" x14ac:dyDescent="0.25">
      <c r="B1130" s="1619" t="s">
        <v>6941</v>
      </c>
      <c r="C1130" s="1616">
        <f>'[3]Anexo I - Programas'!$C$768</f>
        <v>2029</v>
      </c>
      <c r="D1130" s="1622" t="str">
        <f>'[3]Anexo I - Programas'!$D$768</f>
        <v>Gestão do Bloco Financiamento: Atenção Básica</v>
      </c>
      <c r="E1130" s="1619" t="s">
        <v>6941</v>
      </c>
      <c r="F1130" s="1616">
        <f>C1130</f>
        <v>2029</v>
      </c>
      <c r="G1130" s="1618" t="str">
        <f>D1130</f>
        <v>Gestão do Bloco Financiamento: Atenção Básica</v>
      </c>
      <c r="H1130" s="775" t="s">
        <v>3137</v>
      </c>
      <c r="I1130" s="795" t="str">
        <f>F1128</f>
        <v>100</v>
      </c>
      <c r="J1130" s="762" t="str">
        <f>G1128</f>
        <v>ATENÇÃO A SAÚDE EM DEFESA DA VIDA</v>
      </c>
    </row>
    <row r="1131" spans="2:10" ht="35.1" customHeight="1" x14ac:dyDescent="0.25">
      <c r="B1131" s="1620"/>
      <c r="C1131" s="1621"/>
      <c r="D1131" s="1623"/>
      <c r="E1131" s="1620"/>
      <c r="F1131" s="1621"/>
      <c r="G1131" s="1624"/>
      <c r="H1131" s="776" t="s">
        <v>6941</v>
      </c>
      <c r="I1131" s="796">
        <f>F1130</f>
        <v>2029</v>
      </c>
      <c r="J1131" s="764" t="str">
        <f>G1130</f>
        <v>Gestão do Bloco Financiamento: Atenção Básica</v>
      </c>
    </row>
    <row r="1132" spans="2:10" ht="35.1" customHeight="1" thickBot="1" x14ac:dyDescent="0.3">
      <c r="B1132" s="769" t="s">
        <v>6939</v>
      </c>
      <c r="C1132" s="1625">
        <v>1600000</v>
      </c>
      <c r="D1132" s="1626"/>
      <c r="E1132" s="769" t="s">
        <v>6939</v>
      </c>
      <c r="F1132" s="1625">
        <v>400000</v>
      </c>
      <c r="G1132" s="1627"/>
      <c r="H1132" s="778" t="s">
        <v>6939</v>
      </c>
      <c r="I1132" s="1625">
        <f>DESPORC!I3434+DESPORC!I3450+DESPORC!I3462</f>
        <v>180201.25201749511</v>
      </c>
      <c r="J1132" s="1627"/>
    </row>
    <row r="1133" spans="2:10" ht="35.1" customHeight="1" x14ac:dyDescent="0.25">
      <c r="B1133" s="1628" t="s">
        <v>3137</v>
      </c>
      <c r="C1133" s="1615" t="str">
        <f>'[3]Anexo I - Programas'!$B$722</f>
        <v>100</v>
      </c>
      <c r="D1133" s="1629" t="str">
        <f>'[3]Anexo I - Programas'!$C$722</f>
        <v>ATENÇÃO A SAÚDE EM DEFESA DA VIDA</v>
      </c>
      <c r="E1133" s="1628" t="s">
        <v>3137</v>
      </c>
      <c r="F1133" s="1615" t="str">
        <f>C1133</f>
        <v>100</v>
      </c>
      <c r="G1133" s="1617" t="str">
        <f>D1133</f>
        <v>ATENÇÃO A SAÚDE EM DEFESA DA VIDA</v>
      </c>
      <c r="H1133" s="773" t="s">
        <v>3138</v>
      </c>
      <c r="I1133" s="757">
        <f>DESPORC!C3464</f>
        <v>10</v>
      </c>
      <c r="J1133" s="765" t="str">
        <f>DESPORC!D3464</f>
        <v>Saúde</v>
      </c>
    </row>
    <row r="1134" spans="2:10" ht="35.1" customHeight="1" x14ac:dyDescent="0.25">
      <c r="B1134" s="1619"/>
      <c r="C1134" s="1616"/>
      <c r="D1134" s="1630"/>
      <c r="E1134" s="1619"/>
      <c r="F1134" s="1616"/>
      <c r="G1134" s="1618"/>
      <c r="H1134" s="774" t="s">
        <v>6940</v>
      </c>
      <c r="I1134" s="757">
        <f>DESPORC!C3465</f>
        <v>302</v>
      </c>
      <c r="J1134" s="765" t="str">
        <f>DESPORC!D3465</f>
        <v>Assistência Hospitalar e Ambulatorial</v>
      </c>
    </row>
    <row r="1135" spans="2:10" ht="35.1" customHeight="1" x14ac:dyDescent="0.25">
      <c r="B1135" s="1619" t="s">
        <v>6941</v>
      </c>
      <c r="C1135" s="1616">
        <f>'[3]Anexo I - Programas'!$C$774</f>
        <v>2042</v>
      </c>
      <c r="D1135" s="1622" t="str">
        <f>'[3]Anexo I - Programas'!$D$774</f>
        <v>Gestão do Bloco Financiamento: Atenção de Média e Alta Complexidade Ambulatorial e Hospitalar</v>
      </c>
      <c r="E1135" s="1619" t="s">
        <v>6941</v>
      </c>
      <c r="F1135" s="1616">
        <f>C1135</f>
        <v>2042</v>
      </c>
      <c r="G1135" s="1618" t="str">
        <f>D1135</f>
        <v>Gestão do Bloco Financiamento: Atenção de Média e Alta Complexidade Ambulatorial e Hospitalar</v>
      </c>
      <c r="H1135" s="775" t="s">
        <v>3137</v>
      </c>
      <c r="I1135" s="795" t="str">
        <f>F1133</f>
        <v>100</v>
      </c>
      <c r="J1135" s="762" t="str">
        <f>G1133</f>
        <v>ATENÇÃO A SAÚDE EM DEFESA DA VIDA</v>
      </c>
    </row>
    <row r="1136" spans="2:10" ht="35.1" customHeight="1" x14ac:dyDescent="0.25">
      <c r="B1136" s="1620"/>
      <c r="C1136" s="1621"/>
      <c r="D1136" s="1623"/>
      <c r="E1136" s="1620"/>
      <c r="F1136" s="1621"/>
      <c r="G1136" s="1624"/>
      <c r="H1136" s="776" t="s">
        <v>6941</v>
      </c>
      <c r="I1136" s="796">
        <f>F1135</f>
        <v>2042</v>
      </c>
      <c r="J1136" s="764" t="str">
        <f>G1135</f>
        <v>Gestão do Bloco Financiamento: Atenção de Média e Alta Complexidade Ambulatorial e Hospitalar</v>
      </c>
    </row>
    <row r="1137" spans="2:10" ht="35.1" customHeight="1" thickBot="1" x14ac:dyDescent="0.3">
      <c r="B1137" s="769" t="s">
        <v>6939</v>
      </c>
      <c r="C1137" s="1625">
        <v>1000000</v>
      </c>
      <c r="D1137" s="1626"/>
      <c r="E1137" s="769" t="s">
        <v>6939</v>
      </c>
      <c r="F1137" s="1625">
        <v>250000</v>
      </c>
      <c r="G1137" s="1627"/>
      <c r="H1137" s="778" t="s">
        <v>6939</v>
      </c>
      <c r="I1137" s="1625">
        <f>DESPORC!I3466+DESPORC!I3480</f>
        <v>33249.434048455747</v>
      </c>
      <c r="J1137" s="1627"/>
    </row>
    <row r="1138" spans="2:10" ht="35.1" customHeight="1" x14ac:dyDescent="0.25">
      <c r="B1138" s="1628" t="s">
        <v>3137</v>
      </c>
      <c r="C1138" s="1615" t="str">
        <f>'[3]Anexo I - Programas'!$B$722</f>
        <v>100</v>
      </c>
      <c r="D1138" s="1629" t="str">
        <f>'[3]Anexo I - Programas'!$C$722</f>
        <v>ATENÇÃO A SAÚDE EM DEFESA DA VIDA</v>
      </c>
      <c r="E1138" s="1628" t="s">
        <v>3137</v>
      </c>
      <c r="F1138" s="1615" t="str">
        <f>C1138</f>
        <v>100</v>
      </c>
      <c r="G1138" s="1617" t="str">
        <f>D1138</f>
        <v>ATENÇÃO A SAÚDE EM DEFESA DA VIDA</v>
      </c>
      <c r="H1138" s="773" t="s">
        <v>3138</v>
      </c>
      <c r="I1138" s="757">
        <f>DESPORC!C3486</f>
        <v>10</v>
      </c>
      <c r="J1138" s="765" t="str">
        <f>DESPORC!D3486</f>
        <v>Saúde</v>
      </c>
    </row>
    <row r="1139" spans="2:10" ht="35.1" customHeight="1" x14ac:dyDescent="0.25">
      <c r="B1139" s="1619"/>
      <c r="C1139" s="1616"/>
      <c r="D1139" s="1630"/>
      <c r="E1139" s="1619"/>
      <c r="F1139" s="1616"/>
      <c r="G1139" s="1618"/>
      <c r="H1139" s="774" t="s">
        <v>6940</v>
      </c>
      <c r="I1139" s="757">
        <f>DESPORC!C3487</f>
        <v>303</v>
      </c>
      <c r="J1139" s="765" t="str">
        <f>DESPORC!D3487</f>
        <v>Suporte Profilático e Terapêutico</v>
      </c>
    </row>
    <row r="1140" spans="2:10" ht="35.1" customHeight="1" x14ac:dyDescent="0.25">
      <c r="B1140" s="1619" t="s">
        <v>6941</v>
      </c>
      <c r="C1140" s="1616">
        <f>'[3]Anexo I - Programas'!$C$780</f>
        <v>2043</v>
      </c>
      <c r="D1140" s="1622" t="str">
        <f>'[3]Anexo I - Programas'!$D$774</f>
        <v>Gestão do Bloco Financiamento: Atenção de Média e Alta Complexidade Ambulatorial e Hospitalar</v>
      </c>
      <c r="E1140" s="1619" t="s">
        <v>6941</v>
      </c>
      <c r="F1140" s="1616">
        <f>C1140</f>
        <v>2043</v>
      </c>
      <c r="G1140" s="1618" t="str">
        <f>D1140</f>
        <v>Gestão do Bloco Financiamento: Atenção de Média e Alta Complexidade Ambulatorial e Hospitalar</v>
      </c>
      <c r="H1140" s="775" t="s">
        <v>3137</v>
      </c>
      <c r="I1140" s="795" t="str">
        <f>F1138</f>
        <v>100</v>
      </c>
      <c r="J1140" s="762" t="str">
        <f>G1138</f>
        <v>ATENÇÃO A SAÚDE EM DEFESA DA VIDA</v>
      </c>
    </row>
    <row r="1141" spans="2:10" ht="35.1" customHeight="1" x14ac:dyDescent="0.25">
      <c r="B1141" s="1620"/>
      <c r="C1141" s="1621"/>
      <c r="D1141" s="1623"/>
      <c r="E1141" s="1620"/>
      <c r="F1141" s="1621"/>
      <c r="G1141" s="1624"/>
      <c r="H1141" s="776" t="s">
        <v>6941</v>
      </c>
      <c r="I1141" s="796">
        <f>F1140</f>
        <v>2043</v>
      </c>
      <c r="J1141" s="764" t="str">
        <f>G1140</f>
        <v>Gestão do Bloco Financiamento: Atenção de Média e Alta Complexidade Ambulatorial e Hospitalar</v>
      </c>
    </row>
    <row r="1142" spans="2:10" ht="35.1" customHeight="1" thickBot="1" x14ac:dyDescent="0.3">
      <c r="B1142" s="769" t="s">
        <v>6939</v>
      </c>
      <c r="C1142" s="1625">
        <v>500000</v>
      </c>
      <c r="D1142" s="1626"/>
      <c r="E1142" s="769" t="s">
        <v>6939</v>
      </c>
      <c r="F1142" s="1625">
        <v>125000</v>
      </c>
      <c r="G1142" s="1627"/>
      <c r="H1142" s="778" t="s">
        <v>6939</v>
      </c>
      <c r="I1142" s="1625">
        <f>DESPORC!I3488+DESPORC!I3493</f>
        <v>22603.191936005416</v>
      </c>
      <c r="J1142" s="1627"/>
    </row>
    <row r="1143" spans="2:10" ht="35.1" customHeight="1" x14ac:dyDescent="0.25">
      <c r="B1143" s="1628" t="s">
        <v>3137</v>
      </c>
      <c r="C1143" s="1615" t="str">
        <f>'[3]Anexo I - Programas'!$B$722</f>
        <v>100</v>
      </c>
      <c r="D1143" s="1629" t="str">
        <f>'[3]Anexo I - Programas'!$C$722</f>
        <v>ATENÇÃO A SAÚDE EM DEFESA DA VIDA</v>
      </c>
      <c r="E1143" s="1628" t="s">
        <v>3137</v>
      </c>
      <c r="F1143" s="1615" t="str">
        <f>C1143</f>
        <v>100</v>
      </c>
      <c r="G1143" s="1617" t="str">
        <f>D1143</f>
        <v>ATENÇÃO A SAÚDE EM DEFESA DA VIDA</v>
      </c>
      <c r="H1143" s="773" t="s">
        <v>3138</v>
      </c>
      <c r="I1143" s="757">
        <f>DESPORC!C3496</f>
        <v>10</v>
      </c>
      <c r="J1143" s="765" t="str">
        <f>DESPORC!D3496</f>
        <v>Saúde</v>
      </c>
    </row>
    <row r="1144" spans="2:10" ht="35.1" customHeight="1" x14ac:dyDescent="0.25">
      <c r="B1144" s="1619"/>
      <c r="C1144" s="1616"/>
      <c r="D1144" s="1630"/>
      <c r="E1144" s="1619"/>
      <c r="F1144" s="1616"/>
      <c r="G1144" s="1618"/>
      <c r="H1144" s="774" t="s">
        <v>6940</v>
      </c>
      <c r="I1144" s="757">
        <f>DESPORC!C3497</f>
        <v>305</v>
      </c>
      <c r="J1144" s="765" t="str">
        <f>DESPORC!D3497</f>
        <v>Vigilância Epidemiológica</v>
      </c>
    </row>
    <row r="1145" spans="2:10" ht="35.1" customHeight="1" x14ac:dyDescent="0.25">
      <c r="B1145" s="1619" t="s">
        <v>6941</v>
      </c>
      <c r="C1145" s="1616">
        <f>'[3]Anexo I - Programas'!$C$798</f>
        <v>2046</v>
      </c>
      <c r="D1145" s="1622" t="str">
        <f>'[3]Anexo I - Programas'!$D$798</f>
        <v>Gestão do Bloco Financiamento: Vigilância em Saúde</v>
      </c>
      <c r="E1145" s="1619" t="s">
        <v>6941</v>
      </c>
      <c r="F1145" s="1616">
        <f>C1145</f>
        <v>2046</v>
      </c>
      <c r="G1145" s="1618" t="str">
        <f>D1145</f>
        <v>Gestão do Bloco Financiamento: Vigilância em Saúde</v>
      </c>
      <c r="H1145" s="775" t="s">
        <v>3137</v>
      </c>
      <c r="I1145" s="795" t="str">
        <f>F1143</f>
        <v>100</v>
      </c>
      <c r="J1145" s="762" t="str">
        <f>G1143</f>
        <v>ATENÇÃO A SAÚDE EM DEFESA DA VIDA</v>
      </c>
    </row>
    <row r="1146" spans="2:10" ht="35.1" customHeight="1" x14ac:dyDescent="0.25">
      <c r="B1146" s="1620"/>
      <c r="C1146" s="1621"/>
      <c r="D1146" s="1623"/>
      <c r="E1146" s="1620"/>
      <c r="F1146" s="1621"/>
      <c r="G1146" s="1624"/>
      <c r="H1146" s="776" t="s">
        <v>6941</v>
      </c>
      <c r="I1146" s="796">
        <f>F1145</f>
        <v>2046</v>
      </c>
      <c r="J1146" s="764" t="str">
        <f>G1145</f>
        <v>Gestão do Bloco Financiamento: Vigilância em Saúde</v>
      </c>
    </row>
    <row r="1147" spans="2:10" ht="35.1" customHeight="1" thickBot="1" x14ac:dyDescent="0.3">
      <c r="B1147" s="769" t="s">
        <v>6939</v>
      </c>
      <c r="C1147" s="1625">
        <v>100000</v>
      </c>
      <c r="D1147" s="1626"/>
      <c r="E1147" s="769" t="s">
        <v>6939</v>
      </c>
      <c r="F1147" s="1625">
        <v>25000</v>
      </c>
      <c r="G1147" s="1627"/>
      <c r="H1147" s="778" t="s">
        <v>6939</v>
      </c>
      <c r="I1147" s="1625">
        <f>DESPORC!I3498</f>
        <v>3.1705912952378981</v>
      </c>
      <c r="J1147" s="1627"/>
    </row>
    <row r="1148" spans="2:10" ht="35.1" customHeight="1" x14ac:dyDescent="0.25">
      <c r="J1148" s="15"/>
    </row>
    <row r="1149" spans="2:10" ht="35.1" customHeight="1" x14ac:dyDescent="0.25">
      <c r="B1149" s="1631" t="s">
        <v>6927</v>
      </c>
      <c r="C1149" s="1631"/>
      <c r="D1149" s="755" t="str">
        <f>DESPORC!C3520</f>
        <v>04 - SECRETARIA MUNICIPAL DE SAÚDE</v>
      </c>
      <c r="E1149" s="797"/>
      <c r="F1149" s="798"/>
      <c r="G1149" s="798"/>
      <c r="H1149" s="797"/>
      <c r="I1149" s="798"/>
      <c r="J1149" s="798"/>
    </row>
    <row r="1150" spans="2:10" ht="35.1" customHeight="1" thickBot="1" x14ac:dyDescent="0.3">
      <c r="B1150" s="1632" t="s">
        <v>3087</v>
      </c>
      <c r="C1150" s="1632"/>
      <c r="D1150" s="755" t="str">
        <f>DESPORC!C3521</f>
        <v>04 - FUNDO MUNICIPAL DE SAÚDE - PROGRAMAS FEDERAIS</v>
      </c>
      <c r="E1150" s="797"/>
      <c r="F1150" s="36"/>
      <c r="G1150" s="1"/>
      <c r="H1150" s="772"/>
      <c r="I1150" s="1"/>
      <c r="J1150" s="1"/>
    </row>
    <row r="1151" spans="2:10" ht="35.1" customHeight="1" thickBot="1" x14ac:dyDescent="0.3">
      <c r="B1151" s="1776" t="s">
        <v>6955</v>
      </c>
      <c r="C1151" s="1777"/>
      <c r="D1151" s="1778"/>
      <c r="E1151" s="1776" t="str">
        <f>E$12</f>
        <v>PRIORIDADES LDO LEI MUNICIPAL N.º 1215  DE 02 DE OUTUBRO DE 2019.</v>
      </c>
      <c r="F1151" s="1777"/>
      <c r="G1151" s="1778"/>
      <c r="H1151" s="1779" t="s">
        <v>6956</v>
      </c>
      <c r="I1151" s="1780"/>
      <c r="J1151" s="1781"/>
    </row>
    <row r="1152" spans="2:10" ht="35.1" customHeight="1" x14ac:dyDescent="0.25">
      <c r="B1152" s="1628" t="s">
        <v>3137</v>
      </c>
      <c r="C1152" s="1615" t="str">
        <f>'[3]Anexo I - Programas'!$B$722</f>
        <v>100</v>
      </c>
      <c r="D1152" s="1629" t="str">
        <f>'[3]Anexo I - Programas'!$C$722</f>
        <v>ATENÇÃO A SAÚDE EM DEFESA DA VIDA</v>
      </c>
      <c r="E1152" s="1628" t="s">
        <v>3137</v>
      </c>
      <c r="F1152" s="1615" t="str">
        <f>C1152</f>
        <v>100</v>
      </c>
      <c r="G1152" s="1617" t="str">
        <f>D1152</f>
        <v>ATENÇÃO A SAÚDE EM DEFESA DA VIDA</v>
      </c>
      <c r="H1152" s="773" t="s">
        <v>3138</v>
      </c>
      <c r="I1152" s="757">
        <f>DESPORC!C3523</f>
        <v>10</v>
      </c>
      <c r="J1152" s="765" t="str">
        <f>DESPORC!D3523</f>
        <v>Saúde</v>
      </c>
    </row>
    <row r="1153" spans="2:10" ht="35.1" customHeight="1" x14ac:dyDescent="0.25">
      <c r="B1153" s="1619"/>
      <c r="C1153" s="1616"/>
      <c r="D1153" s="1630"/>
      <c r="E1153" s="1619"/>
      <c r="F1153" s="1616"/>
      <c r="G1153" s="1618"/>
      <c r="H1153" s="774" t="s">
        <v>6940</v>
      </c>
      <c r="I1153" s="757">
        <f>DESPORC!C3524</f>
        <v>122</v>
      </c>
      <c r="J1153" s="765" t="str">
        <f>DESPORC!D3524</f>
        <v>Administração Geral</v>
      </c>
    </row>
    <row r="1154" spans="2:10" ht="35.1" customHeight="1" x14ac:dyDescent="0.25">
      <c r="B1154" s="1619" t="s">
        <v>6941</v>
      </c>
      <c r="C1154" s="1616">
        <f>'[3]Anexo I - Programas'!$C$741</f>
        <v>1025</v>
      </c>
      <c r="D1154" s="1622" t="str">
        <f>'[3]Anexo I - Programas'!$D$741</f>
        <v>GEST. BLOCO FINAN.: INVEST.  EM ATENÇÃO BÁSICA</v>
      </c>
      <c r="E1154" s="1619" t="s">
        <v>6941</v>
      </c>
      <c r="F1154" s="1616">
        <f>C1154</f>
        <v>1025</v>
      </c>
      <c r="G1154" s="1618" t="str">
        <f>D1154</f>
        <v>GEST. BLOCO FINAN.: INVEST.  EM ATENÇÃO BÁSICA</v>
      </c>
      <c r="H1154" s="775" t="s">
        <v>3137</v>
      </c>
      <c r="I1154" s="795" t="str">
        <f>F1152</f>
        <v>100</v>
      </c>
      <c r="J1154" s="762" t="str">
        <f>G1152</f>
        <v>ATENÇÃO A SAÚDE EM DEFESA DA VIDA</v>
      </c>
    </row>
    <row r="1155" spans="2:10" ht="35.1" customHeight="1" x14ac:dyDescent="0.25">
      <c r="B1155" s="1620"/>
      <c r="C1155" s="1621"/>
      <c r="D1155" s="1623"/>
      <c r="E1155" s="1620"/>
      <c r="F1155" s="1621"/>
      <c r="G1155" s="1624"/>
      <c r="H1155" s="776" t="s">
        <v>6941</v>
      </c>
      <c r="I1155" s="796">
        <f>F1154</f>
        <v>1025</v>
      </c>
      <c r="J1155" s="764" t="str">
        <f>G1154</f>
        <v>GEST. BLOCO FINAN.: INVEST.  EM ATENÇÃO BÁSICA</v>
      </c>
    </row>
    <row r="1156" spans="2:10" ht="35.1" customHeight="1" thickBot="1" x14ac:dyDescent="0.3">
      <c r="B1156" s="769" t="s">
        <v>6939</v>
      </c>
      <c r="C1156" s="1625">
        <v>300000</v>
      </c>
      <c r="D1156" s="1626"/>
      <c r="E1156" s="769" t="s">
        <v>6939</v>
      </c>
      <c r="F1156" s="1625">
        <v>75000</v>
      </c>
      <c r="G1156" s="1627"/>
      <c r="H1156" s="778" t="s">
        <v>6939</v>
      </c>
      <c r="I1156" s="1625">
        <f>DESPORC!I3526</f>
        <v>1</v>
      </c>
      <c r="J1156" s="1627"/>
    </row>
    <row r="1157" spans="2:10" ht="35.1" customHeight="1" x14ac:dyDescent="0.25">
      <c r="B1157" s="1628" t="s">
        <v>3137</v>
      </c>
      <c r="C1157" s="1615" t="str">
        <f>'[3]Anexo I - Programas'!$B$722</f>
        <v>100</v>
      </c>
      <c r="D1157" s="1629" t="str">
        <f>'[3]Anexo I - Programas'!$C$722</f>
        <v>ATENÇÃO A SAÚDE EM DEFESA DA VIDA</v>
      </c>
      <c r="E1157" s="1628" t="s">
        <v>3137</v>
      </c>
      <c r="F1157" s="1615" t="str">
        <f>C1157</f>
        <v>100</v>
      </c>
      <c r="G1157" s="1617" t="str">
        <f>D1157</f>
        <v>ATENÇÃO A SAÚDE EM DEFESA DA VIDA</v>
      </c>
      <c r="H1157" s="773" t="s">
        <v>3138</v>
      </c>
      <c r="I1157" s="757">
        <f>DESPORC!C3534</f>
        <v>10</v>
      </c>
      <c r="J1157" s="765" t="str">
        <f>DESPORC!D3534</f>
        <v>Saúde</v>
      </c>
    </row>
    <row r="1158" spans="2:10" ht="35.1" customHeight="1" x14ac:dyDescent="0.25">
      <c r="B1158" s="1619"/>
      <c r="C1158" s="1616"/>
      <c r="D1158" s="1630"/>
      <c r="E1158" s="1619"/>
      <c r="F1158" s="1616"/>
      <c r="G1158" s="1618"/>
      <c r="H1158" s="774" t="s">
        <v>6940</v>
      </c>
      <c r="I1158" s="757">
        <f>DESPORC!C3535</f>
        <v>126</v>
      </c>
      <c r="J1158" s="765" t="str">
        <f>DESPORC!D3535</f>
        <v>Tecnologia da Informação</v>
      </c>
    </row>
    <row r="1159" spans="2:10" ht="35.1" customHeight="1" x14ac:dyDescent="0.25">
      <c r="B1159" s="1619" t="s">
        <v>6941</v>
      </c>
      <c r="C1159" s="1616">
        <f>'[3]Anexo I - Programas'!$C$741</f>
        <v>1025</v>
      </c>
      <c r="D1159" s="1622" t="str">
        <f>'[3]Anexo I - Programas'!$D$741</f>
        <v>GEST. BLOCO FINAN.: INVEST.  EM ATENÇÃO BÁSICA</v>
      </c>
      <c r="E1159" s="1619" t="s">
        <v>6941</v>
      </c>
      <c r="F1159" s="1616">
        <f>C1159</f>
        <v>1025</v>
      </c>
      <c r="G1159" s="1618" t="str">
        <f>D1159</f>
        <v>GEST. BLOCO FINAN.: INVEST.  EM ATENÇÃO BÁSICA</v>
      </c>
      <c r="H1159" s="775" t="s">
        <v>3137</v>
      </c>
      <c r="I1159" s="795" t="str">
        <f>F1157</f>
        <v>100</v>
      </c>
      <c r="J1159" s="762" t="str">
        <f>G1157</f>
        <v>ATENÇÃO A SAÚDE EM DEFESA DA VIDA</v>
      </c>
    </row>
    <row r="1160" spans="2:10" ht="35.1" customHeight="1" x14ac:dyDescent="0.25">
      <c r="B1160" s="1620"/>
      <c r="C1160" s="1621"/>
      <c r="D1160" s="1623"/>
      <c r="E1160" s="1620"/>
      <c r="F1160" s="1621"/>
      <c r="G1160" s="1624"/>
      <c r="H1160" s="776" t="s">
        <v>6941</v>
      </c>
      <c r="I1160" s="796">
        <f>F1159</f>
        <v>1025</v>
      </c>
      <c r="J1160" s="764" t="str">
        <f>G1159</f>
        <v>GEST. BLOCO FINAN.: INVEST.  EM ATENÇÃO BÁSICA</v>
      </c>
    </row>
    <row r="1161" spans="2:10" ht="35.1" customHeight="1" thickBot="1" x14ac:dyDescent="0.3">
      <c r="B1161" s="769" t="s">
        <v>6939</v>
      </c>
      <c r="C1161" s="1625">
        <v>300000</v>
      </c>
      <c r="D1161" s="1626"/>
      <c r="E1161" s="769" t="s">
        <v>6939</v>
      </c>
      <c r="F1161" s="1625">
        <v>75000</v>
      </c>
      <c r="G1161" s="1627"/>
      <c r="H1161" s="778" t="s">
        <v>6939</v>
      </c>
      <c r="I1161" s="1625">
        <f>DESPORC!I3537</f>
        <v>1</v>
      </c>
      <c r="J1161" s="1627"/>
    </row>
    <row r="1162" spans="2:10" ht="35.1" customHeight="1" x14ac:dyDescent="0.25">
      <c r="B1162" s="1628" t="s">
        <v>3137</v>
      </c>
      <c r="C1162" s="1615" t="str">
        <f>'[3]Anexo I - Programas'!$B$722</f>
        <v>100</v>
      </c>
      <c r="D1162" s="1629" t="str">
        <f>'[3]Anexo I - Programas'!$C$722</f>
        <v>ATENÇÃO A SAÚDE EM DEFESA DA VIDA</v>
      </c>
      <c r="E1162" s="1628" t="s">
        <v>3137</v>
      </c>
      <c r="F1162" s="1615" t="str">
        <f>C1162</f>
        <v>100</v>
      </c>
      <c r="G1162" s="1617" t="str">
        <f>D1162</f>
        <v>ATENÇÃO A SAÚDE EM DEFESA DA VIDA</v>
      </c>
      <c r="H1162" s="773" t="s">
        <v>3138</v>
      </c>
      <c r="I1162" s="757">
        <f>DESPORC!C3545</f>
        <v>10</v>
      </c>
      <c r="J1162" s="765" t="str">
        <f>DESPORC!D3545</f>
        <v>Saúde</v>
      </c>
    </row>
    <row r="1163" spans="2:10" ht="35.1" customHeight="1" x14ac:dyDescent="0.25">
      <c r="B1163" s="1619"/>
      <c r="C1163" s="1616"/>
      <c r="D1163" s="1630"/>
      <c r="E1163" s="1619"/>
      <c r="F1163" s="1616"/>
      <c r="G1163" s="1618"/>
      <c r="H1163" s="774" t="s">
        <v>6940</v>
      </c>
      <c r="I1163" s="757">
        <f>DESPORC!C3546</f>
        <v>301</v>
      </c>
      <c r="J1163" s="765" t="str">
        <f>DESPORC!D3548</f>
        <v>GEST. BLOCO FINAN.: INVEST. EM ATENÇÃO BÁSICA</v>
      </c>
    </row>
    <row r="1164" spans="2:10" ht="35.1" customHeight="1" x14ac:dyDescent="0.25">
      <c r="B1164" s="1619" t="s">
        <v>6941</v>
      </c>
      <c r="C1164" s="1616">
        <f>'[3]Anexo I - Programas'!$C$741</f>
        <v>1025</v>
      </c>
      <c r="D1164" s="1622" t="str">
        <f>'[3]Anexo I - Programas'!$D$741</f>
        <v>GEST. BLOCO FINAN.: INVEST.  EM ATENÇÃO BÁSICA</v>
      </c>
      <c r="E1164" s="1619" t="s">
        <v>6941</v>
      </c>
      <c r="F1164" s="1616">
        <f>C1164</f>
        <v>1025</v>
      </c>
      <c r="G1164" s="1618" t="str">
        <f>D1164</f>
        <v>GEST. BLOCO FINAN.: INVEST.  EM ATENÇÃO BÁSICA</v>
      </c>
      <c r="H1164" s="775" t="s">
        <v>3137</v>
      </c>
      <c r="I1164" s="795" t="str">
        <f>F1162</f>
        <v>100</v>
      </c>
      <c r="J1164" s="762" t="str">
        <f>G1162</f>
        <v>ATENÇÃO A SAÚDE EM DEFESA DA VIDA</v>
      </c>
    </row>
    <row r="1165" spans="2:10" ht="35.1" customHeight="1" x14ac:dyDescent="0.25">
      <c r="B1165" s="1620"/>
      <c r="C1165" s="1621"/>
      <c r="D1165" s="1623"/>
      <c r="E1165" s="1620"/>
      <c r="F1165" s="1621"/>
      <c r="G1165" s="1624"/>
      <c r="H1165" s="776" t="s">
        <v>6941</v>
      </c>
      <c r="I1165" s="796">
        <f>F1164</f>
        <v>1025</v>
      </c>
      <c r="J1165" s="764" t="str">
        <f>G1164</f>
        <v>GEST. BLOCO FINAN.: INVEST.  EM ATENÇÃO BÁSICA</v>
      </c>
    </row>
    <row r="1166" spans="2:10" ht="35.1" customHeight="1" thickBot="1" x14ac:dyDescent="0.3">
      <c r="B1166" s="769" t="s">
        <v>6939</v>
      </c>
      <c r="C1166" s="1625">
        <v>300000</v>
      </c>
      <c r="D1166" s="1626"/>
      <c r="E1166" s="769" t="s">
        <v>6939</v>
      </c>
      <c r="F1166" s="1625">
        <v>75000</v>
      </c>
      <c r="G1166" s="1627"/>
      <c r="H1166" s="778" t="s">
        <v>6939</v>
      </c>
      <c r="I1166" s="1625">
        <f>DESPORC!I3548+DESPORC!I3560</f>
        <v>7.0200000000000014</v>
      </c>
      <c r="J1166" s="1627"/>
    </row>
    <row r="1167" spans="2:10" ht="35.1" customHeight="1" x14ac:dyDescent="0.25">
      <c r="B1167" s="1628" t="s">
        <v>3137</v>
      </c>
      <c r="C1167" s="1615" t="str">
        <f>'[3]Anexo I - Programas'!$B$722</f>
        <v>100</v>
      </c>
      <c r="D1167" s="1629" t="str">
        <f>'[3]Anexo I - Programas'!$C$722</f>
        <v>ATENÇÃO A SAÚDE EM DEFESA DA VIDA</v>
      </c>
      <c r="E1167" s="1628" t="s">
        <v>3137</v>
      </c>
      <c r="F1167" s="1615" t="str">
        <f>C1167</f>
        <v>100</v>
      </c>
      <c r="G1167" s="1617" t="str">
        <f>D1167</f>
        <v>ATENÇÃO A SAÚDE EM DEFESA DA VIDA</v>
      </c>
      <c r="H1167" s="773" t="s">
        <v>3138</v>
      </c>
      <c r="I1167" s="757">
        <f>DESPORC!C3567</f>
        <v>10</v>
      </c>
      <c r="J1167" s="765" t="str">
        <f>DESPORC!D3567</f>
        <v>Saúde</v>
      </c>
    </row>
    <row r="1168" spans="2:10" ht="35.1" customHeight="1" x14ac:dyDescent="0.25">
      <c r="B1168" s="1619"/>
      <c r="C1168" s="1616"/>
      <c r="D1168" s="1630"/>
      <c r="E1168" s="1619"/>
      <c r="F1168" s="1616"/>
      <c r="G1168" s="1618"/>
      <c r="H1168" s="774" t="s">
        <v>6940</v>
      </c>
      <c r="I1168" s="757">
        <f>DESPORC!C3568</f>
        <v>302</v>
      </c>
      <c r="J1168" s="765" t="str">
        <f>DESPORC!D3568</f>
        <v>Assistência Hospitalar e Ambulatorial</v>
      </c>
    </row>
    <row r="1169" spans="2:10" ht="35.1" customHeight="1" x14ac:dyDescent="0.25">
      <c r="B1169" s="1619" t="s">
        <v>6941</v>
      </c>
      <c r="C1169" s="1616">
        <f>'[3]Anexo I - Programas'!$C$746</f>
        <v>1026</v>
      </c>
      <c r="D1169" s="1622" t="str">
        <f>'[3]Anexo I - Programas'!$D$746</f>
        <v>GEST. BLOCO FINAN.: INVEST. EM ASSIST. HOSP. E AMBUL. - MÉDIA E ALTA COMPLEXIDADE</v>
      </c>
      <c r="E1169" s="1619" t="s">
        <v>6941</v>
      </c>
      <c r="F1169" s="1616">
        <f>C1169</f>
        <v>1026</v>
      </c>
      <c r="G1169" s="1618" t="str">
        <f>D1169</f>
        <v>GEST. BLOCO FINAN.: INVEST. EM ASSIST. HOSP. E AMBUL. - MÉDIA E ALTA COMPLEXIDADE</v>
      </c>
      <c r="H1169" s="775" t="s">
        <v>3137</v>
      </c>
      <c r="I1169" s="795" t="str">
        <f>F1167</f>
        <v>100</v>
      </c>
      <c r="J1169" s="762" t="str">
        <f>G1167</f>
        <v>ATENÇÃO A SAÚDE EM DEFESA DA VIDA</v>
      </c>
    </row>
    <row r="1170" spans="2:10" ht="35.1" customHeight="1" x14ac:dyDescent="0.25">
      <c r="B1170" s="1620"/>
      <c r="C1170" s="1621"/>
      <c r="D1170" s="1623"/>
      <c r="E1170" s="1620"/>
      <c r="F1170" s="1621"/>
      <c r="G1170" s="1624"/>
      <c r="H1170" s="776" t="s">
        <v>6941</v>
      </c>
      <c r="I1170" s="796">
        <f>F1169</f>
        <v>1026</v>
      </c>
      <c r="J1170" s="764" t="str">
        <f>G1169</f>
        <v>GEST. BLOCO FINAN.: INVEST. EM ASSIST. HOSP. E AMBUL. - MÉDIA E ALTA COMPLEXIDADE</v>
      </c>
    </row>
    <row r="1171" spans="2:10" ht="35.1" customHeight="1" thickBot="1" x14ac:dyDescent="0.3">
      <c r="B1171" s="769" t="s">
        <v>6939</v>
      </c>
      <c r="C1171" s="1625">
        <v>300000</v>
      </c>
      <c r="D1171" s="1626"/>
      <c r="E1171" s="769" t="s">
        <v>6939</v>
      </c>
      <c r="F1171" s="1625">
        <v>75000</v>
      </c>
      <c r="G1171" s="1627"/>
      <c r="H1171" s="778" t="s">
        <v>6939</v>
      </c>
      <c r="I1171" s="1625">
        <f>DESPORC!I3569</f>
        <v>1</v>
      </c>
      <c r="J1171" s="1627"/>
    </row>
    <row r="1172" spans="2:10" ht="35.1" customHeight="1" x14ac:dyDescent="0.25">
      <c r="B1172" s="1628" t="s">
        <v>3137</v>
      </c>
      <c r="C1172" s="1615" t="str">
        <f>'[3]Anexo I - Programas'!$B$722</f>
        <v>100</v>
      </c>
      <c r="D1172" s="1629" t="str">
        <f>'[3]Anexo I - Programas'!$C$722</f>
        <v>ATENÇÃO A SAÚDE EM DEFESA DA VIDA</v>
      </c>
      <c r="E1172" s="1628" t="s">
        <v>3137</v>
      </c>
      <c r="F1172" s="1615" t="str">
        <f>C1172</f>
        <v>100</v>
      </c>
      <c r="G1172" s="1617" t="str">
        <f>D1172</f>
        <v>ATENÇÃO A SAÚDE EM DEFESA DA VIDA</v>
      </c>
      <c r="H1172" s="773" t="s">
        <v>3138</v>
      </c>
      <c r="I1172" s="757">
        <f>DESPORC!C3576</f>
        <v>10</v>
      </c>
      <c r="J1172" s="765" t="str">
        <f>DESPORC!D3576</f>
        <v>Saúde</v>
      </c>
    </row>
    <row r="1173" spans="2:10" ht="35.1" customHeight="1" x14ac:dyDescent="0.25">
      <c r="B1173" s="1619"/>
      <c r="C1173" s="1616"/>
      <c r="D1173" s="1630"/>
      <c r="E1173" s="1619"/>
      <c r="F1173" s="1616"/>
      <c r="G1173" s="1618"/>
      <c r="H1173" s="774" t="s">
        <v>6940</v>
      </c>
      <c r="I1173" s="757">
        <f>DESPORC!C3577</f>
        <v>304</v>
      </c>
      <c r="J1173" s="765" t="str">
        <f>DESPORC!D3577</f>
        <v>Suporte Profilático e Terapêutico</v>
      </c>
    </row>
    <row r="1174" spans="2:10" ht="35.1" customHeight="1" x14ac:dyDescent="0.25">
      <c r="B1174" s="1619" t="s">
        <v>6941</v>
      </c>
      <c r="C1174" s="1616">
        <f>'[3]Anexo I - Programas'!$C$751</f>
        <v>1027</v>
      </c>
      <c r="D1174" s="1622" t="str">
        <f>'[3]Anexo I - Programas'!$D$751</f>
        <v>GEST. BLOCO FINAN.: INVEST. EM VIGILÂNCIA EM SAÚDE</v>
      </c>
      <c r="E1174" s="1619" t="s">
        <v>6941</v>
      </c>
      <c r="F1174" s="1616">
        <f>C1174</f>
        <v>1027</v>
      </c>
      <c r="G1174" s="1618" t="str">
        <f>D1174</f>
        <v>GEST. BLOCO FINAN.: INVEST. EM VIGILÂNCIA EM SAÚDE</v>
      </c>
      <c r="H1174" s="775" t="s">
        <v>3137</v>
      </c>
      <c r="I1174" s="795" t="str">
        <f>F1172</f>
        <v>100</v>
      </c>
      <c r="J1174" s="762" t="str">
        <f>G1172</f>
        <v>ATENÇÃO A SAÚDE EM DEFESA DA VIDA</v>
      </c>
    </row>
    <row r="1175" spans="2:10" ht="35.1" customHeight="1" x14ac:dyDescent="0.25">
      <c r="B1175" s="1620"/>
      <c r="C1175" s="1621"/>
      <c r="D1175" s="1623"/>
      <c r="E1175" s="1620"/>
      <c r="F1175" s="1621"/>
      <c r="G1175" s="1624"/>
      <c r="H1175" s="776" t="s">
        <v>6941</v>
      </c>
      <c r="I1175" s="796">
        <f>F1174</f>
        <v>1027</v>
      </c>
      <c r="J1175" s="764" t="str">
        <f>G1174</f>
        <v>GEST. BLOCO FINAN.: INVEST. EM VIGILÂNCIA EM SAÚDE</v>
      </c>
    </row>
    <row r="1176" spans="2:10" ht="35.1" customHeight="1" thickBot="1" x14ac:dyDescent="0.3">
      <c r="B1176" s="769" t="s">
        <v>6939</v>
      </c>
      <c r="C1176" s="1625">
        <v>300000</v>
      </c>
      <c r="D1176" s="1626"/>
      <c r="E1176" s="769" t="s">
        <v>6939</v>
      </c>
      <c r="F1176" s="1625">
        <v>75000</v>
      </c>
      <c r="G1176" s="1627"/>
      <c r="H1176" s="778" t="s">
        <v>6939</v>
      </c>
      <c r="I1176" s="1625">
        <f>DESPORC!I3578</f>
        <v>1</v>
      </c>
      <c r="J1176" s="1627"/>
    </row>
    <row r="1177" spans="2:10" ht="35.1" customHeight="1" x14ac:dyDescent="0.25">
      <c r="B1177" s="804"/>
      <c r="C1177" s="805"/>
      <c r="D1177" s="806"/>
      <c r="E1177" s="804"/>
      <c r="F1177" s="805"/>
      <c r="G1177" s="806"/>
      <c r="H1177" s="804"/>
      <c r="I1177" s="805"/>
      <c r="J1177" s="806"/>
    </row>
    <row r="1178" spans="2:10" ht="35.1" customHeight="1" thickBot="1" x14ac:dyDescent="0.3">
      <c r="B1178" s="267"/>
      <c r="C1178" s="807"/>
      <c r="D1178" s="257"/>
      <c r="E1178" s="267"/>
      <c r="F1178" s="807"/>
      <c r="G1178" s="257"/>
      <c r="H1178" s="267"/>
      <c r="I1178" s="807"/>
      <c r="J1178" s="257"/>
    </row>
    <row r="1179" spans="2:10" ht="35.1" customHeight="1" x14ac:dyDescent="0.25">
      <c r="B1179" s="1782" t="s">
        <v>3137</v>
      </c>
      <c r="C1179" s="1783" t="str">
        <f>'[3]Anexo I - Programas'!$B$722</f>
        <v>100</v>
      </c>
      <c r="D1179" s="1784" t="str">
        <f>'[3]Anexo I - Programas'!$C$722</f>
        <v>ATENÇÃO A SAÚDE EM DEFESA DA VIDA</v>
      </c>
      <c r="E1179" s="1782" t="s">
        <v>3137</v>
      </c>
      <c r="F1179" s="1783" t="str">
        <f>C1179</f>
        <v>100</v>
      </c>
      <c r="G1179" s="1785" t="str">
        <f>D1179</f>
        <v>ATENÇÃO A SAÚDE EM DEFESA DA VIDA</v>
      </c>
      <c r="H1179" s="937" t="s">
        <v>3138</v>
      </c>
      <c r="I1179" s="938">
        <f>DESPORC!C3585</f>
        <v>10</v>
      </c>
      <c r="J1179" s="939" t="str">
        <f>DESPORC!D3585</f>
        <v>Saúde</v>
      </c>
    </row>
    <row r="1180" spans="2:10" ht="35.1" customHeight="1" x14ac:dyDescent="0.25">
      <c r="B1180" s="1619"/>
      <c r="C1180" s="1616"/>
      <c r="D1180" s="1630"/>
      <c r="E1180" s="1619"/>
      <c r="F1180" s="1616"/>
      <c r="G1180" s="1618"/>
      <c r="H1180" s="774" t="s">
        <v>6940</v>
      </c>
      <c r="I1180" s="757">
        <f>DESPORC!C3586</f>
        <v>122</v>
      </c>
      <c r="J1180" s="765" t="str">
        <f>DESPORC!D3586</f>
        <v>Administração Geral</v>
      </c>
    </row>
    <row r="1181" spans="2:10" ht="35.1" customHeight="1" x14ac:dyDescent="0.25">
      <c r="B1181" s="1619" t="s">
        <v>6941</v>
      </c>
      <c r="C1181" s="1616">
        <f>'[3]Anexo I - Programas'!$C$786</f>
        <v>2044</v>
      </c>
      <c r="D1181" s="1622" t="str">
        <f>'[3]Anexo I - Programas'!$D$786</f>
        <v>Gestão do Bloco Financiamento: Gestão do SUS</v>
      </c>
      <c r="E1181" s="1619" t="s">
        <v>6941</v>
      </c>
      <c r="F1181" s="1616">
        <f>C1181</f>
        <v>2044</v>
      </c>
      <c r="G1181" s="1618" t="str">
        <f>D1181</f>
        <v>Gestão do Bloco Financiamento: Gestão do SUS</v>
      </c>
      <c r="H1181" s="775" t="s">
        <v>3137</v>
      </c>
      <c r="I1181" s="795" t="str">
        <f>F1179</f>
        <v>100</v>
      </c>
      <c r="J1181" s="762" t="str">
        <f>G1179</f>
        <v>ATENÇÃO A SAÚDE EM DEFESA DA VIDA</v>
      </c>
    </row>
    <row r="1182" spans="2:10" ht="35.1" customHeight="1" x14ac:dyDescent="0.25">
      <c r="B1182" s="1620"/>
      <c r="C1182" s="1621"/>
      <c r="D1182" s="1623"/>
      <c r="E1182" s="1620"/>
      <c r="F1182" s="1621"/>
      <c r="G1182" s="1624"/>
      <c r="H1182" s="776" t="s">
        <v>6941</v>
      </c>
      <c r="I1182" s="796">
        <f>F1181</f>
        <v>2044</v>
      </c>
      <c r="J1182" s="764" t="str">
        <f>G1181</f>
        <v>Gestão do Bloco Financiamento: Gestão do SUS</v>
      </c>
    </row>
    <row r="1183" spans="2:10" ht="35.1" customHeight="1" thickBot="1" x14ac:dyDescent="0.3">
      <c r="B1183" s="769" t="s">
        <v>6939</v>
      </c>
      <c r="C1183" s="1625">
        <v>500000</v>
      </c>
      <c r="D1183" s="1626"/>
      <c r="E1183" s="769" t="s">
        <v>6939</v>
      </c>
      <c r="F1183" s="1625">
        <v>125000</v>
      </c>
      <c r="G1183" s="1627"/>
      <c r="H1183" s="778" t="s">
        <v>6939</v>
      </c>
      <c r="I1183" s="1625">
        <f>DESPORC!I3587</f>
        <v>1.1122248199102067</v>
      </c>
      <c r="J1183" s="1627"/>
    </row>
    <row r="1184" spans="2:10" ht="35.1" customHeight="1" x14ac:dyDescent="0.25">
      <c r="B1184" s="1628" t="s">
        <v>3137</v>
      </c>
      <c r="C1184" s="1615" t="str">
        <f>'[3]Anexo I - Programas'!$B$722</f>
        <v>100</v>
      </c>
      <c r="D1184" s="1629" t="str">
        <f>'[3]Anexo I - Programas'!$C$722</f>
        <v>ATENÇÃO A SAÚDE EM DEFESA DA VIDA</v>
      </c>
      <c r="E1184" s="1628" t="s">
        <v>3137</v>
      </c>
      <c r="F1184" s="1615" t="str">
        <f>C1184</f>
        <v>100</v>
      </c>
      <c r="G1184" s="1617" t="str">
        <f>D1184</f>
        <v>ATENÇÃO A SAÚDE EM DEFESA DA VIDA</v>
      </c>
      <c r="H1184" s="773" t="s">
        <v>3138</v>
      </c>
      <c r="I1184" s="757">
        <f>DESPORC!C3595</f>
        <v>10</v>
      </c>
      <c r="J1184" s="765" t="str">
        <f>DESPORC!D3595</f>
        <v>Saúde</v>
      </c>
    </row>
    <row r="1185" spans="2:10" ht="35.1" customHeight="1" x14ac:dyDescent="0.25">
      <c r="B1185" s="1619"/>
      <c r="C1185" s="1616"/>
      <c r="D1185" s="1630"/>
      <c r="E1185" s="1619"/>
      <c r="F1185" s="1616"/>
      <c r="G1185" s="1618"/>
      <c r="H1185" s="774" t="s">
        <v>6940</v>
      </c>
      <c r="I1185" s="757">
        <f>DESPORC!C3596</f>
        <v>301</v>
      </c>
      <c r="J1185" s="765" t="str">
        <f>DESPORC!D3596</f>
        <v>Atenção Básica</v>
      </c>
    </row>
    <row r="1186" spans="2:10" ht="35.1" customHeight="1" x14ac:dyDescent="0.25">
      <c r="B1186" s="1619" t="s">
        <v>6941</v>
      </c>
      <c r="C1186" s="1616">
        <f>'[3]Anexo I - Programas'!$C$768</f>
        <v>2029</v>
      </c>
      <c r="D1186" s="1622" t="str">
        <f>'[3]Anexo I - Programas'!$D$768</f>
        <v>Gestão do Bloco Financiamento: Atenção Básica</v>
      </c>
      <c r="E1186" s="1619" t="s">
        <v>6941</v>
      </c>
      <c r="F1186" s="1616">
        <f>C1186</f>
        <v>2029</v>
      </c>
      <c r="G1186" s="1618" t="str">
        <f>D1186</f>
        <v>Gestão do Bloco Financiamento: Atenção Básica</v>
      </c>
      <c r="H1186" s="775" t="s">
        <v>3137</v>
      </c>
      <c r="I1186" s="795" t="str">
        <f>F1184</f>
        <v>100</v>
      </c>
      <c r="J1186" s="762" t="str">
        <f>G1184</f>
        <v>ATENÇÃO A SAÚDE EM DEFESA DA VIDA</v>
      </c>
    </row>
    <row r="1187" spans="2:10" ht="35.1" customHeight="1" x14ac:dyDescent="0.25">
      <c r="B1187" s="1620"/>
      <c r="C1187" s="1621"/>
      <c r="D1187" s="1623"/>
      <c r="E1187" s="1620"/>
      <c r="F1187" s="1621"/>
      <c r="G1187" s="1624"/>
      <c r="H1187" s="776" t="s">
        <v>6941</v>
      </c>
      <c r="I1187" s="796">
        <f>F1186</f>
        <v>2029</v>
      </c>
      <c r="J1187" s="764" t="str">
        <f>G1186</f>
        <v>Gestão do Bloco Financiamento: Atenção Básica</v>
      </c>
    </row>
    <row r="1188" spans="2:10" ht="35.1" customHeight="1" thickBot="1" x14ac:dyDescent="0.3">
      <c r="B1188" s="769" t="s">
        <v>6939</v>
      </c>
      <c r="C1188" s="1625">
        <v>1600000</v>
      </c>
      <c r="D1188" s="1626"/>
      <c r="E1188" s="769" t="s">
        <v>6939</v>
      </c>
      <c r="F1188" s="1625">
        <v>400000</v>
      </c>
      <c r="G1188" s="1627"/>
      <c r="H1188" s="778" t="s">
        <v>6939</v>
      </c>
      <c r="I1188" s="1625">
        <f>DESPORC!I3597</f>
        <v>318514.05657192611</v>
      </c>
      <c r="J1188" s="1627"/>
    </row>
    <row r="1189" spans="2:10" ht="35.1" customHeight="1" x14ac:dyDescent="0.25">
      <c r="B1189" s="1628" t="s">
        <v>3137</v>
      </c>
      <c r="C1189" s="1615" t="str">
        <f>'[3]Anexo I - Programas'!$B$722</f>
        <v>100</v>
      </c>
      <c r="D1189" s="1629" t="str">
        <f>'[3]Anexo I - Programas'!$C$722</f>
        <v>ATENÇÃO A SAÚDE EM DEFESA DA VIDA</v>
      </c>
      <c r="E1189" s="1628" t="s">
        <v>3137</v>
      </c>
      <c r="F1189" s="1615" t="str">
        <f>C1189</f>
        <v>100</v>
      </c>
      <c r="G1189" s="1617" t="str">
        <f>D1189</f>
        <v>ATENÇÃO A SAÚDE EM DEFESA DA VIDA</v>
      </c>
      <c r="H1189" s="773" t="s">
        <v>3138</v>
      </c>
      <c r="I1189" s="757">
        <f>DESPORC!C3606</f>
        <v>10</v>
      </c>
      <c r="J1189" s="765" t="str">
        <f>DESPORC!D3606</f>
        <v>Saúde</v>
      </c>
    </row>
    <row r="1190" spans="2:10" ht="35.1" customHeight="1" x14ac:dyDescent="0.25">
      <c r="B1190" s="1619"/>
      <c r="C1190" s="1616"/>
      <c r="D1190" s="1630"/>
      <c r="E1190" s="1619"/>
      <c r="F1190" s="1616"/>
      <c r="G1190" s="1618"/>
      <c r="H1190" s="774" t="s">
        <v>6940</v>
      </c>
      <c r="I1190" s="757">
        <f>DESPORC!C3607</f>
        <v>302</v>
      </c>
      <c r="J1190" s="765" t="str">
        <f>DESPORC!D3607</f>
        <v>Assistência Hospitalar e Ambulatorial</v>
      </c>
    </row>
    <row r="1191" spans="2:10" ht="35.1" customHeight="1" x14ac:dyDescent="0.25">
      <c r="B1191" s="1619" t="s">
        <v>6941</v>
      </c>
      <c r="C1191" s="1616">
        <f>'[3]Anexo I - Programas'!$C$774</f>
        <v>2042</v>
      </c>
      <c r="D1191" s="1622" t="str">
        <f>'[3]Anexo I - Programas'!$D$774</f>
        <v>Gestão do Bloco Financiamento: Atenção de Média e Alta Complexidade Ambulatorial e Hospitalar</v>
      </c>
      <c r="E1191" s="1619" t="s">
        <v>6941</v>
      </c>
      <c r="F1191" s="1616">
        <f>C1191</f>
        <v>2042</v>
      </c>
      <c r="G1191" s="1618" t="str">
        <f>D1191</f>
        <v>Gestão do Bloco Financiamento: Atenção de Média e Alta Complexidade Ambulatorial e Hospitalar</v>
      </c>
      <c r="H1191" s="775" t="s">
        <v>3137</v>
      </c>
      <c r="I1191" s="795" t="str">
        <f>F1189</f>
        <v>100</v>
      </c>
      <c r="J1191" s="762" t="str">
        <f>G1189</f>
        <v>ATENÇÃO A SAÚDE EM DEFESA DA VIDA</v>
      </c>
    </row>
    <row r="1192" spans="2:10" ht="35.1" customHeight="1" x14ac:dyDescent="0.25">
      <c r="B1192" s="1620"/>
      <c r="C1192" s="1621"/>
      <c r="D1192" s="1623"/>
      <c r="E1192" s="1620"/>
      <c r="F1192" s="1621"/>
      <c r="G1192" s="1624"/>
      <c r="H1192" s="776" t="s">
        <v>6941</v>
      </c>
      <c r="I1192" s="796">
        <f>F1191</f>
        <v>2042</v>
      </c>
      <c r="J1192" s="764" t="str">
        <f>G1191</f>
        <v>Gestão do Bloco Financiamento: Atenção de Média e Alta Complexidade Ambulatorial e Hospitalar</v>
      </c>
    </row>
    <row r="1193" spans="2:10" ht="35.1" customHeight="1" thickBot="1" x14ac:dyDescent="0.3">
      <c r="B1193" s="769" t="s">
        <v>6939</v>
      </c>
      <c r="C1193" s="1625">
        <v>1000000</v>
      </c>
      <c r="D1193" s="1626"/>
      <c r="E1193" s="769" t="s">
        <v>6939</v>
      </c>
      <c r="F1193" s="1625">
        <v>250000</v>
      </c>
      <c r="G1193" s="1627"/>
      <c r="H1193" s="778" t="s">
        <v>6939</v>
      </c>
      <c r="I1193" s="1625">
        <f>DESPORC!I3608</f>
        <v>1.1122248199102067</v>
      </c>
      <c r="J1193" s="1627"/>
    </row>
    <row r="1194" spans="2:10" ht="35.1" customHeight="1" x14ac:dyDescent="0.25">
      <c r="B1194" s="1628" t="s">
        <v>3137</v>
      </c>
      <c r="C1194" s="1615" t="str">
        <f>'[3]Anexo I - Programas'!$B$722</f>
        <v>100</v>
      </c>
      <c r="D1194" s="1629" t="str">
        <f>'[3]Anexo I - Programas'!$C$722</f>
        <v>ATENÇÃO A SAÚDE EM DEFESA DA VIDA</v>
      </c>
      <c r="E1194" s="1628" t="s">
        <v>3137</v>
      </c>
      <c r="F1194" s="1615" t="str">
        <f>C1194</f>
        <v>100</v>
      </c>
      <c r="G1194" s="1617" t="str">
        <f>D1194</f>
        <v>ATENÇÃO A SAÚDE EM DEFESA DA VIDA</v>
      </c>
      <c r="H1194" s="773" t="s">
        <v>3138</v>
      </c>
      <c r="I1194" s="757">
        <f>DESPORC!C3618</f>
        <v>10</v>
      </c>
      <c r="J1194" s="765" t="str">
        <f>DESPORC!D3618</f>
        <v>Saúde</v>
      </c>
    </row>
    <row r="1195" spans="2:10" ht="35.1" customHeight="1" x14ac:dyDescent="0.25">
      <c r="B1195" s="1619"/>
      <c r="C1195" s="1616"/>
      <c r="D1195" s="1630"/>
      <c r="E1195" s="1619"/>
      <c r="F1195" s="1616"/>
      <c r="G1195" s="1618"/>
      <c r="H1195" s="774" t="s">
        <v>6940</v>
      </c>
      <c r="I1195" s="757">
        <f>DESPORC!C3619</f>
        <v>303</v>
      </c>
      <c r="J1195" s="765" t="str">
        <f>DESPORC!D3619</f>
        <v>Suporte Profilático e Terapêutico</v>
      </c>
    </row>
    <row r="1196" spans="2:10" ht="35.1" customHeight="1" x14ac:dyDescent="0.25">
      <c r="B1196" s="1619" t="s">
        <v>6941</v>
      </c>
      <c r="C1196" s="1616">
        <f>'[3]Anexo I - Programas'!$C$780</f>
        <v>2043</v>
      </c>
      <c r="D1196" s="1622" t="str">
        <f>'[3]Anexo I - Programas'!$D$780</f>
        <v>Gestão do Bloco Financiamento: Assistência Farmacêutica</v>
      </c>
      <c r="E1196" s="1619" t="s">
        <v>6941</v>
      </c>
      <c r="F1196" s="1616">
        <f>C1196</f>
        <v>2043</v>
      </c>
      <c r="G1196" s="1618" t="str">
        <f>D1196</f>
        <v>Gestão do Bloco Financiamento: Assistência Farmacêutica</v>
      </c>
      <c r="H1196" s="775" t="s">
        <v>3137</v>
      </c>
      <c r="I1196" s="795" t="str">
        <f>F1194</f>
        <v>100</v>
      </c>
      <c r="J1196" s="762" t="str">
        <f>G1194</f>
        <v>ATENÇÃO A SAÚDE EM DEFESA DA VIDA</v>
      </c>
    </row>
    <row r="1197" spans="2:10" ht="35.1" customHeight="1" x14ac:dyDescent="0.25">
      <c r="B1197" s="1620"/>
      <c r="C1197" s="1621"/>
      <c r="D1197" s="1623"/>
      <c r="E1197" s="1620"/>
      <c r="F1197" s="1621"/>
      <c r="G1197" s="1624"/>
      <c r="H1197" s="776" t="s">
        <v>6941</v>
      </c>
      <c r="I1197" s="796">
        <f>F1196</f>
        <v>2043</v>
      </c>
      <c r="J1197" s="764" t="str">
        <f>G1196</f>
        <v>Gestão do Bloco Financiamento: Assistência Farmacêutica</v>
      </c>
    </row>
    <row r="1198" spans="2:10" ht="35.1" customHeight="1" thickBot="1" x14ac:dyDescent="0.3">
      <c r="B1198" s="769" t="s">
        <v>6939</v>
      </c>
      <c r="C1198" s="1625">
        <v>500000</v>
      </c>
      <c r="D1198" s="1626"/>
      <c r="E1198" s="769" t="s">
        <v>6939</v>
      </c>
      <c r="F1198" s="1625">
        <v>1250000</v>
      </c>
      <c r="G1198" s="1627"/>
      <c r="H1198" s="778" t="s">
        <v>6939</v>
      </c>
      <c r="I1198" s="1625">
        <f>DESPORC!I3621</f>
        <v>37893.235543623494</v>
      </c>
      <c r="J1198" s="1627"/>
    </row>
    <row r="1199" spans="2:10" ht="35.1" customHeight="1" x14ac:dyDescent="0.25">
      <c r="B1199" s="1628" t="s">
        <v>3137</v>
      </c>
      <c r="C1199" s="1615" t="str">
        <f>'[3]Anexo I - Programas'!$B$722</f>
        <v>100</v>
      </c>
      <c r="D1199" s="1629" t="str">
        <f>'[3]Anexo I - Programas'!$C$722</f>
        <v>ATENÇÃO A SAÚDE EM DEFESA DA VIDA</v>
      </c>
      <c r="E1199" s="1628" t="s">
        <v>3137</v>
      </c>
      <c r="F1199" s="1615" t="str">
        <f>C1199</f>
        <v>100</v>
      </c>
      <c r="G1199" s="1617" t="str">
        <f>D1199</f>
        <v>ATENÇÃO A SAÚDE EM DEFESA DA VIDA</v>
      </c>
      <c r="H1199" s="773" t="s">
        <v>3138</v>
      </c>
      <c r="I1199" s="757">
        <f>DESPORC!C3625</f>
        <v>10</v>
      </c>
      <c r="J1199" s="765" t="str">
        <f>DESPORC!D3625</f>
        <v>Saúde</v>
      </c>
    </row>
    <row r="1200" spans="2:10" ht="35.1" customHeight="1" x14ac:dyDescent="0.25">
      <c r="B1200" s="1619"/>
      <c r="C1200" s="1616"/>
      <c r="D1200" s="1630"/>
      <c r="E1200" s="1619"/>
      <c r="F1200" s="1616"/>
      <c r="G1200" s="1618"/>
      <c r="H1200" s="774" t="s">
        <v>6940</v>
      </c>
      <c r="I1200" s="757">
        <f>DESPORC!C3626</f>
        <v>304</v>
      </c>
      <c r="J1200" s="765" t="str">
        <f>DESPORC!D3626</f>
        <v>Vigilância Sanitária</v>
      </c>
    </row>
    <row r="1201" spans="2:10" ht="35.1" customHeight="1" x14ac:dyDescent="0.25">
      <c r="B1201" s="1619" t="s">
        <v>6941</v>
      </c>
      <c r="C1201" s="1616">
        <f>'[3]Anexo I - Programas'!$C$798</f>
        <v>2046</v>
      </c>
      <c r="D1201" s="1622" t="str">
        <f>'[3]Anexo I - Programas'!$D$798</f>
        <v>Gestão do Bloco Financiamento: Vigilância em Saúde</v>
      </c>
      <c r="E1201" s="1619" t="s">
        <v>6941</v>
      </c>
      <c r="F1201" s="1616">
        <f>C1201</f>
        <v>2046</v>
      </c>
      <c r="G1201" s="1618" t="str">
        <f>D1201</f>
        <v>Gestão do Bloco Financiamento: Vigilância em Saúde</v>
      </c>
      <c r="H1201" s="775" t="s">
        <v>3137</v>
      </c>
      <c r="I1201" s="795" t="str">
        <f>F1199</f>
        <v>100</v>
      </c>
      <c r="J1201" s="762" t="str">
        <f>G1199</f>
        <v>ATENÇÃO A SAÚDE EM DEFESA DA VIDA</v>
      </c>
    </row>
    <row r="1202" spans="2:10" ht="35.1" customHeight="1" x14ac:dyDescent="0.25">
      <c r="B1202" s="1620"/>
      <c r="C1202" s="1621"/>
      <c r="D1202" s="1623"/>
      <c r="E1202" s="1620"/>
      <c r="F1202" s="1621"/>
      <c r="G1202" s="1624"/>
      <c r="H1202" s="776" t="s">
        <v>6941</v>
      </c>
      <c r="I1202" s="796">
        <f>F1201</f>
        <v>2046</v>
      </c>
      <c r="J1202" s="764" t="str">
        <f>G1201</f>
        <v>Gestão do Bloco Financiamento: Vigilância em Saúde</v>
      </c>
    </row>
    <row r="1203" spans="2:10" ht="35.1" customHeight="1" thickBot="1" x14ac:dyDescent="0.3">
      <c r="B1203" s="769" t="s">
        <v>6939</v>
      </c>
      <c r="C1203" s="1625">
        <v>100000</v>
      </c>
      <c r="D1203" s="1626"/>
      <c r="E1203" s="769" t="s">
        <v>6939</v>
      </c>
      <c r="F1203" s="1625">
        <v>25000</v>
      </c>
      <c r="G1203" s="1627"/>
      <c r="H1203" s="778" t="s">
        <v>6939</v>
      </c>
      <c r="I1203" s="1625">
        <f>DESPORC!I3628</f>
        <v>37697.624903675685</v>
      </c>
      <c r="J1203" s="1627"/>
    </row>
    <row r="1204" spans="2:10" ht="35.1" customHeight="1" x14ac:dyDescent="0.25">
      <c r="J1204" s="15"/>
    </row>
    <row r="1205" spans="2:10" ht="35.1" customHeight="1" x14ac:dyDescent="0.25">
      <c r="B1205" s="1631" t="s">
        <v>6927</v>
      </c>
      <c r="C1205" s="1631"/>
      <c r="D1205" s="755" t="str">
        <f>DESPORC!C3668</f>
        <v>05 - SECRETARIA MUNICIPAL DE ASSISTENCIA SOCIAL</v>
      </c>
      <c r="E1205" s="797"/>
      <c r="F1205" s="798"/>
      <c r="G1205" s="798"/>
      <c r="H1205" s="797"/>
      <c r="I1205" s="798"/>
      <c r="J1205" s="798"/>
    </row>
    <row r="1206" spans="2:10" ht="35.1" customHeight="1" thickBot="1" x14ac:dyDescent="0.3">
      <c r="B1206" s="1632" t="s">
        <v>3087</v>
      </c>
      <c r="C1206" s="1632"/>
      <c r="D1206" s="755" t="str">
        <f>DESPORC!C3669</f>
        <v>01 - GESTÃO, COORDENAÇÃO E PLANEJAMENTO ADMINISTRATIVO</v>
      </c>
      <c r="E1206" s="797"/>
      <c r="F1206" s="36"/>
      <c r="G1206" s="1"/>
      <c r="H1206" s="772"/>
      <c r="I1206" s="1"/>
      <c r="J1206" s="1"/>
    </row>
    <row r="1207" spans="2:10" ht="35.1" customHeight="1" thickBot="1" x14ac:dyDescent="0.3">
      <c r="B1207" s="1776" t="s">
        <v>6955</v>
      </c>
      <c r="C1207" s="1777"/>
      <c r="D1207" s="1778"/>
      <c r="E1207" s="1776" t="str">
        <f>E$12</f>
        <v>PRIORIDADES LDO LEI MUNICIPAL N.º 1215  DE 02 DE OUTUBRO DE 2019.</v>
      </c>
      <c r="F1207" s="1777"/>
      <c r="G1207" s="1778"/>
      <c r="H1207" s="1779" t="s">
        <v>6956</v>
      </c>
      <c r="I1207" s="1780"/>
      <c r="J1207" s="1781"/>
    </row>
    <row r="1208" spans="2:10" ht="35.1" customHeight="1" x14ac:dyDescent="0.25">
      <c r="B1208" s="1628" t="s">
        <v>3137</v>
      </c>
      <c r="C1208" s="1615" t="str">
        <f>'[3]Anexo I - Programas'!$B$390</f>
        <v>12</v>
      </c>
      <c r="D1208" s="1629" t="str">
        <f>'[3]Anexo I - Programas'!$C$390</f>
        <v>GESTÃO E AÇÕES DE ASSISTENCIA SOCIAL</v>
      </c>
      <c r="E1208" s="1628" t="s">
        <v>3137</v>
      </c>
      <c r="F1208" s="1615" t="str">
        <f>C1208</f>
        <v>12</v>
      </c>
      <c r="G1208" s="1617" t="str">
        <f>D1208</f>
        <v>GESTÃO E AÇÕES DE ASSISTENCIA SOCIAL</v>
      </c>
      <c r="H1208" s="773" t="s">
        <v>3138</v>
      </c>
      <c r="I1208" s="757">
        <f>DESPORC!C3671</f>
        <v>8</v>
      </c>
      <c r="J1208" s="765" t="str">
        <f>DESPORC!D3671</f>
        <v>Assistência Social</v>
      </c>
    </row>
    <row r="1209" spans="2:10" ht="35.1" customHeight="1" x14ac:dyDescent="0.25">
      <c r="B1209" s="1619"/>
      <c r="C1209" s="1616"/>
      <c r="D1209" s="1630"/>
      <c r="E1209" s="1619"/>
      <c r="F1209" s="1616"/>
      <c r="G1209" s="1618"/>
      <c r="H1209" s="774" t="s">
        <v>6940</v>
      </c>
      <c r="I1209" s="757">
        <f>DESPORC!C3672</f>
        <v>122</v>
      </c>
      <c r="J1209" s="765" t="str">
        <f>DESPORC!D3672</f>
        <v>Administração Geral</v>
      </c>
    </row>
    <row r="1210" spans="2:10" ht="35.1" customHeight="1" x14ac:dyDescent="0.25">
      <c r="B1210" s="1619" t="s">
        <v>6941</v>
      </c>
      <c r="C1210" s="1616">
        <f>'[3]Anexo I - Programas'!$C$399</f>
        <v>1011</v>
      </c>
      <c r="D1210" s="1622" t="str">
        <f>'[3]Anexo I - Programas'!$D$399</f>
        <v>Novos Investimentos em Assistencia Social</v>
      </c>
      <c r="E1210" s="1619" t="s">
        <v>6941</v>
      </c>
      <c r="F1210" s="1616">
        <f>C1210</f>
        <v>1011</v>
      </c>
      <c r="G1210" s="1618" t="str">
        <f>D1210</f>
        <v>Novos Investimentos em Assistencia Social</v>
      </c>
      <c r="H1210" s="775" t="s">
        <v>3137</v>
      </c>
      <c r="I1210" s="795" t="str">
        <f>F1208</f>
        <v>12</v>
      </c>
      <c r="J1210" s="762" t="str">
        <f>G1208</f>
        <v>GESTÃO E AÇÕES DE ASSISTENCIA SOCIAL</v>
      </c>
    </row>
    <row r="1211" spans="2:10" ht="35.1" customHeight="1" x14ac:dyDescent="0.25">
      <c r="B1211" s="1620"/>
      <c r="C1211" s="1621"/>
      <c r="D1211" s="1623"/>
      <c r="E1211" s="1620"/>
      <c r="F1211" s="1621"/>
      <c r="G1211" s="1624"/>
      <c r="H1211" s="776" t="s">
        <v>6941</v>
      </c>
      <c r="I1211" s="796">
        <f>F1210</f>
        <v>1011</v>
      </c>
      <c r="J1211" s="764" t="str">
        <f>G1210</f>
        <v>Novos Investimentos em Assistencia Social</v>
      </c>
    </row>
    <row r="1212" spans="2:10" ht="35.1" customHeight="1" thickBot="1" x14ac:dyDescent="0.3">
      <c r="B1212" s="769" t="s">
        <v>6939</v>
      </c>
      <c r="C1212" s="1625">
        <v>530000</v>
      </c>
      <c r="D1212" s="1626"/>
      <c r="E1212" s="769" t="s">
        <v>6939</v>
      </c>
      <c r="F1212" s="1625">
        <v>132500</v>
      </c>
      <c r="G1212" s="1627"/>
      <c r="H1212" s="778" t="s">
        <v>6939</v>
      </c>
      <c r="I1212" s="1625">
        <f>DESPORC!I3674+DESPORC!I3684</f>
        <v>0.12000000000000001</v>
      </c>
      <c r="J1212" s="1627"/>
    </row>
    <row r="1213" spans="2:10" ht="35.1" customHeight="1" x14ac:dyDescent="0.25">
      <c r="B1213" s="1628" t="s">
        <v>3137</v>
      </c>
      <c r="C1213" s="1615" t="str">
        <f>'[3]Anexo I - Programas'!$B$390</f>
        <v>12</v>
      </c>
      <c r="D1213" s="1629" t="str">
        <f>'[3]Anexo I - Programas'!$C$390</f>
        <v>GESTÃO E AÇÕES DE ASSISTENCIA SOCIAL</v>
      </c>
      <c r="E1213" s="1628" t="s">
        <v>3137</v>
      </c>
      <c r="F1213" s="1615" t="str">
        <f>C1213</f>
        <v>12</v>
      </c>
      <c r="G1213" s="1617" t="str">
        <f>D1213</f>
        <v>GESTÃO E AÇÕES DE ASSISTENCIA SOCIAL</v>
      </c>
      <c r="H1213" s="773" t="s">
        <v>3138</v>
      </c>
      <c r="I1213" s="757">
        <f>DESPORC!C3691</f>
        <v>8</v>
      </c>
      <c r="J1213" s="765" t="str">
        <f>DESPORC!D3691</f>
        <v>Assistência Social</v>
      </c>
    </row>
    <row r="1214" spans="2:10" ht="35.1" customHeight="1" x14ac:dyDescent="0.25">
      <c r="B1214" s="1619"/>
      <c r="C1214" s="1616"/>
      <c r="D1214" s="1630"/>
      <c r="E1214" s="1619"/>
      <c r="F1214" s="1616"/>
      <c r="G1214" s="1618"/>
      <c r="H1214" s="774" t="s">
        <v>6940</v>
      </c>
      <c r="I1214" s="757">
        <f>DESPORC!C3692</f>
        <v>122</v>
      </c>
      <c r="J1214" s="765" t="str">
        <f>DESPORC!D3692</f>
        <v>Administração Geral</v>
      </c>
    </row>
    <row r="1215" spans="2:10" ht="35.1" customHeight="1" x14ac:dyDescent="0.25">
      <c r="B1215" s="1619" t="s">
        <v>6941</v>
      </c>
      <c r="C1215" s="1616">
        <f>'[3]Anexo I - Programas'!$C$404</f>
        <v>2012</v>
      </c>
      <c r="D1215" s="1622" t="str">
        <f>'[3]Anexo I - Programas'!$D$404</f>
        <v>Gestão, Coord. e Planejamento de Assistência Social</v>
      </c>
      <c r="E1215" s="1619" t="s">
        <v>6941</v>
      </c>
      <c r="F1215" s="1616">
        <f>C1215</f>
        <v>2012</v>
      </c>
      <c r="G1215" s="1618" t="str">
        <f>D1215</f>
        <v>Gestão, Coord. e Planejamento de Assistência Social</v>
      </c>
      <c r="H1215" s="775" t="s">
        <v>3137</v>
      </c>
      <c r="I1215" s="795" t="str">
        <f>F1213</f>
        <v>12</v>
      </c>
      <c r="J1215" s="762" t="str">
        <f>G1213</f>
        <v>GESTÃO E AÇÕES DE ASSISTENCIA SOCIAL</v>
      </c>
    </row>
    <row r="1216" spans="2:10" ht="35.1" customHeight="1" x14ac:dyDescent="0.25">
      <c r="B1216" s="1620"/>
      <c r="C1216" s="1621"/>
      <c r="D1216" s="1623"/>
      <c r="E1216" s="1620"/>
      <c r="F1216" s="1621"/>
      <c r="G1216" s="1624"/>
      <c r="H1216" s="776" t="s">
        <v>6941</v>
      </c>
      <c r="I1216" s="796">
        <f>F1215</f>
        <v>2012</v>
      </c>
      <c r="J1216" s="764" t="str">
        <f>G1215</f>
        <v>Gestão, Coord. e Planejamento de Assistência Social</v>
      </c>
    </row>
    <row r="1217" spans="2:10" ht="35.1" customHeight="1" thickBot="1" x14ac:dyDescent="0.3">
      <c r="B1217" s="769" t="s">
        <v>6939</v>
      </c>
      <c r="C1217" s="1625">
        <v>5080000</v>
      </c>
      <c r="D1217" s="1626"/>
      <c r="E1217" s="769" t="s">
        <v>6939</v>
      </c>
      <c r="F1217" s="1625">
        <v>1270000</v>
      </c>
      <c r="G1217" s="1627"/>
      <c r="H1217" s="778" t="s">
        <v>6939</v>
      </c>
      <c r="I1217" s="1625">
        <f>DESPORC!I3694</f>
        <v>428162.77447597287</v>
      </c>
      <c r="J1217" s="1627"/>
    </row>
    <row r="1218" spans="2:10" ht="35.1" customHeight="1" x14ac:dyDescent="0.25">
      <c r="B1218" s="1628" t="s">
        <v>3137</v>
      </c>
      <c r="C1218" s="1615" t="str">
        <f>'[3]Anexo I - Programas'!$B$390</f>
        <v>12</v>
      </c>
      <c r="D1218" s="1629" t="str">
        <f>'[3]Anexo I - Programas'!$C$390</f>
        <v>GESTÃO E AÇÕES DE ASSISTENCIA SOCIAL</v>
      </c>
      <c r="E1218" s="1628" t="s">
        <v>3137</v>
      </c>
      <c r="F1218" s="1615" t="str">
        <f>C1218</f>
        <v>12</v>
      </c>
      <c r="G1218" s="1617" t="str">
        <f>D1218</f>
        <v>GESTÃO E AÇÕES DE ASSISTENCIA SOCIAL</v>
      </c>
      <c r="H1218" s="773" t="s">
        <v>3138</v>
      </c>
      <c r="I1218" s="757">
        <f>DESPORC!C3716</f>
        <v>8</v>
      </c>
      <c r="J1218" s="765" t="str">
        <f>DESPORC!D3716</f>
        <v>Assistência Social</v>
      </c>
    </row>
    <row r="1219" spans="2:10" ht="35.1" customHeight="1" x14ac:dyDescent="0.25">
      <c r="B1219" s="1619"/>
      <c r="C1219" s="1616"/>
      <c r="D1219" s="1630"/>
      <c r="E1219" s="1619"/>
      <c r="F1219" s="1616"/>
      <c r="G1219" s="1618"/>
      <c r="H1219" s="774" t="s">
        <v>6940</v>
      </c>
      <c r="I1219" s="757">
        <f>DESPORC!C3717</f>
        <v>122</v>
      </c>
      <c r="J1219" s="765" t="str">
        <f>DESPORC!D3717</f>
        <v>Administração Geral</v>
      </c>
    </row>
    <row r="1220" spans="2:10" ht="35.1" customHeight="1" x14ac:dyDescent="0.25">
      <c r="B1220" s="1619" t="s">
        <v>6941</v>
      </c>
      <c r="C1220" s="1616">
        <f>'[3]Anexo I - Programas'!$C$410</f>
        <v>2013</v>
      </c>
      <c r="D1220" s="1622" t="str">
        <f>'[3]Anexo I - Programas'!$D$410</f>
        <v>Promoção da Assistencia Social Básica</v>
      </c>
      <c r="E1220" s="1619" t="s">
        <v>6941</v>
      </c>
      <c r="F1220" s="1616">
        <f>C1220</f>
        <v>2013</v>
      </c>
      <c r="G1220" s="1618" t="str">
        <f>D1220</f>
        <v>Promoção da Assistencia Social Básica</v>
      </c>
      <c r="H1220" s="775" t="s">
        <v>3137</v>
      </c>
      <c r="I1220" s="795" t="str">
        <f>F1218</f>
        <v>12</v>
      </c>
      <c r="J1220" s="762" t="str">
        <f>G1218</f>
        <v>GESTÃO E AÇÕES DE ASSISTENCIA SOCIAL</v>
      </c>
    </row>
    <row r="1221" spans="2:10" ht="35.1" customHeight="1" x14ac:dyDescent="0.25">
      <c r="B1221" s="1620"/>
      <c r="C1221" s="1621"/>
      <c r="D1221" s="1623"/>
      <c r="E1221" s="1620"/>
      <c r="F1221" s="1621"/>
      <c r="G1221" s="1624"/>
      <c r="H1221" s="776" t="s">
        <v>6941</v>
      </c>
      <c r="I1221" s="796">
        <f>F1220</f>
        <v>2013</v>
      </c>
      <c r="J1221" s="764" t="str">
        <f>G1220</f>
        <v>Promoção da Assistencia Social Básica</v>
      </c>
    </row>
    <row r="1222" spans="2:10" ht="35.1" customHeight="1" thickBot="1" x14ac:dyDescent="0.3">
      <c r="B1222" s="769" t="s">
        <v>6939</v>
      </c>
      <c r="C1222" s="1625">
        <v>200000</v>
      </c>
      <c r="D1222" s="1626"/>
      <c r="E1222" s="769" t="s">
        <v>6939</v>
      </c>
      <c r="F1222" s="1625">
        <v>50000</v>
      </c>
      <c r="G1222" s="1627"/>
      <c r="H1222" s="778" t="s">
        <v>6939</v>
      </c>
      <c r="I1222" s="1625">
        <f>DESPORC!I3719</f>
        <v>226045.07515495436</v>
      </c>
      <c r="J1222" s="1627"/>
    </row>
    <row r="1223" spans="2:10" ht="35.1" customHeight="1" x14ac:dyDescent="0.25">
      <c r="B1223" s="1628" t="s">
        <v>3137</v>
      </c>
      <c r="C1223" s="1615" t="str">
        <f>'[3]Anexo I - Programas'!$B$390</f>
        <v>12</v>
      </c>
      <c r="D1223" s="1629" t="str">
        <f>'[3]Anexo I - Programas'!$C$390</f>
        <v>GESTÃO E AÇÕES DE ASSISTENCIA SOCIAL</v>
      </c>
      <c r="E1223" s="1628" t="s">
        <v>3137</v>
      </c>
      <c r="F1223" s="1615" t="str">
        <f>C1223</f>
        <v>12</v>
      </c>
      <c r="G1223" s="1617" t="str">
        <f>D1223</f>
        <v>GESTÃO E AÇÕES DE ASSISTENCIA SOCIAL</v>
      </c>
      <c r="H1223" s="773" t="s">
        <v>3138</v>
      </c>
      <c r="I1223" s="757">
        <f>DESPORC!C3743</f>
        <v>8</v>
      </c>
      <c r="J1223" s="765" t="str">
        <f>DESPORC!D3743</f>
        <v>Assistência Social</v>
      </c>
    </row>
    <row r="1224" spans="2:10" ht="35.1" customHeight="1" x14ac:dyDescent="0.25">
      <c r="B1224" s="1619"/>
      <c r="C1224" s="1616"/>
      <c r="D1224" s="1630"/>
      <c r="E1224" s="1619"/>
      <c r="F1224" s="1616"/>
      <c r="G1224" s="1618"/>
      <c r="H1224" s="774" t="s">
        <v>6940</v>
      </c>
      <c r="I1224" s="757">
        <f>DESPORC!C3744</f>
        <v>126</v>
      </c>
      <c r="J1224" s="765" t="str">
        <f>DESPORC!D3744</f>
        <v>Tecnologia da Informação</v>
      </c>
    </row>
    <row r="1225" spans="2:10" ht="35.1" customHeight="1" x14ac:dyDescent="0.25">
      <c r="B1225" s="1619" t="s">
        <v>6941</v>
      </c>
      <c r="C1225" s="1616">
        <f>'[3]Anexo I - Programas'!$C$404</f>
        <v>2012</v>
      </c>
      <c r="D1225" s="1622" t="str">
        <f>'[3]Anexo I - Programas'!$D$404</f>
        <v>Gestão, Coord. e Planejamento de Assistência Social</v>
      </c>
      <c r="E1225" s="1619" t="s">
        <v>6941</v>
      </c>
      <c r="F1225" s="1616">
        <f>C1225</f>
        <v>2012</v>
      </c>
      <c r="G1225" s="1618" t="str">
        <f>D1225</f>
        <v>Gestão, Coord. e Planejamento de Assistência Social</v>
      </c>
      <c r="H1225" s="775" t="s">
        <v>3137</v>
      </c>
      <c r="I1225" s="795" t="str">
        <f>F1223</f>
        <v>12</v>
      </c>
      <c r="J1225" s="762" t="str">
        <f>G1223</f>
        <v>GESTÃO E AÇÕES DE ASSISTENCIA SOCIAL</v>
      </c>
    </row>
    <row r="1226" spans="2:10" ht="35.1" customHeight="1" x14ac:dyDescent="0.25">
      <c r="B1226" s="1620"/>
      <c r="C1226" s="1621"/>
      <c r="D1226" s="1623"/>
      <c r="E1226" s="1620"/>
      <c r="F1226" s="1621"/>
      <c r="G1226" s="1624"/>
      <c r="H1226" s="776" t="s">
        <v>6941</v>
      </c>
      <c r="I1226" s="796">
        <f>F1225</f>
        <v>2012</v>
      </c>
      <c r="J1226" s="764" t="str">
        <f>G1225</f>
        <v>Gestão, Coord. e Planejamento de Assistência Social</v>
      </c>
    </row>
    <row r="1227" spans="2:10" ht="35.1" customHeight="1" thickBot="1" x14ac:dyDescent="0.3">
      <c r="B1227" s="769" t="s">
        <v>6939</v>
      </c>
      <c r="C1227" s="1625">
        <v>5080000</v>
      </c>
      <c r="D1227" s="1626"/>
      <c r="E1227" s="769" t="s">
        <v>6939</v>
      </c>
      <c r="F1227" s="1625">
        <v>1270000</v>
      </c>
      <c r="G1227" s="1627"/>
      <c r="H1227" s="778" t="s">
        <v>6939</v>
      </c>
      <c r="I1227" s="1625">
        <f>DESPORC!I3746</f>
        <v>1657.0500000000002</v>
      </c>
      <c r="J1227" s="1627"/>
    </row>
    <row r="1228" spans="2:10" ht="35.1" customHeight="1" x14ac:dyDescent="0.25">
      <c r="B1228" s="1628" t="s">
        <v>3137</v>
      </c>
      <c r="C1228" s="1615" t="str">
        <f>'[3]Anexo I - Programas'!$B$390</f>
        <v>12</v>
      </c>
      <c r="D1228" s="1629" t="str">
        <f>'[3]Anexo I - Programas'!$C$390</f>
        <v>GESTÃO E AÇÕES DE ASSISTENCIA SOCIAL</v>
      </c>
      <c r="E1228" s="1628" t="s">
        <v>3137</v>
      </c>
      <c r="F1228" s="1615" t="str">
        <f>C1228</f>
        <v>12</v>
      </c>
      <c r="G1228" s="1617" t="str">
        <f>D1228</f>
        <v>GESTÃO E AÇÕES DE ASSISTENCIA SOCIAL</v>
      </c>
      <c r="H1228" s="773" t="s">
        <v>3138</v>
      </c>
      <c r="I1228" s="757">
        <f>DESPORC!C3748</f>
        <v>8</v>
      </c>
      <c r="J1228" s="765" t="str">
        <f>DESPORC!D3748</f>
        <v>Assistência Social</v>
      </c>
    </row>
    <row r="1229" spans="2:10" ht="35.1" customHeight="1" x14ac:dyDescent="0.25">
      <c r="B1229" s="1619"/>
      <c r="C1229" s="1616"/>
      <c r="D1229" s="1630"/>
      <c r="E1229" s="1619"/>
      <c r="F1229" s="1616"/>
      <c r="G1229" s="1618"/>
      <c r="H1229" s="774" t="s">
        <v>6940</v>
      </c>
      <c r="I1229" s="757">
        <f>DESPORC!C3749</f>
        <v>126</v>
      </c>
      <c r="J1229" s="765" t="str">
        <f>DESPORC!D3749</f>
        <v>Tecnologia da Informação</v>
      </c>
    </row>
    <row r="1230" spans="2:10" ht="35.1" customHeight="1" x14ac:dyDescent="0.25">
      <c r="B1230" s="1619" t="s">
        <v>6941</v>
      </c>
      <c r="C1230" s="1616">
        <f>'[3]Anexo I - Programas'!$C$410</f>
        <v>2013</v>
      </c>
      <c r="D1230" s="1622" t="str">
        <f>'[3]Anexo I - Programas'!$D$410</f>
        <v>Promoção da Assistencia Social Básica</v>
      </c>
      <c r="E1230" s="1619" t="s">
        <v>6941</v>
      </c>
      <c r="F1230" s="1616">
        <f>C1230</f>
        <v>2013</v>
      </c>
      <c r="G1230" s="1618" t="str">
        <f>D1230</f>
        <v>Promoção da Assistencia Social Básica</v>
      </c>
      <c r="H1230" s="775" t="s">
        <v>3137</v>
      </c>
      <c r="I1230" s="795" t="str">
        <f>F1228</f>
        <v>12</v>
      </c>
      <c r="J1230" s="762" t="str">
        <f>G1228</f>
        <v>GESTÃO E AÇÕES DE ASSISTENCIA SOCIAL</v>
      </c>
    </row>
    <row r="1231" spans="2:10" ht="35.1" customHeight="1" x14ac:dyDescent="0.25">
      <c r="B1231" s="1620"/>
      <c r="C1231" s="1621"/>
      <c r="D1231" s="1623"/>
      <c r="E1231" s="1620"/>
      <c r="F1231" s="1621"/>
      <c r="G1231" s="1624"/>
      <c r="H1231" s="776" t="s">
        <v>6941</v>
      </c>
      <c r="I1231" s="796">
        <f>F1230</f>
        <v>2013</v>
      </c>
      <c r="J1231" s="764" t="str">
        <f>G1230</f>
        <v>Promoção da Assistencia Social Básica</v>
      </c>
    </row>
    <row r="1232" spans="2:10" ht="35.1" customHeight="1" thickBot="1" x14ac:dyDescent="0.3">
      <c r="B1232" s="769" t="s">
        <v>6939</v>
      </c>
      <c r="C1232" s="1625">
        <v>200000</v>
      </c>
      <c r="D1232" s="1626"/>
      <c r="E1232" s="769" t="s">
        <v>6939</v>
      </c>
      <c r="F1232" s="1625">
        <v>50000</v>
      </c>
      <c r="G1232" s="1627"/>
      <c r="H1232" s="778" t="s">
        <v>6939</v>
      </c>
      <c r="I1232" s="1625">
        <f>DESPORC!I3751</f>
        <v>1893.2550000000001</v>
      </c>
      <c r="J1232" s="1627"/>
    </row>
    <row r="1233" spans="2:10" ht="35.1" customHeight="1" x14ac:dyDescent="0.25">
      <c r="B1233" s="1628" t="s">
        <v>3137</v>
      </c>
      <c r="C1233" s="1615" t="str">
        <f>'[3]Anexo I - Programas'!$B$390</f>
        <v>12</v>
      </c>
      <c r="D1233" s="1629" t="str">
        <f>'[3]Anexo I - Programas'!$C$390</f>
        <v>GESTÃO E AÇÕES DE ASSISTENCIA SOCIAL</v>
      </c>
      <c r="E1233" s="1628" t="s">
        <v>3137</v>
      </c>
      <c r="F1233" s="1615" t="str">
        <f>C1233</f>
        <v>12</v>
      </c>
      <c r="G1233" s="1617" t="str">
        <f>D1233</f>
        <v>GESTÃO E AÇÕES DE ASSISTENCIA SOCIAL</v>
      </c>
      <c r="H1233" s="773" t="s">
        <v>3138</v>
      </c>
      <c r="I1233" s="757">
        <f>DESPORC!C3753</f>
        <v>8</v>
      </c>
      <c r="J1233" s="765" t="str">
        <f>DESPORC!D3753</f>
        <v>Assistência Social</v>
      </c>
    </row>
    <row r="1234" spans="2:10" ht="35.1" customHeight="1" x14ac:dyDescent="0.25">
      <c r="B1234" s="1619"/>
      <c r="C1234" s="1616"/>
      <c r="D1234" s="1630"/>
      <c r="E1234" s="1619"/>
      <c r="F1234" s="1616"/>
      <c r="G1234" s="1618"/>
      <c r="H1234" s="774" t="s">
        <v>6940</v>
      </c>
      <c r="I1234" s="757">
        <f>DESPORC!C3754</f>
        <v>128</v>
      </c>
      <c r="J1234" s="765" t="str">
        <f>DESPORC!D3754</f>
        <v>Formação de Recursos Humanos</v>
      </c>
    </row>
    <row r="1235" spans="2:10" ht="35.1" customHeight="1" x14ac:dyDescent="0.25">
      <c r="B1235" s="1619" t="s">
        <v>6941</v>
      </c>
      <c r="C1235" s="1616">
        <f>'[3]Anexo I - Programas'!$C$404</f>
        <v>2012</v>
      </c>
      <c r="D1235" s="1622" t="str">
        <f>'[3]Anexo I - Programas'!$D$404</f>
        <v>Gestão, Coord. e Planejamento de Assistência Social</v>
      </c>
      <c r="E1235" s="1619" t="s">
        <v>6941</v>
      </c>
      <c r="F1235" s="1616">
        <f>C1235</f>
        <v>2012</v>
      </c>
      <c r="G1235" s="1618" t="str">
        <f>D1235</f>
        <v>Gestão, Coord. e Planejamento de Assistência Social</v>
      </c>
      <c r="H1235" s="775" t="s">
        <v>3137</v>
      </c>
      <c r="I1235" s="795" t="str">
        <f>F1233</f>
        <v>12</v>
      </c>
      <c r="J1235" s="762" t="str">
        <f>G1233</f>
        <v>GESTÃO E AÇÕES DE ASSISTENCIA SOCIAL</v>
      </c>
    </row>
    <row r="1236" spans="2:10" ht="35.1" customHeight="1" x14ac:dyDescent="0.25">
      <c r="B1236" s="1620"/>
      <c r="C1236" s="1621"/>
      <c r="D1236" s="1623"/>
      <c r="E1236" s="1620"/>
      <c r="F1236" s="1621"/>
      <c r="G1236" s="1624"/>
      <c r="H1236" s="776" t="s">
        <v>6941</v>
      </c>
      <c r="I1236" s="796">
        <f>F1235</f>
        <v>2012</v>
      </c>
      <c r="J1236" s="764" t="str">
        <f>G1235</f>
        <v>Gestão, Coord. e Planejamento de Assistência Social</v>
      </c>
    </row>
    <row r="1237" spans="2:10" ht="35.1" customHeight="1" thickBot="1" x14ac:dyDescent="0.3">
      <c r="B1237" s="769" t="s">
        <v>6939</v>
      </c>
      <c r="C1237" s="1625">
        <v>5080000</v>
      </c>
      <c r="D1237" s="1626"/>
      <c r="E1237" s="769" t="s">
        <v>6939</v>
      </c>
      <c r="F1237" s="1625">
        <v>1270000</v>
      </c>
      <c r="G1237" s="1627"/>
      <c r="H1237" s="778" t="s">
        <v>6939</v>
      </c>
      <c r="I1237" s="1625">
        <f>DESPORC!I3756</f>
        <v>0.05</v>
      </c>
      <c r="J1237" s="1627"/>
    </row>
    <row r="1238" spans="2:10" ht="35.1" customHeight="1" x14ac:dyDescent="0.25">
      <c r="B1238" s="1628" t="s">
        <v>3137</v>
      </c>
      <c r="C1238" s="1615" t="str">
        <f>'[3]Anexo I - Programas'!$B$390</f>
        <v>12</v>
      </c>
      <c r="D1238" s="1629" t="str">
        <f>'[3]Anexo I - Programas'!$C$390</f>
        <v>GESTÃO E AÇÕES DE ASSISTENCIA SOCIAL</v>
      </c>
      <c r="E1238" s="1628" t="s">
        <v>3137</v>
      </c>
      <c r="F1238" s="1615" t="str">
        <f>C1238</f>
        <v>12</v>
      </c>
      <c r="G1238" s="1617" t="str">
        <f>D1238</f>
        <v>GESTÃO E AÇÕES DE ASSISTENCIA SOCIAL</v>
      </c>
      <c r="H1238" s="773" t="s">
        <v>3138</v>
      </c>
      <c r="I1238" s="757">
        <f>DESPORC!C3762</f>
        <v>8</v>
      </c>
      <c r="J1238" s="765" t="str">
        <f>DESPORC!D3762</f>
        <v>Assistência Social</v>
      </c>
    </row>
    <row r="1239" spans="2:10" ht="35.1" customHeight="1" x14ac:dyDescent="0.25">
      <c r="B1239" s="1619"/>
      <c r="C1239" s="1616"/>
      <c r="D1239" s="1630"/>
      <c r="E1239" s="1619"/>
      <c r="F1239" s="1616"/>
      <c r="G1239" s="1618"/>
      <c r="H1239" s="774" t="s">
        <v>6940</v>
      </c>
      <c r="I1239" s="757">
        <f>DESPORC!C3763</f>
        <v>128</v>
      </c>
      <c r="J1239" s="765" t="str">
        <f>DESPORC!D3763</f>
        <v>Formação de Recursos Humanos</v>
      </c>
    </row>
    <row r="1240" spans="2:10" ht="35.1" customHeight="1" x14ac:dyDescent="0.25">
      <c r="B1240" s="1619" t="s">
        <v>6941</v>
      </c>
      <c r="C1240" s="1616">
        <f>'[3]Anexo I - Programas'!$C$410</f>
        <v>2013</v>
      </c>
      <c r="D1240" s="1622" t="str">
        <f>'[3]Anexo I - Programas'!$D$410</f>
        <v>Promoção da Assistencia Social Básica</v>
      </c>
      <c r="E1240" s="1619" t="s">
        <v>6941</v>
      </c>
      <c r="F1240" s="1616">
        <f>C1240</f>
        <v>2013</v>
      </c>
      <c r="G1240" s="1618" t="str">
        <f>D1240</f>
        <v>Promoção da Assistencia Social Básica</v>
      </c>
      <c r="H1240" s="775" t="s">
        <v>3137</v>
      </c>
      <c r="I1240" s="795" t="str">
        <f>F1238</f>
        <v>12</v>
      </c>
      <c r="J1240" s="762" t="str">
        <f>G1238</f>
        <v>GESTÃO E AÇÕES DE ASSISTENCIA SOCIAL</v>
      </c>
    </row>
    <row r="1241" spans="2:10" ht="35.1" customHeight="1" x14ac:dyDescent="0.25">
      <c r="B1241" s="1620"/>
      <c r="C1241" s="1621"/>
      <c r="D1241" s="1623"/>
      <c r="E1241" s="1620"/>
      <c r="F1241" s="1621"/>
      <c r="G1241" s="1624"/>
      <c r="H1241" s="776" t="s">
        <v>6941</v>
      </c>
      <c r="I1241" s="796">
        <f>F1240</f>
        <v>2013</v>
      </c>
      <c r="J1241" s="764" t="str">
        <f>G1240</f>
        <v>Promoção da Assistencia Social Básica</v>
      </c>
    </row>
    <row r="1242" spans="2:10" ht="35.1" customHeight="1" thickBot="1" x14ac:dyDescent="0.3">
      <c r="B1242" s="769" t="s">
        <v>6939</v>
      </c>
      <c r="C1242" s="1625">
        <v>200000</v>
      </c>
      <c r="D1242" s="1626"/>
      <c r="E1242" s="769" t="s">
        <v>6939</v>
      </c>
      <c r="F1242" s="1625">
        <v>50000</v>
      </c>
      <c r="G1242" s="1627"/>
      <c r="H1242" s="778" t="s">
        <v>6939</v>
      </c>
      <c r="I1242" s="1625">
        <f>DESPORC!I3765</f>
        <v>0.14100000000000001</v>
      </c>
      <c r="J1242" s="1627"/>
    </row>
    <row r="1243" spans="2:10" ht="35.1" customHeight="1" x14ac:dyDescent="0.25">
      <c r="J1243" s="15"/>
    </row>
    <row r="1244" spans="2:10" ht="35.1" customHeight="1" x14ac:dyDescent="0.25">
      <c r="B1244" s="1631" t="s">
        <v>6927</v>
      </c>
      <c r="C1244" s="1631"/>
      <c r="D1244" s="755" t="str">
        <f>DESPORC!C3776</f>
        <v>05 - SECRETARIA MUNICIPAL DE ASSISTENCIA SOCIAL</v>
      </c>
      <c r="E1244" s="797"/>
      <c r="F1244" s="798"/>
      <c r="G1244" s="798"/>
      <c r="H1244" s="797"/>
      <c r="I1244" s="798"/>
      <c r="J1244" s="798"/>
    </row>
    <row r="1245" spans="2:10" ht="35.1" customHeight="1" thickBot="1" x14ac:dyDescent="0.3">
      <c r="B1245" s="1632" t="s">
        <v>3087</v>
      </c>
      <c r="C1245" s="1632"/>
      <c r="D1245" s="755" t="str">
        <f>DESPORC!C3777</f>
        <v>02 - FUNDO MUN. DE ASSIST. SOCIAL - PROG. MUNICIPAIS</v>
      </c>
      <c r="E1245" s="797"/>
      <c r="F1245" s="36"/>
      <c r="G1245" s="1"/>
      <c r="H1245" s="772"/>
      <c r="I1245" s="1"/>
      <c r="J1245" s="1"/>
    </row>
    <row r="1246" spans="2:10" ht="35.1" customHeight="1" thickBot="1" x14ac:dyDescent="0.3">
      <c r="B1246" s="1776" t="s">
        <v>6955</v>
      </c>
      <c r="C1246" s="1777"/>
      <c r="D1246" s="1778"/>
      <c r="E1246" s="1776" t="str">
        <f>E$12</f>
        <v>PRIORIDADES LDO LEI MUNICIPAL N.º 1215  DE 02 DE OUTUBRO DE 2019.</v>
      </c>
      <c r="F1246" s="1777"/>
      <c r="G1246" s="1778"/>
      <c r="H1246" s="1779" t="s">
        <v>6956</v>
      </c>
      <c r="I1246" s="1780"/>
      <c r="J1246" s="1781"/>
    </row>
    <row r="1247" spans="2:10" ht="35.1" customHeight="1" x14ac:dyDescent="0.25">
      <c r="B1247" s="1628" t="s">
        <v>3137</v>
      </c>
      <c r="C1247" s="1615" t="str">
        <f>'[3]Anexo I - Programas'!$B$390</f>
        <v>12</v>
      </c>
      <c r="D1247" s="1629" t="str">
        <f>'[3]Anexo I - Programas'!$C$390</f>
        <v>GESTÃO E AÇÕES DE ASSISTENCIA SOCIAL</v>
      </c>
      <c r="E1247" s="1628" t="s">
        <v>3137</v>
      </c>
      <c r="F1247" s="1615" t="str">
        <f>C1247</f>
        <v>12</v>
      </c>
      <c r="G1247" s="1617" t="str">
        <f>D1247</f>
        <v>GESTÃO E AÇÕES DE ASSISTENCIA SOCIAL</v>
      </c>
      <c r="H1247" s="773" t="s">
        <v>3138</v>
      </c>
      <c r="I1247" s="757">
        <f>DESPORC!C3779</f>
        <v>8</v>
      </c>
      <c r="J1247" s="765" t="str">
        <f>DESPORC!D3779</f>
        <v>Assistência Social</v>
      </c>
    </row>
    <row r="1248" spans="2:10" ht="35.1" customHeight="1" x14ac:dyDescent="0.25">
      <c r="B1248" s="1619"/>
      <c r="C1248" s="1616"/>
      <c r="D1248" s="1630"/>
      <c r="E1248" s="1619"/>
      <c r="F1248" s="1616"/>
      <c r="G1248" s="1618"/>
      <c r="H1248" s="774" t="s">
        <v>6940</v>
      </c>
      <c r="I1248" s="757">
        <f>DESPORC!C3780</f>
        <v>241</v>
      </c>
      <c r="J1248" s="765" t="str">
        <f>DESPORC!D3780</f>
        <v>Assistência ao Idoso</v>
      </c>
    </row>
    <row r="1249" spans="2:10" ht="35.1" customHeight="1" x14ac:dyDescent="0.25">
      <c r="B1249" s="1619" t="s">
        <v>6941</v>
      </c>
      <c r="C1249" s="1616">
        <f>'[3]Anexo I - Programas'!$C$410</f>
        <v>2013</v>
      </c>
      <c r="D1249" s="1622" t="str">
        <f>'[3]Anexo I - Programas'!$D$410</f>
        <v>Promoção da Assistencia Social Básica</v>
      </c>
      <c r="E1249" s="1619" t="s">
        <v>6941</v>
      </c>
      <c r="F1249" s="1616">
        <f>C1249</f>
        <v>2013</v>
      </c>
      <c r="G1249" s="1618" t="str">
        <f>D1249</f>
        <v>Promoção da Assistencia Social Básica</v>
      </c>
      <c r="H1249" s="775" t="s">
        <v>3137</v>
      </c>
      <c r="I1249" s="795" t="str">
        <f>F1247</f>
        <v>12</v>
      </c>
      <c r="J1249" s="762" t="str">
        <f>G1247</f>
        <v>GESTÃO E AÇÕES DE ASSISTENCIA SOCIAL</v>
      </c>
    </row>
    <row r="1250" spans="2:10" ht="35.1" customHeight="1" x14ac:dyDescent="0.25">
      <c r="B1250" s="1620"/>
      <c r="C1250" s="1621"/>
      <c r="D1250" s="1623"/>
      <c r="E1250" s="1620"/>
      <c r="F1250" s="1621"/>
      <c r="G1250" s="1624"/>
      <c r="H1250" s="776" t="s">
        <v>6941</v>
      </c>
      <c r="I1250" s="796">
        <f>F1249</f>
        <v>2013</v>
      </c>
      <c r="J1250" s="764" t="str">
        <f>G1249</f>
        <v>Promoção da Assistencia Social Básica</v>
      </c>
    </row>
    <row r="1251" spans="2:10" ht="35.1" customHeight="1" thickBot="1" x14ac:dyDescent="0.3">
      <c r="B1251" s="769" t="s">
        <v>6939</v>
      </c>
      <c r="C1251" s="1625">
        <v>200000</v>
      </c>
      <c r="D1251" s="1626"/>
      <c r="E1251" s="769" t="s">
        <v>6939</v>
      </c>
      <c r="F1251" s="1625">
        <v>50000</v>
      </c>
      <c r="G1251" s="1627"/>
      <c r="H1251" s="778" t="s">
        <v>6939</v>
      </c>
      <c r="I1251" s="1625">
        <f>DESPORC!I3782</f>
        <v>20000.049999999996</v>
      </c>
      <c r="J1251" s="1627"/>
    </row>
    <row r="1252" spans="2:10" ht="35.1" customHeight="1" x14ac:dyDescent="0.25">
      <c r="B1252" s="1628" t="s">
        <v>3137</v>
      </c>
      <c r="C1252" s="1615" t="str">
        <f>'[3]Anexo I - Programas'!$B$390</f>
        <v>12</v>
      </c>
      <c r="D1252" s="1629" t="str">
        <f>'[3]Anexo I - Programas'!$C$390</f>
        <v>GESTÃO E AÇÕES DE ASSISTENCIA SOCIAL</v>
      </c>
      <c r="E1252" s="1628" t="s">
        <v>3137</v>
      </c>
      <c r="F1252" s="1615" t="str">
        <f>C1252</f>
        <v>12</v>
      </c>
      <c r="G1252" s="1617" t="str">
        <f>D1252</f>
        <v>GESTÃO E AÇÕES DE ASSISTENCIA SOCIAL</v>
      </c>
      <c r="H1252" s="773" t="s">
        <v>3138</v>
      </c>
      <c r="I1252" s="757">
        <f>DESPORC!C3793</f>
        <v>8</v>
      </c>
      <c r="J1252" s="765" t="str">
        <f>DESPORC!D3793</f>
        <v>Assistência Social</v>
      </c>
    </row>
    <row r="1253" spans="2:10" ht="35.1" customHeight="1" x14ac:dyDescent="0.25">
      <c r="B1253" s="1619"/>
      <c r="C1253" s="1616"/>
      <c r="D1253" s="1630"/>
      <c r="E1253" s="1619"/>
      <c r="F1253" s="1616"/>
      <c r="G1253" s="1618"/>
      <c r="H1253" s="774" t="s">
        <v>6940</v>
      </c>
      <c r="I1253" s="757">
        <f>DESPORC!C3794</f>
        <v>242</v>
      </c>
      <c r="J1253" s="765" t="str">
        <f>DESPORC!D3794</f>
        <v>Assistência ao Portador de Deficiência</v>
      </c>
    </row>
    <row r="1254" spans="2:10" ht="35.1" customHeight="1" x14ac:dyDescent="0.25">
      <c r="B1254" s="1619" t="s">
        <v>6941</v>
      </c>
      <c r="C1254" s="1616">
        <f>'[3]Anexo I - Programas'!$C$410</f>
        <v>2013</v>
      </c>
      <c r="D1254" s="1622" t="str">
        <f>'[3]Anexo I - Programas'!$D$410</f>
        <v>Promoção da Assistencia Social Básica</v>
      </c>
      <c r="E1254" s="1619" t="s">
        <v>6941</v>
      </c>
      <c r="F1254" s="1616">
        <f>C1254</f>
        <v>2013</v>
      </c>
      <c r="G1254" s="1618" t="str">
        <f>D1254</f>
        <v>Promoção da Assistencia Social Básica</v>
      </c>
      <c r="H1254" s="775" t="s">
        <v>3137</v>
      </c>
      <c r="I1254" s="795" t="str">
        <f>F1252</f>
        <v>12</v>
      </c>
      <c r="J1254" s="762" t="str">
        <f>G1252</f>
        <v>GESTÃO E AÇÕES DE ASSISTENCIA SOCIAL</v>
      </c>
    </row>
    <row r="1255" spans="2:10" ht="35.1" customHeight="1" x14ac:dyDescent="0.25">
      <c r="B1255" s="1620"/>
      <c r="C1255" s="1621"/>
      <c r="D1255" s="1623"/>
      <c r="E1255" s="1620"/>
      <c r="F1255" s="1621"/>
      <c r="G1255" s="1624"/>
      <c r="H1255" s="776" t="s">
        <v>6941</v>
      </c>
      <c r="I1255" s="796">
        <f>F1254</f>
        <v>2013</v>
      </c>
      <c r="J1255" s="764" t="str">
        <f>G1254</f>
        <v>Promoção da Assistencia Social Básica</v>
      </c>
    </row>
    <row r="1256" spans="2:10" ht="35.1" customHeight="1" thickBot="1" x14ac:dyDescent="0.3">
      <c r="B1256" s="769" t="s">
        <v>6939</v>
      </c>
      <c r="C1256" s="1625">
        <v>200000</v>
      </c>
      <c r="D1256" s="1626"/>
      <c r="E1256" s="769" t="s">
        <v>6939</v>
      </c>
      <c r="F1256" s="1625">
        <v>50000</v>
      </c>
      <c r="G1256" s="1627"/>
      <c r="H1256" s="778" t="s">
        <v>6939</v>
      </c>
      <c r="I1256" s="1625">
        <f>DESPORC!I3796</f>
        <v>85178.68799999998</v>
      </c>
      <c r="J1256" s="1627"/>
    </row>
    <row r="1257" spans="2:10" ht="35.1" customHeight="1" x14ac:dyDescent="0.25">
      <c r="B1257" s="1628" t="s">
        <v>3137</v>
      </c>
      <c r="C1257" s="1615" t="str">
        <f>'[3]Anexo I - Programas'!$B$390</f>
        <v>12</v>
      </c>
      <c r="D1257" s="1629" t="str">
        <f>'[3]Anexo I - Programas'!$C$390</f>
        <v>GESTÃO E AÇÕES DE ASSISTENCIA SOCIAL</v>
      </c>
      <c r="E1257" s="1628" t="s">
        <v>3137</v>
      </c>
      <c r="F1257" s="1615" t="str">
        <f>C1257</f>
        <v>12</v>
      </c>
      <c r="G1257" s="1617" t="str">
        <f>D1257</f>
        <v>GESTÃO E AÇÕES DE ASSISTENCIA SOCIAL</v>
      </c>
      <c r="H1257" s="773" t="s">
        <v>3138</v>
      </c>
      <c r="I1257" s="757">
        <f>DESPORC!C3807</f>
        <v>8</v>
      </c>
      <c r="J1257" s="765" t="str">
        <f>DESPORC!D3807</f>
        <v>Assistência Social</v>
      </c>
    </row>
    <row r="1258" spans="2:10" ht="35.1" customHeight="1" x14ac:dyDescent="0.25">
      <c r="B1258" s="1619"/>
      <c r="C1258" s="1616"/>
      <c r="D1258" s="1630"/>
      <c r="E1258" s="1619"/>
      <c r="F1258" s="1616"/>
      <c r="G1258" s="1618"/>
      <c r="H1258" s="774" t="s">
        <v>6940</v>
      </c>
      <c r="I1258" s="757">
        <f>DESPORC!C3808</f>
        <v>243</v>
      </c>
      <c r="J1258" s="765" t="str">
        <f>DESPORC!D3808</f>
        <v>Assistência à Criança e ao Adolescente</v>
      </c>
    </row>
    <row r="1259" spans="2:10" ht="35.1" customHeight="1" x14ac:dyDescent="0.25">
      <c r="B1259" s="1619" t="s">
        <v>6941</v>
      </c>
      <c r="C1259" s="1616">
        <f>'[3]Anexo I - Programas'!$C$410</f>
        <v>2013</v>
      </c>
      <c r="D1259" s="1622" t="str">
        <f>'[3]Anexo I - Programas'!$D$410</f>
        <v>Promoção da Assistencia Social Básica</v>
      </c>
      <c r="E1259" s="1619" t="s">
        <v>6941</v>
      </c>
      <c r="F1259" s="1616">
        <f>C1259</f>
        <v>2013</v>
      </c>
      <c r="G1259" s="1618" t="str">
        <f>D1259</f>
        <v>Promoção da Assistencia Social Básica</v>
      </c>
      <c r="H1259" s="775" t="s">
        <v>3137</v>
      </c>
      <c r="I1259" s="795" t="str">
        <f>F1257</f>
        <v>12</v>
      </c>
      <c r="J1259" s="762" t="str">
        <f>G1257</f>
        <v>GESTÃO E AÇÕES DE ASSISTENCIA SOCIAL</v>
      </c>
    </row>
    <row r="1260" spans="2:10" ht="35.1" customHeight="1" x14ac:dyDescent="0.25">
      <c r="B1260" s="1620"/>
      <c r="C1260" s="1621"/>
      <c r="D1260" s="1623"/>
      <c r="E1260" s="1620"/>
      <c r="F1260" s="1621"/>
      <c r="G1260" s="1624"/>
      <c r="H1260" s="776" t="s">
        <v>6941</v>
      </c>
      <c r="I1260" s="796">
        <f>F1259</f>
        <v>2013</v>
      </c>
      <c r="J1260" s="764" t="str">
        <f>G1259</f>
        <v>Promoção da Assistencia Social Básica</v>
      </c>
    </row>
    <row r="1261" spans="2:10" ht="35.1" customHeight="1" thickBot="1" x14ac:dyDescent="0.3">
      <c r="B1261" s="769" t="s">
        <v>6939</v>
      </c>
      <c r="C1261" s="1625">
        <v>200000</v>
      </c>
      <c r="D1261" s="1626"/>
      <c r="E1261" s="769" t="s">
        <v>6939</v>
      </c>
      <c r="F1261" s="1625">
        <v>50000</v>
      </c>
      <c r="G1261" s="1627"/>
      <c r="H1261" s="778" t="s">
        <v>6939</v>
      </c>
      <c r="I1261" s="1625">
        <f>DESPORC!I3810</f>
        <v>0.10099999999999999</v>
      </c>
      <c r="J1261" s="1627"/>
    </row>
    <row r="1262" spans="2:10" ht="35.1" customHeight="1" x14ac:dyDescent="0.25">
      <c r="B1262" s="1628" t="s">
        <v>3137</v>
      </c>
      <c r="C1262" s="1615" t="str">
        <f>'[3]Anexo I - Programas'!$B$390</f>
        <v>12</v>
      </c>
      <c r="D1262" s="1629" t="str">
        <f>'[3]Anexo I - Programas'!$C$390</f>
        <v>GESTÃO E AÇÕES DE ASSISTENCIA SOCIAL</v>
      </c>
      <c r="E1262" s="1628" t="s">
        <v>3137</v>
      </c>
      <c r="F1262" s="1615" t="str">
        <f>C1262</f>
        <v>12</v>
      </c>
      <c r="G1262" s="1617" t="str">
        <f>D1262</f>
        <v>GESTÃO E AÇÕES DE ASSISTENCIA SOCIAL</v>
      </c>
      <c r="H1262" s="773" t="s">
        <v>3138</v>
      </c>
      <c r="I1262" s="757">
        <f>DESPORC!C3821</f>
        <v>8</v>
      </c>
      <c r="J1262" s="765" t="str">
        <f>DESPORC!D3821</f>
        <v>Assistência Social</v>
      </c>
    </row>
    <row r="1263" spans="2:10" ht="35.1" customHeight="1" x14ac:dyDescent="0.25">
      <c r="B1263" s="1619"/>
      <c r="C1263" s="1616"/>
      <c r="D1263" s="1630"/>
      <c r="E1263" s="1619"/>
      <c r="F1263" s="1616"/>
      <c r="G1263" s="1618"/>
      <c r="H1263" s="774" t="s">
        <v>6940</v>
      </c>
      <c r="I1263" s="757">
        <f>DESPORC!C3822</f>
        <v>244</v>
      </c>
      <c r="J1263" s="765" t="str">
        <f>DESPORC!D3822</f>
        <v>Assistência Comunitária</v>
      </c>
    </row>
    <row r="1264" spans="2:10" ht="35.1" customHeight="1" x14ac:dyDescent="0.25">
      <c r="B1264" s="1619" t="s">
        <v>6941</v>
      </c>
      <c r="C1264" s="1616">
        <f>'[3]Anexo I - Programas'!$C$434</f>
        <v>2017</v>
      </c>
      <c r="D1264" s="1622" t="str">
        <f>'[3]Anexo I - Programas'!$D$434</f>
        <v>Gestão e Promoção de Benefícios Eventuais</v>
      </c>
      <c r="E1264" s="1619" t="s">
        <v>6941</v>
      </c>
      <c r="F1264" s="1616">
        <f>C1264</f>
        <v>2017</v>
      </c>
      <c r="G1264" s="1618" t="str">
        <f>D1264</f>
        <v>Gestão e Promoção de Benefícios Eventuais</v>
      </c>
      <c r="H1264" s="775" t="s">
        <v>3137</v>
      </c>
      <c r="I1264" s="795" t="str">
        <f>F1262</f>
        <v>12</v>
      </c>
      <c r="J1264" s="762" t="str">
        <f>G1262</f>
        <v>GESTÃO E AÇÕES DE ASSISTENCIA SOCIAL</v>
      </c>
    </row>
    <row r="1265" spans="2:10" ht="35.1" customHeight="1" x14ac:dyDescent="0.25">
      <c r="B1265" s="1620"/>
      <c r="C1265" s="1621"/>
      <c r="D1265" s="1623"/>
      <c r="E1265" s="1620"/>
      <c r="F1265" s="1621"/>
      <c r="G1265" s="1624"/>
      <c r="H1265" s="776" t="s">
        <v>6941</v>
      </c>
      <c r="I1265" s="796">
        <f>F1264</f>
        <v>2017</v>
      </c>
      <c r="J1265" s="764" t="str">
        <f>G1264</f>
        <v>Gestão e Promoção de Benefícios Eventuais</v>
      </c>
    </row>
    <row r="1266" spans="2:10" ht="35.1" customHeight="1" thickBot="1" x14ac:dyDescent="0.3">
      <c r="B1266" s="769" t="s">
        <v>6939</v>
      </c>
      <c r="C1266" s="1625">
        <v>300000</v>
      </c>
      <c r="D1266" s="1626"/>
      <c r="E1266" s="769" t="s">
        <v>6939</v>
      </c>
      <c r="F1266" s="1625">
        <v>75000</v>
      </c>
      <c r="G1266" s="1627"/>
      <c r="H1266" s="778" t="s">
        <v>6939</v>
      </c>
      <c r="I1266" s="1625">
        <f>DESPORC!I3824</f>
        <v>46000.05000000001</v>
      </c>
      <c r="J1266" s="1627"/>
    </row>
    <row r="1267" spans="2:10" ht="35.1" customHeight="1" x14ac:dyDescent="0.25">
      <c r="J1267" s="15"/>
    </row>
    <row r="1268" spans="2:10" ht="35.1" customHeight="1" x14ac:dyDescent="0.25">
      <c r="B1268" s="1631" t="s">
        <v>6927</v>
      </c>
      <c r="C1268" s="1631"/>
      <c r="D1268" s="755" t="str">
        <f>DESPORC!C3840</f>
        <v>05 - SECRETARIA MUNICIPAL DE ASSISTENCIA SOCIAL</v>
      </c>
      <c r="E1268" s="797"/>
      <c r="F1268" s="798"/>
      <c r="G1268" s="798"/>
      <c r="H1268" s="797"/>
      <c r="I1268" s="798"/>
      <c r="J1268" s="798"/>
    </row>
    <row r="1269" spans="2:10" ht="35.1" customHeight="1" thickBot="1" x14ac:dyDescent="0.3">
      <c r="B1269" s="1632" t="s">
        <v>3087</v>
      </c>
      <c r="C1269" s="1632"/>
      <c r="D1269" s="755" t="str">
        <f>DESPORC!C3841</f>
        <v>03 - FUNDO MUN. DE ASSIST. SOCIAL - PROG. ESTADUAIS</v>
      </c>
      <c r="E1269" s="797"/>
      <c r="F1269" s="36"/>
      <c r="G1269" s="1"/>
      <c r="H1269" s="772"/>
      <c r="I1269" s="1"/>
      <c r="J1269" s="1"/>
    </row>
    <row r="1270" spans="2:10" ht="35.1" customHeight="1" thickBot="1" x14ac:dyDescent="0.3">
      <c r="B1270" s="1776" t="s">
        <v>6955</v>
      </c>
      <c r="C1270" s="1777"/>
      <c r="D1270" s="1778"/>
      <c r="E1270" s="1776" t="str">
        <f>E$12</f>
        <v>PRIORIDADES LDO LEI MUNICIPAL N.º 1215  DE 02 DE OUTUBRO DE 2019.</v>
      </c>
      <c r="F1270" s="1777"/>
      <c r="G1270" s="1778"/>
      <c r="H1270" s="1779" t="s">
        <v>6956</v>
      </c>
      <c r="I1270" s="1780"/>
      <c r="J1270" s="1781"/>
    </row>
    <row r="1271" spans="2:10" ht="35.1" customHeight="1" x14ac:dyDescent="0.25">
      <c r="B1271" s="1628" t="s">
        <v>3137</v>
      </c>
      <c r="C1271" s="1615" t="str">
        <f>'[3]Anexo I - Programas'!$B$390</f>
        <v>12</v>
      </c>
      <c r="D1271" s="1629" t="str">
        <f>'[3]Anexo I - Programas'!$C$390</f>
        <v>GESTÃO E AÇÕES DE ASSISTENCIA SOCIAL</v>
      </c>
      <c r="E1271" s="1628" t="s">
        <v>3137</v>
      </c>
      <c r="F1271" s="1615" t="str">
        <f>C1271</f>
        <v>12</v>
      </c>
      <c r="G1271" s="1617" t="str">
        <f>D1271</f>
        <v>GESTÃO E AÇÕES DE ASSISTENCIA SOCIAL</v>
      </c>
      <c r="H1271" s="773" t="s">
        <v>3138</v>
      </c>
      <c r="I1271" s="757">
        <f>DESPORC!C3843</f>
        <v>8</v>
      </c>
      <c r="J1271" s="765" t="str">
        <f>DESPORC!D3843</f>
        <v>Assistência Social</v>
      </c>
    </row>
    <row r="1272" spans="2:10" ht="35.1" customHeight="1" x14ac:dyDescent="0.25">
      <c r="B1272" s="1619"/>
      <c r="C1272" s="1616"/>
      <c r="D1272" s="1630"/>
      <c r="E1272" s="1619"/>
      <c r="F1272" s="1616"/>
      <c r="G1272" s="1618"/>
      <c r="H1272" s="774" t="s">
        <v>6940</v>
      </c>
      <c r="I1272" s="757">
        <f>DESPORC!C3844</f>
        <v>244</v>
      </c>
      <c r="J1272" s="765" t="str">
        <f>DESPORC!D3844</f>
        <v>Assistência Comunitária</v>
      </c>
    </row>
    <row r="1273" spans="2:10" ht="35.1" customHeight="1" x14ac:dyDescent="0.25">
      <c r="B1273" s="1619" t="s">
        <v>6941</v>
      </c>
      <c r="C1273" s="1616">
        <f>'[3]Anexo I - Programas'!$C$410</f>
        <v>2013</v>
      </c>
      <c r="D1273" s="1622" t="str">
        <f>'[3]Anexo I - Programas'!$D$410</f>
        <v>Promoção da Assistencia Social Básica</v>
      </c>
      <c r="E1273" s="1619" t="s">
        <v>6941</v>
      </c>
      <c r="F1273" s="1616">
        <f>C1273</f>
        <v>2013</v>
      </c>
      <c r="G1273" s="1618" t="str">
        <f>D1273</f>
        <v>Promoção da Assistencia Social Básica</v>
      </c>
      <c r="H1273" s="775" t="s">
        <v>3137</v>
      </c>
      <c r="I1273" s="795" t="str">
        <f>F1271</f>
        <v>12</v>
      </c>
      <c r="J1273" s="762" t="str">
        <f>G1271</f>
        <v>GESTÃO E AÇÕES DE ASSISTENCIA SOCIAL</v>
      </c>
    </row>
    <row r="1274" spans="2:10" ht="35.1" customHeight="1" x14ac:dyDescent="0.25">
      <c r="B1274" s="1620"/>
      <c r="C1274" s="1621"/>
      <c r="D1274" s="1623"/>
      <c r="E1274" s="1620"/>
      <c r="F1274" s="1621"/>
      <c r="G1274" s="1624"/>
      <c r="H1274" s="776" t="s">
        <v>6941</v>
      </c>
      <c r="I1274" s="796">
        <f>F1273</f>
        <v>2013</v>
      </c>
      <c r="J1274" s="764" t="str">
        <f>G1273</f>
        <v>Promoção da Assistencia Social Básica</v>
      </c>
    </row>
    <row r="1275" spans="2:10" ht="35.1" customHeight="1" thickBot="1" x14ac:dyDescent="0.3">
      <c r="B1275" s="769" t="s">
        <v>6939</v>
      </c>
      <c r="C1275" s="1625">
        <v>200000</v>
      </c>
      <c r="D1275" s="1626"/>
      <c r="E1275" s="769" t="s">
        <v>6939</v>
      </c>
      <c r="F1275" s="1625">
        <v>50000</v>
      </c>
      <c r="G1275" s="1627"/>
      <c r="H1275" s="778" t="s">
        <v>6939</v>
      </c>
      <c r="I1275" s="1625">
        <f>DESPORC!I3846+DESPORC!I3854</f>
        <v>48126.944873977372</v>
      </c>
      <c r="J1275" s="1627"/>
    </row>
    <row r="1277" spans="2:10" ht="35.1" customHeight="1" x14ac:dyDescent="0.25">
      <c r="B1277" s="1631" t="s">
        <v>6927</v>
      </c>
      <c r="C1277" s="1631"/>
      <c r="D1277" s="755" t="str">
        <f>DESPORC!C3862</f>
        <v>05 - SECRETARIA MUNICIPAL DE ASSISTENCIA SOCIAL</v>
      </c>
      <c r="E1277" s="797"/>
      <c r="F1277" s="798"/>
      <c r="G1277" s="798"/>
      <c r="H1277" s="797"/>
      <c r="I1277" s="798"/>
      <c r="J1277" s="798"/>
    </row>
    <row r="1278" spans="2:10" ht="35.1" customHeight="1" thickBot="1" x14ac:dyDescent="0.3">
      <c r="B1278" s="1632" t="s">
        <v>3087</v>
      </c>
      <c r="C1278" s="1632"/>
      <c r="D1278" s="755" t="str">
        <f>DESPORC!C3863</f>
        <v>04 - FUNDO MUN. DE ASSIST. SOCIAL - PROG. FEDERAIS</v>
      </c>
      <c r="E1278" s="797"/>
      <c r="F1278" s="36"/>
      <c r="G1278" s="1"/>
      <c r="H1278" s="772"/>
      <c r="I1278" s="1"/>
      <c r="J1278" s="1"/>
    </row>
    <row r="1279" spans="2:10" ht="35.1" customHeight="1" thickBot="1" x14ac:dyDescent="0.3">
      <c r="B1279" s="1776" t="s">
        <v>6955</v>
      </c>
      <c r="C1279" s="1777"/>
      <c r="D1279" s="1778"/>
      <c r="E1279" s="1776" t="str">
        <f>E$12</f>
        <v>PRIORIDADES LDO LEI MUNICIPAL N.º 1215  DE 02 DE OUTUBRO DE 2019.</v>
      </c>
      <c r="F1279" s="1777"/>
      <c r="G1279" s="1778"/>
      <c r="H1279" s="1779" t="s">
        <v>6956</v>
      </c>
      <c r="I1279" s="1780"/>
      <c r="J1279" s="1781"/>
    </row>
    <row r="1280" spans="2:10" ht="35.1" customHeight="1" x14ac:dyDescent="0.25">
      <c r="B1280" s="1628" t="s">
        <v>3137</v>
      </c>
      <c r="C1280" s="1615" t="str">
        <f>'[3]Anexo I - Programas'!$B$390</f>
        <v>12</v>
      </c>
      <c r="D1280" s="1629" t="str">
        <f>'[3]Anexo I - Programas'!$C$390</f>
        <v>GESTÃO E AÇÕES DE ASSISTENCIA SOCIAL</v>
      </c>
      <c r="E1280" s="1628" t="s">
        <v>3137</v>
      </c>
      <c r="F1280" s="1615" t="str">
        <f>C1280</f>
        <v>12</v>
      </c>
      <c r="G1280" s="1617" t="str">
        <f>D1280</f>
        <v>GESTÃO E AÇÕES DE ASSISTENCIA SOCIAL</v>
      </c>
      <c r="H1280" s="773" t="s">
        <v>3138</v>
      </c>
      <c r="I1280" s="757">
        <f>DESPORC!C3866</f>
        <v>8</v>
      </c>
      <c r="J1280" s="765" t="str">
        <f>DESPORC!D3866</f>
        <v>Assistência Social</v>
      </c>
    </row>
    <row r="1281" spans="2:10" ht="35.1" customHeight="1" x14ac:dyDescent="0.25">
      <c r="B1281" s="1619"/>
      <c r="C1281" s="1616"/>
      <c r="D1281" s="1630"/>
      <c r="E1281" s="1619"/>
      <c r="F1281" s="1616"/>
      <c r="G1281" s="1618"/>
      <c r="H1281" s="774" t="s">
        <v>6940</v>
      </c>
      <c r="I1281" s="757">
        <f>DESPORC!C3867</f>
        <v>241</v>
      </c>
      <c r="J1281" s="765" t="str">
        <f>DESPORC!D3867</f>
        <v>Assistência ao Idoso</v>
      </c>
    </row>
    <row r="1282" spans="2:10" ht="35.1" customHeight="1" x14ac:dyDescent="0.25">
      <c r="B1282" s="1619" t="s">
        <v>6941</v>
      </c>
      <c r="C1282" s="1616">
        <f>'[3]Anexo I - Programas'!$C$410</f>
        <v>2013</v>
      </c>
      <c r="D1282" s="1622" t="str">
        <f>'[3]Anexo I - Programas'!$D$410</f>
        <v>Promoção da Assistencia Social Básica</v>
      </c>
      <c r="E1282" s="1619" t="s">
        <v>6941</v>
      </c>
      <c r="F1282" s="1616">
        <f>C1282</f>
        <v>2013</v>
      </c>
      <c r="G1282" s="1618" t="str">
        <f>D1282</f>
        <v>Promoção da Assistencia Social Básica</v>
      </c>
      <c r="H1282" s="775" t="s">
        <v>3137</v>
      </c>
      <c r="I1282" s="795" t="str">
        <f>F1280</f>
        <v>12</v>
      </c>
      <c r="J1282" s="762" t="str">
        <f>G1280</f>
        <v>GESTÃO E AÇÕES DE ASSISTENCIA SOCIAL</v>
      </c>
    </row>
    <row r="1283" spans="2:10" ht="35.1" customHeight="1" x14ac:dyDescent="0.25">
      <c r="B1283" s="1620"/>
      <c r="C1283" s="1621"/>
      <c r="D1283" s="1623"/>
      <c r="E1283" s="1620"/>
      <c r="F1283" s="1621"/>
      <c r="G1283" s="1624"/>
      <c r="H1283" s="776" t="s">
        <v>6941</v>
      </c>
      <c r="I1283" s="796">
        <f>F1282</f>
        <v>2013</v>
      </c>
      <c r="J1283" s="764" t="str">
        <f>G1282</f>
        <v>Promoção da Assistencia Social Básica</v>
      </c>
    </row>
    <row r="1284" spans="2:10" ht="35.1" customHeight="1" thickBot="1" x14ac:dyDescent="0.3">
      <c r="B1284" s="769" t="s">
        <v>6939</v>
      </c>
      <c r="C1284" s="1625">
        <v>200000</v>
      </c>
      <c r="D1284" s="1626"/>
      <c r="E1284" s="769" t="s">
        <v>6939</v>
      </c>
      <c r="F1284" s="1625">
        <v>50000</v>
      </c>
      <c r="G1284" s="1627"/>
      <c r="H1284" s="778" t="s">
        <v>6939</v>
      </c>
      <c r="I1284" s="1625">
        <f>DESPORC!I3869</f>
        <v>10753.872000000001</v>
      </c>
      <c r="J1284" s="1627"/>
    </row>
    <row r="1285" spans="2:10" ht="35.1" customHeight="1" x14ac:dyDescent="0.25">
      <c r="B1285" s="1628" t="s">
        <v>3137</v>
      </c>
      <c r="C1285" s="1615" t="str">
        <f>'[3]Anexo I - Programas'!$B$390</f>
        <v>12</v>
      </c>
      <c r="D1285" s="1629" t="str">
        <f>'[3]Anexo I - Programas'!$C$390</f>
        <v>GESTÃO E AÇÕES DE ASSISTENCIA SOCIAL</v>
      </c>
      <c r="E1285" s="1628" t="s">
        <v>3137</v>
      </c>
      <c r="F1285" s="1615" t="str">
        <f>C1285</f>
        <v>12</v>
      </c>
      <c r="G1285" s="1617" t="str">
        <f>D1285</f>
        <v>GESTÃO E AÇÕES DE ASSISTENCIA SOCIAL</v>
      </c>
      <c r="H1285" s="773" t="s">
        <v>3138</v>
      </c>
      <c r="I1285" s="757">
        <f>DESPORC!C3880</f>
        <v>8</v>
      </c>
      <c r="J1285" s="765" t="str">
        <f>DESPORC!D3880</f>
        <v>Assistência Social</v>
      </c>
    </row>
    <row r="1286" spans="2:10" ht="35.1" customHeight="1" x14ac:dyDescent="0.25">
      <c r="B1286" s="1619"/>
      <c r="C1286" s="1616"/>
      <c r="D1286" s="1630"/>
      <c r="E1286" s="1619"/>
      <c r="F1286" s="1616"/>
      <c r="G1286" s="1618"/>
      <c r="H1286" s="774" t="s">
        <v>6940</v>
      </c>
      <c r="I1286" s="757">
        <f>DESPORC!C3881</f>
        <v>242</v>
      </c>
      <c r="J1286" s="765" t="str">
        <f>DESPORC!D3881</f>
        <v>Assistência ao Portador de Deficiência</v>
      </c>
    </row>
    <row r="1287" spans="2:10" ht="35.1" customHeight="1" x14ac:dyDescent="0.25">
      <c r="B1287" s="1619" t="s">
        <v>6941</v>
      </c>
      <c r="C1287" s="1616">
        <f>'[3]Anexo I - Programas'!$C$410</f>
        <v>2013</v>
      </c>
      <c r="D1287" s="1622" t="str">
        <f>'[3]Anexo I - Programas'!$D$410</f>
        <v>Promoção da Assistencia Social Básica</v>
      </c>
      <c r="E1287" s="1619" t="s">
        <v>6941</v>
      </c>
      <c r="F1287" s="1616">
        <f>C1287</f>
        <v>2013</v>
      </c>
      <c r="G1287" s="1618" t="str">
        <f>D1287</f>
        <v>Promoção da Assistencia Social Básica</v>
      </c>
      <c r="H1287" s="775" t="s">
        <v>3137</v>
      </c>
      <c r="I1287" s="795" t="str">
        <f>F1285</f>
        <v>12</v>
      </c>
      <c r="J1287" s="762" t="str">
        <f>G1285</f>
        <v>GESTÃO E AÇÕES DE ASSISTENCIA SOCIAL</v>
      </c>
    </row>
    <row r="1288" spans="2:10" ht="35.1" customHeight="1" x14ac:dyDescent="0.25">
      <c r="B1288" s="1620"/>
      <c r="C1288" s="1621"/>
      <c r="D1288" s="1623"/>
      <c r="E1288" s="1620"/>
      <c r="F1288" s="1621"/>
      <c r="G1288" s="1624"/>
      <c r="H1288" s="776" t="s">
        <v>6941</v>
      </c>
      <c r="I1288" s="796">
        <f>F1287</f>
        <v>2013</v>
      </c>
      <c r="J1288" s="764" t="str">
        <f>G1287</f>
        <v>Promoção da Assistencia Social Básica</v>
      </c>
    </row>
    <row r="1289" spans="2:10" ht="35.1" customHeight="1" thickBot="1" x14ac:dyDescent="0.3">
      <c r="B1289" s="769" t="s">
        <v>6939</v>
      </c>
      <c r="C1289" s="1625">
        <v>200000</v>
      </c>
      <c r="D1289" s="1626"/>
      <c r="E1289" s="769" t="s">
        <v>6939</v>
      </c>
      <c r="F1289" s="1625">
        <v>50000</v>
      </c>
      <c r="G1289" s="1627"/>
      <c r="H1289" s="778" t="s">
        <v>6939</v>
      </c>
      <c r="I1289" s="1625">
        <f>DESPORC!I3883</f>
        <v>3000.0710000000004</v>
      </c>
      <c r="J1289" s="1627"/>
    </row>
    <row r="1290" spans="2:10" ht="35.1" customHeight="1" x14ac:dyDescent="0.25">
      <c r="B1290" s="1628" t="s">
        <v>3137</v>
      </c>
      <c r="C1290" s="1615" t="str">
        <f>'[3]Anexo I - Programas'!$B$390</f>
        <v>12</v>
      </c>
      <c r="D1290" s="1629" t="str">
        <f>'[3]Anexo I - Programas'!$C$390</f>
        <v>GESTÃO E AÇÕES DE ASSISTENCIA SOCIAL</v>
      </c>
      <c r="E1290" s="1628" t="s">
        <v>3137</v>
      </c>
      <c r="F1290" s="1615" t="str">
        <f>C1290</f>
        <v>12</v>
      </c>
      <c r="G1290" s="1617" t="str">
        <f>D1290</f>
        <v>GESTÃO E AÇÕES DE ASSISTENCIA SOCIAL</v>
      </c>
      <c r="H1290" s="773" t="s">
        <v>3138</v>
      </c>
      <c r="I1290" s="757">
        <f>DESPORC!C3893</f>
        <v>8</v>
      </c>
      <c r="J1290" s="765" t="str">
        <f>DESPORC!D3893</f>
        <v>Assistência Social</v>
      </c>
    </row>
    <row r="1291" spans="2:10" ht="35.1" customHeight="1" x14ac:dyDescent="0.25">
      <c r="B1291" s="1619"/>
      <c r="C1291" s="1616"/>
      <c r="D1291" s="1630"/>
      <c r="E1291" s="1619"/>
      <c r="F1291" s="1616"/>
      <c r="G1291" s="1618"/>
      <c r="H1291" s="774" t="s">
        <v>6940</v>
      </c>
      <c r="I1291" s="757">
        <f>DESPORC!C3894</f>
        <v>243</v>
      </c>
      <c r="J1291" s="765" t="str">
        <f>DESPORC!D3896</f>
        <v>PROMOÇÃO DA ASSISTENCIA SOCIAL BÁSICA</v>
      </c>
    </row>
    <row r="1292" spans="2:10" ht="35.1" customHeight="1" x14ac:dyDescent="0.25">
      <c r="B1292" s="1619" t="s">
        <v>6941</v>
      </c>
      <c r="C1292" s="1616">
        <f>'[3]Anexo I - Programas'!$C$410</f>
        <v>2013</v>
      </c>
      <c r="D1292" s="1622" t="str">
        <f>'[3]Anexo I - Programas'!$D$410</f>
        <v>Promoção da Assistencia Social Básica</v>
      </c>
      <c r="E1292" s="1619" t="s">
        <v>6941</v>
      </c>
      <c r="F1292" s="1616">
        <f>C1292</f>
        <v>2013</v>
      </c>
      <c r="G1292" s="1618" t="str">
        <f>D1292</f>
        <v>Promoção da Assistencia Social Básica</v>
      </c>
      <c r="H1292" s="775" t="s">
        <v>3137</v>
      </c>
      <c r="I1292" s="795" t="str">
        <f>F1290</f>
        <v>12</v>
      </c>
      <c r="J1292" s="762" t="str">
        <f>G1290</f>
        <v>GESTÃO E AÇÕES DE ASSISTENCIA SOCIAL</v>
      </c>
    </row>
    <row r="1293" spans="2:10" ht="35.1" customHeight="1" x14ac:dyDescent="0.25">
      <c r="B1293" s="1620"/>
      <c r="C1293" s="1621"/>
      <c r="D1293" s="1623"/>
      <c r="E1293" s="1620"/>
      <c r="F1293" s="1621"/>
      <c r="G1293" s="1624"/>
      <c r="H1293" s="776" t="s">
        <v>6941</v>
      </c>
      <c r="I1293" s="796">
        <f>F1292</f>
        <v>2013</v>
      </c>
      <c r="J1293" s="764" t="str">
        <f>G1292</f>
        <v>Promoção da Assistencia Social Básica</v>
      </c>
    </row>
    <row r="1294" spans="2:10" ht="35.1" customHeight="1" thickBot="1" x14ac:dyDescent="0.3">
      <c r="B1294" s="769" t="s">
        <v>6939</v>
      </c>
      <c r="C1294" s="1625">
        <v>200000</v>
      </c>
      <c r="D1294" s="1626"/>
      <c r="E1294" s="769" t="s">
        <v>6939</v>
      </c>
      <c r="F1294" s="1625">
        <v>50000</v>
      </c>
      <c r="G1294" s="1627"/>
      <c r="H1294" s="778" t="s">
        <v>6939</v>
      </c>
      <c r="I1294" s="1625">
        <f>DESPORC!I3896</f>
        <v>5000.0700000000015</v>
      </c>
      <c r="J1294" s="1627"/>
    </row>
    <row r="1295" spans="2:10" ht="35.1" customHeight="1" x14ac:dyDescent="0.25">
      <c r="B1295" s="1628" t="s">
        <v>3137</v>
      </c>
      <c r="C1295" s="1615" t="str">
        <f>'[3]Anexo I - Programas'!$B$390</f>
        <v>12</v>
      </c>
      <c r="D1295" s="1629" t="str">
        <f>'[3]Anexo I - Programas'!$C$390</f>
        <v>GESTÃO E AÇÕES DE ASSISTENCIA SOCIAL</v>
      </c>
      <c r="E1295" s="1628" t="s">
        <v>3137</v>
      </c>
      <c r="F1295" s="1615" t="str">
        <f>C1295</f>
        <v>12</v>
      </c>
      <c r="G1295" s="1617" t="str">
        <f>D1295</f>
        <v>GESTÃO E AÇÕES DE ASSISTENCIA SOCIAL</v>
      </c>
      <c r="H1295" s="773" t="s">
        <v>3138</v>
      </c>
      <c r="I1295" s="757">
        <f>DESPORC!C3906</f>
        <v>8</v>
      </c>
      <c r="J1295" s="765" t="str">
        <f>DESPORC!D3906</f>
        <v>Assistência Social</v>
      </c>
    </row>
    <row r="1296" spans="2:10" ht="35.1" customHeight="1" x14ac:dyDescent="0.25">
      <c r="B1296" s="1619"/>
      <c r="C1296" s="1616"/>
      <c r="D1296" s="1630"/>
      <c r="E1296" s="1619"/>
      <c r="F1296" s="1616"/>
      <c r="G1296" s="1618"/>
      <c r="H1296" s="774" t="s">
        <v>6940</v>
      </c>
      <c r="I1296" s="757">
        <f>DESPORC!C3907</f>
        <v>244</v>
      </c>
      <c r="J1296" s="765" t="str">
        <f>DESPORC!D3907</f>
        <v>Assistência Comunitária</v>
      </c>
    </row>
    <row r="1297" spans="2:10" ht="35.1" customHeight="1" x14ac:dyDescent="0.25">
      <c r="B1297" s="1619" t="s">
        <v>6941</v>
      </c>
      <c r="C1297" s="1616">
        <f>'[3]Anexo I - Programas'!$C$410</f>
        <v>2013</v>
      </c>
      <c r="D1297" s="1622" t="str">
        <f>'[3]Anexo I - Programas'!$D$410</f>
        <v>Promoção da Assistencia Social Básica</v>
      </c>
      <c r="E1297" s="1619" t="s">
        <v>6941</v>
      </c>
      <c r="F1297" s="1616">
        <f>C1297</f>
        <v>2013</v>
      </c>
      <c r="G1297" s="1618" t="str">
        <f>D1297</f>
        <v>Promoção da Assistencia Social Básica</v>
      </c>
      <c r="H1297" s="775" t="s">
        <v>3137</v>
      </c>
      <c r="I1297" s="795" t="str">
        <f>F1295</f>
        <v>12</v>
      </c>
      <c r="J1297" s="762" t="str">
        <f>G1295</f>
        <v>GESTÃO E AÇÕES DE ASSISTENCIA SOCIAL</v>
      </c>
    </row>
    <row r="1298" spans="2:10" ht="35.1" customHeight="1" x14ac:dyDescent="0.25">
      <c r="B1298" s="1620"/>
      <c r="C1298" s="1621"/>
      <c r="D1298" s="1623"/>
      <c r="E1298" s="1620"/>
      <c r="F1298" s="1621"/>
      <c r="G1298" s="1624"/>
      <c r="H1298" s="776" t="s">
        <v>6941</v>
      </c>
      <c r="I1298" s="796">
        <f>F1297</f>
        <v>2013</v>
      </c>
      <c r="J1298" s="764" t="str">
        <f>G1297</f>
        <v>Promoção da Assistencia Social Básica</v>
      </c>
    </row>
    <row r="1299" spans="2:10" ht="35.1" customHeight="1" thickBot="1" x14ac:dyDescent="0.3">
      <c r="B1299" s="769" t="s">
        <v>6939</v>
      </c>
      <c r="C1299" s="1625">
        <v>200000</v>
      </c>
      <c r="D1299" s="1626"/>
      <c r="E1299" s="769" t="s">
        <v>6939</v>
      </c>
      <c r="F1299" s="1625">
        <v>50000</v>
      </c>
      <c r="G1299" s="1627"/>
      <c r="H1299" s="778" t="s">
        <v>6939</v>
      </c>
      <c r="I1299" s="1625">
        <f>DESPORC!I3909</f>
        <v>548846.18952959997</v>
      </c>
      <c r="J1299" s="1627"/>
    </row>
    <row r="1300" spans="2:10" ht="35.1" customHeight="1" x14ac:dyDescent="0.25">
      <c r="B1300" s="1628" t="s">
        <v>3137</v>
      </c>
      <c r="C1300" s="1615" t="str">
        <f>'[3]Anexo I - Programas'!$B$390</f>
        <v>12</v>
      </c>
      <c r="D1300" s="1629" t="str">
        <f>'[3]Anexo I - Programas'!$C$390</f>
        <v>GESTÃO E AÇÕES DE ASSISTENCIA SOCIAL</v>
      </c>
      <c r="E1300" s="1628" t="s">
        <v>3137</v>
      </c>
      <c r="F1300" s="1615" t="str">
        <f>C1300</f>
        <v>12</v>
      </c>
      <c r="G1300" s="1617" t="str">
        <f>D1300</f>
        <v>GESTÃO E AÇÕES DE ASSISTENCIA SOCIAL</v>
      </c>
      <c r="H1300" s="773" t="s">
        <v>3138</v>
      </c>
      <c r="I1300" s="757">
        <f>DESPORC!C3935</f>
        <v>8</v>
      </c>
      <c r="J1300" s="765" t="str">
        <f>DESPORC!D3935</f>
        <v>Assistência Social</v>
      </c>
    </row>
    <row r="1301" spans="2:10" ht="35.1" customHeight="1" x14ac:dyDescent="0.25">
      <c r="B1301" s="1619"/>
      <c r="C1301" s="1616"/>
      <c r="D1301" s="1630"/>
      <c r="E1301" s="1619"/>
      <c r="F1301" s="1616"/>
      <c r="G1301" s="1618"/>
      <c r="H1301" s="774" t="s">
        <v>6940</v>
      </c>
      <c r="I1301" s="757">
        <f>DESPORC!C3936</f>
        <v>241</v>
      </c>
      <c r="J1301" s="765" t="str">
        <f>DESPORC!D3936</f>
        <v>Assistência ao Idoso</v>
      </c>
    </row>
    <row r="1302" spans="2:10" ht="35.1" customHeight="1" x14ac:dyDescent="0.25">
      <c r="B1302" s="1619" t="s">
        <v>6941</v>
      </c>
      <c r="C1302" s="1616">
        <f>'[3]Anexo I - Programas'!$C$416</f>
        <v>2014</v>
      </c>
      <c r="D1302" s="1622" t="str">
        <f>'[3]Anexo I - Programas'!$D$416</f>
        <v>Promoção da Assistencia Social Especial e Média Complexidade</v>
      </c>
      <c r="E1302" s="1619" t="s">
        <v>6941</v>
      </c>
      <c r="F1302" s="1616">
        <f>C1302</f>
        <v>2014</v>
      </c>
      <c r="G1302" s="1618" t="str">
        <f>D1302</f>
        <v>Promoção da Assistencia Social Especial e Média Complexidade</v>
      </c>
      <c r="H1302" s="775" t="s">
        <v>3137</v>
      </c>
      <c r="I1302" s="795" t="str">
        <f>F1300</f>
        <v>12</v>
      </c>
      <c r="J1302" s="762" t="str">
        <f>G1300</f>
        <v>GESTÃO E AÇÕES DE ASSISTENCIA SOCIAL</v>
      </c>
    </row>
    <row r="1303" spans="2:10" ht="35.1" customHeight="1" x14ac:dyDescent="0.25">
      <c r="B1303" s="1620"/>
      <c r="C1303" s="1621"/>
      <c r="D1303" s="1623"/>
      <c r="E1303" s="1620"/>
      <c r="F1303" s="1621"/>
      <c r="G1303" s="1624"/>
      <c r="H1303" s="776" t="s">
        <v>6941</v>
      </c>
      <c r="I1303" s="796">
        <f>F1302</f>
        <v>2014</v>
      </c>
      <c r="J1303" s="764" t="str">
        <f>G1302</f>
        <v>Promoção da Assistencia Social Especial e Média Complexidade</v>
      </c>
    </row>
    <row r="1304" spans="2:10" ht="35.1" customHeight="1" thickBot="1" x14ac:dyDescent="0.3">
      <c r="B1304" s="769" t="s">
        <v>6939</v>
      </c>
      <c r="C1304" s="1625">
        <v>600000</v>
      </c>
      <c r="D1304" s="1626"/>
      <c r="E1304" s="769" t="s">
        <v>6939</v>
      </c>
      <c r="F1304" s="1625">
        <v>150000</v>
      </c>
      <c r="G1304" s="1627"/>
      <c r="H1304" s="778" t="s">
        <v>6939</v>
      </c>
      <c r="I1304" s="1625">
        <f>DESPORC!I3938</f>
        <v>9.9999999999999992E-2</v>
      </c>
      <c r="J1304" s="1627"/>
    </row>
    <row r="1305" spans="2:10" ht="35.1" customHeight="1" x14ac:dyDescent="0.25">
      <c r="B1305" s="1628" t="s">
        <v>3137</v>
      </c>
      <c r="C1305" s="1615" t="str">
        <f>'[3]Anexo I - Programas'!$B$390</f>
        <v>12</v>
      </c>
      <c r="D1305" s="1629" t="str">
        <f>'[3]Anexo I - Programas'!$C$390</f>
        <v>GESTÃO E AÇÕES DE ASSISTENCIA SOCIAL</v>
      </c>
      <c r="E1305" s="1628" t="s">
        <v>3137</v>
      </c>
      <c r="F1305" s="1615" t="str">
        <f>C1305</f>
        <v>12</v>
      </c>
      <c r="G1305" s="1617" t="str">
        <f>D1305</f>
        <v>GESTÃO E AÇÕES DE ASSISTENCIA SOCIAL</v>
      </c>
      <c r="H1305" s="773" t="s">
        <v>3138</v>
      </c>
      <c r="I1305" s="757">
        <f>DESPORC!C3949</f>
        <v>8</v>
      </c>
      <c r="J1305" s="765" t="str">
        <f>DESPORC!D3949</f>
        <v>Assistência Social</v>
      </c>
    </row>
    <row r="1306" spans="2:10" ht="35.1" customHeight="1" x14ac:dyDescent="0.25">
      <c r="B1306" s="1619"/>
      <c r="C1306" s="1616"/>
      <c r="D1306" s="1630"/>
      <c r="E1306" s="1619"/>
      <c r="F1306" s="1616"/>
      <c r="G1306" s="1618"/>
      <c r="H1306" s="774" t="s">
        <v>6940</v>
      </c>
      <c r="I1306" s="757">
        <f>DESPORC!C3950</f>
        <v>242</v>
      </c>
      <c r="J1306" s="765" t="str">
        <f>DESPORC!D3950</f>
        <v>Assistência ao Portador de Deficiência</v>
      </c>
    </row>
    <row r="1307" spans="2:10" ht="35.1" customHeight="1" x14ac:dyDescent="0.25">
      <c r="B1307" s="1619" t="s">
        <v>6941</v>
      </c>
      <c r="C1307" s="1616">
        <f>'[3]Anexo I - Programas'!$C$416</f>
        <v>2014</v>
      </c>
      <c r="D1307" s="1622" t="str">
        <f>'[3]Anexo I - Programas'!$D$416</f>
        <v>Promoção da Assistencia Social Especial e Média Complexidade</v>
      </c>
      <c r="E1307" s="1619" t="s">
        <v>6941</v>
      </c>
      <c r="F1307" s="1616">
        <f>C1307</f>
        <v>2014</v>
      </c>
      <c r="G1307" s="1618" t="str">
        <f>D1307</f>
        <v>Promoção da Assistencia Social Especial e Média Complexidade</v>
      </c>
      <c r="H1307" s="775" t="s">
        <v>3137</v>
      </c>
      <c r="I1307" s="795" t="str">
        <f>F1305</f>
        <v>12</v>
      </c>
      <c r="J1307" s="762" t="str">
        <f>G1305</f>
        <v>GESTÃO E AÇÕES DE ASSISTENCIA SOCIAL</v>
      </c>
    </row>
    <row r="1308" spans="2:10" ht="35.1" customHeight="1" x14ac:dyDescent="0.25">
      <c r="B1308" s="1620"/>
      <c r="C1308" s="1621"/>
      <c r="D1308" s="1623"/>
      <c r="E1308" s="1620"/>
      <c r="F1308" s="1621"/>
      <c r="G1308" s="1624"/>
      <c r="H1308" s="776" t="s">
        <v>6941</v>
      </c>
      <c r="I1308" s="796">
        <f>F1307</f>
        <v>2014</v>
      </c>
      <c r="J1308" s="764" t="str">
        <f>G1307</f>
        <v>Promoção da Assistencia Social Especial e Média Complexidade</v>
      </c>
    </row>
    <row r="1309" spans="2:10" ht="35.1" customHeight="1" thickBot="1" x14ac:dyDescent="0.3">
      <c r="B1309" s="769" t="s">
        <v>6939</v>
      </c>
      <c r="C1309" s="1625">
        <v>600000</v>
      </c>
      <c r="D1309" s="1626"/>
      <c r="E1309" s="769" t="s">
        <v>6939</v>
      </c>
      <c r="F1309" s="1625">
        <v>150000</v>
      </c>
      <c r="G1309" s="1627"/>
      <c r="H1309" s="778" t="s">
        <v>6939</v>
      </c>
      <c r="I1309" s="1625">
        <f>DESPORC!I3952</f>
        <v>0.09</v>
      </c>
      <c r="J1309" s="1627"/>
    </row>
    <row r="1310" spans="2:10" ht="35.1" customHeight="1" x14ac:dyDescent="0.25">
      <c r="B1310" s="1628" t="s">
        <v>3137</v>
      </c>
      <c r="C1310" s="1615" t="str">
        <f>'[3]Anexo I - Programas'!$B$390</f>
        <v>12</v>
      </c>
      <c r="D1310" s="1629" t="str">
        <f>'[3]Anexo I - Programas'!$C$390</f>
        <v>GESTÃO E AÇÕES DE ASSISTENCIA SOCIAL</v>
      </c>
      <c r="E1310" s="1628" t="s">
        <v>3137</v>
      </c>
      <c r="F1310" s="1615" t="str">
        <f>C1310</f>
        <v>12</v>
      </c>
      <c r="G1310" s="1617" t="str">
        <f>D1310</f>
        <v>GESTÃO E AÇÕES DE ASSISTENCIA SOCIAL</v>
      </c>
      <c r="H1310" s="773" t="s">
        <v>3138</v>
      </c>
      <c r="I1310" s="757">
        <f>DESPORC!C3962</f>
        <v>8</v>
      </c>
      <c r="J1310" s="765" t="str">
        <f>DESPORC!D3962</f>
        <v>Assistência Social</v>
      </c>
    </row>
    <row r="1311" spans="2:10" ht="35.1" customHeight="1" x14ac:dyDescent="0.25">
      <c r="B1311" s="1619"/>
      <c r="C1311" s="1616"/>
      <c r="D1311" s="1630"/>
      <c r="E1311" s="1619"/>
      <c r="F1311" s="1616"/>
      <c r="G1311" s="1618"/>
      <c r="H1311" s="774" t="s">
        <v>6940</v>
      </c>
      <c r="I1311" s="757">
        <f>DESPORC!C3963</f>
        <v>243</v>
      </c>
      <c r="J1311" s="765" t="str">
        <f>DESPORC!D3963</f>
        <v>Assistência à Criança e ao Adolescente</v>
      </c>
    </row>
    <row r="1312" spans="2:10" ht="35.1" customHeight="1" x14ac:dyDescent="0.25">
      <c r="B1312" s="1619" t="s">
        <v>6941</v>
      </c>
      <c r="C1312" s="1616">
        <f>'[3]Anexo I - Programas'!$C$416</f>
        <v>2014</v>
      </c>
      <c r="D1312" s="1622" t="str">
        <f>'[3]Anexo I - Programas'!$D$416</f>
        <v>Promoção da Assistencia Social Especial e Média Complexidade</v>
      </c>
      <c r="E1312" s="1619" t="s">
        <v>6941</v>
      </c>
      <c r="F1312" s="1616">
        <f>C1312</f>
        <v>2014</v>
      </c>
      <c r="G1312" s="1618" t="str">
        <f>D1312</f>
        <v>Promoção da Assistencia Social Especial e Média Complexidade</v>
      </c>
      <c r="H1312" s="775" t="s">
        <v>3137</v>
      </c>
      <c r="I1312" s="795" t="str">
        <f>F1310</f>
        <v>12</v>
      </c>
      <c r="J1312" s="762" t="str">
        <f>G1310</f>
        <v>GESTÃO E AÇÕES DE ASSISTENCIA SOCIAL</v>
      </c>
    </row>
    <row r="1313" spans="2:10" ht="35.1" customHeight="1" x14ac:dyDescent="0.25">
      <c r="B1313" s="1620"/>
      <c r="C1313" s="1621"/>
      <c r="D1313" s="1623"/>
      <c r="E1313" s="1620"/>
      <c r="F1313" s="1621"/>
      <c r="G1313" s="1624"/>
      <c r="H1313" s="776" t="s">
        <v>6941</v>
      </c>
      <c r="I1313" s="796">
        <f>F1312</f>
        <v>2014</v>
      </c>
      <c r="J1313" s="764" t="str">
        <f>G1312</f>
        <v>Promoção da Assistencia Social Especial e Média Complexidade</v>
      </c>
    </row>
    <row r="1314" spans="2:10" ht="35.1" customHeight="1" thickBot="1" x14ac:dyDescent="0.3">
      <c r="B1314" s="769" t="s">
        <v>6939</v>
      </c>
      <c r="C1314" s="1625">
        <v>600000</v>
      </c>
      <c r="D1314" s="1626"/>
      <c r="E1314" s="769" t="s">
        <v>6939</v>
      </c>
      <c r="F1314" s="1625">
        <v>150000</v>
      </c>
      <c r="G1314" s="1627"/>
      <c r="H1314" s="778" t="s">
        <v>6939</v>
      </c>
      <c r="I1314" s="1625">
        <f>DESPORC!I3965</f>
        <v>0.09</v>
      </c>
      <c r="J1314" s="1627"/>
    </row>
    <row r="1315" spans="2:10" ht="35.1" customHeight="1" x14ac:dyDescent="0.25">
      <c r="B1315" s="1628" t="s">
        <v>3137</v>
      </c>
      <c r="C1315" s="1615" t="str">
        <f>'[3]Anexo I - Programas'!$B$390</f>
        <v>12</v>
      </c>
      <c r="D1315" s="1629" t="str">
        <f>'[3]Anexo I - Programas'!$C$390</f>
        <v>GESTÃO E AÇÕES DE ASSISTENCIA SOCIAL</v>
      </c>
      <c r="E1315" s="1628" t="s">
        <v>3137</v>
      </c>
      <c r="F1315" s="1615" t="str">
        <f>C1315</f>
        <v>12</v>
      </c>
      <c r="G1315" s="1617" t="str">
        <f>D1315</f>
        <v>GESTÃO E AÇÕES DE ASSISTENCIA SOCIAL</v>
      </c>
      <c r="H1315" s="773" t="s">
        <v>3138</v>
      </c>
      <c r="I1315" s="757">
        <f>DESPORC!C3975</f>
        <v>8</v>
      </c>
      <c r="J1315" s="765" t="str">
        <f>DESPORC!D3975</f>
        <v>Assistência Social</v>
      </c>
    </row>
    <row r="1316" spans="2:10" ht="35.1" customHeight="1" x14ac:dyDescent="0.25">
      <c r="B1316" s="1619"/>
      <c r="C1316" s="1616"/>
      <c r="D1316" s="1630"/>
      <c r="E1316" s="1619"/>
      <c r="F1316" s="1616"/>
      <c r="G1316" s="1618"/>
      <c r="H1316" s="774" t="s">
        <v>6940</v>
      </c>
      <c r="I1316" s="757">
        <f>DESPORC!C3976</f>
        <v>244</v>
      </c>
      <c r="J1316" s="765" t="str">
        <f>DESPORC!D3976</f>
        <v>Assistência Comunitária</v>
      </c>
    </row>
    <row r="1317" spans="2:10" ht="35.1" customHeight="1" x14ac:dyDescent="0.25">
      <c r="B1317" s="1619" t="s">
        <v>6941</v>
      </c>
      <c r="C1317" s="1616">
        <f>'[3]Anexo I - Programas'!$C$416</f>
        <v>2014</v>
      </c>
      <c r="D1317" s="1622" t="str">
        <f>'[3]Anexo I - Programas'!$D$416</f>
        <v>Promoção da Assistencia Social Especial e Média Complexidade</v>
      </c>
      <c r="E1317" s="1619" t="s">
        <v>6941</v>
      </c>
      <c r="F1317" s="1616">
        <f>C1317</f>
        <v>2014</v>
      </c>
      <c r="G1317" s="1618" t="str">
        <f>D1317</f>
        <v>Promoção da Assistencia Social Especial e Média Complexidade</v>
      </c>
      <c r="H1317" s="775" t="s">
        <v>3137</v>
      </c>
      <c r="I1317" s="795" t="str">
        <f>F1315</f>
        <v>12</v>
      </c>
      <c r="J1317" s="762" t="str">
        <f>G1315</f>
        <v>GESTÃO E AÇÕES DE ASSISTENCIA SOCIAL</v>
      </c>
    </row>
    <row r="1318" spans="2:10" ht="35.1" customHeight="1" x14ac:dyDescent="0.25">
      <c r="B1318" s="1620"/>
      <c r="C1318" s="1621"/>
      <c r="D1318" s="1623"/>
      <c r="E1318" s="1620"/>
      <c r="F1318" s="1621"/>
      <c r="G1318" s="1624"/>
      <c r="H1318" s="776" t="s">
        <v>6941</v>
      </c>
      <c r="I1318" s="796">
        <f>F1317</f>
        <v>2014</v>
      </c>
      <c r="J1318" s="764" t="str">
        <f>G1317</f>
        <v>Promoção da Assistencia Social Especial e Média Complexidade</v>
      </c>
    </row>
    <row r="1319" spans="2:10" ht="35.1" customHeight="1" thickBot="1" x14ac:dyDescent="0.3">
      <c r="B1319" s="769" t="s">
        <v>6939</v>
      </c>
      <c r="C1319" s="1625">
        <v>600000</v>
      </c>
      <c r="D1319" s="1626"/>
      <c r="E1319" s="769" t="s">
        <v>6939</v>
      </c>
      <c r="F1319" s="1625">
        <v>150000</v>
      </c>
      <c r="G1319" s="1627"/>
      <c r="H1319" s="778" t="s">
        <v>6939</v>
      </c>
      <c r="I1319" s="1625">
        <f>DESPORC!I3978</f>
        <v>1125.0803217482267</v>
      </c>
      <c r="J1319" s="1627"/>
    </row>
    <row r="1320" spans="2:10" ht="35.1" customHeight="1" x14ac:dyDescent="0.25">
      <c r="B1320" s="1628" t="s">
        <v>3137</v>
      </c>
      <c r="C1320" s="1615" t="str">
        <f>'[3]Anexo I - Programas'!$B$390</f>
        <v>12</v>
      </c>
      <c r="D1320" s="1629" t="str">
        <f>'[3]Anexo I - Programas'!$C$390</f>
        <v>GESTÃO E AÇÕES DE ASSISTENCIA SOCIAL</v>
      </c>
      <c r="E1320" s="1628" t="s">
        <v>3137</v>
      </c>
      <c r="F1320" s="1615" t="str">
        <f>C1320</f>
        <v>12</v>
      </c>
      <c r="G1320" s="1617" t="str">
        <f>D1320</f>
        <v>GESTÃO E AÇÕES DE ASSISTENCIA SOCIAL</v>
      </c>
      <c r="H1320" s="773" t="s">
        <v>3138</v>
      </c>
      <c r="I1320" s="757">
        <f>DESPORC!C4001</f>
        <v>8</v>
      </c>
      <c r="J1320" s="765" t="str">
        <f>DESPORC!D4001</f>
        <v>Assistência Social</v>
      </c>
    </row>
    <row r="1321" spans="2:10" ht="35.1" customHeight="1" x14ac:dyDescent="0.25">
      <c r="B1321" s="1619"/>
      <c r="C1321" s="1616"/>
      <c r="D1321" s="1630"/>
      <c r="E1321" s="1619"/>
      <c r="F1321" s="1616"/>
      <c r="G1321" s="1618"/>
      <c r="H1321" s="774" t="s">
        <v>6940</v>
      </c>
      <c r="I1321" s="757">
        <f>DESPORC!C4002</f>
        <v>244</v>
      </c>
      <c r="J1321" s="765" t="str">
        <f>DESPORC!D4002</f>
        <v>Assistência Comunitária</v>
      </c>
    </row>
    <row r="1322" spans="2:10" ht="35.1" customHeight="1" x14ac:dyDescent="0.25">
      <c r="B1322" s="1619" t="s">
        <v>6941</v>
      </c>
      <c r="C1322" s="1616">
        <f>'[3]Anexo I - Programas'!$C$422</f>
        <v>2015</v>
      </c>
      <c r="D1322" s="1622" t="str">
        <f>'[3]Anexo I - Programas'!$D$422</f>
        <v xml:space="preserve">Gestão e operacionalização do Programa Bolsa Família </v>
      </c>
      <c r="E1322" s="1619" t="s">
        <v>6941</v>
      </c>
      <c r="F1322" s="1616">
        <f>C1322</f>
        <v>2015</v>
      </c>
      <c r="G1322" s="1618" t="str">
        <f>D1322</f>
        <v xml:space="preserve">Gestão e operacionalização do Programa Bolsa Família </v>
      </c>
      <c r="H1322" s="775" t="s">
        <v>3137</v>
      </c>
      <c r="I1322" s="795" t="str">
        <f>F1320</f>
        <v>12</v>
      </c>
      <c r="J1322" s="762" t="str">
        <f>G1320</f>
        <v>GESTÃO E AÇÕES DE ASSISTENCIA SOCIAL</v>
      </c>
    </row>
    <row r="1323" spans="2:10" ht="35.1" customHeight="1" x14ac:dyDescent="0.25">
      <c r="B1323" s="1620"/>
      <c r="C1323" s="1621"/>
      <c r="D1323" s="1623"/>
      <c r="E1323" s="1620"/>
      <c r="F1323" s="1621"/>
      <c r="G1323" s="1624"/>
      <c r="H1323" s="776" t="s">
        <v>6941</v>
      </c>
      <c r="I1323" s="796">
        <f>F1322</f>
        <v>2015</v>
      </c>
      <c r="J1323" s="764" t="str">
        <f>G1322</f>
        <v xml:space="preserve">Gestão e operacionalização do Programa Bolsa Família </v>
      </c>
    </row>
    <row r="1324" spans="2:10" ht="35.1" customHeight="1" thickBot="1" x14ac:dyDescent="0.3">
      <c r="B1324" s="769" t="s">
        <v>6939</v>
      </c>
      <c r="C1324" s="1625">
        <v>200000</v>
      </c>
      <c r="D1324" s="1626"/>
      <c r="E1324" s="769" t="s">
        <v>6939</v>
      </c>
      <c r="F1324" s="1625">
        <v>50000</v>
      </c>
      <c r="G1324" s="1627"/>
      <c r="H1324" s="778" t="s">
        <v>6939</v>
      </c>
      <c r="I1324" s="1625">
        <f>DESPORC!I4004</f>
        <v>21967.589548911572</v>
      </c>
      <c r="J1324" s="1627"/>
    </row>
    <row r="1325" spans="2:10" ht="35.1" customHeight="1" x14ac:dyDescent="0.25">
      <c r="B1325" s="1628" t="s">
        <v>3137</v>
      </c>
      <c r="C1325" s="1615" t="str">
        <f>'[3]Anexo I - Programas'!$B$390</f>
        <v>12</v>
      </c>
      <c r="D1325" s="1629" t="str">
        <f>'[3]Anexo I - Programas'!$C$390</f>
        <v>GESTÃO E AÇÕES DE ASSISTENCIA SOCIAL</v>
      </c>
      <c r="E1325" s="1628" t="s">
        <v>3137</v>
      </c>
      <c r="F1325" s="1615" t="str">
        <f>C1325</f>
        <v>12</v>
      </c>
      <c r="G1325" s="1617" t="str">
        <f>D1325</f>
        <v>GESTÃO E AÇÕES DE ASSISTENCIA SOCIAL</v>
      </c>
      <c r="H1325" s="773" t="s">
        <v>3138</v>
      </c>
      <c r="I1325" s="757">
        <f>DESPORC!C4013</f>
        <v>8</v>
      </c>
      <c r="J1325" s="765" t="str">
        <f>DESPORC!D4013</f>
        <v>Assistência Social</v>
      </c>
    </row>
    <row r="1326" spans="2:10" ht="35.1" customHeight="1" x14ac:dyDescent="0.25">
      <c r="B1326" s="1619"/>
      <c r="C1326" s="1616"/>
      <c r="D1326" s="1630"/>
      <c r="E1326" s="1619"/>
      <c r="F1326" s="1616"/>
      <c r="G1326" s="1618"/>
      <c r="H1326" s="774" t="s">
        <v>6940</v>
      </c>
      <c r="I1326" s="757">
        <f>DESPORC!C4014</f>
        <v>244</v>
      </c>
      <c r="J1326" s="765" t="str">
        <f>DESPORC!D4014</f>
        <v>Assistência Comunitária</v>
      </c>
    </row>
    <row r="1327" spans="2:10" ht="35.1" customHeight="1" x14ac:dyDescent="0.25">
      <c r="B1327" s="1619" t="s">
        <v>6941</v>
      </c>
      <c r="C1327" s="1616">
        <f>'[3]Anexo I - Programas'!$C$428</f>
        <v>2016</v>
      </c>
      <c r="D1327" s="1622" t="str">
        <f>'[3]Anexo I - Programas'!$D$428</f>
        <v>Gestão, Monitoramento e Vigilância – SUAS</v>
      </c>
      <c r="E1327" s="1619" t="s">
        <v>6941</v>
      </c>
      <c r="F1327" s="1616">
        <f>C1327</f>
        <v>2016</v>
      </c>
      <c r="G1327" s="1618" t="str">
        <f>D1327</f>
        <v>Gestão, Monitoramento e Vigilância – SUAS</v>
      </c>
      <c r="H1327" s="775" t="s">
        <v>3137</v>
      </c>
      <c r="I1327" s="795" t="str">
        <f>F1325</f>
        <v>12</v>
      </c>
      <c r="J1327" s="762" t="str">
        <f>G1325</f>
        <v>GESTÃO E AÇÕES DE ASSISTENCIA SOCIAL</v>
      </c>
    </row>
    <row r="1328" spans="2:10" ht="35.1" customHeight="1" x14ac:dyDescent="0.25">
      <c r="B1328" s="1620"/>
      <c r="C1328" s="1621"/>
      <c r="D1328" s="1623"/>
      <c r="E1328" s="1620"/>
      <c r="F1328" s="1621"/>
      <c r="G1328" s="1624"/>
      <c r="H1328" s="776" t="s">
        <v>6941</v>
      </c>
      <c r="I1328" s="796">
        <f>F1327</f>
        <v>2016</v>
      </c>
      <c r="J1328" s="764" t="str">
        <f>G1327</f>
        <v>Gestão, Monitoramento e Vigilância – SUAS</v>
      </c>
    </row>
    <row r="1329" spans="2:10" ht="35.1" customHeight="1" thickBot="1" x14ac:dyDescent="0.3">
      <c r="B1329" s="769" t="s">
        <v>6939</v>
      </c>
      <c r="C1329" s="1625">
        <v>50000</v>
      </c>
      <c r="D1329" s="1626"/>
      <c r="E1329" s="769" t="s">
        <v>6939</v>
      </c>
      <c r="F1329" s="1625">
        <v>12500</v>
      </c>
      <c r="G1329" s="1627"/>
      <c r="H1329" s="778" t="s">
        <v>6939</v>
      </c>
      <c r="I1329" s="1625">
        <f>DESPORC!I4016</f>
        <v>4924.0428625473423</v>
      </c>
      <c r="J1329" s="1627"/>
    </row>
    <row r="1330" spans="2:10" ht="35.1" customHeight="1" x14ac:dyDescent="0.25">
      <c r="B1330" s="1628" t="s">
        <v>3137</v>
      </c>
      <c r="C1330" s="1615" t="str">
        <f>'[3]Anexo I - Programas'!$B$390</f>
        <v>12</v>
      </c>
      <c r="D1330" s="1629" t="str">
        <f>'[3]Anexo I - Programas'!$C$390</f>
        <v>GESTÃO E AÇÕES DE ASSISTENCIA SOCIAL</v>
      </c>
      <c r="E1330" s="1628" t="s">
        <v>3137</v>
      </c>
      <c r="F1330" s="1615" t="str">
        <f>C1330</f>
        <v>12</v>
      </c>
      <c r="G1330" s="1617" t="str">
        <f>D1330</f>
        <v>GESTÃO E AÇÕES DE ASSISTENCIA SOCIAL</v>
      </c>
      <c r="H1330" s="773" t="s">
        <v>3138</v>
      </c>
      <c r="I1330" s="757">
        <f>DESPORC!C4026</f>
        <v>8</v>
      </c>
      <c r="J1330" s="765" t="str">
        <f>DESPORC!D4026</f>
        <v>Assistência Social</v>
      </c>
    </row>
    <row r="1331" spans="2:10" ht="35.1" customHeight="1" x14ac:dyDescent="0.25">
      <c r="B1331" s="1619"/>
      <c r="C1331" s="1616"/>
      <c r="D1331" s="1630"/>
      <c r="E1331" s="1619"/>
      <c r="F1331" s="1616"/>
      <c r="G1331" s="1618"/>
      <c r="H1331" s="774" t="s">
        <v>6940</v>
      </c>
      <c r="I1331" s="757">
        <f>DESPORC!C4027</f>
        <v>244</v>
      </c>
      <c r="J1331" s="765" t="str">
        <f>DESPORC!D4027</f>
        <v>Assistência Comunitária</v>
      </c>
    </row>
    <row r="1332" spans="2:10" ht="35.1" customHeight="1" x14ac:dyDescent="0.25">
      <c r="B1332" s="1619" t="s">
        <v>6941</v>
      </c>
      <c r="C1332" s="1616">
        <f>'[3]Anexo I - Programas'!$C$428</f>
        <v>2016</v>
      </c>
      <c r="D1332" s="1622" t="str">
        <f>'[3]Anexo I - Programas'!$D$428</f>
        <v>Gestão, Monitoramento e Vigilância – SUAS</v>
      </c>
      <c r="E1332" s="1619" t="s">
        <v>6941</v>
      </c>
      <c r="F1332" s="1616">
        <f>C1332</f>
        <v>2016</v>
      </c>
      <c r="G1332" s="1618" t="str">
        <f>D1332</f>
        <v>Gestão, Monitoramento e Vigilância – SUAS</v>
      </c>
      <c r="H1332" s="775" t="s">
        <v>3137</v>
      </c>
      <c r="I1332" s="795" t="str">
        <f>F1330</f>
        <v>12</v>
      </c>
      <c r="J1332" s="762" t="str">
        <f>G1330</f>
        <v>GESTÃO E AÇÕES DE ASSISTENCIA SOCIAL</v>
      </c>
    </row>
    <row r="1333" spans="2:10" ht="35.1" customHeight="1" x14ac:dyDescent="0.25">
      <c r="B1333" s="1620"/>
      <c r="C1333" s="1621"/>
      <c r="D1333" s="1623"/>
      <c r="E1333" s="1620"/>
      <c r="F1333" s="1621"/>
      <c r="G1333" s="1624"/>
      <c r="H1333" s="776" t="s">
        <v>6941</v>
      </c>
      <c r="I1333" s="796">
        <f>F1332</f>
        <v>2016</v>
      </c>
      <c r="J1333" s="764" t="str">
        <f>G1332</f>
        <v>Gestão, Monitoramento e Vigilância – SUAS</v>
      </c>
    </row>
    <row r="1334" spans="2:10" ht="35.1" customHeight="1" thickBot="1" x14ac:dyDescent="0.3">
      <c r="B1334" s="769" t="s">
        <v>6939</v>
      </c>
      <c r="C1334" s="1625">
        <v>50000</v>
      </c>
      <c r="D1334" s="1626"/>
      <c r="E1334" s="769" t="s">
        <v>6939</v>
      </c>
      <c r="F1334" s="1625">
        <v>12500</v>
      </c>
      <c r="G1334" s="1627"/>
      <c r="H1334" s="778" t="s">
        <v>6939</v>
      </c>
      <c r="I1334" s="1625">
        <f>DESPORC!I4029</f>
        <v>582.32469944065849</v>
      </c>
      <c r="J1334" s="1627"/>
    </row>
    <row r="1335" spans="2:10" ht="35.1" customHeight="1" x14ac:dyDescent="0.25">
      <c r="J1335" s="15"/>
    </row>
    <row r="1336" spans="2:10" ht="35.1" customHeight="1" x14ac:dyDescent="0.25">
      <c r="B1336" s="1631" t="s">
        <v>6927</v>
      </c>
      <c r="C1336" s="1631"/>
      <c r="D1336" s="755" t="str">
        <f>DESPORC!C4045</f>
        <v>05 - SECRETARIA MUNICIPAL DE ASSISTENCIA SOCIAL</v>
      </c>
      <c r="E1336" s="797"/>
      <c r="F1336" s="798"/>
      <c r="G1336" s="798"/>
      <c r="H1336" s="797"/>
      <c r="I1336" s="798"/>
      <c r="J1336" s="798"/>
    </row>
    <row r="1337" spans="2:10" ht="35.1" customHeight="1" thickBot="1" x14ac:dyDescent="0.3">
      <c r="B1337" s="1632" t="s">
        <v>3087</v>
      </c>
      <c r="C1337" s="1632"/>
      <c r="D1337" s="755" t="str">
        <f>DESPORC!C4046</f>
        <v>05 - FUNDO MUNICIPAL DA CRIANÇA E DO ADOLESCENTE</v>
      </c>
      <c r="E1337" s="797"/>
      <c r="F1337" s="36"/>
      <c r="G1337" s="1"/>
      <c r="H1337" s="772"/>
      <c r="I1337" s="1"/>
      <c r="J1337" s="1"/>
    </row>
    <row r="1338" spans="2:10" ht="35.1" customHeight="1" thickBot="1" x14ac:dyDescent="0.3">
      <c r="B1338" s="1776" t="s">
        <v>6955</v>
      </c>
      <c r="C1338" s="1777"/>
      <c r="D1338" s="1778"/>
      <c r="E1338" s="1776" t="str">
        <f>E$12</f>
        <v>PRIORIDADES LDO LEI MUNICIPAL N.º 1215  DE 02 DE OUTUBRO DE 2019.</v>
      </c>
      <c r="F1338" s="1777"/>
      <c r="G1338" s="1778"/>
      <c r="H1338" s="1779" t="s">
        <v>6956</v>
      </c>
      <c r="I1338" s="1780"/>
      <c r="J1338" s="1781"/>
    </row>
    <row r="1339" spans="2:10" ht="35.1" customHeight="1" x14ac:dyDescent="0.25">
      <c r="B1339" s="1628" t="s">
        <v>3137</v>
      </c>
      <c r="C1339" s="1615" t="str">
        <f>'[3]Anexo I - Programas'!$B$390</f>
        <v>12</v>
      </c>
      <c r="D1339" s="1629" t="str">
        <f>'[3]Anexo I - Programas'!$C$390</f>
        <v>GESTÃO E AÇÕES DE ASSISTENCIA SOCIAL</v>
      </c>
      <c r="E1339" s="1628" t="s">
        <v>3137</v>
      </c>
      <c r="F1339" s="1615" t="str">
        <f>C1339</f>
        <v>12</v>
      </c>
      <c r="G1339" s="1617" t="str">
        <f>D1339</f>
        <v>GESTÃO E AÇÕES DE ASSISTENCIA SOCIAL</v>
      </c>
      <c r="H1339" s="773" t="s">
        <v>3138</v>
      </c>
      <c r="I1339" s="757">
        <f>DESPORC!C4048</f>
        <v>8</v>
      </c>
      <c r="J1339" s="765" t="str">
        <f>DESPORC!D4048</f>
        <v>Assistência Social</v>
      </c>
    </row>
    <row r="1340" spans="2:10" ht="35.1" customHeight="1" x14ac:dyDescent="0.25">
      <c r="B1340" s="1619"/>
      <c r="C1340" s="1616"/>
      <c r="D1340" s="1630"/>
      <c r="E1340" s="1619"/>
      <c r="F1340" s="1616"/>
      <c r="G1340" s="1618"/>
      <c r="H1340" s="774" t="s">
        <v>6940</v>
      </c>
      <c r="I1340" s="757">
        <f>DESPORC!C4049</f>
        <v>244</v>
      </c>
      <c r="J1340" s="765" t="str">
        <f>DESPORC!D4049</f>
        <v>Assistência Comunitária</v>
      </c>
    </row>
    <row r="1341" spans="2:10" ht="35.1" customHeight="1" x14ac:dyDescent="0.25">
      <c r="B1341" s="1619" t="s">
        <v>6941</v>
      </c>
      <c r="C1341" s="1616">
        <f>'[3]Anexo I - Programas'!$C$440</f>
        <v>2018</v>
      </c>
      <c r="D1341" s="1622" t="str">
        <f>'[3]Anexo I - Programas'!$D$440</f>
        <v>Gestão do F.M.C.A.</v>
      </c>
      <c r="E1341" s="1619" t="s">
        <v>6941</v>
      </c>
      <c r="F1341" s="1616">
        <f>C1341</f>
        <v>2018</v>
      </c>
      <c r="G1341" s="1618" t="str">
        <f>D1341</f>
        <v>Gestão do F.M.C.A.</v>
      </c>
      <c r="H1341" s="775" t="s">
        <v>3137</v>
      </c>
      <c r="I1341" s="795" t="str">
        <f>F1339</f>
        <v>12</v>
      </c>
      <c r="J1341" s="762" t="str">
        <f>G1339</f>
        <v>GESTÃO E AÇÕES DE ASSISTENCIA SOCIAL</v>
      </c>
    </row>
    <row r="1342" spans="2:10" ht="35.1" customHeight="1" x14ac:dyDescent="0.25">
      <c r="B1342" s="1620"/>
      <c r="C1342" s="1621"/>
      <c r="D1342" s="1623"/>
      <c r="E1342" s="1620"/>
      <c r="F1342" s="1621"/>
      <c r="G1342" s="1624"/>
      <c r="H1342" s="776" t="s">
        <v>6941</v>
      </c>
      <c r="I1342" s="796">
        <f>F1341</f>
        <v>2018</v>
      </c>
      <c r="J1342" s="764" t="str">
        <f>G1341</f>
        <v>Gestão do F.M.C.A.</v>
      </c>
    </row>
    <row r="1343" spans="2:10" ht="35.1" customHeight="1" thickBot="1" x14ac:dyDescent="0.3">
      <c r="B1343" s="769" t="s">
        <v>6939</v>
      </c>
      <c r="C1343" s="1625">
        <v>250000</v>
      </c>
      <c r="D1343" s="1626"/>
      <c r="E1343" s="769" t="s">
        <v>6939</v>
      </c>
      <c r="F1343" s="1625">
        <v>62500</v>
      </c>
      <c r="G1343" s="1627"/>
      <c r="H1343" s="778" t="s">
        <v>6939</v>
      </c>
      <c r="I1343" s="1625">
        <f>DESPORC!I4051</f>
        <v>3000.0600000000013</v>
      </c>
      <c r="J1343" s="1627"/>
    </row>
    <row r="1344" spans="2:10" ht="35.1" customHeight="1" x14ac:dyDescent="0.25">
      <c r="B1344" s="1628" t="s">
        <v>3137</v>
      </c>
      <c r="C1344" s="1615" t="str">
        <f>'[3]Anexo I - Programas'!$B$390</f>
        <v>12</v>
      </c>
      <c r="D1344" s="1629" t="str">
        <f>'[3]Anexo I - Programas'!$C$390</f>
        <v>GESTÃO E AÇÕES DE ASSISTENCIA SOCIAL</v>
      </c>
      <c r="E1344" s="1628" t="s">
        <v>3137</v>
      </c>
      <c r="F1344" s="1615" t="str">
        <f>C1344</f>
        <v>12</v>
      </c>
      <c r="G1344" s="1617" t="str">
        <f>D1344</f>
        <v>GESTÃO E AÇÕES DE ASSISTENCIA SOCIAL</v>
      </c>
      <c r="H1344" s="773" t="s">
        <v>3138</v>
      </c>
      <c r="I1344" s="757">
        <f>DESPORC!C4060</f>
        <v>8</v>
      </c>
      <c r="J1344" s="765" t="str">
        <f>DESPORC!D4060</f>
        <v>Assistência Social</v>
      </c>
    </row>
    <row r="1345" spans="2:10" ht="35.1" customHeight="1" x14ac:dyDescent="0.25">
      <c r="B1345" s="1619"/>
      <c r="C1345" s="1616"/>
      <c r="D1345" s="1630"/>
      <c r="E1345" s="1619"/>
      <c r="F1345" s="1616"/>
      <c r="G1345" s="1618"/>
      <c r="H1345" s="774" t="s">
        <v>6940</v>
      </c>
      <c r="I1345" s="757">
        <f>DESPORC!C4061</f>
        <v>244</v>
      </c>
      <c r="J1345" s="765" t="str">
        <f>DESPORC!D4061</f>
        <v>Assistência Comunitária</v>
      </c>
    </row>
    <row r="1346" spans="2:10" ht="35.1" customHeight="1" x14ac:dyDescent="0.25">
      <c r="B1346" s="1619" t="s">
        <v>6941</v>
      </c>
      <c r="C1346" s="1616">
        <f>'[3]Anexo I - Programas'!$C$446</f>
        <v>2051</v>
      </c>
      <c r="D1346" s="1622" t="str">
        <f>'[3]Anexo I - Programas'!$D$446</f>
        <v>GESTÃO DO PROGRAMA UNIAO FAZ A VIDA</v>
      </c>
      <c r="E1346" s="1619" t="s">
        <v>6941</v>
      </c>
      <c r="F1346" s="1616">
        <f>C1346</f>
        <v>2051</v>
      </c>
      <c r="G1346" s="1618" t="str">
        <f>D1346</f>
        <v>GESTÃO DO PROGRAMA UNIAO FAZ A VIDA</v>
      </c>
      <c r="H1346" s="775" t="s">
        <v>3137</v>
      </c>
      <c r="I1346" s="795" t="str">
        <f>F1344</f>
        <v>12</v>
      </c>
      <c r="J1346" s="762" t="str">
        <f>G1344</f>
        <v>GESTÃO E AÇÕES DE ASSISTENCIA SOCIAL</v>
      </c>
    </row>
    <row r="1347" spans="2:10" ht="35.1" customHeight="1" x14ac:dyDescent="0.25">
      <c r="B1347" s="1620"/>
      <c r="C1347" s="1621"/>
      <c r="D1347" s="1623"/>
      <c r="E1347" s="1620"/>
      <c r="F1347" s="1621"/>
      <c r="G1347" s="1624"/>
      <c r="H1347" s="776" t="s">
        <v>6941</v>
      </c>
      <c r="I1347" s="796">
        <f>F1346</f>
        <v>2051</v>
      </c>
      <c r="J1347" s="764" t="str">
        <f>G1346</f>
        <v>GESTÃO DO PROGRAMA UNIAO FAZ A VIDA</v>
      </c>
    </row>
    <row r="1348" spans="2:10" ht="35.1" customHeight="1" thickBot="1" x14ac:dyDescent="0.3">
      <c r="B1348" s="769" t="s">
        <v>6939</v>
      </c>
      <c r="C1348" s="1625">
        <v>20000</v>
      </c>
      <c r="D1348" s="1626"/>
      <c r="E1348" s="769" t="s">
        <v>6939</v>
      </c>
      <c r="F1348" s="1625">
        <v>5000</v>
      </c>
      <c r="G1348" s="1627"/>
      <c r="H1348" s="778" t="s">
        <v>6939</v>
      </c>
      <c r="I1348" s="1625">
        <f>DESPORC!I4063</f>
        <v>1</v>
      </c>
      <c r="J1348" s="1627"/>
    </row>
    <row r="1349" spans="2:10" ht="35.1" customHeight="1" x14ac:dyDescent="0.25">
      <c r="B1349" s="1628" t="s">
        <v>3137</v>
      </c>
      <c r="C1349" s="1615" t="str">
        <f>'[3]Anexo I - Programas'!$B$390</f>
        <v>12</v>
      </c>
      <c r="D1349" s="1629" t="str">
        <f>'[3]Anexo I - Programas'!$C$390</f>
        <v>GESTÃO E AÇÕES DE ASSISTENCIA SOCIAL</v>
      </c>
      <c r="E1349" s="1628" t="s">
        <v>3137</v>
      </c>
      <c r="F1349" s="1615" t="str">
        <f>C1349</f>
        <v>12</v>
      </c>
      <c r="G1349" s="1617" t="str">
        <f>D1349</f>
        <v>GESTÃO E AÇÕES DE ASSISTENCIA SOCIAL</v>
      </c>
      <c r="H1349" s="773" t="s">
        <v>3138</v>
      </c>
      <c r="I1349" s="757">
        <f>DESPORC!C4070</f>
        <v>8</v>
      </c>
      <c r="J1349" s="765" t="str">
        <f>DESPORC!D4070</f>
        <v>Assistência Social</v>
      </c>
    </row>
    <row r="1350" spans="2:10" ht="35.1" customHeight="1" x14ac:dyDescent="0.25">
      <c r="B1350" s="1619"/>
      <c r="C1350" s="1616"/>
      <c r="D1350" s="1630"/>
      <c r="E1350" s="1619"/>
      <c r="F1350" s="1616"/>
      <c r="G1350" s="1618"/>
      <c r="H1350" s="774" t="s">
        <v>6940</v>
      </c>
      <c r="I1350" s="757">
        <f>DESPORC!C4071</f>
        <v>244</v>
      </c>
      <c r="J1350" s="765" t="str">
        <f>DESPORC!D4071</f>
        <v>Assistência Comunitária</v>
      </c>
    </row>
    <row r="1351" spans="2:10" ht="35.1" customHeight="1" x14ac:dyDescent="0.25">
      <c r="B1351" s="1619" t="s">
        <v>6941</v>
      </c>
      <c r="C1351" s="1616">
        <f>'[3]Anexo I - Programas'!$C$452</f>
        <v>2052</v>
      </c>
      <c r="D1351" s="1622" t="str">
        <f>'[3]Anexo I - Programas'!$D$452</f>
        <v>GESTÃO DE RECURSOS DE DOAÇÕES IRRF</v>
      </c>
      <c r="E1351" s="1619" t="s">
        <v>6941</v>
      </c>
      <c r="F1351" s="1616">
        <f>C1351</f>
        <v>2052</v>
      </c>
      <c r="G1351" s="1618" t="str">
        <f>D1351</f>
        <v>GESTÃO DE RECURSOS DE DOAÇÕES IRRF</v>
      </c>
      <c r="H1351" s="775" t="s">
        <v>3137</v>
      </c>
      <c r="I1351" s="795" t="str">
        <f>F1349</f>
        <v>12</v>
      </c>
      <c r="J1351" s="762" t="str">
        <f>G1349</f>
        <v>GESTÃO E AÇÕES DE ASSISTENCIA SOCIAL</v>
      </c>
    </row>
    <row r="1352" spans="2:10" ht="35.1" customHeight="1" x14ac:dyDescent="0.25">
      <c r="B1352" s="1620"/>
      <c r="C1352" s="1621"/>
      <c r="D1352" s="1623"/>
      <c r="E1352" s="1620"/>
      <c r="F1352" s="1621"/>
      <c r="G1352" s="1624"/>
      <c r="H1352" s="776" t="s">
        <v>6941</v>
      </c>
      <c r="I1352" s="796">
        <f>F1351</f>
        <v>2052</v>
      </c>
      <c r="J1352" s="764" t="str">
        <f>G1351</f>
        <v>GESTÃO DE RECURSOS DE DOAÇÕES IRRF</v>
      </c>
    </row>
    <row r="1353" spans="2:10" ht="35.1" customHeight="1" thickBot="1" x14ac:dyDescent="0.3">
      <c r="B1353" s="769" t="s">
        <v>6939</v>
      </c>
      <c r="C1353" s="1625">
        <v>20000</v>
      </c>
      <c r="D1353" s="1626"/>
      <c r="E1353" s="769" t="s">
        <v>6939</v>
      </c>
      <c r="F1353" s="1625">
        <v>5000</v>
      </c>
      <c r="G1353" s="1627"/>
      <c r="H1353" s="778" t="s">
        <v>6939</v>
      </c>
      <c r="I1353" s="1625">
        <f>DESPORC!I4073</f>
        <v>1</v>
      </c>
      <c r="J1353" s="1627"/>
    </row>
    <row r="1354" spans="2:10" ht="35.1" customHeight="1" x14ac:dyDescent="0.25">
      <c r="B1354" s="1628" t="s">
        <v>3137</v>
      </c>
      <c r="C1354" s="1615" t="str">
        <f>'[3]Anexo I - Programas'!$B$390</f>
        <v>12</v>
      </c>
      <c r="D1354" s="1629" t="str">
        <f>'[3]Anexo I - Programas'!$C$390</f>
        <v>GESTÃO E AÇÕES DE ASSISTENCIA SOCIAL</v>
      </c>
      <c r="E1354" s="1628" t="s">
        <v>3137</v>
      </c>
      <c r="F1354" s="1615" t="str">
        <f>C1354</f>
        <v>12</v>
      </c>
      <c r="G1354" s="1617" t="str">
        <f>D1354</f>
        <v>GESTÃO E AÇÕES DE ASSISTENCIA SOCIAL</v>
      </c>
      <c r="H1354" s="773" t="s">
        <v>3138</v>
      </c>
      <c r="I1354" s="757">
        <f>DESPORC!C4083</f>
        <v>8</v>
      </c>
      <c r="J1354" s="765" t="str">
        <f>DESPORC!D4083</f>
        <v>Assistência Social</v>
      </c>
    </row>
    <row r="1355" spans="2:10" ht="35.1" customHeight="1" x14ac:dyDescent="0.25">
      <c r="B1355" s="1619"/>
      <c r="C1355" s="1616"/>
      <c r="D1355" s="1630"/>
      <c r="E1355" s="1619"/>
      <c r="F1355" s="1616"/>
      <c r="G1355" s="1618"/>
      <c r="H1355" s="774" t="s">
        <v>6940</v>
      </c>
      <c r="I1355" s="757">
        <f>DESPORC!C4084</f>
        <v>244</v>
      </c>
      <c r="J1355" s="765" t="str">
        <f>DESPORC!D4084</f>
        <v>Assistência Comunitária</v>
      </c>
    </row>
    <row r="1356" spans="2:10" ht="35.1" customHeight="1" x14ac:dyDescent="0.25">
      <c r="B1356" s="1619" t="s">
        <v>6941</v>
      </c>
      <c r="C1356" s="1616">
        <f>'[3]Anexo I - Programas'!$C$458</f>
        <v>2053</v>
      </c>
      <c r="D1356" s="1622" t="str">
        <f>'[3]Anexo I - Programas'!$D$458</f>
        <v>GESTÃO DE RECURSOS DE PATROCINIOS</v>
      </c>
      <c r="E1356" s="1619" t="s">
        <v>6941</v>
      </c>
      <c r="F1356" s="1616">
        <f>C1356</f>
        <v>2053</v>
      </c>
      <c r="G1356" s="1618" t="str">
        <f>D1356</f>
        <v>GESTÃO DE RECURSOS DE PATROCINIOS</v>
      </c>
      <c r="H1356" s="775" t="s">
        <v>3137</v>
      </c>
      <c r="I1356" s="795" t="str">
        <f>F1354</f>
        <v>12</v>
      </c>
      <c r="J1356" s="762" t="str">
        <f>G1354</f>
        <v>GESTÃO E AÇÕES DE ASSISTENCIA SOCIAL</v>
      </c>
    </row>
    <row r="1357" spans="2:10" ht="35.1" customHeight="1" x14ac:dyDescent="0.25">
      <c r="B1357" s="1620"/>
      <c r="C1357" s="1621"/>
      <c r="D1357" s="1623"/>
      <c r="E1357" s="1620"/>
      <c r="F1357" s="1621"/>
      <c r="G1357" s="1624"/>
      <c r="H1357" s="776" t="s">
        <v>6941</v>
      </c>
      <c r="I1357" s="796">
        <f>F1356</f>
        <v>2053</v>
      </c>
      <c r="J1357" s="764" t="str">
        <f>G1356</f>
        <v>GESTÃO DE RECURSOS DE PATROCINIOS</v>
      </c>
    </row>
    <row r="1358" spans="2:10" ht="35.1" customHeight="1" thickBot="1" x14ac:dyDescent="0.3">
      <c r="B1358" s="769" t="s">
        <v>6939</v>
      </c>
      <c r="C1358" s="1625">
        <v>20000</v>
      </c>
      <c r="D1358" s="1626"/>
      <c r="E1358" s="769" t="s">
        <v>6939</v>
      </c>
      <c r="F1358" s="1625">
        <v>5000</v>
      </c>
      <c r="G1358" s="1627"/>
      <c r="H1358" s="778" t="s">
        <v>6939</v>
      </c>
      <c r="I1358" s="1625">
        <f>DESPORC!I4086</f>
        <v>1</v>
      </c>
      <c r="J1358" s="1627"/>
    </row>
    <row r="1359" spans="2:10" ht="35.1" customHeight="1" x14ac:dyDescent="0.25">
      <c r="J1359" s="15"/>
    </row>
    <row r="1360" spans="2:10" ht="35.1" customHeight="1" x14ac:dyDescent="0.25">
      <c r="B1360" s="1631" t="s">
        <v>6927</v>
      </c>
      <c r="C1360" s="1631"/>
      <c r="D1360" s="755" t="str">
        <f>DESPORC!C4101</f>
        <v>05 - SECRETARIA MUNICIPAL DE ASSISTENCIA SOCIAL</v>
      </c>
      <c r="E1360" s="797"/>
      <c r="F1360" s="798"/>
      <c r="G1360" s="798"/>
      <c r="H1360" s="797"/>
      <c r="I1360" s="798"/>
      <c r="J1360" s="798"/>
    </row>
    <row r="1361" spans="2:10" ht="35.1" customHeight="1" thickBot="1" x14ac:dyDescent="0.3">
      <c r="B1361" s="1632" t="s">
        <v>3087</v>
      </c>
      <c r="C1361" s="1632"/>
      <c r="D1361" s="755" t="str">
        <f>DESPORC!C4102</f>
        <v>06 - Gestão, Coordenação e Planej. do Conselho Mun. de Assistência Social</v>
      </c>
      <c r="E1361" s="797"/>
      <c r="F1361" s="36"/>
      <c r="G1361" s="1"/>
      <c r="H1361" s="772"/>
      <c r="I1361" s="1"/>
      <c r="J1361" s="1"/>
    </row>
    <row r="1362" spans="2:10" ht="35.1" customHeight="1" thickBot="1" x14ac:dyDescent="0.3">
      <c r="B1362" s="1776" t="s">
        <v>6955</v>
      </c>
      <c r="C1362" s="1777"/>
      <c r="D1362" s="1778"/>
      <c r="E1362" s="1776" t="str">
        <f>E$12</f>
        <v>PRIORIDADES LDO LEI MUNICIPAL N.º 1215  DE 02 DE OUTUBRO DE 2019.</v>
      </c>
      <c r="F1362" s="1777"/>
      <c r="G1362" s="1778"/>
      <c r="H1362" s="1779" t="s">
        <v>6956</v>
      </c>
      <c r="I1362" s="1780"/>
      <c r="J1362" s="1781"/>
    </row>
    <row r="1363" spans="2:10" ht="35.1" customHeight="1" x14ac:dyDescent="0.25">
      <c r="B1363" s="1628" t="s">
        <v>3137</v>
      </c>
      <c r="C1363" s="1615" t="str">
        <f>'[3]Anexo I - Programas'!$B$390</f>
        <v>12</v>
      </c>
      <c r="D1363" s="1629" t="str">
        <f>'[3]Anexo I - Programas'!$C$390</f>
        <v>GESTÃO E AÇÕES DE ASSISTENCIA SOCIAL</v>
      </c>
      <c r="E1363" s="1628" t="s">
        <v>3137</v>
      </c>
      <c r="F1363" s="1615" t="str">
        <f>C1363</f>
        <v>12</v>
      </c>
      <c r="G1363" s="1617" t="str">
        <f>D1363</f>
        <v>GESTÃO E AÇÕES DE ASSISTENCIA SOCIAL</v>
      </c>
      <c r="H1363" s="773" t="s">
        <v>3138</v>
      </c>
      <c r="I1363" s="757">
        <f>DESPORC!C4104</f>
        <v>8</v>
      </c>
      <c r="J1363" s="765" t="str">
        <f>DESPORC!D4104</f>
        <v>Saúde</v>
      </c>
    </row>
    <row r="1364" spans="2:10" ht="35.1" customHeight="1" x14ac:dyDescent="0.25">
      <c r="B1364" s="1619"/>
      <c r="C1364" s="1616"/>
      <c r="D1364" s="1630"/>
      <c r="E1364" s="1619"/>
      <c r="F1364" s="1616"/>
      <c r="G1364" s="1618"/>
      <c r="H1364" s="774" t="s">
        <v>6940</v>
      </c>
      <c r="I1364" s="757">
        <f>DESPORC!C4105</f>
        <v>125</v>
      </c>
      <c r="J1364" s="765" t="str">
        <f>DESPORC!D4105</f>
        <v>Normatizacao e Fiscalização</v>
      </c>
    </row>
    <row r="1365" spans="2:10" ht="35.1" customHeight="1" x14ac:dyDescent="0.25">
      <c r="B1365" s="1619" t="s">
        <v>6941</v>
      </c>
      <c r="C1365" s="1616">
        <f>'[3]Anexo I - Programas'!$C$404</f>
        <v>2012</v>
      </c>
      <c r="D1365" s="1622" t="str">
        <f>'[3]Anexo I - Programas'!$D$404</f>
        <v>Gestão, Coord. e Planejamento de Assistência Social</v>
      </c>
      <c r="E1365" s="1619" t="s">
        <v>6941</v>
      </c>
      <c r="F1365" s="1616">
        <f>C1365</f>
        <v>2012</v>
      </c>
      <c r="G1365" s="1618" t="str">
        <f>D1365</f>
        <v>Gestão, Coord. e Planejamento de Assistência Social</v>
      </c>
      <c r="H1365" s="775" t="s">
        <v>3137</v>
      </c>
      <c r="I1365" s="795" t="str">
        <f>F1363</f>
        <v>12</v>
      </c>
      <c r="J1365" s="762" t="str">
        <f>G1363</f>
        <v>GESTÃO E AÇÕES DE ASSISTENCIA SOCIAL</v>
      </c>
    </row>
    <row r="1366" spans="2:10" ht="35.1" customHeight="1" x14ac:dyDescent="0.25">
      <c r="B1366" s="1620"/>
      <c r="C1366" s="1621"/>
      <c r="D1366" s="1623"/>
      <c r="E1366" s="1620"/>
      <c r="F1366" s="1621"/>
      <c r="G1366" s="1624"/>
      <c r="H1366" s="776" t="s">
        <v>6941</v>
      </c>
      <c r="I1366" s="796">
        <f>F1365</f>
        <v>2012</v>
      </c>
      <c r="J1366" s="764" t="str">
        <f>G1365</f>
        <v>Gestão, Coord. e Planejamento de Assistência Social</v>
      </c>
    </row>
    <row r="1367" spans="2:10" ht="35.1" customHeight="1" thickBot="1" x14ac:dyDescent="0.3">
      <c r="B1367" s="769" t="s">
        <v>6939</v>
      </c>
      <c r="C1367" s="1625">
        <v>5080000</v>
      </c>
      <c r="D1367" s="1626"/>
      <c r="E1367" s="769" t="s">
        <v>6939</v>
      </c>
      <c r="F1367" s="1625">
        <v>1270000</v>
      </c>
      <c r="G1367" s="1627"/>
      <c r="H1367" s="778" t="s">
        <v>6939</v>
      </c>
      <c r="I1367" s="1625">
        <f>DESPORC!I4107</f>
        <v>0.08</v>
      </c>
      <c r="J1367" s="1627"/>
    </row>
  </sheetData>
  <mergeCells count="3524">
    <mergeCell ref="C1367:D1367"/>
    <mergeCell ref="F1367:G1367"/>
    <mergeCell ref="I1367:J1367"/>
    <mergeCell ref="B7:J7"/>
    <mergeCell ref="B1365:B1366"/>
    <mergeCell ref="C1365:C1366"/>
    <mergeCell ref="D1365:D1366"/>
    <mergeCell ref="E1365:E1366"/>
    <mergeCell ref="F1365:F1366"/>
    <mergeCell ref="G1365:G1366"/>
    <mergeCell ref="B1363:B1364"/>
    <mergeCell ref="C1363:C1364"/>
    <mergeCell ref="D1363:D1364"/>
    <mergeCell ref="E1363:E1364"/>
    <mergeCell ref="F1363:F1364"/>
    <mergeCell ref="G1363:G1364"/>
    <mergeCell ref="C1358:D1358"/>
    <mergeCell ref="F1358:G1358"/>
    <mergeCell ref="I1358:J1358"/>
    <mergeCell ref="B1360:C1360"/>
    <mergeCell ref="B1361:C1361"/>
    <mergeCell ref="B1362:D1362"/>
    <mergeCell ref="E1362:G1362"/>
    <mergeCell ref="H1362:J1362"/>
    <mergeCell ref="B1356:B1357"/>
    <mergeCell ref="C1356:C1357"/>
    <mergeCell ref="D1356:D1357"/>
    <mergeCell ref="E1356:E1357"/>
    <mergeCell ref="F1356:F1357"/>
    <mergeCell ref="G1356:G1357"/>
    <mergeCell ref="C1353:D1353"/>
    <mergeCell ref="F1353:G1353"/>
    <mergeCell ref="I1353:J1353"/>
    <mergeCell ref="B1354:B1355"/>
    <mergeCell ref="C1354:C1355"/>
    <mergeCell ref="D1354:D1355"/>
    <mergeCell ref="E1354:E1355"/>
    <mergeCell ref="F1354:F1355"/>
    <mergeCell ref="G1354:G1355"/>
    <mergeCell ref="B1351:B1352"/>
    <mergeCell ref="C1351:C1352"/>
    <mergeCell ref="D1351:D1352"/>
    <mergeCell ref="E1351:E1352"/>
    <mergeCell ref="F1351:F1352"/>
    <mergeCell ref="G1351:G1352"/>
    <mergeCell ref="C1348:D1348"/>
    <mergeCell ref="F1348:G1348"/>
    <mergeCell ref="I1348:J1348"/>
    <mergeCell ref="B1349:B1350"/>
    <mergeCell ref="C1349:C1350"/>
    <mergeCell ref="D1349:D1350"/>
    <mergeCell ref="E1349:E1350"/>
    <mergeCell ref="F1349:F1350"/>
    <mergeCell ref="G1349:G1350"/>
    <mergeCell ref="B1346:B1347"/>
    <mergeCell ref="C1346:C1347"/>
    <mergeCell ref="D1346:D1347"/>
    <mergeCell ref="E1346:E1347"/>
    <mergeCell ref="F1346:F1347"/>
    <mergeCell ref="G1346:G1347"/>
    <mergeCell ref="C1343:D1343"/>
    <mergeCell ref="F1343:G1343"/>
    <mergeCell ref="I1343:J1343"/>
    <mergeCell ref="B1344:B1345"/>
    <mergeCell ref="C1344:C1345"/>
    <mergeCell ref="D1344:D1345"/>
    <mergeCell ref="E1344:E1345"/>
    <mergeCell ref="F1344:F1345"/>
    <mergeCell ref="G1344:G1345"/>
    <mergeCell ref="B1341:B1342"/>
    <mergeCell ref="C1341:C1342"/>
    <mergeCell ref="D1341:D1342"/>
    <mergeCell ref="E1341:E1342"/>
    <mergeCell ref="F1341:F1342"/>
    <mergeCell ref="G1341:G1342"/>
    <mergeCell ref="B1339:B1340"/>
    <mergeCell ref="C1339:C1340"/>
    <mergeCell ref="D1339:D1340"/>
    <mergeCell ref="E1339:E1340"/>
    <mergeCell ref="F1339:F1340"/>
    <mergeCell ref="G1339:G1340"/>
    <mergeCell ref="C1334:D1334"/>
    <mergeCell ref="F1334:G1334"/>
    <mergeCell ref="I1334:J1334"/>
    <mergeCell ref="B1336:C1336"/>
    <mergeCell ref="B1337:C1337"/>
    <mergeCell ref="B1338:D1338"/>
    <mergeCell ref="E1338:G1338"/>
    <mergeCell ref="H1338:J1338"/>
    <mergeCell ref="B1332:B1333"/>
    <mergeCell ref="C1332:C1333"/>
    <mergeCell ref="D1332:D1333"/>
    <mergeCell ref="E1332:E1333"/>
    <mergeCell ref="F1332:F1333"/>
    <mergeCell ref="G1332:G1333"/>
    <mergeCell ref="C1329:D1329"/>
    <mergeCell ref="F1329:G1329"/>
    <mergeCell ref="I1329:J1329"/>
    <mergeCell ref="B1330:B1331"/>
    <mergeCell ref="C1330:C1331"/>
    <mergeCell ref="D1330:D1331"/>
    <mergeCell ref="E1330:E1331"/>
    <mergeCell ref="F1330:F1331"/>
    <mergeCell ref="G1330:G1331"/>
    <mergeCell ref="B1327:B1328"/>
    <mergeCell ref="C1327:C1328"/>
    <mergeCell ref="D1327:D1328"/>
    <mergeCell ref="E1327:E1328"/>
    <mergeCell ref="F1327:F1328"/>
    <mergeCell ref="G1327:G1328"/>
    <mergeCell ref="C1324:D1324"/>
    <mergeCell ref="F1324:G1324"/>
    <mergeCell ref="I1324:J1324"/>
    <mergeCell ref="B1325:B1326"/>
    <mergeCell ref="C1325:C1326"/>
    <mergeCell ref="D1325:D1326"/>
    <mergeCell ref="E1325:E1326"/>
    <mergeCell ref="F1325:F1326"/>
    <mergeCell ref="G1325:G1326"/>
    <mergeCell ref="B1322:B1323"/>
    <mergeCell ref="C1322:C1323"/>
    <mergeCell ref="D1322:D1323"/>
    <mergeCell ref="E1322:E1323"/>
    <mergeCell ref="F1322:F1323"/>
    <mergeCell ref="G1322:G1323"/>
    <mergeCell ref="C1319:D1319"/>
    <mergeCell ref="F1319:G1319"/>
    <mergeCell ref="I1319:J1319"/>
    <mergeCell ref="B1320:B1321"/>
    <mergeCell ref="C1320:C1321"/>
    <mergeCell ref="D1320:D1321"/>
    <mergeCell ref="E1320:E1321"/>
    <mergeCell ref="F1320:F1321"/>
    <mergeCell ref="G1320:G1321"/>
    <mergeCell ref="B1317:B1318"/>
    <mergeCell ref="C1317:C1318"/>
    <mergeCell ref="D1317:D1318"/>
    <mergeCell ref="E1317:E1318"/>
    <mergeCell ref="F1317:F1318"/>
    <mergeCell ref="G1317:G1318"/>
    <mergeCell ref="C1314:D1314"/>
    <mergeCell ref="F1314:G1314"/>
    <mergeCell ref="I1314:J1314"/>
    <mergeCell ref="B1315:B1316"/>
    <mergeCell ref="C1315:C1316"/>
    <mergeCell ref="D1315:D1316"/>
    <mergeCell ref="E1315:E1316"/>
    <mergeCell ref="F1315:F1316"/>
    <mergeCell ref="G1315:G1316"/>
    <mergeCell ref="B1312:B1313"/>
    <mergeCell ref="C1312:C1313"/>
    <mergeCell ref="D1312:D1313"/>
    <mergeCell ref="E1312:E1313"/>
    <mergeCell ref="F1312:F1313"/>
    <mergeCell ref="G1312:G1313"/>
    <mergeCell ref="C1309:D1309"/>
    <mergeCell ref="F1309:G1309"/>
    <mergeCell ref="I1309:J1309"/>
    <mergeCell ref="B1310:B1311"/>
    <mergeCell ref="C1310:C1311"/>
    <mergeCell ref="D1310:D1311"/>
    <mergeCell ref="E1310:E1311"/>
    <mergeCell ref="F1310:F1311"/>
    <mergeCell ref="G1310:G1311"/>
    <mergeCell ref="B1307:B1308"/>
    <mergeCell ref="C1307:C1308"/>
    <mergeCell ref="D1307:D1308"/>
    <mergeCell ref="E1307:E1308"/>
    <mergeCell ref="F1307:F1308"/>
    <mergeCell ref="G1307:G1308"/>
    <mergeCell ref="C1304:D1304"/>
    <mergeCell ref="F1304:G1304"/>
    <mergeCell ref="I1304:J1304"/>
    <mergeCell ref="B1305:B1306"/>
    <mergeCell ref="C1305:C1306"/>
    <mergeCell ref="D1305:D1306"/>
    <mergeCell ref="E1305:E1306"/>
    <mergeCell ref="F1305:F1306"/>
    <mergeCell ref="G1305:G1306"/>
    <mergeCell ref="B1302:B1303"/>
    <mergeCell ref="C1302:C1303"/>
    <mergeCell ref="D1302:D1303"/>
    <mergeCell ref="E1302:E1303"/>
    <mergeCell ref="F1302:F1303"/>
    <mergeCell ref="G1302:G1303"/>
    <mergeCell ref="C1299:D1299"/>
    <mergeCell ref="F1299:G1299"/>
    <mergeCell ref="I1299:J1299"/>
    <mergeCell ref="B1300:B1301"/>
    <mergeCell ref="C1300:C1301"/>
    <mergeCell ref="D1300:D1301"/>
    <mergeCell ref="E1300:E1301"/>
    <mergeCell ref="F1300:F1301"/>
    <mergeCell ref="G1300:G1301"/>
    <mergeCell ref="B1297:B1298"/>
    <mergeCell ref="C1297:C1298"/>
    <mergeCell ref="D1297:D1298"/>
    <mergeCell ref="E1297:E1298"/>
    <mergeCell ref="F1297:F1298"/>
    <mergeCell ref="G1297:G1298"/>
    <mergeCell ref="C1294:D1294"/>
    <mergeCell ref="F1294:G1294"/>
    <mergeCell ref="I1294:J1294"/>
    <mergeCell ref="B1295:B1296"/>
    <mergeCell ref="C1295:C1296"/>
    <mergeCell ref="D1295:D1296"/>
    <mergeCell ref="E1295:E1296"/>
    <mergeCell ref="F1295:F1296"/>
    <mergeCell ref="G1295:G1296"/>
    <mergeCell ref="B1292:B1293"/>
    <mergeCell ref="C1292:C1293"/>
    <mergeCell ref="D1292:D1293"/>
    <mergeCell ref="E1292:E1293"/>
    <mergeCell ref="F1292:F1293"/>
    <mergeCell ref="G1292:G1293"/>
    <mergeCell ref="C1289:D1289"/>
    <mergeCell ref="F1289:G1289"/>
    <mergeCell ref="I1289:J1289"/>
    <mergeCell ref="B1290:B1291"/>
    <mergeCell ref="C1290:C1291"/>
    <mergeCell ref="D1290:D1291"/>
    <mergeCell ref="E1290:E1291"/>
    <mergeCell ref="F1290:F1291"/>
    <mergeCell ref="G1290:G1291"/>
    <mergeCell ref="B1287:B1288"/>
    <mergeCell ref="C1287:C1288"/>
    <mergeCell ref="D1287:D1288"/>
    <mergeCell ref="E1287:E1288"/>
    <mergeCell ref="F1287:F1288"/>
    <mergeCell ref="G1287:G1288"/>
    <mergeCell ref="C1284:D1284"/>
    <mergeCell ref="F1284:G1284"/>
    <mergeCell ref="I1284:J1284"/>
    <mergeCell ref="B1285:B1286"/>
    <mergeCell ref="C1285:C1286"/>
    <mergeCell ref="D1285:D1286"/>
    <mergeCell ref="E1285:E1286"/>
    <mergeCell ref="F1285:F1286"/>
    <mergeCell ref="G1285:G1286"/>
    <mergeCell ref="B1282:B1283"/>
    <mergeCell ref="C1282:C1283"/>
    <mergeCell ref="D1282:D1283"/>
    <mergeCell ref="E1282:E1283"/>
    <mergeCell ref="F1282:F1283"/>
    <mergeCell ref="G1282:G1283"/>
    <mergeCell ref="B1280:B1281"/>
    <mergeCell ref="C1280:C1281"/>
    <mergeCell ref="D1280:D1281"/>
    <mergeCell ref="E1280:E1281"/>
    <mergeCell ref="F1280:F1281"/>
    <mergeCell ref="G1280:G1281"/>
    <mergeCell ref="C1275:D1275"/>
    <mergeCell ref="F1275:G1275"/>
    <mergeCell ref="I1275:J1275"/>
    <mergeCell ref="B1277:C1277"/>
    <mergeCell ref="B1278:C1278"/>
    <mergeCell ref="B1279:D1279"/>
    <mergeCell ref="E1279:G1279"/>
    <mergeCell ref="H1279:J1279"/>
    <mergeCell ref="B1273:B1274"/>
    <mergeCell ref="C1273:C1274"/>
    <mergeCell ref="D1273:D1274"/>
    <mergeCell ref="E1273:E1274"/>
    <mergeCell ref="F1273:F1274"/>
    <mergeCell ref="G1273:G1274"/>
    <mergeCell ref="B1271:B1272"/>
    <mergeCell ref="C1271:C1272"/>
    <mergeCell ref="D1271:D1272"/>
    <mergeCell ref="E1271:E1272"/>
    <mergeCell ref="F1271:F1272"/>
    <mergeCell ref="G1271:G1272"/>
    <mergeCell ref="C1266:D1266"/>
    <mergeCell ref="F1266:G1266"/>
    <mergeCell ref="I1266:J1266"/>
    <mergeCell ref="B1268:C1268"/>
    <mergeCell ref="B1269:C1269"/>
    <mergeCell ref="B1270:D1270"/>
    <mergeCell ref="E1270:G1270"/>
    <mergeCell ref="H1270:J1270"/>
    <mergeCell ref="B1264:B1265"/>
    <mergeCell ref="C1264:C1265"/>
    <mergeCell ref="D1264:D1265"/>
    <mergeCell ref="E1264:E1265"/>
    <mergeCell ref="F1264:F1265"/>
    <mergeCell ref="G1264:G1265"/>
    <mergeCell ref="C1261:D1261"/>
    <mergeCell ref="F1261:G1261"/>
    <mergeCell ref="I1261:J1261"/>
    <mergeCell ref="B1262:B1263"/>
    <mergeCell ref="C1262:C1263"/>
    <mergeCell ref="D1262:D1263"/>
    <mergeCell ref="E1262:E1263"/>
    <mergeCell ref="F1262:F1263"/>
    <mergeCell ref="G1262:G1263"/>
    <mergeCell ref="B1259:B1260"/>
    <mergeCell ref="C1259:C1260"/>
    <mergeCell ref="D1259:D1260"/>
    <mergeCell ref="E1259:E1260"/>
    <mergeCell ref="F1259:F1260"/>
    <mergeCell ref="G1259:G1260"/>
    <mergeCell ref="C1256:D1256"/>
    <mergeCell ref="F1256:G1256"/>
    <mergeCell ref="I1256:J1256"/>
    <mergeCell ref="B1257:B1258"/>
    <mergeCell ref="C1257:C1258"/>
    <mergeCell ref="D1257:D1258"/>
    <mergeCell ref="E1257:E1258"/>
    <mergeCell ref="F1257:F1258"/>
    <mergeCell ref="G1257:G1258"/>
    <mergeCell ref="B1254:B1255"/>
    <mergeCell ref="C1254:C1255"/>
    <mergeCell ref="D1254:D1255"/>
    <mergeCell ref="E1254:E1255"/>
    <mergeCell ref="F1254:F1255"/>
    <mergeCell ref="G1254:G1255"/>
    <mergeCell ref="C1251:D1251"/>
    <mergeCell ref="F1251:G1251"/>
    <mergeCell ref="I1251:J1251"/>
    <mergeCell ref="B1252:B1253"/>
    <mergeCell ref="C1252:C1253"/>
    <mergeCell ref="D1252:D1253"/>
    <mergeCell ref="E1252:E1253"/>
    <mergeCell ref="F1252:F1253"/>
    <mergeCell ref="G1252:G1253"/>
    <mergeCell ref="B1249:B1250"/>
    <mergeCell ref="C1249:C1250"/>
    <mergeCell ref="D1249:D1250"/>
    <mergeCell ref="E1249:E1250"/>
    <mergeCell ref="F1249:F1250"/>
    <mergeCell ref="G1249:G1250"/>
    <mergeCell ref="B1247:B1248"/>
    <mergeCell ref="C1247:C1248"/>
    <mergeCell ref="D1247:D1248"/>
    <mergeCell ref="E1247:E1248"/>
    <mergeCell ref="F1247:F1248"/>
    <mergeCell ref="G1247:G1248"/>
    <mergeCell ref="C1242:D1242"/>
    <mergeCell ref="F1242:G1242"/>
    <mergeCell ref="I1242:J1242"/>
    <mergeCell ref="B1244:C1244"/>
    <mergeCell ref="B1245:C1245"/>
    <mergeCell ref="B1246:D1246"/>
    <mergeCell ref="E1246:G1246"/>
    <mergeCell ref="H1246:J1246"/>
    <mergeCell ref="B1240:B1241"/>
    <mergeCell ref="C1240:C1241"/>
    <mergeCell ref="D1240:D1241"/>
    <mergeCell ref="E1240:E1241"/>
    <mergeCell ref="F1240:F1241"/>
    <mergeCell ref="G1240:G1241"/>
    <mergeCell ref="C1237:D1237"/>
    <mergeCell ref="F1237:G1237"/>
    <mergeCell ref="I1237:J1237"/>
    <mergeCell ref="B1238:B1239"/>
    <mergeCell ref="C1238:C1239"/>
    <mergeCell ref="D1238:D1239"/>
    <mergeCell ref="E1238:E1239"/>
    <mergeCell ref="F1238:F1239"/>
    <mergeCell ref="G1238:G1239"/>
    <mergeCell ref="B1235:B1236"/>
    <mergeCell ref="C1235:C1236"/>
    <mergeCell ref="D1235:D1236"/>
    <mergeCell ref="E1235:E1236"/>
    <mergeCell ref="F1235:F1236"/>
    <mergeCell ref="G1235:G1236"/>
    <mergeCell ref="C1232:D1232"/>
    <mergeCell ref="F1232:G1232"/>
    <mergeCell ref="I1232:J1232"/>
    <mergeCell ref="B1233:B1234"/>
    <mergeCell ref="C1233:C1234"/>
    <mergeCell ref="D1233:D1234"/>
    <mergeCell ref="E1233:E1234"/>
    <mergeCell ref="F1233:F1234"/>
    <mergeCell ref="G1233:G1234"/>
    <mergeCell ref="B1230:B1231"/>
    <mergeCell ref="C1230:C1231"/>
    <mergeCell ref="D1230:D1231"/>
    <mergeCell ref="E1230:E1231"/>
    <mergeCell ref="F1230:F1231"/>
    <mergeCell ref="G1230:G1231"/>
    <mergeCell ref="C1227:D1227"/>
    <mergeCell ref="F1227:G1227"/>
    <mergeCell ref="I1227:J1227"/>
    <mergeCell ref="B1228:B1229"/>
    <mergeCell ref="C1228:C1229"/>
    <mergeCell ref="D1228:D1229"/>
    <mergeCell ref="E1228:E1229"/>
    <mergeCell ref="F1228:F1229"/>
    <mergeCell ref="G1228:G1229"/>
    <mergeCell ref="B1225:B1226"/>
    <mergeCell ref="C1225:C1226"/>
    <mergeCell ref="D1225:D1226"/>
    <mergeCell ref="E1225:E1226"/>
    <mergeCell ref="F1225:F1226"/>
    <mergeCell ref="G1225:G1226"/>
    <mergeCell ref="C1222:D1222"/>
    <mergeCell ref="F1222:G1222"/>
    <mergeCell ref="I1222:J1222"/>
    <mergeCell ref="B1223:B1224"/>
    <mergeCell ref="C1223:C1224"/>
    <mergeCell ref="D1223:D1224"/>
    <mergeCell ref="E1223:E1224"/>
    <mergeCell ref="F1223:F1224"/>
    <mergeCell ref="G1223:G1224"/>
    <mergeCell ref="B1220:B1221"/>
    <mergeCell ref="C1220:C1221"/>
    <mergeCell ref="D1220:D1221"/>
    <mergeCell ref="E1220:E1221"/>
    <mergeCell ref="F1220:F1221"/>
    <mergeCell ref="G1220:G1221"/>
    <mergeCell ref="C1217:D1217"/>
    <mergeCell ref="F1217:G1217"/>
    <mergeCell ref="I1217:J1217"/>
    <mergeCell ref="B1218:B1219"/>
    <mergeCell ref="C1218:C1219"/>
    <mergeCell ref="D1218:D1219"/>
    <mergeCell ref="E1218:E1219"/>
    <mergeCell ref="F1218:F1219"/>
    <mergeCell ref="G1218:G1219"/>
    <mergeCell ref="B1215:B1216"/>
    <mergeCell ref="C1215:C1216"/>
    <mergeCell ref="D1215:D1216"/>
    <mergeCell ref="E1215:E1216"/>
    <mergeCell ref="F1215:F1216"/>
    <mergeCell ref="G1215:G1216"/>
    <mergeCell ref="C1212:D1212"/>
    <mergeCell ref="F1212:G1212"/>
    <mergeCell ref="I1212:J1212"/>
    <mergeCell ref="B1213:B1214"/>
    <mergeCell ref="C1213:C1214"/>
    <mergeCell ref="D1213:D1214"/>
    <mergeCell ref="E1213:E1214"/>
    <mergeCell ref="F1213:F1214"/>
    <mergeCell ref="G1213:G1214"/>
    <mergeCell ref="B1210:B1211"/>
    <mergeCell ref="C1210:C1211"/>
    <mergeCell ref="D1210:D1211"/>
    <mergeCell ref="E1210:E1211"/>
    <mergeCell ref="F1210:F1211"/>
    <mergeCell ref="G1210:G1211"/>
    <mergeCell ref="B1208:B1209"/>
    <mergeCell ref="C1208:C1209"/>
    <mergeCell ref="D1208:D1209"/>
    <mergeCell ref="E1208:E1209"/>
    <mergeCell ref="F1208:F1209"/>
    <mergeCell ref="G1208:G1209"/>
    <mergeCell ref="C1203:D1203"/>
    <mergeCell ref="F1203:G1203"/>
    <mergeCell ref="I1203:J1203"/>
    <mergeCell ref="B1205:C1205"/>
    <mergeCell ref="B1206:C1206"/>
    <mergeCell ref="B1207:D1207"/>
    <mergeCell ref="E1207:G1207"/>
    <mergeCell ref="H1207:J1207"/>
    <mergeCell ref="B1201:B1202"/>
    <mergeCell ref="C1201:C1202"/>
    <mergeCell ref="D1201:D1202"/>
    <mergeCell ref="E1201:E1202"/>
    <mergeCell ref="F1201:F1202"/>
    <mergeCell ref="G1201:G1202"/>
    <mergeCell ref="C1198:D1198"/>
    <mergeCell ref="F1198:G1198"/>
    <mergeCell ref="I1198:J1198"/>
    <mergeCell ref="B1199:B1200"/>
    <mergeCell ref="C1199:C1200"/>
    <mergeCell ref="D1199:D1200"/>
    <mergeCell ref="E1199:E1200"/>
    <mergeCell ref="F1199:F1200"/>
    <mergeCell ref="G1199:G1200"/>
    <mergeCell ref="B1196:B1197"/>
    <mergeCell ref="C1196:C1197"/>
    <mergeCell ref="D1196:D1197"/>
    <mergeCell ref="E1196:E1197"/>
    <mergeCell ref="F1196:F1197"/>
    <mergeCell ref="G1196:G1197"/>
    <mergeCell ref="C1193:D1193"/>
    <mergeCell ref="F1193:G1193"/>
    <mergeCell ref="I1193:J1193"/>
    <mergeCell ref="B1194:B1195"/>
    <mergeCell ref="C1194:C1195"/>
    <mergeCell ref="D1194:D1195"/>
    <mergeCell ref="E1194:E1195"/>
    <mergeCell ref="F1194:F1195"/>
    <mergeCell ref="G1194:G1195"/>
    <mergeCell ref="B1191:B1192"/>
    <mergeCell ref="C1191:C1192"/>
    <mergeCell ref="D1191:D1192"/>
    <mergeCell ref="E1191:E1192"/>
    <mergeCell ref="F1191:F1192"/>
    <mergeCell ref="G1191:G1192"/>
    <mergeCell ref="C1188:D1188"/>
    <mergeCell ref="F1188:G1188"/>
    <mergeCell ref="I1188:J1188"/>
    <mergeCell ref="B1189:B1190"/>
    <mergeCell ref="C1189:C1190"/>
    <mergeCell ref="D1189:D1190"/>
    <mergeCell ref="E1189:E1190"/>
    <mergeCell ref="F1189:F1190"/>
    <mergeCell ref="G1189:G1190"/>
    <mergeCell ref="B1186:B1187"/>
    <mergeCell ref="C1186:C1187"/>
    <mergeCell ref="D1186:D1187"/>
    <mergeCell ref="E1186:E1187"/>
    <mergeCell ref="F1186:F1187"/>
    <mergeCell ref="G1186:G1187"/>
    <mergeCell ref="C1183:D1183"/>
    <mergeCell ref="F1183:G1183"/>
    <mergeCell ref="I1183:J1183"/>
    <mergeCell ref="B1184:B1185"/>
    <mergeCell ref="C1184:C1185"/>
    <mergeCell ref="D1184:D1185"/>
    <mergeCell ref="E1184:E1185"/>
    <mergeCell ref="F1184:F1185"/>
    <mergeCell ref="G1184:G1185"/>
    <mergeCell ref="B1181:B1182"/>
    <mergeCell ref="C1181:C1182"/>
    <mergeCell ref="D1181:D1182"/>
    <mergeCell ref="E1181:E1182"/>
    <mergeCell ref="F1181:F1182"/>
    <mergeCell ref="G1181:G1182"/>
    <mergeCell ref="C1176:D1176"/>
    <mergeCell ref="F1176:G1176"/>
    <mergeCell ref="I1176:J1176"/>
    <mergeCell ref="B1179:B1180"/>
    <mergeCell ref="C1179:C1180"/>
    <mergeCell ref="D1179:D1180"/>
    <mergeCell ref="E1179:E1180"/>
    <mergeCell ref="F1179:F1180"/>
    <mergeCell ref="G1179:G1180"/>
    <mergeCell ref="B1174:B1175"/>
    <mergeCell ref="C1174:C1175"/>
    <mergeCell ref="D1174:D1175"/>
    <mergeCell ref="E1174:E1175"/>
    <mergeCell ref="F1174:F1175"/>
    <mergeCell ref="G1174:G1175"/>
    <mergeCell ref="C1171:D1171"/>
    <mergeCell ref="F1171:G1171"/>
    <mergeCell ref="I1171:J1171"/>
    <mergeCell ref="B1172:B1173"/>
    <mergeCell ref="C1172:C1173"/>
    <mergeCell ref="D1172:D1173"/>
    <mergeCell ref="E1172:E1173"/>
    <mergeCell ref="F1172:F1173"/>
    <mergeCell ref="G1172:G1173"/>
    <mergeCell ref="B1169:B1170"/>
    <mergeCell ref="C1169:C1170"/>
    <mergeCell ref="D1169:D1170"/>
    <mergeCell ref="E1169:E1170"/>
    <mergeCell ref="F1169:F1170"/>
    <mergeCell ref="G1169:G1170"/>
    <mergeCell ref="C1166:D1166"/>
    <mergeCell ref="F1166:G1166"/>
    <mergeCell ref="I1166:J1166"/>
    <mergeCell ref="B1167:B1168"/>
    <mergeCell ref="C1167:C1168"/>
    <mergeCell ref="D1167:D1168"/>
    <mergeCell ref="E1167:E1168"/>
    <mergeCell ref="F1167:F1168"/>
    <mergeCell ref="G1167:G1168"/>
    <mergeCell ref="B1164:B1165"/>
    <mergeCell ref="C1164:C1165"/>
    <mergeCell ref="D1164:D1165"/>
    <mergeCell ref="E1164:E1165"/>
    <mergeCell ref="F1164:F1165"/>
    <mergeCell ref="G1164:G1165"/>
    <mergeCell ref="C1161:D1161"/>
    <mergeCell ref="F1161:G1161"/>
    <mergeCell ref="I1161:J1161"/>
    <mergeCell ref="B1162:B1163"/>
    <mergeCell ref="C1162:C1163"/>
    <mergeCell ref="D1162:D1163"/>
    <mergeCell ref="E1162:E1163"/>
    <mergeCell ref="F1162:F1163"/>
    <mergeCell ref="G1162:G1163"/>
    <mergeCell ref="B1159:B1160"/>
    <mergeCell ref="C1159:C1160"/>
    <mergeCell ref="D1159:D1160"/>
    <mergeCell ref="E1159:E1160"/>
    <mergeCell ref="F1159:F1160"/>
    <mergeCell ref="G1159:G1160"/>
    <mergeCell ref="C1156:D1156"/>
    <mergeCell ref="F1156:G1156"/>
    <mergeCell ref="I1156:J1156"/>
    <mergeCell ref="B1157:B1158"/>
    <mergeCell ref="C1157:C1158"/>
    <mergeCell ref="D1157:D1158"/>
    <mergeCell ref="E1157:E1158"/>
    <mergeCell ref="F1157:F1158"/>
    <mergeCell ref="G1157:G1158"/>
    <mergeCell ref="B1154:B1155"/>
    <mergeCell ref="C1154:C1155"/>
    <mergeCell ref="D1154:D1155"/>
    <mergeCell ref="E1154:E1155"/>
    <mergeCell ref="F1154:F1155"/>
    <mergeCell ref="G1154:G1155"/>
    <mergeCell ref="B1152:B1153"/>
    <mergeCell ref="C1152:C1153"/>
    <mergeCell ref="D1152:D1153"/>
    <mergeCell ref="E1152:E1153"/>
    <mergeCell ref="F1152:F1153"/>
    <mergeCell ref="G1152:G1153"/>
    <mergeCell ref="C1147:D1147"/>
    <mergeCell ref="F1147:G1147"/>
    <mergeCell ref="I1147:J1147"/>
    <mergeCell ref="B1149:C1149"/>
    <mergeCell ref="B1150:C1150"/>
    <mergeCell ref="B1151:D1151"/>
    <mergeCell ref="E1151:G1151"/>
    <mergeCell ref="H1151:J1151"/>
    <mergeCell ref="B1145:B1146"/>
    <mergeCell ref="C1145:C1146"/>
    <mergeCell ref="D1145:D1146"/>
    <mergeCell ref="E1145:E1146"/>
    <mergeCell ref="F1145:F1146"/>
    <mergeCell ref="G1145:G1146"/>
    <mergeCell ref="C1142:D1142"/>
    <mergeCell ref="F1142:G1142"/>
    <mergeCell ref="I1142:J1142"/>
    <mergeCell ref="B1143:B1144"/>
    <mergeCell ref="C1143:C1144"/>
    <mergeCell ref="D1143:D1144"/>
    <mergeCell ref="E1143:E1144"/>
    <mergeCell ref="F1143:F1144"/>
    <mergeCell ref="G1143:G1144"/>
    <mergeCell ref="B1140:B1141"/>
    <mergeCell ref="C1140:C1141"/>
    <mergeCell ref="D1140:D1141"/>
    <mergeCell ref="E1140:E1141"/>
    <mergeCell ref="F1140:F1141"/>
    <mergeCell ref="G1140:G1141"/>
    <mergeCell ref="C1137:D1137"/>
    <mergeCell ref="F1137:G1137"/>
    <mergeCell ref="I1137:J1137"/>
    <mergeCell ref="B1138:B1139"/>
    <mergeCell ref="C1138:C1139"/>
    <mergeCell ref="D1138:D1139"/>
    <mergeCell ref="E1138:E1139"/>
    <mergeCell ref="F1138:F1139"/>
    <mergeCell ref="G1138:G1139"/>
    <mergeCell ref="B1135:B1136"/>
    <mergeCell ref="C1135:C1136"/>
    <mergeCell ref="D1135:D1136"/>
    <mergeCell ref="E1135:E1136"/>
    <mergeCell ref="F1135:F1136"/>
    <mergeCell ref="G1135:G1136"/>
    <mergeCell ref="C1132:D1132"/>
    <mergeCell ref="F1132:G1132"/>
    <mergeCell ref="I1132:J1132"/>
    <mergeCell ref="B1133:B1134"/>
    <mergeCell ref="C1133:C1134"/>
    <mergeCell ref="D1133:D1134"/>
    <mergeCell ref="E1133:E1134"/>
    <mergeCell ref="F1133:F1134"/>
    <mergeCell ref="G1133:G1134"/>
    <mergeCell ref="B1130:B1131"/>
    <mergeCell ref="C1130:C1131"/>
    <mergeCell ref="D1130:D1131"/>
    <mergeCell ref="E1130:E1131"/>
    <mergeCell ref="F1130:F1131"/>
    <mergeCell ref="G1130:G1131"/>
    <mergeCell ref="C1127:D1127"/>
    <mergeCell ref="F1127:G1127"/>
    <mergeCell ref="I1127:J1127"/>
    <mergeCell ref="B1128:B1129"/>
    <mergeCell ref="C1128:C1129"/>
    <mergeCell ref="D1128:D1129"/>
    <mergeCell ref="E1128:E1129"/>
    <mergeCell ref="F1128:F1129"/>
    <mergeCell ref="G1128:G1129"/>
    <mergeCell ref="B1125:B1126"/>
    <mergeCell ref="C1125:C1126"/>
    <mergeCell ref="D1125:D1126"/>
    <mergeCell ref="E1125:E1126"/>
    <mergeCell ref="F1125:F1126"/>
    <mergeCell ref="G1125:G1126"/>
    <mergeCell ref="B1123:B1124"/>
    <mergeCell ref="C1123:C1124"/>
    <mergeCell ref="D1123:D1124"/>
    <mergeCell ref="E1123:E1124"/>
    <mergeCell ref="F1123:F1124"/>
    <mergeCell ref="G1123:G1124"/>
    <mergeCell ref="C1118:D1118"/>
    <mergeCell ref="F1118:G1118"/>
    <mergeCell ref="I1118:J1118"/>
    <mergeCell ref="B1120:C1120"/>
    <mergeCell ref="B1121:C1121"/>
    <mergeCell ref="B1122:D1122"/>
    <mergeCell ref="E1122:G1122"/>
    <mergeCell ref="H1122:J1122"/>
    <mergeCell ref="B1116:B1117"/>
    <mergeCell ref="C1116:C1117"/>
    <mergeCell ref="D1116:D1117"/>
    <mergeCell ref="E1116:E1117"/>
    <mergeCell ref="F1116:F1117"/>
    <mergeCell ref="G1116:G1117"/>
    <mergeCell ref="C1113:D1113"/>
    <mergeCell ref="F1113:G1113"/>
    <mergeCell ref="I1113:J1113"/>
    <mergeCell ref="B1114:B1115"/>
    <mergeCell ref="C1114:C1115"/>
    <mergeCell ref="D1114:D1115"/>
    <mergeCell ref="E1114:E1115"/>
    <mergeCell ref="F1114:F1115"/>
    <mergeCell ref="G1114:G1115"/>
    <mergeCell ref="B1111:B1112"/>
    <mergeCell ref="C1111:C1112"/>
    <mergeCell ref="D1111:D1112"/>
    <mergeCell ref="E1111:E1112"/>
    <mergeCell ref="F1111:F1112"/>
    <mergeCell ref="G1111:G1112"/>
    <mergeCell ref="C1108:D1108"/>
    <mergeCell ref="F1108:G1108"/>
    <mergeCell ref="I1108:J1108"/>
    <mergeCell ref="B1109:B1110"/>
    <mergeCell ref="C1109:C1110"/>
    <mergeCell ref="D1109:D1110"/>
    <mergeCell ref="E1109:E1110"/>
    <mergeCell ref="F1109:F1110"/>
    <mergeCell ref="G1109:G1110"/>
    <mergeCell ref="B1106:B1107"/>
    <mergeCell ref="C1106:C1107"/>
    <mergeCell ref="D1106:D1107"/>
    <mergeCell ref="E1106:E1107"/>
    <mergeCell ref="F1106:F1107"/>
    <mergeCell ref="G1106:G1107"/>
    <mergeCell ref="C1103:D1103"/>
    <mergeCell ref="F1103:G1103"/>
    <mergeCell ref="I1103:J1103"/>
    <mergeCell ref="B1104:B1105"/>
    <mergeCell ref="C1104:C1105"/>
    <mergeCell ref="D1104:D1105"/>
    <mergeCell ref="E1104:E1105"/>
    <mergeCell ref="F1104:F1105"/>
    <mergeCell ref="G1104:G1105"/>
    <mergeCell ref="B1101:B1102"/>
    <mergeCell ref="C1101:C1102"/>
    <mergeCell ref="D1101:D1102"/>
    <mergeCell ref="E1101:E1102"/>
    <mergeCell ref="F1101:F1102"/>
    <mergeCell ref="G1101:G1102"/>
    <mergeCell ref="C1098:D1098"/>
    <mergeCell ref="F1098:G1098"/>
    <mergeCell ref="I1098:J1098"/>
    <mergeCell ref="B1099:B1100"/>
    <mergeCell ref="C1099:C1100"/>
    <mergeCell ref="D1099:D1100"/>
    <mergeCell ref="E1099:E1100"/>
    <mergeCell ref="F1099:F1100"/>
    <mergeCell ref="G1099:G1100"/>
    <mergeCell ref="B1096:B1097"/>
    <mergeCell ref="C1096:C1097"/>
    <mergeCell ref="D1096:D1097"/>
    <mergeCell ref="E1096:E1097"/>
    <mergeCell ref="F1096:F1097"/>
    <mergeCell ref="G1096:G1097"/>
    <mergeCell ref="C1093:D1093"/>
    <mergeCell ref="F1093:G1093"/>
    <mergeCell ref="I1093:J1093"/>
    <mergeCell ref="B1094:B1095"/>
    <mergeCell ref="C1094:C1095"/>
    <mergeCell ref="D1094:D1095"/>
    <mergeCell ref="E1094:E1095"/>
    <mergeCell ref="F1094:F1095"/>
    <mergeCell ref="G1094:G1095"/>
    <mergeCell ref="B1091:B1092"/>
    <mergeCell ref="C1091:C1092"/>
    <mergeCell ref="D1091:D1092"/>
    <mergeCell ref="E1091:E1092"/>
    <mergeCell ref="F1091:F1092"/>
    <mergeCell ref="G1091:G1092"/>
    <mergeCell ref="C1088:D1088"/>
    <mergeCell ref="F1088:G1088"/>
    <mergeCell ref="I1088:J1088"/>
    <mergeCell ref="B1089:B1090"/>
    <mergeCell ref="C1089:C1090"/>
    <mergeCell ref="D1089:D1090"/>
    <mergeCell ref="E1089:E1090"/>
    <mergeCell ref="F1089:F1090"/>
    <mergeCell ref="G1089:G1090"/>
    <mergeCell ref="B1086:B1087"/>
    <mergeCell ref="C1086:C1087"/>
    <mergeCell ref="D1086:D1087"/>
    <mergeCell ref="E1086:E1087"/>
    <mergeCell ref="F1086:F1087"/>
    <mergeCell ref="G1086:G1087"/>
    <mergeCell ref="C1083:D1083"/>
    <mergeCell ref="F1083:G1083"/>
    <mergeCell ref="I1083:J1083"/>
    <mergeCell ref="B1084:B1085"/>
    <mergeCell ref="C1084:C1085"/>
    <mergeCell ref="D1084:D1085"/>
    <mergeCell ref="E1084:E1085"/>
    <mergeCell ref="F1084:F1085"/>
    <mergeCell ref="G1084:G1085"/>
    <mergeCell ref="B1081:B1082"/>
    <mergeCell ref="C1081:C1082"/>
    <mergeCell ref="D1081:D1082"/>
    <mergeCell ref="E1081:E1082"/>
    <mergeCell ref="F1081:F1082"/>
    <mergeCell ref="G1081:G1082"/>
    <mergeCell ref="C1078:D1078"/>
    <mergeCell ref="F1078:G1078"/>
    <mergeCell ref="I1078:J1078"/>
    <mergeCell ref="B1079:B1080"/>
    <mergeCell ref="C1079:C1080"/>
    <mergeCell ref="D1079:D1080"/>
    <mergeCell ref="E1079:E1080"/>
    <mergeCell ref="F1079:F1080"/>
    <mergeCell ref="G1079:G1080"/>
    <mergeCell ref="B1076:B1077"/>
    <mergeCell ref="C1076:C1077"/>
    <mergeCell ref="D1076:D1077"/>
    <mergeCell ref="E1076:E1077"/>
    <mergeCell ref="F1076:F1077"/>
    <mergeCell ref="G1076:G1077"/>
    <mergeCell ref="C1073:D1073"/>
    <mergeCell ref="F1073:G1073"/>
    <mergeCell ref="I1073:J1073"/>
    <mergeCell ref="B1074:B1075"/>
    <mergeCell ref="C1074:C1075"/>
    <mergeCell ref="D1074:D1075"/>
    <mergeCell ref="E1074:E1075"/>
    <mergeCell ref="F1074:F1075"/>
    <mergeCell ref="G1074:G1075"/>
    <mergeCell ref="B1071:B1072"/>
    <mergeCell ref="C1071:C1072"/>
    <mergeCell ref="D1071:D1072"/>
    <mergeCell ref="E1071:E1072"/>
    <mergeCell ref="F1071:F1072"/>
    <mergeCell ref="G1071:G1072"/>
    <mergeCell ref="C1068:D1068"/>
    <mergeCell ref="F1068:G1068"/>
    <mergeCell ref="I1068:J1068"/>
    <mergeCell ref="B1069:B1070"/>
    <mergeCell ref="C1069:C1070"/>
    <mergeCell ref="D1069:D1070"/>
    <mergeCell ref="E1069:E1070"/>
    <mergeCell ref="F1069:F1070"/>
    <mergeCell ref="G1069:G1070"/>
    <mergeCell ref="B1066:B1067"/>
    <mergeCell ref="C1066:C1067"/>
    <mergeCell ref="D1066:D1067"/>
    <mergeCell ref="E1066:E1067"/>
    <mergeCell ref="F1066:F1067"/>
    <mergeCell ref="G1066:G1067"/>
    <mergeCell ref="C1063:D1063"/>
    <mergeCell ref="F1063:G1063"/>
    <mergeCell ref="I1063:J1063"/>
    <mergeCell ref="B1064:B1065"/>
    <mergeCell ref="C1064:C1065"/>
    <mergeCell ref="D1064:D1065"/>
    <mergeCell ref="E1064:E1065"/>
    <mergeCell ref="F1064:F1065"/>
    <mergeCell ref="G1064:G1065"/>
    <mergeCell ref="B1061:B1062"/>
    <mergeCell ref="C1061:C1062"/>
    <mergeCell ref="D1061:D1062"/>
    <mergeCell ref="E1061:E1062"/>
    <mergeCell ref="F1061:F1062"/>
    <mergeCell ref="G1061:G1062"/>
    <mergeCell ref="B1059:B1060"/>
    <mergeCell ref="C1059:C1060"/>
    <mergeCell ref="D1059:D1060"/>
    <mergeCell ref="E1059:E1060"/>
    <mergeCell ref="F1059:F1060"/>
    <mergeCell ref="G1059:G1060"/>
    <mergeCell ref="C1054:D1054"/>
    <mergeCell ref="F1054:G1054"/>
    <mergeCell ref="I1054:J1054"/>
    <mergeCell ref="B1056:C1056"/>
    <mergeCell ref="B1057:C1057"/>
    <mergeCell ref="B1058:D1058"/>
    <mergeCell ref="E1058:G1058"/>
    <mergeCell ref="H1058:J1058"/>
    <mergeCell ref="B1052:B1053"/>
    <mergeCell ref="C1052:C1053"/>
    <mergeCell ref="D1052:D1053"/>
    <mergeCell ref="E1052:E1053"/>
    <mergeCell ref="F1052:F1053"/>
    <mergeCell ref="G1052:G1053"/>
    <mergeCell ref="C1049:D1049"/>
    <mergeCell ref="F1049:G1049"/>
    <mergeCell ref="I1049:J1049"/>
    <mergeCell ref="B1050:B1051"/>
    <mergeCell ref="C1050:C1051"/>
    <mergeCell ref="D1050:D1051"/>
    <mergeCell ref="E1050:E1051"/>
    <mergeCell ref="F1050:F1051"/>
    <mergeCell ref="G1050:G1051"/>
    <mergeCell ref="B1047:B1048"/>
    <mergeCell ref="C1047:C1048"/>
    <mergeCell ref="D1047:D1048"/>
    <mergeCell ref="E1047:E1048"/>
    <mergeCell ref="F1047:F1048"/>
    <mergeCell ref="G1047:G1048"/>
    <mergeCell ref="C1044:D1044"/>
    <mergeCell ref="F1044:G1044"/>
    <mergeCell ref="I1044:J1044"/>
    <mergeCell ref="B1045:B1046"/>
    <mergeCell ref="C1045:C1046"/>
    <mergeCell ref="D1045:D1046"/>
    <mergeCell ref="E1045:E1046"/>
    <mergeCell ref="F1045:F1046"/>
    <mergeCell ref="G1045:G1046"/>
    <mergeCell ref="B1042:B1043"/>
    <mergeCell ref="C1042:C1043"/>
    <mergeCell ref="D1042:D1043"/>
    <mergeCell ref="E1042:E1043"/>
    <mergeCell ref="F1042:F1043"/>
    <mergeCell ref="G1042:G1043"/>
    <mergeCell ref="C1039:D1039"/>
    <mergeCell ref="F1039:G1039"/>
    <mergeCell ref="I1039:J1039"/>
    <mergeCell ref="B1040:B1041"/>
    <mergeCell ref="C1040:C1041"/>
    <mergeCell ref="D1040:D1041"/>
    <mergeCell ref="E1040:E1041"/>
    <mergeCell ref="F1040:F1041"/>
    <mergeCell ref="G1040:G1041"/>
    <mergeCell ref="B1037:B1038"/>
    <mergeCell ref="C1037:C1038"/>
    <mergeCell ref="D1037:D1038"/>
    <mergeCell ref="E1037:E1038"/>
    <mergeCell ref="F1037:F1038"/>
    <mergeCell ref="G1037:G1038"/>
    <mergeCell ref="C1034:D1034"/>
    <mergeCell ref="F1034:G1034"/>
    <mergeCell ref="I1034:J1034"/>
    <mergeCell ref="B1035:B1036"/>
    <mergeCell ref="C1035:C1036"/>
    <mergeCell ref="D1035:D1036"/>
    <mergeCell ref="E1035:E1036"/>
    <mergeCell ref="F1035:F1036"/>
    <mergeCell ref="G1035:G1036"/>
    <mergeCell ref="B1032:B1033"/>
    <mergeCell ref="C1032:C1033"/>
    <mergeCell ref="D1032:D1033"/>
    <mergeCell ref="E1032:E1033"/>
    <mergeCell ref="F1032:F1033"/>
    <mergeCell ref="G1032:G1033"/>
    <mergeCell ref="C1029:D1029"/>
    <mergeCell ref="F1029:G1029"/>
    <mergeCell ref="I1029:J1029"/>
    <mergeCell ref="B1030:B1031"/>
    <mergeCell ref="C1030:C1031"/>
    <mergeCell ref="D1030:D1031"/>
    <mergeCell ref="E1030:E1031"/>
    <mergeCell ref="F1030:F1031"/>
    <mergeCell ref="G1030:G1031"/>
    <mergeCell ref="B1027:B1028"/>
    <mergeCell ref="C1027:C1028"/>
    <mergeCell ref="D1027:D1028"/>
    <mergeCell ref="E1027:E1028"/>
    <mergeCell ref="F1027:F1028"/>
    <mergeCell ref="G1027:G1028"/>
    <mergeCell ref="C1024:D1024"/>
    <mergeCell ref="F1024:G1024"/>
    <mergeCell ref="I1024:J1024"/>
    <mergeCell ref="B1025:B1026"/>
    <mergeCell ref="C1025:C1026"/>
    <mergeCell ref="D1025:D1026"/>
    <mergeCell ref="E1025:E1026"/>
    <mergeCell ref="F1025:F1026"/>
    <mergeCell ref="G1025:G1026"/>
    <mergeCell ref="B1022:B1023"/>
    <mergeCell ref="C1022:C1023"/>
    <mergeCell ref="D1022:D1023"/>
    <mergeCell ref="E1022:E1023"/>
    <mergeCell ref="F1022:F1023"/>
    <mergeCell ref="G1022:G1023"/>
    <mergeCell ref="B1020:B1021"/>
    <mergeCell ref="C1020:C1021"/>
    <mergeCell ref="D1020:D1021"/>
    <mergeCell ref="E1020:E1021"/>
    <mergeCell ref="F1020:F1021"/>
    <mergeCell ref="G1020:G1021"/>
    <mergeCell ref="C1015:D1015"/>
    <mergeCell ref="F1015:G1015"/>
    <mergeCell ref="I1015:J1015"/>
    <mergeCell ref="B1017:C1017"/>
    <mergeCell ref="B1018:C1018"/>
    <mergeCell ref="B1019:D1019"/>
    <mergeCell ref="E1019:G1019"/>
    <mergeCell ref="H1019:J1019"/>
    <mergeCell ref="B1013:B1014"/>
    <mergeCell ref="C1013:C1014"/>
    <mergeCell ref="D1013:D1014"/>
    <mergeCell ref="E1013:E1014"/>
    <mergeCell ref="F1013:F1014"/>
    <mergeCell ref="G1013:G1014"/>
    <mergeCell ref="C1010:D1010"/>
    <mergeCell ref="F1010:G1010"/>
    <mergeCell ref="I1010:J1010"/>
    <mergeCell ref="B1011:B1012"/>
    <mergeCell ref="C1011:C1012"/>
    <mergeCell ref="D1011:D1012"/>
    <mergeCell ref="E1011:E1012"/>
    <mergeCell ref="F1011:F1012"/>
    <mergeCell ref="G1011:G1012"/>
    <mergeCell ref="B1008:B1009"/>
    <mergeCell ref="C1008:C1009"/>
    <mergeCell ref="D1008:D1009"/>
    <mergeCell ref="E1008:E1009"/>
    <mergeCell ref="F1008:F1009"/>
    <mergeCell ref="G1008:G1009"/>
    <mergeCell ref="C1005:D1005"/>
    <mergeCell ref="F1005:G1005"/>
    <mergeCell ref="I1005:J1005"/>
    <mergeCell ref="B1006:B1007"/>
    <mergeCell ref="C1006:C1007"/>
    <mergeCell ref="D1006:D1007"/>
    <mergeCell ref="E1006:E1007"/>
    <mergeCell ref="F1006:F1007"/>
    <mergeCell ref="G1006:G1007"/>
    <mergeCell ref="B1003:B1004"/>
    <mergeCell ref="C1003:C1004"/>
    <mergeCell ref="D1003:D1004"/>
    <mergeCell ref="E1003:E1004"/>
    <mergeCell ref="F1003:F1004"/>
    <mergeCell ref="G1003:G1004"/>
    <mergeCell ref="C1000:D1000"/>
    <mergeCell ref="F1000:G1000"/>
    <mergeCell ref="I1000:J1000"/>
    <mergeCell ref="B1001:B1002"/>
    <mergeCell ref="C1001:C1002"/>
    <mergeCell ref="D1001:D1002"/>
    <mergeCell ref="E1001:E1002"/>
    <mergeCell ref="F1001:F1002"/>
    <mergeCell ref="G1001:G1002"/>
    <mergeCell ref="B998:B999"/>
    <mergeCell ref="C998:C999"/>
    <mergeCell ref="D998:D999"/>
    <mergeCell ref="E998:E999"/>
    <mergeCell ref="F998:F999"/>
    <mergeCell ref="G998:G999"/>
    <mergeCell ref="C995:D995"/>
    <mergeCell ref="F995:G995"/>
    <mergeCell ref="I995:J995"/>
    <mergeCell ref="B996:B997"/>
    <mergeCell ref="C996:C997"/>
    <mergeCell ref="D996:D997"/>
    <mergeCell ref="E996:E997"/>
    <mergeCell ref="F996:F997"/>
    <mergeCell ref="G996:G997"/>
    <mergeCell ref="B993:B994"/>
    <mergeCell ref="C993:C994"/>
    <mergeCell ref="D993:D994"/>
    <mergeCell ref="E993:E994"/>
    <mergeCell ref="F993:F994"/>
    <mergeCell ref="G993:G994"/>
    <mergeCell ref="C990:D990"/>
    <mergeCell ref="F990:G990"/>
    <mergeCell ref="I990:J990"/>
    <mergeCell ref="B991:B992"/>
    <mergeCell ref="C991:C992"/>
    <mergeCell ref="D991:D992"/>
    <mergeCell ref="E991:E992"/>
    <mergeCell ref="F991:F992"/>
    <mergeCell ref="G991:G992"/>
    <mergeCell ref="B988:B989"/>
    <mergeCell ref="C988:C989"/>
    <mergeCell ref="D988:D989"/>
    <mergeCell ref="E988:E989"/>
    <mergeCell ref="F988:F989"/>
    <mergeCell ref="G988:G989"/>
    <mergeCell ref="C985:D985"/>
    <mergeCell ref="F985:G985"/>
    <mergeCell ref="I985:J985"/>
    <mergeCell ref="B986:B987"/>
    <mergeCell ref="C986:C987"/>
    <mergeCell ref="D986:D987"/>
    <mergeCell ref="E986:E987"/>
    <mergeCell ref="F986:F987"/>
    <mergeCell ref="G986:G987"/>
    <mergeCell ref="B983:B984"/>
    <mergeCell ref="C983:C984"/>
    <mergeCell ref="D983:D984"/>
    <mergeCell ref="E983:E984"/>
    <mergeCell ref="F983:F984"/>
    <mergeCell ref="G983:G984"/>
    <mergeCell ref="C980:D980"/>
    <mergeCell ref="F980:G980"/>
    <mergeCell ref="I980:J980"/>
    <mergeCell ref="B981:B982"/>
    <mergeCell ref="C981:C982"/>
    <mergeCell ref="D981:D982"/>
    <mergeCell ref="E981:E982"/>
    <mergeCell ref="F981:F982"/>
    <mergeCell ref="G981:G982"/>
    <mergeCell ref="B978:B979"/>
    <mergeCell ref="C978:C979"/>
    <mergeCell ref="D978:D979"/>
    <mergeCell ref="E978:E979"/>
    <mergeCell ref="F978:F979"/>
    <mergeCell ref="G978:G979"/>
    <mergeCell ref="C975:D975"/>
    <mergeCell ref="F975:G975"/>
    <mergeCell ref="I975:J975"/>
    <mergeCell ref="B976:B977"/>
    <mergeCell ref="C976:C977"/>
    <mergeCell ref="D976:D977"/>
    <mergeCell ref="E976:E977"/>
    <mergeCell ref="F976:F977"/>
    <mergeCell ref="G976:G977"/>
    <mergeCell ref="B973:B974"/>
    <mergeCell ref="C973:C974"/>
    <mergeCell ref="D973:D974"/>
    <mergeCell ref="E973:E974"/>
    <mergeCell ref="F973:F974"/>
    <mergeCell ref="G973:G974"/>
    <mergeCell ref="C970:D970"/>
    <mergeCell ref="F970:G970"/>
    <mergeCell ref="I970:J970"/>
    <mergeCell ref="B971:B972"/>
    <mergeCell ref="C971:C972"/>
    <mergeCell ref="D971:D972"/>
    <mergeCell ref="E971:E972"/>
    <mergeCell ref="F971:F972"/>
    <mergeCell ref="G971:G972"/>
    <mergeCell ref="B968:B969"/>
    <mergeCell ref="C968:C969"/>
    <mergeCell ref="D968:D969"/>
    <mergeCell ref="E968:E969"/>
    <mergeCell ref="F968:F969"/>
    <mergeCell ref="G968:G969"/>
    <mergeCell ref="C965:D965"/>
    <mergeCell ref="F965:G965"/>
    <mergeCell ref="I965:J965"/>
    <mergeCell ref="B966:B967"/>
    <mergeCell ref="C966:C967"/>
    <mergeCell ref="D966:D967"/>
    <mergeCell ref="E966:E967"/>
    <mergeCell ref="F966:F967"/>
    <mergeCell ref="G966:G967"/>
    <mergeCell ref="B963:B964"/>
    <mergeCell ref="C963:C964"/>
    <mergeCell ref="D963:D964"/>
    <mergeCell ref="E963:E964"/>
    <mergeCell ref="F963:F964"/>
    <mergeCell ref="G963:G964"/>
    <mergeCell ref="C960:D960"/>
    <mergeCell ref="F960:G960"/>
    <mergeCell ref="I960:J960"/>
    <mergeCell ref="B961:B962"/>
    <mergeCell ref="C961:C962"/>
    <mergeCell ref="D961:D962"/>
    <mergeCell ref="E961:E962"/>
    <mergeCell ref="F961:F962"/>
    <mergeCell ref="G961:G962"/>
    <mergeCell ref="B958:B959"/>
    <mergeCell ref="C958:C959"/>
    <mergeCell ref="D958:D959"/>
    <mergeCell ref="E958:E959"/>
    <mergeCell ref="F958:F959"/>
    <mergeCell ref="G958:G959"/>
    <mergeCell ref="C955:D955"/>
    <mergeCell ref="F955:G955"/>
    <mergeCell ref="I955:J955"/>
    <mergeCell ref="B956:B957"/>
    <mergeCell ref="C956:C957"/>
    <mergeCell ref="D956:D957"/>
    <mergeCell ref="E956:E957"/>
    <mergeCell ref="F956:F957"/>
    <mergeCell ref="G956:G957"/>
    <mergeCell ref="B953:B954"/>
    <mergeCell ref="C953:C954"/>
    <mergeCell ref="D953:D954"/>
    <mergeCell ref="E953:E954"/>
    <mergeCell ref="F953:F954"/>
    <mergeCell ref="G953:G954"/>
    <mergeCell ref="B951:B952"/>
    <mergeCell ref="C951:C952"/>
    <mergeCell ref="D951:D952"/>
    <mergeCell ref="E951:E952"/>
    <mergeCell ref="F951:F952"/>
    <mergeCell ref="G951:G952"/>
    <mergeCell ref="C936:D936"/>
    <mergeCell ref="F936:G936"/>
    <mergeCell ref="I936:J936"/>
    <mergeCell ref="B948:C948"/>
    <mergeCell ref="B949:C949"/>
    <mergeCell ref="B950:D950"/>
    <mergeCell ref="E950:G950"/>
    <mergeCell ref="H950:J950"/>
    <mergeCell ref="B934:B935"/>
    <mergeCell ref="C934:C935"/>
    <mergeCell ref="D934:D935"/>
    <mergeCell ref="E934:E935"/>
    <mergeCell ref="F934:F935"/>
    <mergeCell ref="G934:G935"/>
    <mergeCell ref="C931:D931"/>
    <mergeCell ref="F931:G931"/>
    <mergeCell ref="I931:J931"/>
    <mergeCell ref="B932:B933"/>
    <mergeCell ref="C932:C933"/>
    <mergeCell ref="D932:D933"/>
    <mergeCell ref="E932:E933"/>
    <mergeCell ref="F932:F933"/>
    <mergeCell ref="G932:G933"/>
    <mergeCell ref="B929:B930"/>
    <mergeCell ref="C929:C930"/>
    <mergeCell ref="D929:D930"/>
    <mergeCell ref="E929:E930"/>
    <mergeCell ref="F929:F930"/>
    <mergeCell ref="G929:G930"/>
    <mergeCell ref="C926:D926"/>
    <mergeCell ref="F926:G926"/>
    <mergeCell ref="I926:J926"/>
    <mergeCell ref="B927:B928"/>
    <mergeCell ref="C927:C928"/>
    <mergeCell ref="D927:D928"/>
    <mergeCell ref="E927:E928"/>
    <mergeCell ref="F927:F928"/>
    <mergeCell ref="G927:G928"/>
    <mergeCell ref="B924:B925"/>
    <mergeCell ref="C924:C925"/>
    <mergeCell ref="D924:D925"/>
    <mergeCell ref="E924:E925"/>
    <mergeCell ref="F924:F925"/>
    <mergeCell ref="G924:G925"/>
    <mergeCell ref="C921:D921"/>
    <mergeCell ref="F921:G921"/>
    <mergeCell ref="I921:J921"/>
    <mergeCell ref="B922:B923"/>
    <mergeCell ref="C922:C923"/>
    <mergeCell ref="D922:D923"/>
    <mergeCell ref="E922:E923"/>
    <mergeCell ref="F922:F923"/>
    <mergeCell ref="G922:G923"/>
    <mergeCell ref="B919:B920"/>
    <mergeCell ref="C919:C920"/>
    <mergeCell ref="D919:D920"/>
    <mergeCell ref="E919:E920"/>
    <mergeCell ref="F919:F920"/>
    <mergeCell ref="G919:G920"/>
    <mergeCell ref="C916:D916"/>
    <mergeCell ref="F916:G916"/>
    <mergeCell ref="I916:J916"/>
    <mergeCell ref="B917:B918"/>
    <mergeCell ref="C917:C918"/>
    <mergeCell ref="D917:D918"/>
    <mergeCell ref="E917:E918"/>
    <mergeCell ref="F917:F918"/>
    <mergeCell ref="G917:G918"/>
    <mergeCell ref="B914:B915"/>
    <mergeCell ref="C914:C915"/>
    <mergeCell ref="D914:D915"/>
    <mergeCell ref="E914:E915"/>
    <mergeCell ref="F914:F915"/>
    <mergeCell ref="G914:G915"/>
    <mergeCell ref="C910:D910"/>
    <mergeCell ref="F910:G910"/>
    <mergeCell ref="I910:J910"/>
    <mergeCell ref="B912:B913"/>
    <mergeCell ref="C912:C913"/>
    <mergeCell ref="D912:D913"/>
    <mergeCell ref="E912:E913"/>
    <mergeCell ref="F912:F913"/>
    <mergeCell ref="G912:G913"/>
    <mergeCell ref="B908:B909"/>
    <mergeCell ref="C908:C909"/>
    <mergeCell ref="D908:D909"/>
    <mergeCell ref="E908:E909"/>
    <mergeCell ref="F908:F909"/>
    <mergeCell ref="G908:G909"/>
    <mergeCell ref="C905:D905"/>
    <mergeCell ref="F905:G905"/>
    <mergeCell ref="I905:J905"/>
    <mergeCell ref="B906:B907"/>
    <mergeCell ref="C906:C907"/>
    <mergeCell ref="D906:D907"/>
    <mergeCell ref="E906:E907"/>
    <mergeCell ref="F906:F907"/>
    <mergeCell ref="G906:G907"/>
    <mergeCell ref="B903:B904"/>
    <mergeCell ref="C903:C904"/>
    <mergeCell ref="D903:D904"/>
    <mergeCell ref="E903:E904"/>
    <mergeCell ref="F903:F904"/>
    <mergeCell ref="G903:G904"/>
    <mergeCell ref="C900:D900"/>
    <mergeCell ref="F900:G900"/>
    <mergeCell ref="I900:J900"/>
    <mergeCell ref="B901:B902"/>
    <mergeCell ref="C901:C902"/>
    <mergeCell ref="D901:D902"/>
    <mergeCell ref="E901:E902"/>
    <mergeCell ref="F901:F902"/>
    <mergeCell ref="G901:G902"/>
    <mergeCell ref="B898:B899"/>
    <mergeCell ref="C898:C899"/>
    <mergeCell ref="D898:D899"/>
    <mergeCell ref="E898:E899"/>
    <mergeCell ref="F898:F899"/>
    <mergeCell ref="G898:G899"/>
    <mergeCell ref="C895:D895"/>
    <mergeCell ref="F895:G895"/>
    <mergeCell ref="I895:J895"/>
    <mergeCell ref="B896:B897"/>
    <mergeCell ref="C896:C897"/>
    <mergeCell ref="D896:D897"/>
    <mergeCell ref="E896:E897"/>
    <mergeCell ref="F896:F897"/>
    <mergeCell ref="G896:G897"/>
    <mergeCell ref="B893:B894"/>
    <mergeCell ref="C893:C894"/>
    <mergeCell ref="D893:D894"/>
    <mergeCell ref="E893:E894"/>
    <mergeCell ref="F893:F894"/>
    <mergeCell ref="G893:G894"/>
    <mergeCell ref="B891:B892"/>
    <mergeCell ref="C891:C892"/>
    <mergeCell ref="D891:D892"/>
    <mergeCell ref="E891:E892"/>
    <mergeCell ref="F891:F892"/>
    <mergeCell ref="G891:G892"/>
    <mergeCell ref="C886:D886"/>
    <mergeCell ref="F886:G886"/>
    <mergeCell ref="I886:J886"/>
    <mergeCell ref="B888:C888"/>
    <mergeCell ref="B889:C889"/>
    <mergeCell ref="B890:D890"/>
    <mergeCell ref="E890:G890"/>
    <mergeCell ref="H890:J890"/>
    <mergeCell ref="B884:B885"/>
    <mergeCell ref="C884:C885"/>
    <mergeCell ref="D884:D885"/>
    <mergeCell ref="E884:E885"/>
    <mergeCell ref="F884:F885"/>
    <mergeCell ref="G884:G885"/>
    <mergeCell ref="C881:D881"/>
    <mergeCell ref="F881:G881"/>
    <mergeCell ref="I881:J881"/>
    <mergeCell ref="B882:B883"/>
    <mergeCell ref="C882:C883"/>
    <mergeCell ref="D882:D883"/>
    <mergeCell ref="E882:E883"/>
    <mergeCell ref="F882:F883"/>
    <mergeCell ref="G882:G883"/>
    <mergeCell ref="B879:B880"/>
    <mergeCell ref="C879:C880"/>
    <mergeCell ref="D879:D880"/>
    <mergeCell ref="E879:E880"/>
    <mergeCell ref="F879:F880"/>
    <mergeCell ref="G879:G880"/>
    <mergeCell ref="B877:B878"/>
    <mergeCell ref="C877:C878"/>
    <mergeCell ref="D877:D878"/>
    <mergeCell ref="E877:E878"/>
    <mergeCell ref="F877:F878"/>
    <mergeCell ref="G877:G878"/>
    <mergeCell ref="C866:D866"/>
    <mergeCell ref="F866:G866"/>
    <mergeCell ref="I866:J866"/>
    <mergeCell ref="B874:C874"/>
    <mergeCell ref="B875:C875"/>
    <mergeCell ref="B876:D876"/>
    <mergeCell ref="E876:G876"/>
    <mergeCell ref="H876:J876"/>
    <mergeCell ref="B864:B865"/>
    <mergeCell ref="C864:C865"/>
    <mergeCell ref="D864:D865"/>
    <mergeCell ref="E864:E865"/>
    <mergeCell ref="F864:F865"/>
    <mergeCell ref="G864:G865"/>
    <mergeCell ref="C861:D861"/>
    <mergeCell ref="F861:G861"/>
    <mergeCell ref="I861:J861"/>
    <mergeCell ref="B862:B863"/>
    <mergeCell ref="C862:C863"/>
    <mergeCell ref="D862:D863"/>
    <mergeCell ref="E862:E863"/>
    <mergeCell ref="F862:F863"/>
    <mergeCell ref="G862:G863"/>
    <mergeCell ref="B859:B860"/>
    <mergeCell ref="C859:C860"/>
    <mergeCell ref="D859:D860"/>
    <mergeCell ref="E859:E860"/>
    <mergeCell ref="F859:F860"/>
    <mergeCell ref="G859:G860"/>
    <mergeCell ref="C856:D856"/>
    <mergeCell ref="F856:G856"/>
    <mergeCell ref="I856:J856"/>
    <mergeCell ref="B857:B858"/>
    <mergeCell ref="C857:C858"/>
    <mergeCell ref="D857:D858"/>
    <mergeCell ref="E857:E858"/>
    <mergeCell ref="F857:F858"/>
    <mergeCell ref="G857:G858"/>
    <mergeCell ref="B854:B855"/>
    <mergeCell ref="C854:C855"/>
    <mergeCell ref="D854:D855"/>
    <mergeCell ref="E854:E855"/>
    <mergeCell ref="F854:F855"/>
    <mergeCell ref="G854:G855"/>
    <mergeCell ref="C851:D851"/>
    <mergeCell ref="F851:G851"/>
    <mergeCell ref="I851:J851"/>
    <mergeCell ref="B852:B853"/>
    <mergeCell ref="C852:C853"/>
    <mergeCell ref="D852:D853"/>
    <mergeCell ref="E852:E853"/>
    <mergeCell ref="F852:F853"/>
    <mergeCell ref="G852:G853"/>
    <mergeCell ref="B849:B850"/>
    <mergeCell ref="C849:C850"/>
    <mergeCell ref="D849:D850"/>
    <mergeCell ref="E849:E850"/>
    <mergeCell ref="F849:F850"/>
    <mergeCell ref="G849:G850"/>
    <mergeCell ref="B847:B848"/>
    <mergeCell ref="C847:C848"/>
    <mergeCell ref="D847:D848"/>
    <mergeCell ref="E847:E848"/>
    <mergeCell ref="F847:F848"/>
    <mergeCell ref="G847:G848"/>
    <mergeCell ref="C842:D842"/>
    <mergeCell ref="F842:G842"/>
    <mergeCell ref="I842:J842"/>
    <mergeCell ref="B844:C844"/>
    <mergeCell ref="B845:C845"/>
    <mergeCell ref="B846:D846"/>
    <mergeCell ref="E846:G846"/>
    <mergeCell ref="H846:J846"/>
    <mergeCell ref="B840:B841"/>
    <mergeCell ref="C840:C841"/>
    <mergeCell ref="D840:D841"/>
    <mergeCell ref="E840:E841"/>
    <mergeCell ref="F840:F841"/>
    <mergeCell ref="G840:G841"/>
    <mergeCell ref="C837:D837"/>
    <mergeCell ref="F837:G837"/>
    <mergeCell ref="I837:J837"/>
    <mergeCell ref="B838:B839"/>
    <mergeCell ref="C838:C839"/>
    <mergeCell ref="D838:D839"/>
    <mergeCell ref="E838:E839"/>
    <mergeCell ref="F838:F839"/>
    <mergeCell ref="G838:G839"/>
    <mergeCell ref="B835:B836"/>
    <mergeCell ref="C835:C836"/>
    <mergeCell ref="D835:D836"/>
    <mergeCell ref="E835:E836"/>
    <mergeCell ref="F835:F836"/>
    <mergeCell ref="G835:G836"/>
    <mergeCell ref="C832:D832"/>
    <mergeCell ref="F832:G832"/>
    <mergeCell ref="I832:J832"/>
    <mergeCell ref="B833:B834"/>
    <mergeCell ref="C833:C834"/>
    <mergeCell ref="D833:D834"/>
    <mergeCell ref="E833:E834"/>
    <mergeCell ref="F833:F834"/>
    <mergeCell ref="G833:G834"/>
    <mergeCell ref="B830:B831"/>
    <mergeCell ref="C830:C831"/>
    <mergeCell ref="D830:D831"/>
    <mergeCell ref="E830:E831"/>
    <mergeCell ref="F830:F831"/>
    <mergeCell ref="G830:G831"/>
    <mergeCell ref="C823:D823"/>
    <mergeCell ref="F823:G823"/>
    <mergeCell ref="I823:J823"/>
    <mergeCell ref="B828:B829"/>
    <mergeCell ref="C828:C829"/>
    <mergeCell ref="D828:D829"/>
    <mergeCell ref="E828:E829"/>
    <mergeCell ref="F828:F829"/>
    <mergeCell ref="G828:G829"/>
    <mergeCell ref="B821:B822"/>
    <mergeCell ref="C821:C822"/>
    <mergeCell ref="D821:D822"/>
    <mergeCell ref="E821:E822"/>
    <mergeCell ref="F821:F822"/>
    <mergeCell ref="G821:G822"/>
    <mergeCell ref="C818:D818"/>
    <mergeCell ref="F818:G818"/>
    <mergeCell ref="I818:J818"/>
    <mergeCell ref="B819:B820"/>
    <mergeCell ref="C819:C820"/>
    <mergeCell ref="D819:D820"/>
    <mergeCell ref="E819:E820"/>
    <mergeCell ref="F819:F820"/>
    <mergeCell ref="G819:G820"/>
    <mergeCell ref="B816:B817"/>
    <mergeCell ref="C816:C817"/>
    <mergeCell ref="D816:D817"/>
    <mergeCell ref="E816:E817"/>
    <mergeCell ref="F816:F817"/>
    <mergeCell ref="G816:G817"/>
    <mergeCell ref="C813:D813"/>
    <mergeCell ref="F813:G813"/>
    <mergeCell ref="I813:J813"/>
    <mergeCell ref="B814:B815"/>
    <mergeCell ref="C814:C815"/>
    <mergeCell ref="D814:D815"/>
    <mergeCell ref="E814:E815"/>
    <mergeCell ref="F814:F815"/>
    <mergeCell ref="G814:G815"/>
    <mergeCell ref="B811:B812"/>
    <mergeCell ref="C811:C812"/>
    <mergeCell ref="D811:D812"/>
    <mergeCell ref="E811:E812"/>
    <mergeCell ref="F811:F812"/>
    <mergeCell ref="G811:G812"/>
    <mergeCell ref="C808:D808"/>
    <mergeCell ref="F808:G808"/>
    <mergeCell ref="I808:J808"/>
    <mergeCell ref="B809:B810"/>
    <mergeCell ref="C809:C810"/>
    <mergeCell ref="D809:D810"/>
    <mergeCell ref="E809:E810"/>
    <mergeCell ref="F809:F810"/>
    <mergeCell ref="G809:G810"/>
    <mergeCell ref="B806:B807"/>
    <mergeCell ref="C806:C807"/>
    <mergeCell ref="D806:D807"/>
    <mergeCell ref="E806:E807"/>
    <mergeCell ref="F806:F807"/>
    <mergeCell ref="G806:G807"/>
    <mergeCell ref="B804:B805"/>
    <mergeCell ref="C804:C805"/>
    <mergeCell ref="D804:D805"/>
    <mergeCell ref="E804:E805"/>
    <mergeCell ref="F804:F805"/>
    <mergeCell ref="G804:G805"/>
    <mergeCell ref="C797:D797"/>
    <mergeCell ref="F797:G797"/>
    <mergeCell ref="I797:J797"/>
    <mergeCell ref="B801:C801"/>
    <mergeCell ref="B802:C802"/>
    <mergeCell ref="B803:D803"/>
    <mergeCell ref="E803:G803"/>
    <mergeCell ref="H803:J803"/>
    <mergeCell ref="B795:B796"/>
    <mergeCell ref="C795:C796"/>
    <mergeCell ref="D795:D796"/>
    <mergeCell ref="E795:E796"/>
    <mergeCell ref="F795:F796"/>
    <mergeCell ref="G795:G796"/>
    <mergeCell ref="C792:D792"/>
    <mergeCell ref="F792:G792"/>
    <mergeCell ref="I792:J792"/>
    <mergeCell ref="B793:B794"/>
    <mergeCell ref="C793:C794"/>
    <mergeCell ref="D793:D794"/>
    <mergeCell ref="E793:E794"/>
    <mergeCell ref="F793:F794"/>
    <mergeCell ref="G793:G794"/>
    <mergeCell ref="B790:B791"/>
    <mergeCell ref="C790:C791"/>
    <mergeCell ref="D790:D791"/>
    <mergeCell ref="E790:E791"/>
    <mergeCell ref="F790:F791"/>
    <mergeCell ref="G790:G791"/>
    <mergeCell ref="C787:D787"/>
    <mergeCell ref="F787:G787"/>
    <mergeCell ref="I787:J787"/>
    <mergeCell ref="B788:B789"/>
    <mergeCell ref="C788:C789"/>
    <mergeCell ref="D788:D789"/>
    <mergeCell ref="E788:E789"/>
    <mergeCell ref="F788:F789"/>
    <mergeCell ref="G788:G789"/>
    <mergeCell ref="B785:B786"/>
    <mergeCell ref="C785:C786"/>
    <mergeCell ref="D785:D786"/>
    <mergeCell ref="E785:E786"/>
    <mergeCell ref="F785:F786"/>
    <mergeCell ref="G785:G786"/>
    <mergeCell ref="B783:B784"/>
    <mergeCell ref="C783:C784"/>
    <mergeCell ref="D783:D784"/>
    <mergeCell ref="E783:E784"/>
    <mergeCell ref="F783:F784"/>
    <mergeCell ref="G783:G784"/>
    <mergeCell ref="C770:D770"/>
    <mergeCell ref="F770:G770"/>
    <mergeCell ref="I770:J770"/>
    <mergeCell ref="B780:C780"/>
    <mergeCell ref="B781:C781"/>
    <mergeCell ref="B782:D782"/>
    <mergeCell ref="E782:G782"/>
    <mergeCell ref="H782:J782"/>
    <mergeCell ref="B768:B769"/>
    <mergeCell ref="C768:C769"/>
    <mergeCell ref="D768:D769"/>
    <mergeCell ref="E768:E769"/>
    <mergeCell ref="F768:F769"/>
    <mergeCell ref="G768:G769"/>
    <mergeCell ref="C765:D765"/>
    <mergeCell ref="F765:G765"/>
    <mergeCell ref="I765:J765"/>
    <mergeCell ref="B766:B767"/>
    <mergeCell ref="C766:C767"/>
    <mergeCell ref="D766:D767"/>
    <mergeCell ref="E766:E767"/>
    <mergeCell ref="F766:F767"/>
    <mergeCell ref="G766:G767"/>
    <mergeCell ref="B763:B764"/>
    <mergeCell ref="C763:C764"/>
    <mergeCell ref="D763:D764"/>
    <mergeCell ref="E763:E764"/>
    <mergeCell ref="F763:F764"/>
    <mergeCell ref="G763:G764"/>
    <mergeCell ref="C760:D760"/>
    <mergeCell ref="F760:G760"/>
    <mergeCell ref="I760:J760"/>
    <mergeCell ref="B761:B762"/>
    <mergeCell ref="C761:C762"/>
    <mergeCell ref="D761:D762"/>
    <mergeCell ref="E761:E762"/>
    <mergeCell ref="F761:F762"/>
    <mergeCell ref="G761:G762"/>
    <mergeCell ref="B758:B759"/>
    <mergeCell ref="C758:C759"/>
    <mergeCell ref="D758:D759"/>
    <mergeCell ref="E758:E759"/>
    <mergeCell ref="F758:F759"/>
    <mergeCell ref="G758:G759"/>
    <mergeCell ref="C755:D755"/>
    <mergeCell ref="F755:G755"/>
    <mergeCell ref="I755:J755"/>
    <mergeCell ref="B756:B757"/>
    <mergeCell ref="C756:C757"/>
    <mergeCell ref="D756:D757"/>
    <mergeCell ref="E756:E757"/>
    <mergeCell ref="F756:F757"/>
    <mergeCell ref="G756:G757"/>
    <mergeCell ref="B753:B754"/>
    <mergeCell ref="C753:C754"/>
    <mergeCell ref="D753:D754"/>
    <mergeCell ref="E753:E754"/>
    <mergeCell ref="F753:F754"/>
    <mergeCell ref="G753:G754"/>
    <mergeCell ref="C750:D750"/>
    <mergeCell ref="F750:G750"/>
    <mergeCell ref="I750:J750"/>
    <mergeCell ref="B751:B752"/>
    <mergeCell ref="C751:C752"/>
    <mergeCell ref="D751:D752"/>
    <mergeCell ref="E751:E752"/>
    <mergeCell ref="F751:F752"/>
    <mergeCell ref="G751:G752"/>
    <mergeCell ref="B748:B749"/>
    <mergeCell ref="C748:C749"/>
    <mergeCell ref="D748:D749"/>
    <mergeCell ref="E748:E749"/>
    <mergeCell ref="F748:F749"/>
    <mergeCell ref="G748:G749"/>
    <mergeCell ref="C745:D745"/>
    <mergeCell ref="F745:G745"/>
    <mergeCell ref="I745:J745"/>
    <mergeCell ref="B746:B747"/>
    <mergeCell ref="C746:C747"/>
    <mergeCell ref="D746:D747"/>
    <mergeCell ref="E746:E747"/>
    <mergeCell ref="F746:F747"/>
    <mergeCell ref="G746:G747"/>
    <mergeCell ref="B743:B744"/>
    <mergeCell ref="C743:C744"/>
    <mergeCell ref="D743:D744"/>
    <mergeCell ref="E743:E744"/>
    <mergeCell ref="F743:F744"/>
    <mergeCell ref="G743:G744"/>
    <mergeCell ref="B741:B742"/>
    <mergeCell ref="C741:C742"/>
    <mergeCell ref="D741:D742"/>
    <mergeCell ref="E741:E742"/>
    <mergeCell ref="F741:F742"/>
    <mergeCell ref="G741:G742"/>
    <mergeCell ref="C728:D728"/>
    <mergeCell ref="F728:G728"/>
    <mergeCell ref="I728:J728"/>
    <mergeCell ref="B738:C738"/>
    <mergeCell ref="B739:C739"/>
    <mergeCell ref="B740:D740"/>
    <mergeCell ref="E740:G740"/>
    <mergeCell ref="H740:J740"/>
    <mergeCell ref="B726:B727"/>
    <mergeCell ref="C726:C727"/>
    <mergeCell ref="D726:D727"/>
    <mergeCell ref="E726:E727"/>
    <mergeCell ref="F726:F727"/>
    <mergeCell ref="G726:G727"/>
    <mergeCell ref="C723:D723"/>
    <mergeCell ref="F723:G723"/>
    <mergeCell ref="I723:J723"/>
    <mergeCell ref="B724:B725"/>
    <mergeCell ref="C724:C725"/>
    <mergeCell ref="D724:D725"/>
    <mergeCell ref="E724:E725"/>
    <mergeCell ref="F724:F725"/>
    <mergeCell ref="G724:G725"/>
    <mergeCell ref="B721:B722"/>
    <mergeCell ref="C721:C722"/>
    <mergeCell ref="D721:D722"/>
    <mergeCell ref="E721:E722"/>
    <mergeCell ref="F721:F722"/>
    <mergeCell ref="G721:G722"/>
    <mergeCell ref="C718:D718"/>
    <mergeCell ref="F718:G718"/>
    <mergeCell ref="I718:J718"/>
    <mergeCell ref="B719:B720"/>
    <mergeCell ref="C719:C720"/>
    <mergeCell ref="D719:D720"/>
    <mergeCell ref="E719:E720"/>
    <mergeCell ref="F719:F720"/>
    <mergeCell ref="G719:G720"/>
    <mergeCell ref="B716:B717"/>
    <mergeCell ref="C716:C717"/>
    <mergeCell ref="D716:D717"/>
    <mergeCell ref="E716:E717"/>
    <mergeCell ref="F716:F717"/>
    <mergeCell ref="G716:G717"/>
    <mergeCell ref="C713:D713"/>
    <mergeCell ref="F713:G713"/>
    <mergeCell ref="I713:J713"/>
    <mergeCell ref="B714:B715"/>
    <mergeCell ref="C714:C715"/>
    <mergeCell ref="D714:D715"/>
    <mergeCell ref="E714:E715"/>
    <mergeCell ref="F714:F715"/>
    <mergeCell ref="G714:G715"/>
    <mergeCell ref="B711:B712"/>
    <mergeCell ref="C711:C712"/>
    <mergeCell ref="D711:D712"/>
    <mergeCell ref="E711:E712"/>
    <mergeCell ref="F711:F712"/>
    <mergeCell ref="G711:G712"/>
    <mergeCell ref="C708:D708"/>
    <mergeCell ref="F708:G708"/>
    <mergeCell ref="I708:J708"/>
    <mergeCell ref="B709:B710"/>
    <mergeCell ref="C709:C710"/>
    <mergeCell ref="D709:D710"/>
    <mergeCell ref="E709:E710"/>
    <mergeCell ref="F709:F710"/>
    <mergeCell ref="G709:G710"/>
    <mergeCell ref="B706:B707"/>
    <mergeCell ref="C706:C707"/>
    <mergeCell ref="D706:D707"/>
    <mergeCell ref="E706:E707"/>
    <mergeCell ref="F706:F707"/>
    <mergeCell ref="G706:G707"/>
    <mergeCell ref="C703:D703"/>
    <mergeCell ref="F703:G703"/>
    <mergeCell ref="I703:J703"/>
    <mergeCell ref="B704:B705"/>
    <mergeCell ref="C704:C705"/>
    <mergeCell ref="D704:D705"/>
    <mergeCell ref="E704:E705"/>
    <mergeCell ref="F704:F705"/>
    <mergeCell ref="G704:G705"/>
    <mergeCell ref="B701:B702"/>
    <mergeCell ref="C701:C702"/>
    <mergeCell ref="D701:D702"/>
    <mergeCell ref="E701:E702"/>
    <mergeCell ref="F701:F702"/>
    <mergeCell ref="G701:G702"/>
    <mergeCell ref="B699:B700"/>
    <mergeCell ref="C699:C700"/>
    <mergeCell ref="D699:D700"/>
    <mergeCell ref="E699:E700"/>
    <mergeCell ref="F699:F700"/>
    <mergeCell ref="G699:G700"/>
    <mergeCell ref="C686:D686"/>
    <mergeCell ref="F686:G686"/>
    <mergeCell ref="I686:J686"/>
    <mergeCell ref="B696:C696"/>
    <mergeCell ref="B697:C697"/>
    <mergeCell ref="B698:D698"/>
    <mergeCell ref="E698:G698"/>
    <mergeCell ref="H698:J698"/>
    <mergeCell ref="B684:B685"/>
    <mergeCell ref="C684:C685"/>
    <mergeCell ref="D684:D685"/>
    <mergeCell ref="E684:E685"/>
    <mergeCell ref="F684:F685"/>
    <mergeCell ref="G684:G685"/>
    <mergeCell ref="C681:D681"/>
    <mergeCell ref="F681:G681"/>
    <mergeCell ref="I681:J681"/>
    <mergeCell ref="B682:B683"/>
    <mergeCell ref="C682:C683"/>
    <mergeCell ref="D682:D683"/>
    <mergeCell ref="E682:E683"/>
    <mergeCell ref="F682:F683"/>
    <mergeCell ref="G682:G683"/>
    <mergeCell ref="B679:B680"/>
    <mergeCell ref="C679:C680"/>
    <mergeCell ref="D679:D680"/>
    <mergeCell ref="E679:E680"/>
    <mergeCell ref="F679:F680"/>
    <mergeCell ref="G679:G680"/>
    <mergeCell ref="C676:D676"/>
    <mergeCell ref="F676:G676"/>
    <mergeCell ref="I676:J676"/>
    <mergeCell ref="B677:B678"/>
    <mergeCell ref="C677:C678"/>
    <mergeCell ref="D677:D678"/>
    <mergeCell ref="E677:E678"/>
    <mergeCell ref="F677:F678"/>
    <mergeCell ref="G677:G678"/>
    <mergeCell ref="B674:B675"/>
    <mergeCell ref="C674:C675"/>
    <mergeCell ref="D674:D675"/>
    <mergeCell ref="E674:E675"/>
    <mergeCell ref="F674:F675"/>
    <mergeCell ref="G674:G675"/>
    <mergeCell ref="C671:D671"/>
    <mergeCell ref="F671:G671"/>
    <mergeCell ref="I671:J671"/>
    <mergeCell ref="B672:B673"/>
    <mergeCell ref="C672:C673"/>
    <mergeCell ref="D672:D673"/>
    <mergeCell ref="E672:E673"/>
    <mergeCell ref="F672:F673"/>
    <mergeCell ref="G672:G673"/>
    <mergeCell ref="B669:B670"/>
    <mergeCell ref="C669:C670"/>
    <mergeCell ref="D669:D670"/>
    <mergeCell ref="E669:E670"/>
    <mergeCell ref="F669:F670"/>
    <mergeCell ref="G669:G670"/>
    <mergeCell ref="C666:D666"/>
    <mergeCell ref="F666:G666"/>
    <mergeCell ref="I666:J666"/>
    <mergeCell ref="B667:B668"/>
    <mergeCell ref="C667:C668"/>
    <mergeCell ref="D667:D668"/>
    <mergeCell ref="E667:E668"/>
    <mergeCell ref="F667:F668"/>
    <mergeCell ref="G667:G668"/>
    <mergeCell ref="B664:B665"/>
    <mergeCell ref="C664:C665"/>
    <mergeCell ref="D664:D665"/>
    <mergeCell ref="E664:E665"/>
    <mergeCell ref="F664:F665"/>
    <mergeCell ref="G664:G665"/>
    <mergeCell ref="C661:D661"/>
    <mergeCell ref="F661:G661"/>
    <mergeCell ref="I661:J661"/>
    <mergeCell ref="B662:B663"/>
    <mergeCell ref="C662:C663"/>
    <mergeCell ref="D662:D663"/>
    <mergeCell ref="E662:E663"/>
    <mergeCell ref="F662:F663"/>
    <mergeCell ref="G662:G663"/>
    <mergeCell ref="B659:B660"/>
    <mergeCell ref="C659:C660"/>
    <mergeCell ref="D659:D660"/>
    <mergeCell ref="E659:E660"/>
    <mergeCell ref="F659:F660"/>
    <mergeCell ref="G659:G660"/>
    <mergeCell ref="B657:B658"/>
    <mergeCell ref="C657:C658"/>
    <mergeCell ref="D657:D658"/>
    <mergeCell ref="E657:E658"/>
    <mergeCell ref="F657:F658"/>
    <mergeCell ref="G657:G658"/>
    <mergeCell ref="C652:D652"/>
    <mergeCell ref="F652:G652"/>
    <mergeCell ref="I652:J652"/>
    <mergeCell ref="B654:C654"/>
    <mergeCell ref="B655:C655"/>
    <mergeCell ref="B656:D656"/>
    <mergeCell ref="E656:G656"/>
    <mergeCell ref="H656:J656"/>
    <mergeCell ref="B650:B651"/>
    <mergeCell ref="C650:C651"/>
    <mergeCell ref="D650:D651"/>
    <mergeCell ref="E650:E651"/>
    <mergeCell ref="F650:F651"/>
    <mergeCell ref="G650:G651"/>
    <mergeCell ref="C647:D647"/>
    <mergeCell ref="F647:G647"/>
    <mergeCell ref="I647:J647"/>
    <mergeCell ref="B648:B649"/>
    <mergeCell ref="C648:C649"/>
    <mergeCell ref="D648:D649"/>
    <mergeCell ref="E648:E649"/>
    <mergeCell ref="F648:F649"/>
    <mergeCell ref="G648:G649"/>
    <mergeCell ref="B645:B646"/>
    <mergeCell ref="C645:C646"/>
    <mergeCell ref="D645:D646"/>
    <mergeCell ref="E645:E646"/>
    <mergeCell ref="F645:F646"/>
    <mergeCell ref="G645:G646"/>
    <mergeCell ref="C642:D642"/>
    <mergeCell ref="F642:G642"/>
    <mergeCell ref="I642:J642"/>
    <mergeCell ref="B643:B644"/>
    <mergeCell ref="C643:C644"/>
    <mergeCell ref="D643:D644"/>
    <mergeCell ref="E643:E644"/>
    <mergeCell ref="F643:F644"/>
    <mergeCell ref="G643:G644"/>
    <mergeCell ref="B640:B641"/>
    <mergeCell ref="C640:C641"/>
    <mergeCell ref="D640:D641"/>
    <mergeCell ref="E640:E641"/>
    <mergeCell ref="F640:F641"/>
    <mergeCell ref="G640:G641"/>
    <mergeCell ref="B638:B639"/>
    <mergeCell ref="C638:C639"/>
    <mergeCell ref="D638:D639"/>
    <mergeCell ref="E638:E639"/>
    <mergeCell ref="F638:F639"/>
    <mergeCell ref="G638:G639"/>
    <mergeCell ref="C633:D633"/>
    <mergeCell ref="F633:G633"/>
    <mergeCell ref="I633:J633"/>
    <mergeCell ref="B635:C635"/>
    <mergeCell ref="B636:C636"/>
    <mergeCell ref="B637:D637"/>
    <mergeCell ref="E637:G637"/>
    <mergeCell ref="H637:J637"/>
    <mergeCell ref="B631:B632"/>
    <mergeCell ref="C631:C632"/>
    <mergeCell ref="D631:D632"/>
    <mergeCell ref="E631:E632"/>
    <mergeCell ref="F631:F632"/>
    <mergeCell ref="G631:G632"/>
    <mergeCell ref="B629:B630"/>
    <mergeCell ref="C629:C630"/>
    <mergeCell ref="D629:D630"/>
    <mergeCell ref="E629:E630"/>
    <mergeCell ref="F629:F630"/>
    <mergeCell ref="G629:G630"/>
    <mergeCell ref="C624:D624"/>
    <mergeCell ref="F624:G624"/>
    <mergeCell ref="I624:J624"/>
    <mergeCell ref="B626:C626"/>
    <mergeCell ref="B627:C627"/>
    <mergeCell ref="B628:D628"/>
    <mergeCell ref="E628:G628"/>
    <mergeCell ref="H628:J628"/>
    <mergeCell ref="B622:B623"/>
    <mergeCell ref="C622:C623"/>
    <mergeCell ref="D622:D623"/>
    <mergeCell ref="E622:E623"/>
    <mergeCell ref="F622:F623"/>
    <mergeCell ref="G622:G623"/>
    <mergeCell ref="C619:D619"/>
    <mergeCell ref="F619:G619"/>
    <mergeCell ref="I619:J619"/>
    <mergeCell ref="B620:B621"/>
    <mergeCell ref="C620:C621"/>
    <mergeCell ref="D620:D621"/>
    <mergeCell ref="E620:E621"/>
    <mergeCell ref="F620:F621"/>
    <mergeCell ref="G620:G621"/>
    <mergeCell ref="B617:B618"/>
    <mergeCell ref="C617:C618"/>
    <mergeCell ref="D617:D618"/>
    <mergeCell ref="E617:E618"/>
    <mergeCell ref="F617:F618"/>
    <mergeCell ref="G617:G618"/>
    <mergeCell ref="C614:D614"/>
    <mergeCell ref="F614:G614"/>
    <mergeCell ref="I614:J614"/>
    <mergeCell ref="B615:B616"/>
    <mergeCell ref="C615:C616"/>
    <mergeCell ref="D615:D616"/>
    <mergeCell ref="E615:E616"/>
    <mergeCell ref="F615:F616"/>
    <mergeCell ref="G615:G616"/>
    <mergeCell ref="B612:B613"/>
    <mergeCell ref="C612:C613"/>
    <mergeCell ref="D612:D613"/>
    <mergeCell ref="E612:E613"/>
    <mergeCell ref="F612:F613"/>
    <mergeCell ref="G612:G613"/>
    <mergeCell ref="C609:D609"/>
    <mergeCell ref="F609:G609"/>
    <mergeCell ref="I609:J609"/>
    <mergeCell ref="B610:B611"/>
    <mergeCell ref="C610:C611"/>
    <mergeCell ref="D610:D611"/>
    <mergeCell ref="E610:E611"/>
    <mergeCell ref="F610:F611"/>
    <mergeCell ref="G610:G611"/>
    <mergeCell ref="B607:B608"/>
    <mergeCell ref="C607:C608"/>
    <mergeCell ref="D607:D608"/>
    <mergeCell ref="E607:E608"/>
    <mergeCell ref="F607:F608"/>
    <mergeCell ref="G607:G608"/>
    <mergeCell ref="C604:D604"/>
    <mergeCell ref="F604:G604"/>
    <mergeCell ref="I604:J604"/>
    <mergeCell ref="B605:B606"/>
    <mergeCell ref="C605:C606"/>
    <mergeCell ref="D605:D606"/>
    <mergeCell ref="E605:E606"/>
    <mergeCell ref="F605:F606"/>
    <mergeCell ref="G605:G606"/>
    <mergeCell ref="B602:B603"/>
    <mergeCell ref="C602:C603"/>
    <mergeCell ref="D602:D603"/>
    <mergeCell ref="E602:E603"/>
    <mergeCell ref="F602:F603"/>
    <mergeCell ref="G602:G603"/>
    <mergeCell ref="C599:D599"/>
    <mergeCell ref="F599:G599"/>
    <mergeCell ref="I599:J599"/>
    <mergeCell ref="B600:B601"/>
    <mergeCell ref="C600:C601"/>
    <mergeCell ref="D600:D601"/>
    <mergeCell ref="E600:E601"/>
    <mergeCell ref="F600:F601"/>
    <mergeCell ref="G600:G601"/>
    <mergeCell ref="B597:B598"/>
    <mergeCell ref="C597:C598"/>
    <mergeCell ref="D597:D598"/>
    <mergeCell ref="E597:E598"/>
    <mergeCell ref="F597:F598"/>
    <mergeCell ref="G597:G598"/>
    <mergeCell ref="C594:D594"/>
    <mergeCell ref="F594:G594"/>
    <mergeCell ref="I594:J594"/>
    <mergeCell ref="B595:B596"/>
    <mergeCell ref="C595:C596"/>
    <mergeCell ref="D595:D596"/>
    <mergeCell ref="E595:E596"/>
    <mergeCell ref="F595:F596"/>
    <mergeCell ref="G595:G596"/>
    <mergeCell ref="B592:B593"/>
    <mergeCell ref="C592:C593"/>
    <mergeCell ref="D592:D593"/>
    <mergeCell ref="E592:E593"/>
    <mergeCell ref="F592:F593"/>
    <mergeCell ref="G592:G593"/>
    <mergeCell ref="C589:D589"/>
    <mergeCell ref="F589:G589"/>
    <mergeCell ref="I589:J589"/>
    <mergeCell ref="B590:B591"/>
    <mergeCell ref="C590:C591"/>
    <mergeCell ref="D590:D591"/>
    <mergeCell ref="E590:E591"/>
    <mergeCell ref="F590:F591"/>
    <mergeCell ref="G590:G591"/>
    <mergeCell ref="B587:B588"/>
    <mergeCell ref="C587:C588"/>
    <mergeCell ref="D587:D588"/>
    <mergeCell ref="E587:E588"/>
    <mergeCell ref="F587:F588"/>
    <mergeCell ref="G587:G588"/>
    <mergeCell ref="C584:D584"/>
    <mergeCell ref="F584:G584"/>
    <mergeCell ref="I584:J584"/>
    <mergeCell ref="B585:B586"/>
    <mergeCell ref="C585:C586"/>
    <mergeCell ref="D585:D586"/>
    <mergeCell ref="E585:E586"/>
    <mergeCell ref="F585:F586"/>
    <mergeCell ref="G585:G586"/>
    <mergeCell ref="B582:B583"/>
    <mergeCell ref="C582:C583"/>
    <mergeCell ref="D582:D583"/>
    <mergeCell ref="E582:E583"/>
    <mergeCell ref="F582:F583"/>
    <mergeCell ref="G582:G583"/>
    <mergeCell ref="C579:D579"/>
    <mergeCell ref="F579:G579"/>
    <mergeCell ref="I579:J579"/>
    <mergeCell ref="B580:B581"/>
    <mergeCell ref="C580:C581"/>
    <mergeCell ref="D580:D581"/>
    <mergeCell ref="E580:E581"/>
    <mergeCell ref="F580:F581"/>
    <mergeCell ref="G580:G581"/>
    <mergeCell ref="B577:B578"/>
    <mergeCell ref="C577:C578"/>
    <mergeCell ref="D577:D578"/>
    <mergeCell ref="E577:E578"/>
    <mergeCell ref="F577:F578"/>
    <mergeCell ref="G577:G578"/>
    <mergeCell ref="C570:D570"/>
    <mergeCell ref="F570:G570"/>
    <mergeCell ref="I570:J570"/>
    <mergeCell ref="B575:B576"/>
    <mergeCell ref="C575:C576"/>
    <mergeCell ref="D575:D576"/>
    <mergeCell ref="E575:E576"/>
    <mergeCell ref="F575:F576"/>
    <mergeCell ref="G575:G576"/>
    <mergeCell ref="B568:B569"/>
    <mergeCell ref="C568:C569"/>
    <mergeCell ref="D568:D569"/>
    <mergeCell ref="E568:E569"/>
    <mergeCell ref="F568:F569"/>
    <mergeCell ref="G568:G569"/>
    <mergeCell ref="C565:D565"/>
    <mergeCell ref="F565:G565"/>
    <mergeCell ref="I565:J565"/>
    <mergeCell ref="B566:B567"/>
    <mergeCell ref="C566:C567"/>
    <mergeCell ref="D566:D567"/>
    <mergeCell ref="E566:E567"/>
    <mergeCell ref="F566:F567"/>
    <mergeCell ref="G566:G567"/>
    <mergeCell ref="B563:B564"/>
    <mergeCell ref="C563:C564"/>
    <mergeCell ref="D563:D564"/>
    <mergeCell ref="E563:E564"/>
    <mergeCell ref="F563:F564"/>
    <mergeCell ref="G563:G564"/>
    <mergeCell ref="C560:D560"/>
    <mergeCell ref="F560:G560"/>
    <mergeCell ref="I560:J560"/>
    <mergeCell ref="B561:B562"/>
    <mergeCell ref="C561:C562"/>
    <mergeCell ref="D561:D562"/>
    <mergeCell ref="E561:E562"/>
    <mergeCell ref="F561:F562"/>
    <mergeCell ref="G561:G562"/>
    <mergeCell ref="B558:B559"/>
    <mergeCell ref="C558:C559"/>
    <mergeCell ref="D558:D559"/>
    <mergeCell ref="E558:E559"/>
    <mergeCell ref="F558:F559"/>
    <mergeCell ref="G558:G559"/>
    <mergeCell ref="C555:D555"/>
    <mergeCell ref="F555:G555"/>
    <mergeCell ref="I555:J555"/>
    <mergeCell ref="B556:B557"/>
    <mergeCell ref="C556:C557"/>
    <mergeCell ref="D556:D557"/>
    <mergeCell ref="E556:E557"/>
    <mergeCell ref="F556:F557"/>
    <mergeCell ref="G556:G557"/>
    <mergeCell ref="B553:B554"/>
    <mergeCell ref="C553:C554"/>
    <mergeCell ref="D553:D554"/>
    <mergeCell ref="E553:E554"/>
    <mergeCell ref="F553:F554"/>
    <mergeCell ref="G553:G554"/>
    <mergeCell ref="C550:D550"/>
    <mergeCell ref="F550:G550"/>
    <mergeCell ref="I550:J550"/>
    <mergeCell ref="B551:B552"/>
    <mergeCell ref="C551:C552"/>
    <mergeCell ref="D551:D552"/>
    <mergeCell ref="E551:E552"/>
    <mergeCell ref="F551:F552"/>
    <mergeCell ref="G551:G552"/>
    <mergeCell ref="B548:B549"/>
    <mergeCell ref="C548:C549"/>
    <mergeCell ref="D548:D549"/>
    <mergeCell ref="E548:E549"/>
    <mergeCell ref="F548:F549"/>
    <mergeCell ref="G548:G549"/>
    <mergeCell ref="C545:D545"/>
    <mergeCell ref="F545:G545"/>
    <mergeCell ref="I545:J545"/>
    <mergeCell ref="B546:B547"/>
    <mergeCell ref="C546:C547"/>
    <mergeCell ref="D546:D547"/>
    <mergeCell ref="E546:E547"/>
    <mergeCell ref="F546:F547"/>
    <mergeCell ref="G546:G547"/>
    <mergeCell ref="B543:B544"/>
    <mergeCell ref="C543:C544"/>
    <mergeCell ref="D543:D544"/>
    <mergeCell ref="E543:E544"/>
    <mergeCell ref="F543:F544"/>
    <mergeCell ref="G543:G544"/>
    <mergeCell ref="C540:D540"/>
    <mergeCell ref="F540:G540"/>
    <mergeCell ref="I540:J540"/>
    <mergeCell ref="B541:B542"/>
    <mergeCell ref="C541:C542"/>
    <mergeCell ref="D541:D542"/>
    <mergeCell ref="E541:E542"/>
    <mergeCell ref="F541:F542"/>
    <mergeCell ref="G541:G542"/>
    <mergeCell ref="B538:B539"/>
    <mergeCell ref="C538:C539"/>
    <mergeCell ref="D538:D539"/>
    <mergeCell ref="E538:E539"/>
    <mergeCell ref="F538:F539"/>
    <mergeCell ref="G538:G539"/>
    <mergeCell ref="C535:D535"/>
    <mergeCell ref="F535:G535"/>
    <mergeCell ref="I535:J535"/>
    <mergeCell ref="B536:B537"/>
    <mergeCell ref="C536:C537"/>
    <mergeCell ref="D536:D537"/>
    <mergeCell ref="E536:E537"/>
    <mergeCell ref="F536:F537"/>
    <mergeCell ref="G536:G537"/>
    <mergeCell ref="B533:B534"/>
    <mergeCell ref="C533:C534"/>
    <mergeCell ref="D533:D534"/>
    <mergeCell ref="E533:E534"/>
    <mergeCell ref="F533:F534"/>
    <mergeCell ref="G533:G534"/>
    <mergeCell ref="B531:B532"/>
    <mergeCell ref="C531:C532"/>
    <mergeCell ref="D531:D532"/>
    <mergeCell ref="E531:E532"/>
    <mergeCell ref="F531:F532"/>
    <mergeCell ref="G531:G532"/>
    <mergeCell ref="C521:D521"/>
    <mergeCell ref="F521:G521"/>
    <mergeCell ref="I521:J521"/>
    <mergeCell ref="B528:C528"/>
    <mergeCell ref="B529:C529"/>
    <mergeCell ref="B530:D530"/>
    <mergeCell ref="E530:G530"/>
    <mergeCell ref="H530:J530"/>
    <mergeCell ref="B519:B520"/>
    <mergeCell ref="C519:C520"/>
    <mergeCell ref="D519:D520"/>
    <mergeCell ref="E519:E520"/>
    <mergeCell ref="F519:F520"/>
    <mergeCell ref="G519:G520"/>
    <mergeCell ref="C516:D516"/>
    <mergeCell ref="F516:G516"/>
    <mergeCell ref="I516:J516"/>
    <mergeCell ref="B517:B518"/>
    <mergeCell ref="C517:C518"/>
    <mergeCell ref="D517:D518"/>
    <mergeCell ref="E517:E518"/>
    <mergeCell ref="F517:F518"/>
    <mergeCell ref="G517:G518"/>
    <mergeCell ref="B514:B515"/>
    <mergeCell ref="C514:C515"/>
    <mergeCell ref="D514:D515"/>
    <mergeCell ref="E514:E515"/>
    <mergeCell ref="F514:F515"/>
    <mergeCell ref="G514:G515"/>
    <mergeCell ref="C511:D511"/>
    <mergeCell ref="F511:G511"/>
    <mergeCell ref="I511:J511"/>
    <mergeCell ref="B512:B513"/>
    <mergeCell ref="C512:C513"/>
    <mergeCell ref="D512:D513"/>
    <mergeCell ref="E512:E513"/>
    <mergeCell ref="F512:F513"/>
    <mergeCell ref="G512:G513"/>
    <mergeCell ref="B509:B510"/>
    <mergeCell ref="C509:C510"/>
    <mergeCell ref="D509:D510"/>
    <mergeCell ref="E509:E510"/>
    <mergeCell ref="F509:F510"/>
    <mergeCell ref="G509:G510"/>
    <mergeCell ref="C506:D506"/>
    <mergeCell ref="F506:G506"/>
    <mergeCell ref="I506:J506"/>
    <mergeCell ref="B507:B508"/>
    <mergeCell ref="C507:C508"/>
    <mergeCell ref="D507:D508"/>
    <mergeCell ref="E507:E508"/>
    <mergeCell ref="F507:F508"/>
    <mergeCell ref="G507:G508"/>
    <mergeCell ref="B504:B505"/>
    <mergeCell ref="C504:C505"/>
    <mergeCell ref="D504:D505"/>
    <mergeCell ref="E504:E505"/>
    <mergeCell ref="F504:F505"/>
    <mergeCell ref="G504:G505"/>
    <mergeCell ref="C501:D501"/>
    <mergeCell ref="F501:G501"/>
    <mergeCell ref="I501:J501"/>
    <mergeCell ref="B502:B503"/>
    <mergeCell ref="C502:C503"/>
    <mergeCell ref="D502:D503"/>
    <mergeCell ref="E502:E503"/>
    <mergeCell ref="F502:F503"/>
    <mergeCell ref="G502:G503"/>
    <mergeCell ref="B499:B500"/>
    <mergeCell ref="C499:C500"/>
    <mergeCell ref="D499:D500"/>
    <mergeCell ref="E499:E500"/>
    <mergeCell ref="F499:F500"/>
    <mergeCell ref="G499:G500"/>
    <mergeCell ref="C496:D496"/>
    <mergeCell ref="F496:G496"/>
    <mergeCell ref="I496:J496"/>
    <mergeCell ref="B497:B498"/>
    <mergeCell ref="C497:C498"/>
    <mergeCell ref="D497:D498"/>
    <mergeCell ref="E497:E498"/>
    <mergeCell ref="F497:F498"/>
    <mergeCell ref="G497:G498"/>
    <mergeCell ref="B494:B495"/>
    <mergeCell ref="C494:C495"/>
    <mergeCell ref="D494:D495"/>
    <mergeCell ref="E494:E495"/>
    <mergeCell ref="F494:F495"/>
    <mergeCell ref="G494:G495"/>
    <mergeCell ref="C486:D486"/>
    <mergeCell ref="F486:G486"/>
    <mergeCell ref="I486:J486"/>
    <mergeCell ref="B492:B493"/>
    <mergeCell ref="C492:C493"/>
    <mergeCell ref="D492:D493"/>
    <mergeCell ref="E492:E493"/>
    <mergeCell ref="F492:F493"/>
    <mergeCell ref="G492:G493"/>
    <mergeCell ref="B484:B485"/>
    <mergeCell ref="C484:C485"/>
    <mergeCell ref="D484:D485"/>
    <mergeCell ref="E484:E485"/>
    <mergeCell ref="F484:F485"/>
    <mergeCell ref="G484:G485"/>
    <mergeCell ref="C481:D481"/>
    <mergeCell ref="F481:G481"/>
    <mergeCell ref="I481:J481"/>
    <mergeCell ref="B482:B483"/>
    <mergeCell ref="C482:C483"/>
    <mergeCell ref="D482:D483"/>
    <mergeCell ref="E482:E483"/>
    <mergeCell ref="F482:F483"/>
    <mergeCell ref="G482:G483"/>
    <mergeCell ref="B479:B480"/>
    <mergeCell ref="C479:C480"/>
    <mergeCell ref="D479:D480"/>
    <mergeCell ref="E479:E480"/>
    <mergeCell ref="F479:F480"/>
    <mergeCell ref="G479:G480"/>
    <mergeCell ref="C476:D476"/>
    <mergeCell ref="F476:G476"/>
    <mergeCell ref="I476:J476"/>
    <mergeCell ref="B477:B478"/>
    <mergeCell ref="C477:C478"/>
    <mergeCell ref="D477:D478"/>
    <mergeCell ref="E477:E478"/>
    <mergeCell ref="F477:F478"/>
    <mergeCell ref="G477:G478"/>
    <mergeCell ref="B474:B475"/>
    <mergeCell ref="C474:C475"/>
    <mergeCell ref="D474:D475"/>
    <mergeCell ref="E474:E475"/>
    <mergeCell ref="F474:F475"/>
    <mergeCell ref="G474:G475"/>
    <mergeCell ref="C471:D471"/>
    <mergeCell ref="F471:G471"/>
    <mergeCell ref="I471:J471"/>
    <mergeCell ref="B472:B473"/>
    <mergeCell ref="C472:C473"/>
    <mergeCell ref="D472:D473"/>
    <mergeCell ref="E472:E473"/>
    <mergeCell ref="F472:F473"/>
    <mergeCell ref="G472:G473"/>
    <mergeCell ref="B469:B470"/>
    <mergeCell ref="C469:C470"/>
    <mergeCell ref="D469:D470"/>
    <mergeCell ref="E469:E470"/>
    <mergeCell ref="F469:F470"/>
    <mergeCell ref="G469:G470"/>
    <mergeCell ref="C466:D466"/>
    <mergeCell ref="F466:G466"/>
    <mergeCell ref="I466:J466"/>
    <mergeCell ref="B467:B468"/>
    <mergeCell ref="C467:C468"/>
    <mergeCell ref="D467:D468"/>
    <mergeCell ref="E467:E468"/>
    <mergeCell ref="F467:F468"/>
    <mergeCell ref="G467:G468"/>
    <mergeCell ref="B464:B465"/>
    <mergeCell ref="C464:C465"/>
    <mergeCell ref="D464:D465"/>
    <mergeCell ref="E464:E465"/>
    <mergeCell ref="F464:F465"/>
    <mergeCell ref="G464:G465"/>
    <mergeCell ref="C461:D461"/>
    <mergeCell ref="F461:G461"/>
    <mergeCell ref="I461:J461"/>
    <mergeCell ref="B462:B463"/>
    <mergeCell ref="C462:C463"/>
    <mergeCell ref="D462:D463"/>
    <mergeCell ref="E462:E463"/>
    <mergeCell ref="F462:F463"/>
    <mergeCell ref="G462:G463"/>
    <mergeCell ref="B459:B460"/>
    <mergeCell ref="C459:C460"/>
    <mergeCell ref="D459:D460"/>
    <mergeCell ref="E459:E460"/>
    <mergeCell ref="F459:F460"/>
    <mergeCell ref="G459:G460"/>
    <mergeCell ref="C456:D456"/>
    <mergeCell ref="F456:G456"/>
    <mergeCell ref="I456:J456"/>
    <mergeCell ref="B457:B458"/>
    <mergeCell ref="C457:C458"/>
    <mergeCell ref="D457:D458"/>
    <mergeCell ref="E457:E458"/>
    <mergeCell ref="F457:F458"/>
    <mergeCell ref="G457:G458"/>
    <mergeCell ref="B454:B455"/>
    <mergeCell ref="C454:C455"/>
    <mergeCell ref="D454:D455"/>
    <mergeCell ref="E454:E455"/>
    <mergeCell ref="F454:F455"/>
    <mergeCell ref="G454:G455"/>
    <mergeCell ref="C451:D451"/>
    <mergeCell ref="F451:G451"/>
    <mergeCell ref="I451:J451"/>
    <mergeCell ref="B452:B453"/>
    <mergeCell ref="C452:C453"/>
    <mergeCell ref="D452:D453"/>
    <mergeCell ref="E452:E453"/>
    <mergeCell ref="F452:F453"/>
    <mergeCell ref="G452:G453"/>
    <mergeCell ref="B449:B450"/>
    <mergeCell ref="C449:C450"/>
    <mergeCell ref="D449:D450"/>
    <mergeCell ref="E449:E450"/>
    <mergeCell ref="F449:F450"/>
    <mergeCell ref="G449:G450"/>
    <mergeCell ref="B447:B448"/>
    <mergeCell ref="C447:C448"/>
    <mergeCell ref="D447:D448"/>
    <mergeCell ref="E447:E448"/>
    <mergeCell ref="F447:F448"/>
    <mergeCell ref="G447:G448"/>
    <mergeCell ref="C433:D433"/>
    <mergeCell ref="F433:G433"/>
    <mergeCell ref="I433:J433"/>
    <mergeCell ref="B444:C444"/>
    <mergeCell ref="B445:C445"/>
    <mergeCell ref="B446:D446"/>
    <mergeCell ref="E446:G446"/>
    <mergeCell ref="H446:J446"/>
    <mergeCell ref="B431:B432"/>
    <mergeCell ref="C431:C432"/>
    <mergeCell ref="D431:D432"/>
    <mergeCell ref="E431:E432"/>
    <mergeCell ref="F431:F432"/>
    <mergeCell ref="G431:G432"/>
    <mergeCell ref="B429:B430"/>
    <mergeCell ref="C429:C430"/>
    <mergeCell ref="D429:D430"/>
    <mergeCell ref="E429:E430"/>
    <mergeCell ref="F429:F430"/>
    <mergeCell ref="G429:G430"/>
    <mergeCell ref="C424:D424"/>
    <mergeCell ref="F424:G424"/>
    <mergeCell ref="I424:J424"/>
    <mergeCell ref="B426:C426"/>
    <mergeCell ref="B427:C427"/>
    <mergeCell ref="B428:D428"/>
    <mergeCell ref="E428:G428"/>
    <mergeCell ref="H428:J428"/>
    <mergeCell ref="B422:B423"/>
    <mergeCell ref="C422:C423"/>
    <mergeCell ref="D422:D423"/>
    <mergeCell ref="E422:E423"/>
    <mergeCell ref="F422:F423"/>
    <mergeCell ref="G422:G423"/>
    <mergeCell ref="C419:D419"/>
    <mergeCell ref="F419:G419"/>
    <mergeCell ref="I419:J419"/>
    <mergeCell ref="B420:B421"/>
    <mergeCell ref="C420:C421"/>
    <mergeCell ref="D420:D421"/>
    <mergeCell ref="E420:E421"/>
    <mergeCell ref="F420:F421"/>
    <mergeCell ref="G420:G421"/>
    <mergeCell ref="B417:B418"/>
    <mergeCell ref="C417:C418"/>
    <mergeCell ref="D417:D418"/>
    <mergeCell ref="E417:E418"/>
    <mergeCell ref="F417:F418"/>
    <mergeCell ref="G417:G418"/>
    <mergeCell ref="C414:D414"/>
    <mergeCell ref="F414:G414"/>
    <mergeCell ref="I414:J414"/>
    <mergeCell ref="B415:B416"/>
    <mergeCell ref="C415:C416"/>
    <mergeCell ref="D415:D416"/>
    <mergeCell ref="E415:E416"/>
    <mergeCell ref="F415:F416"/>
    <mergeCell ref="G415:G416"/>
    <mergeCell ref="B412:B413"/>
    <mergeCell ref="C412:C413"/>
    <mergeCell ref="D412:D413"/>
    <mergeCell ref="E412:E413"/>
    <mergeCell ref="F412:F413"/>
    <mergeCell ref="G412:G413"/>
    <mergeCell ref="C409:D409"/>
    <mergeCell ref="F409:G409"/>
    <mergeCell ref="I409:J409"/>
    <mergeCell ref="B410:B411"/>
    <mergeCell ref="C410:C411"/>
    <mergeCell ref="D410:D411"/>
    <mergeCell ref="E410:E411"/>
    <mergeCell ref="F410:F411"/>
    <mergeCell ref="G410:G411"/>
    <mergeCell ref="D405:D406"/>
    <mergeCell ref="E405:E406"/>
    <mergeCell ref="F405:F406"/>
    <mergeCell ref="G405:G406"/>
    <mergeCell ref="B407:B408"/>
    <mergeCell ref="C407:C408"/>
    <mergeCell ref="D407:D408"/>
    <mergeCell ref="E407:E408"/>
    <mergeCell ref="F407:F408"/>
    <mergeCell ref="G407:G408"/>
    <mergeCell ref="C388:D388"/>
    <mergeCell ref="F388:G388"/>
    <mergeCell ref="I388:J388"/>
    <mergeCell ref="B402:C402"/>
    <mergeCell ref="B403:C403"/>
    <mergeCell ref="B404:D404"/>
    <mergeCell ref="E404:G404"/>
    <mergeCell ref="H404:J404"/>
    <mergeCell ref="D384:D385"/>
    <mergeCell ref="E384:E385"/>
    <mergeCell ref="F384:F385"/>
    <mergeCell ref="G384:G385"/>
    <mergeCell ref="B386:B387"/>
    <mergeCell ref="C386:C387"/>
    <mergeCell ref="D386:D387"/>
    <mergeCell ref="E386:E387"/>
    <mergeCell ref="F386:F387"/>
    <mergeCell ref="G386:G387"/>
    <mergeCell ref="C379:D379"/>
    <mergeCell ref="F379:G379"/>
    <mergeCell ref="I379:J379"/>
    <mergeCell ref="B381:C381"/>
    <mergeCell ref="B382:C382"/>
    <mergeCell ref="B383:D383"/>
    <mergeCell ref="E383:G383"/>
    <mergeCell ref="H383:J383"/>
    <mergeCell ref="D375:D376"/>
    <mergeCell ref="E375:E376"/>
    <mergeCell ref="F375:F376"/>
    <mergeCell ref="G375:G376"/>
    <mergeCell ref="B377:B378"/>
    <mergeCell ref="C377:C378"/>
    <mergeCell ref="D377:D378"/>
    <mergeCell ref="E377:E378"/>
    <mergeCell ref="F377:F378"/>
    <mergeCell ref="G377:G378"/>
    <mergeCell ref="C370:D370"/>
    <mergeCell ref="F370:G370"/>
    <mergeCell ref="I370:J370"/>
    <mergeCell ref="B372:C372"/>
    <mergeCell ref="B373:C373"/>
    <mergeCell ref="B374:D374"/>
    <mergeCell ref="E374:G374"/>
    <mergeCell ref="H374:J374"/>
    <mergeCell ref="F366:F367"/>
    <mergeCell ref="G366:G367"/>
    <mergeCell ref="B368:B369"/>
    <mergeCell ref="C368:C369"/>
    <mergeCell ref="D368:D369"/>
    <mergeCell ref="E368:E369"/>
    <mergeCell ref="F368:F369"/>
    <mergeCell ref="G368:G369"/>
    <mergeCell ref="C361:D361"/>
    <mergeCell ref="F361:G361"/>
    <mergeCell ref="I361:J361"/>
    <mergeCell ref="B363:C363"/>
    <mergeCell ref="B364:C364"/>
    <mergeCell ref="B365:D365"/>
    <mergeCell ref="E365:G365"/>
    <mergeCell ref="H365:J365"/>
    <mergeCell ref="F357:F358"/>
    <mergeCell ref="G357:G358"/>
    <mergeCell ref="B359:B360"/>
    <mergeCell ref="C359:C360"/>
    <mergeCell ref="D359:D360"/>
    <mergeCell ref="E359:E360"/>
    <mergeCell ref="F359:F360"/>
    <mergeCell ref="G359:G360"/>
    <mergeCell ref="F349:F350"/>
    <mergeCell ref="G349:G350"/>
    <mergeCell ref="C351:D351"/>
    <mergeCell ref="F351:G351"/>
    <mergeCell ref="I351:J351"/>
    <mergeCell ref="B354:C354"/>
    <mergeCell ref="B345:C345"/>
    <mergeCell ref="B346:D346"/>
    <mergeCell ref="E346:G346"/>
    <mergeCell ref="H346:J346"/>
    <mergeCell ref="B347:B348"/>
    <mergeCell ref="C347:C348"/>
    <mergeCell ref="D347:D348"/>
    <mergeCell ref="E347:E348"/>
    <mergeCell ref="F347:F348"/>
    <mergeCell ref="G347:G348"/>
    <mergeCell ref="F340:F341"/>
    <mergeCell ref="G340:G341"/>
    <mergeCell ref="C342:D342"/>
    <mergeCell ref="F342:G342"/>
    <mergeCell ref="I342:J342"/>
    <mergeCell ref="B344:C344"/>
    <mergeCell ref="C340:C341"/>
    <mergeCell ref="D340:D341"/>
    <mergeCell ref="E340:E341"/>
    <mergeCell ref="C337:D337"/>
    <mergeCell ref="F337:G337"/>
    <mergeCell ref="I337:J337"/>
    <mergeCell ref="B338:B339"/>
    <mergeCell ref="C338:C339"/>
    <mergeCell ref="D338:D339"/>
    <mergeCell ref="E338:E339"/>
    <mergeCell ref="G338:G339"/>
    <mergeCell ref="B335:B336"/>
    <mergeCell ref="C335:C336"/>
    <mergeCell ref="D335:D336"/>
    <mergeCell ref="E335:E336"/>
    <mergeCell ref="F335:F336"/>
    <mergeCell ref="G335:G336"/>
    <mergeCell ref="B333:B334"/>
    <mergeCell ref="C333:C334"/>
    <mergeCell ref="D333:D334"/>
    <mergeCell ref="E333:E334"/>
    <mergeCell ref="F333:F334"/>
    <mergeCell ref="G333:G334"/>
    <mergeCell ref="E330:E331"/>
    <mergeCell ref="F330:F331"/>
    <mergeCell ref="G330:G331"/>
    <mergeCell ref="C332:D332"/>
    <mergeCell ref="F332:G332"/>
    <mergeCell ref="I332:J332"/>
    <mergeCell ref="F325:F326"/>
    <mergeCell ref="G325:G326"/>
    <mergeCell ref="C327:D327"/>
    <mergeCell ref="F327:G327"/>
    <mergeCell ref="I327:J327"/>
    <mergeCell ref="B328:B329"/>
    <mergeCell ref="C328:C329"/>
    <mergeCell ref="D328:D329"/>
    <mergeCell ref="E328:E329"/>
    <mergeCell ref="F328:F329"/>
    <mergeCell ref="C322:D322"/>
    <mergeCell ref="F322:G322"/>
    <mergeCell ref="I322:J322"/>
    <mergeCell ref="B323:B324"/>
    <mergeCell ref="C323:C324"/>
    <mergeCell ref="D323:D324"/>
    <mergeCell ref="E323:E324"/>
    <mergeCell ref="F323:F324"/>
    <mergeCell ref="G323:G324"/>
    <mergeCell ref="G328:G329"/>
    <mergeCell ref="B330:B331"/>
    <mergeCell ref="C330:C331"/>
    <mergeCell ref="D330:D331"/>
    <mergeCell ref="B325:B326"/>
    <mergeCell ref="C325:C326"/>
    <mergeCell ref="D325:D326"/>
    <mergeCell ref="B320:B321"/>
    <mergeCell ref="C320:C321"/>
    <mergeCell ref="D320:D321"/>
    <mergeCell ref="E320:E321"/>
    <mergeCell ref="F320:F321"/>
    <mergeCell ref="G320:G321"/>
    <mergeCell ref="C317:D317"/>
    <mergeCell ref="F317:G317"/>
    <mergeCell ref="I317:J317"/>
    <mergeCell ref="B318:B319"/>
    <mergeCell ref="C318:C319"/>
    <mergeCell ref="D318:D319"/>
    <mergeCell ref="E318:E319"/>
    <mergeCell ref="F318:F319"/>
    <mergeCell ref="G318:G319"/>
    <mergeCell ref="B315:B316"/>
    <mergeCell ref="C315:C316"/>
    <mergeCell ref="D315:D316"/>
    <mergeCell ref="E315:E316"/>
    <mergeCell ref="F315:F316"/>
    <mergeCell ref="G315:G316"/>
    <mergeCell ref="F296:F297"/>
    <mergeCell ref="G296:G297"/>
    <mergeCell ref="C298:D298"/>
    <mergeCell ref="F298:G298"/>
    <mergeCell ref="C312:D312"/>
    <mergeCell ref="F312:G312"/>
    <mergeCell ref="I312:J312"/>
    <mergeCell ref="B313:B314"/>
    <mergeCell ref="C313:C314"/>
    <mergeCell ref="D313:D314"/>
    <mergeCell ref="E313:E314"/>
    <mergeCell ref="F313:F314"/>
    <mergeCell ref="G313:G314"/>
    <mergeCell ref="B310:B311"/>
    <mergeCell ref="C310:C311"/>
    <mergeCell ref="D310:D311"/>
    <mergeCell ref="E310:E311"/>
    <mergeCell ref="F310:F311"/>
    <mergeCell ref="G310:G311"/>
    <mergeCell ref="B308:B309"/>
    <mergeCell ref="C308:C309"/>
    <mergeCell ref="D308:D309"/>
    <mergeCell ref="E308:E309"/>
    <mergeCell ref="F308:F309"/>
    <mergeCell ref="G308:G309"/>
    <mergeCell ref="E279:E280"/>
    <mergeCell ref="B278:D278"/>
    <mergeCell ref="E278:G278"/>
    <mergeCell ref="H278:J278"/>
    <mergeCell ref="F264:F265"/>
    <mergeCell ref="B264:B265"/>
    <mergeCell ref="I293:J293"/>
    <mergeCell ref="B294:B295"/>
    <mergeCell ref="C294:C295"/>
    <mergeCell ref="D294:D295"/>
    <mergeCell ref="E294:E295"/>
    <mergeCell ref="F294:F295"/>
    <mergeCell ref="G294:G295"/>
    <mergeCell ref="G289:G290"/>
    <mergeCell ref="B291:B292"/>
    <mergeCell ref="C291:C292"/>
    <mergeCell ref="D291:D292"/>
    <mergeCell ref="E291:E292"/>
    <mergeCell ref="F291:F292"/>
    <mergeCell ref="G291:G292"/>
    <mergeCell ref="F286:F287"/>
    <mergeCell ref="G286:G287"/>
    <mergeCell ref="C288:D288"/>
    <mergeCell ref="F288:G288"/>
    <mergeCell ref="I288:J288"/>
    <mergeCell ref="B289:B290"/>
    <mergeCell ref="C289:C290"/>
    <mergeCell ref="D289:D290"/>
    <mergeCell ref="E289:E290"/>
    <mergeCell ref="F289:F290"/>
    <mergeCell ref="C264:C265"/>
    <mergeCell ref="D264:D265"/>
    <mergeCell ref="I256:J256"/>
    <mergeCell ref="B257:B258"/>
    <mergeCell ref="C257:C258"/>
    <mergeCell ref="D257:D258"/>
    <mergeCell ref="E257:E258"/>
    <mergeCell ref="F257:F258"/>
    <mergeCell ref="C283:D283"/>
    <mergeCell ref="F283:G283"/>
    <mergeCell ref="I283:J283"/>
    <mergeCell ref="B284:B285"/>
    <mergeCell ref="C284:C285"/>
    <mergeCell ref="D284:D285"/>
    <mergeCell ref="E284:E285"/>
    <mergeCell ref="F284:F285"/>
    <mergeCell ref="G284:G285"/>
    <mergeCell ref="G279:G280"/>
    <mergeCell ref="B281:B282"/>
    <mergeCell ref="C281:C282"/>
    <mergeCell ref="D281:D282"/>
    <mergeCell ref="E281:E282"/>
    <mergeCell ref="F281:F282"/>
    <mergeCell ref="G281:G282"/>
    <mergeCell ref="G264:G265"/>
    <mergeCell ref="C266:D266"/>
    <mergeCell ref="F266:G266"/>
    <mergeCell ref="I266:J266"/>
    <mergeCell ref="B276:C276"/>
    <mergeCell ref="B277:C277"/>
    <mergeCell ref="F279:F280"/>
    <mergeCell ref="B279:B280"/>
    <mergeCell ref="C279:C280"/>
    <mergeCell ref="D279:D280"/>
    <mergeCell ref="I251:J251"/>
    <mergeCell ref="B252:B253"/>
    <mergeCell ref="C252:C253"/>
    <mergeCell ref="D252:D253"/>
    <mergeCell ref="E252:E253"/>
    <mergeCell ref="F252:F253"/>
    <mergeCell ref="G252:G253"/>
    <mergeCell ref="B246:D246"/>
    <mergeCell ref="E246:G246"/>
    <mergeCell ref="H246:J246"/>
    <mergeCell ref="B247:B248"/>
    <mergeCell ref="C247:C248"/>
    <mergeCell ref="D247:D248"/>
    <mergeCell ref="E247:E248"/>
    <mergeCell ref="G247:G248"/>
    <mergeCell ref="I261:J261"/>
    <mergeCell ref="B262:B263"/>
    <mergeCell ref="C262:C263"/>
    <mergeCell ref="D262:D263"/>
    <mergeCell ref="E262:E263"/>
    <mergeCell ref="G262:G263"/>
    <mergeCell ref="G257:G258"/>
    <mergeCell ref="B259:B260"/>
    <mergeCell ref="C259:C260"/>
    <mergeCell ref="D259:D260"/>
    <mergeCell ref="E259:E260"/>
    <mergeCell ref="F259:F260"/>
    <mergeCell ref="G259:G260"/>
    <mergeCell ref="F254:F255"/>
    <mergeCell ref="G254:G255"/>
    <mergeCell ref="C256:D256"/>
    <mergeCell ref="F256:G256"/>
    <mergeCell ref="I227:J227"/>
    <mergeCell ref="B244:C244"/>
    <mergeCell ref="B245:C245"/>
    <mergeCell ref="G220:G221"/>
    <mergeCell ref="C222:D222"/>
    <mergeCell ref="F222:G222"/>
    <mergeCell ref="I222:J222"/>
    <mergeCell ref="B223:B224"/>
    <mergeCell ref="C223:C224"/>
    <mergeCell ref="D223:D224"/>
    <mergeCell ref="E223:E224"/>
    <mergeCell ref="G223:G224"/>
    <mergeCell ref="C216:D216"/>
    <mergeCell ref="F216:G216"/>
    <mergeCell ref="I216:J216"/>
    <mergeCell ref="B218:B219"/>
    <mergeCell ref="C218:C219"/>
    <mergeCell ref="D218:D219"/>
    <mergeCell ref="E218:E219"/>
    <mergeCell ref="F218:F219"/>
    <mergeCell ref="G218:G219"/>
    <mergeCell ref="F223:F224"/>
    <mergeCell ref="B220:B221"/>
    <mergeCell ref="C220:C221"/>
    <mergeCell ref="D220:D221"/>
    <mergeCell ref="E220:E221"/>
    <mergeCell ref="F220:F221"/>
    <mergeCell ref="C235:C236"/>
    <mergeCell ref="D235:D236"/>
    <mergeCell ref="E235:E236"/>
    <mergeCell ref="F235:F236"/>
    <mergeCell ref="G235:G236"/>
    <mergeCell ref="B214:B215"/>
    <mergeCell ref="C214:C215"/>
    <mergeCell ref="D214:D215"/>
    <mergeCell ref="E214:E215"/>
    <mergeCell ref="F214:F215"/>
    <mergeCell ref="G214:G215"/>
    <mergeCell ref="C211:D211"/>
    <mergeCell ref="F211:G211"/>
    <mergeCell ref="I211:J211"/>
    <mergeCell ref="B212:B213"/>
    <mergeCell ref="C212:C213"/>
    <mergeCell ref="D212:D213"/>
    <mergeCell ref="E212:E213"/>
    <mergeCell ref="F212:F213"/>
    <mergeCell ref="G212:G213"/>
    <mergeCell ref="B209:B210"/>
    <mergeCell ref="C209:C210"/>
    <mergeCell ref="D209:D210"/>
    <mergeCell ref="E209:E210"/>
    <mergeCell ref="F209:F210"/>
    <mergeCell ref="G209:G210"/>
    <mergeCell ref="B207:B208"/>
    <mergeCell ref="C207:C208"/>
    <mergeCell ref="D207:D208"/>
    <mergeCell ref="E207:E208"/>
    <mergeCell ref="F207:F208"/>
    <mergeCell ref="G207:G208"/>
    <mergeCell ref="E204:E205"/>
    <mergeCell ref="F204:F205"/>
    <mergeCell ref="G204:G205"/>
    <mergeCell ref="C206:D206"/>
    <mergeCell ref="F206:G206"/>
    <mergeCell ref="I206:J206"/>
    <mergeCell ref="F199:F200"/>
    <mergeCell ref="G199:G200"/>
    <mergeCell ref="C201:D201"/>
    <mergeCell ref="F201:G201"/>
    <mergeCell ref="I201:J201"/>
    <mergeCell ref="B202:B203"/>
    <mergeCell ref="C202:C203"/>
    <mergeCell ref="D202:D203"/>
    <mergeCell ref="E202:E203"/>
    <mergeCell ref="F202:F203"/>
    <mergeCell ref="G202:G203"/>
    <mergeCell ref="B204:B205"/>
    <mergeCell ref="C204:C205"/>
    <mergeCell ref="D204:D205"/>
    <mergeCell ref="B199:B200"/>
    <mergeCell ref="C199:C200"/>
    <mergeCell ref="D199:D200"/>
    <mergeCell ref="E199:E200"/>
    <mergeCell ref="C196:D196"/>
    <mergeCell ref="F196:G196"/>
    <mergeCell ref="I196:J196"/>
    <mergeCell ref="B197:B198"/>
    <mergeCell ref="C197:C198"/>
    <mergeCell ref="D197:D198"/>
    <mergeCell ref="E197:E198"/>
    <mergeCell ref="F197:F198"/>
    <mergeCell ref="G197:G198"/>
    <mergeCell ref="G192:G193"/>
    <mergeCell ref="B194:B195"/>
    <mergeCell ref="C194:C195"/>
    <mergeCell ref="D194:D195"/>
    <mergeCell ref="E194:E195"/>
    <mergeCell ref="F194:F195"/>
    <mergeCell ref="G194:G195"/>
    <mergeCell ref="F189:F190"/>
    <mergeCell ref="G189:G190"/>
    <mergeCell ref="C191:D191"/>
    <mergeCell ref="F191:G191"/>
    <mergeCell ref="I191:J191"/>
    <mergeCell ref="B192:B193"/>
    <mergeCell ref="C192:C193"/>
    <mergeCell ref="D192:D193"/>
    <mergeCell ref="E192:E193"/>
    <mergeCell ref="F192:F193"/>
    <mergeCell ref="B189:B190"/>
    <mergeCell ref="C189:C190"/>
    <mergeCell ref="D189:D190"/>
    <mergeCell ref="E189:E190"/>
    <mergeCell ref="G184:G185"/>
    <mergeCell ref="C186:D186"/>
    <mergeCell ref="F186:G186"/>
    <mergeCell ref="I186:J186"/>
    <mergeCell ref="B187:B188"/>
    <mergeCell ref="C187:C188"/>
    <mergeCell ref="D187:D188"/>
    <mergeCell ref="E187:E188"/>
    <mergeCell ref="F187:F188"/>
    <mergeCell ref="G187:G188"/>
    <mergeCell ref="C181:D181"/>
    <mergeCell ref="F181:G181"/>
    <mergeCell ref="I181:J181"/>
    <mergeCell ref="B182:B183"/>
    <mergeCell ref="C182:C183"/>
    <mergeCell ref="D182:D183"/>
    <mergeCell ref="E182:E183"/>
    <mergeCell ref="F182:F183"/>
    <mergeCell ref="G182:G183"/>
    <mergeCell ref="F184:F185"/>
    <mergeCell ref="B184:B185"/>
    <mergeCell ref="C184:C185"/>
    <mergeCell ref="D184:D185"/>
    <mergeCell ref="E184:E185"/>
    <mergeCell ref="B179:B180"/>
    <mergeCell ref="C179:C180"/>
    <mergeCell ref="D179:D180"/>
    <mergeCell ref="E179:E180"/>
    <mergeCell ref="F179:F180"/>
    <mergeCell ref="G179:G180"/>
    <mergeCell ref="C176:D176"/>
    <mergeCell ref="F176:G176"/>
    <mergeCell ref="I176:J176"/>
    <mergeCell ref="B177:B178"/>
    <mergeCell ref="C177:C178"/>
    <mergeCell ref="D177:D178"/>
    <mergeCell ref="E177:E178"/>
    <mergeCell ref="F177:F178"/>
    <mergeCell ref="G177:G178"/>
    <mergeCell ref="B174:B175"/>
    <mergeCell ref="C174:C175"/>
    <mergeCell ref="D174:D175"/>
    <mergeCell ref="E174:E175"/>
    <mergeCell ref="F174:F175"/>
    <mergeCell ref="G174:G175"/>
    <mergeCell ref="F169:F170"/>
    <mergeCell ref="G169:G170"/>
    <mergeCell ref="C171:D171"/>
    <mergeCell ref="F171:G171"/>
    <mergeCell ref="I171:J171"/>
    <mergeCell ref="F164:F165"/>
    <mergeCell ref="G164:G165"/>
    <mergeCell ref="C166:D166"/>
    <mergeCell ref="F166:G166"/>
    <mergeCell ref="I166:J166"/>
    <mergeCell ref="B167:B168"/>
    <mergeCell ref="C167:C168"/>
    <mergeCell ref="D167:D168"/>
    <mergeCell ref="E167:E168"/>
    <mergeCell ref="F167:F168"/>
    <mergeCell ref="G167:G168"/>
    <mergeCell ref="B169:B170"/>
    <mergeCell ref="C169:C170"/>
    <mergeCell ref="D169:D170"/>
    <mergeCell ref="B164:B165"/>
    <mergeCell ref="C164:C165"/>
    <mergeCell ref="D164:D165"/>
    <mergeCell ref="E164:E165"/>
    <mergeCell ref="F139:F140"/>
    <mergeCell ref="G139:G140"/>
    <mergeCell ref="C141:D141"/>
    <mergeCell ref="F141:G141"/>
    <mergeCell ref="I141:J141"/>
    <mergeCell ref="B159:C159"/>
    <mergeCell ref="G134:G135"/>
    <mergeCell ref="C136:D136"/>
    <mergeCell ref="F136:G136"/>
    <mergeCell ref="I136:J136"/>
    <mergeCell ref="B137:B138"/>
    <mergeCell ref="C137:C138"/>
    <mergeCell ref="D137:D138"/>
    <mergeCell ref="E137:E138"/>
    <mergeCell ref="F137:F138"/>
    <mergeCell ref="G137:G138"/>
    <mergeCell ref="B139:B140"/>
    <mergeCell ref="C139:C140"/>
    <mergeCell ref="D139:D140"/>
    <mergeCell ref="E139:E140"/>
    <mergeCell ref="F134:F135"/>
    <mergeCell ref="B134:B135"/>
    <mergeCell ref="B142:B143"/>
    <mergeCell ref="C142:C143"/>
    <mergeCell ref="D142:D143"/>
    <mergeCell ref="E142:E143"/>
    <mergeCell ref="F142:F143"/>
    <mergeCell ref="G142:G143"/>
    <mergeCell ref="B144:B145"/>
    <mergeCell ref="C144:C145"/>
    <mergeCell ref="D144:D145"/>
    <mergeCell ref="E144:E145"/>
    <mergeCell ref="C131:D131"/>
    <mergeCell ref="F131:G131"/>
    <mergeCell ref="I131:J131"/>
    <mergeCell ref="B132:B133"/>
    <mergeCell ref="C132:C133"/>
    <mergeCell ref="D132:D133"/>
    <mergeCell ref="E132:E133"/>
    <mergeCell ref="F132:F133"/>
    <mergeCell ref="G132:G133"/>
    <mergeCell ref="B129:B130"/>
    <mergeCell ref="C129:C130"/>
    <mergeCell ref="D129:D130"/>
    <mergeCell ref="E129:E130"/>
    <mergeCell ref="F129:F130"/>
    <mergeCell ref="G129:G130"/>
    <mergeCell ref="C126:D126"/>
    <mergeCell ref="F126:G126"/>
    <mergeCell ref="I126:J126"/>
    <mergeCell ref="B127:B128"/>
    <mergeCell ref="C127:C128"/>
    <mergeCell ref="D127:D128"/>
    <mergeCell ref="E127:E128"/>
    <mergeCell ref="F127:F128"/>
    <mergeCell ref="G127:G128"/>
    <mergeCell ref="B124:B125"/>
    <mergeCell ref="C124:C125"/>
    <mergeCell ref="D124:D125"/>
    <mergeCell ref="E124:E125"/>
    <mergeCell ref="F124:F125"/>
    <mergeCell ref="G124:G125"/>
    <mergeCell ref="B122:B123"/>
    <mergeCell ref="C122:C123"/>
    <mergeCell ref="D122:D123"/>
    <mergeCell ref="E122:E123"/>
    <mergeCell ref="F122:F123"/>
    <mergeCell ref="G122:G123"/>
    <mergeCell ref="F114:F115"/>
    <mergeCell ref="G114:G115"/>
    <mergeCell ref="C116:D116"/>
    <mergeCell ref="F116:G116"/>
    <mergeCell ref="I116:J116"/>
    <mergeCell ref="B119:C119"/>
    <mergeCell ref="G109:G110"/>
    <mergeCell ref="C111:D111"/>
    <mergeCell ref="F111:G111"/>
    <mergeCell ref="I111:J111"/>
    <mergeCell ref="B112:B113"/>
    <mergeCell ref="C112:C113"/>
    <mergeCell ref="D112:D113"/>
    <mergeCell ref="E112:E113"/>
    <mergeCell ref="F112:F113"/>
    <mergeCell ref="G112:G113"/>
    <mergeCell ref="F104:F105"/>
    <mergeCell ref="G104:G105"/>
    <mergeCell ref="C106:D106"/>
    <mergeCell ref="F106:G106"/>
    <mergeCell ref="I106:J106"/>
    <mergeCell ref="B107:B108"/>
    <mergeCell ref="C107:C108"/>
    <mergeCell ref="D107:D108"/>
    <mergeCell ref="E107:E108"/>
    <mergeCell ref="G107:G108"/>
    <mergeCell ref="B104:B105"/>
    <mergeCell ref="C104:C105"/>
    <mergeCell ref="D104:D105"/>
    <mergeCell ref="E104:E105"/>
    <mergeCell ref="C101:D101"/>
    <mergeCell ref="F101:G101"/>
    <mergeCell ref="I101:J101"/>
    <mergeCell ref="B102:B103"/>
    <mergeCell ref="C102:C103"/>
    <mergeCell ref="D102:D103"/>
    <mergeCell ref="E102:E103"/>
    <mergeCell ref="F102:F103"/>
    <mergeCell ref="G102:G103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C92:D92"/>
    <mergeCell ref="F92:G92"/>
    <mergeCell ref="I92:J92"/>
    <mergeCell ref="B94:C94"/>
    <mergeCell ref="B95:C95"/>
    <mergeCell ref="B96:D96"/>
    <mergeCell ref="E96:G96"/>
    <mergeCell ref="H96:J96"/>
    <mergeCell ref="I87:J87"/>
    <mergeCell ref="B88:B89"/>
    <mergeCell ref="C88:C89"/>
    <mergeCell ref="D88:D89"/>
    <mergeCell ref="E88:E89"/>
    <mergeCell ref="F88:F89"/>
    <mergeCell ref="G88:G89"/>
    <mergeCell ref="B85:B86"/>
    <mergeCell ref="C85:C86"/>
    <mergeCell ref="D85:D86"/>
    <mergeCell ref="E85:E86"/>
    <mergeCell ref="F85:F86"/>
    <mergeCell ref="G85:G86"/>
    <mergeCell ref="B90:B91"/>
    <mergeCell ref="C90:C91"/>
    <mergeCell ref="D90:D91"/>
    <mergeCell ref="E90:E91"/>
    <mergeCell ref="C87:D87"/>
    <mergeCell ref="F87:G87"/>
    <mergeCell ref="F90:F91"/>
    <mergeCell ref="G90:G91"/>
    <mergeCell ref="B83:B84"/>
    <mergeCell ref="C83:C84"/>
    <mergeCell ref="D83:D84"/>
    <mergeCell ref="E83:E84"/>
    <mergeCell ref="F83:F84"/>
    <mergeCell ref="G83:G84"/>
    <mergeCell ref="E79:E80"/>
    <mergeCell ref="F79:F80"/>
    <mergeCell ref="G79:G80"/>
    <mergeCell ref="C81:D81"/>
    <mergeCell ref="F81:G81"/>
    <mergeCell ref="I81:J81"/>
    <mergeCell ref="F74:F75"/>
    <mergeCell ref="G74:G75"/>
    <mergeCell ref="C76:D76"/>
    <mergeCell ref="F76:G76"/>
    <mergeCell ref="I76:J76"/>
    <mergeCell ref="B77:B78"/>
    <mergeCell ref="C77:C78"/>
    <mergeCell ref="D77:D78"/>
    <mergeCell ref="E77:E78"/>
    <mergeCell ref="F77:F78"/>
    <mergeCell ref="G77:G78"/>
    <mergeCell ref="B79:B80"/>
    <mergeCell ref="C79:C80"/>
    <mergeCell ref="D79:D80"/>
    <mergeCell ref="B74:B75"/>
    <mergeCell ref="C74:C75"/>
    <mergeCell ref="D74:D75"/>
    <mergeCell ref="E74:E75"/>
    <mergeCell ref="C71:D71"/>
    <mergeCell ref="F71:G71"/>
    <mergeCell ref="I71:J71"/>
    <mergeCell ref="B72:B73"/>
    <mergeCell ref="C72:C73"/>
    <mergeCell ref="D72:D73"/>
    <mergeCell ref="E72:E73"/>
    <mergeCell ref="F72:F73"/>
    <mergeCell ref="G72:G73"/>
    <mergeCell ref="B69:B70"/>
    <mergeCell ref="C69:C70"/>
    <mergeCell ref="D69:D70"/>
    <mergeCell ref="E69:E70"/>
    <mergeCell ref="F69:F70"/>
    <mergeCell ref="G69:G70"/>
    <mergeCell ref="C66:D66"/>
    <mergeCell ref="F66:G66"/>
    <mergeCell ref="I66:J66"/>
    <mergeCell ref="B67:B68"/>
    <mergeCell ref="C67:C68"/>
    <mergeCell ref="D67:D68"/>
    <mergeCell ref="E67:E68"/>
    <mergeCell ref="F67:F68"/>
    <mergeCell ref="G67:G68"/>
    <mergeCell ref="G62:G63"/>
    <mergeCell ref="B64:B65"/>
    <mergeCell ref="C64:C65"/>
    <mergeCell ref="D64:D65"/>
    <mergeCell ref="E64:E65"/>
    <mergeCell ref="F64:F65"/>
    <mergeCell ref="G64:G65"/>
    <mergeCell ref="F59:F60"/>
    <mergeCell ref="G59:G60"/>
    <mergeCell ref="C61:D61"/>
    <mergeCell ref="F61:G61"/>
    <mergeCell ref="I61:J61"/>
    <mergeCell ref="B62:B63"/>
    <mergeCell ref="C62:C63"/>
    <mergeCell ref="D62:D63"/>
    <mergeCell ref="E62:E63"/>
    <mergeCell ref="F62:F63"/>
    <mergeCell ref="B59:B60"/>
    <mergeCell ref="C59:C60"/>
    <mergeCell ref="D59:D60"/>
    <mergeCell ref="E59:E60"/>
    <mergeCell ref="G54:G55"/>
    <mergeCell ref="C56:D56"/>
    <mergeCell ref="F56:G56"/>
    <mergeCell ref="I56:J56"/>
    <mergeCell ref="B57:B58"/>
    <mergeCell ref="C57:C58"/>
    <mergeCell ref="D57:D58"/>
    <mergeCell ref="E57:E58"/>
    <mergeCell ref="F57:F58"/>
    <mergeCell ref="G57:G58"/>
    <mergeCell ref="C51:D51"/>
    <mergeCell ref="F51:G51"/>
    <mergeCell ref="I51:J51"/>
    <mergeCell ref="B52:B53"/>
    <mergeCell ref="C52:C53"/>
    <mergeCell ref="D52:D53"/>
    <mergeCell ref="E52:E53"/>
    <mergeCell ref="G52:G53"/>
    <mergeCell ref="F52:F53"/>
    <mergeCell ref="F54:F55"/>
    <mergeCell ref="B54:B55"/>
    <mergeCell ref="C54:C55"/>
    <mergeCell ref="D54:D55"/>
    <mergeCell ref="E54:E55"/>
    <mergeCell ref="B49:B50"/>
    <mergeCell ref="C49:C50"/>
    <mergeCell ref="D49:D50"/>
    <mergeCell ref="E49:E50"/>
    <mergeCell ref="F49:F50"/>
    <mergeCell ref="G49:G50"/>
    <mergeCell ref="C46:D46"/>
    <mergeCell ref="F46:G46"/>
    <mergeCell ref="I46:J46"/>
    <mergeCell ref="B47:B48"/>
    <mergeCell ref="C47:C48"/>
    <mergeCell ref="D47:D48"/>
    <mergeCell ref="E47:E48"/>
    <mergeCell ref="F47:F48"/>
    <mergeCell ref="G47:G48"/>
    <mergeCell ref="B44:B45"/>
    <mergeCell ref="C44:C45"/>
    <mergeCell ref="D44:D45"/>
    <mergeCell ref="E44:E45"/>
    <mergeCell ref="F44:F45"/>
    <mergeCell ref="G44:G45"/>
    <mergeCell ref="C41:D41"/>
    <mergeCell ref="F41:G41"/>
    <mergeCell ref="I41:J41"/>
    <mergeCell ref="B42:B43"/>
    <mergeCell ref="C42:C43"/>
    <mergeCell ref="D42:D43"/>
    <mergeCell ref="E42:E43"/>
    <mergeCell ref="F42:F43"/>
    <mergeCell ref="G42:G43"/>
    <mergeCell ref="B39:B40"/>
    <mergeCell ref="C39:C40"/>
    <mergeCell ref="D39:D40"/>
    <mergeCell ref="E39:E40"/>
    <mergeCell ref="F39:F40"/>
    <mergeCell ref="G39:G40"/>
    <mergeCell ref="C36:D36"/>
    <mergeCell ref="F36:G36"/>
    <mergeCell ref="I36:J36"/>
    <mergeCell ref="B37:B38"/>
    <mergeCell ref="C37:C38"/>
    <mergeCell ref="D37:D38"/>
    <mergeCell ref="E37:E38"/>
    <mergeCell ref="F37:F38"/>
    <mergeCell ref="G37:G38"/>
    <mergeCell ref="B34:B35"/>
    <mergeCell ref="C34:C35"/>
    <mergeCell ref="D34:D35"/>
    <mergeCell ref="E34:E35"/>
    <mergeCell ref="F34:F35"/>
    <mergeCell ref="G34:G35"/>
    <mergeCell ref="I31:J31"/>
    <mergeCell ref="B32:B33"/>
    <mergeCell ref="C32:C33"/>
    <mergeCell ref="D32:D33"/>
    <mergeCell ref="E32:E33"/>
    <mergeCell ref="F32:F33"/>
    <mergeCell ref="G32:G33"/>
    <mergeCell ref="C27:C28"/>
    <mergeCell ref="D27:D28"/>
    <mergeCell ref="E27:E28"/>
    <mergeCell ref="F27:F28"/>
    <mergeCell ref="G27:G28"/>
    <mergeCell ref="B29:B30"/>
    <mergeCell ref="C29:C30"/>
    <mergeCell ref="D29:D30"/>
    <mergeCell ref="E29:E30"/>
    <mergeCell ref="G29:G30"/>
    <mergeCell ref="F29:F30"/>
    <mergeCell ref="C31:D31"/>
    <mergeCell ref="F31:G31"/>
    <mergeCell ref="C22:D22"/>
    <mergeCell ref="F22:G22"/>
    <mergeCell ref="I22:J22"/>
    <mergeCell ref="B24:C24"/>
    <mergeCell ref="B25:C25"/>
    <mergeCell ref="C17:D17"/>
    <mergeCell ref="F17:G17"/>
    <mergeCell ref="I17:J17"/>
    <mergeCell ref="B18:B19"/>
    <mergeCell ref="C18:C19"/>
    <mergeCell ref="D18:D19"/>
    <mergeCell ref="E18:E19"/>
    <mergeCell ref="G18:G19"/>
    <mergeCell ref="F13:F14"/>
    <mergeCell ref="G13:G14"/>
    <mergeCell ref="B15:B16"/>
    <mergeCell ref="C15:C16"/>
    <mergeCell ref="D15:D16"/>
    <mergeCell ref="E15:E16"/>
    <mergeCell ref="F15:F16"/>
    <mergeCell ref="G15:G16"/>
    <mergeCell ref="B5:J5"/>
    <mergeCell ref="B10:C10"/>
    <mergeCell ref="B11:C11"/>
    <mergeCell ref="B12:D12"/>
    <mergeCell ref="E12:G12"/>
    <mergeCell ref="H12:J12"/>
    <mergeCell ref="B1:J1"/>
    <mergeCell ref="B3:J3"/>
    <mergeCell ref="B405:B406"/>
    <mergeCell ref="C405:C406"/>
    <mergeCell ref="B384:B385"/>
    <mergeCell ref="C384:C385"/>
    <mergeCell ref="B375:B376"/>
    <mergeCell ref="C375:C376"/>
    <mergeCell ref="B366:B367"/>
    <mergeCell ref="C366:C367"/>
    <mergeCell ref="D366:D367"/>
    <mergeCell ref="E366:E367"/>
    <mergeCell ref="B357:B358"/>
    <mergeCell ref="C357:C358"/>
    <mergeCell ref="D357:D358"/>
    <mergeCell ref="E357:E358"/>
    <mergeCell ref="B355:C355"/>
    <mergeCell ref="B356:D356"/>
    <mergeCell ref="E356:G356"/>
    <mergeCell ref="H356:J356"/>
    <mergeCell ref="B349:B350"/>
    <mergeCell ref="C349:C350"/>
    <mergeCell ref="D349:D350"/>
    <mergeCell ref="E349:E350"/>
    <mergeCell ref="F338:F339"/>
    <mergeCell ref="B340:B341"/>
    <mergeCell ref="E325:E326"/>
    <mergeCell ref="B306:C306"/>
    <mergeCell ref="B307:D307"/>
    <mergeCell ref="E307:G307"/>
    <mergeCell ref="H307:J307"/>
    <mergeCell ref="B301:B302"/>
    <mergeCell ref="C301:C302"/>
    <mergeCell ref="D301:D302"/>
    <mergeCell ref="E301:E302"/>
    <mergeCell ref="C293:D293"/>
    <mergeCell ref="F293:G293"/>
    <mergeCell ref="B296:B297"/>
    <mergeCell ref="C296:C297"/>
    <mergeCell ref="B286:B287"/>
    <mergeCell ref="C286:C287"/>
    <mergeCell ref="D286:D287"/>
    <mergeCell ref="E286:E287"/>
    <mergeCell ref="F301:F302"/>
    <mergeCell ref="G301:G302"/>
    <mergeCell ref="C303:D303"/>
    <mergeCell ref="F303:G303"/>
    <mergeCell ref="I303:J303"/>
    <mergeCell ref="B305:C305"/>
    <mergeCell ref="I298:J298"/>
    <mergeCell ref="B299:B300"/>
    <mergeCell ref="C299:C300"/>
    <mergeCell ref="D299:D300"/>
    <mergeCell ref="E299:E300"/>
    <mergeCell ref="F299:F300"/>
    <mergeCell ref="G299:G300"/>
    <mergeCell ref="D296:D297"/>
    <mergeCell ref="E296:E297"/>
    <mergeCell ref="E264:E265"/>
    <mergeCell ref="F262:F263"/>
    <mergeCell ref="C261:D261"/>
    <mergeCell ref="F261:G261"/>
    <mergeCell ref="B254:B255"/>
    <mergeCell ref="C254:C255"/>
    <mergeCell ref="D254:D255"/>
    <mergeCell ref="E254:E255"/>
    <mergeCell ref="F247:F248"/>
    <mergeCell ref="F249:F250"/>
    <mergeCell ref="B249:B250"/>
    <mergeCell ref="C249:C250"/>
    <mergeCell ref="D249:D250"/>
    <mergeCell ref="E249:E250"/>
    <mergeCell ref="F225:F226"/>
    <mergeCell ref="B225:B226"/>
    <mergeCell ref="C225:C226"/>
    <mergeCell ref="D225:D226"/>
    <mergeCell ref="E225:E226"/>
    <mergeCell ref="G225:G226"/>
    <mergeCell ref="C227:D227"/>
    <mergeCell ref="F227:G227"/>
    <mergeCell ref="G249:G250"/>
    <mergeCell ref="C251:D251"/>
    <mergeCell ref="F251:G251"/>
    <mergeCell ref="B233:B234"/>
    <mergeCell ref="C233:C234"/>
    <mergeCell ref="D233:D234"/>
    <mergeCell ref="E233:E234"/>
    <mergeCell ref="F233:F234"/>
    <mergeCell ref="G233:G234"/>
    <mergeCell ref="B235:B236"/>
    <mergeCell ref="B26:D26"/>
    <mergeCell ref="E26:G26"/>
    <mergeCell ref="H26:J26"/>
    <mergeCell ref="B27:B28"/>
    <mergeCell ref="F18:F19"/>
    <mergeCell ref="F20:F21"/>
    <mergeCell ref="B20:B21"/>
    <mergeCell ref="C20:C21"/>
    <mergeCell ref="D20:D21"/>
    <mergeCell ref="E20:E21"/>
    <mergeCell ref="B13:B14"/>
    <mergeCell ref="C13:C14"/>
    <mergeCell ref="D13:D14"/>
    <mergeCell ref="E13:E14"/>
    <mergeCell ref="C134:C135"/>
    <mergeCell ref="D134:D135"/>
    <mergeCell ref="E134:E135"/>
    <mergeCell ref="B120:C120"/>
    <mergeCell ref="B121:D121"/>
    <mergeCell ref="E121:G121"/>
    <mergeCell ref="H121:J121"/>
    <mergeCell ref="B114:B115"/>
    <mergeCell ref="C114:C115"/>
    <mergeCell ref="D114:D115"/>
    <mergeCell ref="E114:E115"/>
    <mergeCell ref="F109:F110"/>
    <mergeCell ref="B109:B110"/>
    <mergeCell ref="C109:C110"/>
    <mergeCell ref="D109:D110"/>
    <mergeCell ref="E109:E110"/>
    <mergeCell ref="F107:F108"/>
    <mergeCell ref="G20:G21"/>
    <mergeCell ref="F144:F145"/>
    <mergeCell ref="G144:G145"/>
    <mergeCell ref="C146:D146"/>
    <mergeCell ref="F146:G146"/>
    <mergeCell ref="I146:J146"/>
    <mergeCell ref="B147:B148"/>
    <mergeCell ref="C147:C148"/>
    <mergeCell ref="D147:D148"/>
    <mergeCell ref="E147:E148"/>
    <mergeCell ref="F147:F148"/>
    <mergeCell ref="G147:G148"/>
    <mergeCell ref="B149:B150"/>
    <mergeCell ref="C149:C150"/>
    <mergeCell ref="D149:D150"/>
    <mergeCell ref="E149:E150"/>
    <mergeCell ref="F149:F150"/>
    <mergeCell ref="G149:G150"/>
    <mergeCell ref="C151:D151"/>
    <mergeCell ref="F151:G151"/>
    <mergeCell ref="I151:J151"/>
    <mergeCell ref="B152:B153"/>
    <mergeCell ref="C152:C153"/>
    <mergeCell ref="D152:D153"/>
    <mergeCell ref="E152:E153"/>
    <mergeCell ref="F152:F153"/>
    <mergeCell ref="G152:G153"/>
    <mergeCell ref="B154:B155"/>
    <mergeCell ref="C154:C155"/>
    <mergeCell ref="D154:D155"/>
    <mergeCell ref="E154:E155"/>
    <mergeCell ref="F154:F155"/>
    <mergeCell ref="G154:G155"/>
    <mergeCell ref="C156:D156"/>
    <mergeCell ref="F156:G156"/>
    <mergeCell ref="I156:J156"/>
    <mergeCell ref="B228:B229"/>
    <mergeCell ref="C228:C229"/>
    <mergeCell ref="D228:D229"/>
    <mergeCell ref="E228:E229"/>
    <mergeCell ref="F228:F229"/>
    <mergeCell ref="G228:G229"/>
    <mergeCell ref="B230:B231"/>
    <mergeCell ref="C230:C231"/>
    <mergeCell ref="D230:D231"/>
    <mergeCell ref="E230:E231"/>
    <mergeCell ref="F230:F231"/>
    <mergeCell ref="G230:G231"/>
    <mergeCell ref="C232:D232"/>
    <mergeCell ref="F232:G232"/>
    <mergeCell ref="I232:J232"/>
    <mergeCell ref="B160:C160"/>
    <mergeCell ref="B161:D161"/>
    <mergeCell ref="E161:G161"/>
    <mergeCell ref="H161:J161"/>
    <mergeCell ref="B162:B163"/>
    <mergeCell ref="C162:C163"/>
    <mergeCell ref="D162:D163"/>
    <mergeCell ref="E162:E163"/>
    <mergeCell ref="F162:F163"/>
    <mergeCell ref="G162:G163"/>
    <mergeCell ref="B172:B173"/>
    <mergeCell ref="C172:C173"/>
    <mergeCell ref="D172:D173"/>
    <mergeCell ref="E172:E173"/>
    <mergeCell ref="F172:F173"/>
    <mergeCell ref="G172:G173"/>
    <mergeCell ref="E169:E170"/>
    <mergeCell ref="C237:D237"/>
    <mergeCell ref="F237:G237"/>
    <mergeCell ref="I237:J237"/>
    <mergeCell ref="B238:B239"/>
    <mergeCell ref="C238:C239"/>
    <mergeCell ref="D238:D239"/>
    <mergeCell ref="E238:E239"/>
    <mergeCell ref="F238:F239"/>
    <mergeCell ref="G238:G239"/>
    <mergeCell ref="B240:B241"/>
    <mergeCell ref="C240:C241"/>
    <mergeCell ref="D240:D241"/>
    <mergeCell ref="E240:E241"/>
    <mergeCell ref="F240:F241"/>
    <mergeCell ref="G240:G241"/>
    <mergeCell ref="C242:D242"/>
    <mergeCell ref="F242:G242"/>
    <mergeCell ref="I242:J242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7"/>
  <sheetViews>
    <sheetView topLeftCell="A16" workbookViewId="0">
      <selection activeCell="J28" sqref="J28"/>
    </sheetView>
  </sheetViews>
  <sheetFormatPr defaultRowHeight="15" x14ac:dyDescent="0.25"/>
  <cols>
    <col min="1" max="1" width="4.7109375" style="372" customWidth="1"/>
    <col min="2" max="2" width="60.7109375" style="372" customWidth="1"/>
    <col min="3" max="3" width="21.140625" style="372" customWidth="1"/>
    <col min="4" max="4" width="25.42578125" style="372" bestFit="1" customWidth="1"/>
    <col min="5" max="5" width="14.5703125" style="372" customWidth="1"/>
    <col min="6" max="6" width="21.42578125" style="372" customWidth="1"/>
    <col min="7" max="7" width="14.5703125" style="372" customWidth="1"/>
    <col min="8" max="8" width="13" style="372" customWidth="1"/>
    <col min="9" max="9" width="9.140625" style="372"/>
    <col min="10" max="10" width="19.7109375" style="372" bestFit="1" customWidth="1"/>
    <col min="11" max="256" width="9.140625" style="372"/>
    <col min="257" max="257" width="4.7109375" style="372" customWidth="1"/>
    <col min="258" max="258" width="26.28515625" style="372" customWidth="1"/>
    <col min="259" max="259" width="21.140625" style="372" customWidth="1"/>
    <col min="260" max="260" width="21.28515625" style="372" customWidth="1"/>
    <col min="261" max="261" width="12.5703125" style="372" customWidth="1"/>
    <col min="262" max="262" width="21.42578125" style="372" customWidth="1"/>
    <col min="263" max="263" width="12.7109375" style="372" customWidth="1"/>
    <col min="264" max="264" width="13" style="372" customWidth="1"/>
    <col min="265" max="265" width="9.140625" style="372"/>
    <col min="266" max="266" width="17.85546875" style="372" bestFit="1" customWidth="1"/>
    <col min="267" max="512" width="9.140625" style="372"/>
    <col min="513" max="513" width="4.7109375" style="372" customWidth="1"/>
    <col min="514" max="514" width="26.28515625" style="372" customWidth="1"/>
    <col min="515" max="515" width="21.140625" style="372" customWidth="1"/>
    <col min="516" max="516" width="21.28515625" style="372" customWidth="1"/>
    <col min="517" max="517" width="12.5703125" style="372" customWidth="1"/>
    <col min="518" max="518" width="21.42578125" style="372" customWidth="1"/>
    <col min="519" max="519" width="12.7109375" style="372" customWidth="1"/>
    <col min="520" max="520" width="13" style="372" customWidth="1"/>
    <col min="521" max="521" width="9.140625" style="372"/>
    <col min="522" max="522" width="17.85546875" style="372" bestFit="1" customWidth="1"/>
    <col min="523" max="768" width="9.140625" style="372"/>
    <col min="769" max="769" width="4.7109375" style="372" customWidth="1"/>
    <col min="770" max="770" width="26.28515625" style="372" customWidth="1"/>
    <col min="771" max="771" width="21.140625" style="372" customWidth="1"/>
    <col min="772" max="772" width="21.28515625" style="372" customWidth="1"/>
    <col min="773" max="773" width="12.5703125" style="372" customWidth="1"/>
    <col min="774" max="774" width="21.42578125" style="372" customWidth="1"/>
    <col min="775" max="775" width="12.7109375" style="372" customWidth="1"/>
    <col min="776" max="776" width="13" style="372" customWidth="1"/>
    <col min="777" max="777" width="9.140625" style="372"/>
    <col min="778" max="778" width="17.85546875" style="372" bestFit="1" customWidth="1"/>
    <col min="779" max="1024" width="9.140625" style="372"/>
    <col min="1025" max="1025" width="4.7109375" style="372" customWidth="1"/>
    <col min="1026" max="1026" width="26.28515625" style="372" customWidth="1"/>
    <col min="1027" max="1027" width="21.140625" style="372" customWidth="1"/>
    <col min="1028" max="1028" width="21.28515625" style="372" customWidth="1"/>
    <col min="1029" max="1029" width="12.5703125" style="372" customWidth="1"/>
    <col min="1030" max="1030" width="21.42578125" style="372" customWidth="1"/>
    <col min="1031" max="1031" width="12.7109375" style="372" customWidth="1"/>
    <col min="1032" max="1032" width="13" style="372" customWidth="1"/>
    <col min="1033" max="1033" width="9.140625" style="372"/>
    <col min="1034" max="1034" width="17.85546875" style="372" bestFit="1" customWidth="1"/>
    <col min="1035" max="1280" width="9.140625" style="372"/>
    <col min="1281" max="1281" width="4.7109375" style="372" customWidth="1"/>
    <col min="1282" max="1282" width="26.28515625" style="372" customWidth="1"/>
    <col min="1283" max="1283" width="21.140625" style="372" customWidth="1"/>
    <col min="1284" max="1284" width="21.28515625" style="372" customWidth="1"/>
    <col min="1285" max="1285" width="12.5703125" style="372" customWidth="1"/>
    <col min="1286" max="1286" width="21.42578125" style="372" customWidth="1"/>
    <col min="1287" max="1287" width="12.7109375" style="372" customWidth="1"/>
    <col min="1288" max="1288" width="13" style="372" customWidth="1"/>
    <col min="1289" max="1289" width="9.140625" style="372"/>
    <col min="1290" max="1290" width="17.85546875" style="372" bestFit="1" customWidth="1"/>
    <col min="1291" max="1536" width="9.140625" style="372"/>
    <col min="1537" max="1537" width="4.7109375" style="372" customWidth="1"/>
    <col min="1538" max="1538" width="26.28515625" style="372" customWidth="1"/>
    <col min="1539" max="1539" width="21.140625" style="372" customWidth="1"/>
    <col min="1540" max="1540" width="21.28515625" style="372" customWidth="1"/>
    <col min="1541" max="1541" width="12.5703125" style="372" customWidth="1"/>
    <col min="1542" max="1542" width="21.42578125" style="372" customWidth="1"/>
    <col min="1543" max="1543" width="12.7109375" style="372" customWidth="1"/>
    <col min="1544" max="1544" width="13" style="372" customWidth="1"/>
    <col min="1545" max="1545" width="9.140625" style="372"/>
    <col min="1546" max="1546" width="17.85546875" style="372" bestFit="1" customWidth="1"/>
    <col min="1547" max="1792" width="9.140625" style="372"/>
    <col min="1793" max="1793" width="4.7109375" style="372" customWidth="1"/>
    <col min="1794" max="1794" width="26.28515625" style="372" customWidth="1"/>
    <col min="1795" max="1795" width="21.140625" style="372" customWidth="1"/>
    <col min="1796" max="1796" width="21.28515625" style="372" customWidth="1"/>
    <col min="1797" max="1797" width="12.5703125" style="372" customWidth="1"/>
    <col min="1798" max="1798" width="21.42578125" style="372" customWidth="1"/>
    <col min="1799" max="1799" width="12.7109375" style="372" customWidth="1"/>
    <col min="1800" max="1800" width="13" style="372" customWidth="1"/>
    <col min="1801" max="1801" width="9.140625" style="372"/>
    <col min="1802" max="1802" width="17.85546875" style="372" bestFit="1" customWidth="1"/>
    <col min="1803" max="2048" width="9.140625" style="372"/>
    <col min="2049" max="2049" width="4.7109375" style="372" customWidth="1"/>
    <col min="2050" max="2050" width="26.28515625" style="372" customWidth="1"/>
    <col min="2051" max="2051" width="21.140625" style="372" customWidth="1"/>
    <col min="2052" max="2052" width="21.28515625" style="372" customWidth="1"/>
    <col min="2053" max="2053" width="12.5703125" style="372" customWidth="1"/>
    <col min="2054" max="2054" width="21.42578125" style="372" customWidth="1"/>
    <col min="2055" max="2055" width="12.7109375" style="372" customWidth="1"/>
    <col min="2056" max="2056" width="13" style="372" customWidth="1"/>
    <col min="2057" max="2057" width="9.140625" style="372"/>
    <col min="2058" max="2058" width="17.85546875" style="372" bestFit="1" customWidth="1"/>
    <col min="2059" max="2304" width="9.140625" style="372"/>
    <col min="2305" max="2305" width="4.7109375" style="372" customWidth="1"/>
    <col min="2306" max="2306" width="26.28515625" style="372" customWidth="1"/>
    <col min="2307" max="2307" width="21.140625" style="372" customWidth="1"/>
    <col min="2308" max="2308" width="21.28515625" style="372" customWidth="1"/>
    <col min="2309" max="2309" width="12.5703125" style="372" customWidth="1"/>
    <col min="2310" max="2310" width="21.42578125" style="372" customWidth="1"/>
    <col min="2311" max="2311" width="12.7109375" style="372" customWidth="1"/>
    <col min="2312" max="2312" width="13" style="372" customWidth="1"/>
    <col min="2313" max="2313" width="9.140625" style="372"/>
    <col min="2314" max="2314" width="17.85546875" style="372" bestFit="1" customWidth="1"/>
    <col min="2315" max="2560" width="9.140625" style="372"/>
    <col min="2561" max="2561" width="4.7109375" style="372" customWidth="1"/>
    <col min="2562" max="2562" width="26.28515625" style="372" customWidth="1"/>
    <col min="2563" max="2563" width="21.140625" style="372" customWidth="1"/>
    <col min="2564" max="2564" width="21.28515625" style="372" customWidth="1"/>
    <col min="2565" max="2565" width="12.5703125" style="372" customWidth="1"/>
    <col min="2566" max="2566" width="21.42578125" style="372" customWidth="1"/>
    <col min="2567" max="2567" width="12.7109375" style="372" customWidth="1"/>
    <col min="2568" max="2568" width="13" style="372" customWidth="1"/>
    <col min="2569" max="2569" width="9.140625" style="372"/>
    <col min="2570" max="2570" width="17.85546875" style="372" bestFit="1" customWidth="1"/>
    <col min="2571" max="2816" width="9.140625" style="372"/>
    <col min="2817" max="2817" width="4.7109375" style="372" customWidth="1"/>
    <col min="2818" max="2818" width="26.28515625" style="372" customWidth="1"/>
    <col min="2819" max="2819" width="21.140625" style="372" customWidth="1"/>
    <col min="2820" max="2820" width="21.28515625" style="372" customWidth="1"/>
    <col min="2821" max="2821" width="12.5703125" style="372" customWidth="1"/>
    <col min="2822" max="2822" width="21.42578125" style="372" customWidth="1"/>
    <col min="2823" max="2823" width="12.7109375" style="372" customWidth="1"/>
    <col min="2824" max="2824" width="13" style="372" customWidth="1"/>
    <col min="2825" max="2825" width="9.140625" style="372"/>
    <col min="2826" max="2826" width="17.85546875" style="372" bestFit="1" customWidth="1"/>
    <col min="2827" max="3072" width="9.140625" style="372"/>
    <col min="3073" max="3073" width="4.7109375" style="372" customWidth="1"/>
    <col min="3074" max="3074" width="26.28515625" style="372" customWidth="1"/>
    <col min="3075" max="3075" width="21.140625" style="372" customWidth="1"/>
    <col min="3076" max="3076" width="21.28515625" style="372" customWidth="1"/>
    <col min="3077" max="3077" width="12.5703125" style="372" customWidth="1"/>
    <col min="3078" max="3078" width="21.42578125" style="372" customWidth="1"/>
    <col min="3079" max="3079" width="12.7109375" style="372" customWidth="1"/>
    <col min="3080" max="3080" width="13" style="372" customWidth="1"/>
    <col min="3081" max="3081" width="9.140625" style="372"/>
    <col min="3082" max="3082" width="17.85546875" style="372" bestFit="1" customWidth="1"/>
    <col min="3083" max="3328" width="9.140625" style="372"/>
    <col min="3329" max="3329" width="4.7109375" style="372" customWidth="1"/>
    <col min="3330" max="3330" width="26.28515625" style="372" customWidth="1"/>
    <col min="3331" max="3331" width="21.140625" style="372" customWidth="1"/>
    <col min="3332" max="3332" width="21.28515625" style="372" customWidth="1"/>
    <col min="3333" max="3333" width="12.5703125" style="372" customWidth="1"/>
    <col min="3334" max="3334" width="21.42578125" style="372" customWidth="1"/>
    <col min="3335" max="3335" width="12.7109375" style="372" customWidth="1"/>
    <col min="3336" max="3336" width="13" style="372" customWidth="1"/>
    <col min="3337" max="3337" width="9.140625" style="372"/>
    <col min="3338" max="3338" width="17.85546875" style="372" bestFit="1" customWidth="1"/>
    <col min="3339" max="3584" width="9.140625" style="372"/>
    <col min="3585" max="3585" width="4.7109375" style="372" customWidth="1"/>
    <col min="3586" max="3586" width="26.28515625" style="372" customWidth="1"/>
    <col min="3587" max="3587" width="21.140625" style="372" customWidth="1"/>
    <col min="3588" max="3588" width="21.28515625" style="372" customWidth="1"/>
    <col min="3589" max="3589" width="12.5703125" style="372" customWidth="1"/>
    <col min="3590" max="3590" width="21.42578125" style="372" customWidth="1"/>
    <col min="3591" max="3591" width="12.7109375" style="372" customWidth="1"/>
    <col min="3592" max="3592" width="13" style="372" customWidth="1"/>
    <col min="3593" max="3593" width="9.140625" style="372"/>
    <col min="3594" max="3594" width="17.85546875" style="372" bestFit="1" customWidth="1"/>
    <col min="3595" max="3840" width="9.140625" style="372"/>
    <col min="3841" max="3841" width="4.7109375" style="372" customWidth="1"/>
    <col min="3842" max="3842" width="26.28515625" style="372" customWidth="1"/>
    <col min="3843" max="3843" width="21.140625" style="372" customWidth="1"/>
    <col min="3844" max="3844" width="21.28515625" style="372" customWidth="1"/>
    <col min="3845" max="3845" width="12.5703125" style="372" customWidth="1"/>
    <col min="3846" max="3846" width="21.42578125" style="372" customWidth="1"/>
    <col min="3847" max="3847" width="12.7109375" style="372" customWidth="1"/>
    <col min="3848" max="3848" width="13" style="372" customWidth="1"/>
    <col min="3849" max="3849" width="9.140625" style="372"/>
    <col min="3850" max="3850" width="17.85546875" style="372" bestFit="1" customWidth="1"/>
    <col min="3851" max="4096" width="9.140625" style="372"/>
    <col min="4097" max="4097" width="4.7109375" style="372" customWidth="1"/>
    <col min="4098" max="4098" width="26.28515625" style="372" customWidth="1"/>
    <col min="4099" max="4099" width="21.140625" style="372" customWidth="1"/>
    <col min="4100" max="4100" width="21.28515625" style="372" customWidth="1"/>
    <col min="4101" max="4101" width="12.5703125" style="372" customWidth="1"/>
    <col min="4102" max="4102" width="21.42578125" style="372" customWidth="1"/>
    <col min="4103" max="4103" width="12.7109375" style="372" customWidth="1"/>
    <col min="4104" max="4104" width="13" style="372" customWidth="1"/>
    <col min="4105" max="4105" width="9.140625" style="372"/>
    <col min="4106" max="4106" width="17.85546875" style="372" bestFit="1" customWidth="1"/>
    <col min="4107" max="4352" width="9.140625" style="372"/>
    <col min="4353" max="4353" width="4.7109375" style="372" customWidth="1"/>
    <col min="4354" max="4354" width="26.28515625" style="372" customWidth="1"/>
    <col min="4355" max="4355" width="21.140625" style="372" customWidth="1"/>
    <col min="4356" max="4356" width="21.28515625" style="372" customWidth="1"/>
    <col min="4357" max="4357" width="12.5703125" style="372" customWidth="1"/>
    <col min="4358" max="4358" width="21.42578125" style="372" customWidth="1"/>
    <col min="4359" max="4359" width="12.7109375" style="372" customWidth="1"/>
    <col min="4360" max="4360" width="13" style="372" customWidth="1"/>
    <col min="4361" max="4361" width="9.140625" style="372"/>
    <col min="4362" max="4362" width="17.85546875" style="372" bestFit="1" customWidth="1"/>
    <col min="4363" max="4608" width="9.140625" style="372"/>
    <col min="4609" max="4609" width="4.7109375" style="372" customWidth="1"/>
    <col min="4610" max="4610" width="26.28515625" style="372" customWidth="1"/>
    <col min="4611" max="4611" width="21.140625" style="372" customWidth="1"/>
    <col min="4612" max="4612" width="21.28515625" style="372" customWidth="1"/>
    <col min="4613" max="4613" width="12.5703125" style="372" customWidth="1"/>
    <col min="4614" max="4614" width="21.42578125" style="372" customWidth="1"/>
    <col min="4615" max="4615" width="12.7109375" style="372" customWidth="1"/>
    <col min="4616" max="4616" width="13" style="372" customWidth="1"/>
    <col min="4617" max="4617" width="9.140625" style="372"/>
    <col min="4618" max="4618" width="17.85546875" style="372" bestFit="1" customWidth="1"/>
    <col min="4619" max="4864" width="9.140625" style="372"/>
    <col min="4865" max="4865" width="4.7109375" style="372" customWidth="1"/>
    <col min="4866" max="4866" width="26.28515625" style="372" customWidth="1"/>
    <col min="4867" max="4867" width="21.140625" style="372" customWidth="1"/>
    <col min="4868" max="4868" width="21.28515625" style="372" customWidth="1"/>
    <col min="4869" max="4869" width="12.5703125" style="372" customWidth="1"/>
    <col min="4870" max="4870" width="21.42578125" style="372" customWidth="1"/>
    <col min="4871" max="4871" width="12.7109375" style="372" customWidth="1"/>
    <col min="4872" max="4872" width="13" style="372" customWidth="1"/>
    <col min="4873" max="4873" width="9.140625" style="372"/>
    <col min="4874" max="4874" width="17.85546875" style="372" bestFit="1" customWidth="1"/>
    <col min="4875" max="5120" width="9.140625" style="372"/>
    <col min="5121" max="5121" width="4.7109375" style="372" customWidth="1"/>
    <col min="5122" max="5122" width="26.28515625" style="372" customWidth="1"/>
    <col min="5123" max="5123" width="21.140625" style="372" customWidth="1"/>
    <col min="5124" max="5124" width="21.28515625" style="372" customWidth="1"/>
    <col min="5125" max="5125" width="12.5703125" style="372" customWidth="1"/>
    <col min="5126" max="5126" width="21.42578125" style="372" customWidth="1"/>
    <col min="5127" max="5127" width="12.7109375" style="372" customWidth="1"/>
    <col min="5128" max="5128" width="13" style="372" customWidth="1"/>
    <col min="5129" max="5129" width="9.140625" style="372"/>
    <col min="5130" max="5130" width="17.85546875" style="372" bestFit="1" customWidth="1"/>
    <col min="5131" max="5376" width="9.140625" style="372"/>
    <col min="5377" max="5377" width="4.7109375" style="372" customWidth="1"/>
    <col min="5378" max="5378" width="26.28515625" style="372" customWidth="1"/>
    <col min="5379" max="5379" width="21.140625" style="372" customWidth="1"/>
    <col min="5380" max="5380" width="21.28515625" style="372" customWidth="1"/>
    <col min="5381" max="5381" width="12.5703125" style="372" customWidth="1"/>
    <col min="5382" max="5382" width="21.42578125" style="372" customWidth="1"/>
    <col min="5383" max="5383" width="12.7109375" style="372" customWidth="1"/>
    <col min="5384" max="5384" width="13" style="372" customWidth="1"/>
    <col min="5385" max="5385" width="9.140625" style="372"/>
    <col min="5386" max="5386" width="17.85546875" style="372" bestFit="1" customWidth="1"/>
    <col min="5387" max="5632" width="9.140625" style="372"/>
    <col min="5633" max="5633" width="4.7109375" style="372" customWidth="1"/>
    <col min="5634" max="5634" width="26.28515625" style="372" customWidth="1"/>
    <col min="5635" max="5635" width="21.140625" style="372" customWidth="1"/>
    <col min="5636" max="5636" width="21.28515625" style="372" customWidth="1"/>
    <col min="5637" max="5637" width="12.5703125" style="372" customWidth="1"/>
    <col min="5638" max="5638" width="21.42578125" style="372" customWidth="1"/>
    <col min="5639" max="5639" width="12.7109375" style="372" customWidth="1"/>
    <col min="5640" max="5640" width="13" style="372" customWidth="1"/>
    <col min="5641" max="5641" width="9.140625" style="372"/>
    <col min="5642" max="5642" width="17.85546875" style="372" bestFit="1" customWidth="1"/>
    <col min="5643" max="5888" width="9.140625" style="372"/>
    <col min="5889" max="5889" width="4.7109375" style="372" customWidth="1"/>
    <col min="5890" max="5890" width="26.28515625" style="372" customWidth="1"/>
    <col min="5891" max="5891" width="21.140625" style="372" customWidth="1"/>
    <col min="5892" max="5892" width="21.28515625" style="372" customWidth="1"/>
    <col min="5893" max="5893" width="12.5703125" style="372" customWidth="1"/>
    <col min="5894" max="5894" width="21.42578125" style="372" customWidth="1"/>
    <col min="5895" max="5895" width="12.7109375" style="372" customWidth="1"/>
    <col min="5896" max="5896" width="13" style="372" customWidth="1"/>
    <col min="5897" max="5897" width="9.140625" style="372"/>
    <col min="5898" max="5898" width="17.85546875" style="372" bestFit="1" customWidth="1"/>
    <col min="5899" max="6144" width="9.140625" style="372"/>
    <col min="6145" max="6145" width="4.7109375" style="372" customWidth="1"/>
    <col min="6146" max="6146" width="26.28515625" style="372" customWidth="1"/>
    <col min="6147" max="6147" width="21.140625" style="372" customWidth="1"/>
    <col min="6148" max="6148" width="21.28515625" style="372" customWidth="1"/>
    <col min="6149" max="6149" width="12.5703125" style="372" customWidth="1"/>
    <col min="6150" max="6150" width="21.42578125" style="372" customWidth="1"/>
    <col min="6151" max="6151" width="12.7109375" style="372" customWidth="1"/>
    <col min="6152" max="6152" width="13" style="372" customWidth="1"/>
    <col min="6153" max="6153" width="9.140625" style="372"/>
    <col min="6154" max="6154" width="17.85546875" style="372" bestFit="1" customWidth="1"/>
    <col min="6155" max="6400" width="9.140625" style="372"/>
    <col min="6401" max="6401" width="4.7109375" style="372" customWidth="1"/>
    <col min="6402" max="6402" width="26.28515625" style="372" customWidth="1"/>
    <col min="6403" max="6403" width="21.140625" style="372" customWidth="1"/>
    <col min="6404" max="6404" width="21.28515625" style="372" customWidth="1"/>
    <col min="6405" max="6405" width="12.5703125" style="372" customWidth="1"/>
    <col min="6406" max="6406" width="21.42578125" style="372" customWidth="1"/>
    <col min="6407" max="6407" width="12.7109375" style="372" customWidth="1"/>
    <col min="6408" max="6408" width="13" style="372" customWidth="1"/>
    <col min="6409" max="6409" width="9.140625" style="372"/>
    <col min="6410" max="6410" width="17.85546875" style="372" bestFit="1" customWidth="1"/>
    <col min="6411" max="6656" width="9.140625" style="372"/>
    <col min="6657" max="6657" width="4.7109375" style="372" customWidth="1"/>
    <col min="6658" max="6658" width="26.28515625" style="372" customWidth="1"/>
    <col min="6659" max="6659" width="21.140625" style="372" customWidth="1"/>
    <col min="6660" max="6660" width="21.28515625" style="372" customWidth="1"/>
    <col min="6661" max="6661" width="12.5703125" style="372" customWidth="1"/>
    <col min="6662" max="6662" width="21.42578125" style="372" customWidth="1"/>
    <col min="6663" max="6663" width="12.7109375" style="372" customWidth="1"/>
    <col min="6664" max="6664" width="13" style="372" customWidth="1"/>
    <col min="6665" max="6665" width="9.140625" style="372"/>
    <col min="6666" max="6666" width="17.85546875" style="372" bestFit="1" customWidth="1"/>
    <col min="6667" max="6912" width="9.140625" style="372"/>
    <col min="6913" max="6913" width="4.7109375" style="372" customWidth="1"/>
    <col min="6914" max="6914" width="26.28515625" style="372" customWidth="1"/>
    <col min="6915" max="6915" width="21.140625" style="372" customWidth="1"/>
    <col min="6916" max="6916" width="21.28515625" style="372" customWidth="1"/>
    <col min="6917" max="6917" width="12.5703125" style="372" customWidth="1"/>
    <col min="6918" max="6918" width="21.42578125" style="372" customWidth="1"/>
    <col min="6919" max="6919" width="12.7109375" style="372" customWidth="1"/>
    <col min="6920" max="6920" width="13" style="372" customWidth="1"/>
    <col min="6921" max="6921" width="9.140625" style="372"/>
    <col min="6922" max="6922" width="17.85546875" style="372" bestFit="1" customWidth="1"/>
    <col min="6923" max="7168" width="9.140625" style="372"/>
    <col min="7169" max="7169" width="4.7109375" style="372" customWidth="1"/>
    <col min="7170" max="7170" width="26.28515625" style="372" customWidth="1"/>
    <col min="7171" max="7171" width="21.140625" style="372" customWidth="1"/>
    <col min="7172" max="7172" width="21.28515625" style="372" customWidth="1"/>
    <col min="7173" max="7173" width="12.5703125" style="372" customWidth="1"/>
    <col min="7174" max="7174" width="21.42578125" style="372" customWidth="1"/>
    <col min="7175" max="7175" width="12.7109375" style="372" customWidth="1"/>
    <col min="7176" max="7176" width="13" style="372" customWidth="1"/>
    <col min="7177" max="7177" width="9.140625" style="372"/>
    <col min="7178" max="7178" width="17.85546875" style="372" bestFit="1" customWidth="1"/>
    <col min="7179" max="7424" width="9.140625" style="372"/>
    <col min="7425" max="7425" width="4.7109375" style="372" customWidth="1"/>
    <col min="7426" max="7426" width="26.28515625" style="372" customWidth="1"/>
    <col min="7427" max="7427" width="21.140625" style="372" customWidth="1"/>
    <col min="7428" max="7428" width="21.28515625" style="372" customWidth="1"/>
    <col min="7429" max="7429" width="12.5703125" style="372" customWidth="1"/>
    <col min="7430" max="7430" width="21.42578125" style="372" customWidth="1"/>
    <col min="7431" max="7431" width="12.7109375" style="372" customWidth="1"/>
    <col min="7432" max="7432" width="13" style="372" customWidth="1"/>
    <col min="7433" max="7433" width="9.140625" style="372"/>
    <col min="7434" max="7434" width="17.85546875" style="372" bestFit="1" customWidth="1"/>
    <col min="7435" max="7680" width="9.140625" style="372"/>
    <col min="7681" max="7681" width="4.7109375" style="372" customWidth="1"/>
    <col min="7682" max="7682" width="26.28515625" style="372" customWidth="1"/>
    <col min="7683" max="7683" width="21.140625" style="372" customWidth="1"/>
    <col min="7684" max="7684" width="21.28515625" style="372" customWidth="1"/>
    <col min="7685" max="7685" width="12.5703125" style="372" customWidth="1"/>
    <col min="7686" max="7686" width="21.42578125" style="372" customWidth="1"/>
    <col min="7687" max="7687" width="12.7109375" style="372" customWidth="1"/>
    <col min="7688" max="7688" width="13" style="372" customWidth="1"/>
    <col min="7689" max="7689" width="9.140625" style="372"/>
    <col min="7690" max="7690" width="17.85546875" style="372" bestFit="1" customWidth="1"/>
    <col min="7691" max="7936" width="9.140625" style="372"/>
    <col min="7937" max="7937" width="4.7109375" style="372" customWidth="1"/>
    <col min="7938" max="7938" width="26.28515625" style="372" customWidth="1"/>
    <col min="7939" max="7939" width="21.140625" style="372" customWidth="1"/>
    <col min="7940" max="7940" width="21.28515625" style="372" customWidth="1"/>
    <col min="7941" max="7941" width="12.5703125" style="372" customWidth="1"/>
    <col min="7942" max="7942" width="21.42578125" style="372" customWidth="1"/>
    <col min="7943" max="7943" width="12.7109375" style="372" customWidth="1"/>
    <col min="7944" max="7944" width="13" style="372" customWidth="1"/>
    <col min="7945" max="7945" width="9.140625" style="372"/>
    <col min="7946" max="7946" width="17.85546875" style="372" bestFit="1" customWidth="1"/>
    <col min="7947" max="8192" width="9.140625" style="372"/>
    <col min="8193" max="8193" width="4.7109375" style="372" customWidth="1"/>
    <col min="8194" max="8194" width="26.28515625" style="372" customWidth="1"/>
    <col min="8195" max="8195" width="21.140625" style="372" customWidth="1"/>
    <col min="8196" max="8196" width="21.28515625" style="372" customWidth="1"/>
    <col min="8197" max="8197" width="12.5703125" style="372" customWidth="1"/>
    <col min="8198" max="8198" width="21.42578125" style="372" customWidth="1"/>
    <col min="8199" max="8199" width="12.7109375" style="372" customWidth="1"/>
    <col min="8200" max="8200" width="13" style="372" customWidth="1"/>
    <col min="8201" max="8201" width="9.140625" style="372"/>
    <col min="8202" max="8202" width="17.85546875" style="372" bestFit="1" customWidth="1"/>
    <col min="8203" max="8448" width="9.140625" style="372"/>
    <col min="8449" max="8449" width="4.7109375" style="372" customWidth="1"/>
    <col min="8450" max="8450" width="26.28515625" style="372" customWidth="1"/>
    <col min="8451" max="8451" width="21.140625" style="372" customWidth="1"/>
    <col min="8452" max="8452" width="21.28515625" style="372" customWidth="1"/>
    <col min="8453" max="8453" width="12.5703125" style="372" customWidth="1"/>
    <col min="8454" max="8454" width="21.42578125" style="372" customWidth="1"/>
    <col min="8455" max="8455" width="12.7109375" style="372" customWidth="1"/>
    <col min="8456" max="8456" width="13" style="372" customWidth="1"/>
    <col min="8457" max="8457" width="9.140625" style="372"/>
    <col min="8458" max="8458" width="17.85546875" style="372" bestFit="1" customWidth="1"/>
    <col min="8459" max="8704" width="9.140625" style="372"/>
    <col min="8705" max="8705" width="4.7109375" style="372" customWidth="1"/>
    <col min="8706" max="8706" width="26.28515625" style="372" customWidth="1"/>
    <col min="8707" max="8707" width="21.140625" style="372" customWidth="1"/>
    <col min="8708" max="8708" width="21.28515625" style="372" customWidth="1"/>
    <col min="8709" max="8709" width="12.5703125" style="372" customWidth="1"/>
    <col min="8710" max="8710" width="21.42578125" style="372" customWidth="1"/>
    <col min="8711" max="8711" width="12.7109375" style="372" customWidth="1"/>
    <col min="8712" max="8712" width="13" style="372" customWidth="1"/>
    <col min="8713" max="8713" width="9.140625" style="372"/>
    <col min="8714" max="8714" width="17.85546875" style="372" bestFit="1" customWidth="1"/>
    <col min="8715" max="8960" width="9.140625" style="372"/>
    <col min="8961" max="8961" width="4.7109375" style="372" customWidth="1"/>
    <col min="8962" max="8962" width="26.28515625" style="372" customWidth="1"/>
    <col min="8963" max="8963" width="21.140625" style="372" customWidth="1"/>
    <col min="8964" max="8964" width="21.28515625" style="372" customWidth="1"/>
    <col min="8965" max="8965" width="12.5703125" style="372" customWidth="1"/>
    <col min="8966" max="8966" width="21.42578125" style="372" customWidth="1"/>
    <col min="8967" max="8967" width="12.7109375" style="372" customWidth="1"/>
    <col min="8968" max="8968" width="13" style="372" customWidth="1"/>
    <col min="8969" max="8969" width="9.140625" style="372"/>
    <col min="8970" max="8970" width="17.85546875" style="372" bestFit="1" customWidth="1"/>
    <col min="8971" max="9216" width="9.140625" style="372"/>
    <col min="9217" max="9217" width="4.7109375" style="372" customWidth="1"/>
    <col min="9218" max="9218" width="26.28515625" style="372" customWidth="1"/>
    <col min="9219" max="9219" width="21.140625" style="372" customWidth="1"/>
    <col min="9220" max="9220" width="21.28515625" style="372" customWidth="1"/>
    <col min="9221" max="9221" width="12.5703125" style="372" customWidth="1"/>
    <col min="9222" max="9222" width="21.42578125" style="372" customWidth="1"/>
    <col min="9223" max="9223" width="12.7109375" style="372" customWidth="1"/>
    <col min="9224" max="9224" width="13" style="372" customWidth="1"/>
    <col min="9225" max="9225" width="9.140625" style="372"/>
    <col min="9226" max="9226" width="17.85546875" style="372" bestFit="1" customWidth="1"/>
    <col min="9227" max="9472" width="9.140625" style="372"/>
    <col min="9473" max="9473" width="4.7109375" style="372" customWidth="1"/>
    <col min="9474" max="9474" width="26.28515625" style="372" customWidth="1"/>
    <col min="9475" max="9475" width="21.140625" style="372" customWidth="1"/>
    <col min="9476" max="9476" width="21.28515625" style="372" customWidth="1"/>
    <col min="9477" max="9477" width="12.5703125" style="372" customWidth="1"/>
    <col min="9478" max="9478" width="21.42578125" style="372" customWidth="1"/>
    <col min="9479" max="9479" width="12.7109375" style="372" customWidth="1"/>
    <col min="9480" max="9480" width="13" style="372" customWidth="1"/>
    <col min="9481" max="9481" width="9.140625" style="372"/>
    <col min="9482" max="9482" width="17.85546875" style="372" bestFit="1" customWidth="1"/>
    <col min="9483" max="9728" width="9.140625" style="372"/>
    <col min="9729" max="9729" width="4.7109375" style="372" customWidth="1"/>
    <col min="9730" max="9730" width="26.28515625" style="372" customWidth="1"/>
    <col min="9731" max="9731" width="21.140625" style="372" customWidth="1"/>
    <col min="9732" max="9732" width="21.28515625" style="372" customWidth="1"/>
    <col min="9733" max="9733" width="12.5703125" style="372" customWidth="1"/>
    <col min="9734" max="9734" width="21.42578125" style="372" customWidth="1"/>
    <col min="9735" max="9735" width="12.7109375" style="372" customWidth="1"/>
    <col min="9736" max="9736" width="13" style="372" customWidth="1"/>
    <col min="9737" max="9737" width="9.140625" style="372"/>
    <col min="9738" max="9738" width="17.85546875" style="372" bestFit="1" customWidth="1"/>
    <col min="9739" max="9984" width="9.140625" style="372"/>
    <col min="9985" max="9985" width="4.7109375" style="372" customWidth="1"/>
    <col min="9986" max="9986" width="26.28515625" style="372" customWidth="1"/>
    <col min="9987" max="9987" width="21.140625" style="372" customWidth="1"/>
    <col min="9988" max="9988" width="21.28515625" style="372" customWidth="1"/>
    <col min="9989" max="9989" width="12.5703125" style="372" customWidth="1"/>
    <col min="9990" max="9990" width="21.42578125" style="372" customWidth="1"/>
    <col min="9991" max="9991" width="12.7109375" style="372" customWidth="1"/>
    <col min="9992" max="9992" width="13" style="372" customWidth="1"/>
    <col min="9993" max="9993" width="9.140625" style="372"/>
    <col min="9994" max="9994" width="17.85546875" style="372" bestFit="1" customWidth="1"/>
    <col min="9995" max="10240" width="9.140625" style="372"/>
    <col min="10241" max="10241" width="4.7109375" style="372" customWidth="1"/>
    <col min="10242" max="10242" width="26.28515625" style="372" customWidth="1"/>
    <col min="10243" max="10243" width="21.140625" style="372" customWidth="1"/>
    <col min="10244" max="10244" width="21.28515625" style="372" customWidth="1"/>
    <col min="10245" max="10245" width="12.5703125" style="372" customWidth="1"/>
    <col min="10246" max="10246" width="21.42578125" style="372" customWidth="1"/>
    <col min="10247" max="10247" width="12.7109375" style="372" customWidth="1"/>
    <col min="10248" max="10248" width="13" style="372" customWidth="1"/>
    <col min="10249" max="10249" width="9.140625" style="372"/>
    <col min="10250" max="10250" width="17.85546875" style="372" bestFit="1" customWidth="1"/>
    <col min="10251" max="10496" width="9.140625" style="372"/>
    <col min="10497" max="10497" width="4.7109375" style="372" customWidth="1"/>
    <col min="10498" max="10498" width="26.28515625" style="372" customWidth="1"/>
    <col min="10499" max="10499" width="21.140625" style="372" customWidth="1"/>
    <col min="10500" max="10500" width="21.28515625" style="372" customWidth="1"/>
    <col min="10501" max="10501" width="12.5703125" style="372" customWidth="1"/>
    <col min="10502" max="10502" width="21.42578125" style="372" customWidth="1"/>
    <col min="10503" max="10503" width="12.7109375" style="372" customWidth="1"/>
    <col min="10504" max="10504" width="13" style="372" customWidth="1"/>
    <col min="10505" max="10505" width="9.140625" style="372"/>
    <col min="10506" max="10506" width="17.85546875" style="372" bestFit="1" customWidth="1"/>
    <col min="10507" max="10752" width="9.140625" style="372"/>
    <col min="10753" max="10753" width="4.7109375" style="372" customWidth="1"/>
    <col min="10754" max="10754" width="26.28515625" style="372" customWidth="1"/>
    <col min="10755" max="10755" width="21.140625" style="372" customWidth="1"/>
    <col min="10756" max="10756" width="21.28515625" style="372" customWidth="1"/>
    <col min="10757" max="10757" width="12.5703125" style="372" customWidth="1"/>
    <col min="10758" max="10758" width="21.42578125" style="372" customWidth="1"/>
    <col min="10759" max="10759" width="12.7109375" style="372" customWidth="1"/>
    <col min="10760" max="10760" width="13" style="372" customWidth="1"/>
    <col min="10761" max="10761" width="9.140625" style="372"/>
    <col min="10762" max="10762" width="17.85546875" style="372" bestFit="1" customWidth="1"/>
    <col min="10763" max="11008" width="9.140625" style="372"/>
    <col min="11009" max="11009" width="4.7109375" style="372" customWidth="1"/>
    <col min="11010" max="11010" width="26.28515625" style="372" customWidth="1"/>
    <col min="11011" max="11011" width="21.140625" style="372" customWidth="1"/>
    <col min="11012" max="11012" width="21.28515625" style="372" customWidth="1"/>
    <col min="11013" max="11013" width="12.5703125" style="372" customWidth="1"/>
    <col min="11014" max="11014" width="21.42578125" style="372" customWidth="1"/>
    <col min="11015" max="11015" width="12.7109375" style="372" customWidth="1"/>
    <col min="11016" max="11016" width="13" style="372" customWidth="1"/>
    <col min="11017" max="11017" width="9.140625" style="372"/>
    <col min="11018" max="11018" width="17.85546875" style="372" bestFit="1" customWidth="1"/>
    <col min="11019" max="11264" width="9.140625" style="372"/>
    <col min="11265" max="11265" width="4.7109375" style="372" customWidth="1"/>
    <col min="11266" max="11266" width="26.28515625" style="372" customWidth="1"/>
    <col min="11267" max="11267" width="21.140625" style="372" customWidth="1"/>
    <col min="11268" max="11268" width="21.28515625" style="372" customWidth="1"/>
    <col min="11269" max="11269" width="12.5703125" style="372" customWidth="1"/>
    <col min="11270" max="11270" width="21.42578125" style="372" customWidth="1"/>
    <col min="11271" max="11271" width="12.7109375" style="372" customWidth="1"/>
    <col min="11272" max="11272" width="13" style="372" customWidth="1"/>
    <col min="11273" max="11273" width="9.140625" style="372"/>
    <col min="11274" max="11274" width="17.85546875" style="372" bestFit="1" customWidth="1"/>
    <col min="11275" max="11520" width="9.140625" style="372"/>
    <col min="11521" max="11521" width="4.7109375" style="372" customWidth="1"/>
    <col min="11522" max="11522" width="26.28515625" style="372" customWidth="1"/>
    <col min="11523" max="11523" width="21.140625" style="372" customWidth="1"/>
    <col min="11524" max="11524" width="21.28515625" style="372" customWidth="1"/>
    <col min="11525" max="11525" width="12.5703125" style="372" customWidth="1"/>
    <col min="11526" max="11526" width="21.42578125" style="372" customWidth="1"/>
    <col min="11527" max="11527" width="12.7109375" style="372" customWidth="1"/>
    <col min="11528" max="11528" width="13" style="372" customWidth="1"/>
    <col min="11529" max="11529" width="9.140625" style="372"/>
    <col min="11530" max="11530" width="17.85546875" style="372" bestFit="1" customWidth="1"/>
    <col min="11531" max="11776" width="9.140625" style="372"/>
    <col min="11777" max="11777" width="4.7109375" style="372" customWidth="1"/>
    <col min="11778" max="11778" width="26.28515625" style="372" customWidth="1"/>
    <col min="11779" max="11779" width="21.140625" style="372" customWidth="1"/>
    <col min="11780" max="11780" width="21.28515625" style="372" customWidth="1"/>
    <col min="11781" max="11781" width="12.5703125" style="372" customWidth="1"/>
    <col min="11782" max="11782" width="21.42578125" style="372" customWidth="1"/>
    <col min="11783" max="11783" width="12.7109375" style="372" customWidth="1"/>
    <col min="11784" max="11784" width="13" style="372" customWidth="1"/>
    <col min="11785" max="11785" width="9.140625" style="372"/>
    <col min="11786" max="11786" width="17.85546875" style="372" bestFit="1" customWidth="1"/>
    <col min="11787" max="12032" width="9.140625" style="372"/>
    <col min="12033" max="12033" width="4.7109375" style="372" customWidth="1"/>
    <col min="12034" max="12034" width="26.28515625" style="372" customWidth="1"/>
    <col min="12035" max="12035" width="21.140625" style="372" customWidth="1"/>
    <col min="12036" max="12036" width="21.28515625" style="372" customWidth="1"/>
    <col min="12037" max="12037" width="12.5703125" style="372" customWidth="1"/>
    <col min="12038" max="12038" width="21.42578125" style="372" customWidth="1"/>
    <col min="12039" max="12039" width="12.7109375" style="372" customWidth="1"/>
    <col min="12040" max="12040" width="13" style="372" customWidth="1"/>
    <col min="12041" max="12041" width="9.140625" style="372"/>
    <col min="12042" max="12042" width="17.85546875" style="372" bestFit="1" customWidth="1"/>
    <col min="12043" max="12288" width="9.140625" style="372"/>
    <col min="12289" max="12289" width="4.7109375" style="372" customWidth="1"/>
    <col min="12290" max="12290" width="26.28515625" style="372" customWidth="1"/>
    <col min="12291" max="12291" width="21.140625" style="372" customWidth="1"/>
    <col min="12292" max="12292" width="21.28515625" style="372" customWidth="1"/>
    <col min="12293" max="12293" width="12.5703125" style="372" customWidth="1"/>
    <col min="12294" max="12294" width="21.42578125" style="372" customWidth="1"/>
    <col min="12295" max="12295" width="12.7109375" style="372" customWidth="1"/>
    <col min="12296" max="12296" width="13" style="372" customWidth="1"/>
    <col min="12297" max="12297" width="9.140625" style="372"/>
    <col min="12298" max="12298" width="17.85546875" style="372" bestFit="1" customWidth="1"/>
    <col min="12299" max="12544" width="9.140625" style="372"/>
    <col min="12545" max="12545" width="4.7109375" style="372" customWidth="1"/>
    <col min="12546" max="12546" width="26.28515625" style="372" customWidth="1"/>
    <col min="12547" max="12547" width="21.140625" style="372" customWidth="1"/>
    <col min="12548" max="12548" width="21.28515625" style="372" customWidth="1"/>
    <col min="12549" max="12549" width="12.5703125" style="372" customWidth="1"/>
    <col min="12550" max="12550" width="21.42578125" style="372" customWidth="1"/>
    <col min="12551" max="12551" width="12.7109375" style="372" customWidth="1"/>
    <col min="12552" max="12552" width="13" style="372" customWidth="1"/>
    <col min="12553" max="12553" width="9.140625" style="372"/>
    <col min="12554" max="12554" width="17.85546875" style="372" bestFit="1" customWidth="1"/>
    <col min="12555" max="12800" width="9.140625" style="372"/>
    <col min="12801" max="12801" width="4.7109375" style="372" customWidth="1"/>
    <col min="12802" max="12802" width="26.28515625" style="372" customWidth="1"/>
    <col min="12803" max="12803" width="21.140625" style="372" customWidth="1"/>
    <col min="12804" max="12804" width="21.28515625" style="372" customWidth="1"/>
    <col min="12805" max="12805" width="12.5703125" style="372" customWidth="1"/>
    <col min="12806" max="12806" width="21.42578125" style="372" customWidth="1"/>
    <col min="12807" max="12807" width="12.7109375" style="372" customWidth="1"/>
    <col min="12808" max="12808" width="13" style="372" customWidth="1"/>
    <col min="12809" max="12809" width="9.140625" style="372"/>
    <col min="12810" max="12810" width="17.85546875" style="372" bestFit="1" customWidth="1"/>
    <col min="12811" max="13056" width="9.140625" style="372"/>
    <col min="13057" max="13057" width="4.7109375" style="372" customWidth="1"/>
    <col min="13058" max="13058" width="26.28515625" style="372" customWidth="1"/>
    <col min="13059" max="13059" width="21.140625" style="372" customWidth="1"/>
    <col min="13060" max="13060" width="21.28515625" style="372" customWidth="1"/>
    <col min="13061" max="13061" width="12.5703125" style="372" customWidth="1"/>
    <col min="13062" max="13062" width="21.42578125" style="372" customWidth="1"/>
    <col min="13063" max="13063" width="12.7109375" style="372" customWidth="1"/>
    <col min="13064" max="13064" width="13" style="372" customWidth="1"/>
    <col min="13065" max="13065" width="9.140625" style="372"/>
    <col min="13066" max="13066" width="17.85546875" style="372" bestFit="1" customWidth="1"/>
    <col min="13067" max="13312" width="9.140625" style="372"/>
    <col min="13313" max="13313" width="4.7109375" style="372" customWidth="1"/>
    <col min="13314" max="13314" width="26.28515625" style="372" customWidth="1"/>
    <col min="13315" max="13315" width="21.140625" style="372" customWidth="1"/>
    <col min="13316" max="13316" width="21.28515625" style="372" customWidth="1"/>
    <col min="13317" max="13317" width="12.5703125" style="372" customWidth="1"/>
    <col min="13318" max="13318" width="21.42578125" style="372" customWidth="1"/>
    <col min="13319" max="13319" width="12.7109375" style="372" customWidth="1"/>
    <col min="13320" max="13320" width="13" style="372" customWidth="1"/>
    <col min="13321" max="13321" width="9.140625" style="372"/>
    <col min="13322" max="13322" width="17.85546875" style="372" bestFit="1" customWidth="1"/>
    <col min="13323" max="13568" width="9.140625" style="372"/>
    <col min="13569" max="13569" width="4.7109375" style="372" customWidth="1"/>
    <col min="13570" max="13570" width="26.28515625" style="372" customWidth="1"/>
    <col min="13571" max="13571" width="21.140625" style="372" customWidth="1"/>
    <col min="13572" max="13572" width="21.28515625" style="372" customWidth="1"/>
    <col min="13573" max="13573" width="12.5703125" style="372" customWidth="1"/>
    <col min="13574" max="13574" width="21.42578125" style="372" customWidth="1"/>
    <col min="13575" max="13575" width="12.7109375" style="372" customWidth="1"/>
    <col min="13576" max="13576" width="13" style="372" customWidth="1"/>
    <col min="13577" max="13577" width="9.140625" style="372"/>
    <col min="13578" max="13578" width="17.85546875" style="372" bestFit="1" customWidth="1"/>
    <col min="13579" max="13824" width="9.140625" style="372"/>
    <col min="13825" max="13825" width="4.7109375" style="372" customWidth="1"/>
    <col min="13826" max="13826" width="26.28515625" style="372" customWidth="1"/>
    <col min="13827" max="13827" width="21.140625" style="372" customWidth="1"/>
    <col min="13828" max="13828" width="21.28515625" style="372" customWidth="1"/>
    <col min="13829" max="13829" width="12.5703125" style="372" customWidth="1"/>
    <col min="13830" max="13830" width="21.42578125" style="372" customWidth="1"/>
    <col min="13831" max="13831" width="12.7109375" style="372" customWidth="1"/>
    <col min="13832" max="13832" width="13" style="372" customWidth="1"/>
    <col min="13833" max="13833" width="9.140625" style="372"/>
    <col min="13834" max="13834" width="17.85546875" style="372" bestFit="1" customWidth="1"/>
    <col min="13835" max="14080" width="9.140625" style="372"/>
    <col min="14081" max="14081" width="4.7109375" style="372" customWidth="1"/>
    <col min="14082" max="14082" width="26.28515625" style="372" customWidth="1"/>
    <col min="14083" max="14083" width="21.140625" style="372" customWidth="1"/>
    <col min="14084" max="14084" width="21.28515625" style="372" customWidth="1"/>
    <col min="14085" max="14085" width="12.5703125" style="372" customWidth="1"/>
    <col min="14086" max="14086" width="21.42578125" style="372" customWidth="1"/>
    <col min="14087" max="14087" width="12.7109375" style="372" customWidth="1"/>
    <col min="14088" max="14088" width="13" style="372" customWidth="1"/>
    <col min="14089" max="14089" width="9.140625" style="372"/>
    <col min="14090" max="14090" width="17.85546875" style="372" bestFit="1" customWidth="1"/>
    <col min="14091" max="14336" width="9.140625" style="372"/>
    <col min="14337" max="14337" width="4.7109375" style="372" customWidth="1"/>
    <col min="14338" max="14338" width="26.28515625" style="372" customWidth="1"/>
    <col min="14339" max="14339" width="21.140625" style="372" customWidth="1"/>
    <col min="14340" max="14340" width="21.28515625" style="372" customWidth="1"/>
    <col min="14341" max="14341" width="12.5703125" style="372" customWidth="1"/>
    <col min="14342" max="14342" width="21.42578125" style="372" customWidth="1"/>
    <col min="14343" max="14343" width="12.7109375" style="372" customWidth="1"/>
    <col min="14344" max="14344" width="13" style="372" customWidth="1"/>
    <col min="14345" max="14345" width="9.140625" style="372"/>
    <col min="14346" max="14346" width="17.85546875" style="372" bestFit="1" customWidth="1"/>
    <col min="14347" max="14592" width="9.140625" style="372"/>
    <col min="14593" max="14593" width="4.7109375" style="372" customWidth="1"/>
    <col min="14594" max="14594" width="26.28515625" style="372" customWidth="1"/>
    <col min="14595" max="14595" width="21.140625" style="372" customWidth="1"/>
    <col min="14596" max="14596" width="21.28515625" style="372" customWidth="1"/>
    <col min="14597" max="14597" width="12.5703125" style="372" customWidth="1"/>
    <col min="14598" max="14598" width="21.42578125" style="372" customWidth="1"/>
    <col min="14599" max="14599" width="12.7109375" style="372" customWidth="1"/>
    <col min="14600" max="14600" width="13" style="372" customWidth="1"/>
    <col min="14601" max="14601" width="9.140625" style="372"/>
    <col min="14602" max="14602" width="17.85546875" style="372" bestFit="1" customWidth="1"/>
    <col min="14603" max="14848" width="9.140625" style="372"/>
    <col min="14849" max="14849" width="4.7109375" style="372" customWidth="1"/>
    <col min="14850" max="14850" width="26.28515625" style="372" customWidth="1"/>
    <col min="14851" max="14851" width="21.140625" style="372" customWidth="1"/>
    <col min="14852" max="14852" width="21.28515625" style="372" customWidth="1"/>
    <col min="14853" max="14853" width="12.5703125" style="372" customWidth="1"/>
    <col min="14854" max="14854" width="21.42578125" style="372" customWidth="1"/>
    <col min="14855" max="14855" width="12.7109375" style="372" customWidth="1"/>
    <col min="14856" max="14856" width="13" style="372" customWidth="1"/>
    <col min="14857" max="14857" width="9.140625" style="372"/>
    <col min="14858" max="14858" width="17.85546875" style="372" bestFit="1" customWidth="1"/>
    <col min="14859" max="15104" width="9.140625" style="372"/>
    <col min="15105" max="15105" width="4.7109375" style="372" customWidth="1"/>
    <col min="15106" max="15106" width="26.28515625" style="372" customWidth="1"/>
    <col min="15107" max="15107" width="21.140625" style="372" customWidth="1"/>
    <col min="15108" max="15108" width="21.28515625" style="372" customWidth="1"/>
    <col min="15109" max="15109" width="12.5703125" style="372" customWidth="1"/>
    <col min="15110" max="15110" width="21.42578125" style="372" customWidth="1"/>
    <col min="15111" max="15111" width="12.7109375" style="372" customWidth="1"/>
    <col min="15112" max="15112" width="13" style="372" customWidth="1"/>
    <col min="15113" max="15113" width="9.140625" style="372"/>
    <col min="15114" max="15114" width="17.85546875" style="372" bestFit="1" customWidth="1"/>
    <col min="15115" max="15360" width="9.140625" style="372"/>
    <col min="15361" max="15361" width="4.7109375" style="372" customWidth="1"/>
    <col min="15362" max="15362" width="26.28515625" style="372" customWidth="1"/>
    <col min="15363" max="15363" width="21.140625" style="372" customWidth="1"/>
    <col min="15364" max="15364" width="21.28515625" style="372" customWidth="1"/>
    <col min="15365" max="15365" width="12.5703125" style="372" customWidth="1"/>
    <col min="15366" max="15366" width="21.42578125" style="372" customWidth="1"/>
    <col min="15367" max="15367" width="12.7109375" style="372" customWidth="1"/>
    <col min="15368" max="15368" width="13" style="372" customWidth="1"/>
    <col min="15369" max="15369" width="9.140625" style="372"/>
    <col min="15370" max="15370" width="17.85546875" style="372" bestFit="1" customWidth="1"/>
    <col min="15371" max="15616" width="9.140625" style="372"/>
    <col min="15617" max="15617" width="4.7109375" style="372" customWidth="1"/>
    <col min="15618" max="15618" width="26.28515625" style="372" customWidth="1"/>
    <col min="15619" max="15619" width="21.140625" style="372" customWidth="1"/>
    <col min="15620" max="15620" width="21.28515625" style="372" customWidth="1"/>
    <col min="15621" max="15621" width="12.5703125" style="372" customWidth="1"/>
    <col min="15622" max="15622" width="21.42578125" style="372" customWidth="1"/>
    <col min="15623" max="15623" width="12.7109375" style="372" customWidth="1"/>
    <col min="15624" max="15624" width="13" style="372" customWidth="1"/>
    <col min="15625" max="15625" width="9.140625" style="372"/>
    <col min="15626" max="15626" width="17.85546875" style="372" bestFit="1" customWidth="1"/>
    <col min="15627" max="15872" width="9.140625" style="372"/>
    <col min="15873" max="15873" width="4.7109375" style="372" customWidth="1"/>
    <col min="15874" max="15874" width="26.28515625" style="372" customWidth="1"/>
    <col min="15875" max="15875" width="21.140625" style="372" customWidth="1"/>
    <col min="15876" max="15876" width="21.28515625" style="372" customWidth="1"/>
    <col min="15877" max="15877" width="12.5703125" style="372" customWidth="1"/>
    <col min="15878" max="15878" width="21.42578125" style="372" customWidth="1"/>
    <col min="15879" max="15879" width="12.7109375" style="372" customWidth="1"/>
    <col min="15880" max="15880" width="13" style="372" customWidth="1"/>
    <col min="15881" max="15881" width="9.140625" style="372"/>
    <col min="15882" max="15882" width="17.85546875" style="372" bestFit="1" customWidth="1"/>
    <col min="15883" max="16128" width="9.140625" style="372"/>
    <col min="16129" max="16129" width="4.7109375" style="372" customWidth="1"/>
    <col min="16130" max="16130" width="26.28515625" style="372" customWidth="1"/>
    <col min="16131" max="16131" width="21.140625" style="372" customWidth="1"/>
    <col min="16132" max="16132" width="21.28515625" style="372" customWidth="1"/>
    <col min="16133" max="16133" width="12.5703125" style="372" customWidth="1"/>
    <col min="16134" max="16134" width="21.42578125" style="372" customWidth="1"/>
    <col min="16135" max="16135" width="12.7109375" style="372" customWidth="1"/>
    <col min="16136" max="16136" width="13" style="372" customWidth="1"/>
    <col min="16137" max="16137" width="9.140625" style="372"/>
    <col min="16138" max="16138" width="17.85546875" style="372" bestFit="1" customWidth="1"/>
    <col min="16139" max="16384" width="9.140625" style="372"/>
  </cols>
  <sheetData>
    <row r="1" spans="2:10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</row>
    <row r="2" spans="2:10" s="410" customFormat="1" ht="21" x14ac:dyDescent="0.35">
      <c r="B2" s="411"/>
      <c r="E2" s="412"/>
    </row>
    <row r="3" spans="2:10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</row>
    <row r="4" spans="2:10" s="410" customFormat="1" ht="21" x14ac:dyDescent="0.35">
      <c r="B4" s="411"/>
      <c r="E4" s="412"/>
    </row>
    <row r="5" spans="2:10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</row>
    <row r="6" spans="2:10" s="373" customFormat="1" ht="21" x14ac:dyDescent="0.35">
      <c r="B6" s="374"/>
      <c r="C6" s="375"/>
      <c r="D6" s="375"/>
      <c r="E6" s="375"/>
      <c r="F6" s="375"/>
      <c r="G6" s="375"/>
      <c r="H6" s="375"/>
    </row>
    <row r="7" spans="2:10" ht="15.75" x14ac:dyDescent="0.25">
      <c r="B7" s="1494" t="s">
        <v>7859</v>
      </c>
      <c r="C7" s="1494"/>
      <c r="D7" s="1494"/>
      <c r="E7" s="1494"/>
      <c r="F7" s="1494"/>
      <c r="G7" s="1494"/>
      <c r="H7" s="1494"/>
    </row>
    <row r="8" spans="2:10" ht="15.75" x14ac:dyDescent="0.25">
      <c r="B8" s="1494" t="s">
        <v>7062</v>
      </c>
      <c r="C8" s="1494"/>
      <c r="D8" s="1494"/>
      <c r="E8" s="1494"/>
      <c r="F8" s="1494"/>
      <c r="G8" s="1494"/>
      <c r="H8" s="1494"/>
    </row>
    <row r="9" spans="2:10" s="376" customFormat="1" ht="15.75" x14ac:dyDescent="0.25"/>
    <row r="10" spans="2:10" s="376" customFormat="1" ht="15.75" x14ac:dyDescent="0.25">
      <c r="B10" s="1495" t="s">
        <v>94</v>
      </c>
      <c r="C10" s="1495">
        <v>2017</v>
      </c>
      <c r="D10" s="1495">
        <f>C10+1</f>
        <v>2018</v>
      </c>
      <c r="E10" s="1496" t="s">
        <v>103</v>
      </c>
      <c r="F10" s="1421">
        <f>D10+1</f>
        <v>2019</v>
      </c>
      <c r="G10" s="1496" t="s">
        <v>7064</v>
      </c>
      <c r="H10" s="1421" t="s">
        <v>95</v>
      </c>
    </row>
    <row r="11" spans="2:10" s="376" customFormat="1" ht="15.75" x14ac:dyDescent="0.25">
      <c r="B11" s="1495"/>
      <c r="C11" s="1495"/>
      <c r="D11" s="1495"/>
      <c r="E11" s="1496"/>
      <c r="F11" s="1421" t="s">
        <v>96</v>
      </c>
      <c r="G11" s="1496"/>
      <c r="H11" s="1421" t="s">
        <v>97</v>
      </c>
    </row>
    <row r="12" spans="2:10" s="382" customFormat="1" ht="18" customHeight="1" x14ac:dyDescent="0.25">
      <c r="B12" s="82" t="s">
        <v>1724</v>
      </c>
      <c r="C12" s="379">
        <f>CIG!D304</f>
        <v>128714.75</v>
      </c>
      <c r="D12" s="379">
        <f>CIG!E304</f>
        <v>302457.32</v>
      </c>
      <c r="E12" s="380">
        <f>IF(C12=0,"0,00%",(D12/C12)-1)</f>
        <v>1.3498264184951609</v>
      </c>
      <c r="F12" s="379">
        <f>CIG!G304</f>
        <v>358176</v>
      </c>
      <c r="G12" s="380">
        <f>IF(D12=0,"0,00%",(F12/D12)-1)</f>
        <v>0.18421997523485301</v>
      </c>
      <c r="H12" s="381">
        <f>(E12+G12)/2</f>
        <v>0.76702319686500697</v>
      </c>
    </row>
    <row r="13" spans="2:10" s="382" customFormat="1" ht="18" customHeight="1" x14ac:dyDescent="0.25">
      <c r="B13" s="82" t="s">
        <v>1725</v>
      </c>
      <c r="C13" s="379">
        <f>CIG!D305</f>
        <v>35669.120000000003</v>
      </c>
      <c r="D13" s="379">
        <f>CIG!E305</f>
        <v>35899.65</v>
      </c>
      <c r="E13" s="380">
        <f t="shared" ref="E13:E18" si="0">IF(C13=0,"0,00%",(D13/C13)-1)</f>
        <v>6.4630133852474625E-3</v>
      </c>
      <c r="F13" s="379">
        <f>CIG!G305</f>
        <v>24860.564999999999</v>
      </c>
      <c r="G13" s="380">
        <f t="shared" ref="G13:G31" si="1">IF(D13=0,"0,00%",(F13/D13)-1)</f>
        <v>-0.30749840179500365</v>
      </c>
      <c r="H13" s="381">
        <f t="shared" ref="H13:H29" si="2">(E13+G13)/2</f>
        <v>-0.15051769420487809</v>
      </c>
      <c r="J13" s="383"/>
    </row>
    <row r="14" spans="2:10" s="382" customFormat="1" ht="18" customHeight="1" x14ac:dyDescent="0.25">
      <c r="B14" s="82" t="s">
        <v>1726</v>
      </c>
      <c r="C14" s="379">
        <f>CIG!D306</f>
        <v>27483.48</v>
      </c>
      <c r="D14" s="379">
        <f>CIG!E306</f>
        <v>29697.53</v>
      </c>
      <c r="E14" s="380">
        <f t="shared" si="0"/>
        <v>8.0559303261450221E-2</v>
      </c>
      <c r="F14" s="379">
        <f>CIG!G306</f>
        <v>29865.360000000001</v>
      </c>
      <c r="G14" s="380">
        <f t="shared" si="1"/>
        <v>5.6513117420877723E-3</v>
      </c>
      <c r="H14" s="381">
        <f t="shared" si="2"/>
        <v>4.3105307501768997E-2</v>
      </c>
    </row>
    <row r="15" spans="2:10" s="382" customFormat="1" ht="18" customHeight="1" x14ac:dyDescent="0.25">
      <c r="B15" s="82" t="s">
        <v>1727</v>
      </c>
      <c r="C15" s="379">
        <f>CIG!D307</f>
        <v>0</v>
      </c>
      <c r="D15" s="379">
        <f>CIG!E307</f>
        <v>0</v>
      </c>
      <c r="E15" s="380" t="str">
        <f t="shared" si="0"/>
        <v>0,00%</v>
      </c>
      <c r="F15" s="379">
        <f>CIG!G307</f>
        <v>0</v>
      </c>
      <c r="G15" s="380" t="str">
        <f t="shared" si="1"/>
        <v>0,00%</v>
      </c>
      <c r="H15" s="381">
        <f t="shared" si="2"/>
        <v>0</v>
      </c>
    </row>
    <row r="16" spans="2:10" s="382" customFormat="1" ht="18" customHeight="1" x14ac:dyDescent="0.25">
      <c r="B16" s="82" t="s">
        <v>1728</v>
      </c>
      <c r="C16" s="379">
        <f>CIG!D308</f>
        <v>0</v>
      </c>
      <c r="D16" s="379">
        <f>CIG!E308</f>
        <v>0</v>
      </c>
      <c r="E16" s="380" t="str">
        <f t="shared" si="0"/>
        <v>0,00%</v>
      </c>
      <c r="F16" s="379">
        <f>CIG!G308</f>
        <v>0</v>
      </c>
      <c r="G16" s="380" t="str">
        <f t="shared" si="1"/>
        <v>0,00%</v>
      </c>
      <c r="H16" s="381">
        <f t="shared" si="2"/>
        <v>0</v>
      </c>
      <c r="J16" s="383"/>
    </row>
    <row r="17" spans="2:10" s="382" customFormat="1" ht="18" customHeight="1" x14ac:dyDescent="0.25">
      <c r="B17" s="82" t="s">
        <v>7317</v>
      </c>
      <c r="C17" s="379">
        <f>CIG!D309</f>
        <v>0</v>
      </c>
      <c r="D17" s="379">
        <f>CIG!E309</f>
        <v>0</v>
      </c>
      <c r="E17" s="380" t="str">
        <f t="shared" si="0"/>
        <v>0,00%</v>
      </c>
      <c r="F17" s="379">
        <f>CIG!G309</f>
        <v>140000</v>
      </c>
      <c r="G17" s="380" t="str">
        <f t="shared" si="1"/>
        <v>0,00%</v>
      </c>
      <c r="H17" s="381">
        <f t="shared" si="2"/>
        <v>0</v>
      </c>
    </row>
    <row r="18" spans="2:10" s="1427" customFormat="1" ht="15.75" x14ac:dyDescent="0.25">
      <c r="B18" s="1423" t="s">
        <v>7860</v>
      </c>
      <c r="C18" s="1424">
        <f>SUM(C12:C17)</f>
        <v>191867.35</v>
      </c>
      <c r="D18" s="1424">
        <f>SUM(D12:D17)</f>
        <v>368054.5</v>
      </c>
      <c r="E18" s="1425">
        <f t="shared" si="0"/>
        <v>0.91827582962916821</v>
      </c>
      <c r="F18" s="1424">
        <f>SUM(F12:F17)</f>
        <v>552901.92500000005</v>
      </c>
      <c r="G18" s="1425">
        <f t="shared" si="1"/>
        <v>0.50222840639090149</v>
      </c>
      <c r="H18" s="1426">
        <f t="shared" si="2"/>
        <v>0.71025211801003485</v>
      </c>
      <c r="J18" s="1428"/>
    </row>
    <row r="19" spans="2:10" s="1427" customFormat="1" ht="15.75" x14ac:dyDescent="0.25">
      <c r="B19" s="1429" t="s">
        <v>381</v>
      </c>
      <c r="C19" s="1430">
        <f>CIG!D334</f>
        <v>0</v>
      </c>
      <c r="D19" s="1430">
        <f>CIG!E334</f>
        <v>0</v>
      </c>
      <c r="E19" s="380" t="str">
        <f t="shared" ref="E19:E28" si="3">IF(C19=0,"0,00%",((D19/C19)-1))</f>
        <v>0,00%</v>
      </c>
      <c r="F19" s="379">
        <f>CIG!G334</f>
        <v>0</v>
      </c>
      <c r="G19" s="380" t="str">
        <f t="shared" ref="G19:G28" si="4">IF(D19=0,"0,00%",(F19/D19)-1)</f>
        <v>0,00%</v>
      </c>
      <c r="H19" s="381">
        <f t="shared" ref="H19:H28" si="5">(E19+G19)/2</f>
        <v>0</v>
      </c>
      <c r="J19" s="1428"/>
    </row>
    <row r="20" spans="2:10" s="1427" customFormat="1" ht="15.75" x14ac:dyDescent="0.25">
      <c r="B20" s="1429" t="s">
        <v>382</v>
      </c>
      <c r="C20" s="1430">
        <f>CIG!D335</f>
        <v>0</v>
      </c>
      <c r="D20" s="1430">
        <f>CIG!E335</f>
        <v>0</v>
      </c>
      <c r="E20" s="380" t="str">
        <f t="shared" si="3"/>
        <v>0,00%</v>
      </c>
      <c r="F20" s="379">
        <f>CIG!G335</f>
        <v>0</v>
      </c>
      <c r="G20" s="380" t="str">
        <f t="shared" si="4"/>
        <v>0,00%</v>
      </c>
      <c r="H20" s="381">
        <f t="shared" si="5"/>
        <v>0</v>
      </c>
      <c r="J20" s="1428"/>
    </row>
    <row r="21" spans="2:10" s="1427" customFormat="1" ht="15.75" x14ac:dyDescent="0.25">
      <c r="B21" s="1429" t="s">
        <v>383</v>
      </c>
      <c r="C21" s="1430">
        <f>CIG!D336</f>
        <v>0</v>
      </c>
      <c r="D21" s="1430">
        <f>CIG!E336</f>
        <v>0</v>
      </c>
      <c r="E21" s="380" t="str">
        <f t="shared" si="3"/>
        <v>0,00%</v>
      </c>
      <c r="F21" s="379">
        <f>CIG!G336</f>
        <v>0</v>
      </c>
      <c r="G21" s="380" t="str">
        <f t="shared" si="4"/>
        <v>0,00%</v>
      </c>
      <c r="H21" s="381">
        <f t="shared" si="5"/>
        <v>0</v>
      </c>
      <c r="J21" s="1428"/>
    </row>
    <row r="22" spans="2:10" s="1427" customFormat="1" ht="15.75" x14ac:dyDescent="0.25">
      <c r="B22" s="1429" t="s">
        <v>384</v>
      </c>
      <c r="C22" s="1430">
        <f>CIG!D337</f>
        <v>51000</v>
      </c>
      <c r="D22" s="1430">
        <f>CIG!E337</f>
        <v>99090</v>
      </c>
      <c r="E22" s="380">
        <f t="shared" si="3"/>
        <v>0.94294117647058817</v>
      </c>
      <c r="F22" s="379">
        <f>CIG!G337</f>
        <v>81000</v>
      </c>
      <c r="G22" s="380">
        <f t="shared" si="4"/>
        <v>-0.18256130790190739</v>
      </c>
      <c r="H22" s="381">
        <f t="shared" si="5"/>
        <v>0.38018993428434039</v>
      </c>
      <c r="J22" s="1428"/>
    </row>
    <row r="23" spans="2:10" s="1427" customFormat="1" ht="15.75" x14ac:dyDescent="0.25">
      <c r="B23" s="1429" t="s">
        <v>385</v>
      </c>
      <c r="C23" s="1430">
        <f>CIG!D338</f>
        <v>0</v>
      </c>
      <c r="D23" s="1430">
        <f>CIG!E338</f>
        <v>0</v>
      </c>
      <c r="E23" s="380" t="str">
        <f t="shared" si="3"/>
        <v>0,00%</v>
      </c>
      <c r="F23" s="379">
        <f>CIG!G338</f>
        <v>0</v>
      </c>
      <c r="G23" s="380" t="str">
        <f t="shared" si="4"/>
        <v>0,00%</v>
      </c>
      <c r="H23" s="381">
        <f t="shared" si="5"/>
        <v>0</v>
      </c>
      <c r="J23" s="1428"/>
    </row>
    <row r="24" spans="2:10" s="1427" customFormat="1" ht="15.75" x14ac:dyDescent="0.25">
      <c r="B24" s="1429" t="s">
        <v>386</v>
      </c>
      <c r="C24" s="1430">
        <f>CIG!D339</f>
        <v>67149.3</v>
      </c>
      <c r="D24" s="1430">
        <f>CIG!E339</f>
        <v>88919.83</v>
      </c>
      <c r="E24" s="380">
        <f t="shared" si="3"/>
        <v>0.32421082572714832</v>
      </c>
      <c r="F24" s="379">
        <f>CIG!G339</f>
        <v>86525.459999999992</v>
      </c>
      <c r="G24" s="380">
        <f t="shared" si="4"/>
        <v>-2.6927289447134628E-2</v>
      </c>
      <c r="H24" s="381">
        <f t="shared" si="5"/>
        <v>0.14864176814000685</v>
      </c>
      <c r="J24" s="1428"/>
    </row>
    <row r="25" spans="2:10" s="1427" customFormat="1" ht="15.75" x14ac:dyDescent="0.25">
      <c r="B25" s="1429" t="s">
        <v>387</v>
      </c>
      <c r="C25" s="1430">
        <f>CIG!D340</f>
        <v>5099.16</v>
      </c>
      <c r="D25" s="1430">
        <f>CIG!E340</f>
        <v>13320.6</v>
      </c>
      <c r="E25" s="380">
        <f t="shared" si="3"/>
        <v>1.6123126161956089</v>
      </c>
      <c r="F25" s="379">
        <f>CIG!G340</f>
        <v>10888.74</v>
      </c>
      <c r="G25" s="380">
        <f t="shared" si="4"/>
        <v>-0.18256384847529394</v>
      </c>
      <c r="H25" s="381">
        <f t="shared" si="5"/>
        <v>0.71487438386015745</v>
      </c>
      <c r="J25" s="1428"/>
    </row>
    <row r="26" spans="2:10" s="1427" customFormat="1" ht="15.75" x14ac:dyDescent="0.25">
      <c r="B26" s="1429" t="s">
        <v>388</v>
      </c>
      <c r="C26" s="1430">
        <f>CIG!D341</f>
        <v>59764.01</v>
      </c>
      <c r="D26" s="1430">
        <f>CIG!E341</f>
        <v>32826.14</v>
      </c>
      <c r="E26" s="380">
        <f t="shared" si="3"/>
        <v>-0.45073732502219988</v>
      </c>
      <c r="F26" s="379">
        <f>CIG!G341</f>
        <v>40061.114999999998</v>
      </c>
      <c r="G26" s="380">
        <f t="shared" si="4"/>
        <v>0.22040285577286878</v>
      </c>
      <c r="H26" s="381">
        <f t="shared" si="5"/>
        <v>-0.11516723462466555</v>
      </c>
      <c r="J26" s="1428"/>
    </row>
    <row r="27" spans="2:10" s="1427" customFormat="1" ht="15.75" x14ac:dyDescent="0.25">
      <c r="B27" s="1429" t="s">
        <v>389</v>
      </c>
      <c r="C27" s="1430">
        <f>CIG!D342</f>
        <v>5220</v>
      </c>
      <c r="D27" s="1430">
        <f>CIG!E342</f>
        <v>17960</v>
      </c>
      <c r="E27" s="380">
        <f t="shared" si="3"/>
        <v>2.4406130268199235</v>
      </c>
      <c r="F27" s="379">
        <f>CIG!G342</f>
        <v>10530</v>
      </c>
      <c r="G27" s="380">
        <f t="shared" si="4"/>
        <v>-0.41369710467706011</v>
      </c>
      <c r="H27" s="381">
        <f t="shared" si="5"/>
        <v>1.0134579610714316</v>
      </c>
      <c r="J27" s="1428"/>
    </row>
    <row r="28" spans="2:10" s="1427" customFormat="1" ht="15.75" x14ac:dyDescent="0.25">
      <c r="B28" s="1429" t="s">
        <v>390</v>
      </c>
      <c r="C28" s="1430">
        <f>CIG!D343</f>
        <v>0</v>
      </c>
      <c r="D28" s="1430">
        <f>CIG!E343</f>
        <v>0</v>
      </c>
      <c r="E28" s="380" t="str">
        <f t="shared" si="3"/>
        <v>0,00%</v>
      </c>
      <c r="F28" s="379">
        <f>CIG!G343</f>
        <v>0</v>
      </c>
      <c r="G28" s="380" t="str">
        <f t="shared" si="4"/>
        <v>0,00%</v>
      </c>
      <c r="H28" s="381">
        <f t="shared" si="5"/>
        <v>0</v>
      </c>
      <c r="J28" s="1428"/>
    </row>
    <row r="29" spans="2:10" s="382" customFormat="1" ht="15.75" x14ac:dyDescent="0.25">
      <c r="B29" s="1429" t="s">
        <v>391</v>
      </c>
      <c r="C29" s="1430">
        <f>CIG!D344</f>
        <v>0</v>
      </c>
      <c r="D29" s="1430">
        <f>CIG!E344</f>
        <v>0</v>
      </c>
      <c r="E29" s="380" t="str">
        <f>IF(C29=0,"0,00%",((D29/C29)-1))</f>
        <v>0,00%</v>
      </c>
      <c r="F29" s="379">
        <f>CIG!G344</f>
        <v>0</v>
      </c>
      <c r="G29" s="380" t="str">
        <f t="shared" si="1"/>
        <v>0,00%</v>
      </c>
      <c r="H29" s="381">
        <f t="shared" si="2"/>
        <v>0</v>
      </c>
      <c r="I29" s="384"/>
      <c r="J29" s="384"/>
    </row>
    <row r="30" spans="2:10" s="382" customFormat="1" ht="15.75" x14ac:dyDescent="0.25">
      <c r="B30" s="1423" t="s">
        <v>7861</v>
      </c>
      <c r="C30" s="1424">
        <f>CIG!D325</f>
        <v>57506.37</v>
      </c>
      <c r="D30" s="1424">
        <f>CIG!E325</f>
        <v>60945.3</v>
      </c>
      <c r="E30" s="1425">
        <f>IF(C30=0,"0,00%",(D30/C30)-1)</f>
        <v>5.9800853366331452E-2</v>
      </c>
      <c r="F30" s="1424">
        <f>CIG!G325</f>
        <v>63430.680000000008</v>
      </c>
      <c r="G30" s="1425">
        <f>IF(D30=0,"0,00%",(F30/D30)-1)</f>
        <v>4.0780503172517024E-2</v>
      </c>
      <c r="H30" s="1426">
        <f>(E30+G30)/2</f>
        <v>5.0290678269424238E-2</v>
      </c>
    </row>
    <row r="31" spans="2:10" s="376" customFormat="1" ht="15.75" x14ac:dyDescent="0.25">
      <c r="B31" s="385" t="s">
        <v>100</v>
      </c>
      <c r="C31" s="386">
        <f>C18+C30</f>
        <v>249373.72</v>
      </c>
      <c r="D31" s="386">
        <f>D18+D30</f>
        <v>428999.8</v>
      </c>
      <c r="E31" s="387">
        <f>IF(C31=0,"0,00%",(D31/C31)-1)</f>
        <v>0.72030877993078013</v>
      </c>
      <c r="F31" s="386">
        <f>F18+F30</f>
        <v>616332.6050000001</v>
      </c>
      <c r="G31" s="387">
        <f t="shared" si="1"/>
        <v>0.43667340870555216</v>
      </c>
      <c r="H31" s="388">
        <f>(E31+G31)/2</f>
        <v>0.57849109431816614</v>
      </c>
    </row>
    <row r="32" spans="2:10" s="376" customFormat="1" ht="15.75" x14ac:dyDescent="0.25">
      <c r="B32" s="389"/>
      <c r="C32" s="390"/>
      <c r="D32" s="390"/>
      <c r="E32" s="391"/>
      <c r="F32" s="390"/>
      <c r="G32" s="391"/>
      <c r="H32" s="392"/>
    </row>
    <row r="33" spans="2:8" x14ac:dyDescent="0.25">
      <c r="B33" s="396"/>
    </row>
    <row r="34" spans="2:8" x14ac:dyDescent="0.25">
      <c r="B34" s="396"/>
    </row>
    <row r="35" spans="2:8" x14ac:dyDescent="0.25">
      <c r="B35" s="1420"/>
      <c r="C35" s="1420"/>
      <c r="D35" s="1492"/>
      <c r="E35" s="1492"/>
      <c r="F35" s="1492"/>
      <c r="G35" s="1492"/>
      <c r="H35" s="1492"/>
    </row>
    <row r="36" spans="2:8" x14ac:dyDescent="0.25">
      <c r="B36" s="1420"/>
      <c r="C36" s="1420"/>
      <c r="G36" s="1492"/>
      <c r="H36" s="1492"/>
    </row>
    <row r="37" spans="2:8" x14ac:dyDescent="0.25">
      <c r="B37" s="1420"/>
    </row>
  </sheetData>
  <mergeCells count="13">
    <mergeCell ref="D35:F35"/>
    <mergeCell ref="G35:H35"/>
    <mergeCell ref="G36:H36"/>
    <mergeCell ref="B1:H1"/>
    <mergeCell ref="B3:H3"/>
    <mergeCell ref="B5:H5"/>
    <mergeCell ref="B7:H7"/>
    <mergeCell ref="B8:H8"/>
    <mergeCell ref="B10:B11"/>
    <mergeCell ref="C10:C11"/>
    <mergeCell ref="D10:D11"/>
    <mergeCell ref="E10:E11"/>
    <mergeCell ref="G10:G11"/>
  </mergeCells>
  <pageMargins left="0.51181102362204722" right="0.51181102362204722" top="0.78740157480314965" bottom="0.78740157480314965" header="0.31496062992125984" footer="0.31496062992125984"/>
  <pageSetup paperSize="9" scale="7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0"/>
  <sheetViews>
    <sheetView workbookViewId="0">
      <selection activeCell="B23" sqref="B23"/>
    </sheetView>
  </sheetViews>
  <sheetFormatPr defaultRowHeight="15" x14ac:dyDescent="0.25"/>
  <cols>
    <col min="1" max="1" width="3" customWidth="1"/>
    <col min="2" max="2" width="56.85546875" customWidth="1"/>
    <col min="3" max="3" width="18.85546875" customWidth="1"/>
    <col min="4" max="4" width="19.140625" customWidth="1"/>
    <col min="5" max="5" width="13" customWidth="1"/>
    <col min="6" max="6" width="18.42578125" customWidth="1"/>
    <col min="7" max="7" width="12.5703125" customWidth="1"/>
    <col min="8" max="8" width="10.85546875" customWidth="1"/>
    <col min="256" max="256" width="72" customWidth="1"/>
    <col min="257" max="257" width="17.5703125" customWidth="1"/>
    <col min="258" max="258" width="13.85546875" customWidth="1"/>
    <col min="259" max="259" width="18.85546875" customWidth="1"/>
    <col min="260" max="260" width="19.140625" customWidth="1"/>
    <col min="261" max="261" width="13" customWidth="1"/>
    <col min="262" max="262" width="18.42578125" customWidth="1"/>
    <col min="263" max="263" width="12.5703125" customWidth="1"/>
    <col min="264" max="264" width="10.85546875" customWidth="1"/>
    <col min="512" max="512" width="72" customWidth="1"/>
    <col min="513" max="513" width="17.5703125" customWidth="1"/>
    <col min="514" max="514" width="13.85546875" customWidth="1"/>
    <col min="515" max="515" width="18.85546875" customWidth="1"/>
    <col min="516" max="516" width="19.140625" customWidth="1"/>
    <col min="517" max="517" width="13" customWidth="1"/>
    <col min="518" max="518" width="18.42578125" customWidth="1"/>
    <col min="519" max="519" width="12.5703125" customWidth="1"/>
    <col min="520" max="520" width="10.85546875" customWidth="1"/>
    <col min="768" max="768" width="72" customWidth="1"/>
    <col min="769" max="769" width="17.5703125" customWidth="1"/>
    <col min="770" max="770" width="13.85546875" customWidth="1"/>
    <col min="771" max="771" width="18.85546875" customWidth="1"/>
    <col min="772" max="772" width="19.140625" customWidth="1"/>
    <col min="773" max="773" width="13" customWidth="1"/>
    <col min="774" max="774" width="18.42578125" customWidth="1"/>
    <col min="775" max="775" width="12.5703125" customWidth="1"/>
    <col min="776" max="776" width="10.85546875" customWidth="1"/>
    <col min="1024" max="1024" width="72" customWidth="1"/>
    <col min="1025" max="1025" width="17.5703125" customWidth="1"/>
    <col min="1026" max="1026" width="13.85546875" customWidth="1"/>
    <col min="1027" max="1027" width="18.85546875" customWidth="1"/>
    <col min="1028" max="1028" width="19.140625" customWidth="1"/>
    <col min="1029" max="1029" width="13" customWidth="1"/>
    <col min="1030" max="1030" width="18.42578125" customWidth="1"/>
    <col min="1031" max="1031" width="12.5703125" customWidth="1"/>
    <col min="1032" max="1032" width="10.85546875" customWidth="1"/>
    <col min="1280" max="1280" width="72" customWidth="1"/>
    <col min="1281" max="1281" width="17.5703125" customWidth="1"/>
    <col min="1282" max="1282" width="13.85546875" customWidth="1"/>
    <col min="1283" max="1283" width="18.85546875" customWidth="1"/>
    <col min="1284" max="1284" width="19.140625" customWidth="1"/>
    <col min="1285" max="1285" width="13" customWidth="1"/>
    <col min="1286" max="1286" width="18.42578125" customWidth="1"/>
    <col min="1287" max="1287" width="12.5703125" customWidth="1"/>
    <col min="1288" max="1288" width="10.85546875" customWidth="1"/>
    <col min="1536" max="1536" width="72" customWidth="1"/>
    <col min="1537" max="1537" width="17.5703125" customWidth="1"/>
    <col min="1538" max="1538" width="13.85546875" customWidth="1"/>
    <col min="1539" max="1539" width="18.85546875" customWidth="1"/>
    <col min="1540" max="1540" width="19.140625" customWidth="1"/>
    <col min="1541" max="1541" width="13" customWidth="1"/>
    <col min="1542" max="1542" width="18.42578125" customWidth="1"/>
    <col min="1543" max="1543" width="12.5703125" customWidth="1"/>
    <col min="1544" max="1544" width="10.85546875" customWidth="1"/>
    <col min="1792" max="1792" width="72" customWidth="1"/>
    <col min="1793" max="1793" width="17.5703125" customWidth="1"/>
    <col min="1794" max="1794" width="13.85546875" customWidth="1"/>
    <col min="1795" max="1795" width="18.85546875" customWidth="1"/>
    <col min="1796" max="1796" width="19.140625" customWidth="1"/>
    <col min="1797" max="1797" width="13" customWidth="1"/>
    <col min="1798" max="1798" width="18.42578125" customWidth="1"/>
    <col min="1799" max="1799" width="12.5703125" customWidth="1"/>
    <col min="1800" max="1800" width="10.85546875" customWidth="1"/>
    <col min="2048" max="2048" width="72" customWidth="1"/>
    <col min="2049" max="2049" width="17.5703125" customWidth="1"/>
    <col min="2050" max="2050" width="13.85546875" customWidth="1"/>
    <col min="2051" max="2051" width="18.85546875" customWidth="1"/>
    <col min="2052" max="2052" width="19.140625" customWidth="1"/>
    <col min="2053" max="2053" width="13" customWidth="1"/>
    <col min="2054" max="2054" width="18.42578125" customWidth="1"/>
    <col min="2055" max="2055" width="12.5703125" customWidth="1"/>
    <col min="2056" max="2056" width="10.85546875" customWidth="1"/>
    <col min="2304" max="2304" width="72" customWidth="1"/>
    <col min="2305" max="2305" width="17.5703125" customWidth="1"/>
    <col min="2306" max="2306" width="13.85546875" customWidth="1"/>
    <col min="2307" max="2307" width="18.85546875" customWidth="1"/>
    <col min="2308" max="2308" width="19.140625" customWidth="1"/>
    <col min="2309" max="2309" width="13" customWidth="1"/>
    <col min="2310" max="2310" width="18.42578125" customWidth="1"/>
    <col min="2311" max="2311" width="12.5703125" customWidth="1"/>
    <col min="2312" max="2312" width="10.85546875" customWidth="1"/>
    <col min="2560" max="2560" width="72" customWidth="1"/>
    <col min="2561" max="2561" width="17.5703125" customWidth="1"/>
    <col min="2562" max="2562" width="13.85546875" customWidth="1"/>
    <col min="2563" max="2563" width="18.85546875" customWidth="1"/>
    <col min="2564" max="2564" width="19.140625" customWidth="1"/>
    <col min="2565" max="2565" width="13" customWidth="1"/>
    <col min="2566" max="2566" width="18.42578125" customWidth="1"/>
    <col min="2567" max="2567" width="12.5703125" customWidth="1"/>
    <col min="2568" max="2568" width="10.85546875" customWidth="1"/>
    <col min="2816" max="2816" width="72" customWidth="1"/>
    <col min="2817" max="2817" width="17.5703125" customWidth="1"/>
    <col min="2818" max="2818" width="13.85546875" customWidth="1"/>
    <col min="2819" max="2819" width="18.85546875" customWidth="1"/>
    <col min="2820" max="2820" width="19.140625" customWidth="1"/>
    <col min="2821" max="2821" width="13" customWidth="1"/>
    <col min="2822" max="2822" width="18.42578125" customWidth="1"/>
    <col min="2823" max="2823" width="12.5703125" customWidth="1"/>
    <col min="2824" max="2824" width="10.85546875" customWidth="1"/>
    <col min="3072" max="3072" width="72" customWidth="1"/>
    <col min="3073" max="3073" width="17.5703125" customWidth="1"/>
    <col min="3074" max="3074" width="13.85546875" customWidth="1"/>
    <col min="3075" max="3075" width="18.85546875" customWidth="1"/>
    <col min="3076" max="3076" width="19.140625" customWidth="1"/>
    <col min="3077" max="3077" width="13" customWidth="1"/>
    <col min="3078" max="3078" width="18.42578125" customWidth="1"/>
    <col min="3079" max="3079" width="12.5703125" customWidth="1"/>
    <col min="3080" max="3080" width="10.85546875" customWidth="1"/>
    <col min="3328" max="3328" width="72" customWidth="1"/>
    <col min="3329" max="3329" width="17.5703125" customWidth="1"/>
    <col min="3330" max="3330" width="13.85546875" customWidth="1"/>
    <col min="3331" max="3331" width="18.85546875" customWidth="1"/>
    <col min="3332" max="3332" width="19.140625" customWidth="1"/>
    <col min="3333" max="3333" width="13" customWidth="1"/>
    <col min="3334" max="3334" width="18.42578125" customWidth="1"/>
    <col min="3335" max="3335" width="12.5703125" customWidth="1"/>
    <col min="3336" max="3336" width="10.85546875" customWidth="1"/>
    <col min="3584" max="3584" width="72" customWidth="1"/>
    <col min="3585" max="3585" width="17.5703125" customWidth="1"/>
    <col min="3586" max="3586" width="13.85546875" customWidth="1"/>
    <col min="3587" max="3587" width="18.85546875" customWidth="1"/>
    <col min="3588" max="3588" width="19.140625" customWidth="1"/>
    <col min="3589" max="3589" width="13" customWidth="1"/>
    <col min="3590" max="3590" width="18.42578125" customWidth="1"/>
    <col min="3591" max="3591" width="12.5703125" customWidth="1"/>
    <col min="3592" max="3592" width="10.85546875" customWidth="1"/>
    <col min="3840" max="3840" width="72" customWidth="1"/>
    <col min="3841" max="3841" width="17.5703125" customWidth="1"/>
    <col min="3842" max="3842" width="13.85546875" customWidth="1"/>
    <col min="3843" max="3843" width="18.85546875" customWidth="1"/>
    <col min="3844" max="3844" width="19.140625" customWidth="1"/>
    <col min="3845" max="3845" width="13" customWidth="1"/>
    <col min="3846" max="3846" width="18.42578125" customWidth="1"/>
    <col min="3847" max="3847" width="12.5703125" customWidth="1"/>
    <col min="3848" max="3848" width="10.85546875" customWidth="1"/>
    <col min="4096" max="4096" width="72" customWidth="1"/>
    <col min="4097" max="4097" width="17.5703125" customWidth="1"/>
    <col min="4098" max="4098" width="13.85546875" customWidth="1"/>
    <col min="4099" max="4099" width="18.85546875" customWidth="1"/>
    <col min="4100" max="4100" width="19.140625" customWidth="1"/>
    <col min="4101" max="4101" width="13" customWidth="1"/>
    <col min="4102" max="4102" width="18.42578125" customWidth="1"/>
    <col min="4103" max="4103" width="12.5703125" customWidth="1"/>
    <col min="4104" max="4104" width="10.85546875" customWidth="1"/>
    <col min="4352" max="4352" width="72" customWidth="1"/>
    <col min="4353" max="4353" width="17.5703125" customWidth="1"/>
    <col min="4354" max="4354" width="13.85546875" customWidth="1"/>
    <col min="4355" max="4355" width="18.85546875" customWidth="1"/>
    <col min="4356" max="4356" width="19.140625" customWidth="1"/>
    <col min="4357" max="4357" width="13" customWidth="1"/>
    <col min="4358" max="4358" width="18.42578125" customWidth="1"/>
    <col min="4359" max="4359" width="12.5703125" customWidth="1"/>
    <col min="4360" max="4360" width="10.85546875" customWidth="1"/>
    <col min="4608" max="4608" width="72" customWidth="1"/>
    <col min="4609" max="4609" width="17.5703125" customWidth="1"/>
    <col min="4610" max="4610" width="13.85546875" customWidth="1"/>
    <col min="4611" max="4611" width="18.85546875" customWidth="1"/>
    <col min="4612" max="4612" width="19.140625" customWidth="1"/>
    <col min="4613" max="4613" width="13" customWidth="1"/>
    <col min="4614" max="4614" width="18.42578125" customWidth="1"/>
    <col min="4615" max="4615" width="12.5703125" customWidth="1"/>
    <col min="4616" max="4616" width="10.85546875" customWidth="1"/>
    <col min="4864" max="4864" width="72" customWidth="1"/>
    <col min="4865" max="4865" width="17.5703125" customWidth="1"/>
    <col min="4866" max="4866" width="13.85546875" customWidth="1"/>
    <col min="4867" max="4867" width="18.85546875" customWidth="1"/>
    <col min="4868" max="4868" width="19.140625" customWidth="1"/>
    <col min="4869" max="4869" width="13" customWidth="1"/>
    <col min="4870" max="4870" width="18.42578125" customWidth="1"/>
    <col min="4871" max="4871" width="12.5703125" customWidth="1"/>
    <col min="4872" max="4872" width="10.85546875" customWidth="1"/>
    <col min="5120" max="5120" width="72" customWidth="1"/>
    <col min="5121" max="5121" width="17.5703125" customWidth="1"/>
    <col min="5122" max="5122" width="13.85546875" customWidth="1"/>
    <col min="5123" max="5123" width="18.85546875" customWidth="1"/>
    <col min="5124" max="5124" width="19.140625" customWidth="1"/>
    <col min="5125" max="5125" width="13" customWidth="1"/>
    <col min="5126" max="5126" width="18.42578125" customWidth="1"/>
    <col min="5127" max="5127" width="12.5703125" customWidth="1"/>
    <col min="5128" max="5128" width="10.85546875" customWidth="1"/>
    <col min="5376" max="5376" width="72" customWidth="1"/>
    <col min="5377" max="5377" width="17.5703125" customWidth="1"/>
    <col min="5378" max="5378" width="13.85546875" customWidth="1"/>
    <col min="5379" max="5379" width="18.85546875" customWidth="1"/>
    <col min="5380" max="5380" width="19.140625" customWidth="1"/>
    <col min="5381" max="5381" width="13" customWidth="1"/>
    <col min="5382" max="5382" width="18.42578125" customWidth="1"/>
    <col min="5383" max="5383" width="12.5703125" customWidth="1"/>
    <col min="5384" max="5384" width="10.85546875" customWidth="1"/>
    <col min="5632" max="5632" width="72" customWidth="1"/>
    <col min="5633" max="5633" width="17.5703125" customWidth="1"/>
    <col min="5634" max="5634" width="13.85546875" customWidth="1"/>
    <col min="5635" max="5635" width="18.85546875" customWidth="1"/>
    <col min="5636" max="5636" width="19.140625" customWidth="1"/>
    <col min="5637" max="5637" width="13" customWidth="1"/>
    <col min="5638" max="5638" width="18.42578125" customWidth="1"/>
    <col min="5639" max="5639" width="12.5703125" customWidth="1"/>
    <col min="5640" max="5640" width="10.85546875" customWidth="1"/>
    <col min="5888" max="5888" width="72" customWidth="1"/>
    <col min="5889" max="5889" width="17.5703125" customWidth="1"/>
    <col min="5890" max="5890" width="13.85546875" customWidth="1"/>
    <col min="5891" max="5891" width="18.85546875" customWidth="1"/>
    <col min="5892" max="5892" width="19.140625" customWidth="1"/>
    <col min="5893" max="5893" width="13" customWidth="1"/>
    <col min="5894" max="5894" width="18.42578125" customWidth="1"/>
    <col min="5895" max="5895" width="12.5703125" customWidth="1"/>
    <col min="5896" max="5896" width="10.85546875" customWidth="1"/>
    <col min="6144" max="6144" width="72" customWidth="1"/>
    <col min="6145" max="6145" width="17.5703125" customWidth="1"/>
    <col min="6146" max="6146" width="13.85546875" customWidth="1"/>
    <col min="6147" max="6147" width="18.85546875" customWidth="1"/>
    <col min="6148" max="6148" width="19.140625" customWidth="1"/>
    <col min="6149" max="6149" width="13" customWidth="1"/>
    <col min="6150" max="6150" width="18.42578125" customWidth="1"/>
    <col min="6151" max="6151" width="12.5703125" customWidth="1"/>
    <col min="6152" max="6152" width="10.85546875" customWidth="1"/>
    <col min="6400" max="6400" width="72" customWidth="1"/>
    <col min="6401" max="6401" width="17.5703125" customWidth="1"/>
    <col min="6402" max="6402" width="13.85546875" customWidth="1"/>
    <col min="6403" max="6403" width="18.85546875" customWidth="1"/>
    <col min="6404" max="6404" width="19.140625" customWidth="1"/>
    <col min="6405" max="6405" width="13" customWidth="1"/>
    <col min="6406" max="6406" width="18.42578125" customWidth="1"/>
    <col min="6407" max="6407" width="12.5703125" customWidth="1"/>
    <col min="6408" max="6408" width="10.85546875" customWidth="1"/>
    <col min="6656" max="6656" width="72" customWidth="1"/>
    <col min="6657" max="6657" width="17.5703125" customWidth="1"/>
    <col min="6658" max="6658" width="13.85546875" customWidth="1"/>
    <col min="6659" max="6659" width="18.85546875" customWidth="1"/>
    <col min="6660" max="6660" width="19.140625" customWidth="1"/>
    <col min="6661" max="6661" width="13" customWidth="1"/>
    <col min="6662" max="6662" width="18.42578125" customWidth="1"/>
    <col min="6663" max="6663" width="12.5703125" customWidth="1"/>
    <col min="6664" max="6664" width="10.85546875" customWidth="1"/>
    <col min="6912" max="6912" width="72" customWidth="1"/>
    <col min="6913" max="6913" width="17.5703125" customWidth="1"/>
    <col min="6914" max="6914" width="13.85546875" customWidth="1"/>
    <col min="6915" max="6915" width="18.85546875" customWidth="1"/>
    <col min="6916" max="6916" width="19.140625" customWidth="1"/>
    <col min="6917" max="6917" width="13" customWidth="1"/>
    <col min="6918" max="6918" width="18.42578125" customWidth="1"/>
    <col min="6919" max="6919" width="12.5703125" customWidth="1"/>
    <col min="6920" max="6920" width="10.85546875" customWidth="1"/>
    <col min="7168" max="7168" width="72" customWidth="1"/>
    <col min="7169" max="7169" width="17.5703125" customWidth="1"/>
    <col min="7170" max="7170" width="13.85546875" customWidth="1"/>
    <col min="7171" max="7171" width="18.85546875" customWidth="1"/>
    <col min="7172" max="7172" width="19.140625" customWidth="1"/>
    <col min="7173" max="7173" width="13" customWidth="1"/>
    <col min="7174" max="7174" width="18.42578125" customWidth="1"/>
    <col min="7175" max="7175" width="12.5703125" customWidth="1"/>
    <col min="7176" max="7176" width="10.85546875" customWidth="1"/>
    <col min="7424" max="7424" width="72" customWidth="1"/>
    <col min="7425" max="7425" width="17.5703125" customWidth="1"/>
    <col min="7426" max="7426" width="13.85546875" customWidth="1"/>
    <col min="7427" max="7427" width="18.85546875" customWidth="1"/>
    <col min="7428" max="7428" width="19.140625" customWidth="1"/>
    <col min="7429" max="7429" width="13" customWidth="1"/>
    <col min="7430" max="7430" width="18.42578125" customWidth="1"/>
    <col min="7431" max="7431" width="12.5703125" customWidth="1"/>
    <col min="7432" max="7432" width="10.85546875" customWidth="1"/>
    <col min="7680" max="7680" width="72" customWidth="1"/>
    <col min="7681" max="7681" width="17.5703125" customWidth="1"/>
    <col min="7682" max="7682" width="13.85546875" customWidth="1"/>
    <col min="7683" max="7683" width="18.85546875" customWidth="1"/>
    <col min="7684" max="7684" width="19.140625" customWidth="1"/>
    <col min="7685" max="7685" width="13" customWidth="1"/>
    <col min="7686" max="7686" width="18.42578125" customWidth="1"/>
    <col min="7687" max="7687" width="12.5703125" customWidth="1"/>
    <col min="7688" max="7688" width="10.85546875" customWidth="1"/>
    <col min="7936" max="7936" width="72" customWidth="1"/>
    <col min="7937" max="7937" width="17.5703125" customWidth="1"/>
    <col min="7938" max="7938" width="13.85546875" customWidth="1"/>
    <col min="7939" max="7939" width="18.85546875" customWidth="1"/>
    <col min="7940" max="7940" width="19.140625" customWidth="1"/>
    <col min="7941" max="7941" width="13" customWidth="1"/>
    <col min="7942" max="7942" width="18.42578125" customWidth="1"/>
    <col min="7943" max="7943" width="12.5703125" customWidth="1"/>
    <col min="7944" max="7944" width="10.85546875" customWidth="1"/>
    <col min="8192" max="8192" width="72" customWidth="1"/>
    <col min="8193" max="8193" width="17.5703125" customWidth="1"/>
    <col min="8194" max="8194" width="13.85546875" customWidth="1"/>
    <col min="8195" max="8195" width="18.85546875" customWidth="1"/>
    <col min="8196" max="8196" width="19.140625" customWidth="1"/>
    <col min="8197" max="8197" width="13" customWidth="1"/>
    <col min="8198" max="8198" width="18.42578125" customWidth="1"/>
    <col min="8199" max="8199" width="12.5703125" customWidth="1"/>
    <col min="8200" max="8200" width="10.85546875" customWidth="1"/>
    <col min="8448" max="8448" width="72" customWidth="1"/>
    <col min="8449" max="8449" width="17.5703125" customWidth="1"/>
    <col min="8450" max="8450" width="13.85546875" customWidth="1"/>
    <col min="8451" max="8451" width="18.85546875" customWidth="1"/>
    <col min="8452" max="8452" width="19.140625" customWidth="1"/>
    <col min="8453" max="8453" width="13" customWidth="1"/>
    <col min="8454" max="8454" width="18.42578125" customWidth="1"/>
    <col min="8455" max="8455" width="12.5703125" customWidth="1"/>
    <col min="8456" max="8456" width="10.85546875" customWidth="1"/>
    <col min="8704" max="8704" width="72" customWidth="1"/>
    <col min="8705" max="8705" width="17.5703125" customWidth="1"/>
    <col min="8706" max="8706" width="13.85546875" customWidth="1"/>
    <col min="8707" max="8707" width="18.85546875" customWidth="1"/>
    <col min="8708" max="8708" width="19.140625" customWidth="1"/>
    <col min="8709" max="8709" width="13" customWidth="1"/>
    <col min="8710" max="8710" width="18.42578125" customWidth="1"/>
    <col min="8711" max="8711" width="12.5703125" customWidth="1"/>
    <col min="8712" max="8712" width="10.85546875" customWidth="1"/>
    <col min="8960" max="8960" width="72" customWidth="1"/>
    <col min="8961" max="8961" width="17.5703125" customWidth="1"/>
    <col min="8962" max="8962" width="13.85546875" customWidth="1"/>
    <col min="8963" max="8963" width="18.85546875" customWidth="1"/>
    <col min="8964" max="8964" width="19.140625" customWidth="1"/>
    <col min="8965" max="8965" width="13" customWidth="1"/>
    <col min="8966" max="8966" width="18.42578125" customWidth="1"/>
    <col min="8967" max="8967" width="12.5703125" customWidth="1"/>
    <col min="8968" max="8968" width="10.85546875" customWidth="1"/>
    <col min="9216" max="9216" width="72" customWidth="1"/>
    <col min="9217" max="9217" width="17.5703125" customWidth="1"/>
    <col min="9218" max="9218" width="13.85546875" customWidth="1"/>
    <col min="9219" max="9219" width="18.85546875" customWidth="1"/>
    <col min="9220" max="9220" width="19.140625" customWidth="1"/>
    <col min="9221" max="9221" width="13" customWidth="1"/>
    <col min="9222" max="9222" width="18.42578125" customWidth="1"/>
    <col min="9223" max="9223" width="12.5703125" customWidth="1"/>
    <col min="9224" max="9224" width="10.85546875" customWidth="1"/>
    <col min="9472" max="9472" width="72" customWidth="1"/>
    <col min="9473" max="9473" width="17.5703125" customWidth="1"/>
    <col min="9474" max="9474" width="13.85546875" customWidth="1"/>
    <col min="9475" max="9475" width="18.85546875" customWidth="1"/>
    <col min="9476" max="9476" width="19.140625" customWidth="1"/>
    <col min="9477" max="9477" width="13" customWidth="1"/>
    <col min="9478" max="9478" width="18.42578125" customWidth="1"/>
    <col min="9479" max="9479" width="12.5703125" customWidth="1"/>
    <col min="9480" max="9480" width="10.85546875" customWidth="1"/>
    <col min="9728" max="9728" width="72" customWidth="1"/>
    <col min="9729" max="9729" width="17.5703125" customWidth="1"/>
    <col min="9730" max="9730" width="13.85546875" customWidth="1"/>
    <col min="9731" max="9731" width="18.85546875" customWidth="1"/>
    <col min="9732" max="9732" width="19.140625" customWidth="1"/>
    <col min="9733" max="9733" width="13" customWidth="1"/>
    <col min="9734" max="9734" width="18.42578125" customWidth="1"/>
    <col min="9735" max="9735" width="12.5703125" customWidth="1"/>
    <col min="9736" max="9736" width="10.85546875" customWidth="1"/>
    <col min="9984" max="9984" width="72" customWidth="1"/>
    <col min="9985" max="9985" width="17.5703125" customWidth="1"/>
    <col min="9986" max="9986" width="13.85546875" customWidth="1"/>
    <col min="9987" max="9987" width="18.85546875" customWidth="1"/>
    <col min="9988" max="9988" width="19.140625" customWidth="1"/>
    <col min="9989" max="9989" width="13" customWidth="1"/>
    <col min="9990" max="9990" width="18.42578125" customWidth="1"/>
    <col min="9991" max="9991" width="12.5703125" customWidth="1"/>
    <col min="9992" max="9992" width="10.85546875" customWidth="1"/>
    <col min="10240" max="10240" width="72" customWidth="1"/>
    <col min="10241" max="10241" width="17.5703125" customWidth="1"/>
    <col min="10242" max="10242" width="13.85546875" customWidth="1"/>
    <col min="10243" max="10243" width="18.85546875" customWidth="1"/>
    <col min="10244" max="10244" width="19.140625" customWidth="1"/>
    <col min="10245" max="10245" width="13" customWidth="1"/>
    <col min="10246" max="10246" width="18.42578125" customWidth="1"/>
    <col min="10247" max="10247" width="12.5703125" customWidth="1"/>
    <col min="10248" max="10248" width="10.85546875" customWidth="1"/>
    <col min="10496" max="10496" width="72" customWidth="1"/>
    <col min="10497" max="10497" width="17.5703125" customWidth="1"/>
    <col min="10498" max="10498" width="13.85546875" customWidth="1"/>
    <col min="10499" max="10499" width="18.85546875" customWidth="1"/>
    <col min="10500" max="10500" width="19.140625" customWidth="1"/>
    <col min="10501" max="10501" width="13" customWidth="1"/>
    <col min="10502" max="10502" width="18.42578125" customWidth="1"/>
    <col min="10503" max="10503" width="12.5703125" customWidth="1"/>
    <col min="10504" max="10504" width="10.85546875" customWidth="1"/>
    <col min="10752" max="10752" width="72" customWidth="1"/>
    <col min="10753" max="10753" width="17.5703125" customWidth="1"/>
    <col min="10754" max="10754" width="13.85546875" customWidth="1"/>
    <col min="10755" max="10755" width="18.85546875" customWidth="1"/>
    <col min="10756" max="10756" width="19.140625" customWidth="1"/>
    <col min="10757" max="10757" width="13" customWidth="1"/>
    <col min="10758" max="10758" width="18.42578125" customWidth="1"/>
    <col min="10759" max="10759" width="12.5703125" customWidth="1"/>
    <col min="10760" max="10760" width="10.85546875" customWidth="1"/>
    <col min="11008" max="11008" width="72" customWidth="1"/>
    <col min="11009" max="11009" width="17.5703125" customWidth="1"/>
    <col min="11010" max="11010" width="13.85546875" customWidth="1"/>
    <col min="11011" max="11011" width="18.85546875" customWidth="1"/>
    <col min="11012" max="11012" width="19.140625" customWidth="1"/>
    <col min="11013" max="11013" width="13" customWidth="1"/>
    <col min="11014" max="11014" width="18.42578125" customWidth="1"/>
    <col min="11015" max="11015" width="12.5703125" customWidth="1"/>
    <col min="11016" max="11016" width="10.85546875" customWidth="1"/>
    <col min="11264" max="11264" width="72" customWidth="1"/>
    <col min="11265" max="11265" width="17.5703125" customWidth="1"/>
    <col min="11266" max="11266" width="13.85546875" customWidth="1"/>
    <col min="11267" max="11267" width="18.85546875" customWidth="1"/>
    <col min="11268" max="11268" width="19.140625" customWidth="1"/>
    <col min="11269" max="11269" width="13" customWidth="1"/>
    <col min="11270" max="11270" width="18.42578125" customWidth="1"/>
    <col min="11271" max="11271" width="12.5703125" customWidth="1"/>
    <col min="11272" max="11272" width="10.85546875" customWidth="1"/>
    <col min="11520" max="11520" width="72" customWidth="1"/>
    <col min="11521" max="11521" width="17.5703125" customWidth="1"/>
    <col min="11522" max="11522" width="13.85546875" customWidth="1"/>
    <col min="11523" max="11523" width="18.85546875" customWidth="1"/>
    <col min="11524" max="11524" width="19.140625" customWidth="1"/>
    <col min="11525" max="11525" width="13" customWidth="1"/>
    <col min="11526" max="11526" width="18.42578125" customWidth="1"/>
    <col min="11527" max="11527" width="12.5703125" customWidth="1"/>
    <col min="11528" max="11528" width="10.85546875" customWidth="1"/>
    <col min="11776" max="11776" width="72" customWidth="1"/>
    <col min="11777" max="11777" width="17.5703125" customWidth="1"/>
    <col min="11778" max="11778" width="13.85546875" customWidth="1"/>
    <col min="11779" max="11779" width="18.85546875" customWidth="1"/>
    <col min="11780" max="11780" width="19.140625" customWidth="1"/>
    <col min="11781" max="11781" width="13" customWidth="1"/>
    <col min="11782" max="11782" width="18.42578125" customWidth="1"/>
    <col min="11783" max="11783" width="12.5703125" customWidth="1"/>
    <col min="11784" max="11784" width="10.85546875" customWidth="1"/>
    <col min="12032" max="12032" width="72" customWidth="1"/>
    <col min="12033" max="12033" width="17.5703125" customWidth="1"/>
    <col min="12034" max="12034" width="13.85546875" customWidth="1"/>
    <col min="12035" max="12035" width="18.85546875" customWidth="1"/>
    <col min="12036" max="12036" width="19.140625" customWidth="1"/>
    <col min="12037" max="12037" width="13" customWidth="1"/>
    <col min="12038" max="12038" width="18.42578125" customWidth="1"/>
    <col min="12039" max="12039" width="12.5703125" customWidth="1"/>
    <col min="12040" max="12040" width="10.85546875" customWidth="1"/>
    <col min="12288" max="12288" width="72" customWidth="1"/>
    <col min="12289" max="12289" width="17.5703125" customWidth="1"/>
    <col min="12290" max="12290" width="13.85546875" customWidth="1"/>
    <col min="12291" max="12291" width="18.85546875" customWidth="1"/>
    <col min="12292" max="12292" width="19.140625" customWidth="1"/>
    <col min="12293" max="12293" width="13" customWidth="1"/>
    <col min="12294" max="12294" width="18.42578125" customWidth="1"/>
    <col min="12295" max="12295" width="12.5703125" customWidth="1"/>
    <col min="12296" max="12296" width="10.85546875" customWidth="1"/>
    <col min="12544" max="12544" width="72" customWidth="1"/>
    <col min="12545" max="12545" width="17.5703125" customWidth="1"/>
    <col min="12546" max="12546" width="13.85546875" customWidth="1"/>
    <col min="12547" max="12547" width="18.85546875" customWidth="1"/>
    <col min="12548" max="12548" width="19.140625" customWidth="1"/>
    <col min="12549" max="12549" width="13" customWidth="1"/>
    <col min="12550" max="12550" width="18.42578125" customWidth="1"/>
    <col min="12551" max="12551" width="12.5703125" customWidth="1"/>
    <col min="12552" max="12552" width="10.85546875" customWidth="1"/>
    <col min="12800" max="12800" width="72" customWidth="1"/>
    <col min="12801" max="12801" width="17.5703125" customWidth="1"/>
    <col min="12802" max="12802" width="13.85546875" customWidth="1"/>
    <col min="12803" max="12803" width="18.85546875" customWidth="1"/>
    <col min="12804" max="12804" width="19.140625" customWidth="1"/>
    <col min="12805" max="12805" width="13" customWidth="1"/>
    <col min="12806" max="12806" width="18.42578125" customWidth="1"/>
    <col min="12807" max="12807" width="12.5703125" customWidth="1"/>
    <col min="12808" max="12808" width="10.85546875" customWidth="1"/>
    <col min="13056" max="13056" width="72" customWidth="1"/>
    <col min="13057" max="13057" width="17.5703125" customWidth="1"/>
    <col min="13058" max="13058" width="13.85546875" customWidth="1"/>
    <col min="13059" max="13059" width="18.85546875" customWidth="1"/>
    <col min="13060" max="13060" width="19.140625" customWidth="1"/>
    <col min="13061" max="13061" width="13" customWidth="1"/>
    <col min="13062" max="13062" width="18.42578125" customWidth="1"/>
    <col min="13063" max="13063" width="12.5703125" customWidth="1"/>
    <col min="13064" max="13064" width="10.85546875" customWidth="1"/>
    <col min="13312" max="13312" width="72" customWidth="1"/>
    <col min="13313" max="13313" width="17.5703125" customWidth="1"/>
    <col min="13314" max="13314" width="13.85546875" customWidth="1"/>
    <col min="13315" max="13315" width="18.85546875" customWidth="1"/>
    <col min="13316" max="13316" width="19.140625" customWidth="1"/>
    <col min="13317" max="13317" width="13" customWidth="1"/>
    <col min="13318" max="13318" width="18.42578125" customWidth="1"/>
    <col min="13319" max="13319" width="12.5703125" customWidth="1"/>
    <col min="13320" max="13320" width="10.85546875" customWidth="1"/>
    <col min="13568" max="13568" width="72" customWidth="1"/>
    <col min="13569" max="13569" width="17.5703125" customWidth="1"/>
    <col min="13570" max="13570" width="13.85546875" customWidth="1"/>
    <col min="13571" max="13571" width="18.85546875" customWidth="1"/>
    <col min="13572" max="13572" width="19.140625" customWidth="1"/>
    <col min="13573" max="13573" width="13" customWidth="1"/>
    <col min="13574" max="13574" width="18.42578125" customWidth="1"/>
    <col min="13575" max="13575" width="12.5703125" customWidth="1"/>
    <col min="13576" max="13576" width="10.85546875" customWidth="1"/>
    <col min="13824" max="13824" width="72" customWidth="1"/>
    <col min="13825" max="13825" width="17.5703125" customWidth="1"/>
    <col min="13826" max="13826" width="13.85546875" customWidth="1"/>
    <col min="13827" max="13827" width="18.85546875" customWidth="1"/>
    <col min="13828" max="13828" width="19.140625" customWidth="1"/>
    <col min="13829" max="13829" width="13" customWidth="1"/>
    <col min="13830" max="13830" width="18.42578125" customWidth="1"/>
    <col min="13831" max="13831" width="12.5703125" customWidth="1"/>
    <col min="13832" max="13832" width="10.85546875" customWidth="1"/>
    <col min="14080" max="14080" width="72" customWidth="1"/>
    <col min="14081" max="14081" width="17.5703125" customWidth="1"/>
    <col min="14082" max="14082" width="13.85546875" customWidth="1"/>
    <col min="14083" max="14083" width="18.85546875" customWidth="1"/>
    <col min="14084" max="14084" width="19.140625" customWidth="1"/>
    <col min="14085" max="14085" width="13" customWidth="1"/>
    <col min="14086" max="14086" width="18.42578125" customWidth="1"/>
    <col min="14087" max="14087" width="12.5703125" customWidth="1"/>
    <col min="14088" max="14088" width="10.85546875" customWidth="1"/>
    <col min="14336" max="14336" width="72" customWidth="1"/>
    <col min="14337" max="14337" width="17.5703125" customWidth="1"/>
    <col min="14338" max="14338" width="13.85546875" customWidth="1"/>
    <col min="14339" max="14339" width="18.85546875" customWidth="1"/>
    <col min="14340" max="14340" width="19.140625" customWidth="1"/>
    <col min="14341" max="14341" width="13" customWidth="1"/>
    <col min="14342" max="14342" width="18.42578125" customWidth="1"/>
    <col min="14343" max="14343" width="12.5703125" customWidth="1"/>
    <col min="14344" max="14344" width="10.85546875" customWidth="1"/>
    <col min="14592" max="14592" width="72" customWidth="1"/>
    <col min="14593" max="14593" width="17.5703125" customWidth="1"/>
    <col min="14594" max="14594" width="13.85546875" customWidth="1"/>
    <col min="14595" max="14595" width="18.85546875" customWidth="1"/>
    <col min="14596" max="14596" width="19.140625" customWidth="1"/>
    <col min="14597" max="14597" width="13" customWidth="1"/>
    <col min="14598" max="14598" width="18.42578125" customWidth="1"/>
    <col min="14599" max="14599" width="12.5703125" customWidth="1"/>
    <col min="14600" max="14600" width="10.85546875" customWidth="1"/>
    <col min="14848" max="14848" width="72" customWidth="1"/>
    <col min="14849" max="14849" width="17.5703125" customWidth="1"/>
    <col min="14850" max="14850" width="13.85546875" customWidth="1"/>
    <col min="14851" max="14851" width="18.85546875" customWidth="1"/>
    <col min="14852" max="14852" width="19.140625" customWidth="1"/>
    <col min="14853" max="14853" width="13" customWidth="1"/>
    <col min="14854" max="14854" width="18.42578125" customWidth="1"/>
    <col min="14855" max="14855" width="12.5703125" customWidth="1"/>
    <col min="14856" max="14856" width="10.85546875" customWidth="1"/>
    <col min="15104" max="15104" width="72" customWidth="1"/>
    <col min="15105" max="15105" width="17.5703125" customWidth="1"/>
    <col min="15106" max="15106" width="13.85546875" customWidth="1"/>
    <col min="15107" max="15107" width="18.85546875" customWidth="1"/>
    <col min="15108" max="15108" width="19.140625" customWidth="1"/>
    <col min="15109" max="15109" width="13" customWidth="1"/>
    <col min="15110" max="15110" width="18.42578125" customWidth="1"/>
    <col min="15111" max="15111" width="12.5703125" customWidth="1"/>
    <col min="15112" max="15112" width="10.85546875" customWidth="1"/>
    <col min="15360" max="15360" width="72" customWidth="1"/>
    <col min="15361" max="15361" width="17.5703125" customWidth="1"/>
    <col min="15362" max="15362" width="13.85546875" customWidth="1"/>
    <col min="15363" max="15363" width="18.85546875" customWidth="1"/>
    <col min="15364" max="15364" width="19.140625" customWidth="1"/>
    <col min="15365" max="15365" width="13" customWidth="1"/>
    <col min="15366" max="15366" width="18.42578125" customWidth="1"/>
    <col min="15367" max="15367" width="12.5703125" customWidth="1"/>
    <col min="15368" max="15368" width="10.85546875" customWidth="1"/>
    <col min="15616" max="15616" width="72" customWidth="1"/>
    <col min="15617" max="15617" width="17.5703125" customWidth="1"/>
    <col min="15618" max="15618" width="13.85546875" customWidth="1"/>
    <col min="15619" max="15619" width="18.85546875" customWidth="1"/>
    <col min="15620" max="15620" width="19.140625" customWidth="1"/>
    <col min="15621" max="15621" width="13" customWidth="1"/>
    <col min="15622" max="15622" width="18.42578125" customWidth="1"/>
    <col min="15623" max="15623" width="12.5703125" customWidth="1"/>
    <col min="15624" max="15624" width="10.85546875" customWidth="1"/>
    <col min="15872" max="15872" width="72" customWidth="1"/>
    <col min="15873" max="15873" width="17.5703125" customWidth="1"/>
    <col min="15874" max="15874" width="13.85546875" customWidth="1"/>
    <col min="15875" max="15875" width="18.85546875" customWidth="1"/>
    <col min="15876" max="15876" width="19.140625" customWidth="1"/>
    <col min="15877" max="15877" width="13" customWidth="1"/>
    <col min="15878" max="15878" width="18.42578125" customWidth="1"/>
    <col min="15879" max="15879" width="12.5703125" customWidth="1"/>
    <col min="15880" max="15880" width="10.85546875" customWidth="1"/>
    <col min="16128" max="16128" width="72" customWidth="1"/>
    <col min="16129" max="16129" width="17.5703125" customWidth="1"/>
    <col min="16130" max="16130" width="13.85546875" customWidth="1"/>
    <col min="16131" max="16131" width="18.85546875" customWidth="1"/>
    <col min="16132" max="16132" width="19.140625" customWidth="1"/>
    <col min="16133" max="16133" width="13" customWidth="1"/>
    <col min="16134" max="16134" width="18.42578125" customWidth="1"/>
    <col min="16135" max="16135" width="12.5703125" customWidth="1"/>
    <col min="16136" max="16136" width="10.85546875" customWidth="1"/>
  </cols>
  <sheetData>
    <row r="1" spans="2:9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413"/>
    </row>
    <row r="2" spans="2:9" s="410" customFormat="1" ht="12.75" customHeight="1" x14ac:dyDescent="0.35">
      <c r="C2" s="411"/>
      <c r="F2" s="412"/>
    </row>
    <row r="3" spans="2:9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413"/>
    </row>
    <row r="4" spans="2:9" s="410" customFormat="1" ht="10.5" customHeight="1" x14ac:dyDescent="0.35">
      <c r="C4" s="411"/>
      <c r="F4" s="412"/>
    </row>
    <row r="5" spans="2:9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414"/>
    </row>
    <row r="6" spans="2:9" s="410" customFormat="1" ht="21" x14ac:dyDescent="0.35">
      <c r="B6" s="415"/>
      <c r="C6" s="415"/>
      <c r="D6" s="415"/>
      <c r="E6" s="415"/>
      <c r="F6" s="415"/>
      <c r="G6" s="415"/>
      <c r="H6" s="415"/>
      <c r="I6" s="414"/>
    </row>
    <row r="7" spans="2:9" ht="15" customHeight="1" x14ac:dyDescent="0.25">
      <c r="B7" s="1502" t="s">
        <v>109</v>
      </c>
      <c r="C7" s="1502"/>
      <c r="D7" s="1502"/>
      <c r="E7" s="1502"/>
      <c r="F7" s="1502"/>
      <c r="G7" s="1502"/>
      <c r="H7" s="1502"/>
    </row>
    <row r="8" spans="2:9" ht="15" customHeight="1" x14ac:dyDescent="0.25">
      <c r="B8" s="1502" t="s">
        <v>7062</v>
      </c>
      <c r="C8" s="1502"/>
      <c r="D8" s="1502"/>
      <c r="E8" s="1502"/>
      <c r="F8" s="1502"/>
      <c r="G8" s="1502"/>
      <c r="H8" s="1502"/>
    </row>
    <row r="9" spans="2:9" ht="15" customHeight="1" x14ac:dyDescent="0.25"/>
    <row r="10" spans="2:9" ht="15" customHeight="1" x14ac:dyDescent="0.25">
      <c r="B10" s="1500" t="s">
        <v>110</v>
      </c>
      <c r="C10" s="1500">
        <v>2017</v>
      </c>
      <c r="D10" s="1500">
        <f>C10+1</f>
        <v>2018</v>
      </c>
      <c r="E10" s="1501" t="s">
        <v>115</v>
      </c>
      <c r="F10" s="7">
        <f>D10+1</f>
        <v>2019</v>
      </c>
      <c r="G10" s="1501" t="s">
        <v>7063</v>
      </c>
      <c r="H10" s="7" t="s">
        <v>95</v>
      </c>
    </row>
    <row r="11" spans="2:9" ht="15" customHeight="1" x14ac:dyDescent="0.25">
      <c r="B11" s="1500"/>
      <c r="C11" s="1500"/>
      <c r="D11" s="1500"/>
      <c r="E11" s="1501"/>
      <c r="F11" s="7" t="s">
        <v>96</v>
      </c>
      <c r="G11" s="1501"/>
      <c r="H11" s="7" t="s">
        <v>97</v>
      </c>
    </row>
    <row r="12" spans="2:9" s="12" customFormat="1" ht="15" customHeight="1" x14ac:dyDescent="0.25">
      <c r="B12" s="8" t="s">
        <v>114</v>
      </c>
      <c r="C12" s="9">
        <f>CIG!D23</f>
        <v>0</v>
      </c>
      <c r="D12" s="9">
        <f>CIG!E23</f>
        <v>0</v>
      </c>
      <c r="E12" s="10" t="str">
        <f>IF(C12=0,"0,00%",(D12/C12)-1)</f>
        <v>0,00%</v>
      </c>
      <c r="F12" s="9">
        <f>CIG!G23</f>
        <v>0</v>
      </c>
      <c r="G12" s="10" t="str">
        <f t="shared" ref="G12" si="0">IF(D12=0,"0,00%",(F12/D12)-0.00001)</f>
        <v>0,00%</v>
      </c>
      <c r="H12" s="11">
        <f>(E12+G12)/2</f>
        <v>0</v>
      </c>
    </row>
    <row r="13" spans="2:9" s="12" customFormat="1" ht="15" customHeight="1" x14ac:dyDescent="0.25">
      <c r="B13" s="8" t="s">
        <v>111</v>
      </c>
      <c r="C13" s="9">
        <f>CIG!D24</f>
        <v>0</v>
      </c>
      <c r="D13" s="9">
        <f>CIG!E24</f>
        <v>0</v>
      </c>
      <c r="E13" s="10" t="str">
        <f>IF(C13=0,"0,00%",(D13/C13)-1)</f>
        <v>0,00%</v>
      </c>
      <c r="F13" s="9">
        <f>CIG!G24</f>
        <v>0</v>
      </c>
      <c r="G13" s="10" t="str">
        <f t="shared" ref="G13:G15" si="1">IF(D13=0,"0,00%",(F13/D13)-0.00001)</f>
        <v>0,00%</v>
      </c>
      <c r="H13" s="11">
        <f>(E13+G13)/2</f>
        <v>0</v>
      </c>
    </row>
    <row r="14" spans="2:9" s="12" customFormat="1" ht="15" customHeight="1" x14ac:dyDescent="0.25">
      <c r="B14" s="8" t="s">
        <v>112</v>
      </c>
      <c r="C14" s="9">
        <f>CIG!D26</f>
        <v>509747</v>
      </c>
      <c r="D14" s="9">
        <f>CIG!E26</f>
        <v>339891.09</v>
      </c>
      <c r="E14" s="10">
        <f t="shared" ref="E14:E16" si="2">IF(C14=0,"0,00%",(D14/C14)-1)</f>
        <v>-0.33321610524436629</v>
      </c>
      <c r="F14" s="9">
        <f>CIG!G26</f>
        <v>658858.75</v>
      </c>
      <c r="G14" s="10">
        <f t="shared" si="1"/>
        <v>1.9384307811337447</v>
      </c>
      <c r="H14" s="11">
        <f t="shared" ref="H14:H15" si="3">(E14+G14)/2</f>
        <v>0.80260733794468919</v>
      </c>
    </row>
    <row r="15" spans="2:9" s="12" customFormat="1" ht="15" customHeight="1" x14ac:dyDescent="0.25">
      <c r="B15" s="8" t="s">
        <v>113</v>
      </c>
      <c r="C15" s="9">
        <f>CIG!D27</f>
        <v>47281.96</v>
      </c>
      <c r="D15" s="9">
        <f>CIG!E27</f>
        <v>11737.19</v>
      </c>
      <c r="E15" s="10">
        <f t="shared" si="2"/>
        <v>-0.75176177129712896</v>
      </c>
      <c r="F15" s="9">
        <f>CIG!G27</f>
        <v>5030.6574999999993</v>
      </c>
      <c r="G15" s="10">
        <f t="shared" si="1"/>
        <v>0.4285983381115922</v>
      </c>
      <c r="H15" s="11">
        <f t="shared" si="3"/>
        <v>-0.16158171659276838</v>
      </c>
    </row>
    <row r="16" spans="2:9" ht="15" customHeight="1" x14ac:dyDescent="0.25">
      <c r="B16" s="7" t="s">
        <v>108</v>
      </c>
      <c r="C16" s="13">
        <f>SUM(C12:C15)</f>
        <v>557028.96</v>
      </c>
      <c r="D16" s="13">
        <f>SUM(D12:D15)</f>
        <v>351628.28</v>
      </c>
      <c r="E16" s="14">
        <f t="shared" si="2"/>
        <v>-0.36874326964975024</v>
      </c>
      <c r="F16" s="13">
        <f>SUM(F12:F15)</f>
        <v>663889.40749999997</v>
      </c>
      <c r="G16" s="14">
        <f>IF(D16=0,"0,00%",(F16/D16)-0.00001)</f>
        <v>1.8880332697279067</v>
      </c>
      <c r="H16" s="6">
        <f>(+E16+G16)/2</f>
        <v>0.7596450000390782</v>
      </c>
    </row>
    <row r="17" ht="15" customHeight="1" x14ac:dyDescent="0.25"/>
    <row r="18" ht="15" customHeight="1" x14ac:dyDescent="0.25"/>
    <row r="19" ht="15" customHeight="1" x14ac:dyDescent="0.25"/>
    <row r="20" ht="15" customHeight="1" x14ac:dyDescent="0.25"/>
  </sheetData>
  <mergeCells count="10">
    <mergeCell ref="B1:H1"/>
    <mergeCell ref="B3:H3"/>
    <mergeCell ref="B5:H5"/>
    <mergeCell ref="B7:H7"/>
    <mergeCell ref="B8:H8"/>
    <mergeCell ref="B10:B11"/>
    <mergeCell ref="C10:C11"/>
    <mergeCell ref="D10:D11"/>
    <mergeCell ref="E10:E11"/>
    <mergeCell ref="G10:G11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31"/>
  <sheetViews>
    <sheetView workbookViewId="0">
      <selection activeCell="H24" sqref="H24"/>
    </sheetView>
  </sheetViews>
  <sheetFormatPr defaultRowHeight="15" x14ac:dyDescent="0.25"/>
  <cols>
    <col min="1" max="1" width="3" customWidth="1"/>
    <col min="2" max="2" width="49.5703125" customWidth="1"/>
    <col min="3" max="4" width="19.85546875" bestFit="1" customWidth="1"/>
    <col min="5" max="5" width="13" customWidth="1"/>
    <col min="6" max="6" width="19.7109375" customWidth="1"/>
    <col min="7" max="7" width="14.7109375" customWidth="1"/>
    <col min="8" max="8" width="13.28515625" customWidth="1"/>
    <col min="258" max="258" width="72" customWidth="1"/>
    <col min="259" max="259" width="19" customWidth="1"/>
    <col min="260" max="260" width="19.140625" customWidth="1"/>
    <col min="261" max="261" width="13" customWidth="1"/>
    <col min="262" max="262" width="18.42578125" customWidth="1"/>
    <col min="263" max="263" width="14.7109375" customWidth="1"/>
    <col min="264" max="264" width="13.28515625" customWidth="1"/>
    <col min="514" max="514" width="72" customWidth="1"/>
    <col min="515" max="515" width="19" customWidth="1"/>
    <col min="516" max="516" width="19.140625" customWidth="1"/>
    <col min="517" max="517" width="13" customWidth="1"/>
    <col min="518" max="518" width="18.42578125" customWidth="1"/>
    <col min="519" max="519" width="14.7109375" customWidth="1"/>
    <col min="520" max="520" width="13.28515625" customWidth="1"/>
    <col min="770" max="770" width="72" customWidth="1"/>
    <col min="771" max="771" width="19" customWidth="1"/>
    <col min="772" max="772" width="19.140625" customWidth="1"/>
    <col min="773" max="773" width="13" customWidth="1"/>
    <col min="774" max="774" width="18.42578125" customWidth="1"/>
    <col min="775" max="775" width="14.7109375" customWidth="1"/>
    <col min="776" max="776" width="13.28515625" customWidth="1"/>
    <col min="1026" max="1026" width="72" customWidth="1"/>
    <col min="1027" max="1027" width="19" customWidth="1"/>
    <col min="1028" max="1028" width="19.140625" customWidth="1"/>
    <col min="1029" max="1029" width="13" customWidth="1"/>
    <col min="1030" max="1030" width="18.42578125" customWidth="1"/>
    <col min="1031" max="1031" width="14.7109375" customWidth="1"/>
    <col min="1032" max="1032" width="13.28515625" customWidth="1"/>
    <col min="1282" max="1282" width="72" customWidth="1"/>
    <col min="1283" max="1283" width="19" customWidth="1"/>
    <col min="1284" max="1284" width="19.140625" customWidth="1"/>
    <col min="1285" max="1285" width="13" customWidth="1"/>
    <col min="1286" max="1286" width="18.42578125" customWidth="1"/>
    <col min="1287" max="1287" width="14.7109375" customWidth="1"/>
    <col min="1288" max="1288" width="13.28515625" customWidth="1"/>
    <col min="1538" max="1538" width="72" customWidth="1"/>
    <col min="1539" max="1539" width="19" customWidth="1"/>
    <col min="1540" max="1540" width="19.140625" customWidth="1"/>
    <col min="1541" max="1541" width="13" customWidth="1"/>
    <col min="1542" max="1542" width="18.42578125" customWidth="1"/>
    <col min="1543" max="1543" width="14.7109375" customWidth="1"/>
    <col min="1544" max="1544" width="13.28515625" customWidth="1"/>
    <col min="1794" max="1794" width="72" customWidth="1"/>
    <col min="1795" max="1795" width="19" customWidth="1"/>
    <col min="1796" max="1796" width="19.140625" customWidth="1"/>
    <col min="1797" max="1797" width="13" customWidth="1"/>
    <col min="1798" max="1798" width="18.42578125" customWidth="1"/>
    <col min="1799" max="1799" width="14.7109375" customWidth="1"/>
    <col min="1800" max="1800" width="13.28515625" customWidth="1"/>
    <col min="2050" max="2050" width="72" customWidth="1"/>
    <col min="2051" max="2051" width="19" customWidth="1"/>
    <col min="2052" max="2052" width="19.140625" customWidth="1"/>
    <col min="2053" max="2053" width="13" customWidth="1"/>
    <col min="2054" max="2054" width="18.42578125" customWidth="1"/>
    <col min="2055" max="2055" width="14.7109375" customWidth="1"/>
    <col min="2056" max="2056" width="13.28515625" customWidth="1"/>
    <col min="2306" max="2306" width="72" customWidth="1"/>
    <col min="2307" max="2307" width="19" customWidth="1"/>
    <col min="2308" max="2308" width="19.140625" customWidth="1"/>
    <col min="2309" max="2309" width="13" customWidth="1"/>
    <col min="2310" max="2310" width="18.42578125" customWidth="1"/>
    <col min="2311" max="2311" width="14.7109375" customWidth="1"/>
    <col min="2312" max="2312" width="13.28515625" customWidth="1"/>
    <col min="2562" max="2562" width="72" customWidth="1"/>
    <col min="2563" max="2563" width="19" customWidth="1"/>
    <col min="2564" max="2564" width="19.140625" customWidth="1"/>
    <col min="2565" max="2565" width="13" customWidth="1"/>
    <col min="2566" max="2566" width="18.42578125" customWidth="1"/>
    <col min="2567" max="2567" width="14.7109375" customWidth="1"/>
    <col min="2568" max="2568" width="13.28515625" customWidth="1"/>
    <col min="2818" max="2818" width="72" customWidth="1"/>
    <col min="2819" max="2819" width="19" customWidth="1"/>
    <col min="2820" max="2820" width="19.140625" customWidth="1"/>
    <col min="2821" max="2821" width="13" customWidth="1"/>
    <col min="2822" max="2822" width="18.42578125" customWidth="1"/>
    <col min="2823" max="2823" width="14.7109375" customWidth="1"/>
    <col min="2824" max="2824" width="13.28515625" customWidth="1"/>
    <col min="3074" max="3074" width="72" customWidth="1"/>
    <col min="3075" max="3075" width="19" customWidth="1"/>
    <col min="3076" max="3076" width="19.140625" customWidth="1"/>
    <col min="3077" max="3077" width="13" customWidth="1"/>
    <col min="3078" max="3078" width="18.42578125" customWidth="1"/>
    <col min="3079" max="3079" width="14.7109375" customWidth="1"/>
    <col min="3080" max="3080" width="13.28515625" customWidth="1"/>
    <col min="3330" max="3330" width="72" customWidth="1"/>
    <col min="3331" max="3331" width="19" customWidth="1"/>
    <col min="3332" max="3332" width="19.140625" customWidth="1"/>
    <col min="3333" max="3333" width="13" customWidth="1"/>
    <col min="3334" max="3334" width="18.42578125" customWidth="1"/>
    <col min="3335" max="3335" width="14.7109375" customWidth="1"/>
    <col min="3336" max="3336" width="13.28515625" customWidth="1"/>
    <col min="3586" max="3586" width="72" customWidth="1"/>
    <col min="3587" max="3587" width="19" customWidth="1"/>
    <col min="3588" max="3588" width="19.140625" customWidth="1"/>
    <col min="3589" max="3589" width="13" customWidth="1"/>
    <col min="3590" max="3590" width="18.42578125" customWidth="1"/>
    <col min="3591" max="3591" width="14.7109375" customWidth="1"/>
    <col min="3592" max="3592" width="13.28515625" customWidth="1"/>
    <col min="3842" max="3842" width="72" customWidth="1"/>
    <col min="3843" max="3843" width="19" customWidth="1"/>
    <col min="3844" max="3844" width="19.140625" customWidth="1"/>
    <col min="3845" max="3845" width="13" customWidth="1"/>
    <col min="3846" max="3846" width="18.42578125" customWidth="1"/>
    <col min="3847" max="3847" width="14.7109375" customWidth="1"/>
    <col min="3848" max="3848" width="13.28515625" customWidth="1"/>
    <col min="4098" max="4098" width="72" customWidth="1"/>
    <col min="4099" max="4099" width="19" customWidth="1"/>
    <col min="4100" max="4100" width="19.140625" customWidth="1"/>
    <col min="4101" max="4101" width="13" customWidth="1"/>
    <col min="4102" max="4102" width="18.42578125" customWidth="1"/>
    <col min="4103" max="4103" width="14.7109375" customWidth="1"/>
    <col min="4104" max="4104" width="13.28515625" customWidth="1"/>
    <col min="4354" max="4354" width="72" customWidth="1"/>
    <col min="4355" max="4355" width="19" customWidth="1"/>
    <col min="4356" max="4356" width="19.140625" customWidth="1"/>
    <col min="4357" max="4357" width="13" customWidth="1"/>
    <col min="4358" max="4358" width="18.42578125" customWidth="1"/>
    <col min="4359" max="4359" width="14.7109375" customWidth="1"/>
    <col min="4360" max="4360" width="13.28515625" customWidth="1"/>
    <col min="4610" max="4610" width="72" customWidth="1"/>
    <col min="4611" max="4611" width="19" customWidth="1"/>
    <col min="4612" max="4612" width="19.140625" customWidth="1"/>
    <col min="4613" max="4613" width="13" customWidth="1"/>
    <col min="4614" max="4614" width="18.42578125" customWidth="1"/>
    <col min="4615" max="4615" width="14.7109375" customWidth="1"/>
    <col min="4616" max="4616" width="13.28515625" customWidth="1"/>
    <col min="4866" max="4866" width="72" customWidth="1"/>
    <col min="4867" max="4867" width="19" customWidth="1"/>
    <col min="4868" max="4868" width="19.140625" customWidth="1"/>
    <col min="4869" max="4869" width="13" customWidth="1"/>
    <col min="4870" max="4870" width="18.42578125" customWidth="1"/>
    <col min="4871" max="4871" width="14.7109375" customWidth="1"/>
    <col min="4872" max="4872" width="13.28515625" customWidth="1"/>
    <col min="5122" max="5122" width="72" customWidth="1"/>
    <col min="5123" max="5123" width="19" customWidth="1"/>
    <col min="5124" max="5124" width="19.140625" customWidth="1"/>
    <col min="5125" max="5125" width="13" customWidth="1"/>
    <col min="5126" max="5126" width="18.42578125" customWidth="1"/>
    <col min="5127" max="5127" width="14.7109375" customWidth="1"/>
    <col min="5128" max="5128" width="13.28515625" customWidth="1"/>
    <col min="5378" max="5378" width="72" customWidth="1"/>
    <col min="5379" max="5379" width="19" customWidth="1"/>
    <col min="5380" max="5380" width="19.140625" customWidth="1"/>
    <col min="5381" max="5381" width="13" customWidth="1"/>
    <col min="5382" max="5382" width="18.42578125" customWidth="1"/>
    <col min="5383" max="5383" width="14.7109375" customWidth="1"/>
    <col min="5384" max="5384" width="13.28515625" customWidth="1"/>
    <col min="5634" max="5634" width="72" customWidth="1"/>
    <col min="5635" max="5635" width="19" customWidth="1"/>
    <col min="5636" max="5636" width="19.140625" customWidth="1"/>
    <col min="5637" max="5637" width="13" customWidth="1"/>
    <col min="5638" max="5638" width="18.42578125" customWidth="1"/>
    <col min="5639" max="5639" width="14.7109375" customWidth="1"/>
    <col min="5640" max="5640" width="13.28515625" customWidth="1"/>
    <col min="5890" max="5890" width="72" customWidth="1"/>
    <col min="5891" max="5891" width="19" customWidth="1"/>
    <col min="5892" max="5892" width="19.140625" customWidth="1"/>
    <col min="5893" max="5893" width="13" customWidth="1"/>
    <col min="5894" max="5894" width="18.42578125" customWidth="1"/>
    <col min="5895" max="5895" width="14.7109375" customWidth="1"/>
    <col min="5896" max="5896" width="13.28515625" customWidth="1"/>
    <col min="6146" max="6146" width="72" customWidth="1"/>
    <col min="6147" max="6147" width="19" customWidth="1"/>
    <col min="6148" max="6148" width="19.140625" customWidth="1"/>
    <col min="6149" max="6149" width="13" customWidth="1"/>
    <col min="6150" max="6150" width="18.42578125" customWidth="1"/>
    <col min="6151" max="6151" width="14.7109375" customWidth="1"/>
    <col min="6152" max="6152" width="13.28515625" customWidth="1"/>
    <col min="6402" max="6402" width="72" customWidth="1"/>
    <col min="6403" max="6403" width="19" customWidth="1"/>
    <col min="6404" max="6404" width="19.140625" customWidth="1"/>
    <col min="6405" max="6405" width="13" customWidth="1"/>
    <col min="6406" max="6406" width="18.42578125" customWidth="1"/>
    <col min="6407" max="6407" width="14.7109375" customWidth="1"/>
    <col min="6408" max="6408" width="13.28515625" customWidth="1"/>
    <col min="6658" max="6658" width="72" customWidth="1"/>
    <col min="6659" max="6659" width="19" customWidth="1"/>
    <col min="6660" max="6660" width="19.140625" customWidth="1"/>
    <col min="6661" max="6661" width="13" customWidth="1"/>
    <col min="6662" max="6662" width="18.42578125" customWidth="1"/>
    <col min="6663" max="6663" width="14.7109375" customWidth="1"/>
    <col min="6664" max="6664" width="13.28515625" customWidth="1"/>
    <col min="6914" max="6914" width="72" customWidth="1"/>
    <col min="6915" max="6915" width="19" customWidth="1"/>
    <col min="6916" max="6916" width="19.140625" customWidth="1"/>
    <col min="6917" max="6917" width="13" customWidth="1"/>
    <col min="6918" max="6918" width="18.42578125" customWidth="1"/>
    <col min="6919" max="6919" width="14.7109375" customWidth="1"/>
    <col min="6920" max="6920" width="13.28515625" customWidth="1"/>
    <col min="7170" max="7170" width="72" customWidth="1"/>
    <col min="7171" max="7171" width="19" customWidth="1"/>
    <col min="7172" max="7172" width="19.140625" customWidth="1"/>
    <col min="7173" max="7173" width="13" customWidth="1"/>
    <col min="7174" max="7174" width="18.42578125" customWidth="1"/>
    <col min="7175" max="7175" width="14.7109375" customWidth="1"/>
    <col min="7176" max="7176" width="13.28515625" customWidth="1"/>
    <col min="7426" max="7426" width="72" customWidth="1"/>
    <col min="7427" max="7427" width="19" customWidth="1"/>
    <col min="7428" max="7428" width="19.140625" customWidth="1"/>
    <col min="7429" max="7429" width="13" customWidth="1"/>
    <col min="7430" max="7430" width="18.42578125" customWidth="1"/>
    <col min="7431" max="7431" width="14.7109375" customWidth="1"/>
    <col min="7432" max="7432" width="13.28515625" customWidth="1"/>
    <col min="7682" max="7682" width="72" customWidth="1"/>
    <col min="7683" max="7683" width="19" customWidth="1"/>
    <col min="7684" max="7684" width="19.140625" customWidth="1"/>
    <col min="7685" max="7685" width="13" customWidth="1"/>
    <col min="7686" max="7686" width="18.42578125" customWidth="1"/>
    <col min="7687" max="7687" width="14.7109375" customWidth="1"/>
    <col min="7688" max="7688" width="13.28515625" customWidth="1"/>
    <col min="7938" max="7938" width="72" customWidth="1"/>
    <col min="7939" max="7939" width="19" customWidth="1"/>
    <col min="7940" max="7940" width="19.140625" customWidth="1"/>
    <col min="7941" max="7941" width="13" customWidth="1"/>
    <col min="7942" max="7942" width="18.42578125" customWidth="1"/>
    <col min="7943" max="7943" width="14.7109375" customWidth="1"/>
    <col min="7944" max="7944" width="13.28515625" customWidth="1"/>
    <col min="8194" max="8194" width="72" customWidth="1"/>
    <col min="8195" max="8195" width="19" customWidth="1"/>
    <col min="8196" max="8196" width="19.140625" customWidth="1"/>
    <col min="8197" max="8197" width="13" customWidth="1"/>
    <col min="8198" max="8198" width="18.42578125" customWidth="1"/>
    <col min="8199" max="8199" width="14.7109375" customWidth="1"/>
    <col min="8200" max="8200" width="13.28515625" customWidth="1"/>
    <col min="8450" max="8450" width="72" customWidth="1"/>
    <col min="8451" max="8451" width="19" customWidth="1"/>
    <col min="8452" max="8452" width="19.140625" customWidth="1"/>
    <col min="8453" max="8453" width="13" customWidth="1"/>
    <col min="8454" max="8454" width="18.42578125" customWidth="1"/>
    <col min="8455" max="8455" width="14.7109375" customWidth="1"/>
    <col min="8456" max="8456" width="13.28515625" customWidth="1"/>
    <col min="8706" max="8706" width="72" customWidth="1"/>
    <col min="8707" max="8707" width="19" customWidth="1"/>
    <col min="8708" max="8708" width="19.140625" customWidth="1"/>
    <col min="8709" max="8709" width="13" customWidth="1"/>
    <col min="8710" max="8710" width="18.42578125" customWidth="1"/>
    <col min="8711" max="8711" width="14.7109375" customWidth="1"/>
    <col min="8712" max="8712" width="13.28515625" customWidth="1"/>
    <col min="8962" max="8962" width="72" customWidth="1"/>
    <col min="8963" max="8963" width="19" customWidth="1"/>
    <col min="8964" max="8964" width="19.140625" customWidth="1"/>
    <col min="8965" max="8965" width="13" customWidth="1"/>
    <col min="8966" max="8966" width="18.42578125" customWidth="1"/>
    <col min="8967" max="8967" width="14.7109375" customWidth="1"/>
    <col min="8968" max="8968" width="13.28515625" customWidth="1"/>
    <col min="9218" max="9218" width="72" customWidth="1"/>
    <col min="9219" max="9219" width="19" customWidth="1"/>
    <col min="9220" max="9220" width="19.140625" customWidth="1"/>
    <col min="9221" max="9221" width="13" customWidth="1"/>
    <col min="9222" max="9222" width="18.42578125" customWidth="1"/>
    <col min="9223" max="9223" width="14.7109375" customWidth="1"/>
    <col min="9224" max="9224" width="13.28515625" customWidth="1"/>
    <col min="9474" max="9474" width="72" customWidth="1"/>
    <col min="9475" max="9475" width="19" customWidth="1"/>
    <col min="9476" max="9476" width="19.140625" customWidth="1"/>
    <col min="9477" max="9477" width="13" customWidth="1"/>
    <col min="9478" max="9478" width="18.42578125" customWidth="1"/>
    <col min="9479" max="9479" width="14.7109375" customWidth="1"/>
    <col min="9480" max="9480" width="13.28515625" customWidth="1"/>
    <col min="9730" max="9730" width="72" customWidth="1"/>
    <col min="9731" max="9731" width="19" customWidth="1"/>
    <col min="9732" max="9732" width="19.140625" customWidth="1"/>
    <col min="9733" max="9733" width="13" customWidth="1"/>
    <col min="9734" max="9734" width="18.42578125" customWidth="1"/>
    <col min="9735" max="9735" width="14.7109375" customWidth="1"/>
    <col min="9736" max="9736" width="13.28515625" customWidth="1"/>
    <col min="9986" max="9986" width="72" customWidth="1"/>
    <col min="9987" max="9987" width="19" customWidth="1"/>
    <col min="9988" max="9988" width="19.140625" customWidth="1"/>
    <col min="9989" max="9989" width="13" customWidth="1"/>
    <col min="9990" max="9990" width="18.42578125" customWidth="1"/>
    <col min="9991" max="9991" width="14.7109375" customWidth="1"/>
    <col min="9992" max="9992" width="13.28515625" customWidth="1"/>
    <col min="10242" max="10242" width="72" customWidth="1"/>
    <col min="10243" max="10243" width="19" customWidth="1"/>
    <col min="10244" max="10244" width="19.140625" customWidth="1"/>
    <col min="10245" max="10245" width="13" customWidth="1"/>
    <col min="10246" max="10246" width="18.42578125" customWidth="1"/>
    <col min="10247" max="10247" width="14.7109375" customWidth="1"/>
    <col min="10248" max="10248" width="13.28515625" customWidth="1"/>
    <col min="10498" max="10498" width="72" customWidth="1"/>
    <col min="10499" max="10499" width="19" customWidth="1"/>
    <col min="10500" max="10500" width="19.140625" customWidth="1"/>
    <col min="10501" max="10501" width="13" customWidth="1"/>
    <col min="10502" max="10502" width="18.42578125" customWidth="1"/>
    <col min="10503" max="10503" width="14.7109375" customWidth="1"/>
    <col min="10504" max="10504" width="13.28515625" customWidth="1"/>
    <col min="10754" max="10754" width="72" customWidth="1"/>
    <col min="10755" max="10755" width="19" customWidth="1"/>
    <col min="10756" max="10756" width="19.140625" customWidth="1"/>
    <col min="10757" max="10757" width="13" customWidth="1"/>
    <col min="10758" max="10758" width="18.42578125" customWidth="1"/>
    <col min="10759" max="10759" width="14.7109375" customWidth="1"/>
    <col min="10760" max="10760" width="13.28515625" customWidth="1"/>
    <col min="11010" max="11010" width="72" customWidth="1"/>
    <col min="11011" max="11011" width="19" customWidth="1"/>
    <col min="11012" max="11012" width="19.140625" customWidth="1"/>
    <col min="11013" max="11013" width="13" customWidth="1"/>
    <col min="11014" max="11014" width="18.42578125" customWidth="1"/>
    <col min="11015" max="11015" width="14.7109375" customWidth="1"/>
    <col min="11016" max="11016" width="13.28515625" customWidth="1"/>
    <col min="11266" max="11266" width="72" customWidth="1"/>
    <col min="11267" max="11267" width="19" customWidth="1"/>
    <col min="11268" max="11268" width="19.140625" customWidth="1"/>
    <col min="11269" max="11269" width="13" customWidth="1"/>
    <col min="11270" max="11270" width="18.42578125" customWidth="1"/>
    <col min="11271" max="11271" width="14.7109375" customWidth="1"/>
    <col min="11272" max="11272" width="13.28515625" customWidth="1"/>
    <col min="11522" max="11522" width="72" customWidth="1"/>
    <col min="11523" max="11523" width="19" customWidth="1"/>
    <col min="11524" max="11524" width="19.140625" customWidth="1"/>
    <col min="11525" max="11525" width="13" customWidth="1"/>
    <col min="11526" max="11526" width="18.42578125" customWidth="1"/>
    <col min="11527" max="11527" width="14.7109375" customWidth="1"/>
    <col min="11528" max="11528" width="13.28515625" customWidth="1"/>
    <col min="11778" max="11778" width="72" customWidth="1"/>
    <col min="11779" max="11779" width="19" customWidth="1"/>
    <col min="11780" max="11780" width="19.140625" customWidth="1"/>
    <col min="11781" max="11781" width="13" customWidth="1"/>
    <col min="11782" max="11782" width="18.42578125" customWidth="1"/>
    <col min="11783" max="11783" width="14.7109375" customWidth="1"/>
    <col min="11784" max="11784" width="13.28515625" customWidth="1"/>
    <col min="12034" max="12034" width="72" customWidth="1"/>
    <col min="12035" max="12035" width="19" customWidth="1"/>
    <col min="12036" max="12036" width="19.140625" customWidth="1"/>
    <col min="12037" max="12037" width="13" customWidth="1"/>
    <col min="12038" max="12038" width="18.42578125" customWidth="1"/>
    <col min="12039" max="12039" width="14.7109375" customWidth="1"/>
    <col min="12040" max="12040" width="13.28515625" customWidth="1"/>
    <col min="12290" max="12290" width="72" customWidth="1"/>
    <col min="12291" max="12291" width="19" customWidth="1"/>
    <col min="12292" max="12292" width="19.140625" customWidth="1"/>
    <col min="12293" max="12293" width="13" customWidth="1"/>
    <col min="12294" max="12294" width="18.42578125" customWidth="1"/>
    <col min="12295" max="12295" width="14.7109375" customWidth="1"/>
    <col min="12296" max="12296" width="13.28515625" customWidth="1"/>
    <col min="12546" max="12546" width="72" customWidth="1"/>
    <col min="12547" max="12547" width="19" customWidth="1"/>
    <col min="12548" max="12548" width="19.140625" customWidth="1"/>
    <col min="12549" max="12549" width="13" customWidth="1"/>
    <col min="12550" max="12550" width="18.42578125" customWidth="1"/>
    <col min="12551" max="12551" width="14.7109375" customWidth="1"/>
    <col min="12552" max="12552" width="13.28515625" customWidth="1"/>
    <col min="12802" max="12802" width="72" customWidth="1"/>
    <col min="12803" max="12803" width="19" customWidth="1"/>
    <col min="12804" max="12804" width="19.140625" customWidth="1"/>
    <col min="12805" max="12805" width="13" customWidth="1"/>
    <col min="12806" max="12806" width="18.42578125" customWidth="1"/>
    <col min="12807" max="12807" width="14.7109375" customWidth="1"/>
    <col min="12808" max="12808" width="13.28515625" customWidth="1"/>
    <col min="13058" max="13058" width="72" customWidth="1"/>
    <col min="13059" max="13059" width="19" customWidth="1"/>
    <col min="13060" max="13060" width="19.140625" customWidth="1"/>
    <col min="13061" max="13061" width="13" customWidth="1"/>
    <col min="13062" max="13062" width="18.42578125" customWidth="1"/>
    <col min="13063" max="13063" width="14.7109375" customWidth="1"/>
    <col min="13064" max="13064" width="13.28515625" customWidth="1"/>
    <col min="13314" max="13314" width="72" customWidth="1"/>
    <col min="13315" max="13315" width="19" customWidth="1"/>
    <col min="13316" max="13316" width="19.140625" customWidth="1"/>
    <col min="13317" max="13317" width="13" customWidth="1"/>
    <col min="13318" max="13318" width="18.42578125" customWidth="1"/>
    <col min="13319" max="13319" width="14.7109375" customWidth="1"/>
    <col min="13320" max="13320" width="13.28515625" customWidth="1"/>
    <col min="13570" max="13570" width="72" customWidth="1"/>
    <col min="13571" max="13571" width="19" customWidth="1"/>
    <col min="13572" max="13572" width="19.140625" customWidth="1"/>
    <col min="13573" max="13573" width="13" customWidth="1"/>
    <col min="13574" max="13574" width="18.42578125" customWidth="1"/>
    <col min="13575" max="13575" width="14.7109375" customWidth="1"/>
    <col min="13576" max="13576" width="13.28515625" customWidth="1"/>
    <col min="13826" max="13826" width="72" customWidth="1"/>
    <col min="13827" max="13827" width="19" customWidth="1"/>
    <col min="13828" max="13828" width="19.140625" customWidth="1"/>
    <col min="13829" max="13829" width="13" customWidth="1"/>
    <col min="13830" max="13830" width="18.42578125" customWidth="1"/>
    <col min="13831" max="13831" width="14.7109375" customWidth="1"/>
    <col min="13832" max="13832" width="13.28515625" customWidth="1"/>
    <col min="14082" max="14082" width="72" customWidth="1"/>
    <col min="14083" max="14083" width="19" customWidth="1"/>
    <col min="14084" max="14084" width="19.140625" customWidth="1"/>
    <col min="14085" max="14085" width="13" customWidth="1"/>
    <col min="14086" max="14086" width="18.42578125" customWidth="1"/>
    <col min="14087" max="14087" width="14.7109375" customWidth="1"/>
    <col min="14088" max="14088" width="13.28515625" customWidth="1"/>
    <col min="14338" max="14338" width="72" customWidth="1"/>
    <col min="14339" max="14339" width="19" customWidth="1"/>
    <col min="14340" max="14340" width="19.140625" customWidth="1"/>
    <col min="14341" max="14341" width="13" customWidth="1"/>
    <col min="14342" max="14342" width="18.42578125" customWidth="1"/>
    <col min="14343" max="14343" width="14.7109375" customWidth="1"/>
    <col min="14344" max="14344" width="13.28515625" customWidth="1"/>
    <col min="14594" max="14594" width="72" customWidth="1"/>
    <col min="14595" max="14595" width="19" customWidth="1"/>
    <col min="14596" max="14596" width="19.140625" customWidth="1"/>
    <col min="14597" max="14597" width="13" customWidth="1"/>
    <col min="14598" max="14598" width="18.42578125" customWidth="1"/>
    <col min="14599" max="14599" width="14.7109375" customWidth="1"/>
    <col min="14600" max="14600" width="13.28515625" customWidth="1"/>
    <col min="14850" max="14850" width="72" customWidth="1"/>
    <col min="14851" max="14851" width="19" customWidth="1"/>
    <col min="14852" max="14852" width="19.140625" customWidth="1"/>
    <col min="14853" max="14853" width="13" customWidth="1"/>
    <col min="14854" max="14854" width="18.42578125" customWidth="1"/>
    <col min="14855" max="14855" width="14.7109375" customWidth="1"/>
    <col min="14856" max="14856" width="13.28515625" customWidth="1"/>
    <col min="15106" max="15106" width="72" customWidth="1"/>
    <col min="15107" max="15107" width="19" customWidth="1"/>
    <col min="15108" max="15108" width="19.140625" customWidth="1"/>
    <col min="15109" max="15109" width="13" customWidth="1"/>
    <col min="15110" max="15110" width="18.42578125" customWidth="1"/>
    <col min="15111" max="15111" width="14.7109375" customWidth="1"/>
    <col min="15112" max="15112" width="13.28515625" customWidth="1"/>
    <col min="15362" max="15362" width="72" customWidth="1"/>
    <col min="15363" max="15363" width="19" customWidth="1"/>
    <col min="15364" max="15364" width="19.140625" customWidth="1"/>
    <col min="15365" max="15365" width="13" customWidth="1"/>
    <col min="15366" max="15366" width="18.42578125" customWidth="1"/>
    <col min="15367" max="15367" width="14.7109375" customWidth="1"/>
    <col min="15368" max="15368" width="13.28515625" customWidth="1"/>
    <col min="15618" max="15618" width="72" customWidth="1"/>
    <col min="15619" max="15619" width="19" customWidth="1"/>
    <col min="15620" max="15620" width="19.140625" customWidth="1"/>
    <col min="15621" max="15621" width="13" customWidth="1"/>
    <col min="15622" max="15622" width="18.42578125" customWidth="1"/>
    <col min="15623" max="15623" width="14.7109375" customWidth="1"/>
    <col min="15624" max="15624" width="13.28515625" customWidth="1"/>
    <col min="15874" max="15874" width="72" customWidth="1"/>
    <col min="15875" max="15875" width="19" customWidth="1"/>
    <col min="15876" max="15876" width="19.140625" customWidth="1"/>
    <col min="15877" max="15877" width="13" customWidth="1"/>
    <col min="15878" max="15878" width="18.42578125" customWidth="1"/>
    <col min="15879" max="15879" width="14.7109375" customWidth="1"/>
    <col min="15880" max="15880" width="13.28515625" customWidth="1"/>
    <col min="16130" max="16130" width="72" customWidth="1"/>
    <col min="16131" max="16131" width="19" customWidth="1"/>
    <col min="16132" max="16132" width="19.140625" customWidth="1"/>
    <col min="16133" max="16133" width="13" customWidth="1"/>
    <col min="16134" max="16134" width="18.42578125" customWidth="1"/>
    <col min="16135" max="16135" width="14.7109375" customWidth="1"/>
    <col min="16136" max="16136" width="13.28515625" customWidth="1"/>
  </cols>
  <sheetData>
    <row r="1" spans="2:9" s="410" customFormat="1" ht="21" x14ac:dyDescent="0.35">
      <c r="B1" s="1466" t="str">
        <f>'MANUAL PLANILHAS'!A$1</f>
        <v>Estado do Rio Grande do Sul</v>
      </c>
      <c r="C1" s="1466"/>
      <c r="D1" s="1466"/>
      <c r="E1" s="1466"/>
      <c r="F1" s="1466"/>
      <c r="G1" s="1466"/>
      <c r="H1" s="1466"/>
      <c r="I1" s="413"/>
    </row>
    <row r="2" spans="2:9" s="410" customFormat="1" ht="12.75" customHeight="1" x14ac:dyDescent="0.35">
      <c r="C2" s="411"/>
      <c r="F2" s="412"/>
    </row>
    <row r="3" spans="2:9" s="410" customFormat="1" ht="21" x14ac:dyDescent="0.35">
      <c r="B3" s="1466" t="str">
        <f>'MANUAL PLANILHAS'!A$3</f>
        <v>Município de Chuvisca</v>
      </c>
      <c r="C3" s="1466"/>
      <c r="D3" s="1466"/>
      <c r="E3" s="1466"/>
      <c r="F3" s="1466"/>
      <c r="G3" s="1466"/>
      <c r="H3" s="1466"/>
      <c r="I3" s="413"/>
    </row>
    <row r="4" spans="2:9" s="410" customFormat="1" ht="10.5" customHeight="1" x14ac:dyDescent="0.35">
      <c r="C4" s="411"/>
      <c r="F4" s="412"/>
    </row>
    <row r="5" spans="2:9" s="410" customFormat="1" ht="21" x14ac:dyDescent="0.35">
      <c r="B5" s="1470" t="str">
        <f>'MANUAL PLANILHAS'!A$5</f>
        <v>Proposta Orçamentária para o Exercício de 2020</v>
      </c>
      <c r="C5" s="1470"/>
      <c r="D5" s="1470"/>
      <c r="E5" s="1470"/>
      <c r="F5" s="1470"/>
      <c r="G5" s="1470"/>
      <c r="H5" s="1470"/>
      <c r="I5" s="414"/>
    </row>
    <row r="6" spans="2:9" ht="20.25" x14ac:dyDescent="0.3">
      <c r="B6" s="2"/>
      <c r="C6" s="3"/>
      <c r="D6" s="3"/>
      <c r="E6" s="3"/>
      <c r="F6" s="3"/>
      <c r="G6" s="3"/>
      <c r="H6" s="3"/>
    </row>
    <row r="7" spans="2:9" ht="15.75" x14ac:dyDescent="0.25">
      <c r="B7" s="1502" t="s">
        <v>116</v>
      </c>
      <c r="C7" s="1502"/>
      <c r="D7" s="1502"/>
      <c r="E7" s="1502"/>
      <c r="F7" s="1502"/>
      <c r="G7" s="1502"/>
      <c r="H7" s="1502"/>
    </row>
    <row r="8" spans="2:9" ht="15.75" x14ac:dyDescent="0.25">
      <c r="B8" s="1502" t="s">
        <v>7062</v>
      </c>
      <c r="C8" s="1502"/>
      <c r="D8" s="1502"/>
      <c r="E8" s="1502"/>
      <c r="F8" s="1502"/>
      <c r="G8" s="1502"/>
      <c r="H8" s="1502"/>
    </row>
    <row r="10" spans="2:9" ht="15.75" customHeight="1" x14ac:dyDescent="0.25">
      <c r="B10" s="1500" t="s">
        <v>110</v>
      </c>
      <c r="C10" s="1500">
        <v>2017</v>
      </c>
      <c r="D10" s="1500">
        <f>C10+1</f>
        <v>2018</v>
      </c>
      <c r="E10" s="1501" t="s">
        <v>115</v>
      </c>
      <c r="F10" s="7">
        <f>D10+1</f>
        <v>2019</v>
      </c>
      <c r="G10" s="1501" t="s">
        <v>7063</v>
      </c>
      <c r="H10" s="7" t="s">
        <v>95</v>
      </c>
    </row>
    <row r="11" spans="2:9" ht="15.75" x14ac:dyDescent="0.25">
      <c r="B11" s="1500"/>
      <c r="C11" s="1500"/>
      <c r="D11" s="1500"/>
      <c r="E11" s="1501"/>
      <c r="F11" s="7" t="s">
        <v>96</v>
      </c>
      <c r="G11" s="1501"/>
      <c r="H11" s="7" t="s">
        <v>97</v>
      </c>
    </row>
    <row r="12" spans="2:9" s="12" customFormat="1" ht="15.75" x14ac:dyDescent="0.25">
      <c r="B12" s="8" t="s">
        <v>121</v>
      </c>
      <c r="C12" s="9">
        <f>CIG!D14</f>
        <v>539143.06999999995</v>
      </c>
      <c r="D12" s="9">
        <f>CIG!E14</f>
        <v>696677.96</v>
      </c>
      <c r="E12" s="10">
        <f t="shared" ref="E12:E19" si="0">IF(C12=0,"0,00%",(D12/C12)-1)</f>
        <v>0.29219496413076418</v>
      </c>
      <c r="F12" s="9">
        <f>CIG!G14</f>
        <v>697718.45</v>
      </c>
      <c r="G12" s="10">
        <f>IF(D12=0,"0,00%",(F12/D12)-1)</f>
        <v>1.4935021053343878E-3</v>
      </c>
      <c r="H12" s="11">
        <f>(E12+G12)/2</f>
        <v>0.14684423311804928</v>
      </c>
    </row>
    <row r="13" spans="2:9" s="12" customFormat="1" ht="15.75" x14ac:dyDescent="0.25">
      <c r="B13" s="8" t="s">
        <v>124</v>
      </c>
      <c r="C13" s="9">
        <f>CIG!D15</f>
        <v>26680.39</v>
      </c>
      <c r="D13" s="9">
        <f>CIG!E15</f>
        <v>22007.64</v>
      </c>
      <c r="E13" s="10">
        <f t="shared" si="0"/>
        <v>-0.17513799460952406</v>
      </c>
      <c r="F13" s="9">
        <f>CIG!G15</f>
        <v>30866.28875</v>
      </c>
      <c r="G13" s="10">
        <f>IF(D13=0,"0,00%",(F13/D13)-1)</f>
        <v>0.40252606594800722</v>
      </c>
      <c r="H13" s="11">
        <f>(E13+G13)/2</f>
        <v>0.11369403566924158</v>
      </c>
    </row>
    <row r="14" spans="2:9" ht="15.75" x14ac:dyDescent="0.25">
      <c r="B14" s="8" t="s">
        <v>123</v>
      </c>
      <c r="C14" s="9">
        <f>CIG!D16</f>
        <v>168878.53</v>
      </c>
      <c r="D14" s="9">
        <f>CIG!E16</f>
        <v>89838.11</v>
      </c>
      <c r="E14" s="10">
        <f t="shared" si="0"/>
        <v>-0.4680311937817081</v>
      </c>
      <c r="F14" s="9">
        <f>CIG!G16</f>
        <v>97507.41</v>
      </c>
      <c r="G14" s="10">
        <f t="shared" ref="G14" si="1">IF(D14=0,"0,00%",(F14/D14)-1)</f>
        <v>8.5368002510293195E-2</v>
      </c>
      <c r="H14" s="11">
        <f t="shared" ref="H14" si="2">(E14+G14)/2</f>
        <v>-0.19133159563570745</v>
      </c>
    </row>
    <row r="15" spans="2:9" s="12" customFormat="1" ht="15.75" x14ac:dyDescent="0.25">
      <c r="B15" s="8" t="s">
        <v>125</v>
      </c>
      <c r="C15" s="9">
        <f>CIG!D17</f>
        <v>0</v>
      </c>
      <c r="D15" s="9">
        <f>CIG!E17</f>
        <v>0</v>
      </c>
      <c r="E15" s="10" t="str">
        <f t="shared" si="0"/>
        <v>0,00%</v>
      </c>
      <c r="F15" s="9">
        <f>CIG!G17</f>
        <v>0</v>
      </c>
      <c r="G15" s="10" t="str">
        <f t="shared" ref="G15:G22" si="3">IF(D15=0,"0,00%",(F15/D15)-1)</f>
        <v>0,00%</v>
      </c>
      <c r="H15" s="11">
        <f t="shared" ref="H15:H22" si="4">(E15+G15)/2</f>
        <v>0</v>
      </c>
    </row>
    <row r="16" spans="2:9" s="12" customFormat="1" ht="15.75" x14ac:dyDescent="0.25">
      <c r="B16" s="8" t="s">
        <v>126</v>
      </c>
      <c r="C16" s="9">
        <f>CIG!D18</f>
        <v>0</v>
      </c>
      <c r="D16" s="9">
        <f>CIG!E18</f>
        <v>0</v>
      </c>
      <c r="E16" s="10" t="str">
        <f t="shared" si="0"/>
        <v>0,00%</v>
      </c>
      <c r="F16" s="9">
        <f>CIG!G18</f>
        <v>0</v>
      </c>
      <c r="G16" s="10" t="str">
        <f t="shared" si="3"/>
        <v>0,00%</v>
      </c>
      <c r="H16" s="11">
        <f t="shared" si="4"/>
        <v>0</v>
      </c>
    </row>
    <row r="17" spans="2:8" s="12" customFormat="1" ht="15.75" x14ac:dyDescent="0.25">
      <c r="B17" s="8" t="s">
        <v>122</v>
      </c>
      <c r="C17" s="9">
        <f>CIG!D19</f>
        <v>81924.570000000007</v>
      </c>
      <c r="D17" s="9">
        <f>CIG!E19</f>
        <v>81104.12</v>
      </c>
      <c r="E17" s="10">
        <f t="shared" si="0"/>
        <v>-1.0014700107672359E-2</v>
      </c>
      <c r="F17" s="9">
        <f>CIG!G19</f>
        <v>122531.86</v>
      </c>
      <c r="G17" s="10">
        <f t="shared" si="3"/>
        <v>0.51079698540592022</v>
      </c>
      <c r="H17" s="11">
        <f t="shared" si="4"/>
        <v>0.25039114264912393</v>
      </c>
    </row>
    <row r="18" spans="2:8" s="12" customFormat="1" ht="15.75" x14ac:dyDescent="0.25">
      <c r="B18" s="8" t="s">
        <v>127</v>
      </c>
      <c r="C18" s="9">
        <f>CIG!D346+CIG!D347+CIG!D348</f>
        <v>0</v>
      </c>
      <c r="D18" s="9">
        <f>CIG!E346+CIG!E347+CIG!E348</f>
        <v>0</v>
      </c>
      <c r="E18" s="10" t="str">
        <f t="shared" si="0"/>
        <v>0,00%</v>
      </c>
      <c r="F18" s="9">
        <f>CIG!G346+CIG!G347+CIG!G348</f>
        <v>0</v>
      </c>
      <c r="G18" s="10" t="str">
        <f t="shared" si="3"/>
        <v>0,00%</v>
      </c>
      <c r="H18" s="11">
        <f t="shared" si="4"/>
        <v>0</v>
      </c>
    </row>
    <row r="19" spans="2:8" s="12" customFormat="1" ht="15.75" x14ac:dyDescent="0.25">
      <c r="B19" s="8" t="s">
        <v>128</v>
      </c>
      <c r="C19" s="9">
        <f>CIG!D350+CIG!D351+CIG!D352+CIG!D353+CIG!D354</f>
        <v>85019.13</v>
      </c>
      <c r="D19" s="9">
        <f>CIG!E350+CIG!E351+CIG!E352+CIG!E353+CIG!E354</f>
        <v>48901.729999999996</v>
      </c>
      <c r="E19" s="10">
        <f t="shared" si="0"/>
        <v>-0.42481497987570571</v>
      </c>
      <c r="F19" s="9">
        <f>CIG!G350+CIG!G351+CIG!G352+CIG!G353+CIG!G354</f>
        <v>98231.684999999998</v>
      </c>
      <c r="G19" s="10">
        <f t="shared" si="3"/>
        <v>1.0087568476616267</v>
      </c>
      <c r="H19" s="11">
        <f t="shared" si="4"/>
        <v>0.29197093389296047</v>
      </c>
    </row>
    <row r="20" spans="2:8" s="12" customFormat="1" ht="15.75" x14ac:dyDescent="0.25">
      <c r="B20" s="8" t="s">
        <v>129</v>
      </c>
      <c r="C20" s="9">
        <f>CIG!D85+CIG!D86+CIG!D89+CIG!D90+CIG!D93+CIG!D94+CIG!D111+CIG!D112+CIG!D113+CIG!D114+CIG!D115+CIG!D116+CIG!D117+CIG!D118+CIG!D119+CIG!D120+CIG!D121+CIG!D122+CIG!D123+CIG!D124+CIG!D125+CIG!D126+CIG!D129+CIG!D130+CIG!D154+CIG!D155+CIG!D156+CIG!D157+CIG!D158+CIG!D159+CIG!D160+CIG!D161+CIG!D162+CIG!D163+CIG!D164+CIG!D165+CIG!D166+CIG!D167+CIG!D168+CIG!D169+CIG!D170+CIG!D171+CIG!D172+CIG!D173+CIG!D174+CIG!D175+CIG!D216+CIG!D217+CIG!D222+CIG!D224+CIG!D228+CIG!D229</f>
        <v>1117.6299999999999</v>
      </c>
      <c r="D20" s="9">
        <f>CIG!E85+CIG!E86+CIG!E89+CIG!E90+CIG!E93+CIG!E94+CIG!E111+CIG!E112+CIG!E113+CIG!E114+CIG!E115+CIG!E116+CIG!E117+CIG!E118+CIG!E119+CIG!E120+CIG!E121+CIG!E122+CIG!E123+CIG!E124+CIG!E125+CIG!E126+CIG!E129+CIG!E130+CIG!E154+CIG!E155+CIG!E156+CIG!E157+CIG!E158+CIG!E159+CIG!E160+CIG!E161+CIG!E162+CIG!E163+CIG!E164+CIG!E165+CIG!E166+CIG!E167+CIG!E168+CIG!E169+CIG!E170+CIG!E171+CIG!E172+CIG!E173+CIG!E174+CIG!E175+CIG!E216+CIG!E217+CIG!E222+CIG!E224+CIG!E228+CIG!E229</f>
        <v>2025.56</v>
      </c>
      <c r="E20" s="10">
        <f>IF(C20=0,"0,00%",(D20/C20)-1)</f>
        <v>0.81237082039673258</v>
      </c>
      <c r="F20" s="9">
        <f>CIG!G85+CIG!G86+CIG!G89+CIG!G90+CIG!G93+CIG!G94+CIG!G111+CIG!G112+CIG!G113+CIG!G114+CIG!G115+CIG!G116+CIG!G117+CIG!G118+CIG!G119+CIG!G120+CIG!G121+CIG!G122+CIG!G123+CIG!G124+CIG!G125+CIG!G126+CIG!G129+CIG!G130+CIG!G154+CIG!G155+CIG!G156+CIG!G157+CIG!G158+CIG!G159+CIG!G160+CIG!G161+CIG!G162+CIG!G163+CIG!G164+CIG!G165+CIG!G166+CIG!G167+CIG!G168+CIG!G169+CIG!G170+CIG!G171+CIG!G172+CIG!G173+CIG!G174+CIG!G175+CIG!G216+CIG!G217+CIG!G222+CIG!G224+CIG!G228+CIG!G229</f>
        <v>2326.4850000000001</v>
      </c>
      <c r="G20" s="10">
        <f>IF(D20=0,"0,00%",(F20/D20)-1)</f>
        <v>0.14856385394656302</v>
      </c>
      <c r="H20" s="11">
        <f t="shared" si="4"/>
        <v>0.4804673371716478</v>
      </c>
    </row>
    <row r="21" spans="2:8" s="12" customFormat="1" ht="15.75" x14ac:dyDescent="0.25">
      <c r="B21" s="8" t="s">
        <v>119</v>
      </c>
      <c r="C21" s="9">
        <f>SUM(CIG!D264:D297)</f>
        <v>0</v>
      </c>
      <c r="D21" s="9">
        <f>SUM(CIG!E264:E297)</f>
        <v>310.99</v>
      </c>
      <c r="E21" s="10" t="str">
        <f>IF(C21=0,"0,00%",(D21/C21)-1)</f>
        <v>0,00%</v>
      </c>
      <c r="F21" s="9">
        <f>SUM(CIG!G264:G297)</f>
        <v>7.1549999999999994</v>
      </c>
      <c r="G21" s="10">
        <f>IF(D21=0,"0,00%",(F21/D21)-1)</f>
        <v>-0.97699282935142606</v>
      </c>
      <c r="H21" s="11">
        <f t="shared" si="4"/>
        <v>-0.48849641467571303</v>
      </c>
    </row>
    <row r="22" spans="2:8" ht="15.75" x14ac:dyDescent="0.25">
      <c r="B22" s="8" t="s">
        <v>130</v>
      </c>
      <c r="C22" s="9">
        <f>SUM(CIG!D360:D369)</f>
        <v>2604.3000000000002</v>
      </c>
      <c r="D22" s="9">
        <f>SUM(CIG!E360:E369)</f>
        <v>500.1</v>
      </c>
      <c r="E22" s="10">
        <f t="shared" ref="E22:E24" si="5">IF(C22=0,"0,00%",(D22/C22)-1)</f>
        <v>-0.8079714318626886</v>
      </c>
      <c r="F22" s="9">
        <f>SUM(CIG!G360:G369)</f>
        <v>2398.8900000000003</v>
      </c>
      <c r="G22" s="10">
        <f t="shared" si="3"/>
        <v>3.7968206358728258</v>
      </c>
      <c r="H22" s="11">
        <f t="shared" si="4"/>
        <v>1.4944246020050687</v>
      </c>
    </row>
    <row r="23" spans="2:8" ht="15.75" x14ac:dyDescent="0.25">
      <c r="B23" s="16" t="s">
        <v>120</v>
      </c>
      <c r="C23" s="17">
        <f>CIG!D412+CIG!D413+CIG!D414</f>
        <v>7666.62</v>
      </c>
      <c r="D23" s="17">
        <f>CIG!E412+CIG!E413+CIG!E414</f>
        <v>7883.63</v>
      </c>
      <c r="E23" s="18">
        <f t="shared" si="5"/>
        <v>2.8305824470235885E-2</v>
      </c>
      <c r="F23" s="17">
        <f>CIG!G412+CIG!G413+CIG!G414</f>
        <v>13140.555</v>
      </c>
      <c r="G23" s="18">
        <f>IF(D23=0,"0,00%",(F23/D23)-1)</f>
        <v>0.66681528686658309</v>
      </c>
      <c r="H23" s="19">
        <f t="shared" ref="H23:H24" si="6">(E23+G23)/2</f>
        <v>0.34756055566840949</v>
      </c>
    </row>
    <row r="24" spans="2:8" ht="15.75" x14ac:dyDescent="0.25">
      <c r="B24" s="7" t="s">
        <v>108</v>
      </c>
      <c r="C24" s="13">
        <f>SUM(C12:C22)-C23</f>
        <v>897701.00000000012</v>
      </c>
      <c r="D24" s="13">
        <f>SUM(D12:D22)-D23</f>
        <v>933482.58</v>
      </c>
      <c r="E24" s="14">
        <f t="shared" si="5"/>
        <v>3.9859129041852182E-2</v>
      </c>
      <c r="F24" s="13">
        <f>SUM(F12:F22)-F23</f>
        <v>1038447.6687499998</v>
      </c>
      <c r="G24" s="14">
        <f>IF(D24=0,"0,00%",(F24/D24)-1)</f>
        <v>0.11244461439226838</v>
      </c>
      <c r="H24" s="6">
        <f t="shared" si="6"/>
        <v>7.6151871717060282E-2</v>
      </c>
    </row>
    <row r="70" spans="4:6" x14ac:dyDescent="0.25">
      <c r="D70" s="12"/>
      <c r="E70" s="12"/>
      <c r="F70" s="12"/>
    </row>
    <row r="71" spans="4:6" x14ac:dyDescent="0.25">
      <c r="D71" s="1"/>
      <c r="E71" s="1"/>
      <c r="F71" s="1"/>
    </row>
    <row r="72" spans="4:6" x14ac:dyDescent="0.25">
      <c r="D72" s="1"/>
      <c r="E72" s="1"/>
      <c r="F72" s="1"/>
    </row>
    <row r="73" spans="4:6" x14ac:dyDescent="0.25">
      <c r="D73" s="1"/>
      <c r="E73" s="1"/>
      <c r="F73" s="1"/>
    </row>
    <row r="74" spans="4:6" x14ac:dyDescent="0.25">
      <c r="D74" s="1"/>
      <c r="E74" s="1"/>
      <c r="F74" s="1"/>
    </row>
    <row r="75" spans="4:6" x14ac:dyDescent="0.25">
      <c r="D75" s="1"/>
      <c r="E75" s="1"/>
      <c r="F75" s="1"/>
    </row>
    <row r="76" spans="4:6" x14ac:dyDescent="0.25">
      <c r="D76" s="1"/>
      <c r="E76" s="1"/>
      <c r="F76" s="1"/>
    </row>
    <row r="77" spans="4:6" x14ac:dyDescent="0.25">
      <c r="D77" s="1"/>
      <c r="E77" s="1"/>
      <c r="F77" s="1"/>
    </row>
    <row r="78" spans="4:6" x14ac:dyDescent="0.25">
      <c r="D78" s="1"/>
      <c r="E78" s="1"/>
      <c r="F78" s="1"/>
    </row>
    <row r="79" spans="4:6" x14ac:dyDescent="0.25">
      <c r="D79" s="1"/>
      <c r="E79" s="1"/>
      <c r="F79" s="1"/>
    </row>
    <row r="80" spans="4:6" x14ac:dyDescent="0.25">
      <c r="D80" s="1"/>
      <c r="E80" s="1"/>
      <c r="F80" s="1"/>
    </row>
    <row r="81" spans="4:6" x14ac:dyDescent="0.25">
      <c r="D81" s="1"/>
      <c r="E81" s="1"/>
      <c r="F81" s="1"/>
    </row>
    <row r="82" spans="4:6" x14ac:dyDescent="0.25">
      <c r="D82" s="1"/>
      <c r="E82" s="1"/>
      <c r="F82" s="1"/>
    </row>
    <row r="83" spans="4:6" x14ac:dyDescent="0.25">
      <c r="D83" s="1"/>
      <c r="E83" s="1"/>
      <c r="F83" s="1"/>
    </row>
    <row r="84" spans="4:6" x14ac:dyDescent="0.25">
      <c r="D84" s="1"/>
      <c r="E84" s="1"/>
      <c r="F84" s="1"/>
    </row>
    <row r="85" spans="4:6" x14ac:dyDescent="0.25">
      <c r="D85" s="1"/>
      <c r="E85" s="1"/>
      <c r="F85" s="1"/>
    </row>
    <row r="86" spans="4:6" x14ac:dyDescent="0.25">
      <c r="D86" s="1"/>
      <c r="E86" s="1"/>
      <c r="F86" s="1"/>
    </row>
    <row r="87" spans="4:6" x14ac:dyDescent="0.25">
      <c r="D87" s="1"/>
      <c r="E87" s="1"/>
      <c r="F87" s="1"/>
    </row>
    <row r="88" spans="4:6" x14ac:dyDescent="0.25">
      <c r="D88" s="1"/>
      <c r="E88" s="1"/>
      <c r="F88" s="1"/>
    </row>
    <row r="89" spans="4:6" x14ac:dyDescent="0.25">
      <c r="D89" s="1"/>
      <c r="E89" s="1"/>
      <c r="F89" s="1"/>
    </row>
    <row r="90" spans="4:6" x14ac:dyDescent="0.25">
      <c r="D90" s="1"/>
      <c r="E90" s="1"/>
      <c r="F90" s="1"/>
    </row>
    <row r="91" spans="4:6" x14ac:dyDescent="0.25">
      <c r="D91" s="1"/>
      <c r="E91" s="1"/>
      <c r="F91" s="1"/>
    </row>
    <row r="92" spans="4:6" x14ac:dyDescent="0.25">
      <c r="D92" s="1"/>
      <c r="E92" s="1"/>
      <c r="F92" s="1"/>
    </row>
    <row r="93" spans="4:6" x14ac:dyDescent="0.25">
      <c r="D93" s="1"/>
      <c r="E93" s="1"/>
      <c r="F93" s="1"/>
    </row>
    <row r="94" spans="4:6" x14ac:dyDescent="0.25">
      <c r="D94" s="1"/>
      <c r="E94" s="1"/>
      <c r="F94" s="1"/>
    </row>
    <row r="95" spans="4:6" x14ac:dyDescent="0.25">
      <c r="D95" s="1"/>
      <c r="E95" s="1"/>
      <c r="F95" s="1"/>
    </row>
    <row r="96" spans="4:6" x14ac:dyDescent="0.25">
      <c r="D96" s="1"/>
      <c r="E96" s="1"/>
      <c r="F96" s="1"/>
    </row>
    <row r="97" spans="4:6" x14ac:dyDescent="0.25">
      <c r="D97" s="1"/>
      <c r="E97" s="1"/>
      <c r="F97" s="1"/>
    </row>
    <row r="98" spans="4:6" x14ac:dyDescent="0.25">
      <c r="D98" s="1"/>
      <c r="E98" s="1"/>
      <c r="F98" s="1"/>
    </row>
    <row r="99" spans="4:6" x14ac:dyDescent="0.25">
      <c r="D99" s="1"/>
      <c r="E99" s="1"/>
      <c r="F99" s="1"/>
    </row>
    <row r="100" spans="4:6" x14ac:dyDescent="0.25">
      <c r="D100" s="1"/>
      <c r="E100" s="1"/>
      <c r="F100" s="1"/>
    </row>
    <row r="101" spans="4:6" x14ac:dyDescent="0.25">
      <c r="D101" s="1"/>
      <c r="E101" s="1"/>
      <c r="F101" s="1"/>
    </row>
    <row r="102" spans="4:6" x14ac:dyDescent="0.25">
      <c r="D102" s="1"/>
      <c r="E102" s="1"/>
      <c r="F102" s="1"/>
    </row>
    <row r="103" spans="4:6" x14ac:dyDescent="0.25">
      <c r="D103" s="1"/>
      <c r="E103" s="1"/>
      <c r="F103" s="1"/>
    </row>
    <row r="104" spans="4:6" x14ac:dyDescent="0.25">
      <c r="D104" s="1"/>
      <c r="E104" s="1"/>
      <c r="F104" s="1"/>
    </row>
    <row r="105" spans="4:6" x14ac:dyDescent="0.25">
      <c r="D105" s="1"/>
      <c r="E105" s="1"/>
      <c r="F105" s="1"/>
    </row>
    <row r="106" spans="4:6" x14ac:dyDescent="0.25">
      <c r="D106" s="1"/>
      <c r="E106" s="1"/>
      <c r="F106" s="1"/>
    </row>
    <row r="107" spans="4:6" x14ac:dyDescent="0.25">
      <c r="D107" s="1"/>
      <c r="E107" s="1"/>
      <c r="F107" s="1"/>
    </row>
    <row r="108" spans="4:6" x14ac:dyDescent="0.25">
      <c r="D108" s="1"/>
      <c r="E108" s="1"/>
      <c r="F108" s="1"/>
    </row>
    <row r="109" spans="4:6" x14ac:dyDescent="0.25">
      <c r="D109" s="1"/>
      <c r="E109" s="1"/>
      <c r="F109" s="1"/>
    </row>
    <row r="110" spans="4:6" x14ac:dyDescent="0.25">
      <c r="D110" s="1"/>
      <c r="E110" s="1"/>
      <c r="F110" s="1"/>
    </row>
    <row r="111" spans="4:6" x14ac:dyDescent="0.25">
      <c r="D111" s="1"/>
      <c r="E111" s="1"/>
      <c r="F111" s="1"/>
    </row>
    <row r="112" spans="4:6" x14ac:dyDescent="0.25">
      <c r="D112" s="1"/>
      <c r="E112" s="1"/>
      <c r="F112" s="1"/>
    </row>
    <row r="113" spans="4:6" x14ac:dyDescent="0.25">
      <c r="D113" s="1"/>
      <c r="E113" s="1"/>
      <c r="F113" s="1"/>
    </row>
    <row r="114" spans="4:6" x14ac:dyDescent="0.25">
      <c r="D114" s="1"/>
      <c r="E114" s="1"/>
      <c r="F114" s="1"/>
    </row>
    <row r="115" spans="4:6" x14ac:dyDescent="0.25">
      <c r="D115" s="1"/>
      <c r="E115" s="1"/>
      <c r="F115" s="1"/>
    </row>
    <row r="116" spans="4:6" x14ac:dyDescent="0.25">
      <c r="D116" s="1"/>
      <c r="E116" s="1"/>
      <c r="F116" s="1"/>
    </row>
    <row r="117" spans="4:6" x14ac:dyDescent="0.25">
      <c r="D117" s="1"/>
      <c r="E117" s="1"/>
      <c r="F117" s="1"/>
    </row>
    <row r="118" spans="4:6" x14ac:dyDescent="0.25">
      <c r="D118" s="1"/>
      <c r="E118" s="1"/>
      <c r="F118" s="1"/>
    </row>
    <row r="119" spans="4:6" x14ac:dyDescent="0.25">
      <c r="D119" s="1"/>
      <c r="E119" s="1"/>
      <c r="F119" s="1"/>
    </row>
    <row r="120" spans="4:6" x14ac:dyDescent="0.25">
      <c r="D120" s="1"/>
      <c r="E120" s="1"/>
      <c r="F120" s="1"/>
    </row>
    <row r="121" spans="4:6" x14ac:dyDescent="0.25">
      <c r="D121" s="1"/>
      <c r="E121" s="1"/>
      <c r="F121" s="1"/>
    </row>
    <row r="122" spans="4:6" x14ac:dyDescent="0.25">
      <c r="D122" s="1"/>
      <c r="E122" s="1"/>
      <c r="F122" s="1"/>
    </row>
    <row r="123" spans="4:6" x14ac:dyDescent="0.25">
      <c r="D123" s="1"/>
      <c r="E123" s="1"/>
      <c r="F123" s="1"/>
    </row>
    <row r="124" spans="4:6" x14ac:dyDescent="0.25">
      <c r="D124" s="1"/>
      <c r="E124" s="1"/>
      <c r="F124" s="1"/>
    </row>
    <row r="125" spans="4:6" x14ac:dyDescent="0.25">
      <c r="D125" s="1"/>
      <c r="E125" s="1"/>
      <c r="F125" s="1"/>
    </row>
    <row r="126" spans="4:6" x14ac:dyDescent="0.25">
      <c r="D126" s="1"/>
      <c r="E126" s="1"/>
      <c r="F126" s="1"/>
    </row>
    <row r="127" spans="4:6" x14ac:dyDescent="0.25">
      <c r="D127" s="1"/>
      <c r="E127" s="1"/>
      <c r="F127" s="1"/>
    </row>
    <row r="128" spans="4:6" x14ac:dyDescent="0.25">
      <c r="D128" s="1"/>
      <c r="E128" s="1"/>
      <c r="F128" s="1"/>
    </row>
    <row r="129" spans="4:6" ht="15" customHeight="1" x14ac:dyDescent="0.25">
      <c r="D129" s="1"/>
      <c r="E129" s="1"/>
      <c r="F129" s="1"/>
    </row>
    <row r="130" spans="4:6" x14ac:dyDescent="0.25">
      <c r="D130" s="1"/>
      <c r="E130" s="1"/>
      <c r="F130" s="1"/>
    </row>
    <row r="131" spans="4:6" x14ac:dyDescent="0.25">
      <c r="D131" s="1"/>
      <c r="E131" s="1"/>
      <c r="F131" s="1"/>
    </row>
  </sheetData>
  <mergeCells count="10">
    <mergeCell ref="B1:H1"/>
    <mergeCell ref="B3:H3"/>
    <mergeCell ref="B5:H5"/>
    <mergeCell ref="B7:H7"/>
    <mergeCell ref="B8:H8"/>
    <mergeCell ref="B10:B11"/>
    <mergeCell ref="C10:C11"/>
    <mergeCell ref="D10:D11"/>
    <mergeCell ref="E10:E11"/>
    <mergeCell ref="G10:G11"/>
  </mergeCell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76"/>
  <sheetViews>
    <sheetView topLeftCell="A306" zoomScale="110" zoomScaleNormal="110" workbookViewId="0">
      <selection activeCell="C313" sqref="C313"/>
    </sheetView>
  </sheetViews>
  <sheetFormatPr defaultRowHeight="15" x14ac:dyDescent="0.25"/>
  <cols>
    <col min="1" max="1" width="2.85546875" style="890" customWidth="1"/>
    <col min="2" max="2" width="5.85546875" style="855" customWidth="1"/>
    <col min="3" max="3" width="100" style="855" customWidth="1"/>
    <col min="4" max="4" width="20.42578125" style="855" customWidth="1"/>
    <col min="5" max="5" width="12.42578125" style="855" customWidth="1"/>
    <col min="6" max="6" width="13.5703125" style="855" bestFit="1" customWidth="1"/>
    <col min="7" max="256" width="9.140625" style="890"/>
    <col min="257" max="257" width="5.85546875" style="890" customWidth="1"/>
    <col min="258" max="258" width="17.5703125" style="890" customWidth="1"/>
    <col min="259" max="259" width="100" style="890" customWidth="1"/>
    <col min="260" max="260" width="20.42578125" style="890" customWidth="1"/>
    <col min="261" max="261" width="12.42578125" style="890" customWidth="1"/>
    <col min="262" max="262" width="13.5703125" style="890" bestFit="1" customWidth="1"/>
    <col min="263" max="512" width="9.140625" style="890"/>
    <col min="513" max="513" width="5.85546875" style="890" customWidth="1"/>
    <col min="514" max="514" width="17.5703125" style="890" customWidth="1"/>
    <col min="515" max="515" width="100" style="890" customWidth="1"/>
    <col min="516" max="516" width="20.42578125" style="890" customWidth="1"/>
    <col min="517" max="517" width="12.42578125" style="890" customWidth="1"/>
    <col min="518" max="518" width="13.5703125" style="890" bestFit="1" customWidth="1"/>
    <col min="519" max="768" width="9.140625" style="890"/>
    <col min="769" max="769" width="5.85546875" style="890" customWidth="1"/>
    <col min="770" max="770" width="17.5703125" style="890" customWidth="1"/>
    <col min="771" max="771" width="100" style="890" customWidth="1"/>
    <col min="772" max="772" width="20.42578125" style="890" customWidth="1"/>
    <col min="773" max="773" width="12.42578125" style="890" customWidth="1"/>
    <col min="774" max="774" width="13.5703125" style="890" bestFit="1" customWidth="1"/>
    <col min="775" max="1024" width="9.140625" style="890"/>
    <col min="1025" max="1025" width="5.85546875" style="890" customWidth="1"/>
    <col min="1026" max="1026" width="17.5703125" style="890" customWidth="1"/>
    <col min="1027" max="1027" width="100" style="890" customWidth="1"/>
    <col min="1028" max="1028" width="20.42578125" style="890" customWidth="1"/>
    <col min="1029" max="1029" width="12.42578125" style="890" customWidth="1"/>
    <col min="1030" max="1030" width="13.5703125" style="890" bestFit="1" customWidth="1"/>
    <col min="1031" max="1280" width="9.140625" style="890"/>
    <col min="1281" max="1281" width="5.85546875" style="890" customWidth="1"/>
    <col min="1282" max="1282" width="17.5703125" style="890" customWidth="1"/>
    <col min="1283" max="1283" width="100" style="890" customWidth="1"/>
    <col min="1284" max="1284" width="20.42578125" style="890" customWidth="1"/>
    <col min="1285" max="1285" width="12.42578125" style="890" customWidth="1"/>
    <col min="1286" max="1286" width="13.5703125" style="890" bestFit="1" customWidth="1"/>
    <col min="1287" max="1536" width="9.140625" style="890"/>
    <col min="1537" max="1537" width="5.85546875" style="890" customWidth="1"/>
    <col min="1538" max="1538" width="17.5703125" style="890" customWidth="1"/>
    <col min="1539" max="1539" width="100" style="890" customWidth="1"/>
    <col min="1540" max="1540" width="20.42578125" style="890" customWidth="1"/>
    <col min="1541" max="1541" width="12.42578125" style="890" customWidth="1"/>
    <col min="1542" max="1542" width="13.5703125" style="890" bestFit="1" customWidth="1"/>
    <col min="1543" max="1792" width="9.140625" style="890"/>
    <col min="1793" max="1793" width="5.85546875" style="890" customWidth="1"/>
    <col min="1794" max="1794" width="17.5703125" style="890" customWidth="1"/>
    <col min="1795" max="1795" width="100" style="890" customWidth="1"/>
    <col min="1796" max="1796" width="20.42578125" style="890" customWidth="1"/>
    <col min="1797" max="1797" width="12.42578125" style="890" customWidth="1"/>
    <col min="1798" max="1798" width="13.5703125" style="890" bestFit="1" customWidth="1"/>
    <col min="1799" max="2048" width="9.140625" style="890"/>
    <col min="2049" max="2049" width="5.85546875" style="890" customWidth="1"/>
    <col min="2050" max="2050" width="17.5703125" style="890" customWidth="1"/>
    <col min="2051" max="2051" width="100" style="890" customWidth="1"/>
    <col min="2052" max="2052" width="20.42578125" style="890" customWidth="1"/>
    <col min="2053" max="2053" width="12.42578125" style="890" customWidth="1"/>
    <col min="2054" max="2054" width="13.5703125" style="890" bestFit="1" customWidth="1"/>
    <col min="2055" max="2304" width="9.140625" style="890"/>
    <col min="2305" max="2305" width="5.85546875" style="890" customWidth="1"/>
    <col min="2306" max="2306" width="17.5703125" style="890" customWidth="1"/>
    <col min="2307" max="2307" width="100" style="890" customWidth="1"/>
    <col min="2308" max="2308" width="20.42578125" style="890" customWidth="1"/>
    <col min="2309" max="2309" width="12.42578125" style="890" customWidth="1"/>
    <col min="2310" max="2310" width="13.5703125" style="890" bestFit="1" customWidth="1"/>
    <col min="2311" max="2560" width="9.140625" style="890"/>
    <col min="2561" max="2561" width="5.85546875" style="890" customWidth="1"/>
    <col min="2562" max="2562" width="17.5703125" style="890" customWidth="1"/>
    <col min="2563" max="2563" width="100" style="890" customWidth="1"/>
    <col min="2564" max="2564" width="20.42578125" style="890" customWidth="1"/>
    <col min="2565" max="2565" width="12.42578125" style="890" customWidth="1"/>
    <col min="2566" max="2566" width="13.5703125" style="890" bestFit="1" customWidth="1"/>
    <col min="2567" max="2816" width="9.140625" style="890"/>
    <col min="2817" max="2817" width="5.85546875" style="890" customWidth="1"/>
    <col min="2818" max="2818" width="17.5703125" style="890" customWidth="1"/>
    <col min="2819" max="2819" width="100" style="890" customWidth="1"/>
    <col min="2820" max="2820" width="20.42578125" style="890" customWidth="1"/>
    <col min="2821" max="2821" width="12.42578125" style="890" customWidth="1"/>
    <col min="2822" max="2822" width="13.5703125" style="890" bestFit="1" customWidth="1"/>
    <col min="2823" max="3072" width="9.140625" style="890"/>
    <col min="3073" max="3073" width="5.85546875" style="890" customWidth="1"/>
    <col min="3074" max="3074" width="17.5703125" style="890" customWidth="1"/>
    <col min="3075" max="3075" width="100" style="890" customWidth="1"/>
    <col min="3076" max="3076" width="20.42578125" style="890" customWidth="1"/>
    <col min="3077" max="3077" width="12.42578125" style="890" customWidth="1"/>
    <col min="3078" max="3078" width="13.5703125" style="890" bestFit="1" customWidth="1"/>
    <col min="3079" max="3328" width="9.140625" style="890"/>
    <col min="3329" max="3329" width="5.85546875" style="890" customWidth="1"/>
    <col min="3330" max="3330" width="17.5703125" style="890" customWidth="1"/>
    <col min="3331" max="3331" width="100" style="890" customWidth="1"/>
    <col min="3332" max="3332" width="20.42578125" style="890" customWidth="1"/>
    <col min="3333" max="3333" width="12.42578125" style="890" customWidth="1"/>
    <col min="3334" max="3334" width="13.5703125" style="890" bestFit="1" customWidth="1"/>
    <col min="3335" max="3584" width="9.140625" style="890"/>
    <col min="3585" max="3585" width="5.85546875" style="890" customWidth="1"/>
    <col min="3586" max="3586" width="17.5703125" style="890" customWidth="1"/>
    <col min="3587" max="3587" width="100" style="890" customWidth="1"/>
    <col min="3588" max="3588" width="20.42578125" style="890" customWidth="1"/>
    <col min="3589" max="3589" width="12.42578125" style="890" customWidth="1"/>
    <col min="3590" max="3590" width="13.5703125" style="890" bestFit="1" customWidth="1"/>
    <col min="3591" max="3840" width="9.140625" style="890"/>
    <col min="3841" max="3841" width="5.85546875" style="890" customWidth="1"/>
    <col min="3842" max="3842" width="17.5703125" style="890" customWidth="1"/>
    <col min="3843" max="3843" width="100" style="890" customWidth="1"/>
    <col min="3844" max="3844" width="20.42578125" style="890" customWidth="1"/>
    <col min="3845" max="3845" width="12.42578125" style="890" customWidth="1"/>
    <col min="3846" max="3846" width="13.5703125" style="890" bestFit="1" customWidth="1"/>
    <col min="3847" max="4096" width="9.140625" style="890"/>
    <col min="4097" max="4097" width="5.85546875" style="890" customWidth="1"/>
    <col min="4098" max="4098" width="17.5703125" style="890" customWidth="1"/>
    <col min="4099" max="4099" width="100" style="890" customWidth="1"/>
    <col min="4100" max="4100" width="20.42578125" style="890" customWidth="1"/>
    <col min="4101" max="4101" width="12.42578125" style="890" customWidth="1"/>
    <col min="4102" max="4102" width="13.5703125" style="890" bestFit="1" customWidth="1"/>
    <col min="4103" max="4352" width="9.140625" style="890"/>
    <col min="4353" max="4353" width="5.85546875" style="890" customWidth="1"/>
    <col min="4354" max="4354" width="17.5703125" style="890" customWidth="1"/>
    <col min="4355" max="4355" width="100" style="890" customWidth="1"/>
    <col min="4356" max="4356" width="20.42578125" style="890" customWidth="1"/>
    <col min="4357" max="4357" width="12.42578125" style="890" customWidth="1"/>
    <col min="4358" max="4358" width="13.5703125" style="890" bestFit="1" customWidth="1"/>
    <col min="4359" max="4608" width="9.140625" style="890"/>
    <col min="4609" max="4609" width="5.85546875" style="890" customWidth="1"/>
    <col min="4610" max="4610" width="17.5703125" style="890" customWidth="1"/>
    <col min="4611" max="4611" width="100" style="890" customWidth="1"/>
    <col min="4612" max="4612" width="20.42578125" style="890" customWidth="1"/>
    <col min="4613" max="4613" width="12.42578125" style="890" customWidth="1"/>
    <col min="4614" max="4614" width="13.5703125" style="890" bestFit="1" customWidth="1"/>
    <col min="4615" max="4864" width="9.140625" style="890"/>
    <col min="4865" max="4865" width="5.85546875" style="890" customWidth="1"/>
    <col min="4866" max="4866" width="17.5703125" style="890" customWidth="1"/>
    <col min="4867" max="4867" width="100" style="890" customWidth="1"/>
    <col min="4868" max="4868" width="20.42578125" style="890" customWidth="1"/>
    <col min="4869" max="4869" width="12.42578125" style="890" customWidth="1"/>
    <col min="4870" max="4870" width="13.5703125" style="890" bestFit="1" customWidth="1"/>
    <col min="4871" max="5120" width="9.140625" style="890"/>
    <col min="5121" max="5121" width="5.85546875" style="890" customWidth="1"/>
    <col min="5122" max="5122" width="17.5703125" style="890" customWidth="1"/>
    <col min="5123" max="5123" width="100" style="890" customWidth="1"/>
    <col min="5124" max="5124" width="20.42578125" style="890" customWidth="1"/>
    <col min="5125" max="5125" width="12.42578125" style="890" customWidth="1"/>
    <col min="5126" max="5126" width="13.5703125" style="890" bestFit="1" customWidth="1"/>
    <col min="5127" max="5376" width="9.140625" style="890"/>
    <col min="5377" max="5377" width="5.85546875" style="890" customWidth="1"/>
    <col min="5378" max="5378" width="17.5703125" style="890" customWidth="1"/>
    <col min="5379" max="5379" width="100" style="890" customWidth="1"/>
    <col min="5380" max="5380" width="20.42578125" style="890" customWidth="1"/>
    <col min="5381" max="5381" width="12.42578125" style="890" customWidth="1"/>
    <col min="5382" max="5382" width="13.5703125" style="890" bestFit="1" customWidth="1"/>
    <col min="5383" max="5632" width="9.140625" style="890"/>
    <col min="5633" max="5633" width="5.85546875" style="890" customWidth="1"/>
    <col min="5634" max="5634" width="17.5703125" style="890" customWidth="1"/>
    <col min="5635" max="5635" width="100" style="890" customWidth="1"/>
    <col min="5636" max="5636" width="20.42578125" style="890" customWidth="1"/>
    <col min="5637" max="5637" width="12.42578125" style="890" customWidth="1"/>
    <col min="5638" max="5638" width="13.5703125" style="890" bestFit="1" customWidth="1"/>
    <col min="5639" max="5888" width="9.140625" style="890"/>
    <col min="5889" max="5889" width="5.85546875" style="890" customWidth="1"/>
    <col min="5890" max="5890" width="17.5703125" style="890" customWidth="1"/>
    <col min="5891" max="5891" width="100" style="890" customWidth="1"/>
    <col min="5892" max="5892" width="20.42578125" style="890" customWidth="1"/>
    <col min="5893" max="5893" width="12.42578125" style="890" customWidth="1"/>
    <col min="5894" max="5894" width="13.5703125" style="890" bestFit="1" customWidth="1"/>
    <col min="5895" max="6144" width="9.140625" style="890"/>
    <col min="6145" max="6145" width="5.85546875" style="890" customWidth="1"/>
    <col min="6146" max="6146" width="17.5703125" style="890" customWidth="1"/>
    <col min="6147" max="6147" width="100" style="890" customWidth="1"/>
    <col min="6148" max="6148" width="20.42578125" style="890" customWidth="1"/>
    <col min="6149" max="6149" width="12.42578125" style="890" customWidth="1"/>
    <col min="6150" max="6150" width="13.5703125" style="890" bestFit="1" customWidth="1"/>
    <col min="6151" max="6400" width="9.140625" style="890"/>
    <col min="6401" max="6401" width="5.85546875" style="890" customWidth="1"/>
    <col min="6402" max="6402" width="17.5703125" style="890" customWidth="1"/>
    <col min="6403" max="6403" width="100" style="890" customWidth="1"/>
    <col min="6404" max="6404" width="20.42578125" style="890" customWidth="1"/>
    <col min="6405" max="6405" width="12.42578125" style="890" customWidth="1"/>
    <col min="6406" max="6406" width="13.5703125" style="890" bestFit="1" customWidth="1"/>
    <col min="6407" max="6656" width="9.140625" style="890"/>
    <col min="6657" max="6657" width="5.85546875" style="890" customWidth="1"/>
    <col min="6658" max="6658" width="17.5703125" style="890" customWidth="1"/>
    <col min="6659" max="6659" width="100" style="890" customWidth="1"/>
    <col min="6660" max="6660" width="20.42578125" style="890" customWidth="1"/>
    <col min="6661" max="6661" width="12.42578125" style="890" customWidth="1"/>
    <col min="6662" max="6662" width="13.5703125" style="890" bestFit="1" customWidth="1"/>
    <col min="6663" max="6912" width="9.140625" style="890"/>
    <col min="6913" max="6913" width="5.85546875" style="890" customWidth="1"/>
    <col min="6914" max="6914" width="17.5703125" style="890" customWidth="1"/>
    <col min="6915" max="6915" width="100" style="890" customWidth="1"/>
    <col min="6916" max="6916" width="20.42578125" style="890" customWidth="1"/>
    <col min="6917" max="6917" width="12.42578125" style="890" customWidth="1"/>
    <col min="6918" max="6918" width="13.5703125" style="890" bestFit="1" customWidth="1"/>
    <col min="6919" max="7168" width="9.140625" style="890"/>
    <col min="7169" max="7169" width="5.85546875" style="890" customWidth="1"/>
    <col min="7170" max="7170" width="17.5703125" style="890" customWidth="1"/>
    <col min="7171" max="7171" width="100" style="890" customWidth="1"/>
    <col min="7172" max="7172" width="20.42578125" style="890" customWidth="1"/>
    <col min="7173" max="7173" width="12.42578125" style="890" customWidth="1"/>
    <col min="7174" max="7174" width="13.5703125" style="890" bestFit="1" customWidth="1"/>
    <col min="7175" max="7424" width="9.140625" style="890"/>
    <col min="7425" max="7425" width="5.85546875" style="890" customWidth="1"/>
    <col min="7426" max="7426" width="17.5703125" style="890" customWidth="1"/>
    <col min="7427" max="7427" width="100" style="890" customWidth="1"/>
    <col min="7428" max="7428" width="20.42578125" style="890" customWidth="1"/>
    <col min="7429" max="7429" width="12.42578125" style="890" customWidth="1"/>
    <col min="7430" max="7430" width="13.5703125" style="890" bestFit="1" customWidth="1"/>
    <col min="7431" max="7680" width="9.140625" style="890"/>
    <col min="7681" max="7681" width="5.85546875" style="890" customWidth="1"/>
    <col min="7682" max="7682" width="17.5703125" style="890" customWidth="1"/>
    <col min="7683" max="7683" width="100" style="890" customWidth="1"/>
    <col min="7684" max="7684" width="20.42578125" style="890" customWidth="1"/>
    <col min="7685" max="7685" width="12.42578125" style="890" customWidth="1"/>
    <col min="7686" max="7686" width="13.5703125" style="890" bestFit="1" customWidth="1"/>
    <col min="7687" max="7936" width="9.140625" style="890"/>
    <col min="7937" max="7937" width="5.85546875" style="890" customWidth="1"/>
    <col min="7938" max="7938" width="17.5703125" style="890" customWidth="1"/>
    <col min="7939" max="7939" width="100" style="890" customWidth="1"/>
    <col min="7940" max="7940" width="20.42578125" style="890" customWidth="1"/>
    <col min="7941" max="7941" width="12.42578125" style="890" customWidth="1"/>
    <col min="7942" max="7942" width="13.5703125" style="890" bestFit="1" customWidth="1"/>
    <col min="7943" max="8192" width="9.140625" style="890"/>
    <col min="8193" max="8193" width="5.85546875" style="890" customWidth="1"/>
    <col min="8194" max="8194" width="17.5703125" style="890" customWidth="1"/>
    <col min="8195" max="8195" width="100" style="890" customWidth="1"/>
    <col min="8196" max="8196" width="20.42578125" style="890" customWidth="1"/>
    <col min="8197" max="8197" width="12.42578125" style="890" customWidth="1"/>
    <col min="8198" max="8198" width="13.5703125" style="890" bestFit="1" customWidth="1"/>
    <col min="8199" max="8448" width="9.140625" style="890"/>
    <col min="8449" max="8449" width="5.85546875" style="890" customWidth="1"/>
    <col min="8450" max="8450" width="17.5703125" style="890" customWidth="1"/>
    <col min="8451" max="8451" width="100" style="890" customWidth="1"/>
    <col min="8452" max="8452" width="20.42578125" style="890" customWidth="1"/>
    <col min="8453" max="8453" width="12.42578125" style="890" customWidth="1"/>
    <col min="8454" max="8454" width="13.5703125" style="890" bestFit="1" customWidth="1"/>
    <col min="8455" max="8704" width="9.140625" style="890"/>
    <col min="8705" max="8705" width="5.85546875" style="890" customWidth="1"/>
    <col min="8706" max="8706" width="17.5703125" style="890" customWidth="1"/>
    <col min="8707" max="8707" width="100" style="890" customWidth="1"/>
    <col min="8708" max="8708" width="20.42578125" style="890" customWidth="1"/>
    <col min="8709" max="8709" width="12.42578125" style="890" customWidth="1"/>
    <col min="8710" max="8710" width="13.5703125" style="890" bestFit="1" customWidth="1"/>
    <col min="8711" max="8960" width="9.140625" style="890"/>
    <col min="8961" max="8961" width="5.85546875" style="890" customWidth="1"/>
    <col min="8962" max="8962" width="17.5703125" style="890" customWidth="1"/>
    <col min="8963" max="8963" width="100" style="890" customWidth="1"/>
    <col min="8964" max="8964" width="20.42578125" style="890" customWidth="1"/>
    <col min="8965" max="8965" width="12.42578125" style="890" customWidth="1"/>
    <col min="8966" max="8966" width="13.5703125" style="890" bestFit="1" customWidth="1"/>
    <col min="8967" max="9216" width="9.140625" style="890"/>
    <col min="9217" max="9217" width="5.85546875" style="890" customWidth="1"/>
    <col min="9218" max="9218" width="17.5703125" style="890" customWidth="1"/>
    <col min="9219" max="9219" width="100" style="890" customWidth="1"/>
    <col min="9220" max="9220" width="20.42578125" style="890" customWidth="1"/>
    <col min="9221" max="9221" width="12.42578125" style="890" customWidth="1"/>
    <col min="9222" max="9222" width="13.5703125" style="890" bestFit="1" customWidth="1"/>
    <col min="9223" max="9472" width="9.140625" style="890"/>
    <col min="9473" max="9473" width="5.85546875" style="890" customWidth="1"/>
    <col min="9474" max="9474" width="17.5703125" style="890" customWidth="1"/>
    <col min="9475" max="9475" width="100" style="890" customWidth="1"/>
    <col min="9476" max="9476" width="20.42578125" style="890" customWidth="1"/>
    <col min="9477" max="9477" width="12.42578125" style="890" customWidth="1"/>
    <col min="9478" max="9478" width="13.5703125" style="890" bestFit="1" customWidth="1"/>
    <col min="9479" max="9728" width="9.140625" style="890"/>
    <col min="9729" max="9729" width="5.85546875" style="890" customWidth="1"/>
    <col min="9730" max="9730" width="17.5703125" style="890" customWidth="1"/>
    <col min="9731" max="9731" width="100" style="890" customWidth="1"/>
    <col min="9732" max="9732" width="20.42578125" style="890" customWidth="1"/>
    <col min="9733" max="9733" width="12.42578125" style="890" customWidth="1"/>
    <col min="9734" max="9734" width="13.5703125" style="890" bestFit="1" customWidth="1"/>
    <col min="9735" max="9984" width="9.140625" style="890"/>
    <col min="9985" max="9985" width="5.85546875" style="890" customWidth="1"/>
    <col min="9986" max="9986" width="17.5703125" style="890" customWidth="1"/>
    <col min="9987" max="9987" width="100" style="890" customWidth="1"/>
    <col min="9988" max="9988" width="20.42578125" style="890" customWidth="1"/>
    <col min="9989" max="9989" width="12.42578125" style="890" customWidth="1"/>
    <col min="9990" max="9990" width="13.5703125" style="890" bestFit="1" customWidth="1"/>
    <col min="9991" max="10240" width="9.140625" style="890"/>
    <col min="10241" max="10241" width="5.85546875" style="890" customWidth="1"/>
    <col min="10242" max="10242" width="17.5703125" style="890" customWidth="1"/>
    <col min="10243" max="10243" width="100" style="890" customWidth="1"/>
    <col min="10244" max="10244" width="20.42578125" style="890" customWidth="1"/>
    <col min="10245" max="10245" width="12.42578125" style="890" customWidth="1"/>
    <col min="10246" max="10246" width="13.5703125" style="890" bestFit="1" customWidth="1"/>
    <col min="10247" max="10496" width="9.140625" style="890"/>
    <col min="10497" max="10497" width="5.85546875" style="890" customWidth="1"/>
    <col min="10498" max="10498" width="17.5703125" style="890" customWidth="1"/>
    <col min="10499" max="10499" width="100" style="890" customWidth="1"/>
    <col min="10500" max="10500" width="20.42578125" style="890" customWidth="1"/>
    <col min="10501" max="10501" width="12.42578125" style="890" customWidth="1"/>
    <col min="10502" max="10502" width="13.5703125" style="890" bestFit="1" customWidth="1"/>
    <col min="10503" max="10752" width="9.140625" style="890"/>
    <col min="10753" max="10753" width="5.85546875" style="890" customWidth="1"/>
    <col min="10754" max="10754" width="17.5703125" style="890" customWidth="1"/>
    <col min="10755" max="10755" width="100" style="890" customWidth="1"/>
    <col min="10756" max="10756" width="20.42578125" style="890" customWidth="1"/>
    <col min="10757" max="10757" width="12.42578125" style="890" customWidth="1"/>
    <col min="10758" max="10758" width="13.5703125" style="890" bestFit="1" customWidth="1"/>
    <col min="10759" max="11008" width="9.140625" style="890"/>
    <col min="11009" max="11009" width="5.85546875" style="890" customWidth="1"/>
    <col min="11010" max="11010" width="17.5703125" style="890" customWidth="1"/>
    <col min="11011" max="11011" width="100" style="890" customWidth="1"/>
    <col min="11012" max="11012" width="20.42578125" style="890" customWidth="1"/>
    <col min="11013" max="11013" width="12.42578125" style="890" customWidth="1"/>
    <col min="11014" max="11014" width="13.5703125" style="890" bestFit="1" customWidth="1"/>
    <col min="11015" max="11264" width="9.140625" style="890"/>
    <col min="11265" max="11265" width="5.85546875" style="890" customWidth="1"/>
    <col min="11266" max="11266" width="17.5703125" style="890" customWidth="1"/>
    <col min="11267" max="11267" width="100" style="890" customWidth="1"/>
    <col min="11268" max="11268" width="20.42578125" style="890" customWidth="1"/>
    <col min="11269" max="11269" width="12.42578125" style="890" customWidth="1"/>
    <col min="11270" max="11270" width="13.5703125" style="890" bestFit="1" customWidth="1"/>
    <col min="11271" max="11520" width="9.140625" style="890"/>
    <col min="11521" max="11521" width="5.85546875" style="890" customWidth="1"/>
    <col min="11522" max="11522" width="17.5703125" style="890" customWidth="1"/>
    <col min="11523" max="11523" width="100" style="890" customWidth="1"/>
    <col min="11524" max="11524" width="20.42578125" style="890" customWidth="1"/>
    <col min="11525" max="11525" width="12.42578125" style="890" customWidth="1"/>
    <col min="11526" max="11526" width="13.5703125" style="890" bestFit="1" customWidth="1"/>
    <col min="11527" max="11776" width="9.140625" style="890"/>
    <col min="11777" max="11777" width="5.85546875" style="890" customWidth="1"/>
    <col min="11778" max="11778" width="17.5703125" style="890" customWidth="1"/>
    <col min="11779" max="11779" width="100" style="890" customWidth="1"/>
    <col min="11780" max="11780" width="20.42578125" style="890" customWidth="1"/>
    <col min="11781" max="11781" width="12.42578125" style="890" customWidth="1"/>
    <col min="11782" max="11782" width="13.5703125" style="890" bestFit="1" customWidth="1"/>
    <col min="11783" max="12032" width="9.140625" style="890"/>
    <col min="12033" max="12033" width="5.85546875" style="890" customWidth="1"/>
    <col min="12034" max="12034" width="17.5703125" style="890" customWidth="1"/>
    <col min="12035" max="12035" width="100" style="890" customWidth="1"/>
    <col min="12036" max="12036" width="20.42578125" style="890" customWidth="1"/>
    <col min="12037" max="12037" width="12.42578125" style="890" customWidth="1"/>
    <col min="12038" max="12038" width="13.5703125" style="890" bestFit="1" customWidth="1"/>
    <col min="12039" max="12288" width="9.140625" style="890"/>
    <col min="12289" max="12289" width="5.85546875" style="890" customWidth="1"/>
    <col min="12290" max="12290" width="17.5703125" style="890" customWidth="1"/>
    <col min="12291" max="12291" width="100" style="890" customWidth="1"/>
    <col min="12292" max="12292" width="20.42578125" style="890" customWidth="1"/>
    <col min="12293" max="12293" width="12.42578125" style="890" customWidth="1"/>
    <col min="12294" max="12294" width="13.5703125" style="890" bestFit="1" customWidth="1"/>
    <col min="12295" max="12544" width="9.140625" style="890"/>
    <col min="12545" max="12545" width="5.85546875" style="890" customWidth="1"/>
    <col min="12546" max="12546" width="17.5703125" style="890" customWidth="1"/>
    <col min="12547" max="12547" width="100" style="890" customWidth="1"/>
    <col min="12548" max="12548" width="20.42578125" style="890" customWidth="1"/>
    <col min="12549" max="12549" width="12.42578125" style="890" customWidth="1"/>
    <col min="12550" max="12550" width="13.5703125" style="890" bestFit="1" customWidth="1"/>
    <col min="12551" max="12800" width="9.140625" style="890"/>
    <col min="12801" max="12801" width="5.85546875" style="890" customWidth="1"/>
    <col min="12802" max="12802" width="17.5703125" style="890" customWidth="1"/>
    <col min="12803" max="12803" width="100" style="890" customWidth="1"/>
    <col min="12804" max="12804" width="20.42578125" style="890" customWidth="1"/>
    <col min="12805" max="12805" width="12.42578125" style="890" customWidth="1"/>
    <col min="12806" max="12806" width="13.5703125" style="890" bestFit="1" customWidth="1"/>
    <col min="12807" max="13056" width="9.140625" style="890"/>
    <col min="13057" max="13057" width="5.85546875" style="890" customWidth="1"/>
    <col min="13058" max="13058" width="17.5703125" style="890" customWidth="1"/>
    <col min="13059" max="13059" width="100" style="890" customWidth="1"/>
    <col min="13060" max="13060" width="20.42578125" style="890" customWidth="1"/>
    <col min="13061" max="13061" width="12.42578125" style="890" customWidth="1"/>
    <col min="13062" max="13062" width="13.5703125" style="890" bestFit="1" customWidth="1"/>
    <col min="13063" max="13312" width="9.140625" style="890"/>
    <col min="13313" max="13313" width="5.85546875" style="890" customWidth="1"/>
    <col min="13314" max="13314" width="17.5703125" style="890" customWidth="1"/>
    <col min="13315" max="13315" width="100" style="890" customWidth="1"/>
    <col min="13316" max="13316" width="20.42578125" style="890" customWidth="1"/>
    <col min="13317" max="13317" width="12.42578125" style="890" customWidth="1"/>
    <col min="13318" max="13318" width="13.5703125" style="890" bestFit="1" customWidth="1"/>
    <col min="13319" max="13568" width="9.140625" style="890"/>
    <col min="13569" max="13569" width="5.85546875" style="890" customWidth="1"/>
    <col min="13570" max="13570" width="17.5703125" style="890" customWidth="1"/>
    <col min="13571" max="13571" width="100" style="890" customWidth="1"/>
    <col min="13572" max="13572" width="20.42578125" style="890" customWidth="1"/>
    <col min="13573" max="13573" width="12.42578125" style="890" customWidth="1"/>
    <col min="13574" max="13574" width="13.5703125" style="890" bestFit="1" customWidth="1"/>
    <col min="13575" max="13824" width="9.140625" style="890"/>
    <col min="13825" max="13825" width="5.85546875" style="890" customWidth="1"/>
    <col min="13826" max="13826" width="17.5703125" style="890" customWidth="1"/>
    <col min="13827" max="13827" width="100" style="890" customWidth="1"/>
    <col min="13828" max="13828" width="20.42578125" style="890" customWidth="1"/>
    <col min="13829" max="13829" width="12.42578125" style="890" customWidth="1"/>
    <col min="13830" max="13830" width="13.5703125" style="890" bestFit="1" customWidth="1"/>
    <col min="13831" max="14080" width="9.140625" style="890"/>
    <col min="14081" max="14081" width="5.85546875" style="890" customWidth="1"/>
    <col min="14082" max="14082" width="17.5703125" style="890" customWidth="1"/>
    <col min="14083" max="14083" width="100" style="890" customWidth="1"/>
    <col min="14084" max="14084" width="20.42578125" style="890" customWidth="1"/>
    <col min="14085" max="14085" width="12.42578125" style="890" customWidth="1"/>
    <col min="14086" max="14086" width="13.5703125" style="890" bestFit="1" customWidth="1"/>
    <col min="14087" max="14336" width="9.140625" style="890"/>
    <col min="14337" max="14337" width="5.85546875" style="890" customWidth="1"/>
    <col min="14338" max="14338" width="17.5703125" style="890" customWidth="1"/>
    <col min="14339" max="14339" width="100" style="890" customWidth="1"/>
    <col min="14340" max="14340" width="20.42578125" style="890" customWidth="1"/>
    <col min="14341" max="14341" width="12.42578125" style="890" customWidth="1"/>
    <col min="14342" max="14342" width="13.5703125" style="890" bestFit="1" customWidth="1"/>
    <col min="14343" max="14592" width="9.140625" style="890"/>
    <col min="14593" max="14593" width="5.85546875" style="890" customWidth="1"/>
    <col min="14594" max="14594" width="17.5703125" style="890" customWidth="1"/>
    <col min="14595" max="14595" width="100" style="890" customWidth="1"/>
    <col min="14596" max="14596" width="20.42578125" style="890" customWidth="1"/>
    <col min="14597" max="14597" width="12.42578125" style="890" customWidth="1"/>
    <col min="14598" max="14598" width="13.5703125" style="890" bestFit="1" customWidth="1"/>
    <col min="14599" max="14848" width="9.140625" style="890"/>
    <col min="14849" max="14849" width="5.85546875" style="890" customWidth="1"/>
    <col min="14850" max="14850" width="17.5703125" style="890" customWidth="1"/>
    <col min="14851" max="14851" width="100" style="890" customWidth="1"/>
    <col min="14852" max="14852" width="20.42578125" style="890" customWidth="1"/>
    <col min="14853" max="14853" width="12.42578125" style="890" customWidth="1"/>
    <col min="14854" max="14854" width="13.5703125" style="890" bestFit="1" customWidth="1"/>
    <col min="14855" max="15104" width="9.140625" style="890"/>
    <col min="15105" max="15105" width="5.85546875" style="890" customWidth="1"/>
    <col min="15106" max="15106" width="17.5703125" style="890" customWidth="1"/>
    <col min="15107" max="15107" width="100" style="890" customWidth="1"/>
    <col min="15108" max="15108" width="20.42578125" style="890" customWidth="1"/>
    <col min="15109" max="15109" width="12.42578125" style="890" customWidth="1"/>
    <col min="15110" max="15110" width="13.5703125" style="890" bestFit="1" customWidth="1"/>
    <col min="15111" max="15360" width="9.140625" style="890"/>
    <col min="15361" max="15361" width="5.85546875" style="890" customWidth="1"/>
    <col min="15362" max="15362" width="17.5703125" style="890" customWidth="1"/>
    <col min="15363" max="15363" width="100" style="890" customWidth="1"/>
    <col min="15364" max="15364" width="20.42578125" style="890" customWidth="1"/>
    <col min="15365" max="15365" width="12.42578125" style="890" customWidth="1"/>
    <col min="15366" max="15366" width="13.5703125" style="890" bestFit="1" customWidth="1"/>
    <col min="15367" max="15616" width="9.140625" style="890"/>
    <col min="15617" max="15617" width="5.85546875" style="890" customWidth="1"/>
    <col min="15618" max="15618" width="17.5703125" style="890" customWidth="1"/>
    <col min="15619" max="15619" width="100" style="890" customWidth="1"/>
    <col min="15620" max="15620" width="20.42578125" style="890" customWidth="1"/>
    <col min="15621" max="15621" width="12.42578125" style="890" customWidth="1"/>
    <col min="15622" max="15622" width="13.5703125" style="890" bestFit="1" customWidth="1"/>
    <col min="15623" max="15872" width="9.140625" style="890"/>
    <col min="15873" max="15873" width="5.85546875" style="890" customWidth="1"/>
    <col min="15874" max="15874" width="17.5703125" style="890" customWidth="1"/>
    <col min="15875" max="15875" width="100" style="890" customWidth="1"/>
    <col min="15876" max="15876" width="20.42578125" style="890" customWidth="1"/>
    <col min="15877" max="15877" width="12.42578125" style="890" customWidth="1"/>
    <col min="15878" max="15878" width="13.5703125" style="890" bestFit="1" customWidth="1"/>
    <col min="15879" max="16128" width="9.140625" style="890"/>
    <col min="16129" max="16129" width="5.85546875" style="890" customWidth="1"/>
    <col min="16130" max="16130" width="17.5703125" style="890" customWidth="1"/>
    <col min="16131" max="16131" width="100" style="890" customWidth="1"/>
    <col min="16132" max="16132" width="20.42578125" style="890" customWidth="1"/>
    <col min="16133" max="16133" width="12.42578125" style="890" customWidth="1"/>
    <col min="16134" max="16134" width="13.5703125" style="890" bestFit="1" customWidth="1"/>
    <col min="16135" max="16384" width="9.140625" style="890"/>
  </cols>
  <sheetData>
    <row r="1" spans="2:8" s="886" customFormat="1" ht="21" x14ac:dyDescent="0.35">
      <c r="B1" s="1504" t="str">
        <f>'MANUAL PLANILHAS'!A$1</f>
        <v>Estado do Rio Grande do Sul</v>
      </c>
      <c r="C1" s="1504"/>
      <c r="D1" s="1504"/>
      <c r="E1" s="1504"/>
      <c r="F1" s="1504"/>
      <c r="G1" s="885"/>
      <c r="H1" s="885"/>
    </row>
    <row r="2" spans="2:8" s="886" customFormat="1" ht="12.75" customHeight="1" x14ac:dyDescent="0.35">
      <c r="B2" s="887"/>
      <c r="C2" s="887"/>
      <c r="D2" s="887"/>
      <c r="E2" s="888"/>
      <c r="F2" s="887"/>
    </row>
    <row r="3" spans="2:8" s="886" customFormat="1" ht="21" x14ac:dyDescent="0.35">
      <c r="B3" s="1504" t="str">
        <f>'MANUAL PLANILHAS'!A$3</f>
        <v>Município de Chuvisca</v>
      </c>
      <c r="C3" s="1504"/>
      <c r="D3" s="1504"/>
      <c r="E3" s="1504"/>
      <c r="F3" s="1504"/>
      <c r="G3" s="885"/>
      <c r="H3" s="885"/>
    </row>
    <row r="4" spans="2:8" s="886" customFormat="1" ht="10.5" customHeight="1" x14ac:dyDescent="0.35">
      <c r="B4" s="887"/>
      <c r="C4" s="887"/>
      <c r="D4" s="887"/>
      <c r="E4" s="888"/>
      <c r="F4" s="887"/>
    </row>
    <row r="5" spans="2:8" s="886" customFormat="1" ht="21" x14ac:dyDescent="0.35">
      <c r="B5" s="1505" t="str">
        <f>'MANUAL PLANILHAS'!A$5</f>
        <v>Proposta Orçamentária para o Exercício de 2020</v>
      </c>
      <c r="C5" s="1505"/>
      <c r="D5" s="1505"/>
      <c r="E5" s="1505"/>
      <c r="F5" s="1505"/>
      <c r="G5" s="889"/>
      <c r="H5" s="889"/>
    </row>
    <row r="6" spans="2:8" x14ac:dyDescent="0.25">
      <c r="C6" s="1503"/>
      <c r="D6" s="1503"/>
    </row>
    <row r="7" spans="2:8" ht="18.75" x14ac:dyDescent="0.3">
      <c r="B7" s="1506" t="s">
        <v>1404</v>
      </c>
      <c r="C7" s="1506"/>
      <c r="D7" s="1506"/>
      <c r="E7" s="1506"/>
      <c r="F7" s="1506"/>
    </row>
    <row r="9" spans="2:8" s="891" customFormat="1" x14ac:dyDescent="0.25">
      <c r="B9" s="853" t="s">
        <v>1405</v>
      </c>
      <c r="C9" s="854" t="s">
        <v>1</v>
      </c>
      <c r="D9" s="126">
        <v>2020</v>
      </c>
      <c r="E9" s="126">
        <f>D9+1</f>
        <v>2021</v>
      </c>
      <c r="F9" s="126">
        <f>E9+1</f>
        <v>2022</v>
      </c>
    </row>
    <row r="10" spans="2:8" x14ac:dyDescent="0.25">
      <c r="B10" s="855">
        <v>1</v>
      </c>
      <c r="C10" s="853" t="s">
        <v>7886</v>
      </c>
      <c r="D10" s="856">
        <f>(D11+D12)/2</f>
        <v>5.2099999999999994E-2</v>
      </c>
      <c r="E10" s="856">
        <f>(E11+E12)/2</f>
        <v>4.0300000000000002E-2</v>
      </c>
      <c r="F10" s="856">
        <f>(F11+F12)/2</f>
        <v>3.755E-2</v>
      </c>
    </row>
    <row r="11" spans="2:8" x14ac:dyDescent="0.25">
      <c r="B11" s="857" t="s">
        <v>1408</v>
      </c>
      <c r="C11" s="855" t="s">
        <v>7098</v>
      </c>
      <c r="D11" s="858">
        <v>3.8899999999999997E-2</v>
      </c>
      <c r="E11" s="858">
        <v>0.04</v>
      </c>
      <c r="F11" s="858">
        <v>3.6999999999999998E-2</v>
      </c>
    </row>
    <row r="12" spans="2:8" x14ac:dyDescent="0.25">
      <c r="B12" s="857" t="s">
        <v>1410</v>
      </c>
      <c r="C12" s="855" t="s">
        <v>1411</v>
      </c>
      <c r="D12" s="858">
        <v>6.5299999999999997E-2</v>
      </c>
      <c r="E12" s="858">
        <v>4.0599999999999997E-2</v>
      </c>
      <c r="F12" s="858">
        <v>3.8100000000000002E-2</v>
      </c>
    </row>
    <row r="13" spans="2:8" s="891" customFormat="1" x14ac:dyDescent="0.25">
      <c r="B13" s="853">
        <v>3</v>
      </c>
      <c r="C13" s="853" t="s">
        <v>7099</v>
      </c>
      <c r="D13" s="856">
        <v>2.1999999999999999E-2</v>
      </c>
      <c r="E13" s="856">
        <v>2.7E-2</v>
      </c>
      <c r="F13" s="856">
        <v>2.5999999999999999E-2</v>
      </c>
    </row>
    <row r="14" spans="2:8" s="891" customFormat="1" x14ac:dyDescent="0.25">
      <c r="B14" s="853">
        <v>4</v>
      </c>
      <c r="C14" s="853" t="s">
        <v>7100</v>
      </c>
      <c r="D14" s="856">
        <v>2.1999999999999999E-2</v>
      </c>
      <c r="E14" s="856">
        <v>2.7E-2</v>
      </c>
      <c r="F14" s="856">
        <v>2.5999999999999999E-2</v>
      </c>
    </row>
    <row r="15" spans="2:8" s="891" customFormat="1" x14ac:dyDescent="0.25">
      <c r="B15" s="853">
        <v>5</v>
      </c>
      <c r="C15" s="853" t="s">
        <v>1413</v>
      </c>
      <c r="D15" s="856">
        <v>7.2499999999999995E-2</v>
      </c>
      <c r="E15" s="856">
        <v>8.2500000000000004E-2</v>
      </c>
      <c r="F15" s="856">
        <v>8.5000000000000006E-2</v>
      </c>
    </row>
    <row r="16" spans="2:8" s="891" customFormat="1" x14ac:dyDescent="0.25">
      <c r="B16" s="853">
        <v>6</v>
      </c>
      <c r="C16" s="853" t="s">
        <v>1414</v>
      </c>
      <c r="D16" s="856">
        <v>4.2999999999999997E-2</v>
      </c>
      <c r="E16" s="856">
        <v>4.4999999999999998E-2</v>
      </c>
      <c r="F16" s="856">
        <v>4.6399999999999997E-2</v>
      </c>
    </row>
    <row r="17" spans="2:6" x14ac:dyDescent="0.25">
      <c r="B17" s="855">
        <f>B16+1</f>
        <v>7</v>
      </c>
      <c r="C17" s="855" t="s">
        <v>1415</v>
      </c>
      <c r="D17" s="858">
        <v>0.54</v>
      </c>
      <c r="E17" s="858">
        <f t="shared" ref="E17:F25" si="0">D17</f>
        <v>0.54</v>
      </c>
      <c r="F17" s="858">
        <f t="shared" si="0"/>
        <v>0.54</v>
      </c>
    </row>
    <row r="18" spans="2:6" x14ac:dyDescent="0.25">
      <c r="B18" s="855">
        <f t="shared" ref="B18:B63" si="1">B17+1</f>
        <v>8</v>
      </c>
      <c r="C18" s="855" t="s">
        <v>1416</v>
      </c>
      <c r="D18" s="858">
        <v>0.54</v>
      </c>
      <c r="E18" s="858">
        <f t="shared" si="0"/>
        <v>0.54</v>
      </c>
      <c r="F18" s="858">
        <f t="shared" si="0"/>
        <v>0.54</v>
      </c>
    </row>
    <row r="19" spans="2:6" x14ac:dyDescent="0.25">
      <c r="B19" s="855">
        <f t="shared" si="1"/>
        <v>9</v>
      </c>
      <c r="C19" s="855" t="s">
        <v>1417</v>
      </c>
      <c r="D19" s="858">
        <v>0.25</v>
      </c>
      <c r="E19" s="858">
        <f t="shared" si="0"/>
        <v>0.25</v>
      </c>
      <c r="F19" s="858">
        <f t="shared" si="0"/>
        <v>0.25</v>
      </c>
    </row>
    <row r="20" spans="2:6" x14ac:dyDescent="0.25">
      <c r="B20" s="855">
        <f t="shared" si="1"/>
        <v>10</v>
      </c>
      <c r="C20" s="855" t="s">
        <v>1418</v>
      </c>
      <c r="D20" s="858">
        <v>0.01</v>
      </c>
      <c r="E20" s="858">
        <f t="shared" si="0"/>
        <v>0.01</v>
      </c>
      <c r="F20" s="858">
        <f t="shared" si="0"/>
        <v>0.01</v>
      </c>
    </row>
    <row r="21" spans="2:6" x14ac:dyDescent="0.25">
      <c r="B21" s="855">
        <f t="shared" si="1"/>
        <v>11</v>
      </c>
      <c r="C21" s="855" t="s">
        <v>1419</v>
      </c>
      <c r="D21" s="858">
        <v>0.06</v>
      </c>
      <c r="E21" s="858">
        <f t="shared" si="0"/>
        <v>0.06</v>
      </c>
      <c r="F21" s="858">
        <f t="shared" si="0"/>
        <v>0.06</v>
      </c>
    </row>
    <row r="22" spans="2:6" x14ac:dyDescent="0.25">
      <c r="B22" s="855">
        <f t="shared" si="1"/>
        <v>12</v>
      </c>
      <c r="C22" s="855" t="s">
        <v>1420</v>
      </c>
      <c r="D22" s="858">
        <v>0.26</v>
      </c>
      <c r="E22" s="858">
        <f t="shared" si="0"/>
        <v>0.26</v>
      </c>
      <c r="F22" s="858">
        <f t="shared" si="0"/>
        <v>0.26</v>
      </c>
    </row>
    <row r="23" spans="2:6" x14ac:dyDescent="0.25">
      <c r="B23" s="855">
        <f t="shared" si="1"/>
        <v>13</v>
      </c>
      <c r="C23" s="855" t="s">
        <v>1421</v>
      </c>
      <c r="D23" s="859">
        <v>0.2</v>
      </c>
      <c r="E23" s="858">
        <f t="shared" si="0"/>
        <v>0.2</v>
      </c>
      <c r="F23" s="858">
        <f t="shared" si="0"/>
        <v>0.2</v>
      </c>
    </row>
    <row r="24" spans="2:6" x14ac:dyDescent="0.25">
      <c r="B24" s="855">
        <f t="shared" si="1"/>
        <v>14</v>
      </c>
      <c r="C24" s="855" t="s">
        <v>1422</v>
      </c>
      <c r="D24" s="859">
        <v>0.15</v>
      </c>
      <c r="E24" s="858">
        <f t="shared" si="0"/>
        <v>0.15</v>
      </c>
      <c r="F24" s="858">
        <f t="shared" si="0"/>
        <v>0.15</v>
      </c>
    </row>
    <row r="25" spans="2:6" x14ac:dyDescent="0.25">
      <c r="B25" s="855">
        <f t="shared" si="1"/>
        <v>15</v>
      </c>
      <c r="C25" s="855" t="s">
        <v>1423</v>
      </c>
      <c r="D25" s="858">
        <v>0.05</v>
      </c>
      <c r="E25" s="858">
        <f t="shared" si="0"/>
        <v>0.05</v>
      </c>
      <c r="F25" s="858">
        <f t="shared" si="0"/>
        <v>0.05</v>
      </c>
    </row>
    <row r="26" spans="2:6" s="891" customFormat="1" x14ac:dyDescent="0.25">
      <c r="B26" s="855">
        <f t="shared" si="1"/>
        <v>16</v>
      </c>
      <c r="C26" s="853" t="s">
        <v>7838</v>
      </c>
      <c r="D26" s="856">
        <f>CMA!H28</f>
        <v>2.5527441789544303E-2</v>
      </c>
      <c r="E26" s="856">
        <f t="shared" ref="E26:F26" si="2">D26*(1+E$10)*(1+E$13)*(1+E$16)</f>
        <v>2.8500509707804468E-2</v>
      </c>
      <c r="F26" s="856">
        <f t="shared" si="2"/>
        <v>3.1747296903000821E-2</v>
      </c>
    </row>
    <row r="27" spans="2:6" s="891" customFormat="1" x14ac:dyDescent="0.25">
      <c r="B27" s="855">
        <f>B26+1</f>
        <v>17</v>
      </c>
      <c r="C27" s="853" t="s">
        <v>7839</v>
      </c>
      <c r="D27" s="856">
        <f>CMA!H13</f>
        <v>0.14684423311804928</v>
      </c>
      <c r="E27" s="856">
        <f t="shared" ref="E27" si="3">D27*(1+E$10)*(1+E$13)*(1+E$16)</f>
        <v>0.16394652962171247</v>
      </c>
      <c r="F27" s="856">
        <f t="shared" ref="F27" si="4">E27*(1+F$10)*(1+F$13)*(1+F$16)</f>
        <v>0.18262337079157032</v>
      </c>
    </row>
    <row r="28" spans="2:6" s="891" customFormat="1" x14ac:dyDescent="0.25">
      <c r="B28" s="855">
        <f t="shared" ref="B28:B91" si="5">B27+1</f>
        <v>18</v>
      </c>
      <c r="C28" s="853" t="s">
        <v>7840</v>
      </c>
      <c r="D28" s="856">
        <f>CMA!H14</f>
        <v>0.11369403566924158</v>
      </c>
      <c r="E28" s="856">
        <f t="shared" ref="E28" si="6">D28*(1+E$10)*(1+E$13)*(1+E$16)</f>
        <v>0.12693547571374292</v>
      </c>
      <c r="F28" s="856">
        <f t="shared" ref="F28" si="7">E28*(1+F$10)*(1+F$13)*(1+F$16)</f>
        <v>0.14139600576702407</v>
      </c>
    </row>
    <row r="29" spans="2:6" s="891" customFormat="1" x14ac:dyDescent="0.25">
      <c r="B29" s="855">
        <f t="shared" si="5"/>
        <v>19</v>
      </c>
      <c r="C29" s="853" t="s">
        <v>7841</v>
      </c>
      <c r="D29" s="856">
        <f>IF(CMA!H15&lt;=0%,0%)</f>
        <v>0</v>
      </c>
      <c r="E29" s="856">
        <f t="shared" ref="E29" si="8">D29*(1+E$10)*(1+E$13)*(1+E$16)</f>
        <v>0</v>
      </c>
      <c r="F29" s="856">
        <f t="shared" ref="F29" si="9">E29*(1+F$10)*(1+F$13)*(1+F$16)</f>
        <v>0</v>
      </c>
    </row>
    <row r="30" spans="2:6" s="891" customFormat="1" x14ac:dyDescent="0.25">
      <c r="B30" s="855">
        <f t="shared" si="5"/>
        <v>20</v>
      </c>
      <c r="C30" s="853" t="s">
        <v>7842</v>
      </c>
      <c r="D30" s="856">
        <f>IF(CMA!H18&lt;=0%,0%, CMA!H18)</f>
        <v>0.25039114264912393</v>
      </c>
      <c r="E30" s="856">
        <f t="shared" ref="E30" si="10">D30*(1+E$10)*(1+E$13)*(1+E$16)</f>
        <v>0.27955308842355414</v>
      </c>
      <c r="F30" s="856">
        <f t="shared" ref="F30" si="11">E30*(1+F$10)*(1+F$13)*(1+F$16)</f>
        <v>0.31139986580321072</v>
      </c>
    </row>
    <row r="31" spans="2:6" s="891" customFormat="1" x14ac:dyDescent="0.25">
      <c r="B31" s="855">
        <f t="shared" si="5"/>
        <v>21</v>
      </c>
      <c r="C31" s="853" t="s">
        <v>7843</v>
      </c>
      <c r="D31" s="856">
        <f>IF(CMA!H19&lt;=0%,0%, CMA!H19)</f>
        <v>4.4048455749748361E-2</v>
      </c>
      <c r="E31" s="856">
        <f t="shared" ref="E31" si="12">D31*(1+E$10)*(1+E$13)*(1+E$16)</f>
        <v>4.9178584013996073E-2</v>
      </c>
      <c r="F31" s="856">
        <f t="shared" ref="F31" si="13">E31*(1+F$10)*(1+F$13)*(1+F$16)</f>
        <v>5.4781024057754535E-2</v>
      </c>
    </row>
    <row r="32" spans="2:6" s="891" customFormat="1" x14ac:dyDescent="0.25">
      <c r="B32" s="855">
        <f t="shared" si="5"/>
        <v>22</v>
      </c>
      <c r="C32" s="853" t="s">
        <v>7844</v>
      </c>
      <c r="D32" s="856">
        <f>IF(CMA!H20&lt;=0%,0%, CMA!H20)</f>
        <v>0</v>
      </c>
      <c r="E32" s="856">
        <f t="shared" ref="E32" si="14">D32*(1+E$10)*(1+E$13)*(1+E$16)</f>
        <v>0</v>
      </c>
      <c r="F32" s="856">
        <f t="shared" ref="F32" si="15">E32*(1+F$10)*(1+F$13)*(1+F$16)</f>
        <v>0</v>
      </c>
    </row>
    <row r="33" spans="2:6" s="891" customFormat="1" x14ac:dyDescent="0.25">
      <c r="B33" s="855">
        <f t="shared" si="5"/>
        <v>23</v>
      </c>
      <c r="C33" s="853" t="s">
        <v>7845</v>
      </c>
      <c r="D33" s="856">
        <f>IF(CMA!H25&lt;=0%,0%, CMA!H25)</f>
        <v>0.30261233794468922</v>
      </c>
      <c r="E33" s="856">
        <f t="shared" ref="E33" si="16">D33*(1+E$10)*(1+E$13)*(1+E$16)</f>
        <v>0.33785625470808217</v>
      </c>
      <c r="F33" s="856">
        <f t="shared" ref="F33" si="17">E33*(1+F$10)*(1+F$13)*(1+F$16)</f>
        <v>0.3763449474665424</v>
      </c>
    </row>
    <row r="34" spans="2:6" s="891" customFormat="1" x14ac:dyDescent="0.25">
      <c r="B34" s="855">
        <f t="shared" si="5"/>
        <v>24</v>
      </c>
      <c r="C34" s="853" t="s">
        <v>7846</v>
      </c>
      <c r="D34" s="856">
        <f>IF(CMA!H26&lt;=0%,0%, CMA!H26)</f>
        <v>0</v>
      </c>
      <c r="E34" s="856">
        <f t="shared" ref="E34" si="18">D34*(1+E$10)*(1+E$13)*(1+E$16)</f>
        <v>0</v>
      </c>
      <c r="F34" s="856">
        <f t="shared" ref="F34" si="19">E34*(1+F$10)*(1+F$13)*(1+F$16)</f>
        <v>0</v>
      </c>
    </row>
    <row r="35" spans="2:6" s="891" customFormat="1" x14ac:dyDescent="0.25">
      <c r="B35" s="855">
        <f t="shared" si="5"/>
        <v>25</v>
      </c>
      <c r="C35" s="853" t="s">
        <v>7847</v>
      </c>
      <c r="D35" s="856">
        <f>IF(CATC!H12&lt;=0%,0%, CATC!H12)</f>
        <v>8.6118663791703298E-2</v>
      </c>
      <c r="E35" s="856">
        <f t="shared" ref="E35" si="20">D35*(1+E$10)*(1+E$13)*(1+E$16)</f>
        <v>9.6148522584189725E-2</v>
      </c>
      <c r="F35" s="856">
        <f t="shared" ref="F35" si="21">E35*(1+F$10)*(1+F$13)*(1+F$16)</f>
        <v>0.10710179307527537</v>
      </c>
    </row>
    <row r="36" spans="2:6" s="891" customFormat="1" x14ac:dyDescent="0.25">
      <c r="B36" s="855">
        <f t="shared" si="5"/>
        <v>26</v>
      </c>
      <c r="C36" s="853" t="s">
        <v>7848</v>
      </c>
      <c r="D36" s="856">
        <f>IF(CATC!H13&lt;=0%,0%, CATC!H13)</f>
        <v>0</v>
      </c>
      <c r="E36" s="856">
        <f t="shared" ref="E36:E46" si="22">D36*(1+E$10)*(1+E$13)*(1+E$16)</f>
        <v>0</v>
      </c>
      <c r="F36" s="856">
        <f t="shared" ref="F36:F46" si="23">E36*(1+F$10)*(1+F$13)*(1+F$16)</f>
        <v>0</v>
      </c>
    </row>
    <row r="37" spans="2:6" s="891" customFormat="1" x14ac:dyDescent="0.25">
      <c r="B37" s="855">
        <f t="shared" si="5"/>
        <v>27</v>
      </c>
      <c r="C37" s="853" t="s">
        <v>7849</v>
      </c>
      <c r="D37" s="856">
        <f>IF(CATC!H14&lt;=0%,0%, CATC!H14)</f>
        <v>0.25969857454231959</v>
      </c>
      <c r="E37" s="856">
        <f t="shared" si="22"/>
        <v>0.28994451562623608</v>
      </c>
      <c r="F37" s="856">
        <f t="shared" si="23"/>
        <v>0.32297508772140415</v>
      </c>
    </row>
    <row r="38" spans="2:6" s="891" customFormat="1" x14ac:dyDescent="0.25">
      <c r="B38" s="855">
        <f t="shared" si="5"/>
        <v>28</v>
      </c>
      <c r="C38" s="853" t="s">
        <v>7850</v>
      </c>
      <c r="D38" s="856">
        <f>IF(CATC!H15&lt;=0%,0%, CATC!H15)</f>
        <v>0</v>
      </c>
      <c r="E38" s="856">
        <f t="shared" si="22"/>
        <v>0</v>
      </c>
      <c r="F38" s="856">
        <f t="shared" si="23"/>
        <v>0</v>
      </c>
    </row>
    <row r="39" spans="2:6" s="891" customFormat="1" x14ac:dyDescent="0.25">
      <c r="B39" s="855">
        <f t="shared" si="5"/>
        <v>29</v>
      </c>
      <c r="C39" s="853" t="s">
        <v>7851</v>
      </c>
      <c r="D39" s="856">
        <f>IF(CATC!H16&lt;=0%,0%, CATC!H16)</f>
        <v>5.4185473532854744E-2</v>
      </c>
      <c r="E39" s="856">
        <f t="shared" si="22"/>
        <v>6.0496215295558473E-2</v>
      </c>
      <c r="F39" s="856">
        <f t="shared" si="23"/>
        <v>6.7387963520176161E-2</v>
      </c>
    </row>
    <row r="40" spans="2:6" s="891" customFormat="1" x14ac:dyDescent="0.25">
      <c r="B40" s="855">
        <f t="shared" si="5"/>
        <v>30</v>
      </c>
      <c r="C40" s="853" t="s">
        <v>7852</v>
      </c>
      <c r="D40" s="856">
        <f>IF(CATC!H17&lt;=0%,0%, CATC!H17)</f>
        <v>0</v>
      </c>
      <c r="E40" s="856">
        <f t="shared" si="22"/>
        <v>0</v>
      </c>
      <c r="F40" s="856">
        <f t="shared" si="23"/>
        <v>0</v>
      </c>
    </row>
    <row r="41" spans="2:6" s="891" customFormat="1" x14ac:dyDescent="0.25">
      <c r="B41" s="855">
        <f t="shared" si="5"/>
        <v>31</v>
      </c>
      <c r="C41" s="853" t="s">
        <v>7853</v>
      </c>
      <c r="D41" s="856">
        <f>IF(CATC!H18&lt;=0%,0%, CATC!H18)</f>
        <v>3.206570602904546E-2</v>
      </c>
      <c r="E41" s="856">
        <f t="shared" si="22"/>
        <v>3.5800256582809289E-2</v>
      </c>
      <c r="F41" s="856">
        <f t="shared" si="23"/>
        <v>3.987863328026111E-2</v>
      </c>
    </row>
    <row r="42" spans="2:6" s="891" customFormat="1" x14ac:dyDescent="0.25">
      <c r="B42" s="855">
        <f t="shared" si="5"/>
        <v>32</v>
      </c>
      <c r="C42" s="853" t="s">
        <v>7854</v>
      </c>
      <c r="D42" s="856">
        <f>IF(CATC!H19&lt;=0%,0%, CATC!H19)</f>
        <v>0.33282657913461178</v>
      </c>
      <c r="E42" s="856">
        <f t="shared" si="22"/>
        <v>0.37158941455412825</v>
      </c>
      <c r="F42" s="856">
        <f t="shared" si="23"/>
        <v>0.41392099968765583</v>
      </c>
    </row>
    <row r="43" spans="2:6" s="891" customFormat="1" x14ac:dyDescent="0.25">
      <c r="B43" s="855">
        <f t="shared" si="5"/>
        <v>33</v>
      </c>
      <c r="C43" s="853" t="s">
        <v>7855</v>
      </c>
      <c r="D43" s="856">
        <f>IF(CATC!H20&lt;=0%,0%, CATC!H20)</f>
        <v>5.0290678269424238E-2</v>
      </c>
      <c r="E43" s="856">
        <f t="shared" si="22"/>
        <v>5.6147810503160603E-2</v>
      </c>
      <c r="F43" s="856">
        <f t="shared" si="23"/>
        <v>6.2544187060947318E-2</v>
      </c>
    </row>
    <row r="44" spans="2:6" s="891" customFormat="1" x14ac:dyDescent="0.25">
      <c r="B44" s="855">
        <f t="shared" si="5"/>
        <v>34</v>
      </c>
      <c r="C44" s="853" t="s">
        <v>7856</v>
      </c>
      <c r="D44" s="856">
        <f>IF(CATC!H21&lt;=0%,0%, CATC!H21)</f>
        <v>0</v>
      </c>
      <c r="E44" s="856">
        <f t="shared" si="22"/>
        <v>0</v>
      </c>
      <c r="F44" s="856">
        <f t="shared" si="23"/>
        <v>0</v>
      </c>
    </row>
    <row r="45" spans="2:6" s="891" customFormat="1" x14ac:dyDescent="0.25">
      <c r="B45" s="855">
        <f t="shared" si="5"/>
        <v>35</v>
      </c>
      <c r="C45" s="853" t="s">
        <v>7857</v>
      </c>
      <c r="D45" s="856">
        <f>IF(CATC!H22&lt;=0%,0%, CATC!H22)</f>
        <v>0</v>
      </c>
      <c r="E45" s="856">
        <f t="shared" si="22"/>
        <v>0</v>
      </c>
      <c r="F45" s="856">
        <f t="shared" si="23"/>
        <v>0</v>
      </c>
    </row>
    <row r="46" spans="2:6" s="891" customFormat="1" x14ac:dyDescent="0.25">
      <c r="B46" s="855">
        <f t="shared" si="5"/>
        <v>36</v>
      </c>
      <c r="C46" s="853" t="s">
        <v>7858</v>
      </c>
      <c r="D46" s="856">
        <f>IF(CATC!H23&lt;=0%,0%, CATC!H23)</f>
        <v>5.6439460509527639E-2</v>
      </c>
      <c r="E46" s="856">
        <f t="shared" si="22"/>
        <v>6.3012714137845233E-2</v>
      </c>
      <c r="F46" s="856">
        <f t="shared" si="23"/>
        <v>7.0191142716661159E-2</v>
      </c>
    </row>
    <row r="47" spans="2:6" x14ac:dyDescent="0.25">
      <c r="B47" s="855">
        <f t="shared" si="5"/>
        <v>37</v>
      </c>
      <c r="C47" s="860" t="s">
        <v>1502</v>
      </c>
      <c r="D47" s="861">
        <v>5441</v>
      </c>
      <c r="E47" s="862" t="s">
        <v>1424</v>
      </c>
      <c r="F47" s="862" t="s">
        <v>1425</v>
      </c>
    </row>
    <row r="48" spans="2:6" s="891" customFormat="1" x14ac:dyDescent="0.25">
      <c r="B48" s="855">
        <f t="shared" si="5"/>
        <v>38</v>
      </c>
      <c r="C48" s="855" t="s">
        <v>1584</v>
      </c>
      <c r="D48" s="863">
        <f>(CIG!D79+CIG!E79+CIG!G79)/3</f>
        <v>319926.09666666668</v>
      </c>
      <c r="E48" s="858" t="s">
        <v>1424</v>
      </c>
      <c r="F48" s="858" t="s">
        <v>1425</v>
      </c>
    </row>
    <row r="49" spans="2:6" s="891" customFormat="1" x14ac:dyDescent="0.25">
      <c r="B49" s="855">
        <f t="shared" si="5"/>
        <v>39</v>
      </c>
      <c r="C49" s="855" t="s">
        <v>1588</v>
      </c>
      <c r="D49" s="863">
        <f>(CIG!D80+CIG!E80+CIG!G80)/3</f>
        <v>70398.191666666666</v>
      </c>
      <c r="E49" s="858" t="s">
        <v>1424</v>
      </c>
      <c r="F49" s="858" t="s">
        <v>1425</v>
      </c>
    </row>
    <row r="50" spans="2:6" s="891" customFormat="1" x14ac:dyDescent="0.25">
      <c r="B50" s="855">
        <f t="shared" si="5"/>
        <v>40</v>
      </c>
      <c r="C50" s="855" t="s">
        <v>1585</v>
      </c>
      <c r="D50" s="863">
        <f>(CIG!D81+CIG!E81+CIG!G81)/3</f>
        <v>19550.578333333335</v>
      </c>
      <c r="E50" s="858" t="s">
        <v>1424</v>
      </c>
      <c r="F50" s="858" t="s">
        <v>1425</v>
      </c>
    </row>
    <row r="51" spans="2:6" s="891" customFormat="1" x14ac:dyDescent="0.25">
      <c r="B51" s="855">
        <f t="shared" si="5"/>
        <v>41</v>
      </c>
      <c r="C51" s="855" t="s">
        <v>1586</v>
      </c>
      <c r="D51" s="863">
        <f>(CIG!D82+CIG!E82+CIG!G82)/3</f>
        <v>225.2166666666667</v>
      </c>
      <c r="E51" s="858" t="s">
        <v>1424</v>
      </c>
      <c r="F51" s="858" t="s">
        <v>1425</v>
      </c>
    </row>
    <row r="52" spans="2:6" s="891" customFormat="1" x14ac:dyDescent="0.25">
      <c r="B52" s="855">
        <f t="shared" si="5"/>
        <v>42</v>
      </c>
      <c r="C52" s="855" t="s">
        <v>1587</v>
      </c>
      <c r="D52" s="863">
        <f>(CIG!D83+CIG!E83+CIG!G83)/3</f>
        <v>59979.94</v>
      </c>
      <c r="E52" s="858" t="s">
        <v>1424</v>
      </c>
      <c r="F52" s="858" t="s">
        <v>1425</v>
      </c>
    </row>
    <row r="53" spans="2:6" x14ac:dyDescent="0.25">
      <c r="B53" s="855">
        <f t="shared" si="5"/>
        <v>43</v>
      </c>
      <c r="C53" s="855" t="s">
        <v>1589</v>
      </c>
      <c r="D53" s="864">
        <f>(CIG!D84+CIG!E84+CIG!G84)/3</f>
        <v>263.07333333333332</v>
      </c>
      <c r="E53" s="865" t="s">
        <v>1424</v>
      </c>
      <c r="F53" s="865" t="s">
        <v>1425</v>
      </c>
    </row>
    <row r="54" spans="2:6" x14ac:dyDescent="0.25">
      <c r="B54" s="855">
        <f t="shared" si="5"/>
        <v>44</v>
      </c>
      <c r="C54" s="855" t="s">
        <v>1590</v>
      </c>
      <c r="D54" s="864">
        <f>(CIG!D85+CIG!E85+CIG!G85)/3</f>
        <v>787.66166666666652</v>
      </c>
      <c r="E54" s="865" t="s">
        <v>1424</v>
      </c>
      <c r="F54" s="865" t="s">
        <v>1425</v>
      </c>
    </row>
    <row r="55" spans="2:6" x14ac:dyDescent="0.25">
      <c r="B55" s="855">
        <f t="shared" si="5"/>
        <v>45</v>
      </c>
      <c r="C55" s="855" t="s">
        <v>1594</v>
      </c>
      <c r="D55" s="864">
        <f>(CIG!D86+CIG!E86+CIG!G86)/3</f>
        <v>259.12333333333333</v>
      </c>
      <c r="E55" s="865" t="s">
        <v>1424</v>
      </c>
      <c r="F55" s="865" t="s">
        <v>1425</v>
      </c>
    </row>
    <row r="56" spans="2:6" x14ac:dyDescent="0.25">
      <c r="B56" s="855">
        <f t="shared" si="5"/>
        <v>46</v>
      </c>
      <c r="C56" s="855" t="s">
        <v>1596</v>
      </c>
      <c r="D56" s="864">
        <f>(CIG!D87+CIG!E87+CIG!G87)/3</f>
        <v>38382.97</v>
      </c>
      <c r="E56" s="858" t="s">
        <v>1424</v>
      </c>
      <c r="F56" s="858" t="s">
        <v>1425</v>
      </c>
    </row>
    <row r="57" spans="2:6" x14ac:dyDescent="0.25">
      <c r="B57" s="855">
        <f t="shared" si="5"/>
        <v>47</v>
      </c>
      <c r="C57" s="855" t="s">
        <v>1597</v>
      </c>
      <c r="D57" s="864">
        <f>(CIG!D88+CIG!E88+CIG!G88)/3+1</f>
        <v>1</v>
      </c>
      <c r="E57" s="858" t="s">
        <v>1424</v>
      </c>
      <c r="F57" s="858" t="s">
        <v>1425</v>
      </c>
    </row>
    <row r="58" spans="2:6" x14ac:dyDescent="0.25">
      <c r="B58" s="855">
        <f t="shared" si="5"/>
        <v>48</v>
      </c>
      <c r="C58" s="855" t="s">
        <v>1598</v>
      </c>
      <c r="D58" s="864">
        <f>(CIG!D89+CIG!E89+CIG!G89)/3+1</f>
        <v>1</v>
      </c>
      <c r="E58" s="858" t="s">
        <v>1424</v>
      </c>
      <c r="F58" s="858" t="s">
        <v>1425</v>
      </c>
    </row>
    <row r="59" spans="2:6" x14ac:dyDescent="0.25">
      <c r="B59" s="855">
        <f t="shared" si="5"/>
        <v>49</v>
      </c>
      <c r="C59" s="855" t="s">
        <v>1599</v>
      </c>
      <c r="D59" s="864">
        <f>(CIG!D90+CIG!E90+CIG!G90)/3</f>
        <v>129.19333333333333</v>
      </c>
      <c r="E59" s="858" t="s">
        <v>1424</v>
      </c>
      <c r="F59" s="858" t="s">
        <v>1425</v>
      </c>
    </row>
    <row r="60" spans="2:6" x14ac:dyDescent="0.25">
      <c r="B60" s="855">
        <f t="shared" si="5"/>
        <v>50</v>
      </c>
      <c r="C60" s="855" t="s">
        <v>1600</v>
      </c>
      <c r="D60" s="864">
        <f>(CIG!D91+CIG!E91+CIG!G91)/3</f>
        <v>160073.19666666666</v>
      </c>
      <c r="E60" s="858" t="s">
        <v>1424</v>
      </c>
      <c r="F60" s="858" t="s">
        <v>1425</v>
      </c>
    </row>
    <row r="61" spans="2:6" x14ac:dyDescent="0.25">
      <c r="B61" s="855">
        <f t="shared" si="5"/>
        <v>51</v>
      </c>
      <c r="C61" s="855" t="s">
        <v>1601</v>
      </c>
      <c r="D61" s="864">
        <f>(CIG!D92+CIG!E92+CIG!G92)/3</f>
        <v>179.03</v>
      </c>
      <c r="E61" s="858" t="s">
        <v>1424</v>
      </c>
      <c r="F61" s="858" t="s">
        <v>1425</v>
      </c>
    </row>
    <row r="62" spans="2:6" x14ac:dyDescent="0.25">
      <c r="B62" s="855">
        <f t="shared" si="5"/>
        <v>52</v>
      </c>
      <c r="C62" s="855" t="s">
        <v>1602</v>
      </c>
      <c r="D62" s="864">
        <f>(CIG!D93+CIG!E93+CIG!G93)/3+1</f>
        <v>24.173333333333332</v>
      </c>
      <c r="E62" s="858" t="s">
        <v>1424</v>
      </c>
      <c r="F62" s="858" t="s">
        <v>1425</v>
      </c>
    </row>
    <row r="63" spans="2:6" x14ac:dyDescent="0.25">
      <c r="B63" s="855">
        <f t="shared" si="5"/>
        <v>53</v>
      </c>
      <c r="C63" s="855" t="s">
        <v>1603</v>
      </c>
      <c r="D63" s="864">
        <f>(CIG!D94+CIG!E94+CIG!G94)/3+1</f>
        <v>7.9533333333333331</v>
      </c>
      <c r="E63" s="858" t="s">
        <v>1424</v>
      </c>
      <c r="F63" s="858" t="s">
        <v>1425</v>
      </c>
    </row>
    <row r="64" spans="2:6" x14ac:dyDescent="0.25">
      <c r="B64" s="855">
        <f t="shared" si="5"/>
        <v>54</v>
      </c>
      <c r="C64" s="873" t="s">
        <v>1604</v>
      </c>
      <c r="D64" s="1287">
        <f>(CIG!D95+CIG!E95+CIG!G95)/3</f>
        <v>639.04999999999995</v>
      </c>
      <c r="E64" s="875" t="s">
        <v>1424</v>
      </c>
      <c r="F64" s="875" t="s">
        <v>1425</v>
      </c>
    </row>
    <row r="65" spans="2:6" ht="30" x14ac:dyDescent="0.25">
      <c r="B65" s="855">
        <f t="shared" si="5"/>
        <v>55</v>
      </c>
      <c r="C65" s="1293" t="s">
        <v>1605</v>
      </c>
      <c r="D65" s="1287">
        <f>(CIG!D96+CIG!E96+CIG!G96)/3</f>
        <v>15786.195</v>
      </c>
      <c r="E65" s="875" t="s">
        <v>1424</v>
      </c>
      <c r="F65" s="875" t="s">
        <v>1425</v>
      </c>
    </row>
    <row r="66" spans="2:6" x14ac:dyDescent="0.25">
      <c r="B66" s="855">
        <f t="shared" si="5"/>
        <v>56</v>
      </c>
      <c r="C66" s="873" t="s">
        <v>1606</v>
      </c>
      <c r="D66" s="1287">
        <f>(CIG!D97+CIG!E97+CIG!G97)/3+1</f>
        <v>1</v>
      </c>
      <c r="E66" s="875" t="s">
        <v>1424</v>
      </c>
      <c r="F66" s="875" t="s">
        <v>1425</v>
      </c>
    </row>
    <row r="67" spans="2:6" x14ac:dyDescent="0.25">
      <c r="B67" s="855">
        <f t="shared" si="5"/>
        <v>57</v>
      </c>
      <c r="C67" s="873" t="s">
        <v>1607</v>
      </c>
      <c r="D67" s="1287">
        <f>(CIG!D98+CIG!E98+CIG!G98)/3+1</f>
        <v>1</v>
      </c>
      <c r="E67" s="875" t="s">
        <v>1424</v>
      </c>
      <c r="F67" s="875" t="s">
        <v>1425</v>
      </c>
    </row>
    <row r="68" spans="2:6" x14ac:dyDescent="0.25">
      <c r="B68" s="855">
        <f t="shared" si="5"/>
        <v>58</v>
      </c>
      <c r="C68" s="873" t="s">
        <v>1608</v>
      </c>
      <c r="D68" s="1287">
        <f>(CIG!D99+CIG!E99+CIG!G99)/3</f>
        <v>2706.1766666666667</v>
      </c>
      <c r="E68" s="875" t="s">
        <v>1424</v>
      </c>
      <c r="F68" s="875" t="s">
        <v>1425</v>
      </c>
    </row>
    <row r="69" spans="2:6" x14ac:dyDescent="0.25">
      <c r="B69" s="855">
        <f t="shared" si="5"/>
        <v>59</v>
      </c>
      <c r="C69" s="873" t="s">
        <v>1610</v>
      </c>
      <c r="D69" s="1287">
        <f>(CIG!D100+CIG!E100+CIG!G100)/3+1</f>
        <v>1</v>
      </c>
      <c r="E69" s="875" t="s">
        <v>1424</v>
      </c>
      <c r="F69" s="875" t="s">
        <v>1425</v>
      </c>
    </row>
    <row r="70" spans="2:6" x14ac:dyDescent="0.25">
      <c r="B70" s="855">
        <f t="shared" si="5"/>
        <v>60</v>
      </c>
      <c r="C70" s="873" t="s">
        <v>1611</v>
      </c>
      <c r="D70" s="1287">
        <f>(CIG!D101+CIG!E101+CIG!G101)/3+1</f>
        <v>1</v>
      </c>
      <c r="E70" s="875" t="s">
        <v>1424</v>
      </c>
      <c r="F70" s="875" t="s">
        <v>1425</v>
      </c>
    </row>
    <row r="71" spans="2:6" x14ac:dyDescent="0.25">
      <c r="B71" s="855">
        <f t="shared" si="5"/>
        <v>61</v>
      </c>
      <c r="C71" s="873" t="s">
        <v>1612</v>
      </c>
      <c r="D71" s="1287">
        <f>(CIG!D102+CIG!E102+CIG!G102)/3</f>
        <v>64.850000000000009</v>
      </c>
      <c r="E71" s="875" t="s">
        <v>1424</v>
      </c>
      <c r="F71" s="875" t="s">
        <v>1425</v>
      </c>
    </row>
    <row r="72" spans="2:6" x14ac:dyDescent="0.25">
      <c r="B72" s="855">
        <f t="shared" si="5"/>
        <v>62</v>
      </c>
      <c r="C72" s="871" t="s">
        <v>1613</v>
      </c>
      <c r="D72" s="1291">
        <f>(CIG!D103+CIG!E103+CIG!G103)/3</f>
        <v>8.41</v>
      </c>
      <c r="E72" s="869" t="s">
        <v>1424</v>
      </c>
      <c r="F72" s="869" t="s">
        <v>1425</v>
      </c>
    </row>
    <row r="73" spans="2:6" ht="30" x14ac:dyDescent="0.25">
      <c r="B73" s="855">
        <f t="shared" si="5"/>
        <v>63</v>
      </c>
      <c r="C73" s="868" t="s">
        <v>1614</v>
      </c>
      <c r="D73" s="1291">
        <f>(CIG!D104+CIG!E104+CIG!G104)/3</f>
        <v>1034.4116666666666</v>
      </c>
      <c r="E73" s="869" t="s">
        <v>1424</v>
      </c>
      <c r="F73" s="869" t="s">
        <v>1425</v>
      </c>
    </row>
    <row r="74" spans="2:6" x14ac:dyDescent="0.25">
      <c r="B74" s="855">
        <f t="shared" si="5"/>
        <v>64</v>
      </c>
      <c r="C74" s="871" t="s">
        <v>1615</v>
      </c>
      <c r="D74" s="1291">
        <f>(CIG!D105+CIG!E105+CIG!G105)/3+1</f>
        <v>1</v>
      </c>
      <c r="E74" s="869" t="s">
        <v>1424</v>
      </c>
      <c r="F74" s="869" t="s">
        <v>1425</v>
      </c>
    </row>
    <row r="75" spans="2:6" x14ac:dyDescent="0.25">
      <c r="B75" s="855">
        <f t="shared" si="5"/>
        <v>65</v>
      </c>
      <c r="C75" s="871" t="s">
        <v>1616</v>
      </c>
      <c r="D75" s="1291">
        <f>(CIG!D106+CIG!E106+CIG!G106)/3+1</f>
        <v>1</v>
      </c>
      <c r="E75" s="869" t="s">
        <v>1424</v>
      </c>
      <c r="F75" s="869" t="s">
        <v>1425</v>
      </c>
    </row>
    <row r="76" spans="2:6" x14ac:dyDescent="0.25">
      <c r="B76" s="855">
        <f t="shared" si="5"/>
        <v>66</v>
      </c>
      <c r="C76" s="871" t="s">
        <v>1617</v>
      </c>
      <c r="D76" s="1291">
        <f>(CIG!D107+CIG!E107+CIG!G107)/3+1</f>
        <v>1</v>
      </c>
      <c r="E76" s="869" t="s">
        <v>1424</v>
      </c>
      <c r="F76" s="869" t="s">
        <v>1425</v>
      </c>
    </row>
    <row r="77" spans="2:6" x14ac:dyDescent="0.25">
      <c r="B77" s="855">
        <f t="shared" si="5"/>
        <v>67</v>
      </c>
      <c r="C77" s="871" t="s">
        <v>1618</v>
      </c>
      <c r="D77" s="1291">
        <f>(CIG!D108+CIG!E108+CIG!G108)/3+1</f>
        <v>1</v>
      </c>
      <c r="E77" s="869" t="s">
        <v>1424</v>
      </c>
      <c r="F77" s="869" t="s">
        <v>1425</v>
      </c>
    </row>
    <row r="78" spans="2:6" x14ac:dyDescent="0.25">
      <c r="B78" s="855">
        <f t="shared" si="5"/>
        <v>68</v>
      </c>
      <c r="C78" s="871" t="s">
        <v>1619</v>
      </c>
      <c r="D78" s="1291">
        <f>(CIG!D109+CIG!E109+CIG!G109)/3+1</f>
        <v>1</v>
      </c>
      <c r="E78" s="869" t="s">
        <v>1424</v>
      </c>
      <c r="F78" s="869" t="s">
        <v>1425</v>
      </c>
    </row>
    <row r="79" spans="2:6" x14ac:dyDescent="0.25">
      <c r="B79" s="855">
        <f t="shared" si="5"/>
        <v>69</v>
      </c>
      <c r="C79" s="871" t="s">
        <v>1620</v>
      </c>
      <c r="D79" s="1291">
        <f>(CIG!D110+CIG!E110+CIG!G110)/3+1</f>
        <v>1</v>
      </c>
      <c r="E79" s="869" t="s">
        <v>1424</v>
      </c>
      <c r="F79" s="869" t="s">
        <v>1425</v>
      </c>
    </row>
    <row r="80" spans="2:6" x14ac:dyDescent="0.25">
      <c r="B80" s="855">
        <f t="shared" si="5"/>
        <v>70</v>
      </c>
      <c r="C80" s="873" t="s">
        <v>1621</v>
      </c>
      <c r="D80" s="1287">
        <f>(CIG!D111+CIG!E111+CIG!G111)/3+1</f>
        <v>1</v>
      </c>
      <c r="E80" s="875" t="s">
        <v>1424</v>
      </c>
      <c r="F80" s="875" t="s">
        <v>1425</v>
      </c>
    </row>
    <row r="81" spans="2:6" ht="30" x14ac:dyDescent="0.25">
      <c r="B81" s="855">
        <f t="shared" si="5"/>
        <v>71</v>
      </c>
      <c r="C81" s="1293" t="s">
        <v>1622</v>
      </c>
      <c r="D81" s="1287">
        <f>(CIG!D112+CIG!E112+CIG!G112)/3</f>
        <v>317.94166666666666</v>
      </c>
      <c r="E81" s="875" t="s">
        <v>1424</v>
      </c>
      <c r="F81" s="875" t="s">
        <v>1425</v>
      </c>
    </row>
    <row r="82" spans="2:6" x14ac:dyDescent="0.25">
      <c r="B82" s="855">
        <f t="shared" si="5"/>
        <v>72</v>
      </c>
      <c r="C82" s="873" t="s">
        <v>1623</v>
      </c>
      <c r="D82" s="1287">
        <f>(CIG!D113+CIG!E113+CIG!G113)/3+1</f>
        <v>1</v>
      </c>
      <c r="E82" s="875" t="s">
        <v>1424</v>
      </c>
      <c r="F82" s="875" t="s">
        <v>1425</v>
      </c>
    </row>
    <row r="83" spans="2:6" x14ac:dyDescent="0.25">
      <c r="B83" s="855">
        <f t="shared" si="5"/>
        <v>73</v>
      </c>
      <c r="C83" s="873" t="s">
        <v>1624</v>
      </c>
      <c r="D83" s="1287">
        <f>(CIG!D114+CIG!E114+CIG!G114)/3+1</f>
        <v>1</v>
      </c>
      <c r="E83" s="875" t="s">
        <v>1424</v>
      </c>
      <c r="F83" s="875" t="s">
        <v>1425</v>
      </c>
    </row>
    <row r="84" spans="2:6" x14ac:dyDescent="0.25">
      <c r="B84" s="855">
        <f t="shared" si="5"/>
        <v>74</v>
      </c>
      <c r="C84" s="873" t="s">
        <v>1625</v>
      </c>
      <c r="D84" s="1287">
        <f>(CIG!D115+CIG!E115+CIG!G115)/3+1</f>
        <v>1</v>
      </c>
      <c r="E84" s="875" t="s">
        <v>1424</v>
      </c>
      <c r="F84" s="875" t="s">
        <v>1425</v>
      </c>
    </row>
    <row r="85" spans="2:6" x14ac:dyDescent="0.25">
      <c r="B85" s="855">
        <f t="shared" si="5"/>
        <v>75</v>
      </c>
      <c r="C85" s="873" t="s">
        <v>1626</v>
      </c>
      <c r="D85" s="1287">
        <f>(CIG!D116+CIG!E116+CIG!G116)/3+1</f>
        <v>1</v>
      </c>
      <c r="E85" s="875" t="s">
        <v>1424</v>
      </c>
      <c r="F85" s="875" t="s">
        <v>1425</v>
      </c>
    </row>
    <row r="86" spans="2:6" x14ac:dyDescent="0.25">
      <c r="B86" s="855">
        <f t="shared" si="5"/>
        <v>76</v>
      </c>
      <c r="C86" s="873" t="s">
        <v>1627</v>
      </c>
      <c r="D86" s="1287">
        <f>(CIG!D117+CIG!E117+CIG!G117)/3+1</f>
        <v>1</v>
      </c>
      <c r="E86" s="875" t="s">
        <v>1424</v>
      </c>
      <c r="F86" s="875" t="s">
        <v>1425</v>
      </c>
    </row>
    <row r="87" spans="2:6" x14ac:dyDescent="0.25">
      <c r="B87" s="855">
        <f t="shared" si="5"/>
        <v>77</v>
      </c>
      <c r="C87" s="873" t="s">
        <v>1628</v>
      </c>
      <c r="D87" s="1287">
        <f>(CIG!D118+CIG!E118+CIG!G118)/3+1</f>
        <v>1</v>
      </c>
      <c r="E87" s="875" t="s">
        <v>1424</v>
      </c>
      <c r="F87" s="875" t="s">
        <v>1425</v>
      </c>
    </row>
    <row r="88" spans="2:6" x14ac:dyDescent="0.25">
      <c r="B88" s="855">
        <f t="shared" si="5"/>
        <v>78</v>
      </c>
      <c r="C88" s="871" t="s">
        <v>1629</v>
      </c>
      <c r="D88" s="1291">
        <f>(CIG!D119+CIG!E119+CIG!G119)/3+1</f>
        <v>1</v>
      </c>
      <c r="E88" s="869" t="s">
        <v>1424</v>
      </c>
      <c r="F88" s="869" t="s">
        <v>1425</v>
      </c>
    </row>
    <row r="89" spans="2:6" ht="30" x14ac:dyDescent="0.25">
      <c r="B89" s="855">
        <f t="shared" si="5"/>
        <v>79</v>
      </c>
      <c r="C89" s="868" t="s">
        <v>1630</v>
      </c>
      <c r="D89" s="1291">
        <f>(CIG!D120+CIG!E120+CIG!G120)/3</f>
        <v>204.52</v>
      </c>
      <c r="E89" s="869" t="s">
        <v>1424</v>
      </c>
      <c r="F89" s="869" t="s">
        <v>1425</v>
      </c>
    </row>
    <row r="90" spans="2:6" x14ac:dyDescent="0.25">
      <c r="B90" s="855">
        <f t="shared" si="5"/>
        <v>80</v>
      </c>
      <c r="C90" s="871" t="s">
        <v>1631</v>
      </c>
      <c r="D90" s="1291">
        <f>(CIG!D121+CIG!E121+CIG!G121)/3+1</f>
        <v>1</v>
      </c>
      <c r="E90" s="869" t="s">
        <v>1424</v>
      </c>
      <c r="F90" s="869" t="s">
        <v>1425</v>
      </c>
    </row>
    <row r="91" spans="2:6" x14ac:dyDescent="0.25">
      <c r="B91" s="855">
        <f t="shared" si="5"/>
        <v>81</v>
      </c>
      <c r="C91" s="871" t="s">
        <v>1632</v>
      </c>
      <c r="D91" s="1291">
        <f>(CIG!D122+CIG!E122+CIG!G122)/3+1</f>
        <v>1</v>
      </c>
      <c r="E91" s="869" t="s">
        <v>1424</v>
      </c>
      <c r="F91" s="869" t="s">
        <v>1425</v>
      </c>
    </row>
    <row r="92" spans="2:6" x14ac:dyDescent="0.25">
      <c r="B92" s="855">
        <f t="shared" ref="B92:B155" si="24">B91+1</f>
        <v>82</v>
      </c>
      <c r="C92" s="871" t="s">
        <v>1633</v>
      </c>
      <c r="D92" s="1291">
        <f>(CIG!D123+CIG!E123+CIG!G123)/3+1</f>
        <v>1</v>
      </c>
      <c r="E92" s="869" t="s">
        <v>1424</v>
      </c>
      <c r="F92" s="869" t="s">
        <v>1425</v>
      </c>
    </row>
    <row r="93" spans="2:6" x14ac:dyDescent="0.25">
      <c r="B93" s="855">
        <f t="shared" si="24"/>
        <v>83</v>
      </c>
      <c r="C93" s="871" t="s">
        <v>1634</v>
      </c>
      <c r="D93" s="1291">
        <f>(CIG!D124+CIG!E124+CIG!G124)/3+1</f>
        <v>1</v>
      </c>
      <c r="E93" s="869" t="s">
        <v>1424</v>
      </c>
      <c r="F93" s="869" t="s">
        <v>1425</v>
      </c>
    </row>
    <row r="94" spans="2:6" x14ac:dyDescent="0.25">
      <c r="B94" s="855">
        <f t="shared" si="24"/>
        <v>84</v>
      </c>
      <c r="C94" s="871" t="s">
        <v>1635</v>
      </c>
      <c r="D94" s="1291">
        <f>(CIG!D125+CIG!E125+CIG!G125)/3+1</f>
        <v>1</v>
      </c>
      <c r="E94" s="869" t="s">
        <v>1424</v>
      </c>
      <c r="F94" s="869" t="s">
        <v>1425</v>
      </c>
    </row>
    <row r="95" spans="2:6" x14ac:dyDescent="0.25">
      <c r="B95" s="855">
        <f t="shared" si="24"/>
        <v>85</v>
      </c>
      <c r="C95" s="871" t="s">
        <v>1636</v>
      </c>
      <c r="D95" s="1291">
        <f>(CIG!D126+CIG!E126+CIG!G126)/3+1</f>
        <v>1</v>
      </c>
      <c r="E95" s="869" t="s">
        <v>1424</v>
      </c>
      <c r="F95" s="869" t="s">
        <v>1425</v>
      </c>
    </row>
    <row r="96" spans="2:6" x14ac:dyDescent="0.25">
      <c r="B96" s="855">
        <f t="shared" si="24"/>
        <v>86</v>
      </c>
      <c r="C96" s="873" t="s">
        <v>1637</v>
      </c>
      <c r="D96" s="1287">
        <f>(CIG!D127+CIG!E127+CIG!G127)/3</f>
        <v>4102.34</v>
      </c>
      <c r="E96" s="875" t="s">
        <v>1424</v>
      </c>
      <c r="F96" s="875" t="s">
        <v>1425</v>
      </c>
    </row>
    <row r="97" spans="2:6" x14ac:dyDescent="0.25">
      <c r="B97" s="855">
        <f t="shared" si="24"/>
        <v>87</v>
      </c>
      <c r="C97" s="873" t="s">
        <v>1638</v>
      </c>
      <c r="D97" s="1287">
        <f>(CIG!D128+CIG!E128+CIG!G128)/3+1</f>
        <v>1</v>
      </c>
      <c r="E97" s="875" t="s">
        <v>1424</v>
      </c>
      <c r="F97" s="875" t="s">
        <v>1425</v>
      </c>
    </row>
    <row r="98" spans="2:6" x14ac:dyDescent="0.25">
      <c r="B98" s="855">
        <f t="shared" si="24"/>
        <v>88</v>
      </c>
      <c r="C98" s="873" t="s">
        <v>1639</v>
      </c>
      <c r="D98" s="1287">
        <f>(CIG!D129+CIG!E129+CIG!G129)/3+1</f>
        <v>1</v>
      </c>
      <c r="E98" s="875" t="s">
        <v>1424</v>
      </c>
      <c r="F98" s="875" t="s">
        <v>1425</v>
      </c>
    </row>
    <row r="99" spans="2:6" x14ac:dyDescent="0.25">
      <c r="B99" s="855">
        <f t="shared" si="24"/>
        <v>89</v>
      </c>
      <c r="C99" s="873" t="s">
        <v>1640</v>
      </c>
      <c r="D99" s="1287">
        <f>(CIG!D130+CIG!E130+CIG!G130)/3+1</f>
        <v>1</v>
      </c>
      <c r="E99" s="875" t="s">
        <v>1424</v>
      </c>
      <c r="F99" s="875" t="s">
        <v>1425</v>
      </c>
    </row>
    <row r="100" spans="2:6" x14ac:dyDescent="0.25">
      <c r="B100" s="855">
        <f t="shared" si="24"/>
        <v>90</v>
      </c>
      <c r="C100" s="871" t="s">
        <v>1641</v>
      </c>
      <c r="D100" s="1291">
        <f>(CIG!D131+CIG!E131+CIG!G131)/3+1</f>
        <v>1</v>
      </c>
      <c r="E100" s="869" t="s">
        <v>1424</v>
      </c>
      <c r="F100" s="869" t="s">
        <v>1425</v>
      </c>
    </row>
    <row r="101" spans="2:6" x14ac:dyDescent="0.25">
      <c r="B101" s="855">
        <f t="shared" si="24"/>
        <v>91</v>
      </c>
      <c r="C101" s="871" t="s">
        <v>1642</v>
      </c>
      <c r="D101" s="1291">
        <f>(CIG!D132+CIG!E132+CIG!G132)/3</f>
        <v>44.216666666666669</v>
      </c>
      <c r="E101" s="869" t="s">
        <v>1424</v>
      </c>
      <c r="F101" s="869" t="s">
        <v>1425</v>
      </c>
    </row>
    <row r="102" spans="2:6" x14ac:dyDescent="0.25">
      <c r="B102" s="855">
        <f t="shared" si="24"/>
        <v>92</v>
      </c>
      <c r="C102" s="871" t="s">
        <v>1643</v>
      </c>
      <c r="D102" s="1291">
        <f>(CIG!D133+CIG!E133+CIG!G133)/3</f>
        <v>2777.9616666666666</v>
      </c>
      <c r="E102" s="869" t="s">
        <v>1424</v>
      </c>
      <c r="F102" s="869" t="s">
        <v>1425</v>
      </c>
    </row>
    <row r="103" spans="2:6" x14ac:dyDescent="0.25">
      <c r="B103" s="855">
        <f t="shared" si="24"/>
        <v>93</v>
      </c>
      <c r="C103" s="871" t="s">
        <v>1644</v>
      </c>
      <c r="D103" s="1291">
        <f>(CIG!D134+CIG!E134+CIG!G134)/3</f>
        <v>9662.3433333333323</v>
      </c>
      <c r="E103" s="869" t="s">
        <v>1424</v>
      </c>
      <c r="F103" s="869" t="s">
        <v>1425</v>
      </c>
    </row>
    <row r="104" spans="2:6" x14ac:dyDescent="0.25">
      <c r="B104" s="855">
        <f t="shared" si="24"/>
        <v>94</v>
      </c>
      <c r="C104" s="884" t="s">
        <v>1645</v>
      </c>
      <c r="D104" s="1291">
        <f>(CIG!D135+CIG!E135+CIG!G135)/3+1</f>
        <v>1</v>
      </c>
      <c r="E104" s="869" t="s">
        <v>1424</v>
      </c>
      <c r="F104" s="869" t="s">
        <v>1425</v>
      </c>
    </row>
    <row r="105" spans="2:6" x14ac:dyDescent="0.25">
      <c r="B105" s="855">
        <f t="shared" si="24"/>
        <v>95</v>
      </c>
      <c r="C105" s="884" t="s">
        <v>1646</v>
      </c>
      <c r="D105" s="1291">
        <f>(CIG!D136+CIG!E136+CIG!G136)/3</f>
        <v>66.666666666666671</v>
      </c>
      <c r="E105" s="869" t="s">
        <v>1424</v>
      </c>
      <c r="F105" s="869" t="s">
        <v>1425</v>
      </c>
    </row>
    <row r="106" spans="2:6" x14ac:dyDescent="0.25">
      <c r="B106" s="855">
        <f t="shared" si="24"/>
        <v>96</v>
      </c>
      <c r="C106" s="884" t="s">
        <v>1647</v>
      </c>
      <c r="D106" s="1291">
        <f>(CIG!D137+CIG!E137+CIG!G137)/3</f>
        <v>4941.666666666667</v>
      </c>
      <c r="E106" s="869" t="s">
        <v>1424</v>
      </c>
      <c r="F106" s="869" t="s">
        <v>1425</v>
      </c>
    </row>
    <row r="107" spans="2:6" x14ac:dyDescent="0.25">
      <c r="B107" s="855">
        <f t="shared" si="24"/>
        <v>97</v>
      </c>
      <c r="C107" s="884" t="s">
        <v>1648</v>
      </c>
      <c r="D107" s="1291">
        <f>(CIG!D138+CIG!E138+CIG!G138)/3</f>
        <v>2066.6666666666665</v>
      </c>
      <c r="E107" s="869" t="s">
        <v>1424</v>
      </c>
      <c r="F107" s="869" t="s">
        <v>1425</v>
      </c>
    </row>
    <row r="108" spans="2:6" x14ac:dyDescent="0.25">
      <c r="B108" s="855">
        <f t="shared" si="24"/>
        <v>98</v>
      </c>
      <c r="C108" s="884" t="s">
        <v>1649</v>
      </c>
      <c r="D108" s="1291">
        <f>(CIG!D139+CIG!E139+CIG!G139)/3</f>
        <v>7770</v>
      </c>
      <c r="E108" s="869" t="s">
        <v>1424</v>
      </c>
      <c r="F108" s="869" t="s">
        <v>1425</v>
      </c>
    </row>
    <row r="109" spans="2:6" s="892" customFormat="1" ht="14.25" customHeight="1" x14ac:dyDescent="0.25">
      <c r="B109" s="855">
        <f t="shared" si="24"/>
        <v>99</v>
      </c>
      <c r="C109" s="884" t="s">
        <v>1650</v>
      </c>
      <c r="D109" s="1291">
        <f>(CIG!D140+CIG!E140+CIG!G140)/3+1</f>
        <v>1</v>
      </c>
      <c r="E109" s="869" t="s">
        <v>1424</v>
      </c>
      <c r="F109" s="869" t="s">
        <v>1425</v>
      </c>
    </row>
    <row r="110" spans="2:6" x14ac:dyDescent="0.25">
      <c r="B110" s="855">
        <f t="shared" si="24"/>
        <v>100</v>
      </c>
      <c r="C110" s="884" t="s">
        <v>1651</v>
      </c>
      <c r="D110" s="1291">
        <f>(CIG!D141+CIG!E141+CIG!G141)/3</f>
        <v>1845.9683333333335</v>
      </c>
      <c r="E110" s="869" t="s">
        <v>1424</v>
      </c>
      <c r="F110" s="869" t="s">
        <v>1425</v>
      </c>
    </row>
    <row r="111" spans="2:6" x14ac:dyDescent="0.25">
      <c r="B111" s="855">
        <f t="shared" si="24"/>
        <v>101</v>
      </c>
      <c r="C111" s="873" t="s">
        <v>1652</v>
      </c>
      <c r="D111" s="1287">
        <f>(CIG!D143+CIG!E143+CIG!G143)/3+1</f>
        <v>1</v>
      </c>
      <c r="E111" s="875" t="s">
        <v>1424</v>
      </c>
      <c r="F111" s="875" t="s">
        <v>1425</v>
      </c>
    </row>
    <row r="112" spans="2:6" x14ac:dyDescent="0.25">
      <c r="B112" s="855">
        <f t="shared" si="24"/>
        <v>102</v>
      </c>
      <c r="C112" s="873" t="s">
        <v>1653</v>
      </c>
      <c r="D112" s="1287">
        <f>(CIG!D144+CIG!E144+CIG!G144)/3+1</f>
        <v>1</v>
      </c>
      <c r="E112" s="875" t="s">
        <v>1424</v>
      </c>
      <c r="F112" s="875" t="s">
        <v>1425</v>
      </c>
    </row>
    <row r="113" spans="2:6" x14ac:dyDescent="0.25">
      <c r="B113" s="855">
        <f t="shared" si="24"/>
        <v>103</v>
      </c>
      <c r="C113" s="873" t="s">
        <v>1654</v>
      </c>
      <c r="D113" s="1287">
        <f>(CIG!D145+CIG!E145+CIG!G145)/3</f>
        <v>6.336666666666666</v>
      </c>
      <c r="E113" s="875" t="s">
        <v>1424</v>
      </c>
      <c r="F113" s="875" t="s">
        <v>1425</v>
      </c>
    </row>
    <row r="114" spans="2:6" x14ac:dyDescent="0.25">
      <c r="B114" s="855">
        <f t="shared" si="24"/>
        <v>104</v>
      </c>
      <c r="C114" s="873" t="s">
        <v>1655</v>
      </c>
      <c r="D114" s="1287">
        <f>(CIG!D146+CIG!E146+CIG!G146)/3</f>
        <v>7.666666666666667</v>
      </c>
      <c r="E114" s="875" t="s">
        <v>1424</v>
      </c>
      <c r="F114" s="875" t="s">
        <v>1425</v>
      </c>
    </row>
    <row r="115" spans="2:6" x14ac:dyDescent="0.25">
      <c r="B115" s="855">
        <f t="shared" si="24"/>
        <v>105</v>
      </c>
      <c r="C115" s="1288" t="s">
        <v>1656</v>
      </c>
      <c r="D115" s="1287">
        <f>(CIG!D147+CIG!E147+CIG!G147)/3+1</f>
        <v>1</v>
      </c>
      <c r="E115" s="875" t="s">
        <v>1424</v>
      </c>
      <c r="F115" s="875" t="s">
        <v>1425</v>
      </c>
    </row>
    <row r="116" spans="2:6" x14ac:dyDescent="0.25">
      <c r="B116" s="855">
        <f t="shared" si="24"/>
        <v>106</v>
      </c>
      <c r="C116" s="1288" t="s">
        <v>1657</v>
      </c>
      <c r="D116" s="1287">
        <f>(CIG!D148+CIG!E148+CIG!G148)/3+1</f>
        <v>1</v>
      </c>
      <c r="E116" s="875" t="s">
        <v>1424</v>
      </c>
      <c r="F116" s="875" t="s">
        <v>1425</v>
      </c>
    </row>
    <row r="117" spans="2:6" x14ac:dyDescent="0.25">
      <c r="B117" s="855">
        <f t="shared" si="24"/>
        <v>107</v>
      </c>
      <c r="C117" s="1288" t="s">
        <v>1658</v>
      </c>
      <c r="D117" s="1287">
        <f>(CIG!D149+CIG!E149+CIG!G149)/3+1</f>
        <v>1</v>
      </c>
      <c r="E117" s="875" t="s">
        <v>1424</v>
      </c>
      <c r="F117" s="875" t="s">
        <v>1425</v>
      </c>
    </row>
    <row r="118" spans="2:6" x14ac:dyDescent="0.25">
      <c r="B118" s="855">
        <f t="shared" si="24"/>
        <v>108</v>
      </c>
      <c r="C118" s="1288" t="s">
        <v>1659</v>
      </c>
      <c r="D118" s="1287">
        <f>(CIG!D150+CIG!E150+CIG!G150)/3+1</f>
        <v>1</v>
      </c>
      <c r="E118" s="875" t="s">
        <v>1424</v>
      </c>
      <c r="F118" s="875" t="s">
        <v>1425</v>
      </c>
    </row>
    <row r="119" spans="2:6" x14ac:dyDescent="0.25">
      <c r="B119" s="855">
        <f t="shared" si="24"/>
        <v>109</v>
      </c>
      <c r="C119" s="1288" t="s">
        <v>1660</v>
      </c>
      <c r="D119" s="1287">
        <f>(CIG!D151+CIG!E151+CIG!G151)/3+1</f>
        <v>1</v>
      </c>
      <c r="E119" s="875" t="s">
        <v>1424</v>
      </c>
      <c r="F119" s="875" t="s">
        <v>1425</v>
      </c>
    </row>
    <row r="120" spans="2:6" x14ac:dyDescent="0.25">
      <c r="B120" s="855">
        <f t="shared" si="24"/>
        <v>110</v>
      </c>
      <c r="C120" s="1288" t="s">
        <v>1661</v>
      </c>
      <c r="D120" s="1287">
        <f>(CIG!D152+CIG!E152+CIG!G152)/3+1</f>
        <v>1</v>
      </c>
      <c r="E120" s="875" t="s">
        <v>1424</v>
      </c>
      <c r="F120" s="875" t="s">
        <v>1425</v>
      </c>
    </row>
    <row r="121" spans="2:6" x14ac:dyDescent="0.25">
      <c r="B121" s="855">
        <f t="shared" si="24"/>
        <v>111</v>
      </c>
      <c r="C121" s="1288" t="s">
        <v>1662</v>
      </c>
      <c r="D121" s="1287">
        <f>(CIG!D153+CIG!E153+CIG!G153)/3</f>
        <v>6.3066666666666675</v>
      </c>
      <c r="E121" s="875" t="s">
        <v>1424</v>
      </c>
      <c r="F121" s="875" t="s">
        <v>1425</v>
      </c>
    </row>
    <row r="122" spans="2:6" x14ac:dyDescent="0.25">
      <c r="B122" s="855">
        <f t="shared" si="24"/>
        <v>112</v>
      </c>
      <c r="C122" s="871" t="s">
        <v>1664</v>
      </c>
      <c r="D122" s="1291">
        <f>(CIG!D154+CIG!E154+CIG!G154)/3+1</f>
        <v>1</v>
      </c>
      <c r="E122" s="869" t="s">
        <v>1424</v>
      </c>
      <c r="F122" s="869" t="s">
        <v>1425</v>
      </c>
    </row>
    <row r="123" spans="2:6" x14ac:dyDescent="0.25">
      <c r="B123" s="855">
        <f t="shared" si="24"/>
        <v>113</v>
      </c>
      <c r="C123" s="871" t="s">
        <v>1665</v>
      </c>
      <c r="D123" s="1291">
        <f>(CIG!D155+CIG!E155+CIG!G155)/3+1</f>
        <v>1</v>
      </c>
      <c r="E123" s="869" t="s">
        <v>1424</v>
      </c>
      <c r="F123" s="869" t="s">
        <v>1425</v>
      </c>
    </row>
    <row r="124" spans="2:6" x14ac:dyDescent="0.25">
      <c r="B124" s="855">
        <f t="shared" si="24"/>
        <v>114</v>
      </c>
      <c r="C124" s="871" t="s">
        <v>1666</v>
      </c>
      <c r="D124" s="1291">
        <f>(CIG!D156+CIG!E156+CIG!G156)/3</f>
        <v>36.234999999999992</v>
      </c>
      <c r="E124" s="869" t="s">
        <v>1424</v>
      </c>
      <c r="F124" s="869" t="s">
        <v>1425</v>
      </c>
    </row>
    <row r="125" spans="2:6" x14ac:dyDescent="0.25">
      <c r="B125" s="855">
        <f t="shared" si="24"/>
        <v>115</v>
      </c>
      <c r="C125" s="871" t="s">
        <v>1667</v>
      </c>
      <c r="D125" s="1291">
        <f>(CIG!D157+CIG!E157+CIG!G157)/3</f>
        <v>22.568333333333332</v>
      </c>
      <c r="E125" s="869" t="s">
        <v>1424</v>
      </c>
      <c r="F125" s="869" t="s">
        <v>1425</v>
      </c>
    </row>
    <row r="126" spans="2:6" x14ac:dyDescent="0.25">
      <c r="B126" s="855">
        <f t="shared" si="24"/>
        <v>116</v>
      </c>
      <c r="C126" s="884" t="s">
        <v>1668</v>
      </c>
      <c r="D126" s="1291">
        <f>(CIG!D158+CIG!E158+CIG!G158)/3+1</f>
        <v>1</v>
      </c>
      <c r="E126" s="869" t="s">
        <v>1424</v>
      </c>
      <c r="F126" s="869" t="s">
        <v>1425</v>
      </c>
    </row>
    <row r="127" spans="2:6" x14ac:dyDescent="0.25">
      <c r="B127" s="855">
        <f t="shared" si="24"/>
        <v>117</v>
      </c>
      <c r="C127" s="884" t="s">
        <v>1669</v>
      </c>
      <c r="D127" s="1291">
        <f>(CIG!D159+CIG!E159+CIG!G159)/3+1</f>
        <v>1</v>
      </c>
      <c r="E127" s="869" t="s">
        <v>1424</v>
      </c>
      <c r="F127" s="869" t="s">
        <v>1425</v>
      </c>
    </row>
    <row r="128" spans="2:6" x14ac:dyDescent="0.25">
      <c r="B128" s="855">
        <f t="shared" si="24"/>
        <v>118</v>
      </c>
      <c r="C128" s="884" t="s">
        <v>1670</v>
      </c>
      <c r="D128" s="1291">
        <f>(CIG!D160+CIG!E160+CIG!G160)/3+1</f>
        <v>1</v>
      </c>
      <c r="E128" s="869" t="s">
        <v>1424</v>
      </c>
      <c r="F128" s="869" t="s">
        <v>1425</v>
      </c>
    </row>
    <row r="129" spans="2:6" x14ac:dyDescent="0.25">
      <c r="B129" s="855">
        <f t="shared" si="24"/>
        <v>119</v>
      </c>
      <c r="C129" s="884" t="s">
        <v>1671</v>
      </c>
      <c r="D129" s="1291">
        <f>(CIG!D161+CIG!E161+CIG!G161)/3+1</f>
        <v>1</v>
      </c>
      <c r="E129" s="869" t="s">
        <v>1424</v>
      </c>
      <c r="F129" s="869" t="s">
        <v>1425</v>
      </c>
    </row>
    <row r="130" spans="2:6" x14ac:dyDescent="0.25">
      <c r="B130" s="855">
        <f t="shared" si="24"/>
        <v>120</v>
      </c>
      <c r="C130" s="884" t="s">
        <v>1672</v>
      </c>
      <c r="D130" s="1291">
        <f>(CIG!D162+CIG!E162+CIG!G162)/3+1</f>
        <v>1</v>
      </c>
      <c r="E130" s="869" t="s">
        <v>1424</v>
      </c>
      <c r="F130" s="869" t="s">
        <v>1425</v>
      </c>
    </row>
    <row r="131" spans="2:6" x14ac:dyDescent="0.25">
      <c r="B131" s="855">
        <f t="shared" si="24"/>
        <v>121</v>
      </c>
      <c r="C131" s="884" t="s">
        <v>1673</v>
      </c>
      <c r="D131" s="1291">
        <f>(CIG!D163+CIG!E163+CIG!G163)/3+1</f>
        <v>1</v>
      </c>
      <c r="E131" s="869" t="s">
        <v>1424</v>
      </c>
      <c r="F131" s="869" t="s">
        <v>1425</v>
      </c>
    </row>
    <row r="132" spans="2:6" x14ac:dyDescent="0.25">
      <c r="B132" s="855">
        <f t="shared" si="24"/>
        <v>122</v>
      </c>
      <c r="C132" s="884" t="s">
        <v>1663</v>
      </c>
      <c r="D132" s="1291">
        <f>(CIG!D164+CIG!E164+CIG!G164)/3+1</f>
        <v>1</v>
      </c>
      <c r="E132" s="869" t="s">
        <v>1424</v>
      </c>
      <c r="F132" s="869" t="s">
        <v>1425</v>
      </c>
    </row>
    <row r="133" spans="2:6" x14ac:dyDescent="0.25">
      <c r="B133" s="855">
        <f t="shared" si="24"/>
        <v>123</v>
      </c>
      <c r="C133" s="873" t="s">
        <v>1674</v>
      </c>
      <c r="D133" s="1287">
        <f>(CIG!D165+CIG!E165+CIG!G165)/3+1</f>
        <v>1</v>
      </c>
      <c r="E133" s="875" t="s">
        <v>1424</v>
      </c>
      <c r="F133" s="875" t="s">
        <v>1425</v>
      </c>
    </row>
    <row r="134" spans="2:6" s="895" customFormat="1" x14ac:dyDescent="0.25">
      <c r="B134" s="855">
        <f t="shared" si="24"/>
        <v>124</v>
      </c>
      <c r="C134" s="873" t="s">
        <v>1675</v>
      </c>
      <c r="D134" s="1287">
        <f>(CIG!D166+CIG!E166+CIG!G166)/3+1</f>
        <v>1</v>
      </c>
      <c r="E134" s="875" t="s">
        <v>1424</v>
      </c>
      <c r="F134" s="875" t="s">
        <v>1425</v>
      </c>
    </row>
    <row r="135" spans="2:6" s="895" customFormat="1" x14ac:dyDescent="0.25">
      <c r="B135" s="855">
        <f t="shared" si="24"/>
        <v>125</v>
      </c>
      <c r="C135" s="873" t="s">
        <v>1676</v>
      </c>
      <c r="D135" s="1287">
        <f>(CIG!D167+CIG!E167+CIG!G167)/3</f>
        <v>20.528333333333332</v>
      </c>
      <c r="E135" s="875" t="s">
        <v>1424</v>
      </c>
      <c r="F135" s="875" t="s">
        <v>1425</v>
      </c>
    </row>
    <row r="136" spans="2:6" s="895" customFormat="1" x14ac:dyDescent="0.25">
      <c r="B136" s="855">
        <f t="shared" si="24"/>
        <v>126</v>
      </c>
      <c r="C136" s="873" t="s">
        <v>1677</v>
      </c>
      <c r="D136" s="1287">
        <f>(CIG!D168+CIG!E168+CIG!G168)/3</f>
        <v>15.326666666666668</v>
      </c>
      <c r="E136" s="875" t="s">
        <v>1424</v>
      </c>
      <c r="F136" s="875" t="s">
        <v>1425</v>
      </c>
    </row>
    <row r="137" spans="2:6" s="895" customFormat="1" x14ac:dyDescent="0.25">
      <c r="B137" s="855">
        <f t="shared" si="24"/>
        <v>127</v>
      </c>
      <c r="C137" s="1288" t="s">
        <v>1678</v>
      </c>
      <c r="D137" s="1287">
        <f>(CIG!D169+CIG!E169+CIG!G169)/3+1</f>
        <v>1</v>
      </c>
      <c r="E137" s="875" t="s">
        <v>1424</v>
      </c>
      <c r="F137" s="875" t="s">
        <v>1425</v>
      </c>
    </row>
    <row r="138" spans="2:6" s="895" customFormat="1" x14ac:dyDescent="0.25">
      <c r="B138" s="855">
        <f t="shared" si="24"/>
        <v>128</v>
      </c>
      <c r="C138" s="1288" t="s">
        <v>1679</v>
      </c>
      <c r="D138" s="1287">
        <f>(CIG!D170+CIG!E170+CIG!G170)/3+1</f>
        <v>1</v>
      </c>
      <c r="E138" s="875" t="s">
        <v>1424</v>
      </c>
      <c r="F138" s="875" t="s">
        <v>1425</v>
      </c>
    </row>
    <row r="139" spans="2:6" s="895" customFormat="1" ht="30" x14ac:dyDescent="0.25">
      <c r="B139" s="855">
        <f t="shared" si="24"/>
        <v>129</v>
      </c>
      <c r="C139" s="1288" t="s">
        <v>1680</v>
      </c>
      <c r="D139" s="1287">
        <f>(CIG!D171+CIG!E171+CIG!G171)/3+1</f>
        <v>1</v>
      </c>
      <c r="E139" s="875" t="s">
        <v>1424</v>
      </c>
      <c r="F139" s="875" t="s">
        <v>1425</v>
      </c>
    </row>
    <row r="140" spans="2:6" s="895" customFormat="1" x14ac:dyDescent="0.25">
      <c r="B140" s="855">
        <f t="shared" si="24"/>
        <v>130</v>
      </c>
      <c r="C140" s="1288" t="s">
        <v>1681</v>
      </c>
      <c r="D140" s="1287">
        <f>(CIG!D172+CIG!E172+CIG!G172)/3+1</f>
        <v>1</v>
      </c>
      <c r="E140" s="875" t="s">
        <v>1424</v>
      </c>
      <c r="F140" s="875" t="s">
        <v>1425</v>
      </c>
    </row>
    <row r="141" spans="2:6" s="895" customFormat="1" x14ac:dyDescent="0.25">
      <c r="B141" s="855">
        <f t="shared" si="24"/>
        <v>131</v>
      </c>
      <c r="C141" s="1288" t="s">
        <v>1682</v>
      </c>
      <c r="D141" s="1287">
        <f>(CIG!D173+CIG!E173+CIG!G173)/3+1</f>
        <v>1</v>
      </c>
      <c r="E141" s="875" t="s">
        <v>1424</v>
      </c>
      <c r="F141" s="875" t="s">
        <v>1425</v>
      </c>
    </row>
    <row r="142" spans="2:6" s="895" customFormat="1" x14ac:dyDescent="0.25">
      <c r="B142" s="855">
        <f t="shared" si="24"/>
        <v>132</v>
      </c>
      <c r="C142" s="1288" t="s">
        <v>1683</v>
      </c>
      <c r="D142" s="1287">
        <f>(CIG!D174+CIG!E174+CIG!G174)/3+1</f>
        <v>1</v>
      </c>
      <c r="E142" s="875" t="s">
        <v>1424</v>
      </c>
      <c r="F142" s="875" t="s">
        <v>1425</v>
      </c>
    </row>
    <row r="143" spans="2:6" s="895" customFormat="1" x14ac:dyDescent="0.25">
      <c r="B143" s="855">
        <f t="shared" si="24"/>
        <v>133</v>
      </c>
      <c r="C143" s="1288" t="s">
        <v>1684</v>
      </c>
      <c r="D143" s="1287">
        <f>(CIG!D175+CIG!E175+CIG!G175)/3+1</f>
        <v>1</v>
      </c>
      <c r="E143" s="875" t="s">
        <v>1424</v>
      </c>
      <c r="F143" s="875" t="s">
        <v>1425</v>
      </c>
    </row>
    <row r="144" spans="2:6" s="892" customFormat="1" ht="15.75" customHeight="1" x14ac:dyDescent="0.25">
      <c r="B144" s="855">
        <f t="shared" si="24"/>
        <v>134</v>
      </c>
      <c r="C144" s="868" t="s">
        <v>1426</v>
      </c>
      <c r="D144" s="1291">
        <f>(CIG!D176+CIG!E176+CIG!G176)/3+1</f>
        <v>1</v>
      </c>
      <c r="E144" s="869" t="s">
        <v>1424</v>
      </c>
      <c r="F144" s="869" t="s">
        <v>1425</v>
      </c>
    </row>
    <row r="145" spans="2:6" s="892" customFormat="1" ht="21.75" customHeight="1" x14ac:dyDescent="0.25">
      <c r="B145" s="855">
        <f t="shared" si="24"/>
        <v>135</v>
      </c>
      <c r="C145" s="868" t="s">
        <v>1427</v>
      </c>
      <c r="D145" s="1291">
        <f>(CIG!D177+CIG!E177+CIG!G177)/3+1</f>
        <v>1</v>
      </c>
      <c r="E145" s="869" t="s">
        <v>1424</v>
      </c>
      <c r="F145" s="869" t="s">
        <v>1425</v>
      </c>
    </row>
    <row r="146" spans="2:6" s="892" customFormat="1" x14ac:dyDescent="0.25">
      <c r="B146" s="855">
        <f t="shared" si="24"/>
        <v>136</v>
      </c>
      <c r="C146" s="868" t="s">
        <v>1428</v>
      </c>
      <c r="D146" s="1291">
        <f>(CIG!D178+CIG!E178+CIG!G178)/3</f>
        <v>1086.8533333333332</v>
      </c>
      <c r="E146" s="869" t="s">
        <v>1424</v>
      </c>
      <c r="F146" s="869" t="s">
        <v>1425</v>
      </c>
    </row>
    <row r="147" spans="2:6" s="892" customFormat="1" x14ac:dyDescent="0.25">
      <c r="B147" s="855">
        <f t="shared" si="24"/>
        <v>137</v>
      </c>
      <c r="C147" s="868" t="s">
        <v>1429</v>
      </c>
      <c r="D147" s="1291">
        <f>(CIG!D179+CIG!E179+CIG!G179)/3+1</f>
        <v>1</v>
      </c>
      <c r="E147" s="869" t="s">
        <v>1424</v>
      </c>
      <c r="F147" s="869" t="s">
        <v>1425</v>
      </c>
    </row>
    <row r="148" spans="2:6" s="892" customFormat="1" x14ac:dyDescent="0.25">
      <c r="B148" s="855">
        <f t="shared" si="24"/>
        <v>138</v>
      </c>
      <c r="C148" s="868" t="s">
        <v>1430</v>
      </c>
      <c r="D148" s="1291">
        <f>(CIG!D180+CIG!E180+CIG!G180)/3+1</f>
        <v>27554.448333333334</v>
      </c>
      <c r="E148" s="869" t="s">
        <v>1424</v>
      </c>
      <c r="F148" s="869" t="s">
        <v>1425</v>
      </c>
    </row>
    <row r="149" spans="2:6" s="892" customFormat="1" x14ac:dyDescent="0.25">
      <c r="B149" s="855">
        <f t="shared" si="24"/>
        <v>139</v>
      </c>
      <c r="C149" s="868" t="s">
        <v>1431</v>
      </c>
      <c r="D149" s="1291">
        <f>(CIG!D181+CIG!E181+CIG!G181)/3+1</f>
        <v>1</v>
      </c>
      <c r="E149" s="869" t="s">
        <v>1424</v>
      </c>
      <c r="F149" s="869" t="s">
        <v>1425</v>
      </c>
    </row>
    <row r="150" spans="2:6" s="892" customFormat="1" ht="18.75" customHeight="1" x14ac:dyDescent="0.25">
      <c r="B150" s="855">
        <f t="shared" si="24"/>
        <v>140</v>
      </c>
      <c r="C150" s="1292" t="s">
        <v>1432</v>
      </c>
      <c r="D150" s="1289">
        <f>(CIG!D182+CIG!E182+CIG!G182)/3</f>
        <v>22748.073333333334</v>
      </c>
      <c r="E150" s="1290" t="s">
        <v>1424</v>
      </c>
      <c r="F150" s="1290" t="s">
        <v>1425</v>
      </c>
    </row>
    <row r="151" spans="2:6" s="892" customFormat="1" x14ac:dyDescent="0.25">
      <c r="B151" s="855">
        <f t="shared" si="24"/>
        <v>141</v>
      </c>
      <c r="C151" s="1294" t="s">
        <v>1685</v>
      </c>
      <c r="D151" s="1289">
        <f>(CIG!D183+CIG!E183+CIG!G183)/3</f>
        <v>6198.4233333333332</v>
      </c>
      <c r="E151" s="1290" t="s">
        <v>1424</v>
      </c>
      <c r="F151" s="1290" t="s">
        <v>1425</v>
      </c>
    </row>
    <row r="152" spans="2:6" s="892" customFormat="1" x14ac:dyDescent="0.25">
      <c r="B152" s="855">
        <f t="shared" si="24"/>
        <v>142</v>
      </c>
      <c r="C152" s="1294" t="s">
        <v>1686</v>
      </c>
      <c r="D152" s="1289">
        <f>(CIG!D184+CIG!E184+CIG!G184)/3</f>
        <v>202.93166666666664</v>
      </c>
      <c r="E152" s="1290" t="s">
        <v>1424</v>
      </c>
      <c r="F152" s="1290" t="s">
        <v>1425</v>
      </c>
    </row>
    <row r="153" spans="2:6" s="892" customFormat="1" x14ac:dyDescent="0.25">
      <c r="B153" s="855">
        <f t="shared" si="24"/>
        <v>143</v>
      </c>
      <c r="C153" s="1294" t="s">
        <v>1687</v>
      </c>
      <c r="D153" s="1289">
        <f>(CIG!D185+CIG!E185+CIG!G185)/3</f>
        <v>1782.3783333333333</v>
      </c>
      <c r="E153" s="1290" t="s">
        <v>1424</v>
      </c>
      <c r="F153" s="1290" t="s">
        <v>1425</v>
      </c>
    </row>
    <row r="154" spans="2:6" s="892" customFormat="1" x14ac:dyDescent="0.25">
      <c r="B154" s="855">
        <f t="shared" si="24"/>
        <v>144</v>
      </c>
      <c r="C154" s="1294" t="s">
        <v>1688</v>
      </c>
      <c r="D154" s="1289">
        <f>(CIG!D186+CIG!E186+CIG!G186)/3+1</f>
        <v>1</v>
      </c>
      <c r="E154" s="1290" t="s">
        <v>1424</v>
      </c>
      <c r="F154" s="1290" t="s">
        <v>1425</v>
      </c>
    </row>
    <row r="155" spans="2:6" s="892" customFormat="1" x14ac:dyDescent="0.25">
      <c r="B155" s="855">
        <f t="shared" si="24"/>
        <v>145</v>
      </c>
      <c r="C155" s="1294" t="s">
        <v>1689</v>
      </c>
      <c r="D155" s="1289">
        <f>(CIG!D187+CIG!E187+CIG!G187)/3</f>
        <v>91.466666666666683</v>
      </c>
      <c r="E155" s="1290" t="s">
        <v>1424</v>
      </c>
      <c r="F155" s="1290" t="s">
        <v>1425</v>
      </c>
    </row>
    <row r="156" spans="2:6" s="892" customFormat="1" x14ac:dyDescent="0.25">
      <c r="B156" s="855">
        <f t="shared" ref="B156:B219" si="25">B155+1</f>
        <v>146</v>
      </c>
      <c r="C156" s="1294" t="s">
        <v>1690</v>
      </c>
      <c r="D156" s="1289">
        <f>(CIG!D188+CIG!E188+CIG!G188)/3</f>
        <v>128.17333333333332</v>
      </c>
      <c r="E156" s="1290" t="s">
        <v>1424</v>
      </c>
      <c r="F156" s="1290" t="s">
        <v>1425</v>
      </c>
    </row>
    <row r="157" spans="2:6" s="892" customFormat="1" x14ac:dyDescent="0.25">
      <c r="B157" s="855">
        <f t="shared" si="25"/>
        <v>147</v>
      </c>
      <c r="C157" s="1294" t="s">
        <v>1691</v>
      </c>
      <c r="D157" s="1289">
        <f>(CIG!D189+CIG!E189+CIG!G189)/3</f>
        <v>858.66499999999996</v>
      </c>
      <c r="E157" s="1290" t="s">
        <v>1424</v>
      </c>
      <c r="F157" s="1290" t="s">
        <v>1425</v>
      </c>
    </row>
    <row r="158" spans="2:6" s="892" customFormat="1" x14ac:dyDescent="0.25">
      <c r="B158" s="855">
        <f t="shared" si="25"/>
        <v>148</v>
      </c>
      <c r="C158" s="1294" t="s">
        <v>1692</v>
      </c>
      <c r="D158" s="1289">
        <f>(CIG!D190+CIG!E190+CIG!G190)/3</f>
        <v>548.68666666666661</v>
      </c>
      <c r="E158" s="1290" t="s">
        <v>1424</v>
      </c>
      <c r="F158" s="1290" t="s">
        <v>1425</v>
      </c>
    </row>
    <row r="159" spans="2:6" s="892" customFormat="1" x14ac:dyDescent="0.25">
      <c r="B159" s="855">
        <f t="shared" si="25"/>
        <v>149</v>
      </c>
      <c r="C159" s="1294" t="s">
        <v>1693</v>
      </c>
      <c r="D159" s="1289">
        <f>(CIG!D191+CIG!E191+CIG!G191)/3</f>
        <v>997.32666666666671</v>
      </c>
      <c r="E159" s="1290" t="s">
        <v>1424</v>
      </c>
      <c r="F159" s="1290" t="s">
        <v>1425</v>
      </c>
    </row>
    <row r="160" spans="2:6" s="892" customFormat="1" x14ac:dyDescent="0.25">
      <c r="B160" s="855">
        <f t="shared" si="25"/>
        <v>150</v>
      </c>
      <c r="C160" s="1294" t="s">
        <v>1711</v>
      </c>
      <c r="D160" s="1289">
        <f>(CIG!D192+CIG!E192+CIG!G192)/3</f>
        <v>515.78499999999997</v>
      </c>
      <c r="E160" s="1290" t="s">
        <v>1424</v>
      </c>
      <c r="F160" s="1290" t="s">
        <v>1425</v>
      </c>
    </row>
    <row r="161" spans="2:6" s="892" customFormat="1" x14ac:dyDescent="0.25">
      <c r="B161" s="855">
        <f t="shared" si="25"/>
        <v>151</v>
      </c>
      <c r="C161" s="1294" t="s">
        <v>1712</v>
      </c>
      <c r="D161" s="1289">
        <f>(CIG!D193+CIG!E193+CIG!G193)/3</f>
        <v>3312.5616666666665</v>
      </c>
      <c r="E161" s="1290" t="s">
        <v>1424</v>
      </c>
      <c r="F161" s="1290" t="s">
        <v>1425</v>
      </c>
    </row>
    <row r="162" spans="2:6" s="892" customFormat="1" x14ac:dyDescent="0.25">
      <c r="B162" s="855">
        <f t="shared" si="25"/>
        <v>152</v>
      </c>
      <c r="C162" s="1294" t="s">
        <v>1713</v>
      </c>
      <c r="D162" s="1289">
        <f>(CIG!D194+CIG!E194+CIG!G194)/3</f>
        <v>246.58333333333334</v>
      </c>
      <c r="E162" s="1290" t="s">
        <v>1424</v>
      </c>
      <c r="F162" s="1290" t="s">
        <v>1425</v>
      </c>
    </row>
    <row r="163" spans="2:6" s="892" customFormat="1" x14ac:dyDescent="0.25">
      <c r="B163" s="855">
        <f t="shared" si="25"/>
        <v>153</v>
      </c>
      <c r="C163" s="1294" t="s">
        <v>1694</v>
      </c>
      <c r="D163" s="1289">
        <f>(CIG!D195+CIG!E195+CIG!G195)/3</f>
        <v>2561.1766666666667</v>
      </c>
      <c r="E163" s="1290" t="s">
        <v>1424</v>
      </c>
      <c r="F163" s="1290" t="s">
        <v>1425</v>
      </c>
    </row>
    <row r="164" spans="2:6" s="892" customFormat="1" x14ac:dyDescent="0.25">
      <c r="B164" s="855">
        <f t="shared" si="25"/>
        <v>154</v>
      </c>
      <c r="C164" s="1295" t="s">
        <v>1695</v>
      </c>
      <c r="D164" s="1289">
        <f>(CIG!D196+CIG!E196+CIG!G196)/3</f>
        <v>109.57833333333336</v>
      </c>
      <c r="E164" s="1290" t="s">
        <v>1424</v>
      </c>
      <c r="F164" s="1290" t="s">
        <v>1425</v>
      </c>
    </row>
    <row r="165" spans="2:6" s="892" customFormat="1" x14ac:dyDescent="0.25">
      <c r="B165" s="855">
        <f t="shared" si="25"/>
        <v>155</v>
      </c>
      <c r="C165" s="1296" t="s">
        <v>1696</v>
      </c>
      <c r="D165" s="1289">
        <f>(CIG!D197+CIG!E197+CIG!G197)/3</f>
        <v>1007.6550000000001</v>
      </c>
      <c r="E165" s="1290" t="s">
        <v>1424</v>
      </c>
      <c r="F165" s="1290" t="s">
        <v>1425</v>
      </c>
    </row>
    <row r="166" spans="2:6" s="892" customFormat="1" x14ac:dyDescent="0.25">
      <c r="B166" s="855">
        <f t="shared" si="25"/>
        <v>156</v>
      </c>
      <c r="C166" s="1294" t="s">
        <v>1697</v>
      </c>
      <c r="D166" s="1289">
        <f>(CIG!D198+CIG!E198+CIG!G198)/3</f>
        <v>347.28166666666669</v>
      </c>
      <c r="E166" s="1290" t="s">
        <v>1424</v>
      </c>
      <c r="F166" s="1290" t="s">
        <v>1425</v>
      </c>
    </row>
    <row r="167" spans="2:6" s="892" customFormat="1" x14ac:dyDescent="0.25">
      <c r="B167" s="855">
        <f t="shared" si="25"/>
        <v>157</v>
      </c>
      <c r="C167" s="1294" t="s">
        <v>1698</v>
      </c>
      <c r="D167" s="1289">
        <f>(CIG!D199+CIG!E199+CIG!G199)/3</f>
        <v>532.005</v>
      </c>
      <c r="E167" s="1290" t="s">
        <v>1424</v>
      </c>
      <c r="F167" s="1290" t="s">
        <v>1425</v>
      </c>
    </row>
    <row r="168" spans="2:6" s="892" customFormat="1" x14ac:dyDescent="0.25">
      <c r="B168" s="855">
        <f t="shared" si="25"/>
        <v>158</v>
      </c>
      <c r="C168" s="1294" t="s">
        <v>1699</v>
      </c>
      <c r="D168" s="1289">
        <f>(CIG!D200+CIG!E200+CIG!G200)/3</f>
        <v>1888.3050000000001</v>
      </c>
      <c r="E168" s="1290" t="s">
        <v>1424</v>
      </c>
      <c r="F168" s="1290" t="s">
        <v>1425</v>
      </c>
    </row>
    <row r="169" spans="2:6" s="892" customFormat="1" x14ac:dyDescent="0.25">
      <c r="B169" s="855">
        <f t="shared" si="25"/>
        <v>159</v>
      </c>
      <c r="C169" s="1294" t="s">
        <v>1700</v>
      </c>
      <c r="D169" s="1289">
        <f>(CIG!D201+CIG!E201+CIG!G201)/3</f>
        <v>879.67500000000007</v>
      </c>
      <c r="E169" s="1290" t="s">
        <v>1424</v>
      </c>
      <c r="F169" s="1290" t="s">
        <v>1425</v>
      </c>
    </row>
    <row r="170" spans="2:6" s="892" customFormat="1" x14ac:dyDescent="0.25">
      <c r="B170" s="855">
        <f t="shared" si="25"/>
        <v>160</v>
      </c>
      <c r="C170" s="1294" t="s">
        <v>1701</v>
      </c>
      <c r="D170" s="1289">
        <f>(CIG!D202+CIG!E202+CIG!G202)/3</f>
        <v>1248.3933333333334</v>
      </c>
      <c r="E170" s="1290" t="s">
        <v>1424</v>
      </c>
      <c r="F170" s="1290" t="s">
        <v>1425</v>
      </c>
    </row>
    <row r="171" spans="2:6" s="892" customFormat="1" x14ac:dyDescent="0.25">
      <c r="B171" s="855">
        <f t="shared" si="25"/>
        <v>161</v>
      </c>
      <c r="C171" s="1294" t="s">
        <v>1702</v>
      </c>
      <c r="D171" s="1289">
        <f>(CIG!D203+CIG!E203+CIG!G203)/3</f>
        <v>1.4249999999999998</v>
      </c>
      <c r="E171" s="1290" t="s">
        <v>1424</v>
      </c>
      <c r="F171" s="1290" t="s">
        <v>1425</v>
      </c>
    </row>
    <row r="172" spans="2:6" s="892" customFormat="1" x14ac:dyDescent="0.25">
      <c r="B172" s="855">
        <f t="shared" si="25"/>
        <v>162</v>
      </c>
      <c r="C172" s="1294" t="s">
        <v>1703</v>
      </c>
      <c r="D172" s="1289">
        <f>(CIG!D204+CIG!E204+CIG!G204)/3</f>
        <v>190.95833333333334</v>
      </c>
      <c r="E172" s="1290" t="s">
        <v>1424</v>
      </c>
      <c r="F172" s="1290" t="s">
        <v>1425</v>
      </c>
    </row>
    <row r="173" spans="2:6" s="892" customFormat="1" x14ac:dyDescent="0.25">
      <c r="B173" s="855">
        <f t="shared" si="25"/>
        <v>163</v>
      </c>
      <c r="C173" s="1294" t="s">
        <v>1704</v>
      </c>
      <c r="D173" s="1289">
        <f>(CIG!D205+CIG!E205+CIG!G205)/3</f>
        <v>6.5366666666666662</v>
      </c>
      <c r="E173" s="1290" t="s">
        <v>1424</v>
      </c>
      <c r="F173" s="1290" t="s">
        <v>1425</v>
      </c>
    </row>
    <row r="174" spans="2:6" s="892" customFormat="1" x14ac:dyDescent="0.25">
      <c r="B174" s="855">
        <f t="shared" si="25"/>
        <v>164</v>
      </c>
      <c r="C174" s="1294" t="s">
        <v>1705</v>
      </c>
      <c r="D174" s="1289">
        <f>(CIG!D206+CIG!E206+CIG!G206)/3</f>
        <v>4554.0250000000005</v>
      </c>
      <c r="E174" s="1290" t="s">
        <v>1424</v>
      </c>
      <c r="F174" s="1290" t="s">
        <v>1425</v>
      </c>
    </row>
    <row r="175" spans="2:6" s="892" customFormat="1" x14ac:dyDescent="0.25">
      <c r="B175" s="855">
        <f t="shared" si="25"/>
        <v>165</v>
      </c>
      <c r="C175" s="1294" t="s">
        <v>1706</v>
      </c>
      <c r="D175" s="1289">
        <f>(CIG!D207+CIG!E207+CIG!G207)/3</f>
        <v>0</v>
      </c>
      <c r="E175" s="1290" t="s">
        <v>1424</v>
      </c>
      <c r="F175" s="1290" t="s">
        <v>1425</v>
      </c>
    </row>
    <row r="176" spans="2:6" s="892" customFormat="1" x14ac:dyDescent="0.25">
      <c r="B176" s="855">
        <f t="shared" si="25"/>
        <v>166</v>
      </c>
      <c r="C176" s="1294" t="s">
        <v>1707</v>
      </c>
      <c r="D176" s="1289">
        <f>(CIG!D208+CIG!E208+CIG!G208)/3+1</f>
        <v>1</v>
      </c>
      <c r="E176" s="1290" t="s">
        <v>1424</v>
      </c>
      <c r="F176" s="1290" t="s">
        <v>1425</v>
      </c>
    </row>
    <row r="177" spans="2:6" s="892" customFormat="1" x14ac:dyDescent="0.25">
      <c r="B177" s="855">
        <f t="shared" si="25"/>
        <v>167</v>
      </c>
      <c r="C177" s="1294" t="s">
        <v>1708</v>
      </c>
      <c r="D177" s="1289">
        <f>(CIG!D209+CIG!E209+CIG!G209)/3</f>
        <v>23.438333333333333</v>
      </c>
      <c r="E177" s="1290" t="s">
        <v>1424</v>
      </c>
      <c r="F177" s="1290" t="s">
        <v>1425</v>
      </c>
    </row>
    <row r="178" spans="2:6" s="892" customFormat="1" x14ac:dyDescent="0.25">
      <c r="B178" s="855">
        <f t="shared" si="25"/>
        <v>168</v>
      </c>
      <c r="C178" s="1296" t="s">
        <v>1709</v>
      </c>
      <c r="D178" s="1289">
        <f>(CIG!D210+CIG!E210+CIG!G210)/3</f>
        <v>385.51333333333332</v>
      </c>
      <c r="E178" s="1290" t="s">
        <v>1424</v>
      </c>
      <c r="F178" s="1290" t="s">
        <v>1425</v>
      </c>
    </row>
    <row r="179" spans="2:6" s="892" customFormat="1" x14ac:dyDescent="0.25">
      <c r="B179" s="855">
        <f t="shared" si="25"/>
        <v>169</v>
      </c>
      <c r="C179" s="1294" t="s">
        <v>1710</v>
      </c>
      <c r="D179" s="1289">
        <f>(CIG!D211+CIG!E211+CIG!G211)/3</f>
        <v>1355.9233333333332</v>
      </c>
      <c r="E179" s="1290" t="s">
        <v>1424</v>
      </c>
      <c r="F179" s="1290" t="s">
        <v>1425</v>
      </c>
    </row>
    <row r="180" spans="2:6" s="892" customFormat="1" x14ac:dyDescent="0.25">
      <c r="B180" s="855">
        <f t="shared" si="25"/>
        <v>170</v>
      </c>
      <c r="C180" s="866" t="s">
        <v>1714</v>
      </c>
      <c r="D180" s="1289">
        <f>(CIG!D212+CIG!E212+CIG!G212)/3</f>
        <v>39508.474999999999</v>
      </c>
      <c r="E180" s="1290" t="s">
        <v>1424</v>
      </c>
      <c r="F180" s="1290" t="s">
        <v>1425</v>
      </c>
    </row>
    <row r="181" spans="2:6" s="892" customFormat="1" x14ac:dyDescent="0.25">
      <c r="B181" s="855">
        <f t="shared" si="25"/>
        <v>171</v>
      </c>
      <c r="C181" s="1292" t="s">
        <v>1715</v>
      </c>
      <c r="D181" s="1289">
        <f>(CIG!D213+CIG!E213+CIG!G213)/3+1</f>
        <v>1</v>
      </c>
      <c r="E181" s="1290" t="s">
        <v>1424</v>
      </c>
      <c r="F181" s="1290" t="s">
        <v>1425</v>
      </c>
    </row>
    <row r="182" spans="2:6" x14ac:dyDescent="0.25">
      <c r="B182" s="855">
        <f t="shared" si="25"/>
        <v>172</v>
      </c>
      <c r="C182" s="866" t="s">
        <v>1433</v>
      </c>
      <c r="D182" s="1289">
        <f>(CIG!D214+CIG!E214+CIG!G214)/3</f>
        <v>29464.7</v>
      </c>
      <c r="E182" s="1290" t="s">
        <v>1424</v>
      </c>
      <c r="F182" s="1290" t="s">
        <v>1425</v>
      </c>
    </row>
    <row r="183" spans="2:6" x14ac:dyDescent="0.25">
      <c r="B183" s="855">
        <f t="shared" si="25"/>
        <v>173</v>
      </c>
      <c r="C183" s="866" t="s">
        <v>1434</v>
      </c>
      <c r="D183" s="1289">
        <f>(CIG!D215+CIG!E215+CIG!G215)/3+1</f>
        <v>1</v>
      </c>
      <c r="E183" s="1290" t="s">
        <v>1424</v>
      </c>
      <c r="F183" s="1290" t="s">
        <v>1425</v>
      </c>
    </row>
    <row r="184" spans="2:6" s="892" customFormat="1" x14ac:dyDescent="0.25">
      <c r="B184" s="855">
        <f t="shared" si="25"/>
        <v>174</v>
      </c>
      <c r="C184" s="866" t="s">
        <v>1435</v>
      </c>
      <c r="D184" s="1289">
        <f>(CIG!D216+CIG!E216+CIG!G216)/3+1</f>
        <v>1</v>
      </c>
      <c r="E184" s="1290" t="s">
        <v>1424</v>
      </c>
      <c r="F184" s="1290" t="s">
        <v>1425</v>
      </c>
    </row>
    <row r="185" spans="2:6" s="892" customFormat="1" x14ac:dyDescent="0.25">
      <c r="B185" s="855">
        <f t="shared" si="25"/>
        <v>175</v>
      </c>
      <c r="C185" s="866" t="s">
        <v>1436</v>
      </c>
      <c r="D185" s="1289">
        <f>(CIG!D217+CIG!E217+CIG!G217)/3+1</f>
        <v>1</v>
      </c>
      <c r="E185" s="1290" t="s">
        <v>1424</v>
      </c>
      <c r="F185" s="1290" t="s">
        <v>1425</v>
      </c>
    </row>
    <row r="186" spans="2:6" s="892" customFormat="1" x14ac:dyDescent="0.25">
      <c r="B186" s="855">
        <f t="shared" si="25"/>
        <v>176</v>
      </c>
      <c r="C186" s="855" t="s">
        <v>1437</v>
      </c>
      <c r="D186" s="864">
        <f>(CIG!D218+CIG!E218+CIG!G218)/3+1</f>
        <v>1</v>
      </c>
      <c r="E186" s="858" t="s">
        <v>1424</v>
      </c>
      <c r="F186" s="858" t="s">
        <v>1425</v>
      </c>
    </row>
    <row r="187" spans="2:6" s="892" customFormat="1" x14ac:dyDescent="0.25">
      <c r="B187" s="855">
        <f t="shared" si="25"/>
        <v>177</v>
      </c>
      <c r="C187" s="855" t="s">
        <v>1716</v>
      </c>
      <c r="D187" s="864">
        <f>(CIG!D219+CIG!E219+CIG!G219)/3+1</f>
        <v>1</v>
      </c>
      <c r="E187" s="858" t="s">
        <v>1424</v>
      </c>
      <c r="F187" s="858" t="s">
        <v>1425</v>
      </c>
    </row>
    <row r="188" spans="2:6" s="892" customFormat="1" x14ac:dyDescent="0.25">
      <c r="B188" s="855">
        <f t="shared" si="25"/>
        <v>178</v>
      </c>
      <c r="C188" s="855" t="s">
        <v>1717</v>
      </c>
      <c r="D188" s="864">
        <f>(CIG!D220+CIG!E220+CIG!G220)/3+1</f>
        <v>1</v>
      </c>
      <c r="E188" s="858" t="s">
        <v>1424</v>
      </c>
      <c r="F188" s="858" t="s">
        <v>1425</v>
      </c>
    </row>
    <row r="189" spans="2:6" s="892" customFormat="1" x14ac:dyDescent="0.25">
      <c r="B189" s="855">
        <f t="shared" si="25"/>
        <v>179</v>
      </c>
      <c r="C189" s="855" t="s">
        <v>1718</v>
      </c>
      <c r="D189" s="864">
        <f>(CIG!D221+CIG!E221+CIG!G221)/3+1</f>
        <v>1</v>
      </c>
      <c r="E189" s="858" t="s">
        <v>1424</v>
      </c>
      <c r="F189" s="858" t="s">
        <v>1425</v>
      </c>
    </row>
    <row r="190" spans="2:6" s="892" customFormat="1" x14ac:dyDescent="0.25">
      <c r="B190" s="855">
        <f t="shared" si="25"/>
        <v>180</v>
      </c>
      <c r="C190" s="855" t="s">
        <v>1719</v>
      </c>
      <c r="D190" s="864">
        <f>(CIG!D222+CIG!E222+CIG!G222)/3+1</f>
        <v>1</v>
      </c>
      <c r="E190" s="858" t="s">
        <v>1424</v>
      </c>
      <c r="F190" s="858" t="s">
        <v>1425</v>
      </c>
    </row>
    <row r="191" spans="2:6" s="892" customFormat="1" x14ac:dyDescent="0.25">
      <c r="B191" s="855">
        <f t="shared" si="25"/>
        <v>181</v>
      </c>
      <c r="C191" s="855" t="s">
        <v>1720</v>
      </c>
      <c r="D191" s="864">
        <f>(CIG!D223+CIG!E223+CIG!G223)/3+1</f>
        <v>1</v>
      </c>
      <c r="E191" s="858" t="s">
        <v>1424</v>
      </c>
      <c r="F191" s="858" t="s">
        <v>1425</v>
      </c>
    </row>
    <row r="192" spans="2:6" s="892" customFormat="1" x14ac:dyDescent="0.25">
      <c r="B192" s="855">
        <f t="shared" si="25"/>
        <v>182</v>
      </c>
      <c r="C192" s="855" t="s">
        <v>1721</v>
      </c>
      <c r="D192" s="864">
        <f>(CIG!D224+CIG!E224+CIG!G224)/3+1</f>
        <v>1</v>
      </c>
      <c r="E192" s="858" t="s">
        <v>1424</v>
      </c>
      <c r="F192" s="858" t="s">
        <v>1425</v>
      </c>
    </row>
    <row r="193" spans="2:6" x14ac:dyDescent="0.25">
      <c r="B193" s="855">
        <f t="shared" si="25"/>
        <v>183</v>
      </c>
      <c r="C193" s="855" t="s">
        <v>1722</v>
      </c>
      <c r="D193" s="864">
        <f>(CIG!D225+CIG!E225+CIG!G225)/3+1</f>
        <v>1</v>
      </c>
      <c r="E193" s="858" t="s">
        <v>1424</v>
      </c>
      <c r="F193" s="858" t="s">
        <v>1425</v>
      </c>
    </row>
    <row r="194" spans="2:6" x14ac:dyDescent="0.25">
      <c r="B194" s="855">
        <f t="shared" si="25"/>
        <v>184</v>
      </c>
      <c r="C194" s="855" t="s">
        <v>1438</v>
      </c>
      <c r="D194" s="864">
        <f>(CIG!D226+CIG!E226+CIG!G226)/3+1</f>
        <v>1</v>
      </c>
      <c r="E194" s="858" t="s">
        <v>1424</v>
      </c>
      <c r="F194" s="858" t="s">
        <v>1425</v>
      </c>
    </row>
    <row r="195" spans="2:6" x14ac:dyDescent="0.25">
      <c r="B195" s="855">
        <f t="shared" si="25"/>
        <v>185</v>
      </c>
      <c r="C195" s="855" t="s">
        <v>1439</v>
      </c>
      <c r="D195" s="864">
        <f>(CIG!D227+CIG!E227+CIG!G227)/3+1</f>
        <v>1</v>
      </c>
      <c r="E195" s="858" t="s">
        <v>1424</v>
      </c>
      <c r="F195" s="858" t="s">
        <v>1425</v>
      </c>
    </row>
    <row r="196" spans="2:6" x14ac:dyDescent="0.25">
      <c r="B196" s="855">
        <f t="shared" si="25"/>
        <v>186</v>
      </c>
      <c r="C196" s="855" t="s">
        <v>1440</v>
      </c>
      <c r="D196" s="864">
        <f>(CIG!D228+CIG!E228+CIG!G228)/3+1</f>
        <v>1</v>
      </c>
      <c r="E196" s="858" t="s">
        <v>1424</v>
      </c>
      <c r="F196" s="858" t="s">
        <v>1425</v>
      </c>
    </row>
    <row r="197" spans="2:6" x14ac:dyDescent="0.25">
      <c r="B197" s="855">
        <f t="shared" si="25"/>
        <v>187</v>
      </c>
      <c r="C197" s="855" t="s">
        <v>1441</v>
      </c>
      <c r="D197" s="864">
        <f>(CIG!D229+CIG!E229+CIG!G229)/3+1</f>
        <v>1</v>
      </c>
      <c r="E197" s="858" t="s">
        <v>1424</v>
      </c>
      <c r="F197" s="858" t="s">
        <v>1425</v>
      </c>
    </row>
    <row r="198" spans="2:6" x14ac:dyDescent="0.25">
      <c r="B198" s="855">
        <f t="shared" si="25"/>
        <v>188</v>
      </c>
      <c r="C198" s="855" t="s">
        <v>1442</v>
      </c>
      <c r="D198" s="864">
        <f>(CIG!D230+CIG!E230+CIG!G230)/3</f>
        <v>26519.960000000003</v>
      </c>
      <c r="E198" s="858" t="s">
        <v>1424</v>
      </c>
      <c r="F198" s="858" t="s">
        <v>1425</v>
      </c>
    </row>
    <row r="199" spans="2:6" x14ac:dyDescent="0.25">
      <c r="B199" s="855">
        <f t="shared" si="25"/>
        <v>189</v>
      </c>
      <c r="C199" s="855" t="s">
        <v>1443</v>
      </c>
      <c r="D199" s="864">
        <f>(CIG!D231+CIG!E231+CIG!G231)/3</f>
        <v>48518.404999999999</v>
      </c>
      <c r="E199" s="858" t="s">
        <v>1424</v>
      </c>
      <c r="F199" s="858" t="s">
        <v>1425</v>
      </c>
    </row>
    <row r="200" spans="2:6" x14ac:dyDescent="0.25">
      <c r="B200" s="855">
        <f t="shared" si="25"/>
        <v>190</v>
      </c>
      <c r="C200" s="855" t="s">
        <v>1444</v>
      </c>
      <c r="D200" s="864">
        <f>(CIG!D232+CIG!E232+CIG!G232)/3</f>
        <v>96</v>
      </c>
      <c r="E200" s="858" t="s">
        <v>1424</v>
      </c>
      <c r="F200" s="858" t="s">
        <v>1425</v>
      </c>
    </row>
    <row r="201" spans="2:6" x14ac:dyDescent="0.25">
      <c r="B201" s="855">
        <f t="shared" si="25"/>
        <v>191</v>
      </c>
      <c r="C201" s="855" t="s">
        <v>1445</v>
      </c>
      <c r="D201" s="864">
        <f>(CIG!D233+CIG!E233+CIG!G233)/3+1</f>
        <v>1</v>
      </c>
      <c r="E201" s="858" t="s">
        <v>1424</v>
      </c>
      <c r="F201" s="858" t="s">
        <v>1425</v>
      </c>
    </row>
    <row r="202" spans="2:6" x14ac:dyDescent="0.25">
      <c r="B202" s="855">
        <f t="shared" si="25"/>
        <v>192</v>
      </c>
      <c r="C202" s="855" t="s">
        <v>1446</v>
      </c>
      <c r="D202" s="864">
        <f>(CIG!D234+CIG!E234+CIG!G234)/3</f>
        <v>34.416666666666664</v>
      </c>
      <c r="E202" s="858" t="s">
        <v>1424</v>
      </c>
      <c r="F202" s="858" t="s">
        <v>1425</v>
      </c>
    </row>
    <row r="203" spans="2:6" x14ac:dyDescent="0.25">
      <c r="B203" s="855">
        <f t="shared" si="25"/>
        <v>193</v>
      </c>
      <c r="C203" s="855" t="s">
        <v>1447</v>
      </c>
      <c r="D203" s="864">
        <f>(CIG!D235+CIG!E235+CIG!G235)/3</f>
        <v>1462.5</v>
      </c>
      <c r="E203" s="858" t="s">
        <v>1424</v>
      </c>
      <c r="F203" s="858" t="s">
        <v>1425</v>
      </c>
    </row>
    <row r="204" spans="2:6" x14ac:dyDescent="0.25">
      <c r="B204" s="855">
        <f t="shared" si="25"/>
        <v>194</v>
      </c>
      <c r="C204" s="855" t="s">
        <v>1448</v>
      </c>
      <c r="D204" s="864">
        <f>(CIG!D236+CIG!E236+CIG!G236)/3</f>
        <v>291.86666666666667</v>
      </c>
      <c r="E204" s="858" t="s">
        <v>1424</v>
      </c>
      <c r="F204" s="858" t="s">
        <v>1425</v>
      </c>
    </row>
    <row r="205" spans="2:6" x14ac:dyDescent="0.25">
      <c r="B205" s="855">
        <f t="shared" si="25"/>
        <v>195</v>
      </c>
      <c r="C205" s="855" t="s">
        <v>1449</v>
      </c>
      <c r="D205" s="864">
        <f>(CIG!D237+CIG!E237+CIG!G237)/3</f>
        <v>344.93333333333334</v>
      </c>
      <c r="E205" s="858" t="s">
        <v>1424</v>
      </c>
      <c r="F205" s="858" t="s">
        <v>1425</v>
      </c>
    </row>
    <row r="206" spans="2:6" x14ac:dyDescent="0.25">
      <c r="B206" s="855">
        <f t="shared" si="25"/>
        <v>196</v>
      </c>
      <c r="C206" s="855" t="s">
        <v>1450</v>
      </c>
      <c r="D206" s="864">
        <f>(CIG!D238+CIG!E238+CIG!G238)/3</f>
        <v>577.63</v>
      </c>
      <c r="E206" s="858" t="s">
        <v>1424</v>
      </c>
      <c r="F206" s="858" t="s">
        <v>1425</v>
      </c>
    </row>
    <row r="207" spans="2:6" x14ac:dyDescent="0.25">
      <c r="B207" s="855">
        <f t="shared" si="25"/>
        <v>197</v>
      </c>
      <c r="C207" s="855" t="s">
        <v>1451</v>
      </c>
      <c r="D207" s="864">
        <f>(CIG!D239+CIG!E239+CIG!G239)/3+1</f>
        <v>89.40000000000002</v>
      </c>
      <c r="E207" s="858" t="s">
        <v>1424</v>
      </c>
      <c r="F207" s="858" t="s">
        <v>1425</v>
      </c>
    </row>
    <row r="208" spans="2:6" x14ac:dyDescent="0.25">
      <c r="B208" s="855">
        <f t="shared" si="25"/>
        <v>198</v>
      </c>
      <c r="C208" s="855" t="s">
        <v>1452</v>
      </c>
      <c r="D208" s="864">
        <f>(CIG!D240+CIG!E240+CIG!G240)/3</f>
        <v>53.066666666666663</v>
      </c>
      <c r="E208" s="858" t="s">
        <v>1424</v>
      </c>
      <c r="F208" s="858" t="s">
        <v>1425</v>
      </c>
    </row>
    <row r="209" spans="2:6" x14ac:dyDescent="0.25">
      <c r="B209" s="855">
        <f t="shared" si="25"/>
        <v>199</v>
      </c>
      <c r="C209" s="870" t="s">
        <v>1453</v>
      </c>
      <c r="D209" s="864">
        <f>(CIG!D241+CIG!E241+CIG!G241)/3+1</f>
        <v>1</v>
      </c>
      <c r="E209" s="858" t="s">
        <v>1424</v>
      </c>
      <c r="F209" s="858" t="s">
        <v>1425</v>
      </c>
    </row>
    <row r="210" spans="2:6" x14ac:dyDescent="0.25">
      <c r="B210" s="855">
        <f t="shared" si="25"/>
        <v>200</v>
      </c>
      <c r="C210" s="870" t="s">
        <v>1454</v>
      </c>
      <c r="D210" s="864">
        <f>(CIG!D242+CIG!E242+CIG!G242)/3+1</f>
        <v>1</v>
      </c>
      <c r="E210" s="858" t="s">
        <v>1424</v>
      </c>
      <c r="F210" s="858" t="s">
        <v>1425</v>
      </c>
    </row>
    <row r="211" spans="2:6" x14ac:dyDescent="0.25">
      <c r="B211" s="855">
        <f t="shared" si="25"/>
        <v>201</v>
      </c>
      <c r="C211" s="870" t="s">
        <v>1455</v>
      </c>
      <c r="D211" s="864">
        <f>(CIG!D243+CIG!E243+CIG!G243)/3+1</f>
        <v>1</v>
      </c>
      <c r="E211" s="858" t="s">
        <v>1424</v>
      </c>
      <c r="F211" s="858" t="s">
        <v>1425</v>
      </c>
    </row>
    <row r="212" spans="2:6" x14ac:dyDescent="0.25">
      <c r="B212" s="855">
        <f t="shared" si="25"/>
        <v>202</v>
      </c>
      <c r="C212" s="870" t="s">
        <v>1456</v>
      </c>
      <c r="D212" s="864">
        <f>(CIG!D244+CIG!E244+CIG!G244)/3</f>
        <v>2409.3333333333335</v>
      </c>
      <c r="E212" s="858" t="s">
        <v>1424</v>
      </c>
      <c r="F212" s="858" t="s">
        <v>1425</v>
      </c>
    </row>
    <row r="213" spans="2:6" x14ac:dyDescent="0.25">
      <c r="B213" s="855">
        <f t="shared" si="25"/>
        <v>203</v>
      </c>
      <c r="C213" s="870" t="s">
        <v>1457</v>
      </c>
      <c r="D213" s="864">
        <f>(CIG!D245+CIG!E245+CIG!G245)/3</f>
        <v>3441.6666666666665</v>
      </c>
      <c r="E213" s="858" t="s">
        <v>1424</v>
      </c>
      <c r="F213" s="858" t="s">
        <v>1425</v>
      </c>
    </row>
    <row r="214" spans="2:6" x14ac:dyDescent="0.25">
      <c r="B214" s="855">
        <f t="shared" si="25"/>
        <v>204</v>
      </c>
      <c r="C214" s="870" t="s">
        <v>1458</v>
      </c>
      <c r="D214" s="864">
        <f>(CIG!D246+CIG!E246+CIG!G246)/3</f>
        <v>8649.3666666666668</v>
      </c>
      <c r="E214" s="858" t="s">
        <v>1424</v>
      </c>
      <c r="F214" s="858" t="s">
        <v>1425</v>
      </c>
    </row>
    <row r="215" spans="2:6" x14ac:dyDescent="0.25">
      <c r="B215" s="855">
        <f t="shared" si="25"/>
        <v>205</v>
      </c>
      <c r="C215" s="870" t="s">
        <v>1459</v>
      </c>
      <c r="D215" s="864">
        <f>(CIG!D247+CIG!E247+CIG!G247)/3+1</f>
        <v>1</v>
      </c>
      <c r="E215" s="858" t="s">
        <v>1424</v>
      </c>
      <c r="F215" s="858" t="s">
        <v>1425</v>
      </c>
    </row>
    <row r="216" spans="2:6" x14ac:dyDescent="0.25">
      <c r="B216" s="855">
        <f t="shared" si="25"/>
        <v>206</v>
      </c>
      <c r="C216" s="870" t="s">
        <v>1460</v>
      </c>
      <c r="D216" s="864">
        <f>(CIG!D248+CIG!E248+CIG!G248)/3</f>
        <v>14.448333333333332</v>
      </c>
      <c r="E216" s="858" t="s">
        <v>1424</v>
      </c>
      <c r="F216" s="858" t="s">
        <v>1425</v>
      </c>
    </row>
    <row r="217" spans="2:6" x14ac:dyDescent="0.25">
      <c r="B217" s="855">
        <f t="shared" si="25"/>
        <v>207</v>
      </c>
      <c r="C217" s="870" t="s">
        <v>1461</v>
      </c>
      <c r="D217" s="864">
        <f>(CIG!D249+CIG!E249+CIG!G249)/3+1</f>
        <v>29.415000000000003</v>
      </c>
      <c r="E217" s="858" t="s">
        <v>1424</v>
      </c>
      <c r="F217" s="858" t="s">
        <v>1425</v>
      </c>
    </row>
    <row r="218" spans="2:6" x14ac:dyDescent="0.25">
      <c r="B218" s="855">
        <f t="shared" si="25"/>
        <v>208</v>
      </c>
      <c r="C218" s="870" t="s">
        <v>1462</v>
      </c>
      <c r="D218" s="864">
        <f>(CIG!D250+CIG!E250+CIG!G250)/3+1</f>
        <v>2.59</v>
      </c>
      <c r="E218" s="858" t="s">
        <v>1424</v>
      </c>
      <c r="F218" s="858" t="s">
        <v>1425</v>
      </c>
    </row>
    <row r="219" spans="2:6" x14ac:dyDescent="0.25">
      <c r="B219" s="855">
        <f t="shared" si="25"/>
        <v>209</v>
      </c>
      <c r="C219" s="870" t="s">
        <v>1463</v>
      </c>
      <c r="D219" s="864">
        <f>(CIG!D251+CIG!E251+CIG!G251)/3+1</f>
        <v>1</v>
      </c>
      <c r="E219" s="858" t="s">
        <v>1424</v>
      </c>
      <c r="F219" s="858" t="s">
        <v>1425</v>
      </c>
    </row>
    <row r="220" spans="2:6" x14ac:dyDescent="0.25">
      <c r="B220" s="855">
        <f t="shared" ref="B220:B283" si="26">B219+1</f>
        <v>210</v>
      </c>
      <c r="C220" s="870" t="s">
        <v>1464</v>
      </c>
      <c r="D220" s="864">
        <f>(CIG!D252+CIG!E252+CIG!G252)/3+1</f>
        <v>1</v>
      </c>
      <c r="E220" s="858" t="s">
        <v>1424</v>
      </c>
      <c r="F220" s="858" t="s">
        <v>1425</v>
      </c>
    </row>
    <row r="221" spans="2:6" x14ac:dyDescent="0.25">
      <c r="B221" s="855">
        <f t="shared" si="26"/>
        <v>211</v>
      </c>
      <c r="C221" s="870" t="s">
        <v>1465</v>
      </c>
      <c r="D221" s="864">
        <f>(CIG!D253+CIG!E253+CIG!G253)/3+1</f>
        <v>1</v>
      </c>
      <c r="E221" s="858" t="s">
        <v>1424</v>
      </c>
      <c r="F221" s="858" t="s">
        <v>1425</v>
      </c>
    </row>
    <row r="222" spans="2:6" x14ac:dyDescent="0.25">
      <c r="B222" s="855">
        <f t="shared" si="26"/>
        <v>212</v>
      </c>
      <c r="C222" s="870" t="s">
        <v>1466</v>
      </c>
      <c r="D222" s="864">
        <f>(CIG!D254+CIG!E254+CIG!G254)/3+1</f>
        <v>1</v>
      </c>
      <c r="E222" s="858" t="s">
        <v>1424</v>
      </c>
      <c r="F222" s="858" t="s">
        <v>1425</v>
      </c>
    </row>
    <row r="223" spans="2:6" x14ac:dyDescent="0.25">
      <c r="B223" s="855">
        <f t="shared" si="26"/>
        <v>213</v>
      </c>
      <c r="C223" s="870" t="s">
        <v>1467</v>
      </c>
      <c r="D223" s="864">
        <f>(CIG!D255+CIG!E255+CIG!G255)/3+1</f>
        <v>1</v>
      </c>
      <c r="E223" s="858" t="s">
        <v>1424</v>
      </c>
      <c r="F223" s="858" t="s">
        <v>1425</v>
      </c>
    </row>
    <row r="224" spans="2:6" x14ac:dyDescent="0.25">
      <c r="B224" s="855">
        <f t="shared" si="26"/>
        <v>214</v>
      </c>
      <c r="C224" s="870" t="s">
        <v>1468</v>
      </c>
      <c r="D224" s="864">
        <f>(CIG!D256+CIG!E256+CIG!G256)/3+1</f>
        <v>1</v>
      </c>
      <c r="E224" s="858" t="s">
        <v>1424</v>
      </c>
      <c r="F224" s="858" t="s">
        <v>1425</v>
      </c>
    </row>
    <row r="225" spans="2:6" x14ac:dyDescent="0.25">
      <c r="B225" s="855">
        <f t="shared" si="26"/>
        <v>215</v>
      </c>
      <c r="C225" s="870" t="s">
        <v>1469</v>
      </c>
      <c r="D225" s="864">
        <f>(CIG!D257+CIG!E257+CIG!G257)/3+1</f>
        <v>1</v>
      </c>
      <c r="E225" s="858" t="s">
        <v>1424</v>
      </c>
      <c r="F225" s="858" t="s">
        <v>1425</v>
      </c>
    </row>
    <row r="226" spans="2:6" x14ac:dyDescent="0.25">
      <c r="B226" s="855">
        <f t="shared" si="26"/>
        <v>216</v>
      </c>
      <c r="C226" s="870" t="s">
        <v>1470</v>
      </c>
      <c r="D226" s="864">
        <f>(CIG!D258+CIG!E258+CIG!G258)/3+1</f>
        <v>1</v>
      </c>
      <c r="E226" s="858" t="s">
        <v>1424</v>
      </c>
      <c r="F226" s="858" t="s">
        <v>1425</v>
      </c>
    </row>
    <row r="227" spans="2:6" x14ac:dyDescent="0.25">
      <c r="B227" s="855">
        <f t="shared" si="26"/>
        <v>217</v>
      </c>
      <c r="C227" s="870" t="s">
        <v>1471</v>
      </c>
      <c r="D227" s="864">
        <f>(CIG!D259+CIG!E259+CIG!G259)/3+1</f>
        <v>1</v>
      </c>
      <c r="E227" s="858" t="s">
        <v>1424</v>
      </c>
      <c r="F227" s="858" t="s">
        <v>1425</v>
      </c>
    </row>
    <row r="228" spans="2:6" x14ac:dyDescent="0.25">
      <c r="B228" s="855">
        <f t="shared" si="26"/>
        <v>218</v>
      </c>
      <c r="C228" s="870" t="s">
        <v>1723</v>
      </c>
      <c r="D228" s="864">
        <f>(CIG!D260+CIG!E260+CIG!G260)/3+1</f>
        <v>1</v>
      </c>
      <c r="E228" s="858" t="s">
        <v>1424</v>
      </c>
      <c r="F228" s="858" t="s">
        <v>1425</v>
      </c>
    </row>
    <row r="229" spans="2:6" x14ac:dyDescent="0.25">
      <c r="B229" s="855">
        <f t="shared" si="26"/>
        <v>219</v>
      </c>
      <c r="C229" s="870" t="s">
        <v>1472</v>
      </c>
      <c r="D229" s="864">
        <f>(CIG!D261+CIG!E261+CIG!G261)/3+1</f>
        <v>1</v>
      </c>
      <c r="E229" s="858" t="s">
        <v>1424</v>
      </c>
      <c r="F229" s="858" t="s">
        <v>1425</v>
      </c>
    </row>
    <row r="230" spans="2:6" x14ac:dyDescent="0.25">
      <c r="B230" s="855">
        <f t="shared" si="26"/>
        <v>220</v>
      </c>
      <c r="C230" s="870" t="s">
        <v>1473</v>
      </c>
      <c r="D230" s="864">
        <f>(CIG!D262+CIG!E262+CIG!G262)/3+1</f>
        <v>1</v>
      </c>
      <c r="E230" s="858" t="s">
        <v>1424</v>
      </c>
      <c r="F230" s="858" t="s">
        <v>1425</v>
      </c>
    </row>
    <row r="231" spans="2:6" x14ac:dyDescent="0.25">
      <c r="B231" s="855">
        <f t="shared" si="26"/>
        <v>221</v>
      </c>
      <c r="C231" s="870" t="s">
        <v>1474</v>
      </c>
      <c r="D231" s="864">
        <f>(CIG!D263+CIG!E263+CIG!G263)/3+1</f>
        <v>1</v>
      </c>
      <c r="E231" s="858" t="s">
        <v>1424</v>
      </c>
      <c r="F231" s="858" t="s">
        <v>1425</v>
      </c>
    </row>
    <row r="232" spans="2:6" x14ac:dyDescent="0.25">
      <c r="B232" s="855">
        <f t="shared" si="26"/>
        <v>222</v>
      </c>
      <c r="C232" s="870" t="s">
        <v>911</v>
      </c>
      <c r="D232" s="864">
        <f>(CIG!D264+CIG!E264+CIG!G264)/3+1</f>
        <v>1</v>
      </c>
      <c r="E232" s="858" t="s">
        <v>1424</v>
      </c>
      <c r="F232" s="858" t="s">
        <v>1425</v>
      </c>
    </row>
    <row r="233" spans="2:6" x14ac:dyDescent="0.25">
      <c r="B233" s="855">
        <f t="shared" si="26"/>
        <v>223</v>
      </c>
      <c r="C233" s="870" t="s">
        <v>913</v>
      </c>
      <c r="D233" s="864">
        <f>(CIG!D265+CIG!E265+CIG!G265)/3</f>
        <v>70.75</v>
      </c>
      <c r="E233" s="858" t="s">
        <v>1424</v>
      </c>
      <c r="F233" s="858" t="s">
        <v>1425</v>
      </c>
    </row>
    <row r="234" spans="2:6" x14ac:dyDescent="0.25">
      <c r="B234" s="855">
        <f t="shared" si="26"/>
        <v>224</v>
      </c>
      <c r="C234" s="870" t="s">
        <v>915</v>
      </c>
      <c r="D234" s="864">
        <f>(CIG!D266+CIG!E266+CIG!G266)/3+1</f>
        <v>3.3849999999999998</v>
      </c>
      <c r="E234" s="858" t="s">
        <v>1424</v>
      </c>
      <c r="F234" s="858" t="s">
        <v>1425</v>
      </c>
    </row>
    <row r="235" spans="2:6" x14ac:dyDescent="0.25">
      <c r="B235" s="855">
        <f t="shared" si="26"/>
        <v>225</v>
      </c>
      <c r="C235" s="870" t="s">
        <v>917</v>
      </c>
      <c r="D235" s="864">
        <f>(CIG!D267+CIG!E267+CIG!G267)/3+1</f>
        <v>1</v>
      </c>
      <c r="E235" s="858" t="s">
        <v>1424</v>
      </c>
      <c r="F235" s="858" t="s">
        <v>1425</v>
      </c>
    </row>
    <row r="236" spans="2:6" x14ac:dyDescent="0.25">
      <c r="B236" s="855">
        <f t="shared" si="26"/>
        <v>226</v>
      </c>
      <c r="C236" s="870" t="s">
        <v>919</v>
      </c>
      <c r="D236" s="864">
        <f>(CIG!D268+CIG!E268+CIG!G268)/3+1</f>
        <v>1</v>
      </c>
      <c r="E236" s="858" t="s">
        <v>1424</v>
      </c>
      <c r="F236" s="858" t="s">
        <v>1425</v>
      </c>
    </row>
    <row r="237" spans="2:6" x14ac:dyDescent="0.25">
      <c r="B237" s="855">
        <f t="shared" si="26"/>
        <v>227</v>
      </c>
      <c r="C237" s="870" t="s">
        <v>921</v>
      </c>
      <c r="D237" s="864">
        <f>(CIG!D269+CIG!E269+CIG!G269)/3+1</f>
        <v>1</v>
      </c>
      <c r="E237" s="858" t="s">
        <v>1424</v>
      </c>
      <c r="F237" s="858" t="s">
        <v>1425</v>
      </c>
    </row>
    <row r="238" spans="2:6" x14ac:dyDescent="0.25">
      <c r="B238" s="855">
        <f t="shared" si="26"/>
        <v>228</v>
      </c>
      <c r="C238" s="870" t="s">
        <v>923</v>
      </c>
      <c r="D238" s="864">
        <f>(CIG!D270+CIG!E270+CIG!G270)/3+1</f>
        <v>1</v>
      </c>
      <c r="E238" s="858" t="s">
        <v>1424</v>
      </c>
      <c r="F238" s="858" t="s">
        <v>1425</v>
      </c>
    </row>
    <row r="239" spans="2:6" x14ac:dyDescent="0.25">
      <c r="B239" s="855">
        <f t="shared" si="26"/>
        <v>229</v>
      </c>
      <c r="C239" s="870" t="s">
        <v>1475</v>
      </c>
      <c r="D239" s="864">
        <f>(CIG!D271+CIG!E271+CIG!G271)/3+1</f>
        <v>1</v>
      </c>
      <c r="E239" s="858" t="s">
        <v>1424</v>
      </c>
      <c r="F239" s="858" t="s">
        <v>1425</v>
      </c>
    </row>
    <row r="240" spans="2:6" x14ac:dyDescent="0.25">
      <c r="B240" s="855">
        <f t="shared" si="26"/>
        <v>230</v>
      </c>
      <c r="C240" s="870" t="s">
        <v>1476</v>
      </c>
      <c r="D240" s="864">
        <f>(CIG!D272+CIG!E272+CIG!G272)/3+1</f>
        <v>1</v>
      </c>
      <c r="E240" s="858" t="s">
        <v>1424</v>
      </c>
      <c r="F240" s="858" t="s">
        <v>1425</v>
      </c>
    </row>
    <row r="241" spans="2:6" x14ac:dyDescent="0.25">
      <c r="B241" s="855">
        <f t="shared" si="26"/>
        <v>231</v>
      </c>
      <c r="C241" s="870" t="s">
        <v>1477</v>
      </c>
      <c r="D241" s="864">
        <f>(CIG!D273+CIG!E273+CIG!G273)/3+1</f>
        <v>1</v>
      </c>
      <c r="E241" s="858" t="s">
        <v>1424</v>
      </c>
      <c r="F241" s="858" t="s">
        <v>1425</v>
      </c>
    </row>
    <row r="242" spans="2:6" x14ac:dyDescent="0.25">
      <c r="B242" s="855">
        <f t="shared" si="26"/>
        <v>232</v>
      </c>
      <c r="C242" s="870" t="s">
        <v>931</v>
      </c>
      <c r="D242" s="864">
        <f>(CIG!D274+CIG!E274+CIG!G274)/3+1</f>
        <v>1</v>
      </c>
      <c r="E242" s="858" t="s">
        <v>1424</v>
      </c>
      <c r="F242" s="858" t="s">
        <v>1425</v>
      </c>
    </row>
    <row r="243" spans="2:6" x14ac:dyDescent="0.25">
      <c r="B243" s="855">
        <f t="shared" si="26"/>
        <v>233</v>
      </c>
      <c r="C243" s="870" t="s">
        <v>933</v>
      </c>
      <c r="D243" s="864">
        <f>(CIG!D275+CIG!E275+CIG!G275)/3+1</f>
        <v>1</v>
      </c>
      <c r="E243" s="858" t="s">
        <v>1424</v>
      </c>
      <c r="F243" s="858" t="s">
        <v>1425</v>
      </c>
    </row>
    <row r="244" spans="2:6" x14ac:dyDescent="0.25">
      <c r="B244" s="855">
        <f t="shared" si="26"/>
        <v>234</v>
      </c>
      <c r="C244" s="870" t="s">
        <v>935</v>
      </c>
      <c r="D244" s="864">
        <f>(CIG!D276+CIG!E276+CIG!G276)/3+1</f>
        <v>1</v>
      </c>
      <c r="E244" s="858" t="s">
        <v>1424</v>
      </c>
      <c r="F244" s="858" t="s">
        <v>1425</v>
      </c>
    </row>
    <row r="245" spans="2:6" x14ac:dyDescent="0.25">
      <c r="B245" s="855">
        <f t="shared" si="26"/>
        <v>235</v>
      </c>
      <c r="C245" s="870" t="s">
        <v>1478</v>
      </c>
      <c r="D245" s="864">
        <f>(CIG!D277+CIG!E277+CIG!G277)/3+1</f>
        <v>1</v>
      </c>
      <c r="E245" s="858" t="s">
        <v>1424</v>
      </c>
      <c r="F245" s="858" t="s">
        <v>1425</v>
      </c>
    </row>
    <row r="246" spans="2:6" x14ac:dyDescent="0.25">
      <c r="B246" s="855">
        <f t="shared" si="26"/>
        <v>236</v>
      </c>
      <c r="C246" s="870" t="s">
        <v>939</v>
      </c>
      <c r="D246" s="864">
        <f>(CIG!D278+CIG!E278+CIG!G278)/3+1</f>
        <v>1</v>
      </c>
      <c r="E246" s="858" t="s">
        <v>1424</v>
      </c>
      <c r="F246" s="858" t="s">
        <v>1425</v>
      </c>
    </row>
    <row r="247" spans="2:6" x14ac:dyDescent="0.25">
      <c r="B247" s="855">
        <f t="shared" si="26"/>
        <v>237</v>
      </c>
      <c r="C247" s="870" t="s">
        <v>941</v>
      </c>
      <c r="D247" s="864">
        <f>(CIG!D279+CIG!E279+CIG!G279)/3+1</f>
        <v>1</v>
      </c>
      <c r="E247" s="858" t="s">
        <v>1424</v>
      </c>
      <c r="F247" s="858" t="s">
        <v>1425</v>
      </c>
    </row>
    <row r="248" spans="2:6" x14ac:dyDescent="0.25">
      <c r="B248" s="855">
        <f t="shared" si="26"/>
        <v>238</v>
      </c>
      <c r="C248" s="870" t="s">
        <v>943</v>
      </c>
      <c r="D248" s="864">
        <f>(CIG!D280+CIG!E280+CIG!G280)/3+1</f>
        <v>1</v>
      </c>
      <c r="E248" s="858" t="s">
        <v>1424</v>
      </c>
      <c r="F248" s="858" t="s">
        <v>1425</v>
      </c>
    </row>
    <row r="249" spans="2:6" x14ac:dyDescent="0.25">
      <c r="B249" s="855">
        <f t="shared" si="26"/>
        <v>239</v>
      </c>
      <c r="C249" s="870" t="s">
        <v>1479</v>
      </c>
      <c r="D249" s="864">
        <f>(CIG!D281+CIG!E281+CIG!G281)/3+1</f>
        <v>1</v>
      </c>
      <c r="E249" s="858" t="s">
        <v>1424</v>
      </c>
      <c r="F249" s="858" t="s">
        <v>1425</v>
      </c>
    </row>
    <row r="250" spans="2:6" x14ac:dyDescent="0.25">
      <c r="B250" s="855">
        <f t="shared" si="26"/>
        <v>240</v>
      </c>
      <c r="C250" s="870" t="s">
        <v>1480</v>
      </c>
      <c r="D250" s="864">
        <f>(CIG!D282+CIG!E282+CIG!G282)/3</f>
        <v>32.913333333333334</v>
      </c>
      <c r="E250" s="858" t="s">
        <v>1424</v>
      </c>
      <c r="F250" s="858" t="s">
        <v>1425</v>
      </c>
    </row>
    <row r="251" spans="2:6" x14ac:dyDescent="0.25">
      <c r="B251" s="855">
        <f t="shared" si="26"/>
        <v>241</v>
      </c>
      <c r="C251" s="870" t="s">
        <v>1481</v>
      </c>
      <c r="D251" s="864">
        <f>(CIG!D283+CIG!E283+CIG!G283)/3+1</f>
        <v>1</v>
      </c>
      <c r="E251" s="858" t="s">
        <v>1424</v>
      </c>
      <c r="F251" s="858" t="s">
        <v>1425</v>
      </c>
    </row>
    <row r="252" spans="2:6" x14ac:dyDescent="0.25">
      <c r="B252" s="855">
        <f t="shared" si="26"/>
        <v>242</v>
      </c>
      <c r="C252" s="870" t="s">
        <v>1482</v>
      </c>
      <c r="D252" s="864">
        <f>(CIG!D284+CIG!E284+CIG!G284)/3+1</f>
        <v>1</v>
      </c>
      <c r="E252" s="858" t="s">
        <v>1424</v>
      </c>
      <c r="F252" s="858" t="s">
        <v>1425</v>
      </c>
    </row>
    <row r="253" spans="2:6" x14ac:dyDescent="0.25">
      <c r="B253" s="855">
        <f t="shared" si="26"/>
        <v>243</v>
      </c>
      <c r="C253" s="870" t="s">
        <v>1483</v>
      </c>
      <c r="D253" s="864">
        <f>(CIG!D285+CIG!E285+CIG!G285)/3+1</f>
        <v>1</v>
      </c>
      <c r="E253" s="858" t="s">
        <v>1424</v>
      </c>
      <c r="F253" s="858" t="s">
        <v>1425</v>
      </c>
    </row>
    <row r="254" spans="2:6" x14ac:dyDescent="0.25">
      <c r="B254" s="855">
        <f t="shared" si="26"/>
        <v>244</v>
      </c>
      <c r="C254" s="870" t="s">
        <v>1484</v>
      </c>
      <c r="D254" s="864">
        <f>(CIG!D286+CIG!E286+CIG!G286)/3+1</f>
        <v>1</v>
      </c>
      <c r="E254" s="858" t="s">
        <v>1424</v>
      </c>
      <c r="F254" s="858" t="s">
        <v>1425</v>
      </c>
    </row>
    <row r="255" spans="2:6" x14ac:dyDescent="0.25">
      <c r="B255" s="855">
        <f t="shared" si="26"/>
        <v>245</v>
      </c>
      <c r="C255" s="870" t="s">
        <v>1485</v>
      </c>
      <c r="D255" s="864">
        <f>(CIG!D287+CIG!E287+CIG!G287)/3+1</f>
        <v>1</v>
      </c>
      <c r="E255" s="858" t="s">
        <v>1424</v>
      </c>
      <c r="F255" s="858" t="s">
        <v>1425</v>
      </c>
    </row>
    <row r="256" spans="2:6" x14ac:dyDescent="0.25">
      <c r="B256" s="855">
        <f t="shared" si="26"/>
        <v>246</v>
      </c>
      <c r="C256" s="870" t="s">
        <v>1486</v>
      </c>
      <c r="D256" s="864">
        <f>(CIG!D288+CIG!E288+CIG!G288)/3+1</f>
        <v>1</v>
      </c>
      <c r="E256" s="858" t="s">
        <v>1424</v>
      </c>
      <c r="F256" s="858" t="s">
        <v>1425</v>
      </c>
    </row>
    <row r="257" spans="2:6" x14ac:dyDescent="0.25">
      <c r="B257" s="855">
        <f t="shared" si="26"/>
        <v>247</v>
      </c>
      <c r="C257" s="870" t="s">
        <v>1487</v>
      </c>
      <c r="D257" s="864">
        <f>(CIG!D289+CIG!E289+CIG!G289)/3+1</f>
        <v>1</v>
      </c>
      <c r="E257" s="858" t="s">
        <v>1424</v>
      </c>
      <c r="F257" s="858" t="s">
        <v>1425</v>
      </c>
    </row>
    <row r="258" spans="2:6" x14ac:dyDescent="0.25">
      <c r="B258" s="855">
        <f t="shared" si="26"/>
        <v>248</v>
      </c>
      <c r="C258" s="870" t="s">
        <v>1488</v>
      </c>
      <c r="D258" s="864">
        <f>(CIG!D290+CIG!E290+CIG!G290)/3+1</f>
        <v>1</v>
      </c>
      <c r="E258" s="858" t="s">
        <v>1424</v>
      </c>
      <c r="F258" s="858" t="s">
        <v>1425</v>
      </c>
    </row>
    <row r="259" spans="2:6" x14ac:dyDescent="0.25">
      <c r="B259" s="855">
        <f t="shared" si="26"/>
        <v>249</v>
      </c>
      <c r="C259" s="870" t="s">
        <v>1489</v>
      </c>
      <c r="D259" s="864">
        <f>(CIG!D291+CIG!E291+CIG!G291)/3+1</f>
        <v>1</v>
      </c>
      <c r="E259" s="858" t="s">
        <v>1424</v>
      </c>
      <c r="F259" s="858" t="s">
        <v>1425</v>
      </c>
    </row>
    <row r="260" spans="2:6" x14ac:dyDescent="0.25">
      <c r="B260" s="855">
        <f t="shared" si="26"/>
        <v>250</v>
      </c>
      <c r="C260" s="870" t="s">
        <v>1490</v>
      </c>
      <c r="D260" s="864">
        <f>(CIG!D292+CIG!E292+CIG!G292)/3+1</f>
        <v>1</v>
      </c>
      <c r="E260" s="858" t="s">
        <v>1424</v>
      </c>
      <c r="F260" s="858" t="s">
        <v>1425</v>
      </c>
    </row>
    <row r="261" spans="2:6" x14ac:dyDescent="0.25">
      <c r="B261" s="855">
        <f t="shared" si="26"/>
        <v>251</v>
      </c>
      <c r="C261" s="870" t="s">
        <v>1491</v>
      </c>
      <c r="D261" s="864">
        <f>(CIG!D293+CIG!E293+CIG!G293)/3+1</f>
        <v>1</v>
      </c>
      <c r="E261" s="858" t="s">
        <v>1424</v>
      </c>
      <c r="F261" s="858" t="s">
        <v>1425</v>
      </c>
    </row>
    <row r="262" spans="2:6" x14ac:dyDescent="0.25">
      <c r="B262" s="855">
        <f t="shared" si="26"/>
        <v>252</v>
      </c>
      <c r="C262" s="870" t="s">
        <v>1492</v>
      </c>
      <c r="D262" s="864">
        <f>(CIG!D294+CIG!E294+CIG!G294)/3+1</f>
        <v>1</v>
      </c>
      <c r="E262" s="858" t="s">
        <v>1424</v>
      </c>
      <c r="F262" s="858" t="s">
        <v>1425</v>
      </c>
    </row>
    <row r="263" spans="2:6" x14ac:dyDescent="0.25">
      <c r="B263" s="855">
        <f t="shared" si="26"/>
        <v>253</v>
      </c>
      <c r="C263" s="870" t="s">
        <v>1493</v>
      </c>
      <c r="D263" s="864">
        <f>(CIG!D295+CIG!E295+CIG!G295)/3+1</f>
        <v>1</v>
      </c>
      <c r="E263" s="858" t="s">
        <v>1424</v>
      </c>
      <c r="F263" s="858" t="s">
        <v>1425</v>
      </c>
    </row>
    <row r="264" spans="2:6" x14ac:dyDescent="0.25">
      <c r="B264" s="855">
        <f t="shared" si="26"/>
        <v>254</v>
      </c>
      <c r="C264" s="870" t="s">
        <v>1494</v>
      </c>
      <c r="D264" s="864">
        <f>(CIG!D296+CIG!E296+CIG!G296)/3+1</f>
        <v>1</v>
      </c>
      <c r="E264" s="858" t="s">
        <v>1424</v>
      </c>
      <c r="F264" s="858" t="s">
        <v>1425</v>
      </c>
    </row>
    <row r="265" spans="2:6" x14ac:dyDescent="0.25">
      <c r="B265" s="855">
        <f t="shared" si="26"/>
        <v>255</v>
      </c>
      <c r="C265" s="870" t="s">
        <v>1495</v>
      </c>
      <c r="D265" s="864">
        <f>(CIG!D297+CIG!E297+CIG!G297)/3+1</f>
        <v>1</v>
      </c>
      <c r="E265" s="858" t="s">
        <v>1424</v>
      </c>
      <c r="F265" s="858" t="s">
        <v>1425</v>
      </c>
    </row>
    <row r="266" spans="2:6" x14ac:dyDescent="0.25">
      <c r="B266" s="855">
        <f t="shared" si="26"/>
        <v>256</v>
      </c>
      <c r="C266" s="855" t="s">
        <v>1496</v>
      </c>
      <c r="D266" s="863">
        <v>8391108</v>
      </c>
      <c r="E266" s="858" t="s">
        <v>1424</v>
      </c>
      <c r="F266" s="858" t="s">
        <v>1425</v>
      </c>
    </row>
    <row r="267" spans="2:6" x14ac:dyDescent="0.25">
      <c r="B267" s="855">
        <f t="shared" si="26"/>
        <v>257</v>
      </c>
      <c r="C267" s="855" t="s">
        <v>1497</v>
      </c>
      <c r="D267" s="863">
        <v>364107</v>
      </c>
      <c r="E267" s="858" t="s">
        <v>1424</v>
      </c>
      <c r="F267" s="858" t="s">
        <v>1425</v>
      </c>
    </row>
    <row r="268" spans="2:6" x14ac:dyDescent="0.25">
      <c r="B268" s="855">
        <f t="shared" si="26"/>
        <v>258</v>
      </c>
      <c r="C268" s="855" t="s">
        <v>1498</v>
      </c>
      <c r="D268" s="863">
        <v>354166</v>
      </c>
      <c r="E268" s="858" t="s">
        <v>1424</v>
      </c>
      <c r="F268" s="858" t="s">
        <v>1425</v>
      </c>
    </row>
    <row r="269" spans="2:6" x14ac:dyDescent="0.25">
      <c r="B269" s="855">
        <f t="shared" si="26"/>
        <v>259</v>
      </c>
      <c r="C269" s="855" t="s">
        <v>1499</v>
      </c>
      <c r="D269" s="863">
        <f>CIG!D301</f>
        <v>14863.7</v>
      </c>
      <c r="E269" s="858" t="s">
        <v>1424</v>
      </c>
      <c r="F269" s="858" t="s">
        <v>1425</v>
      </c>
    </row>
    <row r="270" spans="2:6" x14ac:dyDescent="0.25">
      <c r="B270" s="855">
        <f t="shared" si="26"/>
        <v>260</v>
      </c>
      <c r="C270" s="855" t="s">
        <v>1500</v>
      </c>
      <c r="D270" s="863">
        <f>CIG!D302</f>
        <v>13795.88</v>
      </c>
      <c r="E270" s="858" t="s">
        <v>1424</v>
      </c>
      <c r="F270" s="858" t="s">
        <v>1425</v>
      </c>
    </row>
    <row r="271" spans="2:6" x14ac:dyDescent="0.25">
      <c r="B271" s="855">
        <f t="shared" si="26"/>
        <v>261</v>
      </c>
      <c r="C271" s="855" t="s">
        <v>1501</v>
      </c>
      <c r="D271" s="863">
        <f>CIG!D303</f>
        <v>80370.61</v>
      </c>
      <c r="E271" s="858" t="s">
        <v>1424</v>
      </c>
      <c r="F271" s="858" t="s">
        <v>1425</v>
      </c>
    </row>
    <row r="272" spans="2:6" x14ac:dyDescent="0.25">
      <c r="B272" s="855">
        <f t="shared" si="26"/>
        <v>262</v>
      </c>
      <c r="C272" s="893" t="s">
        <v>1724</v>
      </c>
      <c r="D272" s="864">
        <f>(CIG!D304+CIG!E304+CIG!G304)/3</f>
        <v>263116.02333333337</v>
      </c>
      <c r="E272" s="858" t="s">
        <v>1424</v>
      </c>
      <c r="F272" s="858" t="s">
        <v>1425</v>
      </c>
    </row>
    <row r="273" spans="2:6" x14ac:dyDescent="0.25">
      <c r="B273" s="855">
        <f t="shared" si="26"/>
        <v>263</v>
      </c>
      <c r="C273" s="893" t="s">
        <v>1725</v>
      </c>
      <c r="D273" s="864">
        <f>(CIG!D305+CIG!E305+CIG!G305)/3</f>
        <v>32143.111666666668</v>
      </c>
      <c r="E273" s="858" t="s">
        <v>1424</v>
      </c>
      <c r="F273" s="858" t="s">
        <v>1425</v>
      </c>
    </row>
    <row r="274" spans="2:6" x14ac:dyDescent="0.25">
      <c r="B274" s="855">
        <f t="shared" si="26"/>
        <v>264</v>
      </c>
      <c r="C274" s="893" t="s">
        <v>1726</v>
      </c>
      <c r="D274" s="864">
        <f>(CIG!D306+CIG!E306+CIG!G306)/3</f>
        <v>29015.456666666665</v>
      </c>
      <c r="E274" s="858" t="s">
        <v>1424</v>
      </c>
      <c r="F274" s="858" t="s">
        <v>1425</v>
      </c>
    </row>
    <row r="275" spans="2:6" x14ac:dyDescent="0.25">
      <c r="B275" s="855">
        <f t="shared" si="26"/>
        <v>265</v>
      </c>
      <c r="C275" s="893" t="s">
        <v>1727</v>
      </c>
      <c r="D275" s="864">
        <f>(CIG!D307+CIG!E307+CIG!G307)/3+1</f>
        <v>1</v>
      </c>
      <c r="E275" s="858" t="s">
        <v>1424</v>
      </c>
      <c r="F275" s="858" t="s">
        <v>1425</v>
      </c>
    </row>
    <row r="276" spans="2:6" x14ac:dyDescent="0.25">
      <c r="B276" s="855">
        <f t="shared" si="26"/>
        <v>266</v>
      </c>
      <c r="C276" s="893" t="s">
        <v>1728</v>
      </c>
      <c r="D276" s="864">
        <f>(CIG!D308+CIG!E308+CIG!G308)/3+1</f>
        <v>1</v>
      </c>
      <c r="E276" s="858" t="s">
        <v>1424</v>
      </c>
      <c r="F276" s="858" t="s">
        <v>1425</v>
      </c>
    </row>
    <row r="277" spans="2:6" x14ac:dyDescent="0.25">
      <c r="B277" s="855">
        <f t="shared" si="26"/>
        <v>267</v>
      </c>
      <c r="C277" s="893" t="s">
        <v>7317</v>
      </c>
      <c r="D277" s="864">
        <v>1</v>
      </c>
      <c r="E277" s="858" t="s">
        <v>1424</v>
      </c>
      <c r="F277" s="858" t="s">
        <v>1425</v>
      </c>
    </row>
    <row r="278" spans="2:6" x14ac:dyDescent="0.25">
      <c r="B278" s="855">
        <f t="shared" si="26"/>
        <v>268</v>
      </c>
      <c r="C278" s="855" t="s">
        <v>1503</v>
      </c>
      <c r="D278" s="864">
        <f>(CIG!D310+CIG!E310+CIG!G310)/3+1</f>
        <v>1</v>
      </c>
      <c r="E278" s="858" t="s">
        <v>1424</v>
      </c>
      <c r="F278" s="858" t="s">
        <v>1425</v>
      </c>
    </row>
    <row r="279" spans="2:6" x14ac:dyDescent="0.25">
      <c r="B279" s="855">
        <f t="shared" si="26"/>
        <v>269</v>
      </c>
      <c r="C279" s="855" t="s">
        <v>1504</v>
      </c>
      <c r="D279" s="864">
        <f>(CIG!D311+CIG!E311+CIG!G311)/3</f>
        <v>72080.840000000011</v>
      </c>
      <c r="E279" s="858" t="s">
        <v>1424</v>
      </c>
      <c r="F279" s="858" t="s">
        <v>1425</v>
      </c>
    </row>
    <row r="280" spans="2:6" x14ac:dyDescent="0.25">
      <c r="B280" s="855">
        <f t="shared" si="26"/>
        <v>270</v>
      </c>
      <c r="C280" s="855" t="s">
        <v>1505</v>
      </c>
      <c r="D280" s="864">
        <f>(CIG!D312+CIG!E312+CIG!G312)/3</f>
        <v>904.16666666666663</v>
      </c>
      <c r="E280" s="858" t="s">
        <v>1424</v>
      </c>
      <c r="F280" s="858" t="s">
        <v>1425</v>
      </c>
    </row>
    <row r="281" spans="2:6" x14ac:dyDescent="0.25">
      <c r="B281" s="855">
        <f t="shared" si="26"/>
        <v>271</v>
      </c>
      <c r="C281" s="855" t="s">
        <v>1506</v>
      </c>
      <c r="D281" s="864">
        <f>(CIG!D313+CIG!E313+CIG!G313)/3</f>
        <v>17599.096666666668</v>
      </c>
      <c r="E281" s="858" t="s">
        <v>1424</v>
      </c>
      <c r="F281" s="858" t="s">
        <v>1425</v>
      </c>
    </row>
    <row r="282" spans="2:6" x14ac:dyDescent="0.25">
      <c r="B282" s="855">
        <f t="shared" si="26"/>
        <v>272</v>
      </c>
      <c r="C282" s="855" t="s">
        <v>1507</v>
      </c>
      <c r="D282" s="864">
        <f>(CIG!D314+CIG!E314+CIG!G314)/3</f>
        <v>4086.08</v>
      </c>
      <c r="E282" s="858" t="s">
        <v>1424</v>
      </c>
      <c r="F282" s="858" t="s">
        <v>1425</v>
      </c>
    </row>
    <row r="283" spans="2:6" s="891" customFormat="1" x14ac:dyDescent="0.25">
      <c r="B283" s="855">
        <f t="shared" si="26"/>
        <v>273</v>
      </c>
      <c r="C283" s="871" t="s">
        <v>7103</v>
      </c>
      <c r="D283" s="872">
        <v>31</v>
      </c>
      <c r="E283" s="869" t="s">
        <v>1424</v>
      </c>
      <c r="F283" s="869" t="s">
        <v>1425</v>
      </c>
    </row>
    <row r="284" spans="2:6" s="895" customFormat="1" x14ac:dyDescent="0.25">
      <c r="B284" s="855">
        <f t="shared" ref="B284:B347" si="27">B283+1</f>
        <v>274</v>
      </c>
      <c r="C284" s="871" t="s">
        <v>7104</v>
      </c>
      <c r="D284" s="872">
        <v>117</v>
      </c>
      <c r="E284" s="869" t="s">
        <v>1424</v>
      </c>
      <c r="F284" s="869" t="s">
        <v>1425</v>
      </c>
    </row>
    <row r="285" spans="2:6" s="895" customFormat="1" x14ac:dyDescent="0.25">
      <c r="B285" s="855">
        <f t="shared" si="27"/>
        <v>275</v>
      </c>
      <c r="C285" s="871" t="s">
        <v>7105</v>
      </c>
      <c r="D285" s="872">
        <v>253</v>
      </c>
      <c r="E285" s="869" t="s">
        <v>1424</v>
      </c>
      <c r="F285" s="869" t="s">
        <v>1425</v>
      </c>
    </row>
    <row r="286" spans="2:6" s="895" customFormat="1" x14ac:dyDescent="0.25">
      <c r="B286" s="855">
        <f t="shared" si="27"/>
        <v>276</v>
      </c>
      <c r="C286" s="871" t="s">
        <v>7106</v>
      </c>
      <c r="D286" s="872">
        <v>0</v>
      </c>
      <c r="E286" s="869" t="s">
        <v>1424</v>
      </c>
      <c r="F286" s="869" t="s">
        <v>1425</v>
      </c>
    </row>
    <row r="287" spans="2:6" s="895" customFormat="1" x14ac:dyDescent="0.25">
      <c r="B287" s="855">
        <f t="shared" si="27"/>
        <v>277</v>
      </c>
      <c r="C287" s="871" t="s">
        <v>7107</v>
      </c>
      <c r="D287" s="872">
        <v>224</v>
      </c>
      <c r="E287" s="869" t="s">
        <v>1424</v>
      </c>
      <c r="F287" s="869" t="s">
        <v>1425</v>
      </c>
    </row>
    <row r="288" spans="2:6" s="895" customFormat="1" x14ac:dyDescent="0.25">
      <c r="B288" s="855">
        <f t="shared" si="27"/>
        <v>278</v>
      </c>
      <c r="C288" s="871" t="s">
        <v>7108</v>
      </c>
      <c r="D288" s="872">
        <v>37</v>
      </c>
      <c r="E288" s="869" t="s">
        <v>1424</v>
      </c>
      <c r="F288" s="869" t="s">
        <v>1425</v>
      </c>
    </row>
    <row r="289" spans="2:6" s="895" customFormat="1" x14ac:dyDescent="0.25">
      <c r="B289" s="855">
        <f t="shared" si="27"/>
        <v>279</v>
      </c>
      <c r="C289" s="871" t="s">
        <v>7109</v>
      </c>
      <c r="D289" s="872">
        <v>47</v>
      </c>
      <c r="E289" s="869" t="s">
        <v>1424</v>
      </c>
      <c r="F289" s="869" t="s">
        <v>1425</v>
      </c>
    </row>
    <row r="290" spans="2:6" s="895" customFormat="1" x14ac:dyDescent="0.25">
      <c r="B290" s="855">
        <f t="shared" si="27"/>
        <v>280</v>
      </c>
      <c r="C290" s="873" t="s">
        <v>7110</v>
      </c>
      <c r="D290" s="874">
        <v>103</v>
      </c>
      <c r="E290" s="875" t="s">
        <v>1424</v>
      </c>
      <c r="F290" s="875" t="s">
        <v>1425</v>
      </c>
    </row>
    <row r="291" spans="2:6" s="895" customFormat="1" x14ac:dyDescent="0.25">
      <c r="B291" s="855">
        <f t="shared" si="27"/>
        <v>281</v>
      </c>
      <c r="C291" s="873" t="s">
        <v>7111</v>
      </c>
      <c r="D291" s="874">
        <v>103</v>
      </c>
      <c r="E291" s="875" t="s">
        <v>1424</v>
      </c>
      <c r="F291" s="875" t="s">
        <v>1425</v>
      </c>
    </row>
    <row r="292" spans="2:6" s="895" customFormat="1" x14ac:dyDescent="0.25">
      <c r="B292" s="855">
        <f t="shared" si="27"/>
        <v>282</v>
      </c>
      <c r="C292" s="873" t="s">
        <v>7112</v>
      </c>
      <c r="D292" s="874">
        <v>177</v>
      </c>
      <c r="E292" s="875" t="s">
        <v>1424</v>
      </c>
      <c r="F292" s="875" t="s">
        <v>1425</v>
      </c>
    </row>
    <row r="293" spans="2:6" s="895" customFormat="1" x14ac:dyDescent="0.25">
      <c r="B293" s="855">
        <f t="shared" si="27"/>
        <v>283</v>
      </c>
      <c r="C293" s="873" t="s">
        <v>7113</v>
      </c>
      <c r="D293" s="874">
        <v>21</v>
      </c>
      <c r="E293" s="875" t="s">
        <v>1424</v>
      </c>
      <c r="F293" s="875" t="s">
        <v>1425</v>
      </c>
    </row>
    <row r="294" spans="2:6" x14ac:dyDescent="0.25">
      <c r="B294" s="855">
        <f t="shared" si="27"/>
        <v>284</v>
      </c>
      <c r="C294" s="871" t="s">
        <v>1508</v>
      </c>
      <c r="D294" s="872">
        <v>200</v>
      </c>
      <c r="E294" s="869" t="s">
        <v>1424</v>
      </c>
      <c r="F294" s="869" t="s">
        <v>1425</v>
      </c>
    </row>
    <row r="295" spans="2:6" s="891" customFormat="1" x14ac:dyDescent="0.25">
      <c r="B295" s="855">
        <f t="shared" si="27"/>
        <v>285</v>
      </c>
      <c r="C295" s="853" t="s">
        <v>1509</v>
      </c>
      <c r="D295" s="876">
        <v>426.4</v>
      </c>
      <c r="E295" s="856" t="s">
        <v>1424</v>
      </c>
      <c r="F295" s="856" t="s">
        <v>1425</v>
      </c>
    </row>
    <row r="296" spans="2:6" s="891" customFormat="1" x14ac:dyDescent="0.25">
      <c r="B296" s="855">
        <f t="shared" si="27"/>
        <v>286</v>
      </c>
      <c r="C296" s="853" t="s">
        <v>1802</v>
      </c>
      <c r="D296" s="876"/>
      <c r="E296" s="856"/>
      <c r="F296" s="856"/>
    </row>
    <row r="297" spans="2:6" x14ac:dyDescent="0.25">
      <c r="B297" s="855">
        <f t="shared" si="27"/>
        <v>287</v>
      </c>
      <c r="C297" s="871" t="s">
        <v>1510</v>
      </c>
      <c r="D297" s="877">
        <v>1.07</v>
      </c>
      <c r="E297" s="869" t="s">
        <v>1424</v>
      </c>
      <c r="F297" s="869" t="s">
        <v>1425</v>
      </c>
    </row>
    <row r="298" spans="2:6" x14ac:dyDescent="0.25">
      <c r="B298" s="855">
        <f t="shared" si="27"/>
        <v>288</v>
      </c>
      <c r="C298" s="871" t="s">
        <v>1511</v>
      </c>
      <c r="D298" s="877">
        <v>0.32</v>
      </c>
      <c r="E298" s="869" t="s">
        <v>1424</v>
      </c>
      <c r="F298" s="869" t="s">
        <v>1425</v>
      </c>
    </row>
    <row r="299" spans="2:6" x14ac:dyDescent="0.25">
      <c r="B299" s="855">
        <f t="shared" si="27"/>
        <v>289</v>
      </c>
      <c r="C299" s="871" t="s">
        <v>1512</v>
      </c>
      <c r="D299" s="877">
        <v>0.53</v>
      </c>
      <c r="E299" s="869" t="s">
        <v>1424</v>
      </c>
      <c r="F299" s="869" t="s">
        <v>1425</v>
      </c>
    </row>
    <row r="300" spans="2:6" x14ac:dyDescent="0.25">
      <c r="B300" s="855">
        <f t="shared" si="27"/>
        <v>290</v>
      </c>
      <c r="C300" s="871" t="s">
        <v>1513</v>
      </c>
      <c r="D300" s="877">
        <v>0.36</v>
      </c>
      <c r="E300" s="869" t="s">
        <v>1424</v>
      </c>
      <c r="F300" s="869" t="s">
        <v>1425</v>
      </c>
    </row>
    <row r="301" spans="2:6" x14ac:dyDescent="0.25">
      <c r="B301" s="855">
        <f t="shared" si="27"/>
        <v>291</v>
      </c>
      <c r="C301" s="871" t="s">
        <v>1514</v>
      </c>
      <c r="D301" s="877">
        <v>0.53</v>
      </c>
      <c r="E301" s="869" t="s">
        <v>1424</v>
      </c>
      <c r="F301" s="869" t="s">
        <v>1425</v>
      </c>
    </row>
    <row r="302" spans="2:6" x14ac:dyDescent="0.25">
      <c r="B302" s="855">
        <f t="shared" si="27"/>
        <v>292</v>
      </c>
      <c r="C302" s="855" t="s">
        <v>1515</v>
      </c>
      <c r="D302" s="863">
        <v>1221.8900000000001</v>
      </c>
      <c r="E302" s="858" t="s">
        <v>1424</v>
      </c>
      <c r="F302" s="858" t="s">
        <v>1425</v>
      </c>
    </row>
    <row r="303" spans="2:6" x14ac:dyDescent="0.25">
      <c r="B303" s="855">
        <f t="shared" si="27"/>
        <v>293</v>
      </c>
      <c r="C303" s="855" t="s">
        <v>1516</v>
      </c>
      <c r="D303" s="863">
        <v>11287.19</v>
      </c>
      <c r="E303" s="858" t="s">
        <v>1424</v>
      </c>
      <c r="F303" s="858" t="s">
        <v>1425</v>
      </c>
    </row>
    <row r="304" spans="2:6" x14ac:dyDescent="0.25">
      <c r="B304" s="855">
        <f t="shared" si="27"/>
        <v>294</v>
      </c>
      <c r="C304" s="855" t="s">
        <v>1517</v>
      </c>
      <c r="D304" s="863">
        <v>2336.86</v>
      </c>
      <c r="E304" s="858" t="s">
        <v>1424</v>
      </c>
      <c r="F304" s="858" t="s">
        <v>1425</v>
      </c>
    </row>
    <row r="305" spans="2:6" x14ac:dyDescent="0.25">
      <c r="B305" s="855">
        <f t="shared" si="27"/>
        <v>295</v>
      </c>
      <c r="C305" s="855" t="s">
        <v>1518</v>
      </c>
      <c r="D305" s="878">
        <v>10</v>
      </c>
      <c r="E305" s="858" t="s">
        <v>1424</v>
      </c>
      <c r="F305" s="858" t="s">
        <v>1425</v>
      </c>
    </row>
    <row r="306" spans="2:6" x14ac:dyDescent="0.25">
      <c r="B306" s="855">
        <f t="shared" si="27"/>
        <v>296</v>
      </c>
      <c r="C306" s="855" t="s">
        <v>1806</v>
      </c>
      <c r="D306" s="879">
        <f>(CIG!D319+CIG!E319+CIG!G319)/3</f>
        <v>33.073333333333338</v>
      </c>
      <c r="E306" s="858" t="s">
        <v>1424</v>
      </c>
      <c r="F306" s="858" t="s">
        <v>1425</v>
      </c>
    </row>
    <row r="307" spans="2:6" x14ac:dyDescent="0.25">
      <c r="B307" s="855">
        <f t="shared" si="27"/>
        <v>297</v>
      </c>
      <c r="C307" s="855" t="s">
        <v>1807</v>
      </c>
      <c r="D307" s="879">
        <f>(CIG!D320+CIG!E320+CIG!G320)/3</f>
        <v>39640.658333333333</v>
      </c>
      <c r="E307" s="858" t="s">
        <v>1424</v>
      </c>
      <c r="F307" s="858" t="s">
        <v>1425</v>
      </c>
    </row>
    <row r="308" spans="2:6" s="891" customFormat="1" x14ac:dyDescent="0.25">
      <c r="B308" s="855">
        <f t="shared" si="27"/>
        <v>298</v>
      </c>
      <c r="C308" s="853" t="s">
        <v>7928</v>
      </c>
      <c r="D308" s="880">
        <v>5.0257999999999998E-4</v>
      </c>
      <c r="E308" s="856" t="s">
        <v>1424</v>
      </c>
      <c r="F308" s="856" t="s">
        <v>1425</v>
      </c>
    </row>
    <row r="309" spans="2:6" x14ac:dyDescent="0.25">
      <c r="B309" s="855">
        <f t="shared" si="27"/>
        <v>299</v>
      </c>
      <c r="C309" s="855" t="s">
        <v>1519</v>
      </c>
      <c r="D309" s="863">
        <v>1</v>
      </c>
      <c r="E309" s="858" t="s">
        <v>1424</v>
      </c>
      <c r="F309" s="858" t="s">
        <v>1425</v>
      </c>
    </row>
    <row r="310" spans="2:6" x14ac:dyDescent="0.25">
      <c r="B310" s="855">
        <f t="shared" si="27"/>
        <v>300</v>
      </c>
      <c r="C310" s="855" t="s">
        <v>1520</v>
      </c>
      <c r="D310" s="863">
        <v>1</v>
      </c>
      <c r="E310" s="858" t="s">
        <v>1424</v>
      </c>
      <c r="F310" s="858" t="s">
        <v>1425</v>
      </c>
    </row>
    <row r="311" spans="2:6" x14ac:dyDescent="0.25">
      <c r="B311" s="855">
        <f t="shared" si="27"/>
        <v>301</v>
      </c>
      <c r="C311" s="855" t="s">
        <v>1521</v>
      </c>
      <c r="D311" s="863">
        <v>9306843757</v>
      </c>
      <c r="E311" s="858" t="s">
        <v>1424</v>
      </c>
      <c r="F311" s="858" t="s">
        <v>1425</v>
      </c>
    </row>
    <row r="312" spans="2:6" x14ac:dyDescent="0.25">
      <c r="B312" s="855">
        <f t="shared" si="27"/>
        <v>302</v>
      </c>
      <c r="C312" s="855" t="s">
        <v>1522</v>
      </c>
      <c r="D312" s="863">
        <f>(CIG!D324+CIG!E324+CIG!G324)/3</f>
        <v>376803.10333333333</v>
      </c>
      <c r="E312" s="858" t="s">
        <v>1424</v>
      </c>
      <c r="F312" s="858" t="s">
        <v>1425</v>
      </c>
    </row>
    <row r="313" spans="2:6" x14ac:dyDescent="0.25">
      <c r="B313" s="855">
        <f t="shared" si="27"/>
        <v>303</v>
      </c>
      <c r="C313" s="855" t="s">
        <v>1523</v>
      </c>
      <c r="D313" s="881">
        <v>3.9E-2</v>
      </c>
      <c r="E313" s="858" t="s">
        <v>1424</v>
      </c>
      <c r="F313" s="858" t="s">
        <v>1425</v>
      </c>
    </row>
    <row r="314" spans="2:6" x14ac:dyDescent="0.25">
      <c r="B314" s="855">
        <f t="shared" si="27"/>
        <v>304</v>
      </c>
      <c r="C314" s="855" t="s">
        <v>1524</v>
      </c>
      <c r="D314" s="863">
        <v>138672.03700000001</v>
      </c>
      <c r="E314" s="858" t="s">
        <v>1424</v>
      </c>
      <c r="F314" s="858" t="s">
        <v>1425</v>
      </c>
    </row>
    <row r="315" spans="2:6" x14ac:dyDescent="0.25">
      <c r="B315" s="855">
        <f t="shared" si="27"/>
        <v>305</v>
      </c>
      <c r="C315" s="855" t="s">
        <v>1525</v>
      </c>
      <c r="D315" s="863">
        <v>10579337</v>
      </c>
      <c r="E315" s="858" t="s">
        <v>1424</v>
      </c>
      <c r="F315" s="858" t="s">
        <v>1425</v>
      </c>
    </row>
    <row r="316" spans="2:6" x14ac:dyDescent="0.25">
      <c r="B316" s="855">
        <f t="shared" si="27"/>
        <v>306</v>
      </c>
      <c r="C316" s="855" t="s">
        <v>7101</v>
      </c>
      <c r="D316" s="882">
        <f>CIG!F424</f>
        <v>7.7792666666666671E-4</v>
      </c>
      <c r="E316" s="858" t="s">
        <v>1424</v>
      </c>
      <c r="F316" s="858" t="s">
        <v>1425</v>
      </c>
    </row>
    <row r="317" spans="2:6" x14ac:dyDescent="0.25">
      <c r="B317" s="855">
        <f t="shared" si="27"/>
        <v>307</v>
      </c>
      <c r="C317" s="855" t="s">
        <v>1810</v>
      </c>
      <c r="D317" s="879">
        <v>1</v>
      </c>
      <c r="E317" s="858" t="s">
        <v>1424</v>
      </c>
      <c r="F317" s="858" t="s">
        <v>1425</v>
      </c>
    </row>
    <row r="318" spans="2:6" x14ac:dyDescent="0.25">
      <c r="B318" s="855">
        <f t="shared" si="27"/>
        <v>308</v>
      </c>
      <c r="C318" s="855" t="s">
        <v>1811</v>
      </c>
      <c r="D318" s="879">
        <v>1</v>
      </c>
      <c r="E318" s="858" t="s">
        <v>1424</v>
      </c>
      <c r="F318" s="858" t="s">
        <v>1425</v>
      </c>
    </row>
    <row r="319" spans="2:6" x14ac:dyDescent="0.25">
      <c r="B319" s="855">
        <f t="shared" si="27"/>
        <v>309</v>
      </c>
      <c r="C319" s="855" t="s">
        <v>1526</v>
      </c>
      <c r="D319" s="863">
        <f>(CIG!D329+CIG!E329+CIG!G329)/3</f>
        <v>598989.36222222226</v>
      </c>
      <c r="E319" s="858" t="s">
        <v>1424</v>
      </c>
      <c r="F319" s="858" t="s">
        <v>1425</v>
      </c>
    </row>
    <row r="320" spans="2:6" x14ac:dyDescent="0.25">
      <c r="B320" s="855">
        <f t="shared" si="27"/>
        <v>310</v>
      </c>
      <c r="C320" s="855" t="s">
        <v>1527</v>
      </c>
      <c r="D320" s="863">
        <f>(CIG!D330+CIG!E330+CIG!G330)/3</f>
        <v>61.675000000000004</v>
      </c>
      <c r="E320" s="858" t="s">
        <v>1424</v>
      </c>
      <c r="F320" s="858" t="s">
        <v>1425</v>
      </c>
    </row>
    <row r="321" spans="2:6" x14ac:dyDescent="0.25">
      <c r="B321" s="855">
        <f t="shared" si="27"/>
        <v>311</v>
      </c>
      <c r="C321" s="855" t="s">
        <v>1528</v>
      </c>
      <c r="D321" s="863">
        <f>(CIG!D331+CIG!E331+CIG!G331)/3</f>
        <v>33666.666666666664</v>
      </c>
      <c r="E321" s="858" t="s">
        <v>1424</v>
      </c>
      <c r="F321" s="858" t="s">
        <v>1425</v>
      </c>
    </row>
    <row r="322" spans="2:6" ht="15.75" x14ac:dyDescent="0.25">
      <c r="B322" s="855">
        <f t="shared" si="27"/>
        <v>312</v>
      </c>
      <c r="C322" s="896" t="s">
        <v>6828</v>
      </c>
      <c r="D322" s="863">
        <v>1</v>
      </c>
      <c r="E322" s="858" t="s">
        <v>1424</v>
      </c>
      <c r="F322" s="858" t="s">
        <v>1425</v>
      </c>
    </row>
    <row r="323" spans="2:6" x14ac:dyDescent="0.25">
      <c r="B323" s="855">
        <f t="shared" si="27"/>
        <v>313</v>
      </c>
      <c r="C323" s="855" t="s">
        <v>1812</v>
      </c>
      <c r="D323" s="863">
        <v>1</v>
      </c>
      <c r="E323" s="858" t="s">
        <v>1424</v>
      </c>
      <c r="F323" s="858" t="s">
        <v>1425</v>
      </c>
    </row>
    <row r="324" spans="2:6" x14ac:dyDescent="0.25">
      <c r="B324" s="855">
        <f t="shared" si="27"/>
        <v>314</v>
      </c>
      <c r="C324" s="855" t="s">
        <v>1529</v>
      </c>
      <c r="D324" s="863">
        <f>(CIG!D334+CIG!E334+CIG!G334)/3+1</f>
        <v>1</v>
      </c>
      <c r="E324" s="858" t="s">
        <v>1424</v>
      </c>
      <c r="F324" s="858" t="s">
        <v>1425</v>
      </c>
    </row>
    <row r="325" spans="2:6" x14ac:dyDescent="0.25">
      <c r="B325" s="855">
        <f t="shared" si="27"/>
        <v>315</v>
      </c>
      <c r="C325" s="855" t="s">
        <v>1530</v>
      </c>
      <c r="D325" s="863">
        <f>(CIG!D335+CIG!E335+CIG!G335)/3+1</f>
        <v>1</v>
      </c>
      <c r="E325" s="858" t="s">
        <v>1424</v>
      </c>
      <c r="F325" s="858" t="s">
        <v>1425</v>
      </c>
    </row>
    <row r="326" spans="2:6" x14ac:dyDescent="0.25">
      <c r="B326" s="855">
        <f t="shared" si="27"/>
        <v>316</v>
      </c>
      <c r="C326" s="855" t="s">
        <v>1531</v>
      </c>
      <c r="D326" s="863">
        <f>(CIG!D336+CIG!E336+CIG!G336)/3+1</f>
        <v>1</v>
      </c>
      <c r="E326" s="858" t="s">
        <v>1424</v>
      </c>
      <c r="F326" s="858" t="s">
        <v>1425</v>
      </c>
    </row>
    <row r="327" spans="2:6" x14ac:dyDescent="0.25">
      <c r="B327" s="855">
        <f t="shared" si="27"/>
        <v>317</v>
      </c>
      <c r="C327" s="855" t="s">
        <v>1532</v>
      </c>
      <c r="D327" s="863">
        <f>CIG!G337</f>
        <v>81000</v>
      </c>
      <c r="E327" s="858" t="s">
        <v>1424</v>
      </c>
      <c r="F327" s="858" t="s">
        <v>1425</v>
      </c>
    </row>
    <row r="328" spans="2:6" x14ac:dyDescent="0.25">
      <c r="B328" s="855">
        <f t="shared" si="27"/>
        <v>318</v>
      </c>
      <c r="C328" s="855" t="s">
        <v>1533</v>
      </c>
      <c r="D328" s="863">
        <f>(CIG!D338+CIG!E338+CIG!G338)/3+1</f>
        <v>1</v>
      </c>
      <c r="E328" s="858" t="s">
        <v>1424</v>
      </c>
      <c r="F328" s="858" t="s">
        <v>1425</v>
      </c>
    </row>
    <row r="329" spans="2:6" x14ac:dyDescent="0.25">
      <c r="B329" s="855">
        <f t="shared" si="27"/>
        <v>319</v>
      </c>
      <c r="C329" s="855" t="s">
        <v>1534</v>
      </c>
      <c r="D329" s="863">
        <f>(CIG!D339+CIG!E339+CIG!G339)/3</f>
        <v>80864.863333333327</v>
      </c>
      <c r="E329" s="858" t="s">
        <v>1424</v>
      </c>
      <c r="F329" s="858" t="s">
        <v>1425</v>
      </c>
    </row>
    <row r="330" spans="2:6" x14ac:dyDescent="0.25">
      <c r="B330" s="855">
        <f t="shared" si="27"/>
        <v>320</v>
      </c>
      <c r="C330" s="855" t="s">
        <v>1535</v>
      </c>
      <c r="D330" s="863">
        <f>(CIG!G340)</f>
        <v>10888.74</v>
      </c>
      <c r="E330" s="858" t="s">
        <v>1424</v>
      </c>
      <c r="F330" s="858" t="s">
        <v>1425</v>
      </c>
    </row>
    <row r="331" spans="2:6" x14ac:dyDescent="0.25">
      <c r="B331" s="855">
        <f t="shared" si="27"/>
        <v>321</v>
      </c>
      <c r="C331" s="855" t="s">
        <v>1536</v>
      </c>
      <c r="D331" s="863">
        <f>(CIG!G341)</f>
        <v>40061.114999999998</v>
      </c>
      <c r="E331" s="858" t="s">
        <v>1424</v>
      </c>
      <c r="F331" s="858" t="s">
        <v>1425</v>
      </c>
    </row>
    <row r="332" spans="2:6" x14ac:dyDescent="0.25">
      <c r="B332" s="855">
        <f t="shared" si="27"/>
        <v>322</v>
      </c>
      <c r="C332" s="855" t="s">
        <v>1537</v>
      </c>
      <c r="D332" s="863">
        <f>(CIG!G342)</f>
        <v>10530</v>
      </c>
      <c r="E332" s="858" t="s">
        <v>1424</v>
      </c>
      <c r="F332" s="858" t="s">
        <v>1425</v>
      </c>
    </row>
    <row r="333" spans="2:6" x14ac:dyDescent="0.25">
      <c r="B333" s="855">
        <f t="shared" si="27"/>
        <v>323</v>
      </c>
      <c r="C333" s="855" t="s">
        <v>1538</v>
      </c>
      <c r="D333" s="863">
        <f>(CIG!D343+CIG!E343+CIG!G343)/3+1</f>
        <v>1</v>
      </c>
      <c r="E333" s="858" t="s">
        <v>1424</v>
      </c>
      <c r="F333" s="858" t="s">
        <v>1425</v>
      </c>
    </row>
    <row r="334" spans="2:6" x14ac:dyDescent="0.25">
      <c r="B334" s="855">
        <f t="shared" si="27"/>
        <v>324</v>
      </c>
      <c r="C334" s="855" t="s">
        <v>1539</v>
      </c>
      <c r="D334" s="863">
        <f>(CIG!D344+CIG!E344+CIG!G344)/3+1</f>
        <v>1</v>
      </c>
      <c r="E334" s="858" t="s">
        <v>1424</v>
      </c>
      <c r="F334" s="858" t="s">
        <v>1425</v>
      </c>
    </row>
    <row r="335" spans="2:6" x14ac:dyDescent="0.25">
      <c r="B335" s="855">
        <f t="shared" si="27"/>
        <v>325</v>
      </c>
      <c r="C335" s="855" t="s">
        <v>1813</v>
      </c>
      <c r="D335" s="863">
        <f>FUNDEB!G69</f>
        <v>3700481.9799999995</v>
      </c>
      <c r="E335" s="858" t="s">
        <v>1424</v>
      </c>
      <c r="F335" s="858" t="s">
        <v>1425</v>
      </c>
    </row>
    <row r="336" spans="2:6" x14ac:dyDescent="0.25">
      <c r="B336" s="855">
        <f t="shared" si="27"/>
        <v>326</v>
      </c>
      <c r="C336" s="855" t="s">
        <v>1540</v>
      </c>
      <c r="D336" s="863">
        <f>(CIG!D346+CIG!E346+CIG!G346)/3+1</f>
        <v>1</v>
      </c>
      <c r="E336" s="858" t="s">
        <v>1424</v>
      </c>
      <c r="F336" s="858" t="s">
        <v>1425</v>
      </c>
    </row>
    <row r="337" spans="2:6" x14ac:dyDescent="0.25">
      <c r="B337" s="855">
        <f t="shared" si="27"/>
        <v>327</v>
      </c>
      <c r="C337" s="855" t="s">
        <v>1541</v>
      </c>
      <c r="D337" s="863">
        <f>(CIG!D347+CIG!E347+CIG!G347)/3+1</f>
        <v>1</v>
      </c>
      <c r="E337" s="858" t="s">
        <v>1424</v>
      </c>
      <c r="F337" s="858" t="s">
        <v>1425</v>
      </c>
    </row>
    <row r="338" spans="2:6" x14ac:dyDescent="0.25">
      <c r="B338" s="855">
        <f t="shared" si="27"/>
        <v>328</v>
      </c>
      <c r="C338" s="855" t="s">
        <v>1542</v>
      </c>
      <c r="D338" s="863">
        <f>(CIG!D348+CIG!E348+CIG!G348)/3+1</f>
        <v>1</v>
      </c>
      <c r="E338" s="858" t="s">
        <v>1424</v>
      </c>
      <c r="F338" s="858" t="s">
        <v>1425</v>
      </c>
    </row>
    <row r="339" spans="2:6" x14ac:dyDescent="0.25">
      <c r="B339" s="855">
        <f t="shared" si="27"/>
        <v>329</v>
      </c>
      <c r="C339" s="855" t="s">
        <v>1543</v>
      </c>
      <c r="D339" s="863">
        <f>(CIG!D350+CIG!E350+CIG!G350)/3+1</f>
        <v>1</v>
      </c>
      <c r="E339" s="858" t="s">
        <v>1424</v>
      </c>
      <c r="F339" s="858" t="s">
        <v>1425</v>
      </c>
    </row>
    <row r="340" spans="2:6" x14ac:dyDescent="0.25">
      <c r="B340" s="855">
        <f t="shared" si="27"/>
        <v>330</v>
      </c>
      <c r="C340" s="855" t="s">
        <v>1544</v>
      </c>
      <c r="D340" s="863">
        <f>(CIG!D351+CIG!E351+CIG!G351)/3</f>
        <v>70766.166666666672</v>
      </c>
      <c r="E340" s="858" t="s">
        <v>1424</v>
      </c>
      <c r="F340" s="858" t="s">
        <v>1425</v>
      </c>
    </row>
    <row r="341" spans="2:6" x14ac:dyDescent="0.25">
      <c r="B341" s="855">
        <f t="shared" si="27"/>
        <v>331</v>
      </c>
      <c r="C341" s="855" t="s">
        <v>398</v>
      </c>
      <c r="D341" s="863">
        <f>(CIG!D352+CIG!E352+CIG!G352)/3+1</f>
        <v>1</v>
      </c>
      <c r="E341" s="858" t="s">
        <v>1424</v>
      </c>
      <c r="F341" s="858" t="s">
        <v>1425</v>
      </c>
    </row>
    <row r="342" spans="2:6" x14ac:dyDescent="0.25">
      <c r="B342" s="855">
        <f t="shared" si="27"/>
        <v>332</v>
      </c>
      <c r="C342" s="855" t="s">
        <v>1545</v>
      </c>
      <c r="D342" s="863">
        <f>(CIG!D353+CIG!E353+CIG!G353)/3+1</f>
        <v>1</v>
      </c>
      <c r="E342" s="858" t="s">
        <v>1424</v>
      </c>
      <c r="F342" s="858" t="s">
        <v>1425</v>
      </c>
    </row>
    <row r="343" spans="2:6" x14ac:dyDescent="0.25">
      <c r="B343" s="855">
        <f t="shared" si="27"/>
        <v>333</v>
      </c>
      <c r="C343" s="855" t="s">
        <v>1546</v>
      </c>
      <c r="D343" s="863">
        <f>(CIG!D354+CIG!E354+CIG!G354)/3</f>
        <v>6618.0149999999994</v>
      </c>
      <c r="E343" s="858" t="s">
        <v>1424</v>
      </c>
      <c r="F343" s="858" t="s">
        <v>1425</v>
      </c>
    </row>
    <row r="344" spans="2:6" s="898" customFormat="1" x14ac:dyDescent="0.25">
      <c r="B344" s="855">
        <f t="shared" si="27"/>
        <v>334</v>
      </c>
      <c r="C344" s="897" t="s">
        <v>1169</v>
      </c>
      <c r="D344" s="863">
        <f>(CIG!D355+CIG!E355+CIG!G355)/3+1</f>
        <v>1</v>
      </c>
      <c r="E344" s="875" t="s">
        <v>1424</v>
      </c>
      <c r="F344" s="875" t="s">
        <v>1425</v>
      </c>
    </row>
    <row r="345" spans="2:6" s="895" customFormat="1" x14ac:dyDescent="0.25">
      <c r="B345" s="855">
        <f t="shared" si="27"/>
        <v>335</v>
      </c>
      <c r="C345" s="897" t="s">
        <v>1171</v>
      </c>
      <c r="D345" s="863">
        <f>(CIG!D356+CIG!E356+CIG!G356)/3</f>
        <v>1997.8083333333332</v>
      </c>
      <c r="E345" s="875" t="s">
        <v>1424</v>
      </c>
      <c r="F345" s="875" t="s">
        <v>1425</v>
      </c>
    </row>
    <row r="346" spans="2:6" s="895" customFormat="1" x14ac:dyDescent="0.25">
      <c r="B346" s="855">
        <f t="shared" si="27"/>
        <v>336</v>
      </c>
      <c r="C346" s="897" t="s">
        <v>1547</v>
      </c>
      <c r="D346" s="863">
        <f>(CIG!D357+CIG!E357+CIG!G357)/3+1</f>
        <v>1</v>
      </c>
      <c r="E346" s="875" t="s">
        <v>1424</v>
      </c>
      <c r="F346" s="875" t="s">
        <v>1425</v>
      </c>
    </row>
    <row r="347" spans="2:6" s="895" customFormat="1" x14ac:dyDescent="0.25">
      <c r="B347" s="855">
        <f t="shared" si="27"/>
        <v>337</v>
      </c>
      <c r="C347" s="897" t="s">
        <v>1548</v>
      </c>
      <c r="D347" s="863">
        <f>(CIG!D358+CIG!E358+CIG!G358)/3+1</f>
        <v>1</v>
      </c>
      <c r="E347" s="875" t="s">
        <v>1424</v>
      </c>
      <c r="F347" s="875" t="s">
        <v>1425</v>
      </c>
    </row>
    <row r="348" spans="2:6" s="895" customFormat="1" x14ac:dyDescent="0.25">
      <c r="B348" s="855">
        <f t="shared" ref="B348:B411" si="28">B347+1</f>
        <v>338</v>
      </c>
      <c r="C348" s="897" t="s">
        <v>1549</v>
      </c>
      <c r="D348" s="863">
        <f>(CIG!D359+CIG!E359+CIG!G359)/3+1</f>
        <v>1</v>
      </c>
      <c r="E348" s="875" t="s">
        <v>1424</v>
      </c>
      <c r="F348" s="875" t="s">
        <v>1425</v>
      </c>
    </row>
    <row r="349" spans="2:6" s="898" customFormat="1" x14ac:dyDescent="0.25">
      <c r="B349" s="855">
        <f t="shared" si="28"/>
        <v>339</v>
      </c>
      <c r="C349" s="897" t="s">
        <v>1181</v>
      </c>
      <c r="D349" s="863">
        <f>(CIG!D360+CIG!E360+CIG!G360)/3+1</f>
        <v>1</v>
      </c>
      <c r="E349" s="875" t="s">
        <v>1424</v>
      </c>
      <c r="F349" s="875" t="s">
        <v>1425</v>
      </c>
    </row>
    <row r="350" spans="2:6" s="898" customFormat="1" x14ac:dyDescent="0.25">
      <c r="B350" s="855">
        <f t="shared" si="28"/>
        <v>340</v>
      </c>
      <c r="C350" s="897" t="s">
        <v>1183</v>
      </c>
      <c r="D350" s="863">
        <f>(CIG!D361+CIG!E361+CIG!G361)/3+1</f>
        <v>1144.0666666666666</v>
      </c>
      <c r="E350" s="875" t="s">
        <v>1424</v>
      </c>
      <c r="F350" s="875" t="s">
        <v>1425</v>
      </c>
    </row>
    <row r="351" spans="2:6" s="899" customFormat="1" x14ac:dyDescent="0.25">
      <c r="B351" s="855">
        <f t="shared" si="28"/>
        <v>341</v>
      </c>
      <c r="C351" s="897" t="s">
        <v>1185</v>
      </c>
      <c r="D351" s="863">
        <f>(CIG!D362+CIG!E362+CIG!G362)/3+1</f>
        <v>22.333333333333332</v>
      </c>
      <c r="E351" s="875" t="s">
        <v>1424</v>
      </c>
      <c r="F351" s="875" t="s">
        <v>1425</v>
      </c>
    </row>
    <row r="352" spans="2:6" s="899" customFormat="1" x14ac:dyDescent="0.25">
      <c r="B352" s="855">
        <f t="shared" si="28"/>
        <v>342</v>
      </c>
      <c r="C352" s="897" t="s">
        <v>1187</v>
      </c>
      <c r="D352" s="863">
        <f>(CIG!D363+CIG!E363+CIG!G363)/3+1</f>
        <v>1</v>
      </c>
      <c r="E352" s="875" t="s">
        <v>1424</v>
      </c>
      <c r="F352" s="875" t="s">
        <v>1425</v>
      </c>
    </row>
    <row r="353" spans="2:6" s="895" customFormat="1" x14ac:dyDescent="0.25">
      <c r="B353" s="855">
        <f t="shared" si="28"/>
        <v>343</v>
      </c>
      <c r="C353" s="897" t="s">
        <v>1550</v>
      </c>
      <c r="D353" s="863">
        <f>(CIG!D364+CIG!E364+CIG!G364)/3+1</f>
        <v>1</v>
      </c>
      <c r="E353" s="875" t="s">
        <v>1424</v>
      </c>
      <c r="F353" s="875" t="s">
        <v>1425</v>
      </c>
    </row>
    <row r="354" spans="2:6" s="895" customFormat="1" x14ac:dyDescent="0.25">
      <c r="B354" s="855">
        <f t="shared" si="28"/>
        <v>344</v>
      </c>
      <c r="C354" s="897" t="s">
        <v>1193</v>
      </c>
      <c r="D354" s="863">
        <f>(CIG!D365+CIG!E365+CIG!G365)/3+1</f>
        <v>1</v>
      </c>
      <c r="E354" s="875" t="s">
        <v>1424</v>
      </c>
      <c r="F354" s="875" t="s">
        <v>1425</v>
      </c>
    </row>
    <row r="355" spans="2:6" s="895" customFormat="1" x14ac:dyDescent="0.25">
      <c r="B355" s="855">
        <f t="shared" si="28"/>
        <v>345</v>
      </c>
      <c r="C355" s="897" t="s">
        <v>1195</v>
      </c>
      <c r="D355" s="863">
        <f>(CIG!D366+CIG!E366+CIG!G366)/3</f>
        <v>670.03</v>
      </c>
      <c r="E355" s="875" t="s">
        <v>1424</v>
      </c>
      <c r="F355" s="875" t="s">
        <v>1425</v>
      </c>
    </row>
    <row r="356" spans="2:6" s="895" customFormat="1" x14ac:dyDescent="0.25">
      <c r="B356" s="855">
        <f t="shared" si="28"/>
        <v>346</v>
      </c>
      <c r="C356" s="897" t="s">
        <v>1551</v>
      </c>
      <c r="D356" s="863">
        <f>(CIG!D367+CIG!E367+CIG!G367)/3+1</f>
        <v>1</v>
      </c>
      <c r="E356" s="883" t="s">
        <v>1424</v>
      </c>
      <c r="F356" s="883" t="s">
        <v>1425</v>
      </c>
    </row>
    <row r="357" spans="2:6" s="895" customFormat="1" x14ac:dyDescent="0.25">
      <c r="B357" s="855">
        <f t="shared" si="28"/>
        <v>347</v>
      </c>
      <c r="C357" s="897" t="s">
        <v>1199</v>
      </c>
      <c r="D357" s="863">
        <f>(CIG!D368+CIG!E368+CIG!G368)/3+1</f>
        <v>1</v>
      </c>
      <c r="E357" s="875" t="s">
        <v>1424</v>
      </c>
      <c r="F357" s="875" t="s">
        <v>1425</v>
      </c>
    </row>
    <row r="358" spans="2:6" s="895" customFormat="1" x14ac:dyDescent="0.25">
      <c r="B358" s="855">
        <f t="shared" si="28"/>
        <v>348</v>
      </c>
      <c r="C358" s="897" t="s">
        <v>1552</v>
      </c>
      <c r="D358" s="863">
        <f>(CIG!D369+CIG!E369+CIG!G369)/3+1</f>
        <v>1</v>
      </c>
      <c r="E358" s="875" t="s">
        <v>1424</v>
      </c>
      <c r="F358" s="875" t="s">
        <v>1425</v>
      </c>
    </row>
    <row r="359" spans="2:6" s="895" customFormat="1" x14ac:dyDescent="0.25">
      <c r="B359" s="855">
        <f t="shared" si="28"/>
        <v>349</v>
      </c>
      <c r="C359" s="897" t="s">
        <v>7096</v>
      </c>
      <c r="D359" s="863">
        <f>(CIG!D370+CIG!E370+CIG!G370)/3+1</f>
        <v>1</v>
      </c>
      <c r="E359" s="875" t="s">
        <v>1424</v>
      </c>
      <c r="F359" s="875" t="s">
        <v>1425</v>
      </c>
    </row>
    <row r="360" spans="2:6" x14ac:dyDescent="0.25">
      <c r="B360" s="855">
        <f t="shared" si="28"/>
        <v>350</v>
      </c>
      <c r="C360" s="900" t="s">
        <v>1553</v>
      </c>
      <c r="D360" s="863">
        <f>(CIG!D371+CIG!E371+CIG!G371)/3</f>
        <v>3266.6666666666665</v>
      </c>
      <c r="E360" s="858" t="s">
        <v>1424</v>
      </c>
      <c r="F360" s="858" t="s">
        <v>1425</v>
      </c>
    </row>
    <row r="361" spans="2:6" x14ac:dyDescent="0.25">
      <c r="B361" s="855">
        <f t="shared" si="28"/>
        <v>351</v>
      </c>
      <c r="C361" s="900" t="s">
        <v>1554</v>
      </c>
      <c r="D361" s="863">
        <f>(CIG!D372+CIG!E372+CIG!G372)/3</f>
        <v>31690.166666666668</v>
      </c>
      <c r="E361" s="858" t="s">
        <v>1424</v>
      </c>
      <c r="F361" s="858" t="s">
        <v>1425</v>
      </c>
    </row>
    <row r="362" spans="2:6" x14ac:dyDescent="0.25">
      <c r="B362" s="855">
        <f t="shared" si="28"/>
        <v>352</v>
      </c>
      <c r="C362" s="900" t="s">
        <v>1555</v>
      </c>
      <c r="D362" s="863">
        <f>(CIG!D373+CIG!E373+CIG!G373)/3</f>
        <v>910</v>
      </c>
      <c r="E362" s="858" t="s">
        <v>1424</v>
      </c>
      <c r="F362" s="858" t="s">
        <v>1425</v>
      </c>
    </row>
    <row r="363" spans="2:6" x14ac:dyDescent="0.25">
      <c r="B363" s="855">
        <f t="shared" si="28"/>
        <v>353</v>
      </c>
      <c r="C363" s="900" t="s">
        <v>1556</v>
      </c>
      <c r="D363" s="863">
        <f>(CIG!D374+CIG!E374+CIG!G374)/3</f>
        <v>14551.666666666666</v>
      </c>
      <c r="E363" s="858" t="s">
        <v>1424</v>
      </c>
      <c r="F363" s="858" t="s">
        <v>1425</v>
      </c>
    </row>
    <row r="364" spans="2:6" x14ac:dyDescent="0.25">
      <c r="B364" s="855">
        <f t="shared" si="28"/>
        <v>354</v>
      </c>
      <c r="C364" s="900" t="s">
        <v>1557</v>
      </c>
      <c r="D364" s="863">
        <f>(CIG!D375+CIG!E375+CIG!G375)/3</f>
        <v>11666.666666666666</v>
      </c>
      <c r="E364" s="858" t="s">
        <v>1424</v>
      </c>
      <c r="F364" s="858" t="s">
        <v>1425</v>
      </c>
    </row>
    <row r="365" spans="2:6" x14ac:dyDescent="0.25">
      <c r="B365" s="855">
        <f t="shared" si="28"/>
        <v>355</v>
      </c>
      <c r="C365" s="900" t="s">
        <v>1558</v>
      </c>
      <c r="D365" s="863">
        <f>(CIG!D376+CIG!E376+CIG!G376)/3</f>
        <v>36630.700000000004</v>
      </c>
      <c r="E365" s="858" t="s">
        <v>1424</v>
      </c>
      <c r="F365" s="858" t="s">
        <v>1425</v>
      </c>
    </row>
    <row r="366" spans="2:6" x14ac:dyDescent="0.25">
      <c r="B366" s="855">
        <f t="shared" si="28"/>
        <v>356</v>
      </c>
      <c r="C366" s="900" t="s">
        <v>1559</v>
      </c>
      <c r="D366" s="863">
        <f>(CIG!D377+CIG!E377+CIG!G377)/3+1</f>
        <v>7570.5</v>
      </c>
      <c r="E366" s="858" t="s">
        <v>1424</v>
      </c>
      <c r="F366" s="858" t="s">
        <v>1425</v>
      </c>
    </row>
    <row r="367" spans="2:6" x14ac:dyDescent="0.25">
      <c r="B367" s="855">
        <f t="shared" si="28"/>
        <v>357</v>
      </c>
      <c r="C367" s="900" t="s">
        <v>1560</v>
      </c>
      <c r="D367" s="863">
        <f>(CIG!D378+CIG!E378+CIG!G378)/3</f>
        <v>9100</v>
      </c>
      <c r="E367" s="858" t="s">
        <v>1424</v>
      </c>
      <c r="F367" s="858" t="s">
        <v>1425</v>
      </c>
    </row>
    <row r="368" spans="2:6" x14ac:dyDescent="0.25">
      <c r="B368" s="855">
        <f t="shared" si="28"/>
        <v>358</v>
      </c>
      <c r="C368" s="900" t="s">
        <v>1561</v>
      </c>
      <c r="D368" s="863">
        <f>(CIG!D379+CIG!E379+CIG!G379)/3</f>
        <v>16086.666666666666</v>
      </c>
      <c r="E368" s="858" t="s">
        <v>1424</v>
      </c>
      <c r="F368" s="858" t="s">
        <v>1425</v>
      </c>
    </row>
    <row r="369" spans="2:6" x14ac:dyDescent="0.25">
      <c r="B369" s="855">
        <f t="shared" si="28"/>
        <v>359</v>
      </c>
      <c r="C369" s="867" t="s">
        <v>1562</v>
      </c>
      <c r="D369" s="863">
        <f>(CIG!D380+CIG!E380+CIG!G380)/3</f>
        <v>10066.416666666666</v>
      </c>
      <c r="E369" s="858" t="s">
        <v>1424</v>
      </c>
      <c r="F369" s="858" t="s">
        <v>1425</v>
      </c>
    </row>
    <row r="370" spans="2:6" x14ac:dyDescent="0.25">
      <c r="B370" s="855">
        <f t="shared" si="28"/>
        <v>360</v>
      </c>
      <c r="C370" s="867" t="s">
        <v>1563</v>
      </c>
      <c r="D370" s="863">
        <f>(CIG!D381+CIG!E381+CIG!G381)/3</f>
        <v>13231.5</v>
      </c>
      <c r="E370" s="858" t="s">
        <v>1424</v>
      </c>
      <c r="F370" s="858" t="s">
        <v>1425</v>
      </c>
    </row>
    <row r="371" spans="2:6" ht="15.75" x14ac:dyDescent="0.25">
      <c r="B371" s="855">
        <f t="shared" si="28"/>
        <v>361</v>
      </c>
      <c r="C371" s="90" t="s">
        <v>7318</v>
      </c>
      <c r="D371" s="863">
        <f>(CIG!D382+CIG!E382+CIG!G382)/3+1</f>
        <v>1</v>
      </c>
      <c r="E371" s="858" t="s">
        <v>1424</v>
      </c>
      <c r="F371" s="858" t="s">
        <v>1425</v>
      </c>
    </row>
    <row r="372" spans="2:6" ht="15.75" x14ac:dyDescent="0.25">
      <c r="B372" s="855">
        <f t="shared" si="28"/>
        <v>362</v>
      </c>
      <c r="C372" s="90" t="s">
        <v>7319</v>
      </c>
      <c r="D372" s="863">
        <f>(CIG!D383+CIG!E383+CIG!G383)/3+1</f>
        <v>1</v>
      </c>
      <c r="E372" s="858" t="s">
        <v>1424</v>
      </c>
      <c r="F372" s="858" t="s">
        <v>1425</v>
      </c>
    </row>
    <row r="373" spans="2:6" x14ac:dyDescent="0.25">
      <c r="B373" s="855">
        <f t="shared" si="28"/>
        <v>363</v>
      </c>
      <c r="C373" s="867" t="s">
        <v>1814</v>
      </c>
      <c r="D373" s="863">
        <f>CIG!G384</f>
        <v>4944.8500000000004</v>
      </c>
      <c r="E373" s="858" t="s">
        <v>1424</v>
      </c>
      <c r="F373" s="858" t="s">
        <v>1425</v>
      </c>
    </row>
    <row r="374" spans="2:6" x14ac:dyDescent="0.25">
      <c r="B374" s="855">
        <f t="shared" si="28"/>
        <v>364</v>
      </c>
      <c r="C374" s="867" t="s">
        <v>1815</v>
      </c>
      <c r="D374" s="863">
        <f>CIG!G385+1</f>
        <v>1</v>
      </c>
      <c r="E374" s="858" t="s">
        <v>1424</v>
      </c>
      <c r="F374" s="858" t="s">
        <v>1425</v>
      </c>
    </row>
    <row r="375" spans="2:6" x14ac:dyDescent="0.25">
      <c r="B375" s="855">
        <f t="shared" si="28"/>
        <v>365</v>
      </c>
      <c r="C375" s="867" t="s">
        <v>2445</v>
      </c>
      <c r="D375" s="863">
        <v>8074.06</v>
      </c>
      <c r="E375" s="858" t="s">
        <v>1424</v>
      </c>
      <c r="F375" s="858" t="s">
        <v>1425</v>
      </c>
    </row>
    <row r="376" spans="2:6" ht="15.75" x14ac:dyDescent="0.25">
      <c r="B376" s="855">
        <f t="shared" si="28"/>
        <v>366</v>
      </c>
      <c r="C376" s="896" t="s">
        <v>6883</v>
      </c>
      <c r="D376" s="863">
        <v>1</v>
      </c>
      <c r="E376" s="858" t="s">
        <v>1424</v>
      </c>
      <c r="F376" s="858" t="s">
        <v>1425</v>
      </c>
    </row>
    <row r="377" spans="2:6" ht="15.75" x14ac:dyDescent="0.25">
      <c r="B377" s="855">
        <f t="shared" si="28"/>
        <v>367</v>
      </c>
      <c r="C377" s="896" t="s">
        <v>6884</v>
      </c>
      <c r="D377" s="863">
        <v>1</v>
      </c>
      <c r="E377" s="858" t="s">
        <v>1424</v>
      </c>
      <c r="F377" s="858" t="s">
        <v>1425</v>
      </c>
    </row>
    <row r="378" spans="2:6" ht="15.75" x14ac:dyDescent="0.25">
      <c r="B378" s="855">
        <f t="shared" si="28"/>
        <v>368</v>
      </c>
      <c r="C378" s="896" t="s">
        <v>6885</v>
      </c>
      <c r="D378" s="863">
        <v>1</v>
      </c>
      <c r="E378" s="858" t="s">
        <v>1424</v>
      </c>
      <c r="F378" s="858" t="s">
        <v>1425</v>
      </c>
    </row>
    <row r="379" spans="2:6" x14ac:dyDescent="0.25">
      <c r="B379" s="855">
        <f t="shared" si="28"/>
        <v>369</v>
      </c>
      <c r="C379" s="867" t="s">
        <v>1816</v>
      </c>
      <c r="D379" s="863">
        <f>CIG!G389</f>
        <v>6957</v>
      </c>
      <c r="E379" s="858" t="s">
        <v>1424</v>
      </c>
      <c r="F379" s="858" t="s">
        <v>1425</v>
      </c>
    </row>
    <row r="380" spans="2:6" x14ac:dyDescent="0.25">
      <c r="B380" s="855">
        <f t="shared" si="28"/>
        <v>370</v>
      </c>
      <c r="C380" s="867" t="s">
        <v>7097</v>
      </c>
      <c r="D380" s="863">
        <v>10000</v>
      </c>
      <c r="E380" s="858" t="s">
        <v>1424</v>
      </c>
      <c r="F380" s="858" t="s">
        <v>1425</v>
      </c>
    </row>
    <row r="381" spans="2:6" ht="15.75" x14ac:dyDescent="0.25">
      <c r="B381" s="855">
        <f t="shared" si="28"/>
        <v>371</v>
      </c>
      <c r="C381" s="896" t="s">
        <v>6886</v>
      </c>
      <c r="D381" s="863">
        <f>(CIG!D388+CIG!E388+CIG!G388)/3</f>
        <v>200759.52166666664</v>
      </c>
      <c r="E381" s="858" t="s">
        <v>1424</v>
      </c>
      <c r="F381" s="858" t="s">
        <v>1425</v>
      </c>
    </row>
    <row r="382" spans="2:6" x14ac:dyDescent="0.25">
      <c r="B382" s="855">
        <f t="shared" si="28"/>
        <v>372</v>
      </c>
      <c r="C382" s="884" t="s">
        <v>1564</v>
      </c>
      <c r="D382" s="877">
        <v>1</v>
      </c>
      <c r="E382" s="869" t="s">
        <v>1424</v>
      </c>
      <c r="F382" s="869" t="s">
        <v>1425</v>
      </c>
    </row>
    <row r="383" spans="2:6" x14ac:dyDescent="0.25">
      <c r="B383" s="855">
        <f t="shared" si="28"/>
        <v>373</v>
      </c>
      <c r="C383" s="884" t="s">
        <v>1565</v>
      </c>
      <c r="D383" s="877">
        <v>1</v>
      </c>
      <c r="E383" s="869" t="s">
        <v>1424</v>
      </c>
      <c r="F383" s="869" t="s">
        <v>1425</v>
      </c>
    </row>
    <row r="384" spans="2:6" ht="15.75" x14ac:dyDescent="0.25">
      <c r="B384" s="855">
        <f t="shared" si="28"/>
        <v>374</v>
      </c>
      <c r="C384" s="896" t="s">
        <v>3390</v>
      </c>
      <c r="D384" s="877">
        <v>1</v>
      </c>
      <c r="E384" s="869" t="s">
        <v>1424</v>
      </c>
      <c r="F384" s="869" t="s">
        <v>1425</v>
      </c>
    </row>
    <row r="385" spans="2:6" ht="15.75" x14ac:dyDescent="0.25">
      <c r="B385" s="855">
        <f t="shared" si="28"/>
        <v>375</v>
      </c>
      <c r="C385" s="896" t="s">
        <v>3388</v>
      </c>
      <c r="D385" s="877">
        <v>1</v>
      </c>
      <c r="E385" s="869" t="s">
        <v>1424</v>
      </c>
      <c r="F385" s="869" t="s">
        <v>1425</v>
      </c>
    </row>
    <row r="386" spans="2:6" ht="15.75" x14ac:dyDescent="0.25">
      <c r="B386" s="855">
        <f t="shared" si="28"/>
        <v>376</v>
      </c>
      <c r="C386" s="896" t="s">
        <v>3389</v>
      </c>
      <c r="D386" s="877">
        <v>1</v>
      </c>
      <c r="E386" s="869" t="s">
        <v>1424</v>
      </c>
      <c r="F386" s="869" t="s">
        <v>1425</v>
      </c>
    </row>
    <row r="387" spans="2:6" x14ac:dyDescent="0.25">
      <c r="B387" s="855">
        <f t="shared" si="28"/>
        <v>377</v>
      </c>
      <c r="C387" s="871" t="s">
        <v>1566</v>
      </c>
      <c r="D387" s="877">
        <v>1</v>
      </c>
      <c r="E387" s="869" t="s">
        <v>1424</v>
      </c>
      <c r="F387" s="869" t="s">
        <v>1425</v>
      </c>
    </row>
    <row r="388" spans="2:6" x14ac:dyDescent="0.25">
      <c r="B388" s="855">
        <f t="shared" si="28"/>
        <v>378</v>
      </c>
      <c r="C388" s="871" t="s">
        <v>1567</v>
      </c>
      <c r="D388" s="877">
        <v>1</v>
      </c>
      <c r="E388" s="869" t="s">
        <v>1424</v>
      </c>
      <c r="F388" s="869" t="s">
        <v>1425</v>
      </c>
    </row>
    <row r="389" spans="2:6" x14ac:dyDescent="0.25">
      <c r="B389" s="855">
        <f t="shared" si="28"/>
        <v>379</v>
      </c>
      <c r="C389" s="871" t="s">
        <v>1568</v>
      </c>
      <c r="D389" s="877">
        <v>1</v>
      </c>
      <c r="E389" s="869" t="s">
        <v>1424</v>
      </c>
      <c r="F389" s="869" t="s">
        <v>1425</v>
      </c>
    </row>
    <row r="390" spans="2:6" s="895" customFormat="1" x14ac:dyDescent="0.25">
      <c r="B390" s="855">
        <f t="shared" si="28"/>
        <v>380</v>
      </c>
      <c r="C390" s="897" t="s">
        <v>438</v>
      </c>
      <c r="D390" s="1297">
        <v>100000</v>
      </c>
      <c r="E390" s="875" t="s">
        <v>1424</v>
      </c>
      <c r="F390" s="875" t="s">
        <v>1425</v>
      </c>
    </row>
    <row r="391" spans="2:6" s="895" customFormat="1" x14ac:dyDescent="0.25">
      <c r="B391" s="855">
        <f t="shared" si="28"/>
        <v>381</v>
      </c>
      <c r="C391" s="897" t="s">
        <v>442</v>
      </c>
      <c r="D391" s="1297">
        <v>334630</v>
      </c>
      <c r="E391" s="875" t="s">
        <v>1424</v>
      </c>
      <c r="F391" s="875" t="s">
        <v>1425</v>
      </c>
    </row>
    <row r="392" spans="2:6" s="895" customFormat="1" x14ac:dyDescent="0.25">
      <c r="B392" s="855">
        <f t="shared" si="28"/>
        <v>382</v>
      </c>
      <c r="C392" s="897" t="s">
        <v>1569</v>
      </c>
      <c r="D392" s="1297">
        <v>150000</v>
      </c>
      <c r="E392" s="875" t="s">
        <v>1424</v>
      </c>
      <c r="F392" s="875" t="s">
        <v>1425</v>
      </c>
    </row>
    <row r="393" spans="2:6" s="895" customFormat="1" x14ac:dyDescent="0.25">
      <c r="B393" s="855">
        <f t="shared" si="28"/>
        <v>383</v>
      </c>
      <c r="C393" s="897" t="s">
        <v>2265</v>
      </c>
      <c r="D393" s="1297">
        <v>250000</v>
      </c>
      <c r="E393" s="875" t="s">
        <v>1424</v>
      </c>
      <c r="F393" s="875" t="s">
        <v>1425</v>
      </c>
    </row>
    <row r="394" spans="2:6" s="895" customFormat="1" x14ac:dyDescent="0.25">
      <c r="B394" s="855">
        <f t="shared" si="28"/>
        <v>384</v>
      </c>
      <c r="C394" s="897" t="s">
        <v>2269</v>
      </c>
      <c r="D394" s="1297">
        <v>100000</v>
      </c>
      <c r="E394" s="875" t="s">
        <v>1424</v>
      </c>
      <c r="F394" s="875" t="s">
        <v>1425</v>
      </c>
    </row>
    <row r="395" spans="2:6" s="895" customFormat="1" x14ac:dyDescent="0.25">
      <c r="B395" s="855">
        <f t="shared" si="28"/>
        <v>385</v>
      </c>
      <c r="C395" s="897" t="s">
        <v>2274</v>
      </c>
      <c r="D395" s="1297">
        <v>344000</v>
      </c>
      <c r="E395" s="875" t="s">
        <v>1424</v>
      </c>
      <c r="F395" s="875" t="s">
        <v>1425</v>
      </c>
    </row>
    <row r="396" spans="2:6" s="895" customFormat="1" x14ac:dyDescent="0.25">
      <c r="B396" s="855">
        <f t="shared" si="28"/>
        <v>386</v>
      </c>
      <c r="C396" s="897" t="s">
        <v>2275</v>
      </c>
      <c r="D396" s="1297">
        <v>110000</v>
      </c>
      <c r="E396" s="875" t="s">
        <v>1424</v>
      </c>
      <c r="F396" s="875" t="s">
        <v>1425</v>
      </c>
    </row>
    <row r="397" spans="2:6" s="895" customFormat="1" x14ac:dyDescent="0.25">
      <c r="B397" s="855">
        <f t="shared" si="28"/>
        <v>387</v>
      </c>
      <c r="C397" s="897" t="s">
        <v>2537</v>
      </c>
      <c r="D397" s="1297">
        <v>308693.15000000002</v>
      </c>
      <c r="E397" s="875" t="s">
        <v>1424</v>
      </c>
      <c r="F397" s="875" t="s">
        <v>1425</v>
      </c>
    </row>
    <row r="398" spans="2:6" s="895" customFormat="1" x14ac:dyDescent="0.25">
      <c r="B398" s="855">
        <f t="shared" si="28"/>
        <v>388</v>
      </c>
      <c r="C398" s="897" t="s">
        <v>7307</v>
      </c>
      <c r="D398" s="1297">
        <v>250000</v>
      </c>
      <c r="E398" s="875" t="s">
        <v>1424</v>
      </c>
      <c r="F398" s="875" t="s">
        <v>1425</v>
      </c>
    </row>
    <row r="399" spans="2:6" s="895" customFormat="1" x14ac:dyDescent="0.25">
      <c r="B399" s="855">
        <f t="shared" si="28"/>
        <v>389</v>
      </c>
      <c r="C399" s="897" t="s">
        <v>7308</v>
      </c>
      <c r="D399" s="1297">
        <v>1306500</v>
      </c>
      <c r="E399" s="875" t="s">
        <v>1424</v>
      </c>
      <c r="F399" s="875" t="s">
        <v>1425</v>
      </c>
    </row>
    <row r="400" spans="2:6" s="895" customFormat="1" x14ac:dyDescent="0.25">
      <c r="B400" s="855">
        <f t="shared" si="28"/>
        <v>390</v>
      </c>
      <c r="C400" s="897" t="s">
        <v>7309</v>
      </c>
      <c r="D400" s="1297">
        <v>925000</v>
      </c>
      <c r="E400" s="875" t="s">
        <v>1424</v>
      </c>
      <c r="F400" s="875" t="s">
        <v>1425</v>
      </c>
    </row>
    <row r="401" spans="2:6" s="895" customFormat="1" x14ac:dyDescent="0.25">
      <c r="B401" s="855">
        <f t="shared" si="28"/>
        <v>391</v>
      </c>
      <c r="C401" s="897" t="s">
        <v>7310</v>
      </c>
      <c r="D401" s="1297">
        <v>248697.92</v>
      </c>
      <c r="E401" s="875" t="s">
        <v>1424</v>
      </c>
      <c r="F401" s="875" t="s">
        <v>1425</v>
      </c>
    </row>
    <row r="402" spans="2:6" x14ac:dyDescent="0.25">
      <c r="B402" s="855">
        <f t="shared" si="28"/>
        <v>392</v>
      </c>
      <c r="C402" s="855" t="s">
        <v>1817</v>
      </c>
      <c r="D402" s="863">
        <v>1</v>
      </c>
      <c r="E402" s="858" t="s">
        <v>1424</v>
      </c>
      <c r="F402" s="858" t="s">
        <v>1425</v>
      </c>
    </row>
    <row r="403" spans="2:6" ht="15.75" x14ac:dyDescent="0.25">
      <c r="B403" s="855">
        <f t="shared" si="28"/>
        <v>393</v>
      </c>
      <c r="C403" s="901" t="s">
        <v>5522</v>
      </c>
      <c r="D403" s="863">
        <v>1</v>
      </c>
      <c r="E403" s="858" t="s">
        <v>1424</v>
      </c>
      <c r="F403" s="858" t="s">
        <v>1425</v>
      </c>
    </row>
    <row r="404" spans="2:6" ht="15.75" x14ac:dyDescent="0.25">
      <c r="B404" s="855">
        <f t="shared" si="28"/>
        <v>394</v>
      </c>
      <c r="C404" s="901" t="s">
        <v>5523</v>
      </c>
      <c r="D404" s="863">
        <v>1</v>
      </c>
      <c r="E404" s="858" t="s">
        <v>1424</v>
      </c>
      <c r="F404" s="858" t="s">
        <v>1425</v>
      </c>
    </row>
    <row r="405" spans="2:6" ht="15.75" x14ac:dyDescent="0.25">
      <c r="B405" s="855">
        <f t="shared" si="28"/>
        <v>395</v>
      </c>
      <c r="C405" s="901" t="s">
        <v>5524</v>
      </c>
      <c r="D405" s="863">
        <v>1</v>
      </c>
      <c r="E405" s="858" t="s">
        <v>1424</v>
      </c>
      <c r="F405" s="858" t="s">
        <v>1425</v>
      </c>
    </row>
    <row r="406" spans="2:6" ht="15.75" x14ac:dyDescent="0.25">
      <c r="B406" s="855">
        <f t="shared" si="28"/>
        <v>396</v>
      </c>
      <c r="C406" s="901" t="s">
        <v>5525</v>
      </c>
      <c r="D406" s="863">
        <v>1</v>
      </c>
      <c r="E406" s="858" t="s">
        <v>1424</v>
      </c>
      <c r="F406" s="858" t="s">
        <v>1425</v>
      </c>
    </row>
    <row r="407" spans="2:6" ht="15.75" x14ac:dyDescent="0.25">
      <c r="B407" s="855">
        <f t="shared" si="28"/>
        <v>397</v>
      </c>
      <c r="C407" s="901" t="s">
        <v>5526</v>
      </c>
      <c r="D407" s="863">
        <v>1</v>
      </c>
      <c r="E407" s="858" t="s">
        <v>1424</v>
      </c>
      <c r="F407" s="858" t="s">
        <v>1425</v>
      </c>
    </row>
    <row r="408" spans="2:6" ht="15.75" x14ac:dyDescent="0.25">
      <c r="B408" s="855">
        <f t="shared" si="28"/>
        <v>398</v>
      </c>
      <c r="C408" s="901" t="s">
        <v>5527</v>
      </c>
      <c r="D408" s="863">
        <v>1</v>
      </c>
      <c r="E408" s="858" t="s">
        <v>1424</v>
      </c>
      <c r="F408" s="858" t="s">
        <v>1425</v>
      </c>
    </row>
    <row r="409" spans="2:6" x14ac:dyDescent="0.25">
      <c r="B409" s="855">
        <f t="shared" si="28"/>
        <v>399</v>
      </c>
      <c r="C409" s="855" t="s">
        <v>447</v>
      </c>
      <c r="D409" s="863">
        <v>346800</v>
      </c>
      <c r="E409" s="858" t="s">
        <v>1424</v>
      </c>
      <c r="F409" s="858" t="s">
        <v>1425</v>
      </c>
    </row>
    <row r="410" spans="2:6" x14ac:dyDescent="0.25">
      <c r="B410" s="855">
        <f t="shared" si="28"/>
        <v>400</v>
      </c>
      <c r="C410" s="855" t="s">
        <v>448</v>
      </c>
      <c r="D410" s="863">
        <v>30000</v>
      </c>
      <c r="E410" s="858" t="s">
        <v>1424</v>
      </c>
      <c r="F410" s="858" t="s">
        <v>1425</v>
      </c>
    </row>
    <row r="411" spans="2:6" x14ac:dyDescent="0.25">
      <c r="B411" s="855">
        <f t="shared" si="28"/>
        <v>401</v>
      </c>
      <c r="C411" s="855" t="s">
        <v>2257</v>
      </c>
      <c r="D411" s="863">
        <v>28691</v>
      </c>
      <c r="E411" s="858" t="s">
        <v>1424</v>
      </c>
      <c r="F411" s="858" t="s">
        <v>1425</v>
      </c>
    </row>
    <row r="412" spans="2:6" x14ac:dyDescent="0.25">
      <c r="B412" s="855">
        <f t="shared" ref="B412:B446" si="29">B411+1</f>
        <v>402</v>
      </c>
      <c r="C412" s="855" t="s">
        <v>2261</v>
      </c>
      <c r="D412" s="863">
        <v>46617</v>
      </c>
      <c r="E412" s="858" t="s">
        <v>1424</v>
      </c>
      <c r="F412" s="858" t="s">
        <v>1425</v>
      </c>
    </row>
    <row r="413" spans="2:6" x14ac:dyDescent="0.25">
      <c r="B413" s="855">
        <f t="shared" si="29"/>
        <v>403</v>
      </c>
      <c r="C413" s="855" t="s">
        <v>6826</v>
      </c>
      <c r="D413" s="863">
        <f>1</f>
        <v>1</v>
      </c>
      <c r="E413" s="858" t="s">
        <v>1424</v>
      </c>
      <c r="F413" s="858" t="s">
        <v>1425</v>
      </c>
    </row>
    <row r="414" spans="2:6" x14ac:dyDescent="0.25">
      <c r="B414" s="855">
        <f t="shared" si="29"/>
        <v>404</v>
      </c>
      <c r="C414" s="902" t="s">
        <v>450</v>
      </c>
      <c r="D414" s="863">
        <f>1</f>
        <v>1</v>
      </c>
      <c r="E414" s="858" t="s">
        <v>1424</v>
      </c>
      <c r="F414" s="858" t="s">
        <v>1425</v>
      </c>
    </row>
    <row r="415" spans="2:6" x14ac:dyDescent="0.25">
      <c r="B415" s="855">
        <f t="shared" si="29"/>
        <v>405</v>
      </c>
      <c r="C415" s="902" t="s">
        <v>451</v>
      </c>
      <c r="D415" s="863">
        <v>1</v>
      </c>
      <c r="E415" s="858" t="s">
        <v>1424</v>
      </c>
      <c r="F415" s="858" t="s">
        <v>1425</v>
      </c>
    </row>
    <row r="416" spans="2:6" x14ac:dyDescent="0.25">
      <c r="B416" s="855">
        <f t="shared" si="29"/>
        <v>406</v>
      </c>
      <c r="C416" s="902" t="s">
        <v>452</v>
      </c>
      <c r="D416" s="863">
        <v>1</v>
      </c>
      <c r="E416" s="858" t="s">
        <v>1424</v>
      </c>
      <c r="F416" s="858" t="s">
        <v>1425</v>
      </c>
    </row>
    <row r="417" spans="2:6" x14ac:dyDescent="0.25">
      <c r="B417" s="855">
        <f t="shared" si="29"/>
        <v>407</v>
      </c>
      <c r="C417" s="902" t="s">
        <v>453</v>
      </c>
      <c r="D417" s="863">
        <v>1</v>
      </c>
      <c r="E417" s="858" t="s">
        <v>1424</v>
      </c>
      <c r="F417" s="858" t="s">
        <v>1425</v>
      </c>
    </row>
    <row r="418" spans="2:6" x14ac:dyDescent="0.25">
      <c r="B418" s="855">
        <f t="shared" si="29"/>
        <v>408</v>
      </c>
      <c r="C418" s="902" t="s">
        <v>454</v>
      </c>
      <c r="D418" s="863">
        <v>1</v>
      </c>
      <c r="E418" s="858" t="s">
        <v>1424</v>
      </c>
      <c r="F418" s="858" t="s">
        <v>1425</v>
      </c>
    </row>
    <row r="419" spans="2:6" x14ac:dyDescent="0.25">
      <c r="B419" s="855">
        <f t="shared" si="29"/>
        <v>409</v>
      </c>
      <c r="C419" s="894" t="s">
        <v>455</v>
      </c>
      <c r="D419" s="863">
        <v>1</v>
      </c>
      <c r="E419" s="858" t="s">
        <v>1424</v>
      </c>
      <c r="F419" s="858" t="s">
        <v>1425</v>
      </c>
    </row>
    <row r="420" spans="2:6" x14ac:dyDescent="0.25">
      <c r="B420" s="855">
        <f t="shared" si="29"/>
        <v>410</v>
      </c>
      <c r="C420" s="894" t="s">
        <v>456</v>
      </c>
      <c r="D420" s="863">
        <v>1</v>
      </c>
      <c r="E420" s="858" t="s">
        <v>1424</v>
      </c>
      <c r="F420" s="858" t="s">
        <v>1425</v>
      </c>
    </row>
    <row r="421" spans="2:6" x14ac:dyDescent="0.25">
      <c r="B421" s="855">
        <f t="shared" si="29"/>
        <v>411</v>
      </c>
      <c r="C421" s="894" t="s">
        <v>457</v>
      </c>
      <c r="D421" s="863">
        <v>1</v>
      </c>
      <c r="E421" s="858" t="s">
        <v>1424</v>
      </c>
      <c r="F421" s="858" t="s">
        <v>1425</v>
      </c>
    </row>
    <row r="422" spans="2:6" x14ac:dyDescent="0.25">
      <c r="B422" s="855">
        <f t="shared" si="29"/>
        <v>412</v>
      </c>
      <c r="C422" s="894" t="s">
        <v>458</v>
      </c>
      <c r="D422" s="863">
        <v>1</v>
      </c>
      <c r="E422" s="858" t="s">
        <v>1424</v>
      </c>
      <c r="F422" s="858" t="s">
        <v>1425</v>
      </c>
    </row>
    <row r="423" spans="2:6" x14ac:dyDescent="0.25">
      <c r="B423" s="855">
        <f t="shared" si="29"/>
        <v>413</v>
      </c>
      <c r="C423" s="894" t="s">
        <v>459</v>
      </c>
      <c r="D423" s="863">
        <v>1</v>
      </c>
      <c r="E423" s="858" t="s">
        <v>1424</v>
      </c>
      <c r="F423" s="858" t="s">
        <v>1425</v>
      </c>
    </row>
    <row r="424" spans="2:6" x14ac:dyDescent="0.25">
      <c r="B424" s="855">
        <f t="shared" si="29"/>
        <v>414</v>
      </c>
      <c r="C424" s="894" t="s">
        <v>460</v>
      </c>
      <c r="D424" s="863">
        <v>1</v>
      </c>
      <c r="E424" s="858" t="s">
        <v>1424</v>
      </c>
      <c r="F424" s="858" t="s">
        <v>1425</v>
      </c>
    </row>
    <row r="425" spans="2:6" x14ac:dyDescent="0.25">
      <c r="B425" s="855">
        <f t="shared" si="29"/>
        <v>415</v>
      </c>
      <c r="C425" s="894" t="s">
        <v>461</v>
      </c>
      <c r="D425" s="863">
        <v>1</v>
      </c>
      <c r="E425" s="858" t="s">
        <v>1424</v>
      </c>
      <c r="F425" s="858" t="s">
        <v>1425</v>
      </c>
    </row>
    <row r="426" spans="2:6" x14ac:dyDescent="0.25">
      <c r="B426" s="855">
        <f t="shared" si="29"/>
        <v>416</v>
      </c>
      <c r="C426" s="894" t="s">
        <v>462</v>
      </c>
      <c r="D426" s="863">
        <v>1</v>
      </c>
      <c r="E426" s="858" t="s">
        <v>1424</v>
      </c>
      <c r="F426" s="858" t="s">
        <v>1425</v>
      </c>
    </row>
    <row r="427" spans="2:6" x14ac:dyDescent="0.25">
      <c r="B427" s="855">
        <f t="shared" si="29"/>
        <v>417</v>
      </c>
      <c r="C427" s="894" t="s">
        <v>463</v>
      </c>
      <c r="D427" s="863">
        <v>1</v>
      </c>
      <c r="E427" s="858" t="s">
        <v>1424</v>
      </c>
      <c r="F427" s="858" t="s">
        <v>1425</v>
      </c>
    </row>
    <row r="428" spans="2:6" x14ac:dyDescent="0.25">
      <c r="B428" s="855">
        <f t="shared" si="29"/>
        <v>418</v>
      </c>
      <c r="C428" s="894" t="s">
        <v>464</v>
      </c>
      <c r="D428" s="863">
        <v>1</v>
      </c>
      <c r="E428" s="858" t="s">
        <v>1424</v>
      </c>
      <c r="F428" s="858" t="s">
        <v>1425</v>
      </c>
    </row>
    <row r="429" spans="2:6" x14ac:dyDescent="0.25">
      <c r="B429" s="855">
        <f t="shared" si="29"/>
        <v>419</v>
      </c>
      <c r="C429" s="894" t="s">
        <v>465</v>
      </c>
      <c r="D429" s="863">
        <v>1</v>
      </c>
      <c r="E429" s="858" t="s">
        <v>1424</v>
      </c>
      <c r="F429" s="858" t="s">
        <v>1425</v>
      </c>
    </row>
    <row r="430" spans="2:6" x14ac:dyDescent="0.25">
      <c r="B430" s="855">
        <f t="shared" si="29"/>
        <v>420</v>
      </c>
      <c r="C430" s="894" t="s">
        <v>466</v>
      </c>
      <c r="D430" s="863">
        <v>1</v>
      </c>
      <c r="E430" s="858" t="s">
        <v>1424</v>
      </c>
      <c r="F430" s="858" t="s">
        <v>1425</v>
      </c>
    </row>
    <row r="431" spans="2:6" x14ac:dyDescent="0.25">
      <c r="B431" s="855">
        <f t="shared" si="29"/>
        <v>421</v>
      </c>
      <c r="C431" s="894" t="s">
        <v>467</v>
      </c>
      <c r="D431" s="863">
        <v>1</v>
      </c>
      <c r="E431" s="858" t="s">
        <v>1424</v>
      </c>
      <c r="F431" s="858" t="s">
        <v>1425</v>
      </c>
    </row>
    <row r="432" spans="2:6" x14ac:dyDescent="0.25">
      <c r="B432" s="855">
        <f t="shared" si="29"/>
        <v>422</v>
      </c>
      <c r="C432" s="894" t="s">
        <v>468</v>
      </c>
      <c r="D432" s="863">
        <v>1</v>
      </c>
      <c r="E432" s="858" t="s">
        <v>1424</v>
      </c>
      <c r="F432" s="858" t="s">
        <v>1425</v>
      </c>
    </row>
    <row r="433" spans="2:6" ht="15.75" x14ac:dyDescent="0.25">
      <c r="B433" s="855">
        <f t="shared" si="29"/>
        <v>423</v>
      </c>
      <c r="C433" s="901" t="s">
        <v>2277</v>
      </c>
      <c r="D433" s="863">
        <v>1</v>
      </c>
      <c r="E433" s="858" t="s">
        <v>1424</v>
      </c>
      <c r="F433" s="858" t="s">
        <v>1425</v>
      </c>
    </row>
    <row r="434" spans="2:6" ht="15.75" x14ac:dyDescent="0.25">
      <c r="B434" s="855">
        <f t="shared" si="29"/>
        <v>424</v>
      </c>
      <c r="C434" s="901" t="s">
        <v>2278</v>
      </c>
      <c r="D434" s="863">
        <v>1</v>
      </c>
      <c r="E434" s="858" t="s">
        <v>1424</v>
      </c>
      <c r="F434" s="858" t="s">
        <v>1425</v>
      </c>
    </row>
    <row r="435" spans="2:6" ht="15.75" x14ac:dyDescent="0.25">
      <c r="B435" s="855">
        <f t="shared" si="29"/>
        <v>425</v>
      </c>
      <c r="C435" s="901" t="s">
        <v>2279</v>
      </c>
      <c r="D435" s="863">
        <v>1</v>
      </c>
      <c r="E435" s="858" t="s">
        <v>1424</v>
      </c>
      <c r="F435" s="858" t="s">
        <v>1425</v>
      </c>
    </row>
    <row r="436" spans="2:6" ht="15.75" x14ac:dyDescent="0.25">
      <c r="B436" s="855">
        <f t="shared" si="29"/>
        <v>426</v>
      </c>
      <c r="C436" s="901" t="s">
        <v>2280</v>
      </c>
      <c r="D436" s="863">
        <v>1</v>
      </c>
      <c r="E436" s="858" t="s">
        <v>1424</v>
      </c>
      <c r="F436" s="858" t="s">
        <v>1425</v>
      </c>
    </row>
    <row r="437" spans="2:6" ht="15.75" x14ac:dyDescent="0.25">
      <c r="B437" s="855">
        <f t="shared" si="29"/>
        <v>427</v>
      </c>
      <c r="C437" s="896" t="s">
        <v>2283</v>
      </c>
      <c r="D437" s="863">
        <v>1</v>
      </c>
      <c r="E437" s="858" t="s">
        <v>1424</v>
      </c>
      <c r="F437" s="858" t="s">
        <v>1425</v>
      </c>
    </row>
    <row r="438" spans="2:6" ht="15.75" x14ac:dyDescent="0.25">
      <c r="B438" s="855">
        <f t="shared" si="29"/>
        <v>428</v>
      </c>
      <c r="C438" s="896" t="s">
        <v>2284</v>
      </c>
      <c r="D438" s="863">
        <v>1</v>
      </c>
      <c r="E438" s="858" t="s">
        <v>1424</v>
      </c>
      <c r="F438" s="858" t="s">
        <v>1425</v>
      </c>
    </row>
    <row r="439" spans="2:6" ht="15.75" x14ac:dyDescent="0.25">
      <c r="B439" s="855">
        <f t="shared" si="29"/>
        <v>429</v>
      </c>
      <c r="C439" s="903" t="s">
        <v>4743</v>
      </c>
      <c r="D439" s="863">
        <v>1</v>
      </c>
      <c r="E439" s="858" t="s">
        <v>1424</v>
      </c>
      <c r="F439" s="858" t="s">
        <v>1425</v>
      </c>
    </row>
    <row r="440" spans="2:6" ht="15.75" x14ac:dyDescent="0.25">
      <c r="B440" s="855">
        <f t="shared" si="29"/>
        <v>430</v>
      </c>
      <c r="C440" s="896" t="s">
        <v>3376</v>
      </c>
      <c r="D440" s="863">
        <v>1</v>
      </c>
      <c r="E440" s="858" t="s">
        <v>1424</v>
      </c>
      <c r="F440" s="858" t="s">
        <v>1425</v>
      </c>
    </row>
    <row r="441" spans="2:6" ht="15.75" x14ac:dyDescent="0.25">
      <c r="B441" s="855">
        <f t="shared" si="29"/>
        <v>431</v>
      </c>
      <c r="C441" s="896" t="s">
        <v>3377</v>
      </c>
      <c r="D441" s="863">
        <v>1</v>
      </c>
      <c r="E441" s="858" t="s">
        <v>1424</v>
      </c>
      <c r="F441" s="858" t="s">
        <v>1425</v>
      </c>
    </row>
    <row r="442" spans="2:6" ht="15.75" x14ac:dyDescent="0.25">
      <c r="B442" s="855">
        <f t="shared" si="29"/>
        <v>432</v>
      </c>
      <c r="C442" s="896" t="s">
        <v>3378</v>
      </c>
      <c r="D442" s="863">
        <v>1</v>
      </c>
      <c r="E442" s="858" t="s">
        <v>1424</v>
      </c>
      <c r="F442" s="858" t="s">
        <v>1425</v>
      </c>
    </row>
    <row r="443" spans="2:6" x14ac:dyDescent="0.25">
      <c r="B443" s="855">
        <f t="shared" si="29"/>
        <v>433</v>
      </c>
      <c r="C443" s="855" t="s">
        <v>1570</v>
      </c>
      <c r="D443" s="863">
        <f>(CIG!D412+CIG!E412+CIG!G412)/3</f>
        <v>9563.6016666666674</v>
      </c>
      <c r="E443" s="858" t="s">
        <v>1424</v>
      </c>
      <c r="F443" s="858" t="s">
        <v>1425</v>
      </c>
    </row>
    <row r="444" spans="2:6" x14ac:dyDescent="0.25">
      <c r="B444" s="855">
        <f t="shared" si="29"/>
        <v>434</v>
      </c>
      <c r="C444" s="855" t="s">
        <v>1571</v>
      </c>
      <c r="D444" s="863">
        <f>1</f>
        <v>1</v>
      </c>
      <c r="E444" s="858" t="s">
        <v>1424</v>
      </c>
      <c r="F444" s="858" t="s">
        <v>1425</v>
      </c>
    </row>
    <row r="445" spans="2:6" x14ac:dyDescent="0.25">
      <c r="B445" s="855">
        <f t="shared" si="29"/>
        <v>435</v>
      </c>
      <c r="C445" s="855" t="s">
        <v>1818</v>
      </c>
      <c r="D445" s="879">
        <f>1</f>
        <v>1</v>
      </c>
      <c r="E445" s="858" t="s">
        <v>1424</v>
      </c>
      <c r="F445" s="858" t="s">
        <v>1425</v>
      </c>
    </row>
    <row r="446" spans="2:6" x14ac:dyDescent="0.25">
      <c r="B446" s="855">
        <f t="shared" si="29"/>
        <v>436</v>
      </c>
      <c r="C446" s="855" t="s">
        <v>1572</v>
      </c>
      <c r="D446" s="879">
        <f>503.65+202.63+2.8+786.1-0.31</f>
        <v>1494.87</v>
      </c>
      <c r="E446" s="858" t="s">
        <v>1424</v>
      </c>
      <c r="F446" s="858" t="s">
        <v>1425</v>
      </c>
    </row>
    <row r="576" spans="8:8" x14ac:dyDescent="0.25">
      <c r="H576" s="890">
        <f>([1]PARÂMETROS!D249)*[1]PARÂMETROS!D262+([1]PARÂMETROS!D248)*[1]PARÂMETROS!D258+([1]PARÂMETROS!D250+[1]PARÂMETROS!D251+[1]PARÂMETROS!D252)*[1]PARÂMETROS!D261+([1]PARÂMETROS!D253)*[1]PARÂMETROS!D259+([1]PARÂMETROS!D254)</f>
        <v>287.10000000000002</v>
      </c>
    </row>
  </sheetData>
  <mergeCells count="5">
    <mergeCell ref="C6:D6"/>
    <mergeCell ref="B1:F1"/>
    <mergeCell ref="B3:F3"/>
    <mergeCell ref="B5:F5"/>
    <mergeCell ref="B7:F7"/>
  </mergeCells>
  <pageMargins left="0.51181102362204722" right="0.51181102362204722" top="0.78740157480314965" bottom="0.78740157480314965" header="0.31496062992125984" footer="0.31496062992125984"/>
  <pageSetup paperSize="9" scale="5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51</vt:i4>
      </vt:variant>
      <vt:variant>
        <vt:lpstr>Intervalos nomeados</vt:lpstr>
      </vt:variant>
      <vt:variant>
        <vt:i4>1</vt:i4>
      </vt:variant>
    </vt:vector>
  </HeadingPairs>
  <TitlesOfParts>
    <vt:vector size="52" baseType="lpstr">
      <vt:lpstr>MANUAL PLANILHAS</vt:lpstr>
      <vt:lpstr>RV</vt:lpstr>
      <vt:lpstr>CIG</vt:lpstr>
      <vt:lpstr>CATC</vt:lpstr>
      <vt:lpstr>CMA</vt:lpstr>
      <vt:lpstr>CRSUS</vt:lpstr>
      <vt:lpstr>CRC</vt:lpstr>
      <vt:lpstr>CARP</vt:lpstr>
      <vt:lpstr>PUER</vt:lpstr>
      <vt:lpstr>ER</vt:lpstr>
      <vt:lpstr>PNAE</vt:lpstr>
      <vt:lpstr>FUNDEB</vt:lpstr>
      <vt:lpstr>MCR</vt:lpstr>
      <vt:lpstr>RCL</vt:lpstr>
      <vt:lpstr>PASEP</vt:lpstr>
      <vt:lpstr>FOPAG SAUDE</vt:lpstr>
      <vt:lpstr>FOPAG ASSIST</vt:lpstr>
      <vt:lpstr>FOPAG EXEC.</vt:lpstr>
      <vt:lpstr>FOPAG ED.</vt:lpstr>
      <vt:lpstr>FOPAG FUNDEB</vt:lpstr>
      <vt:lpstr>FOPAGLEG</vt:lpstr>
      <vt:lpstr>MA</vt:lpstr>
      <vt:lpstr>EC 86-2015</vt:lpstr>
      <vt:lpstr>QSE</vt:lpstr>
      <vt:lpstr>PNATE</vt:lpstr>
      <vt:lpstr>BASE TRIENAL DESPESAS</vt:lpstr>
      <vt:lpstr>PUCFD</vt:lpstr>
      <vt:lpstr>DESPORC</vt:lpstr>
      <vt:lpstr>DCPPALDO</vt:lpstr>
      <vt:lpstr>DMDOCC</vt:lpstr>
      <vt:lpstr>DECRR</vt:lpstr>
      <vt:lpstr>DERF</vt:lpstr>
      <vt:lpstr>DCAMF</vt:lpstr>
      <vt:lpstr>DRFDGNOS</vt:lpstr>
      <vt:lpstr>DRFMCA</vt:lpstr>
      <vt:lpstr>DRDFMCA</vt:lpstr>
      <vt:lpstr>DRDFMS</vt:lpstr>
      <vt:lpstr>DRDFMAS</vt:lpstr>
      <vt:lpstr>DRDFMDR</vt:lpstr>
      <vt:lpstr>DRDFMMA</vt:lpstr>
      <vt:lpstr>DRDFMHIS</vt:lpstr>
      <vt:lpstr>Plan2</vt:lpstr>
      <vt:lpstr>Plan3</vt:lpstr>
      <vt:lpstr>DDP</vt:lpstr>
      <vt:lpstr>DPARASPS</vt:lpstr>
      <vt:lpstr>DPARMDE</vt:lpstr>
      <vt:lpstr>DPADFOC</vt:lpstr>
      <vt:lpstr>DLMDPL</vt:lpstr>
      <vt:lpstr>DMPRECAT</vt:lpstr>
      <vt:lpstr>DEMPEAUD</vt:lpstr>
      <vt:lpstr>Plan1</vt:lpstr>
      <vt:lpstr>'FOPAG ED.'!Area_de_impressao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</dc:creator>
  <cp:lastModifiedBy>Mauro</cp:lastModifiedBy>
  <cp:lastPrinted>2019-11-11T19:04:49Z</cp:lastPrinted>
  <dcterms:created xsi:type="dcterms:W3CDTF">2018-08-14T16:19:46Z</dcterms:created>
  <dcterms:modified xsi:type="dcterms:W3CDTF">2019-11-11T19:04:50Z</dcterms:modified>
</cp:coreProperties>
</file>